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rnoordien2\Documents\7. PRIVATE\MEng\CD\"/>
    </mc:Choice>
  </mc:AlternateContent>
  <bookViews>
    <workbookView xWindow="45" yWindow="-30" windowWidth="20190" windowHeight="7680" tabRatio="648"/>
  </bookViews>
  <sheets>
    <sheet name="Abbreviations" sheetId="6" r:id="rId1"/>
    <sheet name="2192 Experiments" sheetId="30" r:id="rId2"/>
    <sheet name="562 Experiments" sheetId="33" r:id="rId3"/>
    <sheet name="Measured shrinkage" sheetId="34" r:id="rId4"/>
    <sheet name="D1-HSC subsets" sheetId="35" r:id="rId5"/>
    <sheet name="D2-HSC subsets" sheetId="36" r:id="rId6"/>
    <sheet name="Model predictions for D1-HSC" sheetId="37" r:id="rId7"/>
    <sheet name="Model predictions for D2-HSC" sheetId="38" r:id="rId8"/>
    <sheet name="Ref" sheetId="2" r:id="rId9"/>
  </sheets>
  <definedNames>
    <definedName name="_xlnm._FilterDatabase" localSheetId="1" hidden="1">'2192 Experiments'!$A$1:$BF$2193</definedName>
    <definedName name="_xlnm._FilterDatabase" localSheetId="2" hidden="1">'562 Experiments'!$A$1:$BP$563</definedName>
    <definedName name="_xlnm._FilterDatabase" localSheetId="3" hidden="1">'Measured shrinkage'!$A$1:$C$1</definedName>
    <definedName name="_xlnm._FilterDatabase" localSheetId="6" hidden="1">'Model predictions for D1-HSC'!$A$1:$J$1</definedName>
    <definedName name="_xlnm._FilterDatabase" localSheetId="7" hidden="1">'Model predictions for D2-HSC'!$A$1:$H$1</definedName>
  </definedNames>
  <calcPr calcId="162913"/>
</workbook>
</file>

<file path=xl/calcChain.xml><?xml version="1.0" encoding="utf-8"?>
<calcChain xmlns="http://schemas.openxmlformats.org/spreadsheetml/2006/main">
  <c r="C1743" i="37" l="1"/>
  <c r="T152" i="33" l="1"/>
  <c r="T151" i="33"/>
  <c r="T150" i="33"/>
  <c r="U150" i="33" s="1"/>
  <c r="P150" i="33" s="1"/>
  <c r="T149" i="33"/>
  <c r="U149" i="33" s="1"/>
  <c r="P149" i="33" s="1"/>
  <c r="T148" i="33"/>
  <c r="U148" i="33" s="1"/>
  <c r="P148" i="33" s="1"/>
  <c r="T147" i="33"/>
  <c r="T142" i="33" l="1"/>
  <c r="S302" i="33" l="1"/>
  <c r="U302" i="33" s="1"/>
  <c r="S305" i="33"/>
  <c r="U305" i="33" s="1"/>
  <c r="W305" i="33" s="1"/>
  <c r="S304" i="33"/>
  <c r="U304" i="33" s="1"/>
  <c r="S303" i="33"/>
  <c r="U303" i="33" s="1"/>
  <c r="W304" i="33" l="1"/>
  <c r="W302" i="33"/>
  <c r="W303" i="33"/>
  <c r="R329" i="33" l="1"/>
  <c r="T329" i="33"/>
  <c r="U329" i="33"/>
  <c r="R313" i="33"/>
  <c r="T313" i="33"/>
  <c r="U313" i="33"/>
  <c r="R324" i="33"/>
  <c r="T324" i="33"/>
  <c r="U324" i="33"/>
  <c r="O483" i="33"/>
  <c r="U483" i="33"/>
  <c r="O482" i="33"/>
  <c r="U482" i="33"/>
  <c r="P482" i="33" s="1"/>
  <c r="O489" i="33"/>
  <c r="U489" i="33"/>
  <c r="T489" i="33" s="1"/>
  <c r="O456" i="33"/>
  <c r="U456" i="33"/>
  <c r="P456" i="33" s="1"/>
  <c r="W329" i="33" l="1"/>
  <c r="N313" i="33"/>
  <c r="Q313" i="33"/>
  <c r="N324" i="33"/>
  <c r="Q329" i="33"/>
  <c r="P489" i="33"/>
  <c r="T482" i="33"/>
  <c r="Q324" i="33"/>
  <c r="N329" i="33"/>
  <c r="T483" i="33"/>
  <c r="P483" i="33"/>
  <c r="T456" i="33"/>
  <c r="BG87" i="33"/>
  <c r="U87" i="33"/>
  <c r="T87" i="33"/>
  <c r="O87" i="33"/>
  <c r="R87" i="33" s="1"/>
  <c r="BG86" i="33"/>
  <c r="U86" i="33"/>
  <c r="T86" i="33"/>
  <c r="O86" i="33"/>
  <c r="R86" i="33" s="1"/>
  <c r="BG85" i="33"/>
  <c r="U85" i="33"/>
  <c r="T85" i="33"/>
  <c r="O85" i="33"/>
  <c r="R85" i="33" s="1"/>
  <c r="BG84" i="33"/>
  <c r="U84" i="33"/>
  <c r="T84" i="33"/>
  <c r="R84" i="33"/>
  <c r="BG83" i="33"/>
  <c r="U83" i="33"/>
  <c r="T83" i="33"/>
  <c r="R83" i="33"/>
  <c r="BG82" i="33"/>
  <c r="U82" i="33"/>
  <c r="T82" i="33"/>
  <c r="R82" i="33"/>
  <c r="BG81" i="33"/>
  <c r="U81" i="33"/>
  <c r="T81" i="33"/>
  <c r="R81" i="33"/>
  <c r="BG80" i="33"/>
  <c r="U80" i="33"/>
  <c r="T80" i="33"/>
  <c r="R80" i="33"/>
  <c r="BG79" i="33"/>
  <c r="U79" i="33"/>
  <c r="T79" i="33"/>
  <c r="R79" i="33"/>
  <c r="BG78" i="33"/>
  <c r="U78" i="33"/>
  <c r="T78" i="33"/>
  <c r="R78" i="33"/>
  <c r="BG77" i="33"/>
  <c r="U77" i="33"/>
  <c r="T77" i="33"/>
  <c r="R77" i="33"/>
  <c r="BG76" i="33"/>
  <c r="U76" i="33"/>
  <c r="T76" i="33"/>
  <c r="R76" i="33"/>
  <c r="T75" i="33"/>
  <c r="R75" i="33"/>
  <c r="BG74" i="33"/>
  <c r="BH74" i="33" s="1"/>
  <c r="T74" i="33"/>
  <c r="U74" i="33" s="1"/>
  <c r="P74" i="33" s="1"/>
  <c r="R74" i="33"/>
  <c r="BG73" i="33"/>
  <c r="BH73" i="33" s="1"/>
  <c r="T73" i="33"/>
  <c r="U73" i="33" s="1"/>
  <c r="P73" i="33" s="1"/>
  <c r="R73" i="33"/>
  <c r="BG72" i="33"/>
  <c r="BH72" i="33" s="1"/>
  <c r="T72" i="33"/>
  <c r="U72" i="33" s="1"/>
  <c r="P72" i="33" s="1"/>
  <c r="R72" i="33"/>
  <c r="BG71" i="33"/>
  <c r="BH71" i="33" s="1"/>
  <c r="T71" i="33"/>
  <c r="U71" i="33" s="1"/>
  <c r="P71" i="33" s="1"/>
  <c r="R71" i="33"/>
  <c r="BG70" i="33"/>
  <c r="BH70" i="33" s="1"/>
  <c r="T70" i="33"/>
  <c r="U70" i="33" s="1"/>
  <c r="P70" i="33" s="1"/>
  <c r="R70" i="33"/>
  <c r="BG69" i="33"/>
  <c r="BH69" i="33" s="1"/>
  <c r="T69" i="33"/>
  <c r="U69" i="33" s="1"/>
  <c r="P69" i="33" s="1"/>
  <c r="R69" i="33"/>
  <c r="BG68" i="33"/>
  <c r="BH68" i="33" s="1"/>
  <c r="T68" i="33"/>
  <c r="U68" i="33" s="1"/>
  <c r="P68" i="33" s="1"/>
  <c r="R68" i="33"/>
  <c r="U67" i="33"/>
  <c r="T67" i="33"/>
  <c r="R67" i="33"/>
  <c r="BG66" i="33"/>
  <c r="U66" i="33"/>
  <c r="T66" i="33"/>
  <c r="R66" i="33"/>
  <c r="BG65" i="33"/>
  <c r="U65" i="33"/>
  <c r="T65" i="33"/>
  <c r="R65" i="33"/>
  <c r="BG64" i="33"/>
  <c r="BH64" i="33" s="1"/>
  <c r="U64" i="33"/>
  <c r="T64" i="33"/>
  <c r="R64" i="33"/>
  <c r="BG63" i="33"/>
  <c r="BH63" i="33" s="1"/>
  <c r="U63" i="33"/>
  <c r="T63" i="33"/>
  <c r="R63" i="33"/>
  <c r="BG62" i="33"/>
  <c r="BH62" i="33" s="1"/>
  <c r="U62" i="33"/>
  <c r="T62" i="33"/>
  <c r="R62" i="33"/>
  <c r="BG61" i="33"/>
  <c r="BH61" i="33" s="1"/>
  <c r="U61" i="33"/>
  <c r="T61" i="33"/>
  <c r="R61" i="33"/>
  <c r="BG60" i="33"/>
  <c r="BH60" i="33" s="1"/>
  <c r="U60" i="33"/>
  <c r="T60" i="33"/>
  <c r="R60" i="33"/>
  <c r="BG59" i="33"/>
  <c r="BH59" i="33" s="1"/>
  <c r="U59" i="33"/>
  <c r="T59" i="33"/>
  <c r="R59" i="33"/>
  <c r="BG58" i="33"/>
  <c r="BH58" i="33" s="1"/>
  <c r="U58" i="33"/>
  <c r="T58" i="33"/>
  <c r="R58" i="33"/>
  <c r="BG57" i="33"/>
  <c r="BH57" i="33" s="1"/>
  <c r="U57" i="33"/>
  <c r="T57" i="33"/>
  <c r="R57" i="33"/>
  <c r="BG56" i="33"/>
  <c r="BH56" i="33" s="1"/>
  <c r="U56" i="33"/>
  <c r="T56" i="33"/>
  <c r="R56" i="33"/>
  <c r="U55" i="33"/>
  <c r="T55" i="33"/>
  <c r="R55" i="33"/>
  <c r="BG54" i="33"/>
  <c r="BH54" i="33" s="1"/>
  <c r="U54" i="33"/>
  <c r="T54" i="33"/>
  <c r="R54" i="33"/>
  <c r="U53" i="33"/>
  <c r="T53" i="33"/>
  <c r="R53" i="33"/>
  <c r="U52" i="33"/>
  <c r="T52" i="33"/>
  <c r="R52" i="33"/>
  <c r="U51" i="33"/>
  <c r="T51" i="33"/>
  <c r="R51" i="33"/>
  <c r="U50" i="33"/>
  <c r="T50" i="33"/>
  <c r="R50" i="33"/>
  <c r="U49" i="33"/>
  <c r="T49" i="33"/>
  <c r="R49" i="33"/>
  <c r="U48" i="33"/>
  <c r="T48" i="33"/>
  <c r="R48" i="33"/>
  <c r="U47" i="33"/>
  <c r="T47" i="33"/>
  <c r="R47" i="33"/>
  <c r="U46" i="33"/>
  <c r="T46" i="33"/>
  <c r="R46" i="33"/>
  <c r="U45" i="33"/>
  <c r="T45" i="33"/>
  <c r="R45" i="33"/>
  <c r="U44" i="33"/>
  <c r="T44" i="33"/>
  <c r="R44" i="33"/>
  <c r="U43" i="33"/>
  <c r="T43" i="33"/>
  <c r="R43" i="33"/>
  <c r="U42" i="33"/>
  <c r="T42" i="33"/>
  <c r="R42" i="33"/>
  <c r="U41" i="33"/>
  <c r="T41" i="33"/>
  <c r="R41" i="33"/>
  <c r="U40" i="33"/>
  <c r="T40" i="33"/>
  <c r="R40" i="33"/>
  <c r="U39" i="33"/>
  <c r="T39" i="33"/>
  <c r="R39" i="33"/>
  <c r="BH38" i="33"/>
  <c r="U38" i="33"/>
  <c r="T38" i="33"/>
  <c r="R38" i="33"/>
  <c r="U37" i="33"/>
  <c r="T37" i="33"/>
  <c r="R37" i="33"/>
  <c r="U36" i="33"/>
  <c r="T36" i="33"/>
  <c r="R36" i="33"/>
  <c r="U35" i="33"/>
  <c r="T35" i="33"/>
  <c r="R35" i="33"/>
  <c r="U34" i="33"/>
  <c r="T34" i="33"/>
  <c r="R34" i="33"/>
  <c r="U33" i="33"/>
  <c r="T33" i="33"/>
  <c r="R33" i="33"/>
  <c r="U32" i="33"/>
  <c r="T32" i="33"/>
  <c r="R32" i="33"/>
  <c r="U31" i="33"/>
  <c r="T31" i="33"/>
  <c r="R31" i="33"/>
  <c r="U30" i="33"/>
  <c r="T30" i="33"/>
  <c r="R30" i="33"/>
  <c r="U29" i="33"/>
  <c r="T29" i="33"/>
  <c r="R29" i="33"/>
  <c r="U28" i="33"/>
  <c r="T28" i="33"/>
  <c r="R28" i="33"/>
  <c r="U27" i="33"/>
  <c r="T27" i="33"/>
  <c r="R27" i="33"/>
  <c r="U26" i="33"/>
  <c r="T26" i="33"/>
  <c r="R26" i="33"/>
  <c r="U25" i="33"/>
  <c r="T25" i="33"/>
  <c r="R25" i="33"/>
  <c r="U24" i="33"/>
  <c r="T24" i="33"/>
  <c r="R24" i="33"/>
  <c r="U23" i="33"/>
  <c r="T23" i="33"/>
  <c r="R23" i="33"/>
  <c r="U22" i="33"/>
  <c r="T22" i="33"/>
  <c r="R22" i="33"/>
  <c r="U21" i="33"/>
  <c r="T21" i="33"/>
  <c r="R21" i="33"/>
  <c r="U20" i="33"/>
  <c r="T20" i="33"/>
  <c r="R20" i="33"/>
  <c r="U19" i="33"/>
  <c r="T19" i="33"/>
  <c r="R19" i="33"/>
  <c r="U18" i="33"/>
  <c r="T18" i="33"/>
  <c r="R18" i="33"/>
  <c r="U17" i="33"/>
  <c r="T17" i="33"/>
  <c r="R17" i="33"/>
  <c r="U16" i="33"/>
  <c r="T16" i="33"/>
  <c r="R16" i="33"/>
  <c r="U15" i="33"/>
  <c r="T15" i="33"/>
  <c r="R15" i="33"/>
  <c r="U14" i="33"/>
  <c r="T14" i="33"/>
  <c r="R14" i="33"/>
  <c r="U13" i="33"/>
  <c r="T13" i="33"/>
  <c r="R13" i="33"/>
  <c r="U12" i="33"/>
  <c r="T12" i="33"/>
  <c r="R12" i="33"/>
  <c r="U11" i="33"/>
  <c r="W11" i="33" s="1"/>
  <c r="T11" i="33"/>
  <c r="R11" i="33"/>
  <c r="U10" i="33"/>
  <c r="T10" i="33"/>
  <c r="R10" i="33"/>
  <c r="U9" i="33"/>
  <c r="T9" i="33"/>
  <c r="R9" i="33"/>
  <c r="U8" i="33"/>
  <c r="T8" i="33"/>
  <c r="R8" i="33"/>
  <c r="U7" i="33"/>
  <c r="T7" i="33"/>
  <c r="R7" i="33"/>
  <c r="U6" i="33"/>
  <c r="T6" i="33"/>
  <c r="R6" i="33"/>
  <c r="U5" i="33"/>
  <c r="T5" i="33"/>
  <c r="R5" i="33"/>
  <c r="U4" i="33"/>
  <c r="T4" i="33"/>
  <c r="R4" i="33"/>
  <c r="U3" i="33"/>
  <c r="T3" i="33"/>
  <c r="R3" i="33"/>
  <c r="U2" i="33"/>
  <c r="T2" i="33"/>
  <c r="R2" i="33"/>
  <c r="BH434" i="33"/>
  <c r="U434" i="33"/>
  <c r="T434" i="33"/>
  <c r="R434" i="33"/>
  <c r="BH433" i="33"/>
  <c r="U433" i="33"/>
  <c r="T433" i="33"/>
  <c r="R433" i="33"/>
  <c r="BH432" i="33"/>
  <c r="U432" i="33"/>
  <c r="T432" i="33"/>
  <c r="R432" i="33"/>
  <c r="BH431" i="33"/>
  <c r="U431" i="33"/>
  <c r="T431" i="33"/>
  <c r="R431" i="33"/>
  <c r="BH430" i="33"/>
  <c r="U430" i="33"/>
  <c r="T430" i="33"/>
  <c r="R430" i="33"/>
  <c r="BH429" i="33"/>
  <c r="U429" i="33"/>
  <c r="T429" i="33"/>
  <c r="R429" i="33"/>
  <c r="BH428" i="33"/>
  <c r="U428" i="33"/>
  <c r="T428" i="33"/>
  <c r="R428" i="33"/>
  <c r="BH427" i="33"/>
  <c r="U427" i="33"/>
  <c r="T427" i="33"/>
  <c r="R427" i="33"/>
  <c r="BH426" i="33"/>
  <c r="U426" i="33"/>
  <c r="T426" i="33"/>
  <c r="R426" i="33"/>
  <c r="BH425" i="33"/>
  <c r="U425" i="33"/>
  <c r="T425" i="33"/>
  <c r="R425" i="33"/>
  <c r="BH424" i="33"/>
  <c r="U424" i="33"/>
  <c r="T424" i="33"/>
  <c r="R424" i="33"/>
  <c r="BH423" i="33"/>
  <c r="U423" i="33"/>
  <c r="T423" i="33"/>
  <c r="R423" i="33"/>
  <c r="BH422" i="33"/>
  <c r="U422" i="33"/>
  <c r="T422" i="33"/>
  <c r="R422" i="33"/>
  <c r="BH421" i="33"/>
  <c r="U421" i="33"/>
  <c r="T421" i="33"/>
  <c r="R421" i="33"/>
  <c r="BH420" i="33"/>
  <c r="U420" i="33"/>
  <c r="T420" i="33"/>
  <c r="R420" i="33"/>
  <c r="BH419" i="33"/>
  <c r="U419" i="33"/>
  <c r="T419" i="33"/>
  <c r="R419" i="33"/>
  <c r="BH418" i="33"/>
  <c r="U418" i="33"/>
  <c r="T418" i="33"/>
  <c r="R418" i="33"/>
  <c r="BH417" i="33"/>
  <c r="U417" i="33"/>
  <c r="T417" i="33"/>
  <c r="R417" i="33"/>
  <c r="BH415" i="33"/>
  <c r="U415" i="33"/>
  <c r="T415" i="33"/>
  <c r="R415" i="33"/>
  <c r="U414" i="33"/>
  <c r="T414" i="33"/>
  <c r="R414" i="33"/>
  <c r="BH413" i="33"/>
  <c r="U413" i="33"/>
  <c r="T413" i="33"/>
  <c r="R413" i="33"/>
  <c r="BH412" i="33"/>
  <c r="U412" i="33"/>
  <c r="T412" i="33"/>
  <c r="R412" i="33"/>
  <c r="U411" i="33"/>
  <c r="T411" i="33"/>
  <c r="R411" i="33"/>
  <c r="U410" i="33"/>
  <c r="T410" i="33"/>
  <c r="R410" i="33"/>
  <c r="BH409" i="33"/>
  <c r="U409" i="33"/>
  <c r="T409" i="33"/>
  <c r="R409" i="33"/>
  <c r="BH408" i="33"/>
  <c r="U408" i="33"/>
  <c r="T408" i="33"/>
  <c r="R408" i="33"/>
  <c r="BH407" i="33"/>
  <c r="U407" i="33"/>
  <c r="T407" i="33"/>
  <c r="R407" i="33"/>
  <c r="BH406" i="33"/>
  <c r="U406" i="33"/>
  <c r="T406" i="33"/>
  <c r="R406" i="33"/>
  <c r="BH405" i="33"/>
  <c r="U405" i="33"/>
  <c r="T405" i="33"/>
  <c r="R405" i="33"/>
  <c r="U404" i="33"/>
  <c r="T404" i="33"/>
  <c r="R404" i="33"/>
  <c r="BH401" i="33"/>
  <c r="U401" i="33"/>
  <c r="T401" i="33"/>
  <c r="R401" i="33"/>
  <c r="U400" i="33"/>
  <c r="T400" i="33"/>
  <c r="R400" i="33"/>
  <c r="BH395" i="33"/>
  <c r="U395" i="33"/>
  <c r="T395" i="33"/>
  <c r="R395" i="33"/>
  <c r="BH394" i="33"/>
  <c r="U394" i="33"/>
  <c r="T394" i="33"/>
  <c r="R394" i="33"/>
  <c r="BH393" i="33"/>
  <c r="U393" i="33"/>
  <c r="T393" i="33"/>
  <c r="R393" i="33"/>
  <c r="BH392" i="33"/>
  <c r="U392" i="33"/>
  <c r="T392" i="33"/>
  <c r="R392" i="33"/>
  <c r="BH390" i="33"/>
  <c r="BH389" i="33"/>
  <c r="BH388" i="33"/>
  <c r="BH387" i="33"/>
  <c r="BH386" i="33"/>
  <c r="BH385" i="33"/>
  <c r="BH384" i="33"/>
  <c r="BH383" i="33"/>
  <c r="BH382" i="33"/>
  <c r="U382" i="33"/>
  <c r="T382" i="33"/>
  <c r="R382" i="33"/>
  <c r="BH381" i="33"/>
  <c r="U381" i="33"/>
  <c r="T381" i="33"/>
  <c r="R381" i="33"/>
  <c r="BH380" i="33"/>
  <c r="U380" i="33"/>
  <c r="T380" i="33"/>
  <c r="R380" i="33"/>
  <c r="BH379" i="33"/>
  <c r="U379" i="33"/>
  <c r="T379" i="33"/>
  <c r="R379" i="33"/>
  <c r="BH378" i="33"/>
  <c r="U378" i="33"/>
  <c r="T378" i="33"/>
  <c r="R378" i="33"/>
  <c r="BH377" i="33"/>
  <c r="U377" i="33"/>
  <c r="T377" i="33"/>
  <c r="R377" i="33"/>
  <c r="BH376" i="33"/>
  <c r="U376" i="33"/>
  <c r="T376" i="33"/>
  <c r="R376" i="33"/>
  <c r="BH375" i="33"/>
  <c r="U375" i="33"/>
  <c r="T375" i="33"/>
  <c r="R375" i="33"/>
  <c r="BH374" i="33"/>
  <c r="U374" i="33"/>
  <c r="T374" i="33"/>
  <c r="R374" i="33"/>
  <c r="BH373" i="33"/>
  <c r="U373" i="33"/>
  <c r="T373" i="33"/>
  <c r="R373" i="33"/>
  <c r="BH372" i="33"/>
  <c r="U372" i="33"/>
  <c r="T372" i="33"/>
  <c r="R372" i="33"/>
  <c r="BH371" i="33"/>
  <c r="U371" i="33"/>
  <c r="T371" i="33"/>
  <c r="R371" i="33"/>
  <c r="BH370" i="33"/>
  <c r="U370" i="33"/>
  <c r="T370" i="33"/>
  <c r="R370" i="33"/>
  <c r="BH369" i="33"/>
  <c r="U369" i="33"/>
  <c r="T369" i="33"/>
  <c r="R369" i="33"/>
  <c r="BH368" i="33"/>
  <c r="U368" i="33"/>
  <c r="T368" i="33"/>
  <c r="R368" i="33"/>
  <c r="BH367" i="33"/>
  <c r="U367" i="33"/>
  <c r="T367" i="33"/>
  <c r="R367" i="33"/>
  <c r="BH366" i="33"/>
  <c r="U366" i="33"/>
  <c r="T366" i="33"/>
  <c r="R366" i="33"/>
  <c r="BH365" i="33"/>
  <c r="U365" i="33"/>
  <c r="T365" i="33"/>
  <c r="R365" i="33"/>
  <c r="BH364" i="33"/>
  <c r="U364" i="33"/>
  <c r="T364" i="33"/>
  <c r="R364" i="33"/>
  <c r="BH363" i="33"/>
  <c r="U363" i="33"/>
  <c r="T363" i="33"/>
  <c r="R363" i="33"/>
  <c r="BH362" i="33"/>
  <c r="U362" i="33"/>
  <c r="T362" i="33"/>
  <c r="R362" i="33"/>
  <c r="U361" i="33"/>
  <c r="T361" i="33"/>
  <c r="R361" i="33"/>
  <c r="U360" i="33"/>
  <c r="T360" i="33"/>
  <c r="R360" i="33"/>
  <c r="U359" i="33"/>
  <c r="T359" i="33"/>
  <c r="R359" i="33"/>
  <c r="U358" i="33"/>
  <c r="T358" i="33"/>
  <c r="R358" i="33"/>
  <c r="U357" i="33"/>
  <c r="T357" i="33"/>
  <c r="R357" i="33"/>
  <c r="U356" i="33"/>
  <c r="T356" i="33"/>
  <c r="R356" i="33"/>
  <c r="BH355" i="33"/>
  <c r="U355" i="33"/>
  <c r="T355" i="33"/>
  <c r="R355" i="33"/>
  <c r="BH354" i="33"/>
  <c r="U354" i="33"/>
  <c r="T354" i="33"/>
  <c r="R354" i="33"/>
  <c r="BH353" i="33"/>
  <c r="U353" i="33"/>
  <c r="T353" i="33"/>
  <c r="R353" i="33"/>
  <c r="U352" i="33"/>
  <c r="T352" i="33"/>
  <c r="R352" i="33"/>
  <c r="U351" i="33"/>
  <c r="T351" i="33"/>
  <c r="R351" i="33"/>
  <c r="U350" i="33"/>
  <c r="T350" i="33"/>
  <c r="R350" i="33"/>
  <c r="U349" i="33"/>
  <c r="T349" i="33"/>
  <c r="R349" i="33"/>
  <c r="U348" i="33"/>
  <c r="T348" i="33"/>
  <c r="R348" i="33"/>
  <c r="U347" i="33"/>
  <c r="T347" i="33"/>
  <c r="R347" i="33"/>
  <c r="U346" i="33"/>
  <c r="T346" i="33"/>
  <c r="R346" i="33"/>
  <c r="U345" i="33"/>
  <c r="T345" i="33"/>
  <c r="R345" i="33"/>
  <c r="U344" i="33"/>
  <c r="T344" i="33"/>
  <c r="R344" i="33"/>
  <c r="U343" i="33"/>
  <c r="T343" i="33"/>
  <c r="R343" i="33"/>
  <c r="U342" i="33"/>
  <c r="T342" i="33"/>
  <c r="R342" i="33"/>
  <c r="U341" i="33"/>
  <c r="T341" i="33"/>
  <c r="R341" i="33"/>
  <c r="U340" i="33"/>
  <c r="T340" i="33"/>
  <c r="R340" i="33"/>
  <c r="U339" i="33"/>
  <c r="T339" i="33"/>
  <c r="R339" i="33"/>
  <c r="U338" i="33"/>
  <c r="T338" i="33"/>
  <c r="R338" i="33"/>
  <c r="U337" i="33"/>
  <c r="T337" i="33"/>
  <c r="R337" i="33"/>
  <c r="U336" i="33"/>
  <c r="T336" i="33"/>
  <c r="R336" i="33"/>
  <c r="U335" i="33"/>
  <c r="T335" i="33"/>
  <c r="R335" i="33"/>
  <c r="BH334" i="33"/>
  <c r="U334" i="33"/>
  <c r="T334" i="33"/>
  <c r="R334" i="33"/>
  <c r="BH333" i="33"/>
  <c r="U333" i="33"/>
  <c r="T333" i="33"/>
  <c r="R333" i="33"/>
  <c r="BH332" i="33"/>
  <c r="U332" i="33"/>
  <c r="T332" i="33"/>
  <c r="R332" i="33"/>
  <c r="U331" i="33"/>
  <c r="T331" i="33"/>
  <c r="R331" i="33"/>
  <c r="U330" i="33"/>
  <c r="T330" i="33"/>
  <c r="R330" i="33"/>
  <c r="U328" i="33"/>
  <c r="T328" i="33"/>
  <c r="R328" i="33"/>
  <c r="U327" i="33"/>
  <c r="T327" i="33"/>
  <c r="R327" i="33"/>
  <c r="U326" i="33"/>
  <c r="T326" i="33"/>
  <c r="R326" i="33"/>
  <c r="U325" i="33"/>
  <c r="T325" i="33"/>
  <c r="R325" i="33"/>
  <c r="BH324" i="33"/>
  <c r="BH323" i="33"/>
  <c r="U323" i="33"/>
  <c r="T323" i="33"/>
  <c r="R323" i="33"/>
  <c r="BH322" i="33"/>
  <c r="U322" i="33"/>
  <c r="T322" i="33"/>
  <c r="R322" i="33"/>
  <c r="BH321" i="33"/>
  <c r="U321" i="33"/>
  <c r="T321" i="33"/>
  <c r="R321" i="33"/>
  <c r="BH320" i="33"/>
  <c r="U320" i="33"/>
  <c r="T320" i="33"/>
  <c r="R320" i="33"/>
  <c r="BH319" i="33"/>
  <c r="U319" i="33"/>
  <c r="T319" i="33"/>
  <c r="R319" i="33"/>
  <c r="BH318" i="33"/>
  <c r="U318" i="33"/>
  <c r="T318" i="33"/>
  <c r="R318" i="33"/>
  <c r="BH317" i="33"/>
  <c r="U317" i="33"/>
  <c r="T317" i="33"/>
  <c r="R317" i="33"/>
  <c r="BH316" i="33"/>
  <c r="U316" i="33"/>
  <c r="T316" i="33"/>
  <c r="R316" i="33"/>
  <c r="BH315" i="33"/>
  <c r="U315" i="33"/>
  <c r="T315" i="33"/>
  <c r="R315" i="33"/>
  <c r="BH314" i="33"/>
  <c r="U314" i="33"/>
  <c r="T314" i="33"/>
  <c r="R314" i="33"/>
  <c r="BH313" i="33"/>
  <c r="BH312" i="33"/>
  <c r="U312" i="33"/>
  <c r="T312" i="33"/>
  <c r="R312" i="33"/>
  <c r="U311" i="33"/>
  <c r="T311" i="33"/>
  <c r="R311" i="33"/>
  <c r="U310" i="33"/>
  <c r="T310" i="33"/>
  <c r="R310" i="33"/>
  <c r="BH309" i="33"/>
  <c r="U309" i="33"/>
  <c r="T309" i="33"/>
  <c r="R309" i="33"/>
  <c r="BH308" i="33"/>
  <c r="U308" i="33"/>
  <c r="T308" i="33"/>
  <c r="R308" i="33"/>
  <c r="U307" i="33"/>
  <c r="T307" i="33"/>
  <c r="R307" i="33"/>
  <c r="BH306" i="33"/>
  <c r="U306" i="33"/>
  <c r="T306" i="33"/>
  <c r="R306" i="33"/>
  <c r="BG305" i="33"/>
  <c r="BG304" i="33"/>
  <c r="BG303" i="33"/>
  <c r="BG302" i="33"/>
  <c r="BH301" i="33"/>
  <c r="U301" i="33"/>
  <c r="T301" i="33"/>
  <c r="R301" i="33"/>
  <c r="BH300" i="33"/>
  <c r="U300" i="33"/>
  <c r="T300" i="33"/>
  <c r="R300" i="33"/>
  <c r="BH299" i="33"/>
  <c r="U299" i="33"/>
  <c r="T299" i="33"/>
  <c r="R299" i="33"/>
  <c r="BH298" i="33"/>
  <c r="U298" i="33"/>
  <c r="T298" i="33"/>
  <c r="R298" i="33"/>
  <c r="BH297" i="33"/>
  <c r="BH296" i="33"/>
  <c r="BH295" i="33"/>
  <c r="BH294" i="33"/>
  <c r="BH293" i="33"/>
  <c r="BH292" i="33"/>
  <c r="BH291" i="33"/>
  <c r="BH290" i="33"/>
  <c r="BH289" i="33"/>
  <c r="BH288" i="33"/>
  <c r="BH287" i="33"/>
  <c r="BH286" i="33"/>
  <c r="BH285" i="33"/>
  <c r="BH284" i="33"/>
  <c r="BH283" i="33"/>
  <c r="BH282" i="33"/>
  <c r="BH281" i="33"/>
  <c r="BH280" i="33"/>
  <c r="BH279" i="33"/>
  <c r="BH278" i="33"/>
  <c r="BH277" i="33"/>
  <c r="BH276" i="33"/>
  <c r="BH275" i="33"/>
  <c r="BH274" i="33"/>
  <c r="BH273" i="33"/>
  <c r="BH272" i="33"/>
  <c r="BH271" i="33"/>
  <c r="BH270" i="33"/>
  <c r="BH269" i="33"/>
  <c r="BH268" i="33"/>
  <c r="BH267" i="33"/>
  <c r="BH266" i="33"/>
  <c r="BH265" i="33"/>
  <c r="BH264" i="33"/>
  <c r="BH263" i="33"/>
  <c r="BH262" i="33"/>
  <c r="BH261" i="33"/>
  <c r="BH260" i="33"/>
  <c r="BH259" i="33"/>
  <c r="BH258" i="33"/>
  <c r="U258" i="33"/>
  <c r="T258" i="33"/>
  <c r="R258" i="33"/>
  <c r="BH257" i="33"/>
  <c r="U257" i="33"/>
  <c r="T257" i="33"/>
  <c r="R257" i="33"/>
  <c r="BH256" i="33"/>
  <c r="U256" i="33"/>
  <c r="T256" i="33"/>
  <c r="R256" i="33"/>
  <c r="BH255" i="33"/>
  <c r="U255" i="33"/>
  <c r="T255" i="33"/>
  <c r="R255" i="33"/>
  <c r="BH254" i="33"/>
  <c r="U254" i="33"/>
  <c r="T254" i="33"/>
  <c r="R254" i="33"/>
  <c r="BH253" i="33"/>
  <c r="U253" i="33"/>
  <c r="T253" i="33"/>
  <c r="R253" i="33"/>
  <c r="BH252" i="33"/>
  <c r="T252" i="33"/>
  <c r="U252" i="33" s="1"/>
  <c r="P252" i="33" s="1"/>
  <c r="R252" i="33"/>
  <c r="BH251" i="33"/>
  <c r="T251" i="33"/>
  <c r="U251" i="33" s="1"/>
  <c r="P251" i="33" s="1"/>
  <c r="R251" i="33"/>
  <c r="BH250" i="33"/>
  <c r="T250" i="33"/>
  <c r="U250" i="33" s="1"/>
  <c r="P250" i="33" s="1"/>
  <c r="R250" i="33"/>
  <c r="BH249" i="33"/>
  <c r="T249" i="33"/>
  <c r="U249" i="33" s="1"/>
  <c r="P249" i="33" s="1"/>
  <c r="R249" i="33"/>
  <c r="BH248" i="33"/>
  <c r="T248" i="33"/>
  <c r="U248" i="33" s="1"/>
  <c r="P248" i="33" s="1"/>
  <c r="R248" i="33"/>
  <c r="BH247" i="33"/>
  <c r="T247" i="33"/>
  <c r="U247" i="33" s="1"/>
  <c r="P247" i="33" s="1"/>
  <c r="R247" i="33"/>
  <c r="BH246" i="33"/>
  <c r="T246" i="33"/>
  <c r="U246" i="33" s="1"/>
  <c r="P246" i="33" s="1"/>
  <c r="R246" i="33"/>
  <c r="BH245" i="33"/>
  <c r="T245" i="33"/>
  <c r="U245" i="33" s="1"/>
  <c r="P245" i="33" s="1"/>
  <c r="R245" i="33"/>
  <c r="BH244" i="33"/>
  <c r="T244" i="33"/>
  <c r="U244" i="33" s="1"/>
  <c r="P244" i="33" s="1"/>
  <c r="R244" i="33"/>
  <c r="BH243" i="33"/>
  <c r="T243" i="33"/>
  <c r="U243" i="33" s="1"/>
  <c r="P243" i="33" s="1"/>
  <c r="R243" i="33"/>
  <c r="BH242" i="33"/>
  <c r="T242" i="33"/>
  <c r="U242" i="33" s="1"/>
  <c r="P242" i="33" s="1"/>
  <c r="R242" i="33"/>
  <c r="BH241" i="33"/>
  <c r="AT241" i="33"/>
  <c r="T241" i="33"/>
  <c r="U241" i="33" s="1"/>
  <c r="P241" i="33" s="1"/>
  <c r="R241" i="33"/>
  <c r="BH240" i="33"/>
  <c r="T240" i="33"/>
  <c r="U240" i="33" s="1"/>
  <c r="P240" i="33" s="1"/>
  <c r="R240" i="33"/>
  <c r="BH239" i="33"/>
  <c r="AI239" i="33"/>
  <c r="T239" i="33" s="1"/>
  <c r="U239" i="33" s="1"/>
  <c r="P239" i="33" s="1"/>
  <c r="R239" i="33"/>
  <c r="BH238" i="33"/>
  <c r="U238" i="33"/>
  <c r="T238" i="33"/>
  <c r="R238" i="33"/>
  <c r="BH237" i="33"/>
  <c r="U237" i="33"/>
  <c r="T237" i="33"/>
  <c r="R237" i="33"/>
  <c r="BH236" i="33"/>
  <c r="U236" i="33"/>
  <c r="T236" i="33"/>
  <c r="R236" i="33"/>
  <c r="BH235" i="33"/>
  <c r="U235" i="33"/>
  <c r="T235" i="33"/>
  <c r="R235" i="33"/>
  <c r="BH234" i="33"/>
  <c r="U234" i="33"/>
  <c r="T234" i="33"/>
  <c r="R234" i="33"/>
  <c r="BH233" i="33"/>
  <c r="U233" i="33"/>
  <c r="T233" i="33"/>
  <c r="R233" i="33"/>
  <c r="BH232" i="33"/>
  <c r="U232" i="33"/>
  <c r="T232" i="33"/>
  <c r="R232" i="33"/>
  <c r="BH231" i="33"/>
  <c r="U231" i="33"/>
  <c r="T231" i="33"/>
  <c r="R231" i="33"/>
  <c r="BH230" i="33"/>
  <c r="U230" i="33"/>
  <c r="T230" i="33"/>
  <c r="R230" i="33"/>
  <c r="BH229" i="33"/>
  <c r="U229" i="33"/>
  <c r="T229" i="33"/>
  <c r="R229" i="33"/>
  <c r="BH228" i="33"/>
  <c r="U228" i="33"/>
  <c r="T228" i="33"/>
  <c r="R228" i="33"/>
  <c r="BH227" i="33"/>
  <c r="U227" i="33"/>
  <c r="T227" i="33"/>
  <c r="R227" i="33"/>
  <c r="BH226" i="33"/>
  <c r="U226" i="33"/>
  <c r="T226" i="33"/>
  <c r="R226" i="33"/>
  <c r="BH225" i="33"/>
  <c r="U225" i="33"/>
  <c r="T225" i="33"/>
  <c r="R225" i="33"/>
  <c r="BH224" i="33"/>
  <c r="U224" i="33"/>
  <c r="T224" i="33"/>
  <c r="R224" i="33"/>
  <c r="BH223" i="33"/>
  <c r="U223" i="33"/>
  <c r="T223" i="33"/>
  <c r="R223" i="33"/>
  <c r="BH222" i="33"/>
  <c r="U222" i="33"/>
  <c r="T222" i="33"/>
  <c r="R222" i="33"/>
  <c r="BH221" i="33"/>
  <c r="U221" i="33"/>
  <c r="T221" i="33"/>
  <c r="R221" i="33"/>
  <c r="BH220" i="33"/>
  <c r="U220" i="33"/>
  <c r="T220" i="33"/>
  <c r="R220" i="33"/>
  <c r="BH219" i="33"/>
  <c r="U219" i="33"/>
  <c r="T219" i="33"/>
  <c r="R219" i="33"/>
  <c r="BH218" i="33"/>
  <c r="U218" i="33"/>
  <c r="T218" i="33"/>
  <c r="R218" i="33"/>
  <c r="BH217" i="33"/>
  <c r="U217" i="33"/>
  <c r="T217" i="33"/>
  <c r="R217" i="33"/>
  <c r="BH216" i="33"/>
  <c r="U216" i="33"/>
  <c r="T216" i="33"/>
  <c r="R216" i="33"/>
  <c r="BH215" i="33"/>
  <c r="U215" i="33"/>
  <c r="T215" i="33"/>
  <c r="R215" i="33"/>
  <c r="BH214" i="33"/>
  <c r="U214" i="33"/>
  <c r="T214" i="33"/>
  <c r="R214" i="33"/>
  <c r="BH213" i="33"/>
  <c r="U213" i="33"/>
  <c r="T213" i="33"/>
  <c r="R213" i="33"/>
  <c r="BH212" i="33"/>
  <c r="U212" i="33"/>
  <c r="T212" i="33"/>
  <c r="R212" i="33"/>
  <c r="BH211" i="33"/>
  <c r="U211" i="33"/>
  <c r="T211" i="33"/>
  <c r="R211" i="33"/>
  <c r="BH210" i="33"/>
  <c r="U210" i="33"/>
  <c r="T210" i="33"/>
  <c r="R210" i="33"/>
  <c r="BH209" i="33"/>
  <c r="U209" i="33"/>
  <c r="T209" i="33"/>
  <c r="R209" i="33"/>
  <c r="BH208" i="33"/>
  <c r="U208" i="33"/>
  <c r="T208" i="33"/>
  <c r="R208" i="33"/>
  <c r="BH207" i="33"/>
  <c r="U207" i="33"/>
  <c r="T207" i="33"/>
  <c r="R207" i="33"/>
  <c r="BH206" i="33"/>
  <c r="U206" i="33"/>
  <c r="T206" i="33"/>
  <c r="R206" i="33"/>
  <c r="U205" i="33"/>
  <c r="T205" i="33"/>
  <c r="R205" i="33"/>
  <c r="U204" i="33"/>
  <c r="T204" i="33"/>
  <c r="R204" i="33"/>
  <c r="U203" i="33"/>
  <c r="T203" i="33"/>
  <c r="R203" i="33"/>
  <c r="U202" i="33"/>
  <c r="T202" i="33"/>
  <c r="R202" i="33"/>
  <c r="U201" i="33"/>
  <c r="T201" i="33"/>
  <c r="R201" i="33"/>
  <c r="U200" i="33"/>
  <c r="T200" i="33"/>
  <c r="R200" i="33"/>
  <c r="U199" i="33"/>
  <c r="T199" i="33"/>
  <c r="R199" i="33"/>
  <c r="U198" i="33"/>
  <c r="T198" i="33"/>
  <c r="R198" i="33"/>
  <c r="BH197" i="33"/>
  <c r="U197" i="33"/>
  <c r="T197" i="33"/>
  <c r="R197" i="33"/>
  <c r="BH196" i="33"/>
  <c r="U196" i="33"/>
  <c r="T196" i="33"/>
  <c r="R196" i="33"/>
  <c r="U195" i="33"/>
  <c r="T195" i="33"/>
  <c r="R195" i="33"/>
  <c r="U194" i="33"/>
  <c r="T194" i="33"/>
  <c r="R194" i="33"/>
  <c r="BH193" i="33"/>
  <c r="U193" i="33"/>
  <c r="T193" i="33"/>
  <c r="R193" i="33"/>
  <c r="BH192" i="33"/>
  <c r="U192" i="33"/>
  <c r="T192" i="33"/>
  <c r="R192" i="33"/>
  <c r="BH191" i="33"/>
  <c r="U191" i="33"/>
  <c r="T191" i="33"/>
  <c r="R191" i="33"/>
  <c r="BH190" i="33"/>
  <c r="U190" i="33"/>
  <c r="T190" i="33"/>
  <c r="R190" i="33"/>
  <c r="BH189" i="33"/>
  <c r="U189" i="33"/>
  <c r="T189" i="33"/>
  <c r="R189" i="33"/>
  <c r="BH188" i="33"/>
  <c r="U188" i="33"/>
  <c r="T188" i="33"/>
  <c r="R188" i="33"/>
  <c r="U187" i="33"/>
  <c r="T187" i="33"/>
  <c r="R187" i="33"/>
  <c r="U186" i="33"/>
  <c r="T186" i="33"/>
  <c r="R186" i="33"/>
  <c r="BH185" i="33"/>
  <c r="U185" i="33"/>
  <c r="T185" i="33"/>
  <c r="R185" i="33"/>
  <c r="BH184" i="33"/>
  <c r="U184" i="33"/>
  <c r="T184" i="33"/>
  <c r="R184" i="33"/>
  <c r="BH183" i="33"/>
  <c r="U183" i="33"/>
  <c r="T183" i="33"/>
  <c r="R183" i="33"/>
  <c r="BH182" i="33"/>
  <c r="U182" i="33"/>
  <c r="T182" i="33"/>
  <c r="R182" i="33"/>
  <c r="BH181" i="33"/>
  <c r="U181" i="33"/>
  <c r="T181" i="33"/>
  <c r="R181" i="33"/>
  <c r="BH180" i="33"/>
  <c r="U180" i="33"/>
  <c r="T180" i="33"/>
  <c r="R180" i="33"/>
  <c r="U179" i="33"/>
  <c r="T179" i="33"/>
  <c r="R179" i="33"/>
  <c r="BH178" i="33"/>
  <c r="U178" i="33"/>
  <c r="T178" i="33"/>
  <c r="R178" i="33"/>
  <c r="BH177" i="33"/>
  <c r="U177" i="33"/>
  <c r="T177" i="33"/>
  <c r="R177" i="33"/>
  <c r="BH176" i="33"/>
  <c r="U176" i="33"/>
  <c r="T176" i="33"/>
  <c r="R176" i="33"/>
  <c r="BH175" i="33"/>
  <c r="U175" i="33"/>
  <c r="T175" i="33"/>
  <c r="R175" i="33"/>
  <c r="BH174" i="33"/>
  <c r="U174" i="33"/>
  <c r="T174" i="33"/>
  <c r="R174" i="33"/>
  <c r="U173" i="33"/>
  <c r="T173" i="33"/>
  <c r="R173" i="33"/>
  <c r="U172" i="33"/>
  <c r="T172" i="33"/>
  <c r="R172" i="33"/>
  <c r="BH171" i="33"/>
  <c r="U171" i="33"/>
  <c r="T171" i="33"/>
  <c r="R171" i="33"/>
  <c r="BH170" i="33"/>
  <c r="U170" i="33"/>
  <c r="T170" i="33"/>
  <c r="R170" i="33"/>
  <c r="BH169" i="33"/>
  <c r="U169" i="33"/>
  <c r="T169" i="33"/>
  <c r="R169" i="33"/>
  <c r="U168" i="33"/>
  <c r="T168" i="33"/>
  <c r="R168" i="33"/>
  <c r="BH167" i="33"/>
  <c r="U167" i="33"/>
  <c r="T167" i="33"/>
  <c r="R167" i="33"/>
  <c r="BH166" i="33"/>
  <c r="U166" i="33"/>
  <c r="T166" i="33"/>
  <c r="R166" i="33"/>
  <c r="BH165" i="33"/>
  <c r="U165" i="33"/>
  <c r="T165" i="33"/>
  <c r="R165" i="33"/>
  <c r="BH164" i="33"/>
  <c r="U164" i="33"/>
  <c r="T164" i="33"/>
  <c r="R164" i="33"/>
  <c r="BH163" i="33"/>
  <c r="U163" i="33"/>
  <c r="T163" i="33"/>
  <c r="R163" i="33"/>
  <c r="BH162" i="33"/>
  <c r="U162" i="33"/>
  <c r="T162" i="33"/>
  <c r="R162" i="33"/>
  <c r="BH161" i="33"/>
  <c r="U161" i="33"/>
  <c r="T161" i="33"/>
  <c r="R161" i="33"/>
  <c r="BH160" i="33"/>
  <c r="U160" i="33"/>
  <c r="T160" i="33"/>
  <c r="R160" i="33"/>
  <c r="BH159" i="33"/>
  <c r="U159" i="33"/>
  <c r="T159" i="33"/>
  <c r="R159" i="33"/>
  <c r="BH154" i="33"/>
  <c r="U154" i="33"/>
  <c r="T154" i="33"/>
  <c r="R154" i="33"/>
  <c r="BH153" i="33"/>
  <c r="U153" i="33"/>
  <c r="T153" i="33"/>
  <c r="R153" i="33"/>
  <c r="R152" i="33"/>
  <c r="R151" i="33"/>
  <c r="R150" i="33"/>
  <c r="R149" i="33"/>
  <c r="R148" i="33"/>
  <c r="R147" i="33"/>
  <c r="N147" i="33" s="1"/>
  <c r="BH142" i="33"/>
  <c r="U142" i="33"/>
  <c r="R142" i="33"/>
  <c r="BH141" i="33"/>
  <c r="U141" i="33"/>
  <c r="T141" i="33"/>
  <c r="R141" i="33"/>
  <c r="BH140" i="33"/>
  <c r="U140" i="33"/>
  <c r="T140" i="33"/>
  <c r="R140" i="33"/>
  <c r="BH139" i="33"/>
  <c r="U139" i="33"/>
  <c r="T139" i="33"/>
  <c r="R139" i="33"/>
  <c r="BH138" i="33"/>
  <c r="U138" i="33"/>
  <c r="T138" i="33"/>
  <c r="R138" i="33"/>
  <c r="U137" i="33"/>
  <c r="T137" i="33"/>
  <c r="R137" i="33"/>
  <c r="U136" i="33"/>
  <c r="T136" i="33"/>
  <c r="R136" i="33"/>
  <c r="U135" i="33"/>
  <c r="T135" i="33"/>
  <c r="R135" i="33"/>
  <c r="U134" i="33"/>
  <c r="T134" i="33"/>
  <c r="R134" i="33"/>
  <c r="BH133" i="33"/>
  <c r="U133" i="33"/>
  <c r="T133" i="33"/>
  <c r="R133" i="33"/>
  <c r="BH132" i="33"/>
  <c r="U132" i="33"/>
  <c r="T132" i="33"/>
  <c r="R132" i="33"/>
  <c r="BH131" i="33"/>
  <c r="U131" i="33"/>
  <c r="T131" i="33"/>
  <c r="R131" i="33"/>
  <c r="BH130" i="33"/>
  <c r="U130" i="33"/>
  <c r="T130" i="33"/>
  <c r="R130" i="33"/>
  <c r="BH129" i="33"/>
  <c r="U129" i="33"/>
  <c r="T129" i="33"/>
  <c r="R129" i="33"/>
  <c r="BH128" i="33"/>
  <c r="U128" i="33"/>
  <c r="T128" i="33"/>
  <c r="R128" i="33"/>
  <c r="BH127" i="33"/>
  <c r="U127" i="33"/>
  <c r="T127" i="33"/>
  <c r="R127" i="33"/>
  <c r="BH126" i="33"/>
  <c r="U126" i="33"/>
  <c r="T126" i="33"/>
  <c r="R126" i="33"/>
  <c r="BH125" i="33"/>
  <c r="U125" i="33"/>
  <c r="T125" i="33"/>
  <c r="R125" i="33"/>
  <c r="BH124" i="33"/>
  <c r="U124" i="33"/>
  <c r="T124" i="33"/>
  <c r="R124" i="33"/>
  <c r="BH123" i="33"/>
  <c r="U123" i="33"/>
  <c r="T123" i="33"/>
  <c r="R123" i="33"/>
  <c r="BH122" i="33"/>
  <c r="U122" i="33"/>
  <c r="T122" i="33"/>
  <c r="R122" i="33"/>
  <c r="BH121" i="33"/>
  <c r="U121" i="33"/>
  <c r="T121" i="33"/>
  <c r="R121" i="33"/>
  <c r="U120" i="33"/>
  <c r="T120" i="33"/>
  <c r="R120" i="33"/>
  <c r="U119" i="33"/>
  <c r="T119" i="33"/>
  <c r="R119" i="33"/>
  <c r="BH118" i="33"/>
  <c r="U118" i="33"/>
  <c r="T118" i="33"/>
  <c r="R118" i="33"/>
  <c r="U117" i="33"/>
  <c r="T117" i="33"/>
  <c r="R117" i="33"/>
  <c r="U116" i="33"/>
  <c r="T116" i="33"/>
  <c r="R116" i="33"/>
  <c r="U115" i="33"/>
  <c r="T115" i="33"/>
  <c r="R115" i="33"/>
  <c r="U114" i="33"/>
  <c r="T114" i="33"/>
  <c r="R114" i="33"/>
  <c r="U113" i="33"/>
  <c r="T113" i="33"/>
  <c r="R113" i="33"/>
  <c r="U112" i="33"/>
  <c r="T112" i="33"/>
  <c r="R112" i="33"/>
  <c r="U111" i="33"/>
  <c r="T111" i="33"/>
  <c r="R111" i="33"/>
  <c r="U110" i="33"/>
  <c r="T110" i="33"/>
  <c r="R110" i="33"/>
  <c r="U109" i="33"/>
  <c r="T109" i="33"/>
  <c r="R109" i="33"/>
  <c r="U108" i="33"/>
  <c r="T108" i="33"/>
  <c r="R108" i="33"/>
  <c r="U107" i="33"/>
  <c r="T107" i="33"/>
  <c r="R107" i="33"/>
  <c r="U106" i="33"/>
  <c r="T106" i="33"/>
  <c r="R106" i="33"/>
  <c r="U105" i="33"/>
  <c r="T105" i="33"/>
  <c r="R105" i="33"/>
  <c r="U104" i="33"/>
  <c r="T104" i="33"/>
  <c r="R104" i="33"/>
  <c r="U103" i="33"/>
  <c r="T103" i="33"/>
  <c r="R103" i="33"/>
  <c r="U102" i="33"/>
  <c r="T102" i="33"/>
  <c r="R102" i="33"/>
  <c r="U101" i="33"/>
  <c r="T101" i="33"/>
  <c r="R101" i="33"/>
  <c r="U100" i="33"/>
  <c r="T100" i="33"/>
  <c r="R100" i="33"/>
  <c r="U99" i="33"/>
  <c r="T99" i="33"/>
  <c r="R99" i="33"/>
  <c r="U98" i="33"/>
  <c r="T98" i="33"/>
  <c r="R98" i="33"/>
  <c r="U97" i="33"/>
  <c r="T97" i="33"/>
  <c r="R97" i="33"/>
  <c r="U96" i="33"/>
  <c r="T96" i="33"/>
  <c r="R96" i="33"/>
  <c r="U95" i="33"/>
  <c r="T95" i="33"/>
  <c r="R95" i="33"/>
  <c r="U94" i="33"/>
  <c r="T94" i="33"/>
  <c r="R94" i="33"/>
  <c r="U93" i="33"/>
  <c r="T93" i="33"/>
  <c r="R93" i="33"/>
  <c r="U92" i="33"/>
  <c r="T92" i="33"/>
  <c r="R92" i="33"/>
  <c r="U91" i="33"/>
  <c r="T91" i="33"/>
  <c r="R91" i="33"/>
  <c r="U90" i="33"/>
  <c r="T90" i="33"/>
  <c r="R90" i="33"/>
  <c r="U89" i="33"/>
  <c r="T89" i="33"/>
  <c r="R89" i="33"/>
  <c r="U88" i="33"/>
  <c r="T88" i="33"/>
  <c r="R88" i="33"/>
  <c r="U563" i="33"/>
  <c r="P563" i="33" s="1"/>
  <c r="O563" i="33"/>
  <c r="U562" i="33"/>
  <c r="O562" i="33"/>
  <c r="U561" i="33"/>
  <c r="O561" i="33"/>
  <c r="U560" i="33"/>
  <c r="O560" i="33"/>
  <c r="U559" i="33"/>
  <c r="O559" i="33"/>
  <c r="U558" i="33"/>
  <c r="T558" i="33" s="1"/>
  <c r="O558" i="33"/>
  <c r="AH557" i="33"/>
  <c r="U557" i="33"/>
  <c r="T557" i="33" s="1"/>
  <c r="O557" i="33"/>
  <c r="U556" i="33"/>
  <c r="P556" i="33" s="1"/>
  <c r="O556" i="33"/>
  <c r="U555" i="33"/>
  <c r="O555" i="33"/>
  <c r="U554" i="33"/>
  <c r="O554" i="33"/>
  <c r="U553" i="33"/>
  <c r="P553" i="33" s="1"/>
  <c r="O553" i="33"/>
  <c r="U552" i="33"/>
  <c r="T552" i="33" s="1"/>
  <c r="O552" i="33"/>
  <c r="U551" i="33"/>
  <c r="T551" i="33" s="1"/>
  <c r="O551" i="33"/>
  <c r="U550" i="33"/>
  <c r="O550" i="33"/>
  <c r="U549" i="33"/>
  <c r="O549" i="33"/>
  <c r="U548" i="33"/>
  <c r="O548" i="33"/>
  <c r="U547" i="33"/>
  <c r="T547" i="33" s="1"/>
  <c r="O547" i="33"/>
  <c r="U546" i="33"/>
  <c r="O546" i="33"/>
  <c r="U545" i="33"/>
  <c r="T545" i="33" s="1"/>
  <c r="O545" i="33"/>
  <c r="U544" i="33"/>
  <c r="P544" i="33" s="1"/>
  <c r="O544" i="33"/>
  <c r="U543" i="33"/>
  <c r="T543" i="33" s="1"/>
  <c r="O543" i="33"/>
  <c r="U542" i="33"/>
  <c r="O542" i="33"/>
  <c r="U541" i="33"/>
  <c r="T541" i="33" s="1"/>
  <c r="O541" i="33"/>
  <c r="U540" i="33"/>
  <c r="T540" i="33" s="1"/>
  <c r="O540" i="33"/>
  <c r="U539" i="33"/>
  <c r="O539" i="33"/>
  <c r="U538" i="33"/>
  <c r="O538" i="33"/>
  <c r="U537" i="33"/>
  <c r="T537" i="33" s="1"/>
  <c r="O537" i="33"/>
  <c r="AH536" i="33"/>
  <c r="U536" i="33"/>
  <c r="T536" i="33" s="1"/>
  <c r="O536" i="33"/>
  <c r="U535" i="33"/>
  <c r="O535" i="33"/>
  <c r="U534" i="33"/>
  <c r="O534" i="33"/>
  <c r="U533" i="33"/>
  <c r="O533" i="33"/>
  <c r="U532" i="33"/>
  <c r="T532" i="33" s="1"/>
  <c r="O532" i="33"/>
  <c r="U531" i="33"/>
  <c r="O531" i="33"/>
  <c r="U530" i="33"/>
  <c r="T530" i="33" s="1"/>
  <c r="O530" i="33"/>
  <c r="U529" i="33"/>
  <c r="O529" i="33"/>
  <c r="U528" i="33"/>
  <c r="T528" i="33" s="1"/>
  <c r="O528" i="33"/>
  <c r="U527" i="33"/>
  <c r="O527" i="33"/>
  <c r="U526" i="33"/>
  <c r="T526" i="33" s="1"/>
  <c r="O526" i="33"/>
  <c r="U525" i="33"/>
  <c r="T525" i="33" s="1"/>
  <c r="O525" i="33"/>
  <c r="U524" i="33"/>
  <c r="O524" i="33"/>
  <c r="U523" i="33"/>
  <c r="O523" i="33"/>
  <c r="U522" i="33"/>
  <c r="T522" i="33" s="1"/>
  <c r="O522" i="33"/>
  <c r="U521" i="33"/>
  <c r="O521" i="33"/>
  <c r="U520" i="33"/>
  <c r="T520" i="33" s="1"/>
  <c r="O520" i="33"/>
  <c r="U519" i="33"/>
  <c r="O519" i="33"/>
  <c r="U518" i="33"/>
  <c r="O518" i="33"/>
  <c r="U517" i="33"/>
  <c r="O517" i="33"/>
  <c r="U516" i="33"/>
  <c r="T516" i="33" s="1"/>
  <c r="O516" i="33"/>
  <c r="U515" i="33"/>
  <c r="O515" i="33"/>
  <c r="U514" i="33"/>
  <c r="T514" i="33" s="1"/>
  <c r="O514" i="33"/>
  <c r="U513" i="33"/>
  <c r="P513" i="33" s="1"/>
  <c r="O513" i="33"/>
  <c r="U512" i="33"/>
  <c r="T512" i="33" s="1"/>
  <c r="O512" i="33"/>
  <c r="U511" i="33"/>
  <c r="O511" i="33"/>
  <c r="U510" i="33"/>
  <c r="T510" i="33" s="1"/>
  <c r="O510" i="33"/>
  <c r="AH509" i="33"/>
  <c r="U509" i="33"/>
  <c r="O509" i="33"/>
  <c r="U508" i="33"/>
  <c r="O508" i="33"/>
  <c r="U507" i="33"/>
  <c r="T507" i="33" s="1"/>
  <c r="O507" i="33"/>
  <c r="U506" i="33"/>
  <c r="O506" i="33"/>
  <c r="U505" i="33"/>
  <c r="T505" i="33" s="1"/>
  <c r="O505" i="33"/>
  <c r="U504" i="33"/>
  <c r="O504" i="33"/>
  <c r="U503" i="33"/>
  <c r="O503" i="33"/>
  <c r="U502" i="33"/>
  <c r="O502" i="33"/>
  <c r="U501" i="33"/>
  <c r="T501" i="33" s="1"/>
  <c r="O501" i="33"/>
  <c r="U500" i="33"/>
  <c r="O500" i="33"/>
  <c r="U499" i="33"/>
  <c r="T499" i="33" s="1"/>
  <c r="O499" i="33"/>
  <c r="U498" i="33"/>
  <c r="O498" i="33"/>
  <c r="U497" i="33"/>
  <c r="O497" i="33"/>
  <c r="U496" i="33"/>
  <c r="O496" i="33"/>
  <c r="U495" i="33"/>
  <c r="T495" i="33" s="1"/>
  <c r="O495" i="33"/>
  <c r="U494" i="33"/>
  <c r="O494" i="33"/>
  <c r="U493" i="33"/>
  <c r="T493" i="33" s="1"/>
  <c r="O493" i="33"/>
  <c r="U492" i="33"/>
  <c r="O492" i="33"/>
  <c r="U491" i="33"/>
  <c r="T491" i="33" s="1"/>
  <c r="O491" i="33"/>
  <c r="U490" i="33"/>
  <c r="T490" i="33" s="1"/>
  <c r="O490" i="33"/>
  <c r="U488" i="33"/>
  <c r="O488" i="33"/>
  <c r="U487" i="33"/>
  <c r="T487" i="33" s="1"/>
  <c r="O487" i="33"/>
  <c r="U486" i="33"/>
  <c r="O486" i="33"/>
  <c r="U485" i="33"/>
  <c r="T485" i="33" s="1"/>
  <c r="O485" i="33"/>
  <c r="U484" i="33"/>
  <c r="O484" i="33"/>
  <c r="U481" i="33"/>
  <c r="T481" i="33" s="1"/>
  <c r="O481" i="33"/>
  <c r="U480" i="33"/>
  <c r="O480" i="33"/>
  <c r="U479" i="33"/>
  <c r="T479" i="33" s="1"/>
  <c r="O479" i="33"/>
  <c r="U478" i="33"/>
  <c r="O478" i="33"/>
  <c r="U477" i="33"/>
  <c r="T477" i="33" s="1"/>
  <c r="O477" i="33"/>
  <c r="U476" i="33"/>
  <c r="O476" i="33"/>
  <c r="U475" i="33"/>
  <c r="T475" i="33" s="1"/>
  <c r="O475" i="33"/>
  <c r="U474" i="33"/>
  <c r="O474" i="33"/>
  <c r="U473" i="33"/>
  <c r="T473" i="33" s="1"/>
  <c r="O473" i="33"/>
  <c r="U472" i="33"/>
  <c r="O472" i="33"/>
  <c r="U471" i="33"/>
  <c r="O471" i="33"/>
  <c r="U470" i="33"/>
  <c r="T470" i="33" s="1"/>
  <c r="O470" i="33"/>
  <c r="U469" i="33"/>
  <c r="T469" i="33" s="1"/>
  <c r="O469" i="33"/>
  <c r="U468" i="33"/>
  <c r="O468" i="33"/>
  <c r="U467" i="33"/>
  <c r="T467" i="33" s="1"/>
  <c r="O467" i="33"/>
  <c r="U466" i="33"/>
  <c r="O466" i="33"/>
  <c r="U443" i="33"/>
  <c r="T443" i="33" s="1"/>
  <c r="O443" i="33"/>
  <c r="U442" i="33"/>
  <c r="O442" i="33"/>
  <c r="U441" i="33"/>
  <c r="P441" i="33" s="1"/>
  <c r="O441" i="33"/>
  <c r="U440" i="33"/>
  <c r="O440" i="33"/>
  <c r="U465" i="33"/>
  <c r="T465" i="33" s="1"/>
  <c r="O465" i="33"/>
  <c r="U464" i="33"/>
  <c r="O464" i="33"/>
  <c r="U463" i="33"/>
  <c r="O463" i="33"/>
  <c r="U462" i="33"/>
  <c r="T462" i="33" s="1"/>
  <c r="O462" i="33"/>
  <c r="U461" i="33"/>
  <c r="T461" i="33" s="1"/>
  <c r="O461" i="33"/>
  <c r="U460" i="33"/>
  <c r="O460" i="33"/>
  <c r="U459" i="33"/>
  <c r="T459" i="33" s="1"/>
  <c r="O459" i="33"/>
  <c r="U439" i="33"/>
  <c r="P439" i="33" s="1"/>
  <c r="O439" i="33"/>
  <c r="U458" i="33"/>
  <c r="T458" i="33" s="1"/>
  <c r="O458" i="33"/>
  <c r="U457" i="33"/>
  <c r="O457" i="33"/>
  <c r="U438" i="33"/>
  <c r="O438" i="33"/>
  <c r="U455" i="33"/>
  <c r="O455" i="33"/>
  <c r="U454" i="33"/>
  <c r="P454" i="33" s="1"/>
  <c r="O454" i="33"/>
  <c r="U453" i="33"/>
  <c r="T453" i="33" s="1"/>
  <c r="O453" i="33"/>
  <c r="U452" i="33"/>
  <c r="T452" i="33" s="1"/>
  <c r="O452" i="33"/>
  <c r="U437" i="33"/>
  <c r="O437" i="33"/>
  <c r="U451" i="33"/>
  <c r="P451" i="33" s="1"/>
  <c r="O451" i="33"/>
  <c r="U450" i="33"/>
  <c r="T450" i="33" s="1"/>
  <c r="O450" i="33"/>
  <c r="U449" i="33"/>
  <c r="T449" i="33" s="1"/>
  <c r="O449" i="33"/>
  <c r="U448" i="33"/>
  <c r="O448" i="33"/>
  <c r="U436" i="33"/>
  <c r="P436" i="33" s="1"/>
  <c r="O436" i="33"/>
  <c r="U447" i="33"/>
  <c r="T447" i="33" s="1"/>
  <c r="O447" i="33"/>
  <c r="U446" i="33"/>
  <c r="T446" i="33" s="1"/>
  <c r="O446" i="33"/>
  <c r="U445" i="33"/>
  <c r="O445" i="33"/>
  <c r="U435" i="33"/>
  <c r="P435" i="33" s="1"/>
  <c r="O435" i="33"/>
  <c r="U444" i="33"/>
  <c r="T444" i="33" s="1"/>
  <c r="O444" i="33"/>
  <c r="L563" i="30"/>
  <c r="L231" i="30"/>
  <c r="W307" i="33" l="1"/>
  <c r="W328" i="33"/>
  <c r="W336" i="33"/>
  <c r="W340" i="33"/>
  <c r="W344" i="33"/>
  <c r="W348" i="33"/>
  <c r="W352" i="33"/>
  <c r="W359" i="33"/>
  <c r="W14" i="33"/>
  <c r="W18" i="33"/>
  <c r="W22" i="33"/>
  <c r="W26" i="33"/>
  <c r="W65" i="33"/>
  <c r="W66" i="33"/>
  <c r="W327" i="33"/>
  <c r="W335" i="33"/>
  <c r="W339" i="33"/>
  <c r="W343" i="33"/>
  <c r="W347" i="33"/>
  <c r="W351" i="33"/>
  <c r="W358" i="33"/>
  <c r="W13" i="33"/>
  <c r="W17" i="33"/>
  <c r="W21" i="33"/>
  <c r="W25" i="33"/>
  <c r="T494" i="33"/>
  <c r="W326" i="33"/>
  <c r="W331" i="33"/>
  <c r="W338" i="33"/>
  <c r="W342" i="33"/>
  <c r="W346" i="33"/>
  <c r="W350" i="33"/>
  <c r="W357" i="33"/>
  <c r="W361" i="33"/>
  <c r="W12" i="33"/>
  <c r="W16" i="33"/>
  <c r="W20" i="33"/>
  <c r="W24" i="33"/>
  <c r="W28" i="33"/>
  <c r="W76" i="33"/>
  <c r="W77" i="33"/>
  <c r="W78" i="33"/>
  <c r="W79" i="33"/>
  <c r="W80" i="33"/>
  <c r="W81" i="33"/>
  <c r="W82" i="33"/>
  <c r="W83" i="33"/>
  <c r="W84" i="33"/>
  <c r="W85" i="33"/>
  <c r="W86" i="33"/>
  <c r="W87" i="33"/>
  <c r="W325" i="33"/>
  <c r="W330" i="33"/>
  <c r="W337" i="33"/>
  <c r="W341" i="33"/>
  <c r="W345" i="33"/>
  <c r="W349" i="33"/>
  <c r="W356" i="33"/>
  <c r="W360" i="33"/>
  <c r="W15" i="33"/>
  <c r="W19" i="33"/>
  <c r="W23" i="33"/>
  <c r="W27" i="33"/>
  <c r="W100" i="33"/>
  <c r="W134" i="33"/>
  <c r="W198" i="33"/>
  <c r="W91" i="33"/>
  <c r="W95" i="33"/>
  <c r="W137" i="33"/>
  <c r="W201" i="33"/>
  <c r="W205" i="33"/>
  <c r="W98" i="33"/>
  <c r="W194" i="33"/>
  <c r="W200" i="33"/>
  <c r="W204" i="33"/>
  <c r="W202" i="33"/>
  <c r="W99" i="33"/>
  <c r="W195" i="33"/>
  <c r="W89" i="33"/>
  <c r="W93" i="33"/>
  <c r="W97" i="33"/>
  <c r="W101" i="33"/>
  <c r="W199" i="33"/>
  <c r="W203" i="33"/>
  <c r="W136" i="33"/>
  <c r="P529" i="33"/>
  <c r="W135" i="33"/>
  <c r="N194" i="33"/>
  <c r="N204" i="33"/>
  <c r="Q205" i="33"/>
  <c r="N46" i="33"/>
  <c r="N50" i="33"/>
  <c r="Q64" i="33"/>
  <c r="Q46" i="33"/>
  <c r="Q50" i="33"/>
  <c r="Q54" i="33"/>
  <c r="N69" i="33"/>
  <c r="N170" i="33"/>
  <c r="N357" i="33"/>
  <c r="Q363" i="33"/>
  <c r="Q369" i="33"/>
  <c r="Q371" i="33"/>
  <c r="Q373" i="33"/>
  <c r="P552" i="33"/>
  <c r="Q3" i="33"/>
  <c r="Q11" i="33"/>
  <c r="Q4" i="33"/>
  <c r="Q23" i="33"/>
  <c r="Q27" i="33"/>
  <c r="N40" i="33"/>
  <c r="N44" i="33"/>
  <c r="N47" i="33"/>
  <c r="Q79" i="33"/>
  <c r="P506" i="33"/>
  <c r="N128" i="33"/>
  <c r="Q133" i="33"/>
  <c r="N207" i="33"/>
  <c r="N211" i="33"/>
  <c r="N213" i="33"/>
  <c r="N219" i="33"/>
  <c r="T436" i="33"/>
  <c r="P495" i="33"/>
  <c r="T506" i="33"/>
  <c r="T521" i="33"/>
  <c r="T448" i="33"/>
  <c r="P494" i="33"/>
  <c r="P522" i="33"/>
  <c r="N113" i="33"/>
  <c r="Q119" i="33"/>
  <c r="N165" i="33"/>
  <c r="N183" i="33"/>
  <c r="N240" i="33"/>
  <c r="N323" i="33"/>
  <c r="Q337" i="33"/>
  <c r="Q409" i="33"/>
  <c r="N43" i="33"/>
  <c r="N233" i="33"/>
  <c r="Q255" i="33"/>
  <c r="Q256" i="33"/>
  <c r="Q314" i="33"/>
  <c r="Q316" i="33"/>
  <c r="Q318" i="33"/>
  <c r="N332" i="33"/>
  <c r="Q336" i="33"/>
  <c r="Q340" i="33"/>
  <c r="N364" i="33"/>
  <c r="N378" i="33"/>
  <c r="N395" i="33"/>
  <c r="Q401" i="33"/>
  <c r="Q404" i="33"/>
  <c r="Q414" i="33"/>
  <c r="N12" i="33"/>
  <c r="N36" i="33"/>
  <c r="N41" i="33"/>
  <c r="N45" i="33"/>
  <c r="P507" i="33"/>
  <c r="Q181" i="33"/>
  <c r="N195" i="33"/>
  <c r="Q196" i="33"/>
  <c r="Q206" i="33"/>
  <c r="Q211" i="33"/>
  <c r="Q212" i="33"/>
  <c r="Q214" i="33"/>
  <c r="Q309" i="33"/>
  <c r="N337" i="33"/>
  <c r="N341" i="33"/>
  <c r="N354" i="33"/>
  <c r="N360" i="33"/>
  <c r="N48" i="33"/>
  <c r="N52" i="33"/>
  <c r="P545" i="33"/>
  <c r="Q92" i="33"/>
  <c r="Q100" i="33"/>
  <c r="Q108" i="33"/>
  <c r="Q111" i="33"/>
  <c r="N119" i="33"/>
  <c r="Q188" i="33"/>
  <c r="N20" i="33"/>
  <c r="N24" i="33"/>
  <c r="Q42" i="33"/>
  <c r="Q43" i="33"/>
  <c r="N49" i="33"/>
  <c r="Q56" i="33"/>
  <c r="Q57" i="33"/>
  <c r="N74" i="33"/>
  <c r="P459" i="33"/>
  <c r="T513" i="33"/>
  <c r="Q91" i="33"/>
  <c r="Q99" i="33"/>
  <c r="Q170" i="33"/>
  <c r="Q171" i="33"/>
  <c r="Q185" i="33"/>
  <c r="Q186" i="33"/>
  <c r="Q203" i="33"/>
  <c r="N205" i="33"/>
  <c r="N206" i="33"/>
  <c r="N415" i="33"/>
  <c r="N417" i="33"/>
  <c r="N426" i="33"/>
  <c r="N432" i="33"/>
  <c r="N433" i="33"/>
  <c r="Q77" i="33"/>
  <c r="N81" i="33"/>
  <c r="N83" i="33"/>
  <c r="N85" i="33"/>
  <c r="N100" i="33"/>
  <c r="N122" i="33"/>
  <c r="N142" i="33"/>
  <c r="N163" i="33"/>
  <c r="N164" i="33"/>
  <c r="N169" i="33"/>
  <c r="Q174" i="33"/>
  <c r="Q178" i="33"/>
  <c r="N192" i="33"/>
  <c r="N193" i="33"/>
  <c r="Q228" i="33"/>
  <c r="Q238" i="33"/>
  <c r="N327" i="33"/>
  <c r="N338" i="33"/>
  <c r="N342" i="33"/>
  <c r="Q375" i="33"/>
  <c r="Q377" i="33"/>
  <c r="Q394" i="33"/>
  <c r="Q427" i="33"/>
  <c r="Q428" i="33"/>
  <c r="Q429" i="33"/>
  <c r="Q22" i="33"/>
  <c r="N39" i="33"/>
  <c r="N42" i="33"/>
  <c r="N51" i="33"/>
  <c r="N62" i="33"/>
  <c r="N63" i="33"/>
  <c r="T435" i="33"/>
  <c r="P448" i="33"/>
  <c r="P449" i="33"/>
  <c r="P486" i="33"/>
  <c r="P498" i="33"/>
  <c r="P514" i="33"/>
  <c r="P521" i="33"/>
  <c r="T529" i="33"/>
  <c r="P537" i="33"/>
  <c r="P540" i="33"/>
  <c r="N108" i="33"/>
  <c r="N112" i="33"/>
  <c r="N116" i="33"/>
  <c r="N152" i="33"/>
  <c r="N181" i="33"/>
  <c r="N182" i="33"/>
  <c r="N187" i="33"/>
  <c r="N210" i="33"/>
  <c r="N226" i="33"/>
  <c r="N256" i="33"/>
  <c r="N316" i="33"/>
  <c r="N318" i="33"/>
  <c r="N325" i="33"/>
  <c r="Q327" i="33"/>
  <c r="N336" i="33"/>
  <c r="Q338" i="33"/>
  <c r="Q345" i="33"/>
  <c r="Q354" i="33"/>
  <c r="Q360" i="33"/>
  <c r="N363" i="33"/>
  <c r="N369" i="33"/>
  <c r="N371" i="33"/>
  <c r="N373" i="33"/>
  <c r="N401" i="33"/>
  <c r="N404" i="33"/>
  <c r="Q407" i="33"/>
  <c r="Q415" i="33"/>
  <c r="Q420" i="33"/>
  <c r="Q422" i="33"/>
  <c r="Q424" i="33"/>
  <c r="Q35" i="33"/>
  <c r="Q36" i="33"/>
  <c r="Q51" i="33"/>
  <c r="N70" i="33"/>
  <c r="Q83" i="33"/>
  <c r="Q85" i="33"/>
  <c r="Q86" i="33"/>
  <c r="N87" i="33"/>
  <c r="P525" i="33"/>
  <c r="N120" i="33"/>
  <c r="N126" i="33"/>
  <c r="N127" i="33"/>
  <c r="N130" i="33"/>
  <c r="N132" i="33"/>
  <c r="N134" i="33"/>
  <c r="N138" i="33"/>
  <c r="N140" i="33"/>
  <c r="N141" i="33"/>
  <c r="N174" i="33"/>
  <c r="N177" i="33"/>
  <c r="N178" i="33"/>
  <c r="Q180" i="33"/>
  <c r="N185" i="33"/>
  <c r="Q187" i="33"/>
  <c r="Q222" i="33"/>
  <c r="Q224" i="33"/>
  <c r="N228" i="33"/>
  <c r="N235" i="33"/>
  <c r="N239" i="33"/>
  <c r="Q312" i="33"/>
  <c r="Q320" i="33"/>
  <c r="Q322" i="33"/>
  <c r="N334" i="33"/>
  <c r="N335" i="33"/>
  <c r="N380" i="33"/>
  <c r="N381" i="33"/>
  <c r="N393" i="33"/>
  <c r="N412" i="33"/>
  <c r="N28" i="33"/>
  <c r="Q38" i="33"/>
  <c r="Q47" i="33"/>
  <c r="N53" i="33"/>
  <c r="N54" i="33"/>
  <c r="N64" i="33"/>
  <c r="N66" i="33"/>
  <c r="N73" i="33"/>
  <c r="N78" i="33"/>
  <c r="Q87" i="33"/>
  <c r="P437" i="33"/>
  <c r="P474" i="33"/>
  <c r="P530" i="33"/>
  <c r="T544" i="33"/>
  <c r="N89" i="33"/>
  <c r="N92" i="33"/>
  <c r="N96" i="33"/>
  <c r="N97" i="33"/>
  <c r="Q102" i="33"/>
  <c r="Q107" i="33"/>
  <c r="Q118" i="33"/>
  <c r="Q122" i="33"/>
  <c r="N159" i="33"/>
  <c r="Q162" i="33"/>
  <c r="Q163" i="33"/>
  <c r="N167" i="33"/>
  <c r="N168" i="33"/>
  <c r="Q169" i="33"/>
  <c r="N188" i="33"/>
  <c r="Q230" i="33"/>
  <c r="Q231" i="33"/>
  <c r="N301" i="33"/>
  <c r="Q334" i="33"/>
  <c r="N355" i="33"/>
  <c r="Q381" i="33"/>
  <c r="Q393" i="33"/>
  <c r="Q412" i="33"/>
  <c r="N420" i="33"/>
  <c r="Q19" i="33"/>
  <c r="Q39" i="33"/>
  <c r="Q65" i="33"/>
  <c r="Q66" i="33"/>
  <c r="P440" i="33"/>
  <c r="T556" i="33"/>
  <c r="Q216" i="33"/>
  <c r="Q60" i="33"/>
  <c r="T445" i="33"/>
  <c r="P452" i="33"/>
  <c r="T440" i="33"/>
  <c r="P475" i="33"/>
  <c r="P487" i="33"/>
  <c r="P499" i="33"/>
  <c r="T553" i="33"/>
  <c r="Q234" i="33"/>
  <c r="T563" i="33"/>
  <c r="N95" i="33"/>
  <c r="N104" i="33"/>
  <c r="N105" i="33"/>
  <c r="Q110" i="33"/>
  <c r="Q115" i="33"/>
  <c r="Q116" i="33"/>
  <c r="N121" i="33"/>
  <c r="Q128" i="33"/>
  <c r="Q139" i="33"/>
  <c r="Q141" i="33"/>
  <c r="Q159" i="33"/>
  <c r="Q193" i="33"/>
  <c r="N199" i="33"/>
  <c r="N203" i="33"/>
  <c r="Q218" i="33"/>
  <c r="Q220" i="33"/>
  <c r="Q223" i="33"/>
  <c r="N225" i="33"/>
  <c r="N227" i="33"/>
  <c r="Q253" i="33"/>
  <c r="Q257" i="33"/>
  <c r="N258" i="33"/>
  <c r="Q298" i="33"/>
  <c r="Q299" i="33"/>
  <c r="Q310" i="33"/>
  <c r="Q321" i="33"/>
  <c r="N328" i="33"/>
  <c r="N339" i="33"/>
  <c r="N340" i="33"/>
  <c r="Q343" i="33"/>
  <c r="Q348" i="33"/>
  <c r="Q351" i="33"/>
  <c r="Q356" i="33"/>
  <c r="Q357" i="33"/>
  <c r="Q365" i="33"/>
  <c r="N372" i="33"/>
  <c r="N376" i="33"/>
  <c r="N379" i="33"/>
  <c r="Q400" i="33"/>
  <c r="N405" i="33"/>
  <c r="N408" i="33"/>
  <c r="N411" i="33"/>
  <c r="Q430" i="33"/>
  <c r="N434" i="33"/>
  <c r="Q7" i="33"/>
  <c r="N16" i="33"/>
  <c r="N32" i="33"/>
  <c r="N71" i="33"/>
  <c r="Q95" i="33"/>
  <c r="N103" i="33"/>
  <c r="Q130" i="33"/>
  <c r="N153" i="33"/>
  <c r="Q167" i="33"/>
  <c r="Q168" i="33"/>
  <c r="N172" i="33"/>
  <c r="Q176" i="33"/>
  <c r="Q189" i="33"/>
  <c r="N209" i="33"/>
  <c r="Q210" i="33"/>
  <c r="N215" i="33"/>
  <c r="Q226" i="33"/>
  <c r="N231" i="33"/>
  <c r="Q236" i="33"/>
  <c r="Q413" i="33"/>
  <c r="N418" i="33"/>
  <c r="Q419" i="33"/>
  <c r="N422" i="33"/>
  <c r="N424" i="33"/>
  <c r="N425" i="33"/>
  <c r="Q432" i="33"/>
  <c r="N4" i="33"/>
  <c r="N5" i="33"/>
  <c r="Q15" i="33"/>
  <c r="Q31" i="33"/>
  <c r="Q62" i="33"/>
  <c r="Q76" i="33"/>
  <c r="Q78" i="33"/>
  <c r="N80" i="33"/>
  <c r="N82" i="33"/>
  <c r="N88" i="33"/>
  <c r="Q94" i="33"/>
  <c r="Q103" i="33"/>
  <c r="N111" i="33"/>
  <c r="Q125" i="33"/>
  <c r="Q127" i="33"/>
  <c r="N129" i="33"/>
  <c r="N135" i="33"/>
  <c r="Q136" i="33"/>
  <c r="Q137" i="33"/>
  <c r="Q142" i="33"/>
  <c r="N148" i="33"/>
  <c r="N150" i="33"/>
  <c r="Q154" i="33"/>
  <c r="Q165" i="33"/>
  <c r="Q183" i="33"/>
  <c r="Q194" i="33"/>
  <c r="Q195" i="33"/>
  <c r="Q198" i="33"/>
  <c r="Q204" i="33"/>
  <c r="Q207" i="33"/>
  <c r="N216" i="33"/>
  <c r="N218" i="33"/>
  <c r="N220" i="33"/>
  <c r="N223" i="33"/>
  <c r="Q232" i="33"/>
  <c r="N234" i="33"/>
  <c r="N253" i="33"/>
  <c r="N299" i="33"/>
  <c r="N300" i="33"/>
  <c r="N310" i="33"/>
  <c r="N315" i="33"/>
  <c r="N317" i="33"/>
  <c r="N321" i="33"/>
  <c r="N326" i="33"/>
  <c r="Q331" i="33"/>
  <c r="Q341" i="33"/>
  <c r="Q342" i="33"/>
  <c r="N344" i="33"/>
  <c r="N348" i="33"/>
  <c r="N349" i="33"/>
  <c r="Q350" i="33"/>
  <c r="N352" i="33"/>
  <c r="N353" i="33"/>
  <c r="N356" i="33"/>
  <c r="N361" i="33"/>
  <c r="N362" i="33"/>
  <c r="N365" i="33"/>
  <c r="N368" i="33"/>
  <c r="Q376" i="33"/>
  <c r="Q379" i="33"/>
  <c r="Q392" i="33"/>
  <c r="N400" i="33"/>
  <c r="Q405" i="33"/>
  <c r="N410" i="33"/>
  <c r="Q421" i="33"/>
  <c r="N430" i="33"/>
  <c r="N7" i="33"/>
  <c r="Q8" i="33"/>
  <c r="Q34" i="33"/>
  <c r="N58" i="33"/>
  <c r="N60" i="33"/>
  <c r="N61" i="33"/>
  <c r="Q81" i="33"/>
  <c r="T463" i="33"/>
  <c r="P463" i="33"/>
  <c r="T478" i="33"/>
  <c r="P478" i="33"/>
  <c r="T441" i="33"/>
  <c r="T471" i="33"/>
  <c r="P471" i="33"/>
  <c r="T503" i="33"/>
  <c r="P503" i="33"/>
  <c r="T517" i="33"/>
  <c r="P517" i="33"/>
  <c r="T533" i="33"/>
  <c r="P533" i="33"/>
  <c r="T548" i="33"/>
  <c r="P548" i="33"/>
  <c r="T559" i="33"/>
  <c r="P559" i="33"/>
  <c r="T466" i="33"/>
  <c r="P466" i="33"/>
  <c r="T451" i="33"/>
  <c r="T437" i="33"/>
  <c r="P455" i="33"/>
  <c r="P438" i="33"/>
  <c r="T439" i="33"/>
  <c r="P462" i="33"/>
  <c r="P491" i="33"/>
  <c r="T502" i="33"/>
  <c r="P502" i="33"/>
  <c r="N124" i="33"/>
  <c r="Q191" i="33"/>
  <c r="Q199" i="33"/>
  <c r="P445" i="33"/>
  <c r="P446" i="33"/>
  <c r="T454" i="33"/>
  <c r="T455" i="33"/>
  <c r="T438" i="33"/>
  <c r="P470" i="33"/>
  <c r="P490" i="33"/>
  <c r="T518" i="33"/>
  <c r="P518" i="33"/>
  <c r="T534" i="33"/>
  <c r="P534" i="33"/>
  <c r="T549" i="33"/>
  <c r="P549" i="33"/>
  <c r="T560" i="33"/>
  <c r="P560" i="33"/>
  <c r="N161" i="33"/>
  <c r="N200" i="33"/>
  <c r="Q208" i="33"/>
  <c r="Q124" i="33"/>
  <c r="Q132" i="33"/>
  <c r="Q138" i="33"/>
  <c r="Q161" i="33"/>
  <c r="Q177" i="33"/>
  <c r="N179" i="33"/>
  <c r="Q307" i="33"/>
  <c r="N307" i="33"/>
  <c r="Q367" i="33"/>
  <c r="P467" i="33"/>
  <c r="T474" i="33"/>
  <c r="P479" i="33"/>
  <c r="T486" i="33"/>
  <c r="T498" i="33"/>
  <c r="P510" i="33"/>
  <c r="P526" i="33"/>
  <c r="P541" i="33"/>
  <c r="P557" i="33"/>
  <c r="Q88" i="33"/>
  <c r="N91" i="33"/>
  <c r="N93" i="33"/>
  <c r="Q96" i="33"/>
  <c r="N99" i="33"/>
  <c r="N101" i="33"/>
  <c r="Q104" i="33"/>
  <c r="N107" i="33"/>
  <c r="N109" i="33"/>
  <c r="Q112" i="33"/>
  <c r="N115" i="33"/>
  <c r="N117" i="33"/>
  <c r="Q121" i="33"/>
  <c r="N123" i="33"/>
  <c r="Q126" i="33"/>
  <c r="Q129" i="33"/>
  <c r="N131" i="33"/>
  <c r="Q134" i="33"/>
  <c r="Q135" i="33"/>
  <c r="Q140" i="33"/>
  <c r="N149" i="33"/>
  <c r="N151" i="33"/>
  <c r="Q153" i="33"/>
  <c r="N160" i="33"/>
  <c r="Q164" i="33"/>
  <c r="N171" i="33"/>
  <c r="Q173" i="33"/>
  <c r="N175" i="33"/>
  <c r="N176" i="33"/>
  <c r="Q182" i="33"/>
  <c r="N198" i="33"/>
  <c r="N201" i="33"/>
  <c r="Q202" i="33"/>
  <c r="N212" i="33"/>
  <c r="Q215" i="33"/>
  <c r="N217" i="33"/>
  <c r="Q347" i="33"/>
  <c r="N8" i="33"/>
  <c r="N59" i="33"/>
  <c r="Q90" i="33"/>
  <c r="Q98" i="33"/>
  <c r="Q106" i="33"/>
  <c r="Q114" i="33"/>
  <c r="Q123" i="33"/>
  <c r="N125" i="33"/>
  <c r="Q131" i="33"/>
  <c r="N133" i="33"/>
  <c r="N136" i="33"/>
  <c r="N137" i="33"/>
  <c r="N139" i="33"/>
  <c r="Q160" i="33"/>
  <c r="Q166" i="33"/>
  <c r="Q184" i="33"/>
  <c r="N191" i="33"/>
  <c r="N208" i="33"/>
  <c r="N214" i="33"/>
  <c r="N428" i="33"/>
  <c r="N224" i="33"/>
  <c r="Q227" i="33"/>
  <c r="N229" i="33"/>
  <c r="N230" i="33"/>
  <c r="N254" i="33"/>
  <c r="N255" i="33"/>
  <c r="Q311" i="33"/>
  <c r="N314" i="33"/>
  <c r="Q317" i="33"/>
  <c r="N319" i="33"/>
  <c r="N320" i="33"/>
  <c r="Q330" i="33"/>
  <c r="Q332" i="33"/>
  <c r="Q333" i="33"/>
  <c r="N345" i="33"/>
  <c r="Q372" i="33"/>
  <c r="N374" i="33"/>
  <c r="N375" i="33"/>
  <c r="N394" i="33"/>
  <c r="N409" i="33"/>
  <c r="Q411" i="33"/>
  <c r="N413" i="33"/>
  <c r="N414" i="33"/>
  <c r="Q418" i="33"/>
  <c r="N421" i="33"/>
  <c r="Q425" i="33"/>
  <c r="Q431" i="33"/>
  <c r="Q434" i="33"/>
  <c r="N11" i="33"/>
  <c r="N13" i="33"/>
  <c r="Q16" i="33"/>
  <c r="N19" i="33"/>
  <c r="N21" i="33"/>
  <c r="Q24" i="33"/>
  <c r="N27" i="33"/>
  <c r="N29" i="33"/>
  <c r="Q32" i="33"/>
  <c r="N35" i="33"/>
  <c r="N37" i="33"/>
  <c r="N55" i="33"/>
  <c r="N56" i="33"/>
  <c r="N57" i="33"/>
  <c r="Q59" i="33"/>
  <c r="Q63" i="33"/>
  <c r="N65" i="33"/>
  <c r="N75" i="33"/>
  <c r="N79" i="33"/>
  <c r="Q82" i="33"/>
  <c r="N84" i="33"/>
  <c r="N236" i="33"/>
  <c r="Q326" i="33"/>
  <c r="Q328" i="33"/>
  <c r="Q344" i="33"/>
  <c r="Q352" i="33"/>
  <c r="N358" i="33"/>
  <c r="Q361" i="33"/>
  <c r="Q368" i="33"/>
  <c r="N370" i="33"/>
  <c r="N67" i="33"/>
  <c r="Q219" i="33"/>
  <c r="N221" i="33"/>
  <c r="N222" i="33"/>
  <c r="N232" i="33"/>
  <c r="Q235" i="33"/>
  <c r="N237" i="33"/>
  <c r="N238" i="33"/>
  <c r="N241" i="33"/>
  <c r="N245" i="33"/>
  <c r="N249" i="33"/>
  <c r="N257" i="33"/>
  <c r="Q301" i="33"/>
  <c r="Q306" i="33"/>
  <c r="N308" i="33"/>
  <c r="N309" i="33"/>
  <c r="N311" i="33"/>
  <c r="N312" i="33"/>
  <c r="N322" i="33"/>
  <c r="Q325" i="33"/>
  <c r="N330" i="33"/>
  <c r="N331" i="33"/>
  <c r="N346" i="33"/>
  <c r="N347" i="33"/>
  <c r="N350" i="33"/>
  <c r="Q355" i="33"/>
  <c r="Q364" i="33"/>
  <c r="N366" i="33"/>
  <c r="N367" i="33"/>
  <c r="N377" i="33"/>
  <c r="Q380" i="33"/>
  <c r="N382" i="33"/>
  <c r="N392" i="33"/>
  <c r="N406" i="33"/>
  <c r="N407" i="33"/>
  <c r="Q410" i="33"/>
  <c r="Q417" i="33"/>
  <c r="Q423" i="33"/>
  <c r="Q426" i="33"/>
  <c r="N429" i="33"/>
  <c r="Q433" i="33"/>
  <c r="N3" i="33"/>
  <c r="N9" i="33"/>
  <c r="Q10" i="33"/>
  <c r="Q12" i="33"/>
  <c r="N15" i="33"/>
  <c r="N17" i="33"/>
  <c r="Q20" i="33"/>
  <c r="N23" i="33"/>
  <c r="N25" i="33"/>
  <c r="Q28" i="33"/>
  <c r="N31" i="33"/>
  <c r="N33" i="33"/>
  <c r="N76" i="33"/>
  <c r="N77" i="33"/>
  <c r="N86" i="33"/>
  <c r="P509" i="33"/>
  <c r="P562" i="33"/>
  <c r="T484" i="33"/>
  <c r="P484" i="33"/>
  <c r="T519" i="33"/>
  <c r="P519" i="33"/>
  <c r="P497" i="33"/>
  <c r="T508" i="33"/>
  <c r="P508" i="33"/>
  <c r="P524" i="33"/>
  <c r="T538" i="33"/>
  <c r="P538" i="33"/>
  <c r="T554" i="33"/>
  <c r="P554" i="33"/>
  <c r="T561" i="33"/>
  <c r="P561" i="33"/>
  <c r="P458" i="33"/>
  <c r="T464" i="33"/>
  <c r="P464" i="33"/>
  <c r="T468" i="33"/>
  <c r="P468" i="33"/>
  <c r="T476" i="33"/>
  <c r="P476" i="33"/>
  <c r="T504" i="33"/>
  <c r="P504" i="33"/>
  <c r="T535" i="33"/>
  <c r="P535" i="33"/>
  <c r="T550" i="33"/>
  <c r="P550" i="33"/>
  <c r="P444" i="33"/>
  <c r="P447" i="33"/>
  <c r="P450" i="33"/>
  <c r="P453" i="33"/>
  <c r="T492" i="33"/>
  <c r="P492" i="33"/>
  <c r="P493" i="33"/>
  <c r="T500" i="33"/>
  <c r="P500" i="33"/>
  <c r="P501" i="33"/>
  <c r="T515" i="33"/>
  <c r="P515" i="33"/>
  <c r="P516" i="33"/>
  <c r="T531" i="33"/>
  <c r="P531" i="33"/>
  <c r="P532" i="33"/>
  <c r="T546" i="33"/>
  <c r="P546" i="33"/>
  <c r="P547" i="33"/>
  <c r="Q89" i="33"/>
  <c r="Q93" i="33"/>
  <c r="Q97" i="33"/>
  <c r="Q101" i="33"/>
  <c r="Q105" i="33"/>
  <c r="Q109" i="33"/>
  <c r="Q113" i="33"/>
  <c r="Q117" i="33"/>
  <c r="Q172" i="33"/>
  <c r="Q175" i="33"/>
  <c r="Q179" i="33"/>
  <c r="Q201" i="33"/>
  <c r="Q258" i="33"/>
  <c r="T496" i="33"/>
  <c r="P496" i="33"/>
  <c r="T523" i="33"/>
  <c r="P523" i="33"/>
  <c r="P539" i="33"/>
  <c r="P555" i="33"/>
  <c r="Q190" i="33"/>
  <c r="N190" i="33"/>
  <c r="Q197" i="33"/>
  <c r="N197" i="33"/>
  <c r="T457" i="33"/>
  <c r="P457" i="33"/>
  <c r="P465" i="33"/>
  <c r="P469" i="33"/>
  <c r="P477" i="33"/>
  <c r="P485" i="33"/>
  <c r="P505" i="33"/>
  <c r="P520" i="33"/>
  <c r="P536" i="33"/>
  <c r="P551" i="33"/>
  <c r="P558" i="33"/>
  <c r="T460" i="33"/>
  <c r="P460" i="33"/>
  <c r="P461" i="33"/>
  <c r="T442" i="33"/>
  <c r="P442" i="33"/>
  <c r="P443" i="33"/>
  <c r="T472" i="33"/>
  <c r="P472" i="33"/>
  <c r="P473" i="33"/>
  <c r="T480" i="33"/>
  <c r="P480" i="33"/>
  <c r="P481" i="33"/>
  <c r="T488" i="33"/>
  <c r="P488" i="33"/>
  <c r="T497" i="33"/>
  <c r="T509" i="33"/>
  <c r="T511" i="33"/>
  <c r="P511" i="33"/>
  <c r="P512" i="33"/>
  <c r="T524" i="33"/>
  <c r="T527" i="33"/>
  <c r="P527" i="33"/>
  <c r="P528" i="33"/>
  <c r="T539" i="33"/>
  <c r="T542" i="33"/>
  <c r="P542" i="33"/>
  <c r="P543" i="33"/>
  <c r="T555" i="33"/>
  <c r="T562" i="33"/>
  <c r="N90" i="33"/>
  <c r="N94" i="33"/>
  <c r="N98" i="33"/>
  <c r="N102" i="33"/>
  <c r="N106" i="33"/>
  <c r="N110" i="33"/>
  <c r="N114" i="33"/>
  <c r="N118" i="33"/>
  <c r="Q120" i="33"/>
  <c r="N154" i="33"/>
  <c r="N162" i="33"/>
  <c r="N166" i="33"/>
  <c r="N173" i="33"/>
  <c r="N180" i="33"/>
  <c r="N184" i="33"/>
  <c r="Q192" i="33"/>
  <c r="Q200" i="33"/>
  <c r="N242" i="33"/>
  <c r="N246" i="33"/>
  <c r="N250" i="33"/>
  <c r="Q254" i="33"/>
  <c r="Q18" i="33"/>
  <c r="Q26" i="33"/>
  <c r="N189" i="33"/>
  <c r="N196" i="33"/>
  <c r="Q209" i="33"/>
  <c r="Q213" i="33"/>
  <c r="Q217" i="33"/>
  <c r="Q221" i="33"/>
  <c r="Q225" i="33"/>
  <c r="Q229" i="33"/>
  <c r="Q233" i="33"/>
  <c r="Q237" i="33"/>
  <c r="N244" i="33"/>
  <c r="N248" i="33"/>
  <c r="N252" i="33"/>
  <c r="N298" i="33"/>
  <c r="Q300" i="33"/>
  <c r="N306" i="33"/>
  <c r="Q308" i="33"/>
  <c r="Q315" i="33"/>
  <c r="Q319" i="33"/>
  <c r="Q323" i="33"/>
  <c r="N333" i="33"/>
  <c r="Q335" i="33"/>
  <c r="Q339" i="33"/>
  <c r="Q349" i="33"/>
  <c r="Q406" i="33"/>
  <c r="Q6" i="33"/>
  <c r="Q84" i="33"/>
  <c r="N186" i="33"/>
  <c r="N202" i="33"/>
  <c r="N243" i="33"/>
  <c r="N247" i="33"/>
  <c r="N251" i="33"/>
  <c r="Q359" i="33"/>
  <c r="Q2" i="33"/>
  <c r="Q14" i="33"/>
  <c r="Q30" i="33"/>
  <c r="Q80" i="33"/>
  <c r="Q353" i="33"/>
  <c r="Q358" i="33"/>
  <c r="Q362" i="33"/>
  <c r="Q366" i="33"/>
  <c r="Q370" i="33"/>
  <c r="Q374" i="33"/>
  <c r="Q378" i="33"/>
  <c r="Q382" i="33"/>
  <c r="Q395" i="33"/>
  <c r="Q5" i="33"/>
  <c r="Q9" i="33"/>
  <c r="Q13" i="33"/>
  <c r="Q17" i="33"/>
  <c r="Q21" i="33"/>
  <c r="Q25" i="33"/>
  <c r="Q29" i="33"/>
  <c r="Q33" i="33"/>
  <c r="Q37" i="33"/>
  <c r="Q41" i="33"/>
  <c r="Q45" i="33"/>
  <c r="Q49" i="33"/>
  <c r="Q53" i="33"/>
  <c r="Q58" i="33"/>
  <c r="Q61" i="33"/>
  <c r="Q67" i="33"/>
  <c r="N343" i="33"/>
  <c r="Q346" i="33"/>
  <c r="N351" i="33"/>
  <c r="N359" i="33"/>
  <c r="Q408" i="33"/>
  <c r="N419" i="33"/>
  <c r="N423" i="33"/>
  <c r="N427" i="33"/>
  <c r="N431" i="33"/>
  <c r="N2" i="33"/>
  <c r="N6" i="33"/>
  <c r="N10" i="33"/>
  <c r="N14" i="33"/>
  <c r="N18" i="33"/>
  <c r="N22" i="33"/>
  <c r="N26" i="33"/>
  <c r="N30" i="33"/>
  <c r="N34" i="33"/>
  <c r="N38" i="33"/>
  <c r="Q40" i="33"/>
  <c r="Q44" i="33"/>
  <c r="Q48" i="33"/>
  <c r="Q52" i="33"/>
  <c r="Q55" i="33"/>
  <c r="N68" i="33"/>
  <c r="N72" i="33"/>
  <c r="AU1166" i="30" l="1"/>
  <c r="AU1308" i="30"/>
  <c r="L233" i="30" l="1"/>
  <c r="L232" i="30"/>
  <c r="L219" i="30"/>
  <c r="L220" i="30"/>
  <c r="L221" i="30"/>
  <c r="L222" i="30"/>
  <c r="L223" i="30"/>
  <c r="L224" i="30"/>
  <c r="L225" i="30"/>
  <c r="L226" i="30"/>
  <c r="L227" i="30"/>
  <c r="L228" i="30"/>
  <c r="L229" i="30"/>
  <c r="L230" i="30"/>
  <c r="L218" i="30"/>
  <c r="L216" i="30"/>
  <c r="L1811" i="30"/>
  <c r="L1812" i="30"/>
  <c r="L1813" i="30"/>
  <c r="L1814" i="30"/>
  <c r="L1815" i="30"/>
  <c r="L1816" i="30"/>
  <c r="L1817" i="30"/>
  <c r="L1818" i="30"/>
  <c r="L1819" i="30"/>
  <c r="L1820" i="30"/>
  <c r="L1821" i="30"/>
  <c r="L1822" i="30"/>
  <c r="L1823" i="30"/>
  <c r="L1824" i="30"/>
  <c r="L1825" i="30"/>
  <c r="L1826" i="30"/>
  <c r="L1827" i="30"/>
  <c r="L1828" i="30"/>
  <c r="L16" i="30"/>
  <c r="L17" i="30"/>
  <c r="L18" i="30"/>
  <c r="L19" i="30"/>
  <c r="L20" i="30"/>
  <c r="L21" i="30"/>
  <c r="L22" i="30"/>
  <c r="L23" i="30"/>
  <c r="L24" i="30"/>
  <c r="L25" i="30"/>
  <c r="L26"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9" i="30"/>
  <c r="L110" i="30"/>
  <c r="L108" i="30"/>
  <c r="L453" i="30"/>
  <c r="L454" i="30"/>
  <c r="L455" i="30"/>
  <c r="L456" i="30"/>
  <c r="L457" i="30"/>
  <c r="L458" i="30"/>
  <c r="L459" i="30"/>
  <c r="L460" i="30"/>
  <c r="L461" i="30"/>
  <c r="L627" i="30"/>
  <c r="L513" i="30"/>
  <c r="L518" i="30"/>
  <c r="L592" i="30"/>
  <c r="L1733" i="30"/>
  <c r="L1734" i="30"/>
  <c r="L515" i="30"/>
  <c r="L517" i="30"/>
  <c r="L653" i="30"/>
  <c r="L564" i="30"/>
  <c r="L565" i="30"/>
  <c r="L566" i="30"/>
  <c r="L567" i="30"/>
  <c r="L568" i="30"/>
  <c r="L569" i="30"/>
  <c r="L570" i="30"/>
  <c r="L571" i="30"/>
  <c r="L572" i="30"/>
  <c r="L573" i="30"/>
  <c r="L574" i="30"/>
  <c r="L575" i="30"/>
  <c r="L576" i="30"/>
  <c r="L1704" i="30"/>
  <c r="L1706" i="30"/>
  <c r="L1707" i="30"/>
  <c r="L1708" i="30"/>
  <c r="L1709" i="30"/>
  <c r="L1741" i="30"/>
  <c r="L1742" i="30"/>
  <c r="AB1360" i="30"/>
  <c r="AA1390" i="30"/>
  <c r="AU1390" i="30"/>
  <c r="AB1369" i="30"/>
  <c r="AU597" i="30" l="1"/>
  <c r="AU598" i="30"/>
  <c r="AU599" i="30"/>
  <c r="AU39" i="30"/>
  <c r="AU1579" i="30"/>
  <c r="AU1580" i="30"/>
  <c r="AU1581" i="30"/>
  <c r="AU1582" i="30"/>
  <c r="AU1583" i="30"/>
  <c r="AU1584" i="30"/>
  <c r="AU1578" i="30"/>
  <c r="AU1633" i="30"/>
  <c r="AU1425" i="30" l="1"/>
  <c r="AT108" i="30"/>
  <c r="AU108" i="30" s="1"/>
  <c r="AU1286" i="30"/>
  <c r="AU1288" i="30"/>
  <c r="AT6" i="30" l="1"/>
  <c r="AT7" i="30"/>
  <c r="AT8" i="30"/>
  <c r="AT9" i="30"/>
  <c r="AT10" i="30"/>
  <c r="AT11" i="30"/>
  <c r="AU1830" i="30" l="1"/>
  <c r="AU1831" i="30"/>
  <c r="AU1832" i="30"/>
  <c r="AU1833" i="30"/>
  <c r="AU1834" i="30"/>
  <c r="AU1835" i="30"/>
  <c r="AU1836" i="30"/>
  <c r="AU1837" i="30"/>
  <c r="AU1838" i="30"/>
  <c r="AU1839" i="30"/>
  <c r="AU1840" i="30"/>
  <c r="AU1841" i="30"/>
  <c r="AU1842" i="30"/>
  <c r="AU1843" i="30"/>
  <c r="AU1844" i="30"/>
  <c r="AU1845" i="30"/>
  <c r="AU1846" i="30"/>
  <c r="AU1847" i="30"/>
  <c r="AU1848" i="30"/>
  <c r="AU1849" i="30"/>
  <c r="AU1850" i="30"/>
  <c r="AU1851" i="30"/>
  <c r="AU1852" i="30"/>
  <c r="AU1853" i="30"/>
  <c r="AU1854" i="30"/>
  <c r="AU1855" i="30"/>
  <c r="AU1856" i="30"/>
  <c r="AU1857" i="30"/>
  <c r="AU1858" i="30"/>
  <c r="AU1859" i="30"/>
  <c r="AU1860" i="30"/>
  <c r="AU1861" i="30"/>
  <c r="AU1862" i="30"/>
  <c r="AU1863" i="30"/>
  <c r="AU1864" i="30"/>
  <c r="AU1865" i="30"/>
  <c r="AU1866" i="30"/>
  <c r="AU1829" i="30"/>
  <c r="W473" i="30"/>
  <c r="W474" i="30"/>
  <c r="W475" i="30"/>
  <c r="W476" i="30"/>
  <c r="W477" i="30"/>
  <c r="W478" i="30"/>
  <c r="W479" i="30"/>
  <c r="W480" i="30"/>
  <c r="W481" i="30"/>
  <c r="W482" i="30"/>
  <c r="W483" i="30"/>
  <c r="W484" i="30"/>
  <c r="W501" i="30"/>
  <c r="W502" i="30"/>
  <c r="W503" i="30"/>
  <c r="W504" i="30"/>
  <c r="AU6" i="30"/>
  <c r="AU7" i="30"/>
  <c r="AU8" i="30"/>
  <c r="AU9" i="30"/>
  <c r="AU10" i="30"/>
  <c r="AU11" i="30"/>
  <c r="AU1766" i="30"/>
  <c r="AU1765" i="30"/>
  <c r="AU1764" i="30"/>
  <c r="AU1763" i="30"/>
  <c r="AU1762" i="30"/>
  <c r="AU1761" i="30"/>
  <c r="AU1760" i="30"/>
  <c r="AU1759" i="30"/>
  <c r="AU1757" i="30"/>
  <c r="AU1756" i="30"/>
  <c r="AU1755" i="30"/>
  <c r="AU1754" i="30"/>
  <c r="AU1753" i="30"/>
  <c r="AU1752" i="30"/>
  <c r="AU1751" i="30"/>
  <c r="AU1750" i="30"/>
  <c r="AU1749" i="30"/>
  <c r="AU1748" i="30"/>
  <c r="AU1747" i="30"/>
  <c r="AU1746" i="30"/>
  <c r="AU1742" i="30"/>
  <c r="AU1741" i="30"/>
  <c r="AU1736" i="30"/>
  <c r="AU1735" i="30"/>
  <c r="AU1734" i="30"/>
  <c r="AU1733" i="30"/>
  <c r="AU1731" i="30"/>
  <c r="AU1730" i="30"/>
  <c r="AU1729" i="30"/>
  <c r="AU1728" i="30"/>
  <c r="AU1723" i="30"/>
  <c r="AU1722" i="30"/>
  <c r="AU1721" i="30"/>
  <c r="AU1720" i="30"/>
  <c r="AU1719" i="30"/>
  <c r="AU1718" i="30"/>
  <c r="AU1717" i="30"/>
  <c r="AU1716" i="30"/>
  <c r="AU1715" i="30"/>
  <c r="AU1714" i="30"/>
  <c r="AU1713" i="30"/>
  <c r="AU1712" i="30"/>
  <c r="AU1711" i="30"/>
  <c r="AU1710" i="30"/>
  <c r="AU1709" i="30"/>
  <c r="AU1708" i="30"/>
  <c r="AU1707" i="30"/>
  <c r="AU1706" i="30"/>
  <c r="AU1705" i="30"/>
  <c r="AU1704" i="30"/>
  <c r="AU1703" i="30"/>
  <c r="AU1702" i="30"/>
  <c r="AU1701" i="30"/>
  <c r="AU1700" i="30"/>
  <c r="AU1699" i="30"/>
  <c r="AU1698" i="30"/>
  <c r="AU1697" i="30"/>
  <c r="AU1696" i="30"/>
  <c r="AU1695" i="30"/>
  <c r="AU1694" i="30"/>
  <c r="AU1693" i="30"/>
  <c r="AU1692" i="30"/>
  <c r="AU1691" i="30"/>
  <c r="AU1690" i="30"/>
  <c r="AU1689" i="30"/>
  <c r="AU1688" i="30"/>
  <c r="AU1687" i="30"/>
  <c r="AU1686" i="30"/>
  <c r="AU1685" i="30"/>
  <c r="AU1684" i="30"/>
  <c r="AU1683" i="30"/>
  <c r="AU1682" i="30"/>
  <c r="AU1681" i="30"/>
  <c r="AU1680" i="30"/>
  <c r="AU1679" i="30"/>
  <c r="AU1678" i="30"/>
  <c r="AU1677" i="30"/>
  <c r="AU1676" i="30"/>
  <c r="AU1675" i="30"/>
  <c r="AU1674" i="30"/>
  <c r="AU1673" i="30"/>
  <c r="AU1672" i="30"/>
  <c r="AU1671" i="30"/>
  <c r="AU1670" i="30"/>
  <c r="AU1669" i="30"/>
  <c r="AU1668" i="30"/>
  <c r="AU1667" i="30"/>
  <c r="AU1666" i="30"/>
  <c r="AU1665" i="30"/>
  <c r="AU1664" i="30"/>
  <c r="AU1663" i="30"/>
  <c r="AU1662" i="30"/>
  <c r="AU1661" i="30"/>
  <c r="AU1660" i="30"/>
  <c r="AU1659" i="30"/>
  <c r="AU1658" i="30"/>
  <c r="AU1657" i="30"/>
  <c r="AU1656" i="30"/>
  <c r="AU1655" i="30"/>
  <c r="AU1654" i="30"/>
  <c r="AU1653" i="30"/>
  <c r="AU1652" i="30"/>
  <c r="AU1651" i="30"/>
  <c r="AU1650" i="30"/>
  <c r="AU1649" i="30"/>
  <c r="AU1648" i="30"/>
  <c r="AU1647" i="30"/>
  <c r="AU1646" i="30"/>
  <c r="AU1645" i="30"/>
  <c r="AU1644" i="30"/>
  <c r="AU1643" i="30"/>
  <c r="AU1642" i="30"/>
  <c r="AU1641" i="30"/>
  <c r="AU1640" i="30"/>
  <c r="AU1639" i="30"/>
  <c r="AU1638" i="30"/>
  <c r="AU1631" i="30"/>
  <c r="AU1630" i="30"/>
  <c r="AU1629" i="30"/>
  <c r="AU1628" i="30"/>
  <c r="AU1627" i="30"/>
  <c r="AU1626" i="30"/>
  <c r="AU1625" i="30"/>
  <c r="AU1624" i="30"/>
  <c r="AU1623" i="30"/>
  <c r="AU1622" i="30"/>
  <c r="AU1621" i="30"/>
  <c r="AU1620" i="30"/>
  <c r="AU1619" i="30"/>
  <c r="AU1618" i="30"/>
  <c r="AU1617" i="30"/>
  <c r="AU1616" i="30"/>
  <c r="AU1615" i="30"/>
  <c r="AU1614" i="30"/>
  <c r="AU1613" i="30"/>
  <c r="AU1612" i="30"/>
  <c r="AU1611" i="30"/>
  <c r="AU1610" i="30"/>
  <c r="AU1609" i="30"/>
  <c r="AU1608" i="30"/>
  <c r="AU1607" i="30"/>
  <c r="AU1606" i="30"/>
  <c r="AU1577" i="30"/>
  <c r="AU1576" i="30"/>
  <c r="AU1575" i="30"/>
  <c r="AU1574" i="30"/>
  <c r="AU1573" i="30"/>
  <c r="AU1572" i="30"/>
  <c r="AU1571" i="30"/>
  <c r="AU1570" i="30"/>
  <c r="AU1569" i="30"/>
  <c r="AU1568" i="30"/>
  <c r="AU1567" i="30"/>
  <c r="AU1566" i="30"/>
  <c r="AU1565" i="30"/>
  <c r="AU1564" i="30"/>
  <c r="AU1563" i="30"/>
  <c r="AU1562" i="30"/>
  <c r="AU1561" i="30"/>
  <c r="AU1560" i="30"/>
  <c r="AU1559" i="30"/>
  <c r="AU1558" i="30"/>
  <c r="AU1557" i="30"/>
  <c r="AU1556" i="30"/>
  <c r="AU1555" i="30"/>
  <c r="AU1554" i="30"/>
  <c r="AU1553" i="30"/>
  <c r="AU1552" i="30"/>
  <c r="AU1551" i="30"/>
  <c r="AU1550" i="30"/>
  <c r="AU1549" i="30"/>
  <c r="AU1548" i="30"/>
  <c r="AU1547" i="30"/>
  <c r="AU1546" i="30"/>
  <c r="AU1545" i="30"/>
  <c r="AU1544" i="30"/>
  <c r="AU1543" i="30"/>
  <c r="AU1542" i="30"/>
  <c r="AU1541" i="30"/>
  <c r="AU1540" i="30"/>
  <c r="AU1539" i="30"/>
  <c r="AU1538" i="30"/>
  <c r="AU1537" i="30"/>
  <c r="AU1536" i="30"/>
  <c r="AU1535" i="30"/>
  <c r="AU1534" i="30"/>
  <c r="AU1533" i="30"/>
  <c r="AU1532" i="30"/>
  <c r="AU1531" i="30"/>
  <c r="AU1530" i="30"/>
  <c r="AU1529" i="30"/>
  <c r="AU1528" i="30"/>
  <c r="AU1527" i="30"/>
  <c r="AU1526" i="30"/>
  <c r="AU1525" i="30"/>
  <c r="AU1524" i="30"/>
  <c r="AU1523" i="30"/>
  <c r="AU1522" i="30"/>
  <c r="AU1521" i="30"/>
  <c r="AU1520" i="30"/>
  <c r="AU1519" i="30"/>
  <c r="AU1518" i="30"/>
  <c r="AU1517" i="30"/>
  <c r="AU1516" i="30"/>
  <c r="AU1515" i="30"/>
  <c r="AU1498" i="30"/>
  <c r="AU1497" i="30"/>
  <c r="AU1496" i="30"/>
  <c r="AU1495" i="30"/>
  <c r="AU1494" i="30"/>
  <c r="AU1493" i="30"/>
  <c r="AU1492" i="30"/>
  <c r="AU1491" i="30"/>
  <c r="AU1490" i="30"/>
  <c r="AU1489" i="30"/>
  <c r="AU1488" i="30"/>
  <c r="AU1487" i="30"/>
  <c r="AU1486" i="30"/>
  <c r="AU1485" i="30"/>
  <c r="AU1484" i="30"/>
  <c r="AU1483" i="30"/>
  <c r="AU1482" i="30"/>
  <c r="AU1481" i="30"/>
  <c r="AU1480" i="30"/>
  <c r="AU1479" i="30"/>
  <c r="AU1478" i="30"/>
  <c r="AU1477" i="30"/>
  <c r="AU1476" i="30"/>
  <c r="AU1475" i="30"/>
  <c r="AU1474" i="30"/>
  <c r="AU1473" i="30"/>
  <c r="AU1472" i="30"/>
  <c r="AU1438" i="30"/>
  <c r="AU1437" i="30"/>
  <c r="AU1436" i="30"/>
  <c r="AU1435" i="30"/>
  <c r="AU1434" i="30"/>
  <c r="AU1433" i="30"/>
  <c r="AU1432" i="30"/>
  <c r="AU1431" i="30"/>
  <c r="AU1430" i="30"/>
  <c r="AU1429" i="30"/>
  <c r="AU1428" i="30"/>
  <c r="AU1427" i="30"/>
  <c r="AU1426" i="30"/>
  <c r="AU1414" i="30"/>
  <c r="AU1413" i="30"/>
  <c r="AU1412" i="30"/>
  <c r="AU1411" i="30"/>
  <c r="AU1410" i="30"/>
  <c r="AU1409" i="30"/>
  <c r="AU1408" i="30"/>
  <c r="AU1407" i="30"/>
  <c r="AU1406" i="30"/>
  <c r="AU1405" i="30"/>
  <c r="AU1404" i="30"/>
  <c r="AU1403" i="30"/>
  <c r="AU1402" i="30"/>
  <c r="AU1401" i="30"/>
  <c r="AU1400" i="30"/>
  <c r="AU1399" i="30"/>
  <c r="AU1398" i="30"/>
  <c r="AU1397" i="30"/>
  <c r="AU1396" i="30"/>
  <c r="AU1395" i="30"/>
  <c r="AU1394" i="30"/>
  <c r="AU1393" i="30"/>
  <c r="AU1392" i="30"/>
  <c r="AU1371" i="30"/>
  <c r="AU1370" i="30"/>
  <c r="AU1369" i="30"/>
  <c r="AU1359" i="30"/>
  <c r="AU1358" i="30"/>
  <c r="AU1357" i="30"/>
  <c r="AU1356" i="30"/>
  <c r="AU1355" i="30"/>
  <c r="AU1354" i="30"/>
  <c r="AU1353" i="30"/>
  <c r="AU1352" i="30"/>
  <c r="AU1351" i="30"/>
  <c r="AU1350" i="30"/>
  <c r="AU1349" i="30"/>
  <c r="AU1348" i="30"/>
  <c r="AU1347" i="30"/>
  <c r="AU1346" i="30"/>
  <c r="AU1345" i="30"/>
  <c r="AU1344" i="30"/>
  <c r="AU1343" i="30"/>
  <c r="AU1342" i="30"/>
  <c r="AU1341" i="30"/>
  <c r="AU1340" i="30"/>
  <c r="AU1339" i="30"/>
  <c r="AU1338" i="30"/>
  <c r="AU1337" i="30"/>
  <c r="AU1336" i="30"/>
  <c r="AU1335" i="30"/>
  <c r="AU1318" i="30"/>
  <c r="AU1317" i="30"/>
  <c r="AU1316" i="30"/>
  <c r="AU1311" i="30"/>
  <c r="AU1310" i="30"/>
  <c r="AU1309" i="30"/>
  <c r="AU1295" i="30"/>
  <c r="AU1294" i="30"/>
  <c r="AU1293" i="30"/>
  <c r="AU1292" i="30"/>
  <c r="AU1291" i="30"/>
  <c r="AU1290" i="30"/>
  <c r="AU1289" i="30"/>
  <c r="AU1287" i="30"/>
  <c r="AU1262" i="30"/>
  <c r="AU1261" i="30"/>
  <c r="AU1260" i="30"/>
  <c r="AU1259" i="30"/>
  <c r="AU1258" i="30"/>
  <c r="AU1257" i="30"/>
  <c r="AU1256" i="30"/>
  <c r="AU1255" i="30"/>
  <c r="AU1254" i="30"/>
  <c r="AU1253" i="30"/>
  <c r="AU1252" i="30"/>
  <c r="AU1251" i="30"/>
  <c r="AU1250" i="30"/>
  <c r="AU1249" i="30"/>
  <c r="AU1248" i="30"/>
  <c r="AU1247" i="30"/>
  <c r="AU1246" i="30"/>
  <c r="AU1245" i="30"/>
  <c r="AU1244" i="30"/>
  <c r="AU1243" i="30"/>
  <c r="AU1242" i="30"/>
  <c r="AU1241" i="30"/>
  <c r="AU1240" i="30"/>
  <c r="AU1239" i="30"/>
  <c r="AU1238" i="30"/>
  <c r="AU1237" i="30"/>
  <c r="AU1236" i="30"/>
  <c r="AU1235" i="30"/>
  <c r="AU1234" i="30"/>
  <c r="AU1233" i="30"/>
  <c r="AU1232" i="30"/>
  <c r="AU1231" i="30"/>
  <c r="AU1169" i="30"/>
  <c r="AU1168" i="30"/>
  <c r="AU1165" i="30"/>
  <c r="AU1164" i="30"/>
  <c r="AU353" i="30"/>
  <c r="AU352" i="30"/>
  <c r="AU351" i="30"/>
  <c r="AU350" i="30"/>
  <c r="AU349" i="30"/>
  <c r="AU117" i="30"/>
  <c r="AU116" i="30"/>
  <c r="AU115" i="30"/>
  <c r="AU114" i="30"/>
  <c r="AU113" i="30"/>
  <c r="AU112" i="30"/>
  <c r="AU111" i="30"/>
  <c r="AU42" i="30"/>
  <c r="AU41" i="30"/>
  <c r="AU40" i="30"/>
  <c r="AU1810" i="30"/>
  <c r="AU1809" i="30"/>
  <c r="AU1808" i="30"/>
  <c r="AU1807" i="30"/>
  <c r="AU1806" i="30"/>
  <c r="AU1805" i="30"/>
  <c r="AU1804" i="30"/>
  <c r="AU1803" i="30"/>
  <c r="AU1802" i="30"/>
  <c r="AU1801" i="30"/>
  <c r="AU1800" i="30"/>
  <c r="AU1799" i="30"/>
  <c r="AU1798" i="30"/>
  <c r="AU1797" i="30"/>
  <c r="AU1796" i="30"/>
  <c r="AU1795" i="30"/>
  <c r="AU1794" i="30"/>
  <c r="AU1793" i="30"/>
  <c r="AU1792" i="30"/>
  <c r="AU1791" i="30"/>
  <c r="AU1790" i="30"/>
  <c r="AU1789" i="30"/>
  <c r="AU1788" i="30"/>
  <c r="AU1787" i="30"/>
  <c r="AU1786" i="30"/>
  <c r="AU1785" i="30"/>
  <c r="AU1784" i="30"/>
  <c r="AU1783" i="30"/>
  <c r="AU1782" i="30"/>
  <c r="AU1781" i="30"/>
  <c r="AU1780" i="30"/>
  <c r="AU1779" i="30"/>
  <c r="AU1778" i="30"/>
  <c r="AU1777" i="30"/>
  <c r="AU1776" i="30"/>
  <c r="AU1775" i="30"/>
  <c r="AU1774" i="30"/>
  <c r="AU1773" i="30"/>
  <c r="AU1772" i="30"/>
  <c r="AU1771" i="30"/>
  <c r="AU1770" i="30"/>
  <c r="AU1769" i="30"/>
  <c r="AU1768" i="30"/>
  <c r="AU1767" i="30"/>
  <c r="AU1727" i="30"/>
  <c r="AU1726" i="30"/>
  <c r="AU1725" i="30"/>
  <c r="AU1724" i="30"/>
  <c r="AU1637" i="30"/>
  <c r="AU1636" i="30"/>
  <c r="AU1635" i="30"/>
  <c r="AU1634" i="30"/>
  <c r="AU1632" i="30"/>
  <c r="AU1598" i="30"/>
  <c r="AU1597" i="30"/>
  <c r="AU1596" i="30"/>
  <c r="AU1595" i="30"/>
  <c r="AU1594" i="30"/>
  <c r="AU1593" i="30"/>
  <c r="AU1592" i="30"/>
  <c r="AU1591" i="30"/>
  <c r="AU1590" i="30"/>
  <c r="AU1589" i="30"/>
  <c r="AU1588" i="30"/>
  <c r="AU1587" i="30"/>
  <c r="AU1586" i="30"/>
  <c r="AU1585" i="30"/>
  <c r="AU1514" i="30"/>
  <c r="AU1513" i="30"/>
  <c r="AU1512" i="30"/>
  <c r="AU1511" i="30"/>
  <c r="AU1510" i="30"/>
  <c r="AU1509" i="30"/>
  <c r="AU1508" i="30"/>
  <c r="AU1507" i="30"/>
  <c r="AU1506" i="30"/>
  <c r="AU1505" i="30"/>
  <c r="AU1504" i="30"/>
  <c r="AU1503" i="30"/>
  <c r="AU1502" i="30"/>
  <c r="AU1501" i="30"/>
  <c r="AU1500" i="30"/>
  <c r="AU1499" i="30"/>
  <c r="AU1471" i="30"/>
  <c r="AU1470" i="30"/>
  <c r="AU1469" i="30"/>
  <c r="AU1468" i="30"/>
  <c r="AU1467" i="30"/>
  <c r="AU1466" i="30"/>
  <c r="AU1465" i="30"/>
  <c r="AU1464" i="30"/>
  <c r="AU1463" i="30"/>
  <c r="AU1462" i="30"/>
  <c r="AU1461" i="30"/>
  <c r="AU1460" i="30"/>
  <c r="AU1459" i="30"/>
  <c r="AU1458" i="30"/>
  <c r="AU1442" i="30"/>
  <c r="AU1441" i="30"/>
  <c r="AU1440" i="30"/>
  <c r="AU1439" i="30"/>
  <c r="AU1391" i="30"/>
  <c r="AU1389" i="30"/>
  <c r="AU1388" i="30"/>
  <c r="AU1387" i="30"/>
  <c r="AU1386" i="30"/>
  <c r="AU1385" i="30"/>
  <c r="AU1384" i="30"/>
  <c r="AU1383" i="30"/>
  <c r="AU1382" i="30"/>
  <c r="AU1381" i="30"/>
  <c r="AU1380" i="30"/>
  <c r="AU1379" i="30"/>
  <c r="AU1378" i="30"/>
  <c r="AU1377" i="30"/>
  <c r="AU1376" i="30"/>
  <c r="AU1375" i="30"/>
  <c r="AU1374" i="30"/>
  <c r="AU1373" i="30"/>
  <c r="AU1372" i="30"/>
  <c r="AU1334" i="30"/>
  <c r="AU1333" i="30"/>
  <c r="AU1332" i="30"/>
  <c r="AU1331" i="30"/>
  <c r="AU1330" i="30"/>
  <c r="AU1329" i="30"/>
  <c r="AU1328" i="30"/>
  <c r="AU1327" i="30"/>
  <c r="AU1326" i="30"/>
  <c r="AU1325" i="30"/>
  <c r="AU1324" i="30"/>
  <c r="AU1323" i="30"/>
  <c r="AU1322" i="30"/>
  <c r="AU1321" i="30"/>
  <c r="AU1320" i="30"/>
  <c r="AU1319" i="30"/>
  <c r="AU1307" i="30"/>
  <c r="AU1306" i="30"/>
  <c r="AU1305" i="30"/>
  <c r="AU1273" i="30"/>
  <c r="AU1272" i="30"/>
  <c r="AU1271" i="30"/>
  <c r="AU1270" i="30"/>
  <c r="AU1269" i="30"/>
  <c r="AU1268" i="30"/>
  <c r="AU1267" i="30"/>
  <c r="AU1266" i="30"/>
  <c r="AU1265" i="30"/>
  <c r="AU1264" i="30"/>
  <c r="AU1263" i="30"/>
  <c r="AU1230" i="30"/>
  <c r="AU1229" i="30"/>
  <c r="AU1228" i="30"/>
  <c r="AU1227" i="30"/>
  <c r="AU1226" i="30"/>
  <c r="AU1225" i="30"/>
  <c r="AU1224" i="30"/>
  <c r="AU1223" i="30"/>
  <c r="AU1222" i="30"/>
  <c r="AU1221" i="30"/>
  <c r="AU1220" i="30"/>
  <c r="AU1219" i="30"/>
  <c r="AU1218" i="30"/>
  <c r="AU1217" i="30"/>
  <c r="AU1216" i="30"/>
  <c r="AU1215" i="30"/>
  <c r="AU1214" i="30"/>
  <c r="AU1213" i="30"/>
  <c r="AU1212" i="30"/>
  <c r="AU1211" i="30"/>
  <c r="AU1210" i="30"/>
  <c r="AU1209" i="30"/>
  <c r="AU1208" i="30"/>
  <c r="AU1207" i="30"/>
  <c r="AU1206" i="30"/>
  <c r="AU1205" i="30"/>
  <c r="AU1204" i="30"/>
  <c r="AU1203" i="30"/>
  <c r="AU1202" i="30"/>
  <c r="AU1201" i="30"/>
  <c r="AU1200" i="30"/>
  <c r="AU1199" i="30"/>
  <c r="AU1198" i="30"/>
  <c r="AU1197" i="30"/>
  <c r="AU1196" i="30"/>
  <c r="AU1195" i="30"/>
  <c r="AU1194" i="30"/>
  <c r="AU1193" i="30"/>
  <c r="AU1192" i="30"/>
  <c r="AU1191" i="30"/>
  <c r="AU1190" i="30"/>
  <c r="AU1189" i="30"/>
  <c r="AU1188" i="30"/>
  <c r="AU1187" i="30"/>
  <c r="AU1186" i="30"/>
  <c r="AU1185" i="30"/>
  <c r="AU1184" i="30"/>
  <c r="AU1183" i="30"/>
  <c r="AU1182" i="30"/>
  <c r="AU1181" i="30"/>
  <c r="AU1180" i="30"/>
  <c r="AU1179" i="30"/>
  <c r="AU1178" i="30"/>
  <c r="AU1177" i="30"/>
  <c r="AU1176" i="30"/>
  <c r="AU1175" i="30"/>
  <c r="AU1174" i="30"/>
  <c r="AU1173" i="30"/>
  <c r="AU1172" i="30"/>
  <c r="AU1171" i="30"/>
  <c r="AU1170" i="30"/>
  <c r="AU1167" i="30"/>
  <c r="AU275" i="30"/>
  <c r="AU274" i="30"/>
  <c r="AU273" i="30"/>
  <c r="AU272" i="30"/>
  <c r="AU271" i="30"/>
  <c r="AU270" i="30"/>
  <c r="AU269" i="30"/>
  <c r="AU268" i="30"/>
  <c r="AU267" i="30"/>
  <c r="AU266" i="30"/>
  <c r="AU265" i="30"/>
  <c r="AU264" i="30"/>
  <c r="AU263" i="30"/>
  <c r="AU262" i="30"/>
  <c r="AU261" i="30"/>
  <c r="AU260" i="30"/>
  <c r="AU259" i="30"/>
  <c r="AU258" i="30"/>
  <c r="AU257" i="30"/>
  <c r="AU256" i="30"/>
  <c r="AU255" i="30"/>
  <c r="AU254" i="30"/>
  <c r="AU253" i="30"/>
  <c r="AU252" i="30"/>
  <c r="AU251" i="30"/>
  <c r="AU250" i="30"/>
  <c r="AU249" i="30"/>
  <c r="AU248" i="30"/>
  <c r="AU247" i="30"/>
  <c r="AU246" i="30"/>
  <c r="AU245" i="30"/>
  <c r="AU244" i="30"/>
  <c r="AU243" i="30"/>
  <c r="AU242" i="30"/>
  <c r="AU241" i="30"/>
  <c r="AU240" i="30"/>
  <c r="AU187" i="30"/>
  <c r="AU186" i="30"/>
  <c r="AU185" i="30"/>
  <c r="AU184" i="30"/>
  <c r="AU183" i="30"/>
  <c r="AU182" i="30"/>
  <c r="AU181" i="30"/>
  <c r="AU180" i="30"/>
  <c r="AU179" i="30"/>
  <c r="AU178" i="30"/>
  <c r="AU177" i="30"/>
  <c r="AU176" i="30"/>
  <c r="AU175" i="30"/>
  <c r="AU174" i="30"/>
  <c r="AU173" i="30"/>
  <c r="AU172" i="30"/>
  <c r="AU171" i="30"/>
  <c r="AU170" i="30"/>
  <c r="AU169" i="30"/>
  <c r="AU168" i="30"/>
  <c r="AU167" i="30"/>
  <c r="AU166" i="30"/>
  <c r="AU165" i="30"/>
  <c r="AU164" i="30"/>
  <c r="AU163" i="30"/>
  <c r="AU162" i="30"/>
  <c r="AU161" i="30"/>
  <c r="AU160" i="30"/>
  <c r="AU159" i="30"/>
  <c r="AU158" i="30"/>
  <c r="AU157" i="30"/>
  <c r="AU156" i="30"/>
  <c r="AU155" i="30"/>
  <c r="AU154" i="30"/>
  <c r="AU153" i="30"/>
  <c r="AU152" i="30"/>
  <c r="AU151" i="30"/>
  <c r="AU150" i="30"/>
  <c r="AU149" i="30"/>
  <c r="AU148" i="30"/>
  <c r="AU147" i="30"/>
  <c r="AU146" i="30"/>
  <c r="AU145" i="30"/>
  <c r="AU144" i="30"/>
  <c r="AU143" i="30"/>
  <c r="AU142" i="30"/>
  <c r="AU141" i="30"/>
  <c r="AU140" i="30"/>
  <c r="AU139" i="30"/>
  <c r="AU138" i="30"/>
  <c r="AU137" i="30"/>
  <c r="AU136" i="30"/>
  <c r="AU135" i="30"/>
  <c r="AU134" i="30"/>
  <c r="AU133" i="30"/>
  <c r="AU132" i="30"/>
  <c r="AU131" i="30"/>
  <c r="AU130" i="30"/>
  <c r="AU129" i="30"/>
  <c r="AU128" i="30"/>
  <c r="AU38" i="30"/>
  <c r="AU37" i="30"/>
  <c r="AU36" i="30"/>
  <c r="AU35" i="30"/>
  <c r="AU34" i="30"/>
  <c r="AU33" i="30"/>
  <c r="AU32" i="30"/>
  <c r="AU31" i="30"/>
  <c r="AU30" i="30"/>
  <c r="AU29" i="30"/>
  <c r="AU28" i="30"/>
  <c r="AU27" i="30"/>
  <c r="AU1361" i="30"/>
  <c r="AU1362" i="30"/>
  <c r="AU1363" i="30"/>
  <c r="AU1364" i="30"/>
  <c r="AU1365" i="30"/>
  <c r="AU1366" i="30"/>
  <c r="AU1367" i="30"/>
  <c r="AU1368" i="30"/>
  <c r="AU1360" i="30"/>
  <c r="AU307" i="30"/>
  <c r="AU308" i="30"/>
  <c r="AU309" i="30"/>
  <c r="AU310" i="30"/>
  <c r="AU311" i="30"/>
  <c r="AU312" i="30"/>
  <c r="AU313" i="30"/>
  <c r="AU306" i="30"/>
  <c r="AT188" i="30"/>
  <c r="AU188" i="30" s="1"/>
  <c r="AT189" i="30"/>
  <c r="AU189" i="30" s="1"/>
  <c r="AT276" i="30"/>
  <c r="AU276" i="30" s="1"/>
  <c r="AT277" i="30"/>
  <c r="AU277" i="30" s="1"/>
  <c r="AT278" i="30"/>
  <c r="AU278" i="30" s="1"/>
  <c r="AT279" i="30"/>
  <c r="AU279" i="30" s="1"/>
  <c r="AT280" i="30"/>
  <c r="AU280" i="30" s="1"/>
  <c r="AT281" i="30"/>
  <c r="AU281" i="30" s="1"/>
  <c r="AT282" i="30"/>
  <c r="AU282" i="30" s="1"/>
  <c r="AT283" i="30"/>
  <c r="AU283" i="30" s="1"/>
  <c r="AT284" i="30"/>
  <c r="AU284" i="30" s="1"/>
  <c r="AT285" i="30"/>
  <c r="AU285" i="30" s="1"/>
  <c r="AT286" i="30"/>
  <c r="AU286" i="30" s="1"/>
  <c r="AT287" i="30"/>
  <c r="AU287" i="30" s="1"/>
  <c r="AT288" i="30"/>
  <c r="AU288" i="30" s="1"/>
  <c r="AT289" i="30"/>
  <c r="AU289" i="30" s="1"/>
  <c r="AT290" i="30"/>
  <c r="AU290" i="30" s="1"/>
  <c r="AT291" i="30"/>
  <c r="AU291" i="30" s="1"/>
  <c r="AT292" i="30"/>
  <c r="AU292" i="30" s="1"/>
  <c r="AT293" i="30"/>
  <c r="AU293" i="30" s="1"/>
  <c r="AT294" i="30"/>
  <c r="AU294" i="30" s="1"/>
  <c r="AT295" i="30"/>
  <c r="AU295" i="30" s="1"/>
  <c r="AT296" i="30"/>
  <c r="AU296" i="30" s="1"/>
  <c r="AT297" i="30"/>
  <c r="AU297" i="30" s="1"/>
  <c r="AT298" i="30"/>
  <c r="AU298" i="30" s="1"/>
  <c r="AT299" i="30"/>
  <c r="AU299" i="30" s="1"/>
  <c r="AT300" i="30"/>
  <c r="AU300" i="30" s="1"/>
  <c r="AT301" i="30"/>
  <c r="AU301" i="30" s="1"/>
  <c r="AT302" i="30"/>
  <c r="AU302" i="30" s="1"/>
  <c r="AT303" i="30"/>
  <c r="AU303" i="30" s="1"/>
  <c r="AT304" i="30"/>
  <c r="AU304" i="30" s="1"/>
  <c r="AT305" i="30"/>
  <c r="AU305" i="30" s="1"/>
  <c r="AT306" i="30"/>
  <c r="AT307" i="30"/>
  <c r="AT308" i="30"/>
  <c r="AT309" i="30"/>
  <c r="AT230" i="30"/>
  <c r="AU230" i="30" s="1"/>
  <c r="AT231" i="30"/>
  <c r="AU231" i="30" s="1"/>
  <c r="AT232" i="30"/>
  <c r="AU232" i="30" s="1"/>
  <c r="AT233" i="30"/>
  <c r="AU233" i="30" s="1"/>
  <c r="AT234" i="30"/>
  <c r="AU234" i="30" s="1"/>
  <c r="AT235" i="30"/>
  <c r="AU235" i="30" s="1"/>
  <c r="AT236" i="30"/>
  <c r="AU236" i="30" s="1"/>
  <c r="AT237" i="30"/>
  <c r="AU237" i="30" s="1"/>
  <c r="AT238" i="30"/>
  <c r="AU238" i="30" s="1"/>
  <c r="AT239" i="30"/>
  <c r="AU239" i="30" s="1"/>
  <c r="W1098" i="30"/>
  <c r="W1097" i="30"/>
  <c r="W1096" i="30"/>
  <c r="W1095" i="30"/>
  <c r="W1094" i="30"/>
  <c r="X1093" i="30"/>
  <c r="X1092" i="30"/>
  <c r="X1091" i="30"/>
  <c r="X1090" i="30"/>
  <c r="X1082" i="30"/>
  <c r="X1081" i="30"/>
  <c r="X1079" i="30"/>
  <c r="X1074" i="30"/>
  <c r="J1148" i="30"/>
  <c r="J1147" i="30"/>
  <c r="J1146" i="30"/>
  <c r="J1145" i="30"/>
  <c r="J1144" i="30"/>
  <c r="J1143" i="30"/>
  <c r="J1142" i="30"/>
  <c r="J1141" i="30"/>
  <c r="J1099" i="30"/>
  <c r="J1098" i="30"/>
  <c r="J1097" i="30"/>
  <c r="J1096" i="30"/>
  <c r="J1095" i="30"/>
  <c r="J1094" i="30"/>
  <c r="J1093" i="30"/>
  <c r="J1092" i="30"/>
  <c r="J1091" i="30"/>
  <c r="J1090" i="30"/>
  <c r="J1089" i="30"/>
  <c r="J1084" i="30"/>
  <c r="J1083" i="30"/>
  <c r="J1082" i="30"/>
  <c r="J1081" i="30"/>
  <c r="J1080" i="30"/>
  <c r="J1079" i="30"/>
  <c r="J1078" i="30"/>
  <c r="J1077" i="30"/>
  <c r="J1076" i="30"/>
  <c r="J1075" i="30"/>
  <c r="J1074" i="30"/>
  <c r="J1073" i="30"/>
  <c r="J1072" i="30"/>
  <c r="W1071" i="30"/>
  <c r="W1070" i="30"/>
  <c r="W1069" i="30"/>
  <c r="W1068" i="30"/>
  <c r="W1067" i="30"/>
  <c r="W1066" i="30"/>
  <c r="W1065" i="30"/>
  <c r="W1064" i="30"/>
  <c r="W1063" i="30"/>
  <c r="W1062" i="30"/>
  <c r="W1061" i="30"/>
  <c r="W1060" i="30"/>
  <c r="J1071" i="30"/>
  <c r="J1070" i="30"/>
  <c r="J1069" i="30"/>
  <c r="J1068" i="30"/>
  <c r="J1067" i="30"/>
  <c r="J1066" i="30"/>
  <c r="J1065" i="30"/>
  <c r="J1064" i="30"/>
  <c r="J1063" i="30"/>
  <c r="J1062" i="30"/>
  <c r="J1061" i="30"/>
  <c r="J1060" i="30"/>
  <c r="J1059" i="30"/>
  <c r="J1058" i="30"/>
  <c r="J1057" i="30"/>
  <c r="J1056" i="30"/>
  <c r="W999" i="30"/>
  <c r="W998" i="30"/>
  <c r="W996" i="30"/>
  <c r="W995" i="30"/>
  <c r="W994" i="30"/>
  <c r="W993" i="30"/>
  <c r="W992" i="30"/>
  <c r="W991" i="30"/>
  <c r="W990" i="30"/>
  <c r="W989" i="30"/>
  <c r="W988" i="30"/>
  <c r="W987" i="30"/>
  <c r="W986" i="30"/>
  <c r="W985" i="30"/>
  <c r="J972" i="30"/>
  <c r="J973" i="30"/>
  <c r="J974" i="30"/>
  <c r="J975" i="30"/>
  <c r="J976" i="30"/>
  <c r="J977" i="30"/>
  <c r="J978" i="30"/>
  <c r="J979" i="30"/>
  <c r="J980" i="30"/>
  <c r="J961" i="30"/>
  <c r="J962" i="30"/>
  <c r="J963" i="30"/>
  <c r="J964" i="30"/>
  <c r="J965" i="30"/>
  <c r="J966" i="30"/>
  <c r="J967" i="30"/>
  <c r="J968" i="30"/>
  <c r="J969" i="30"/>
  <c r="J970" i="30"/>
  <c r="J971" i="30"/>
  <c r="J911" i="30"/>
  <c r="J912" i="30"/>
  <c r="J913" i="30"/>
  <c r="J914" i="30"/>
  <c r="J915" i="30"/>
  <c r="J916" i="30"/>
  <c r="J917" i="30"/>
  <c r="J918" i="30"/>
  <c r="J919" i="30"/>
  <c r="J920" i="30"/>
  <c r="J921" i="30"/>
  <c r="J910" i="30"/>
  <c r="J909" i="30"/>
  <c r="J908" i="30"/>
  <c r="J907" i="30"/>
  <c r="J906" i="30"/>
  <c r="J960" i="30"/>
  <c r="J959" i="30"/>
  <c r="J958" i="30"/>
  <c r="J957" i="30"/>
  <c r="J956" i="30"/>
  <c r="J955" i="30"/>
  <c r="J954" i="30"/>
  <c r="J953" i="30"/>
  <c r="J952" i="30"/>
  <c r="J951" i="30"/>
  <c r="J950" i="30"/>
  <c r="J948" i="30"/>
  <c r="J947" i="30"/>
  <c r="J946" i="30"/>
  <c r="J945" i="30"/>
  <c r="J944" i="30"/>
  <c r="J943" i="30"/>
  <c r="J942" i="30"/>
  <c r="J941" i="30"/>
  <c r="J940" i="30"/>
  <c r="J931" i="30"/>
  <c r="J932" i="30"/>
  <c r="J933" i="30"/>
  <c r="J934" i="30"/>
  <c r="J935" i="30"/>
  <c r="J936" i="30"/>
  <c r="J937" i="30"/>
  <c r="J938" i="30"/>
  <c r="J939" i="30"/>
  <c r="J930" i="30"/>
  <c r="V960" i="30"/>
  <c r="V959" i="30"/>
  <c r="V958" i="30"/>
  <c r="V957" i="30"/>
  <c r="W956" i="30"/>
  <c r="W955" i="30"/>
  <c r="W954" i="30"/>
  <c r="X953" i="30"/>
  <c r="X952" i="30"/>
  <c r="X951" i="30"/>
  <c r="V949" i="30"/>
  <c r="V948" i="30"/>
  <c r="V947" i="30"/>
  <c r="V946" i="30"/>
  <c r="W945" i="30"/>
  <c r="W944" i="30"/>
  <c r="W943" i="30"/>
  <c r="X942" i="30"/>
  <c r="X941" i="30"/>
  <c r="X940" i="30"/>
  <c r="W929" i="30"/>
  <c r="W928" i="30"/>
  <c r="W927" i="30"/>
  <c r="W926" i="30"/>
  <c r="W923" i="30"/>
  <c r="X911" i="30"/>
  <c r="X912" i="30"/>
  <c r="X913" i="30"/>
  <c r="X914" i="30"/>
  <c r="X915" i="30"/>
  <c r="X916" i="30"/>
  <c r="X917" i="30"/>
  <c r="X918" i="30"/>
  <c r="X919" i="30"/>
  <c r="X920" i="30"/>
  <c r="X921" i="30"/>
  <c r="X910" i="30"/>
  <c r="X840" i="30"/>
  <c r="X841" i="30"/>
  <c r="X839" i="30"/>
  <c r="W833" i="30"/>
  <c r="W832" i="30"/>
  <c r="W831" i="30"/>
  <c r="W830" i="30"/>
  <c r="W829" i="30"/>
  <c r="W828" i="30"/>
  <c r="W827" i="30"/>
  <c r="W825" i="30"/>
  <c r="W826" i="30"/>
  <c r="W824" i="30"/>
  <c r="X731" i="30"/>
  <c r="J731" i="30"/>
  <c r="J730" i="30"/>
  <c r="J729" i="30"/>
  <c r="W713" i="30"/>
  <c r="W712" i="30"/>
  <c r="W711" i="30"/>
  <c r="V665" i="30"/>
  <c r="W656" i="30"/>
  <c r="X655" i="30"/>
  <c r="X651" i="30"/>
  <c r="X650" i="30"/>
  <c r="V649" i="30"/>
  <c r="V648" i="30"/>
  <c r="V647" i="30"/>
  <c r="V646" i="30"/>
  <c r="AF645" i="30"/>
  <c r="AF643" i="30"/>
  <c r="AF642" i="30"/>
  <c r="AF637" i="30"/>
  <c r="AF636" i="30"/>
  <c r="AF634" i="30"/>
  <c r="AF633" i="30"/>
  <c r="V635" i="30"/>
  <c r="AF632" i="30"/>
  <c r="V632" i="30"/>
  <c r="L632" i="30" s="1"/>
  <c r="AF631" i="30"/>
  <c r="V631" i="30"/>
  <c r="L631" i="30" s="1"/>
  <c r="AF630" i="30"/>
  <c r="AF629" i="30"/>
  <c r="V630" i="30"/>
  <c r="L630" i="30" s="1"/>
  <c r="V629" i="30"/>
  <c r="L629" i="30" s="1"/>
  <c r="AF628" i="30"/>
  <c r="AF618" i="30"/>
  <c r="AT617" i="30"/>
  <c r="AU617" i="30" s="1"/>
  <c r="AF615" i="30"/>
  <c r="AF612" i="30"/>
  <c r="AF611" i="30"/>
  <c r="AF609" i="30"/>
  <c r="AG608" i="30"/>
  <c r="AG607" i="30"/>
  <c r="AF519" i="30"/>
  <c r="W506" i="30"/>
  <c r="W505" i="30"/>
  <c r="AJ524" i="30"/>
  <c r="AJ540" i="30"/>
  <c r="AJ535" i="30"/>
  <c r="AJ529" i="30"/>
  <c r="AJ533" i="30"/>
  <c r="AJ542" i="30"/>
  <c r="AJ543" i="30"/>
  <c r="AJ544" i="30"/>
  <c r="AJ530" i="30"/>
  <c r="AJ537" i="30"/>
  <c r="AJ538" i="30"/>
  <c r="AJ539" i="30"/>
  <c r="AJ534" i="30"/>
  <c r="AJ541" i="30"/>
  <c r="AJ536" i="30"/>
  <c r="AJ531" i="30"/>
  <c r="AA1361" i="30"/>
  <c r="AA1362" i="30"/>
  <c r="AA1363" i="30"/>
  <c r="AA1364" i="30"/>
  <c r="AA1365" i="30"/>
  <c r="AA1366" i="30"/>
  <c r="AA1367" i="30"/>
  <c r="AA1368" i="30"/>
  <c r="AA1370" i="30"/>
  <c r="AA1371" i="30"/>
  <c r="AA1384" i="30"/>
  <c r="AA1385" i="30"/>
  <c r="AA1386" i="30"/>
  <c r="AA1387" i="30"/>
  <c r="AA1388" i="30"/>
  <c r="AA1581" i="30"/>
  <c r="X1594" i="30"/>
  <c r="X1595" i="30"/>
  <c r="X1596" i="30"/>
  <c r="X1597" i="30"/>
  <c r="X1598" i="30"/>
  <c r="X1593" i="30"/>
  <c r="X1401" i="30"/>
  <c r="X1400" i="30"/>
  <c r="X1358" i="30"/>
  <c r="X1356" i="30"/>
  <c r="X1318" i="30"/>
  <c r="X1317" i="30"/>
  <c r="V1703" i="30"/>
  <c r="V1702" i="30"/>
  <c r="V1701" i="30"/>
  <c r="V1700" i="30"/>
  <c r="V1699" i="30"/>
  <c r="V1698" i="30"/>
  <c r="V1694" i="30"/>
  <c r="V1693" i="30"/>
  <c r="V1692" i="30"/>
  <c r="V1691" i="30"/>
  <c r="V1690" i="30"/>
  <c r="V1689" i="30"/>
  <c r="V1676" i="30"/>
  <c r="V1675" i="30"/>
  <c r="V1674" i="30"/>
  <c r="V1673" i="30"/>
  <c r="V1672" i="30"/>
  <c r="V1671" i="30"/>
  <c r="V1670" i="30"/>
  <c r="V1669" i="30"/>
  <c r="V1668" i="30"/>
  <c r="V1667" i="30"/>
  <c r="V1666" i="30"/>
  <c r="V1665" i="30"/>
  <c r="V1664" i="30"/>
  <c r="V1663" i="30"/>
  <c r="V1662" i="30"/>
  <c r="V1661" i="30"/>
  <c r="V1660" i="30"/>
  <c r="V1659" i="30"/>
  <c r="V1658" i="30"/>
  <c r="V1657" i="30"/>
  <c r="V1656" i="30"/>
  <c r="V1655" i="30"/>
  <c r="V1654" i="30"/>
  <c r="V1653" i="30"/>
  <c r="V1652" i="30"/>
  <c r="V1651" i="30"/>
  <c r="V1650" i="30"/>
  <c r="V1649" i="30"/>
  <c r="V1648" i="30"/>
  <c r="V1647" i="30"/>
  <c r="V1646" i="30"/>
  <c r="V1645" i="30"/>
  <c r="V1644" i="30"/>
  <c r="V1643" i="30"/>
  <c r="V1642" i="30"/>
  <c r="V1641" i="30"/>
  <c r="V1640" i="30"/>
  <c r="V1639" i="30"/>
  <c r="V1638" i="30"/>
  <c r="V1520" i="30"/>
  <c r="V1519" i="30"/>
  <c r="V1535" i="30"/>
  <c r="V1534" i="30"/>
  <c r="W1514" i="30"/>
  <c r="V1514" i="30"/>
  <c r="V1510" i="30"/>
  <c r="V1509" i="30"/>
  <c r="V1508" i="30"/>
  <c r="V1383" i="30"/>
  <c r="V1382" i="30"/>
  <c r="V1381" i="30"/>
  <c r="V1379" i="30"/>
  <c r="V1378" i="30"/>
  <c r="V1377" i="30"/>
  <c r="V1376" i="30"/>
  <c r="V1375" i="30"/>
  <c r="V1374" i="30"/>
  <c r="V1332" i="30"/>
  <c r="V1331" i="30"/>
  <c r="V1328" i="30"/>
  <c r="V1327" i="30"/>
  <c r="V1326" i="30"/>
  <c r="V1325" i="30"/>
  <c r="V1318" i="30"/>
  <c r="W1344" i="30"/>
  <c r="W1348" i="30"/>
  <c r="W1355" i="30"/>
  <c r="W1357" i="30"/>
  <c r="W1511" i="30"/>
  <c r="W1512" i="30"/>
  <c r="W1513" i="30"/>
  <c r="W1584" i="30"/>
  <c r="W1583" i="30"/>
  <c r="W1705" i="30"/>
  <c r="L1705" i="30" s="1"/>
  <c r="W1710" i="30"/>
  <c r="L1710" i="30" s="1"/>
  <c r="W1711" i="30"/>
  <c r="L1711" i="30" s="1"/>
  <c r="J1766" i="30"/>
  <c r="J1765" i="30"/>
  <c r="J1764" i="30"/>
  <c r="J1763" i="30"/>
  <c r="J1762" i="30"/>
  <c r="J1761" i="30"/>
  <c r="J1760" i="30"/>
  <c r="J1759" i="30"/>
  <c r="AT1605" i="30"/>
  <c r="AU1605" i="30" s="1"/>
  <c r="AT1604" i="30"/>
  <c r="AU1604" i="30" s="1"/>
  <c r="AT1603" i="30"/>
  <c r="AU1603" i="30" s="1"/>
  <c r="AT1602" i="30"/>
  <c r="AU1602" i="30" s="1"/>
  <c r="AT1600" i="30"/>
  <c r="AU1600" i="30" s="1"/>
  <c r="AT1601" i="30"/>
  <c r="AU1601" i="30" s="1"/>
  <c r="AT1599" i="30"/>
  <c r="AU1599" i="30" s="1"/>
  <c r="AF1522" i="30"/>
  <c r="AF1520" i="30"/>
  <c r="AF1519" i="30"/>
  <c r="AA1634" i="30"/>
  <c r="AA1487" i="30"/>
  <c r="AA1486" i="30"/>
  <c r="AA1485" i="30"/>
  <c r="AA1484" i="30"/>
  <c r="AA1483" i="30"/>
  <c r="AA1482" i="30"/>
  <c r="AA1481" i="30"/>
  <c r="AA1480" i="30"/>
  <c r="AA1479" i="30"/>
  <c r="AA1478" i="30"/>
  <c r="AA1477" i="30"/>
  <c r="AA1476" i="30"/>
  <c r="AA1475" i="30"/>
  <c r="AA1474" i="30"/>
  <c r="AA1473" i="30"/>
  <c r="AA1472" i="30"/>
  <c r="V1635" i="30"/>
  <c r="V1627" i="30"/>
  <c r="V1622" i="30"/>
  <c r="V1617" i="30"/>
  <c r="V1615" i="30"/>
  <c r="V1614" i="30"/>
  <c r="V1426" i="30"/>
  <c r="V1425" i="30"/>
  <c r="V1424" i="30"/>
  <c r="V1423" i="30"/>
  <c r="W1396" i="30"/>
  <c r="V1396" i="30"/>
  <c r="W1395" i="30"/>
  <c r="V1395" i="30"/>
  <c r="W1394" i="30"/>
  <c r="V1394" i="30"/>
  <c r="W1393" i="30"/>
  <c r="V1393" i="30"/>
  <c r="W1392" i="30"/>
  <c r="V1392" i="30"/>
  <c r="W1350" i="30"/>
  <c r="W1349" i="30"/>
  <c r="W1346" i="30"/>
  <c r="W1345" i="30"/>
  <c r="W1273" i="30"/>
  <c r="W1272" i="30"/>
  <c r="W1271" i="30"/>
  <c r="W1270" i="30"/>
  <c r="W1269" i="30"/>
  <c r="W1268" i="30"/>
  <c r="W1267" i="30"/>
  <c r="W1266" i="30"/>
  <c r="W1265" i="30"/>
  <c r="W1264" i="30"/>
  <c r="W1263" i="30"/>
  <c r="W1262" i="30"/>
  <c r="W1261" i="30"/>
  <c r="W1260" i="30"/>
  <c r="W1259" i="30"/>
  <c r="W1258" i="30"/>
  <c r="W1257" i="30"/>
  <c r="W1256" i="30"/>
  <c r="W1255" i="30"/>
  <c r="W1254" i="30"/>
  <c r="W1253" i="30"/>
  <c r="W1252" i="30"/>
  <c r="W1251" i="30"/>
  <c r="W1250" i="30"/>
  <c r="W1249" i="30"/>
  <c r="W1248" i="30"/>
  <c r="W1247" i="30"/>
  <c r="W1246" i="30"/>
  <c r="W1245" i="30"/>
  <c r="W1244" i="30"/>
  <c r="W1243" i="30"/>
  <c r="W1242" i="30"/>
  <c r="W1241" i="30"/>
  <c r="W1240" i="30"/>
  <c r="W1239" i="30"/>
  <c r="W1238" i="30"/>
  <c r="W1237" i="30"/>
  <c r="W1236" i="30"/>
  <c r="W1235" i="30"/>
  <c r="W1234" i="30"/>
  <c r="W1233" i="30"/>
  <c r="W1232" i="30"/>
  <c r="W1231" i="30"/>
  <c r="AT2" i="30"/>
  <c r="AU2" i="30" s="1"/>
  <c r="AT3" i="30"/>
  <c r="AU3" i="30" s="1"/>
  <c r="AT4" i="30"/>
  <c r="AU4" i="30" s="1"/>
  <c r="AT5" i="30"/>
  <c r="AU5" i="30" s="1"/>
  <c r="AT12" i="30"/>
  <c r="AU12" i="30" s="1"/>
  <c r="AT13" i="30"/>
  <c r="AU13" i="30" s="1"/>
  <c r="AT14" i="30"/>
  <c r="AU14" i="30" s="1"/>
  <c r="AT15" i="30"/>
  <c r="AU15" i="30" s="1"/>
  <c r="AT16" i="30"/>
  <c r="AU16" i="30" s="1"/>
  <c r="AT17" i="30"/>
  <c r="AU17" i="30" s="1"/>
  <c r="AT18" i="30"/>
  <c r="AU18" i="30" s="1"/>
  <c r="AT19" i="30"/>
  <c r="AU19" i="30" s="1"/>
  <c r="AT20" i="30"/>
  <c r="AU20" i="30" s="1"/>
  <c r="AT21" i="30"/>
  <c r="AU21" i="30" s="1"/>
  <c r="AT22" i="30"/>
  <c r="AU22" i="30" s="1"/>
  <c r="AT23" i="30"/>
  <c r="AU23" i="30" s="1"/>
  <c r="AT24" i="30"/>
  <c r="AU24" i="30" s="1"/>
  <c r="AT25" i="30"/>
  <c r="AU25" i="30" s="1"/>
  <c r="AT26" i="30"/>
  <c r="AU26" i="30" s="1"/>
  <c r="AT43" i="30"/>
  <c r="AU43" i="30" s="1"/>
  <c r="AT44" i="30"/>
  <c r="AU44" i="30" s="1"/>
  <c r="AT45" i="30"/>
  <c r="AU45" i="30" s="1"/>
  <c r="AT46" i="30"/>
  <c r="AU46" i="30" s="1"/>
  <c r="AT47" i="30"/>
  <c r="AU47" i="30" s="1"/>
  <c r="AT48" i="30"/>
  <c r="AU48" i="30" s="1"/>
  <c r="AT49" i="30"/>
  <c r="AU49" i="30" s="1"/>
  <c r="AT50" i="30"/>
  <c r="AU50" i="30" s="1"/>
  <c r="AT51" i="30"/>
  <c r="AU51" i="30" s="1"/>
  <c r="AT52" i="30"/>
  <c r="AU52" i="30" s="1"/>
  <c r="AT53" i="30"/>
  <c r="AU53" i="30" s="1"/>
  <c r="AT54" i="30"/>
  <c r="AU54" i="30" s="1"/>
  <c r="AT55" i="30"/>
  <c r="AU55" i="30" s="1"/>
  <c r="AT56" i="30"/>
  <c r="AU56" i="30" s="1"/>
  <c r="AT57" i="30"/>
  <c r="AU57" i="30" s="1"/>
  <c r="AT58" i="30"/>
  <c r="AU58" i="30" s="1"/>
  <c r="AT59" i="30"/>
  <c r="AU59" i="30" s="1"/>
  <c r="AT60" i="30"/>
  <c r="AU60" i="30" s="1"/>
  <c r="AT61" i="30"/>
  <c r="AU61" i="30" s="1"/>
  <c r="AT62" i="30"/>
  <c r="AU62" i="30" s="1"/>
  <c r="AT63" i="30"/>
  <c r="AU63" i="30" s="1"/>
  <c r="AT64" i="30"/>
  <c r="AU64" i="30" s="1"/>
  <c r="AT65" i="30"/>
  <c r="AU65" i="30" s="1"/>
  <c r="AT66" i="30"/>
  <c r="AU66" i="30" s="1"/>
  <c r="AT67" i="30"/>
  <c r="AU67" i="30" s="1"/>
  <c r="AT68" i="30"/>
  <c r="AU68" i="30" s="1"/>
  <c r="AT69" i="30"/>
  <c r="AU69" i="30" s="1"/>
  <c r="AT70" i="30"/>
  <c r="AU70" i="30" s="1"/>
  <c r="AT71" i="30"/>
  <c r="AU71" i="30" s="1"/>
  <c r="AT72" i="30"/>
  <c r="AU72" i="30" s="1"/>
  <c r="AT73" i="30"/>
  <c r="AU73" i="30" s="1"/>
  <c r="AT74" i="30"/>
  <c r="AU74" i="30" s="1"/>
  <c r="AT75" i="30"/>
  <c r="AU75" i="30" s="1"/>
  <c r="AT76" i="30"/>
  <c r="AU76" i="30" s="1"/>
  <c r="AT77" i="30"/>
  <c r="AU77" i="30" s="1"/>
  <c r="AT78" i="30"/>
  <c r="AU78" i="30" s="1"/>
  <c r="AT79" i="30"/>
  <c r="AU79" i="30" s="1"/>
  <c r="AT80" i="30"/>
  <c r="AU80" i="30" s="1"/>
  <c r="AT81" i="30"/>
  <c r="AU81" i="30" s="1"/>
  <c r="AT82" i="30"/>
  <c r="AU82" i="30" s="1"/>
  <c r="AT83" i="30"/>
  <c r="AU83" i="30" s="1"/>
  <c r="AT84" i="30"/>
  <c r="AU84" i="30" s="1"/>
  <c r="AT85" i="30"/>
  <c r="AU85" i="30" s="1"/>
  <c r="AT86" i="30"/>
  <c r="AU86" i="30" s="1"/>
  <c r="AT87" i="30"/>
  <c r="AU87" i="30" s="1"/>
  <c r="AT88" i="30"/>
  <c r="AU88" i="30" s="1"/>
  <c r="AT89" i="30"/>
  <c r="AU89" i="30" s="1"/>
  <c r="AT93" i="30"/>
  <c r="AU93" i="30" s="1"/>
  <c r="AT94" i="30"/>
  <c r="AU94" i="30" s="1"/>
  <c r="AT95" i="30"/>
  <c r="AU95" i="30" s="1"/>
  <c r="AT96" i="30"/>
  <c r="AU96" i="30" s="1"/>
  <c r="AT97" i="30"/>
  <c r="AU97" i="30" s="1"/>
  <c r="AT98" i="30"/>
  <c r="AU98" i="30" s="1"/>
  <c r="AT99" i="30"/>
  <c r="AU99" i="30" s="1"/>
  <c r="AT100" i="30"/>
  <c r="AU100" i="30" s="1"/>
  <c r="AT101" i="30"/>
  <c r="AU101" i="30" s="1"/>
  <c r="AT102" i="30"/>
  <c r="AU102" i="30" s="1"/>
  <c r="AT103" i="30"/>
  <c r="AU103" i="30" s="1"/>
  <c r="AT104" i="30"/>
  <c r="AU104" i="30" s="1"/>
  <c r="AT105" i="30"/>
  <c r="AU105" i="30" s="1"/>
  <c r="AT106" i="30"/>
  <c r="AU106" i="30" s="1"/>
  <c r="AT107" i="30"/>
  <c r="AU107" i="30" s="1"/>
  <c r="AT109" i="30"/>
  <c r="AU109" i="30" s="1"/>
  <c r="AT110" i="30"/>
  <c r="AU110" i="30" s="1"/>
  <c r="AT118" i="30"/>
  <c r="AU118" i="30" s="1"/>
  <c r="AT119" i="30"/>
  <c r="AU119" i="30" s="1"/>
  <c r="AT120" i="30"/>
  <c r="AU120" i="30" s="1"/>
  <c r="AT121" i="30"/>
  <c r="AU121" i="30" s="1"/>
  <c r="AT122" i="30"/>
  <c r="AU122" i="30" s="1"/>
  <c r="AT123" i="30"/>
  <c r="AU123" i="30" s="1"/>
  <c r="AT124" i="30"/>
  <c r="AU124" i="30" s="1"/>
  <c r="AT125" i="30"/>
  <c r="AU125" i="30" s="1"/>
  <c r="AT126" i="30"/>
  <c r="AU126" i="30" s="1"/>
  <c r="AT127" i="30"/>
  <c r="AU127" i="30" s="1"/>
  <c r="AT190" i="30"/>
  <c r="AU190" i="30" s="1"/>
  <c r="AT191" i="30"/>
  <c r="AU191" i="30" s="1"/>
  <c r="AT192" i="30"/>
  <c r="AU192" i="30" s="1"/>
  <c r="AT193" i="30"/>
  <c r="AU193" i="30" s="1"/>
  <c r="AT194" i="30"/>
  <c r="AU194" i="30" s="1"/>
  <c r="AT195" i="30"/>
  <c r="AU195" i="30" s="1"/>
  <c r="AT196" i="30"/>
  <c r="AU196" i="30" s="1"/>
  <c r="AT197" i="30"/>
  <c r="AU197" i="30" s="1"/>
  <c r="AT198" i="30"/>
  <c r="AU198" i="30" s="1"/>
  <c r="AT199" i="30"/>
  <c r="AU199" i="30" s="1"/>
  <c r="AT200" i="30"/>
  <c r="AU200" i="30" s="1"/>
  <c r="AT201" i="30"/>
  <c r="AU201" i="30" s="1"/>
  <c r="AT202" i="30"/>
  <c r="AU202" i="30" s="1"/>
  <c r="AT203" i="30"/>
  <c r="AU203" i="30" s="1"/>
  <c r="AT204" i="30"/>
  <c r="AU204" i="30" s="1"/>
  <c r="AT205" i="30"/>
  <c r="AU205" i="30" s="1"/>
  <c r="AT206" i="30"/>
  <c r="AU206" i="30" s="1"/>
  <c r="AT207" i="30"/>
  <c r="AU207" i="30" s="1"/>
  <c r="AT208" i="30"/>
  <c r="AU208" i="30" s="1"/>
  <c r="AT209" i="30"/>
  <c r="AU209" i="30" s="1"/>
  <c r="AT210" i="30"/>
  <c r="AU210" i="30" s="1"/>
  <c r="AT211" i="30"/>
  <c r="AU211" i="30" s="1"/>
  <c r="AT212" i="30"/>
  <c r="AU212" i="30" s="1"/>
  <c r="AT213" i="30"/>
  <c r="AU213" i="30" s="1"/>
  <c r="AT214" i="30"/>
  <c r="AU214" i="30" s="1"/>
  <c r="AT215" i="30"/>
  <c r="AU215" i="30" s="1"/>
  <c r="AT216" i="30"/>
  <c r="AU216" i="30" s="1"/>
  <c r="AT217" i="30"/>
  <c r="AU217" i="30" s="1"/>
  <c r="AT218" i="30"/>
  <c r="AU218" i="30" s="1"/>
  <c r="AT219" i="30"/>
  <c r="AU219" i="30" s="1"/>
  <c r="AT220" i="30"/>
  <c r="AU220" i="30" s="1"/>
  <c r="AT221" i="30"/>
  <c r="AU221" i="30" s="1"/>
  <c r="AT222" i="30"/>
  <c r="AU222" i="30" s="1"/>
  <c r="AT223" i="30"/>
  <c r="AU223" i="30" s="1"/>
  <c r="AT224" i="30"/>
  <c r="AU224" i="30" s="1"/>
  <c r="AT225" i="30"/>
  <c r="AU225" i="30" s="1"/>
  <c r="AT226" i="30"/>
  <c r="AU226" i="30" s="1"/>
  <c r="AT227" i="30"/>
  <c r="AU227" i="30" s="1"/>
  <c r="AT228" i="30"/>
  <c r="AU228" i="30" s="1"/>
  <c r="AT229" i="30"/>
  <c r="AU229" i="30" s="1"/>
  <c r="AT310" i="30"/>
  <c r="AT311" i="30"/>
  <c r="AT312" i="30"/>
  <c r="AT313" i="30"/>
  <c r="AT314" i="30"/>
  <c r="AU314" i="30" s="1"/>
  <c r="AT315" i="30"/>
  <c r="AU315" i="30" s="1"/>
  <c r="AT316" i="30"/>
  <c r="AU316" i="30" s="1"/>
  <c r="AT317" i="30"/>
  <c r="AU317" i="30" s="1"/>
  <c r="AT318" i="30"/>
  <c r="AU318" i="30" s="1"/>
  <c r="AT319" i="30"/>
  <c r="AU319" i="30" s="1"/>
  <c r="AT320" i="30"/>
  <c r="AU320" i="30" s="1"/>
  <c r="AT321" i="30"/>
  <c r="AU321" i="30" s="1"/>
  <c r="AT322" i="30"/>
  <c r="AU322" i="30" s="1"/>
  <c r="AT323" i="30"/>
  <c r="AU323" i="30" s="1"/>
  <c r="AT324" i="30"/>
  <c r="AU324" i="30" s="1"/>
  <c r="AT325" i="30"/>
  <c r="AU325" i="30" s="1"/>
  <c r="AT326" i="30"/>
  <c r="AU326" i="30" s="1"/>
  <c r="AT327" i="30"/>
  <c r="AU327" i="30" s="1"/>
  <c r="AT328" i="30"/>
  <c r="AU328" i="30" s="1"/>
  <c r="AT329" i="30"/>
  <c r="AU329" i="30" s="1"/>
  <c r="AT330" i="30"/>
  <c r="AU330" i="30" s="1"/>
  <c r="AT331" i="30"/>
  <c r="AU331" i="30" s="1"/>
  <c r="AT332" i="30"/>
  <c r="AU332" i="30" s="1"/>
  <c r="AT333" i="30"/>
  <c r="AU333" i="30" s="1"/>
  <c r="AT334" i="30"/>
  <c r="AU334" i="30" s="1"/>
  <c r="AT335" i="30"/>
  <c r="AU335" i="30" s="1"/>
  <c r="AT336" i="30"/>
  <c r="AU336" i="30" s="1"/>
  <c r="AT337" i="30"/>
  <c r="AU337" i="30" s="1"/>
  <c r="AT338" i="30"/>
  <c r="AU338" i="30" s="1"/>
  <c r="AT339" i="30"/>
  <c r="AU339" i="30" s="1"/>
  <c r="AT340" i="30"/>
  <c r="AU340" i="30" s="1"/>
  <c r="AT341" i="30"/>
  <c r="AU341" i="30" s="1"/>
  <c r="AT342" i="30"/>
  <c r="AU342" i="30" s="1"/>
  <c r="AT343" i="30"/>
  <c r="AU343" i="30" s="1"/>
  <c r="AT344" i="30"/>
  <c r="AU344" i="30" s="1"/>
  <c r="AT345" i="30"/>
  <c r="AU345" i="30" s="1"/>
  <c r="AT346" i="30"/>
  <c r="AU346" i="30" s="1"/>
  <c r="AT347" i="30"/>
  <c r="AU347" i="30" s="1"/>
  <c r="AT348" i="30"/>
  <c r="AU348" i="30" s="1"/>
  <c r="AT354" i="30"/>
  <c r="AU354" i="30" s="1"/>
  <c r="AT355" i="30"/>
  <c r="AU355" i="30" s="1"/>
  <c r="AT356" i="30"/>
  <c r="AU356" i="30" s="1"/>
  <c r="AT357" i="30"/>
  <c r="AU357" i="30" s="1"/>
  <c r="AT358" i="30"/>
  <c r="AU358" i="30" s="1"/>
  <c r="AT359" i="30"/>
  <c r="AU359" i="30" s="1"/>
  <c r="AT360" i="30"/>
  <c r="AU360" i="30" s="1"/>
  <c r="AT361" i="30"/>
  <c r="AU361" i="30" s="1"/>
  <c r="AT362" i="30"/>
  <c r="AU362" i="30" s="1"/>
  <c r="AT363" i="30"/>
  <c r="AU363" i="30" s="1"/>
  <c r="AT364" i="30"/>
  <c r="AU364" i="30" s="1"/>
  <c r="AT365" i="30"/>
  <c r="AU365" i="30" s="1"/>
  <c r="AT366" i="30"/>
  <c r="AU366" i="30" s="1"/>
  <c r="AT367" i="30"/>
  <c r="AU367" i="30" s="1"/>
  <c r="AT368" i="30"/>
  <c r="AU368" i="30" s="1"/>
  <c r="AT369" i="30"/>
  <c r="AU369" i="30" s="1"/>
  <c r="AT370" i="30"/>
  <c r="AU370" i="30" s="1"/>
  <c r="AT371" i="30"/>
  <c r="AU371" i="30" s="1"/>
  <c r="AT372" i="30"/>
  <c r="AU372" i="30" s="1"/>
  <c r="AT373" i="30"/>
  <c r="AU373" i="30" s="1"/>
  <c r="AT374" i="30"/>
  <c r="AU374" i="30" s="1"/>
  <c r="AT375" i="30"/>
  <c r="AU375" i="30" s="1"/>
  <c r="AT376" i="30"/>
  <c r="AU376" i="30" s="1"/>
  <c r="AT377" i="30"/>
  <c r="AU377" i="30" s="1"/>
  <c r="AT378" i="30"/>
  <c r="AU378" i="30" s="1"/>
  <c r="AT379" i="30"/>
  <c r="AU379" i="30" s="1"/>
  <c r="AT380" i="30"/>
  <c r="AU380" i="30" s="1"/>
  <c r="AT381" i="30"/>
  <c r="AU381" i="30" s="1"/>
  <c r="AT382" i="30"/>
  <c r="AU382" i="30" s="1"/>
  <c r="AT383" i="30"/>
  <c r="AU383" i="30" s="1"/>
  <c r="AT384" i="30"/>
  <c r="AU384" i="30" s="1"/>
  <c r="AT385" i="30"/>
  <c r="AU385" i="30" s="1"/>
  <c r="AT386" i="30"/>
  <c r="AU386" i="30" s="1"/>
  <c r="AT387" i="30"/>
  <c r="AU387" i="30" s="1"/>
  <c r="AT388" i="30"/>
  <c r="AU388" i="30" s="1"/>
  <c r="AT389" i="30"/>
  <c r="AU389" i="30" s="1"/>
  <c r="AT390" i="30"/>
  <c r="AU390" i="30" s="1"/>
  <c r="AT391" i="30"/>
  <c r="AU391" i="30" s="1"/>
  <c r="AT392" i="30"/>
  <c r="AU392" i="30" s="1"/>
  <c r="AT393" i="30"/>
  <c r="AU393" i="30" s="1"/>
  <c r="AT394" i="30"/>
  <c r="AU394" i="30" s="1"/>
  <c r="AT395" i="30"/>
  <c r="AU395" i="30" s="1"/>
  <c r="AT396" i="30"/>
  <c r="AU396" i="30" s="1"/>
  <c r="AT397" i="30"/>
  <c r="AU397" i="30" s="1"/>
  <c r="AT398" i="30"/>
  <c r="AU398" i="30" s="1"/>
  <c r="AT399" i="30"/>
  <c r="AU399" i="30" s="1"/>
  <c r="AT400" i="30"/>
  <c r="AU400" i="30" s="1"/>
  <c r="AT401" i="30"/>
  <c r="AU401" i="30" s="1"/>
  <c r="AT402" i="30"/>
  <c r="AU402" i="30" s="1"/>
  <c r="AT403" i="30"/>
  <c r="AU403" i="30" s="1"/>
  <c r="AT404" i="30"/>
  <c r="AU404" i="30" s="1"/>
  <c r="AT405" i="30"/>
  <c r="AU405" i="30" s="1"/>
  <c r="AT406" i="30"/>
  <c r="AU406" i="30" s="1"/>
  <c r="AT407" i="30"/>
  <c r="AU407" i="30" s="1"/>
  <c r="AT408" i="30"/>
  <c r="AU408" i="30" s="1"/>
  <c r="AT409" i="30"/>
  <c r="AU409" i="30" s="1"/>
  <c r="AT410" i="30"/>
  <c r="AU410" i="30" s="1"/>
  <c r="AT411" i="30"/>
  <c r="AU411" i="30" s="1"/>
  <c r="AT412" i="30"/>
  <c r="AU412" i="30" s="1"/>
  <c r="AT413" i="30"/>
  <c r="AU413" i="30" s="1"/>
  <c r="AT414" i="30"/>
  <c r="AU414" i="30" s="1"/>
  <c r="AT415" i="30"/>
  <c r="AU415" i="30" s="1"/>
  <c r="AT416" i="30"/>
  <c r="AU416" i="30" s="1"/>
  <c r="AT417" i="30"/>
  <c r="AU417" i="30" s="1"/>
  <c r="AT418" i="30"/>
  <c r="AU418" i="30" s="1"/>
  <c r="AT419" i="30"/>
  <c r="AU419" i="30" s="1"/>
  <c r="AT420" i="30"/>
  <c r="AU420" i="30" s="1"/>
  <c r="AT421" i="30"/>
  <c r="AU421" i="30" s="1"/>
  <c r="AT422" i="30"/>
  <c r="AU422" i="30" s="1"/>
  <c r="AT423" i="30"/>
  <c r="AU423" i="30" s="1"/>
  <c r="AT424" i="30"/>
  <c r="AU424" i="30" s="1"/>
  <c r="AT425" i="30"/>
  <c r="AU425" i="30" s="1"/>
  <c r="AT426" i="30"/>
  <c r="AU426" i="30" s="1"/>
  <c r="AT427" i="30"/>
  <c r="AU427" i="30" s="1"/>
  <c r="AT428" i="30"/>
  <c r="AU428" i="30" s="1"/>
  <c r="AT429" i="30"/>
  <c r="AU429" i="30" s="1"/>
  <c r="AT430" i="30"/>
  <c r="AU430" i="30" s="1"/>
  <c r="AT431" i="30"/>
  <c r="AU431" i="30" s="1"/>
  <c r="AT432" i="30"/>
  <c r="AU432" i="30" s="1"/>
  <c r="AT433" i="30"/>
  <c r="AU433" i="30" s="1"/>
  <c r="AT434" i="30"/>
  <c r="AU434" i="30" s="1"/>
  <c r="AT435" i="30"/>
  <c r="AU435" i="30" s="1"/>
  <c r="AT436" i="30"/>
  <c r="AU436" i="30" s="1"/>
  <c r="AT437" i="30"/>
  <c r="AU437" i="30" s="1"/>
  <c r="AT438" i="30"/>
  <c r="AU438" i="30" s="1"/>
  <c r="AT439" i="30"/>
  <c r="AU439" i="30" s="1"/>
  <c r="AT440" i="30"/>
  <c r="AU440" i="30" s="1"/>
  <c r="AT441" i="30"/>
  <c r="AU441" i="30" s="1"/>
  <c r="AT442" i="30"/>
  <c r="AU442" i="30" s="1"/>
  <c r="AT443" i="30"/>
  <c r="AU443" i="30" s="1"/>
  <c r="AT444" i="30"/>
  <c r="AU444" i="30" s="1"/>
  <c r="AT445" i="30"/>
  <c r="AU445" i="30" s="1"/>
  <c r="AT446" i="30"/>
  <c r="AU446" i="30" s="1"/>
  <c r="AT447" i="30"/>
  <c r="AU447" i="30" s="1"/>
  <c r="AT448" i="30"/>
  <c r="AU448" i="30" s="1"/>
  <c r="AT449" i="30"/>
  <c r="AU449" i="30" s="1"/>
  <c r="AT450" i="30"/>
  <c r="AU450" i="30" s="1"/>
  <c r="AT451" i="30"/>
  <c r="AU451" i="30" s="1"/>
  <c r="AT452" i="30"/>
  <c r="AU452" i="30" s="1"/>
  <c r="AT453" i="30"/>
  <c r="AU453" i="30" s="1"/>
  <c r="AT454" i="30"/>
  <c r="AU454" i="30" s="1"/>
  <c r="AT455" i="30"/>
  <c r="AU455" i="30" s="1"/>
  <c r="AT456" i="30"/>
  <c r="AU456" i="30" s="1"/>
  <c r="AT457" i="30"/>
  <c r="AU457" i="30" s="1"/>
  <c r="AT458" i="30"/>
  <c r="AU458" i="30" s="1"/>
  <c r="AT462" i="30"/>
  <c r="AU462" i="30" s="1"/>
  <c r="AT463" i="30"/>
  <c r="AU463" i="30" s="1"/>
  <c r="AT464" i="30"/>
  <c r="AU464" i="30" s="1"/>
  <c r="AT465" i="30"/>
  <c r="AU465" i="30" s="1"/>
  <c r="AT466" i="30"/>
  <c r="AU466" i="30" s="1"/>
  <c r="AT467" i="30"/>
  <c r="AU467" i="30" s="1"/>
  <c r="AT468" i="30"/>
  <c r="AU468" i="30" s="1"/>
  <c r="AT469" i="30"/>
  <c r="AU469" i="30" s="1"/>
  <c r="AT470" i="30"/>
  <c r="AU470" i="30" s="1"/>
  <c r="AT471" i="30"/>
  <c r="AU471" i="30" s="1"/>
  <c r="AT472" i="30"/>
  <c r="AU472" i="30" s="1"/>
  <c r="AT473" i="30"/>
  <c r="AU473" i="30" s="1"/>
  <c r="AT474" i="30"/>
  <c r="AU474" i="30" s="1"/>
  <c r="AT475" i="30"/>
  <c r="AU475" i="30" s="1"/>
  <c r="AT476" i="30"/>
  <c r="AU476" i="30" s="1"/>
  <c r="AT477" i="30"/>
  <c r="AU477" i="30" s="1"/>
  <c r="AT478" i="30"/>
  <c r="AU478" i="30" s="1"/>
  <c r="AT479" i="30"/>
  <c r="AU479" i="30" s="1"/>
  <c r="AT480" i="30"/>
  <c r="AU480" i="30" s="1"/>
  <c r="AT481" i="30"/>
  <c r="AU481" i="30" s="1"/>
  <c r="AT482" i="30"/>
  <c r="AU482" i="30" s="1"/>
  <c r="AT483" i="30"/>
  <c r="AU483" i="30" s="1"/>
  <c r="AT484" i="30"/>
  <c r="AU484" i="30" s="1"/>
  <c r="AT485" i="30"/>
  <c r="AU485" i="30" s="1"/>
  <c r="AT486" i="30"/>
  <c r="AU486" i="30" s="1"/>
  <c r="AT487" i="30"/>
  <c r="AU487" i="30" s="1"/>
  <c r="AT488" i="30"/>
  <c r="AU488" i="30" s="1"/>
  <c r="AT489" i="30"/>
  <c r="AU489" i="30" s="1"/>
  <c r="AT490" i="30"/>
  <c r="AU490" i="30" s="1"/>
  <c r="AT491" i="30"/>
  <c r="AU491" i="30" s="1"/>
  <c r="AT492" i="30"/>
  <c r="AU492" i="30" s="1"/>
  <c r="AT493" i="30"/>
  <c r="AU493" i="30" s="1"/>
  <c r="AT494" i="30"/>
  <c r="AU494" i="30" s="1"/>
  <c r="AT495" i="30"/>
  <c r="AU495" i="30" s="1"/>
  <c r="AT496" i="30"/>
  <c r="AU496" i="30" s="1"/>
  <c r="AT497" i="30"/>
  <c r="AU497" i="30" s="1"/>
  <c r="AT498" i="30"/>
  <c r="AU498" i="30" s="1"/>
  <c r="AT499" i="30"/>
  <c r="AU499" i="30" s="1"/>
  <c r="AT500" i="30"/>
  <c r="AU500" i="30" s="1"/>
  <c r="AT501" i="30"/>
  <c r="AU501" i="30" s="1"/>
  <c r="AT502" i="30"/>
  <c r="AU502" i="30" s="1"/>
  <c r="AT503" i="30"/>
  <c r="AU503" i="30" s="1"/>
  <c r="AT504" i="30"/>
  <c r="AU504" i="30" s="1"/>
  <c r="AT505" i="30"/>
  <c r="AU505" i="30" s="1"/>
  <c r="AT506" i="30"/>
  <c r="AU506" i="30" s="1"/>
  <c r="AT507" i="30"/>
  <c r="AU507" i="30" s="1"/>
  <c r="AT508" i="30"/>
  <c r="AU508" i="30" s="1"/>
  <c r="AT509" i="30"/>
  <c r="AU509" i="30" s="1"/>
  <c r="AT510" i="30"/>
  <c r="AU510" i="30" s="1"/>
  <c r="AT511" i="30"/>
  <c r="AU511" i="30" s="1"/>
  <c r="AT512" i="30"/>
  <c r="AU512" i="30" s="1"/>
  <c r="AT513" i="30"/>
  <c r="AU513" i="30" s="1"/>
  <c r="AT514" i="30"/>
  <c r="AU514" i="30" s="1"/>
  <c r="AT515" i="30"/>
  <c r="AU515" i="30" s="1"/>
  <c r="AT516" i="30"/>
  <c r="AU516" i="30" s="1"/>
  <c r="AT517" i="30"/>
  <c r="AU517" i="30" s="1"/>
  <c r="AT518" i="30"/>
  <c r="AU518" i="30" s="1"/>
  <c r="AT519" i="30"/>
  <c r="AU519" i="30" s="1"/>
  <c r="AT520" i="30"/>
  <c r="AU520" i="30" s="1"/>
  <c r="AT521" i="30"/>
  <c r="AU521" i="30" s="1"/>
  <c r="AT522" i="30"/>
  <c r="AU522" i="30" s="1"/>
  <c r="AT523" i="30"/>
  <c r="AU523" i="30" s="1"/>
  <c r="AT524" i="30"/>
  <c r="AU524" i="30" s="1"/>
  <c r="AT525" i="30"/>
  <c r="AU525" i="30" s="1"/>
  <c r="AT526" i="30"/>
  <c r="AU526" i="30" s="1"/>
  <c r="AT527" i="30"/>
  <c r="AU527" i="30" s="1"/>
  <c r="AT528" i="30"/>
  <c r="AU528" i="30" s="1"/>
  <c r="AT529" i="30"/>
  <c r="AU529" i="30" s="1"/>
  <c r="AT530" i="30"/>
  <c r="AU530" i="30" s="1"/>
  <c r="AT531" i="30"/>
  <c r="AU531" i="30" s="1"/>
  <c r="AT532" i="30"/>
  <c r="AU532" i="30" s="1"/>
  <c r="AT533" i="30"/>
  <c r="AU533" i="30" s="1"/>
  <c r="AT534" i="30"/>
  <c r="AU534" i="30" s="1"/>
  <c r="AT535" i="30"/>
  <c r="AU535" i="30" s="1"/>
  <c r="AT536" i="30"/>
  <c r="AU536" i="30" s="1"/>
  <c r="AT537" i="30"/>
  <c r="AU537" i="30" s="1"/>
  <c r="AT538" i="30"/>
  <c r="AU538" i="30" s="1"/>
  <c r="AT539" i="30"/>
  <c r="AU539" i="30" s="1"/>
  <c r="AT540" i="30"/>
  <c r="AU540" i="30" s="1"/>
  <c r="AT541" i="30"/>
  <c r="AU541" i="30" s="1"/>
  <c r="AT542" i="30"/>
  <c r="AU542" i="30" s="1"/>
  <c r="AT543" i="30"/>
  <c r="AU543" i="30" s="1"/>
  <c r="AT544" i="30"/>
  <c r="AU544" i="30" s="1"/>
  <c r="AT545" i="30"/>
  <c r="AU545" i="30" s="1"/>
  <c r="AT546" i="30"/>
  <c r="AU546" i="30" s="1"/>
  <c r="AT547" i="30"/>
  <c r="AU547" i="30" s="1"/>
  <c r="AT548" i="30"/>
  <c r="AU548" i="30" s="1"/>
  <c r="AT549" i="30"/>
  <c r="AU549" i="30" s="1"/>
  <c r="AT550" i="30"/>
  <c r="AU550" i="30" s="1"/>
  <c r="AT551" i="30"/>
  <c r="AU551" i="30" s="1"/>
  <c r="AT552" i="30"/>
  <c r="AU552" i="30" s="1"/>
  <c r="AT553" i="30"/>
  <c r="AU553" i="30" s="1"/>
  <c r="AT554" i="30"/>
  <c r="AU554" i="30" s="1"/>
  <c r="AT555" i="30"/>
  <c r="AU555" i="30" s="1"/>
  <c r="AT556" i="30"/>
  <c r="AU556" i="30" s="1"/>
  <c r="AT557" i="30"/>
  <c r="AU557" i="30" s="1"/>
  <c r="AT558" i="30"/>
  <c r="AU558" i="30" s="1"/>
  <c r="AT559" i="30"/>
  <c r="AU559" i="30" s="1"/>
  <c r="AT560" i="30"/>
  <c r="AU560" i="30" s="1"/>
  <c r="AT561" i="30"/>
  <c r="AU561" i="30" s="1"/>
  <c r="AT562" i="30"/>
  <c r="AU562" i="30" s="1"/>
  <c r="AT563" i="30"/>
  <c r="AU563" i="30" s="1"/>
  <c r="AT564" i="30"/>
  <c r="AU564" i="30" s="1"/>
  <c r="AT565" i="30"/>
  <c r="AU565" i="30" s="1"/>
  <c r="AT566" i="30"/>
  <c r="AU566" i="30" s="1"/>
  <c r="AT567" i="30"/>
  <c r="AU567" i="30" s="1"/>
  <c r="AT568" i="30"/>
  <c r="AU568" i="30" s="1"/>
  <c r="AT569" i="30"/>
  <c r="AU569" i="30" s="1"/>
  <c r="AT570" i="30"/>
  <c r="AU570" i="30" s="1"/>
  <c r="AT571" i="30"/>
  <c r="AU571" i="30" s="1"/>
  <c r="AT572" i="30"/>
  <c r="AU572" i="30" s="1"/>
  <c r="AT573" i="30"/>
  <c r="AU573" i="30" s="1"/>
  <c r="AT574" i="30"/>
  <c r="AU574" i="30" s="1"/>
  <c r="AT575" i="30"/>
  <c r="AU575" i="30" s="1"/>
  <c r="AT576" i="30"/>
  <c r="AU576" i="30" s="1"/>
  <c r="AT577" i="30"/>
  <c r="AU577" i="30" s="1"/>
  <c r="AT578" i="30"/>
  <c r="AU578" i="30" s="1"/>
  <c r="AT579" i="30"/>
  <c r="AU579" i="30" s="1"/>
  <c r="AT580" i="30"/>
  <c r="AU580" i="30" s="1"/>
  <c r="AT581" i="30"/>
  <c r="AU581" i="30" s="1"/>
  <c r="AT582" i="30"/>
  <c r="AU582" i="30" s="1"/>
  <c r="AT583" i="30"/>
  <c r="AU583" i="30" s="1"/>
  <c r="AT584" i="30"/>
  <c r="AU584" i="30" s="1"/>
  <c r="AT585" i="30"/>
  <c r="AU585" i="30" s="1"/>
  <c r="AT586" i="30"/>
  <c r="AU586" i="30" s="1"/>
  <c r="AT587" i="30"/>
  <c r="AU587" i="30" s="1"/>
  <c r="AT588" i="30"/>
  <c r="AU588" i="30" s="1"/>
  <c r="AT589" i="30"/>
  <c r="AU589" i="30" s="1"/>
  <c r="AT590" i="30"/>
  <c r="AU590" i="30" s="1"/>
  <c r="AT591" i="30"/>
  <c r="AU591" i="30" s="1"/>
  <c r="AT592" i="30"/>
  <c r="AU592" i="30" s="1"/>
  <c r="AT593" i="30"/>
  <c r="AU593" i="30" s="1"/>
  <c r="AT594" i="30"/>
  <c r="AU594" i="30" s="1"/>
  <c r="AT595" i="30"/>
  <c r="AU595" i="30" s="1"/>
  <c r="AT596" i="30"/>
  <c r="AU596" i="30" s="1"/>
  <c r="AT600" i="30"/>
  <c r="AU600" i="30" s="1"/>
  <c r="AT601" i="30"/>
  <c r="AU601" i="30" s="1"/>
  <c r="AT602" i="30"/>
  <c r="AU602" i="30" s="1"/>
  <c r="AT603" i="30"/>
  <c r="AU603" i="30" s="1"/>
  <c r="AT604" i="30"/>
  <c r="AU604" i="30" s="1"/>
  <c r="AT605" i="30"/>
  <c r="AU605" i="30" s="1"/>
  <c r="AT606" i="30"/>
  <c r="AU606" i="30" s="1"/>
  <c r="AT607" i="30"/>
  <c r="AU607" i="30" s="1"/>
  <c r="AT608" i="30"/>
  <c r="AU608" i="30" s="1"/>
  <c r="AT609" i="30"/>
  <c r="AU609" i="30" s="1"/>
  <c r="AT610" i="30"/>
  <c r="AU610" i="30" s="1"/>
  <c r="AT611" i="30"/>
  <c r="AU611" i="30" s="1"/>
  <c r="AT612" i="30"/>
  <c r="AU612" i="30" s="1"/>
  <c r="AT613" i="30"/>
  <c r="AU613" i="30" s="1"/>
  <c r="AT614" i="30"/>
  <c r="AU614" i="30" s="1"/>
  <c r="AT615" i="30"/>
  <c r="AU615" i="30" s="1"/>
  <c r="AT616" i="30"/>
  <c r="AU616" i="30" s="1"/>
  <c r="AT618" i="30"/>
  <c r="AU618" i="30" s="1"/>
  <c r="AT619" i="30"/>
  <c r="AU619" i="30" s="1"/>
  <c r="AT620" i="30"/>
  <c r="AU620" i="30" s="1"/>
  <c r="AT621" i="30"/>
  <c r="AU621" i="30" s="1"/>
  <c r="AT622" i="30"/>
  <c r="AU622" i="30" s="1"/>
  <c r="AT623" i="30"/>
  <c r="AU623" i="30" s="1"/>
  <c r="AT624" i="30"/>
  <c r="AU624" i="30" s="1"/>
  <c r="AT625" i="30"/>
  <c r="AU625" i="30" s="1"/>
  <c r="AT626" i="30"/>
  <c r="AU626" i="30" s="1"/>
  <c r="AT627" i="30"/>
  <c r="AU627" i="30" s="1"/>
  <c r="AT628" i="30"/>
  <c r="AU628" i="30" s="1"/>
  <c r="AT629" i="30"/>
  <c r="AU629" i="30" s="1"/>
  <c r="AT630" i="30"/>
  <c r="AU630" i="30" s="1"/>
  <c r="AT631" i="30"/>
  <c r="AU631" i="30" s="1"/>
  <c r="AT632" i="30"/>
  <c r="AU632" i="30" s="1"/>
  <c r="AT633" i="30"/>
  <c r="AU633" i="30" s="1"/>
  <c r="AT634" i="30"/>
  <c r="AU634" i="30" s="1"/>
  <c r="AT635" i="30"/>
  <c r="AU635" i="30" s="1"/>
  <c r="AT636" i="30"/>
  <c r="AU636" i="30" s="1"/>
  <c r="AT637" i="30"/>
  <c r="AU637" i="30" s="1"/>
  <c r="AT638" i="30"/>
  <c r="AU638" i="30" s="1"/>
  <c r="AT639" i="30"/>
  <c r="AU639" i="30" s="1"/>
  <c r="AT640" i="30"/>
  <c r="AU640" i="30" s="1"/>
  <c r="AT641" i="30"/>
  <c r="AU641" i="30" s="1"/>
  <c r="AT642" i="30"/>
  <c r="AU642" i="30" s="1"/>
  <c r="AT643" i="30"/>
  <c r="AU643" i="30" s="1"/>
  <c r="AT644" i="30"/>
  <c r="AU644" i="30" s="1"/>
  <c r="AT645" i="30"/>
  <c r="AU645" i="30" s="1"/>
  <c r="AT646" i="30"/>
  <c r="AU646" i="30" s="1"/>
  <c r="AT647" i="30"/>
  <c r="AU647" i="30" s="1"/>
  <c r="AT648" i="30"/>
  <c r="AU648" i="30" s="1"/>
  <c r="AT649" i="30"/>
  <c r="AU649" i="30" s="1"/>
  <c r="AT650" i="30"/>
  <c r="AU650" i="30" s="1"/>
  <c r="AT651" i="30"/>
  <c r="AU651" i="30" s="1"/>
  <c r="AT652" i="30"/>
  <c r="AU652" i="30" s="1"/>
  <c r="AT653" i="30"/>
  <c r="AU653" i="30" s="1"/>
  <c r="AT654" i="30"/>
  <c r="AU654" i="30" s="1"/>
  <c r="AT655" i="30"/>
  <c r="AU655" i="30" s="1"/>
  <c r="AT656" i="30"/>
  <c r="AU656" i="30" s="1"/>
  <c r="AT657" i="30"/>
  <c r="AU657" i="30" s="1"/>
  <c r="AT658" i="30"/>
  <c r="AU658" i="30" s="1"/>
  <c r="AT659" i="30"/>
  <c r="AU659" i="30" s="1"/>
  <c r="AT660" i="30"/>
  <c r="AU660" i="30" s="1"/>
  <c r="AT661" i="30"/>
  <c r="AU661" i="30" s="1"/>
  <c r="AT662" i="30"/>
  <c r="AU662" i="30" s="1"/>
  <c r="AT663" i="30"/>
  <c r="AU663" i="30" s="1"/>
  <c r="AT664" i="30"/>
  <c r="AU664" i="30" s="1"/>
  <c r="AT665" i="30"/>
  <c r="AU665" i="30" s="1"/>
  <c r="AT666" i="30"/>
  <c r="AU666" i="30" s="1"/>
  <c r="AT667" i="30"/>
  <c r="AU667" i="30" s="1"/>
  <c r="AT668" i="30"/>
  <c r="AU668" i="30" s="1"/>
  <c r="AT669" i="30"/>
  <c r="AU669" i="30" s="1"/>
  <c r="AT670" i="30"/>
  <c r="AU670" i="30" s="1"/>
  <c r="AT671" i="30"/>
  <c r="AU671" i="30" s="1"/>
  <c r="AT672" i="30"/>
  <c r="AU672" i="30" s="1"/>
  <c r="AT673" i="30"/>
  <c r="AU673" i="30" s="1"/>
  <c r="AT674" i="30"/>
  <c r="AU674" i="30" s="1"/>
  <c r="AT675" i="30"/>
  <c r="AU675" i="30" s="1"/>
  <c r="AT676" i="30"/>
  <c r="AU676" i="30" s="1"/>
  <c r="AT677" i="30"/>
  <c r="AU677" i="30" s="1"/>
  <c r="AT678" i="30"/>
  <c r="AU678" i="30" s="1"/>
  <c r="AT679" i="30"/>
  <c r="AU679" i="30" s="1"/>
  <c r="AT680" i="30"/>
  <c r="AU680" i="30" s="1"/>
  <c r="AT681" i="30"/>
  <c r="AU681" i="30" s="1"/>
  <c r="AT682" i="30"/>
  <c r="AU682" i="30" s="1"/>
  <c r="AT683" i="30"/>
  <c r="AU683" i="30" s="1"/>
  <c r="AT684" i="30"/>
  <c r="AU684" i="30" s="1"/>
  <c r="AT685" i="30"/>
  <c r="AU685" i="30" s="1"/>
  <c r="AT686" i="30"/>
  <c r="AU686" i="30" s="1"/>
  <c r="AT687" i="30"/>
  <c r="AU687" i="30" s="1"/>
  <c r="AT688" i="30"/>
  <c r="AU688" i="30" s="1"/>
  <c r="AT689" i="30"/>
  <c r="AU689" i="30" s="1"/>
  <c r="AT690" i="30"/>
  <c r="AU690" i="30" s="1"/>
  <c r="AT691" i="30"/>
  <c r="AU691" i="30" s="1"/>
  <c r="AT692" i="30"/>
  <c r="AU692" i="30" s="1"/>
  <c r="AT693" i="30"/>
  <c r="AU693" i="30" s="1"/>
  <c r="AT694" i="30"/>
  <c r="AU694" i="30" s="1"/>
  <c r="AT695" i="30"/>
  <c r="AU695" i="30" s="1"/>
  <c r="AT696" i="30"/>
  <c r="AU696" i="30" s="1"/>
  <c r="AT697" i="30"/>
  <c r="AU697" i="30" s="1"/>
  <c r="AT698" i="30"/>
  <c r="AU698" i="30" s="1"/>
  <c r="AT699" i="30"/>
  <c r="AU699" i="30" s="1"/>
  <c r="AT700" i="30"/>
  <c r="AU700" i="30" s="1"/>
  <c r="AT701" i="30"/>
  <c r="AU701" i="30" s="1"/>
  <c r="AT702" i="30"/>
  <c r="AU702" i="30" s="1"/>
  <c r="AT703" i="30"/>
  <c r="AU703" i="30" s="1"/>
  <c r="AT704" i="30"/>
  <c r="AU704" i="30" s="1"/>
  <c r="AT705" i="30"/>
  <c r="AU705" i="30" s="1"/>
  <c r="AT706" i="30"/>
  <c r="AU706" i="30" s="1"/>
  <c r="AT707" i="30"/>
  <c r="AU707" i="30" s="1"/>
  <c r="AT708" i="30"/>
  <c r="AU708" i="30" s="1"/>
  <c r="AT709" i="30"/>
  <c r="AU709" i="30" s="1"/>
  <c r="AT710" i="30"/>
  <c r="AU710" i="30" s="1"/>
  <c r="AT711" i="30"/>
  <c r="AU711" i="30" s="1"/>
  <c r="AT712" i="30"/>
  <c r="AU712" i="30" s="1"/>
  <c r="AT713" i="30"/>
  <c r="AU713" i="30" s="1"/>
  <c r="AT714" i="30"/>
  <c r="AU714" i="30" s="1"/>
  <c r="AT715" i="30"/>
  <c r="AU715" i="30" s="1"/>
  <c r="AT716" i="30"/>
  <c r="AU716" i="30" s="1"/>
  <c r="AT717" i="30"/>
  <c r="AU717" i="30" s="1"/>
  <c r="AT718" i="30"/>
  <c r="AU718" i="30" s="1"/>
  <c r="AT719" i="30"/>
  <c r="AU719" i="30" s="1"/>
  <c r="AT720" i="30"/>
  <c r="AU720" i="30" s="1"/>
  <c r="AT721" i="30"/>
  <c r="AU721" i="30" s="1"/>
  <c r="AT722" i="30"/>
  <c r="AU722" i="30" s="1"/>
  <c r="AT723" i="30"/>
  <c r="AU723" i="30" s="1"/>
  <c r="AT724" i="30"/>
  <c r="AU724" i="30" s="1"/>
  <c r="AT725" i="30"/>
  <c r="AU725" i="30" s="1"/>
  <c r="AT726" i="30"/>
  <c r="AU726" i="30" s="1"/>
  <c r="AT727" i="30"/>
  <c r="AU727" i="30" s="1"/>
  <c r="AT728" i="30"/>
  <c r="AU728" i="30" s="1"/>
  <c r="AT729" i="30"/>
  <c r="AU729" i="30" s="1"/>
  <c r="AT730" i="30"/>
  <c r="AU730" i="30" s="1"/>
  <c r="AT731" i="30"/>
  <c r="AU731" i="30" s="1"/>
  <c r="AT732" i="30"/>
  <c r="AU732" i="30" s="1"/>
  <c r="AT733" i="30"/>
  <c r="AU733" i="30" s="1"/>
  <c r="AT734" i="30"/>
  <c r="AU734" i="30" s="1"/>
  <c r="AT735" i="30"/>
  <c r="AU735" i="30" s="1"/>
  <c r="AT736" i="30"/>
  <c r="AU736" i="30" s="1"/>
  <c r="AT737" i="30"/>
  <c r="AU737" i="30" s="1"/>
  <c r="AT738" i="30"/>
  <c r="AU738" i="30" s="1"/>
  <c r="AT739" i="30"/>
  <c r="AU739" i="30" s="1"/>
  <c r="AT740" i="30"/>
  <c r="AU740" i="30" s="1"/>
  <c r="AT741" i="30"/>
  <c r="AU741" i="30" s="1"/>
  <c r="AT742" i="30"/>
  <c r="AU742" i="30" s="1"/>
  <c r="AT743" i="30"/>
  <c r="AU743" i="30" s="1"/>
  <c r="AT744" i="30"/>
  <c r="AU744" i="30" s="1"/>
  <c r="AT745" i="30"/>
  <c r="AU745" i="30" s="1"/>
  <c r="AT746" i="30"/>
  <c r="AU746" i="30" s="1"/>
  <c r="AT747" i="30"/>
  <c r="AU747" i="30" s="1"/>
  <c r="AT748" i="30"/>
  <c r="AU748" i="30" s="1"/>
  <c r="AT749" i="30"/>
  <c r="AU749" i="30" s="1"/>
  <c r="AT750" i="30"/>
  <c r="AU750" i="30" s="1"/>
  <c r="AT751" i="30"/>
  <c r="AU751" i="30" s="1"/>
  <c r="AT752" i="30"/>
  <c r="AU752" i="30" s="1"/>
  <c r="AT753" i="30"/>
  <c r="AU753" i="30" s="1"/>
  <c r="AT754" i="30"/>
  <c r="AU754" i="30" s="1"/>
  <c r="AT755" i="30"/>
  <c r="AU755" i="30" s="1"/>
  <c r="AT756" i="30"/>
  <c r="AU756" i="30" s="1"/>
  <c r="AT757" i="30"/>
  <c r="AU757" i="30" s="1"/>
  <c r="AT758" i="30"/>
  <c r="AU758" i="30" s="1"/>
  <c r="AT759" i="30"/>
  <c r="AU759" i="30" s="1"/>
  <c r="AT760" i="30"/>
  <c r="AU760" i="30" s="1"/>
  <c r="AT761" i="30"/>
  <c r="AU761" i="30" s="1"/>
  <c r="AT762" i="30"/>
  <c r="AU762" i="30" s="1"/>
  <c r="AT763" i="30"/>
  <c r="AU763" i="30" s="1"/>
  <c r="AT764" i="30"/>
  <c r="AU764" i="30" s="1"/>
  <c r="AT765" i="30"/>
  <c r="AU765" i="30" s="1"/>
  <c r="AT766" i="30"/>
  <c r="AU766" i="30" s="1"/>
  <c r="AT767" i="30"/>
  <c r="AU767" i="30" s="1"/>
  <c r="AT768" i="30"/>
  <c r="AU768" i="30" s="1"/>
  <c r="AT769" i="30"/>
  <c r="AU769" i="30" s="1"/>
  <c r="AT770" i="30"/>
  <c r="AU770" i="30" s="1"/>
  <c r="AT771" i="30"/>
  <c r="AU771" i="30" s="1"/>
  <c r="AT772" i="30"/>
  <c r="AU772" i="30" s="1"/>
  <c r="AT773" i="30"/>
  <c r="AU773" i="30" s="1"/>
  <c r="AT774" i="30"/>
  <c r="AU774" i="30" s="1"/>
  <c r="AT775" i="30"/>
  <c r="AU775" i="30" s="1"/>
  <c r="AT776" i="30"/>
  <c r="AU776" i="30" s="1"/>
  <c r="AT777" i="30"/>
  <c r="AU777" i="30" s="1"/>
  <c r="AT778" i="30"/>
  <c r="AU778" i="30" s="1"/>
  <c r="AT779" i="30"/>
  <c r="AU779" i="30" s="1"/>
  <c r="AT780" i="30"/>
  <c r="AU780" i="30" s="1"/>
  <c r="AT781" i="30"/>
  <c r="AU781" i="30" s="1"/>
  <c r="AT782" i="30"/>
  <c r="AU782" i="30" s="1"/>
  <c r="AT783" i="30"/>
  <c r="AU783" i="30" s="1"/>
  <c r="AT784" i="30"/>
  <c r="AU784" i="30" s="1"/>
  <c r="AT785" i="30"/>
  <c r="AU785" i="30" s="1"/>
  <c r="AT786" i="30"/>
  <c r="AU786" i="30" s="1"/>
  <c r="AT787" i="30"/>
  <c r="AU787" i="30" s="1"/>
  <c r="AT788" i="30"/>
  <c r="AU788" i="30" s="1"/>
  <c r="AT789" i="30"/>
  <c r="AU789" i="30" s="1"/>
  <c r="AT790" i="30"/>
  <c r="AU790" i="30" s="1"/>
  <c r="AT791" i="30"/>
  <c r="AU791" i="30" s="1"/>
  <c r="AT792" i="30"/>
  <c r="AU792" i="30" s="1"/>
  <c r="AT793" i="30"/>
  <c r="AU793" i="30" s="1"/>
  <c r="AT794" i="30"/>
  <c r="AU794" i="30" s="1"/>
  <c r="AT795" i="30"/>
  <c r="AU795" i="30" s="1"/>
  <c r="AT796" i="30"/>
  <c r="AU796" i="30" s="1"/>
  <c r="AT797" i="30"/>
  <c r="AU797" i="30" s="1"/>
  <c r="AT798" i="30"/>
  <c r="AU798" i="30" s="1"/>
  <c r="AT799" i="30"/>
  <c r="AU799" i="30" s="1"/>
  <c r="AT800" i="30"/>
  <c r="AU800" i="30" s="1"/>
  <c r="AT801" i="30"/>
  <c r="AU801" i="30" s="1"/>
  <c r="AT802" i="30"/>
  <c r="AU802" i="30" s="1"/>
  <c r="AT803" i="30"/>
  <c r="AU803" i="30" s="1"/>
  <c r="AT804" i="30"/>
  <c r="AU804" i="30" s="1"/>
  <c r="AT805" i="30"/>
  <c r="AU805" i="30" s="1"/>
  <c r="AT806" i="30"/>
  <c r="AU806" i="30" s="1"/>
  <c r="AT807" i="30"/>
  <c r="AU807" i="30" s="1"/>
  <c r="AT808" i="30"/>
  <c r="AU808" i="30" s="1"/>
  <c r="AT809" i="30"/>
  <c r="AU809" i="30" s="1"/>
  <c r="AT810" i="30"/>
  <c r="AU810" i="30" s="1"/>
  <c r="AT811" i="30"/>
  <c r="AU811" i="30" s="1"/>
  <c r="AT812" i="30"/>
  <c r="AU812" i="30" s="1"/>
  <c r="AT813" i="30"/>
  <c r="AU813" i="30" s="1"/>
  <c r="AT814" i="30"/>
  <c r="AU814" i="30" s="1"/>
  <c r="AT815" i="30"/>
  <c r="AU815" i="30" s="1"/>
  <c r="AT816" i="30"/>
  <c r="AU816" i="30" s="1"/>
  <c r="AT817" i="30"/>
  <c r="AU817" i="30" s="1"/>
  <c r="AT818" i="30"/>
  <c r="AU818" i="30" s="1"/>
  <c r="AT819" i="30"/>
  <c r="AU819" i="30" s="1"/>
  <c r="AT820" i="30"/>
  <c r="AU820" i="30" s="1"/>
  <c r="AT821" i="30"/>
  <c r="AU821" i="30" s="1"/>
  <c r="AT822" i="30"/>
  <c r="AU822" i="30" s="1"/>
  <c r="AT823" i="30"/>
  <c r="AU823" i="30" s="1"/>
  <c r="AT824" i="30"/>
  <c r="AU824" i="30" s="1"/>
  <c r="AT825" i="30"/>
  <c r="AU825" i="30" s="1"/>
  <c r="AT826" i="30"/>
  <c r="AU826" i="30" s="1"/>
  <c r="AT827" i="30"/>
  <c r="AU827" i="30" s="1"/>
  <c r="AT828" i="30"/>
  <c r="AU828" i="30" s="1"/>
  <c r="AT829" i="30"/>
  <c r="AU829" i="30" s="1"/>
  <c r="AT830" i="30"/>
  <c r="AU830" i="30" s="1"/>
  <c r="AT831" i="30"/>
  <c r="AU831" i="30" s="1"/>
  <c r="AT832" i="30"/>
  <c r="AU832" i="30" s="1"/>
  <c r="AT833" i="30"/>
  <c r="AU833" i="30" s="1"/>
  <c r="AT834" i="30"/>
  <c r="AU834" i="30" s="1"/>
  <c r="AT835" i="30"/>
  <c r="AU835" i="30" s="1"/>
  <c r="AT836" i="30"/>
  <c r="AU836" i="30" s="1"/>
  <c r="AT837" i="30"/>
  <c r="AU837" i="30" s="1"/>
  <c r="AT838" i="30"/>
  <c r="AU838" i="30" s="1"/>
  <c r="AT839" i="30"/>
  <c r="AU839" i="30" s="1"/>
  <c r="AT840" i="30"/>
  <c r="AU840" i="30" s="1"/>
  <c r="AT841" i="30"/>
  <c r="AU841" i="30" s="1"/>
  <c r="AT842" i="30"/>
  <c r="AU842" i="30" s="1"/>
  <c r="AT843" i="30"/>
  <c r="AU843" i="30" s="1"/>
  <c r="AT844" i="30"/>
  <c r="AU844" i="30" s="1"/>
  <c r="AT845" i="30"/>
  <c r="AU845" i="30" s="1"/>
  <c r="AT846" i="30"/>
  <c r="AU846" i="30" s="1"/>
  <c r="AT847" i="30"/>
  <c r="AU847" i="30" s="1"/>
  <c r="AT848" i="30"/>
  <c r="AU848" i="30" s="1"/>
  <c r="AT849" i="30"/>
  <c r="AU849" i="30" s="1"/>
  <c r="AT850" i="30"/>
  <c r="AU850" i="30" s="1"/>
  <c r="AT851" i="30"/>
  <c r="AU851" i="30" s="1"/>
  <c r="AT852" i="30"/>
  <c r="AU852" i="30" s="1"/>
  <c r="AT853" i="30"/>
  <c r="AU853" i="30" s="1"/>
  <c r="AT854" i="30"/>
  <c r="AU854" i="30" s="1"/>
  <c r="AT855" i="30"/>
  <c r="AU855" i="30" s="1"/>
  <c r="AT856" i="30"/>
  <c r="AU856" i="30" s="1"/>
  <c r="AT857" i="30"/>
  <c r="AU857" i="30" s="1"/>
  <c r="AT858" i="30"/>
  <c r="AU858" i="30" s="1"/>
  <c r="AT859" i="30"/>
  <c r="AU859" i="30" s="1"/>
  <c r="AT860" i="30"/>
  <c r="AU860" i="30" s="1"/>
  <c r="AT861" i="30"/>
  <c r="AU861" i="30" s="1"/>
  <c r="AT862" i="30"/>
  <c r="AU862" i="30" s="1"/>
  <c r="AT863" i="30"/>
  <c r="AU863" i="30" s="1"/>
  <c r="AT864" i="30"/>
  <c r="AU864" i="30" s="1"/>
  <c r="AT865" i="30"/>
  <c r="AU865" i="30" s="1"/>
  <c r="AT866" i="30"/>
  <c r="AU866" i="30" s="1"/>
  <c r="AT867" i="30"/>
  <c r="AU867" i="30" s="1"/>
  <c r="AT868" i="30"/>
  <c r="AU868" i="30" s="1"/>
  <c r="AT869" i="30"/>
  <c r="AU869" i="30" s="1"/>
  <c r="AT870" i="30"/>
  <c r="AU870" i="30" s="1"/>
  <c r="AT871" i="30"/>
  <c r="AU871" i="30" s="1"/>
  <c r="AT872" i="30"/>
  <c r="AU872" i="30" s="1"/>
  <c r="AT873" i="30"/>
  <c r="AU873" i="30" s="1"/>
  <c r="AT874" i="30"/>
  <c r="AU874" i="30" s="1"/>
  <c r="AT875" i="30"/>
  <c r="AU875" i="30" s="1"/>
  <c r="AT876" i="30"/>
  <c r="AU876" i="30" s="1"/>
  <c r="AT877" i="30"/>
  <c r="AU877" i="30" s="1"/>
  <c r="AT878" i="30"/>
  <c r="AU878" i="30" s="1"/>
  <c r="AT879" i="30"/>
  <c r="AU879" i="30" s="1"/>
  <c r="AT880" i="30"/>
  <c r="AU880" i="30" s="1"/>
  <c r="AT881" i="30"/>
  <c r="AU881" i="30" s="1"/>
  <c r="AT882" i="30"/>
  <c r="AU882" i="30" s="1"/>
  <c r="AT883" i="30"/>
  <c r="AU883" i="30" s="1"/>
  <c r="AT884" i="30"/>
  <c r="AU884" i="30" s="1"/>
  <c r="AT885" i="30"/>
  <c r="AU885" i="30" s="1"/>
  <c r="AT886" i="30"/>
  <c r="AU886" i="30" s="1"/>
  <c r="AT887" i="30"/>
  <c r="AU887" i="30" s="1"/>
  <c r="AT888" i="30"/>
  <c r="AU888" i="30" s="1"/>
  <c r="AT889" i="30"/>
  <c r="AU889" i="30" s="1"/>
  <c r="AT890" i="30"/>
  <c r="AU890" i="30" s="1"/>
  <c r="AT891" i="30"/>
  <c r="AU891" i="30" s="1"/>
  <c r="AT892" i="30"/>
  <c r="AU892" i="30" s="1"/>
  <c r="AT893" i="30"/>
  <c r="AU893" i="30" s="1"/>
  <c r="AT894" i="30"/>
  <c r="AU894" i="30" s="1"/>
  <c r="AT895" i="30"/>
  <c r="AU895" i="30" s="1"/>
  <c r="AT896" i="30"/>
  <c r="AU896" i="30" s="1"/>
  <c r="AT897" i="30"/>
  <c r="AU897" i="30" s="1"/>
  <c r="AT898" i="30"/>
  <c r="AU898" i="30" s="1"/>
  <c r="AT899" i="30"/>
  <c r="AU899" i="30" s="1"/>
  <c r="AT900" i="30"/>
  <c r="AU900" i="30" s="1"/>
  <c r="AT901" i="30"/>
  <c r="AU901" i="30" s="1"/>
  <c r="AT902" i="30"/>
  <c r="AU902" i="30" s="1"/>
  <c r="AT903" i="30"/>
  <c r="AU903" i="30" s="1"/>
  <c r="AT904" i="30"/>
  <c r="AU904" i="30" s="1"/>
  <c r="AT905" i="30"/>
  <c r="AU905" i="30" s="1"/>
  <c r="AT906" i="30"/>
  <c r="AU906" i="30" s="1"/>
  <c r="AT907" i="30"/>
  <c r="AU907" i="30" s="1"/>
  <c r="AT908" i="30"/>
  <c r="AU908" i="30" s="1"/>
  <c r="AT909" i="30"/>
  <c r="AU909" i="30" s="1"/>
  <c r="AT910" i="30"/>
  <c r="AU910" i="30" s="1"/>
  <c r="AT911" i="30"/>
  <c r="AU911" i="30" s="1"/>
  <c r="AT912" i="30"/>
  <c r="AU912" i="30" s="1"/>
  <c r="AT913" i="30"/>
  <c r="AU913" i="30" s="1"/>
  <c r="AT914" i="30"/>
  <c r="AU914" i="30" s="1"/>
  <c r="AT915" i="30"/>
  <c r="AU915" i="30" s="1"/>
  <c r="AT916" i="30"/>
  <c r="AU916" i="30" s="1"/>
  <c r="AT917" i="30"/>
  <c r="AU917" i="30" s="1"/>
  <c r="AT918" i="30"/>
  <c r="AU918" i="30" s="1"/>
  <c r="AT919" i="30"/>
  <c r="AU919" i="30" s="1"/>
  <c r="AT920" i="30"/>
  <c r="AU920" i="30" s="1"/>
  <c r="AT921" i="30"/>
  <c r="AU921" i="30" s="1"/>
  <c r="AT922" i="30"/>
  <c r="AU922" i="30" s="1"/>
  <c r="AT923" i="30"/>
  <c r="AU923" i="30" s="1"/>
  <c r="AT924" i="30"/>
  <c r="AU924" i="30" s="1"/>
  <c r="AT925" i="30"/>
  <c r="AU925" i="30" s="1"/>
  <c r="AT926" i="30"/>
  <c r="AU926" i="30" s="1"/>
  <c r="AT927" i="30"/>
  <c r="AU927" i="30" s="1"/>
  <c r="AT928" i="30"/>
  <c r="AU928" i="30" s="1"/>
  <c r="AT929" i="30"/>
  <c r="AU929" i="30" s="1"/>
  <c r="AT930" i="30"/>
  <c r="AU930" i="30" s="1"/>
  <c r="AT931" i="30"/>
  <c r="AU931" i="30" s="1"/>
  <c r="AT932" i="30"/>
  <c r="AU932" i="30" s="1"/>
  <c r="AT933" i="30"/>
  <c r="AU933" i="30" s="1"/>
  <c r="AT934" i="30"/>
  <c r="AU934" i="30" s="1"/>
  <c r="AT935" i="30"/>
  <c r="AU935" i="30" s="1"/>
  <c r="AT936" i="30"/>
  <c r="AU936" i="30" s="1"/>
  <c r="AT937" i="30"/>
  <c r="AU937" i="30" s="1"/>
  <c r="AT938" i="30"/>
  <c r="AU938" i="30" s="1"/>
  <c r="AT939" i="30"/>
  <c r="AU939" i="30" s="1"/>
  <c r="AT940" i="30"/>
  <c r="AU940" i="30" s="1"/>
  <c r="AT941" i="30"/>
  <c r="AU941" i="30" s="1"/>
  <c r="AT942" i="30"/>
  <c r="AU942" i="30" s="1"/>
  <c r="AT943" i="30"/>
  <c r="AU943" i="30" s="1"/>
  <c r="AT944" i="30"/>
  <c r="AU944" i="30" s="1"/>
  <c r="AT945" i="30"/>
  <c r="AU945" i="30" s="1"/>
  <c r="AT946" i="30"/>
  <c r="AU946" i="30" s="1"/>
  <c r="AT947" i="30"/>
  <c r="AU947" i="30" s="1"/>
  <c r="AT948" i="30"/>
  <c r="AU948" i="30" s="1"/>
  <c r="AT949" i="30"/>
  <c r="AU949" i="30" s="1"/>
  <c r="AT950" i="30"/>
  <c r="AU950" i="30" s="1"/>
  <c r="AT951" i="30"/>
  <c r="AU951" i="30" s="1"/>
  <c r="AT952" i="30"/>
  <c r="AU952" i="30" s="1"/>
  <c r="AT953" i="30"/>
  <c r="AU953" i="30" s="1"/>
  <c r="AT954" i="30"/>
  <c r="AU954" i="30" s="1"/>
  <c r="AT955" i="30"/>
  <c r="AU955" i="30" s="1"/>
  <c r="AT956" i="30"/>
  <c r="AU956" i="30" s="1"/>
  <c r="AT957" i="30"/>
  <c r="AU957" i="30" s="1"/>
  <c r="AT958" i="30"/>
  <c r="AU958" i="30" s="1"/>
  <c r="AT959" i="30"/>
  <c r="AU959" i="30" s="1"/>
  <c r="AT960" i="30"/>
  <c r="AU960" i="30" s="1"/>
  <c r="AT961" i="30"/>
  <c r="AU961" i="30" s="1"/>
  <c r="AT962" i="30"/>
  <c r="AU962" i="30" s="1"/>
  <c r="AT963" i="30"/>
  <c r="AU963" i="30" s="1"/>
  <c r="AT964" i="30"/>
  <c r="AU964" i="30" s="1"/>
  <c r="AT965" i="30"/>
  <c r="AU965" i="30" s="1"/>
  <c r="AT966" i="30"/>
  <c r="AU966" i="30" s="1"/>
  <c r="AT967" i="30"/>
  <c r="AU967" i="30" s="1"/>
  <c r="AT968" i="30"/>
  <c r="AU968" i="30" s="1"/>
  <c r="AT969" i="30"/>
  <c r="AU969" i="30" s="1"/>
  <c r="AT970" i="30"/>
  <c r="AU970" i="30" s="1"/>
  <c r="AT971" i="30"/>
  <c r="AU971" i="30" s="1"/>
  <c r="AT972" i="30"/>
  <c r="AU972" i="30" s="1"/>
  <c r="AT973" i="30"/>
  <c r="AU973" i="30" s="1"/>
  <c r="AT974" i="30"/>
  <c r="AU974" i="30" s="1"/>
  <c r="AT975" i="30"/>
  <c r="AU975" i="30" s="1"/>
  <c r="AT976" i="30"/>
  <c r="AU976" i="30" s="1"/>
  <c r="AT977" i="30"/>
  <c r="AU977" i="30" s="1"/>
  <c r="AT978" i="30"/>
  <c r="AU978" i="30" s="1"/>
  <c r="AT979" i="30"/>
  <c r="AU979" i="30" s="1"/>
  <c r="AT980" i="30"/>
  <c r="AU980" i="30" s="1"/>
  <c r="AT981" i="30"/>
  <c r="AU981" i="30" s="1"/>
  <c r="AT982" i="30"/>
  <c r="AU982" i="30" s="1"/>
  <c r="AT983" i="30"/>
  <c r="AU983" i="30" s="1"/>
  <c r="AT984" i="30"/>
  <c r="AU984" i="30" s="1"/>
  <c r="AT985" i="30"/>
  <c r="AU985" i="30" s="1"/>
  <c r="AT986" i="30"/>
  <c r="AU986" i="30" s="1"/>
  <c r="AT987" i="30"/>
  <c r="AU987" i="30" s="1"/>
  <c r="AT988" i="30"/>
  <c r="AU988" i="30" s="1"/>
  <c r="AT989" i="30"/>
  <c r="AU989" i="30" s="1"/>
  <c r="AT990" i="30"/>
  <c r="AU990" i="30" s="1"/>
  <c r="AT991" i="30"/>
  <c r="AU991" i="30" s="1"/>
  <c r="AT992" i="30"/>
  <c r="AU992" i="30" s="1"/>
  <c r="AT993" i="30"/>
  <c r="AU993" i="30" s="1"/>
  <c r="AT994" i="30"/>
  <c r="AU994" i="30" s="1"/>
  <c r="AT995" i="30"/>
  <c r="AU995" i="30" s="1"/>
  <c r="AT996" i="30"/>
  <c r="AU996" i="30" s="1"/>
  <c r="AT997" i="30"/>
  <c r="AU997" i="30" s="1"/>
  <c r="AT998" i="30"/>
  <c r="AU998" i="30" s="1"/>
  <c r="AT999" i="30"/>
  <c r="AU999" i="30" s="1"/>
  <c r="AT1000" i="30"/>
  <c r="AU1000" i="30" s="1"/>
  <c r="AT1001" i="30"/>
  <c r="AU1001" i="30" s="1"/>
  <c r="AT1002" i="30"/>
  <c r="AU1002" i="30" s="1"/>
  <c r="AT1003" i="30"/>
  <c r="AU1003" i="30" s="1"/>
  <c r="AT1004" i="30"/>
  <c r="AU1004" i="30" s="1"/>
  <c r="AT1005" i="30"/>
  <c r="AU1005" i="30" s="1"/>
  <c r="AT1006" i="30"/>
  <c r="AU1006" i="30" s="1"/>
  <c r="AT1007" i="30"/>
  <c r="AU1007" i="30" s="1"/>
  <c r="AT1008" i="30"/>
  <c r="AU1008" i="30" s="1"/>
  <c r="AT1009" i="30"/>
  <c r="AU1009" i="30" s="1"/>
  <c r="AT1010" i="30"/>
  <c r="AU1010" i="30" s="1"/>
  <c r="AT1011" i="30"/>
  <c r="AU1011" i="30" s="1"/>
  <c r="AT1012" i="30"/>
  <c r="AU1012" i="30" s="1"/>
  <c r="AT1013" i="30"/>
  <c r="AU1013" i="30" s="1"/>
  <c r="AT1014" i="30"/>
  <c r="AU1014" i="30" s="1"/>
  <c r="AT1015" i="30"/>
  <c r="AU1015" i="30" s="1"/>
  <c r="AT1016" i="30"/>
  <c r="AU1016" i="30" s="1"/>
  <c r="AT1017" i="30"/>
  <c r="AU1017" i="30" s="1"/>
  <c r="AT1018" i="30"/>
  <c r="AU1018" i="30" s="1"/>
  <c r="AT1019" i="30"/>
  <c r="AU1019" i="30" s="1"/>
  <c r="AT1020" i="30"/>
  <c r="AU1020" i="30" s="1"/>
  <c r="AT1021" i="30"/>
  <c r="AU1021" i="30" s="1"/>
  <c r="AT1022" i="30"/>
  <c r="AU1022" i="30" s="1"/>
  <c r="AT1023" i="30"/>
  <c r="AU1023" i="30" s="1"/>
  <c r="AT1024" i="30"/>
  <c r="AU1024" i="30" s="1"/>
  <c r="AT1025" i="30"/>
  <c r="AU1025" i="30" s="1"/>
  <c r="AT1026" i="30"/>
  <c r="AU1026" i="30" s="1"/>
  <c r="AT1027" i="30"/>
  <c r="AU1027" i="30" s="1"/>
  <c r="AT1028" i="30"/>
  <c r="AU1028" i="30" s="1"/>
  <c r="AT1029" i="30"/>
  <c r="AU1029" i="30" s="1"/>
  <c r="AT1030" i="30"/>
  <c r="AU1030" i="30" s="1"/>
  <c r="AT1031" i="30"/>
  <c r="AU1031" i="30" s="1"/>
  <c r="AT1032" i="30"/>
  <c r="AU1032" i="30" s="1"/>
  <c r="AT1033" i="30"/>
  <c r="AU1033" i="30" s="1"/>
  <c r="AT1034" i="30"/>
  <c r="AU1034" i="30" s="1"/>
  <c r="AT1035" i="30"/>
  <c r="AU1035" i="30" s="1"/>
  <c r="AT1036" i="30"/>
  <c r="AU1036" i="30" s="1"/>
  <c r="AT1037" i="30"/>
  <c r="AU1037" i="30" s="1"/>
  <c r="AT1038" i="30"/>
  <c r="AU1038" i="30" s="1"/>
  <c r="AT1039" i="30"/>
  <c r="AU1039" i="30" s="1"/>
  <c r="AT1040" i="30"/>
  <c r="AU1040" i="30" s="1"/>
  <c r="AT1041" i="30"/>
  <c r="AU1041" i="30" s="1"/>
  <c r="AT1042" i="30"/>
  <c r="AU1042" i="30" s="1"/>
  <c r="AT1043" i="30"/>
  <c r="AU1043" i="30" s="1"/>
  <c r="AT1044" i="30"/>
  <c r="AU1044" i="30" s="1"/>
  <c r="AT1045" i="30"/>
  <c r="AU1045" i="30" s="1"/>
  <c r="AT1046" i="30"/>
  <c r="AU1046" i="30" s="1"/>
  <c r="AT1047" i="30"/>
  <c r="AU1047" i="30" s="1"/>
  <c r="AT1048" i="30"/>
  <c r="AU1048" i="30" s="1"/>
  <c r="AT1049" i="30"/>
  <c r="AU1049" i="30" s="1"/>
  <c r="AT1050" i="30"/>
  <c r="AU1050" i="30" s="1"/>
  <c r="AT1051" i="30"/>
  <c r="AU1051" i="30" s="1"/>
  <c r="AT1052" i="30"/>
  <c r="AU1052" i="30" s="1"/>
  <c r="AT1053" i="30"/>
  <c r="AU1053" i="30" s="1"/>
  <c r="AT1054" i="30"/>
  <c r="AU1054" i="30" s="1"/>
  <c r="AT1055" i="30"/>
  <c r="AU1055" i="30" s="1"/>
  <c r="AT1056" i="30"/>
  <c r="AU1056" i="30" s="1"/>
  <c r="AT1057" i="30"/>
  <c r="AU1057" i="30" s="1"/>
  <c r="AT1058" i="30"/>
  <c r="AU1058" i="30" s="1"/>
  <c r="AT1059" i="30"/>
  <c r="AU1059" i="30" s="1"/>
  <c r="AT1060" i="30"/>
  <c r="AU1060" i="30" s="1"/>
  <c r="AT1061" i="30"/>
  <c r="AU1061" i="30" s="1"/>
  <c r="AT1062" i="30"/>
  <c r="AU1062" i="30" s="1"/>
  <c r="AT1063" i="30"/>
  <c r="AU1063" i="30" s="1"/>
  <c r="AT1064" i="30"/>
  <c r="AU1064" i="30" s="1"/>
  <c r="AT1065" i="30"/>
  <c r="AU1065" i="30" s="1"/>
  <c r="AT1066" i="30"/>
  <c r="AU1066" i="30" s="1"/>
  <c r="AT1067" i="30"/>
  <c r="AU1067" i="30" s="1"/>
  <c r="AT1068" i="30"/>
  <c r="AU1068" i="30" s="1"/>
  <c r="AT1069" i="30"/>
  <c r="AU1069" i="30" s="1"/>
  <c r="AT1070" i="30"/>
  <c r="AU1070" i="30" s="1"/>
  <c r="AT1071" i="30"/>
  <c r="AU1071" i="30" s="1"/>
  <c r="AT1072" i="30"/>
  <c r="AU1072" i="30" s="1"/>
  <c r="AT1073" i="30"/>
  <c r="AU1073" i="30" s="1"/>
  <c r="AT1074" i="30"/>
  <c r="AU1074" i="30" s="1"/>
  <c r="AT1075" i="30"/>
  <c r="AU1075" i="30" s="1"/>
  <c r="AT1076" i="30"/>
  <c r="AU1076" i="30" s="1"/>
  <c r="AT1077" i="30"/>
  <c r="AU1077" i="30" s="1"/>
  <c r="AT1078" i="30"/>
  <c r="AU1078" i="30" s="1"/>
  <c r="AT1079" i="30"/>
  <c r="AU1079" i="30" s="1"/>
  <c r="AT1080" i="30"/>
  <c r="AU1080" i="30" s="1"/>
  <c r="AT1081" i="30"/>
  <c r="AU1081" i="30" s="1"/>
  <c r="AT1082" i="30"/>
  <c r="AU1082" i="30" s="1"/>
  <c r="AT1083" i="30"/>
  <c r="AU1083" i="30" s="1"/>
  <c r="AT1084" i="30"/>
  <c r="AU1084" i="30" s="1"/>
  <c r="AT1085" i="30"/>
  <c r="AU1085" i="30" s="1"/>
  <c r="AT1086" i="30"/>
  <c r="AU1086" i="30" s="1"/>
  <c r="AT1087" i="30"/>
  <c r="AU1087" i="30" s="1"/>
  <c r="AT1088" i="30"/>
  <c r="AU1088" i="30" s="1"/>
  <c r="AT1089" i="30"/>
  <c r="AU1089" i="30" s="1"/>
  <c r="AT1090" i="30"/>
  <c r="AU1090" i="30" s="1"/>
  <c r="AT1091" i="30"/>
  <c r="AU1091" i="30" s="1"/>
  <c r="AT1092" i="30"/>
  <c r="AU1092" i="30" s="1"/>
  <c r="AT1093" i="30"/>
  <c r="AU1093" i="30" s="1"/>
  <c r="AT1094" i="30"/>
  <c r="AU1094" i="30" s="1"/>
  <c r="AT1095" i="30"/>
  <c r="AU1095" i="30" s="1"/>
  <c r="AT1096" i="30"/>
  <c r="AU1096" i="30" s="1"/>
  <c r="AT1097" i="30"/>
  <c r="AU1097" i="30" s="1"/>
  <c r="AT1098" i="30"/>
  <c r="AU1098" i="30" s="1"/>
  <c r="AT1099" i="30"/>
  <c r="AU1099" i="30" s="1"/>
  <c r="AT1100" i="30"/>
  <c r="AU1100" i="30" s="1"/>
  <c r="AT1101" i="30"/>
  <c r="AU1101" i="30" s="1"/>
  <c r="AT1102" i="30"/>
  <c r="AU1102" i="30" s="1"/>
  <c r="AT1103" i="30"/>
  <c r="AU1103" i="30" s="1"/>
  <c r="AT1104" i="30"/>
  <c r="AU1104" i="30" s="1"/>
  <c r="AT1105" i="30"/>
  <c r="AU1105" i="30" s="1"/>
  <c r="AT1106" i="30"/>
  <c r="AU1106" i="30" s="1"/>
  <c r="AT1107" i="30"/>
  <c r="AU1107" i="30" s="1"/>
  <c r="AT1108" i="30"/>
  <c r="AU1108" i="30" s="1"/>
  <c r="AT1109" i="30"/>
  <c r="AU1109" i="30" s="1"/>
  <c r="AT1110" i="30"/>
  <c r="AU1110" i="30" s="1"/>
  <c r="AT1111" i="30"/>
  <c r="AU1111" i="30" s="1"/>
  <c r="AT1112" i="30"/>
  <c r="AU1112" i="30" s="1"/>
  <c r="AT1113" i="30"/>
  <c r="AU1113" i="30" s="1"/>
  <c r="AT1114" i="30"/>
  <c r="AU1114" i="30" s="1"/>
  <c r="AT1115" i="30"/>
  <c r="AU1115" i="30" s="1"/>
  <c r="AT1116" i="30"/>
  <c r="AU1116" i="30" s="1"/>
  <c r="AT1117" i="30"/>
  <c r="AU1117" i="30" s="1"/>
  <c r="AT1118" i="30"/>
  <c r="AU1118" i="30" s="1"/>
  <c r="AT1119" i="30"/>
  <c r="AU1119" i="30" s="1"/>
  <c r="AT1120" i="30"/>
  <c r="AU1120" i="30" s="1"/>
  <c r="AT1121" i="30"/>
  <c r="AU1121" i="30" s="1"/>
  <c r="AT1122" i="30"/>
  <c r="AU1122" i="30" s="1"/>
  <c r="AT1123" i="30"/>
  <c r="AU1123" i="30" s="1"/>
  <c r="AT1124" i="30"/>
  <c r="AU1124" i="30" s="1"/>
  <c r="AT1125" i="30"/>
  <c r="AU1125" i="30" s="1"/>
  <c r="AT1126" i="30"/>
  <c r="AU1126" i="30" s="1"/>
  <c r="AT1127" i="30"/>
  <c r="AU1127" i="30" s="1"/>
  <c r="AT1128" i="30"/>
  <c r="AU1128" i="30" s="1"/>
  <c r="AT1129" i="30"/>
  <c r="AU1129" i="30" s="1"/>
  <c r="AT1130" i="30"/>
  <c r="AU1130" i="30" s="1"/>
  <c r="AT1131" i="30"/>
  <c r="AU1131" i="30" s="1"/>
  <c r="AT1132" i="30"/>
  <c r="AU1132" i="30" s="1"/>
  <c r="AT1133" i="30"/>
  <c r="AU1133" i="30" s="1"/>
  <c r="AT1134" i="30"/>
  <c r="AU1134" i="30" s="1"/>
  <c r="AT1135" i="30"/>
  <c r="AU1135" i="30" s="1"/>
  <c r="AT1136" i="30"/>
  <c r="AU1136" i="30" s="1"/>
  <c r="AT1137" i="30"/>
  <c r="AU1137" i="30" s="1"/>
  <c r="AT1138" i="30"/>
  <c r="AU1138" i="30" s="1"/>
  <c r="AT1139" i="30"/>
  <c r="AU1139" i="30" s="1"/>
  <c r="AT1140" i="30"/>
  <c r="AU1140" i="30" s="1"/>
  <c r="AT1141" i="30"/>
  <c r="AU1141" i="30" s="1"/>
  <c r="AT1142" i="30"/>
  <c r="AU1142" i="30" s="1"/>
  <c r="AT1143" i="30"/>
  <c r="AU1143" i="30" s="1"/>
  <c r="AT1144" i="30"/>
  <c r="AU1144" i="30" s="1"/>
  <c r="AT1145" i="30"/>
  <c r="AU1145" i="30" s="1"/>
  <c r="AT1146" i="30"/>
  <c r="AU1146" i="30" s="1"/>
  <c r="AT1147" i="30"/>
  <c r="AU1147" i="30" s="1"/>
  <c r="AT1148" i="30"/>
  <c r="AU1148" i="30" s="1"/>
</calcChain>
</file>

<file path=xl/comments1.xml><?xml version="1.0" encoding="utf-8"?>
<comments xmlns="http://schemas.openxmlformats.org/spreadsheetml/2006/main">
  <authors>
    <author>Aziz</author>
    <author>rwendner</author>
    <author>Mija Hubler</author>
  </authors>
  <commentList>
    <comment ref="O1" authorId="0" shapeId="0">
      <text>
        <r>
          <rPr>
            <b/>
            <sz val="9"/>
            <color indexed="81"/>
            <rFont val="Tahoma"/>
            <family val="2"/>
          </rPr>
          <t>According to NU-ITI Database (CEB Model Code - used by B3 model)</t>
        </r>
        <r>
          <rPr>
            <sz val="9"/>
            <color indexed="81"/>
            <rFont val="Tahoma"/>
            <family val="2"/>
          </rPr>
          <t xml:space="preserve">
N = Normal
R = Rapid hardening
RS = Rapid hardening, early strength
SL = Slow hardening</t>
        </r>
      </text>
    </comment>
    <comment ref="P1" authorId="0" shapeId="0">
      <text>
        <r>
          <rPr>
            <b/>
            <sz val="9"/>
            <color indexed="81"/>
            <rFont val="Tahoma"/>
            <family val="2"/>
          </rPr>
          <t xml:space="preserve">According South Africa Database (EN197-1 
 used by fib-CEB 2010 &amp; Wits model)
</t>
        </r>
        <r>
          <rPr>
            <sz val="9"/>
            <color indexed="81"/>
            <rFont val="Tahoma"/>
            <family val="2"/>
          </rPr>
          <t xml:space="preserve">
N = Normal</t>
        </r>
        <r>
          <rPr>
            <b/>
            <sz val="9"/>
            <color indexed="81"/>
            <rFont val="Tahoma"/>
            <family val="2"/>
          </rPr>
          <t xml:space="preserve">
</t>
        </r>
        <r>
          <rPr>
            <sz val="9"/>
            <color indexed="81"/>
            <rFont val="Tahoma"/>
            <family val="2"/>
          </rPr>
          <t xml:space="preserve">R = Rapid hardening
RS = Rapid hardening, early strength
SL = Slow hardening
</t>
        </r>
      </text>
    </comment>
    <comment ref="X1" authorId="0" shapeId="0">
      <text>
        <r>
          <rPr>
            <b/>
            <sz val="9"/>
            <color indexed="81"/>
            <rFont val="Tahoma"/>
            <family val="2"/>
          </rPr>
          <t xml:space="preserve">GGBS
</t>
        </r>
      </text>
    </comment>
    <comment ref="Y1" authorId="0" shapeId="0">
      <text>
        <r>
          <rPr>
            <b/>
            <sz val="9"/>
            <color indexed="81"/>
            <rFont val="Tahoma"/>
            <family val="2"/>
          </rPr>
          <t>GGCS</t>
        </r>
      </text>
    </comment>
    <comment ref="Z1" authorId="0" shapeId="0">
      <text>
        <r>
          <rPr>
            <b/>
            <sz val="9"/>
            <color indexed="81"/>
            <rFont val="Tahoma"/>
            <family val="2"/>
          </rPr>
          <t>GGFS
(Ferro-manganese Slag)</t>
        </r>
      </text>
    </comment>
    <comment ref="AD1" authorId="0" shapeId="0">
      <text>
        <r>
          <rPr>
            <b/>
            <sz val="9"/>
            <color indexed="81"/>
            <rFont val="Tahoma"/>
            <family val="2"/>
          </rPr>
          <t>Viscosity Agent</t>
        </r>
      </text>
    </comment>
    <comment ref="AV601" authorId="1" shapeId="0">
      <text>
        <r>
          <rPr>
            <b/>
            <sz val="9"/>
            <color indexed="81"/>
            <rFont val="Tahoma"/>
            <family val="2"/>
          </rPr>
          <t>rwendner:</t>
        </r>
        <r>
          <rPr>
            <sz val="9"/>
            <color indexed="81"/>
            <rFont val="Tahoma"/>
            <family val="2"/>
          </rPr>
          <t xml:space="preserve">
moist</t>
        </r>
      </text>
    </comment>
    <comment ref="AY1232" authorId="2" shapeId="0">
      <text>
        <r>
          <rPr>
            <b/>
            <sz val="9"/>
            <color indexed="81"/>
            <rFont val="Tahoma"/>
            <family val="2"/>
          </rPr>
          <t>Mija Hubler:</t>
        </r>
        <r>
          <rPr>
            <sz val="9"/>
            <color indexed="81"/>
            <rFont val="Tahoma"/>
            <family val="2"/>
          </rPr>
          <t xml:space="preserve">
estimate
</t>
        </r>
      </text>
    </comment>
    <comment ref="AV1309" authorId="1" shapeId="0">
      <text>
        <r>
          <rPr>
            <b/>
            <sz val="9"/>
            <color indexed="81"/>
            <rFont val="Tahoma"/>
            <family val="2"/>
          </rPr>
          <t>rwendner:</t>
        </r>
        <r>
          <rPr>
            <sz val="9"/>
            <color indexed="81"/>
            <rFont val="Tahoma"/>
            <family val="2"/>
          </rPr>
          <t xml:space="preserve">
moist</t>
        </r>
      </text>
    </comment>
    <comment ref="AW1310" authorId="2" shapeId="0">
      <text>
        <r>
          <rPr>
            <b/>
            <sz val="9"/>
            <color indexed="81"/>
            <rFont val="Tahoma"/>
            <family val="2"/>
          </rPr>
          <t>Mija Hubler:</t>
        </r>
        <r>
          <rPr>
            <sz val="9"/>
            <color indexed="81"/>
            <rFont val="Tahoma"/>
            <family val="2"/>
          </rPr>
          <t xml:space="preserve">
At end of setting. Time assumed.</t>
        </r>
      </text>
    </comment>
    <comment ref="AW1311" authorId="2" shapeId="0">
      <text>
        <r>
          <rPr>
            <b/>
            <sz val="9"/>
            <color indexed="81"/>
            <rFont val="Tahoma"/>
            <family val="2"/>
          </rPr>
          <t>Mija Hubler:</t>
        </r>
        <r>
          <rPr>
            <sz val="9"/>
            <color indexed="81"/>
            <rFont val="Tahoma"/>
            <family val="2"/>
          </rPr>
          <t xml:space="preserve">
At end of setting. Time assumed.</t>
        </r>
      </text>
    </comment>
    <comment ref="AV1355" authorId="1" shapeId="0">
      <text>
        <r>
          <rPr>
            <b/>
            <sz val="9"/>
            <color indexed="81"/>
            <rFont val="Tahoma"/>
            <family val="2"/>
          </rPr>
          <t>rwendner:</t>
        </r>
        <r>
          <rPr>
            <sz val="9"/>
            <color indexed="81"/>
            <rFont val="Tahoma"/>
            <family val="2"/>
          </rPr>
          <t xml:space="preserve">
moist burlap</t>
        </r>
      </text>
    </comment>
    <comment ref="AV1356" authorId="1" shapeId="0">
      <text>
        <r>
          <rPr>
            <b/>
            <sz val="9"/>
            <color indexed="81"/>
            <rFont val="Tahoma"/>
            <family val="2"/>
          </rPr>
          <t>rwendner:</t>
        </r>
        <r>
          <rPr>
            <sz val="9"/>
            <color indexed="81"/>
            <rFont val="Tahoma"/>
            <family val="2"/>
          </rPr>
          <t xml:space="preserve">
moist burlap</t>
        </r>
      </text>
    </comment>
    <comment ref="AV1357" authorId="1" shapeId="0">
      <text>
        <r>
          <rPr>
            <b/>
            <sz val="9"/>
            <color indexed="81"/>
            <rFont val="Tahoma"/>
            <family val="2"/>
          </rPr>
          <t>rwendner:</t>
        </r>
        <r>
          <rPr>
            <sz val="9"/>
            <color indexed="81"/>
            <rFont val="Tahoma"/>
            <family val="2"/>
          </rPr>
          <t xml:space="preserve">
moist burlap</t>
        </r>
      </text>
    </comment>
    <comment ref="AV1358" authorId="1" shapeId="0">
      <text>
        <r>
          <rPr>
            <b/>
            <sz val="9"/>
            <color indexed="81"/>
            <rFont val="Tahoma"/>
            <family val="2"/>
          </rPr>
          <t>rwendner:</t>
        </r>
        <r>
          <rPr>
            <sz val="9"/>
            <color indexed="81"/>
            <rFont val="Tahoma"/>
            <family val="2"/>
          </rPr>
          <t xml:space="preserve">
moist burlap</t>
        </r>
      </text>
    </comment>
    <comment ref="AV1359" authorId="1" shapeId="0">
      <text>
        <r>
          <rPr>
            <b/>
            <sz val="9"/>
            <color indexed="81"/>
            <rFont val="Tahoma"/>
            <family val="2"/>
          </rPr>
          <t>rwendner:</t>
        </r>
        <r>
          <rPr>
            <sz val="9"/>
            <color indexed="81"/>
            <rFont val="Tahoma"/>
            <family val="2"/>
          </rPr>
          <t xml:space="preserve">
moist burlap</t>
        </r>
      </text>
    </comment>
    <comment ref="AV1400" authorId="1" shapeId="0">
      <text>
        <r>
          <rPr>
            <b/>
            <sz val="9"/>
            <color indexed="81"/>
            <rFont val="Tahoma"/>
            <family val="2"/>
          </rPr>
          <t>rwendner:</t>
        </r>
        <r>
          <rPr>
            <sz val="9"/>
            <color indexed="81"/>
            <rFont val="Tahoma"/>
            <family val="2"/>
          </rPr>
          <t xml:space="preserve">
moist</t>
        </r>
      </text>
    </comment>
    <comment ref="AV1401" authorId="1" shapeId="0">
      <text>
        <r>
          <rPr>
            <b/>
            <sz val="9"/>
            <color indexed="81"/>
            <rFont val="Tahoma"/>
            <family val="2"/>
          </rPr>
          <t>rwendner:</t>
        </r>
        <r>
          <rPr>
            <sz val="9"/>
            <color indexed="81"/>
            <rFont val="Tahoma"/>
            <family val="2"/>
          </rPr>
          <t xml:space="preserve">
moist</t>
        </r>
      </text>
    </comment>
    <comment ref="AV1439" authorId="1" shapeId="0">
      <text>
        <r>
          <rPr>
            <b/>
            <sz val="9"/>
            <color indexed="81"/>
            <rFont val="Tahoma"/>
            <family val="2"/>
          </rPr>
          <t>rwendner:</t>
        </r>
        <r>
          <rPr>
            <sz val="9"/>
            <color indexed="81"/>
            <rFont val="Tahoma"/>
            <family val="2"/>
          </rPr>
          <t xml:space="preserve">
0.6</t>
        </r>
      </text>
    </comment>
    <comment ref="AV1440" authorId="1" shapeId="0">
      <text>
        <r>
          <rPr>
            <b/>
            <sz val="9"/>
            <color indexed="81"/>
            <rFont val="Tahoma"/>
            <family val="2"/>
          </rPr>
          <t>rwendner:</t>
        </r>
        <r>
          <rPr>
            <sz val="9"/>
            <color indexed="81"/>
            <rFont val="Tahoma"/>
            <family val="2"/>
          </rPr>
          <t xml:space="preserve">
0.6</t>
        </r>
      </text>
    </comment>
    <comment ref="AV1441" authorId="1" shapeId="0">
      <text>
        <r>
          <rPr>
            <b/>
            <sz val="9"/>
            <color indexed="81"/>
            <rFont val="Tahoma"/>
            <family val="2"/>
          </rPr>
          <t>rwendner:</t>
        </r>
        <r>
          <rPr>
            <sz val="9"/>
            <color indexed="81"/>
            <rFont val="Tahoma"/>
            <family val="2"/>
          </rPr>
          <t xml:space="preserve">
0.6</t>
        </r>
      </text>
    </comment>
    <comment ref="AV1442" authorId="1" shapeId="0">
      <text>
        <r>
          <rPr>
            <b/>
            <sz val="9"/>
            <color indexed="81"/>
            <rFont val="Tahoma"/>
            <family val="2"/>
          </rPr>
          <t>rwendner:</t>
        </r>
        <r>
          <rPr>
            <sz val="9"/>
            <color indexed="81"/>
            <rFont val="Tahoma"/>
            <family val="2"/>
          </rPr>
          <t xml:space="preserve">
0.6</t>
        </r>
      </text>
    </comment>
    <comment ref="AV1515" authorId="1" shapeId="0">
      <text>
        <r>
          <rPr>
            <b/>
            <sz val="9"/>
            <color indexed="81"/>
            <rFont val="Tahoma"/>
            <family val="2"/>
          </rPr>
          <t>rwendner:</t>
        </r>
        <r>
          <rPr>
            <sz val="9"/>
            <color indexed="81"/>
            <rFont val="Tahoma"/>
            <family val="2"/>
          </rPr>
          <t xml:space="preserve">
moist</t>
        </r>
      </text>
    </comment>
    <comment ref="AW1516" authorId="2" shapeId="0">
      <text>
        <r>
          <rPr>
            <b/>
            <sz val="9"/>
            <color indexed="81"/>
            <rFont val="Tahoma"/>
            <family val="2"/>
          </rPr>
          <t>Mija Hubler:</t>
        </r>
        <r>
          <rPr>
            <sz val="9"/>
            <color indexed="81"/>
            <rFont val="Tahoma"/>
            <family val="2"/>
          </rPr>
          <t xml:space="preserve">
At setting, assumed about 6 hours.
</t>
        </r>
      </text>
    </comment>
    <comment ref="AW1517" authorId="2" shapeId="0">
      <text>
        <r>
          <rPr>
            <b/>
            <sz val="9"/>
            <color indexed="81"/>
            <rFont val="Tahoma"/>
            <family val="2"/>
          </rPr>
          <t>Mija Hubler:</t>
        </r>
        <r>
          <rPr>
            <sz val="9"/>
            <color indexed="81"/>
            <rFont val="Tahoma"/>
            <family val="2"/>
          </rPr>
          <t xml:space="preserve">
At setting, assumed about 6 hours.
</t>
        </r>
      </text>
    </comment>
    <comment ref="AW1518" authorId="2" shapeId="0">
      <text>
        <r>
          <rPr>
            <b/>
            <sz val="9"/>
            <color indexed="81"/>
            <rFont val="Tahoma"/>
            <family val="2"/>
          </rPr>
          <t>Mija Hubler:</t>
        </r>
        <r>
          <rPr>
            <sz val="9"/>
            <color indexed="81"/>
            <rFont val="Tahoma"/>
            <family val="2"/>
          </rPr>
          <t xml:space="preserve">
At setting, assumed about 6 hours.</t>
        </r>
      </text>
    </comment>
    <comment ref="K1520" authorId="2" shapeId="0">
      <text>
        <r>
          <rPr>
            <b/>
            <sz val="9"/>
            <color indexed="81"/>
            <rFont val="Tahoma"/>
            <family val="2"/>
          </rPr>
          <t>Mija Hubler:</t>
        </r>
        <r>
          <rPr>
            <sz val="9"/>
            <color indexed="81"/>
            <rFont val="Tahoma"/>
            <family val="2"/>
          </rPr>
          <t xml:space="preserve">
estimate
</t>
        </r>
      </text>
    </comment>
    <comment ref="M1520" authorId="2" shapeId="0">
      <text>
        <r>
          <rPr>
            <b/>
            <sz val="9"/>
            <color indexed="81"/>
            <rFont val="Tahoma"/>
            <family val="2"/>
          </rPr>
          <t>Mija Hubler:</t>
        </r>
        <r>
          <rPr>
            <sz val="9"/>
            <color indexed="81"/>
            <rFont val="Tahoma"/>
            <family val="2"/>
          </rPr>
          <t xml:space="preserve">
Estimate</t>
        </r>
      </text>
    </comment>
    <comment ref="K1522" authorId="2" shapeId="0">
      <text>
        <r>
          <rPr>
            <b/>
            <sz val="9"/>
            <color indexed="81"/>
            <rFont val="Tahoma"/>
            <family val="2"/>
          </rPr>
          <t>Mija Hubler:</t>
        </r>
        <r>
          <rPr>
            <sz val="9"/>
            <color indexed="81"/>
            <rFont val="Tahoma"/>
            <family val="2"/>
          </rPr>
          <t xml:space="preserve">
estimate</t>
        </r>
      </text>
    </comment>
    <comment ref="M1522" authorId="2" shapeId="0">
      <text>
        <r>
          <rPr>
            <b/>
            <sz val="9"/>
            <color indexed="81"/>
            <rFont val="Tahoma"/>
            <family val="2"/>
          </rPr>
          <t>Mija Hubler:</t>
        </r>
        <r>
          <rPr>
            <sz val="9"/>
            <color indexed="81"/>
            <rFont val="Tahoma"/>
            <family val="2"/>
          </rPr>
          <t xml:space="preserve">
Estimate</t>
        </r>
      </text>
    </comment>
    <comment ref="AV1579" authorId="1" shapeId="0">
      <text>
        <r>
          <rPr>
            <b/>
            <sz val="9"/>
            <color indexed="81"/>
            <rFont val="Tahoma"/>
            <family val="2"/>
          </rPr>
          <t>rwendner:</t>
        </r>
        <r>
          <rPr>
            <sz val="9"/>
            <color indexed="81"/>
            <rFont val="Tahoma"/>
            <family val="2"/>
          </rPr>
          <t xml:space="preserve">
moist</t>
        </r>
      </text>
    </comment>
    <comment ref="AV1580" authorId="1" shapeId="0">
      <text>
        <r>
          <rPr>
            <b/>
            <sz val="9"/>
            <color indexed="81"/>
            <rFont val="Tahoma"/>
            <family val="2"/>
          </rPr>
          <t>rwendner:</t>
        </r>
        <r>
          <rPr>
            <sz val="9"/>
            <color indexed="81"/>
            <rFont val="Tahoma"/>
            <family val="2"/>
          </rPr>
          <t xml:space="preserve">
moist</t>
        </r>
      </text>
    </comment>
    <comment ref="AV1581" authorId="1" shapeId="0">
      <text>
        <r>
          <rPr>
            <b/>
            <sz val="9"/>
            <color indexed="81"/>
            <rFont val="Tahoma"/>
            <family val="2"/>
          </rPr>
          <t>rwendner:</t>
        </r>
        <r>
          <rPr>
            <sz val="9"/>
            <color indexed="81"/>
            <rFont val="Tahoma"/>
            <family val="2"/>
          </rPr>
          <t xml:space="preserve">
moist</t>
        </r>
      </text>
    </comment>
    <comment ref="AV1582" authorId="1" shapeId="0">
      <text>
        <r>
          <rPr>
            <b/>
            <sz val="9"/>
            <color indexed="81"/>
            <rFont val="Tahoma"/>
            <family val="2"/>
          </rPr>
          <t>rwendner:</t>
        </r>
        <r>
          <rPr>
            <sz val="9"/>
            <color indexed="81"/>
            <rFont val="Tahoma"/>
            <family val="2"/>
          </rPr>
          <t xml:space="preserve">
moist</t>
        </r>
      </text>
    </comment>
    <comment ref="AV1583" authorId="1" shapeId="0">
      <text>
        <r>
          <rPr>
            <b/>
            <sz val="9"/>
            <color indexed="81"/>
            <rFont val="Tahoma"/>
            <family val="2"/>
          </rPr>
          <t>rwendner:</t>
        </r>
        <r>
          <rPr>
            <sz val="9"/>
            <color indexed="81"/>
            <rFont val="Tahoma"/>
            <family val="2"/>
          </rPr>
          <t xml:space="preserve">
moist</t>
        </r>
      </text>
    </comment>
    <comment ref="AV1584" authorId="1" shapeId="0">
      <text>
        <r>
          <rPr>
            <b/>
            <sz val="9"/>
            <color indexed="81"/>
            <rFont val="Tahoma"/>
            <family val="2"/>
          </rPr>
          <t>rwendner:</t>
        </r>
        <r>
          <rPr>
            <sz val="9"/>
            <color indexed="81"/>
            <rFont val="Tahoma"/>
            <family val="2"/>
          </rPr>
          <t xml:space="preserve">
moist</t>
        </r>
      </text>
    </comment>
    <comment ref="M1599" authorId="2" shapeId="0">
      <text>
        <r>
          <rPr>
            <b/>
            <sz val="9"/>
            <color indexed="81"/>
            <rFont val="Tahoma"/>
            <family val="2"/>
          </rPr>
          <t>Mija Hubler:</t>
        </r>
        <r>
          <rPr>
            <sz val="9"/>
            <color indexed="81"/>
            <rFont val="Tahoma"/>
            <family val="2"/>
          </rPr>
          <t xml:space="preserve">
estimated
</t>
        </r>
      </text>
    </comment>
    <comment ref="AP1599" authorId="2" shapeId="0">
      <text>
        <r>
          <rPr>
            <b/>
            <sz val="9"/>
            <color indexed="81"/>
            <rFont val="Tahoma"/>
            <family val="2"/>
          </rPr>
          <t>Mija Hubler:</t>
        </r>
        <r>
          <rPr>
            <sz val="9"/>
            <color indexed="81"/>
            <rFont val="Tahoma"/>
            <family val="2"/>
          </rPr>
          <t xml:space="preserve">
from 3pt flexure test
</t>
        </r>
      </text>
    </comment>
    <comment ref="AX1599" authorId="2" shapeId="0">
      <text>
        <r>
          <rPr>
            <b/>
            <sz val="9"/>
            <color indexed="81"/>
            <rFont val="Tahoma"/>
            <family val="2"/>
          </rPr>
          <t>Mija Hubler:</t>
        </r>
        <r>
          <rPr>
            <sz val="9"/>
            <color indexed="81"/>
            <rFont val="Tahoma"/>
            <family val="2"/>
          </rPr>
          <t xml:space="preserve">
room temperature
</t>
        </r>
      </text>
    </comment>
    <comment ref="M1600" authorId="2" shapeId="0">
      <text>
        <r>
          <rPr>
            <b/>
            <sz val="9"/>
            <color indexed="81"/>
            <rFont val="Tahoma"/>
            <family val="2"/>
          </rPr>
          <t>Mija Hubler:</t>
        </r>
        <r>
          <rPr>
            <sz val="9"/>
            <color indexed="81"/>
            <rFont val="Tahoma"/>
            <family val="2"/>
          </rPr>
          <t xml:space="preserve">
estimated</t>
        </r>
      </text>
    </comment>
    <comment ref="AP1600" authorId="2" shapeId="0">
      <text>
        <r>
          <rPr>
            <b/>
            <sz val="9"/>
            <color indexed="81"/>
            <rFont val="Tahoma"/>
            <family val="2"/>
          </rPr>
          <t>Mija Hubler:</t>
        </r>
        <r>
          <rPr>
            <sz val="9"/>
            <color indexed="81"/>
            <rFont val="Tahoma"/>
            <family val="2"/>
          </rPr>
          <t xml:space="preserve">
from 3pt flexure test</t>
        </r>
      </text>
    </comment>
    <comment ref="AX1600" authorId="2" shapeId="0">
      <text>
        <r>
          <rPr>
            <b/>
            <sz val="9"/>
            <color indexed="81"/>
            <rFont val="Tahoma"/>
            <family val="2"/>
          </rPr>
          <t>Mija Hubler:</t>
        </r>
        <r>
          <rPr>
            <sz val="9"/>
            <color indexed="81"/>
            <rFont val="Tahoma"/>
            <family val="2"/>
          </rPr>
          <t xml:space="preserve">
room temperature</t>
        </r>
      </text>
    </comment>
    <comment ref="M1601" authorId="2" shapeId="0">
      <text>
        <r>
          <rPr>
            <b/>
            <sz val="9"/>
            <color indexed="81"/>
            <rFont val="Tahoma"/>
            <family val="2"/>
          </rPr>
          <t>Mija Hubler:</t>
        </r>
        <r>
          <rPr>
            <sz val="9"/>
            <color indexed="81"/>
            <rFont val="Tahoma"/>
            <family val="2"/>
          </rPr>
          <t xml:space="preserve">
estimated</t>
        </r>
      </text>
    </comment>
    <comment ref="AP1601" authorId="2" shapeId="0">
      <text>
        <r>
          <rPr>
            <b/>
            <sz val="9"/>
            <color indexed="81"/>
            <rFont val="Tahoma"/>
            <family val="2"/>
          </rPr>
          <t>Mija Hubler:</t>
        </r>
        <r>
          <rPr>
            <sz val="9"/>
            <color indexed="81"/>
            <rFont val="Tahoma"/>
            <family val="2"/>
          </rPr>
          <t xml:space="preserve">
from 3pt flexure test</t>
        </r>
      </text>
    </comment>
    <comment ref="AX1601" authorId="2" shapeId="0">
      <text>
        <r>
          <rPr>
            <b/>
            <sz val="9"/>
            <color indexed="81"/>
            <rFont val="Tahoma"/>
            <family val="2"/>
          </rPr>
          <t>Mija Hubler:</t>
        </r>
        <r>
          <rPr>
            <sz val="9"/>
            <color indexed="81"/>
            <rFont val="Tahoma"/>
            <family val="2"/>
          </rPr>
          <t xml:space="preserve">
room temperature</t>
        </r>
      </text>
    </comment>
    <comment ref="AP1602" authorId="2" shapeId="0">
      <text>
        <r>
          <rPr>
            <b/>
            <sz val="9"/>
            <color indexed="81"/>
            <rFont val="Tahoma"/>
            <family val="2"/>
          </rPr>
          <t>Mija Hubler:</t>
        </r>
        <r>
          <rPr>
            <sz val="9"/>
            <color indexed="81"/>
            <rFont val="Tahoma"/>
            <family val="2"/>
          </rPr>
          <t xml:space="preserve">
from 3pt flexure test
</t>
        </r>
      </text>
    </comment>
    <comment ref="AX1602" authorId="2" shapeId="0">
      <text>
        <r>
          <rPr>
            <b/>
            <sz val="9"/>
            <color indexed="81"/>
            <rFont val="Tahoma"/>
            <family val="2"/>
          </rPr>
          <t>Mija Hubler:</t>
        </r>
        <r>
          <rPr>
            <sz val="9"/>
            <color indexed="81"/>
            <rFont val="Tahoma"/>
            <family val="2"/>
          </rPr>
          <t xml:space="preserve">
room temperature</t>
        </r>
      </text>
    </comment>
    <comment ref="AP1603" authorId="2" shapeId="0">
      <text>
        <r>
          <rPr>
            <b/>
            <sz val="9"/>
            <color indexed="81"/>
            <rFont val="Tahoma"/>
            <family val="2"/>
          </rPr>
          <t>Mija Hubler:</t>
        </r>
        <r>
          <rPr>
            <sz val="9"/>
            <color indexed="81"/>
            <rFont val="Tahoma"/>
            <family val="2"/>
          </rPr>
          <t xml:space="preserve">
from 3pt flexure test</t>
        </r>
      </text>
    </comment>
    <comment ref="AX1603" authorId="2" shapeId="0">
      <text>
        <r>
          <rPr>
            <b/>
            <sz val="9"/>
            <color indexed="81"/>
            <rFont val="Tahoma"/>
            <family val="2"/>
          </rPr>
          <t>Mija Hubler:</t>
        </r>
        <r>
          <rPr>
            <sz val="9"/>
            <color indexed="81"/>
            <rFont val="Tahoma"/>
            <family val="2"/>
          </rPr>
          <t xml:space="preserve">
room temperature</t>
        </r>
      </text>
    </comment>
    <comment ref="AP1604" authorId="2" shapeId="0">
      <text>
        <r>
          <rPr>
            <b/>
            <sz val="9"/>
            <color indexed="81"/>
            <rFont val="Tahoma"/>
            <family val="2"/>
          </rPr>
          <t>Mija Hubler:</t>
        </r>
        <r>
          <rPr>
            <sz val="9"/>
            <color indexed="81"/>
            <rFont val="Tahoma"/>
            <family val="2"/>
          </rPr>
          <t xml:space="preserve">
from 3pt flexure test
</t>
        </r>
      </text>
    </comment>
    <comment ref="AX1604" authorId="2" shapeId="0">
      <text>
        <r>
          <rPr>
            <b/>
            <sz val="9"/>
            <color indexed="81"/>
            <rFont val="Tahoma"/>
            <family val="2"/>
          </rPr>
          <t>Mija Hubler:</t>
        </r>
        <r>
          <rPr>
            <sz val="9"/>
            <color indexed="81"/>
            <rFont val="Tahoma"/>
            <family val="2"/>
          </rPr>
          <t xml:space="preserve">
room temperature</t>
        </r>
      </text>
    </comment>
    <comment ref="AP1605" authorId="2" shapeId="0">
      <text>
        <r>
          <rPr>
            <b/>
            <sz val="9"/>
            <color indexed="81"/>
            <rFont val="Tahoma"/>
            <family val="2"/>
          </rPr>
          <t>Mija Hubler:</t>
        </r>
        <r>
          <rPr>
            <sz val="9"/>
            <color indexed="81"/>
            <rFont val="Tahoma"/>
            <family val="2"/>
          </rPr>
          <t xml:space="preserve">
from 3pt flexure test</t>
        </r>
      </text>
    </comment>
    <comment ref="AX1605" authorId="2" shapeId="0">
      <text>
        <r>
          <rPr>
            <b/>
            <sz val="9"/>
            <color indexed="81"/>
            <rFont val="Tahoma"/>
            <family val="2"/>
          </rPr>
          <t>Mija Hubler:</t>
        </r>
        <r>
          <rPr>
            <sz val="9"/>
            <color indexed="81"/>
            <rFont val="Tahoma"/>
            <family val="2"/>
          </rPr>
          <t xml:space="preserve">
room temperature</t>
        </r>
      </text>
    </comment>
    <comment ref="AU1903" authorId="0" shapeId="0">
      <text>
        <r>
          <rPr>
            <b/>
            <sz val="9"/>
            <color indexed="81"/>
            <rFont val="Tahoma"/>
            <family val="2"/>
          </rPr>
          <t>Not sure about the SA database being correct about V/S</t>
        </r>
      </text>
    </comment>
  </commentList>
</comments>
</file>

<file path=xl/comments2.xml><?xml version="1.0" encoding="utf-8"?>
<comments xmlns="http://schemas.openxmlformats.org/spreadsheetml/2006/main">
  <authors>
    <author>Rahima Noordien</author>
    <author>Aziz</author>
    <author>Mija Hubler</author>
  </authors>
  <commentList>
    <comment ref="T1" authorId="0" shapeId="0">
      <text>
        <r>
          <rPr>
            <b/>
            <sz val="9"/>
            <color indexed="81"/>
            <rFont val="Tahoma"/>
            <family val="2"/>
          </rPr>
          <t xml:space="preserve">Cement content + mineral admixtures /  additives
</t>
        </r>
      </text>
    </comment>
    <comment ref="U1" authorId="0" shapeId="0">
      <text>
        <r>
          <rPr>
            <sz val="9"/>
            <color indexed="81"/>
            <rFont val="Tahoma"/>
            <family val="2"/>
          </rPr>
          <t>Stone + sand</t>
        </r>
      </text>
    </comment>
    <comment ref="X1" authorId="1" shapeId="0">
      <text>
        <r>
          <rPr>
            <b/>
            <sz val="9"/>
            <color indexed="81"/>
            <rFont val="Tahoma"/>
            <family val="2"/>
          </rPr>
          <t xml:space="preserve">According to B4 model cement classification
</t>
        </r>
        <r>
          <rPr>
            <sz val="9"/>
            <color indexed="81"/>
            <rFont val="Tahoma"/>
            <family val="2"/>
          </rPr>
          <t xml:space="preserve">R = Normal  (ASTM Type I general purpose PC)
RS = Rapid hardening (ASTM Type III - high early heat cement)
SL = Slow hardening (ASTM Type II - low heat cement and CEM II-S, </t>
        </r>
        <r>
          <rPr>
            <b/>
            <sz val="9"/>
            <color indexed="81"/>
            <rFont val="Tahoma"/>
            <family val="2"/>
          </rPr>
          <t xml:space="preserve">except for concretes made for HSC incl superplasticisers, etc)
</t>
        </r>
      </text>
    </comment>
    <comment ref="Y1" authorId="1" shapeId="0">
      <text>
        <r>
          <rPr>
            <b/>
            <sz val="9"/>
            <color indexed="81"/>
            <rFont val="Tahoma"/>
            <family val="2"/>
          </rPr>
          <t>According to NU Database (CEB Model Code - used by B3 model)</t>
        </r>
        <r>
          <rPr>
            <sz val="9"/>
            <color indexed="81"/>
            <rFont val="Tahoma"/>
            <family val="2"/>
          </rPr>
          <t xml:space="preserve">
N = Normal
R = Rapid hardening
RS = Rapid hardening, early strength
SL = Slow hardening</t>
        </r>
      </text>
    </comment>
    <comment ref="AA1" authorId="1" shapeId="0">
      <text>
        <r>
          <rPr>
            <b/>
            <sz val="9"/>
            <color indexed="81"/>
            <rFont val="Tahoma"/>
            <family val="2"/>
          </rPr>
          <t>According SANS 50197-1</t>
        </r>
        <r>
          <rPr>
            <sz val="9"/>
            <color indexed="81"/>
            <rFont val="Tahoma"/>
            <family val="2"/>
          </rPr>
          <t xml:space="preserve">
Including the seperately added mineral admixtures / additives / extenders</t>
        </r>
      </text>
    </comment>
    <comment ref="AB1" authorId="0" shapeId="0">
      <text>
        <r>
          <rPr>
            <sz val="9"/>
            <color indexed="81"/>
            <rFont val="Tahoma"/>
            <family val="2"/>
          </rPr>
          <t xml:space="preserve">As stated in data source
</t>
        </r>
      </text>
    </comment>
    <comment ref="AK1" authorId="1" shapeId="0">
      <text>
        <r>
          <rPr>
            <b/>
            <sz val="9"/>
            <color indexed="81"/>
            <rFont val="Tahoma"/>
            <family val="2"/>
          </rPr>
          <t xml:space="preserve">GGBS
</t>
        </r>
      </text>
    </comment>
    <comment ref="AL1" authorId="1" shapeId="0">
      <text>
        <r>
          <rPr>
            <b/>
            <sz val="9"/>
            <color indexed="81"/>
            <rFont val="Tahoma"/>
            <family val="2"/>
          </rPr>
          <t>GGCS</t>
        </r>
      </text>
    </comment>
    <comment ref="AM1" authorId="1" shapeId="0">
      <text>
        <r>
          <rPr>
            <b/>
            <sz val="9"/>
            <color indexed="81"/>
            <rFont val="Tahoma"/>
            <family val="2"/>
          </rPr>
          <t>GGFS
(Ferro-manganese Slag)</t>
        </r>
      </text>
    </comment>
    <comment ref="AP1" authorId="0" shapeId="0">
      <text>
        <r>
          <rPr>
            <b/>
            <sz val="9"/>
            <color indexed="81"/>
            <rFont val="Tahoma"/>
            <family val="2"/>
          </rPr>
          <t>Natural Pozzolan , natural calcined</t>
        </r>
      </text>
    </comment>
    <comment ref="AQ1" authorId="1" shapeId="0">
      <text>
        <r>
          <rPr>
            <b/>
            <sz val="9"/>
            <color indexed="81"/>
            <rFont val="Tahoma"/>
            <family val="2"/>
          </rPr>
          <t>Viscosity Agent</t>
        </r>
      </text>
    </comment>
    <comment ref="AA68" authorId="0" shapeId="0">
      <text>
        <r>
          <rPr>
            <b/>
            <sz val="9"/>
            <color indexed="81"/>
            <rFont val="Tahoma"/>
            <family val="2"/>
          </rPr>
          <t>SF greater than 10%</t>
        </r>
      </text>
    </comment>
    <comment ref="AA73" authorId="0" shapeId="0">
      <text>
        <r>
          <rPr>
            <b/>
            <sz val="9"/>
            <color indexed="81"/>
            <rFont val="Tahoma"/>
            <family val="2"/>
          </rPr>
          <t>SF greater than 10%</t>
        </r>
      </text>
    </comment>
    <comment ref="D89" authorId="0" shapeId="0">
      <text>
        <r>
          <rPr>
            <sz val="9"/>
            <color indexed="81"/>
            <rFont val="Tahoma"/>
            <family val="2"/>
          </rPr>
          <t>100% humidity</t>
        </r>
      </text>
    </comment>
    <comment ref="AB90" authorId="0" shapeId="0">
      <text>
        <r>
          <rPr>
            <b/>
            <sz val="9"/>
            <color indexed="81"/>
            <rFont val="Tahoma"/>
            <family val="2"/>
          </rPr>
          <t>assumed Normal Portland cement</t>
        </r>
      </text>
    </comment>
    <comment ref="D91" authorId="0" shapeId="0">
      <text>
        <r>
          <rPr>
            <sz val="9"/>
            <color indexed="81"/>
            <rFont val="Tahoma"/>
            <family val="2"/>
          </rPr>
          <t>100% humidity</t>
        </r>
      </text>
    </comment>
    <comment ref="AB91" authorId="0" shapeId="0">
      <text>
        <r>
          <rPr>
            <b/>
            <sz val="9"/>
            <color indexed="81"/>
            <rFont val="Tahoma"/>
            <family val="2"/>
          </rPr>
          <t>Assumed Normal Portland cement</t>
        </r>
      </text>
    </comment>
    <comment ref="D93" authorId="0" shapeId="0">
      <text>
        <r>
          <rPr>
            <sz val="9"/>
            <color indexed="81"/>
            <rFont val="Tahoma"/>
            <family val="2"/>
          </rPr>
          <t>100% humidity</t>
        </r>
      </text>
    </comment>
    <comment ref="D95" authorId="0" shapeId="0">
      <text>
        <r>
          <rPr>
            <sz val="9"/>
            <color indexed="81"/>
            <rFont val="Tahoma"/>
            <family val="2"/>
          </rPr>
          <t>100% humidity</t>
        </r>
      </text>
    </comment>
    <comment ref="D97" authorId="0" shapeId="0">
      <text>
        <r>
          <rPr>
            <sz val="9"/>
            <color indexed="81"/>
            <rFont val="Tahoma"/>
            <family val="2"/>
          </rPr>
          <t>100% humidity</t>
        </r>
      </text>
    </comment>
    <comment ref="AB97" authorId="0" shapeId="0">
      <text>
        <r>
          <rPr>
            <b/>
            <sz val="9"/>
            <color indexed="81"/>
            <rFont val="Tahoma"/>
            <family val="2"/>
          </rPr>
          <t>Assumed Normal Portland cement</t>
        </r>
      </text>
    </comment>
    <comment ref="AA102" authorId="0" shapeId="0">
      <text>
        <r>
          <rPr>
            <b/>
            <sz val="9"/>
            <color indexed="81"/>
            <rFont val="Tahoma"/>
            <family val="2"/>
          </rPr>
          <t>Unspecified filler</t>
        </r>
      </text>
    </comment>
    <comment ref="AA103" authorId="0" shapeId="0">
      <text>
        <r>
          <rPr>
            <b/>
            <sz val="9"/>
            <color indexed="81"/>
            <rFont val="Tahoma"/>
            <family val="2"/>
          </rPr>
          <t xml:space="preserve">Unspecified filler
</t>
        </r>
      </text>
    </comment>
    <comment ref="AA104" authorId="0" shapeId="0">
      <text>
        <r>
          <rPr>
            <b/>
            <sz val="9"/>
            <color indexed="81"/>
            <rFont val="Tahoma"/>
            <family val="2"/>
          </rPr>
          <t>Unspecified filler</t>
        </r>
      </text>
    </comment>
    <comment ref="AA105" authorId="0" shapeId="0">
      <text>
        <r>
          <rPr>
            <b/>
            <sz val="9"/>
            <color indexed="81"/>
            <rFont val="Tahoma"/>
            <family val="2"/>
          </rPr>
          <t>Unspecified filler</t>
        </r>
      </text>
    </comment>
    <comment ref="AA106" authorId="0" shapeId="0">
      <text>
        <r>
          <rPr>
            <b/>
            <sz val="9"/>
            <color indexed="81"/>
            <rFont val="Tahoma"/>
            <family val="2"/>
          </rPr>
          <t>Unspecified filler</t>
        </r>
      </text>
    </comment>
    <comment ref="AA107" authorId="0" shapeId="0">
      <text>
        <r>
          <rPr>
            <b/>
            <sz val="9"/>
            <color indexed="81"/>
            <rFont val="Tahoma"/>
            <family val="2"/>
          </rPr>
          <t>Unspecified filler</t>
        </r>
      </text>
    </comment>
    <comment ref="AA108" authorId="0" shapeId="0">
      <text>
        <r>
          <rPr>
            <b/>
            <sz val="9"/>
            <color indexed="81"/>
            <rFont val="Tahoma"/>
            <family val="2"/>
          </rPr>
          <t>Unspecified filler</t>
        </r>
      </text>
    </comment>
    <comment ref="AA109" authorId="0" shapeId="0">
      <text>
        <r>
          <rPr>
            <b/>
            <sz val="9"/>
            <color indexed="81"/>
            <rFont val="Tahoma"/>
            <family val="2"/>
          </rPr>
          <t>Unspecified filler</t>
        </r>
      </text>
    </comment>
    <comment ref="AA110" authorId="0" shapeId="0">
      <text>
        <r>
          <rPr>
            <b/>
            <sz val="9"/>
            <color indexed="81"/>
            <rFont val="Tahoma"/>
            <family val="2"/>
          </rPr>
          <t>Unspecified filler</t>
        </r>
      </text>
    </comment>
    <comment ref="AA111" authorId="0" shapeId="0">
      <text>
        <r>
          <rPr>
            <b/>
            <sz val="9"/>
            <color indexed="81"/>
            <rFont val="Tahoma"/>
            <family val="2"/>
          </rPr>
          <t>Unspecified filler</t>
        </r>
      </text>
    </comment>
    <comment ref="AA112" authorId="0" shapeId="0">
      <text>
        <r>
          <rPr>
            <b/>
            <sz val="9"/>
            <color indexed="81"/>
            <rFont val="Tahoma"/>
            <family val="2"/>
          </rPr>
          <t>Unspecified filler</t>
        </r>
      </text>
    </comment>
    <comment ref="AA113" authorId="0" shapeId="0">
      <text>
        <r>
          <rPr>
            <b/>
            <sz val="9"/>
            <color indexed="81"/>
            <rFont val="Tahoma"/>
            <family val="2"/>
          </rPr>
          <t>Unspecified filler</t>
        </r>
      </text>
    </comment>
    <comment ref="AA114" authorId="0" shapeId="0">
      <text>
        <r>
          <rPr>
            <b/>
            <sz val="9"/>
            <color indexed="81"/>
            <rFont val="Tahoma"/>
            <family val="2"/>
          </rPr>
          <t>Unspecified filler</t>
        </r>
      </text>
    </comment>
    <comment ref="AA115" authorId="0" shapeId="0">
      <text>
        <r>
          <rPr>
            <b/>
            <sz val="9"/>
            <color indexed="81"/>
            <rFont val="Tahoma"/>
            <family val="2"/>
          </rPr>
          <t xml:space="preserve">Unspecified filler
</t>
        </r>
      </text>
    </comment>
    <comment ref="AA116" authorId="0" shapeId="0">
      <text>
        <r>
          <rPr>
            <b/>
            <sz val="9"/>
            <color indexed="81"/>
            <rFont val="Tahoma"/>
            <family val="2"/>
          </rPr>
          <t>Unspecified filler</t>
        </r>
      </text>
    </comment>
    <comment ref="AA117" authorId="0" shapeId="0">
      <text>
        <r>
          <rPr>
            <b/>
            <sz val="9"/>
            <color indexed="81"/>
            <rFont val="Tahoma"/>
            <family val="2"/>
          </rPr>
          <t xml:space="preserve">Unspecified filler
</t>
        </r>
      </text>
    </comment>
    <comment ref="AA118" authorId="0" shapeId="0">
      <text>
        <r>
          <rPr>
            <b/>
            <sz val="9"/>
            <color indexed="81"/>
            <rFont val="Tahoma"/>
            <family val="2"/>
          </rPr>
          <t>Unspecified filler</t>
        </r>
      </text>
    </comment>
    <comment ref="Q143" authorId="0" shapeId="0">
      <text>
        <r>
          <rPr>
            <b/>
            <sz val="9"/>
            <color indexed="81"/>
            <rFont val="Tahoma"/>
            <family val="2"/>
          </rPr>
          <t>steel fibre</t>
        </r>
      </text>
    </comment>
    <comment ref="Q144" authorId="0" shapeId="0">
      <text>
        <r>
          <rPr>
            <b/>
            <sz val="9"/>
            <color indexed="81"/>
            <rFont val="Tahoma"/>
            <family val="2"/>
          </rPr>
          <t xml:space="preserve">steel fibre
</t>
        </r>
      </text>
    </comment>
    <comment ref="Q145" authorId="0" shapeId="0">
      <text>
        <r>
          <rPr>
            <b/>
            <sz val="9"/>
            <color indexed="81"/>
            <rFont val="Tahoma"/>
            <family val="2"/>
          </rPr>
          <t xml:space="preserve">steel fibre
</t>
        </r>
      </text>
    </comment>
    <comment ref="Q146" authorId="0" shapeId="0">
      <text>
        <r>
          <rPr>
            <b/>
            <sz val="9"/>
            <color indexed="81"/>
            <rFont val="Tahoma"/>
            <family val="2"/>
          </rPr>
          <t>steel fibre</t>
        </r>
      </text>
    </comment>
    <comment ref="BJ153" authorId="2" shapeId="0">
      <text>
        <r>
          <rPr>
            <b/>
            <sz val="9"/>
            <color indexed="81"/>
            <rFont val="Tahoma"/>
            <family val="2"/>
          </rPr>
          <t>Mija Hubler:</t>
        </r>
        <r>
          <rPr>
            <sz val="9"/>
            <color indexed="81"/>
            <rFont val="Tahoma"/>
            <family val="2"/>
          </rPr>
          <t xml:space="preserve">
At end of setting. Time assumed.</t>
        </r>
      </text>
    </comment>
    <comment ref="BJ154" authorId="2" shapeId="0">
      <text>
        <r>
          <rPr>
            <b/>
            <sz val="9"/>
            <color indexed="81"/>
            <rFont val="Tahoma"/>
            <family val="2"/>
          </rPr>
          <t>Mija Hubler:</t>
        </r>
        <r>
          <rPr>
            <sz val="9"/>
            <color indexed="81"/>
            <rFont val="Tahoma"/>
            <family val="2"/>
          </rPr>
          <t xml:space="preserve">
At end of setting. Time assumed.</t>
        </r>
      </text>
    </comment>
    <comment ref="AA191" authorId="0" shapeId="0">
      <text>
        <r>
          <rPr>
            <b/>
            <sz val="9"/>
            <color indexed="81"/>
            <rFont val="Tahoma"/>
            <family val="2"/>
          </rPr>
          <t>SF greater than 10%</t>
        </r>
      </text>
    </comment>
    <comment ref="AA192" authorId="0" shapeId="0">
      <text>
        <r>
          <rPr>
            <b/>
            <sz val="9"/>
            <color indexed="81"/>
            <rFont val="Tahoma"/>
            <family val="2"/>
          </rPr>
          <t xml:space="preserve">Unspecified filler
</t>
        </r>
      </text>
    </comment>
    <comment ref="AA194" authorId="0" shapeId="0">
      <text>
        <r>
          <rPr>
            <b/>
            <sz val="9"/>
            <color indexed="81"/>
            <rFont val="Tahoma"/>
            <family val="2"/>
          </rPr>
          <t xml:space="preserve">Unspecified filler
</t>
        </r>
      </text>
    </comment>
    <comment ref="BP224" authorId="0" shapeId="0">
      <text>
        <r>
          <rPr>
            <b/>
            <sz val="9"/>
            <color indexed="81"/>
            <rFont val="Tahoma"/>
            <family val="2"/>
          </rPr>
          <t>Natural calcined</t>
        </r>
      </text>
    </comment>
    <comment ref="BP227" authorId="0" shapeId="0">
      <text>
        <r>
          <rPr>
            <b/>
            <sz val="9"/>
            <color indexed="81"/>
            <rFont val="Tahoma"/>
            <family val="2"/>
          </rPr>
          <t>Natural calcined</t>
        </r>
      </text>
    </comment>
    <comment ref="BJ235" authorId="2" shapeId="0">
      <text>
        <r>
          <rPr>
            <b/>
            <sz val="9"/>
            <color indexed="81"/>
            <rFont val="Tahoma"/>
            <family val="2"/>
          </rPr>
          <t>Mija Hubler:</t>
        </r>
        <r>
          <rPr>
            <sz val="9"/>
            <color indexed="81"/>
            <rFont val="Tahoma"/>
            <family val="2"/>
          </rPr>
          <t xml:space="preserve">
At setting, assumed about 6 hours.
</t>
        </r>
      </text>
    </comment>
    <comment ref="BJ236" authorId="2" shapeId="0">
      <text>
        <r>
          <rPr>
            <b/>
            <sz val="9"/>
            <color indexed="81"/>
            <rFont val="Tahoma"/>
            <family val="2"/>
          </rPr>
          <t>Mija Hubler:</t>
        </r>
        <r>
          <rPr>
            <sz val="9"/>
            <color indexed="81"/>
            <rFont val="Tahoma"/>
            <family val="2"/>
          </rPr>
          <t xml:space="preserve">
At setting, assumed about 6 hours.
</t>
        </r>
      </text>
    </comment>
    <comment ref="BJ237" authorId="2" shapeId="0">
      <text>
        <r>
          <rPr>
            <b/>
            <sz val="9"/>
            <color indexed="81"/>
            <rFont val="Tahoma"/>
            <family val="2"/>
          </rPr>
          <t>Mija Hubler:</t>
        </r>
        <r>
          <rPr>
            <sz val="9"/>
            <color indexed="81"/>
            <rFont val="Tahoma"/>
            <family val="2"/>
          </rPr>
          <t xml:space="preserve">
At setting, assumed about 6 hours.</t>
        </r>
      </text>
    </comment>
    <comment ref="S239" authorId="2" shapeId="0">
      <text>
        <r>
          <rPr>
            <b/>
            <sz val="9"/>
            <color indexed="81"/>
            <rFont val="Tahoma"/>
            <family val="2"/>
          </rPr>
          <t>Mija Hubler:</t>
        </r>
        <r>
          <rPr>
            <sz val="9"/>
            <color indexed="81"/>
            <rFont val="Tahoma"/>
            <family val="2"/>
          </rPr>
          <t xml:space="preserve">
Estimate</t>
        </r>
      </text>
    </comment>
    <comment ref="S241" authorId="2" shapeId="0">
      <text>
        <r>
          <rPr>
            <b/>
            <sz val="9"/>
            <color indexed="81"/>
            <rFont val="Tahoma"/>
            <family val="2"/>
          </rPr>
          <t>Mija Hubler:</t>
        </r>
        <r>
          <rPr>
            <sz val="9"/>
            <color indexed="81"/>
            <rFont val="Tahoma"/>
            <family val="2"/>
          </rPr>
          <t xml:space="preserve">
Estimate</t>
        </r>
      </text>
    </comment>
    <comment ref="AA271" authorId="0" shapeId="0">
      <text>
        <r>
          <rPr>
            <b/>
            <sz val="9"/>
            <color indexed="81"/>
            <rFont val="Tahoma"/>
            <family val="2"/>
          </rPr>
          <t>SF greater than 10%</t>
        </r>
      </text>
    </comment>
    <comment ref="AA272" authorId="0" shapeId="0">
      <text>
        <r>
          <rPr>
            <b/>
            <sz val="9"/>
            <color indexed="81"/>
            <rFont val="Tahoma"/>
            <family val="2"/>
          </rPr>
          <t>SF greater than 10%</t>
        </r>
      </text>
    </comment>
    <comment ref="AA279" authorId="0" shapeId="0">
      <text>
        <r>
          <rPr>
            <b/>
            <sz val="9"/>
            <color indexed="81"/>
            <rFont val="Tahoma"/>
            <family val="2"/>
          </rPr>
          <t>SF greater than 10%</t>
        </r>
      </text>
    </comment>
    <comment ref="AA280" authorId="0" shapeId="0">
      <text>
        <r>
          <rPr>
            <b/>
            <sz val="9"/>
            <color indexed="81"/>
            <rFont val="Tahoma"/>
            <family val="2"/>
          </rPr>
          <t>SF greater than 10%</t>
        </r>
      </text>
    </comment>
    <comment ref="T302" authorId="0" shapeId="0">
      <text>
        <r>
          <rPr>
            <b/>
            <sz val="9"/>
            <color indexed="81"/>
            <rFont val="Tahoma"/>
            <family val="2"/>
          </rPr>
          <t>No mineral admixtures, therefore would be same as c</t>
        </r>
      </text>
    </comment>
    <comment ref="BC302" authorId="2" shapeId="0">
      <text>
        <r>
          <rPr>
            <b/>
            <sz val="9"/>
            <color indexed="81"/>
            <rFont val="Tahoma"/>
            <family val="2"/>
          </rPr>
          <t>Mija Hubler:</t>
        </r>
        <r>
          <rPr>
            <sz val="9"/>
            <color indexed="81"/>
            <rFont val="Tahoma"/>
            <family val="2"/>
          </rPr>
          <t xml:space="preserve">
from 3pt flexure test
</t>
        </r>
      </text>
    </comment>
    <comment ref="BK302" authorId="2" shapeId="0">
      <text>
        <r>
          <rPr>
            <b/>
            <sz val="9"/>
            <color indexed="81"/>
            <rFont val="Tahoma"/>
            <family val="2"/>
          </rPr>
          <t>Mija Hubler:</t>
        </r>
        <r>
          <rPr>
            <sz val="9"/>
            <color indexed="81"/>
            <rFont val="Tahoma"/>
            <family val="2"/>
          </rPr>
          <t xml:space="preserve">
room temperature</t>
        </r>
      </text>
    </comment>
    <comment ref="BC303" authorId="2" shapeId="0">
      <text>
        <r>
          <rPr>
            <b/>
            <sz val="9"/>
            <color indexed="81"/>
            <rFont val="Tahoma"/>
            <family val="2"/>
          </rPr>
          <t>Mija Hubler:</t>
        </r>
        <r>
          <rPr>
            <sz val="9"/>
            <color indexed="81"/>
            <rFont val="Tahoma"/>
            <family val="2"/>
          </rPr>
          <t xml:space="preserve">
from 3pt flexure test</t>
        </r>
      </text>
    </comment>
    <comment ref="BK303" authorId="2" shapeId="0">
      <text>
        <r>
          <rPr>
            <b/>
            <sz val="9"/>
            <color indexed="81"/>
            <rFont val="Tahoma"/>
            <family val="2"/>
          </rPr>
          <t>Mija Hubler:</t>
        </r>
        <r>
          <rPr>
            <sz val="9"/>
            <color indexed="81"/>
            <rFont val="Tahoma"/>
            <family val="2"/>
          </rPr>
          <t xml:space="preserve">
room temperature</t>
        </r>
      </text>
    </comment>
    <comment ref="BC304" authorId="2" shapeId="0">
      <text>
        <r>
          <rPr>
            <b/>
            <sz val="9"/>
            <color indexed="81"/>
            <rFont val="Tahoma"/>
            <family val="2"/>
          </rPr>
          <t>Mija Hubler:</t>
        </r>
        <r>
          <rPr>
            <sz val="9"/>
            <color indexed="81"/>
            <rFont val="Tahoma"/>
            <family val="2"/>
          </rPr>
          <t xml:space="preserve">
from 3pt flexure test
</t>
        </r>
      </text>
    </comment>
    <comment ref="BK304" authorId="2" shapeId="0">
      <text>
        <r>
          <rPr>
            <b/>
            <sz val="9"/>
            <color indexed="81"/>
            <rFont val="Tahoma"/>
            <family val="2"/>
          </rPr>
          <t>Mija Hubler:</t>
        </r>
        <r>
          <rPr>
            <sz val="9"/>
            <color indexed="81"/>
            <rFont val="Tahoma"/>
            <family val="2"/>
          </rPr>
          <t xml:space="preserve">
room temperature</t>
        </r>
      </text>
    </comment>
    <comment ref="BC305" authorId="2" shapeId="0">
      <text>
        <r>
          <rPr>
            <b/>
            <sz val="9"/>
            <color indexed="81"/>
            <rFont val="Tahoma"/>
            <family val="2"/>
          </rPr>
          <t>Mija Hubler:</t>
        </r>
        <r>
          <rPr>
            <sz val="9"/>
            <color indexed="81"/>
            <rFont val="Tahoma"/>
            <family val="2"/>
          </rPr>
          <t xml:space="preserve">
from 3pt flexure test</t>
        </r>
      </text>
    </comment>
    <comment ref="BK305" authorId="2" shapeId="0">
      <text>
        <r>
          <rPr>
            <b/>
            <sz val="9"/>
            <color indexed="81"/>
            <rFont val="Tahoma"/>
            <family val="2"/>
          </rPr>
          <t>Mija Hubler:</t>
        </r>
        <r>
          <rPr>
            <sz val="9"/>
            <color indexed="81"/>
            <rFont val="Tahoma"/>
            <family val="2"/>
          </rPr>
          <t xml:space="preserve">
room temperature</t>
        </r>
      </text>
    </comment>
    <comment ref="AA314" authorId="0" shapeId="0">
      <text>
        <r>
          <rPr>
            <b/>
            <sz val="9"/>
            <color indexed="81"/>
            <rFont val="Tahoma"/>
            <family val="2"/>
          </rPr>
          <t>SF greater than 10%</t>
        </r>
      </text>
    </comment>
    <comment ref="AA315" authorId="0" shapeId="0">
      <text>
        <r>
          <rPr>
            <b/>
            <sz val="9"/>
            <color indexed="81"/>
            <rFont val="Tahoma"/>
            <family val="2"/>
          </rPr>
          <t>SF greater than 10%</t>
        </r>
      </text>
    </comment>
    <comment ref="AA317" authorId="0" shapeId="0">
      <text>
        <r>
          <rPr>
            <b/>
            <sz val="9"/>
            <color indexed="81"/>
            <rFont val="Tahoma"/>
            <family val="2"/>
          </rPr>
          <t>SF greater than 10%</t>
        </r>
      </text>
    </comment>
    <comment ref="AA322" authorId="0" shapeId="0">
      <text>
        <r>
          <rPr>
            <b/>
            <sz val="9"/>
            <color indexed="81"/>
            <rFont val="Tahoma"/>
            <family val="2"/>
          </rPr>
          <t>SF greater than 10%</t>
        </r>
      </text>
    </comment>
    <comment ref="AA327" authorId="0" shapeId="0">
      <text>
        <r>
          <rPr>
            <b/>
            <sz val="9"/>
            <color indexed="81"/>
            <rFont val="Tahoma"/>
            <family val="2"/>
          </rPr>
          <t>SF greater than 10%</t>
        </r>
      </text>
    </comment>
    <comment ref="X456" authorId="1" shapeId="0">
      <text>
        <r>
          <rPr>
            <b/>
            <sz val="9"/>
            <color indexed="81"/>
            <rFont val="Tahoma"/>
            <family val="2"/>
          </rPr>
          <t>Not SL, but R due to  LOW W/C RATIO</t>
        </r>
      </text>
    </comment>
    <comment ref="AA491" authorId="0" shapeId="0">
      <text>
        <r>
          <rPr>
            <b/>
            <sz val="9"/>
            <color indexed="81"/>
            <rFont val="Tahoma"/>
            <family val="2"/>
          </rPr>
          <t xml:space="preserve">Insuffiecient information on the extenders used
</t>
        </r>
      </text>
    </comment>
    <comment ref="AA492" authorId="0" shapeId="0">
      <text>
        <r>
          <rPr>
            <b/>
            <sz val="9"/>
            <color indexed="81"/>
            <rFont val="Tahoma"/>
            <family val="2"/>
          </rPr>
          <t xml:space="preserve">Insuffiecient information on the extenders used
</t>
        </r>
      </text>
    </comment>
    <comment ref="AA493" authorId="0" shapeId="0">
      <text>
        <r>
          <rPr>
            <b/>
            <sz val="9"/>
            <color indexed="81"/>
            <rFont val="Tahoma"/>
            <family val="2"/>
          </rPr>
          <t xml:space="preserve">Insuffiecient information on the extenders used
</t>
        </r>
      </text>
    </comment>
    <comment ref="AA494" authorId="0" shapeId="0">
      <text>
        <r>
          <rPr>
            <b/>
            <sz val="9"/>
            <color indexed="81"/>
            <rFont val="Tahoma"/>
            <family val="2"/>
          </rPr>
          <t xml:space="preserve">Insuffiecient information on the extenders used
</t>
        </r>
      </text>
    </comment>
    <comment ref="AA495" authorId="0" shapeId="0">
      <text>
        <r>
          <rPr>
            <b/>
            <sz val="9"/>
            <color indexed="81"/>
            <rFont val="Tahoma"/>
            <family val="2"/>
          </rPr>
          <t xml:space="preserve">Insuffiecient information on the extenders used
</t>
        </r>
        <r>
          <rPr>
            <sz val="9"/>
            <color indexed="81"/>
            <rFont val="Tahoma"/>
            <family val="2"/>
          </rPr>
          <t xml:space="preserve">
</t>
        </r>
      </text>
    </comment>
    <comment ref="AA496" authorId="0" shapeId="0">
      <text>
        <r>
          <rPr>
            <b/>
            <sz val="9"/>
            <color indexed="81"/>
            <rFont val="Tahoma"/>
            <family val="2"/>
          </rPr>
          <t xml:space="preserve">Insuffiecient information on the extenders used
</t>
        </r>
      </text>
    </comment>
  </commentList>
</comments>
</file>

<file path=xl/sharedStrings.xml><?xml version="1.0" encoding="utf-8"?>
<sst xmlns="http://schemas.openxmlformats.org/spreadsheetml/2006/main" count="75693" uniqueCount="3902">
  <si>
    <t>Author</t>
  </si>
  <si>
    <t>Region</t>
  </si>
  <si>
    <t>Year</t>
  </si>
  <si>
    <t>Ref Number</t>
  </si>
  <si>
    <t>c</t>
  </si>
  <si>
    <t>Re</t>
  </si>
  <si>
    <t>AEA</t>
  </si>
  <si>
    <t>Geometry</t>
  </si>
  <si>
    <t>T</t>
  </si>
  <si>
    <t>Heat</t>
  </si>
  <si>
    <t>Normal Portland Cement</t>
  </si>
  <si>
    <t>NC</t>
  </si>
  <si>
    <t>R</t>
  </si>
  <si>
    <t>C 150x600</t>
  </si>
  <si>
    <t xml:space="preserve">Aoyagi, Y., Onuma, H. and Kawasaki, M. ' Experimental Study on Behavior of Prestressed Concrete Beams under Temperature Gradient.'  Central Research Institute of Electric Power Industry Report, No.70003, 1970  </t>
  </si>
  <si>
    <t>Ohnuma, H., Aoyagi, Y., Kawasaki, M. and Abe, H. ' Experimental Study on Behavior of Creep under High Temperature in a Thick-Walled Prestressed Concrete Ring Model.'  CRIEPI Report, No.74016, 1975  50p</t>
  </si>
  <si>
    <t>Otani, K. and Abe, Y. ' Research and Development of Prestressed Concrete Pressure Vessels (Part 8) - Triaxial Creep of  Concrete under High Temperature (3rd Report) -.'  Kajima Technical Research Institute Annual Report, No.24, 1976  pp.13-18</t>
  </si>
  <si>
    <t>Okajima, T., Oh'iwa, K., Tsujino, S., Haseda, N., Okada, K. and Yamase, S. ' Creep of Concrete under Combined Stresses.'  Trans. of A.I.J., No.242, 1976  pp.1-9</t>
  </si>
  <si>
    <t>Kawaguchi, T. ' Study on Prestressed Concrete Reactor Vessel(PCRV) Structures - IV-1 Creep Tests of Concrete Subjected to Uniaxial and Triaxial Compressive Stresses and Normal Temperature -.'  Ohbayashi-Gumi Research Institute Report, No.12, 1976  pp.13-17</t>
  </si>
  <si>
    <t>Okada, K., Kasa, H., Yoshioka, Y., Sakuta, M. and Sato, T. ' Creep of Concrete at Elevated Temperature,.'  Takenaka Technical Research Report, No.17, 1977  pp.59-65</t>
  </si>
  <si>
    <t>Ohnuma, H. and Abe, H. ' Creep and Creep Recovery of Concrete Subjected to Triaxial Compressive Stresses at Elevated Temperature,.'  CRIEPI Report, No.378020, 1979  38p.</t>
  </si>
  <si>
    <t>Ohnuma, H., Aoyagi, Y., Abe, H. and Okazawa, T., ' Experimental Study on Creep Behavior of Concrete under Sustained Temperature Gradient in a Model of Prestressed Concrete Reactor Structures.'  CRIEPI Report, No.379005, 1979  89p.</t>
  </si>
  <si>
    <t>Takahashi, H. and Kawaguchi, T. ' Study on Time-Dependent Behavior of High Strength Concrete (Part 1) - Application of the Time - Dependent Linear Viscoelasticity Theory of Concrete Creep Behavior -.'  Ohbayashi-Gumi Research Institute Report, No.21, 1980  pp.61-69</t>
  </si>
  <si>
    <t>Takahashi, H. and Kawaguchi, T. ' Study on Time-Dependent Behavior of High Strength Concrete (Part 2) - Results of Creep Tests of Concrete at Elevated Temperature -.'  Ohbayashi-Gumi Research Institute Report, No.23, 1981  pp.48-53</t>
  </si>
  <si>
    <t xml:space="preserve">Kawasumi, M., Kasahara, K. and Kuriyama, T. ' Creep of Concrete at Elevated Temperatures, Part 3, The Influence of Ages at Loading and Water/Cement Ratios.'  CRIEPI Report, No.382008, 1982  </t>
  </si>
  <si>
    <t xml:space="preserve">Ohnuma, H., Aoyagi, Y. and Kuriyama, T. ' Creep Characteristics of Expansive Concrete under Uiaxial Compressive Stresses.'  CRIEPI report, No.382047, 1983  </t>
  </si>
  <si>
    <t xml:space="preserve">Ohnuma, H., Aoyagi, Y. and Kanazu, T. ' Analytical Investigation of Cracking Behaviors in Concrete Lining of Shield Tunnels for Underground Transmission Lines.'  CRIEPI report, No.382048, 1983  </t>
  </si>
  <si>
    <t xml:space="preserve">Kanazu, T., Aoyagi, Y. and Nakano, T. ' Evaluation of Temperature Cracking Tendensies of Hardened Concrete Using Newly Developed Apparatus.'  CRIEPI report, No.382049, 1983  </t>
  </si>
  <si>
    <t>Okajima, T., Kawabe, S. and Enoki, K. ' Thermal Expansion of Concrete under Sustained Load Considering the Effect of Creep.'  Proc. of JCI 7th Conf., 1985  pp.293-296</t>
  </si>
  <si>
    <t>Ohgishi, S. and Ono, H. ' Effect of Moisture Content on Creep of Concrete under Uniaxial and Triaxial Compressive Stress at Normal Temperature.'  Zairyo, Vol.34, No.376, 1985  pp8-13</t>
  </si>
  <si>
    <t>Nagamatsu, S, Sato, Y and Takeda, Y ' Creep Function for Aging Concrete.'  Preprints, Fourth RILEM International Symposium on Creep and Shrinkage of Concrete: Mathematical Modeling Ed. by Z.P. Bazant, 1986  pp.743-754</t>
  </si>
  <si>
    <t>Osama, E, Yamaguchi, T and Ikeda, S ' Experimental Studies on the Basic Creep of Cement Paste Mortar and Concrete.'  Proceedings of Japan Concrete Institute, Vol.16, No.1, 1994  pp.615-620</t>
  </si>
  <si>
    <t>Goto.T, Uehara.T and Umehara H ' Study on creep at an early age.'  Proceedings of Japan Concrete Institute, Vol.17, No.1, 1995  pp.1133-1138</t>
  </si>
  <si>
    <t>Imamoto.K. and Ohtani.H. ' An Investigation of Cracking in Reinforced Ultra High Strength Concrete Frame.'  J.Struct.Constr.Eng., AIJ, No.495, 1997  pp1-8</t>
  </si>
  <si>
    <t>Umehara H., Kitagawa Y., and Yoshida ' Study on the Effect of Creep for Thermal Stress in Massive Concrete Structures.'  Proceedings of Japan Concrete Institute, Vol.13, No.1, 1991  pp.845-850</t>
  </si>
  <si>
    <t>Morimoto H., Iwamoto T., Kurihara T. and Koyanagi W. ' The Characteristic of The Compressive and The Tensile Creep of Concrete at Early Ages.'  JCA Proceedings of Cement &amp; Concrete, No.47, 1993  pp.356-359</t>
  </si>
  <si>
    <t>Kumono T., Nishibayashi S. and Kuroda T. ' Effect of Sustained Tensile Stress on Microstructure of Concrete.'  JCA Proceedings of Cement &amp; Concrete, No.51, 1997  pp.818-823</t>
  </si>
  <si>
    <t>KUKU Masatake,OOKUSHI Kouji ' Artificial Super Lightweight Aggregate Structural Concrete.'  Summaries of technical papers of Annual Meeting Architectural Institute of Japan, Materials and construction, 2001  299-300</t>
  </si>
  <si>
    <t>Kawasumi, M., Seki, S., Kasahara, K. and Kuriyama, T. ' Creep of Concrete at Elevated Temperatures,.'  CRIEPI Report, No.72018, 1973  83p.</t>
  </si>
  <si>
    <t>Nagataki.S, and Yonekura.A ' Characterization of drying shrinkage and creep in high strength concrete.'  Concrete journal Vol.20, No.4, 1982  pp.75-87</t>
  </si>
  <si>
    <t>Nagataki.S and Yonekura.A ' Investigation of mechanism of creep and drying shrinkage of concrete.'  Concrete journal Vol.20, No.12, 1982  pp.85-95</t>
  </si>
  <si>
    <t xml:space="preserve">Kanazu, T. and Ishida, H. ' Creep Behavior of Concrete and Reinforced Concrete at Elevated Temperature up to 300C.'  CRIEPI Report, No.U90060, 1991  </t>
  </si>
  <si>
    <t xml:space="preserve">Nagakura.T ' Report of Experiments on Prepacked Concrete (second report).'  Report of CRIEPI (Civil Engineering 56062), 1956  </t>
  </si>
  <si>
    <t xml:space="preserve">Tokuda.H, and Itoh.T ' Report of Experiments on Drying Shrinkage and Water Diffusion Coefficient of Fly Ash Concrete.'  Report of the Central Research Institute of Electric Power Industry (Civil Engineering 63015), 1964  </t>
  </si>
  <si>
    <t xml:space="preserve">Kawahara.T, Murano.G, and Sakakibara.I ' Research on Slag Cement made by wet smashing method.'  Report of the Central Research Institute of Electric Power Industry, No.64042, 1964  </t>
  </si>
  <si>
    <t xml:space="preserve">Okuda.T, Nakano.T, and Kakuda.T ' Physical Characteristics of Mortar and Concrete Containing Iron Powder.'  Report of the Central Research Institute of Electric Power Industry, No.65032, 1965  </t>
  </si>
  <si>
    <t>Sakata, K. and Kuramoto, O. ' A Study on the Water Diffusion and Shrinkage in Concrete by Drying,.'  Proc., JSCE, No.316, 1981  pp.145-152</t>
  </si>
  <si>
    <t>Ohama, Y., Miyara, M. and Endo, M. ' Drying Shrinkage and Strength of Steel Fiber Reinforced Mortars Containing Shrinkage-Reducing Agent,.'  Zairyo, Vol.34, No.376, 1985  pp.14-18</t>
  </si>
  <si>
    <t>Numao, T and Mihashi, H ' Moisture Migration and Shrinkage of Hardened Cement Pasteat Elevated Temperatures.'  Trans. Of 11th Int. Conf. On Struct. Mech. In Reactor Tech., Vol.H, H02/2, 1991  pp.37-42</t>
  </si>
  <si>
    <t>Tazawa, E. and Miyazawa, S. ' Influence of Binder and Mix Proportion on Autogenous Shrinkage of Cementitious Materials,.'  Journal of Materials, Concrete Structures and Pavements, JSCE, No.502/V-25, 1994  pp.43-52</t>
  </si>
  <si>
    <t xml:space="preserve">Tomita.R ' Study on mechanism and effect of organic shrinkage reducing admixture.'  Thesis of doctor of engineering in Tokyo Institute of Technology, 1994  </t>
  </si>
  <si>
    <t>Asanuma.K, Takeshita.H, and Fujii,M ' Effects and assessment of thickness of member for drying shrinkage.'  Proceedings of Japan Concrete Institute, Vol.17, No.1, 1995  pp.621-626</t>
  </si>
  <si>
    <t>Imamoto.K and Ohtani.H ' Study on shrinkage behavior of high strength and super high strength concrete.'  Proceedings of Japan Concrete Institute,Vol.17, No.1, 1995  pp.1061-1067</t>
  </si>
  <si>
    <t>Koushiro.Y Ohike.T and Nakane.S ' An experimental study on self compacting concrete with several additives.'  Proceedings of Japan Concrete Institute, Vol.17, No.1, 1995  pp.129-134</t>
  </si>
  <si>
    <t>Yasuda, M., Abe, M., Sasahara, A. and Momotani T. ' Experimental Study on Shrinkage and Crack on High Fluidity Concrete.'  Proceedings of Japan Concrete Institute, Vol.18, No.1, 1996  pp.147-152</t>
  </si>
  <si>
    <t>Momotani, T., Yamada, H. and Kita, T. ' Study on Shrinkage of Ultra-High-Strength Mortar and Concrete.'  Proceedings of Japan Concrete Institute, Vol.18, No.1, 1996  pp.219-224</t>
  </si>
  <si>
    <t>Ayano, T. and Sakata, K. ' Concrete Shrinkage Strain under the Actual Atmosphere.'  Proceedings of Japan Concrete Institute, Vol.19, No.1, 1997  pp.709-714</t>
  </si>
  <si>
    <t>Toriyama Takafumi,Koyama Akio,Kikuchi Masafumi,Matumura Junya ' Study on Drying Shrinkage Cracking Tendency of Recycled Aggregate Concrete -Part2.Unixial Restraint Cracking Test.'  MATERIALS AND CONSTRUCTION,SUMMARIES OF TECHNICAL OF ANNUAL MEETING ARCHITECTURAL INSTITUTE OF JAPAN,2003, 2003  pp.247-248</t>
  </si>
  <si>
    <t>LIU Yong, OHNO Yoshiteru, NAKAGAWA Takao ' Calculation of Shrinkage Crack Width Estjmation of Concrete.'  MATERIALS AND CONSTRUCTION,SUMMARIES OF TECHNICAL OF ANNUAL MEETING ARCHITECTURAL INSTITUTE OF JAPAN,2001, 2001  pp.437-438</t>
  </si>
  <si>
    <t>Mohd Warid Hussin,Toshiro Ishida ' A Study on Basic Properties of Hardened Concrete Containing Palm Oil Fuel Ash as Partial Cement Replacement Material.'  MATERIALS AND CONSTRUCTION,SUMMARIES OF TECHNICAL OF ANNUAL MEETING ARCHITECTURAL INSTITUTE OF JAPAN,1999, 1999  pp.179-180</t>
  </si>
  <si>
    <t>Tomohiro Mizutani,Masafumi Kikuchi,Yasuhiro Dosho,Junji Akiba,Takehiro Miura,Takehiro Oba ' Applicability of recycled aggregate concrete for structural Concrete. Part4 Drying Shrinkage.'  MATERIALS AND CONSTRUCTION,SUMMARIES OF TECHNICAL OF ANNUAL MEETING ARCHITECTURAL INSTITUTE OF JAPAN,1998, 1998  pp.735-736</t>
  </si>
  <si>
    <t>Sugawara, M. ' On-site Measurement of Creep of Prestressed Concrete Girder.'Journal of the Japan Society of Civil Engineers, Vol.43, No.8 , 1958  pp.19-28</t>
  </si>
  <si>
    <t>JSCE Subcommittee for Revision of PC Design and Construction Guideline ' Measurement of Creep and Drying Shrinkage of Concrete of PC Bridges.'Journal of Prestressed Concrete, Japan, Vol.3, No.1 , 1961  pp.42-50</t>
  </si>
  <si>
    <t>Yokota, M. and Kodera, J. ' Measurement of Creep and Drying Shrinkage of Prestressed Concrete Girder.'Cement and Concrete, No.183 , 1962  pp.2-9</t>
  </si>
  <si>
    <t>Takebe, T. and Takase, T. ' Creep and Drying Shrinkage of PC Girder by Carlson Strain Gage.'Journal of Prestressed Concrete, Vol.5, No.6 , 1963  pp.18-22</t>
  </si>
  <si>
    <t>Kodera, J., Yamamoto, T. and Miyaguchi, T. ' Long-Term Strain Measurement of Yokogurosen PC Bridge Girder.'Journal of Prestressed Concrete, Japan, Vol.6, No.2 , 1964  pp.32-38</t>
  </si>
  <si>
    <t>Kurihara, T. and Yahiro, Y. ' On the Mearurement of Creep and Drying Shrinkage of Amakusa PC Bridge (Intermediate Report).'Journal of Prestressed Concrete, Japan, Vol.11, No.1 , 1969  pp.1-4</t>
  </si>
  <si>
    <t>Kokubu, M., Goto, Y., Ozaka, Y., Okamura, H. and Momoshima, S. ' Measurements of Creep and Shrinkage in Actual Prestressed Concrete Bridges.'IABSE Symposium, Preliminary Publication , 1970  pp.19-26</t>
  </si>
  <si>
    <t>Kubotsu, Y., Mochizuki, S. and Tanaka, K. ' On the Construction of Tedorigawa Bridge.'Journal of Prestressed Concrete, Japan, Vol.14, No.1 , 1972  pp.38-45</t>
  </si>
  <si>
    <t>Kobayashi, S. and Okada, T. ' Field Measurement of Creep and Shrinkage of Concrete in PC structures.'Proceedings of the 18th Convention of the Japan PC Engineering Association , 1978  pp.15-16</t>
  </si>
  <si>
    <t>Mimura, C., Takeda, T., Koseki, K., Masamura, Y. and Tokuyama, S. ' Observation and Consideration on Stress Behavior and Vibration Characteristics of Prestressed Concrete Cable Stayed Bridge – In Case of Matsugayama Bridge at Miho Dam –.'Annual Report of the Research Institute of the Kajima Construction, Vol.27 , 1979  pp.19-26</t>
  </si>
  <si>
    <t>Mimura, C., Takeda, T., Masamura, Y., Tokuyama, S. and Hishiki, T. ' Observation and Consideration on Stress Behavior and Vibration Characteristics of Prestressed Concrete Cable Stayed Bridge – In Case of Omoto River Bridge at Kuji Line –.'Annual Report of the Research Institute of the Kajima Construction, Vol.28 , 1980  pp.37-44</t>
  </si>
  <si>
    <t>Tokuno, T., Matsui, K. and Konishi, I. ' Design and Construction Report of Sukawa Bridge (PC Extrusion Method).'Kawada Engineering Report, Vol.2 , 1981  pp.148-168</t>
  </si>
  <si>
    <t>Tokuno, T., Matsui, K., Konishi, I. and Echigo, S. ' Investigation Report on Construction of Sukawa Bridge.'Kawada Engineering Report, Vol.2 , 1981  pp.198-211</t>
  </si>
  <si>
    <t>Kiso, S. and Fujita, M. ' Measurement of Stress of the Usagawa Bridge During Construction.'Bridge and Foundation Engineer , 1983  pp.30-35</t>
  </si>
  <si>
    <t>Yachida, M., Ishibashi, T., Kanamori, M. and Yoshino, S. ' Measurement of Prestressed Reinforced Concrete Bridges.'Journal of Prestressed Concrete, Japan (Japan Prestressed Concrete Engineering Association), Vol.26, No.6 , 1984  pp.46-57</t>
  </si>
  <si>
    <t>Maeno, H., Aokage, H. and Ito, Y. ' Thermal Stress during Hardening of Concrete in Reinforced Concrete Box Culvert with Large Dimensions.'Proc. of JCI 2nd Colloquium on the Mechanism of Thermal Stress Generation in Massive Concrete Structures , 1984  pp.15-20</t>
  </si>
  <si>
    <t>Natsume, T., Tokuyama, S. and Hishiki, Y. ' Development of a New Type Concrete Stress Meter and Its Application to Long-Term Creep Observation of Prestressed Concrete Cable-Stayed Bridges.'Journal of Prestressed Concrete, Japan (Japan Prestressed Concrete Engineering Association), Vol.27, No.1, , 1985  pp.56-67</t>
  </si>
  <si>
    <t>Urano, T., Ishibashi, T. and Kanemori, S. ' Measurement of PRC Girder Bridges.'Proceedings of the 25th Convention of the Japan PC Engineering Association , 1985  pp.11-12</t>
  </si>
  <si>
    <t>Sato, K., Matsuura, M., Satani, Y. and Hayashi, T. ' Study on Thermal Stress of Massive Concrete.'Proc. of JCI 7th Conference , 1985  pp.21-24</t>
  </si>
  <si>
    <t>Hirooka, M. and Hata, Y. ' The Measurement of Time-Dependent Static Behaviour of Tsukiyono Oohashi.'Journal of Prestressed Concrete, Japan (Japan Prestressed Concrete Engineering Association), Vol.27, No.1, , 1985  pp.39-47</t>
  </si>
  <si>
    <t>Yamaguchi, A., Miura, M. and Jikan, S. ' Measurement and Analysis on Crack of Primary Cofferdam Concrete of Misogawa Dam.'Engineering Report of Dam, Vol.4-3 , 1986  pp.22-30</t>
  </si>
  <si>
    <t>Hara, T., Kotsubo, H., Yamaguchi, A. and Jikan, S. ' Site Test of Upstream Cofferdam concrete of Nunome Dam and Its Analysis.'Engineering Report of Dam, Vol.6-1 , 1988  pp.63-74</t>
  </si>
  <si>
    <t>Inoue, H., Naito, H., Kobori, K. and Andoh, M. ' Thermal Stress and Properties of Concrete under Hardening in Box Culvert.'Proc. of the Japan Concrete Institute, Vol.10, No.2 , 1988  pp.187-192</t>
  </si>
  <si>
    <t>Shindou, T., Matsuoka, Y., Naitou, T. and Yokota, K. ' Study on Durability of the Concrete Member Using PIC-Form Subjected to the Environment.'Proc. of the Japan Concrete Institute, Vol.12, No.1 , 1990  pp.645-650</t>
  </si>
  <si>
    <t>Bito, K., Noda, Y., Ishihara, H. and Manzanka, T. ' Design and Construction of OGAMI Bridge.'Kawada Engineering Report, Vol.9 , 1990  pp.70-77</t>
  </si>
  <si>
    <t>Kubo, A., Nakai, S. and Kato, T. ' Deformation Measurement of PC Hollow Beam.'Proc. of the 2nd Symposium on Developments in Prestressed Concrete , 1991  pp.231-234</t>
  </si>
  <si>
    <t>Fujiwara, T., Morita, Y. and Inohara, S. ' Creep Effect on the Ikuchi Bridge (Cable Stayed Bridge with Composite Structure).'Proc. of the 2nd Symposium on Developments in Prestressed Concrete , 1991  pp.81-84</t>
  </si>
  <si>
    <t>Yonekura, H., Mori, R., Takeuchi, H. and Kashima, S. ' A Research on Concrete Creep for 3-span Continuous Prestressed Concrete Bridge.'Proc. of the 2nd Symposium on Developments in Prestressed Concrete , 1991  pp.35-40.</t>
  </si>
  <si>
    <t>Mori, R., Yonekura, H., Takeuchi, H. and Kashima, S. ' A Study on Concrete Creep for 3-Span Continuous Prestressed Concrete Bridge.'Proc. of the Japan Concrete Institute, Vol.14, No.2 , 1992  pp.601-606</t>
  </si>
  <si>
    <t>Hata, Y., Oonishi, N. and Watanabe, Y. ' Creep Behavior of Prestressed Concrete Bridge over Ten Years.'Proc. of FIP Symposium , 1993  pp.305-310</t>
  </si>
  <si>
    <t>Kojima, T., Aoki, H., Asano, K., Nakamatsu, A. ' A Study of the Sheathing with Cylindrical Diaphragm Wall.'Proc. of the 49th Annual Academic Meeting of Japan Society of Civil Engineers, III-527 , 1994  pp.1044-1045</t>
  </si>
  <si>
    <t>Tomita, R. ' An Experimental Research on the Mechanism and its Effect of the Organic Shrinkage Reduction Agent for Concrete.'Thesis of Doctorate , 1994  pp.126-151</t>
  </si>
  <si>
    <t>Ochiai, M., Tezuka, M., Takahashi, S. and Sato, R ' Time-Dependent Behaviors of a Simply Supported Partially Prestressed Concrete Box Girder Bridge.'Proc. of the Japan Concrete Institute, Vol.17, No.2 , 1995  pp.703-708</t>
  </si>
  <si>
    <t>Ochiai, M., Tezuka, M., Takahashi, S. and Sato, R. ' Long-Term Deformations of a Partially Prestressed Concrete Bridge.'Proc. of the 6th Symposium on Developments in Prestressed Concrete , 1996  pp.97-102</t>
  </si>
  <si>
    <t>Mochida, J., Yamada, Y., Tamura, T. and Shinozaki, H. ' Design and Measurement of PRC-RC Continuous Bridge (Soja Viaduct).'Proc. of the 6th Symposium on Developments in Prestressed Concrete , 1996  pp.13-18</t>
  </si>
  <si>
    <t>Mizuta, T., Aiba, T. and Muto, M. ' Experiment for PC Continuous Composite Girder Bridge Jointed Together - Hirakawa Bridge Oita Expressway.'Journal of Prestressed Concrete, Japan (Japan Prestressed Concrete Engineering Association), Vol.39, No.1 , 1997  pp.71-78</t>
  </si>
  <si>
    <t>Minato, Y., Yokoyama, H., Onodera, A. and Nishi, T. ' An Application of the Aramid Flat-Rod to the Test Prestressed Concrete Bridge.'Proc. of the 7th Symposium on Developments in Prestressed Concrete , 1997  pp.543-548</t>
  </si>
  <si>
    <t>Imamoto, K. and Ohtani, H. ' An Investigation of Cracking in Reinforced Ultra High Strength Concrete Frame.'J. Struct. Constr. Eng., AIJ, No.495 , 1997  pp.1-8</t>
  </si>
  <si>
    <t>Tomita, M., Sasaki, K., Suda, T. and Nishida, T. ' Monitoring of KARATO-Shinkyo Bridge (Extradosed Prestressed Concrete Bridge).'Proc. of the 8th Symposium on Developments in Prestressed Concrete , 1998  pp.573-578</t>
  </si>
  <si>
    <t>Tsuyoshi, T., Kobayashi, M. and Umihara, T. ' Measured Results on Prestressed Reinforced Concrete Girders.'Proc. of the 8th Symposium on Developments in Prestressed Concrete , 1998  pp.235-240</t>
  </si>
  <si>
    <t>Osato, T., Ohba, M., Sato, H. and Tsuyoshi, T. ' Result of Investigation of Daiichi-Tamagawa Bridge.'Proc. of the 8th Symposium on Developments in Prestressed Concrete , 1998  pp.125-130</t>
  </si>
  <si>
    <t>Wakinaka, H., Yamamoto, N., Uehira, K. and Sonoda, K. ' A Study on Creep Characteristics of PC Structure with Corrugated Steel Web.'Proc. of the 8th Symposium on Developments in Prestressed Concrete , 1998  pp.37-42</t>
  </si>
  <si>
    <t>Yukita, N., Satou, R., Wada, N. and Xu, M. ' A Creep Analysis of Statically Indeterminate Structure Consisting of PRC Hollow Slab Girder and RC Pier.'Proc. of the Japan Concrete Institute, Vol.21, No.3 , 1999  pp.913-918</t>
  </si>
  <si>
    <t>Sakai,H., Fujiki,K., Yoshioka,K. and Ishii,H. ' Post-sliding Method of seismic isolation bearings applied at AYABE No.5 Bridge.'Symposium No.7 of Japan Prestressed Concrete Engineering Association , 1997  pp.353-356</t>
  </si>
  <si>
    <t>Sano,Y., Kawakami,M., Osawa,K. ' Long-term behaviors of prestressed concrete beam with steel truss web.'Symposium No.8 of Japan Prestressed Concrete Engineering Association , 1998  pp.431-434</t>
  </si>
  <si>
    <t>Osawa,K., Kobayashi,Y., Sano,Y., Arai,T. ' Basic creep test of prestressed concrete girder with compressive steel plate.'Symposium No.9 of Japan Prestressed Concrete Engineering Association , 1999  pp.473-478</t>
  </si>
  <si>
    <t>Ayako Watanabe, Norio Sato, Koichiro Fumoto, Masanari Kamiyama ' Measurement of Behaviour of the Corrugated Steel Web Prestressed Concrete Bridge with Small Radius of Curvature.'The 14th Symposium on Developments in Prestressed Concrete , 2005  pp.495-498</t>
  </si>
  <si>
    <t>Hiroshi Yokoyama ' Study of Thermal Stress Considerd Creep of Concrete.'Proceedings of JCI 2nd colloquium on mechanism of thermal stress generation in massive concrete structures , 1984  pp.41-44</t>
  </si>
  <si>
    <t>Katsuji Imao, Hiroyuki Inoue,Hiroshi Nishio, Hiroaki Morimoto ' Measurement of Displacement of PC Precast Segmental Girder Bridge by Using Laser Beam.'Proceeding of JCI, Vol. 17, No.1 , 1995  pp.719-724</t>
  </si>
  <si>
    <t>Yuichi Ishida, Mamoru Esaki, Yoshitaka Maeda, Kenji Sakamoto, Hiromichi Matsushita ' Design and Construction of High-Durability PC Bridge Using Ground Granulated Blast Furnace Slag.'Journal of Prestressed Concrete Japan, Vol. 42, No. 3 , 2000  pp.45-51</t>
  </si>
  <si>
    <t>A. Sanada, M. Maruta, Y. Yamamoto, Y. Fukada ' Long Term Loading Test of Actual Pre-Tensioned Boyd Slab.'Summaries of Technical Papers of 2004 Annual Meeting (Hokkaido) of Architectural Institute of Japan, fascicle C-2 , 2004  pp.167-168</t>
  </si>
  <si>
    <t>K. Imamoto, T. Yamamoto, T. Oh-oka ' An Evaluation of Creep and Shrinkage Size Effects Based on About Five Years Measurements and A Proposal of Prediction Model for Concrete Creep.'Journal of structural and construction engineering. Transactions of AIJ , 2005  pp. 9-16</t>
  </si>
  <si>
    <t>Yamamoto, T. ' Long-term Deflections of Reinforced Concrete Slabs Loaded at Various Ages.'Proc. of Japan Concrete Institute 5th Conference , 1983  pp. 269-272</t>
  </si>
  <si>
    <t>Takahashi, H., Tkeda, T., Koyanagi, M. and Ohike, T. ' Deflection of Reinforced Concrete Slabs under Sustained Load –Simple supported slabs-.'Concrete Journal,Vol.14, No.10 , 1976  pp. 10-18</t>
  </si>
  <si>
    <t>Iwahara, T. ' On Time-dependent Bending of RC Floor Slabs by the Difference among Effective Depths.'Proc. of Japan Concrete Institute 7th Conference , 1985  pp. 637-640</t>
  </si>
  <si>
    <t>B</t>
  </si>
  <si>
    <t>P 100x400</t>
  </si>
  <si>
    <t>none</t>
  </si>
  <si>
    <t>USA</t>
  </si>
  <si>
    <t>SL</t>
  </si>
  <si>
    <t>C 102x356</t>
  </si>
  <si>
    <t>D</t>
  </si>
  <si>
    <t>C 100x400</t>
  </si>
  <si>
    <t>C 200x800</t>
  </si>
  <si>
    <t>Hummel</t>
  </si>
  <si>
    <t>N</t>
  </si>
  <si>
    <t>C 150x300</t>
  </si>
  <si>
    <t>Keeton</t>
  </si>
  <si>
    <t>RS</t>
  </si>
  <si>
    <t>F</t>
  </si>
  <si>
    <t>P 70x280</t>
  </si>
  <si>
    <t>C 102x457</t>
  </si>
  <si>
    <t>C 152x559</t>
  </si>
  <si>
    <t>C 203x660</t>
  </si>
  <si>
    <t>C 406x1067</t>
  </si>
  <si>
    <t>C 508x1270</t>
  </si>
  <si>
    <t>Hannant</t>
  </si>
  <si>
    <t>C 152.4x406.4</t>
  </si>
  <si>
    <t>P 100x150x600</t>
  </si>
  <si>
    <t>York</t>
  </si>
  <si>
    <t>McDonald</t>
  </si>
  <si>
    <t>Kommendant</t>
  </si>
  <si>
    <t>Lambotte</t>
  </si>
  <si>
    <t>P 150x600</t>
  </si>
  <si>
    <t>Aschl</t>
  </si>
  <si>
    <t>C 150x620</t>
  </si>
  <si>
    <t>Ngab</t>
  </si>
  <si>
    <t>Stokl</t>
  </si>
  <si>
    <t>Brooks</t>
  </si>
  <si>
    <t>C 76x255</t>
  </si>
  <si>
    <t>Schwesinger</t>
  </si>
  <si>
    <t>Espion</t>
  </si>
  <si>
    <t>Russel</t>
  </si>
  <si>
    <t>C 152x305</t>
  </si>
  <si>
    <t>P 200x800</t>
  </si>
  <si>
    <t>Budelmann</t>
  </si>
  <si>
    <t>HC 50/150x600</t>
  </si>
  <si>
    <t>Burg</t>
  </si>
  <si>
    <t>Yue</t>
  </si>
  <si>
    <t>Chern</t>
  </si>
  <si>
    <t>Han</t>
  </si>
  <si>
    <t>Hilsdorf</t>
  </si>
  <si>
    <t>Seki, S., Kawasumi, M. “Creep of concrete at elevated temperatures." Concrete of Nuclear Reactors, ACI Special Publication Vol. 1, SP-34, (1972) 591-638 Detroit.</t>
  </si>
  <si>
    <t>Note</t>
  </si>
  <si>
    <t>Japan</t>
  </si>
  <si>
    <t>References</t>
    <phoneticPr fontId="31" type="noConversion"/>
  </si>
  <si>
    <t>Brooks, J.J., “Accuracy of Estimating Long-Term Strains in Concrete." Magazine of Concrete Research Vol. 36, No. 128, (1984) 131-145.</t>
  </si>
  <si>
    <t>Brooks, J.J., “Influence of mix proportions, plasticizers and superplasticizers on creep and drying shrinkage of concrete," Magazine of concrete research 41(148) (1989), 145-153.</t>
  </si>
  <si>
    <t>Brooks, J.J., “Preliminary state of the art report: Elasticity, creep and shrinkage of concretes containing admixtures, slag, fly-ash and silica-fume" Preliminary Report ACI committee 209 (1992).</t>
  </si>
  <si>
    <t>Brooks, J.J., Wainwright, P.J. “Properties of ultrahigh strength concrete containing superplasticizer." Magazine of Concrete Research Vol. 35, No. 125, (1983) 205-213.</t>
  </si>
  <si>
    <t>Browne, R., Blundell, R. “The influence of loading age and temperature on the long term creep behaviour of concrete in a sealed, moisture stable state." Materials and Structures 2, (1969) 133-143.</t>
  </si>
  <si>
    <t>Browne, R.D., “Properties of concrete in reactor vessels," in Proc. Conference on Prestressed Concrete Pressure Vessels Group C Institution of Civil Engineers, London (1967) pp. 11-31.</t>
  </si>
  <si>
    <t>Browne, R.D., Bamforth, P.P. “The long term creep of the Wylfa Vessel concrete for loading ages up to 12 1/2 years." Proceedings of 3rd International Conference on Stuctural Mechanics in Reactor Technology, paper H 1/8 (1975).</t>
  </si>
  <si>
    <t>Browne, R.D., Burrow, R.E.D. “Utilization of the complex multiphase material behaviour in engineering design." Proceedings, Structure, Solid Mechanics and Engineering Design, Civil Engineering Materials Conference, Southampton, edited by M.Teebi, Wiley Interscience, (1971) 1343-1378.</t>
  </si>
  <si>
    <t>Burg, R.G., Ost, B.W. “Engineering Properties of Commercially Available High-Strength Concretes." Research and Development Bulletin RD 104T, Portland Cement Association, Skokie, Illinois (1992).</t>
  </si>
  <si>
    <t>Chern, J.C., Chang, C.Y. “Effects of Silica Fume on Creep and Shrinkage of Steel Fiber Reinforced Concrete, High Performance Concrete." Proceedings of ACI International Conference, Singapore, edited by V.M. Malhorta, American Concrete Institute, SP 149-32, (1994) 561-574, Detroit, USA.</t>
  </si>
  <si>
    <t>Da Silveira, A., Florentino, C. “Influence of temperature on creep of mass concrete." Temperature and Concrete, ACI Special Publication SP-25, (1971) 173-189 Detroit.</t>
  </si>
  <si>
    <t>Dutron, R. “Deformations lentes du beton arme sous l'action des charges permanent." (1936/37) Annales des Travaus Publics de Belgique, Tome 37, 2nd Series.</t>
  </si>
  <si>
    <t>England, G., Ross, A.D. “Reinforced concrete under thermal gradients." Magzine of Concrete Research 14, 4, (1962) 5-12.</t>
  </si>
  <si>
    <t>Espion, B., Wastiels, J. “Creep and shrinkage tests carried out within the research program FRFC-FKFO 2.90001.80 on the behaviour of partially prestressed concrete beams under long term sustained loading." Research Report, Brussels Free University, Brussels (1989).</t>
  </si>
  <si>
    <t>FIB Structural Concrete: Textbook on Behaviour, Design and Performance, Updated Knowledge of the of the CEB/FIP Model Code 1990. Bulletin No. 2, Federation internationale de beton (FIB), Lausanne, Vol. 1, (1999) pp. 35-52.</t>
  </si>
  <si>
    <t>Gamble, B.R., Thomass, L.H. “The creep of concrete subjected to varying stress." Proceeding of Australian Conference on the Mechanics of Structures and Materials, Adelaide 24, (1969).</t>
  </si>
  <si>
    <t>Gross, H. “On high-temperature creep of concrete." Proceedings of 2nd International Conference on Stuctural Mechanics in Reactor Technology, edited by T.A. Jaeger, Commission of European Communities, paper H 6/5 Berlin (1973).</t>
  </si>
  <si>
    <t>Hammer, T.A. “The Maturation of Mechanical Properties of High Strength Concrete Exposed to Different Moisture Conditions." Proceedings of Symposium of Utilization of High-Strength Concrete, edited by I. Holland and E. Sellevold, Lillehammer, (1993) 1084-1901.</t>
  </si>
  <si>
    <t>Han, N., Walraven, J.C. “Creep and Shrinkage of High-Strength Concrete at Early and Normal Ages." Advances in Concrete Technology, Proceedings of Second CANMET/ACI International Symposium, Las Vegas, edited by V.M. Malhorta, American Concrete Institute, SP 154, (1995) 73-94, Detroit, USA.</t>
  </si>
  <si>
    <t>Hannant, D.J., “Strain behaviour of concrete up to 95±C under compressive stresses" in Proc. Conference on Prestressed Concrete Pressure Vessels Group C, Institution of Civil Engineers, London (1967) pp. 57-71.</t>
  </si>
  <si>
    <t>Hansen, T.C. “Creep of concrete.The influence of variations in the humidity of the ambient atmosphere." (1960) Proceedings of 6th Congress of IABSE, Stockholm, Preliminary Publication, pp. 57-65.</t>
  </si>
  <si>
    <t>Hansen, T.C., and Mattock, A.H., “Influence of size and shape of member on the shrinkage and creep of concrete," ACI J. 63, (1966), 267-290.</t>
  </si>
  <si>
    <t>Hansen, W., “Drying shrinkage mechanisms in Portland cement pastes," J. Am. Ceram. Soc. 70, 5, 323-328 (1987).</t>
  </si>
  <si>
    <t>Hanson, J.A. “A ten-year study of creep properties of concrete." Report No. SP-38, Concrete Laboratory, US Department of the Interior, Bureau of Reclamation, Denver (1953).</t>
  </si>
  <si>
    <t>Harboe, E.M. “A comparison of the instantaneous and sustained modulus of elasticity of concrete." Report No. C-854, Concrete Laboratory, US Department of the Interior, Bureau of Reclamation, Denver (1958).</t>
  </si>
  <si>
    <t>Hickey, K.B. “A ten-year study of creep properties of concrete." Report No. C-1257, Concrete and Structural Branch, Division of Research, US Department of the Interior, Bureau of Reclamation, Denver(1953).</t>
  </si>
  <si>
    <t>Hillsdorf, H. K., and Carreira, D. J. “Conclusions of the Hubert RÄusch Workshop on Creep of Concrete". ACI Concrete International 2 (11), (1980) p. 77.</t>
  </si>
  <si>
    <t>Hirst, G.A., Neville, A.M. “Activation energy of creep of concrete under short-term static and cyclic stresses." Magazine of Concrete Research Vol. 29, No. 98, (1977) 13-18.</t>
  </si>
  <si>
    <t>Hooton, R.D. “Influence of silica fume replacement of Cement on Physical Properties and Resistance to Sulfate Attack, Freezing and Thawing, and Alkali-silica Reaktivity." ACI Materials Journal Vol. 90, No. 2, (1993) 143-151.</t>
  </si>
  <si>
    <t>Johansen, R., Best, H. “Creep of concrete with and without ice in the system." Bulletin RILEM 16, (1962) 47-57.</t>
  </si>
  <si>
    <t>Kawaguchi, T., (PCRV Research Group) “Study on Prestressed Concrete Reactor Vessel (PRCV) Structures - IV – 1 Creep Tests of Concrete Subjected to Uniaxial and Triaxial Compressive Stresses and Normal Temperature" Ohbayashi-Gumi Research Institute Report No. 12, (1976) 13-17.</t>
  </si>
  <si>
    <t>Kawasumi, M., Seki, S., Kasahara, K., Kuriyama, T. “Creep of concrete at Elevated Temperatures." CRIEPI Report,No.72018, (1973) 83p.</t>
  </si>
  <si>
    <t>Keeton, J.R., “Study of creep in concrete, Technical reports R333-I, R333-II, R333-III," U.S. Naval civil engineering laboratory, Port Hueneme, California (1965).</t>
  </si>
  <si>
    <t>Kommendant, G.J., Polivka, M., and Pirtz, D., Study of concrete properties for prestressed concrete reactor vessels, Final Report No. UCSESM 76-3 (to General Atomic Company), Department of Civil Engineering, University of California, Berkeley (1976).</t>
  </si>
  <si>
    <t>Maity, K., Meyers, B.L. “The effect of loding history on the creep and creep recovery of sealed and unsealed plain concrete specimens." Report No. 70-7, NSF Grant GK-3066, Department of Civil Engineering, University of Iowa, Iowa City(1970).</t>
  </si>
  <si>
    <t>Mathematical modeling of creep and shrinkage of concrete, ed. by Z.P. Bazant, John Wiley &amp; Sons, Chichester and NewYork (1988).</t>
  </si>
  <si>
    <t>MÄuller, H.S. “Considerations on the development of a database on creep and shrinkage tests." Creep and Shrinkage of Concrete (Proc., 5th Intern. RILEM Symp., Barcelona 1993), Z.P. Bazant and I. Carol, eds., E&amp;F Spon, London, (1993) 859-872.</t>
  </si>
  <si>
    <t>MÄuller, H.S., and Hilsdorf, H.K. “Evaluation of the time-dependent behaviour of concrete: summary report on the work of the General Task Force Group No. 199." CEB (Copmite euro internationale du beton), Lausanne (1990) (201 pp.).</t>
  </si>
  <si>
    <t>MÄuller, H.S., Bazant, Z.P., and Kuttner, C.H. “Data base on creep and shrinkage tests." RILEM Subcommittee 5 report RILEM TC 107-CSP, RILEM, Paris (1999) (81 pp.)</t>
  </si>
  <si>
    <t>McDonald, D.B., and Roper, H., “Prediction of drying shrinkage of concrete from internal humidities and finite element techniques," in Creep and Shrinkage of Concrete, Proceedings of the 5th International RILEM Symposium, ConCreep 5, Barcelona Spain (1993), 259-264.</t>
  </si>
  <si>
    <t>McDonald, J.E. “Time-dependent deformation of concrete under multiaxial stress conditions." Technical Report C-75-4, Concrete Laboratory, US Army Engineering Waterways Experiment Station, Vicksburg (1975).</t>
  </si>
  <si>
    <t>Mickleborough, N.C. “Creep of concrete under variable loading." PhD thesis, Carleton University, Ottawa (1972).</t>
  </si>
  <si>
    <t>Mossiossian, V., Gamble, V.L. “Time-dependent behaviour of non-composite and composite prestressed concrete structures under field and laboratory conditions." Structural Research Series No.385, Illinois Cooperative Highway Research Program, Series No. 129, Civil Engineering Studies,University of Illinois, Urbana (1972).</t>
  </si>
  <si>
    <t>Nasser, K.W., Neville, A.M. “Creep of concrete at elevated temperatures." ACI Journal Vol.62, (1965) pp. 1567-1579.</t>
  </si>
  <si>
    <t>Nasser, K.W., Neville, A.M. “Creep of old concrete at normal and elevated temperatures." ACI Journal 64, (1967) 97-103.</t>
  </si>
  <si>
    <t>Navratil, Jaroslav. “Application of Extension of Model B3 for Concrete Creep and Shrinkage Prediction. (in Czech)" (1996) Stavebn³ obzor, v tisku.</t>
  </si>
  <si>
    <t>Neville, A.M., Dilger, W.H. and Brooks, J.J., Creep of plain and structural concrete, Construction Press, London and NewYork (1983).</t>
  </si>
  <si>
    <t>Ngab, A.S., Nilson, A.H., Slate, F.O. “Behaviour of high strength concrete under sustained compressive stress" Report No. 80-2, Department of Structural Engineering, Cornell University, Ithaca (1980).</t>
  </si>
  <si>
    <t>Ngab, A.S., Nilson, A.H., Slate, F.O. “Shrinkage and creep of high strength concrete." ACI Journal Vol. 78, No. 4, (1981) 255-261.</t>
  </si>
  <si>
    <t>Oh, B.H., Cha, S.W., Um, J.Y., Lim, D.H. “Effects of Reinforcement and Humidity on the Creep and Shrinkage Behavior of High-Strength Concrete Members." Creep and Shrinkage of Concrete (RILEM Symposium), edited by Z.P. Bazant and I. Carol, Published by E &amp; FN Spon, (1993)</t>
  </si>
  <si>
    <t>Ohnuma, H., Abe, H. “Creep and Creep Recovery of Concrete Subjected to Triaxial Compressive Stresses at Elevated Temperature" CRIEPI Report No. 378020, (1979) 38 pp.</t>
  </si>
  <si>
    <t>Okada, K., Kasa, H., Yoshioka, Y., Sakuta, M., Sato, T. “Creep of Concrete at Elevated Temperature" Takenaka Research Report No. 17 (1977).</t>
  </si>
  <si>
    <t>Okajima, T., Tsujino, S., Haseda, N., Oh'iwa, K., Yamane, S., Okada, K. “Creep of Concrete under Combined Stresses" Takenaka Research Report No. 16, (1976) 123-131.</t>
  </si>
  <si>
    <t>Otani, K., Abe, Y. “Research and Development of Prestressed Concrete Pressure Vessels (Part 8) - Triaxial Creep of Concrete under High Temperature (3rd Report)" Kajima Technical Research Institute Annual Report, No. 24, (1976) 13-18.</t>
  </si>
  <si>
    <t>Pentala, V., Rautanen, T. “Microporosity, Creep and Shrinkage of High-Strength Concrete." ACI SP 121-21, 2nd International Symposium on High-Strength Concrete, edited by Weston T. Heston, (1990) 409-432.</t>
  </si>
  <si>
    <t>Pirtz, D. “Creep characteristics of mass concrete for Dworshak Dam." Report No. 65-2, Structural Engineering Laboratory, University of California, Berkeley(1968).</t>
  </si>
  <si>
    <t>Powers, T.C., and Brownyard, T.L. Proc. ACI (1946-47) 43, 101, 149, 469, 549, 845, 933.</t>
  </si>
  <si>
    <t>Prediction of creep, shrinkage and temperature effects in concrete structures, ACI 209 R-92, American Concrete Institute, Detroit 1992 (minor update of original 1972 version).</t>
  </si>
  <si>
    <t>Ravindrarajah, R.S., Mercer, C.M., Toth, J. “Moisture-induced Volume Changes in High-Strength Concrete, High Performance Concrete." Proceedings of ACI International Conference, Singapore, edited by V.M. Malhorta, American Concrete Institute, SP 149-32, (1994) 475-490, Detroit, USA.</t>
  </si>
  <si>
    <t>RILEM TC 107, “Guidelines for characterizing concrete creep and shrinkage in structural design codes or recommendations", Materials and structures 28 (1995), 52-55. See also RILEM TC69, “Conclusions for structural analysis and for formulation of standard design recommendations," Chapter 6 in Mathematical Modeling of Creep and Shrinkage of Concrete, ed. by Z.P. Bazant, John Wiley and Sons, Chichester and New York, 1988; reprinted in Materials and Structures (RILEM, Paris) 20 (1987), 395-398, and in ACI Materials Journal 84 (1987), 578-581.</t>
  </si>
  <si>
    <t>Ross, A.D. “Creep of concrete under variable stress." ACI Journal Vol.54, (1958) pp. 739-758.</t>
  </si>
  <si>
    <t>Rostasy, F.S., Teichen, K.-Th. and Engelke, H., “Beitrag zur KlÄarung des Zussammenhanges von Kriechen und Relaxation bei Normal-beton," Amtliche Forschungs-und MaterialprÄufungsanstalt fÄur das Bauwesen, Heft 139 (Otto-Graf-Institut, UniversitÄat Stuttgart, (Strassenbau-und Strassenverkehrstechnik) (1972).</t>
  </si>
  <si>
    <t>Russel, H.G., Larson, S.C. “Thirteen Years of Deformations in Water Tower Place." ACI Structural Journal Vol. 86, No. 2, (1989) 131-145.</t>
  </si>
  <si>
    <t>Russell, H., and Burg, R., Test data on Water Tower Place Concrete from Russell, H.G., and Fiorato, A.E., “High strength concrete research for buildings and bridges", ACI SP-159, to be published.</t>
  </si>
  <si>
    <t>Sakata, Kenji, and Shimonmura, Takumi. “Recent progress in research on and code evaluation of concrete creep and shrinkage in Japan." Journal of Advanced Concrete Technology Vol.2, No.2, (2004) pp. 133-140.</t>
  </si>
  <si>
    <t>Shritharan, S. “Structural Effects of Creep and Shrinkage on Concrete Structures." M.E. thesis, Civil Engineer, University Auckland (1989).</t>
  </si>
  <si>
    <t>Schwesinger, P., and Ehlert, G., "Creep of Concrete at Elevated Temperatures and Boundary Conditions of Moisture." Cement and Concrete Research Vol. 17, (1987) 263-272.</t>
  </si>
  <si>
    <t>Subcommittee 7 Chaired by Z. P. Bazant. “Time dependent effects," Chap. 6 in State-of-the-Art Report on Finite Element Analysis of Reinforced Concrete, prepared by ASCE Str. Div. Task Committee chaired by A. Nilson, Am. Soc. of Civil Engrs., New York (1982) 309-400.</t>
  </si>
  <si>
    <t>Suter, G.T., Mickleborough, N.C. “Creep of concrete under cyclically loading dynamic loads." Cement and Concrete Research Vol. 5, No.6, (1975) 565-576.</t>
  </si>
  <si>
    <t>Takahashi, H., Kawaguchi, T. “Study on time-dependent behaviour of high-strength concrete (Part 1)-Application of the Time-Dependent Linear Viscoelasticity Theory of Concrete CreepBehaviour," Report No 21, Ohbayashi-Gumi Research Institute, Tokyo (1980), pp. 61-69.</t>
  </si>
  <si>
    <t>Takahashi, H., Kawaguchi, T. “Study on time-dependent behaviour of high-strength concrete (Part 2)-Results of Creep Tests of Concrete at Elevated Temperature," Ohbayashi-Gumi Research Institute Report No 23, (1981) 48-53 Tokyo.</t>
  </si>
  <si>
    <t>Wallo, E.M., Yuan, R.L., Lott, J.L., Kesler, C.E., “Sixth progress report on prediction of creep in structural concrete from short time tests". T &amp; AM Report No. 658, Department of Theoretical and Applied Mechanics, University of Illinois at Urbana (1965).</t>
  </si>
  <si>
    <t>Weil, G. “Influence des dimensions et des contraintes sur le retrait et le fluage du beton." (1959) Bulletin RILEM, No. 3.</t>
  </si>
  <si>
    <t>Whaley, C.P., Neville, A.M. “Non-elastic deformation of concrete under cyclic compression."Magazine of Concrete Research Vol. 25, No.84, (1973) 145-154.</t>
  </si>
  <si>
    <t>Wittmann, F.H., Bazant, Z.P., Alou, F., Kim, J.K., “Statistics of shrinkage test data," Cem.,Conc. Aggreg. ASTM 9(2) (1987) 129-153.</t>
  </si>
  <si>
    <t>York, G.P., Kennedy, T.W., Perry, E.S. “Experimental investigation of creep in concrete subjected to multiaxial compressive stresses and elevated temperatures." Research Report 2864-2 to Oak Ridge National Laboratory, Department of Civil Engineering, University of Texas, Austin(1970); see also Concrete for Nuclear Reactors, American Concrete Institute, Special Publication, No.34, (1972) 647-700.</t>
  </si>
  <si>
    <t>Yue, L., Taerwe, L.R. “Empirical Investigation of Creep and Shrinkage of High Strength Concrete." Proceedings of Symposium of Utilization of High-Strength Concrete, edited by I. Holland and E. Sellevold, Lillehammer, (1993) 1084-1091.</t>
  </si>
  <si>
    <t>Zielinski, J.L., Sadowski, A. “The influence of moisture content on the creep of concrete at elevated temperatures." Proceedings of 2nd International Conference on Stuctural Mechanics in Reactor Technology, edited by T.A. Jaeger, Commission of European Communities, (1973) 1-8 Berlin. 517-522 London.</t>
  </si>
  <si>
    <t>Japanese References</t>
  </si>
  <si>
    <t>-</t>
  </si>
  <si>
    <t>Name of the experimenter(s), i.e., author(s) of the article</t>
  </si>
  <si>
    <t>Location or geographical region of test.</t>
  </si>
  <si>
    <t>The aggregate-cement ratio by weight.</t>
  </si>
  <si>
    <t>Wesche</t>
  </si>
  <si>
    <t>UK</t>
  </si>
  <si>
    <t>Germany</t>
  </si>
  <si>
    <t>Netherlands</t>
  </si>
  <si>
    <t>France</t>
  </si>
  <si>
    <t>New Zealand</t>
  </si>
  <si>
    <t>China</t>
  </si>
  <si>
    <t>h</t>
  </si>
  <si>
    <t>RH_test</t>
  </si>
  <si>
    <t>x</t>
  </si>
  <si>
    <t>r</t>
  </si>
  <si>
    <t>P 300x1200</t>
  </si>
  <si>
    <t>P 400x1600</t>
  </si>
  <si>
    <t>Shape</t>
  </si>
  <si>
    <t>Italy</t>
  </si>
  <si>
    <t>C 98x200</t>
  </si>
  <si>
    <t>Sweden</t>
  </si>
  <si>
    <t>C 100x500</t>
  </si>
  <si>
    <t>C 110x220</t>
  </si>
  <si>
    <t>Portugal</t>
  </si>
  <si>
    <t>P 100x100x500</t>
  </si>
  <si>
    <t>P 100x100x400</t>
  </si>
  <si>
    <t>Iran</t>
  </si>
  <si>
    <t>OPC</t>
  </si>
  <si>
    <t>C 80x270</t>
  </si>
  <si>
    <t>C 100x300</t>
  </si>
  <si>
    <t>cem</t>
  </si>
  <si>
    <t>A_002_01</t>
  </si>
  <si>
    <t>A_002_02</t>
  </si>
  <si>
    <t>A_003_01</t>
  </si>
  <si>
    <t>A_003_02</t>
  </si>
  <si>
    <t>A_005_01</t>
  </si>
  <si>
    <t>A_005_02</t>
  </si>
  <si>
    <t>A_005_03</t>
  </si>
  <si>
    <t>A_005_04</t>
  </si>
  <si>
    <t>A_005_05</t>
  </si>
  <si>
    <t>A_005_06</t>
  </si>
  <si>
    <t>A_006_01</t>
  </si>
  <si>
    <t>A_006_02</t>
  </si>
  <si>
    <t>A_006_03</t>
  </si>
  <si>
    <t>A_007_01</t>
  </si>
  <si>
    <t>A_007_02</t>
  </si>
  <si>
    <t>A_007_03</t>
  </si>
  <si>
    <t>A_007_04</t>
  </si>
  <si>
    <t>A_007_05</t>
  </si>
  <si>
    <t>A_007_06</t>
  </si>
  <si>
    <t>A_007_07</t>
  </si>
  <si>
    <t>A_007_08</t>
  </si>
  <si>
    <t>A_009_01</t>
  </si>
  <si>
    <t>A_009_02</t>
  </si>
  <si>
    <t>A_009_03</t>
  </si>
  <si>
    <t>A_009_04</t>
  </si>
  <si>
    <t>A_009_05</t>
  </si>
  <si>
    <t>A_009_06</t>
  </si>
  <si>
    <t>A_009_07</t>
  </si>
  <si>
    <t>A_009_08</t>
  </si>
  <si>
    <t>A_009_09</t>
  </si>
  <si>
    <t>A_009_10</t>
  </si>
  <si>
    <t>A_009_11</t>
  </si>
  <si>
    <t>A_016_01</t>
  </si>
  <si>
    <t>A_016_02</t>
  </si>
  <si>
    <t>A_016_03</t>
  </si>
  <si>
    <t>A_016_04</t>
  </si>
  <si>
    <t>A_018_01</t>
  </si>
  <si>
    <t>A_021_01</t>
  </si>
  <si>
    <t>A_021_02</t>
  </si>
  <si>
    <t>A_021_03</t>
  </si>
  <si>
    <t>A_022_01</t>
  </si>
  <si>
    <t>A_022_02</t>
  </si>
  <si>
    <t>A_022_03</t>
  </si>
  <si>
    <t>A_022_04</t>
  </si>
  <si>
    <t>A_022_05</t>
  </si>
  <si>
    <t>A_022_06</t>
  </si>
  <si>
    <t>A_022_07</t>
  </si>
  <si>
    <t>A_022_08</t>
  </si>
  <si>
    <t>A_022_09</t>
  </si>
  <si>
    <t>A_022_10</t>
  </si>
  <si>
    <t>A_022_11</t>
  </si>
  <si>
    <t>A_022_12</t>
  </si>
  <si>
    <t>A_022_13</t>
  </si>
  <si>
    <t>A_022_14</t>
  </si>
  <si>
    <t>A_022_15</t>
  </si>
  <si>
    <t>A_022_16</t>
  </si>
  <si>
    <t>A_024_01</t>
  </si>
  <si>
    <t>A_024_02</t>
  </si>
  <si>
    <t>A_024_03</t>
  </si>
  <si>
    <t>A_024_04</t>
  </si>
  <si>
    <t>A_027_01</t>
  </si>
  <si>
    <t>A_027_02</t>
  </si>
  <si>
    <t>A_027_03</t>
  </si>
  <si>
    <t>A_027_04</t>
  </si>
  <si>
    <t>A_027_05</t>
  </si>
  <si>
    <t>A_027_06</t>
  </si>
  <si>
    <t>A_027_07</t>
  </si>
  <si>
    <t>A_029_01</t>
  </si>
  <si>
    <t>A_029_02</t>
  </si>
  <si>
    <t>A_029_03</t>
  </si>
  <si>
    <t>A_031_01</t>
  </si>
  <si>
    <t>A_031_02</t>
  </si>
  <si>
    <t>A_031_03</t>
  </si>
  <si>
    <t>A_031_04</t>
  </si>
  <si>
    <t>A_031_05</t>
  </si>
  <si>
    <t>A_031_06</t>
  </si>
  <si>
    <t>A_031_07</t>
  </si>
  <si>
    <t>A_031_08</t>
  </si>
  <si>
    <t>A_031_09</t>
  </si>
  <si>
    <t>A_031_10</t>
  </si>
  <si>
    <t>A_031_11</t>
  </si>
  <si>
    <t>A_031_12</t>
  </si>
  <si>
    <t>A_032_01</t>
  </si>
  <si>
    <t>A_032_02</t>
  </si>
  <si>
    <t>A_032_03</t>
  </si>
  <si>
    <t>A_032_04</t>
  </si>
  <si>
    <t>A_033_01</t>
  </si>
  <si>
    <t>A_033_02</t>
  </si>
  <si>
    <t>A_033_03</t>
  </si>
  <si>
    <t>A_033_04</t>
  </si>
  <si>
    <t>A_036_01</t>
  </si>
  <si>
    <t>A_036_02</t>
  </si>
  <si>
    <t>A_036_03</t>
  </si>
  <si>
    <t>A_036_04</t>
  </si>
  <si>
    <t>A_036_07</t>
  </si>
  <si>
    <t>A_036_09</t>
  </si>
  <si>
    <t>A_036_10</t>
  </si>
  <si>
    <t>A_036_11</t>
  </si>
  <si>
    <t>A_036_12</t>
  </si>
  <si>
    <t>A_036_13</t>
  </si>
  <si>
    <t>A_036_14</t>
  </si>
  <si>
    <t>A_036_15</t>
  </si>
  <si>
    <t>A_036_16</t>
  </si>
  <si>
    <t>A_037_01</t>
  </si>
  <si>
    <t>A_037_02</t>
  </si>
  <si>
    <t>A_043_01</t>
  </si>
  <si>
    <t>A_043_02</t>
  </si>
  <si>
    <t>A_043_03</t>
  </si>
  <si>
    <t>A_043_04</t>
  </si>
  <si>
    <t>A_043_05</t>
  </si>
  <si>
    <t>A_043_06</t>
  </si>
  <si>
    <t>A_043_07</t>
  </si>
  <si>
    <t>A_043_08</t>
  </si>
  <si>
    <t>A_043_09</t>
  </si>
  <si>
    <t>A_043_10</t>
  </si>
  <si>
    <t>A_043_11</t>
  </si>
  <si>
    <t>A_043_12</t>
  </si>
  <si>
    <t>A_043_13</t>
  </si>
  <si>
    <t>A_043_14</t>
  </si>
  <si>
    <t>A_043_15</t>
  </si>
  <si>
    <t>A_055_01</t>
  </si>
  <si>
    <t>A_057_01</t>
  </si>
  <si>
    <t>A_057_02</t>
  </si>
  <si>
    <t>A_057_03</t>
  </si>
  <si>
    <t>A_057_04</t>
  </si>
  <si>
    <t>A_057_05</t>
  </si>
  <si>
    <t>A_057_06</t>
  </si>
  <si>
    <t>A_057_07</t>
  </si>
  <si>
    <t>A_057_08</t>
  </si>
  <si>
    <t>A_059_01</t>
  </si>
  <si>
    <t>A_059_02</t>
  </si>
  <si>
    <t>A_059_03</t>
  </si>
  <si>
    <t>A_059_04</t>
  </si>
  <si>
    <t>A_059_05</t>
  </si>
  <si>
    <t>A_059_06</t>
  </si>
  <si>
    <t>A_059_07</t>
  </si>
  <si>
    <t>A_061_01</t>
  </si>
  <si>
    <t>A_061_02</t>
  </si>
  <si>
    <t>A_061_03</t>
  </si>
  <si>
    <t>A_066_01</t>
  </si>
  <si>
    <t>A_066_02</t>
  </si>
  <si>
    <t>A_066_03</t>
  </si>
  <si>
    <t>A_066_04</t>
  </si>
  <si>
    <t>A_073_01</t>
  </si>
  <si>
    <t>A_073_02</t>
  </si>
  <si>
    <t>A_073_03</t>
  </si>
  <si>
    <t>A_073_04</t>
  </si>
  <si>
    <t>Al-Khaja</t>
  </si>
  <si>
    <t>Alexander</t>
  </si>
  <si>
    <t>Assie</t>
  </si>
  <si>
    <t>Barr</t>
  </si>
  <si>
    <t>Collins</t>
  </si>
  <si>
    <t>Hope</t>
  </si>
  <si>
    <t>Ichinomiya</t>
  </si>
  <si>
    <t>Jianyong</t>
  </si>
  <si>
    <t>Larrard</t>
  </si>
  <si>
    <t>Lee</t>
  </si>
  <si>
    <t>Lowke</t>
  </si>
  <si>
    <t>Maia</t>
  </si>
  <si>
    <t>Mazloom</t>
  </si>
  <si>
    <t>Mu</t>
  </si>
  <si>
    <t>Muller</t>
  </si>
  <si>
    <t>Oliva</t>
  </si>
  <si>
    <t>Penttala</t>
  </si>
  <si>
    <t>Persson</t>
  </si>
  <si>
    <t>Bahrain</t>
  </si>
  <si>
    <t>Autralia</t>
  </si>
  <si>
    <t>US</t>
  </si>
  <si>
    <t>Canada</t>
  </si>
  <si>
    <t>Korea</t>
  </si>
  <si>
    <t>Finland</t>
  </si>
  <si>
    <t>Akkaya, Y., Ouyang, C., and Shah, S.P., "Effect of supplementary cementitious materials on shrinkage and crack development in concrete," Cement and Concrete Composites, V. 29, No. 2, Feb. 2007, pg. 117-123.</t>
  </si>
  <si>
    <t>Al-Khaja, W.A. "Strength and time-dependent deformations of silica fume concrete for use in Bahrain," Construction and Building Materials, 1994, V. 8, No. 3, pp. 169-172.</t>
  </si>
  <si>
    <t xml:space="preserve">Alexander, K.M., Bruere, G.M., and Ivanusec, I., "The Creep and Related Properties of Very High-Strength Superplasticized Concrete, " Cement and Concrete Research, Vol. 10, pp. 131-137, 1980. </t>
  </si>
  <si>
    <t>Alrifai, A.; Aggoun, S. and Cabrillac, R. "Influence of the formulation parameters on the autogeneous shrinkage of Self-Compacting Concrete." Concreep-8 pg. 663</t>
  </si>
  <si>
    <t>Assie, S.; Escadeillas, G. and Waller, V. "Delayed behavior of Self-Compacting Concrete." Concreep-7 pg. 553</t>
  </si>
  <si>
    <t>Barr, B.I.G. and Lee, M.K., "Some Mechanical Properties of High Performance Concrete," Role of Concrete in Sustainable Development, 2003. pg. 277-287.</t>
  </si>
  <si>
    <t>Brooks, J.J., "Effect of metakaolin on creep and shrinkage of concrete," Cement and Concrete Composites 23, 2001, pg. 495-502.</t>
  </si>
  <si>
    <t>Carette, G., Bilodeau, A., Chevrier, R.L., and Malhotra, V.M., "Mechanical Properties of Concrete Incorporating High Volumes of Fly Ash from Sources in the US," ACI Materials Journal, No. 90, Nov-Dec 1993, pg. 535-544.</t>
  </si>
  <si>
    <t>Collins, T.M., "Proportioning High-Strength Concrete to Control Creep and Shrinkage," ACI Materials Journal, No. 86, Nov-Dec 1989, pg. 576-580.</t>
  </si>
  <si>
    <t>Eguchi, K. and Teranishi, K., "Predictionn equation of Drying Shrinkage of concrete based on composite model," Cement and Concrete Research 35, 2005, pg. 483-493.</t>
  </si>
  <si>
    <t>Folliard, K.J. and Berke, N.S., "Properties of High-Performance concrete containing shrinkage-reducing admixture," Cement and Concrete Research, V. 27, No. 9, pp. 1357-1364. 1997.</t>
  </si>
  <si>
    <t>Garas, V.Y., Kahn, L.F., and Kurtis, K.E., "Short-term tensile creep and shrinkage of ultra-high performance concrete," Cement and Concrete Composites 31, 2009, pg. 147-152.</t>
  </si>
  <si>
    <t>Giovambasttista, A. and Zerbino, R., "Creep of Concrete after Ten Years of Loading," Creep and Shrinkage of Concrete, Proc. 5th Int'l. RILEM Symp., Barcelona, Spain, 1993, pg. 51-62.</t>
  </si>
  <si>
    <t>Holt, E., "Contribution of mixture design to chemical and autogeneous shrinkage of concrete at early ages," Cement and Concrete Research, 35, 2005, pg. 464-472.</t>
  </si>
  <si>
    <t>Hwee, Y.S., and Rangan, B.V., "Studies on Commercial High-Strength Concretes," ACI Materials Journal, No. 87, Sept.-Oct. 1990, pg. 440-445.</t>
  </si>
  <si>
    <t>Ichinomiya, et. al, "Experimental Study on mechanical properties of ultra-high-strength concrete with low-autogenous-shrinkage," ACI SP-228, 7th Int'l Symp. On the Utilization of High-Strength/High-Performance Concrete, V. 2, Ed. Russell, H.G., 2005, pg . 1341-1352.</t>
  </si>
  <si>
    <t>Imamoto, K.; Ymamaoto,T. and Oh-Oka,  T. "Effect of Size on Creep and Shrinkage of Concrete - Five Years Measurements" Concreep-7 pg. 567</t>
  </si>
  <si>
    <t>Jensen, O.M., and Hansen, P.F., "Influence of temperature on autogeneous deformation and relative humidity change in hardening cement paste," Cement and Concrete Research 29, 1999, pg. 567-575.</t>
  </si>
  <si>
    <t>Jianyong, L, and Yan, Y., "A study on creep and drying shrinkage of high performance concrete," Cement and Concrete Research, 31, 2001, pg. 1203-1206.</t>
  </si>
  <si>
    <t>Larrard, F., "Creep and Shrinkage of High-Strength Field Concrete," ACI SP 121-28, High Strength Concrete, 2nd Int'l Symp. Ed. Hester, W.T., Berkeley, California, 1990, pg. 409-432.</t>
  </si>
  <si>
    <t>Lee, H.K., Lee, K.M., and Kim, B.G., "Autogeneous shrinkage of high-performance concrete containing fly ash," Magazine of Concrete Research, 2003, 55, No. 6, Dec. pg. 507-515.</t>
  </si>
  <si>
    <t>Lee, Y.; Yi, S.-T., Kim, M.-S.; and Kim, J.-K., "Evaluation of a basic creep model with respect to autogeneous shrinkage" Cement and Concrete Research, 36, 2006, pg. 1268-1278.</t>
  </si>
  <si>
    <t xml:space="preserve">Levy, K.R., Barnes, R.W., and Schindler, A.K., "Time-Dependent Deformations of Pretensioned, Self-Consolidating Concrete," 3rd fib International Congress, 2010. </t>
  </si>
  <si>
    <t>Lowke, D. and Schiessl, P. "Effect of poweder contect and visosity agents on creep and shrinkage of self-compacting concrete." Concreep-8 pg. 655</t>
  </si>
  <si>
    <t>Ma, J., Orgass, M., Tue, N.V., and Dehn, F., "Creep of Ultra High Performance Concrete (UHPC)," Concreep-7, pg. 603.</t>
  </si>
  <si>
    <t>Maia, L.M.; Nunes,S. and Figueiras, J.A. "Influence of paste content on shrinkage and creep of SCC" Concreep-8 pg. 675</t>
  </si>
  <si>
    <t>Marzouk, H.M., "Effect of Low Temperature on the Creep Behavior of High Strength Concrete," ACI SP-135, Creep and Shrinkage of Concrete: Effect of Materials and Environment, Eds. Fu, C.C. and Daye, M.A., 1992.</t>
  </si>
  <si>
    <t>Mazloom, M.;  Ramezanianpour, A.A.  and Brooks, J.J.  "Effect of silica fume on mechanical properties of high-strenght concrete," Cement and Concrete Composites 26 (2004) 347-357.</t>
  </si>
  <si>
    <t>Mazzotti, C. and Ceccoli, C. "Creep and shrinkage of self compacting concrete: Experimental behavior and numerical model." Concreep-8 pg. 667</t>
  </si>
  <si>
    <t>Mazzotti, C., Savoia, M.,  and Ceccoli, C. "A comparison between long term properties of self compacting concretes and normal vibrated concretes with same strength." Concreep-7 pg. 523</t>
  </si>
  <si>
    <t>Mertol, H.C., Rizkalla, S., Zia, P., and Mirmiran, A., "Creep and shrinkage behavior of high-strength concrete and minimum reinforcement ratio for bridge columns," PCI Journal, Summer 2010, pg. 138-154.</t>
  </si>
  <si>
    <t>Mokarem, D.W., Weyers, R.E., and Sprinkel, M.M., "Shrinkage of Virginia Transportation Concrete Mixtures," ACI SP-227, Shrinkage and Creep of Concrete, Eds. Gardner, N.J. and Weiss, J., 2005.</t>
  </si>
  <si>
    <t>Mu, R., Forth, J.P., and Beeby, A.W., "Designing concrete with special shrinkage and creep requirements," Creep, Shrinkage, and Durability Mechanics of concrete and concrete structures, Eds. Tanabe et al. V. 2, 2009.</t>
  </si>
  <si>
    <t>Muller, H.  et. al, "Time-dependent Behavior of Ultra High Performance Concrete (UHPC)," 3rd fib International Congress 2010.</t>
  </si>
  <si>
    <t>Nakanishi, H., et. at, "Performance of a Multifunctional and Multipurpose Superplasticizer for concrete," SP-217, 7th Int'l ACI/CANMET conf. Superplasticizers and other chemical admixtures in Concrete. 2003, Ed. Malhotra, V.M., pg. 327-341.</t>
  </si>
  <si>
    <t>Nguyen, T.; Ma, J.; and Orgass, M., "Krichen von Ultrahochfestem Beton (UHFB)," Bautechnick 83, 2006, V. 2, pg. 119-124.</t>
  </si>
  <si>
    <t>NCHRP Report 496, "Prestress Losses in Pretensioned High-Strength concrete Bridge Girders," Transportation Research Board, 2003.</t>
  </si>
  <si>
    <t>Nidhi, J., Myers, J., and La Gamma, J., "Creep, Shrinkage and CTE Evaluation: MoDOT's New Bridge Deck Mix Companion Testing to HPC Bridge Deck," RDT RI00-002B, Feb. 2005.</t>
  </si>
  <si>
    <t xml:space="preserve">Oliva, M.G. and Cramer, S., "Self Consolidating Concrete: Creep and Shrinkage Characteristics," Report to Spancrete and Country Materials, Jan 2008. </t>
  </si>
  <si>
    <t>Persson, B. "A comparison between mechancial properties of SCC and the corresponding properteis of normal concrete." Cement and Concrete Res. 31(2): 193-198.</t>
  </si>
  <si>
    <t>Persson, B. "Creep of Self-Compacting Concrete." Concreep-7 pg. 536</t>
  </si>
  <si>
    <t>Eppers, S. and Muller, C., "Autogeneous Shrinkage Strain of Ultra-High-Performance Concrete," Proceedings of the International Symposium on Ultra High Performance Concrete, Kassel, Germany, March 2008, No. 10. pg. 433</t>
  </si>
  <si>
    <t>Burkart, I. and Muller H, "Creep and shrinkage characteristics of ultra high strength concrete," Proceedings of the International Symposium on Ultra High Performance Concrete, Kassel, Germany, March 2008, No. 10. pg. 469</t>
  </si>
  <si>
    <t>Acker, P. and Behloul, M, "Ductal Technology: A Large Spectrum of Properties, a wide range of applications," Proceedings of the International Symposium on Ultra High Performance Concrete, Kassel, Germany, Sept. 2004, No. 3. pg. 11</t>
  </si>
  <si>
    <t>Maeder, U. et. al., "Ceracem, a new high performance concrete: charaacterisations and applications," Proceedings of the International Symposium on Ultra High Performance Concrete, Kassel, Germany, Sept. 2004, No. 3. pg. 59</t>
  </si>
  <si>
    <t>Ma, J., et al. "Comparative Investigations on Ultra-High Performance Concrete with and without Coarse Aggregates," Proceedings of the International Symposium on Ultra High Performance Concrete, Kassel, Germany, Sept. 2004, No. 3. pg. 203</t>
  </si>
  <si>
    <t>Fehling, E., Bunje, K, and Leutbecher, T., "Design relevant properties of hardened Ultra High Performance Concrete," Proceedings of the International Symposium on Ultra High Performance Concrete, Kassel, Germany, Sept. 2004, No. 3. pg. 327</t>
  </si>
  <si>
    <t>Maruyama, I., Ito, H. and Sato, R., "Expansive behavior of expansive high strength concrete and its induced stress," Proceedings of the International Symposium on Ultra High Performance Concrete, Kassel, Germany, Sept. 2004, No. 3. pg. 601</t>
  </si>
  <si>
    <t>Vogt, C., Lagerblad, B., and Hugo-Persson, T., "Optimization of UHPC for selective stabalization of deep boreholes," Proceedings of the International Symposium on Ultra High Performance Concrete, Kassel, Germany, Sept. 2004, No. 3. pg. 769</t>
  </si>
  <si>
    <t>Rouse, J.M and Billington, S.L., "Creep and Shrinkage of High-Performance Fiber-Reinforced Cementitious Composites," ACI Materials Journal, March 2007, pg. 129-136.</t>
  </si>
  <si>
    <t>Russell, H.G., et. al, "State-of-the-Art Report on High-Strength Concrete" ACI 363R-92, 1997</t>
  </si>
  <si>
    <t>Smadi, M.M., Slate, F.O., and Nilson, A.H., "Shrinkage and Creep of High-, Medium-, and Log-Strength Concretes, Including Overloads," ACI Materials Journal, No. 84, May-June 1987, pg. 224-234.</t>
  </si>
  <si>
    <t>Suksawang, N. and Nassif, H.H., "Effect of Modulus of Elasticity on Creep Prediction of High Strength Concrete Containing Pozzolans," ACI SP-227, Shrinkage and Creep of Concrete, Eds. Gardner, N.J. and Weiss, J., 2005.</t>
  </si>
  <si>
    <t>Suksawang, N.; Nassif, H., and Mohammed, A., "Creep and Shrinkage of High-Performance/High-Strength Concrete," ACI-228, 7th Int'l Symp. On the Utilization of High-Strength/High-Performance Concrete, V. 2, Ed. Russell, H.G., 2005, pg . 1397-1415.</t>
  </si>
  <si>
    <t>Suzuki, K., Ohno, Y., and Nakagawa, T., "Test Method for Cracking of Concrete Due to Drying Shrinkage," Creep and Shrinkage of Concrete, Proc. 5th Int'l. RILEM Symp., Barcelona, Spain, 1993, pg. 63-76.</t>
  </si>
  <si>
    <t>Takafumi, N; Park, S.-G.; and Ippei, M., "Mechanical Properties of High-Performance Concrete with Expansive Additive and Shrinkage reducing admixture under simulated completely-restrained condition at early age" 2002</t>
  </si>
  <si>
    <t>Tazawa, E. and Miyazawa, S., "Autogeneous Shrinkage of Concrete and Its Importance in concrete technology," Creep and Shrinkage of Concrete, Proc. 5th Int'l. RILEM Symp., Barcelona, Spain, 1993, pg. 159-174.</t>
  </si>
  <si>
    <t>Tazawa, E.-I. and Miyazawa, S., "Influence of Cement and Admixture on Autogeneous Shrinkage of Cement Paste," Cement and Concrete Research, V. 25, No. 2, pp. 281-287., 1995.</t>
  </si>
  <si>
    <t>Tongaroonsri, S., and Tangtermsirikul, S., "Effect of mineral admixtures and curing periods on shrinkage and cracking age under restrained condition," Construction and Building Materials, V. 23, No. 2, Feb 2009, pg. 1050-1056.</t>
  </si>
  <si>
    <t>Vidal,T.; Assie, S., and Pons, G. "Creep and Shrinkage of Self-Compacting Concrete and Comparative Study with Model Code." Concreep-7 pg. 542</t>
  </si>
  <si>
    <t>Vincent, E.D., Townsend, B.D., Weyers, R.E., and Via, C.E., "Final Contract Report Creep of High-Strength Normal and Lightweight Concrete," to Virginia Tran. Research Council, 2004.</t>
  </si>
  <si>
    <t>Weiss, J. and Berke, N., "Shrinkage Reducing Admixtures," Section 7.5, 2002.</t>
  </si>
  <si>
    <t xml:space="preserve">Weiss, W.J., Borichevsky, B.B., and Shah, S.P., "The Influcence of a Shrinkage Reducing Admixture on the Early-Age Shrinkage Behavior of High Performance Concrete," ACI SP High Performace Concrete, ACI-Chicago Conf. Nov 1998. </t>
  </si>
  <si>
    <t>Weiss, W.J., Schiessl, A., Yang, W., and Shah, S., "Shrinkage Cracking Potential, Permeability, and Strength for HPC: Influence of W/C, Silica Fume, Latex, and Shrinkage Reducing Admixtures," Int'l Symp. On High-Performance and Reeactive Powder Concretes, Sherbrooke, Canada, 1998, V. 1, pg. 349-364.</t>
  </si>
  <si>
    <t>Yang, Y., Sato, R., and Kawai, K., "Autogeneous shrinkage of high-strength concrete containing silica fume under drying at early ages." Cement and Concrete Research 35, 2005, pg. 449-456.</t>
  </si>
  <si>
    <t>Yang, Y., Ou, X., Chen, M. and Chen, W., "Effect of Shrinkage reducing admixture on the shrinkage behavior of high-strength concrete," ACI SP-228, 7th Int'l Symp. On the Utilization of High-Strength/High-Performance Concrete, V. 2, Ed. Russell, H.G., 2005, pg . 1329-1340.</t>
  </si>
  <si>
    <t>Zhang, M.H., Tam, C.T., and Leow, M.P., "Effect of water-to-cementitious materials ratio and silica fume on the autogeneous shrinkage of concrete," Cement and Concrete Research 33, 2003, pg. 1687-1694.</t>
  </si>
  <si>
    <t>Zhou, M., Wang, J., Zhu, L., and He, T., "Effects of Manufactured-sand on Dry Shrinkage and Creep of High-Strength Concrete," Journal of Wuhan University of Tehchnology-Mater. Sci. Ed., Apr 2008.</t>
  </si>
  <si>
    <t>Zhutovsky, S., Kovler, K., and Bentur, A., "Efficiency of lightweight aggregates for internal curing of high strength concrete to eliminate autogeneous shrinkage," Materials and Structures, V. 35, March 2002, pp. 97-101.</t>
  </si>
  <si>
    <t>Hope, B.B.a.M., D.G., Creep of Concrete Influenced by Accelerators. J. Amer. Concr. Inst., 1971. 58: p. 361-365.</t>
  </si>
  <si>
    <t>Lohtia, R.P., Nautriyal, B.D. and Jain, O.P., Creep of Fly Ash Concrete. J. Amer. Concr. Inst., 1977. 34(8): p. 469-726.</t>
  </si>
  <si>
    <t>no properties</t>
  </si>
  <si>
    <t>steel fiber</t>
  </si>
  <si>
    <t>NA</t>
  </si>
  <si>
    <t>CEM II</t>
  </si>
  <si>
    <t>Type I</t>
  </si>
  <si>
    <t>PC</t>
  </si>
  <si>
    <t>Type III</t>
  </si>
  <si>
    <t>Type II</t>
  </si>
  <si>
    <t>see note</t>
  </si>
  <si>
    <t>Slag</t>
  </si>
  <si>
    <t>mixed with Super</t>
  </si>
  <si>
    <t>C 100x200</t>
  </si>
  <si>
    <t>C 267x76</t>
  </si>
  <si>
    <t>C 51x235</t>
  </si>
  <si>
    <t>P 100x100x300</t>
  </si>
  <si>
    <t>C 160x500</t>
  </si>
  <si>
    <t>P 70x70x200</t>
  </si>
  <si>
    <t>C 103x206</t>
  </si>
  <si>
    <t>C 75x650</t>
  </si>
  <si>
    <t>C 102x203</t>
  </si>
  <si>
    <t>Superplasticizer</t>
  </si>
  <si>
    <t>Fog cured for 7 days, then stored at 50% RH and 23deg for 21 days</t>
  </si>
  <si>
    <t>Superplasticizer(modified polycarboxylate)</t>
  </si>
  <si>
    <t>Measurement method changed from 1 day to long term, metakaolin</t>
  </si>
  <si>
    <t>curing room, calcium chloride</t>
  </si>
  <si>
    <t>curing room , lignosulfonate</t>
  </si>
  <si>
    <t>curing room</t>
  </si>
  <si>
    <t>curing room, lignosulfonate and triethanolamine</t>
  </si>
  <si>
    <t>ASTM Type A Water-reducer</t>
  </si>
  <si>
    <t>S_102_85</t>
  </si>
  <si>
    <t>JAP</t>
  </si>
  <si>
    <t>S_102_73</t>
  </si>
  <si>
    <t>S_102_61</t>
  </si>
  <si>
    <t>S_102_49</t>
  </si>
  <si>
    <t>S_102_37</t>
  </si>
  <si>
    <t>S_102_25</t>
  </si>
  <si>
    <t>S_102_13</t>
  </si>
  <si>
    <t>S_102_01</t>
  </si>
  <si>
    <t>Shrinkage-reducing admixture</t>
  </si>
  <si>
    <t>init</t>
  </si>
  <si>
    <t xml:space="preserve"> </t>
  </si>
  <si>
    <t>S_101_31</t>
  </si>
  <si>
    <t>Drying sludge</t>
  </si>
  <si>
    <t>S_101_21</t>
  </si>
  <si>
    <t>S_101_11</t>
  </si>
  <si>
    <t>S_101_01</t>
  </si>
  <si>
    <t>S_100_25</t>
  </si>
  <si>
    <t>S_100_17</t>
  </si>
  <si>
    <t>S_100_09</t>
  </si>
  <si>
    <t>S_100_01</t>
  </si>
  <si>
    <t>S_099_33</t>
  </si>
  <si>
    <t>S_099_25</t>
  </si>
  <si>
    <t>S_099_17</t>
  </si>
  <si>
    <t>S_099_09</t>
  </si>
  <si>
    <t>S_099_01</t>
  </si>
  <si>
    <t>S_098_41</t>
  </si>
  <si>
    <t>S_098_37</t>
  </si>
  <si>
    <t>S_098_33</t>
  </si>
  <si>
    <t>S_098_29</t>
  </si>
  <si>
    <t>S_098_25</t>
  </si>
  <si>
    <t>S_098_21</t>
  </si>
  <si>
    <t>S_098_17</t>
  </si>
  <si>
    <t>S_098_13</t>
  </si>
  <si>
    <t>S_098_09</t>
  </si>
  <si>
    <t>S_098_05</t>
  </si>
  <si>
    <t>S_098_01</t>
  </si>
  <si>
    <t>S_097_01</t>
  </si>
  <si>
    <t>S_096_99</t>
  </si>
  <si>
    <t>S_096_91</t>
  </si>
  <si>
    <t>S_096_84</t>
  </si>
  <si>
    <t>S_096_77</t>
  </si>
  <si>
    <t>S_096_70</t>
  </si>
  <si>
    <t>S_096_63</t>
  </si>
  <si>
    <t>S_096_56</t>
  </si>
  <si>
    <t>S_096_49</t>
  </si>
  <si>
    <t>S_096_42</t>
  </si>
  <si>
    <t>S_096_33</t>
  </si>
  <si>
    <t>S_096_25</t>
  </si>
  <si>
    <t>S_096_17</t>
  </si>
  <si>
    <t>S_096_115</t>
  </si>
  <si>
    <t>S_096_107</t>
  </si>
  <si>
    <t>S_096_09</t>
  </si>
  <si>
    <t>S_096_01</t>
  </si>
  <si>
    <t>S_095_78</t>
  </si>
  <si>
    <t>S_095_77</t>
  </si>
  <si>
    <t>S_095_76</t>
  </si>
  <si>
    <t>S_095_75</t>
  </si>
  <si>
    <t>S_095_74</t>
  </si>
  <si>
    <t>S_095_73</t>
  </si>
  <si>
    <t>S_095_59</t>
  </si>
  <si>
    <t>S_095_44</t>
  </si>
  <si>
    <t>S_095_29</t>
  </si>
  <si>
    <t>S_095_15</t>
  </si>
  <si>
    <t>S_095_01</t>
  </si>
  <si>
    <t>blast  cured</t>
  </si>
  <si>
    <t>P 80x100x500</t>
  </si>
  <si>
    <t>S_094_52</t>
  </si>
  <si>
    <t>S_094_35</t>
  </si>
  <si>
    <t>S_094_18</t>
  </si>
  <si>
    <t>S_094_01</t>
  </si>
  <si>
    <t>S_093_89</t>
  </si>
  <si>
    <t>S_093_78</t>
  </si>
  <si>
    <t>S_093_67</t>
  </si>
  <si>
    <t>S_093_56</t>
  </si>
  <si>
    <t>S_093_45</t>
  </si>
  <si>
    <t>S_093_34</t>
  </si>
  <si>
    <t>S_093_23</t>
  </si>
  <si>
    <t>S_093_133</t>
  </si>
  <si>
    <t>S_093_122</t>
  </si>
  <si>
    <t>S_093_12</t>
  </si>
  <si>
    <t>S_093_111</t>
  </si>
  <si>
    <t>S_093_100</t>
  </si>
  <si>
    <t>S_093_01</t>
  </si>
  <si>
    <t>S_092_16</t>
  </si>
  <si>
    <t>S_092_15</t>
  </si>
  <si>
    <t>S_092_14</t>
  </si>
  <si>
    <t>S_092_13</t>
  </si>
  <si>
    <t>S_092_12</t>
  </si>
  <si>
    <t>S_092_11</t>
  </si>
  <si>
    <t>S_092_10</t>
  </si>
  <si>
    <t>S_092_09</t>
  </si>
  <si>
    <t>S_092_08</t>
  </si>
  <si>
    <t>S_092_07</t>
  </si>
  <si>
    <t>S_092_06</t>
  </si>
  <si>
    <t>S_092_05</t>
  </si>
  <si>
    <t>S_092_04</t>
  </si>
  <si>
    <t>S_092_03</t>
  </si>
  <si>
    <t>S_092_02</t>
  </si>
  <si>
    <t>S_092_01</t>
  </si>
  <si>
    <t>S_091_11</t>
  </si>
  <si>
    <t>S_091_01</t>
  </si>
  <si>
    <t>S_090_36</t>
  </si>
  <si>
    <t>S_090_35</t>
  </si>
  <si>
    <t>S_090_34</t>
  </si>
  <si>
    <t>S_090_33</t>
  </si>
  <si>
    <t>S_090_32</t>
  </si>
  <si>
    <t>S_090_31</t>
  </si>
  <si>
    <t>S_090_30</t>
  </si>
  <si>
    <t>S_090_29</t>
  </si>
  <si>
    <t>S_090_28</t>
  </si>
  <si>
    <t>S_090_27</t>
  </si>
  <si>
    <t>S_090_26</t>
  </si>
  <si>
    <t>S_090_25</t>
  </si>
  <si>
    <t>S_090_24</t>
  </si>
  <si>
    <t>S_090_23</t>
  </si>
  <si>
    <t>S_090_22</t>
  </si>
  <si>
    <t>S_090_21</t>
  </si>
  <si>
    <t>S_090_20</t>
  </si>
  <si>
    <t>S_090_19</t>
  </si>
  <si>
    <t>S_090_18</t>
  </si>
  <si>
    <t>S_090_17</t>
  </si>
  <si>
    <t>S_090_16</t>
  </si>
  <si>
    <t>S_090_15</t>
  </si>
  <si>
    <t>S_090_14</t>
  </si>
  <si>
    <t>S_090_13</t>
  </si>
  <si>
    <t>S_090_12</t>
  </si>
  <si>
    <t>S_090_11</t>
  </si>
  <si>
    <t>S_090_10</t>
  </si>
  <si>
    <t>S_090_09</t>
  </si>
  <si>
    <t>S_090_08</t>
  </si>
  <si>
    <t>S_090_07</t>
  </si>
  <si>
    <t>S_090_06</t>
  </si>
  <si>
    <t>S_090_05</t>
  </si>
  <si>
    <t>S_090_04</t>
  </si>
  <si>
    <t>S_090_03</t>
  </si>
  <si>
    <t>S_090_02</t>
  </si>
  <si>
    <t>S_090_01</t>
  </si>
  <si>
    <t>S_089_78</t>
  </si>
  <si>
    <t>S_089_77</t>
  </si>
  <si>
    <t>S_089_76</t>
  </si>
  <si>
    <t>S_089_75</t>
  </si>
  <si>
    <t>S_089_74</t>
  </si>
  <si>
    <t>S_089_73</t>
  </si>
  <si>
    <t>S_089_72</t>
  </si>
  <si>
    <t>S_089_71</t>
  </si>
  <si>
    <t>S_089_70</t>
  </si>
  <si>
    <t>S_089_69</t>
  </si>
  <si>
    <t>S_089_68</t>
  </si>
  <si>
    <t>S_089_67</t>
  </si>
  <si>
    <t>S_089_66</t>
  </si>
  <si>
    <t>S_089_53</t>
  </si>
  <si>
    <t>S_089_40</t>
  </si>
  <si>
    <t>S_089_27</t>
  </si>
  <si>
    <t>S_089_14</t>
  </si>
  <si>
    <t>S_089_01</t>
  </si>
  <si>
    <t>S_088_91</t>
  </si>
  <si>
    <t>S_088_81</t>
  </si>
  <si>
    <t>S_088_71</t>
  </si>
  <si>
    <t>S_088_61</t>
  </si>
  <si>
    <t>S_088_51</t>
  </si>
  <si>
    <t>S_088_41</t>
  </si>
  <si>
    <t>S_088_31</t>
  </si>
  <si>
    <t>S_088_21</t>
  </si>
  <si>
    <t>S_088_151</t>
  </si>
  <si>
    <t>S_088_141</t>
  </si>
  <si>
    <t>S_088_131</t>
  </si>
  <si>
    <t>S_088_121</t>
  </si>
  <si>
    <t>S_088_111</t>
  </si>
  <si>
    <t>S_088_11</t>
  </si>
  <si>
    <t>S_088_101</t>
  </si>
  <si>
    <t>S_088_01</t>
  </si>
  <si>
    <t>S_087_15</t>
  </si>
  <si>
    <t>S_087_08</t>
  </si>
  <si>
    <t>S_087_01</t>
  </si>
  <si>
    <t>S_086_83</t>
  </si>
  <si>
    <t>S_086_82</t>
  </si>
  <si>
    <t>S_086_81</t>
  </si>
  <si>
    <t>S_086_71</t>
  </si>
  <si>
    <t>S_086_70</t>
  </si>
  <si>
    <t>S_086_69</t>
  </si>
  <si>
    <t>S_086_59</t>
  </si>
  <si>
    <t>S_086_58</t>
  </si>
  <si>
    <t>S_086_57</t>
  </si>
  <si>
    <t>S_086_47</t>
  </si>
  <si>
    <t>S_086_37</t>
  </si>
  <si>
    <t>S_086_36</t>
  </si>
  <si>
    <t>S_086_35</t>
  </si>
  <si>
    <t>S_086_25</t>
  </si>
  <si>
    <t>S_086_24</t>
  </si>
  <si>
    <t>S_086_23</t>
  </si>
  <si>
    <t>S_086_13</t>
  </si>
  <si>
    <t>S_086_12</t>
  </si>
  <si>
    <t>S_086_11</t>
  </si>
  <si>
    <t>S_086_01</t>
  </si>
  <si>
    <t>S_085_85</t>
  </si>
  <si>
    <t>S_085_84</t>
  </si>
  <si>
    <t>S_085_83</t>
  </si>
  <si>
    <t>S_085_82</t>
  </si>
  <si>
    <t>S_085_72</t>
  </si>
  <si>
    <t>S_085_71</t>
  </si>
  <si>
    <t>S_085_70</t>
  </si>
  <si>
    <t>S_085_60</t>
  </si>
  <si>
    <t>S_085_59</t>
  </si>
  <si>
    <t>S_085_58</t>
  </si>
  <si>
    <t>S_085_48</t>
  </si>
  <si>
    <t>S_085_38</t>
  </si>
  <si>
    <t>S_085_37</t>
  </si>
  <si>
    <t>S_085_36</t>
  </si>
  <si>
    <t>S_085_35</t>
  </si>
  <si>
    <t>S_085_25</t>
  </si>
  <si>
    <t>S_085_24</t>
  </si>
  <si>
    <t>S_085_23</t>
  </si>
  <si>
    <t>S_085_13</t>
  </si>
  <si>
    <t>S_085_12</t>
  </si>
  <si>
    <t>S_085_11</t>
  </si>
  <si>
    <t>S_085_10</t>
  </si>
  <si>
    <t>S_085_09</t>
  </si>
  <si>
    <t>S_085_08</t>
  </si>
  <si>
    <t>S_085_07</t>
  </si>
  <si>
    <t>S_085_06</t>
  </si>
  <si>
    <t>S_085_05</t>
  </si>
  <si>
    <t>S_085_04</t>
  </si>
  <si>
    <t>S_085_03</t>
  </si>
  <si>
    <t>S_085_02</t>
  </si>
  <si>
    <t>S_085_01</t>
  </si>
  <si>
    <t>S_084_64</t>
  </si>
  <si>
    <t>S_084_55</t>
  </si>
  <si>
    <t>S_084_46</t>
  </si>
  <si>
    <t>S_084_37</t>
  </si>
  <si>
    <t>S_084_28</t>
  </si>
  <si>
    <t>S_084_19</t>
  </si>
  <si>
    <t>S_084_10</t>
  </si>
  <si>
    <t>S_084_01</t>
  </si>
  <si>
    <t>S_083_34</t>
  </si>
  <si>
    <t>S_083_31</t>
  </si>
  <si>
    <t>S_083_28</t>
  </si>
  <si>
    <t>S_083_25</t>
  </si>
  <si>
    <t>S_083_22</t>
  </si>
  <si>
    <t>S_083_19</t>
  </si>
  <si>
    <t>S_083_16</t>
  </si>
  <si>
    <t>S_083_13</t>
  </si>
  <si>
    <t>S_083_10</t>
  </si>
  <si>
    <t>S_083_07</t>
  </si>
  <si>
    <t>S_083_04</t>
  </si>
  <si>
    <t>S_083_01</t>
  </si>
  <si>
    <t>S_082_37</t>
  </si>
  <si>
    <t>S_082_25</t>
  </si>
  <si>
    <t>S_082_13</t>
  </si>
  <si>
    <t>S_082_01</t>
  </si>
  <si>
    <t>S_081_46</t>
  </si>
  <si>
    <t>S_081_31</t>
  </si>
  <si>
    <t>S_081_16</t>
  </si>
  <si>
    <t>S_081_01</t>
  </si>
  <si>
    <t>S_080_61</t>
  </si>
  <si>
    <t>S_080_49</t>
  </si>
  <si>
    <t>S_080_37</t>
  </si>
  <si>
    <t>S_080_25</t>
  </si>
  <si>
    <t>S_080_13</t>
  </si>
  <si>
    <t>S_080_01</t>
  </si>
  <si>
    <t>S_079_36</t>
  </si>
  <si>
    <t>S_079_31</t>
  </si>
  <si>
    <t>S_079_26</t>
  </si>
  <si>
    <t>S_079_21</t>
  </si>
  <si>
    <t>S_079_16</t>
  </si>
  <si>
    <t>S_079_11</t>
  </si>
  <si>
    <t>S_079_06</t>
  </si>
  <si>
    <t>S_079_01</t>
  </si>
  <si>
    <t>S_078_36</t>
  </si>
  <si>
    <t>S_078_35</t>
  </si>
  <si>
    <t>S_078_34</t>
  </si>
  <si>
    <t>S_078_33</t>
  </si>
  <si>
    <t>S_078_32</t>
  </si>
  <si>
    <t>S_078_31</t>
  </si>
  <si>
    <t>S_078_30</t>
  </si>
  <si>
    <t>S_078_29</t>
  </si>
  <si>
    <t>S_078_28</t>
  </si>
  <si>
    <t>S_078_27</t>
  </si>
  <si>
    <t>S_078_26</t>
  </si>
  <si>
    <t>S_078_25</t>
  </si>
  <si>
    <t>S_078_24</t>
  </si>
  <si>
    <t>S_078_23</t>
  </si>
  <si>
    <t>S_078_22</t>
  </si>
  <si>
    <t>S_078_21</t>
  </si>
  <si>
    <t>S_078_20</t>
  </si>
  <si>
    <t>S_078_19</t>
  </si>
  <si>
    <t>S_078_18</t>
  </si>
  <si>
    <t>S_078_17</t>
  </si>
  <si>
    <t>S_078_16</t>
  </si>
  <si>
    <t>S_078_15</t>
  </si>
  <si>
    <t>S_078_14</t>
  </si>
  <si>
    <t>S_078_13</t>
  </si>
  <si>
    <t>S_078_12</t>
  </si>
  <si>
    <t>S_078_11</t>
  </si>
  <si>
    <t>S_078_10</t>
  </si>
  <si>
    <t>S_078_09</t>
  </si>
  <si>
    <t>S_078_08</t>
  </si>
  <si>
    <t>S_078_07</t>
  </si>
  <si>
    <t>S_078_06</t>
  </si>
  <si>
    <t>S_078_05</t>
  </si>
  <si>
    <t>S_078_04</t>
  </si>
  <si>
    <t>S_078_03</t>
  </si>
  <si>
    <t>S_078_02</t>
  </si>
  <si>
    <t>S_078_01</t>
  </si>
  <si>
    <t>S_077_14</t>
  </si>
  <si>
    <t>S_077_13</t>
  </si>
  <si>
    <t>S_077_12</t>
  </si>
  <si>
    <t>S_077_11</t>
  </si>
  <si>
    <t>S_077_10</t>
  </si>
  <si>
    <t>S_077_09</t>
  </si>
  <si>
    <t>S_077_08</t>
  </si>
  <si>
    <t>S_077_07</t>
  </si>
  <si>
    <t>S_077_06</t>
  </si>
  <si>
    <t>S_077_05</t>
  </si>
  <si>
    <t>S_077_04</t>
  </si>
  <si>
    <t>S_077_03</t>
  </si>
  <si>
    <t>S_077_02</t>
  </si>
  <si>
    <t>S_077_01</t>
  </si>
  <si>
    <t>S_076_13</t>
  </si>
  <si>
    <t>S_076_09</t>
  </si>
  <si>
    <t>S_076_05</t>
  </si>
  <si>
    <t>S_076_01</t>
  </si>
  <si>
    <t>S_075_25</t>
  </si>
  <si>
    <t>S_075_13</t>
  </si>
  <si>
    <t>S_075_01</t>
  </si>
  <si>
    <t>S_074_10</t>
  </si>
  <si>
    <t>S_074_01</t>
  </si>
  <si>
    <t>S_073_12</t>
  </si>
  <si>
    <t>S_073_01</t>
  </si>
  <si>
    <t>S_072_25</t>
  </si>
  <si>
    <t>S_072_13</t>
  </si>
  <si>
    <t>S_072_01</t>
  </si>
  <si>
    <t>S_071_65</t>
  </si>
  <si>
    <t>S_071_49</t>
  </si>
  <si>
    <t>S_071_33</t>
  </si>
  <si>
    <t>S_071_17</t>
  </si>
  <si>
    <t>S_071_01</t>
  </si>
  <si>
    <t>S_070_65</t>
  </si>
  <si>
    <t>S_070_49</t>
  </si>
  <si>
    <t>S_070_33</t>
  </si>
  <si>
    <t>S_070_17</t>
  </si>
  <si>
    <t>S_070_01</t>
  </si>
  <si>
    <t>S_069_55</t>
  </si>
  <si>
    <t>S_069_49</t>
  </si>
  <si>
    <t>S_069_43</t>
  </si>
  <si>
    <t>S_069_37</t>
  </si>
  <si>
    <t>S_069_31</t>
  </si>
  <si>
    <t>S_069_25</t>
  </si>
  <si>
    <t>S_069_19</t>
  </si>
  <si>
    <t>S_069_13</t>
  </si>
  <si>
    <t>S_069_07</t>
  </si>
  <si>
    <t>S_069_01</t>
  </si>
  <si>
    <t>S_068_53</t>
  </si>
  <si>
    <t>S_068_49</t>
  </si>
  <si>
    <t>S_068_45</t>
  </si>
  <si>
    <t>S_068_41</t>
  </si>
  <si>
    <t>S_068_37</t>
  </si>
  <si>
    <t>S_068_33</t>
  </si>
  <si>
    <t>S_068_29</t>
  </si>
  <si>
    <t>S_068_25</t>
  </si>
  <si>
    <t>S_068_21</t>
  </si>
  <si>
    <t>S_068_17</t>
  </si>
  <si>
    <t>S_068_13</t>
  </si>
  <si>
    <t>S_068_09</t>
  </si>
  <si>
    <t>S_068_05</t>
  </si>
  <si>
    <t>S_068_01</t>
  </si>
  <si>
    <t>S_067_63</t>
  </si>
  <si>
    <t>S_067_58</t>
  </si>
  <si>
    <t>S_067_52</t>
  </si>
  <si>
    <t>S_067_46</t>
  </si>
  <si>
    <t>S_067_40</t>
  </si>
  <si>
    <t>S_067_35</t>
  </si>
  <si>
    <t>S_067_30</t>
  </si>
  <si>
    <t>S_067_24</t>
  </si>
  <si>
    <t>S_067_18</t>
  </si>
  <si>
    <t>S_067_12</t>
  </si>
  <si>
    <t>S_067_07</t>
  </si>
  <si>
    <t>S_067_01</t>
  </si>
  <si>
    <t>S_066_99</t>
  </si>
  <si>
    <t>S_066_92</t>
  </si>
  <si>
    <t>S_066_85</t>
  </si>
  <si>
    <t>S_066_78</t>
  </si>
  <si>
    <t>S_066_71</t>
  </si>
  <si>
    <t>S_066_64</t>
  </si>
  <si>
    <t>S_066_57</t>
  </si>
  <si>
    <t>S_066_50</t>
  </si>
  <si>
    <t>S_066_43</t>
  </si>
  <si>
    <t>S_066_36</t>
  </si>
  <si>
    <t>S_066_29</t>
  </si>
  <si>
    <t>S_066_22</t>
  </si>
  <si>
    <t>S_066_15</t>
  </si>
  <si>
    <t>S_066_127</t>
  </si>
  <si>
    <t>S_066_120</t>
  </si>
  <si>
    <t>S_066_113</t>
  </si>
  <si>
    <t>S_066_106</t>
  </si>
  <si>
    <t>S_066_08</t>
  </si>
  <si>
    <t>S_066_01</t>
  </si>
  <si>
    <t>P 100x100x600</t>
  </si>
  <si>
    <t>S_065_33</t>
  </si>
  <si>
    <t>S_065_17</t>
  </si>
  <si>
    <t>S_065_01</t>
  </si>
  <si>
    <t>S_064_19</t>
  </si>
  <si>
    <t>S_064_13</t>
  </si>
  <si>
    <t>S_064_07</t>
  </si>
  <si>
    <t>S_064_01</t>
  </si>
  <si>
    <t>S_063_41</t>
  </si>
  <si>
    <t>S_063_33</t>
  </si>
  <si>
    <t>S_063_25</t>
  </si>
  <si>
    <t>S_063_17</t>
  </si>
  <si>
    <t>S_063_09</t>
  </si>
  <si>
    <t>S_063_01</t>
  </si>
  <si>
    <t>S_062_41</t>
  </si>
  <si>
    <t>S_062_33</t>
  </si>
  <si>
    <t>S_062_25</t>
  </si>
  <si>
    <t>S_062_17</t>
  </si>
  <si>
    <t>S_062_09</t>
  </si>
  <si>
    <t>S_062_01</t>
  </si>
  <si>
    <t>S_061_01</t>
  </si>
  <si>
    <t>S_060_23</t>
  </si>
  <si>
    <t>S_060_12</t>
  </si>
  <si>
    <t>S_060_01</t>
  </si>
  <si>
    <t>S_059_33</t>
  </si>
  <si>
    <t>S_059_23</t>
  </si>
  <si>
    <t>S_059_12</t>
  </si>
  <si>
    <t>S_059_01</t>
  </si>
  <si>
    <t>C 200x300</t>
  </si>
  <si>
    <t>S_058_21</t>
  </si>
  <si>
    <t>High-strength admixture</t>
  </si>
  <si>
    <t>S_058_11</t>
  </si>
  <si>
    <t>S_058_01</t>
  </si>
  <si>
    <t>S_057_21</t>
  </si>
  <si>
    <t>S_057_11</t>
  </si>
  <si>
    <t>S_057_01</t>
  </si>
  <si>
    <t>S_056_13</t>
  </si>
  <si>
    <t>S_056_07</t>
  </si>
  <si>
    <t>S_056_01</t>
  </si>
  <si>
    <t>S_055_65</t>
  </si>
  <si>
    <t>S_055_57</t>
  </si>
  <si>
    <t>S_055_49</t>
  </si>
  <si>
    <t>S_055_41</t>
  </si>
  <si>
    <t>S_055_33</t>
  </si>
  <si>
    <t>S_055_25</t>
  </si>
  <si>
    <t>S_055_17</t>
  </si>
  <si>
    <t>S_055_09</t>
  </si>
  <si>
    <t>S_055_01</t>
  </si>
  <si>
    <t>S_054_27</t>
  </si>
  <si>
    <t>S_054_14</t>
  </si>
  <si>
    <t>S_054_01</t>
  </si>
  <si>
    <t>S_053_64</t>
  </si>
  <si>
    <t>S_053_57</t>
  </si>
  <si>
    <t>S_053_50</t>
  </si>
  <si>
    <t>S_053_43</t>
  </si>
  <si>
    <t>S_053_36</t>
  </si>
  <si>
    <t>S_053_29</t>
  </si>
  <si>
    <t>S_053_22</t>
  </si>
  <si>
    <t>S_053_15</t>
  </si>
  <si>
    <t>S_053_08</t>
  </si>
  <si>
    <t>S_053_01</t>
  </si>
  <si>
    <t>S_052_54</t>
  </si>
  <si>
    <t>S_052_44</t>
  </si>
  <si>
    <t>S_052_33</t>
  </si>
  <si>
    <t>S_052_23</t>
  </si>
  <si>
    <t>S_052_12</t>
  </si>
  <si>
    <t>S_051_01</t>
  </si>
  <si>
    <t>S_050_28</t>
  </si>
  <si>
    <t>S_050_01</t>
  </si>
  <si>
    <t>S_049_01</t>
  </si>
  <si>
    <t>S_048_97</t>
  </si>
  <si>
    <t>S_048_83</t>
  </si>
  <si>
    <t>S_048_69</t>
  </si>
  <si>
    <t>S_048_55</t>
  </si>
  <si>
    <t>S_048_43</t>
  </si>
  <si>
    <t>S_048_29</t>
  </si>
  <si>
    <t>S_048_15</t>
  </si>
  <si>
    <t>S_048_139</t>
  </si>
  <si>
    <t>S_048_125</t>
  </si>
  <si>
    <t>S_048_111</t>
  </si>
  <si>
    <t>S_048_01</t>
  </si>
  <si>
    <t>S_043_14</t>
  </si>
  <si>
    <t>S_043_13</t>
  </si>
  <si>
    <t>S_043_12</t>
  </si>
  <si>
    <t>S_043_11</t>
  </si>
  <si>
    <t>S_043_10</t>
  </si>
  <si>
    <t>S_043_09</t>
  </si>
  <si>
    <t>S_043_08</t>
  </si>
  <si>
    <t>S_043_07</t>
  </si>
  <si>
    <t>S_043_06</t>
  </si>
  <si>
    <t>S_043_05</t>
  </si>
  <si>
    <t>S_043_04</t>
  </si>
  <si>
    <t>S_043_03</t>
  </si>
  <si>
    <t>S_043_02</t>
  </si>
  <si>
    <t>S_043_01</t>
  </si>
  <si>
    <t>AE Superplasticizer</t>
  </si>
  <si>
    <t>S_042_04</t>
  </si>
  <si>
    <t>S_042_03</t>
  </si>
  <si>
    <t>S_042_02</t>
  </si>
  <si>
    <t>S_042_01</t>
  </si>
  <si>
    <t>S_041_09</t>
  </si>
  <si>
    <t>S_041_08</t>
  </si>
  <si>
    <t>S_041_07</t>
  </si>
  <si>
    <t>S_041_06</t>
  </si>
  <si>
    <t>S_041_05</t>
  </si>
  <si>
    <t>Limestone powder: 0.429, AE Superplasticizer: 0.0109</t>
  </si>
  <si>
    <t>S_041_04</t>
  </si>
  <si>
    <t>S_041_03</t>
  </si>
  <si>
    <t>S_041_02</t>
  </si>
  <si>
    <t>S_041_01</t>
  </si>
  <si>
    <t>S_040_18</t>
  </si>
  <si>
    <t>S_040_17</t>
  </si>
  <si>
    <t>S_040_16</t>
  </si>
  <si>
    <t>S_040_15</t>
  </si>
  <si>
    <t>S_040_14</t>
  </si>
  <si>
    <t>S_040_13</t>
  </si>
  <si>
    <t>S_040_12</t>
  </si>
  <si>
    <t>S_040_11</t>
  </si>
  <si>
    <t>Limestone powder: 1, AE Superplasticizer: 0.042</t>
  </si>
  <si>
    <t>S_040_10</t>
  </si>
  <si>
    <t>Limestone powder: 0.25, AE Superplasticizer: 0.0288</t>
  </si>
  <si>
    <t>S_040_09</t>
  </si>
  <si>
    <t>S_040_08</t>
  </si>
  <si>
    <t>S_040_07</t>
  </si>
  <si>
    <t>S_040_06</t>
  </si>
  <si>
    <t>S_040_05</t>
  </si>
  <si>
    <t>S_040_04</t>
  </si>
  <si>
    <t>S_040_03</t>
  </si>
  <si>
    <t>S_040_02</t>
  </si>
  <si>
    <t>S_040_01</t>
  </si>
  <si>
    <t>S_038_09</t>
  </si>
  <si>
    <t>S_038_08</t>
  </si>
  <si>
    <t>S_038_07</t>
  </si>
  <si>
    <t>S_038_06</t>
  </si>
  <si>
    <t>S_038_05</t>
  </si>
  <si>
    <t>S_038_04</t>
  </si>
  <si>
    <t>S_038_03</t>
  </si>
  <si>
    <t>S_038_02</t>
  </si>
  <si>
    <t>S_038_01</t>
  </si>
  <si>
    <t>P 500x1000x1500</t>
  </si>
  <si>
    <t>S_037_08</t>
  </si>
  <si>
    <t>P 300x600x1000</t>
  </si>
  <si>
    <t>S_037_07</t>
  </si>
  <si>
    <t>P 150x300x1000</t>
  </si>
  <si>
    <t>S_037_06</t>
  </si>
  <si>
    <t>S_037_05</t>
  </si>
  <si>
    <t>S_037_04</t>
  </si>
  <si>
    <t>S_037_03</t>
  </si>
  <si>
    <t>S_037_02</t>
  </si>
  <si>
    <t>S_037_01</t>
  </si>
  <si>
    <t>S_036_06</t>
  </si>
  <si>
    <t>Else: 0, Shrinkage Reducing Agent: 0.04</t>
  </si>
  <si>
    <t>S_036_05</t>
  </si>
  <si>
    <t>Else: 0.094, Shrinkage Reducing Agent: 0.04</t>
  </si>
  <si>
    <t>S_036_04</t>
  </si>
  <si>
    <t>S_036_03</t>
  </si>
  <si>
    <t>S_036_02</t>
  </si>
  <si>
    <t>S_036_01</t>
  </si>
  <si>
    <t>P 100x100x1200</t>
  </si>
  <si>
    <t>S_033_03</t>
  </si>
  <si>
    <t>S_033_02</t>
  </si>
  <si>
    <t>S_033_01</t>
  </si>
  <si>
    <t>S_032_03</t>
  </si>
  <si>
    <t>S_032_02</t>
  </si>
  <si>
    <t>S_032_01</t>
  </si>
  <si>
    <t>S_031_06</t>
  </si>
  <si>
    <t>S_031_05</t>
  </si>
  <si>
    <t>S_031_04</t>
  </si>
  <si>
    <t>S_031_03</t>
  </si>
  <si>
    <t>S_031_02</t>
  </si>
  <si>
    <t>S_031_01</t>
  </si>
  <si>
    <t>C 150x100</t>
  </si>
  <si>
    <t>S_030_04</t>
  </si>
  <si>
    <t>HC 15x100x1</t>
  </si>
  <si>
    <t>S_030_03</t>
  </si>
  <si>
    <t>S_030_02</t>
  </si>
  <si>
    <t>S_030_01</t>
  </si>
  <si>
    <t>S_028_08</t>
  </si>
  <si>
    <t>S_028_07</t>
  </si>
  <si>
    <t>S_028_06</t>
  </si>
  <si>
    <t>S_028_05</t>
  </si>
  <si>
    <t>S_028_04</t>
  </si>
  <si>
    <t>S_028_03</t>
  </si>
  <si>
    <t>S_028_02</t>
  </si>
  <si>
    <t>S_028_01</t>
  </si>
  <si>
    <t>Shrinkage reducing agent</t>
  </si>
  <si>
    <t>P 40x40x160</t>
  </si>
  <si>
    <t>S_024_12</t>
  </si>
  <si>
    <t>S_024_11</t>
  </si>
  <si>
    <t>S_024_10</t>
  </si>
  <si>
    <t>S_024_09</t>
  </si>
  <si>
    <t>S_024_08</t>
  </si>
  <si>
    <t>S_024_07</t>
  </si>
  <si>
    <t>S_024_06</t>
  </si>
  <si>
    <t>S_024_05</t>
  </si>
  <si>
    <t>S_024_04</t>
  </si>
  <si>
    <t>S_024_03</t>
  </si>
  <si>
    <t>S_024_02</t>
  </si>
  <si>
    <t>S_024_01</t>
  </si>
  <si>
    <t>P 150x150x520</t>
  </si>
  <si>
    <t>S_020_02</t>
  </si>
  <si>
    <t>S_020_01</t>
  </si>
  <si>
    <t>S_019_12</t>
  </si>
  <si>
    <t>S_019_11</t>
  </si>
  <si>
    <t>S_019_10</t>
  </si>
  <si>
    <t>S_019_09</t>
  </si>
  <si>
    <t>S_019_08</t>
  </si>
  <si>
    <t>S_019_07</t>
  </si>
  <si>
    <t>S_019_06</t>
  </si>
  <si>
    <t>S_019_05</t>
  </si>
  <si>
    <t>S_019_04</t>
  </si>
  <si>
    <t>S_019_03</t>
  </si>
  <si>
    <t>S_019_02</t>
  </si>
  <si>
    <t>S_019_01</t>
  </si>
  <si>
    <t>P 100x400x400</t>
  </si>
  <si>
    <t>S_017_09</t>
  </si>
  <si>
    <t>S_017_08</t>
  </si>
  <si>
    <t>S_017_07</t>
  </si>
  <si>
    <t>S_017_06</t>
  </si>
  <si>
    <t>S_017_05</t>
  </si>
  <si>
    <t>S_017_04</t>
  </si>
  <si>
    <t>S_017_03</t>
  </si>
  <si>
    <t>S_017_02</t>
  </si>
  <si>
    <t>S_017_01</t>
  </si>
  <si>
    <t>C 100x600</t>
  </si>
  <si>
    <t>S_007_06</t>
  </si>
  <si>
    <t>S_007_05</t>
  </si>
  <si>
    <t>S_007_04</t>
  </si>
  <si>
    <t>S_007_03</t>
  </si>
  <si>
    <t>S_007_02</t>
  </si>
  <si>
    <t>S_007_01</t>
  </si>
  <si>
    <t>S_005_03</t>
  </si>
  <si>
    <t>P 160x160x40</t>
  </si>
  <si>
    <t>S_005_02</t>
  </si>
  <si>
    <t>S_005_01</t>
  </si>
  <si>
    <t>P 76x76x290</t>
  </si>
  <si>
    <t>S_004_16</t>
  </si>
  <si>
    <t>S_004_15</t>
  </si>
  <si>
    <t>S_004_14</t>
  </si>
  <si>
    <t>S_004_13</t>
  </si>
  <si>
    <t>S_004_12</t>
  </si>
  <si>
    <t>S_004_11</t>
  </si>
  <si>
    <t>S_004_10</t>
  </si>
  <si>
    <t>S_004_09</t>
  </si>
  <si>
    <t>S_004_08</t>
  </si>
  <si>
    <t>S_004_07</t>
  </si>
  <si>
    <t>S_004_06</t>
  </si>
  <si>
    <t>S_004_05</t>
  </si>
  <si>
    <t>S_004_04</t>
  </si>
  <si>
    <t>S_004_03</t>
  </si>
  <si>
    <t>S_004_02</t>
  </si>
  <si>
    <t>S_004_01</t>
  </si>
  <si>
    <t>Agent for grouting mortar of prepacked concrete</t>
  </si>
  <si>
    <t>P 76x76x279</t>
  </si>
  <si>
    <t>S_002_04</t>
  </si>
  <si>
    <t>S_002_03</t>
  </si>
  <si>
    <t>S_002_02</t>
  </si>
  <si>
    <t>S_002_01</t>
  </si>
  <si>
    <t>S_001_03</t>
  </si>
  <si>
    <t>S_001_02</t>
  </si>
  <si>
    <t>S_001_01</t>
  </si>
  <si>
    <t>initial set - instantly testing</t>
  </si>
  <si>
    <t>S_038_18</t>
  </si>
  <si>
    <t>S_038_17</t>
  </si>
  <si>
    <t>S_038_16</t>
  </si>
  <si>
    <t>S_038_15</t>
  </si>
  <si>
    <t>S_038_14</t>
  </si>
  <si>
    <t>S_038_13</t>
  </si>
  <si>
    <t>S_038_12</t>
  </si>
  <si>
    <t>S_038_11</t>
  </si>
  <si>
    <t>S_038_10</t>
  </si>
  <si>
    <t>S_003_51</t>
  </si>
  <si>
    <t>S_003_50</t>
  </si>
  <si>
    <t>S_003_49</t>
  </si>
  <si>
    <t>S_003_48</t>
  </si>
  <si>
    <t>S_003_47</t>
  </si>
  <si>
    <t>S_003_46</t>
  </si>
  <si>
    <t>S_003_45</t>
  </si>
  <si>
    <t>S_003_44</t>
  </si>
  <si>
    <t>S_003_43</t>
  </si>
  <si>
    <t>S_003_42</t>
  </si>
  <si>
    <t>S_003_41</t>
  </si>
  <si>
    <t>S_003_40</t>
  </si>
  <si>
    <t>S_003_39</t>
  </si>
  <si>
    <t>S_003_38</t>
  </si>
  <si>
    <t>S_003_37</t>
  </si>
  <si>
    <t>S_003_36</t>
  </si>
  <si>
    <t>S_003_35</t>
  </si>
  <si>
    <t>S_003_34</t>
  </si>
  <si>
    <t>S_003_33</t>
  </si>
  <si>
    <t>S_003_32</t>
  </si>
  <si>
    <t>S_003_31</t>
  </si>
  <si>
    <t>S_003_30</t>
  </si>
  <si>
    <t>S_003_29</t>
  </si>
  <si>
    <t>S_003_28</t>
  </si>
  <si>
    <t>S_003_27</t>
  </si>
  <si>
    <t>S_003_26</t>
  </si>
  <si>
    <t>S_003_25</t>
  </si>
  <si>
    <t>S_003_24</t>
  </si>
  <si>
    <t>S_003_23</t>
  </si>
  <si>
    <t>S_003_22</t>
  </si>
  <si>
    <t>S_003_21</t>
  </si>
  <si>
    <t>S_003_20</t>
  </si>
  <si>
    <t>S_003_19</t>
  </si>
  <si>
    <t>S_003_18</t>
  </si>
  <si>
    <t>S_003_17</t>
  </si>
  <si>
    <t>S_003_16</t>
  </si>
  <si>
    <t>S_003_15</t>
  </si>
  <si>
    <t>S_003_14</t>
  </si>
  <si>
    <t>S_003_13</t>
  </si>
  <si>
    <t>S_003_12</t>
  </si>
  <si>
    <t>S_003_11</t>
  </si>
  <si>
    <t>S_003_10</t>
  </si>
  <si>
    <t>S_003_09</t>
  </si>
  <si>
    <t>S_003_08</t>
  </si>
  <si>
    <t>S_003_07</t>
  </si>
  <si>
    <t>S_003_06</t>
  </si>
  <si>
    <t>S_003_05</t>
  </si>
  <si>
    <t>S_003_04</t>
  </si>
  <si>
    <t>S_003_03</t>
  </si>
  <si>
    <t>S_003_02</t>
  </si>
  <si>
    <t>S_003_01</t>
  </si>
  <si>
    <t>e_100_03</t>
  </si>
  <si>
    <t>e_100_02</t>
  </si>
  <si>
    <t>e_100_01</t>
  </si>
  <si>
    <t>P 150x700</t>
  </si>
  <si>
    <t>e_099_06</t>
  </si>
  <si>
    <t>e_099_05</t>
  </si>
  <si>
    <t>e_099_04</t>
  </si>
  <si>
    <t>e_099_03</t>
  </si>
  <si>
    <t>e_099_02</t>
  </si>
  <si>
    <t>e_099_01</t>
  </si>
  <si>
    <t>e_098_07</t>
  </si>
  <si>
    <t>CA</t>
  </si>
  <si>
    <t>e_098_06</t>
  </si>
  <si>
    <t>e_098_05</t>
  </si>
  <si>
    <t>e_098_04</t>
  </si>
  <si>
    <t>e_098_03</t>
  </si>
  <si>
    <t>e_098_02</t>
  </si>
  <si>
    <t>e_098_01</t>
  </si>
  <si>
    <t>P 100x500</t>
  </si>
  <si>
    <t>e_096_27</t>
  </si>
  <si>
    <t>e_096_26</t>
  </si>
  <si>
    <t>e_096_25</t>
  </si>
  <si>
    <t>e_096_24</t>
  </si>
  <si>
    <t>e_096_23</t>
  </si>
  <si>
    <t>e_096_22</t>
  </si>
  <si>
    <t>e_096_21</t>
  </si>
  <si>
    <t>e_096_20</t>
  </si>
  <si>
    <t>e_096_19</t>
  </si>
  <si>
    <t>e_096_18</t>
  </si>
  <si>
    <t>e_096_17</t>
  </si>
  <si>
    <t>e_096_16</t>
  </si>
  <si>
    <t>e_096_15</t>
  </si>
  <si>
    <t>e_096_14</t>
  </si>
  <si>
    <t>e_096_13</t>
  </si>
  <si>
    <t>e_096_12</t>
  </si>
  <si>
    <t>e_096_11</t>
  </si>
  <si>
    <t>e_096_10</t>
  </si>
  <si>
    <t>e_096_09</t>
  </si>
  <si>
    <t>e_096_08</t>
  </si>
  <si>
    <t>e_096_07</t>
  </si>
  <si>
    <t>e_096_06</t>
  </si>
  <si>
    <t>e_096_05</t>
  </si>
  <si>
    <t>e_096_04</t>
  </si>
  <si>
    <t>e_096_03</t>
  </si>
  <si>
    <t>e_096_02</t>
  </si>
  <si>
    <t>e_096_01</t>
  </si>
  <si>
    <t>e_095_06</t>
  </si>
  <si>
    <t>NL</t>
  </si>
  <si>
    <t>e_095_05</t>
  </si>
  <si>
    <t>e_095_04</t>
  </si>
  <si>
    <t>e_095_03</t>
  </si>
  <si>
    <t>e_095_02</t>
  </si>
  <si>
    <t>e_095_01</t>
  </si>
  <si>
    <t>P 75x280</t>
  </si>
  <si>
    <t>e_094_15</t>
  </si>
  <si>
    <t>AUS</t>
  </si>
  <si>
    <t>e_094_14</t>
  </si>
  <si>
    <t>e_094_13</t>
  </si>
  <si>
    <t>e_094_12</t>
  </si>
  <si>
    <t>e_094_11</t>
  </si>
  <si>
    <t>e_094_10</t>
  </si>
  <si>
    <t>e_094_09</t>
  </si>
  <si>
    <t>e_094_08</t>
  </si>
  <si>
    <t>e_094_07</t>
  </si>
  <si>
    <t>e_094_06</t>
  </si>
  <si>
    <t>e_094_05</t>
  </si>
  <si>
    <t>e_094_04</t>
  </si>
  <si>
    <t>e_094_03</t>
  </si>
  <si>
    <t>e_094_02</t>
  </si>
  <si>
    <t>e_094_01</t>
  </si>
  <si>
    <t>e_093_01</t>
  </si>
  <si>
    <t>RC</t>
  </si>
  <si>
    <t>e_092_01</t>
  </si>
  <si>
    <t>e_091_40</t>
  </si>
  <si>
    <t>e_091_39</t>
  </si>
  <si>
    <t>e_091_38</t>
  </si>
  <si>
    <t>e_091_37</t>
  </si>
  <si>
    <t>e_091_36</t>
  </si>
  <si>
    <t>e_091_35</t>
  </si>
  <si>
    <t>e_091_34</t>
  </si>
  <si>
    <t>e_091_33</t>
  </si>
  <si>
    <t>e_091_32</t>
  </si>
  <si>
    <t>e_091_31</t>
  </si>
  <si>
    <t>e_091_30</t>
  </si>
  <si>
    <t>e_091_29</t>
  </si>
  <si>
    <t>e_091_28</t>
  </si>
  <si>
    <t>e_091_27</t>
  </si>
  <si>
    <t>e_091_26</t>
  </si>
  <si>
    <t>e_091_25</t>
  </si>
  <si>
    <t>e_091_24</t>
  </si>
  <si>
    <t>e_091_23</t>
  </si>
  <si>
    <t>e_091_22</t>
  </si>
  <si>
    <t>e_091_21</t>
  </si>
  <si>
    <t>e_091_20</t>
  </si>
  <si>
    <t>e_091_19</t>
  </si>
  <si>
    <t>e_091_18</t>
  </si>
  <si>
    <t>e_091_17</t>
  </si>
  <si>
    <t>e_091_16</t>
  </si>
  <si>
    <t>e_091_15</t>
  </si>
  <si>
    <t>e_091_14</t>
  </si>
  <si>
    <t>e_091_13</t>
  </si>
  <si>
    <t>e_091_12</t>
  </si>
  <si>
    <t>e_091_11</t>
  </si>
  <si>
    <t>e_091_10</t>
  </si>
  <si>
    <t>e_091_09</t>
  </si>
  <si>
    <t>e_091_08</t>
  </si>
  <si>
    <t>e_091_07</t>
  </si>
  <si>
    <t>e_091_06</t>
  </si>
  <si>
    <t>e_091_05</t>
  </si>
  <si>
    <t>e_091_04</t>
  </si>
  <si>
    <t>e_091_03</t>
  </si>
  <si>
    <t>e_091_02</t>
  </si>
  <si>
    <t>e_091_01</t>
  </si>
  <si>
    <t>e_090_02</t>
  </si>
  <si>
    <t>ROK</t>
  </si>
  <si>
    <t>e_090_01</t>
  </si>
  <si>
    <t>e_089_05</t>
  </si>
  <si>
    <t>CDN</t>
  </si>
  <si>
    <t>e_089_04</t>
  </si>
  <si>
    <t>e_089_03</t>
  </si>
  <si>
    <t>e_089_02</t>
  </si>
  <si>
    <t>P 76.2x101.6x152</t>
  </si>
  <si>
    <t>e_089_01</t>
  </si>
  <si>
    <t>e_088_06</t>
  </si>
  <si>
    <t>e_088_05</t>
  </si>
  <si>
    <t>e_088_04</t>
  </si>
  <si>
    <t>e_088_03</t>
  </si>
  <si>
    <t>e_088_02</t>
  </si>
  <si>
    <t>e_088_01</t>
  </si>
  <si>
    <t>C 160x1000</t>
  </si>
  <si>
    <t>e_086_06</t>
  </si>
  <si>
    <t>e_086_05</t>
  </si>
  <si>
    <t>e_086_04</t>
  </si>
  <si>
    <t>e_086_03</t>
  </si>
  <si>
    <t>e_086_02</t>
  </si>
  <si>
    <t>e_086_01</t>
  </si>
  <si>
    <t>e_085_10</t>
  </si>
  <si>
    <t>e_085_09</t>
  </si>
  <si>
    <t>e_085_08</t>
  </si>
  <si>
    <t>e_085_07</t>
  </si>
  <si>
    <t>e_085_06</t>
  </si>
  <si>
    <t>P 76x280</t>
  </si>
  <si>
    <t>e_085_05</t>
  </si>
  <si>
    <t>e_085_04</t>
  </si>
  <si>
    <t>e_085_03</t>
  </si>
  <si>
    <t>e_085_02</t>
  </si>
  <si>
    <t>e_085_01</t>
  </si>
  <si>
    <t>C 300x600</t>
  </si>
  <si>
    <t>e_084_03</t>
  </si>
  <si>
    <t>C 160x320</t>
  </si>
  <si>
    <t>e_084_02</t>
  </si>
  <si>
    <t>C 83x166</t>
  </si>
  <si>
    <t>e_084_01</t>
  </si>
  <si>
    <t>e_083_10</t>
  </si>
  <si>
    <t>e_083_09</t>
  </si>
  <si>
    <t>e_083_08</t>
  </si>
  <si>
    <t>e_083_07</t>
  </si>
  <si>
    <t>e_083_06</t>
  </si>
  <si>
    <t>e_083_05</t>
  </si>
  <si>
    <t>e_083_04</t>
  </si>
  <si>
    <t>e_083_03</t>
  </si>
  <si>
    <t>e_083_02</t>
  </si>
  <si>
    <t>e_083_01</t>
  </si>
  <si>
    <t>e_082_08</t>
  </si>
  <si>
    <t>e_082_07</t>
  </si>
  <si>
    <t>e_082_06</t>
  </si>
  <si>
    <t>e_082_05</t>
  </si>
  <si>
    <t>e_082_04</t>
  </si>
  <si>
    <t>e_082_03</t>
  </si>
  <si>
    <t>e_082_02</t>
  </si>
  <si>
    <t>e_082_01</t>
  </si>
  <si>
    <t>e_081_08</t>
  </si>
  <si>
    <t>SF</t>
  </si>
  <si>
    <t>e_081_07</t>
  </si>
  <si>
    <t>e_081_06</t>
  </si>
  <si>
    <t>e_081_05</t>
  </si>
  <si>
    <t>e_081_04</t>
  </si>
  <si>
    <t>e_081_03</t>
  </si>
  <si>
    <t>e_081_02</t>
  </si>
  <si>
    <t>e_081_01</t>
  </si>
  <si>
    <t>e_079_06</t>
  </si>
  <si>
    <t>NZ</t>
  </si>
  <si>
    <t>e_079_05</t>
  </si>
  <si>
    <t>e_079_04</t>
  </si>
  <si>
    <t>e_079_03</t>
  </si>
  <si>
    <t>e_079_02</t>
  </si>
  <si>
    <t>e_079_01</t>
  </si>
  <si>
    <t>e_078_02</t>
  </si>
  <si>
    <t>e_078_01</t>
  </si>
  <si>
    <t>e_077_01</t>
  </si>
  <si>
    <t>e_076_13</t>
  </si>
  <si>
    <t>e_076_12</t>
  </si>
  <si>
    <t>e_076_11</t>
  </si>
  <si>
    <t>e_076_10</t>
  </si>
  <si>
    <t>e_076_09</t>
  </si>
  <si>
    <t>e_076_08</t>
  </si>
  <si>
    <t>e_076_07</t>
  </si>
  <si>
    <t>e_076_06</t>
  </si>
  <si>
    <t>e_076_05</t>
  </si>
  <si>
    <t>e_076_04</t>
  </si>
  <si>
    <t>e_076_03</t>
  </si>
  <si>
    <t>e_076_02</t>
  </si>
  <si>
    <t>e_076_01</t>
  </si>
  <si>
    <t>e_074_36</t>
  </si>
  <si>
    <t>GB</t>
  </si>
  <si>
    <t>e_074_35</t>
  </si>
  <si>
    <t>e_074_34</t>
  </si>
  <si>
    <t>e_074_33</t>
  </si>
  <si>
    <t>e_074_32</t>
  </si>
  <si>
    <t>e_074_31</t>
  </si>
  <si>
    <t>e_074_30</t>
  </si>
  <si>
    <t>e_074_29</t>
  </si>
  <si>
    <t>e_074_28</t>
  </si>
  <si>
    <t>e_074_27</t>
  </si>
  <si>
    <t>e_074_26</t>
  </si>
  <si>
    <t>e_074_25</t>
  </si>
  <si>
    <t>e_074_24</t>
  </si>
  <si>
    <t>e_074_23</t>
  </si>
  <si>
    <t>e_074_22</t>
  </si>
  <si>
    <t>e_074_21</t>
  </si>
  <si>
    <t>e_074_20</t>
  </si>
  <si>
    <t>e_074_19</t>
  </si>
  <si>
    <t>e_074_18</t>
  </si>
  <si>
    <t>e_074_17</t>
  </si>
  <si>
    <t>e_074_16</t>
  </si>
  <si>
    <t>e_074_15</t>
  </si>
  <si>
    <t>e_074_14</t>
  </si>
  <si>
    <t>e_074_13</t>
  </si>
  <si>
    <t>e_074_12</t>
  </si>
  <si>
    <t>e_074_11</t>
  </si>
  <si>
    <t>e_074_10</t>
  </si>
  <si>
    <t>e_074_09</t>
  </si>
  <si>
    <t>e_074_08</t>
  </si>
  <si>
    <t>e_074_07</t>
  </si>
  <si>
    <t>e_074_06</t>
  </si>
  <si>
    <t>e_074_05</t>
  </si>
  <si>
    <t>e_074_04</t>
  </si>
  <si>
    <t>e_074_03</t>
  </si>
  <si>
    <t>e_074_02</t>
  </si>
  <si>
    <t>e_074_01</t>
  </si>
  <si>
    <t>e_072_10</t>
  </si>
  <si>
    <t>e_072_09</t>
  </si>
  <si>
    <t>e_072_08</t>
  </si>
  <si>
    <t>e_072_07</t>
  </si>
  <si>
    <t>e_072_06</t>
  </si>
  <si>
    <t>e_072_05</t>
  </si>
  <si>
    <t>e_072_04</t>
  </si>
  <si>
    <t>e_072_03</t>
  </si>
  <si>
    <t>e_072_02</t>
  </si>
  <si>
    <t>e_072_01</t>
  </si>
  <si>
    <t>e_071_08</t>
  </si>
  <si>
    <t>e_071_07</t>
  </si>
  <si>
    <t>e_071_06</t>
  </si>
  <si>
    <t>e_071_05</t>
  </si>
  <si>
    <t>e_071_04</t>
  </si>
  <si>
    <t>e_071_03</t>
  </si>
  <si>
    <t>e_071_02</t>
  </si>
  <si>
    <t>e_071_01</t>
  </si>
  <si>
    <t>e_069_04</t>
  </si>
  <si>
    <t>e_069_03</t>
  </si>
  <si>
    <t>e_069_02</t>
  </si>
  <si>
    <t>e_069_01</t>
  </si>
  <si>
    <t>polymer water reducer</t>
  </si>
  <si>
    <t>e_068_01</t>
  </si>
  <si>
    <t>e_067_01</t>
  </si>
  <si>
    <t>e_063_09</t>
  </si>
  <si>
    <t>e_063_08</t>
  </si>
  <si>
    <t>e_063_07</t>
  </si>
  <si>
    <t>e_063_06</t>
  </si>
  <si>
    <t>e_063_05</t>
  </si>
  <si>
    <t>e_063_04</t>
  </si>
  <si>
    <t>e_063_03</t>
  </si>
  <si>
    <t>e_063_02</t>
  </si>
  <si>
    <t>e_063_01</t>
  </si>
  <si>
    <t>e_061_15</t>
  </si>
  <si>
    <t>e_061_14</t>
  </si>
  <si>
    <t>e_061_13</t>
  </si>
  <si>
    <t>e_061_12</t>
  </si>
  <si>
    <t>e_061_11</t>
  </si>
  <si>
    <t>e_061_10</t>
  </si>
  <si>
    <t>e_061_09</t>
  </si>
  <si>
    <t>e_061_08</t>
  </si>
  <si>
    <t>e_061_07</t>
  </si>
  <si>
    <t>e_061_06</t>
  </si>
  <si>
    <t>e_061_05</t>
  </si>
  <si>
    <t>e_061_04</t>
  </si>
  <si>
    <t>e_061_03</t>
  </si>
  <si>
    <t>e_061_02</t>
  </si>
  <si>
    <t>e_061_01</t>
  </si>
  <si>
    <t>P 100x280</t>
  </si>
  <si>
    <t>e_059_04</t>
  </si>
  <si>
    <t>e_059_03</t>
  </si>
  <si>
    <t>e_059_02</t>
  </si>
  <si>
    <t>e_059_01</t>
  </si>
  <si>
    <t>e_054_28</t>
  </si>
  <si>
    <t>e_054_27</t>
  </si>
  <si>
    <t>e_054_26</t>
  </si>
  <si>
    <t>e_054_25</t>
  </si>
  <si>
    <t>e_054_24</t>
  </si>
  <si>
    <t>e_054_23</t>
  </si>
  <si>
    <t>e_054_22</t>
  </si>
  <si>
    <t>e_054_21</t>
  </si>
  <si>
    <t>e_054_20</t>
  </si>
  <si>
    <t>e_054_19</t>
  </si>
  <si>
    <t>e_054_18</t>
  </si>
  <si>
    <t>e_054_17</t>
  </si>
  <si>
    <t>e_054_16</t>
  </si>
  <si>
    <t>e_054_15</t>
  </si>
  <si>
    <t>e_054_14</t>
  </si>
  <si>
    <t>e_054_13</t>
  </si>
  <si>
    <t>e_054_12</t>
  </si>
  <si>
    <t>e_054_11</t>
  </si>
  <si>
    <t>e_054_10</t>
  </si>
  <si>
    <t>e_054_09</t>
  </si>
  <si>
    <t>e_054_08</t>
  </si>
  <si>
    <t>e_054_07</t>
  </si>
  <si>
    <t>e_054_06</t>
  </si>
  <si>
    <t>e_054_05</t>
  </si>
  <si>
    <t>e_054_04</t>
  </si>
  <si>
    <t>e_054_03</t>
  </si>
  <si>
    <t>e_054_02</t>
  </si>
  <si>
    <t>e_054_01</t>
  </si>
  <si>
    <t>e_051_12</t>
  </si>
  <si>
    <t>e_051_11</t>
  </si>
  <si>
    <t>e_051_10</t>
  </si>
  <si>
    <t>e_051_09</t>
  </si>
  <si>
    <t>e_051_08</t>
  </si>
  <si>
    <t>e_051_07</t>
  </si>
  <si>
    <t>e_051_06</t>
  </si>
  <si>
    <t>e_051_05</t>
  </si>
  <si>
    <t>e_051_04</t>
  </si>
  <si>
    <t>e_051_03</t>
  </si>
  <si>
    <t>e_051_02</t>
  </si>
  <si>
    <t>e_051_01</t>
  </si>
  <si>
    <t>e_037_04</t>
  </si>
  <si>
    <t>e_037_03</t>
  </si>
  <si>
    <t>e_037_02</t>
  </si>
  <si>
    <t>e_037_01</t>
  </si>
  <si>
    <t>P 700x2800</t>
  </si>
  <si>
    <t>e_034_06</t>
  </si>
  <si>
    <t>P 320x320</t>
  </si>
  <si>
    <t>e_034_05</t>
  </si>
  <si>
    <t>P 210x840</t>
  </si>
  <si>
    <t>e_034_04</t>
  </si>
  <si>
    <t>P 1000x140</t>
  </si>
  <si>
    <t>e_034_03</t>
  </si>
  <si>
    <t>P 140x560</t>
  </si>
  <si>
    <t>e_034_02</t>
  </si>
  <si>
    <t>e_034_01</t>
  </si>
  <si>
    <t>e_030_07</t>
  </si>
  <si>
    <t>e_030_06</t>
  </si>
  <si>
    <t>e_030_05</t>
  </si>
  <si>
    <t>e_030_04</t>
  </si>
  <si>
    <t>e_030_03</t>
  </si>
  <si>
    <t>e_030_02</t>
  </si>
  <si>
    <t>e_030_01</t>
  </si>
  <si>
    <t>e_026_03</t>
  </si>
  <si>
    <t>e_026_02</t>
  </si>
  <si>
    <t>e_026_01</t>
  </si>
  <si>
    <t>e_022_15</t>
  </si>
  <si>
    <t>C 102x305</t>
  </si>
  <si>
    <t>e_022_14</t>
  </si>
  <si>
    <t>C 76x305</t>
  </si>
  <si>
    <t>e_022_13</t>
  </si>
  <si>
    <t>P 152x305</t>
  </si>
  <si>
    <t>e_022_12</t>
  </si>
  <si>
    <t>P 102x305</t>
  </si>
  <si>
    <t>e_022_11</t>
  </si>
  <si>
    <t>P 76x305</t>
  </si>
  <si>
    <t>e_022_10</t>
  </si>
  <si>
    <t>e_022_09</t>
  </si>
  <si>
    <t>e_022_08</t>
  </si>
  <si>
    <t>e_022_07</t>
  </si>
  <si>
    <t>e_022_06</t>
  </si>
  <si>
    <t>e_022_05</t>
  </si>
  <si>
    <t>e_022_04</t>
  </si>
  <si>
    <t>e_022_03</t>
  </si>
  <si>
    <t>e_022_02</t>
  </si>
  <si>
    <t>e_022_01</t>
  </si>
  <si>
    <t>e_020_10</t>
  </si>
  <si>
    <t>e_020_09</t>
  </si>
  <si>
    <t>e_020_08</t>
  </si>
  <si>
    <t>C 607x1473</t>
  </si>
  <si>
    <t>e_020_07</t>
  </si>
  <si>
    <t>e_020_06</t>
  </si>
  <si>
    <t>e_020_05</t>
  </si>
  <si>
    <t>C 305x864</t>
  </si>
  <si>
    <t>e_020_04</t>
  </si>
  <si>
    <t>e_020_03</t>
  </si>
  <si>
    <t>e_020_02</t>
  </si>
  <si>
    <t>e_020_01</t>
  </si>
  <si>
    <t>e_019_26</t>
  </si>
  <si>
    <t>e_019_25</t>
  </si>
  <si>
    <t>e_019_24</t>
  </si>
  <si>
    <t>e_019_23</t>
  </si>
  <si>
    <t>e_019_22</t>
  </si>
  <si>
    <t>e_019_21</t>
  </si>
  <si>
    <t>e_019_20</t>
  </si>
  <si>
    <t>e_019_19</t>
  </si>
  <si>
    <t>e_019_18</t>
  </si>
  <si>
    <t>e_019_17</t>
  </si>
  <si>
    <t>e_019_16</t>
  </si>
  <si>
    <t>e_019_15</t>
  </si>
  <si>
    <t>e_019_14</t>
  </si>
  <si>
    <t>e_019_13</t>
  </si>
  <si>
    <t>e_019_12</t>
  </si>
  <si>
    <t>e_019_11</t>
  </si>
  <si>
    <t>e_019_10</t>
  </si>
  <si>
    <t>e_019_09</t>
  </si>
  <si>
    <t>e_019_08</t>
  </si>
  <si>
    <t>e_019_07</t>
  </si>
  <si>
    <t>e_019_06</t>
  </si>
  <si>
    <t>e_019_05</t>
  </si>
  <si>
    <t>e_019_04</t>
  </si>
  <si>
    <t>e_019_03</t>
  </si>
  <si>
    <t>e_019_02</t>
  </si>
  <si>
    <t>e_019_01</t>
  </si>
  <si>
    <t>e_017_14</t>
  </si>
  <si>
    <t>e_017_13</t>
  </si>
  <si>
    <t>e_017_12</t>
  </si>
  <si>
    <t>e_017_11</t>
  </si>
  <si>
    <t>P 200x600</t>
  </si>
  <si>
    <t>e_017_10</t>
  </si>
  <si>
    <t>e_017_09</t>
  </si>
  <si>
    <t>e_017_08</t>
  </si>
  <si>
    <t>e_017_07</t>
  </si>
  <si>
    <t>e_017_06</t>
  </si>
  <si>
    <t>e_017_05</t>
  </si>
  <si>
    <t>e_017_04</t>
  </si>
  <si>
    <t>e_017_03</t>
  </si>
  <si>
    <t>e_017_02</t>
  </si>
  <si>
    <t>e_017_01</t>
  </si>
  <si>
    <t>e_015_16</t>
  </si>
  <si>
    <t>e_015_15</t>
  </si>
  <si>
    <t>e_015_14</t>
  </si>
  <si>
    <t>e_015_13</t>
  </si>
  <si>
    <t>e_015_12</t>
  </si>
  <si>
    <t>e_015_11</t>
  </si>
  <si>
    <t>e_015_10</t>
  </si>
  <si>
    <t>e_015_09</t>
  </si>
  <si>
    <t>e_015_08</t>
  </si>
  <si>
    <t>e_015_07</t>
  </si>
  <si>
    <t>e_015_06</t>
  </si>
  <si>
    <t>e_015_05</t>
  </si>
  <si>
    <t>e_015_04</t>
  </si>
  <si>
    <t>e_015_03</t>
  </si>
  <si>
    <t>e_015_02</t>
  </si>
  <si>
    <t>e_015_01</t>
  </si>
  <si>
    <t>e_014_06</t>
  </si>
  <si>
    <t>e_014_05</t>
  </si>
  <si>
    <t>e_014_04</t>
  </si>
  <si>
    <t>e_014_03</t>
  </si>
  <si>
    <t>e_014_02</t>
  </si>
  <si>
    <t>e_014_01</t>
  </si>
  <si>
    <t>e_011_05</t>
  </si>
  <si>
    <t>e_011_04</t>
  </si>
  <si>
    <t>e_011_03</t>
  </si>
  <si>
    <t>e_011_02</t>
  </si>
  <si>
    <t>e_011_01</t>
  </si>
  <si>
    <t>C 114x305</t>
  </si>
  <si>
    <t>e_009_04</t>
  </si>
  <si>
    <t>e_009_03</t>
  </si>
  <si>
    <t>e_009_02</t>
  </si>
  <si>
    <t>e_009_01</t>
  </si>
  <si>
    <t>e_005_04</t>
  </si>
  <si>
    <t>e_005_03</t>
  </si>
  <si>
    <t>e_005_02</t>
  </si>
  <si>
    <t>e_005_01</t>
  </si>
  <si>
    <t>Uncertain Chem</t>
  </si>
  <si>
    <t>Unknown Chem</t>
  </si>
  <si>
    <t>type</t>
  </si>
  <si>
    <t>linear</t>
  </si>
  <si>
    <t>auto</t>
  </si>
  <si>
    <t>KasselProc_08</t>
  </si>
  <si>
    <t>P 25x25x285</t>
  </si>
  <si>
    <t>quartz powder filler</t>
  </si>
  <si>
    <t>total</t>
  </si>
  <si>
    <t>P 40x40x1000</t>
  </si>
  <si>
    <t>log</t>
  </si>
  <si>
    <t>Jensen</t>
  </si>
  <si>
    <t>Denmark</t>
  </si>
  <si>
    <t>1 % by weight of C+S</t>
  </si>
  <si>
    <t>measurement begin after 6h after setting</t>
  </si>
  <si>
    <t>demoulding after 24h ??</t>
  </si>
  <si>
    <t>drying</t>
  </si>
  <si>
    <t xml:space="preserve">auto </t>
  </si>
  <si>
    <t>Alrifai</t>
  </si>
  <si>
    <t>CEM I</t>
  </si>
  <si>
    <t>C 20x160</t>
  </si>
  <si>
    <t>Folliard</t>
  </si>
  <si>
    <t>P 75x75x285</t>
  </si>
  <si>
    <t>tested according to ASTM C 157, naphthalene sulfonate formaldehyde type superplasticizer</t>
  </si>
  <si>
    <t>HC 150/70x300</t>
  </si>
  <si>
    <t>ground limestone powder addition</t>
  </si>
  <si>
    <t>A,B,C … different viscosity agents</t>
  </si>
  <si>
    <t>Akkaya</t>
  </si>
  <si>
    <t>Turkey</t>
  </si>
  <si>
    <t>Limestone filler; maybe data represents corrected data with substracted shrinkage and elastic deformations</t>
  </si>
  <si>
    <t>Nakanishi</t>
  </si>
  <si>
    <t>Polycarboxylate New Superplasticizer(SRA is combined)</t>
  </si>
  <si>
    <t>Polycarboxylate Superplasticizer(commercial product)</t>
  </si>
  <si>
    <t>Naphthalene based superplasticizer, Composite Expanding Admixture and Shrinkage reducing admixture</t>
  </si>
  <si>
    <t>Singapore</t>
  </si>
  <si>
    <t>Sulfonated, naphthalene formaldehyde condensate superplasticizer</t>
  </si>
  <si>
    <t>P 100x100x515</t>
  </si>
  <si>
    <t>NCHRP</t>
  </si>
  <si>
    <t>P 101x101x610</t>
  </si>
  <si>
    <t>Prokete N HRWR and Conchem SP-L WR</t>
  </si>
  <si>
    <t>Adva Flow HRWR, Mira WR, Darex II AEA, DCI-S Corrosion inhibitor</t>
  </si>
  <si>
    <t>Rheobuild 1000 HRWR and Pozzolith 300R WR</t>
  </si>
  <si>
    <t>Advacast HRWR and WRDA-64 WR</t>
  </si>
  <si>
    <t>C 55x300</t>
  </si>
  <si>
    <t>MoDot</t>
  </si>
  <si>
    <t>ambient</t>
  </si>
  <si>
    <t>not controlled</t>
  </si>
  <si>
    <t>Labadie Fly Ash, AEA, and Buzzi Unicem GGFBS</t>
  </si>
  <si>
    <t>C 100x601</t>
  </si>
  <si>
    <t>C 100x602</t>
  </si>
  <si>
    <t>C 100x603</t>
  </si>
  <si>
    <t>limestone powder filler</t>
  </si>
  <si>
    <t>KasselProc_04_5</t>
  </si>
  <si>
    <t>Type IV</t>
  </si>
  <si>
    <t>P 200x250x500</t>
  </si>
  <si>
    <t>WR: Polycarboxylic acid based HRWR, Else: SRA (lower alcohol alkyleneoxide adduct), Expansive additive (calcium-sulfoaluminate and Lime type)</t>
  </si>
  <si>
    <t>P 200x250x300</t>
  </si>
  <si>
    <t>0, 0</t>
  </si>
  <si>
    <t>Polycarboxylate Superplasticizer(commercial product) + Shrinkage Reducing Admixture</t>
  </si>
  <si>
    <t>Hwee</t>
  </si>
  <si>
    <t>Australia</t>
  </si>
  <si>
    <t>Type C</t>
  </si>
  <si>
    <t>P 100x100x380</t>
  </si>
  <si>
    <t>ordinary portland cement = Type III  ????</t>
  </si>
  <si>
    <t>2 %wt c of shrinkage reducing agent</t>
  </si>
  <si>
    <t>Mertol</t>
  </si>
  <si>
    <t>Type I/II</t>
  </si>
  <si>
    <t>P 75x75x290</t>
  </si>
  <si>
    <t>Mokarem</t>
  </si>
  <si>
    <t>P 75x75x279</t>
  </si>
  <si>
    <t>different mixes for gravel, limestone and diabse - mix from gravel taken</t>
  </si>
  <si>
    <t>P 75x75x280</t>
  </si>
  <si>
    <t>P 75x75x281</t>
  </si>
  <si>
    <t>P 75x75x282</t>
  </si>
  <si>
    <t>P 75x75x283</t>
  </si>
  <si>
    <t>Thailand</t>
  </si>
  <si>
    <t>table</t>
  </si>
  <si>
    <t>Carette</t>
  </si>
  <si>
    <t>P 76x102x390</t>
  </si>
  <si>
    <t>Low-alkali cement</t>
  </si>
  <si>
    <t>dried from the two opposite surfaces</t>
  </si>
  <si>
    <t>Mazzotti</t>
  </si>
  <si>
    <t>two days wet curing</t>
  </si>
  <si>
    <t>Eguchi</t>
  </si>
  <si>
    <t>Tested according to JIS A 1129</t>
  </si>
  <si>
    <t>Tested according to JIS A 1130</t>
  </si>
  <si>
    <t>Tested according to JIS A 1131</t>
  </si>
  <si>
    <t>Tested according to JIS A 1132</t>
  </si>
  <si>
    <t>Tested according to JIS A 1133</t>
  </si>
  <si>
    <t>Tested according to JIS A 1134</t>
  </si>
  <si>
    <t>Levy</t>
  </si>
  <si>
    <t>P 152x102x1220</t>
  </si>
  <si>
    <t>relative humidity during test between 30 and 70</t>
  </si>
  <si>
    <t>temperature between 18 and 29 °C</t>
  </si>
  <si>
    <t>they state that include Type C fly ash</t>
  </si>
  <si>
    <t>Melment Concrete, Superplasticizer, Fog cured for 7 days, then stored at 50% RH and 23deg for 21 days</t>
  </si>
  <si>
    <t>High-alkali cement</t>
  </si>
  <si>
    <t>KasselProc_04_3</t>
  </si>
  <si>
    <t>P 150x150x700</t>
  </si>
  <si>
    <t>Dudziak</t>
  </si>
  <si>
    <t>Garas</t>
  </si>
  <si>
    <t>Holt</t>
  </si>
  <si>
    <t>&gt;40</t>
  </si>
  <si>
    <t>slab</t>
  </si>
  <si>
    <t>steel fibers</t>
  </si>
  <si>
    <t>N1</t>
  </si>
  <si>
    <t>N2</t>
  </si>
  <si>
    <t>NG</t>
  </si>
  <si>
    <t>N3</t>
  </si>
  <si>
    <t>S1</t>
  </si>
  <si>
    <t>S2</t>
  </si>
  <si>
    <t>SG</t>
  </si>
  <si>
    <t>S3</t>
  </si>
  <si>
    <t>SS1</t>
  </si>
  <si>
    <t>SS2</t>
  </si>
  <si>
    <t>SSG</t>
  </si>
  <si>
    <t>SS3</t>
  </si>
  <si>
    <t>C1</t>
  </si>
  <si>
    <t>C2</t>
  </si>
  <si>
    <t>C3</t>
  </si>
  <si>
    <t>A_001_01</t>
  </si>
  <si>
    <t>A_001_02</t>
  </si>
  <si>
    <t>A_001_03</t>
  </si>
  <si>
    <t>A_001_04</t>
  </si>
  <si>
    <t>A_001_05</t>
  </si>
  <si>
    <t>A_001_06</t>
  </si>
  <si>
    <t>A_001_07</t>
  </si>
  <si>
    <t>A_001_08</t>
  </si>
  <si>
    <t>A_001_09</t>
  </si>
  <si>
    <t>A_001_10</t>
  </si>
  <si>
    <t>A_001_11</t>
  </si>
  <si>
    <t>A_001_12</t>
  </si>
  <si>
    <t>A_001_13</t>
  </si>
  <si>
    <t>A_001_14</t>
  </si>
  <si>
    <t>A_001_15</t>
  </si>
  <si>
    <t>A_003_03</t>
  </si>
  <si>
    <t>A_003_04</t>
  </si>
  <si>
    <t>A_004_01</t>
  </si>
  <si>
    <t>A_004_02</t>
  </si>
  <si>
    <t>A_004_03</t>
  </si>
  <si>
    <t>A_004_04</t>
  </si>
  <si>
    <t>A_004_05</t>
  </si>
  <si>
    <t>A_004_06</t>
  </si>
  <si>
    <t>A_004_07</t>
  </si>
  <si>
    <t>A_004_08</t>
  </si>
  <si>
    <t>A_004_09</t>
  </si>
  <si>
    <t>A_004_10</t>
  </si>
  <si>
    <t>A_004_11</t>
  </si>
  <si>
    <t>A_004_12</t>
  </si>
  <si>
    <t>A_004_13</t>
  </si>
  <si>
    <t>A_004_14</t>
  </si>
  <si>
    <t>A_005_07</t>
  </si>
  <si>
    <t>A_005_08</t>
  </si>
  <si>
    <t>A_005_09</t>
  </si>
  <si>
    <t>A_005_10</t>
  </si>
  <si>
    <t>A_005_11</t>
  </si>
  <si>
    <t>A_005_12</t>
  </si>
  <si>
    <t>A_006_04</t>
  </si>
  <si>
    <t>A_006_05</t>
  </si>
  <si>
    <t>A_006_06</t>
  </si>
  <si>
    <t>A_006_07</t>
  </si>
  <si>
    <t>A_006_08</t>
  </si>
  <si>
    <t>A_006_09</t>
  </si>
  <si>
    <t>A_006_10</t>
  </si>
  <si>
    <t>A_006_11</t>
  </si>
  <si>
    <t>A_006_12</t>
  </si>
  <si>
    <t>A_006_13</t>
  </si>
  <si>
    <t>A_006_14</t>
  </si>
  <si>
    <t>A_006_15</t>
  </si>
  <si>
    <t>A_007_09</t>
  </si>
  <si>
    <t>A_007_10</t>
  </si>
  <si>
    <t>A_007_11</t>
  </si>
  <si>
    <t>A_007_12</t>
  </si>
  <si>
    <t>A_007_13</t>
  </si>
  <si>
    <t>A_008_01</t>
  </si>
  <si>
    <t>A_008_02</t>
  </si>
  <si>
    <t>A_008_03</t>
  </si>
  <si>
    <t>A_008_04</t>
  </si>
  <si>
    <t>A_008_05</t>
  </si>
  <si>
    <t>A_008_06</t>
  </si>
  <si>
    <t>A_008_07</t>
  </si>
  <si>
    <t>A_008_08</t>
  </si>
  <si>
    <t>A_008_09</t>
  </si>
  <si>
    <t>A_008_10</t>
  </si>
  <si>
    <t>A_008_11</t>
  </si>
  <si>
    <t>A_008_12</t>
  </si>
  <si>
    <t>A_008_13</t>
  </si>
  <si>
    <t>A_008_14</t>
  </si>
  <si>
    <t>A_008_15</t>
  </si>
  <si>
    <t>A_008_16</t>
  </si>
  <si>
    <t>A_008_17</t>
  </si>
  <si>
    <t>A_008_18</t>
  </si>
  <si>
    <t>A_008_19</t>
  </si>
  <si>
    <t>A_008_20</t>
  </si>
  <si>
    <t>A_008_21</t>
  </si>
  <si>
    <t>A_008_22</t>
  </si>
  <si>
    <t>A_008_23</t>
  </si>
  <si>
    <t>A_008_24</t>
  </si>
  <si>
    <t>A_008_25</t>
  </si>
  <si>
    <t>A_008_26</t>
  </si>
  <si>
    <t>A_008_27</t>
  </si>
  <si>
    <t>A_008_28</t>
  </si>
  <si>
    <t>A_008_29</t>
  </si>
  <si>
    <t>A_008_30</t>
  </si>
  <si>
    <t>A_008_31</t>
  </si>
  <si>
    <t>A_008_32</t>
  </si>
  <si>
    <t>A_010_01</t>
  </si>
  <si>
    <t>A_010_02</t>
  </si>
  <si>
    <t>A_010_03</t>
  </si>
  <si>
    <t>A_010_04</t>
  </si>
  <si>
    <t>A_010_05</t>
  </si>
  <si>
    <t>A_010_06</t>
  </si>
  <si>
    <t>A_010_07</t>
  </si>
  <si>
    <t>A_010_08</t>
  </si>
  <si>
    <t>A_010_09</t>
  </si>
  <si>
    <t>A_010_10</t>
  </si>
  <si>
    <t>A_010_11</t>
  </si>
  <si>
    <t>A_010_12</t>
  </si>
  <si>
    <t>A_011_01</t>
  </si>
  <si>
    <t>A_011_02</t>
  </si>
  <si>
    <t>A_011_03</t>
  </si>
  <si>
    <t>A_011_04</t>
  </si>
  <si>
    <t>A_011_05</t>
  </si>
  <si>
    <t>A_011_06</t>
  </si>
  <si>
    <t>A_012_01</t>
  </si>
  <si>
    <t>A_012_02</t>
  </si>
  <si>
    <t>A_012_03</t>
  </si>
  <si>
    <t>A_012_04</t>
  </si>
  <si>
    <t>A_013_01</t>
  </si>
  <si>
    <t>A_013_02</t>
  </si>
  <si>
    <t>A_013_03</t>
  </si>
  <si>
    <t>A_015_01</t>
  </si>
  <si>
    <t>A_015_02</t>
  </si>
  <si>
    <t>A_015_03</t>
  </si>
  <si>
    <t>A_015_04</t>
  </si>
  <si>
    <t>A_015_05</t>
  </si>
  <si>
    <t>A_015_06</t>
  </si>
  <si>
    <t>A_017_01</t>
  </si>
  <si>
    <t>A_018_02</t>
  </si>
  <si>
    <t>A_020_01</t>
  </si>
  <si>
    <t>A_020_02</t>
  </si>
  <si>
    <t>A_020_03</t>
  </si>
  <si>
    <t>A_020_04</t>
  </si>
  <si>
    <t>A_023_01</t>
  </si>
  <si>
    <t>A_023_02</t>
  </si>
  <si>
    <t>A_023_03</t>
  </si>
  <si>
    <t>A_023_04</t>
  </si>
  <si>
    <t>A_023_05</t>
  </si>
  <si>
    <t>A_023_06</t>
  </si>
  <si>
    <t>A_023_07</t>
  </si>
  <si>
    <t>A_023_08</t>
  </si>
  <si>
    <t>A_023_09</t>
  </si>
  <si>
    <t>A_023_10</t>
  </si>
  <si>
    <t>A_023_11</t>
  </si>
  <si>
    <t>A_023_12</t>
  </si>
  <si>
    <t>A_023_13</t>
  </si>
  <si>
    <t>A_023_14</t>
  </si>
  <si>
    <t>A_023_15</t>
  </si>
  <si>
    <t>A_023_16</t>
  </si>
  <si>
    <t>A_025_01</t>
  </si>
  <si>
    <t>A_025_02</t>
  </si>
  <si>
    <t>A_025_03</t>
  </si>
  <si>
    <t>A_025_04</t>
  </si>
  <si>
    <t>A_025_05</t>
  </si>
  <si>
    <t>A_027_08</t>
  </si>
  <si>
    <t>A_027_09</t>
  </si>
  <si>
    <t>A_034_01</t>
  </si>
  <si>
    <t>A_034_02</t>
  </si>
  <si>
    <t>A_034_03</t>
  </si>
  <si>
    <t>A_034_04</t>
  </si>
  <si>
    <t>A_034_05</t>
  </si>
  <si>
    <t>A_035_01</t>
  </si>
  <si>
    <t>A_035_02</t>
  </si>
  <si>
    <t>A_035_03</t>
  </si>
  <si>
    <t>A_035_04</t>
  </si>
  <si>
    <t>A_035_05</t>
  </si>
  <si>
    <t>A_038_01</t>
  </si>
  <si>
    <t>A_038_02</t>
  </si>
  <si>
    <t>A_038_03</t>
  </si>
  <si>
    <t>A_038_04</t>
  </si>
  <si>
    <t>A_038_05</t>
  </si>
  <si>
    <t>A_038_06</t>
  </si>
  <si>
    <t>A_038_07</t>
  </si>
  <si>
    <t>A_038_08</t>
  </si>
  <si>
    <t>A_038_09</t>
  </si>
  <si>
    <t>A_038_10</t>
  </si>
  <si>
    <t>A_041_01</t>
  </si>
  <si>
    <t>A_041_02</t>
  </si>
  <si>
    <t>A_041_03</t>
  </si>
  <si>
    <t>A_041_04</t>
  </si>
  <si>
    <t>A_041_05</t>
  </si>
  <si>
    <t>A_041_06</t>
  </si>
  <si>
    <t>A_041_07</t>
  </si>
  <si>
    <t>A_041_08</t>
  </si>
  <si>
    <t>A_041_09</t>
  </si>
  <si>
    <t>A_041_10</t>
  </si>
  <si>
    <t>A_041_11</t>
  </si>
  <si>
    <t>A_041_12</t>
  </si>
  <si>
    <t>A_042_01</t>
  </si>
  <si>
    <t>A_042_02</t>
  </si>
  <si>
    <t>A_042_03</t>
  </si>
  <si>
    <t>A_042_04</t>
  </si>
  <si>
    <t>A_044_03</t>
  </si>
  <si>
    <t>A_044_04</t>
  </si>
  <si>
    <t>A_044_07</t>
  </si>
  <si>
    <t>A_044_08</t>
  </si>
  <si>
    <t>A_044_11</t>
  </si>
  <si>
    <t>A_044_12</t>
  </si>
  <si>
    <t>A_046_01</t>
  </si>
  <si>
    <t>A_046_02</t>
  </si>
  <si>
    <t>A_046_03</t>
  </si>
  <si>
    <t>A_046_04</t>
  </si>
  <si>
    <t>A_046_05</t>
  </si>
  <si>
    <t>A_046_06</t>
  </si>
  <si>
    <t>A_046_07</t>
  </si>
  <si>
    <t>A_046_08</t>
  </si>
  <si>
    <t>A_047_01</t>
  </si>
  <si>
    <t>A_047_02</t>
  </si>
  <si>
    <t>A_047_03</t>
  </si>
  <si>
    <t>A_047_04</t>
  </si>
  <si>
    <t>A_047_05</t>
  </si>
  <si>
    <t>A_047_06</t>
  </si>
  <si>
    <t>A_047_07</t>
  </si>
  <si>
    <t>A_047_08</t>
  </si>
  <si>
    <t>A_047_09</t>
  </si>
  <si>
    <t>A_047_10</t>
  </si>
  <si>
    <t>A_047_11</t>
  </si>
  <si>
    <t>A_047_12</t>
  </si>
  <si>
    <t>A_047_13</t>
  </si>
  <si>
    <t>A_047_14</t>
  </si>
  <si>
    <t>A_047_15</t>
  </si>
  <si>
    <t>A_047_16</t>
  </si>
  <si>
    <t>A_051_01</t>
  </si>
  <si>
    <t>A_051_02</t>
  </si>
  <si>
    <t>A_053_01</t>
  </si>
  <si>
    <t>A_053_02</t>
  </si>
  <si>
    <t>A_053_03</t>
  </si>
  <si>
    <t>A_053_04</t>
  </si>
  <si>
    <t>A_053_05</t>
  </si>
  <si>
    <t>A_053_06</t>
  </si>
  <si>
    <t>A_053_07</t>
  </si>
  <si>
    <t>A_053_08</t>
  </si>
  <si>
    <t>A_053_09</t>
  </si>
  <si>
    <t>A_060_01</t>
  </si>
  <si>
    <t>A_062_01</t>
  </si>
  <si>
    <t>A_062_02</t>
  </si>
  <si>
    <t>A_062_03</t>
  </si>
  <si>
    <t>A_062_04</t>
  </si>
  <si>
    <t>A_062_05</t>
  </si>
  <si>
    <t>A_062_06</t>
  </si>
  <si>
    <t>A_062_07</t>
  </si>
  <si>
    <t>A_062_08</t>
  </si>
  <si>
    <t>A_062_09</t>
  </si>
  <si>
    <t>A_062_10</t>
  </si>
  <si>
    <t>A_062_11</t>
  </si>
  <si>
    <t>A_062_12</t>
  </si>
  <si>
    <t>A_062_13</t>
  </si>
  <si>
    <t>A_062_14</t>
  </si>
  <si>
    <t>A_062_15</t>
  </si>
  <si>
    <t>A_062_16</t>
  </si>
  <si>
    <t>A_062_17</t>
  </si>
  <si>
    <t>A_062_18</t>
  </si>
  <si>
    <t>A_062_19</t>
  </si>
  <si>
    <t>A_062_20</t>
  </si>
  <si>
    <t>A_062_21</t>
  </si>
  <si>
    <t>A_063_17</t>
  </si>
  <si>
    <t>A_063_18</t>
  </si>
  <si>
    <t>A_063_19</t>
  </si>
  <si>
    <t>A_063_20</t>
  </si>
  <si>
    <t>A_063_21</t>
  </si>
  <si>
    <t>A_063_22</t>
  </si>
  <si>
    <t>A_063_23</t>
  </si>
  <si>
    <t>A_063_24</t>
  </si>
  <si>
    <t>A_063_25</t>
  </si>
  <si>
    <t>A_063_26</t>
  </si>
  <si>
    <t>A_063_27</t>
  </si>
  <si>
    <t>A_063_28</t>
  </si>
  <si>
    <t>A_063_29</t>
  </si>
  <si>
    <t>A_063_30</t>
  </si>
  <si>
    <t>A_063_31</t>
  </si>
  <si>
    <t>A_063_32</t>
  </si>
  <si>
    <t>A_063_33</t>
  </si>
  <si>
    <t>A_063_34</t>
  </si>
  <si>
    <t>A_063_35</t>
  </si>
  <si>
    <t>A_063_36</t>
  </si>
  <si>
    <t>A_063_37</t>
  </si>
  <si>
    <t>A_063_38</t>
  </si>
  <si>
    <t>A_063_39</t>
  </si>
  <si>
    <t>A_063_40</t>
  </si>
  <si>
    <t>A_063_41</t>
  </si>
  <si>
    <t>A_063_42</t>
  </si>
  <si>
    <t>A_063_43</t>
  </si>
  <si>
    <t>A_063_44</t>
  </si>
  <si>
    <t>A_063_45</t>
  </si>
  <si>
    <t>A_063_46</t>
  </si>
  <si>
    <t>A_063_47</t>
  </si>
  <si>
    <t>A_063_48</t>
  </si>
  <si>
    <t>A_063_49</t>
  </si>
  <si>
    <t>A_063_50</t>
  </si>
  <si>
    <t>A_063_51</t>
  </si>
  <si>
    <t>A_063_52</t>
  </si>
  <si>
    <t>A_063_53</t>
  </si>
  <si>
    <t>A_063_54</t>
  </si>
  <si>
    <t>A_063_55</t>
  </si>
  <si>
    <t>A_064_01</t>
  </si>
  <si>
    <t>A_064_02</t>
  </si>
  <si>
    <t>A_064_03</t>
  </si>
  <si>
    <t>A_064_04</t>
  </si>
  <si>
    <t>A_064_05</t>
  </si>
  <si>
    <t>A_064_06</t>
  </si>
  <si>
    <t>A_065_01</t>
  </si>
  <si>
    <t>A_065_02</t>
  </si>
  <si>
    <t>A_065_03</t>
  </si>
  <si>
    <t>A_065_04</t>
  </si>
  <si>
    <t>A_065_05</t>
  </si>
  <si>
    <t>A_065_06</t>
  </si>
  <si>
    <t>A_065_07</t>
  </si>
  <si>
    <t>A_065_08</t>
  </si>
  <si>
    <t>A_066_05</t>
  </si>
  <si>
    <t>A_066_06</t>
  </si>
  <si>
    <t>A_067_01</t>
  </si>
  <si>
    <t>A_067_02</t>
  </si>
  <si>
    <t>A_067_03</t>
  </si>
  <si>
    <t>A_067_04</t>
  </si>
  <si>
    <t>A_067_05</t>
  </si>
  <si>
    <t>A_067_06</t>
  </si>
  <si>
    <t>A_067_07</t>
  </si>
  <si>
    <t>A_068_01</t>
  </si>
  <si>
    <t>A_068_02</t>
  </si>
  <si>
    <t>A_068_04</t>
  </si>
  <si>
    <t>A_068_05</t>
  </si>
  <si>
    <t>A_068_06</t>
  </si>
  <si>
    <t>A_068_07</t>
  </si>
  <si>
    <t>A_068_08</t>
  </si>
  <si>
    <t>A_068_09</t>
  </si>
  <si>
    <t>A_068_10</t>
  </si>
  <si>
    <t>A_068_11</t>
  </si>
  <si>
    <t>A_068_12</t>
  </si>
  <si>
    <t>A_068_13</t>
  </si>
  <si>
    <t>A_068_14</t>
  </si>
  <si>
    <t>A_068_15</t>
  </si>
  <si>
    <t>A_068_16</t>
  </si>
  <si>
    <t>A_068_17</t>
  </si>
  <si>
    <t>A_068_18</t>
  </si>
  <si>
    <t>A_068_19</t>
  </si>
  <si>
    <t>A_068_20</t>
  </si>
  <si>
    <t>A_068_21</t>
  </si>
  <si>
    <t>A_068_22</t>
  </si>
  <si>
    <t>A_068_23</t>
  </si>
  <si>
    <t>A_068_24</t>
  </si>
  <si>
    <t>A_068_25</t>
  </si>
  <si>
    <t>A_068_26</t>
  </si>
  <si>
    <t>A_068_27</t>
  </si>
  <si>
    <t>A_069_01</t>
  </si>
  <si>
    <t>A_069_02</t>
  </si>
  <si>
    <t>A_069_03</t>
  </si>
  <si>
    <t>A_069_04</t>
  </si>
  <si>
    <t>A_069_05</t>
  </si>
  <si>
    <t>A_069_06</t>
  </si>
  <si>
    <t>A_070_01</t>
  </si>
  <si>
    <t>A_070_02</t>
  </si>
  <si>
    <t>A_070_03</t>
  </si>
  <si>
    <t>A_070_04</t>
  </si>
  <si>
    <t>A_070_05</t>
  </si>
  <si>
    <t>A_070_06</t>
  </si>
  <si>
    <t>A_070_08</t>
  </si>
  <si>
    <t>A_070_09</t>
  </si>
  <si>
    <t>A_070_10</t>
  </si>
  <si>
    <t>A_070_12</t>
  </si>
  <si>
    <t>A_070_13</t>
  </si>
  <si>
    <t>A_070_14</t>
  </si>
  <si>
    <t>A_070_18</t>
  </si>
  <si>
    <t>A_070_19</t>
  </si>
  <si>
    <t>A_070_20</t>
  </si>
  <si>
    <t>A_070_23</t>
  </si>
  <si>
    <t>A_070_24</t>
  </si>
  <si>
    <t>A_070_25</t>
  </si>
  <si>
    <t>A_070_28</t>
  </si>
  <si>
    <t>A_070_29</t>
  </si>
  <si>
    <t>A_070_30</t>
  </si>
  <si>
    <t>A_070_33</t>
  </si>
  <si>
    <t>A_070_34</t>
  </si>
  <si>
    <t>A_070_35</t>
  </si>
  <si>
    <t>A_070_38</t>
  </si>
  <si>
    <t>A_070_39</t>
  </si>
  <si>
    <t>A_070_40</t>
  </si>
  <si>
    <t>A_070_43</t>
  </si>
  <si>
    <t>A_070_44</t>
  </si>
  <si>
    <t>A_070_45</t>
  </si>
  <si>
    <t>A_070_48</t>
  </si>
  <si>
    <t>A_070_49</t>
  </si>
  <si>
    <t>A_070_50</t>
  </si>
  <si>
    <t>A_070_53</t>
  </si>
  <si>
    <t>A_070_54</t>
  </si>
  <si>
    <t>A_070_55</t>
  </si>
  <si>
    <t>A_070_58</t>
  </si>
  <si>
    <t>A_070_59</t>
  </si>
  <si>
    <t>A_070_60</t>
  </si>
  <si>
    <t>A_071_01</t>
  </si>
  <si>
    <t>A_071_02</t>
  </si>
  <si>
    <t>A_071_03</t>
  </si>
  <si>
    <t>A_071_04</t>
  </si>
  <si>
    <t>A_071_05</t>
  </si>
  <si>
    <t>A_071_06</t>
  </si>
  <si>
    <t>A_071_07</t>
  </si>
  <si>
    <t>A_071_08</t>
  </si>
  <si>
    <t>A_071_09</t>
  </si>
  <si>
    <t>A_072_01</t>
  </si>
  <si>
    <t>A_072_02</t>
  </si>
  <si>
    <t>A_072_03</t>
  </si>
  <si>
    <t>A_072_04</t>
  </si>
  <si>
    <t>A_072_05</t>
  </si>
  <si>
    <t>A_072_06</t>
  </si>
  <si>
    <t>A_072_07</t>
  </si>
  <si>
    <t>A_072_08</t>
  </si>
  <si>
    <t>A_072_09</t>
  </si>
  <si>
    <t>A_072_10</t>
  </si>
  <si>
    <t>A_072_11</t>
  </si>
  <si>
    <t>A_072_12</t>
  </si>
  <si>
    <t>A_072_16</t>
  </si>
  <si>
    <t>A_072_17</t>
  </si>
  <si>
    <t>A_072_18</t>
  </si>
  <si>
    <t>A_072_19</t>
  </si>
  <si>
    <t>A_072_20</t>
  </si>
  <si>
    <t>A_072_21</t>
  </si>
  <si>
    <t>A_073_05</t>
  </si>
  <si>
    <t>A_073_06</t>
  </si>
  <si>
    <t>A_073_07</t>
  </si>
  <si>
    <t>A_073_08</t>
  </si>
  <si>
    <t>A_074_01</t>
  </si>
  <si>
    <t>A_074_02</t>
  </si>
  <si>
    <t>A_074_03</t>
  </si>
  <si>
    <t>A_074_04</t>
  </si>
  <si>
    <t>A_074_05</t>
  </si>
  <si>
    <t>A_074_06</t>
  </si>
  <si>
    <t>A_074_07</t>
  </si>
  <si>
    <t>A_007_14</t>
  </si>
  <si>
    <t>A_007_15</t>
  </si>
  <si>
    <t>A_007_16</t>
  </si>
  <si>
    <t>A_007_17</t>
  </si>
  <si>
    <t>A_007_18</t>
  </si>
  <si>
    <t>A_007_19</t>
  </si>
  <si>
    <t>A_007_20</t>
  </si>
  <si>
    <t>timescale</t>
  </si>
  <si>
    <t>20% silica fume; in glycol bath ?</t>
  </si>
  <si>
    <t>V/S</t>
  </si>
  <si>
    <t>NAN</t>
  </si>
  <si>
    <t>ordinary portland cement containing blast-furnace slag with a fineness of 5680cm2/g</t>
  </si>
  <si>
    <t>Commercial Expansive admixture</t>
  </si>
  <si>
    <t>Commercial Calcarious type Expansive admixture</t>
  </si>
  <si>
    <t>P 400x400x1600</t>
  </si>
  <si>
    <t>Water repellent-treated meta-kaoline</t>
  </si>
  <si>
    <t>Water repellent-treated silica powder</t>
  </si>
  <si>
    <t>Superplasticzer type 1</t>
  </si>
  <si>
    <t>Superplasticzer type 2</t>
  </si>
  <si>
    <t>Superplasticzer type 3</t>
  </si>
  <si>
    <t>Superplasticzer type 4</t>
  </si>
  <si>
    <t>Superplasticzer type 5</t>
  </si>
  <si>
    <t>Drying shrinkage inhibitor 1</t>
  </si>
  <si>
    <t>Drying shrinkage inhibitor 2</t>
  </si>
  <si>
    <t>fine OPC</t>
  </si>
  <si>
    <t>Blaine fineness of cement 3390 cm2/g</t>
  </si>
  <si>
    <t>Blaine fineness of cement 5570cm2/g</t>
  </si>
  <si>
    <t>Blaine fineness of cement 6230cm2/g</t>
  </si>
  <si>
    <t>Blaine fineness of cement 7430 cm2/g</t>
  </si>
  <si>
    <t>only typical mix provided</t>
  </si>
  <si>
    <t>Shrinkage Reducing admixture</t>
  </si>
  <si>
    <t>polymer</t>
  </si>
  <si>
    <t>time of initial set, sealed</t>
  </si>
  <si>
    <t>auto?</t>
  </si>
  <si>
    <t>sealed</t>
  </si>
  <si>
    <t>crushed</t>
  </si>
  <si>
    <t>limestone</t>
  </si>
  <si>
    <t>gravel</t>
  </si>
  <si>
    <t>siliceous</t>
  </si>
  <si>
    <t>sandstone</t>
  </si>
  <si>
    <t>quartz diorite</t>
  </si>
  <si>
    <t>granite</t>
  </si>
  <si>
    <t>basalt</t>
  </si>
  <si>
    <t>diabase</t>
  </si>
  <si>
    <t>dolomite</t>
  </si>
  <si>
    <t>fine sand</t>
  </si>
  <si>
    <t>sand and gravel</t>
  </si>
  <si>
    <t>rhyolite</t>
  </si>
  <si>
    <t>round</t>
  </si>
  <si>
    <t>quartzite</t>
  </si>
  <si>
    <t>two sided drying</t>
  </si>
  <si>
    <t>A_075_01</t>
  </si>
  <si>
    <t>Bentur</t>
  </si>
  <si>
    <t>Israel</t>
  </si>
  <si>
    <t>Reference - Normal Weight Concrete</t>
  </si>
  <si>
    <t>A_075_02</t>
  </si>
  <si>
    <t>SSD - Light Weight Concrete</t>
  </si>
  <si>
    <t>A_075_03</t>
  </si>
  <si>
    <t>AD - Light Weight Concrete</t>
  </si>
  <si>
    <t>A_075_04</t>
  </si>
  <si>
    <t>25% SSD</t>
  </si>
  <si>
    <t>A_075_05</t>
  </si>
  <si>
    <t>25% AD</t>
  </si>
  <si>
    <t>A_076_01</t>
  </si>
  <si>
    <t>Bentz</t>
  </si>
  <si>
    <t>C 22x300</t>
  </si>
  <si>
    <t>cement fineness 643 m3/kg</t>
  </si>
  <si>
    <t>A_076_02</t>
  </si>
  <si>
    <t>cement fineness 387 m3/kg</t>
  </si>
  <si>
    <t>A_076_03</t>
  </si>
  <si>
    <t>cement fineness 254 m3/kg</t>
  </si>
  <si>
    <t>A_076_04</t>
  </si>
  <si>
    <t>cement fineness 212 m3/kg</t>
  </si>
  <si>
    <t>A_077_05</t>
  </si>
  <si>
    <t>Cusson</t>
  </si>
  <si>
    <t>ASTM Type I</t>
  </si>
  <si>
    <t>Limestone</t>
  </si>
  <si>
    <t>P 200x200x1000</t>
  </si>
  <si>
    <t>Mix O</t>
  </si>
  <si>
    <t>A_077_06</t>
  </si>
  <si>
    <t>Mix L, internal curing agent</t>
  </si>
  <si>
    <t>A_077_07</t>
  </si>
  <si>
    <t>Mix M, internal curing agent</t>
  </si>
  <si>
    <t>A_077_08</t>
  </si>
  <si>
    <t>Mix H, internal curing agent</t>
  </si>
  <si>
    <t>A_078_01</t>
  </si>
  <si>
    <t>Hua</t>
  </si>
  <si>
    <t>A_079_01</t>
  </si>
  <si>
    <t>Igarashi</t>
  </si>
  <si>
    <t>A_079_02</t>
  </si>
  <si>
    <t>A_079_03</t>
  </si>
  <si>
    <t>A_079_04</t>
  </si>
  <si>
    <t>A_080_01</t>
  </si>
  <si>
    <t xml:space="preserve">white portland </t>
  </si>
  <si>
    <t>A_080_02</t>
  </si>
  <si>
    <t>A_080_03</t>
  </si>
  <si>
    <t>A_080_04</t>
  </si>
  <si>
    <t>A_081_01</t>
  </si>
  <si>
    <t>Jun</t>
  </si>
  <si>
    <t>portland cement</t>
  </si>
  <si>
    <t>A_081_02</t>
  </si>
  <si>
    <t>A_082_01</t>
  </si>
  <si>
    <t>Koenders</t>
  </si>
  <si>
    <t>A_082_02</t>
  </si>
  <si>
    <t>A_082_03</t>
  </si>
  <si>
    <t>A_083_01</t>
  </si>
  <si>
    <t xml:space="preserve">ASTM type I </t>
  </si>
  <si>
    <t>mix 1 - combination of AEWR and HRWR</t>
  </si>
  <si>
    <t>A_083_02</t>
  </si>
  <si>
    <t>mix 2 - combination of AEWR and HRWR</t>
  </si>
  <si>
    <t>A_083_03</t>
  </si>
  <si>
    <t>mix 3 - combination of AEWR and HRWR</t>
  </si>
  <si>
    <t>A_083_04</t>
  </si>
  <si>
    <t>mix 4 - combination of AEWR and HRWR</t>
  </si>
  <si>
    <t>A_083_05</t>
  </si>
  <si>
    <t>mix 5 - combination of AEWR and HRWR</t>
  </si>
  <si>
    <t>A_083_06</t>
  </si>
  <si>
    <t>mix 6 - combination of AEWR and HRWR</t>
  </si>
  <si>
    <t>A_083_07</t>
  </si>
  <si>
    <t>mix 7 - combination of AEWR and HRWR</t>
  </si>
  <si>
    <t>A_083_08</t>
  </si>
  <si>
    <t>mix 8 - combination of AEWR and HRWR</t>
  </si>
  <si>
    <t>A_083_09</t>
  </si>
  <si>
    <t>mix 9 - combination of AEWR and HRWR</t>
  </si>
  <si>
    <t>A_083_10</t>
  </si>
  <si>
    <t>mix 10 - combination of AEWR and HRWR</t>
  </si>
  <si>
    <t>A_083_11</t>
  </si>
  <si>
    <t>mix 11 - combination of AEWR and HRWR</t>
  </si>
  <si>
    <t>A_083_12</t>
  </si>
  <si>
    <t>mix 12 - combination of AEWR and HRWR</t>
  </si>
  <si>
    <t>A_084_01</t>
  </si>
  <si>
    <t>Lura</t>
  </si>
  <si>
    <t>lignosulfonate-based plasticizer and naphthalene-sulfonate-based superplasticizer</t>
  </si>
  <si>
    <t>A_085_01</t>
  </si>
  <si>
    <t>Meddah</t>
  </si>
  <si>
    <t>low heat high belite</t>
  </si>
  <si>
    <t>LHSF-15</t>
  </si>
  <si>
    <t>A_085_02</t>
  </si>
  <si>
    <t>LHSF-23</t>
  </si>
  <si>
    <t>A_085_03</t>
  </si>
  <si>
    <t>LHSF-30</t>
  </si>
  <si>
    <t>A_085_04</t>
  </si>
  <si>
    <t>EX15-R-15, calcium sulfoaluminate-based expansive admixture + shrinkage reducing admixture</t>
  </si>
  <si>
    <t>A_085_05</t>
  </si>
  <si>
    <t>EX20-R-15, calcium sulfoaluminate-based expansive admixture + shrinkage reducing admixture</t>
  </si>
  <si>
    <t>A_085_06</t>
  </si>
  <si>
    <t>EX25-R-15, calcium sulfoaluminate-based expansive admixture + shrinkage reducing admixture</t>
  </si>
  <si>
    <t>A_085_07</t>
  </si>
  <si>
    <t>EX20-R-23, calcium sulfoaluminate-based expansive admixture + shrinkage reducing admixture</t>
  </si>
  <si>
    <t>A_085_08</t>
  </si>
  <si>
    <t>EX20-R-30, calcium sulfoaluminate-based expansive admixture + shrinkage reducing admixture</t>
  </si>
  <si>
    <t>A_086_01</t>
  </si>
  <si>
    <t>Degerhamn standard</t>
  </si>
  <si>
    <t>1T02</t>
  </si>
  <si>
    <t>A_086_02</t>
  </si>
  <si>
    <t>1T01</t>
  </si>
  <si>
    <t>A_086_03</t>
  </si>
  <si>
    <t>1A02</t>
  </si>
  <si>
    <t>A_086_04</t>
  </si>
  <si>
    <t>1T03</t>
  </si>
  <si>
    <t>A_086_05</t>
  </si>
  <si>
    <t>1T28</t>
  </si>
  <si>
    <t>A_086_06</t>
  </si>
  <si>
    <t>2T02</t>
  </si>
  <si>
    <t>A_086_07</t>
  </si>
  <si>
    <t>2A02</t>
  </si>
  <si>
    <t>A_086_08</t>
  </si>
  <si>
    <t>2T01</t>
  </si>
  <si>
    <t>A_086_09</t>
  </si>
  <si>
    <t>2A01</t>
  </si>
  <si>
    <t>A_086_10</t>
  </si>
  <si>
    <t>2T03</t>
  </si>
  <si>
    <t>A_086_11</t>
  </si>
  <si>
    <t>2A03</t>
  </si>
  <si>
    <t>A_086_12</t>
  </si>
  <si>
    <t>3T02</t>
  </si>
  <si>
    <t>A_086_13</t>
  </si>
  <si>
    <t>3A02</t>
  </si>
  <si>
    <t>A_086_14</t>
  </si>
  <si>
    <t>3A01</t>
  </si>
  <si>
    <t>A_086_15</t>
  </si>
  <si>
    <t>3T01</t>
  </si>
  <si>
    <t>A_086_16</t>
  </si>
  <si>
    <t>3T03</t>
  </si>
  <si>
    <t>A_086_17</t>
  </si>
  <si>
    <t>4T02</t>
  </si>
  <si>
    <t>A_086_18</t>
  </si>
  <si>
    <t>4A01</t>
  </si>
  <si>
    <t>A_086_19</t>
  </si>
  <si>
    <t>4A03</t>
  </si>
  <si>
    <t>A_086_20</t>
  </si>
  <si>
    <t>4A28</t>
  </si>
  <si>
    <t>A_086_21</t>
  </si>
  <si>
    <t>4T01</t>
  </si>
  <si>
    <t>A_086_22</t>
  </si>
  <si>
    <t>4T03</t>
  </si>
  <si>
    <t>A_086_23</t>
  </si>
  <si>
    <t>4T28</t>
  </si>
  <si>
    <t>A_086_24</t>
  </si>
  <si>
    <t>5T02</t>
  </si>
  <si>
    <t>A_086_25</t>
  </si>
  <si>
    <t>5A02</t>
  </si>
  <si>
    <t>A_086_26</t>
  </si>
  <si>
    <t>5A01</t>
  </si>
  <si>
    <t>A_086_27</t>
  </si>
  <si>
    <t>5T01</t>
  </si>
  <si>
    <t>A_086_28</t>
  </si>
  <si>
    <t>5T03</t>
  </si>
  <si>
    <t>A_086_29</t>
  </si>
  <si>
    <t>6T02</t>
  </si>
  <si>
    <t>A_086_30</t>
  </si>
  <si>
    <t>6A02</t>
  </si>
  <si>
    <t>A_086_31</t>
  </si>
  <si>
    <t>6A03</t>
  </si>
  <si>
    <t>A_086_32</t>
  </si>
  <si>
    <t>6T01</t>
  </si>
  <si>
    <t>A_086_33</t>
  </si>
  <si>
    <t>6T03</t>
  </si>
  <si>
    <t>A_086_34</t>
  </si>
  <si>
    <t>7T02</t>
  </si>
  <si>
    <t>A_086_35</t>
  </si>
  <si>
    <t>7A02</t>
  </si>
  <si>
    <t>A_086_36</t>
  </si>
  <si>
    <t>7A03</t>
  </si>
  <si>
    <t>A_086_37</t>
  </si>
  <si>
    <t>7A28</t>
  </si>
  <si>
    <t>A_086_38</t>
  </si>
  <si>
    <t>7T01</t>
  </si>
  <si>
    <t>A_086_39</t>
  </si>
  <si>
    <t>7T03</t>
  </si>
  <si>
    <t>A_086_40</t>
  </si>
  <si>
    <t>8T02</t>
  </si>
  <si>
    <t>A_086_41</t>
  </si>
  <si>
    <t>8A02</t>
  </si>
  <si>
    <t>A_086_42</t>
  </si>
  <si>
    <t>8A01</t>
  </si>
  <si>
    <t>A_086_43</t>
  </si>
  <si>
    <t>8T01</t>
  </si>
  <si>
    <t>A_086_44</t>
  </si>
  <si>
    <t>8T03</t>
  </si>
  <si>
    <t>chert</t>
  </si>
  <si>
    <t>graywacke</t>
  </si>
  <si>
    <t>L'Hermite, R.G., and Mamillan M.,"Retrait et fluage des betons," Annales I.T.B.T.P., Sept. 1968, 249. Beton et Beton Arme (99).</t>
  </si>
  <si>
    <t>course sand</t>
  </si>
  <si>
    <t>Brazil</t>
  </si>
  <si>
    <t>H0 is 60 or 95%</t>
  </si>
  <si>
    <t>autogenous testing RH not clearly stated</t>
  </si>
  <si>
    <t>specimens sealed with 3 layers of aluminum</t>
  </si>
  <si>
    <t>low-heat cement with silica fume, t0 assumed based on time at end of setting</t>
  </si>
  <si>
    <t>low-heat cement with silica fume, expansive admixture, t0 assumed based on time at end of setting</t>
  </si>
  <si>
    <t>fc(5)=57.7, tested at setting, assumed about 6 hours</t>
  </si>
  <si>
    <t>fc(5)=65.4, tested at setting, assumed about 6 hours</t>
  </si>
  <si>
    <t>two sided drying, Note: data offset had to be considered in fitting since first value is too early after setting</t>
  </si>
  <si>
    <t>sand</t>
  </si>
  <si>
    <t>includes expanded slate in aggregates</t>
  </si>
  <si>
    <t>includes also pumice</t>
  </si>
  <si>
    <t>P 75x75x200</t>
  </si>
  <si>
    <t>Under water curing</t>
  </si>
  <si>
    <t>Early High Strength Portland</t>
  </si>
  <si>
    <t>stone</t>
  </si>
  <si>
    <t>initial set - instantly testing, polycarboxylic acid</t>
  </si>
  <si>
    <t>Low Heat Portland Cement</t>
  </si>
  <si>
    <t>Blast-furnace Slag Cement</t>
  </si>
  <si>
    <t>Massive Cement</t>
  </si>
  <si>
    <t>Wet Process Slag Cement</t>
  </si>
  <si>
    <t>else</t>
  </si>
  <si>
    <t>Air entraining agent, iron powder</t>
  </si>
  <si>
    <t>Air entraining agent,iron powder</t>
  </si>
  <si>
    <t>Pozzolith 8 retarder type</t>
  </si>
  <si>
    <t>High Early Strength Portland</t>
  </si>
  <si>
    <t>note</t>
  </si>
  <si>
    <t>autoclave</t>
  </si>
  <si>
    <t>Shrinkage reducing agent, steel fiber</t>
  </si>
  <si>
    <t>Superplasticizer, cured for 28 days</t>
  </si>
  <si>
    <t>AE Superplasticizer, membrane curing</t>
  </si>
  <si>
    <t>AE water reducer, membrane curing</t>
  </si>
  <si>
    <t>water curing</t>
  </si>
  <si>
    <t>sealed curing</t>
  </si>
  <si>
    <t>AE Superplasticizer with cross-link polymer</t>
  </si>
  <si>
    <t>moist curing</t>
  </si>
  <si>
    <t>stone, sandstone</t>
  </si>
  <si>
    <t>light weight</t>
  </si>
  <si>
    <t>wet curing</t>
  </si>
  <si>
    <t>water curing and air curing</t>
  </si>
  <si>
    <t>steam curing</t>
  </si>
  <si>
    <t>air curing</t>
  </si>
  <si>
    <t xml:space="preserve">recycled </t>
  </si>
  <si>
    <t>stone, limestone</t>
  </si>
  <si>
    <t>slag</t>
  </si>
  <si>
    <t>crushed, recycled</t>
  </si>
  <si>
    <t xml:space="preserve">crushed </t>
  </si>
  <si>
    <t>recycled</t>
  </si>
  <si>
    <t>air cured</t>
  </si>
  <si>
    <t>total?</t>
  </si>
  <si>
    <t>drying?</t>
  </si>
  <si>
    <t>28 days moist curing, 70°F</t>
  </si>
  <si>
    <t>fog room then sealed container at 100 RH during curing</t>
  </si>
  <si>
    <t>Portland Cement Type II</t>
  </si>
  <si>
    <t>b</t>
  </si>
  <si>
    <t>ends sealed</t>
  </si>
  <si>
    <t>only 2 side onsealed</t>
  </si>
  <si>
    <t>C 76.2x228.6</t>
  </si>
  <si>
    <t>C 101.6x304.8</t>
  </si>
  <si>
    <t>C 152.4x457.2</t>
  </si>
  <si>
    <t>P 76.2x152.4x304.8</t>
  </si>
  <si>
    <t>With unstressed internal prestressing bar</t>
  </si>
  <si>
    <t>ASTM Type III</t>
  </si>
  <si>
    <t>Troxel</t>
  </si>
  <si>
    <t xml:space="preserve">Rusch </t>
  </si>
  <si>
    <t>Mamillan</t>
  </si>
  <si>
    <t>Wallo</t>
  </si>
  <si>
    <t>Rusch and Hummel</t>
  </si>
  <si>
    <t>L'Hermite</t>
  </si>
  <si>
    <t>Weigler</t>
  </si>
  <si>
    <t>Pentala</t>
  </si>
  <si>
    <t>De Larrard</t>
  </si>
  <si>
    <t>Wittmann</t>
  </si>
  <si>
    <t>Hammer</t>
  </si>
  <si>
    <t>Hooton</t>
  </si>
  <si>
    <t>Oh</t>
  </si>
  <si>
    <t>aif</t>
  </si>
  <si>
    <t>Ravindrarajah</t>
  </si>
  <si>
    <t>Eickschen</t>
  </si>
  <si>
    <t>Dilger</t>
  </si>
  <si>
    <t>Bazant</t>
  </si>
  <si>
    <t>gravel, limestone</t>
  </si>
  <si>
    <t>Air entraining agent; dataset was converted to total (removing data before tc,  calculating dt = t-tc, removing eps(tc)</t>
  </si>
  <si>
    <t>e_051_13</t>
  </si>
  <si>
    <t>e_051_14</t>
  </si>
  <si>
    <t>e_051_15</t>
  </si>
  <si>
    <t>e_051_16</t>
  </si>
  <si>
    <t>e_051_17</t>
  </si>
  <si>
    <t>e_051_18</t>
  </si>
  <si>
    <t>e_051_19</t>
  </si>
  <si>
    <t>e_051_20</t>
  </si>
  <si>
    <t>e_051_21</t>
  </si>
  <si>
    <t>e_051_22</t>
  </si>
  <si>
    <t>e_051_23</t>
  </si>
  <si>
    <t>e_051_24</t>
  </si>
  <si>
    <t>e_051_25</t>
  </si>
  <si>
    <t>e_051_26</t>
  </si>
  <si>
    <t>e_051_27</t>
  </si>
  <si>
    <t>e_051_28</t>
  </si>
  <si>
    <t>e_051_29</t>
  </si>
  <si>
    <t>e_051_30</t>
  </si>
  <si>
    <t>e_051_31</t>
  </si>
  <si>
    <t>e_051_32</t>
  </si>
  <si>
    <t>North Notts.</t>
  </si>
  <si>
    <t>Stourton</t>
  </si>
  <si>
    <t>lightweight fly ash</t>
  </si>
  <si>
    <t>Aglite</t>
  </si>
  <si>
    <t>expanded clay</t>
  </si>
  <si>
    <t>Lytag</t>
  </si>
  <si>
    <t>sealed, unsealed, partly sealed</t>
  </si>
  <si>
    <t>C 150x550</t>
  </si>
  <si>
    <t>Filler</t>
  </si>
  <si>
    <t>25/75</t>
  </si>
  <si>
    <t>75/35</t>
  </si>
  <si>
    <t xml:space="preserve"> 100</t>
  </si>
  <si>
    <t>e_005_05</t>
  </si>
  <si>
    <t>e_005_06</t>
  </si>
  <si>
    <t>e_005_07</t>
  </si>
  <si>
    <t>e_005_08</t>
  </si>
  <si>
    <t>e_005_09</t>
  </si>
  <si>
    <t>e_005_10</t>
  </si>
  <si>
    <t>type I</t>
  </si>
  <si>
    <t>quartz</t>
  </si>
  <si>
    <t>Hansen</t>
  </si>
  <si>
    <t>Kawasumi</t>
  </si>
  <si>
    <t>Aoyagi</t>
  </si>
  <si>
    <t>Nagataki</t>
  </si>
  <si>
    <t>Kanazu</t>
  </si>
  <si>
    <t>Sakata</t>
  </si>
  <si>
    <t>Imamoto</t>
  </si>
  <si>
    <t>Ozaki</t>
  </si>
  <si>
    <t>Hagihara</t>
  </si>
  <si>
    <t>Kuku</t>
  </si>
  <si>
    <t>Ayano</t>
  </si>
  <si>
    <t>Kojima</t>
  </si>
  <si>
    <t>Tokuda</t>
  </si>
  <si>
    <t>Taiji</t>
  </si>
  <si>
    <t>Nagakura</t>
  </si>
  <si>
    <t>Kawahara</t>
  </si>
  <si>
    <t>Okuda</t>
  </si>
  <si>
    <t>Ohama</t>
  </si>
  <si>
    <t>Takemura</t>
  </si>
  <si>
    <t>Numao</t>
  </si>
  <si>
    <t>Furushima</t>
  </si>
  <si>
    <t>Tazawa</t>
  </si>
  <si>
    <t>Tomita</t>
  </si>
  <si>
    <t>Asanuma</t>
  </si>
  <si>
    <t>Koushiro</t>
  </si>
  <si>
    <t>Yasuda</t>
  </si>
  <si>
    <t>Momotani</t>
  </si>
  <si>
    <t>Fujimoto</t>
  </si>
  <si>
    <t>Toriyama</t>
  </si>
  <si>
    <t>Umezu</t>
  </si>
  <si>
    <t>Hrota</t>
  </si>
  <si>
    <t>Inoue</t>
  </si>
  <si>
    <t>Tanimura</t>
  </si>
  <si>
    <t>Hira</t>
  </si>
  <si>
    <t>Honma</t>
  </si>
  <si>
    <t>Liu</t>
  </si>
  <si>
    <t>Kodama</t>
  </si>
  <si>
    <t>Nagomi</t>
  </si>
  <si>
    <t>Kasai</t>
  </si>
  <si>
    <t>Yasoshima</t>
  </si>
  <si>
    <t>Kimura</t>
  </si>
  <si>
    <t>Iwashimizu</t>
  </si>
  <si>
    <t>Hasumi</t>
  </si>
  <si>
    <t>Nakato</t>
  </si>
  <si>
    <t>Kamiyaya</t>
  </si>
  <si>
    <t>Ogawa</t>
  </si>
  <si>
    <t>Arashima</t>
  </si>
  <si>
    <t>Ishikawa</t>
  </si>
  <si>
    <t>Nakagawa</t>
  </si>
  <si>
    <t>Nishio</t>
  </si>
  <si>
    <t>Mohd</t>
  </si>
  <si>
    <t>Yokomuro</t>
  </si>
  <si>
    <t>Shimizu</t>
  </si>
  <si>
    <t>Horibe</t>
  </si>
  <si>
    <t>Ikenaga</t>
  </si>
  <si>
    <t>Nara</t>
  </si>
  <si>
    <t>Fukuhara</t>
  </si>
  <si>
    <t>Tomohiro</t>
  </si>
  <si>
    <t>Fukagawa</t>
  </si>
  <si>
    <t>Yamamoto</t>
  </si>
  <si>
    <t>Kamiya</t>
  </si>
  <si>
    <t>Murao</t>
  </si>
  <si>
    <t>Kasami</t>
  </si>
  <si>
    <t>Itatani</t>
  </si>
  <si>
    <t>Aoyama</t>
  </si>
  <si>
    <t>Hosono</t>
  </si>
  <si>
    <t>Sakiyama</t>
  </si>
  <si>
    <t>w/c</t>
  </si>
  <si>
    <t>a/c</t>
  </si>
  <si>
    <t>agg</t>
  </si>
  <si>
    <t>agg_fine</t>
  </si>
  <si>
    <t>Rouse</t>
  </si>
  <si>
    <t>Smadi</t>
  </si>
  <si>
    <t>Suksawang</t>
  </si>
  <si>
    <t>Takafumi</t>
  </si>
  <si>
    <t>Vincent</t>
  </si>
  <si>
    <t>Zhou</t>
  </si>
  <si>
    <t>Suzuki</t>
  </si>
  <si>
    <t>Tongaroonsri</t>
  </si>
  <si>
    <t>Vidal</t>
  </si>
  <si>
    <t>Weiss</t>
  </si>
  <si>
    <t>Yang</t>
  </si>
  <si>
    <t>Zhang</t>
  </si>
  <si>
    <t>Zhutovsky</t>
  </si>
  <si>
    <t xml:space="preserve">Air entraining agent; tc was subtracted from reported data </t>
  </si>
  <si>
    <t>BASALT</t>
  </si>
  <si>
    <t>CHERT</t>
  </si>
  <si>
    <t>DIABASE</t>
  </si>
  <si>
    <t>DOLOMITE</t>
  </si>
  <si>
    <t>GRANITE</t>
  </si>
  <si>
    <t>GRAYWACKE</t>
  </si>
  <si>
    <t>LIMESTONE</t>
  </si>
  <si>
    <t>DIORITE</t>
  </si>
  <si>
    <t>QUARTZITE</t>
  </si>
  <si>
    <t>RHYOLITE</t>
  </si>
  <si>
    <t>SANDSTONE</t>
  </si>
  <si>
    <t>ST-LIMEST</t>
  </si>
  <si>
    <t>ST-SANDST</t>
  </si>
  <si>
    <t>C 150x450</t>
  </si>
  <si>
    <t>Anders, I.: Stoffgesetz zur Beschreibung des Kriech- und Relaxationsverhaltens
junger normal- und hochfester Betone. Dissertation, Karlsruher Institut für
Technologie, Deutschland, 2012</t>
  </si>
  <si>
    <t>Granger, L.: Comportement différé du béton dans les enceintes de centrales
nucléaires - Analyse et modélisation. Dissertation, LCPC, France, 1995</t>
  </si>
  <si>
    <t>Huo, X.: Time-dependatn analysis and application of high performance concrete in bridges. Dissertation, University of Nebraska, USA, 1997</t>
  </si>
  <si>
    <t>De Larrard, F.: Formulation and proprieties des bétons à très hautes performances.
Rapport de recherché LPC No. 149, Paris, 1988</t>
  </si>
  <si>
    <t>Le Roy, R.: Déformations instantanées et différées des bétons à hatues
performances. Dissertation, LCPC, France, 1996</t>
  </si>
  <si>
    <t>Turcry, P.: Retrait et fissuration des betons autoplacants – Influence de la
formulation. Dissertation, Université de Nantes, France, 2004</t>
  </si>
  <si>
    <t>Marusic, E. and Ukraincyzk, V.: Deformational properties of high strength concrete
predicted according to Eurocode 2. In: 6th International Congress on global
construction (ed. Dhir, R.), University Of Dundee, Scotland, United Kingdom, 2005</t>
  </si>
  <si>
    <t>Min, K.-H. et al.: An experimental study on time-dependant behaviors of early-aged concrete in various curing environments. In: CONCREEP 8 (eds. Tanabe, T. et Ise-Shima, Japan, 2008al.),</t>
  </si>
  <si>
    <t>Persson, B.: Quasi-instantaneous and long-term deformations of high-performance
concrete. Dissertation, Lund University, Sweden, 1998</t>
  </si>
  <si>
    <t>New Data</t>
  </si>
  <si>
    <t>Gamble, B.R., Thomass, L.H. “The creep of maturing concrete subjected to time-varying stress." Proceeding of Australian Conference on the Mechanics of Structures and Materials, Aug., 1969</t>
  </si>
  <si>
    <t>Troxel, G.E., Raphael, J.E. and Davis, R.W., “Long-time creep and shrinkage tests of plain and reinforced concrete," Proc. ASTM 58 (1958), 1101-1120.</t>
  </si>
  <si>
    <t>Hummel, A., Wesche, K., Brand, W. "Der Einfluss der Zementart, des Wasser-Zement-Verhaltnisses und des Belastungsalters auf das Kriechen von Beton." Deutscher Ausschuss fur Stahlbeton, Heft 146, Berlin 1962.</t>
  </si>
  <si>
    <t>Rusch H. et al., "Festigkeit und Verformung von unbewehrten Beton unter konstanter Dauerlast." Deutscher Ausschuss fur Stahlbeton Heft 198. see also Amer. Concrete Inst. J., Vol. 57, 1968, p. 1-58.</t>
  </si>
  <si>
    <t>Kesler, C.E., Wallo, E.M., and Yuan, R.L., "Free shrinkage of concrete and mortar," T. and A. M. Report No. 664, Dept. of Theoretical and Applied Mechanics, University of Illinois, Urbana, IL, July 1966.</t>
  </si>
  <si>
    <t>Rusch H. et al., "Der Einfluss des mineralogischen Characters der Zeschlage auf das Kriechen." 1962</t>
  </si>
  <si>
    <t xml:space="preserve">L'Hermite, R., "Volume changes of concrete." US Natl. Bur. Stand. Monogr. 43, Proc. 4th Int. Symp. On Chemistry of Cements, Washington, 3, pp. 659-94. </t>
  </si>
  <si>
    <t>Lambotte, H., and Mommens, A. "L'evolution du fluage du beton en fonction de sa composition, du taux de contrainte et de l'age," Groupe de travail GT 22, Centre national de recherches scientifiques pour l'industrie cimentiere, Brussels.</t>
  </si>
  <si>
    <t>Wischers</t>
  </si>
  <si>
    <t>Wischers, G., and Dahms, G., "Krichen von fruhbelasteten Beton mit hoher Anfangsfestigkeit", Beton, H2, 69-74; H3, 104-8.</t>
  </si>
  <si>
    <t>Wesche, K., Schrage, I., and von Berg, W., "Versuche zum Einfluss des Belastungsalters auf das Kreichen von Beton," Deutscher Ausschuss fur Stahlbeton, 295, W. Ernst, Berlin.</t>
  </si>
  <si>
    <t>Weigler, H., and Karl, S., "Creep of concrete under early loading - Influence of the rate of hardening of the cement," Betonwerk + Fertigteil-Technik, Heft 9, 1981, pp. 519-522.</t>
  </si>
  <si>
    <t>Dilger W.H. et al.: Étude expérimentale du retrait et du fluage du béton à hautes performances. In: 4th international symposium on utilization of high-concrete (eds. de Larrard, F., and Lacroix, R.), Paris, 1996 strength/highperformance</t>
  </si>
  <si>
    <t>Stokl, S., "Tatversuche uber den Einfluss von vorangegangegen Dauerlaten auf die Kurzzeitfestigketi des Betons," Deutscher Ausschuss fur Stahlbeton, 196, 1-27.</t>
  </si>
  <si>
    <t>Contact Information:</t>
  </si>
  <si>
    <t>Bryant, A. H., Vadhanavikkit, C. "Creep, Shrinkage-Size, and Age at Loading Effects". ACI Materials Journal, 84 (2), pp 117-123, 1987</t>
  </si>
  <si>
    <t>Bryant</t>
  </si>
  <si>
    <t>silica beach sand</t>
  </si>
  <si>
    <t>S 150x150x600</t>
  </si>
  <si>
    <t>S 100x100x400</t>
  </si>
  <si>
    <t>S 200x200x800</t>
  </si>
  <si>
    <t>S 300x300x1200</t>
  </si>
  <si>
    <t>S 400x400x1600</t>
  </si>
  <si>
    <t>A_087_01</t>
  </si>
  <si>
    <t>A_087_02</t>
  </si>
  <si>
    <t>A_087_03</t>
  </si>
  <si>
    <t>A_087_04</t>
  </si>
  <si>
    <t>A_087_05</t>
  </si>
  <si>
    <t>A_087_06</t>
  </si>
  <si>
    <t>A_088_01</t>
  </si>
  <si>
    <t>A_088_02</t>
  </si>
  <si>
    <t>P150x150x600</t>
  </si>
  <si>
    <t>A_088_03</t>
  </si>
  <si>
    <t>P200x200x800</t>
  </si>
  <si>
    <t>A_088_04</t>
  </si>
  <si>
    <t>P300x300x1200</t>
  </si>
  <si>
    <t>A_088_05</t>
  </si>
  <si>
    <t>P400x400x1600</t>
  </si>
  <si>
    <t>A_088_06</t>
  </si>
  <si>
    <t>A_089_01</t>
  </si>
  <si>
    <t>A_089_02</t>
  </si>
  <si>
    <t>A_089_03</t>
  </si>
  <si>
    <t>A_089_04</t>
  </si>
  <si>
    <t>A_089_05</t>
  </si>
  <si>
    <t>A_089_06</t>
  </si>
  <si>
    <t>The used scale for time points used in digitazation</t>
  </si>
  <si>
    <t>cem _prov</t>
  </si>
  <si>
    <t xml:space="preserve">Specified cement type </t>
  </si>
  <si>
    <t>Slag content in % of cement weight</t>
  </si>
  <si>
    <t>Filler content in % of cement weight</t>
  </si>
  <si>
    <t>Length or radius of specimen in mm</t>
  </si>
  <si>
    <t>Height of specimen in mm</t>
  </si>
  <si>
    <t>Stress level = stress / (compressive strength at the beginning of loading)</t>
  </si>
  <si>
    <t>Unknow Chem</t>
  </si>
  <si>
    <t>If x no information of chemical composition</t>
  </si>
  <si>
    <t>If x the chemical composition is uncertain</t>
  </si>
  <si>
    <t>LAB 2 HS</t>
  </si>
  <si>
    <t>Meader</t>
  </si>
  <si>
    <t>Dupont (3/4)</t>
  </si>
  <si>
    <t>P76.2x101.6x406.4</t>
  </si>
  <si>
    <t>moist cure for 28 days</t>
  </si>
  <si>
    <t>LAB 2 LP</t>
  </si>
  <si>
    <t>P76.2x101.6x406.5</t>
  </si>
  <si>
    <t>LAB 3 LP</t>
  </si>
  <si>
    <t>P76.2x101.6x406.6</t>
  </si>
  <si>
    <t>LAB HP</t>
  </si>
  <si>
    <t>P76.2x101.6x406.7</t>
  </si>
  <si>
    <t>LAB LP</t>
  </si>
  <si>
    <t>P76.2x101.6x406.8</t>
  </si>
  <si>
    <t>LAB LS</t>
  </si>
  <si>
    <t>P76.2x101.6x406.9</t>
  </si>
  <si>
    <t>OK HP</t>
  </si>
  <si>
    <t>Okanogan</t>
  </si>
  <si>
    <t>P76.2x101.6x406.10</t>
  </si>
  <si>
    <t>OK HS</t>
  </si>
  <si>
    <t>P76.2x101.6x406.11</t>
  </si>
  <si>
    <t>OK LP</t>
  </si>
  <si>
    <t>P76.2x101.6x406.12</t>
  </si>
  <si>
    <t>OK LS</t>
  </si>
  <si>
    <t>P76.2x101.6x406.13</t>
  </si>
  <si>
    <t>PEA HS</t>
  </si>
  <si>
    <t>Dupont (3/8)</t>
  </si>
  <si>
    <t>P76.2x101.6x406.14</t>
  </si>
  <si>
    <t>PEA 2 HS</t>
  </si>
  <si>
    <t>P76.2x101.6x406.15</t>
  </si>
  <si>
    <t>PEA 3 HS</t>
  </si>
  <si>
    <t>P76.2x101.6x406.16</t>
  </si>
  <si>
    <t>PEA LS</t>
  </si>
  <si>
    <t>P76.2x101.6x406.17</t>
  </si>
  <si>
    <t>PEA 2 LS</t>
  </si>
  <si>
    <t>P76.2x101.6x406.18</t>
  </si>
  <si>
    <t>PEA HP</t>
  </si>
  <si>
    <t>P76.2x101.6x406.19</t>
  </si>
  <si>
    <t>PEA LP</t>
  </si>
  <si>
    <t>P76.2x101.6x406.20</t>
  </si>
  <si>
    <t>TUM HP</t>
  </si>
  <si>
    <t>Rock Island</t>
  </si>
  <si>
    <t>P76.2x101.6x406.21</t>
  </si>
  <si>
    <t>TUM HS</t>
  </si>
  <si>
    <t>P76.2x101.6x406.22</t>
  </si>
  <si>
    <t>TUM LP</t>
  </si>
  <si>
    <t>P76.2x101.6x406.23</t>
  </si>
  <si>
    <t>TUM LS</t>
  </si>
  <si>
    <t>P76.2x101.6x406.24</t>
  </si>
  <si>
    <t>ORE HP</t>
  </si>
  <si>
    <t>Santosh</t>
  </si>
  <si>
    <t>P76.2x101.6x406.25</t>
  </si>
  <si>
    <t>ORE HS</t>
  </si>
  <si>
    <t>P76.2x101.6x406.26</t>
  </si>
  <si>
    <t>ORE LP</t>
  </si>
  <si>
    <t>P76.2x101.6x406.27</t>
  </si>
  <si>
    <t>ORE LS</t>
  </si>
  <si>
    <t>P76.2x101.6x406.28</t>
  </si>
  <si>
    <t>SPO HP</t>
  </si>
  <si>
    <t>Sullivan Road</t>
  </si>
  <si>
    <t>P76.2x101.6x406.29</t>
  </si>
  <si>
    <t>SPO HS</t>
  </si>
  <si>
    <t>P76.2x101.6x406.30</t>
  </si>
  <si>
    <t>SPO LP</t>
  </si>
  <si>
    <t>P76.2x101.6x406.31</t>
  </si>
  <si>
    <t>SPO LS</t>
  </si>
  <si>
    <t>P76.2x101.6x406.32</t>
  </si>
  <si>
    <t>TRI HP</t>
  </si>
  <si>
    <t>Pasco</t>
  </si>
  <si>
    <t>P76.2x101.6x406.33</t>
  </si>
  <si>
    <t>TRI HS</t>
  </si>
  <si>
    <t>P76.2x101.6x406.34</t>
  </si>
  <si>
    <t>TRI LP</t>
  </si>
  <si>
    <t>P76.2x101.6x406.35</t>
  </si>
  <si>
    <t>TRI LS</t>
  </si>
  <si>
    <t>P76.2x101.6x406.36</t>
  </si>
  <si>
    <t>ALASKA</t>
  </si>
  <si>
    <t>P76.2x101.6x406.37</t>
  </si>
  <si>
    <t>FREYA</t>
  </si>
  <si>
    <t>P76.2x101.6x406.38</t>
  </si>
  <si>
    <t>SNO</t>
  </si>
  <si>
    <t>P76.2x101.6x406.39</t>
  </si>
  <si>
    <t>TUM</t>
  </si>
  <si>
    <t>P76.2x101.6x406.40</t>
  </si>
  <si>
    <t xml:space="preserve">VAN </t>
  </si>
  <si>
    <t>P76.2x101.6x406.41</t>
  </si>
  <si>
    <t>Meader, J., Janssen, D., Eberhard, M., “Structural Design Parameters of Current WSDOT Mixtures". WA-RD 802.1, WSDOT Report, June 2013</t>
  </si>
  <si>
    <t>Theiner</t>
  </si>
  <si>
    <t>Austria</t>
  </si>
  <si>
    <t>AA</t>
  </si>
  <si>
    <t>BB</t>
  </si>
  <si>
    <t>CC</t>
  </si>
  <si>
    <t>DD</t>
  </si>
  <si>
    <t>autogenous</t>
  </si>
  <si>
    <t>Theiner, Y. , Drexel, M., Neuner, M., Hofstetter, G.,  “Comprehensive study of concrete creep, shrinkage, and water content evolution under sealed and drying conditions". Strain, 53 (2), 2017</t>
  </si>
  <si>
    <t>Aschl, H. and Stöckl, S., ‘Wärmedehnung, E-Modul, Schwinden, Kriechen und Restfestigkeit von Reaktorbeton unter einachsiger Belastung und erhöhten Temperaturen’, Deutscher Ausschuss für Stahlbeton, Heft 324 (1981)</t>
  </si>
  <si>
    <r>
      <t>Stöckl, S., "Versuche zum Einfluss der Belastungshöhe auf das Kriechen von Beton"</t>
    </r>
    <r>
      <rPr>
        <i/>
        <sz val="11"/>
        <color rgb="FF333333"/>
        <rFont val="Calibri"/>
        <family val="2"/>
        <scheme val="minor"/>
      </rPr>
      <t>.</t>
    </r>
    <r>
      <rPr>
        <sz val="11"/>
        <color rgb="FF333333"/>
        <rFont val="Calibri"/>
        <family val="2"/>
        <scheme val="minor"/>
      </rPr>
      <t>Deutscher Ausschuss für Stahlbeton, Heft 324 (1981)</t>
    </r>
  </si>
  <si>
    <t>Budelmann, H., "Zum Einfluss Erhöhter Temperatur auf Festigkeit und Verformung von Beton mit unterschiedlichen feucthgehalten". Institut für Baustoffe, Massivbau unf brandschuty der Technischen Universität Braunschweig, Heft 76 (1987) Thesis</t>
  </si>
  <si>
    <t>Wittmann, F., "Einfluß des Feuctigkeitsgehaltes auf das Kriechen des Zementsteines", Rheologica Acta 9, 282-287 (1970)</t>
  </si>
  <si>
    <t>Shritharan</t>
  </si>
  <si>
    <t>Watanabe, Ken, Yamada, Kazuo, Yamamoto, Toshihiko  and Kobayashi, Takeru  ' Fundamental Study on Confinement Effect by Diagonal Steel Bar for Drying Shrinkage Crack of RC Wall.'  Proceedings of the Japan Concrete Institute, Vol.17, No.1, 1995  609-614</t>
  </si>
  <si>
    <t>Ozaki, Shinobu  and Sugata, Noriyuki  ' Long-term Creep and Shrinkage Test of Concrete.'  Proceedings of the Japan Concrete Institute, Vol.20, No.2, 1998  685-690</t>
  </si>
  <si>
    <t>Tsuruta,Hiroaki,  MATSUSHITA, Hiromichi  and FUJIMOTO, Yoshio  ' Influences of Aggregate Crushing Value on Creep of High Strength Concrete.'  Proceedings of the Japan Concrete Institute, Vol.21, No.2, 1999  697-702</t>
  </si>
  <si>
    <t>Sakata, Kenji ,Ayano, Toshiki and Higaki , Satoshi ' The prediction of creep under the varying stress.'  Proceedings of Japan Concrete Institute, Vol.13, No.1, 1991  pp.429-434</t>
  </si>
  <si>
    <t>Tabata,Ken , Matshura, Tsunehisa  and Sumi, Kazuyuki ' A Study on Short Term Compressive Characteristics of High Strength Reinforced Concrete after Long Term Loading.'  Proceedings of the Japan Concrete Institute, Vol.17, No.1, 1995., 1995  599-602</t>
  </si>
  <si>
    <t>Tatsuki, Shinichi , Ohba,Mitsuaki,Ishikawa,  Yuko  and Hamada, Yuzuru  ' Study on Drying Shrinkage and Creep of PC Slabs with Super Light-Weight Concrete.'  Proceedings of the Japan Concrete Institute, Vol.22, No.2, 2000  685-690</t>
  </si>
  <si>
    <t>Sugata,Noriyuki , Terasawa, Takahiro  ' Effect of Silica Fume on Compressive Creep of High-Strength Concrete in Early Age.'  Proceedings of the Japan Concrete Institute, Vol.25, No.1, 2003  425-430</t>
  </si>
  <si>
    <t>Sumi Kazuyuki,Kawata Akizumi,Nakati Tadaharu,Tabata Ken,Momotani Tomoki and Sawada Yumiko ' The Quality Control and Material Tests on the High-Strength Concrete with Design Strength of 80MPa Part2:Creep and Shrinkage Tests.' Summaries of technical papers of Annual Meeting Architectural Institute of Japan, Materials and construction, 1995  603-604</t>
  </si>
  <si>
    <t>Hagihara Shinji,Masuda Yoshihiro,Nakamura Shigeharu Uenishi Takashi,Kono Masanori and Okihashi Takanori ' Experiment on Compressive and Tensile Creep of High-Strength Concrete in Early Age.'  Summaries of technical papers of Annual Meeting Architectural Institute of Japan, Materials and construction, 2000  629-630</t>
  </si>
  <si>
    <t>Nakamoto,Junji,  Togawa, Kazuo and Fujii, Manabu  ' A STUDY ON CREEP AND DRYING SHRINKAGE OF HIGH BLAST-FURNACE SLAG CONTENT CONCRETE.'  Cement Science and Concrete Technology,No.50, 1996  204-209</t>
  </si>
  <si>
    <t>Ayano, Toshiki  and Sakata, Kenji  ' THE EFFECTS OF GRAVEL QUALITY ON CREEP AND SHRINKAGE OF CONCRETE.'  Cement Science and Concrete Technology,No.52, 1998  656-661</t>
  </si>
  <si>
    <t>Kojima, Takayuki, Tagaki, Nobuaki,  Horikawa, Satoshi  and INOUE, Masumi  ' STUDY ON CREEP CHARACTERISTICS OF HIGH-STRENGTH SILICA FUME CONCRETE.'  Cement Science and Concrete Technology,No.54, 2000  354-361</t>
  </si>
  <si>
    <t>Sugata, Noriyuki, Satoh,  Katsutoshi and Kamada, Kentaroh  ' EFFECT OF THERMAL HISTORY AT EARLY AGE ON COMPRESSIVE CREEP OF HIGH-STRENGTH CONCRETE.'  Cement Science and Concrete Technology,No.55, 2001  494-499</t>
  </si>
  <si>
    <t xml:space="preserve">Arai,Taiji ,  Seki, Shingo ,  Nagakura, Tadashi and Sakakibara, Isao ' Report of Experiments on Slag Cement.'  Report of CRIEPI (Civil Engineering 55109), 1956  </t>
  </si>
  <si>
    <t>Fujimoto Takashi,Senbu Osamu,Adachi Yusuke,Tomosawa Fuminori ' Effect of Types of Coarse Aggregate on Driying Shrinkage of Concrete.'  MATERIALS AND CONSTRUCTION,SUMMARIES OF TECHNICAL OF ANNUAL MEETING ARCHITECTURAL INSTITUTE OF JAPAN,2003, 2003  pp.97-98</t>
  </si>
  <si>
    <t>Umezu Yuuji,Shimizu Akiyuki,Hamada Masaru,Sinoda Tooru,Fukushi Isao ' Experimental Study on a Test Meshod for Judging of Recycled Aggregate Performance -Part2 Experiment Result.'  MATERIALS AND CONSTRUCTION,SUMMARIES OF TECHNICAL OF ANNUAL MEETING ARCHITECTURAL INSTITUTE OF JAPAN,2003, 2003  pp.235-234</t>
  </si>
  <si>
    <t>Hrota Kohji,Teranishi Kohji,Takeuchi Takanori ' Quality of Recycled Aggregate Concrete with Autoclave Curing -Part2.Drying Shrinkage.'  MATERIALS AND CONSTRUCTION,SUMMARIES OF TECHNICAL OF ANNUAL MEETING ARCHITECTURAL INSTITUTE OF JAPAN,2003, 2003  pp.259-260</t>
  </si>
  <si>
    <t>Inoue Kazumasa,Mitsui Kenro,Ikeo Yosaku,Kinoshita Mitsuo,Miura Toyoji,Inagaki Junji ' Influence of Cement Type and Shrinkage-Reducing Admixture on Drying-Shrinkage of Concrete -Part2 Crack-Resistance of Concrete due to Restrained Drying-Shrinkage.'  MATERIALS AND CONSTRUCTION,SUMMARIES OF TECHNICAL OF ANNUAL MEETING ARCHITECTURAL INSTITUTE OF JAPAN,2002, 2002  pp.545-546</t>
  </si>
  <si>
    <t>Tanimura Makoto,Hyodo Hikotsugu ' Properties of Concrete Using Shrinkage Reducing Agent.'  MATERIALS AND CONSTRUCTION,SUMMARIES OF TECHNICAL OF ANNUAL MEETING ARCHITECTURAL INSTITUTE OF JAPAN,2002, 2002  pp.757-758</t>
  </si>
  <si>
    <t>Umezu Yuuji, Shimizu Akiyuki, Kuroha Kenji, Takada Makoto ' Experimental study on strength development of high fluidity fly ash concrete in structures Part 4.Influence of different weather.'  MATERIALS AND CONSTRUCTION,SUMMARIES OF TECHNICAL OF ANNUAL MEETING ARCHITECTURAL INSTITUTE OF JAPAN,2001, 2001  pp139-140</t>
  </si>
  <si>
    <t>Hira Hiroki, Sibaike Tatsuji, KajiYama Tsuyoshi, Sumi Manadu and Tamaishi Ryusuke ' Experimental study on High-Fluidity Concrete Using Air Entraining and High Range Water Reducing Agent Containing Viscosity Ingredient (Part 2 Properties of Hardened Concrete and Heating Test).'  MATERIALS AND CONSTRUCTION,SUMMARIES OF TECHNICAL OF ANNUAL MEETING ARCHITECTURAL INSTITUTE OF JAPAN,2001, 2001  pp.269-270</t>
  </si>
  <si>
    <t>Honma Toshiaki et al. ' Fundamental properties of lightweight concrete using the super-lightweight aggregate.'  MATERIALS AND CONSTRUCTION,SUMMARIES OF TECHNICAL OF ANNUAL MEETING ARCHITECTURAL INSTITUTE OF JAPAN,2001, 2001  pp.297-298</t>
  </si>
  <si>
    <t>Ozaki Hironori, Tuchida Shinji, Kono Masanori ' The durability examination of precast contrifugal compaction.'  MATERIALS AND CONSTRUCTION,SUMMARIES OF TECHNICAL OF ANNUAL MEETING ARCHITECTURAL INSTITUTE OF JAPAN,2001, 2001  pp.331-332</t>
  </si>
  <si>
    <t>Kojima Masaro, Mitsui Kenro ' Influence of Curing for pore size distribution, rate of hydration and drying-shrinkage of concrete.'  MATERIALS AND CONSTRUCTION,SUMMARIES OF TECHNICAL OF ANNUAL MEETING ARCHITECTURAL INSTITUTE OF JAPAN,2001, 2001  pp.433-434</t>
  </si>
  <si>
    <t>Inoue Kazumasa,Mitsui Kenro,Ohno Sadatoshi,Iwashimizu Takashi ' Influence of Thickness of Member on Drying-Shrinkage using Concrete with Different Final Drying-Shrinkage.'  MATERIALS AND CONSTRUCTION,SUMMARIES OF TECHNICAL OF ANNUAL MEETING ARCHITECTURAL INSTITUTE OF JAPAN,2001, 2001  pp.435-436</t>
  </si>
  <si>
    <t>Kodama Atsushi, Hoshino Minoru, Kasami Hideo, Sugiyama Nariaki, Tateyashiki Hisashi, Shima Hirokazu ' Properties of High Fludity Containing Recycled Concrete Powder. Part.III (3)Experiment on Effect of Recycled Concrete Powder on Strength and Durability of High Performance Superplasticized Concrete.'  MATERIALS AND CONSTRUCTION,SUMMARIES OF TECHNICAL OF ANNUAL MEETING ARCHITECTURAL INSTITUTE OF JAPAN,2001, 2001  pp.675-676</t>
  </si>
  <si>
    <t>Nagomi Akira, Eguchi Kiyoshi, Teranishi Kohji, Kishimoto Hitoshi ' Study on the improvement of drying shrinkage behavior of recycled aggregate concrete Part.2 Application to the precast concrete members.'  MATERIALS AND CONSTRUCTION,SUMMARIES OF TECHNICAL OF ANNUAL MEETING ARCHITECTURAL INSTITUTE OF JAPAN,2001, 2001  pp.743-744</t>
  </si>
  <si>
    <t>Kasai Hiroshi ' Study on Application of Resource using Coal Ash-Part4.Durability of Concrete using Artificial Aggregate with Coal Ash.'  MATERIALS AND CONSTRUCTION,SUMMARIES OF TECHNICAL OF ANNUAL MEETING ARCHITECTURAL INSTITUTE OF JAPAN,2000, 2000  pp.609-610</t>
  </si>
  <si>
    <t>Hagihara Shinji,Masuda Yoshihiro,Nakamura Shigeharu,Uenishi Takashi,Kono Masanori,Okihashi Takanori ' Experiment on Compressive and Tensile Creep of High-Strength Concrete in Early Age.'  MATERIALS AND CONSTRUCTION,SUMMARIES OF TECHNICAL OF ANNUAL MEETING ARCHITECTURAL INSTITUTE OF JAPAN,2000, 2000  pp.629-630</t>
  </si>
  <si>
    <t>Yasoshima Harunori,Shinozaki Tohru,Umemoto Munehiro,Kurabayashi kiyoshi,Itatani Toshiro,Kojima Masaki,Kobayashi Toshimitsu ' Study on Concrete Using Several Drying Shrinkage Reducing Agents.'  MATERIALS AND CONSTRUCTION,SUMMARIES OF TECHNICAL OF ANNUAL MEETING ARCHITECTURAL INSTITUTE OF JAPAN,2000, 2000  pp.641-642</t>
  </si>
  <si>
    <t>Imamoto Keiichi,Annoura Takamichi,Tohyama Shunichi ' Study on Influence of Aggregate Quality on Drying Shrinkage of Concrete (Part6 Influence of Coarse Aggregate Quality).'  MATERIALS AND CONSTRUCTION,SUMMARIES OF TECHNICAL OF ANNUAL MEETING ARCHITECTURAL INSTITUTE OF JAPAN,2000, 2000  pp.649-650</t>
  </si>
  <si>
    <t>Kimura Yoshimoto,Urano Hideo,Fujisawa Isao ' Study on Influence of Aggregate Quality on Drying Shrinkage of Concrete (Part7 Influence of Sand Quality on Drying Shrinkage of Concrete).'  MATERIALS AND CONSTRUCTION,SUMMARIES OF TECHNICAL OF ANNUAL MEETING ARCHITECTURAL INSTITUTE OF JAPAN,2000, 2000  pp.651-652</t>
  </si>
  <si>
    <t>Iwashimizu Takashi,Akashi Tomoki,Motoki Ryou ' Study on Influence of Aggregate Quality on Drying Shrinkage of Concrete (Part8 Influence of mixture on Drying Shrinkage of Concrete).'  MATERIALS AND CONSTRUCTION,SUMMARIES OF TECHNICAL OF ANNUAL MEETING ARCHITECTURAL INSTITUTE OF JAPAN,2000, 2000  pp.653-654</t>
  </si>
  <si>
    <t>Liu Yong, Ohno Yoshiteru, Nakagawa Takao,Hayashida Tsuyoshi,Ymasaki junji ' Cracking Tendency of Recycled Coarse Aggregate Concrete due to Drying Shrinkage.'  MATERIALS AND CONSTRUCTION,SUMMARIES OF TECHNICAL OF ANNUAL MEETING ARCHITECTURAL INSTITUTE OF JAPAN,2000, 2000  pp.655-656</t>
  </si>
  <si>
    <t>Hasumi Masayuki,Tada Shinji,Baba Shinichi,Fukazawa Kyouzou ' Experimental Study on Concrete of 45cm Slump flow with Segregation Controlling Admixture (Part5 Testing method of durability).'  MATERIALS AND CONSTRUCTION,SUMMARIES OF TECHNICAL OF ANNUAL MEETING ARCHITECTURAL INSTITUTE OF JAPAN,2000, 2000  pp.963-964</t>
  </si>
  <si>
    <t>Umezu Yuuji,Shimizu Akiyuki,Kuroha Kenji,Takada Makoto ' Experimental study on strength development of high fluidity fly ash concrete in structures Part 2 Tests in hot and temperate weathers.'  MATERIALS AND CONSTRUCTION,SUMMARIES OF TECHNICAL OF ANNUAL MEETING ARCHITECTURAL INSTITUTE OF JAPAN,2000, 2000  pp.971-972</t>
  </si>
  <si>
    <t>Kojima Masaro,Kmiyama Yukio,Kukino Yoshinori,Yamamoto Yuichi,Ishikura Takeshi,Sukekiyo Mitsuaki ' Development of production Technique on High Quality Recyclable Aggregates [IV] (Part2 Properties of Recycled Concrete using High-Quality Recycled aggregate by Mechanical Grinding Method).'  MATERIALS AND CONSTRUCTION,SUMMARIES OF TECHNICAL OF ANNUAL MEETING ARCHITECTURAL INSTITUTE OF JAPAN,2000, 2000  pp.1061-1062</t>
  </si>
  <si>
    <t>Nakato Takayuki,Ishikura Takeshi,Sukekiyo Mitsuaki,Tateyashiki Hisashi,Shima Hirokazu ' Development of production Technique on High Quality Recyclable Aggregates [IV] (Part3 Basic Properties of Concrete with Recycled Aggregate Produced by Whole Heating and Grinding Method).'  MATERIALS AND CONSTRUCTION,SUMMARIES OF TECHNICAL OF ANNUAL MEETING ARCHITECTURAL INSTITUTE OF JAPAN,2000, 2000  pp.1063-1064</t>
  </si>
  <si>
    <t>Ogawa Hideo,Kasami Hideo,Ihikura Takeshi,Sukekiyo Mitsuaki ' Development of production Technique on High Quality Recyclable Aggregates [IV] (Part6 Utilization of the by-product recycled concrete powder as mineral additive for concrete).'  MATERIALS AND CONSTRUCTION,SUMMARIES OF TECHNICAL OF ANNUAL MEETING ARCHITECTURAL INSTITUTE OF JAPAN,2000, 2000  pp.1069-1070</t>
  </si>
  <si>
    <t>Arashima Takeshi,Hoshino Minoru,Kasami Hideo,Tateyashiki Hisashi ' Properties of High Fludity Concrete Containing Recycled Concrete Powder. Part 2 (2) Fluidising Effect of High Rang Water Reducing Agent &amp; Properties of high Fluidity Concrete.'  MATERIALS AND CONSTRUCTION,SUMMARIES OF TECHNICAL OF ANNUAL MEETING ARCHITECTURAL INSTITUTE OF JAPAN,2000, 2000  pp.1077-1078</t>
  </si>
  <si>
    <t>Aoyagi Takayuki,Kikuchi Masafumi,Narikawa Masafumi,Oshima Yutaka,Uchikawa Yuichiro,Dosho Yasuhiro,Miura Takehiro ' Applicability of Recycled Aggregate Concrete for structural Concrete Part11 Influence of neutralization of recycled aggregate on young's modulus and durability of recycled aggregate concrete.'  MATERIALS AND CONSTRUCTION,SUMMARIES OF TECHNICAL OF ANNUAL MEETING ARCHITECTURAL INSTITUTE OF JAPAN,2000, 2000  pp.1047-1048</t>
  </si>
  <si>
    <t>Ishikawa Yoshitaka,Yasuda Masayuki,Urakawa Kazuya,Yamada Masahiro,Kamada Hiroyasu,Kuroda Yasuhiro,Makino Chikao ' Study on Concrete of High Strength Artiticial Aggregate (Part3 Characteristics of Hardened Concrete).'  MATERIALS AND CONSTRUCTION,SUMMARIES OF TECHNICAL OF ANNUAL MEETING ARCHITECTURAL INSTITUTE OF JAPAN,1999, 1999  pp.5-6</t>
  </si>
  <si>
    <t>Nakagawa Takao,Ohno Yoshiteru,Hayashida Tsuyoshi,Yamasaki Junji ' Cracking Tendency of Recycled Aggregate Concrete.'  MATERIALS AND CONSTRUCTION,SUMMARIES OF TECHNICAL OF ANNUAL MEETING ARCHITECTURAL INSTITUTE OF JAPAN,1999, 1999  pp.157-158</t>
  </si>
  <si>
    <t>Nishio Atsushi,Tamura Hirosi,Imamoto Keiichi,Oohasi Junichi ' Quality Improvement of Recycled Aggregate Concrete by Reduced-Pressure Production Method (Part2 Durability of Concrete).'  MATERIALS AND CONSTRUCTION,SUMMARIES OF TECHNICAL OF ANNUAL MEETING ARCHITECTURAL INSTITUTE OF JAPAN,1999, 1999  pp.167-168</t>
  </si>
  <si>
    <t>Yokomuro Takashi,Yoda Akihiko ' Study on utilization of ground granulated blast-furnace slag as additives for concrete (Part23 Properties of Concrete Using Ground Granulated Blast-Furnace Slag of Different Specific Surface Areas at the Same Replacement and Water-Binder Ratio).'  MATERIALS AND CONSTRUCTION,SUMMARIES OF TECHNICAL OF ANNUAL MEETING ARCHITECTURAL INSTITUTE OF JAPAN,1999, 1999  pp.317-318</t>
  </si>
  <si>
    <t>Shimizu Akiyuki ' The study of property of NC and LC using Fly ash instead of the aggregate Part3 The long-term property 1.'  MATERIALS AND CONSTRUCTION,SUMMARIES OF TECHNICAL OF ANNUAL MEETING ARCHITECTURAL INSTITUTE OF JAPAN,1999, 1999  pp.469-470</t>
  </si>
  <si>
    <t>Horibe gen,Ikenaga hirotake,Ishigami shinobu ' Study on Drying Shrinkage of Concrete with Admiztures.'  MATERIALS AND CONSTRUCTION,SUMMARIES OF TECHNICAL OF ANNUAL MEETING ARCHITECTURAL INSTITUTE OF JAPAN,1999, 1999  pp.747-748</t>
  </si>
  <si>
    <t>Ikenaga hirotaka,Horibe gen,Ishigami shinobu ' Study on Drying Shrinkage of Concrete with Slag Aggregate.'  MATERIALS AND CONSTRUCTION,SUMMARIES OF TECHNICAL OF ANNUAL MEETING ARCHITECTURAL INSTITUTE OF JAPAN,1999, 1999  pp.749-750</t>
  </si>
  <si>
    <t>Nara Yoshinori,Kakizaki Masayoshi,Saito Takeshi,Kawanobe Masanori,SUDO Emi ' The Study About The Drying Shrinkage and The Carbonation of the light-weight high concrete.'  MATERIALS AND CONSTRUCTION,SUMMARIES OF TECHNICAL OF ANNUAL MEETING ARCHITECTURAL INSTITUTE OF JAPAN,1999, 1999  pp.751-752</t>
  </si>
  <si>
    <t>Ikenaga hirotaka,Horibe gen,Ishigami shinobu ' Study on Drying Shrinkage of Concrete using Fly-Ash..'  MATERIALS AND CONSTRUCTION,SUMMARIES OF TECHNICAL OF ANNUAL MEETING ARCHITECTURAL INSTITUTE OF JAPAN,1998, 1998  pp.639-640</t>
  </si>
  <si>
    <t>Fukuhara yasuhiro,Kiriki junko ' Quality of Recycled Aggregate Through Processing..'  MATERIALS AND CONSTRUCTION,SUMMARIES OF TECHNICAL OF ANNUAL MEETING ARCHITECTURAL INSTITUTE OF JAPAN,1998, 1998  pp.691-692</t>
  </si>
  <si>
    <t>Maki Taketeru,Shimoyama Yoshihide,Egawa Hiroyuki ' Research on Crack of Reinforced Concrete Structures by Using Shrinkage Reducing Agent.'  MATERIALS AND CONSTRUCTION,SUMMARIES OF TECHNICAL OF ANNUAL MEETING ARCHITECTURAL INSTITUTE OF JAPAN,1998, 1998  pp.1085-1086</t>
  </si>
  <si>
    <t>Fukagawa Masahiro,Nakamura Shigeharu,Masuda Yoshihiro,Teshima Norio,Ohkubo Toshihiko,Konishi Toshimasa, Abe Michihiko ' Experimental Study on High-Strength Concrete Using Classified Fly-Ash. Part1 Mechanical Properties and Durability.'  MATERIALS AND CONSTRUCTION,SUMMARIES OF TECHNICAL OF ANNUAL MEETING ARCHITECTURAL INSTITUTE OF JAPAN,1997, 1997  pp.59-60</t>
  </si>
  <si>
    <t>Horibe gen, Ikenaga hirotake,Ishigami shinobu ' Study on Shrinkage of High Fluidity Concrete with Blast-Furnace Slag.'  MATERIALS AND CONSTRUCTION,SUMMARIES OF TECHNICAL OF ANNUAL MEETING ARCHITECTURAL INSTITUTE OF JAPAN,1997, 1997  pp.89-90</t>
  </si>
  <si>
    <t>Yamamoto Sumio,Ohno Yoshiteru, Nakagawa Takao,Suzuki Kazuo ' Influence of Curing Water Content and Reinforcements on Shrinkage Cracking of Concrete.'  MATERIALS AND CONSTRUCTION,SUMMARIES OF TECHNICAL OF ANNUAL MEETING ARCHITECTURAL INSTITUTE OF JAPAN,1997, 1997  pp.107-108</t>
  </si>
  <si>
    <t>Kamiya Makoto,Kakegawa Shunichi,Kondo Daisuke,Kawase Kiyotaka ' Study on Mixing Proportion of High-Fluidity Concrete.'  MATERIALS AND CONSTRUCTION,SUMMARIES OF TECHNICAL OF ANNUAL MEETING ARCHITECTURAL INSTITUTE OF JAPAN,1997, 1997  pp.207-208</t>
  </si>
  <si>
    <t>Ohta kazuhiro,Masuda yoshihiro,Yasuda masayuki,Aragane naoki ' Experimental Study on Semi High-Flow Concrete. (Part2 Properties of Concrete after Semi High-Superplasticizing).'  MATERIALS AND CONSTRUCTION,SUMMARIES OF TECHNICAL OF ANNUAL MEETING ARCHITECTURAL INSTITUTE OF JAPAN,1997, 1997  pp.221-222</t>
  </si>
  <si>
    <t>Murao Masatoshi ' A Study on Reducing Shrinkage of Highly-flowable Concrete. (Part4 Properties of Crack-resistant Highly-flowable Concrete).'  MATERIALS AND CONSTRUCTION,SUMMARIES OF TECHNICAL OF ANNUAL MEETING ARCHITECTURAL INSTITUTE OF JAPAN,1997, 1997  pp.241-242</t>
  </si>
  <si>
    <t>Kasami Hideo,Tobori Norio,Nagata Yasue,Hosoda Takaaki,Nyuta Masafumi ' Properties of Superplasticized Concrete Containing Recycled Aggregate. - Part2 Property of Superplasticized Concrete.'  MATERIALS AND CONSTRUCTION,SUMMARIES OF TECHNICAL OF ANNUAL MEETING ARCHITECTURAL INSTITUTE OF JAPAN,1997, 1997  pp.249-250</t>
  </si>
  <si>
    <t>Itatani Toshiro,Shinozaki Tohru,Yasoshima Harunori,Umemoto Munehiro,Ohno Umeo,Hiraga Tomoaki ' Application of High-strength Concrete Using Low-heat Portland Cement To Practical Building (Part1 Trial Mixing Tests).'  MATERIALS AND CONSTRUCTION,SUMMARIES OF TECHNICAL OF ANNUAL MEETING ARCHITECTURAL INSTITUTE OF JAPAN,1997, 1997  pp.303-304</t>
  </si>
  <si>
    <t>Aoyama Haruhiro,Mori Hiroshi,Tomitani Junichi,Ishiguro Kazuhiro,Hoshino Minoru,Kanai Kenichi ' Experimental study on placing of High-fluidity Concrete into Wall with Obstructions (Part1 Mix proportion and properties).'  MATERIALS AND CONSTRUCTION,SUMMARIES OF TECHNICAL OF ANNUAL MEETING ARCHITECTURAL INSTITUTE OF JAPAN,1997, 1997  pp.741-742</t>
  </si>
  <si>
    <t>Hosono Tomoyuki,Kasai Yoshio,Kaga Syuuji,Abe Michihiko,Yanagi Kei,Fukube Satoshi ' Behaviors of Recycled Aggregate Concrete with Concrete Sludge Cake.'  MATERIALS AND CONSTRUCTION,SUMMARIES OF TECHNICAL OF ANNUAL MEETING ARCHITECTURAL INSTITUTE OF JAPAN,1997, 1997  pp.1067-1068</t>
  </si>
  <si>
    <t>Sakiyama Kazutaka,Kasai Yoshio,Kaga Syuuji,Fukube Satoshi,Ynagi Kei ' Influence of Storage Condition on Length Change of Recycled Aggregate Concrete.'  MATERIALS AND CONSTRUCTION,SUMMARIES OF TECHNICAL OF ANNUAL MEETING ARCHITECTURAL INSTITUTE OF JAPAN,1997, 1997  pp.1069-1070</t>
  </si>
  <si>
    <t>Goto, Kazumasa, Komuro, Tsutomu, Jinnai, Hiroshi  and Kawabat, Ichizo ' Properties of Compressive Creep of High Strength Concrete.'  Proceedings of the Japan Concrete Institute, Vol.22, No.2, 2000  625-630</t>
  </si>
  <si>
    <t>De Larrard, F., Acker, P., and LeRoy, R., “Shrinkage creep and thermal properties," chapter 3 in High performance concrete and applications, S.P. Shah and S.H. Ahmad, Eds., Edward Arnold, London (1994).</t>
  </si>
  <si>
    <t>De Larrard, F., Malier, Y. “Engineering Properties of very High Performance Concretes." High Performance Concrete: From Material to Structure, edited by Yves Malier, London (1992).</t>
  </si>
  <si>
    <t>De Larrard, F. “Creep and shrinkage of high-strength field concrete, High-Strength Concrete." Second International Symposium, ACI SP-121-28, (1991) 586-598 American Concrete Institute, Detroit.</t>
  </si>
  <si>
    <t>Wittmann, F., "Drying and Shrinkage of Hardened Cement Paste", Proceedings of the Third International Bolomey Workshop University of Essen, 209-256, June 1998</t>
  </si>
  <si>
    <t>England</t>
  </si>
  <si>
    <t>L'Hermite, R.G., Mamillan, M. Lefevre, C., “Nouveaux resultats de recherches sur la deformation et la rupture du beton," Ann. Inst. Techn. B^atiment Trav. Publics 18 (207-208), (1965), 323-360.</t>
  </si>
  <si>
    <t>Furushima, M. ,  Suzuki, K., Oono,  Y.  and Nakagawa, T.  ' Resistance to drying shrinkage of concrete with high early strength cement and AE super-plasticizer.'  Proceedings of Japan Concrete Institute, Vol.15, No.1, 1993  pp.429-434</t>
  </si>
  <si>
    <t>Takemura, Kazuo, Yonekura, Asuo and Tanaka, Toshitugu  ' Shrinkage of concrete with silica fume.'  Proceedings of the Japan Concrete Institute,Vol.9, 1987  pp.69-74</t>
  </si>
  <si>
    <t>Kamiyaya Yukio,Kukino Yoshinori,Yamamoto Yuichi,Kojima Masaro,Ishikura Takeshi,Sukekiyo Mitsuaki ' Development of production Technique on High Quality Recyclable Aggregates [IV] (Part4 Long term performance Test of Mock-up specimens made of Recycled Concrete which contains High-Quality Recycled Aggregate).'  MATERIALS AND CONSTRUCTION,SUMMARIES OF TECHNICAL OF ANNUAL MEETING ARCHITECTURAL INSTITUTE OF JAPAN,2000, 2000  pp.1065-1066</t>
  </si>
  <si>
    <t>Maki Taketeru</t>
  </si>
  <si>
    <t>Ohta</t>
  </si>
  <si>
    <t>Dudziak, L. "Reducing cracking of High-Performance Concrete due to
autogenous shrinkage by using internal curing". 7th Int'l PhD Symposium in Civil Engineering, Stuttgart, Sept. 2008, Part 16, Eds: Eligehausen, R. and Gehlen, C.</t>
  </si>
  <si>
    <t>Adam, I. et al.: Influence of coarse aggregate on the creep of normal and high –strength concrete. In: Second international conference on engineering materials (eds. Nagataki, S., Al-Manaseer, A. and Sakata, K.), California, USA, 2001</t>
  </si>
  <si>
    <t>Bentur, A., Igarashi, S.-I,  and Kovler, K. "Prevention of autogenous shrinkage in high-strength concrete by internal curing using wet lightweight aggregates". Cement and Concrete Research, 31 (11), 1587 - 1591, 2001</t>
  </si>
  <si>
    <t>Cusson D., Hoogeveen T. (2006) PREVENTING AUTOGENOUS SHRINKAGE OF HIGH-PERFORMANCE CONCRETE STRUCTURES BY INTERNAL CURING. In: KONSTA-GDOUTOS M.S. (eds) Measuring, Monitoring and Modeling Concrete Properties. Springer, Dordrecht</t>
  </si>
  <si>
    <t>Hua, C., Ehrlacher, A., Acker, P. 1997. Analyses and models of the autogenous shrinkage of hardening cement paste: ii. modeling at scale of hydrating grains, Cement and Concrete Research 27(2): 245–258</t>
  </si>
  <si>
    <t>Igarashi, S.-i., Bentur, A., Kovler, K., Autogenous shrinkage and induced restraining stresses in high-strength concretes, Cement and Concrete Research, Volume 30, Issue 11, 2000, Pages 1701-1707</t>
  </si>
  <si>
    <t>28 days moist curing, 70°F, underwater conditions</t>
  </si>
  <si>
    <t>28 days moist curing, 70°F, fog conditions</t>
  </si>
  <si>
    <t>?</t>
  </si>
  <si>
    <t>cylinder diam=100, height=200mm</t>
  </si>
  <si>
    <t>cylinder diam =150, height =300mm</t>
  </si>
  <si>
    <t>crushed granite</t>
  </si>
  <si>
    <t>VA</t>
  </si>
  <si>
    <t>moist cure for 6 days</t>
  </si>
  <si>
    <t>Recycled fine powder</t>
  </si>
  <si>
    <t>Calcium carbonate</t>
  </si>
  <si>
    <t>Recycled fine powder,Blast furnace slag</t>
  </si>
  <si>
    <t>7 days moist curing then air-dried</t>
  </si>
  <si>
    <t>low-heat cement with fly ash</t>
  </si>
  <si>
    <t>Fog cured for 7 days</t>
  </si>
  <si>
    <t>Limestone fine powder</t>
  </si>
  <si>
    <t>POFA</t>
  </si>
  <si>
    <t># 0001</t>
  </si>
  <si>
    <t># 0002</t>
  </si>
  <si>
    <t># 0003</t>
  </si>
  <si>
    <t># 0004</t>
  </si>
  <si>
    <t># 0005</t>
  </si>
  <si>
    <t># 0006</t>
  </si>
  <si>
    <t># 0007</t>
  </si>
  <si>
    <t># 0008</t>
  </si>
  <si>
    <t># 0009</t>
  </si>
  <si>
    <t># 0010</t>
  </si>
  <si>
    <t># 0011</t>
  </si>
  <si>
    <t># 0012</t>
  </si>
  <si>
    <t># 0013</t>
  </si>
  <si>
    <t># 0014</t>
  </si>
  <si>
    <t># 0015</t>
  </si>
  <si>
    <t># 0016</t>
  </si>
  <si>
    <t># 0017</t>
  </si>
  <si>
    <t># 0018</t>
  </si>
  <si>
    <t># 0019</t>
  </si>
  <si>
    <t># 0020</t>
  </si>
  <si>
    <t># 0021</t>
  </si>
  <si>
    <t># 0022</t>
  </si>
  <si>
    <t># 0023</t>
  </si>
  <si>
    <t># 0024</t>
  </si>
  <si>
    <t># 0025</t>
  </si>
  <si>
    <t># 0026</t>
  </si>
  <si>
    <t># 0027</t>
  </si>
  <si>
    <t># 0028</t>
  </si>
  <si>
    <t># 0029</t>
  </si>
  <si>
    <t># 0030</t>
  </si>
  <si>
    <t># 0031</t>
  </si>
  <si>
    <t># 0032</t>
  </si>
  <si>
    <t># 0033</t>
  </si>
  <si>
    <t># 0034</t>
  </si>
  <si>
    <t># 0035</t>
  </si>
  <si>
    <t># 0036</t>
  </si>
  <si>
    <t># 0037</t>
  </si>
  <si>
    <t># 0038</t>
  </si>
  <si>
    <t># 0039</t>
  </si>
  <si>
    <t># 0040</t>
  </si>
  <si>
    <t># 0041</t>
  </si>
  <si>
    <t># 0042</t>
  </si>
  <si>
    <t># 0043</t>
  </si>
  <si>
    <t># 0044</t>
  </si>
  <si>
    <t># 0045</t>
  </si>
  <si>
    <t># 0046</t>
  </si>
  <si>
    <t># 0047</t>
  </si>
  <si>
    <t># 0048</t>
  </si>
  <si>
    <t># 0049</t>
  </si>
  <si>
    <t># 0050</t>
  </si>
  <si>
    <t># 0051</t>
  </si>
  <si>
    <t># 0052</t>
  </si>
  <si>
    <t># 0053</t>
  </si>
  <si>
    <t># 0054</t>
  </si>
  <si>
    <t># 0055</t>
  </si>
  <si>
    <t># 0056</t>
  </si>
  <si>
    <t># 0057</t>
  </si>
  <si>
    <t># 0058</t>
  </si>
  <si>
    <t># 0059</t>
  </si>
  <si>
    <t># 0060</t>
  </si>
  <si>
    <t># 0061</t>
  </si>
  <si>
    <t># 0062</t>
  </si>
  <si>
    <t># 0063</t>
  </si>
  <si>
    <t># 0064</t>
  </si>
  <si>
    <t># 0065</t>
  </si>
  <si>
    <t># 0066</t>
  </si>
  <si>
    <t># 0067</t>
  </si>
  <si>
    <t># 0068</t>
  </si>
  <si>
    <t># 0069</t>
  </si>
  <si>
    <t># 0070</t>
  </si>
  <si>
    <t># 0071</t>
  </si>
  <si>
    <t># 0072</t>
  </si>
  <si>
    <t># 0073</t>
  </si>
  <si>
    <t># 0074</t>
  </si>
  <si>
    <t># 0075</t>
  </si>
  <si>
    <t># 0076</t>
  </si>
  <si>
    <t># 0077</t>
  </si>
  <si>
    <t># 0078</t>
  </si>
  <si>
    <t># 0079</t>
  </si>
  <si>
    <t># 0080</t>
  </si>
  <si>
    <t># 0081</t>
  </si>
  <si>
    <t># 0082</t>
  </si>
  <si>
    <t># 0083</t>
  </si>
  <si>
    <t># 0084</t>
  </si>
  <si>
    <t># 0085</t>
  </si>
  <si>
    <t># 0086</t>
  </si>
  <si>
    <t># 0087</t>
  </si>
  <si>
    <t># 0088</t>
  </si>
  <si>
    <t># 0089</t>
  </si>
  <si>
    <t># 0090</t>
  </si>
  <si>
    <t># 0091</t>
  </si>
  <si>
    <t># 0092</t>
  </si>
  <si>
    <t># 0093</t>
  </si>
  <si>
    <t># 0094</t>
  </si>
  <si>
    <t># 0095</t>
  </si>
  <si>
    <t># 0096</t>
  </si>
  <si>
    <t># 0097</t>
  </si>
  <si>
    <t># 0098</t>
  </si>
  <si>
    <t># 0099</t>
  </si>
  <si>
    <t># 0100</t>
  </si>
  <si>
    <t># 0101</t>
  </si>
  <si>
    <t># 0102</t>
  </si>
  <si>
    <t># 0103</t>
  </si>
  <si>
    <t># 0104</t>
  </si>
  <si>
    <t># 0105</t>
  </si>
  <si>
    <t># 0106</t>
  </si>
  <si>
    <t># 0107</t>
  </si>
  <si>
    <t># 0108</t>
  </si>
  <si>
    <t># 0109</t>
  </si>
  <si>
    <t># 0110</t>
  </si>
  <si>
    <t># 0111</t>
  </si>
  <si>
    <t># 0112</t>
  </si>
  <si>
    <t># 0113</t>
  </si>
  <si>
    <t># 0114</t>
  </si>
  <si>
    <t># 0115</t>
  </si>
  <si>
    <t># 0116</t>
  </si>
  <si>
    <t># 0117</t>
  </si>
  <si>
    <t># 0118</t>
  </si>
  <si>
    <t># 0119</t>
  </si>
  <si>
    <t># 0120</t>
  </si>
  <si>
    <t># 0121</t>
  </si>
  <si>
    <t># 0122</t>
  </si>
  <si>
    <t># 0123</t>
  </si>
  <si>
    <t># 0124</t>
  </si>
  <si>
    <t># 0125</t>
  </si>
  <si>
    <t># 0126</t>
  </si>
  <si>
    <t># 0127</t>
  </si>
  <si>
    <t># 0128</t>
  </si>
  <si>
    <t># 0129</t>
  </si>
  <si>
    <t># 0130</t>
  </si>
  <si>
    <t># 0131</t>
  </si>
  <si>
    <t># 0132</t>
  </si>
  <si>
    <t># 0133</t>
  </si>
  <si>
    <t># 0134</t>
  </si>
  <si>
    <t># 0135</t>
  </si>
  <si>
    <t># 0136</t>
  </si>
  <si>
    <t># 0137</t>
  </si>
  <si>
    <t># 0138</t>
  </si>
  <si>
    <t># 0139</t>
  </si>
  <si>
    <t># 0140</t>
  </si>
  <si>
    <t># 0141</t>
  </si>
  <si>
    <t># 0142</t>
  </si>
  <si>
    <t># 0143</t>
  </si>
  <si>
    <t># 0144</t>
  </si>
  <si>
    <t># 0145</t>
  </si>
  <si>
    <t># 0146</t>
  </si>
  <si>
    <t># 0147</t>
  </si>
  <si>
    <t># 0148</t>
  </si>
  <si>
    <t># 0149</t>
  </si>
  <si>
    <t># 0150</t>
  </si>
  <si>
    <t># 0151</t>
  </si>
  <si>
    <t># 0152</t>
  </si>
  <si>
    <t># 0153</t>
  </si>
  <si>
    <t># 0154</t>
  </si>
  <si>
    <t># 0155</t>
  </si>
  <si>
    <t># 0156</t>
  </si>
  <si>
    <t># 0157</t>
  </si>
  <si>
    <t># 0158</t>
  </si>
  <si>
    <t># 0159</t>
  </si>
  <si>
    <t># 0160</t>
  </si>
  <si>
    <t># 0161</t>
  </si>
  <si>
    <t># 0162</t>
  </si>
  <si>
    <t># 0163</t>
  </si>
  <si>
    <t># 0164</t>
  </si>
  <si>
    <t># 0165</t>
  </si>
  <si>
    <t># 0166</t>
  </si>
  <si>
    <t># 0167</t>
  </si>
  <si>
    <t># 0168</t>
  </si>
  <si>
    <t># 0169</t>
  </si>
  <si>
    <t># 0170</t>
  </si>
  <si>
    <t># 0171</t>
  </si>
  <si>
    <t># 0172</t>
  </si>
  <si>
    <t># 0173</t>
  </si>
  <si>
    <t># 0174</t>
  </si>
  <si>
    <t># 0175</t>
  </si>
  <si>
    <t># 0176</t>
  </si>
  <si>
    <t># 0177</t>
  </si>
  <si>
    <t># 0178</t>
  </si>
  <si>
    <t># 0179</t>
  </si>
  <si>
    <t># 0180</t>
  </si>
  <si>
    <t># 0181</t>
  </si>
  <si>
    <t># 0182</t>
  </si>
  <si>
    <t># 0183</t>
  </si>
  <si>
    <t># 0184</t>
  </si>
  <si>
    <t># 0185</t>
  </si>
  <si>
    <t># 0186</t>
  </si>
  <si>
    <t># 0187</t>
  </si>
  <si>
    <t># 0188</t>
  </si>
  <si>
    <t># 0189</t>
  </si>
  <si>
    <t># 0190</t>
  </si>
  <si>
    <t># 0191</t>
  </si>
  <si>
    <t># 0192</t>
  </si>
  <si>
    <t># 0193</t>
  </si>
  <si>
    <t># 0194</t>
  </si>
  <si>
    <t># 0195</t>
  </si>
  <si>
    <t># 0196</t>
  </si>
  <si>
    <t># 0197</t>
  </si>
  <si>
    <t># 0198</t>
  </si>
  <si>
    <t># 0199</t>
  </si>
  <si>
    <t># 0200</t>
  </si>
  <si>
    <t># 0201</t>
  </si>
  <si>
    <t># 0202</t>
  </si>
  <si>
    <t># 0203</t>
  </si>
  <si>
    <t># 0204</t>
  </si>
  <si>
    <t># 0205</t>
  </si>
  <si>
    <t># 0206</t>
  </si>
  <si>
    <t># 0207</t>
  </si>
  <si>
    <t># 0208</t>
  </si>
  <si>
    <t># 0209</t>
  </si>
  <si>
    <t># 0210</t>
  </si>
  <si>
    <t># 0211</t>
  </si>
  <si>
    <t># 0212</t>
  </si>
  <si>
    <t># 0213</t>
  </si>
  <si>
    <t># 0214</t>
  </si>
  <si>
    <t># 0215</t>
  </si>
  <si>
    <t># 0216</t>
  </si>
  <si>
    <t># 0217</t>
  </si>
  <si>
    <t># 0218</t>
  </si>
  <si>
    <t># 0219</t>
  </si>
  <si>
    <t># 0220</t>
  </si>
  <si>
    <t># 0221</t>
  </si>
  <si>
    <t># 0222</t>
  </si>
  <si>
    <t># 0223</t>
  </si>
  <si>
    <t># 0224</t>
  </si>
  <si>
    <t># 0225</t>
  </si>
  <si>
    <t># 0226</t>
  </si>
  <si>
    <t># 0227</t>
  </si>
  <si>
    <t># 0228</t>
  </si>
  <si>
    <t># 0229</t>
  </si>
  <si>
    <t># 0230</t>
  </si>
  <si>
    <t># 0231</t>
  </si>
  <si>
    <t># 0232</t>
  </si>
  <si>
    <t># 0233</t>
  </si>
  <si>
    <t># 0234</t>
  </si>
  <si>
    <t># 0235</t>
  </si>
  <si>
    <t># 0236</t>
  </si>
  <si>
    <t># 0237</t>
  </si>
  <si>
    <t># 0238</t>
  </si>
  <si>
    <t># 0239</t>
  </si>
  <si>
    <t># 0240</t>
  </si>
  <si>
    <t># 0241</t>
  </si>
  <si>
    <t># 0242</t>
  </si>
  <si>
    <t># 0243</t>
  </si>
  <si>
    <t># 0244</t>
  </si>
  <si>
    <t># 0245</t>
  </si>
  <si>
    <t># 0246</t>
  </si>
  <si>
    <t># 0247</t>
  </si>
  <si>
    <t># 0248</t>
  </si>
  <si>
    <t># 0249</t>
  </si>
  <si>
    <t># 0250</t>
  </si>
  <si>
    <t># 0251</t>
  </si>
  <si>
    <t># 0252</t>
  </si>
  <si>
    <t># 0253</t>
  </si>
  <si>
    <t># 0254</t>
  </si>
  <si>
    <t># 0255</t>
  </si>
  <si>
    <t># 0256</t>
  </si>
  <si>
    <t># 0257</t>
  </si>
  <si>
    <t># 0258</t>
  </si>
  <si>
    <t># 0259</t>
  </si>
  <si>
    <t># 0260</t>
  </si>
  <si>
    <t># 0261</t>
  </si>
  <si>
    <t># 0262</t>
  </si>
  <si>
    <t># 0263</t>
  </si>
  <si>
    <t># 0264</t>
  </si>
  <si>
    <t># 0265</t>
  </si>
  <si>
    <t># 0266</t>
  </si>
  <si>
    <t># 0267</t>
  </si>
  <si>
    <t># 0268</t>
  </si>
  <si>
    <t># 0269</t>
  </si>
  <si>
    <t># 0270</t>
  </si>
  <si>
    <t># 0271</t>
  </si>
  <si>
    <t># 0272</t>
  </si>
  <si>
    <t># 0273</t>
  </si>
  <si>
    <t># 0274</t>
  </si>
  <si>
    <t># 0275</t>
  </si>
  <si>
    <t># 0276</t>
  </si>
  <si>
    <t># 0277</t>
  </si>
  <si>
    <t># 0278</t>
  </si>
  <si>
    <t># 0279</t>
  </si>
  <si>
    <t># 0280</t>
  </si>
  <si>
    <t># 0281</t>
  </si>
  <si>
    <t># 0282</t>
  </si>
  <si>
    <t># 0283</t>
  </si>
  <si>
    <t># 0284</t>
  </si>
  <si>
    <t># 0285</t>
  </si>
  <si>
    <t># 0286</t>
  </si>
  <si>
    <t># 0287</t>
  </si>
  <si>
    <t># 0288</t>
  </si>
  <si>
    <t># 0289</t>
  </si>
  <si>
    <t># 0290</t>
  </si>
  <si>
    <t># 0291</t>
  </si>
  <si>
    <t>RSA</t>
  </si>
  <si>
    <t>Ballim</t>
  </si>
  <si>
    <t>Theodosiou</t>
  </si>
  <si>
    <t>University of the Witwatersrand</t>
  </si>
  <si>
    <t>Goodman</t>
  </si>
  <si>
    <t>2004</t>
  </si>
  <si>
    <t>1983</t>
  </si>
  <si>
    <t>1978-1980</t>
  </si>
  <si>
    <t>Jaufeerally</t>
  </si>
  <si>
    <t>Booyse</t>
  </si>
  <si>
    <t>Hoppe</t>
  </si>
  <si>
    <t>Uys</t>
  </si>
  <si>
    <t>Grieve</t>
  </si>
  <si>
    <t>Badenhorst</t>
  </si>
  <si>
    <t>Fanourakis</t>
  </si>
  <si>
    <t>Hsu</t>
  </si>
  <si>
    <t>Confidential data source</t>
  </si>
  <si>
    <t>Burmeister</t>
  </si>
  <si>
    <t>Kutegeza</t>
  </si>
  <si>
    <t>CEM I 52,5N Lichtenburg (Lafarge)</t>
  </si>
  <si>
    <t>CEM I 42,5R Durban (NPC)</t>
  </si>
  <si>
    <t>CEM I 42,5N Slurry / PFA Matla</t>
  </si>
  <si>
    <t>CEM I 42,5N Lichtenburg (Lafarge) / GGBS Newcastle</t>
  </si>
  <si>
    <t>CEM I 42,5N Lichtenburg (Lafarge) / PFA Lethabo</t>
  </si>
  <si>
    <t>CEM I 42,5N Dudfield (Alpha) / PFA Lethabo</t>
  </si>
  <si>
    <t>CEM I 42,5N Dudfield (Alpha) / GGBS Newcastle</t>
  </si>
  <si>
    <t>CEM I 42,5R Slurry (PPC)</t>
  </si>
  <si>
    <t>CEM I 52,5N Ulco (Alpha)</t>
  </si>
  <si>
    <t>50/50 CEM I 42,5N Slurry (PPC) / GGBS Vanderbijl</t>
  </si>
  <si>
    <t>CEM I 42,5N Lichtenburg (Lafarge) / GGBS Vanderbijl</t>
  </si>
  <si>
    <t>CEM I 42,5N Riebeeck</t>
  </si>
  <si>
    <t>CEM I 42,5N Lichtenburg</t>
  </si>
  <si>
    <t>CEM I 42,5R</t>
  </si>
  <si>
    <t>CEM I 42,5N</t>
  </si>
  <si>
    <t>CEM II A-M(L) 42,5N</t>
  </si>
  <si>
    <t>CEM II B-M(V/L) 42,5N</t>
  </si>
  <si>
    <t>70/30 CEM I 42,5N / fly ash (Dura Pozz)</t>
  </si>
  <si>
    <t>50/50 CEM I 42,5N / GGBS</t>
  </si>
  <si>
    <t>CEM I 42.5</t>
  </si>
  <si>
    <t>OPC (Anglo Alpha - Dudfield)</t>
  </si>
  <si>
    <t>PPC Jup</t>
  </si>
  <si>
    <t>BC Licht</t>
  </si>
  <si>
    <t xml:space="preserve">CEM I 42,5 </t>
  </si>
  <si>
    <t>CEM I OPC</t>
  </si>
  <si>
    <t>CEM I 42,5 N ex silo PPC GLS</t>
  </si>
  <si>
    <t>CEM I 42 N</t>
  </si>
  <si>
    <t>OPC (ASTM Type 1) source H</t>
  </si>
  <si>
    <t>RHC (ASTM Type 3) source D</t>
  </si>
  <si>
    <t>RHC (ASTM Type 3) source S</t>
  </si>
  <si>
    <t>OPC 42.5</t>
  </si>
  <si>
    <t>CEM III</t>
  </si>
  <si>
    <t>CEM V</t>
  </si>
  <si>
    <t>Wits quartzite</t>
  </si>
  <si>
    <t>Wits quartzite/shale 50/50</t>
  </si>
  <si>
    <t>shale</t>
  </si>
  <si>
    <t>dolerite</t>
  </si>
  <si>
    <t>andesite</t>
  </si>
  <si>
    <t xml:space="preserve">greywacke </t>
  </si>
  <si>
    <t>felsite</t>
  </si>
  <si>
    <t>Daspoort quartzite</t>
  </si>
  <si>
    <t>tillite</t>
  </si>
  <si>
    <t>Pretoria quartzite</t>
  </si>
  <si>
    <t>siltstone</t>
  </si>
  <si>
    <t>Quartz alluvial deposits</t>
  </si>
  <si>
    <t>pit sand Klipheuwel</t>
  </si>
  <si>
    <t>river sand Sundays/dolerite 50/50</t>
  </si>
  <si>
    <t>river sand Verulam</t>
  </si>
  <si>
    <t>river sand Umlaas</t>
  </si>
  <si>
    <t>Cape flats sand</t>
  </si>
  <si>
    <t>natural sand (decomp. granite)</t>
  </si>
  <si>
    <t>dolerite / river sand X 35/65</t>
  </si>
  <si>
    <t>pit sand Ecca</t>
  </si>
  <si>
    <t>pit sand Klipheuwel / dune sand Philippi 50/50</t>
  </si>
  <si>
    <t>river sand Umgeni</t>
  </si>
  <si>
    <t xml:space="preserve">quartzite / pit sand alluvial 50/50 </t>
  </si>
  <si>
    <t xml:space="preserve">dolerite / river sand Y 50/50 </t>
  </si>
  <si>
    <t>river sand Windhoek</t>
  </si>
  <si>
    <t>Ecca grit</t>
  </si>
  <si>
    <t xml:space="preserve">dolomite / river sand Vaal 80/20 </t>
  </si>
  <si>
    <t>Wits quartzite / river sand Vaal 80/20</t>
  </si>
  <si>
    <t xml:space="preserve">granite / river sand Vaal 80/20 </t>
  </si>
  <si>
    <t xml:space="preserve">andesite / river sand Vaal 80/20 </t>
  </si>
  <si>
    <t xml:space="preserve">Pretoria quartzite / river sand Vaal 80/20 </t>
  </si>
  <si>
    <t>tillite / river sand Vaal 80/20</t>
  </si>
  <si>
    <t xml:space="preserve">quartzite / river sand Vaal 80/20 </t>
  </si>
  <si>
    <t xml:space="preserve">pit sand Klipheuwel / river sand Vaal 80/20 </t>
  </si>
  <si>
    <t>Wits quartzite / river sand 75/25</t>
  </si>
  <si>
    <t xml:space="preserve">NU </t>
  </si>
  <si>
    <t>Al-Manaseer &amp; Fayyaz</t>
  </si>
  <si>
    <t xml:space="preserve">RSA </t>
  </si>
  <si>
    <t>CEM II/A-L 32,5N Port Elizabeth (PPC); limestone extender</t>
  </si>
  <si>
    <t>CEM II/A-V 32,5N Dudfield/Brakpan (Alpha); FA extender</t>
  </si>
  <si>
    <t xml:space="preserve">CEM II/B-V 32,5N Brakpan (Alpha); FA extender </t>
  </si>
  <si>
    <t xml:space="preserve">CEM II/A-V 32,5N Hercules (PPC); FA extender </t>
  </si>
  <si>
    <t>CEM II/A-L 32,5N Ulco (Alpha); limestone extender</t>
  </si>
  <si>
    <t>CEM II/B-V 32,5N Lichtenburg (Lafarge); FA extender</t>
  </si>
  <si>
    <t xml:space="preserve">CEM II/B-V 32,5N Lichtenburg (Lafarge); FA extender </t>
  </si>
  <si>
    <t>CEM III/A 32,5N Durban (NPC); GGBS extender</t>
  </si>
  <si>
    <t>CEM II/A-S 42,5N Durban (NPC); GGBS extender</t>
  </si>
  <si>
    <t>CEM II/B-S 42,5N Durban (NPC); GGBS extender</t>
  </si>
  <si>
    <t>CEM II A-L 42,5R; limestone extender</t>
  </si>
  <si>
    <t>CEM II A-V 42,5N; FA extender</t>
  </si>
  <si>
    <t>CEM V A 32,5N; GGBS pozzolana &amp;/ FA extender</t>
  </si>
  <si>
    <t>OPC; Conplast AE 316 admixture</t>
  </si>
  <si>
    <t>CEM I 42.5; naphthalene based lignosulphate (water red admix to increase slump) - ABE/Fosroc admixture</t>
  </si>
  <si>
    <t>OPC; superplasticiser</t>
  </si>
  <si>
    <t xml:space="preserve">CEM I 42.5; Sikament 163 superplasticiser </t>
  </si>
  <si>
    <t>OPC; Pozzolith 100XR</t>
  </si>
  <si>
    <t>OPC; Embecon 122N plasticiser</t>
  </si>
  <si>
    <t>CEM I 42,5 (Anglo Alpha - Dudfield); Chryso P260</t>
  </si>
  <si>
    <t xml:space="preserve">CEM I 42 N; Sikament 163 superplasticiser </t>
  </si>
  <si>
    <t>OPC CEM I; Omega 101</t>
  </si>
  <si>
    <t xml:space="preserve">CEM I 42.5; Sikament NN superplasticiser </t>
  </si>
  <si>
    <t>100 x 100 x 200</t>
  </si>
  <si>
    <t>cylinder diam=290, height=150</t>
  </si>
  <si>
    <t>cylinder diam=300, height=150</t>
  </si>
  <si>
    <t>102 x 102 x 230</t>
  </si>
  <si>
    <t>100 x 100 x 200, ends sealed</t>
  </si>
  <si>
    <t>cylinder diam=104.5, height=304.8</t>
  </si>
  <si>
    <t xml:space="preserve">300 x 51 x 51 </t>
  </si>
  <si>
    <t>cylinder diam=150, s.area/vol=33.33</t>
  </si>
  <si>
    <t>300 x 100 x 100 ends NOT sealed</t>
  </si>
  <si>
    <t>200 x 101.6 x 101.6</t>
  </si>
  <si>
    <t>285 x 75 x 75 mm, ends not sealed</t>
  </si>
  <si>
    <t>cylinder diam=100, height=300mm, ends sealed</t>
  </si>
  <si>
    <t>cylinder diam=100, height=300mm</t>
  </si>
  <si>
    <t>C 104,8x304,8</t>
  </si>
  <si>
    <t>C 104,8x304,9</t>
  </si>
  <si>
    <t>C 104,8x304,10</t>
  </si>
  <si>
    <t>P 88,4x266,7</t>
  </si>
  <si>
    <t>C 152,4x406,4</t>
  </si>
  <si>
    <t>C 152,4x406,5</t>
  </si>
  <si>
    <t>C 152,4x406,6</t>
  </si>
  <si>
    <t>C 152,4x406,7</t>
  </si>
  <si>
    <t>100C room for 2 days before test, cured for 28 days</t>
  </si>
  <si>
    <t>membrane curing</t>
  </si>
  <si>
    <t>Text in Blue</t>
  </si>
  <si>
    <t>Calculated or reasonably assumed info</t>
  </si>
  <si>
    <t>Data files held at the University of the Witwatersrand, Johannesburg. The work was done for the Cement and Concrete Institute but the corresponding final report could not be traced.</t>
  </si>
  <si>
    <t>Data file held at the University of the Witwatersrand, Johannesburg. Publication or dissertation could not be traced. Work carried out by H. Jaufeerally.</t>
  </si>
  <si>
    <t>Confidential data source.</t>
  </si>
  <si>
    <t>ID entry</t>
  </si>
  <si>
    <t>File data reference</t>
  </si>
  <si>
    <t>Author last name</t>
  </si>
  <si>
    <t>Region abbv.</t>
  </si>
  <si>
    <t>Database ref</t>
  </si>
  <si>
    <t>Ref #</t>
  </si>
  <si>
    <t>cem_prov specified</t>
  </si>
  <si>
    <t>agg classification</t>
  </si>
  <si>
    <t>agg_fine specified</t>
  </si>
  <si>
    <t>agg_description specified</t>
  </si>
  <si>
    <t>Curing method</t>
  </si>
  <si>
    <r>
      <t>timescale</t>
    </r>
    <r>
      <rPr>
        <sz val="11"/>
        <color theme="1"/>
        <rFont val="Calibri"/>
        <family val="2"/>
        <scheme val="minor"/>
      </rPr>
      <t xml:space="preserve"> log/linear/table</t>
    </r>
  </si>
  <si>
    <r>
      <t xml:space="preserve">type </t>
    </r>
    <r>
      <rPr>
        <sz val="11"/>
        <color theme="1"/>
        <rFont val="Calibri"/>
        <family val="2"/>
        <scheme val="minor"/>
      </rPr>
      <t>total/auto/drying</t>
    </r>
  </si>
  <si>
    <t xml:space="preserve">Al-Manaseer, A. &amp; Fayyaz, A. 2011. Creep and drying shrinkage of High Performance Concrete for the Skyway structures of the new San Francisco – Oakland Bay Bridge and Cement Paste (TECHNICAL No. CA 10-1131). Department of Civil Engineering, California.  </t>
  </si>
  <si>
    <r>
      <t xml:space="preserve">Tcur                                                  </t>
    </r>
    <r>
      <rPr>
        <sz val="11"/>
        <rFont val="Calibri"/>
        <family val="2"/>
        <scheme val="minor"/>
      </rPr>
      <t xml:space="preserve">    °C</t>
    </r>
  </si>
  <si>
    <t>42,5 N</t>
  </si>
  <si>
    <t>32,5 N</t>
  </si>
  <si>
    <t>42,5 R</t>
  </si>
  <si>
    <t xml:space="preserve">R </t>
  </si>
  <si>
    <t>52,5 N</t>
  </si>
  <si>
    <t>42.5 R</t>
  </si>
  <si>
    <t>52,5 R</t>
  </si>
  <si>
    <t>52,5 R-HS/NA</t>
  </si>
  <si>
    <t>Type II (Moderate Heat Portland)</t>
  </si>
  <si>
    <t>13</t>
  </si>
  <si>
    <t>Insufficient data to distinguish experiments</t>
  </si>
  <si>
    <r>
      <t xml:space="preserve">Slag </t>
    </r>
    <r>
      <rPr>
        <sz val="11"/>
        <rFont val="Calibri"/>
        <family val="2"/>
        <scheme val="minor"/>
      </rPr>
      <t>%/c</t>
    </r>
  </si>
  <si>
    <r>
      <t xml:space="preserve">Corex Slag </t>
    </r>
    <r>
      <rPr>
        <sz val="11"/>
        <rFont val="Calibri"/>
        <family val="2"/>
        <scheme val="minor"/>
      </rPr>
      <t>%/c</t>
    </r>
  </si>
  <si>
    <r>
      <t xml:space="preserve">Ferro Slag </t>
    </r>
    <r>
      <rPr>
        <sz val="11"/>
        <rFont val="Calibri"/>
        <family val="2"/>
        <scheme val="minor"/>
      </rPr>
      <t>%/c</t>
    </r>
  </si>
  <si>
    <t>Unknown amount of Superplasticizer</t>
  </si>
  <si>
    <t>Unknown amount of Shrinkage-reducing admixture</t>
  </si>
  <si>
    <t>fc(5)=64.1, tested at setting, assumed about 6 hours; 6kg shrinkage reducing</t>
  </si>
  <si>
    <r>
      <t xml:space="preserve">Superp / HRWR                 </t>
    </r>
    <r>
      <rPr>
        <sz val="11"/>
        <rFont val="Calibri"/>
        <family val="2"/>
        <scheme val="minor"/>
      </rPr>
      <t>%/c</t>
    </r>
  </si>
  <si>
    <r>
      <t xml:space="preserve">Plasticiser / LRWR               </t>
    </r>
    <r>
      <rPr>
        <sz val="11"/>
        <rFont val="Calibri"/>
        <family val="2"/>
        <scheme val="minor"/>
      </rPr>
      <t>%/c</t>
    </r>
  </si>
  <si>
    <t>Hight strength admixture: 3,09</t>
  </si>
  <si>
    <t>calcium carbonate: 46,89</t>
  </si>
  <si>
    <t>Calcium carbonate: 49,45</t>
  </si>
  <si>
    <t>POFA: 24,92</t>
  </si>
  <si>
    <t>POFA: 42,95</t>
  </si>
  <si>
    <t>POFA: 66,67</t>
  </si>
  <si>
    <t>Dryng sludge: 24,9</t>
  </si>
  <si>
    <t>agg_coarse specified</t>
  </si>
  <si>
    <t>CEM II 42.5; Insufficient data to distinguish experiments</t>
  </si>
  <si>
    <t>NU-ITI cem classification</t>
  </si>
  <si>
    <t>RSA Database cem classification</t>
  </si>
  <si>
    <t>Technical Report (Al-Manaseer and Fayyaz, 2011)</t>
  </si>
  <si>
    <r>
      <t>timescale</t>
    </r>
    <r>
      <rPr>
        <sz val="11"/>
        <rFont val="Calibri"/>
        <family val="2"/>
        <scheme val="minor"/>
      </rPr>
      <t xml:space="preserve"> log/linear/table</t>
    </r>
  </si>
  <si>
    <r>
      <t xml:space="preserve">type </t>
    </r>
    <r>
      <rPr>
        <sz val="11"/>
        <rFont val="Calibri"/>
        <family val="2"/>
        <scheme val="minor"/>
      </rPr>
      <t>total/auto/drying</t>
    </r>
  </si>
  <si>
    <r>
      <t xml:space="preserve">w                      </t>
    </r>
    <r>
      <rPr>
        <sz val="11"/>
        <rFont val="Calibri"/>
        <family val="2"/>
        <scheme val="minor"/>
      </rPr>
      <t xml:space="preserve"> kg/m2</t>
    </r>
  </si>
  <si>
    <r>
      <t xml:space="preserve">c                      </t>
    </r>
    <r>
      <rPr>
        <sz val="11"/>
        <rFont val="Calibri"/>
        <family val="2"/>
        <scheme val="minor"/>
      </rPr>
      <t xml:space="preserve"> kg/m3</t>
    </r>
  </si>
  <si>
    <r>
      <t xml:space="preserve">stone content                      </t>
    </r>
    <r>
      <rPr>
        <sz val="11"/>
        <rFont val="Calibri"/>
        <family val="2"/>
        <scheme val="minor"/>
      </rPr>
      <t xml:space="preserve"> kg/m4</t>
    </r>
  </si>
  <si>
    <r>
      <t xml:space="preserve">Filler/c        </t>
    </r>
    <r>
      <rPr>
        <sz val="11"/>
        <rFont val="Calibri"/>
        <family val="2"/>
        <scheme val="minor"/>
      </rPr>
      <t>%/c</t>
    </r>
  </si>
  <si>
    <r>
      <t xml:space="preserve">Limestone/c        </t>
    </r>
    <r>
      <rPr>
        <sz val="11"/>
        <rFont val="Calibri"/>
        <family val="2"/>
        <scheme val="minor"/>
      </rPr>
      <t>%/c</t>
    </r>
  </si>
  <si>
    <r>
      <t xml:space="preserve">Metakaoline/c        </t>
    </r>
    <r>
      <rPr>
        <sz val="11"/>
        <rFont val="Calibri"/>
        <family val="2"/>
        <scheme val="minor"/>
      </rPr>
      <t>%/c</t>
    </r>
  </si>
  <si>
    <r>
      <t xml:space="preserve">VA                      </t>
    </r>
    <r>
      <rPr>
        <sz val="11"/>
        <rFont val="Calibri"/>
        <family val="2"/>
        <scheme val="minor"/>
      </rPr>
      <t>%/c</t>
    </r>
  </si>
  <si>
    <r>
      <t xml:space="preserve">Accel                   </t>
    </r>
    <r>
      <rPr>
        <sz val="11"/>
        <rFont val="Calibri"/>
        <family val="2"/>
        <scheme val="minor"/>
      </rPr>
      <t xml:space="preserve"> %/c</t>
    </r>
  </si>
  <si>
    <r>
      <t xml:space="preserve">SRA                       </t>
    </r>
    <r>
      <rPr>
        <sz val="11"/>
        <rFont val="Calibri"/>
        <family val="2"/>
        <scheme val="minor"/>
      </rPr>
      <t>%/c</t>
    </r>
  </si>
  <si>
    <r>
      <t xml:space="preserve">Re                       </t>
    </r>
    <r>
      <rPr>
        <sz val="11"/>
        <rFont val="Calibri"/>
        <family val="2"/>
        <scheme val="minor"/>
      </rPr>
      <t>%/c</t>
    </r>
  </si>
  <si>
    <r>
      <t xml:space="preserve">AEA                             </t>
    </r>
    <r>
      <rPr>
        <sz val="11"/>
        <rFont val="Calibri"/>
        <family val="2"/>
        <scheme val="minor"/>
      </rPr>
      <t xml:space="preserve">  %/c</t>
    </r>
  </si>
  <si>
    <r>
      <t xml:space="preserve">Expansive add.                      </t>
    </r>
    <r>
      <rPr>
        <sz val="11"/>
        <rFont val="Calibri"/>
        <family val="2"/>
        <scheme val="minor"/>
      </rPr>
      <t xml:space="preserve">  %/c</t>
    </r>
  </si>
  <si>
    <r>
      <t xml:space="preserve">Slump                              </t>
    </r>
    <r>
      <rPr>
        <sz val="11"/>
        <rFont val="Calibri"/>
        <family val="2"/>
        <scheme val="minor"/>
      </rPr>
      <t xml:space="preserve">  mm</t>
    </r>
  </si>
  <si>
    <r>
      <t xml:space="preserve">Geometry                                                  </t>
    </r>
    <r>
      <rPr>
        <sz val="11"/>
        <rFont val="Calibri"/>
        <family val="2"/>
        <scheme val="minor"/>
      </rPr>
      <t>mm</t>
    </r>
  </si>
  <si>
    <r>
      <t xml:space="preserve">r                                                                                           </t>
    </r>
    <r>
      <rPr>
        <sz val="11"/>
        <rFont val="Calibri"/>
        <family val="2"/>
        <scheme val="minor"/>
      </rPr>
      <t>mm</t>
    </r>
  </si>
  <si>
    <r>
      <t xml:space="preserve">b                                                                   </t>
    </r>
    <r>
      <rPr>
        <sz val="11"/>
        <rFont val="Calibri"/>
        <family val="2"/>
        <scheme val="minor"/>
      </rPr>
      <t>mm</t>
    </r>
  </si>
  <si>
    <r>
      <t xml:space="preserve">h                                                </t>
    </r>
    <r>
      <rPr>
        <sz val="11"/>
        <rFont val="Calibri"/>
        <family val="2"/>
        <scheme val="minor"/>
      </rPr>
      <t>mm</t>
    </r>
  </si>
  <si>
    <r>
      <t xml:space="preserve">V/S                                             </t>
    </r>
    <r>
      <rPr>
        <sz val="11"/>
        <rFont val="Calibri"/>
        <family val="2"/>
        <scheme val="minor"/>
      </rPr>
      <t xml:space="preserve">          mm</t>
    </r>
  </si>
  <si>
    <r>
      <t xml:space="preserve">H0                                      </t>
    </r>
    <r>
      <rPr>
        <sz val="11"/>
        <rFont val="Calibri"/>
        <family val="2"/>
        <scheme val="minor"/>
      </rPr>
      <t xml:space="preserve">     %</t>
    </r>
  </si>
  <si>
    <r>
      <t xml:space="preserve">t dry                                                </t>
    </r>
    <r>
      <rPr>
        <sz val="11"/>
        <rFont val="Calibri"/>
        <family val="2"/>
        <scheme val="minor"/>
      </rPr>
      <t xml:space="preserve"> day</t>
    </r>
  </si>
  <si>
    <r>
      <t xml:space="preserve">T                                          </t>
    </r>
    <r>
      <rPr>
        <sz val="11"/>
        <rFont val="Calibri"/>
        <family val="2"/>
        <scheme val="minor"/>
      </rPr>
      <t xml:space="preserve">  °C</t>
    </r>
  </si>
  <si>
    <r>
      <t xml:space="preserve">Heat                                                     </t>
    </r>
    <r>
      <rPr>
        <sz val="11"/>
        <rFont val="Calibri"/>
        <family val="2"/>
        <scheme val="minor"/>
      </rPr>
      <t xml:space="preserve"> °C</t>
    </r>
  </si>
  <si>
    <r>
      <t xml:space="preserve">RH_test         </t>
    </r>
    <r>
      <rPr>
        <sz val="11"/>
        <rFont val="Calibri"/>
        <family val="2"/>
        <scheme val="minor"/>
      </rPr>
      <t xml:space="preserve">    %                          </t>
    </r>
  </si>
  <si>
    <r>
      <t xml:space="preserve">Else                                                   </t>
    </r>
    <r>
      <rPr>
        <sz val="11"/>
        <rFont val="Calibri"/>
        <family val="2"/>
        <scheme val="minor"/>
      </rPr>
      <t>%/c, see note for specification</t>
    </r>
  </si>
  <si>
    <r>
      <t>f</t>
    </r>
    <r>
      <rPr>
        <b/>
        <vertAlign val="subscript"/>
        <sz val="11"/>
        <rFont val="Calibri"/>
        <family val="2"/>
        <scheme val="minor"/>
      </rPr>
      <t xml:space="preserve">c28                   </t>
    </r>
    <r>
      <rPr>
        <vertAlign val="subscript"/>
        <sz val="11"/>
        <rFont val="Calibri"/>
        <family val="2"/>
        <scheme val="minor"/>
      </rPr>
      <t>MPa</t>
    </r>
  </si>
  <si>
    <r>
      <t>f</t>
    </r>
    <r>
      <rPr>
        <b/>
        <vertAlign val="subscript"/>
        <sz val="11"/>
        <rFont val="Calibri"/>
        <family val="2"/>
        <scheme val="minor"/>
      </rPr>
      <t xml:space="preserve">ct0                                        </t>
    </r>
    <r>
      <rPr>
        <vertAlign val="subscript"/>
        <sz val="11"/>
        <rFont val="Calibri"/>
        <family val="2"/>
        <scheme val="minor"/>
      </rPr>
      <t xml:space="preserve"> MPa</t>
    </r>
  </si>
  <si>
    <r>
      <t>E</t>
    </r>
    <r>
      <rPr>
        <b/>
        <vertAlign val="subscript"/>
        <sz val="11"/>
        <rFont val="Calibri"/>
        <family val="2"/>
        <scheme val="minor"/>
      </rPr>
      <t xml:space="preserve">28                                   </t>
    </r>
    <r>
      <rPr>
        <vertAlign val="subscript"/>
        <sz val="11"/>
        <rFont val="Calibri"/>
        <family val="2"/>
        <scheme val="minor"/>
      </rPr>
      <t xml:space="preserve">   MPa</t>
    </r>
  </si>
  <si>
    <t>w/cm</t>
  </si>
  <si>
    <t>a/cm</t>
  </si>
  <si>
    <r>
      <t xml:space="preserve">w </t>
    </r>
    <r>
      <rPr>
        <sz val="11"/>
        <rFont val="Calibri"/>
        <family val="2"/>
        <scheme val="minor"/>
      </rPr>
      <t>(kg/m3)</t>
    </r>
  </si>
  <si>
    <r>
      <t xml:space="preserve">c </t>
    </r>
    <r>
      <rPr>
        <sz val="11"/>
        <rFont val="Calibri"/>
        <family val="2"/>
        <scheme val="minor"/>
      </rPr>
      <t>(kg/m3)</t>
    </r>
  </si>
  <si>
    <r>
      <t xml:space="preserve">cm </t>
    </r>
    <r>
      <rPr>
        <sz val="11"/>
        <rFont val="Calibri"/>
        <family val="2"/>
        <scheme val="minor"/>
      </rPr>
      <t>(kg/m3)</t>
    </r>
  </si>
  <si>
    <r>
      <t>stone content</t>
    </r>
    <r>
      <rPr>
        <sz val="11"/>
        <rFont val="Calibri"/>
        <family val="2"/>
        <scheme val="minor"/>
      </rPr>
      <t xml:space="preserve"> (kg/m3)</t>
    </r>
  </si>
  <si>
    <t>sand content (kg/m3)</t>
  </si>
  <si>
    <t>SANS 50197-1 CEM classification</t>
  </si>
  <si>
    <t>agg_fine specified (Sand type)</t>
  </si>
  <si>
    <t>agg classification (Stone type)</t>
  </si>
  <si>
    <t xml:space="preserve">CEM II B-M </t>
  </si>
  <si>
    <t>0.5 granite, 0.5 limestone</t>
  </si>
  <si>
    <t>C 100 x 200</t>
  </si>
  <si>
    <t>C 150 x 300</t>
  </si>
  <si>
    <t>P 100 x 100 x 200</t>
  </si>
  <si>
    <t xml:space="preserve">CEM II A-L </t>
  </si>
  <si>
    <t xml:space="preserve">CEM II A-V </t>
  </si>
  <si>
    <t xml:space="preserve">CEM II B-V </t>
  </si>
  <si>
    <t>CEM III A</t>
  </si>
  <si>
    <t>CEM II A-V/W</t>
  </si>
  <si>
    <t>CEM II A-L</t>
  </si>
  <si>
    <t>CEM II A-S</t>
  </si>
  <si>
    <t xml:space="preserve">CEM II B-S </t>
  </si>
  <si>
    <t>CEM II A-M(L)</t>
  </si>
  <si>
    <t>CEM II A-V</t>
  </si>
  <si>
    <t>CEM II B-M(V/L)</t>
  </si>
  <si>
    <t>CEM V A</t>
  </si>
  <si>
    <t>CEM II B-V</t>
  </si>
  <si>
    <t>P 102 x 102 x 230</t>
  </si>
  <si>
    <t>qaurtzite</t>
  </si>
  <si>
    <t xml:space="preserve">sandstone </t>
  </si>
  <si>
    <t>CEM I 42.5; naphthalene based lignosulphate (water red admix to increase slump) - ABE/Fosroc admixture. GEOMETRY: ends sealed</t>
  </si>
  <si>
    <t xml:space="preserve">CEM II A-D </t>
  </si>
  <si>
    <t>P 101.6 x 101.6 x 200</t>
  </si>
  <si>
    <t>P 75 x 75 x 285</t>
  </si>
  <si>
    <t>CEM I 42 N; Sikament 163 superplasticiser ; Geometry: Ends not sealed</t>
  </si>
  <si>
    <t>CEM I 42 N; Geometry: ends not sealed</t>
  </si>
  <si>
    <t>CEM II B-S</t>
  </si>
  <si>
    <t>P 100 x 100 x 400</t>
  </si>
  <si>
    <t>CEM II B-V/W</t>
  </si>
  <si>
    <t>CEM II B-M</t>
  </si>
  <si>
    <t>P 75 x 75 x 200</t>
  </si>
  <si>
    <t>C 110 x 220</t>
  </si>
  <si>
    <t>C 267 x 76</t>
  </si>
  <si>
    <t>CEM II A-Q</t>
  </si>
  <si>
    <t>C 152 x 305</t>
  </si>
  <si>
    <t>C 160 x 500</t>
  </si>
  <si>
    <t>CEM II A</t>
  </si>
  <si>
    <t>C 80 x 270</t>
  </si>
  <si>
    <t>CEM unspecified</t>
  </si>
  <si>
    <t>C 98 x 200</t>
  </si>
  <si>
    <t>P 70 x 70 x 200</t>
  </si>
  <si>
    <t>CEM  II B-M</t>
  </si>
  <si>
    <t>C 100 x 500</t>
  </si>
  <si>
    <t>C 55 x 300</t>
  </si>
  <si>
    <t>P 25 x 25 x 285</t>
  </si>
  <si>
    <t>CEM II B-Q</t>
  </si>
  <si>
    <t>P 150 x 150 x 700</t>
  </si>
  <si>
    <t>P 200 x 250 x 300</t>
  </si>
  <si>
    <t>P 200 x 250 x 500</t>
  </si>
  <si>
    <t>P 400 x 400 x 1600</t>
  </si>
  <si>
    <t>P 100 x 100 x 1200</t>
  </si>
  <si>
    <t>P 100 x 100 x 300</t>
  </si>
  <si>
    <t>P 40 x 40 x 1000</t>
  </si>
  <si>
    <t xml:space="preserve">C 22 x 300 </t>
  </si>
  <si>
    <t>P 200 x 200 x 1000</t>
  </si>
  <si>
    <t>C 76 x 255</t>
  </si>
  <si>
    <t>C 160 x 1000</t>
  </si>
  <si>
    <t>P 100 x 100 x 500</t>
  </si>
  <si>
    <t>P 160 x 160 x 40</t>
  </si>
  <si>
    <t>C 102 x 356</t>
  </si>
  <si>
    <t>C 76.2 x 228.6</t>
  </si>
  <si>
    <t>C 101.6 x 304.8</t>
  </si>
  <si>
    <t>C 152.4 x 457.2</t>
  </si>
  <si>
    <t>P 76.2 x 152.4 x 304.8</t>
  </si>
  <si>
    <t>C 104.8 x 304.8</t>
  </si>
  <si>
    <t>C 150 x 600</t>
  </si>
  <si>
    <t>C 150 x 550</t>
  </si>
  <si>
    <t>C 20 x 160</t>
  </si>
  <si>
    <t>uncomparable</t>
  </si>
  <si>
    <t>HSC Dataset No                                     (D1-HSC or D2-HSC)</t>
  </si>
  <si>
    <t>Dataset 3</t>
  </si>
  <si>
    <t>Dataset 4</t>
  </si>
  <si>
    <t>Dataset 5</t>
  </si>
  <si>
    <t>ü</t>
  </si>
  <si>
    <t>D1-HSC; S2-10</t>
  </si>
  <si>
    <t>D1-HSC; S2-08</t>
  </si>
  <si>
    <t>D1-HSC; S2-11</t>
  </si>
  <si>
    <t>D1-HSC; S2-12</t>
  </si>
  <si>
    <t>D1-HSC; S2-13</t>
  </si>
  <si>
    <t>D1-HSC; validation experiment</t>
  </si>
  <si>
    <t>D1-HSC; S2-14</t>
  </si>
  <si>
    <t>D1-HSC; S2-09</t>
  </si>
  <si>
    <t>D1-HSC; S1-04</t>
  </si>
  <si>
    <t>D1-HSC; S1-02</t>
  </si>
  <si>
    <t>D1-HSC; S2-05</t>
  </si>
  <si>
    <t>D1-HSC; S2-02</t>
  </si>
  <si>
    <t>experiment duration &lt; 60 days</t>
  </si>
  <si>
    <t>D1-HSC; S1-01</t>
  </si>
  <si>
    <t>D1-HSC; S2-01</t>
  </si>
  <si>
    <t xml:space="preserve">D1-HSC; validation experiment </t>
  </si>
  <si>
    <t>D1-HSC; S2-03</t>
  </si>
  <si>
    <t>D1-HSC; S1-03</t>
  </si>
  <si>
    <t>ambiguous aggregate type</t>
  </si>
  <si>
    <t>D1-HSC; S2-04</t>
  </si>
  <si>
    <t>D1-HSC; S2-07</t>
  </si>
  <si>
    <t>D1-HSC; S2-06</t>
  </si>
  <si>
    <t xml:space="preserve">D1-HSC; S2-06 </t>
  </si>
  <si>
    <t>w/cm not ≤ 0.42</t>
  </si>
  <si>
    <t>D1-HSC; S1-05</t>
  </si>
  <si>
    <t>no shrinkage data</t>
  </si>
  <si>
    <t>Strength class &amp; Early strength dev</t>
  </si>
  <si>
    <t>52.5 R / 52.5 N</t>
  </si>
  <si>
    <t>52.5 R / 52.5 N / 42.5 R</t>
  </si>
  <si>
    <t>no shrinkage data; w/cm not ≤ 0.42</t>
  </si>
  <si>
    <t>no increase in shrinkage</t>
  </si>
  <si>
    <t>D2-HSC; validation experiment</t>
  </si>
  <si>
    <t>Uncomparable</t>
  </si>
  <si>
    <t>insufficient data</t>
  </si>
  <si>
    <t>insufficient info on the cement type used</t>
  </si>
  <si>
    <t>insufficient info on the extenders used</t>
  </si>
  <si>
    <t>insufficient info on the FA class</t>
  </si>
  <si>
    <t>swelling</t>
  </si>
  <si>
    <t xml:space="preserve">How to filter the dataset of 562 experiments used in Noordien (2020) study from the 2192 experiments: </t>
  </si>
  <si>
    <t>1. Filter 'R' and 'RS' in Column O (414 experiments)</t>
  </si>
  <si>
    <t>2. From the remainder experiments after step 1, filter for R, 42.5R, 52.5N and 52.5R in Column P (+15 experiments)</t>
  </si>
  <si>
    <t>4. From the remainder experiments after step 3, filter for ≥ 60 Mpa, excluding SL &amp; N experiments in Column O (+13 experiments)</t>
  </si>
  <si>
    <t>3. From the remainder experiments after step 2, filter for w/c ≤ 0.42, excluding SL &amp; N experiments in Column O (+120 experiments)</t>
  </si>
  <si>
    <r>
      <t>f</t>
    </r>
    <r>
      <rPr>
        <vertAlign val="subscript"/>
        <sz val="11"/>
        <color theme="1" tint="0.34998626667073579"/>
        <rFont val="Calibri"/>
        <family val="2"/>
        <scheme val="minor"/>
      </rPr>
      <t>cm28</t>
    </r>
    <r>
      <rPr>
        <sz val="11"/>
        <color theme="1" tint="0.34998626667073579"/>
        <rFont val="Calibri"/>
        <family val="2"/>
        <scheme val="minor"/>
      </rPr>
      <t xml:space="preserve"> not ≥ 60 MPa</t>
    </r>
  </si>
  <si>
    <t>#0011</t>
  </si>
  <si>
    <t>#0013</t>
  </si>
  <si>
    <t>#0015</t>
  </si>
  <si>
    <t>#0017</t>
  </si>
  <si>
    <t>#0021</t>
  </si>
  <si>
    <t>#0025</t>
  </si>
  <si>
    <t>#0031</t>
  </si>
  <si>
    <t>#0033</t>
  </si>
  <si>
    <t>#0047</t>
  </si>
  <si>
    <t>#0049</t>
  </si>
  <si>
    <t>#0053</t>
  </si>
  <si>
    <t>#0079</t>
  </si>
  <si>
    <t>#0081</t>
  </si>
  <si>
    <t>#0083</t>
  </si>
  <si>
    <t>#0105</t>
  </si>
  <si>
    <t>#0109</t>
  </si>
  <si>
    <t>#0110</t>
  </si>
  <si>
    <t>#0111</t>
  </si>
  <si>
    <t>#0115</t>
  </si>
  <si>
    <t>#0116</t>
  </si>
  <si>
    <t>#0117</t>
  </si>
  <si>
    <t>#0119</t>
  </si>
  <si>
    <t>#0121</t>
  </si>
  <si>
    <t>#0123</t>
  </si>
  <si>
    <t>#0125</t>
  </si>
  <si>
    <t>#0127</t>
  </si>
  <si>
    <t>#0131</t>
  </si>
  <si>
    <t>#0139</t>
  </si>
  <si>
    <t>#0140</t>
  </si>
  <si>
    <t>#0141</t>
  </si>
  <si>
    <t>#0142</t>
  </si>
  <si>
    <t>#0143</t>
  </si>
  <si>
    <t>#0144</t>
  </si>
  <si>
    <t>#0145</t>
  </si>
  <si>
    <t>#0146</t>
  </si>
  <si>
    <t>#0150</t>
  </si>
  <si>
    <t>#0158</t>
  </si>
  <si>
    <t>#0225</t>
  </si>
  <si>
    <t>#0228</t>
  </si>
  <si>
    <t>#0231</t>
  </si>
  <si>
    <t>#0234</t>
  </si>
  <si>
    <t>#0237</t>
  </si>
  <si>
    <t>#0240</t>
  </si>
  <si>
    <t>#0246</t>
  </si>
  <si>
    <t>#0249</t>
  </si>
  <si>
    <t>#0252</t>
  </si>
  <si>
    <t>#0255</t>
  </si>
  <si>
    <t>#0258</t>
  </si>
  <si>
    <t>#0261</t>
  </si>
  <si>
    <t>#0264</t>
  </si>
  <si>
    <t>#0016</t>
  </si>
  <si>
    <t>#0019</t>
  </si>
  <si>
    <t>#0023</t>
  </si>
  <si>
    <t>#0027</t>
  </si>
  <si>
    <t>#0029</t>
  </si>
  <si>
    <t>#0032</t>
  </si>
  <si>
    <t>#0035</t>
  </si>
  <si>
    <t>#0037</t>
  </si>
  <si>
    <t>#0039</t>
  </si>
  <si>
    <t>#0041</t>
  </si>
  <si>
    <t>#0043</t>
  </si>
  <si>
    <t>#0045</t>
  </si>
  <si>
    <t>#0051</t>
  </si>
  <si>
    <t>#0055</t>
  </si>
  <si>
    <t>#0057</t>
  </si>
  <si>
    <t>#0059</t>
  </si>
  <si>
    <t>#0061</t>
  </si>
  <si>
    <t>#0063</t>
  </si>
  <si>
    <t>#0065</t>
  </si>
  <si>
    <t>#0077</t>
  </si>
  <si>
    <t>#0078</t>
  </si>
  <si>
    <t>#0080</t>
  </si>
  <si>
    <t>#0085</t>
  </si>
  <si>
    <t>#0087</t>
  </si>
  <si>
    <t>#0089</t>
  </si>
  <si>
    <t>#0091</t>
  </si>
  <si>
    <t>#0093</t>
  </si>
  <si>
    <t>#0095</t>
  </si>
  <si>
    <t>#0097</t>
  </si>
  <si>
    <t>#0108</t>
  </si>
  <si>
    <t>#0217</t>
  </si>
  <si>
    <t>#0219</t>
  </si>
  <si>
    <t>#0221</t>
  </si>
  <si>
    <t>#0243</t>
  </si>
  <si>
    <t>#0267</t>
  </si>
  <si>
    <t>#0270</t>
  </si>
  <si>
    <t>#0276</t>
  </si>
  <si>
    <t>#0278</t>
  </si>
  <si>
    <t>#0280</t>
  </si>
  <si>
    <t>#0282</t>
  </si>
  <si>
    <t>#0283</t>
  </si>
  <si>
    <t>#0284</t>
  </si>
  <si>
    <t>#0286</t>
  </si>
  <si>
    <t>#0289</t>
  </si>
  <si>
    <t>dt</t>
  </si>
  <si>
    <t>H_001_01</t>
  </si>
  <si>
    <t>A_036_05</t>
  </si>
  <si>
    <t>A_036_06</t>
  </si>
  <si>
    <t>A_036_08</t>
  </si>
  <si>
    <t>A_042_05</t>
  </si>
  <si>
    <t>A_048_01</t>
  </si>
  <si>
    <t>A_048_02</t>
  </si>
  <si>
    <t>A_048_03</t>
  </si>
  <si>
    <t>A_048_04</t>
  </si>
  <si>
    <t>A_048_05</t>
  </si>
  <si>
    <t>A_072_13</t>
  </si>
  <si>
    <t>A_072_14</t>
  </si>
  <si>
    <t>A_072_15</t>
  </si>
  <si>
    <t>A_077_01</t>
  </si>
  <si>
    <t>A_077_02</t>
  </si>
  <si>
    <t>A_077_03</t>
  </si>
  <si>
    <t>A_077_04</t>
  </si>
  <si>
    <t xml:space="preserve">shrinkage </t>
  </si>
  <si>
    <t>NU</t>
  </si>
  <si>
    <r>
      <t xml:space="preserve">Badenhorst, S. </t>
    </r>
    <r>
      <rPr>
        <i/>
        <sz val="10"/>
        <rFont val="Arial"/>
        <family val="2"/>
      </rPr>
      <t>A critical review of review of concrete drying shrinkage: test methods, prediction models and factors influencing shrinkage</t>
    </r>
    <r>
      <rPr>
        <sz val="10"/>
        <rFont val="Arial"/>
        <family val="2"/>
      </rPr>
      <t>, MSc (Eng) Dissertation, University of the Witwatersrand, Johannesburg, 2003.</t>
    </r>
  </si>
  <si>
    <r>
      <t xml:space="preserve">Ballim, Y. The effect of shale in quartzite aggregate on the creep and shrinkage of concrete - A comparison with RILEM Model B3, </t>
    </r>
    <r>
      <rPr>
        <i/>
        <sz val="10"/>
        <rFont val="Arial"/>
        <family val="2"/>
      </rPr>
      <t>Materials and Structures</t>
    </r>
    <r>
      <rPr>
        <sz val="10"/>
        <rFont val="Arial"/>
        <family val="2"/>
      </rPr>
      <t xml:space="preserve">, vol. 33, 2000, pp 235-242.
Ballim, Y. Localising international concrete models - the case of creep and shrinkage prediction, </t>
    </r>
    <r>
      <rPr>
        <i/>
        <sz val="10"/>
        <rFont val="Arial"/>
        <family val="2"/>
      </rPr>
      <t>Fifth International Conference on Concrete Technology for Developing Countries</t>
    </r>
    <r>
      <rPr>
        <sz val="10"/>
        <rFont val="Arial"/>
        <family val="2"/>
      </rPr>
      <t>, New Delhi, 17-19 November 1999.</t>
    </r>
  </si>
  <si>
    <r>
      <t xml:space="preserve">Theodosiou, G. </t>
    </r>
    <r>
      <rPr>
        <i/>
        <sz val="10"/>
        <rFont val="Arial"/>
        <family val="2"/>
      </rPr>
      <t>Performance of Selected Cements in Concrete</t>
    </r>
    <r>
      <rPr>
        <sz val="10"/>
        <rFont val="Arial"/>
        <family val="2"/>
      </rPr>
      <t>,  South Africa: Cement and Concrete Institute, 26 July 2001 (C&amp;CI Technical Report).</t>
    </r>
  </si>
  <si>
    <r>
      <t xml:space="preserve">Goodman, H.J. </t>
    </r>
    <r>
      <rPr>
        <i/>
        <sz val="10"/>
        <rFont val="Arial"/>
        <family val="2"/>
      </rPr>
      <t>Report on 2004 Cement Performance Project</t>
    </r>
    <r>
      <rPr>
        <sz val="10"/>
        <rFont val="Arial"/>
        <family val="2"/>
      </rPr>
      <t>, South Africa: Cement and Concrete Institute, 20 July 2005 (C&amp;CI Technical Report).</t>
    </r>
  </si>
  <si>
    <r>
      <t xml:space="preserve">Ballim, Y. </t>
    </r>
    <r>
      <rPr>
        <i/>
        <sz val="10"/>
        <rFont val="Arial"/>
        <family val="2"/>
      </rPr>
      <t>The Concrete Making Properties of the Andesite Lavas from the Langgeleven Formation of the Ventersdorp Supergroup</t>
    </r>
    <r>
      <rPr>
        <sz val="10"/>
        <rFont val="Arial"/>
        <family val="2"/>
      </rPr>
      <t xml:space="preserve">, MSc Dissertation, University of the Witwatersrand, Johannesburg, 1983.
Alexander, M. G. and Ballim, Y. </t>
    </r>
    <r>
      <rPr>
        <i/>
        <sz val="10"/>
        <rFont val="Arial"/>
        <family val="2"/>
      </rPr>
      <t>The concrete-making properties of andesite aggregates</t>
    </r>
    <r>
      <rPr>
        <sz val="10"/>
        <rFont val="Arial"/>
        <family val="2"/>
      </rPr>
      <t>, The Civil Engineer in South Africa, vol. 28(2), 1986, pp. 49–57.</t>
    </r>
  </si>
  <si>
    <r>
      <t xml:space="preserve">Jaufeerally, H. </t>
    </r>
    <r>
      <rPr>
        <i/>
        <sz val="10"/>
        <rFont val="Arial"/>
        <family val="2"/>
      </rPr>
      <t>Performance and Properties of Structural Concrete Made with Corex Slag</t>
    </r>
    <r>
      <rPr>
        <sz val="10"/>
        <rFont val="Arial"/>
        <family val="2"/>
      </rPr>
      <t xml:space="preserve">, MSc Dissertation, University of Cape Town, Cape Town, 2001.
Jaufeerally, H.,  Mackechnie, J. R. and Alexander, M.G. Creep, shrinkage and durability properties of Corex slag concrete, </t>
    </r>
    <r>
      <rPr>
        <i/>
        <sz val="10"/>
        <rFont val="Arial"/>
        <family val="2"/>
      </rPr>
      <t>Creep, Shrinkage and Durability Mechanics of Concrete and Other Quasi-Brittle Materials. Proceedings of the Sixth International Conference, CONREEP-6@MIT</t>
    </r>
    <r>
      <rPr>
        <sz val="10"/>
        <rFont val="Arial"/>
        <family val="2"/>
      </rPr>
      <t>, Cambridge, USA, Aug. 2001.</t>
    </r>
  </si>
  <si>
    <r>
      <t xml:space="preserve">Alexander, M. G.  </t>
    </r>
    <r>
      <rPr>
        <i/>
        <sz val="10"/>
        <rFont val="Arial"/>
        <family val="2"/>
      </rPr>
      <t>Properties of Aggregates in Concrete: Report on Phase 1 Testing of Concretes Made With Aggregates From 13 Different Quarries, and Associated Design Recommendations</t>
    </r>
    <r>
      <rPr>
        <sz val="10"/>
        <rFont val="Arial"/>
        <family val="2"/>
      </rPr>
      <t xml:space="preserve">, 
South Africa: Department of Civil Engineering, University of the Witwatersrand, August 1990.  
Alexander, M. G.  </t>
    </r>
    <r>
      <rPr>
        <i/>
        <sz val="10"/>
        <rFont val="Arial"/>
        <family val="2"/>
      </rPr>
      <t>Properties of Aggregates in Concrete: Report on Phase 2 Testing of Concretes Made With Aggregates From a Further 10 Different Quarries, and Associated Design 
Recommendations,</t>
    </r>
    <r>
      <rPr>
        <sz val="10"/>
        <rFont val="Arial"/>
        <family val="2"/>
      </rPr>
      <t xml:space="preserve"> South Africa: Department of Civil Engineering, University of Cape Town, March 1993.    </t>
    </r>
  </si>
  <si>
    <r>
      <t xml:space="preserve">Booyse, D. </t>
    </r>
    <r>
      <rPr>
        <i/>
        <sz val="10"/>
        <rFont val="Arial"/>
        <family val="2"/>
      </rPr>
      <t>Shrinkage and Curing of High Performance Concrete</t>
    </r>
    <r>
      <rPr>
        <sz val="10"/>
        <rFont val="Arial"/>
        <family val="2"/>
      </rPr>
      <t>, D Booyse, Fourth-year Civil Engineering Thesis, University of Cape Town, Cape Town, 2000.</t>
    </r>
  </si>
  <si>
    <r>
      <t xml:space="preserve">Hoppe, G.E. </t>
    </r>
    <r>
      <rPr>
        <i/>
        <sz val="10"/>
        <rFont val="Arial"/>
        <family val="2"/>
      </rPr>
      <t>Creep, Shrinkage and Elastic Strains in a Pre-Stressed Concrete Bridge – Theoretical and Actual</t>
    </r>
    <r>
      <rPr>
        <sz val="10"/>
        <rFont val="Arial"/>
        <family val="2"/>
      </rPr>
      <t>, MSc Dissertation, University of Cape Town, Cape Town, 1981.</t>
    </r>
  </si>
  <si>
    <r>
      <t xml:space="preserve">Uys, A.J. </t>
    </r>
    <r>
      <rPr>
        <i/>
        <sz val="10"/>
        <rFont val="Arial"/>
        <family val="2"/>
      </rPr>
      <t>The Influence of Fly Ash on the Strength, Elastic Modulus, Shrinkage and Creep of Concrete Made with Cape Town Aggregates with Particular Reference to Alkali-Aggregate Reaction</t>
    </r>
    <r>
      <rPr>
        <sz val="10"/>
        <rFont val="Arial"/>
        <family val="2"/>
      </rPr>
      <t>, MSc Dissertation, University of Cape Town, Cape Town, 1983.</t>
    </r>
  </si>
  <si>
    <r>
      <t xml:space="preserve">Grieve, G. R. H.  </t>
    </r>
    <r>
      <rPr>
        <i/>
        <sz val="10"/>
        <rFont val="Arial"/>
        <family val="2"/>
      </rPr>
      <t>The Influence of Two South African Fly Ashes on the Engineering Properties of Concrete</t>
    </r>
    <r>
      <rPr>
        <sz val="10"/>
        <rFont val="Arial"/>
        <family val="2"/>
      </rPr>
      <t>,  PhD Thesis, University of the Witwatersrand, Johannesburg, 1991.</t>
    </r>
  </si>
  <si>
    <r>
      <t xml:space="preserve">Fanourakis, G.C. </t>
    </r>
    <r>
      <rPr>
        <i/>
        <sz val="10"/>
        <rFont val="Arial"/>
        <family val="2"/>
      </rPr>
      <t>The Influence of Aggregate Stiffness on the Measured and Predicted Creep Behaviour of Concrete</t>
    </r>
    <r>
      <rPr>
        <sz val="10"/>
        <rFont val="Arial"/>
        <family val="2"/>
      </rPr>
      <t>, MSc Dissertation, University of the Witwatersrand, Johannesburg, 1998.</t>
    </r>
  </si>
  <si>
    <r>
      <t xml:space="preserve">Hsu, C.-W.P.  </t>
    </r>
    <r>
      <rPr>
        <i/>
        <sz val="10"/>
        <rFont val="Arial"/>
        <family val="2"/>
      </rPr>
      <t>Alternative Aggregates for Concrete</t>
    </r>
    <r>
      <rPr>
        <sz val="10"/>
        <rFont val="Arial"/>
        <family val="2"/>
      </rPr>
      <t>, Fourth-year Civil Engineering Thesis, University of Cape Town, Cape Town, 2000.</t>
    </r>
  </si>
  <si>
    <r>
      <t xml:space="preserve">Burmeister, N. R.  </t>
    </r>
    <r>
      <rPr>
        <i/>
        <sz val="10"/>
        <rFont val="Arial"/>
        <family val="2"/>
      </rPr>
      <t>Evaluation of Shrinkage Prediction Models for Concrete</t>
    </r>
    <r>
      <rPr>
        <sz val="10"/>
        <rFont val="Arial"/>
        <family val="2"/>
      </rPr>
      <t>,  Fourth-year Civil Engineering Thesis, University of Cape Town, Cape Town, 2007.</t>
    </r>
  </si>
  <si>
    <r>
      <t xml:space="preserve">Kutegeza, B.  </t>
    </r>
    <r>
      <rPr>
        <i/>
        <sz val="10"/>
        <rFont val="Arial"/>
        <family val="2"/>
      </rPr>
      <t>Performance of Concrete made with Commercially Produced Recycled Coarse and Fine Aggregates in the Cape Peninsula</t>
    </r>
    <r>
      <rPr>
        <sz val="10"/>
        <rFont val="Arial"/>
        <family val="2"/>
      </rPr>
      <t>,  MSc Dissertation, University of Cape Town, Cape Town, 2004.</t>
    </r>
  </si>
  <si>
    <r>
      <t xml:space="preserve">Alexander, M. G.  </t>
    </r>
    <r>
      <rPr>
        <i/>
        <sz val="10"/>
        <rFont val="Arial"/>
        <family val="2"/>
      </rPr>
      <t>Deformation properties of blended cement concretes containing blast furnace slag and condensed silica fume</t>
    </r>
    <r>
      <rPr>
        <sz val="10"/>
        <rFont val="Arial"/>
        <family val="2"/>
      </rPr>
      <t>, Advances in Cement Research, vol. 6(22), 1994, pp. 73-81.</t>
    </r>
  </si>
  <si>
    <t>shrinkage strain</t>
  </si>
  <si>
    <t>original RILEM B4</t>
  </si>
  <si>
    <t>modified RILEM B4</t>
  </si>
  <si>
    <t>original MC 2010</t>
  </si>
  <si>
    <t>modified MC 2010</t>
  </si>
  <si>
    <t>original WITS</t>
  </si>
  <si>
    <t>modified WITS</t>
  </si>
  <si>
    <t xml:space="preserve">Number of Datapoints = </t>
  </si>
  <si>
    <t>proposed composit model</t>
  </si>
  <si>
    <t>Validation experiment</t>
  </si>
  <si>
    <t>S2-01</t>
  </si>
  <si>
    <t>S2-02</t>
  </si>
  <si>
    <t>S2-03</t>
  </si>
  <si>
    <t>S2-04</t>
  </si>
  <si>
    <t>S2-05</t>
  </si>
  <si>
    <t>S2-07</t>
  </si>
  <si>
    <t>S2-08</t>
  </si>
  <si>
    <t>S2-09</t>
  </si>
  <si>
    <t>S2-10</t>
  </si>
  <si>
    <t>S2-11</t>
  </si>
  <si>
    <t>S2-12</t>
  </si>
  <si>
    <t>S2-13</t>
  </si>
  <si>
    <t>V</t>
  </si>
  <si>
    <t>D2-HSC subset</t>
  </si>
  <si>
    <t>measured shrinkage</t>
  </si>
  <si>
    <t>COLOUR CODE</t>
  </si>
  <si>
    <t>Text in Red</t>
  </si>
  <si>
    <t>Estimated values produced by statistical consultant Prof Van Schalkwyk (2019-2020)</t>
  </si>
  <si>
    <t>HSC</t>
  </si>
  <si>
    <t>High strength concrete</t>
  </si>
  <si>
    <r>
      <t>f</t>
    </r>
    <r>
      <rPr>
        <b/>
        <vertAlign val="subscript"/>
        <sz val="11"/>
        <color theme="1"/>
        <rFont val="Calibri"/>
        <family val="2"/>
        <scheme val="minor"/>
      </rPr>
      <t>cm28</t>
    </r>
  </si>
  <si>
    <r>
      <t>E</t>
    </r>
    <r>
      <rPr>
        <b/>
        <vertAlign val="subscript"/>
        <sz val="11"/>
        <color theme="1"/>
        <rFont val="Calibri"/>
        <family val="2"/>
        <scheme val="minor"/>
      </rPr>
      <t>28</t>
    </r>
  </si>
  <si>
    <r>
      <t>t</t>
    </r>
    <r>
      <rPr>
        <b/>
        <vertAlign val="subscript"/>
        <sz val="11"/>
        <color theme="1"/>
        <rFont val="Calibri"/>
        <family val="2"/>
        <scheme val="minor"/>
      </rPr>
      <t>0</t>
    </r>
  </si>
  <si>
    <r>
      <t xml:space="preserve">Age at the beginning of drying environmental exposure </t>
    </r>
    <r>
      <rPr>
        <i/>
        <sz val="11"/>
        <color theme="1"/>
        <rFont val="Calibri"/>
        <family val="2"/>
        <scheme val="minor"/>
      </rPr>
      <t>(days)</t>
    </r>
  </si>
  <si>
    <r>
      <t>f</t>
    </r>
    <r>
      <rPr>
        <b/>
        <vertAlign val="subscript"/>
        <sz val="11"/>
        <color theme="1"/>
        <rFont val="Calibri"/>
        <family val="2"/>
        <scheme val="minor"/>
      </rPr>
      <t>ct0</t>
    </r>
  </si>
  <si>
    <r>
      <t xml:space="preserve">Tempurature </t>
    </r>
    <r>
      <rPr>
        <i/>
        <sz val="11"/>
        <color theme="1"/>
        <rFont val="Calibri"/>
        <family val="2"/>
        <scheme val="minor"/>
      </rPr>
      <t>(</t>
    </r>
    <r>
      <rPr>
        <i/>
        <sz val="11"/>
        <color indexed="8"/>
        <rFont val="Calibri"/>
        <family val="2"/>
      </rPr>
      <t>°C)</t>
    </r>
  </si>
  <si>
    <r>
      <t xml:space="preserve">Width of specimen </t>
    </r>
    <r>
      <rPr>
        <i/>
        <sz val="11"/>
        <color theme="1"/>
        <rFont val="Calibri"/>
        <family val="2"/>
        <scheme val="minor"/>
      </rPr>
      <t>(mm)</t>
    </r>
  </si>
  <si>
    <t>cm</t>
  </si>
  <si>
    <r>
      <t xml:space="preserve">agg </t>
    </r>
    <r>
      <rPr>
        <sz val="11"/>
        <rFont val="Calibri"/>
        <family val="2"/>
        <scheme val="minor"/>
      </rPr>
      <t>(kg/m3)</t>
    </r>
  </si>
  <si>
    <r>
      <t xml:space="preserve">Aggregate (stone type) classification </t>
    </r>
    <r>
      <rPr>
        <i/>
        <sz val="11"/>
        <color theme="1"/>
        <rFont val="Calibri"/>
        <family val="2"/>
        <scheme val="minor"/>
      </rPr>
      <t>(kg/m</t>
    </r>
    <r>
      <rPr>
        <i/>
        <vertAlign val="superscript"/>
        <sz val="11"/>
        <color theme="1"/>
        <rFont val="Calibri"/>
        <family val="2"/>
        <scheme val="minor"/>
      </rPr>
      <t>3</t>
    </r>
    <r>
      <rPr>
        <i/>
        <sz val="11"/>
        <color theme="1"/>
        <rFont val="Calibri"/>
        <family val="2"/>
        <scheme val="minor"/>
      </rPr>
      <t>)</t>
    </r>
  </si>
  <si>
    <r>
      <t xml:space="preserve">Fine aggregate (sand type) classification </t>
    </r>
    <r>
      <rPr>
        <i/>
        <sz val="11"/>
        <color theme="1"/>
        <rFont val="Calibri"/>
        <family val="2"/>
        <scheme val="minor"/>
      </rPr>
      <t>(kg/m</t>
    </r>
    <r>
      <rPr>
        <i/>
        <vertAlign val="superscript"/>
        <sz val="11"/>
        <color theme="1"/>
        <rFont val="Calibri"/>
        <family val="2"/>
        <scheme val="minor"/>
      </rPr>
      <t>3</t>
    </r>
    <r>
      <rPr>
        <i/>
        <sz val="11"/>
        <color theme="1"/>
        <rFont val="Calibri"/>
        <family val="2"/>
        <scheme val="minor"/>
      </rPr>
      <t>)</t>
    </r>
  </si>
  <si>
    <r>
      <t xml:space="preserve">Cement content without addivities </t>
    </r>
    <r>
      <rPr>
        <i/>
        <sz val="11"/>
        <color theme="1"/>
        <rFont val="Calibri"/>
        <family val="2"/>
        <scheme val="minor"/>
      </rPr>
      <t>(kg/m</t>
    </r>
    <r>
      <rPr>
        <i/>
        <vertAlign val="superscript"/>
        <sz val="11"/>
        <color indexed="8"/>
        <rFont val="Calibri"/>
        <family val="2"/>
      </rPr>
      <t>3</t>
    </r>
    <r>
      <rPr>
        <i/>
        <sz val="11"/>
        <color indexed="8"/>
        <rFont val="Calibri"/>
        <family val="2"/>
      </rPr>
      <t>)</t>
    </r>
  </si>
  <si>
    <r>
      <t>Cement content with additives (cementitious material)</t>
    </r>
    <r>
      <rPr>
        <i/>
        <sz val="11"/>
        <color theme="1"/>
        <rFont val="Calibri"/>
        <family val="2"/>
        <scheme val="minor"/>
      </rPr>
      <t xml:space="preserve"> (kg/m</t>
    </r>
    <r>
      <rPr>
        <i/>
        <vertAlign val="superscript"/>
        <sz val="11"/>
        <color theme="1"/>
        <rFont val="Calibri"/>
        <family val="2"/>
        <scheme val="minor"/>
      </rPr>
      <t>3</t>
    </r>
    <r>
      <rPr>
        <i/>
        <sz val="11"/>
        <color theme="1"/>
        <rFont val="Calibri"/>
        <family val="2"/>
        <scheme val="minor"/>
      </rPr>
      <t>)</t>
    </r>
  </si>
  <si>
    <t>Adapted CEB Model Code classification</t>
  </si>
  <si>
    <t>Cement type according to CEB Model Code (SL, N, R, RS) and SANS 50197-1</t>
  </si>
  <si>
    <r>
      <t xml:space="preserve">Modulus of elasticity at 28 days of age </t>
    </r>
    <r>
      <rPr>
        <i/>
        <sz val="11"/>
        <color theme="1"/>
        <rFont val="Calibri"/>
        <family val="2"/>
        <scheme val="minor"/>
      </rPr>
      <t>(MPa)</t>
    </r>
  </si>
  <si>
    <r>
      <t xml:space="preserve">Mean compressive strength of concrete at 28 days of age </t>
    </r>
    <r>
      <rPr>
        <i/>
        <sz val="11"/>
        <color theme="1"/>
        <rFont val="Calibri"/>
        <family val="2"/>
        <scheme val="minor"/>
      </rPr>
      <t>(MPa)</t>
    </r>
  </si>
  <si>
    <r>
      <t xml:space="preserve">Compressive strength of concrete at time on loading </t>
    </r>
    <r>
      <rPr>
        <i/>
        <sz val="11"/>
        <color theme="1"/>
        <rFont val="Calibri"/>
        <family val="2"/>
        <scheme val="minor"/>
      </rPr>
      <t>(MPa)</t>
    </r>
  </si>
  <si>
    <r>
      <t>f</t>
    </r>
    <r>
      <rPr>
        <b/>
        <vertAlign val="subscript"/>
        <sz val="11"/>
        <color theme="1"/>
        <rFont val="Calibri"/>
        <family val="2"/>
        <scheme val="minor"/>
      </rPr>
      <t>cm3</t>
    </r>
    <r>
      <rPr>
        <sz val="11"/>
        <color theme="1"/>
        <rFont val="Calibri"/>
        <family val="2"/>
        <scheme val="minor"/>
      </rPr>
      <t/>
    </r>
  </si>
  <si>
    <r>
      <t xml:space="preserve">Mean compressive strength of concrete at 3 days of age </t>
    </r>
    <r>
      <rPr>
        <i/>
        <sz val="11"/>
        <color theme="1"/>
        <rFont val="Calibri"/>
        <family val="2"/>
        <scheme val="minor"/>
      </rPr>
      <t>(MPa)</t>
    </r>
  </si>
  <si>
    <r>
      <t xml:space="preserve">SF                  </t>
    </r>
    <r>
      <rPr>
        <sz val="11"/>
        <rFont val="Calibri"/>
        <family val="2"/>
        <scheme val="minor"/>
      </rPr>
      <t xml:space="preserve">       %/c</t>
    </r>
  </si>
  <si>
    <r>
      <t xml:space="preserve">FA         </t>
    </r>
    <r>
      <rPr>
        <sz val="11"/>
        <rFont val="Calibri"/>
        <family val="2"/>
        <scheme val="minor"/>
      </rPr>
      <t>%/c</t>
    </r>
  </si>
  <si>
    <r>
      <t xml:space="preserve">RH_test         </t>
    </r>
    <r>
      <rPr>
        <sz val="11"/>
        <rFont val="Calibri"/>
        <family val="2"/>
        <scheme val="minor"/>
      </rPr>
      <t xml:space="preserve">   (%)                          </t>
    </r>
  </si>
  <si>
    <r>
      <t xml:space="preserve">Heat                                                     </t>
    </r>
    <r>
      <rPr>
        <sz val="11"/>
        <rFont val="Calibri"/>
        <family val="2"/>
        <scheme val="minor"/>
      </rPr>
      <t xml:space="preserve"> (°C)</t>
    </r>
  </si>
  <si>
    <r>
      <t xml:space="preserve">T                                          </t>
    </r>
    <r>
      <rPr>
        <sz val="11"/>
        <rFont val="Calibri"/>
        <family val="2"/>
        <scheme val="minor"/>
      </rPr>
      <t xml:space="preserve">  (°C)</t>
    </r>
  </si>
  <si>
    <r>
      <t>T</t>
    </r>
    <r>
      <rPr>
        <b/>
        <vertAlign val="subscript"/>
        <sz val="11"/>
        <rFont val="Calibri"/>
        <family val="2"/>
        <scheme val="minor"/>
      </rPr>
      <t xml:space="preserve">cur </t>
    </r>
    <r>
      <rPr>
        <b/>
        <sz val="11"/>
        <rFont val="Calibri"/>
        <family val="2"/>
        <scheme val="minor"/>
      </rPr>
      <t xml:space="preserve">                                                 </t>
    </r>
    <r>
      <rPr>
        <sz val="11"/>
        <rFont val="Calibri"/>
        <family val="2"/>
        <scheme val="minor"/>
      </rPr>
      <t xml:space="preserve">    (°C)</t>
    </r>
  </si>
  <si>
    <r>
      <t>t</t>
    </r>
    <r>
      <rPr>
        <b/>
        <vertAlign val="subscript"/>
        <sz val="11"/>
        <rFont val="Calibri"/>
        <family val="2"/>
        <scheme val="minor"/>
      </rPr>
      <t xml:space="preserve">0    </t>
    </r>
    <r>
      <rPr>
        <b/>
        <sz val="11"/>
        <rFont val="Calibri"/>
        <family val="2"/>
        <scheme val="minor"/>
      </rPr>
      <t xml:space="preserve">                                           </t>
    </r>
    <r>
      <rPr>
        <sz val="11"/>
        <rFont val="Calibri"/>
        <family val="2"/>
        <scheme val="minor"/>
      </rPr>
      <t xml:space="preserve"> (day)</t>
    </r>
  </si>
  <si>
    <r>
      <t>H</t>
    </r>
    <r>
      <rPr>
        <b/>
        <vertAlign val="subscript"/>
        <sz val="11"/>
        <rFont val="Calibri"/>
        <family val="2"/>
        <scheme val="minor"/>
      </rPr>
      <t>0</t>
    </r>
    <r>
      <rPr>
        <b/>
        <sz val="11"/>
        <rFont val="Calibri"/>
        <family val="2"/>
        <scheme val="minor"/>
      </rPr>
      <t xml:space="preserve">                                      </t>
    </r>
    <r>
      <rPr>
        <sz val="11"/>
        <rFont val="Calibri"/>
        <family val="2"/>
        <scheme val="minor"/>
      </rPr>
      <t xml:space="preserve">     (%)</t>
    </r>
  </si>
  <si>
    <r>
      <t xml:space="preserve">V/S                                             </t>
    </r>
    <r>
      <rPr>
        <sz val="11"/>
        <rFont val="Calibri"/>
        <family val="2"/>
        <scheme val="minor"/>
      </rPr>
      <t xml:space="preserve">          (mm)</t>
    </r>
  </si>
  <si>
    <r>
      <t xml:space="preserve">h                                                </t>
    </r>
    <r>
      <rPr>
        <sz val="11"/>
        <color theme="1"/>
        <rFont val="Calibri"/>
        <family val="2"/>
        <scheme val="minor"/>
      </rPr>
      <t>(mm)</t>
    </r>
  </si>
  <si>
    <r>
      <t xml:space="preserve">b                                                                   </t>
    </r>
    <r>
      <rPr>
        <sz val="11"/>
        <color theme="1"/>
        <rFont val="Calibri"/>
        <family val="2"/>
        <scheme val="minor"/>
      </rPr>
      <t>(mm)</t>
    </r>
  </si>
  <si>
    <r>
      <t xml:space="preserve">r                                                                                        </t>
    </r>
    <r>
      <rPr>
        <sz val="11"/>
        <color theme="1"/>
        <rFont val="Calibri"/>
        <family val="2"/>
        <scheme val="minor"/>
      </rPr>
      <t xml:space="preserve">   (mm)</t>
    </r>
  </si>
  <si>
    <r>
      <t xml:space="preserve">Geometry                                                </t>
    </r>
    <r>
      <rPr>
        <sz val="11"/>
        <rFont val="Calibri"/>
        <family val="2"/>
        <scheme val="minor"/>
      </rPr>
      <t xml:space="preserve"> (mm)</t>
    </r>
  </si>
  <si>
    <r>
      <t xml:space="preserve">Slump                              </t>
    </r>
    <r>
      <rPr>
        <sz val="11"/>
        <rFont val="Calibri"/>
        <family val="2"/>
        <scheme val="minor"/>
      </rPr>
      <t xml:space="preserve">  (mm)</t>
    </r>
  </si>
  <si>
    <r>
      <t>f</t>
    </r>
    <r>
      <rPr>
        <b/>
        <vertAlign val="subscript"/>
        <sz val="11"/>
        <rFont val="Calibri"/>
        <family val="2"/>
        <scheme val="minor"/>
      </rPr>
      <t xml:space="preserve">cm28                  </t>
    </r>
    <r>
      <rPr>
        <b/>
        <sz val="11"/>
        <rFont val="Calibri"/>
        <family val="2"/>
        <scheme val="minor"/>
      </rPr>
      <t xml:space="preserve"> </t>
    </r>
    <r>
      <rPr>
        <sz val="11"/>
        <rFont val="Calibri"/>
        <family val="2"/>
        <scheme val="minor"/>
      </rPr>
      <t>(MPa)</t>
    </r>
  </si>
  <si>
    <r>
      <t>f</t>
    </r>
    <r>
      <rPr>
        <b/>
        <vertAlign val="subscript"/>
        <sz val="11"/>
        <rFont val="Calibri"/>
        <family val="2"/>
        <scheme val="minor"/>
      </rPr>
      <t xml:space="preserve">cm3                   </t>
    </r>
    <r>
      <rPr>
        <sz val="11"/>
        <rFont val="Calibri"/>
        <family val="2"/>
        <scheme val="minor"/>
      </rPr>
      <t>(MPa)</t>
    </r>
  </si>
  <si>
    <r>
      <t>f</t>
    </r>
    <r>
      <rPr>
        <b/>
        <vertAlign val="subscript"/>
        <sz val="11"/>
        <rFont val="Calibri"/>
        <family val="2"/>
        <scheme val="minor"/>
      </rPr>
      <t xml:space="preserve">ct0                                        </t>
    </r>
    <r>
      <rPr>
        <vertAlign val="subscript"/>
        <sz val="11"/>
        <rFont val="Calibri"/>
        <family val="2"/>
        <scheme val="minor"/>
      </rPr>
      <t xml:space="preserve"> </t>
    </r>
    <r>
      <rPr>
        <sz val="11"/>
        <rFont val="Calibri"/>
        <family val="2"/>
        <scheme val="minor"/>
      </rPr>
      <t>(MPa)</t>
    </r>
  </si>
  <si>
    <r>
      <t>E</t>
    </r>
    <r>
      <rPr>
        <b/>
        <vertAlign val="subscript"/>
        <sz val="11"/>
        <rFont val="Calibri"/>
        <family val="2"/>
        <scheme val="minor"/>
      </rPr>
      <t xml:space="preserve">28                                   </t>
    </r>
    <r>
      <rPr>
        <vertAlign val="subscript"/>
        <sz val="11"/>
        <rFont val="Calibri"/>
        <family val="2"/>
        <scheme val="minor"/>
      </rPr>
      <t xml:space="preserve">   </t>
    </r>
    <r>
      <rPr>
        <sz val="11"/>
        <rFont val="Calibri"/>
        <family val="2"/>
        <scheme val="minor"/>
      </rPr>
      <t>(GPa)</t>
    </r>
  </si>
  <si>
    <r>
      <t xml:space="preserve">AEA                             </t>
    </r>
    <r>
      <rPr>
        <sz val="11"/>
        <color theme="1"/>
        <rFont val="Calibri"/>
        <family val="2"/>
        <scheme val="minor"/>
      </rPr>
      <t xml:space="preserve">  (%/cm)</t>
    </r>
  </si>
  <si>
    <r>
      <t xml:space="preserve">Re                  </t>
    </r>
    <r>
      <rPr>
        <sz val="11"/>
        <color theme="1"/>
        <rFont val="Calibri"/>
        <family val="2"/>
        <scheme val="minor"/>
      </rPr>
      <t xml:space="preserve">    (%/cm)</t>
    </r>
  </si>
  <si>
    <r>
      <t xml:space="preserve">SRA                       </t>
    </r>
    <r>
      <rPr>
        <sz val="11"/>
        <color theme="1"/>
        <rFont val="Calibri"/>
        <family val="2"/>
        <scheme val="minor"/>
      </rPr>
      <t>(%/cm)</t>
    </r>
  </si>
  <si>
    <r>
      <t xml:space="preserve">Plasticiser / LRWR               </t>
    </r>
    <r>
      <rPr>
        <sz val="11"/>
        <rFont val="Calibri"/>
        <family val="2"/>
        <scheme val="minor"/>
      </rPr>
      <t>(%/cm)</t>
    </r>
  </si>
  <si>
    <r>
      <t xml:space="preserve">Superp / HRWR                 </t>
    </r>
    <r>
      <rPr>
        <sz val="11"/>
        <rFont val="Calibri"/>
        <family val="2"/>
        <scheme val="minor"/>
      </rPr>
      <t>(%/cm)</t>
    </r>
  </si>
  <si>
    <r>
      <t xml:space="preserve">Accel                   </t>
    </r>
    <r>
      <rPr>
        <sz val="11"/>
        <color theme="1"/>
        <rFont val="Calibri"/>
        <family val="2"/>
        <scheme val="minor"/>
      </rPr>
      <t xml:space="preserve"> (%/cm)</t>
    </r>
  </si>
  <si>
    <r>
      <t xml:space="preserve">Expansive add.                      </t>
    </r>
    <r>
      <rPr>
        <sz val="11"/>
        <color theme="1"/>
        <rFont val="Calibri"/>
        <family val="2"/>
        <scheme val="minor"/>
      </rPr>
      <t xml:space="preserve">  (%/cm)</t>
    </r>
  </si>
  <si>
    <r>
      <t xml:space="preserve">VA                      </t>
    </r>
    <r>
      <rPr>
        <sz val="11"/>
        <rFont val="Calibri"/>
        <family val="2"/>
        <scheme val="minor"/>
      </rPr>
      <t>(%/cm)</t>
    </r>
  </si>
  <si>
    <r>
      <t xml:space="preserve">Metakaoline        </t>
    </r>
    <r>
      <rPr>
        <sz val="11"/>
        <color theme="1"/>
        <rFont val="Calibri"/>
        <family val="2"/>
        <scheme val="minor"/>
      </rPr>
      <t>(%/cm)</t>
    </r>
  </si>
  <si>
    <r>
      <t xml:space="preserve">Limestone       </t>
    </r>
    <r>
      <rPr>
        <sz val="11"/>
        <color theme="1"/>
        <rFont val="Calibri"/>
        <family val="2"/>
        <scheme val="minor"/>
      </rPr>
      <t>(%/cm)</t>
    </r>
  </si>
  <si>
    <r>
      <t xml:space="preserve">Filler        </t>
    </r>
    <r>
      <rPr>
        <sz val="11"/>
        <color theme="1"/>
        <rFont val="Calibri"/>
        <family val="2"/>
        <scheme val="minor"/>
      </rPr>
      <t>(%/cm)</t>
    </r>
  </si>
  <si>
    <r>
      <t xml:space="preserve">Ferro Slag </t>
    </r>
    <r>
      <rPr>
        <sz val="11"/>
        <rFont val="Calibri"/>
        <family val="2"/>
        <scheme val="minor"/>
      </rPr>
      <t>(%/cm)</t>
    </r>
  </si>
  <si>
    <r>
      <t xml:space="preserve">Corex Slag </t>
    </r>
    <r>
      <rPr>
        <sz val="11"/>
        <rFont val="Calibri"/>
        <family val="2"/>
        <scheme val="minor"/>
      </rPr>
      <t>(%/cm)</t>
    </r>
  </si>
  <si>
    <r>
      <t xml:space="preserve">Slag </t>
    </r>
    <r>
      <rPr>
        <sz val="11"/>
        <rFont val="Calibri"/>
        <family val="2"/>
        <scheme val="minor"/>
      </rPr>
      <t>(%/cm)</t>
    </r>
  </si>
  <si>
    <r>
      <t xml:space="preserve">SF                   </t>
    </r>
    <r>
      <rPr>
        <sz val="11"/>
        <color theme="1"/>
        <rFont val="Calibri"/>
        <family val="2"/>
        <scheme val="minor"/>
      </rPr>
      <t xml:space="preserve">       (%/cm)</t>
    </r>
  </si>
  <si>
    <r>
      <t xml:space="preserve">FA </t>
    </r>
    <r>
      <rPr>
        <sz val="11"/>
        <rFont val="Calibri"/>
        <family val="2"/>
        <scheme val="minor"/>
      </rPr>
      <t>(%/cm)</t>
    </r>
  </si>
  <si>
    <r>
      <t xml:space="preserve">c                        </t>
    </r>
    <r>
      <rPr>
        <sz val="11"/>
        <rFont val="Calibri"/>
        <family val="2"/>
        <scheme val="minor"/>
      </rPr>
      <t xml:space="preserve"> (%/cm)</t>
    </r>
  </si>
  <si>
    <t xml:space="preserve">RD agg_coarse </t>
  </si>
  <si>
    <t>RD</t>
  </si>
  <si>
    <t>Relative density</t>
  </si>
  <si>
    <t>FA</t>
  </si>
  <si>
    <r>
      <t>H</t>
    </r>
    <r>
      <rPr>
        <b/>
        <vertAlign val="subscript"/>
        <sz val="11"/>
        <color theme="1"/>
        <rFont val="Calibri"/>
        <family val="2"/>
        <scheme val="minor"/>
      </rPr>
      <t>0</t>
    </r>
  </si>
  <si>
    <r>
      <t xml:space="preserve">Relative humidity during the test (99 means a sealed speciment, 100 means storage in water, 101 steam, 85 moist) </t>
    </r>
    <r>
      <rPr>
        <i/>
        <sz val="11"/>
        <color theme="1"/>
        <rFont val="Calibri"/>
        <family val="2"/>
        <scheme val="minor"/>
      </rPr>
      <t>(%)</t>
    </r>
  </si>
  <si>
    <t>Type of shrinkage, i.e. total, drying or autogenous</t>
  </si>
  <si>
    <r>
      <t xml:space="preserve">Volume to surface ratio </t>
    </r>
    <r>
      <rPr>
        <i/>
        <sz val="11"/>
        <color theme="1"/>
        <rFont val="Calibri"/>
        <family val="2"/>
        <scheme val="minor"/>
      </rPr>
      <t>(mm)</t>
    </r>
  </si>
  <si>
    <t>Silica fume content in % of cement weight</t>
  </si>
  <si>
    <t>The water-cement ratio by weight</t>
  </si>
  <si>
    <t>HRWR</t>
  </si>
  <si>
    <t>The water-cementitious material ratio by weight</t>
  </si>
  <si>
    <r>
      <rPr>
        <b/>
        <sz val="11"/>
        <color theme="1"/>
        <rFont val="Calibri"/>
        <family val="2"/>
        <scheme val="minor"/>
      </rPr>
      <t>NU Database Disclaimer</t>
    </r>
    <r>
      <rPr>
        <sz val="11"/>
        <color theme="1"/>
        <rFont val="Calibri"/>
        <family val="2"/>
        <charset val="129"/>
        <scheme val="minor"/>
      </rPr>
      <t>:  All information was entered as provided by the author, all calculations were performed to the best of their (Prof. Zdenek Bazant, Dr. Roman Wendner and  Assist.Prof. Mija Hubler) knowledge. There is no guarantee for completeness and correctness.</t>
    </r>
  </si>
  <si>
    <r>
      <rPr>
        <b/>
        <sz val="11"/>
        <color theme="1"/>
        <rFont val="Calibri"/>
        <family val="2"/>
        <scheme val="minor"/>
      </rPr>
      <t>General Disclaimer</t>
    </r>
    <r>
      <rPr>
        <sz val="11"/>
        <color theme="1"/>
        <rFont val="Calibri"/>
        <family val="2"/>
        <charset val="129"/>
        <scheme val="minor"/>
      </rPr>
      <t>:  All information was entered as provided by the authors Al-Manaseer &amp; Fayyaz (2011) and authors of the RSA Database. All calculations and assumptions were done to the best of Ms. Noordien's knowledge. All estimated values for missing data were done to the best of Prof. Dirk Van Schalkwyk's ability. There is no guarantee for completeness and correctness.</t>
    </r>
  </si>
  <si>
    <t>Volcanic ash in % of cement weight</t>
  </si>
  <si>
    <t>Size and shape of specimens: P - square prism, length x height, in mm; C = solid cylinder, diameter x height in mm; S = slab, length x length x height in mm</t>
  </si>
  <si>
    <t xml:space="preserve">Ms. R. Noordien </t>
  </si>
  <si>
    <t xml:space="preserve">Faculty of Engineering </t>
  </si>
  <si>
    <t>Cape Peninsula University of Technology</t>
  </si>
  <si>
    <t>NU cem classification</t>
  </si>
  <si>
    <t>SANS</t>
  </si>
  <si>
    <t>South African National Standard</t>
  </si>
  <si>
    <t>North Western University</t>
  </si>
  <si>
    <t>Republic of South Africa</t>
  </si>
  <si>
    <t>LRWR</t>
  </si>
  <si>
    <t>Low-range water-reducer (Plasticiser) content in % of cement weight</t>
  </si>
  <si>
    <t>Additional information available regarding the cement used</t>
  </si>
  <si>
    <t>The aggregate-cementitious material ratio by weight</t>
  </si>
  <si>
    <t>Content of air entraining agent in % of cement weight</t>
  </si>
  <si>
    <t>The file name for identifying and cross-referencing the data set</t>
  </si>
  <si>
    <t>Fly ash content in % of cement weight</t>
  </si>
  <si>
    <t>Envrionmental humidity of specimen preconditioning, in % (if unsealed)</t>
  </si>
  <si>
    <t>High-range water-reducer (Superplasticiser) content in % of cement weight</t>
  </si>
  <si>
    <t>Type of heating, if any</t>
  </si>
  <si>
    <t>The number in the reference section to identify the paper</t>
  </si>
  <si>
    <t>Retarder content in % of cement weight</t>
  </si>
  <si>
    <t>Year of test or year of publication</t>
  </si>
  <si>
    <t>TERMS &amp; ABBREVIATIONS</t>
  </si>
  <si>
    <t>SRA</t>
  </si>
  <si>
    <t>Shrinkage reducing admixture content in % of cement weight</t>
  </si>
  <si>
    <t>D2-HSC; S2-12a</t>
  </si>
  <si>
    <t>D2-HSC; S2-02a</t>
  </si>
  <si>
    <t>D2-HSC; S2-05a</t>
  </si>
  <si>
    <t>D2-HSC; S2-09a</t>
  </si>
  <si>
    <t>D2-HSC; S2-04a</t>
  </si>
  <si>
    <t>D2-HSC; S2-01a</t>
  </si>
  <si>
    <t>D2-HSC; S2-03a</t>
  </si>
  <si>
    <t>D2-HSC; S2-10a</t>
  </si>
  <si>
    <t>D2-HSC; S2-11a</t>
  </si>
  <si>
    <t>D2-HSC; S2-08a</t>
  </si>
  <si>
    <t>D2-HSC; S2-07a</t>
  </si>
  <si>
    <t>D2-HSC; S2-06a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</si>
</sst>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quot;R&quot;\ #,##0;[Red]&quot;R&quot;\ \-#,##0"/>
    <numFmt numFmtId="165" formatCode="_(* #,##0.00_);_(* \(#,##0.00\);_(* &quot;-&quot;??_);_(@_)"/>
    <numFmt numFmtId="166" formatCode="0.0"/>
    <numFmt numFmtId="167" formatCode="0.000"/>
    <numFmt numFmtId="168" formatCode="&quot;R&quot;\ #,##0.0;[Red]&quot;R&quot;\ \-#,##0.0"/>
  </numFmts>
  <fonts count="105">
    <font>
      <sz val="11"/>
      <color theme="1"/>
      <name val="Calibri"/>
      <family val="2"/>
      <charset val="129"/>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charset val="129"/>
    </font>
    <font>
      <sz val="10"/>
      <name val="ＭＳ Ｐゴシック"/>
    </font>
    <font>
      <sz val="9"/>
      <color indexed="81"/>
      <name val="Tahoma"/>
      <family val="2"/>
    </font>
    <font>
      <b/>
      <sz val="9"/>
      <color indexed="81"/>
      <name val="Tahoma"/>
      <family val="2"/>
    </font>
    <font>
      <sz val="11"/>
      <color theme="1"/>
      <name val="Calibri"/>
      <family val="2"/>
      <charset val="129"/>
      <scheme val="minor"/>
    </font>
    <font>
      <sz val="11"/>
      <color theme="1"/>
      <name val="Calibri"/>
      <family val="2"/>
      <scheme val="minor"/>
    </font>
    <font>
      <sz val="11"/>
      <color theme="1"/>
      <name val="Calibri"/>
      <family val="3"/>
      <charset val="129"/>
      <scheme val="minor"/>
    </font>
    <font>
      <sz val="11"/>
      <color theme="0"/>
      <name val="Calibri"/>
      <family val="3"/>
      <charset val="129"/>
      <scheme val="minor"/>
    </font>
    <font>
      <sz val="11"/>
      <color rgb="FF9C0006"/>
      <name val="Calibri"/>
      <family val="3"/>
      <charset val="129"/>
      <scheme val="minor"/>
    </font>
    <font>
      <b/>
      <sz val="11"/>
      <color rgb="FFFA7D00"/>
      <name val="Calibri"/>
      <family val="3"/>
      <charset val="129"/>
      <scheme val="minor"/>
    </font>
    <font>
      <b/>
      <sz val="11"/>
      <color theme="0"/>
      <name val="Calibri"/>
      <family val="3"/>
      <charset val="129"/>
      <scheme val="minor"/>
    </font>
    <font>
      <b/>
      <sz val="11"/>
      <color theme="1"/>
      <name val="Calibri"/>
      <family val="2"/>
      <scheme val="minor"/>
    </font>
    <font>
      <i/>
      <sz val="11"/>
      <color rgb="FF7F7F7F"/>
      <name val="Calibri"/>
      <family val="3"/>
      <charset val="129"/>
      <scheme val="minor"/>
    </font>
    <font>
      <sz val="11"/>
      <color rgb="FF006100"/>
      <name val="Calibri"/>
      <family val="3"/>
      <charset val="129"/>
      <scheme val="minor"/>
    </font>
    <font>
      <b/>
      <sz val="15"/>
      <color theme="3"/>
      <name val="Calibri"/>
      <family val="3"/>
      <charset val="129"/>
      <scheme val="minor"/>
    </font>
    <font>
      <b/>
      <sz val="13"/>
      <color theme="3"/>
      <name val="Calibri"/>
      <family val="3"/>
      <charset val="129"/>
      <scheme val="minor"/>
    </font>
    <font>
      <b/>
      <sz val="11"/>
      <color theme="3"/>
      <name val="Calibri"/>
      <family val="3"/>
      <charset val="129"/>
      <scheme val="minor"/>
    </font>
    <font>
      <sz val="11"/>
      <color rgb="FF3F3F76"/>
      <name val="Calibri"/>
      <family val="3"/>
      <charset val="129"/>
      <scheme val="minor"/>
    </font>
    <font>
      <sz val="11"/>
      <color rgb="FFFA7D00"/>
      <name val="Calibri"/>
      <family val="3"/>
      <charset val="129"/>
      <scheme val="minor"/>
    </font>
    <font>
      <sz val="11"/>
      <color rgb="FF9C6500"/>
      <name val="Calibri"/>
      <family val="2"/>
      <scheme val="minor"/>
    </font>
    <font>
      <sz val="11"/>
      <color rgb="FF9C6500"/>
      <name val="Calibri"/>
      <family val="3"/>
      <charset val="129"/>
      <scheme val="minor"/>
    </font>
    <font>
      <b/>
      <sz val="11"/>
      <color rgb="FF3F3F3F"/>
      <name val="Calibri"/>
      <family val="3"/>
      <charset val="129"/>
      <scheme val="minor"/>
    </font>
    <font>
      <b/>
      <sz val="18"/>
      <color theme="3"/>
      <name val="Cambria"/>
      <family val="3"/>
      <charset val="129"/>
      <scheme val="major"/>
    </font>
    <font>
      <b/>
      <sz val="11"/>
      <color theme="1"/>
      <name val="Calibri"/>
      <family val="3"/>
      <charset val="129"/>
      <scheme val="minor"/>
    </font>
    <font>
      <sz val="11"/>
      <color rgb="FFFF0000"/>
      <name val="Calibri"/>
      <family val="2"/>
      <scheme val="minor"/>
    </font>
    <font>
      <sz val="11"/>
      <color rgb="FFFF0000"/>
      <name val="Calibri"/>
      <family val="3"/>
      <charset val="129"/>
      <scheme val="minor"/>
    </font>
    <font>
      <sz val="11"/>
      <color rgb="FF000000"/>
      <name val="Calibri"/>
      <family val="2"/>
      <scheme val="minor"/>
    </font>
    <font>
      <sz val="11"/>
      <name val="Calibri"/>
      <family val="2"/>
      <scheme val="minor"/>
    </font>
    <font>
      <b/>
      <sz val="11"/>
      <name val="Calibri"/>
      <family val="2"/>
      <scheme val="minor"/>
    </font>
    <font>
      <i/>
      <sz val="11"/>
      <color theme="1"/>
      <name val="Calibri"/>
      <family val="2"/>
      <scheme val="minor"/>
    </font>
    <font>
      <sz val="10"/>
      <color theme="1"/>
      <name val="Calibri"/>
      <family val="2"/>
      <scheme val="minor"/>
    </font>
    <font>
      <sz val="10"/>
      <color rgb="FF000000"/>
      <name val="Calibri"/>
      <family val="2"/>
      <scheme val="minor"/>
    </font>
    <font>
      <sz val="10"/>
      <name val="MS Sans Serif"/>
      <family val="2"/>
    </font>
    <font>
      <sz val="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theme="1"/>
      <name val="Calibri"/>
      <family val="2"/>
    </font>
    <font>
      <i/>
      <sz val="11"/>
      <name val="Calibri"/>
      <family val="2"/>
      <scheme val="minor"/>
    </font>
    <font>
      <b/>
      <vertAlign val="subscript"/>
      <sz val="11"/>
      <color theme="1"/>
      <name val="Calibri"/>
      <family val="2"/>
      <scheme val="minor"/>
    </font>
    <font>
      <sz val="12"/>
      <name val="宋体"/>
      <charset val="134"/>
    </font>
    <font>
      <sz val="9"/>
      <color theme="1"/>
      <name val="Calibri"/>
      <family val="2"/>
      <charset val="129"/>
      <scheme val="minor"/>
    </font>
    <font>
      <sz val="11"/>
      <color theme="0"/>
      <name val="Calibri"/>
      <family val="2"/>
      <charset val="129"/>
      <scheme val="minor"/>
    </font>
    <font>
      <u/>
      <sz val="11"/>
      <color theme="10"/>
      <name val="Calibri"/>
      <family val="2"/>
      <charset val="129"/>
      <scheme val="minor"/>
    </font>
    <font>
      <sz val="11"/>
      <color rgb="FF333333"/>
      <name val="Calibri"/>
      <family val="2"/>
      <scheme val="minor"/>
    </font>
    <font>
      <i/>
      <sz val="11"/>
      <color rgb="FF333333"/>
      <name val="Calibri"/>
      <family val="2"/>
      <scheme val="minor"/>
    </font>
    <font>
      <sz val="11"/>
      <color rgb="FF0070C0"/>
      <name val="Calibri"/>
      <family val="2"/>
      <scheme val="minor"/>
    </font>
    <font>
      <sz val="11"/>
      <color theme="3"/>
      <name val="Calibri"/>
      <family val="2"/>
      <scheme val="minor"/>
    </font>
    <font>
      <i/>
      <sz val="11"/>
      <color rgb="FFFF0000"/>
      <name val="Calibri"/>
      <family val="2"/>
      <scheme val="minor"/>
    </font>
    <font>
      <sz val="11"/>
      <color theme="4"/>
      <name val="Calibri"/>
      <family val="2"/>
      <scheme val="minor"/>
    </font>
    <font>
      <i/>
      <sz val="11"/>
      <color theme="3"/>
      <name val="Calibri"/>
      <family val="2"/>
      <scheme val="minor"/>
    </font>
    <font>
      <i/>
      <sz val="11"/>
      <color rgb="FF000000"/>
      <name val="Calibri"/>
      <family val="2"/>
      <scheme val="minor"/>
    </font>
    <font>
      <b/>
      <i/>
      <sz val="11"/>
      <name val="Calibri"/>
      <family val="2"/>
      <scheme val="minor"/>
    </font>
    <font>
      <b/>
      <vertAlign val="subscript"/>
      <sz val="11"/>
      <name val="Calibri"/>
      <family val="2"/>
      <scheme val="minor"/>
    </font>
    <font>
      <vertAlign val="subscript"/>
      <sz val="11"/>
      <name val="Calibri"/>
      <family val="2"/>
      <scheme val="minor"/>
    </font>
    <font>
      <b/>
      <sz val="11"/>
      <color theme="1"/>
      <name val="Wingdings"/>
      <charset val="2"/>
    </font>
    <font>
      <sz val="11"/>
      <color theme="1" tint="0.34998626667073579"/>
      <name val="Calibri"/>
      <family val="2"/>
      <scheme val="minor"/>
    </font>
    <font>
      <vertAlign val="subscript"/>
      <sz val="11"/>
      <color theme="1" tint="0.34998626667073579"/>
      <name val="Calibri"/>
      <family val="2"/>
      <scheme val="minor"/>
    </font>
    <font>
      <i/>
      <sz val="10"/>
      <name val="Arial"/>
      <family val="2"/>
    </font>
    <font>
      <sz val="10"/>
      <name val="Arial"/>
      <family val="2"/>
    </font>
    <font>
      <i/>
      <sz val="11"/>
      <color indexed="8"/>
      <name val="Calibri"/>
      <family val="2"/>
    </font>
    <font>
      <i/>
      <vertAlign val="superscript"/>
      <sz val="11"/>
      <color theme="1"/>
      <name val="Calibri"/>
      <family val="2"/>
      <scheme val="minor"/>
    </font>
    <font>
      <i/>
      <vertAlign val="superscript"/>
      <sz val="11"/>
      <color indexed="8"/>
      <name val="Calibri"/>
      <family val="2"/>
    </font>
  </fonts>
  <fills count="4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63">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D0D7E5"/>
      </left>
      <right style="thin">
        <color rgb="FFD0D7E5"/>
      </right>
      <top style="thin">
        <color rgb="FFD0D7E5"/>
      </top>
      <bottom style="thin">
        <color rgb="FFD0D7E5"/>
      </bottom>
      <diagonal/>
    </border>
    <border>
      <left style="thin">
        <color rgb="FFD0D7E5"/>
      </left>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style="thin">
        <color rgb="FFD0D7E5"/>
      </bottom>
      <diagonal/>
    </border>
    <border>
      <left style="thin">
        <color rgb="FFD0D7E5"/>
      </left>
      <right style="thin">
        <color rgb="FFD0D7E5"/>
      </right>
      <top/>
      <bottom/>
      <diagonal/>
    </border>
    <border>
      <left/>
      <right/>
      <top/>
      <bottom style="thin">
        <color auto="1"/>
      </bottom>
      <diagonal/>
    </border>
    <border>
      <left/>
      <right style="medium">
        <color auto="1"/>
      </right>
      <top/>
      <bottom/>
      <diagonal/>
    </border>
    <border>
      <left style="medium">
        <color auto="1"/>
      </left>
      <right/>
      <top/>
      <bottom/>
      <diagonal/>
    </border>
    <border>
      <left/>
      <right style="thin">
        <color rgb="FFD0D7E5"/>
      </right>
      <top style="thin">
        <color rgb="FFD0D7E5"/>
      </top>
      <bottom style="thin">
        <color rgb="FFD0D7E5"/>
      </bottom>
      <diagonal/>
    </border>
    <border>
      <left/>
      <right/>
      <top style="medium">
        <color auto="1"/>
      </top>
      <bottom/>
      <diagonal/>
    </border>
    <border>
      <left style="medium">
        <color auto="1"/>
      </left>
      <right/>
      <top style="medium">
        <color auto="1"/>
      </top>
      <bottom/>
      <diagonal/>
    </border>
    <border>
      <left style="thin">
        <color rgb="FFD0D7E5"/>
      </left>
      <right style="medium">
        <color auto="1"/>
      </right>
      <top/>
      <bottom style="thin">
        <color rgb="FFD0D7E5"/>
      </bottom>
      <diagonal/>
    </border>
    <border>
      <left style="thin">
        <color rgb="FFD0D7E5"/>
      </left>
      <right style="medium">
        <color auto="1"/>
      </right>
      <top style="thin">
        <color rgb="FFD0D7E5"/>
      </top>
      <bottom style="thin">
        <color rgb="FFD0D7E5"/>
      </bottom>
      <diagonal/>
    </border>
    <border>
      <left style="thin">
        <color rgb="FFD0D7E5"/>
      </left>
      <right/>
      <top/>
      <bottom style="thin">
        <color rgb="FFD0D7E5"/>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D0D7E5"/>
      </left>
      <right/>
      <top style="thin">
        <color rgb="FFD0D7E5"/>
      </top>
      <bottom/>
      <diagonal/>
    </border>
    <border>
      <left/>
      <right style="thin">
        <color rgb="FFD0D7E5"/>
      </right>
      <top/>
      <bottom/>
      <diagonal/>
    </border>
    <border>
      <left/>
      <right style="thin">
        <color rgb="FFD0D7E5"/>
      </right>
      <top/>
      <bottom style="thin">
        <color rgb="FFD0D7E5"/>
      </bottom>
      <diagonal/>
    </border>
    <border>
      <left/>
      <right style="thin">
        <color rgb="FFD0D7E5"/>
      </right>
      <top style="thin">
        <color rgb="FFD0D7E5"/>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rgb="FFD0D7E5"/>
      </top>
      <bottom style="thin">
        <color rgb="FFD0D7E5"/>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auto="1"/>
      </right>
      <top/>
      <bottom style="thin">
        <color rgb="FFD0D7E5"/>
      </bottom>
      <diagonal/>
    </border>
    <border>
      <left style="thin">
        <color rgb="FFD0D7E5"/>
      </left>
      <right style="medium">
        <color auto="1"/>
      </right>
      <top/>
      <bottom/>
      <diagonal/>
    </border>
    <border>
      <left style="medium">
        <color indexed="64"/>
      </left>
      <right style="thin">
        <color rgb="FFD0D7E5"/>
      </right>
      <top style="thin">
        <color rgb="FFD0D7E5"/>
      </top>
      <bottom style="thin">
        <color rgb="FFD0D7E5"/>
      </bottom>
      <diagonal/>
    </border>
    <border>
      <left style="medium">
        <color indexed="64"/>
      </left>
      <right style="thin">
        <color rgb="FFD0D7E5"/>
      </right>
      <top/>
      <bottom style="thin">
        <color rgb="FFD0D7E5"/>
      </bottom>
      <diagonal/>
    </border>
    <border>
      <left style="medium">
        <color indexed="64"/>
      </left>
      <right style="thin">
        <color rgb="FFD0D7E5"/>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auto="1"/>
      </left>
      <right style="medium">
        <color indexed="64"/>
      </right>
      <top style="thin">
        <color indexed="64"/>
      </top>
      <bottom/>
      <diagonal/>
    </border>
    <border>
      <left style="medium">
        <color auto="1"/>
      </left>
      <right/>
      <top style="thin">
        <color indexed="64"/>
      </top>
      <bottom/>
      <diagonal/>
    </border>
    <border>
      <left/>
      <right style="medium">
        <color auto="1"/>
      </right>
      <top style="thin">
        <color indexed="64"/>
      </top>
      <bottom/>
      <diagonal/>
    </border>
    <border>
      <left/>
      <right style="medium">
        <color indexed="64"/>
      </right>
      <top/>
      <bottom style="thin">
        <color auto="1"/>
      </bottom>
      <diagonal/>
    </border>
    <border>
      <left style="thin">
        <color auto="1"/>
      </left>
      <right/>
      <top/>
      <bottom style="medium">
        <color indexed="64"/>
      </bottom>
      <diagonal/>
    </border>
    <border>
      <left style="medium">
        <color indexed="64"/>
      </left>
      <right/>
      <top/>
      <bottom style="thin">
        <color auto="1"/>
      </bottom>
      <diagonal/>
    </border>
    <border>
      <left style="thin">
        <color indexed="64"/>
      </left>
      <right/>
      <top style="medium">
        <color auto="1"/>
      </top>
      <bottom/>
      <diagonal/>
    </border>
  </borders>
  <cellStyleXfs count="45805">
    <xf numFmtId="0" fontId="0" fillId="0" borderId="0">
      <alignment vertical="center"/>
    </xf>
    <xf numFmtId="0" fontId="38" fillId="2" borderId="0" applyNumberFormat="0" applyBorder="0" applyAlignment="0" applyProtection="0">
      <alignment vertical="center"/>
    </xf>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7" borderId="0" applyNumberFormat="0" applyBorder="0" applyAlignment="0" applyProtection="0">
      <alignment vertical="center"/>
    </xf>
    <xf numFmtId="0" fontId="41" fillId="26" borderId="2" applyNumberFormat="0" applyAlignment="0" applyProtection="0">
      <alignment vertical="center"/>
    </xf>
    <xf numFmtId="0" fontId="42" fillId="28" borderId="3" applyNumberFormat="0" applyAlignment="0" applyProtection="0">
      <alignment vertical="center"/>
    </xf>
    <xf numFmtId="165" fontId="36" fillId="0" borderId="0" applyFont="0" applyFill="0" applyBorder="0" applyAlignment="0" applyProtection="0"/>
    <xf numFmtId="0" fontId="44" fillId="0" borderId="0" applyNumberFormat="0" applyFill="0" applyBorder="0" applyAlignment="0" applyProtection="0">
      <alignment vertical="center"/>
    </xf>
    <xf numFmtId="0" fontId="45" fillId="30" borderId="0" applyNumberFormat="0" applyBorder="0" applyAlignment="0" applyProtection="0">
      <alignment vertical="center"/>
    </xf>
    <xf numFmtId="0" fontId="46" fillId="0" borderId="5" applyNumberFormat="0" applyFill="0" applyAlignment="0" applyProtection="0">
      <alignment vertical="center"/>
    </xf>
    <xf numFmtId="0" fontId="47" fillId="0" borderId="6" applyNumberFormat="0" applyFill="0" applyAlignment="0" applyProtection="0">
      <alignment vertical="center"/>
    </xf>
    <xf numFmtId="0" fontId="48" fillId="0" borderId="7" applyNumberFormat="0" applyFill="0" applyAlignment="0" applyProtection="0">
      <alignment vertical="center"/>
    </xf>
    <xf numFmtId="0" fontId="48" fillId="0" borderId="0" applyNumberFormat="0" applyFill="0" applyBorder="0" applyAlignment="0" applyProtection="0">
      <alignment vertical="center"/>
    </xf>
    <xf numFmtId="0" fontId="49" fillId="29" borderId="2" applyNumberFormat="0" applyAlignment="0" applyProtection="0">
      <alignment vertical="center"/>
    </xf>
    <xf numFmtId="0" fontId="50" fillId="0" borderId="8" applyNumberFormat="0" applyFill="0" applyAlignment="0" applyProtection="0">
      <alignment vertical="center"/>
    </xf>
    <xf numFmtId="0" fontId="51" fillId="31" borderId="0" applyNumberFormat="0" applyBorder="0" applyAlignment="0" applyProtection="0"/>
    <xf numFmtId="0" fontId="52" fillId="31" borderId="0" applyNumberFormat="0" applyBorder="0" applyAlignment="0" applyProtection="0">
      <alignment vertical="center"/>
    </xf>
    <xf numFmtId="0" fontId="38" fillId="0" borderId="0"/>
    <xf numFmtId="0" fontId="36" fillId="0" borderId="0">
      <alignment vertical="center"/>
    </xf>
    <xf numFmtId="0" fontId="37" fillId="0" borderId="0"/>
    <xf numFmtId="0" fontId="37" fillId="0" borderId="0"/>
    <xf numFmtId="0" fontId="37" fillId="0" borderId="0"/>
    <xf numFmtId="0" fontId="33" fillId="0" borderId="0"/>
    <xf numFmtId="0" fontId="37" fillId="0" borderId="0"/>
    <xf numFmtId="0" fontId="38" fillId="0" borderId="0">
      <alignment vertical="center"/>
    </xf>
    <xf numFmtId="0" fontId="36" fillId="0" borderId="0">
      <alignment vertical="center"/>
    </xf>
    <xf numFmtId="0" fontId="36" fillId="0" borderId="0">
      <alignment vertical="center"/>
    </xf>
    <xf numFmtId="0" fontId="38" fillId="32" borderId="9" applyNumberFormat="0" applyFont="0" applyAlignment="0" applyProtection="0">
      <alignment vertical="center"/>
    </xf>
    <xf numFmtId="0" fontId="37" fillId="32" borderId="9" applyNumberFormat="0" applyFont="0" applyAlignment="0" applyProtection="0"/>
    <xf numFmtId="0" fontId="53" fillId="26" borderId="1" applyNumberFormat="0" applyAlignment="0" applyProtection="0">
      <alignment vertical="center"/>
    </xf>
    <xf numFmtId="0" fontId="54" fillId="0" borderId="0" applyNumberFormat="0" applyFill="0" applyBorder="0" applyAlignment="0" applyProtection="0">
      <alignment vertical="center"/>
    </xf>
    <xf numFmtId="0" fontId="55" fillId="0" borderId="4" applyNumberFormat="0" applyFill="0" applyAlignment="0" applyProtection="0">
      <alignment vertical="center"/>
    </xf>
    <xf numFmtId="0" fontId="57" fillId="0" borderId="0" applyNumberFormat="0" applyFill="0" applyBorder="0" applyAlignment="0" applyProtection="0">
      <alignment vertical="center"/>
    </xf>
    <xf numFmtId="0" fontId="30" fillId="0" borderId="0"/>
    <xf numFmtId="0" fontId="64" fillId="0" borderId="0"/>
    <xf numFmtId="165" fontId="30" fillId="0" borderId="0" applyFont="0" applyFill="0" applyBorder="0" applyAlignment="0" applyProtection="0"/>
    <xf numFmtId="165" fontId="36" fillId="0" borderId="0" applyFont="0" applyFill="0" applyBorder="0" applyAlignment="0" applyProtection="0"/>
    <xf numFmtId="0" fontId="66" fillId="0" borderId="0" applyNumberFormat="0" applyFill="0" applyBorder="0" applyAlignment="0" applyProtection="0"/>
    <xf numFmtId="0" fontId="67" fillId="0" borderId="5" applyNumberFormat="0" applyFill="0" applyAlignment="0" applyProtection="0"/>
    <xf numFmtId="0" fontId="68" fillId="0" borderId="6" applyNumberFormat="0" applyFill="0" applyAlignment="0" applyProtection="0"/>
    <xf numFmtId="0" fontId="69" fillId="0" borderId="7" applyNumberFormat="0" applyFill="0" applyAlignment="0" applyProtection="0"/>
    <xf numFmtId="0" fontId="69" fillId="0" borderId="0" applyNumberFormat="0" applyFill="0" applyBorder="0" applyAlignment="0" applyProtection="0"/>
    <xf numFmtId="0" fontId="70" fillId="30" borderId="0" applyNumberFormat="0" applyBorder="0" applyAlignment="0" applyProtection="0"/>
    <xf numFmtId="0" fontId="71" fillId="27" borderId="0" applyNumberFormat="0" applyBorder="0" applyAlignment="0" applyProtection="0"/>
    <xf numFmtId="0" fontId="72" fillId="29" borderId="2" applyNumberFormat="0" applyAlignment="0" applyProtection="0"/>
    <xf numFmtId="0" fontId="73" fillId="26" borderId="1" applyNumberFormat="0" applyAlignment="0" applyProtection="0"/>
    <xf numFmtId="0" fontId="74" fillId="26" borderId="2" applyNumberFormat="0" applyAlignment="0" applyProtection="0"/>
    <xf numFmtId="0" fontId="75" fillId="0" borderId="8" applyNumberFormat="0" applyFill="0" applyAlignment="0" applyProtection="0"/>
    <xf numFmtId="0" fontId="76" fillId="28" borderId="3" applyNumberFormat="0" applyAlignment="0" applyProtection="0"/>
    <xf numFmtId="0" fontId="56" fillId="0" borderId="0" applyNumberFormat="0" applyFill="0" applyBorder="0" applyAlignment="0" applyProtection="0"/>
    <xf numFmtId="0" fontId="77" fillId="0" borderId="0" applyNumberFormat="0" applyFill="0" applyBorder="0" applyAlignment="0" applyProtection="0"/>
    <xf numFmtId="0" fontId="43" fillId="0" borderId="4" applyNumberFormat="0" applyFill="0" applyAlignment="0" applyProtection="0"/>
    <xf numFmtId="0" fontId="78" fillId="20" borderId="0" applyNumberFormat="0" applyBorder="0" applyAlignment="0" applyProtection="0"/>
    <xf numFmtId="0" fontId="28" fillId="2" borderId="0" applyNumberFormat="0" applyBorder="0" applyAlignment="0" applyProtection="0"/>
    <xf numFmtId="0" fontId="28" fillId="8" borderId="0" applyNumberFormat="0" applyBorder="0" applyAlignment="0" applyProtection="0"/>
    <xf numFmtId="0" fontId="78" fillId="14" borderId="0" applyNumberFormat="0" applyBorder="0" applyAlignment="0" applyProtection="0"/>
    <xf numFmtId="0" fontId="78" fillId="21" borderId="0" applyNumberFormat="0" applyBorder="0" applyAlignment="0" applyProtection="0"/>
    <xf numFmtId="0" fontId="28" fillId="3" borderId="0" applyNumberFormat="0" applyBorder="0" applyAlignment="0" applyProtection="0"/>
    <xf numFmtId="0" fontId="28" fillId="9" borderId="0" applyNumberFormat="0" applyBorder="0" applyAlignment="0" applyProtection="0"/>
    <xf numFmtId="0" fontId="78" fillId="15" borderId="0" applyNumberFormat="0" applyBorder="0" applyAlignment="0" applyProtection="0"/>
    <xf numFmtId="0" fontId="78" fillId="22"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78" fillId="16" borderId="0" applyNumberFormat="0" applyBorder="0" applyAlignment="0" applyProtection="0"/>
    <xf numFmtId="0" fontId="78" fillId="23"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78" fillId="17" borderId="0" applyNumberFormat="0" applyBorder="0" applyAlignment="0" applyProtection="0"/>
    <xf numFmtId="0" fontId="78" fillId="24"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78" fillId="18" borderId="0" applyNumberFormat="0" applyBorder="0" applyAlignment="0" applyProtection="0"/>
    <xf numFmtId="0" fontId="78" fillId="25"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78"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2" borderId="9" applyNumberFormat="0" applyFont="0" applyAlignment="0" applyProtection="0"/>
    <xf numFmtId="0" fontId="25" fillId="0" borderId="0"/>
    <xf numFmtId="0" fontId="25" fillId="2"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9" borderId="0" applyNumberFormat="0" applyBorder="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36" fillId="0" borderId="0">
      <alignment vertical="center"/>
    </xf>
    <xf numFmtId="165" fontId="36" fillId="0" borderId="0" applyFont="0" applyFill="0" applyBorder="0" applyAlignment="0" applyProtection="0"/>
    <xf numFmtId="0" fontId="25" fillId="0" borderId="0"/>
    <xf numFmtId="0" fontId="25" fillId="0" borderId="0"/>
    <xf numFmtId="0" fontId="25" fillId="0" borderId="0"/>
    <xf numFmtId="0" fontId="25" fillId="0" borderId="0"/>
    <xf numFmtId="0" fontId="25" fillId="32" borderId="9" applyNumberFormat="0" applyFont="0" applyAlignment="0" applyProtection="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32" borderId="9" applyNumberFormat="0" applyFont="0" applyAlignment="0" applyProtection="0"/>
    <xf numFmtId="0" fontId="25" fillId="32" borderId="9" applyNumberFormat="0" applyFont="0" applyAlignment="0" applyProtection="0"/>
    <xf numFmtId="0" fontId="24" fillId="0" borderId="0"/>
    <xf numFmtId="0" fontId="24" fillId="0" borderId="0"/>
    <xf numFmtId="0" fontId="24" fillId="32" borderId="9" applyNumberFormat="0" applyFont="0" applyAlignment="0" applyProtection="0"/>
    <xf numFmtId="0" fontId="24" fillId="2"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0" borderId="0"/>
    <xf numFmtId="0" fontId="24" fillId="0" borderId="0"/>
    <xf numFmtId="0" fontId="24" fillId="0" borderId="0"/>
    <xf numFmtId="0" fontId="24" fillId="0" borderId="0"/>
    <xf numFmtId="0" fontId="24" fillId="32" borderId="9" applyNumberFormat="0" applyFont="0" applyAlignment="0" applyProtection="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32" borderId="9" applyNumberFormat="0" applyFont="0" applyAlignment="0" applyProtection="0"/>
    <xf numFmtId="0" fontId="24" fillId="0" borderId="0"/>
    <xf numFmtId="0" fontId="24" fillId="2"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0" borderId="0"/>
    <xf numFmtId="0" fontId="24" fillId="0" borderId="0"/>
    <xf numFmtId="0" fontId="24" fillId="0" borderId="0"/>
    <xf numFmtId="0" fontId="24" fillId="0" borderId="0"/>
    <xf numFmtId="0" fontId="24" fillId="32" borderId="9" applyNumberFormat="0" applyFont="0" applyAlignment="0" applyProtection="0"/>
    <xf numFmtId="0" fontId="24" fillId="0" borderId="0"/>
    <xf numFmtId="165"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32" borderId="9" applyNumberFormat="0" applyFont="0" applyAlignment="0" applyProtection="0"/>
    <xf numFmtId="0" fontId="24" fillId="32" borderId="9" applyNumberFormat="0" applyFont="0" applyAlignment="0" applyProtection="0"/>
    <xf numFmtId="165" fontId="36" fillId="0" borderId="0" applyFont="0" applyFill="0" applyBorder="0" applyAlignment="0" applyProtection="0"/>
    <xf numFmtId="0" fontId="36" fillId="0" borderId="0">
      <alignment vertical="center"/>
    </xf>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0" borderId="0"/>
    <xf numFmtId="165" fontId="21" fillId="0" borderId="0" applyFont="0" applyFill="0" applyBorder="0" applyAlignment="0" applyProtection="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0" borderId="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0" borderId="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32" borderId="9" applyNumberFormat="0" applyFont="0" applyAlignment="0" applyProtection="0"/>
    <xf numFmtId="0" fontId="21" fillId="0" borderId="0"/>
    <xf numFmtId="0" fontId="21" fillId="0" borderId="0"/>
    <xf numFmtId="0" fontId="21" fillId="32" borderId="9" applyNumberFormat="0" applyFont="0" applyAlignment="0" applyProtection="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0" borderId="0"/>
    <xf numFmtId="0" fontId="21" fillId="0" borderId="0"/>
    <xf numFmtId="0" fontId="21" fillId="0" borderId="0"/>
    <xf numFmtId="0" fontId="21" fillId="0" borderId="0"/>
    <xf numFmtId="0" fontId="21" fillId="32" borderId="9" applyNumberFormat="0" applyFont="0" applyAlignment="0" applyProtection="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0" borderId="0"/>
    <xf numFmtId="0" fontId="21" fillId="2"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0" borderId="0"/>
    <xf numFmtId="16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32" borderId="9" applyNumberFormat="0" applyFont="0" applyAlignment="0" applyProtection="0"/>
    <xf numFmtId="0" fontId="21" fillId="32" borderId="9" applyNumberFormat="0" applyFont="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32" borderId="9" applyNumberFormat="0" applyFont="0" applyAlignment="0" applyProtection="0"/>
    <xf numFmtId="0" fontId="20" fillId="0" borderId="0"/>
    <xf numFmtId="0" fontId="20" fillId="0" borderId="0"/>
    <xf numFmtId="0" fontId="20" fillId="32" borderId="9" applyNumberFormat="0" applyFont="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32" borderId="9" applyNumberFormat="0" applyFont="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32" borderId="9" applyNumberFormat="0" applyFont="0" applyAlignment="0" applyProtection="0"/>
    <xf numFmtId="0" fontId="20" fillId="0" borderId="0"/>
    <xf numFmtId="0" fontId="20" fillId="0" borderId="0"/>
    <xf numFmtId="0" fontId="20" fillId="32" borderId="9" applyNumberFormat="0" applyFont="0" applyAlignment="0" applyProtection="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0" fontId="20" fillId="2"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0" borderId="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9" applyNumberFormat="0" applyFont="0" applyAlignment="0" applyProtection="0"/>
    <xf numFmtId="0" fontId="20" fillId="32" borderId="9" applyNumberFormat="0" applyFont="0" applyAlignment="0" applyProtection="0"/>
    <xf numFmtId="0" fontId="19" fillId="0" borderId="0"/>
    <xf numFmtId="0" fontId="19" fillId="32" borderId="9" applyNumberFormat="0" applyFont="0" applyAlignment="0" applyProtection="0"/>
    <xf numFmtId="0" fontId="19" fillId="2"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36" fillId="0" borderId="0">
      <alignment vertical="center"/>
    </xf>
    <xf numFmtId="165"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32" borderId="9"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32" borderId="9"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32" borderId="9"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0" borderId="0"/>
    <xf numFmtId="0" fontId="18" fillId="32" borderId="9"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32" borderId="9" applyNumberFormat="0" applyFont="0" applyAlignment="0" applyProtection="0"/>
    <xf numFmtId="0" fontId="18" fillId="32" borderId="9" applyNumberFormat="0" applyFont="0" applyAlignment="0" applyProtection="0"/>
    <xf numFmtId="0" fontId="18" fillId="0" borderId="0"/>
    <xf numFmtId="0" fontId="18" fillId="32" borderId="9" applyNumberFormat="0" applyFont="0" applyAlignment="0" applyProtection="0"/>
    <xf numFmtId="0" fontId="18" fillId="2"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82"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32" borderId="9" applyNumberFormat="0" applyFont="0" applyAlignment="0" applyProtection="0"/>
    <xf numFmtId="0" fontId="16" fillId="32" borderId="9" applyNumberFormat="0" applyFont="0" applyAlignment="0" applyProtection="0"/>
    <xf numFmtId="0" fontId="16" fillId="0" borderId="0"/>
    <xf numFmtId="0" fontId="16" fillId="32" borderId="9"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0" borderId="0"/>
    <xf numFmtId="0" fontId="85" fillId="0" borderId="0" applyNumberFormat="0" applyFill="0" applyBorder="0" applyAlignment="0" applyProtection="0">
      <alignment vertical="center"/>
    </xf>
    <xf numFmtId="0" fontId="15" fillId="0" borderId="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36" fillId="0" borderId="0">
      <alignment vertical="center"/>
    </xf>
    <xf numFmtId="165" fontId="36" fillId="0" borderId="0" applyFont="0" applyFill="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32" borderId="9" applyNumberFormat="0" applyFont="0" applyAlignment="0" applyProtection="0"/>
    <xf numFmtId="0" fontId="14" fillId="32" borderId="9" applyNumberFormat="0" applyFont="0" applyAlignment="0" applyProtection="0"/>
    <xf numFmtId="0" fontId="14" fillId="0" borderId="0"/>
    <xf numFmtId="0" fontId="14" fillId="32" borderId="9"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2" borderId="9" applyNumberFormat="0" applyFont="0" applyAlignment="0" applyProtection="0"/>
    <xf numFmtId="0" fontId="13" fillId="32" borderId="9" applyNumberFormat="0" applyFont="0" applyAlignment="0" applyProtection="0"/>
    <xf numFmtId="0" fontId="13" fillId="0" borderId="0"/>
    <xf numFmtId="0" fontId="13" fillId="32"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9" applyNumberFormat="0" applyFont="0" applyAlignment="0" applyProtection="0"/>
    <xf numFmtId="0" fontId="12" fillId="32" borderId="9" applyNumberFormat="0" applyFont="0" applyAlignment="0" applyProtection="0"/>
    <xf numFmtId="0" fontId="12" fillId="0" borderId="0"/>
    <xf numFmtId="0" fontId="12" fillId="32"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2" borderId="9" applyNumberFormat="0" applyFont="0" applyAlignment="0" applyProtection="0"/>
    <xf numFmtId="0" fontId="11" fillId="32" borderId="9" applyNumberFormat="0" applyFont="0" applyAlignment="0" applyProtection="0"/>
    <xf numFmtId="0" fontId="11" fillId="0" borderId="0"/>
    <xf numFmtId="0" fontId="11" fillId="32" borderId="9"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0" borderId="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36" fillId="0" borderId="0">
      <alignment vertical="center"/>
    </xf>
    <xf numFmtId="165"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2" borderId="9" applyNumberFormat="0" applyFont="0" applyAlignment="0" applyProtection="0"/>
    <xf numFmtId="0" fontId="10" fillId="32" borderId="9" applyNumberFormat="0" applyFont="0" applyAlignment="0" applyProtection="0"/>
    <xf numFmtId="0" fontId="10" fillId="0" borderId="0"/>
    <xf numFmtId="0" fontId="10" fillId="32"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43" fontId="3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43" fontId="36" fillId="0" borderId="0" applyFont="0" applyFill="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9" applyNumberFormat="0" applyFont="0" applyAlignment="0" applyProtection="0"/>
    <xf numFmtId="0" fontId="6" fillId="32" borderId="9" applyNumberFormat="0" applyFont="0" applyAlignment="0" applyProtection="0"/>
    <xf numFmtId="0" fontId="6" fillId="0" borderId="0"/>
    <xf numFmtId="0" fontId="6" fillId="32"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801">
    <xf numFmtId="0" fontId="0" fillId="0" borderId="0" xfId="0">
      <alignment vertical="center"/>
    </xf>
    <xf numFmtId="0" fontId="0" fillId="0" borderId="0" xfId="0" applyAlignment="1"/>
    <xf numFmtId="0" fontId="0" fillId="0" borderId="0" xfId="0">
      <alignment vertical="center"/>
    </xf>
    <xf numFmtId="0" fontId="43" fillId="0" borderId="0" xfId="0" applyNumberFormat="1" applyFont="1" applyBorder="1" applyAlignment="1">
      <alignment horizontal="right" vertical="center"/>
    </xf>
    <xf numFmtId="0" fontId="43" fillId="0" borderId="0" xfId="0" applyNumberFormat="1" applyFont="1" applyFill="1" applyBorder="1" applyAlignment="1">
      <alignment horizontal="right" vertical="center"/>
    </xf>
    <xf numFmtId="0" fontId="43" fillId="0" borderId="0" xfId="0" applyFont="1" applyBorder="1" applyAlignment="1">
      <alignment horizontal="right" vertical="center"/>
    </xf>
    <xf numFmtId="0" fontId="43" fillId="0" borderId="0" xfId="0" applyFont="1">
      <alignment vertical="center"/>
    </xf>
    <xf numFmtId="0" fontId="30" fillId="0" borderId="0" xfId="55"/>
    <xf numFmtId="0" fontId="63" fillId="0" borderId="14" xfId="56" applyFont="1" applyFill="1" applyBorder="1" applyAlignment="1" applyProtection="1">
      <alignment horizontal="right" vertical="center" wrapText="1"/>
    </xf>
    <xf numFmtId="0" fontId="30" fillId="0" borderId="0" xfId="55" applyAlignment="1">
      <alignment vertical="center"/>
    </xf>
    <xf numFmtId="0" fontId="59" fillId="0" borderId="0" xfId="55" applyFont="1"/>
    <xf numFmtId="0" fontId="65" fillId="0" borderId="10" xfId="56" applyFont="1" applyFill="1" applyBorder="1" applyAlignment="1" applyProtection="1">
      <alignment horizontal="right" vertical="center" wrapText="1"/>
    </xf>
    <xf numFmtId="0" fontId="63" fillId="0" borderId="13" xfId="56" applyFont="1" applyFill="1" applyBorder="1" applyAlignment="1" applyProtection="1">
      <alignment horizontal="right" vertical="center" wrapText="1"/>
    </xf>
    <xf numFmtId="0" fontId="30" fillId="0" borderId="0" xfId="55" applyFill="1" applyAlignment="1">
      <alignment horizontal="left"/>
    </xf>
    <xf numFmtId="0" fontId="30" fillId="0" borderId="0" xfId="55" applyFill="1"/>
    <xf numFmtId="0" fontId="30" fillId="0" borderId="0" xfId="55" applyFill="1" applyBorder="1"/>
    <xf numFmtId="0" fontId="30" fillId="0" borderId="0" xfId="55" applyFill="1" applyBorder="1" applyAlignment="1">
      <alignment horizontal="center"/>
    </xf>
    <xf numFmtId="0" fontId="61" fillId="0" borderId="0" xfId="55" applyFont="1" applyFill="1" applyBorder="1" applyAlignment="1">
      <alignment horizontal="center"/>
    </xf>
    <xf numFmtId="0" fontId="30" fillId="0" borderId="0" xfId="55" applyFill="1" applyAlignment="1">
      <alignment horizontal="center"/>
    </xf>
    <xf numFmtId="1" fontId="30" fillId="0" borderId="0" xfId="55" applyNumberFormat="1" applyFill="1" applyBorder="1" applyAlignment="1">
      <alignment horizontal="center"/>
    </xf>
    <xf numFmtId="0" fontId="27" fillId="0" borderId="0" xfId="55" applyFont="1" applyFill="1"/>
    <xf numFmtId="0" fontId="27" fillId="0" borderId="0" xfId="55" applyFont="1"/>
    <xf numFmtId="0" fontId="26" fillId="0" borderId="0" xfId="55" applyFont="1" applyFill="1" applyBorder="1" applyAlignment="1">
      <alignment horizontal="center"/>
    </xf>
    <xf numFmtId="0" fontId="62" fillId="0" borderId="0" xfId="55" applyFont="1" applyFill="1" applyBorder="1" applyAlignment="1">
      <alignment horizontal="center"/>
    </xf>
    <xf numFmtId="0" fontId="43" fillId="0" borderId="0" xfId="55" applyFont="1" applyFill="1" applyBorder="1" applyAlignment="1">
      <alignment horizontal="center"/>
    </xf>
    <xf numFmtId="0" fontId="62" fillId="0" borderId="0" xfId="55" applyFont="1" applyFill="1" applyAlignment="1">
      <alignment horizontal="right"/>
    </xf>
    <xf numFmtId="0" fontId="0" fillId="0" borderId="0" xfId="0" applyFill="1" applyAlignment="1"/>
    <xf numFmtId="0" fontId="63" fillId="0" borderId="10" xfId="56" applyFont="1" applyFill="1" applyBorder="1" applyAlignment="1" applyProtection="1">
      <alignment horizontal="right" vertical="center" wrapText="1"/>
    </xf>
    <xf numFmtId="0" fontId="24" fillId="0" borderId="0" xfId="178" applyFill="1"/>
    <xf numFmtId="0" fontId="23" fillId="0" borderId="0" xfId="55" applyFont="1" applyFill="1" applyBorder="1" applyAlignment="1">
      <alignment horizontal="center"/>
    </xf>
    <xf numFmtId="0" fontId="30" fillId="0" borderId="0" xfId="55" applyFont="1" applyFill="1" applyBorder="1" applyAlignment="1">
      <alignment horizontal="center"/>
    </xf>
    <xf numFmtId="0" fontId="22" fillId="0" borderId="0" xfId="55" applyFont="1" applyFill="1" applyBorder="1" applyAlignment="1">
      <alignment horizontal="center"/>
    </xf>
    <xf numFmtId="0" fontId="61" fillId="0" borderId="16" xfId="55" applyFont="1" applyFill="1" applyBorder="1" applyAlignment="1">
      <alignment horizontal="center"/>
    </xf>
    <xf numFmtId="2" fontId="61" fillId="0" borderId="0" xfId="55" applyNumberFormat="1" applyFont="1" applyFill="1" applyBorder="1" applyAlignment="1">
      <alignment horizontal="center"/>
    </xf>
    <xf numFmtId="0" fontId="0" fillId="0" borderId="0" xfId="0" applyFill="1">
      <alignment vertical="center"/>
    </xf>
    <xf numFmtId="0" fontId="19" fillId="0" borderId="0" xfId="55" applyFont="1" applyFill="1" applyBorder="1" applyAlignment="1">
      <alignment horizontal="center"/>
    </xf>
    <xf numFmtId="0" fontId="59" fillId="0" borderId="0" xfId="55" applyNumberFormat="1" applyFont="1" applyFill="1" applyBorder="1" applyAlignment="1">
      <alignment horizontal="center"/>
    </xf>
    <xf numFmtId="0" fontId="59" fillId="0" borderId="0" xfId="55" applyFont="1" applyFill="1" applyBorder="1" applyAlignment="1">
      <alignment horizontal="center"/>
    </xf>
    <xf numFmtId="1" fontId="59" fillId="0" borderId="0" xfId="55" applyNumberFormat="1" applyFont="1" applyFill="1" applyBorder="1" applyAlignment="1">
      <alignment horizontal="center"/>
    </xf>
    <xf numFmtId="0" fontId="59" fillId="0" borderId="0" xfId="178" applyFont="1" applyFill="1" applyBorder="1" applyAlignment="1">
      <alignment horizontal="center"/>
    </xf>
    <xf numFmtId="1" fontId="59" fillId="0" borderId="0" xfId="178" applyNumberFormat="1" applyFont="1" applyFill="1" applyBorder="1" applyAlignment="1">
      <alignment horizontal="center"/>
    </xf>
    <xf numFmtId="0" fontId="59" fillId="0" borderId="0" xfId="178" applyNumberFormat="1" applyFont="1" applyFill="1" applyBorder="1" applyAlignment="1">
      <alignment horizontal="center"/>
    </xf>
    <xf numFmtId="0" fontId="59" fillId="0" borderId="17" xfId="55" applyFont="1" applyFill="1" applyBorder="1" applyAlignment="1">
      <alignment horizontal="center"/>
    </xf>
    <xf numFmtId="0" fontId="0" fillId="0" borderId="0" xfId="0" applyAlignment="1">
      <alignment vertical="center"/>
    </xf>
    <xf numFmtId="2" fontId="58" fillId="0" borderId="0" xfId="56" applyNumberFormat="1" applyFont="1" applyFill="1" applyBorder="1" applyAlignment="1" applyProtection="1">
      <alignment horizontal="center" vertical="center" wrapText="1"/>
    </xf>
    <xf numFmtId="0" fontId="59" fillId="0" borderId="0" xfId="55" applyFont="1" applyFill="1"/>
    <xf numFmtId="0" fontId="30" fillId="0" borderId="0" xfId="55" applyFill="1" applyAlignment="1">
      <alignment vertical="center"/>
    </xf>
    <xf numFmtId="0" fontId="83" fillId="0" borderId="0" xfId="0" applyFont="1">
      <alignment vertical="center"/>
    </xf>
    <xf numFmtId="0" fontId="0" fillId="0" borderId="0" xfId="0" applyFill="1" applyBorder="1">
      <alignment vertical="center"/>
    </xf>
    <xf numFmtId="0" fontId="0" fillId="0" borderId="0" xfId="0" applyBorder="1">
      <alignment vertical="center"/>
    </xf>
    <xf numFmtId="0" fontId="84" fillId="0" borderId="0" xfId="0" applyFont="1" applyFill="1" applyBorder="1" applyAlignment="1">
      <alignment horizontal="center" vertical="center"/>
    </xf>
    <xf numFmtId="0" fontId="84" fillId="0" borderId="0" xfId="0" applyFont="1" applyFill="1" applyBorder="1">
      <alignment vertical="center"/>
    </xf>
    <xf numFmtId="0" fontId="59" fillId="0" borderId="17" xfId="56" applyFont="1" applyFill="1" applyBorder="1" applyAlignment="1">
      <alignment horizontal="center"/>
    </xf>
    <xf numFmtId="0" fontId="59" fillId="0" borderId="0" xfId="55" applyFont="1" applyFill="1" applyAlignment="1">
      <alignment horizontal="center"/>
    </xf>
    <xf numFmtId="0" fontId="19" fillId="0" borderId="0" xfId="55" applyFont="1" applyFill="1" applyBorder="1" applyAlignment="1">
      <alignment horizontal="center" vertical="center"/>
    </xf>
    <xf numFmtId="0" fontId="65" fillId="0" borderId="0" xfId="56" applyFont="1" applyFill="1" applyAlignment="1">
      <alignment horizontal="right"/>
    </xf>
    <xf numFmtId="166" fontId="61" fillId="0" borderId="0" xfId="55" applyNumberFormat="1" applyFont="1" applyFill="1" applyBorder="1" applyAlignment="1">
      <alignment horizontal="center"/>
    </xf>
    <xf numFmtId="0" fontId="56" fillId="0" borderId="17" xfId="55" applyFont="1" applyFill="1" applyBorder="1" applyAlignment="1">
      <alignment horizontal="center"/>
    </xf>
    <xf numFmtId="2" fontId="61" fillId="0" borderId="16" xfId="55" applyNumberFormat="1" applyFont="1" applyFill="1" applyBorder="1" applyAlignment="1">
      <alignment horizontal="center"/>
    </xf>
    <xf numFmtId="167" fontId="61" fillId="0" borderId="0" xfId="55" applyNumberFormat="1" applyFont="1" applyFill="1" applyBorder="1" applyAlignment="1">
      <alignment horizontal="center"/>
    </xf>
    <xf numFmtId="0" fontId="0" fillId="0" borderId="0" xfId="0">
      <alignment vertical="center"/>
    </xf>
    <xf numFmtId="2" fontId="43" fillId="0" borderId="0" xfId="0" applyNumberFormat="1" applyFont="1" applyFill="1" applyBorder="1" applyAlignment="1">
      <alignment horizontal="right" vertical="center"/>
    </xf>
    <xf numFmtId="0" fontId="0" fillId="0" borderId="0" xfId="0">
      <alignment vertical="center"/>
    </xf>
    <xf numFmtId="0" fontId="43" fillId="0" borderId="0" xfId="0" applyNumberFormat="1" applyFont="1" applyBorder="1" applyAlignment="1">
      <alignment horizontal="right" vertical="center"/>
    </xf>
    <xf numFmtId="0" fontId="0" fillId="0" borderId="0" xfId="0" applyFill="1">
      <alignment vertical="center"/>
    </xf>
    <xf numFmtId="0" fontId="58" fillId="0" borderId="0" xfId="56" applyFont="1" applyFill="1" applyBorder="1" applyAlignment="1" applyProtection="1">
      <alignment horizontal="center" vertical="center" wrapText="1"/>
    </xf>
    <xf numFmtId="0" fontId="59" fillId="0" borderId="0" xfId="56" applyFont="1" applyFill="1" applyBorder="1" applyAlignment="1" applyProtection="1">
      <alignment horizontal="center" vertical="center" wrapText="1"/>
    </xf>
    <xf numFmtId="0" fontId="0" fillId="0" borderId="0" xfId="0">
      <alignment vertical="center"/>
    </xf>
    <xf numFmtId="0" fontId="79" fillId="0" borderId="0" xfId="0" applyFont="1">
      <alignment vertical="center"/>
    </xf>
    <xf numFmtId="0" fontId="86" fillId="0" borderId="0" xfId="0" applyFont="1">
      <alignment vertical="center"/>
    </xf>
    <xf numFmtId="0" fontId="0" fillId="0" borderId="0" xfId="0" applyAlignment="1">
      <alignment vertical="top"/>
    </xf>
    <xf numFmtId="0" fontId="59" fillId="0" borderId="0" xfId="55" applyFont="1" applyFill="1" applyBorder="1" applyAlignment="1">
      <alignment horizontal="center" vertical="center"/>
    </xf>
    <xf numFmtId="0" fontId="61" fillId="0" borderId="0" xfId="0" applyFont="1" applyFill="1" applyBorder="1" applyAlignment="1">
      <alignment horizontal="center"/>
    </xf>
    <xf numFmtId="0" fontId="58" fillId="0" borderId="16" xfId="56" applyFont="1" applyFill="1" applyBorder="1" applyAlignment="1" applyProtection="1">
      <alignment horizontal="left" vertical="center" wrapText="1"/>
    </xf>
    <xf numFmtId="0" fontId="59" fillId="0" borderId="16" xfId="56" applyFont="1" applyFill="1" applyBorder="1" applyAlignment="1" applyProtection="1">
      <alignment horizontal="left" vertical="center" wrapText="1"/>
    </xf>
    <xf numFmtId="0" fontId="58" fillId="0" borderId="16" xfId="55" applyFont="1" applyFill="1" applyBorder="1" applyAlignment="1" applyProtection="1">
      <alignment horizontal="left" wrapText="1"/>
    </xf>
    <xf numFmtId="0" fontId="59" fillId="0" borderId="0" xfId="55" applyFont="1" applyFill="1" applyAlignment="1">
      <alignment horizontal="left"/>
    </xf>
    <xf numFmtId="0" fontId="56" fillId="0" borderId="0" xfId="55" applyFont="1" applyFill="1" applyAlignment="1">
      <alignment horizontal="left"/>
    </xf>
    <xf numFmtId="0" fontId="0" fillId="0" borderId="0" xfId="0" applyFill="1" applyAlignment="1">
      <alignment horizontal="left"/>
    </xf>
    <xf numFmtId="0" fontId="29" fillId="0" borderId="0" xfId="55" applyFont="1" applyFill="1" applyBorder="1" applyAlignment="1">
      <alignment horizontal="left"/>
    </xf>
    <xf numFmtId="0" fontId="9" fillId="0" borderId="0" xfId="55" applyFont="1" applyFill="1" applyBorder="1" applyAlignment="1">
      <alignment horizontal="left"/>
    </xf>
    <xf numFmtId="0" fontId="62" fillId="0" borderId="0" xfId="55" applyFont="1" applyFill="1" applyBorder="1" applyAlignment="1">
      <alignment horizontal="right"/>
    </xf>
    <xf numFmtId="0" fontId="30" fillId="0" borderId="0" xfId="55" applyBorder="1"/>
    <xf numFmtId="0" fontId="24" fillId="0" borderId="0" xfId="55" applyFont="1" applyFill="1" applyBorder="1" applyAlignment="1">
      <alignment horizontal="center"/>
    </xf>
    <xf numFmtId="165" fontId="30" fillId="0" borderId="0" xfId="55" applyNumberFormat="1" applyFont="1" applyFill="1" applyBorder="1" applyAlignment="1">
      <alignment horizontal="center"/>
    </xf>
    <xf numFmtId="0" fontId="63" fillId="0" borderId="12" xfId="56" applyFont="1" applyFill="1" applyBorder="1" applyAlignment="1" applyProtection="1">
      <alignment horizontal="right" vertical="center" wrapText="1"/>
    </xf>
    <xf numFmtId="0" fontId="63" fillId="0" borderId="0" xfId="56" applyFont="1" applyFill="1" applyBorder="1" applyAlignment="1" applyProtection="1">
      <alignment horizontal="right" vertical="center" wrapText="1"/>
    </xf>
    <xf numFmtId="0" fontId="90" fillId="0" borderId="0" xfId="55" applyFont="1" applyFill="1" applyBorder="1" applyAlignment="1">
      <alignment horizontal="center"/>
    </xf>
    <xf numFmtId="0" fontId="56" fillId="0" borderId="16" xfId="55" applyFont="1" applyFill="1" applyBorder="1" applyAlignment="1">
      <alignment horizontal="center"/>
    </xf>
    <xf numFmtId="0" fontId="56" fillId="0" borderId="0" xfId="55" applyFont="1" applyFill="1" applyBorder="1" applyAlignment="1">
      <alignment horizontal="center"/>
    </xf>
    <xf numFmtId="2" fontId="56" fillId="0" borderId="0" xfId="55" applyNumberFormat="1" applyFont="1" applyFill="1" applyBorder="1" applyAlignment="1">
      <alignment horizontal="center"/>
    </xf>
    <xf numFmtId="2" fontId="59" fillId="0" borderId="0" xfId="55" applyNumberFormat="1" applyFont="1" applyFill="1" applyBorder="1" applyAlignment="1">
      <alignment horizontal="center"/>
    </xf>
    <xf numFmtId="0" fontId="56" fillId="0" borderId="0" xfId="0" applyFont="1" applyFill="1" applyBorder="1" applyAlignment="1">
      <alignment horizontal="center"/>
    </xf>
    <xf numFmtId="0" fontId="90" fillId="0" borderId="16" xfId="55" applyFont="1" applyFill="1" applyBorder="1" applyAlignment="1">
      <alignment horizontal="center"/>
    </xf>
    <xf numFmtId="0" fontId="56" fillId="0" borderId="0" xfId="56" applyFont="1" applyFill="1" applyBorder="1" applyAlignment="1" applyProtection="1">
      <alignment horizontal="center" vertical="center" wrapText="1"/>
    </xf>
    <xf numFmtId="0" fontId="43" fillId="0" borderId="35" xfId="55" applyFont="1" applyFill="1" applyBorder="1" applyAlignment="1">
      <alignment horizontal="center"/>
    </xf>
    <xf numFmtId="0" fontId="58" fillId="0" borderId="17" xfId="56" applyFont="1" applyFill="1" applyBorder="1" applyAlignment="1" applyProtection="1">
      <alignment horizontal="left" vertical="center" wrapText="1"/>
    </xf>
    <xf numFmtId="0" fontId="59" fillId="0" borderId="17" xfId="56" applyFont="1" applyFill="1" applyBorder="1" applyAlignment="1" applyProtection="1">
      <alignment horizontal="left" vertical="center" wrapText="1"/>
    </xf>
    <xf numFmtId="0" fontId="58" fillId="0" borderId="17" xfId="55" applyFont="1" applyFill="1" applyBorder="1" applyAlignment="1" applyProtection="1">
      <alignment horizontal="left" wrapText="1"/>
    </xf>
    <xf numFmtId="0" fontId="59" fillId="0" borderId="17" xfId="56" applyFont="1" applyFill="1" applyBorder="1" applyAlignment="1">
      <alignment horizontal="left"/>
    </xf>
    <xf numFmtId="39" fontId="58" fillId="0" borderId="0" xfId="56" applyNumberFormat="1" applyFont="1" applyFill="1" applyBorder="1" applyAlignment="1" applyProtection="1">
      <alignment horizontal="center" vertical="center" wrapText="1"/>
    </xf>
    <xf numFmtId="0" fontId="56" fillId="0" borderId="40" xfId="55" applyFont="1" applyFill="1" applyBorder="1" applyAlignment="1">
      <alignment horizontal="center"/>
    </xf>
    <xf numFmtId="0" fontId="61" fillId="0" borderId="17" xfId="55" applyFont="1" applyFill="1" applyBorder="1" applyAlignment="1">
      <alignment horizontal="center"/>
    </xf>
    <xf numFmtId="2" fontId="61" fillId="0" borderId="17" xfId="55" applyNumberFormat="1" applyFont="1" applyFill="1" applyBorder="1" applyAlignment="1">
      <alignment horizontal="center"/>
    </xf>
    <xf numFmtId="0" fontId="90" fillId="0" borderId="17" xfId="55" applyFont="1" applyFill="1" applyBorder="1" applyAlignment="1">
      <alignment horizontal="center"/>
    </xf>
    <xf numFmtId="0" fontId="61" fillId="0" borderId="40" xfId="55" applyFont="1" applyFill="1" applyBorder="1" applyAlignment="1">
      <alignment horizontal="center"/>
    </xf>
    <xf numFmtId="0" fontId="58" fillId="0" borderId="17" xfId="56" applyFont="1" applyFill="1" applyBorder="1" applyAlignment="1" applyProtection="1">
      <alignment horizontal="center" vertical="center" wrapText="1"/>
    </xf>
    <xf numFmtId="0" fontId="59" fillId="0" borderId="17" xfId="56" applyFont="1" applyFill="1" applyBorder="1" applyAlignment="1" applyProtection="1">
      <alignment horizontal="center" vertical="center" wrapText="1"/>
    </xf>
    <xf numFmtId="0" fontId="91" fillId="0" borderId="0" xfId="0" applyFont="1" applyBorder="1" applyAlignment="1">
      <alignment horizontal="right" vertical="center"/>
    </xf>
    <xf numFmtId="0" fontId="19" fillId="0" borderId="0" xfId="55" applyFont="1" applyFill="1" applyBorder="1" applyAlignment="1">
      <alignment horizontal="left" vertical="center"/>
    </xf>
    <xf numFmtId="0" fontId="43" fillId="0" borderId="0" xfId="55" applyFont="1" applyFill="1" applyBorder="1" applyAlignment="1">
      <alignment horizontal="center" vertical="center" wrapText="1"/>
    </xf>
    <xf numFmtId="0" fontId="43" fillId="0" borderId="35" xfId="10639" applyFont="1" applyFill="1" applyBorder="1" applyAlignment="1">
      <alignment horizontal="center"/>
    </xf>
    <xf numFmtId="165" fontId="56" fillId="0" borderId="0" xfId="55" applyNumberFormat="1" applyFont="1" applyFill="1" applyBorder="1" applyAlignment="1">
      <alignment horizontal="center"/>
    </xf>
    <xf numFmtId="49" fontId="61" fillId="0" borderId="0" xfId="55" applyNumberFormat="1" applyFont="1" applyFill="1" applyBorder="1" applyAlignment="1">
      <alignment horizontal="center"/>
    </xf>
    <xf numFmtId="0" fontId="89" fillId="0" borderId="17" xfId="55" applyFont="1" applyFill="1" applyBorder="1" applyAlignment="1">
      <alignment horizontal="center" vertical="center"/>
    </xf>
    <xf numFmtId="0" fontId="89" fillId="0" borderId="17" xfId="0" applyFont="1" applyFill="1" applyBorder="1" applyAlignment="1">
      <alignment horizontal="center"/>
    </xf>
    <xf numFmtId="0" fontId="56" fillId="0" borderId="0" xfId="55" applyFont="1" applyFill="1" applyBorder="1" applyAlignment="1">
      <alignment horizontal="center" vertical="center"/>
    </xf>
    <xf numFmtId="0" fontId="56" fillId="0" borderId="17" xfId="56" applyFont="1" applyFill="1" applyBorder="1" applyAlignment="1" applyProtection="1">
      <alignment horizontal="center" vertical="center" wrapText="1"/>
    </xf>
    <xf numFmtId="164" fontId="56" fillId="0" borderId="16" xfId="55" applyNumberFormat="1" applyFont="1" applyFill="1" applyBorder="1" applyAlignment="1">
      <alignment horizontal="center"/>
    </xf>
    <xf numFmtId="1" fontId="61" fillId="0" borderId="17" xfId="55" applyNumberFormat="1" applyFont="1" applyFill="1" applyBorder="1" applyAlignment="1">
      <alignment horizontal="center"/>
    </xf>
    <xf numFmtId="0" fontId="80" fillId="0" borderId="0" xfId="55" applyFont="1" applyFill="1" applyBorder="1" applyAlignment="1">
      <alignment horizontal="center"/>
    </xf>
    <xf numFmtId="49" fontId="80" fillId="0" borderId="0" xfId="55" applyNumberFormat="1" applyFont="1" applyFill="1" applyBorder="1" applyAlignment="1">
      <alignment horizontal="center"/>
    </xf>
    <xf numFmtId="1" fontId="80" fillId="0" borderId="0" xfId="55" applyNumberFormat="1" applyFont="1" applyFill="1" applyBorder="1" applyAlignment="1">
      <alignment horizontal="center"/>
    </xf>
    <xf numFmtId="0" fontId="92" fillId="0" borderId="0" xfId="55" applyFont="1" applyFill="1" applyBorder="1" applyAlignment="1">
      <alignment horizontal="center"/>
    </xf>
    <xf numFmtId="2" fontId="92" fillId="0" borderId="0" xfId="55" applyNumberFormat="1" applyFont="1" applyFill="1" applyBorder="1" applyAlignment="1">
      <alignment horizontal="center"/>
    </xf>
    <xf numFmtId="0" fontId="80" fillId="0" borderId="19" xfId="55" applyFont="1" applyFill="1" applyBorder="1" applyAlignment="1">
      <alignment horizontal="center"/>
    </xf>
    <xf numFmtId="0" fontId="61" fillId="0" borderId="19" xfId="55" applyFont="1" applyFill="1" applyBorder="1" applyAlignment="1">
      <alignment horizontal="center"/>
    </xf>
    <xf numFmtId="0" fontId="80" fillId="0" borderId="40" xfId="55" applyFont="1" applyFill="1" applyBorder="1" applyAlignment="1">
      <alignment horizontal="center"/>
    </xf>
    <xf numFmtId="0" fontId="90" fillId="0" borderId="17" xfId="56" applyFont="1" applyFill="1" applyBorder="1" applyAlignment="1">
      <alignment horizontal="center"/>
    </xf>
    <xf numFmtId="0" fontId="80" fillId="0" borderId="0" xfId="56" applyFont="1" applyFill="1" applyBorder="1" applyAlignment="1">
      <alignment horizontal="center"/>
    </xf>
    <xf numFmtId="0" fontId="90" fillId="0" borderId="0" xfId="56" applyFont="1" applyFill="1" applyBorder="1" applyAlignment="1">
      <alignment horizontal="center"/>
    </xf>
    <xf numFmtId="0" fontId="93" fillId="0" borderId="17" xfId="56" applyFont="1" applyFill="1" applyBorder="1" applyAlignment="1" applyProtection="1">
      <alignment horizontal="center" vertical="center" wrapText="1"/>
    </xf>
    <xf numFmtId="0" fontId="80" fillId="0" borderId="0" xfId="56" applyFont="1" applyFill="1" applyBorder="1" applyAlignment="1" applyProtection="1">
      <alignment horizontal="center" vertical="center" wrapText="1"/>
    </xf>
    <xf numFmtId="0" fontId="93" fillId="0" borderId="0" xfId="56" applyFont="1" applyFill="1" applyBorder="1" applyAlignment="1" applyProtection="1">
      <alignment horizontal="center" vertical="center" wrapText="1"/>
    </xf>
    <xf numFmtId="0" fontId="80" fillId="0" borderId="17" xfId="56" applyFont="1" applyFill="1" applyBorder="1" applyAlignment="1" applyProtection="1">
      <alignment horizontal="center" vertical="center" wrapText="1"/>
    </xf>
    <xf numFmtId="0" fontId="80" fillId="0" borderId="17" xfId="56" applyFont="1" applyFill="1" applyBorder="1" applyAlignment="1">
      <alignment horizontal="center"/>
    </xf>
    <xf numFmtId="0" fontId="94" fillId="0" borderId="0" xfId="56" applyFont="1" applyFill="1" applyBorder="1" applyAlignment="1" applyProtection="1">
      <alignment horizontal="center" vertical="center" wrapText="1"/>
    </xf>
    <xf numFmtId="0" fontId="93" fillId="0" borderId="16" xfId="56" applyFont="1" applyFill="1" applyBorder="1" applyAlignment="1" applyProtection="1">
      <alignment horizontal="center" vertical="center" wrapText="1"/>
    </xf>
    <xf numFmtId="0" fontId="90" fillId="0" borderId="0" xfId="56" applyFont="1" applyFill="1" applyBorder="1" applyAlignment="1" applyProtection="1">
      <alignment horizontal="center" vertical="center" wrapText="1"/>
    </xf>
    <xf numFmtId="0" fontId="90" fillId="0" borderId="16" xfId="56" applyFont="1" applyFill="1" applyBorder="1" applyAlignment="1" applyProtection="1">
      <alignment horizontal="center" vertical="center" wrapText="1"/>
    </xf>
    <xf numFmtId="0" fontId="80" fillId="0" borderId="17" xfId="56" applyFont="1" applyFill="1" applyBorder="1" applyAlignment="1">
      <alignment horizontal="center" vertical="center"/>
    </xf>
    <xf numFmtId="0" fontId="80" fillId="0" borderId="0" xfId="56" applyFont="1" applyFill="1" applyBorder="1" applyAlignment="1">
      <alignment horizontal="center" vertical="center"/>
    </xf>
    <xf numFmtId="0" fontId="80" fillId="0" borderId="16" xfId="56" applyFont="1" applyFill="1" applyBorder="1" applyAlignment="1">
      <alignment horizontal="center"/>
    </xf>
    <xf numFmtId="0" fontId="90" fillId="0" borderId="16" xfId="56" applyFont="1" applyFill="1" applyBorder="1" applyAlignment="1">
      <alignment horizontal="center"/>
    </xf>
    <xf numFmtId="0" fontId="61" fillId="0" borderId="17" xfId="0" applyFont="1" applyFill="1" applyBorder="1" applyAlignment="1">
      <alignment horizontal="center"/>
    </xf>
    <xf numFmtId="0" fontId="80" fillId="0" borderId="0" xfId="0" applyFont="1" applyFill="1" applyBorder="1" applyAlignment="1">
      <alignment horizontal="center"/>
    </xf>
    <xf numFmtId="0" fontId="90" fillId="0" borderId="17" xfId="0" applyNumberFormat="1" applyFont="1" applyFill="1" applyBorder="1" applyAlignment="1">
      <alignment horizontal="center" vertical="center"/>
    </xf>
    <xf numFmtId="0" fontId="80" fillId="0" borderId="0" xfId="0" applyNumberFormat="1" applyFont="1" applyFill="1" applyBorder="1" applyAlignment="1">
      <alignment horizontal="center" vertical="center"/>
    </xf>
    <xf numFmtId="0" fontId="90" fillId="0" borderId="0" xfId="0" applyNumberFormat="1" applyFont="1" applyFill="1" applyBorder="1" applyAlignment="1">
      <alignment horizontal="center" vertical="center"/>
    </xf>
    <xf numFmtId="0" fontId="90" fillId="0" borderId="16" xfId="0" applyNumberFormat="1" applyFont="1" applyFill="1" applyBorder="1" applyAlignment="1">
      <alignment horizontal="center" vertical="center"/>
    </xf>
    <xf numFmtId="2" fontId="80" fillId="0" borderId="17" xfId="56" applyNumberFormat="1" applyFont="1" applyFill="1" applyBorder="1" applyAlignment="1">
      <alignment horizontal="center"/>
    </xf>
    <xf numFmtId="166" fontId="61" fillId="0" borderId="0" xfId="0" applyNumberFormat="1" applyFont="1" applyFill="1" applyBorder="1" applyAlignment="1">
      <alignment horizontal="center"/>
    </xf>
    <xf numFmtId="0" fontId="61" fillId="0" borderId="16" xfId="0" applyFont="1" applyFill="1" applyBorder="1" applyAlignment="1">
      <alignment horizontal="center"/>
    </xf>
    <xf numFmtId="0" fontId="61" fillId="0" borderId="17" xfId="48" applyNumberFormat="1" applyFont="1" applyFill="1" applyBorder="1" applyAlignment="1">
      <alignment horizontal="center" vertical="center"/>
    </xf>
    <xf numFmtId="0" fontId="80" fillId="0" borderId="0" xfId="48" applyNumberFormat="1" applyFont="1" applyFill="1" applyBorder="1" applyAlignment="1">
      <alignment horizontal="center" vertical="center"/>
    </xf>
    <xf numFmtId="2" fontId="80" fillId="0" borderId="0" xfId="55" applyNumberFormat="1" applyFont="1" applyFill="1" applyBorder="1" applyAlignment="1">
      <alignment horizontal="center"/>
    </xf>
    <xf numFmtId="2" fontId="80" fillId="0" borderId="0" xfId="0" applyNumberFormat="1" applyFont="1" applyFill="1" applyBorder="1" applyAlignment="1">
      <alignment horizontal="center"/>
    </xf>
    <xf numFmtId="0" fontId="61" fillId="0" borderId="0" xfId="48" applyNumberFormat="1" applyFont="1" applyFill="1" applyBorder="1" applyAlignment="1">
      <alignment horizontal="center" vertical="center"/>
    </xf>
    <xf numFmtId="0" fontId="61" fillId="0" borderId="0" xfId="48" applyFont="1" applyFill="1" applyBorder="1" applyAlignment="1">
      <alignment horizontal="center" vertical="center"/>
    </xf>
    <xf numFmtId="0" fontId="30" fillId="33" borderId="0" xfId="55" applyFill="1"/>
    <xf numFmtId="0" fontId="62" fillId="33" borderId="0" xfId="55" applyFont="1" applyFill="1" applyAlignment="1">
      <alignment horizontal="right"/>
    </xf>
    <xf numFmtId="0" fontId="56" fillId="0" borderId="17" xfId="0" applyFont="1" applyFill="1" applyBorder="1" applyAlignment="1">
      <alignment horizontal="center"/>
    </xf>
    <xf numFmtId="0" fontId="56" fillId="0" borderId="17" xfId="55" applyFont="1" applyFill="1" applyBorder="1" applyAlignment="1">
      <alignment horizontal="center" vertical="center"/>
    </xf>
    <xf numFmtId="0" fontId="56" fillId="0" borderId="17" xfId="0" applyNumberFormat="1" applyFont="1" applyFill="1" applyBorder="1" applyAlignment="1">
      <alignment horizontal="center" vertical="center"/>
    </xf>
    <xf numFmtId="39" fontId="56" fillId="0" borderId="0" xfId="55" applyNumberFormat="1" applyFont="1" applyFill="1" applyBorder="1" applyAlignment="1">
      <alignment horizontal="center"/>
    </xf>
    <xf numFmtId="0" fontId="56" fillId="0" borderId="38" xfId="55" applyFont="1" applyFill="1" applyBorder="1" applyAlignment="1">
      <alignment horizontal="center" vertical="center"/>
    </xf>
    <xf numFmtId="0" fontId="61" fillId="0" borderId="39" xfId="55" applyFont="1" applyFill="1" applyBorder="1" applyAlignment="1">
      <alignment horizontal="center"/>
    </xf>
    <xf numFmtId="0" fontId="88" fillId="0" borderId="0" xfId="55" applyFont="1" applyFill="1" applyBorder="1" applyAlignment="1">
      <alignment horizontal="center"/>
    </xf>
    <xf numFmtId="39" fontId="59" fillId="0" borderId="0" xfId="55" applyNumberFormat="1" applyFont="1" applyFill="1" applyBorder="1" applyAlignment="1">
      <alignment horizontal="left"/>
    </xf>
    <xf numFmtId="2" fontId="59" fillId="0" borderId="0" xfId="56" applyNumberFormat="1" applyFont="1" applyFill="1" applyBorder="1" applyAlignment="1" applyProtection="1">
      <alignment horizontal="center" vertical="center" wrapText="1"/>
    </xf>
    <xf numFmtId="2" fontId="59" fillId="0" borderId="0" xfId="0" applyNumberFormat="1" applyFont="1" applyFill="1" applyBorder="1" applyAlignment="1">
      <alignment horizontal="center"/>
    </xf>
    <xf numFmtId="0" fontId="8" fillId="0" borderId="0" xfId="55" applyFont="1" applyFill="1" applyBorder="1" applyAlignment="1">
      <alignment horizontal="center"/>
    </xf>
    <xf numFmtId="0" fontId="8" fillId="0" borderId="17" xfId="55" applyFont="1" applyFill="1" applyBorder="1" applyAlignment="1">
      <alignment horizontal="center"/>
    </xf>
    <xf numFmtId="0" fontId="8" fillId="0" borderId="16" xfId="55" applyFont="1" applyFill="1" applyBorder="1" applyAlignment="1">
      <alignment horizontal="center"/>
    </xf>
    <xf numFmtId="1" fontId="8" fillId="0" borderId="0" xfId="55" applyNumberFormat="1" applyFont="1" applyFill="1" applyBorder="1" applyAlignment="1">
      <alignment horizontal="center"/>
    </xf>
    <xf numFmtId="0" fontId="8" fillId="0" borderId="0" xfId="55" applyFont="1" applyFill="1" applyBorder="1" applyAlignment="1">
      <alignment horizontal="center" vertical="center"/>
    </xf>
    <xf numFmtId="0" fontId="8" fillId="0" borderId="0" xfId="55" applyFont="1" applyFill="1" applyBorder="1"/>
    <xf numFmtId="0" fontId="8" fillId="0" borderId="0" xfId="55" applyFont="1" applyFill="1" applyAlignment="1">
      <alignment horizontal="center"/>
    </xf>
    <xf numFmtId="0" fontId="8" fillId="0" borderId="0" xfId="55" applyFont="1" applyFill="1" applyAlignment="1">
      <alignment horizontal="left"/>
    </xf>
    <xf numFmtId="0" fontId="8" fillId="0" borderId="0" xfId="55" applyFont="1" applyFill="1"/>
    <xf numFmtId="0" fontId="8" fillId="0" borderId="0" xfId="124" applyFont="1" applyFill="1" applyBorder="1" applyAlignment="1">
      <alignment horizontal="center"/>
    </xf>
    <xf numFmtId="0" fontId="8" fillId="0" borderId="17" xfId="124" applyFont="1" applyFill="1" applyBorder="1" applyAlignment="1">
      <alignment horizontal="center"/>
    </xf>
    <xf numFmtId="0" fontId="8" fillId="0" borderId="16" xfId="104" applyFont="1" applyFill="1" applyBorder="1" applyAlignment="1">
      <alignment horizontal="center"/>
    </xf>
    <xf numFmtId="1" fontId="8" fillId="0" borderId="0" xfId="124" applyNumberFormat="1" applyFont="1" applyFill="1" applyBorder="1" applyAlignment="1">
      <alignment horizontal="center"/>
    </xf>
    <xf numFmtId="0" fontId="8" fillId="0" borderId="0" xfId="124" applyFont="1" applyFill="1" applyBorder="1" applyAlignment="1">
      <alignment horizontal="center" vertical="center"/>
    </xf>
    <xf numFmtId="0" fontId="8" fillId="0" borderId="0" xfId="124" applyFont="1" applyFill="1" applyBorder="1"/>
    <xf numFmtId="0" fontId="8" fillId="0" borderId="0" xfId="124" applyFont="1" applyFill="1"/>
    <xf numFmtId="0" fontId="8" fillId="0" borderId="0" xfId="124" applyFont="1" applyFill="1" applyAlignment="1">
      <alignment horizontal="left"/>
    </xf>
    <xf numFmtId="0" fontId="8" fillId="0" borderId="0" xfId="55" applyNumberFormat="1" applyFont="1" applyFill="1" applyBorder="1" applyAlignment="1">
      <alignment horizontal="center"/>
    </xf>
    <xf numFmtId="0" fontId="8" fillId="0" borderId="16" xfId="55" applyFont="1" applyFill="1" applyBorder="1" applyAlignment="1">
      <alignment horizontal="left" vertical="center"/>
    </xf>
    <xf numFmtId="0" fontId="8" fillId="0" borderId="0" xfId="55" applyFont="1" applyFill="1" applyBorder="1" applyAlignment="1">
      <alignment horizontal="left"/>
    </xf>
    <xf numFmtId="0" fontId="8" fillId="0" borderId="16" xfId="55" applyFont="1" applyFill="1" applyBorder="1" applyAlignment="1">
      <alignment horizontal="left"/>
    </xf>
    <xf numFmtId="0" fontId="8" fillId="0" borderId="0" xfId="178" applyFont="1" applyFill="1" applyBorder="1" applyAlignment="1">
      <alignment horizontal="center"/>
    </xf>
    <xf numFmtId="0" fontId="8" fillId="0" borderId="17" xfId="178" applyFont="1" applyFill="1" applyBorder="1" applyAlignment="1">
      <alignment horizontal="center"/>
    </xf>
    <xf numFmtId="0" fontId="8" fillId="0" borderId="16" xfId="178" applyFont="1" applyFill="1" applyBorder="1" applyAlignment="1">
      <alignment horizontal="center"/>
    </xf>
    <xf numFmtId="0" fontId="8" fillId="0" borderId="0" xfId="178" applyFont="1" applyFill="1" applyBorder="1" applyAlignment="1">
      <alignment horizontal="center" vertical="center"/>
    </xf>
    <xf numFmtId="0" fontId="8" fillId="0" borderId="0" xfId="178" applyFont="1" applyFill="1" applyBorder="1"/>
    <xf numFmtId="0" fontId="8" fillId="0" borderId="0" xfId="178" applyFont="1" applyFill="1" applyAlignment="1">
      <alignment horizontal="center"/>
    </xf>
    <xf numFmtId="0" fontId="8" fillId="0" borderId="0" xfId="178" applyFont="1" applyFill="1" applyAlignment="1">
      <alignment horizontal="left"/>
    </xf>
    <xf numFmtId="1" fontId="8" fillId="0" borderId="0" xfId="178" applyNumberFormat="1" applyFont="1" applyFill="1" applyBorder="1" applyAlignment="1">
      <alignment horizontal="center"/>
    </xf>
    <xf numFmtId="0" fontId="8" fillId="0" borderId="0" xfId="178" applyNumberFormat="1" applyFont="1" applyFill="1" applyBorder="1" applyAlignment="1">
      <alignment horizontal="center"/>
    </xf>
    <xf numFmtId="0" fontId="8" fillId="0" borderId="0" xfId="178" applyFont="1" applyFill="1" applyBorder="1" applyAlignment="1">
      <alignment horizontal="left"/>
    </xf>
    <xf numFmtId="0" fontId="8" fillId="0" borderId="17" xfId="117" applyFont="1" applyFill="1" applyBorder="1" applyAlignment="1">
      <alignment horizontal="center" vertical="center"/>
    </xf>
    <xf numFmtId="0" fontId="8" fillId="0" borderId="0" xfId="117" applyFont="1" applyFill="1" applyBorder="1" applyAlignment="1">
      <alignment horizontal="center" vertical="center"/>
    </xf>
    <xf numFmtId="0" fontId="8" fillId="0" borderId="0" xfId="178" applyFont="1" applyFill="1"/>
    <xf numFmtId="0" fontId="8" fillId="0" borderId="16" xfId="117" applyFont="1" applyFill="1" applyBorder="1" applyAlignment="1">
      <alignment horizontal="center" vertical="center"/>
    </xf>
    <xf numFmtId="1" fontId="8" fillId="0" borderId="0" xfId="40" applyNumberFormat="1" applyFont="1" applyFill="1" applyBorder="1" applyAlignment="1">
      <alignment horizontal="center" vertical="center"/>
    </xf>
    <xf numFmtId="0" fontId="8" fillId="0" borderId="0" xfId="55" applyFont="1" applyFill="1" applyBorder="1" applyAlignment="1">
      <alignment vertical="center"/>
    </xf>
    <xf numFmtId="0" fontId="8" fillId="0" borderId="0" xfId="55" applyFont="1" applyFill="1" applyAlignment="1">
      <alignment horizontal="left" vertical="center"/>
    </xf>
    <xf numFmtId="0" fontId="8" fillId="0" borderId="0" xfId="55" applyFont="1" applyFill="1" applyAlignment="1">
      <alignment horizontal="center" vertical="center"/>
    </xf>
    <xf numFmtId="0" fontId="8" fillId="0" borderId="32" xfId="55" applyFont="1" applyFill="1" applyBorder="1" applyAlignment="1">
      <alignment horizontal="center"/>
    </xf>
    <xf numFmtId="0" fontId="8" fillId="0" borderId="17" xfId="55" applyFont="1" applyFill="1" applyBorder="1" applyAlignment="1">
      <alignment horizontal="left"/>
    </xf>
    <xf numFmtId="39" fontId="8" fillId="0" borderId="0" xfId="55" applyNumberFormat="1" applyFont="1" applyFill="1" applyBorder="1" applyAlignment="1">
      <alignment horizontal="center"/>
    </xf>
    <xf numFmtId="2" fontId="8" fillId="0" borderId="0" xfId="55" applyNumberFormat="1" applyFont="1" applyFill="1" applyBorder="1" applyAlignment="1">
      <alignment horizontal="center"/>
    </xf>
    <xf numFmtId="0" fontId="8" fillId="0" borderId="0" xfId="0" applyFont="1" applyFill="1" applyBorder="1" applyAlignment="1">
      <alignment horizontal="center"/>
    </xf>
    <xf numFmtId="0" fontId="8" fillId="0" borderId="0" xfId="48" applyNumberFormat="1" applyFont="1" applyFill="1" applyBorder="1" applyAlignment="1">
      <alignment horizontal="center" vertical="center"/>
    </xf>
    <xf numFmtId="0" fontId="8" fillId="0" borderId="0" xfId="48" applyNumberFormat="1" applyFont="1" applyFill="1" applyBorder="1" applyAlignment="1">
      <alignment horizontal="left" vertical="center"/>
    </xf>
    <xf numFmtId="39" fontId="8" fillId="0" borderId="0" xfId="98" applyNumberFormat="1" applyFont="1" applyFill="1" applyBorder="1" applyAlignment="1">
      <alignment horizontal="center"/>
    </xf>
    <xf numFmtId="168" fontId="8" fillId="0" borderId="0" xfId="55" applyNumberFormat="1" applyFont="1" applyFill="1" applyBorder="1" applyAlignment="1">
      <alignment horizontal="center"/>
    </xf>
    <xf numFmtId="0" fontId="8" fillId="0" borderId="0" xfId="0" applyNumberFormat="1" applyFont="1" applyFill="1" applyBorder="1" applyAlignment="1">
      <alignment horizontal="center" vertical="center"/>
    </xf>
    <xf numFmtId="0" fontId="8" fillId="0" borderId="0" xfId="55" applyNumberFormat="1" applyFont="1" applyFill="1" applyBorder="1" applyAlignment="1">
      <alignment horizontal="left" vertical="center"/>
    </xf>
    <xf numFmtId="0" fontId="8" fillId="0" borderId="16" xfId="55" applyFont="1" applyFill="1" applyBorder="1" applyAlignment="1">
      <alignment horizontal="center" vertical="center"/>
    </xf>
    <xf numFmtId="0" fontId="8" fillId="0" borderId="0" xfId="55" applyFont="1" applyFill="1" applyBorder="1" applyAlignment="1">
      <alignment horizontal="left" vertical="center"/>
    </xf>
    <xf numFmtId="2" fontId="8" fillId="0" borderId="0" xfId="0" applyNumberFormat="1" applyFont="1" applyFill="1" applyBorder="1" applyAlignment="1">
      <alignment horizontal="center"/>
    </xf>
    <xf numFmtId="0" fontId="8" fillId="0" borderId="0" xfId="0" applyFont="1" applyFill="1" applyBorder="1" applyAlignment="1"/>
    <xf numFmtId="0" fontId="8" fillId="0" borderId="0" xfId="0" applyFont="1" applyFill="1" applyAlignment="1"/>
    <xf numFmtId="39" fontId="8" fillId="0" borderId="0" xfId="0" applyNumberFormat="1" applyFont="1" applyFill="1" applyBorder="1" applyAlignment="1">
      <alignment horizontal="center"/>
    </xf>
    <xf numFmtId="0" fontId="8" fillId="0" borderId="17" xfId="0" applyFont="1" applyFill="1" applyBorder="1" applyAlignment="1">
      <alignment horizontal="center"/>
    </xf>
    <xf numFmtId="0" fontId="8" fillId="0" borderId="0" xfId="0" applyFont="1" applyFill="1" applyAlignment="1">
      <alignment horizontal="left"/>
    </xf>
    <xf numFmtId="1" fontId="8" fillId="0" borderId="0" xfId="0" applyNumberFormat="1" applyFont="1" applyFill="1" applyBorder="1" applyAlignment="1">
      <alignment horizontal="center"/>
    </xf>
    <xf numFmtId="0" fontId="8" fillId="0" borderId="16" xfId="0" applyFont="1" applyFill="1" applyBorder="1" applyAlignment="1">
      <alignment horizontal="center"/>
    </xf>
    <xf numFmtId="0" fontId="8" fillId="0" borderId="0" xfId="0" applyFont="1" applyFill="1" applyBorder="1" applyAlignment="1">
      <alignment horizontal="left"/>
    </xf>
    <xf numFmtId="39" fontId="8" fillId="0" borderId="0" xfId="28" applyNumberFormat="1" applyFont="1" applyFill="1" applyBorder="1" applyAlignment="1">
      <alignment horizontal="center" vertical="center"/>
    </xf>
    <xf numFmtId="0" fontId="8" fillId="0" borderId="16"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0" fontId="8" fillId="0" borderId="17" xfId="10639" applyFont="1" applyFill="1" applyBorder="1" applyAlignment="1">
      <alignment horizontal="center"/>
    </xf>
    <xf numFmtId="0" fontId="8" fillId="0" borderId="16" xfId="10639" applyFont="1" applyFill="1" applyBorder="1" applyAlignment="1">
      <alignment horizontal="center"/>
    </xf>
    <xf numFmtId="0" fontId="8" fillId="0" borderId="0" xfId="10639" applyFont="1" applyFill="1" applyBorder="1" applyAlignment="1">
      <alignment horizontal="center"/>
    </xf>
    <xf numFmtId="1" fontId="8" fillId="0" borderId="0" xfId="10639" applyNumberFormat="1" applyFont="1" applyFill="1" applyBorder="1" applyAlignment="1">
      <alignment horizontal="center"/>
    </xf>
    <xf numFmtId="0" fontId="8" fillId="0" borderId="0" xfId="0" applyFont="1" applyFill="1" applyBorder="1" applyAlignment="1">
      <alignment horizontal="center" vertical="center"/>
    </xf>
    <xf numFmtId="0" fontId="8" fillId="0" borderId="0" xfId="10639" applyFont="1" applyFill="1" applyAlignment="1">
      <alignment horizontal="left"/>
    </xf>
    <xf numFmtId="0" fontId="8" fillId="0" borderId="0" xfId="10677" applyFont="1" applyFill="1" applyBorder="1" applyAlignment="1">
      <alignment horizontal="center" vertical="center"/>
    </xf>
    <xf numFmtId="165" fontId="8" fillId="0" borderId="0" xfId="55" applyNumberFormat="1" applyFont="1" applyFill="1" applyBorder="1" applyAlignment="1">
      <alignment horizontal="center"/>
    </xf>
    <xf numFmtId="0" fontId="8" fillId="0" borderId="0" xfId="15913" applyFont="1" applyFill="1" applyBorder="1" applyAlignment="1">
      <alignment horizontal="center"/>
    </xf>
    <xf numFmtId="0" fontId="8" fillId="0" borderId="16" xfId="0" applyFont="1" applyFill="1" applyBorder="1">
      <alignment vertical="center"/>
    </xf>
    <xf numFmtId="0" fontId="8" fillId="0" borderId="38" xfId="55" applyFont="1" applyFill="1" applyBorder="1" applyAlignment="1">
      <alignment horizontal="left"/>
    </xf>
    <xf numFmtId="0" fontId="8" fillId="0" borderId="39" xfId="55" applyFont="1" applyFill="1" applyBorder="1" applyAlignment="1">
      <alignment horizontal="left"/>
    </xf>
    <xf numFmtId="0" fontId="8" fillId="0" borderId="40" xfId="55" applyFont="1" applyFill="1" applyBorder="1" applyAlignment="1">
      <alignment horizontal="center"/>
    </xf>
    <xf numFmtId="0" fontId="8" fillId="0" borderId="38" xfId="55" applyFont="1" applyFill="1" applyBorder="1" applyAlignment="1">
      <alignment horizontal="center"/>
    </xf>
    <xf numFmtId="0" fontId="8" fillId="0" borderId="39" xfId="55" applyFont="1" applyFill="1" applyBorder="1" applyAlignment="1">
      <alignment horizontal="center"/>
    </xf>
    <xf numFmtId="0" fontId="8" fillId="0" borderId="40" xfId="55" applyFont="1" applyFill="1" applyBorder="1" applyAlignment="1">
      <alignment horizontal="center" vertical="center"/>
    </xf>
    <xf numFmtId="0" fontId="58" fillId="0" borderId="33" xfId="56" applyFont="1" applyFill="1" applyBorder="1" applyAlignment="1" applyProtection="1">
      <alignment horizontal="center" vertical="center" wrapText="1"/>
    </xf>
    <xf numFmtId="0" fontId="58" fillId="0" borderId="13" xfId="56" applyFont="1" applyFill="1" applyBorder="1" applyAlignment="1" applyProtection="1">
      <alignment horizontal="center" vertical="center" wrapText="1"/>
    </xf>
    <xf numFmtId="0" fontId="58" fillId="0" borderId="16" xfId="56" applyFont="1" applyFill="1" applyBorder="1" applyAlignment="1" applyProtection="1">
      <alignment horizontal="center" vertical="center" wrapText="1"/>
    </xf>
    <xf numFmtId="1" fontId="58" fillId="0" borderId="0" xfId="56" applyNumberFormat="1" applyFont="1" applyFill="1" applyBorder="1" applyAlignment="1" applyProtection="1">
      <alignment horizontal="center" vertical="center" wrapText="1"/>
    </xf>
    <xf numFmtId="1" fontId="58" fillId="0" borderId="23" xfId="56" applyNumberFormat="1" applyFont="1" applyFill="1" applyBorder="1" applyAlignment="1" applyProtection="1">
      <alignment horizontal="center" vertical="center" wrapText="1"/>
    </xf>
    <xf numFmtId="0" fontId="58" fillId="0" borderId="21" xfId="56" applyFont="1" applyFill="1" applyBorder="1" applyAlignment="1" applyProtection="1">
      <alignment horizontal="left" vertical="center"/>
    </xf>
    <xf numFmtId="0" fontId="58" fillId="0" borderId="18" xfId="56" applyFont="1" applyFill="1" applyBorder="1" applyAlignment="1" applyProtection="1">
      <alignment horizontal="center" vertical="center" wrapText="1"/>
    </xf>
    <xf numFmtId="0" fontId="58" fillId="0" borderId="10" xfId="56" applyFont="1" applyFill="1" applyBorder="1" applyAlignment="1" applyProtection="1">
      <alignment horizontal="center" vertical="center" wrapText="1"/>
    </xf>
    <xf numFmtId="0" fontId="56" fillId="0" borderId="21" xfId="56" applyFont="1" applyFill="1" applyBorder="1" applyAlignment="1" applyProtection="1">
      <alignment horizontal="left" vertical="center" wrapText="1"/>
    </xf>
    <xf numFmtId="0" fontId="59" fillId="0" borderId="0" xfId="56" applyFont="1" applyFill="1" applyBorder="1" applyAlignment="1">
      <alignment horizontal="center"/>
    </xf>
    <xf numFmtId="0" fontId="56" fillId="0" borderId="0" xfId="56" applyFont="1" applyFill="1" applyBorder="1" applyAlignment="1">
      <alignment horizontal="center"/>
    </xf>
    <xf numFmtId="0" fontId="56" fillId="0" borderId="16" xfId="56" applyFont="1" applyFill="1" applyBorder="1" applyAlignment="1" applyProtection="1">
      <alignment horizontal="center" vertical="center" wrapText="1"/>
    </xf>
    <xf numFmtId="0" fontId="56" fillId="0" borderId="17" xfId="56" applyFont="1" applyFill="1" applyBorder="1" applyAlignment="1">
      <alignment horizontal="center"/>
    </xf>
    <xf numFmtId="39" fontId="59" fillId="0" borderId="0" xfId="56" applyNumberFormat="1" applyFont="1" applyFill="1" applyBorder="1" applyAlignment="1" applyProtection="1">
      <alignment horizontal="center" vertical="center" wrapText="1"/>
    </xf>
    <xf numFmtId="1" fontId="56" fillId="0" borderId="23" xfId="56" applyNumberFormat="1" applyFont="1" applyFill="1" applyBorder="1" applyAlignment="1" applyProtection="1">
      <alignment horizontal="center" vertical="center" wrapText="1"/>
    </xf>
    <xf numFmtId="0" fontId="59" fillId="0" borderId="10" xfId="56" applyFont="1" applyFill="1" applyBorder="1" applyAlignment="1" applyProtection="1">
      <alignment horizontal="center" vertical="center" wrapText="1"/>
    </xf>
    <xf numFmtId="0" fontId="59" fillId="0" borderId="18" xfId="56" applyFont="1" applyFill="1" applyBorder="1" applyAlignment="1" applyProtection="1">
      <alignment horizontal="center" vertical="center" wrapText="1"/>
    </xf>
    <xf numFmtId="1" fontId="59" fillId="0" borderId="0" xfId="56" applyNumberFormat="1" applyFont="1" applyFill="1" applyBorder="1" applyAlignment="1" applyProtection="1">
      <alignment horizontal="center" vertical="center" wrapText="1"/>
    </xf>
    <xf numFmtId="1" fontId="59" fillId="0" borderId="23" xfId="56" applyNumberFormat="1" applyFont="1" applyFill="1" applyBorder="1" applyAlignment="1" applyProtection="1">
      <alignment horizontal="center" vertical="center" wrapText="1"/>
    </xf>
    <xf numFmtId="1" fontId="56" fillId="0" borderId="0" xfId="56" applyNumberFormat="1" applyFont="1" applyFill="1" applyBorder="1" applyAlignment="1">
      <alignment horizontal="center"/>
    </xf>
    <xf numFmtId="2" fontId="59" fillId="0" borderId="0" xfId="56" applyNumberFormat="1" applyFont="1" applyFill="1" applyBorder="1" applyAlignment="1">
      <alignment horizontal="center"/>
    </xf>
    <xf numFmtId="2" fontId="56" fillId="0" borderId="0" xfId="56" applyNumberFormat="1" applyFont="1" applyFill="1" applyBorder="1" applyAlignment="1">
      <alignment horizontal="center"/>
    </xf>
    <xf numFmtId="0" fontId="58" fillId="0" borderId="34" xfId="56" applyFont="1" applyFill="1" applyBorder="1" applyAlignment="1" applyProtection="1">
      <alignment horizontal="center" vertical="center" wrapText="1"/>
    </xf>
    <xf numFmtId="39" fontId="56" fillId="0" borderId="0" xfId="56" applyNumberFormat="1" applyFont="1" applyFill="1" applyBorder="1" applyAlignment="1">
      <alignment horizontal="center"/>
    </xf>
    <xf numFmtId="0" fontId="56" fillId="0" borderId="17" xfId="56" applyFont="1" applyFill="1" applyBorder="1" applyAlignment="1">
      <alignment horizontal="center" vertical="center"/>
    </xf>
    <xf numFmtId="0" fontId="58" fillId="0" borderId="21" xfId="56" applyFont="1" applyFill="1" applyBorder="1" applyAlignment="1" applyProtection="1">
      <alignment horizontal="left" vertical="center" wrapText="1"/>
    </xf>
    <xf numFmtId="39" fontId="58" fillId="0" borderId="18" xfId="55" applyNumberFormat="1" applyFont="1" applyFill="1" applyBorder="1" applyAlignment="1" applyProtection="1">
      <alignment horizontal="center" wrapText="1"/>
    </xf>
    <xf numFmtId="0" fontId="58" fillId="0" borderId="11" xfId="55" applyFont="1" applyFill="1" applyBorder="1" applyAlignment="1" applyProtection="1">
      <alignment horizontal="center" wrapText="1"/>
    </xf>
    <xf numFmtId="0" fontId="58" fillId="0" borderId="0" xfId="55" applyFont="1" applyFill="1" applyBorder="1" applyAlignment="1" applyProtection="1">
      <alignment horizontal="center" wrapText="1"/>
    </xf>
    <xf numFmtId="0" fontId="56" fillId="0" borderId="0" xfId="55" applyNumberFormat="1" applyFont="1" applyFill="1" applyBorder="1" applyAlignment="1">
      <alignment horizontal="center"/>
    </xf>
    <xf numFmtId="0" fontId="58" fillId="0" borderId="31" xfId="55" applyFont="1" applyFill="1" applyBorder="1" applyAlignment="1" applyProtection="1">
      <alignment horizontal="center" wrapText="1"/>
    </xf>
    <xf numFmtId="1" fontId="58" fillId="0" borderId="31" xfId="56" applyNumberFormat="1" applyFont="1" applyFill="1" applyBorder="1" applyAlignment="1" applyProtection="1">
      <alignment horizontal="center" vertical="center" wrapText="1"/>
    </xf>
    <xf numFmtId="2" fontId="56" fillId="0" borderId="0" xfId="56" applyNumberFormat="1" applyFont="1" applyFill="1" applyBorder="1" applyAlignment="1" applyProtection="1">
      <alignment horizontal="center" vertical="center" wrapText="1"/>
    </xf>
    <xf numFmtId="0" fontId="43" fillId="37" borderId="42" xfId="22938" applyFont="1" applyFill="1" applyBorder="1" applyAlignment="1">
      <alignment horizontal="center" vertical="center" wrapText="1"/>
    </xf>
    <xf numFmtId="0" fontId="43" fillId="37" borderId="42" xfId="48" applyNumberFormat="1" applyFont="1" applyFill="1" applyBorder="1" applyAlignment="1">
      <alignment horizontal="center" vertical="center" wrapText="1"/>
    </xf>
    <xf numFmtId="0" fontId="43" fillId="37" borderId="43" xfId="48" applyNumberFormat="1" applyFont="1" applyFill="1" applyBorder="1" applyAlignment="1">
      <alignment horizontal="center" vertical="center" wrapText="1"/>
    </xf>
    <xf numFmtId="0" fontId="43" fillId="37" borderId="44" xfId="48" applyNumberFormat="1" applyFont="1" applyFill="1" applyBorder="1" applyAlignment="1">
      <alignment horizontal="center" vertical="center" wrapText="1"/>
    </xf>
    <xf numFmtId="0" fontId="43" fillId="37" borderId="43" xfId="22938" applyFont="1" applyFill="1" applyBorder="1" applyAlignment="1">
      <alignment horizontal="center" vertical="center" wrapText="1"/>
    </xf>
    <xf numFmtId="165" fontId="43" fillId="37" borderId="44" xfId="58" applyNumberFormat="1" applyFont="1" applyFill="1" applyBorder="1" applyAlignment="1">
      <alignment horizontal="center" vertical="center" wrapText="1"/>
    </xf>
    <xf numFmtId="0" fontId="60" fillId="37" borderId="44" xfId="48" applyNumberFormat="1" applyFont="1" applyFill="1" applyBorder="1" applyAlignment="1">
      <alignment horizontal="center" vertical="center" wrapText="1"/>
    </xf>
    <xf numFmtId="0" fontId="43" fillId="37" borderId="42" xfId="0" applyNumberFormat="1" applyFont="1" applyFill="1" applyBorder="1" applyAlignment="1">
      <alignment horizontal="center" vertical="center" wrapText="1"/>
    </xf>
    <xf numFmtId="0" fontId="43" fillId="37" borderId="44" xfId="0" applyNumberFormat="1" applyFont="1" applyFill="1" applyBorder="1" applyAlignment="1">
      <alignment horizontal="center" vertical="center" wrapText="1"/>
    </xf>
    <xf numFmtId="0" fontId="60" fillId="37" borderId="44" xfId="0" applyNumberFormat="1" applyFont="1" applyFill="1" applyBorder="1" applyAlignment="1">
      <alignment horizontal="center" vertical="center" wrapText="1"/>
    </xf>
    <xf numFmtId="0" fontId="60" fillId="37" borderId="44" xfId="0" applyFont="1" applyFill="1" applyBorder="1" applyAlignment="1">
      <alignment horizontal="center" vertical="center" wrapText="1"/>
    </xf>
    <xf numFmtId="0" fontId="43" fillId="37" borderId="44" xfId="22938" applyFont="1" applyFill="1" applyBorder="1" applyAlignment="1">
      <alignment horizontal="center" vertical="center" wrapText="1"/>
    </xf>
    <xf numFmtId="1" fontId="60" fillId="37" borderId="42" xfId="0" applyNumberFormat="1" applyFont="1" applyFill="1" applyBorder="1" applyAlignment="1">
      <alignment horizontal="center" vertical="center" wrapText="1"/>
    </xf>
    <xf numFmtId="1" fontId="60" fillId="37" borderId="44" xfId="0" applyNumberFormat="1" applyFont="1" applyFill="1" applyBorder="1" applyAlignment="1">
      <alignment horizontal="center" vertical="center" wrapText="1"/>
    </xf>
    <xf numFmtId="1" fontId="43" fillId="37" borderId="44" xfId="48" applyNumberFormat="1" applyFont="1" applyFill="1" applyBorder="1" applyAlignment="1">
      <alignment horizontal="center" vertical="center" wrapText="1"/>
    </xf>
    <xf numFmtId="1" fontId="60" fillId="37" borderId="43" xfId="48" applyNumberFormat="1" applyFont="1" applyFill="1" applyBorder="1" applyAlignment="1">
      <alignment horizontal="center" vertical="center" wrapText="1"/>
    </xf>
    <xf numFmtId="0" fontId="43" fillId="37" borderId="43" xfId="48" applyNumberFormat="1" applyFont="1" applyFill="1" applyBorder="1" applyAlignment="1">
      <alignment horizontal="left" vertical="center" wrapText="1"/>
    </xf>
    <xf numFmtId="0" fontId="43" fillId="0" borderId="0" xfId="22938" applyFont="1" applyFill="1" applyBorder="1" applyAlignment="1">
      <alignment horizontal="center" vertical="center" wrapText="1"/>
    </xf>
    <xf numFmtId="0" fontId="43" fillId="0" borderId="0" xfId="22938" applyFont="1" applyFill="1" applyBorder="1" applyAlignment="1">
      <alignment horizontal="left" vertical="center" wrapText="1"/>
    </xf>
    <xf numFmtId="0" fontId="8" fillId="0" borderId="17" xfId="22938" applyFont="1" applyFill="1" applyBorder="1" applyAlignment="1">
      <alignment horizontal="center" vertical="center"/>
    </xf>
    <xf numFmtId="0" fontId="8" fillId="0" borderId="16" xfId="22938" applyFont="1" applyFill="1" applyBorder="1" applyAlignment="1">
      <alignment horizontal="center" vertical="center"/>
    </xf>
    <xf numFmtId="0" fontId="8" fillId="0" borderId="33" xfId="22938" applyFont="1" applyFill="1" applyBorder="1" applyAlignment="1">
      <alignment horizontal="center" vertical="center"/>
    </xf>
    <xf numFmtId="0" fontId="8" fillId="0" borderId="13" xfId="22938" applyFont="1" applyFill="1" applyBorder="1" applyAlignment="1">
      <alignment horizontal="center" vertical="center"/>
    </xf>
    <xf numFmtId="0" fontId="8" fillId="0" borderId="0" xfId="22938" applyFont="1" applyFill="1" applyBorder="1" applyAlignment="1">
      <alignment horizontal="center" vertical="center"/>
    </xf>
    <xf numFmtId="165" fontId="8" fillId="0" borderId="0" xfId="22938" applyNumberFormat="1" applyFont="1" applyFill="1" applyBorder="1" applyAlignment="1">
      <alignment horizontal="center" vertical="center"/>
    </xf>
    <xf numFmtId="165" fontId="89" fillId="0" borderId="0" xfId="22938" applyNumberFormat="1" applyFont="1" applyFill="1" applyBorder="1" applyAlignment="1">
      <alignment horizontal="center" vertical="center"/>
    </xf>
    <xf numFmtId="2" fontId="89" fillId="0" borderId="0" xfId="22938" applyNumberFormat="1" applyFont="1" applyFill="1" applyBorder="1" applyAlignment="1">
      <alignment horizontal="center" vertical="center"/>
    </xf>
    <xf numFmtId="0" fontId="89" fillId="0" borderId="0" xfId="22938" applyFont="1" applyFill="1" applyBorder="1" applyAlignment="1">
      <alignment horizontal="center" vertical="center"/>
    </xf>
    <xf numFmtId="1" fontId="8" fillId="0" borderId="0" xfId="22938" applyNumberFormat="1" applyFont="1" applyFill="1" applyBorder="1" applyAlignment="1">
      <alignment horizontal="center" vertical="center"/>
    </xf>
    <xf numFmtId="0" fontId="89" fillId="0" borderId="17" xfId="22938" applyFont="1" applyFill="1" applyBorder="1" applyAlignment="1">
      <alignment horizontal="center" vertical="center"/>
    </xf>
    <xf numFmtId="0" fontId="56" fillId="0" borderId="0" xfId="0" applyFont="1" applyFill="1" applyBorder="1" applyAlignment="1">
      <alignment horizontal="center" vertical="center"/>
    </xf>
    <xf numFmtId="0" fontId="59" fillId="0" borderId="0" xfId="22938" applyFont="1" applyFill="1" applyBorder="1" applyAlignment="1">
      <alignment horizontal="center" vertical="center"/>
    </xf>
    <xf numFmtId="0" fontId="56" fillId="0" borderId="0" xfId="22938" applyFont="1" applyFill="1" applyBorder="1" applyAlignment="1">
      <alignment horizontal="center"/>
    </xf>
    <xf numFmtId="0" fontId="56" fillId="0" borderId="0" xfId="22938" applyFont="1" applyFill="1" applyBorder="1" applyAlignment="1">
      <alignment horizontal="center" vertical="center"/>
    </xf>
    <xf numFmtId="1" fontId="56" fillId="0" borderId="0" xfId="22938" applyNumberFormat="1" applyFont="1" applyFill="1" applyBorder="1" applyAlignment="1">
      <alignment horizontal="center" vertical="center"/>
    </xf>
    <xf numFmtId="0" fontId="8" fillId="0" borderId="21" xfId="22938" applyFont="1" applyFill="1" applyBorder="1" applyAlignment="1">
      <alignment horizontal="left" vertical="center"/>
    </xf>
    <xf numFmtId="0" fontId="8" fillId="0" borderId="0" xfId="22938" applyFont="1" applyFill="1" applyBorder="1" applyAlignment="1">
      <alignment horizontal="left" vertical="center"/>
    </xf>
    <xf numFmtId="0" fontId="8" fillId="0" borderId="0" xfId="22938" applyFill="1" applyAlignment="1">
      <alignment horizontal="left"/>
    </xf>
    <xf numFmtId="0" fontId="8" fillId="0" borderId="0" xfId="22938" applyFill="1"/>
    <xf numFmtId="0" fontId="8" fillId="0" borderId="18" xfId="22938" applyFont="1" applyFill="1" applyBorder="1" applyAlignment="1">
      <alignment horizontal="center" vertical="center"/>
    </xf>
    <xf numFmtId="0" fontId="8" fillId="0" borderId="10" xfId="22938" applyFont="1" applyFill="1" applyBorder="1" applyAlignment="1">
      <alignment horizontal="center" vertical="center"/>
    </xf>
    <xf numFmtId="0" fontId="8" fillId="0" borderId="0" xfId="22938" applyFont="1" applyFill="1" applyAlignment="1">
      <alignment horizontal="left" vertical="center"/>
    </xf>
    <xf numFmtId="0" fontId="8" fillId="0" borderId="0" xfId="22940" applyFill="1"/>
    <xf numFmtId="0" fontId="8" fillId="0" borderId="0" xfId="22938" applyFill="1" applyAlignment="1">
      <alignment horizontal="left" vertical="center"/>
    </xf>
    <xf numFmtId="0" fontId="8" fillId="0" borderId="0" xfId="22938" applyFill="1" applyAlignment="1">
      <alignment vertical="center"/>
    </xf>
    <xf numFmtId="2" fontId="8" fillId="0" borderId="0" xfId="22938" applyNumberFormat="1" applyFont="1" applyFill="1" applyBorder="1" applyAlignment="1">
      <alignment horizontal="center" vertical="center"/>
    </xf>
    <xf numFmtId="0" fontId="56" fillId="0" borderId="17" xfId="22938" applyFont="1" applyFill="1" applyBorder="1" applyAlignment="1">
      <alignment horizontal="center" vertical="center"/>
    </xf>
    <xf numFmtId="0" fontId="62" fillId="0" borderId="0" xfId="22938" applyFont="1" applyFill="1" applyAlignment="1">
      <alignment horizontal="right"/>
    </xf>
    <xf numFmtId="0" fontId="56" fillId="0" borderId="16" xfId="56" applyFont="1" applyFill="1" applyBorder="1" applyAlignment="1" applyProtection="1">
      <alignment horizontal="left" vertical="center" wrapText="1"/>
    </xf>
    <xf numFmtId="0" fontId="8" fillId="0" borderId="0" xfId="22938" applyFill="1" applyBorder="1"/>
    <xf numFmtId="0" fontId="8" fillId="0" borderId="0" xfId="22938" applyFill="1" applyBorder="1" applyAlignment="1">
      <alignment horizontal="left"/>
    </xf>
    <xf numFmtId="166" fontId="8" fillId="0" borderId="0" xfId="22938" applyNumberFormat="1" applyFont="1" applyFill="1" applyBorder="1" applyAlignment="1">
      <alignment horizontal="center" vertical="center"/>
    </xf>
    <xf numFmtId="0" fontId="43" fillId="0" borderId="17" xfId="22938" applyFont="1" applyFill="1" applyBorder="1" applyAlignment="1">
      <alignment horizontal="center" vertical="center"/>
    </xf>
    <xf numFmtId="0" fontId="62" fillId="0" borderId="0" xfId="22938" applyFont="1" applyFill="1" applyBorder="1" applyAlignment="1">
      <alignment horizontal="center"/>
    </xf>
    <xf numFmtId="0" fontId="8" fillId="36" borderId="10" xfId="22938" applyFont="1" applyFill="1" applyBorder="1" applyAlignment="1">
      <alignment horizontal="center" vertical="center"/>
    </xf>
    <xf numFmtId="0" fontId="8" fillId="0" borderId="0" xfId="22938" applyFill="1" applyBorder="1" applyAlignment="1">
      <alignment horizontal="center"/>
    </xf>
    <xf numFmtId="0" fontId="8" fillId="0" borderId="17" xfId="22938" applyFont="1" applyFill="1" applyBorder="1" applyAlignment="1">
      <alignment horizontal="center"/>
    </xf>
    <xf numFmtId="0" fontId="8" fillId="0" borderId="16" xfId="22938" applyFont="1" applyFill="1" applyBorder="1" applyAlignment="1">
      <alignment horizontal="center"/>
    </xf>
    <xf numFmtId="2" fontId="89" fillId="0" borderId="0" xfId="22938" applyNumberFormat="1" applyFont="1" applyFill="1" applyBorder="1" applyAlignment="1">
      <alignment horizontal="center"/>
    </xf>
    <xf numFmtId="0" fontId="8" fillId="0" borderId="0" xfId="22938" applyFont="1" applyFill="1" applyBorder="1" applyAlignment="1">
      <alignment horizontal="left"/>
    </xf>
    <xf numFmtId="1" fontId="89" fillId="0" borderId="17" xfId="22938" applyNumberFormat="1" applyFont="1" applyFill="1" applyBorder="1" applyAlignment="1">
      <alignment horizontal="center" vertical="center"/>
    </xf>
    <xf numFmtId="0" fontId="80" fillId="0" borderId="0" xfId="22938" applyFont="1" applyFill="1" applyBorder="1" applyAlignment="1">
      <alignment horizontal="center"/>
    </xf>
    <xf numFmtId="0" fontId="61" fillId="0" borderId="0" xfId="22938" applyFont="1" applyFill="1" applyBorder="1" applyAlignment="1">
      <alignment horizontal="center"/>
    </xf>
    <xf numFmtId="1" fontId="8" fillId="0" borderId="0" xfId="22938" applyNumberFormat="1" applyFill="1" applyBorder="1" applyAlignment="1">
      <alignment horizontal="center"/>
    </xf>
    <xf numFmtId="0" fontId="8" fillId="0" borderId="0" xfId="22938" applyFont="1" applyFill="1" applyBorder="1" applyAlignment="1">
      <alignment horizontal="center"/>
    </xf>
    <xf numFmtId="39" fontId="8" fillId="0" borderId="0" xfId="22938" applyNumberFormat="1" applyFont="1" applyFill="1" applyBorder="1" applyAlignment="1">
      <alignment horizontal="center" vertical="center"/>
    </xf>
    <xf numFmtId="0" fontId="8" fillId="0" borderId="0" xfId="22938" applyFont="1" applyFill="1" applyAlignment="1">
      <alignment horizontal="left"/>
    </xf>
    <xf numFmtId="1" fontId="89" fillId="0" borderId="17" xfId="22938" applyNumberFormat="1" applyFont="1" applyFill="1" applyBorder="1" applyAlignment="1">
      <alignment horizontal="center"/>
    </xf>
    <xf numFmtId="1" fontId="89" fillId="0" borderId="0" xfId="22938" applyNumberFormat="1" applyFont="1" applyFill="1" applyBorder="1" applyAlignment="1">
      <alignment horizontal="center"/>
    </xf>
    <xf numFmtId="1" fontId="8" fillId="0" borderId="0" xfId="22938" applyNumberFormat="1" applyFont="1" applyFill="1" applyBorder="1" applyAlignment="1">
      <alignment horizontal="center"/>
    </xf>
    <xf numFmtId="0" fontId="56" fillId="0" borderId="17" xfId="22938" applyFont="1" applyFill="1" applyBorder="1" applyAlignment="1">
      <alignment horizontal="center"/>
    </xf>
    <xf numFmtId="0" fontId="56" fillId="0" borderId="16" xfId="22938" applyFont="1" applyFill="1" applyBorder="1" applyAlignment="1">
      <alignment horizontal="center"/>
    </xf>
    <xf numFmtId="0" fontId="89" fillId="0" borderId="0" xfId="22938" applyFont="1" applyFill="1" applyBorder="1" applyAlignment="1">
      <alignment horizontal="center"/>
    </xf>
    <xf numFmtId="0" fontId="56" fillId="0" borderId="16" xfId="0" applyFont="1" applyFill="1" applyBorder="1" applyAlignment="1">
      <alignment horizontal="center"/>
    </xf>
    <xf numFmtId="0" fontId="89" fillId="0" borderId="0" xfId="0" applyFont="1" applyFill="1" applyBorder="1" applyAlignment="1">
      <alignment horizontal="center"/>
    </xf>
    <xf numFmtId="0" fontId="43" fillId="0" borderId="0" xfId="22938" applyFont="1" applyFill="1" applyBorder="1" applyAlignment="1">
      <alignment horizontal="center"/>
    </xf>
    <xf numFmtId="0" fontId="8" fillId="0" borderId="18" xfId="22938" applyFont="1" applyFill="1" applyBorder="1" applyAlignment="1">
      <alignment horizontal="center"/>
    </xf>
    <xf numFmtId="0" fontId="8" fillId="0" borderId="10" xfId="22938" applyFont="1" applyFill="1" applyBorder="1" applyAlignment="1">
      <alignment horizontal="center"/>
    </xf>
    <xf numFmtId="39" fontId="8" fillId="0" borderId="0" xfId="22941" applyNumberFormat="1" applyFont="1" applyFill="1" applyBorder="1" applyAlignment="1">
      <alignment horizontal="center" vertical="center"/>
    </xf>
    <xf numFmtId="0" fontId="8" fillId="0" borderId="13" xfId="22938" applyFont="1" applyFill="1" applyBorder="1" applyAlignment="1">
      <alignment horizontal="center"/>
    </xf>
    <xf numFmtId="39" fontId="8" fillId="0" borderId="18" xfId="22938" applyNumberFormat="1" applyFont="1" applyFill="1" applyBorder="1" applyAlignment="1">
      <alignment horizontal="center" vertical="center"/>
    </xf>
    <xf numFmtId="0" fontId="59" fillId="0" borderId="0" xfId="22938" applyFont="1" applyFill="1" applyBorder="1" applyAlignment="1">
      <alignment horizontal="center"/>
    </xf>
    <xf numFmtId="0" fontId="8" fillId="36" borderId="0" xfId="22938" applyFont="1" applyFill="1" applyBorder="1" applyAlignment="1">
      <alignment horizontal="center" vertical="center"/>
    </xf>
    <xf numFmtId="0" fontId="8" fillId="0" borderId="0" xfId="22938"/>
    <xf numFmtId="0" fontId="8" fillId="0" borderId="0" xfId="22940" applyFont="1" applyFill="1" applyBorder="1" applyAlignment="1">
      <alignment horizontal="center" vertical="center"/>
    </xf>
    <xf numFmtId="0" fontId="8" fillId="0" borderId="17" xfId="22940" applyFont="1" applyFill="1" applyBorder="1" applyAlignment="1">
      <alignment horizontal="center" vertical="center"/>
    </xf>
    <xf numFmtId="0" fontId="8" fillId="0" borderId="16" xfId="22940" applyFont="1" applyFill="1" applyBorder="1" applyAlignment="1">
      <alignment horizontal="center" vertical="center"/>
    </xf>
    <xf numFmtId="1" fontId="8" fillId="0" borderId="0" xfId="22940" applyNumberFormat="1" applyFont="1" applyFill="1" applyBorder="1" applyAlignment="1">
      <alignment horizontal="center" vertical="center"/>
    </xf>
    <xf numFmtId="1" fontId="56" fillId="0" borderId="0" xfId="56" applyNumberFormat="1" applyFont="1" applyFill="1" applyBorder="1" applyAlignment="1">
      <alignment horizontal="center" vertical="center"/>
    </xf>
    <xf numFmtId="0" fontId="8" fillId="0" borderId="0" xfId="22940" applyNumberFormat="1" applyFont="1" applyFill="1" applyBorder="1" applyAlignment="1">
      <alignment horizontal="center" vertical="center"/>
    </xf>
    <xf numFmtId="0" fontId="56" fillId="0" borderId="0" xfId="56" applyFont="1" applyFill="1" applyBorder="1" applyAlignment="1">
      <alignment horizontal="center" vertical="center"/>
    </xf>
    <xf numFmtId="0" fontId="8" fillId="0" borderId="0" xfId="22940" applyFont="1" applyFill="1" applyAlignment="1">
      <alignment horizontal="left" vertical="center"/>
    </xf>
    <xf numFmtId="0" fontId="43" fillId="0" borderId="0" xfId="22938" applyFont="1" applyFill="1" applyBorder="1" applyAlignment="1">
      <alignment horizontal="center" vertical="center"/>
    </xf>
    <xf numFmtId="1" fontId="89" fillId="0" borderId="0" xfId="22938" applyNumberFormat="1" applyFont="1" applyFill="1" applyBorder="1" applyAlignment="1">
      <alignment horizontal="center" vertical="center"/>
    </xf>
    <xf numFmtId="0" fontId="8" fillId="0" borderId="0" xfId="22938" applyBorder="1"/>
    <xf numFmtId="0" fontId="8" fillId="0" borderId="0" xfId="22940" applyNumberFormat="1" applyFont="1" applyFill="1" applyBorder="1" applyAlignment="1">
      <alignment horizontal="center"/>
    </xf>
    <xf numFmtId="0" fontId="58" fillId="0" borderId="0" xfId="22938" applyFont="1" applyFill="1" applyBorder="1" applyAlignment="1" applyProtection="1">
      <alignment horizontal="center" vertical="center" wrapText="1"/>
    </xf>
    <xf numFmtId="39" fontId="58" fillId="0" borderId="0" xfId="22938" applyNumberFormat="1" applyFont="1" applyFill="1" applyBorder="1" applyAlignment="1" applyProtection="1">
      <alignment horizontal="center" vertical="center" wrapText="1"/>
    </xf>
    <xf numFmtId="0" fontId="8" fillId="0" borderId="0" xfId="22938" applyNumberFormat="1" applyFont="1" applyFill="1" applyBorder="1" applyAlignment="1">
      <alignment horizontal="center" vertical="center"/>
    </xf>
    <xf numFmtId="0" fontId="43" fillId="0" borderId="0" xfId="22939" applyFont="1" applyFill="1" applyBorder="1" applyAlignment="1">
      <alignment horizontal="center" vertical="center"/>
    </xf>
    <xf numFmtId="0" fontId="8" fillId="0" borderId="17" xfId="22940" applyFont="1" applyFill="1" applyBorder="1" applyAlignment="1">
      <alignment horizontal="center"/>
    </xf>
    <xf numFmtId="0" fontId="56" fillId="0" borderId="46" xfId="56" applyFont="1" applyFill="1" applyBorder="1" applyAlignment="1" applyProtection="1">
      <alignment horizontal="left" vertical="center" wrapText="1"/>
    </xf>
    <xf numFmtId="0" fontId="8" fillId="0" borderId="16" xfId="22938" applyFont="1" applyFill="1" applyBorder="1" applyAlignment="1">
      <alignment horizontal="left" vertical="center"/>
    </xf>
    <xf numFmtId="1" fontId="8" fillId="0" borderId="0" xfId="22940" applyNumberFormat="1" applyFont="1" applyFill="1" applyBorder="1" applyAlignment="1">
      <alignment horizontal="center"/>
    </xf>
    <xf numFmtId="0" fontId="8" fillId="0" borderId="0" xfId="22940" applyFont="1" applyFill="1" applyAlignment="1">
      <alignment horizontal="left"/>
    </xf>
    <xf numFmtId="0" fontId="8" fillId="0" borderId="0" xfId="22938" applyNumberFormat="1" applyFont="1" applyFill="1" applyBorder="1" applyAlignment="1">
      <alignment horizontal="center"/>
    </xf>
    <xf numFmtId="1" fontId="58" fillId="0" borderId="21" xfId="56" applyNumberFormat="1" applyFont="1" applyFill="1" applyBorder="1" applyAlignment="1" applyProtection="1">
      <alignment horizontal="center" vertical="center" wrapText="1"/>
    </xf>
    <xf numFmtId="0" fontId="56" fillId="0" borderId="0" xfId="22938" applyNumberFormat="1" applyFont="1" applyFill="1" applyBorder="1" applyAlignment="1">
      <alignment horizontal="center"/>
    </xf>
    <xf numFmtId="1" fontId="89" fillId="0" borderId="0" xfId="56" applyNumberFormat="1" applyFont="1" applyFill="1" applyBorder="1" applyAlignment="1" applyProtection="1">
      <alignment horizontal="center" vertical="center" wrapText="1"/>
    </xf>
    <xf numFmtId="0" fontId="89" fillId="0" borderId="0" xfId="56" applyFont="1" applyFill="1" applyBorder="1" applyAlignment="1" applyProtection="1">
      <alignment horizontal="center" vertical="center" wrapText="1"/>
    </xf>
    <xf numFmtId="1" fontId="59" fillId="0" borderId="0" xfId="22938" applyNumberFormat="1" applyFont="1" applyFill="1" applyBorder="1" applyAlignment="1">
      <alignment horizontal="center" vertical="center"/>
    </xf>
    <xf numFmtId="1" fontId="59" fillId="0" borderId="0" xfId="22938" applyNumberFormat="1" applyFont="1" applyFill="1" applyBorder="1" applyAlignment="1">
      <alignment horizontal="center"/>
    </xf>
    <xf numFmtId="166" fontId="89" fillId="0" borderId="0" xfId="22938" applyNumberFormat="1" applyFont="1" applyFill="1" applyBorder="1" applyAlignment="1">
      <alignment horizontal="center"/>
    </xf>
    <xf numFmtId="1" fontId="89" fillId="0" borderId="0" xfId="48" applyNumberFormat="1" applyFont="1" applyFill="1" applyBorder="1" applyAlignment="1">
      <alignment horizontal="center" vertical="center"/>
    </xf>
    <xf numFmtId="1" fontId="59" fillId="0" borderId="0" xfId="48" applyNumberFormat="1" applyFont="1" applyFill="1" applyBorder="1" applyAlignment="1">
      <alignment horizontal="center" vertical="center"/>
    </xf>
    <xf numFmtId="1" fontId="8" fillId="0" borderId="0" xfId="48" applyNumberFormat="1" applyFont="1" applyFill="1" applyBorder="1" applyAlignment="1">
      <alignment horizontal="center" vertical="center"/>
    </xf>
    <xf numFmtId="0" fontId="8" fillId="0" borderId="0" xfId="48" applyFont="1" applyFill="1" applyBorder="1" applyAlignment="1">
      <alignment horizontal="center" vertical="center"/>
    </xf>
    <xf numFmtId="2" fontId="89" fillId="0" borderId="0" xfId="48" applyNumberFormat="1" applyFont="1" applyFill="1" applyBorder="1" applyAlignment="1">
      <alignment horizontal="center" vertical="center"/>
    </xf>
    <xf numFmtId="167" fontId="89" fillId="0" borderId="0" xfId="22938" applyNumberFormat="1" applyFont="1" applyFill="1" applyBorder="1" applyAlignment="1">
      <alignment horizontal="center"/>
    </xf>
    <xf numFmtId="167" fontId="89" fillId="0" borderId="0" xfId="22938" applyNumberFormat="1" applyFont="1" applyFill="1" applyBorder="1" applyAlignment="1">
      <alignment horizontal="center" vertical="center"/>
    </xf>
    <xf numFmtId="1" fontId="89" fillId="0" borderId="0" xfId="0" applyNumberFormat="1" applyFont="1" applyFill="1" applyBorder="1" applyAlignment="1">
      <alignment horizontal="center"/>
    </xf>
    <xf numFmtId="1" fontId="59" fillId="0" borderId="0" xfId="0" applyNumberFormat="1" applyFont="1" applyFill="1" applyBorder="1" applyAlignment="1">
      <alignment horizontal="center"/>
    </xf>
    <xf numFmtId="0" fontId="59" fillId="0" borderId="0" xfId="22938" applyNumberFormat="1" applyFont="1" applyFill="1" applyBorder="1" applyAlignment="1">
      <alignment horizontal="center" vertical="center"/>
    </xf>
    <xf numFmtId="0" fontId="8" fillId="0" borderId="11" xfId="22938" applyFont="1" applyFill="1" applyBorder="1" applyAlignment="1">
      <alignment horizontal="center" vertical="center"/>
    </xf>
    <xf numFmtId="2" fontId="56" fillId="0" borderId="0" xfId="22938" applyNumberFormat="1" applyFont="1" applyFill="1" applyBorder="1" applyAlignment="1">
      <alignment horizontal="center" vertical="center"/>
    </xf>
    <xf numFmtId="165" fontId="56" fillId="0" borderId="0" xfId="22938" applyNumberFormat="1" applyFont="1" applyFill="1" applyBorder="1" applyAlignment="1">
      <alignment horizontal="center" vertical="center"/>
    </xf>
    <xf numFmtId="2" fontId="8" fillId="0" borderId="0" xfId="0" applyNumberFormat="1" applyFont="1" applyFill="1" applyBorder="1" applyAlignment="1">
      <alignment horizontal="center" vertical="center"/>
    </xf>
    <xf numFmtId="0" fontId="56" fillId="0" borderId="11" xfId="22938" applyFont="1" applyFill="1" applyBorder="1" applyAlignment="1">
      <alignment horizontal="center" vertical="center"/>
    </xf>
    <xf numFmtId="39" fontId="8" fillId="0" borderId="0" xfId="0" applyNumberFormat="1" applyFont="1" applyFill="1" applyBorder="1" applyAlignment="1">
      <alignment horizontal="center" vertical="center"/>
    </xf>
    <xf numFmtId="0" fontId="60" fillId="37" borderId="42" xfId="48" applyNumberFormat="1" applyFont="1" applyFill="1" applyBorder="1" applyAlignment="1">
      <alignment horizontal="center" vertical="center" wrapText="1"/>
    </xf>
    <xf numFmtId="1" fontId="8" fillId="0" borderId="17" xfId="22942" applyNumberFormat="1" applyFont="1" applyFill="1" applyBorder="1" applyAlignment="1">
      <alignment horizontal="center" vertical="center"/>
    </xf>
    <xf numFmtId="1" fontId="8" fillId="0" borderId="17" xfId="22942" applyNumberFormat="1" applyFont="1" applyFill="1" applyBorder="1" applyAlignment="1">
      <alignment horizontal="center"/>
    </xf>
    <xf numFmtId="1" fontId="58" fillId="0" borderId="16" xfId="56" applyNumberFormat="1" applyFont="1" applyFill="1" applyBorder="1" applyAlignment="1" applyProtection="1">
      <alignment horizontal="center" vertical="center" wrapText="1"/>
    </xf>
    <xf numFmtId="0" fontId="8" fillId="0" borderId="17" xfId="22938" applyNumberFormat="1" applyFont="1" applyFill="1" applyBorder="1" applyAlignment="1">
      <alignment horizontal="center" vertical="center"/>
    </xf>
    <xf numFmtId="1" fontId="56" fillId="0" borderId="21" xfId="56" applyNumberFormat="1" applyFont="1" applyFill="1" applyBorder="1" applyAlignment="1" applyProtection="1">
      <alignment horizontal="center" vertical="center" wrapText="1"/>
    </xf>
    <xf numFmtId="0" fontId="56" fillId="0" borderId="16" xfId="22938" applyFont="1" applyFill="1" applyBorder="1" applyAlignment="1">
      <alignment horizontal="center" vertical="center"/>
    </xf>
    <xf numFmtId="0" fontId="8" fillId="0" borderId="38" xfId="22938" applyFont="1" applyFill="1" applyBorder="1" applyAlignment="1">
      <alignment horizontal="center" vertical="center"/>
    </xf>
    <xf numFmtId="0" fontId="8" fillId="0" borderId="40" xfId="22938" applyFont="1" applyFill="1" applyBorder="1" applyAlignment="1">
      <alignment horizontal="center" vertical="center"/>
    </xf>
    <xf numFmtId="0" fontId="8" fillId="0" borderId="39" xfId="22938" applyFont="1" applyFill="1" applyBorder="1" applyAlignment="1">
      <alignment horizontal="center" vertical="center"/>
    </xf>
    <xf numFmtId="0" fontId="8" fillId="0" borderId="18" xfId="0" applyFont="1" applyFill="1" applyBorder="1" applyAlignment="1">
      <alignment horizontal="center"/>
    </xf>
    <xf numFmtId="1" fontId="60" fillId="37" borderId="43" xfId="0" applyNumberFormat="1" applyFont="1" applyFill="1" applyBorder="1" applyAlignment="1">
      <alignment horizontal="center" vertical="center" wrapText="1"/>
    </xf>
    <xf numFmtId="1" fontId="8" fillId="0" borderId="16" xfId="22938" applyNumberFormat="1" applyFont="1" applyFill="1" applyBorder="1" applyAlignment="1">
      <alignment horizontal="center"/>
    </xf>
    <xf numFmtId="1" fontId="8" fillId="0" borderId="16" xfId="22938" applyNumberFormat="1" applyFont="1" applyFill="1" applyBorder="1" applyAlignment="1">
      <alignment horizontal="center" vertical="center"/>
    </xf>
    <xf numFmtId="1" fontId="8" fillId="0" borderId="21" xfId="22938" applyNumberFormat="1" applyFont="1" applyFill="1" applyBorder="1" applyAlignment="1">
      <alignment horizontal="center"/>
    </xf>
    <xf numFmtId="1" fontId="56" fillId="0" borderId="16" xfId="22938" applyNumberFormat="1" applyFont="1" applyFill="1" applyBorder="1" applyAlignment="1">
      <alignment horizontal="center"/>
    </xf>
    <xf numFmtId="1" fontId="56" fillId="0" borderId="21" xfId="22938" applyNumberFormat="1" applyFont="1" applyFill="1" applyBorder="1" applyAlignment="1">
      <alignment horizontal="center"/>
    </xf>
    <xf numFmtId="1" fontId="8" fillId="0" borderId="21" xfId="22938" applyNumberFormat="1" applyFont="1" applyFill="1" applyBorder="1" applyAlignment="1">
      <alignment horizontal="center" vertical="center"/>
    </xf>
    <xf numFmtId="0" fontId="8" fillId="0" borderId="34" xfId="22938" applyFont="1" applyFill="1" applyBorder="1" applyAlignment="1">
      <alignment horizontal="center" vertical="center"/>
    </xf>
    <xf numFmtId="0" fontId="56" fillId="0" borderId="21" xfId="22938" applyFont="1" applyFill="1" applyBorder="1" applyAlignment="1">
      <alignment horizontal="left" vertical="center"/>
    </xf>
    <xf numFmtId="0" fontId="56" fillId="0" borderId="16" xfId="22938" applyFont="1" applyFill="1" applyBorder="1" applyAlignment="1">
      <alignment horizontal="left" vertical="center"/>
    </xf>
    <xf numFmtId="2" fontId="89" fillId="0" borderId="16" xfId="56" applyNumberFormat="1" applyFont="1" applyFill="1" applyBorder="1" applyAlignment="1" applyProtection="1">
      <alignment horizontal="center" vertical="center" wrapText="1"/>
    </xf>
    <xf numFmtId="0" fontId="89" fillId="0" borderId="16" xfId="22938" applyFont="1" applyFill="1" applyBorder="1" applyAlignment="1">
      <alignment horizontal="center" vertical="center"/>
    </xf>
    <xf numFmtId="0" fontId="89" fillId="0" borderId="16" xfId="22938" applyFont="1" applyFill="1" applyBorder="1" applyAlignment="1">
      <alignment horizontal="center"/>
    </xf>
    <xf numFmtId="167" fontId="89" fillId="0" borderId="16" xfId="0" applyNumberFormat="1" applyFont="1" applyFill="1" applyBorder="1" applyAlignment="1">
      <alignment horizontal="center"/>
    </xf>
    <xf numFmtId="0" fontId="89" fillId="0" borderId="38" xfId="22938" applyFont="1" applyFill="1" applyBorder="1" applyAlignment="1">
      <alignment horizontal="center" vertical="center"/>
    </xf>
    <xf numFmtId="0" fontId="60" fillId="37" borderId="42" xfId="0" applyNumberFormat="1" applyFont="1" applyFill="1" applyBorder="1" applyAlignment="1">
      <alignment horizontal="center" vertical="center" wrapText="1"/>
    </xf>
    <xf numFmtId="0" fontId="60" fillId="37" borderId="43" xfId="0" applyFont="1" applyFill="1" applyBorder="1" applyAlignment="1">
      <alignment horizontal="center" vertical="center" wrapText="1"/>
    </xf>
    <xf numFmtId="0" fontId="56" fillId="0" borderId="17" xfId="0" applyFont="1" applyBorder="1" applyAlignment="1">
      <alignment horizontal="center" vertical="center"/>
    </xf>
    <xf numFmtId="0" fontId="56" fillId="0" borderId="0" xfId="0" applyFont="1" applyBorder="1" applyAlignment="1">
      <alignment horizontal="center"/>
    </xf>
    <xf numFmtId="0" fontId="59" fillId="0" borderId="16" xfId="22938" applyFont="1" applyFill="1" applyBorder="1" applyAlignment="1">
      <alignment horizontal="center" vertical="center"/>
    </xf>
    <xf numFmtId="0" fontId="60" fillId="37" borderId="43" xfId="48" applyNumberFormat="1" applyFont="1" applyFill="1" applyBorder="1" applyAlignment="1">
      <alignment horizontal="center" vertical="center" wrapText="1"/>
    </xf>
    <xf numFmtId="165" fontId="43" fillId="37" borderId="42" xfId="58" applyNumberFormat="1" applyFont="1" applyFill="1" applyBorder="1" applyAlignment="1">
      <alignment horizontal="center" vertical="center" wrapText="1"/>
    </xf>
    <xf numFmtId="2" fontId="89" fillId="0" borderId="17" xfId="22938" applyNumberFormat="1" applyFont="1" applyFill="1" applyBorder="1" applyAlignment="1">
      <alignment horizontal="center" vertical="center"/>
    </xf>
    <xf numFmtId="2" fontId="56" fillId="0" borderId="17" xfId="22938" applyNumberFormat="1" applyFont="1" applyFill="1" applyBorder="1" applyAlignment="1">
      <alignment horizontal="center" vertical="center"/>
    </xf>
    <xf numFmtId="39" fontId="89" fillId="0" borderId="17" xfId="22938" applyNumberFormat="1" applyFont="1" applyFill="1" applyBorder="1" applyAlignment="1">
      <alignment horizontal="center" vertical="center"/>
    </xf>
    <xf numFmtId="2" fontId="89" fillId="0" borderId="48" xfId="22938" applyNumberFormat="1" applyFont="1" applyFill="1" applyBorder="1" applyAlignment="1">
      <alignment horizontal="center" vertical="center"/>
    </xf>
    <xf numFmtId="2" fontId="8" fillId="0" borderId="17" xfId="22938" applyNumberFormat="1" applyFont="1" applyFill="1" applyBorder="1" applyAlignment="1">
      <alignment horizontal="center" vertical="center"/>
    </xf>
    <xf numFmtId="2" fontId="89" fillId="0" borderId="40" xfId="22938" applyNumberFormat="1" applyFont="1" applyFill="1" applyBorder="1" applyAlignment="1">
      <alignment horizontal="center" vertical="center"/>
    </xf>
    <xf numFmtId="1" fontId="89" fillId="0" borderId="40" xfId="22938" applyNumberFormat="1" applyFont="1" applyFill="1" applyBorder="1" applyAlignment="1">
      <alignment horizontal="center" vertical="center"/>
    </xf>
    <xf numFmtId="0" fontId="8" fillId="0" borderId="49" xfId="22938" applyFont="1" applyFill="1" applyBorder="1" applyAlignment="1">
      <alignment horizontal="center"/>
    </xf>
    <xf numFmtId="0" fontId="8" fillId="0" borderId="48" xfId="22938" applyFont="1" applyFill="1" applyBorder="1" applyAlignment="1">
      <alignment horizontal="center"/>
    </xf>
    <xf numFmtId="0" fontId="8" fillId="0" borderId="16" xfId="22940" applyFont="1" applyFill="1" applyBorder="1" applyAlignment="1">
      <alignment horizontal="center"/>
    </xf>
    <xf numFmtId="0" fontId="8" fillId="0" borderId="48" xfId="22938" applyFont="1" applyFill="1" applyBorder="1" applyAlignment="1">
      <alignment horizontal="center" vertical="center"/>
    </xf>
    <xf numFmtId="0" fontId="43" fillId="0" borderId="17" xfId="22938" applyFont="1" applyFill="1" applyBorder="1" applyAlignment="1">
      <alignment horizontal="center"/>
    </xf>
    <xf numFmtId="0" fontId="43" fillId="0" borderId="17" xfId="22939" applyFont="1" applyFill="1" applyBorder="1" applyAlignment="1">
      <alignment horizontal="center" vertical="center"/>
    </xf>
    <xf numFmtId="0" fontId="58" fillId="36" borderId="10" xfId="56" applyFont="1" applyFill="1" applyBorder="1" applyAlignment="1" applyProtection="1">
      <alignment horizontal="center" vertical="center" wrapText="1"/>
    </xf>
    <xf numFmtId="0" fontId="58" fillId="36" borderId="12" xfId="56" applyFont="1" applyFill="1" applyBorder="1" applyAlignment="1" applyProtection="1">
      <alignment horizontal="center" vertical="center" wrapText="1"/>
    </xf>
    <xf numFmtId="0" fontId="58" fillId="36" borderId="0" xfId="56" applyFont="1" applyFill="1" applyBorder="1" applyAlignment="1" applyProtection="1">
      <alignment horizontal="center" vertical="center" wrapText="1"/>
    </xf>
    <xf numFmtId="0" fontId="58" fillId="36" borderId="13" xfId="56" applyFont="1" applyFill="1" applyBorder="1" applyAlignment="1" applyProtection="1">
      <alignment horizontal="center" vertical="center" wrapText="1"/>
    </xf>
    <xf numFmtId="0" fontId="8" fillId="36" borderId="0" xfId="55" applyFont="1" applyFill="1" applyBorder="1" applyAlignment="1">
      <alignment horizontal="center" vertical="center"/>
    </xf>
    <xf numFmtId="0" fontId="8" fillId="35" borderId="0" xfId="55" applyFont="1" applyFill="1" applyBorder="1" applyAlignment="1">
      <alignment horizontal="center" vertical="center"/>
    </xf>
    <xf numFmtId="0" fontId="62" fillId="0" borderId="0" xfId="55" applyFont="1" applyFill="1" applyBorder="1" applyAlignment="1">
      <alignment horizontal="center" vertical="center"/>
    </xf>
    <xf numFmtId="0" fontId="97" fillId="0" borderId="0" xfId="22939" applyFont="1" applyFill="1" applyBorder="1" applyAlignment="1">
      <alignment horizontal="center" vertical="center"/>
    </xf>
    <xf numFmtId="0" fontId="43" fillId="38" borderId="44" xfId="22938" applyFont="1" applyFill="1" applyBorder="1" applyAlignment="1">
      <alignment horizontal="center" vertical="center" wrapText="1"/>
    </xf>
    <xf numFmtId="0" fontId="43" fillId="38" borderId="43" xfId="22938" applyFont="1" applyFill="1" applyBorder="1" applyAlignment="1">
      <alignment horizontal="center" vertical="center" wrapText="1"/>
    </xf>
    <xf numFmtId="0" fontId="43" fillId="0" borderId="16" xfId="22939" applyFont="1" applyFill="1" applyBorder="1" applyAlignment="1">
      <alignment horizontal="center" vertical="center"/>
    </xf>
    <xf numFmtId="0" fontId="97" fillId="0" borderId="16" xfId="22939" applyFont="1" applyFill="1" applyBorder="1" applyAlignment="1">
      <alignment horizontal="center" vertical="center"/>
    </xf>
    <xf numFmtId="0" fontId="97" fillId="0" borderId="40" xfId="22939" applyFont="1" applyFill="1" applyBorder="1" applyAlignment="1">
      <alignment horizontal="center" vertical="center"/>
    </xf>
    <xf numFmtId="0" fontId="43" fillId="0" borderId="39" xfId="22939" applyFont="1" applyFill="1" applyBorder="1" applyAlignment="1">
      <alignment horizontal="center" vertical="center"/>
    </xf>
    <xf numFmtId="39" fontId="8" fillId="0" borderId="17" xfId="0" applyNumberFormat="1" applyFont="1" applyFill="1" applyBorder="1" applyAlignment="1">
      <alignment horizontal="center" vertical="center"/>
    </xf>
    <xf numFmtId="39" fontId="58" fillId="0" borderId="17" xfId="56" applyNumberFormat="1" applyFont="1" applyFill="1" applyBorder="1" applyAlignment="1" applyProtection="1">
      <alignment horizontal="center" vertical="center" wrapText="1"/>
    </xf>
    <xf numFmtId="39" fontId="58" fillId="0" borderId="17" xfId="22938" applyNumberFormat="1" applyFont="1" applyFill="1" applyBorder="1" applyAlignment="1" applyProtection="1">
      <alignment horizontal="center" vertical="center" wrapText="1"/>
    </xf>
    <xf numFmtId="39" fontId="8" fillId="0" borderId="17" xfId="22941" applyNumberFormat="1" applyFont="1" applyFill="1" applyBorder="1" applyAlignment="1">
      <alignment horizontal="center" vertical="center"/>
    </xf>
    <xf numFmtId="39" fontId="8" fillId="0" borderId="17" xfId="22938" applyNumberFormat="1" applyFont="1" applyFill="1" applyBorder="1" applyAlignment="1">
      <alignment horizontal="center" vertical="center"/>
    </xf>
    <xf numFmtId="0" fontId="43" fillId="0" borderId="19" xfId="22939" applyFont="1" applyFill="1" applyBorder="1" applyAlignment="1">
      <alignment horizontal="center" vertical="center"/>
    </xf>
    <xf numFmtId="0" fontId="43" fillId="0" borderId="37" xfId="22939" applyFont="1" applyFill="1" applyBorder="1" applyAlignment="1">
      <alignment horizontal="center" vertical="center"/>
    </xf>
    <xf numFmtId="39" fontId="58" fillId="0" borderId="18" xfId="56" applyNumberFormat="1" applyFont="1" applyFill="1" applyBorder="1" applyAlignment="1" applyProtection="1">
      <alignment horizontal="center" vertical="center" wrapText="1"/>
    </xf>
    <xf numFmtId="0" fontId="56" fillId="0" borderId="40" xfId="22938" applyFont="1" applyFill="1" applyBorder="1" applyAlignment="1">
      <alignment horizontal="center" vertical="center"/>
    </xf>
    <xf numFmtId="0" fontId="58" fillId="0" borderId="11" xfId="56" applyFont="1" applyFill="1" applyBorder="1" applyAlignment="1" applyProtection="1">
      <alignment horizontal="center" vertical="center" wrapText="1"/>
    </xf>
    <xf numFmtId="1" fontId="88" fillId="0" borderId="21" xfId="22938" applyNumberFormat="1" applyFont="1" applyFill="1" applyBorder="1" applyAlignment="1">
      <alignment horizontal="center" vertical="center"/>
    </xf>
    <xf numFmtId="1" fontId="8" fillId="0" borderId="10" xfId="22938" applyNumberFormat="1" applyFont="1" applyFill="1" applyBorder="1" applyAlignment="1">
      <alignment horizontal="center" vertical="center"/>
    </xf>
    <xf numFmtId="0" fontId="8" fillId="0" borderId="12" xfId="22938" applyFont="1" applyFill="1" applyBorder="1" applyAlignment="1">
      <alignment horizontal="center" vertical="center"/>
    </xf>
    <xf numFmtId="0" fontId="8" fillId="0" borderId="49" xfId="22938" applyFont="1" applyFill="1" applyBorder="1" applyAlignment="1">
      <alignment horizontal="center" vertical="center"/>
    </xf>
    <xf numFmtId="2" fontId="8" fillId="0" borderId="40" xfId="22938" applyNumberFormat="1" applyFont="1" applyFill="1" applyBorder="1" applyAlignment="1">
      <alignment horizontal="center" vertical="center"/>
    </xf>
    <xf numFmtId="1" fontId="8" fillId="0" borderId="40" xfId="22938" applyNumberFormat="1" applyFont="1" applyFill="1" applyBorder="1" applyAlignment="1">
      <alignment horizontal="center" vertical="center"/>
    </xf>
    <xf numFmtId="0" fontId="59" fillId="0" borderId="40" xfId="22938" applyFont="1" applyFill="1" applyBorder="1" applyAlignment="1">
      <alignment horizontal="center" vertical="center"/>
    </xf>
    <xf numFmtId="0" fontId="56" fillId="0" borderId="38" xfId="22938" applyFont="1" applyFill="1" applyBorder="1" applyAlignment="1">
      <alignment horizontal="center" vertical="center"/>
    </xf>
    <xf numFmtId="0" fontId="56" fillId="0" borderId="18" xfId="56" applyFont="1" applyFill="1" applyBorder="1" applyAlignment="1" applyProtection="1">
      <alignment horizontal="center" vertical="center" wrapText="1"/>
    </xf>
    <xf numFmtId="0" fontId="7" fillId="0" borderId="0" xfId="22938" applyFont="1" applyFill="1" applyBorder="1" applyAlignment="1">
      <alignment horizontal="left" vertical="center"/>
    </xf>
    <xf numFmtId="0" fontId="43" fillId="38" borderId="42" xfId="22938" applyFont="1" applyFill="1" applyBorder="1" applyAlignment="1">
      <alignment horizontal="center" vertical="center" wrapText="1"/>
    </xf>
    <xf numFmtId="0" fontId="58" fillId="0" borderId="17" xfId="22938" applyFont="1" applyFill="1" applyBorder="1" applyAlignment="1" applyProtection="1">
      <alignment horizontal="center" vertical="center" wrapText="1"/>
    </xf>
    <xf numFmtId="166" fontId="56" fillId="0" borderId="0" xfId="40" applyNumberFormat="1" applyFont="1" applyFill="1" applyBorder="1" applyAlignment="1">
      <alignment horizontal="center" vertical="center"/>
    </xf>
    <xf numFmtId="1" fontId="89" fillId="0" borderId="0" xfId="40" applyNumberFormat="1" applyFont="1" applyFill="1" applyBorder="1" applyAlignment="1">
      <alignment horizontal="center" vertical="center"/>
    </xf>
    <xf numFmtId="0" fontId="56" fillId="0" borderId="47" xfId="56" applyFont="1" applyFill="1" applyBorder="1" applyAlignment="1" applyProtection="1">
      <alignment horizontal="left" vertical="center" wrapText="1"/>
    </xf>
    <xf numFmtId="1" fontId="56" fillId="0" borderId="0" xfId="55" applyNumberFormat="1" applyFont="1" applyFill="1" applyBorder="1" applyAlignment="1">
      <alignment horizontal="center" vertical="center"/>
    </xf>
    <xf numFmtId="1" fontId="89" fillId="0" borderId="0" xfId="55" applyNumberFormat="1" applyFont="1" applyFill="1" applyBorder="1" applyAlignment="1">
      <alignment horizontal="center" vertical="center"/>
    </xf>
    <xf numFmtId="1" fontId="8" fillId="0" borderId="0" xfId="22942" applyNumberFormat="1" applyFont="1" applyFill="1" applyBorder="1" applyAlignment="1">
      <alignment horizontal="center"/>
    </xf>
    <xf numFmtId="0" fontId="89" fillId="0" borderId="0" xfId="55" applyFont="1" applyFill="1" applyBorder="1" applyAlignment="1">
      <alignment horizontal="center" vertical="center"/>
    </xf>
    <xf numFmtId="0" fontId="89" fillId="0" borderId="0" xfId="22938" applyNumberFormat="1" applyFont="1" applyFill="1" applyBorder="1" applyAlignment="1">
      <alignment horizontal="center" vertical="center"/>
    </xf>
    <xf numFmtId="1" fontId="89" fillId="0" borderId="0" xfId="22942" applyNumberFormat="1" applyFont="1" applyFill="1" applyBorder="1" applyAlignment="1">
      <alignment horizontal="center" vertical="center"/>
    </xf>
    <xf numFmtId="166" fontId="89" fillId="0" borderId="0" xfId="182" applyNumberFormat="1" applyFont="1" applyFill="1" applyBorder="1" applyAlignment="1">
      <alignment horizontal="center" vertical="center"/>
    </xf>
    <xf numFmtId="1" fontId="89" fillId="0" borderId="21" xfId="22938" applyNumberFormat="1" applyFont="1" applyFill="1" applyBorder="1" applyAlignment="1">
      <alignment horizontal="center" vertical="center"/>
    </xf>
    <xf numFmtId="0" fontId="58" fillId="0" borderId="0" xfId="56" applyFont="1" applyFill="1" applyBorder="1" applyAlignment="1" applyProtection="1">
      <alignment horizontal="center" vertical="center" wrapText="1"/>
    </xf>
    <xf numFmtId="0" fontId="56" fillId="0" borderId="0" xfId="56" applyFont="1" applyFill="1" applyBorder="1" applyAlignment="1" applyProtection="1">
      <alignment horizontal="center" vertical="center" wrapText="1"/>
    </xf>
    <xf numFmtId="39" fontId="58" fillId="0" borderId="0" xfId="56" applyNumberFormat="1" applyFont="1" applyFill="1" applyBorder="1" applyAlignment="1" applyProtection="1">
      <alignment horizontal="center" vertical="center" wrapText="1"/>
    </xf>
    <xf numFmtId="0" fontId="58" fillId="0" borderId="17" xfId="56" applyFont="1" applyFill="1" applyBorder="1" applyAlignment="1" applyProtection="1">
      <alignment horizontal="center" vertical="center" wrapText="1"/>
    </xf>
    <xf numFmtId="0" fontId="58" fillId="0" borderId="16" xfId="56" applyFont="1" applyFill="1" applyBorder="1" applyAlignment="1" applyProtection="1">
      <alignment horizontal="center" vertical="center" wrapText="1"/>
    </xf>
    <xf numFmtId="0" fontId="56" fillId="0" borderId="0" xfId="0" applyFont="1" applyFill="1" applyBorder="1" applyAlignment="1">
      <alignment horizontal="center"/>
    </xf>
    <xf numFmtId="0" fontId="59" fillId="0" borderId="0" xfId="56" applyFont="1" applyFill="1" applyBorder="1" applyAlignment="1" applyProtection="1">
      <alignment horizontal="center" vertical="center" wrapText="1"/>
    </xf>
    <xf numFmtId="2" fontId="58" fillId="0" borderId="0" xfId="56" applyNumberFormat="1" applyFont="1" applyFill="1" applyBorder="1" applyAlignment="1" applyProtection="1">
      <alignment horizontal="center" vertical="center" wrapText="1"/>
    </xf>
    <xf numFmtId="0" fontId="56" fillId="0" borderId="10" xfId="56" applyFont="1" applyFill="1" applyBorder="1" applyAlignment="1" applyProtection="1">
      <alignment horizontal="center" vertical="center" wrapText="1"/>
    </xf>
    <xf numFmtId="0" fontId="56" fillId="0" borderId="0" xfId="0" applyFont="1" applyBorder="1" applyAlignment="1">
      <alignment horizontal="center" vertical="center"/>
    </xf>
    <xf numFmtId="0" fontId="89" fillId="0" borderId="0" xfId="0" applyFont="1" applyFill="1" applyBorder="1" applyAlignment="1">
      <alignment horizontal="center" vertical="center"/>
    </xf>
    <xf numFmtId="2" fontId="56" fillId="0" borderId="48" xfId="22938" applyNumberFormat="1" applyFont="1" applyFill="1" applyBorder="1" applyAlignment="1">
      <alignment horizontal="center" vertical="center"/>
    </xf>
    <xf numFmtId="0" fontId="56" fillId="0" borderId="17" xfId="0" applyFont="1" applyFill="1" applyBorder="1" applyAlignment="1">
      <alignment horizontal="center" vertical="center"/>
    </xf>
    <xf numFmtId="166" fontId="56" fillId="0" borderId="17" xfId="182" applyNumberFormat="1" applyFont="1" applyFill="1" applyBorder="1" applyAlignment="1">
      <alignment horizontal="center" vertical="center"/>
    </xf>
    <xf numFmtId="0" fontId="56" fillId="0" borderId="18" xfId="22938" applyFont="1" applyFill="1" applyBorder="1" applyAlignment="1">
      <alignment horizontal="center"/>
    </xf>
    <xf numFmtId="0" fontId="8" fillId="0" borderId="23" xfId="22938" applyFont="1" applyFill="1" applyBorder="1" applyAlignment="1">
      <alignment horizontal="center" vertical="center"/>
    </xf>
    <xf numFmtId="1" fontId="56" fillId="0" borderId="16" xfId="56" applyNumberFormat="1" applyFont="1" applyFill="1" applyBorder="1" applyAlignment="1" applyProtection="1">
      <alignment horizontal="center" vertical="center" wrapText="1"/>
    </xf>
    <xf numFmtId="1" fontId="56" fillId="0" borderId="16" xfId="55" applyNumberFormat="1" applyFont="1" applyFill="1" applyBorder="1" applyAlignment="1">
      <alignment horizontal="center" vertical="center"/>
    </xf>
    <xf numFmtId="1" fontId="56" fillId="0" borderId="21" xfId="55" applyNumberFormat="1" applyFont="1" applyFill="1" applyBorder="1" applyAlignment="1">
      <alignment horizontal="center" vertical="center"/>
    </xf>
    <xf numFmtId="1" fontId="89" fillId="0" borderId="16" xfId="22938" applyNumberFormat="1" applyFont="1" applyFill="1" applyBorder="1" applyAlignment="1">
      <alignment horizontal="center"/>
    </xf>
    <xf numFmtId="0" fontId="56" fillId="0" borderId="39" xfId="56" applyFont="1" applyFill="1" applyBorder="1" applyAlignment="1" applyProtection="1">
      <alignment horizontal="left" vertical="center" wrapText="1"/>
    </xf>
    <xf numFmtId="0" fontId="62" fillId="0" borderId="0" xfId="22938" applyFont="1" applyFill="1" applyBorder="1" applyAlignment="1">
      <alignment horizontal="center" vertical="center"/>
    </xf>
    <xf numFmtId="0" fontId="7" fillId="39" borderId="17" xfId="22939" applyFont="1" applyFill="1" applyBorder="1" applyAlignment="1">
      <alignment horizontal="left" vertical="center"/>
    </xf>
    <xf numFmtId="0" fontId="7" fillId="39" borderId="17" xfId="22938" applyFont="1" applyFill="1" applyBorder="1" applyAlignment="1">
      <alignment horizontal="left" vertical="center"/>
    </xf>
    <xf numFmtId="0" fontId="8" fillId="0" borderId="19" xfId="22938" applyFont="1" applyFill="1" applyBorder="1" applyAlignment="1">
      <alignment horizontal="center" vertical="center"/>
    </xf>
    <xf numFmtId="1" fontId="89" fillId="0" borderId="19" xfId="22938" applyNumberFormat="1" applyFont="1" applyFill="1" applyBorder="1" applyAlignment="1">
      <alignment horizontal="center" vertical="center"/>
    </xf>
    <xf numFmtId="0" fontId="5" fillId="39" borderId="17" xfId="22938" applyFont="1" applyFill="1" applyBorder="1" applyAlignment="1">
      <alignment horizontal="left" vertical="center"/>
    </xf>
    <xf numFmtId="2" fontId="98" fillId="0" borderId="17" xfId="22938" applyNumberFormat="1" applyFont="1" applyFill="1" applyBorder="1" applyAlignment="1">
      <alignment horizontal="left" vertical="center"/>
    </xf>
    <xf numFmtId="0" fontId="98" fillId="0" borderId="17" xfId="22938" applyFont="1" applyFill="1" applyBorder="1" applyAlignment="1">
      <alignment horizontal="left" vertical="center"/>
    </xf>
    <xf numFmtId="0" fontId="98" fillId="0" borderId="17" xfId="22939" applyFont="1" applyFill="1" applyBorder="1" applyAlignment="1">
      <alignment horizontal="left" vertical="center"/>
    </xf>
    <xf numFmtId="2" fontId="98" fillId="0" borderId="38" xfId="22938" applyNumberFormat="1" applyFont="1" applyFill="1" applyBorder="1" applyAlignment="1">
      <alignment horizontal="left" vertical="center"/>
    </xf>
    <xf numFmtId="0" fontId="43" fillId="0" borderId="0" xfId="22938" applyFont="1" applyFill="1" applyBorder="1" applyAlignment="1">
      <alignment horizontal="left" vertical="center"/>
    </xf>
    <xf numFmtId="0" fontId="43" fillId="33" borderId="0" xfId="22938" applyFont="1" applyFill="1" applyBorder="1" applyAlignment="1">
      <alignment horizontal="left" vertical="center"/>
    </xf>
    <xf numFmtId="0" fontId="43" fillId="33" borderId="0" xfId="55" applyFont="1" applyFill="1" applyBorder="1" applyAlignment="1">
      <alignment horizontal="center" vertical="center" wrapText="1"/>
    </xf>
    <xf numFmtId="0" fontId="5" fillId="33" borderId="0" xfId="55" applyFont="1" applyFill="1"/>
    <xf numFmtId="0" fontId="8" fillId="35" borderId="10" xfId="55" applyFont="1" applyFill="1" applyBorder="1" applyAlignment="1">
      <alignment horizontal="left" vertical="center"/>
    </xf>
    <xf numFmtId="0" fontId="8" fillId="0" borderId="39" xfId="22938" applyFont="1" applyFill="1" applyBorder="1" applyAlignment="1">
      <alignment horizontal="left" vertical="center"/>
    </xf>
    <xf numFmtId="0" fontId="89" fillId="0" borderId="0" xfId="0" applyFont="1" applyBorder="1" applyAlignment="1">
      <alignment horizontal="right" vertical="center"/>
    </xf>
    <xf numFmtId="0" fontId="0" fillId="36" borderId="0" xfId="0" applyFill="1">
      <alignment vertical="center"/>
    </xf>
    <xf numFmtId="0" fontId="0" fillId="34" borderId="0" xfId="0" applyFill="1">
      <alignment vertical="center"/>
    </xf>
    <xf numFmtId="0" fontId="43" fillId="0" borderId="0" xfId="0" applyFont="1" applyAlignment="1">
      <alignment vertical="center" wrapText="1"/>
    </xf>
    <xf numFmtId="0" fontId="0" fillId="0" borderId="0" xfId="0" applyBorder="1" applyAlignment="1"/>
    <xf numFmtId="0" fontId="101" fillId="0" borderId="0" xfId="0" applyFont="1" applyBorder="1" applyAlignment="1"/>
    <xf numFmtId="1" fontId="0" fillId="0" borderId="0" xfId="0" applyNumberFormat="1" applyBorder="1">
      <alignment vertical="center"/>
    </xf>
    <xf numFmtId="0" fontId="4" fillId="40" borderId="0" xfId="45797" applyFont="1" applyFill="1" applyBorder="1" applyAlignment="1">
      <alignment horizontal="left"/>
    </xf>
    <xf numFmtId="1" fontId="4" fillId="40" borderId="0" xfId="45797" applyNumberFormat="1" applyFont="1" applyFill="1" applyBorder="1"/>
    <xf numFmtId="0" fontId="4" fillId="41" borderId="0" xfId="45797" applyFont="1" applyFill="1" applyBorder="1" applyAlignment="1">
      <alignment horizontal="left"/>
    </xf>
    <xf numFmtId="1" fontId="4" fillId="41" borderId="0" xfId="45797" applyNumberFormat="1" applyFont="1" applyFill="1" applyBorder="1"/>
    <xf numFmtId="1" fontId="59" fillId="40" borderId="0" xfId="45797" applyNumberFormat="1" applyFont="1" applyFill="1" applyBorder="1"/>
    <xf numFmtId="0" fontId="3" fillId="40" borderId="0" xfId="45798" applyFill="1" applyBorder="1" applyAlignment="1">
      <alignment horizontal="left"/>
    </xf>
    <xf numFmtId="1" fontId="3" fillId="40" borderId="0" xfId="45798" applyNumberFormat="1" applyFill="1" applyBorder="1" applyAlignment="1">
      <alignment horizontal="right"/>
    </xf>
    <xf numFmtId="0" fontId="3" fillId="41" borderId="0" xfId="45798" applyFill="1" applyBorder="1" applyAlignment="1">
      <alignment horizontal="left"/>
    </xf>
    <xf numFmtId="1" fontId="3" fillId="41" borderId="0" xfId="45798" applyNumberFormat="1" applyFill="1" applyBorder="1" applyAlignment="1">
      <alignment horizontal="right"/>
    </xf>
    <xf numFmtId="0" fontId="3" fillId="42" borderId="0" xfId="45798" applyFill="1" applyBorder="1" applyAlignment="1">
      <alignment horizontal="left"/>
    </xf>
    <xf numFmtId="1" fontId="3" fillId="42" borderId="0" xfId="45798" applyNumberFormat="1" applyFill="1" applyBorder="1" applyAlignment="1">
      <alignment horizontal="right"/>
    </xf>
    <xf numFmtId="0" fontId="3" fillId="40" borderId="0" xfId="45797" applyFont="1" applyFill="1" applyBorder="1" applyAlignment="1">
      <alignment horizontal="left"/>
    </xf>
    <xf numFmtId="1" fontId="3" fillId="40" borderId="0" xfId="45797" applyNumberFormat="1" applyFont="1" applyFill="1" applyBorder="1"/>
    <xf numFmtId="0" fontId="3" fillId="41" borderId="0" xfId="45797" applyFont="1" applyFill="1" applyBorder="1" applyAlignment="1">
      <alignment horizontal="left"/>
    </xf>
    <xf numFmtId="1" fontId="3" fillId="41" borderId="0" xfId="45797" applyNumberFormat="1" applyFont="1" applyFill="1" applyBorder="1"/>
    <xf numFmtId="0" fontId="3" fillId="42" borderId="0" xfId="45797" applyFont="1" applyFill="1" applyBorder="1" applyAlignment="1">
      <alignment horizontal="left"/>
    </xf>
    <xf numFmtId="1" fontId="3" fillId="42" borderId="0" xfId="45797" applyNumberFormat="1" applyFont="1" applyFill="1" applyBorder="1"/>
    <xf numFmtId="0" fontId="4" fillId="42" borderId="0" xfId="55" applyFont="1" applyFill="1" applyBorder="1" applyAlignment="1">
      <alignment horizontal="left"/>
    </xf>
    <xf numFmtId="1" fontId="4" fillId="42" borderId="0" xfId="55" applyNumberFormat="1" applyFont="1" applyFill="1" applyBorder="1"/>
    <xf numFmtId="0" fontId="0" fillId="42" borderId="0" xfId="0" applyFill="1" applyBorder="1">
      <alignment vertical="center"/>
    </xf>
    <xf numFmtId="1" fontId="0" fillId="42" borderId="0" xfId="0" applyNumberFormat="1" applyFill="1" applyBorder="1">
      <alignment vertical="center"/>
    </xf>
    <xf numFmtId="0" fontId="0" fillId="40" borderId="0" xfId="0" applyFill="1" applyBorder="1">
      <alignment vertical="center"/>
    </xf>
    <xf numFmtId="1" fontId="0" fillId="40" borderId="0" xfId="0" applyNumberFormat="1" applyFill="1" applyBorder="1">
      <alignment vertical="center"/>
    </xf>
    <xf numFmtId="0" fontId="0" fillId="41" borderId="0" xfId="0" applyFill="1" applyBorder="1">
      <alignment vertical="center"/>
    </xf>
    <xf numFmtId="1" fontId="0" fillId="41" borderId="0" xfId="0" applyNumberFormat="1" applyFill="1" applyBorder="1">
      <alignment vertical="center"/>
    </xf>
    <xf numFmtId="0" fontId="60" fillId="37" borderId="42" xfId="56" applyFont="1" applyFill="1" applyBorder="1" applyAlignment="1">
      <alignment horizontal="center" vertical="center" wrapText="1"/>
    </xf>
    <xf numFmtId="0" fontId="3" fillId="0" borderId="0" xfId="45800" applyFont="1" applyFill="1" applyBorder="1" applyAlignment="1">
      <alignment horizontal="left"/>
    </xf>
    <xf numFmtId="0" fontId="43" fillId="37" borderId="0" xfId="48" applyNumberFormat="1" applyFont="1" applyFill="1" applyBorder="1" applyAlignment="1">
      <alignment horizontal="center" vertical="center" wrapText="1"/>
    </xf>
    <xf numFmtId="0" fontId="60" fillId="37" borderId="52" xfId="56" applyFont="1" applyFill="1" applyBorder="1" applyAlignment="1">
      <alignment horizontal="center" vertical="center" wrapText="1"/>
    </xf>
    <xf numFmtId="2" fontId="60" fillId="37" borderId="53" xfId="56" applyNumberFormat="1" applyFont="1" applyFill="1" applyBorder="1" applyAlignment="1">
      <alignment horizontal="center" vertical="center"/>
    </xf>
    <xf numFmtId="1" fontId="60" fillId="37" borderId="54" xfId="56" applyNumberFormat="1" applyFont="1" applyFill="1" applyBorder="1" applyAlignment="1">
      <alignment horizontal="center" vertical="center"/>
    </xf>
    <xf numFmtId="1" fontId="60" fillId="37" borderId="52" xfId="56" applyNumberFormat="1" applyFont="1" applyFill="1" applyBorder="1" applyAlignment="1">
      <alignment horizontal="center" vertical="center" wrapText="1"/>
    </xf>
    <xf numFmtId="1" fontId="60" fillId="37" borderId="54" xfId="56" applyNumberFormat="1" applyFont="1" applyFill="1" applyBorder="1" applyAlignment="1">
      <alignment horizontal="center" vertical="center" wrapText="1"/>
    </xf>
    <xf numFmtId="1" fontId="60" fillId="37" borderId="51" xfId="56" applyNumberFormat="1" applyFont="1" applyFill="1" applyBorder="1" applyAlignment="1">
      <alignment horizontal="center" vertical="center" wrapText="1"/>
    </xf>
    <xf numFmtId="1" fontId="60" fillId="37" borderId="45" xfId="56" applyNumberFormat="1" applyFont="1" applyFill="1" applyBorder="1" applyAlignment="1">
      <alignment horizontal="center" vertical="center" wrapText="1"/>
    </xf>
    <xf numFmtId="0" fontId="3" fillId="40" borderId="17" xfId="45800" applyFont="1" applyFill="1" applyBorder="1" applyAlignment="1">
      <alignment horizontal="left"/>
    </xf>
    <xf numFmtId="0" fontId="3" fillId="41" borderId="17" xfId="45800" applyFont="1" applyFill="1" applyBorder="1" applyAlignment="1">
      <alignment horizontal="left"/>
    </xf>
    <xf numFmtId="0" fontId="3" fillId="42" borderId="17" xfId="45800" applyFont="1" applyFill="1" applyBorder="1" applyAlignment="1">
      <alignment horizontal="left"/>
    </xf>
    <xf numFmtId="0" fontId="3" fillId="40" borderId="38" xfId="45800" applyFont="1" applyFill="1" applyBorder="1" applyAlignment="1">
      <alignment horizontal="left"/>
    </xf>
    <xf numFmtId="1" fontId="60" fillId="37" borderId="55" xfId="56" applyNumberFormat="1" applyFont="1" applyFill="1" applyBorder="1" applyAlignment="1">
      <alignment horizontal="center" vertical="center" wrapText="1"/>
    </xf>
    <xf numFmtId="2" fontId="3" fillId="40" borderId="0" xfId="45800" applyNumberFormat="1" applyFont="1" applyFill="1" applyBorder="1" applyAlignment="1">
      <alignment horizontal="center" vertical="center"/>
    </xf>
    <xf numFmtId="2" fontId="3" fillId="40" borderId="17" xfId="45800" applyNumberFormat="1" applyFont="1" applyFill="1" applyBorder="1" applyAlignment="1">
      <alignment horizontal="center" vertical="center"/>
    </xf>
    <xf numFmtId="2" fontId="3" fillId="40" borderId="16" xfId="45800" applyNumberFormat="1" applyFont="1" applyFill="1" applyBorder="1" applyAlignment="1">
      <alignment horizontal="center" vertical="center"/>
    </xf>
    <xf numFmtId="2" fontId="3" fillId="40" borderId="35" xfId="45800" applyNumberFormat="1" applyFont="1" applyFill="1" applyBorder="1" applyAlignment="1">
      <alignment horizontal="center" vertical="center"/>
    </xf>
    <xf numFmtId="2" fontId="3" fillId="41" borderId="0" xfId="45800" applyNumberFormat="1" applyFont="1" applyFill="1" applyBorder="1" applyAlignment="1">
      <alignment horizontal="center" vertical="center"/>
    </xf>
    <xf numFmtId="2" fontId="3" fillId="41" borderId="17" xfId="45800" applyNumberFormat="1" applyFont="1" applyFill="1" applyBorder="1" applyAlignment="1">
      <alignment horizontal="center" vertical="center"/>
    </xf>
    <xf numFmtId="2" fontId="3" fillId="41" borderId="16" xfId="45800" applyNumberFormat="1" applyFont="1" applyFill="1" applyBorder="1" applyAlignment="1">
      <alignment horizontal="center" vertical="center"/>
    </xf>
    <xf numFmtId="2" fontId="3" fillId="41" borderId="35" xfId="45800" applyNumberFormat="1" applyFont="1" applyFill="1" applyBorder="1" applyAlignment="1">
      <alignment horizontal="center" vertical="center"/>
    </xf>
    <xf numFmtId="2" fontId="3" fillId="42" borderId="0" xfId="45800" applyNumberFormat="1" applyFont="1" applyFill="1" applyBorder="1" applyAlignment="1">
      <alignment horizontal="center" vertical="center"/>
    </xf>
    <xf numFmtId="2" fontId="3" fillId="42" borderId="17" xfId="45800" applyNumberFormat="1" applyFont="1" applyFill="1" applyBorder="1" applyAlignment="1">
      <alignment horizontal="center" vertical="center"/>
    </xf>
    <xf numFmtId="2" fontId="3" fillId="42" borderId="16" xfId="45800" applyNumberFormat="1" applyFont="1" applyFill="1" applyBorder="1" applyAlignment="1">
      <alignment horizontal="center" vertical="center"/>
    </xf>
    <xf numFmtId="2" fontId="3" fillId="42" borderId="35" xfId="45800" applyNumberFormat="1" applyFont="1" applyFill="1" applyBorder="1" applyAlignment="1">
      <alignment horizontal="center" vertical="center"/>
    </xf>
    <xf numFmtId="0" fontId="3" fillId="0" borderId="0" xfId="45800" applyFont="1" applyFill="1" applyBorder="1" applyAlignment="1">
      <alignment horizontal="center" vertical="center"/>
    </xf>
    <xf numFmtId="0" fontId="3" fillId="0" borderId="0" xfId="45802" applyFont="1" applyFill="1" applyBorder="1" applyAlignment="1">
      <alignment horizontal="center" vertical="center"/>
    </xf>
    <xf numFmtId="2" fontId="3" fillId="40" borderId="40" xfId="45800" applyNumberFormat="1" applyFont="1" applyFill="1" applyBorder="1" applyAlignment="1">
      <alignment horizontal="center" vertical="center"/>
    </xf>
    <xf numFmtId="2" fontId="3" fillId="40" borderId="38" xfId="45800" applyNumberFormat="1" applyFont="1" applyFill="1" applyBorder="1" applyAlignment="1">
      <alignment horizontal="center" vertical="center"/>
    </xf>
    <xf numFmtId="2" fontId="3" fillId="40" borderId="39" xfId="45800" applyNumberFormat="1" applyFont="1" applyFill="1" applyBorder="1" applyAlignment="1">
      <alignment horizontal="center" vertical="center"/>
    </xf>
    <xf numFmtId="2" fontId="3" fillId="40" borderId="36" xfId="45800" applyNumberFormat="1" applyFont="1" applyFill="1" applyBorder="1" applyAlignment="1">
      <alignment horizontal="center" vertical="center"/>
    </xf>
    <xf numFmtId="1" fontId="3" fillId="40" borderId="16" xfId="45800" applyNumberFormat="1" applyFont="1" applyFill="1" applyBorder="1" applyAlignment="1">
      <alignment horizontal="center"/>
    </xf>
    <xf numFmtId="1" fontId="3" fillId="41" borderId="16" xfId="45800" applyNumberFormat="1" applyFont="1" applyFill="1" applyBorder="1" applyAlignment="1">
      <alignment horizontal="center"/>
    </xf>
    <xf numFmtId="1" fontId="3" fillId="42" borderId="16" xfId="45800" applyNumberFormat="1" applyFont="1" applyFill="1" applyBorder="1" applyAlignment="1">
      <alignment horizontal="center"/>
    </xf>
    <xf numFmtId="1" fontId="59" fillId="40" borderId="16" xfId="45800" applyNumberFormat="1" applyFont="1" applyFill="1" applyBorder="1" applyAlignment="1">
      <alignment horizontal="center"/>
    </xf>
    <xf numFmtId="1" fontId="3" fillId="40" borderId="39" xfId="45800" applyNumberFormat="1" applyFont="1" applyFill="1" applyBorder="1" applyAlignment="1">
      <alignment horizontal="center"/>
    </xf>
    <xf numFmtId="1" fontId="3" fillId="0" borderId="0" xfId="45800" applyNumberFormat="1" applyFont="1" applyFill="1" applyBorder="1" applyAlignment="1">
      <alignment horizontal="center"/>
    </xf>
    <xf numFmtId="2" fontId="3" fillId="40" borderId="0" xfId="45800" applyNumberFormat="1" applyFont="1" applyFill="1" applyBorder="1" applyAlignment="1">
      <alignment horizontal="right"/>
    </xf>
    <xf numFmtId="2" fontId="3" fillId="41" borderId="0" xfId="45800" applyNumberFormat="1" applyFont="1" applyFill="1" applyBorder="1" applyAlignment="1">
      <alignment horizontal="right"/>
    </xf>
    <xf numFmtId="2" fontId="3" fillId="42" borderId="0" xfId="45800" applyNumberFormat="1" applyFont="1" applyFill="1" applyBorder="1" applyAlignment="1">
      <alignment horizontal="right"/>
    </xf>
    <xf numFmtId="2" fontId="3" fillId="40" borderId="40" xfId="45800" applyNumberFormat="1" applyFont="1" applyFill="1" applyBorder="1" applyAlignment="1">
      <alignment horizontal="right"/>
    </xf>
    <xf numFmtId="2" fontId="3" fillId="0" borderId="0" xfId="45800" applyNumberFormat="1" applyFont="1" applyFill="1" applyBorder="1" applyAlignment="1">
      <alignment horizontal="right"/>
    </xf>
    <xf numFmtId="0" fontId="3" fillId="40" borderId="57" xfId="45800" applyFont="1" applyFill="1" applyBorder="1" applyAlignment="1">
      <alignment horizontal="left"/>
    </xf>
    <xf numFmtId="2" fontId="3" fillId="40" borderId="25" xfId="45800" applyNumberFormat="1" applyFont="1" applyFill="1" applyBorder="1" applyAlignment="1">
      <alignment horizontal="right"/>
    </xf>
    <xf numFmtId="1" fontId="3" fillId="40" borderId="58" xfId="45800" applyNumberFormat="1" applyFont="1" applyFill="1" applyBorder="1" applyAlignment="1">
      <alignment horizontal="center"/>
    </xf>
    <xf numFmtId="2" fontId="3" fillId="40" borderId="25" xfId="45800" applyNumberFormat="1" applyFont="1" applyFill="1" applyBorder="1" applyAlignment="1">
      <alignment horizontal="center" vertical="center"/>
    </xf>
    <xf numFmtId="2" fontId="3" fillId="40" borderId="57" xfId="45800" applyNumberFormat="1" applyFont="1" applyFill="1" applyBorder="1" applyAlignment="1">
      <alignment horizontal="center" vertical="center"/>
    </xf>
    <xf numFmtId="2" fontId="3" fillId="40" borderId="58" xfId="45800" applyNumberFormat="1" applyFont="1" applyFill="1" applyBorder="1" applyAlignment="1">
      <alignment horizontal="center" vertical="center"/>
    </xf>
    <xf numFmtId="2" fontId="3" fillId="40" borderId="56" xfId="45800" applyNumberFormat="1" applyFont="1" applyFill="1" applyBorder="1" applyAlignment="1">
      <alignment horizontal="center" vertical="center"/>
    </xf>
    <xf numFmtId="2" fontId="3" fillId="40" borderId="0" xfId="45803" applyNumberFormat="1" applyFont="1" applyFill="1" applyBorder="1" applyAlignment="1">
      <alignment horizontal="right"/>
    </xf>
    <xf numFmtId="2" fontId="3" fillId="40" borderId="15" xfId="45803" applyNumberFormat="1" applyFont="1" applyFill="1" applyBorder="1" applyAlignment="1">
      <alignment horizontal="right"/>
    </xf>
    <xf numFmtId="2" fontId="3" fillId="40" borderId="25" xfId="45803" applyNumberFormat="1" applyFont="1" applyFill="1" applyBorder="1" applyAlignment="1">
      <alignment horizontal="right"/>
    </xf>
    <xf numFmtId="0" fontId="3" fillId="0" borderId="0" xfId="45803"/>
    <xf numFmtId="2" fontId="3" fillId="41" borderId="0" xfId="45803" applyNumberFormat="1" applyFont="1" applyFill="1" applyBorder="1" applyAlignment="1">
      <alignment horizontal="right"/>
    </xf>
    <xf numFmtId="2" fontId="3" fillId="41" borderId="15" xfId="45803" applyNumberFormat="1" applyFont="1" applyFill="1" applyBorder="1" applyAlignment="1">
      <alignment horizontal="right"/>
    </xf>
    <xf numFmtId="2" fontId="3" fillId="42" borderId="0" xfId="45803" applyNumberFormat="1" applyFont="1" applyFill="1" applyBorder="1" applyAlignment="1">
      <alignment horizontal="right"/>
    </xf>
    <xf numFmtId="2" fontId="3" fillId="40" borderId="0" xfId="45803" applyNumberFormat="1" applyFont="1" applyFill="1" applyBorder="1"/>
    <xf numFmtId="2" fontId="3" fillId="40" borderId="25" xfId="45803" applyNumberFormat="1" applyFont="1" applyFill="1" applyBorder="1"/>
    <xf numFmtId="2" fontId="3" fillId="42" borderId="15" xfId="45803" applyNumberFormat="1" applyFont="1" applyFill="1" applyBorder="1" applyAlignment="1">
      <alignment horizontal="right"/>
    </xf>
    <xf numFmtId="0" fontId="3" fillId="0" borderId="0" xfId="45803" applyFont="1" applyFill="1" applyAlignment="1">
      <alignment horizontal="left"/>
    </xf>
    <xf numFmtId="2" fontId="3" fillId="0" borderId="0" xfId="45803" applyNumberFormat="1" applyFont="1" applyFill="1" applyAlignment="1">
      <alignment horizontal="right"/>
    </xf>
    <xf numFmtId="0" fontId="3" fillId="0" borderId="0" xfId="45803" applyAlignment="1">
      <alignment horizontal="left"/>
    </xf>
    <xf numFmtId="0" fontId="60" fillId="37" borderId="53" xfId="56" applyFont="1" applyFill="1" applyBorder="1" applyAlignment="1">
      <alignment horizontal="center" vertical="center" wrapText="1"/>
    </xf>
    <xf numFmtId="2" fontId="3" fillId="42" borderId="40" xfId="45803" applyNumberFormat="1" applyFont="1" applyFill="1" applyBorder="1" applyAlignment="1">
      <alignment horizontal="right"/>
    </xf>
    <xf numFmtId="2" fontId="3" fillId="40" borderId="0" xfId="45803" applyNumberFormat="1" applyFont="1" applyFill="1" applyBorder="1" applyAlignment="1">
      <alignment horizontal="center" vertical="center"/>
    </xf>
    <xf numFmtId="2" fontId="3" fillId="40" borderId="15" xfId="45803" applyNumberFormat="1" applyFont="1" applyFill="1" applyBorder="1" applyAlignment="1">
      <alignment horizontal="center" vertical="center"/>
    </xf>
    <xf numFmtId="2" fontId="3" fillId="40" borderId="25" xfId="45803" applyNumberFormat="1" applyFont="1" applyFill="1" applyBorder="1" applyAlignment="1">
      <alignment horizontal="center" vertical="center"/>
    </xf>
    <xf numFmtId="2" fontId="3" fillId="41" borderId="0" xfId="45803" applyNumberFormat="1" applyFont="1" applyFill="1" applyBorder="1" applyAlignment="1">
      <alignment horizontal="center" vertical="center"/>
    </xf>
    <xf numFmtId="2" fontId="3" fillId="41" borderId="15" xfId="45803" applyNumberFormat="1" applyFont="1" applyFill="1" applyBorder="1" applyAlignment="1">
      <alignment horizontal="center" vertical="center"/>
    </xf>
    <xf numFmtId="2" fontId="3" fillId="42" borderId="0" xfId="45803" applyNumberFormat="1" applyFont="1" applyFill="1" applyBorder="1" applyAlignment="1">
      <alignment horizontal="center" vertical="center"/>
    </xf>
    <xf numFmtId="2" fontId="3" fillId="42" borderId="15" xfId="45803" applyNumberFormat="1" applyFont="1" applyFill="1" applyBorder="1" applyAlignment="1">
      <alignment horizontal="center" vertical="center"/>
    </xf>
    <xf numFmtId="2" fontId="3" fillId="42" borderId="40" xfId="45803" applyNumberFormat="1" applyFont="1" applyFill="1" applyBorder="1" applyAlignment="1">
      <alignment horizontal="center" vertical="center"/>
    </xf>
    <xf numFmtId="1" fontId="3" fillId="0" borderId="0" xfId="45803" applyNumberFormat="1" applyFont="1" applyFill="1" applyAlignment="1">
      <alignment horizontal="center" vertical="center"/>
    </xf>
    <xf numFmtId="0" fontId="3" fillId="0" borderId="0" xfId="45804" applyFill="1" applyAlignment="1">
      <alignment horizontal="center" vertical="center"/>
    </xf>
    <xf numFmtId="0" fontId="3" fillId="0" borderId="0" xfId="45803" applyFill="1" applyAlignment="1">
      <alignment horizontal="center" vertical="center"/>
    </xf>
    <xf numFmtId="0" fontId="3" fillId="0" borderId="0" xfId="45803" applyAlignment="1">
      <alignment horizontal="center" vertical="center"/>
    </xf>
    <xf numFmtId="0" fontId="3" fillId="0" borderId="0" xfId="45804" applyAlignment="1">
      <alignment horizontal="center" vertical="center"/>
    </xf>
    <xf numFmtId="2" fontId="3" fillId="40" borderId="17" xfId="45803" applyNumberFormat="1" applyFont="1" applyFill="1" applyBorder="1" applyAlignment="1">
      <alignment horizontal="left"/>
    </xf>
    <xf numFmtId="2" fontId="3" fillId="40" borderId="16" xfId="45803" applyNumberFormat="1" applyFont="1" applyFill="1" applyBorder="1" applyAlignment="1">
      <alignment horizontal="center" vertical="center"/>
    </xf>
    <xf numFmtId="2" fontId="3" fillId="40" borderId="61" xfId="45803" applyNumberFormat="1" applyFont="1" applyFill="1" applyBorder="1" applyAlignment="1">
      <alignment horizontal="left"/>
    </xf>
    <xf numFmtId="2" fontId="3" fillId="40" borderId="59" xfId="45803" applyNumberFormat="1" applyFont="1" applyFill="1" applyBorder="1" applyAlignment="1">
      <alignment horizontal="center" vertical="center"/>
    </xf>
    <xf numFmtId="2" fontId="3" fillId="40" borderId="57" xfId="45803" applyNumberFormat="1" applyFont="1" applyFill="1" applyBorder="1" applyAlignment="1">
      <alignment horizontal="left"/>
    </xf>
    <xf numFmtId="2" fontId="3" fillId="40" borderId="58" xfId="45803" applyNumberFormat="1" applyFont="1" applyFill="1" applyBorder="1" applyAlignment="1">
      <alignment horizontal="center" vertical="center"/>
    </xf>
    <xf numFmtId="2" fontId="3" fillId="41" borderId="17" xfId="45803" applyNumberFormat="1" applyFont="1" applyFill="1" applyBorder="1" applyAlignment="1">
      <alignment horizontal="left"/>
    </xf>
    <xf numFmtId="2" fontId="3" fillId="41" borderId="16" xfId="45803" applyNumberFormat="1" applyFont="1" applyFill="1" applyBorder="1" applyAlignment="1">
      <alignment horizontal="center" vertical="center"/>
    </xf>
    <xf numFmtId="2" fontId="3" fillId="41" borderId="61" xfId="45803" applyNumberFormat="1" applyFont="1" applyFill="1" applyBorder="1" applyAlignment="1">
      <alignment horizontal="left"/>
    </xf>
    <xf numFmtId="2" fontId="3" fillId="41" borderId="59" xfId="45803" applyNumberFormat="1" applyFont="1" applyFill="1" applyBorder="1" applyAlignment="1">
      <alignment horizontal="center" vertical="center"/>
    </xf>
    <xf numFmtId="2" fontId="3" fillId="42" borderId="17" xfId="45803" applyNumberFormat="1" applyFont="1" applyFill="1" applyBorder="1" applyAlignment="1">
      <alignment horizontal="left"/>
    </xf>
    <xf numFmtId="2" fontId="3" fillId="42" borderId="16" xfId="45803" applyNumberFormat="1" applyFont="1" applyFill="1" applyBorder="1" applyAlignment="1">
      <alignment horizontal="center" vertical="center"/>
    </xf>
    <xf numFmtId="2" fontId="3" fillId="42" borderId="61" xfId="45803" applyNumberFormat="1" applyFont="1" applyFill="1" applyBorder="1" applyAlignment="1">
      <alignment horizontal="left"/>
    </xf>
    <xf numFmtId="2" fontId="3" fillId="42" borderId="59" xfId="45803" applyNumberFormat="1" applyFont="1" applyFill="1" applyBorder="1" applyAlignment="1">
      <alignment horizontal="center" vertical="center"/>
    </xf>
    <xf numFmtId="2" fontId="3" fillId="42" borderId="38" xfId="45803" applyNumberFormat="1" applyFont="1" applyFill="1" applyBorder="1" applyAlignment="1">
      <alignment horizontal="left"/>
    </xf>
    <xf numFmtId="2" fontId="3" fillId="42" borderId="39" xfId="45803" applyNumberFormat="1" applyFont="1" applyFill="1" applyBorder="1" applyAlignment="1">
      <alignment horizontal="center" vertical="center"/>
    </xf>
    <xf numFmtId="2" fontId="3" fillId="40" borderId="17" xfId="45803" applyNumberFormat="1" applyFont="1" applyFill="1" applyBorder="1" applyAlignment="1">
      <alignment horizontal="center" vertical="center"/>
    </xf>
    <xf numFmtId="2" fontId="3" fillId="40" borderId="61" xfId="45803" applyNumberFormat="1" applyFont="1" applyFill="1" applyBorder="1" applyAlignment="1">
      <alignment horizontal="center" vertical="center"/>
    </xf>
    <xf numFmtId="2" fontId="3" fillId="40" borderId="57" xfId="45803" applyNumberFormat="1" applyFont="1" applyFill="1" applyBorder="1" applyAlignment="1">
      <alignment horizontal="center" vertical="center"/>
    </xf>
    <xf numFmtId="2" fontId="3" fillId="41" borderId="17" xfId="45803" applyNumberFormat="1" applyFont="1" applyFill="1" applyBorder="1" applyAlignment="1">
      <alignment horizontal="center" vertical="center"/>
    </xf>
    <xf numFmtId="2" fontId="3" fillId="41" borderId="61" xfId="45803" applyNumberFormat="1" applyFont="1" applyFill="1" applyBorder="1" applyAlignment="1">
      <alignment horizontal="center" vertical="center"/>
    </xf>
    <xf numFmtId="2" fontId="3" fillId="42" borderId="17" xfId="45803" applyNumberFormat="1" applyFont="1" applyFill="1" applyBorder="1" applyAlignment="1">
      <alignment horizontal="center" vertical="center"/>
    </xf>
    <xf numFmtId="2" fontId="3" fillId="42" borderId="61" xfId="45803" applyNumberFormat="1" applyFont="1" applyFill="1" applyBorder="1" applyAlignment="1">
      <alignment horizontal="center" vertical="center"/>
    </xf>
    <xf numFmtId="2" fontId="3" fillId="42" borderId="38" xfId="45803" applyNumberFormat="1" applyFont="1" applyFill="1" applyBorder="1" applyAlignment="1">
      <alignment horizontal="center" vertical="center"/>
    </xf>
    <xf numFmtId="2" fontId="3" fillId="40" borderId="20" xfId="45803" applyNumberFormat="1" applyFont="1" applyFill="1" applyBorder="1" applyAlignment="1">
      <alignment horizontal="left"/>
    </xf>
    <xf numFmtId="2" fontId="3" fillId="40" borderId="19" xfId="45803" applyNumberFormat="1" applyFont="1" applyFill="1" applyBorder="1" applyAlignment="1">
      <alignment horizontal="right"/>
    </xf>
    <xf numFmtId="2" fontId="3" fillId="40" borderId="19" xfId="45803" applyNumberFormat="1" applyFont="1" applyFill="1" applyBorder="1" applyAlignment="1">
      <alignment horizontal="center" vertical="center"/>
    </xf>
    <xf numFmtId="2" fontId="3" fillId="40" borderId="20" xfId="45803" applyNumberFormat="1" applyFont="1" applyFill="1" applyBorder="1" applyAlignment="1">
      <alignment horizontal="center" vertical="center"/>
    </xf>
    <xf numFmtId="2" fontId="3" fillId="40" borderId="37" xfId="45803" applyNumberFormat="1" applyFont="1" applyFill="1" applyBorder="1" applyAlignment="1">
      <alignment horizontal="center" vertical="center"/>
    </xf>
    <xf numFmtId="2" fontId="3" fillId="40" borderId="62" xfId="45803" applyNumberFormat="1" applyFont="1" applyFill="1" applyBorder="1" applyAlignment="1">
      <alignment horizontal="left"/>
    </xf>
    <xf numFmtId="2" fontId="3" fillId="40" borderId="27" xfId="45803" applyNumberFormat="1" applyFont="1" applyFill="1" applyBorder="1" applyAlignment="1">
      <alignment horizontal="left"/>
    </xf>
    <xf numFmtId="2" fontId="3" fillId="40" borderId="29" xfId="45803" applyNumberFormat="1" applyFont="1" applyFill="1" applyBorder="1" applyAlignment="1">
      <alignment horizontal="left"/>
    </xf>
    <xf numFmtId="2" fontId="3" fillId="40" borderId="24" xfId="45803" applyNumberFormat="1" applyFont="1" applyFill="1" applyBorder="1" applyAlignment="1">
      <alignment horizontal="left"/>
    </xf>
    <xf numFmtId="2" fontId="3" fillId="41" borderId="27" xfId="45803" applyNumberFormat="1" applyFont="1" applyFill="1" applyBorder="1" applyAlignment="1">
      <alignment horizontal="left"/>
    </xf>
    <xf numFmtId="2" fontId="3" fillId="41" borderId="29" xfId="45803" applyNumberFormat="1" applyFont="1" applyFill="1" applyBorder="1" applyAlignment="1">
      <alignment horizontal="left"/>
    </xf>
    <xf numFmtId="2" fontId="3" fillId="42" borderId="27" xfId="45803" applyNumberFormat="1" applyFont="1" applyFill="1" applyBorder="1" applyAlignment="1">
      <alignment horizontal="left"/>
    </xf>
    <xf numFmtId="2" fontId="3" fillId="42" borderId="29" xfId="45803" applyNumberFormat="1" applyFont="1" applyFill="1" applyBorder="1" applyAlignment="1">
      <alignment horizontal="left"/>
    </xf>
    <xf numFmtId="2" fontId="3" fillId="42" borderId="60" xfId="45803" applyNumberFormat="1" applyFont="1" applyFill="1" applyBorder="1" applyAlignment="1">
      <alignment horizontal="left"/>
    </xf>
    <xf numFmtId="0" fontId="43" fillId="0" borderId="38" xfId="22939" applyFont="1" applyFill="1" applyBorder="1" applyAlignment="1">
      <alignment horizontal="center" vertical="center"/>
    </xf>
    <xf numFmtId="2" fontId="98" fillId="0" borderId="20" xfId="22938" applyNumberFormat="1" applyFont="1" applyFill="1" applyBorder="1" applyAlignment="1">
      <alignment horizontal="left" vertical="center"/>
    </xf>
    <xf numFmtId="0" fontId="97" fillId="0" borderId="19" xfId="22939" applyFont="1" applyFill="1" applyBorder="1" applyAlignment="1">
      <alignment horizontal="center" vertical="center"/>
    </xf>
    <xf numFmtId="0" fontId="58" fillId="0" borderId="48" xfId="56" applyFont="1" applyFill="1" applyBorder="1" applyAlignment="1" applyProtection="1">
      <alignment horizontal="center" vertical="center" wrapText="1"/>
    </xf>
    <xf numFmtId="0" fontId="8" fillId="0" borderId="50" xfId="22938" applyFont="1" applyFill="1" applyBorder="1" applyAlignment="1">
      <alignment horizontal="center" vertical="center"/>
    </xf>
    <xf numFmtId="0" fontId="59" fillId="34" borderId="0" xfId="22938" applyFont="1" applyFill="1" applyBorder="1" applyAlignment="1">
      <alignment horizontal="center" vertical="center"/>
    </xf>
    <xf numFmtId="0" fontId="8" fillId="35" borderId="0" xfId="55" applyFont="1" applyFill="1" applyBorder="1" applyAlignment="1">
      <alignment horizontal="left" vertical="center"/>
    </xf>
    <xf numFmtId="0" fontId="59" fillId="34" borderId="40" xfId="22938" applyFont="1" applyFill="1" applyBorder="1" applyAlignment="1">
      <alignment horizontal="center" vertical="center"/>
    </xf>
    <xf numFmtId="0" fontId="8" fillId="0" borderId="14" xfId="22938" applyFont="1" applyFill="1" applyBorder="1" applyAlignment="1">
      <alignment horizontal="center" vertical="center"/>
    </xf>
    <xf numFmtId="2" fontId="89" fillId="0" borderId="20" xfId="22938" applyNumberFormat="1" applyFont="1" applyFill="1" applyBorder="1" applyAlignment="1">
      <alignment horizontal="center" vertical="center"/>
    </xf>
    <xf numFmtId="39" fontId="8" fillId="0" borderId="38" xfId="22938" applyNumberFormat="1" applyFont="1" applyFill="1" applyBorder="1" applyAlignment="1">
      <alignment horizontal="center" vertical="center"/>
    </xf>
    <xf numFmtId="39" fontId="8" fillId="0" borderId="18" xfId="0" applyNumberFormat="1" applyFont="1" applyFill="1" applyBorder="1" applyAlignment="1">
      <alignment horizontal="center" vertical="center"/>
    </xf>
    <xf numFmtId="165" fontId="89" fillId="0" borderId="40" xfId="22938" applyNumberFormat="1" applyFont="1" applyFill="1" applyBorder="1" applyAlignment="1">
      <alignment horizontal="center" vertical="center"/>
    </xf>
    <xf numFmtId="165" fontId="8" fillId="0" borderId="19" xfId="22938" applyNumberFormat="1" applyFont="1" applyFill="1" applyBorder="1" applyAlignment="1">
      <alignment horizontal="center" vertical="center"/>
    </xf>
    <xf numFmtId="2" fontId="89" fillId="0" borderId="19" xfId="22938" applyNumberFormat="1" applyFont="1" applyFill="1" applyBorder="1" applyAlignment="1">
      <alignment horizontal="center" vertical="center"/>
    </xf>
    <xf numFmtId="1" fontId="89" fillId="0" borderId="11" xfId="22938" applyNumberFormat="1" applyFont="1" applyFill="1" applyBorder="1" applyAlignment="1">
      <alignment horizontal="center" vertical="center"/>
    </xf>
    <xf numFmtId="0" fontId="8" fillId="0" borderId="11" xfId="0" applyFont="1" applyFill="1" applyBorder="1" applyAlignment="1">
      <alignment horizontal="center" vertical="center"/>
    </xf>
    <xf numFmtId="1" fontId="8" fillId="0" borderId="11" xfId="40" applyNumberFormat="1" applyFont="1" applyFill="1" applyBorder="1" applyAlignment="1">
      <alignment horizontal="center" vertical="center"/>
    </xf>
    <xf numFmtId="2" fontId="56" fillId="0" borderId="19" xfId="22938" applyNumberFormat="1" applyFont="1" applyFill="1" applyBorder="1" applyAlignment="1">
      <alignment horizontal="center" vertical="center"/>
    </xf>
    <xf numFmtId="0" fontId="56" fillId="0" borderId="40" xfId="0" applyFont="1" applyFill="1" applyBorder="1" applyAlignment="1">
      <alignment horizontal="center" vertical="center"/>
    </xf>
    <xf numFmtId="0" fontId="56" fillId="0" borderId="20" xfId="0" applyFont="1" applyBorder="1" applyAlignment="1">
      <alignment horizontal="center" vertical="center"/>
    </xf>
    <xf numFmtId="0" fontId="56" fillId="0" borderId="19" xfId="0" applyFont="1" applyBorder="1" applyAlignment="1">
      <alignment horizontal="center" vertical="center"/>
    </xf>
    <xf numFmtId="0" fontId="89" fillId="0" borderId="40" xfId="22938" applyFont="1" applyFill="1" applyBorder="1" applyAlignment="1">
      <alignment horizontal="center" vertical="center"/>
    </xf>
    <xf numFmtId="0" fontId="56" fillId="0" borderId="19" xfId="22938" applyFont="1" applyFill="1" applyBorder="1" applyAlignment="1">
      <alignment horizontal="center"/>
    </xf>
    <xf numFmtId="0" fontId="8" fillId="0" borderId="19" xfId="22938" applyFont="1" applyFill="1" applyBorder="1" applyAlignment="1">
      <alignment horizontal="center"/>
    </xf>
    <xf numFmtId="0" fontId="56" fillId="0" borderId="37" xfId="56" applyFont="1" applyFill="1" applyBorder="1" applyAlignment="1" applyProtection="1">
      <alignment horizontal="center" vertical="center" wrapText="1"/>
    </xf>
    <xf numFmtId="0" fontId="59" fillId="0" borderId="39" xfId="22938" applyFont="1" applyFill="1" applyBorder="1" applyAlignment="1">
      <alignment horizontal="center" vertical="center"/>
    </xf>
    <xf numFmtId="1" fontId="8" fillId="0" borderId="39" xfId="22938" applyNumberFormat="1" applyFont="1" applyFill="1" applyBorder="1" applyAlignment="1">
      <alignment horizontal="center" vertical="center"/>
    </xf>
    <xf numFmtId="0" fontId="8" fillId="0" borderId="23" xfId="22938" applyNumberFormat="1" applyFont="1" applyFill="1" applyBorder="1" applyAlignment="1">
      <alignment horizontal="center"/>
    </xf>
    <xf numFmtId="0" fontId="8" fillId="0" borderId="23" xfId="22938" applyFont="1" applyFill="1" applyBorder="1" applyAlignment="1">
      <alignment horizontal="center"/>
    </xf>
    <xf numFmtId="0" fontId="89" fillId="0" borderId="16" xfId="55" applyFont="1" applyFill="1" applyBorder="1" applyAlignment="1">
      <alignment horizontal="center" vertical="center"/>
    </xf>
    <xf numFmtId="1" fontId="8" fillId="0" borderId="23" xfId="22938" applyNumberFormat="1" applyFont="1" applyFill="1" applyBorder="1" applyAlignment="1">
      <alignment horizontal="center" vertical="center"/>
    </xf>
    <xf numFmtId="1" fontId="89" fillId="0" borderId="16" xfId="22938" applyNumberFormat="1" applyFont="1" applyFill="1" applyBorder="1" applyAlignment="1">
      <alignment horizontal="center" vertical="center"/>
    </xf>
    <xf numFmtId="2" fontId="8" fillId="0" borderId="18" xfId="22938" applyNumberFormat="1" applyFont="1" applyFill="1" applyBorder="1" applyAlignment="1">
      <alignment horizontal="center" vertical="center"/>
    </xf>
    <xf numFmtId="0" fontId="8" fillId="0" borderId="32" xfId="22938" applyFont="1" applyFill="1" applyBorder="1" applyAlignment="1">
      <alignment horizontal="center" vertical="center"/>
    </xf>
    <xf numFmtId="1" fontId="8" fillId="0" borderId="13" xfId="22938" applyNumberFormat="1" applyFont="1" applyFill="1" applyBorder="1" applyAlignment="1">
      <alignment horizontal="center" vertical="center"/>
    </xf>
    <xf numFmtId="0" fontId="56" fillId="0" borderId="10" xfId="56" applyFont="1" applyFill="1" applyBorder="1" applyAlignment="1">
      <alignment horizontal="center" vertical="center"/>
    </xf>
    <xf numFmtId="1" fontId="56" fillId="0" borderId="10" xfId="22938" applyNumberFormat="1" applyFont="1" applyFill="1" applyBorder="1" applyAlignment="1">
      <alignment horizontal="center" vertical="center"/>
    </xf>
    <xf numFmtId="0" fontId="56" fillId="0" borderId="13" xfId="22938" applyFont="1" applyFill="1" applyBorder="1" applyAlignment="1">
      <alignment horizontal="center" vertical="center"/>
    </xf>
    <xf numFmtId="0" fontId="43" fillId="0" borderId="36" xfId="10639" applyFont="1" applyFill="1" applyBorder="1" applyAlignment="1">
      <alignment horizontal="center"/>
    </xf>
    <xf numFmtId="0" fontId="8" fillId="34" borderId="0" xfId="55" applyFont="1" applyFill="1" applyBorder="1" applyAlignment="1">
      <alignment horizontal="center" vertical="center"/>
    </xf>
    <xf numFmtId="0" fontId="8" fillId="34" borderId="40" xfId="55" applyFont="1" applyFill="1" applyBorder="1" applyAlignment="1">
      <alignment horizontal="center" vertical="center"/>
    </xf>
    <xf numFmtId="165" fontId="8" fillId="0" borderId="40" xfId="55" applyNumberFormat="1" applyFont="1" applyFill="1" applyBorder="1" applyAlignment="1">
      <alignment horizontal="center"/>
    </xf>
    <xf numFmtId="2" fontId="8" fillId="0" borderId="40" xfId="55" applyNumberFormat="1" applyFont="1" applyFill="1" applyBorder="1" applyAlignment="1">
      <alignment horizontal="center"/>
    </xf>
    <xf numFmtId="1" fontId="59" fillId="0" borderId="40" xfId="55" applyNumberFormat="1" applyFont="1" applyFill="1" applyBorder="1" applyAlignment="1">
      <alignment horizontal="center"/>
    </xf>
    <xf numFmtId="0" fontId="59" fillId="0" borderId="40" xfId="55" applyFont="1" applyFill="1" applyBorder="1" applyAlignment="1">
      <alignment horizontal="center" vertical="center"/>
    </xf>
    <xf numFmtId="0" fontId="8" fillId="0" borderId="39" xfId="55" applyFont="1" applyFill="1" applyBorder="1" applyAlignment="1">
      <alignment horizontal="center" vertical="center"/>
    </xf>
    <xf numFmtId="0" fontId="93" fillId="0" borderId="20" xfId="56" applyFont="1" applyFill="1" applyBorder="1" applyAlignment="1" applyProtection="1">
      <alignment horizontal="center" vertical="center" wrapText="1"/>
    </xf>
    <xf numFmtId="0" fontId="61" fillId="0" borderId="38" xfId="55" applyFont="1" applyFill="1" applyBorder="1" applyAlignment="1">
      <alignment horizontal="center"/>
    </xf>
    <xf numFmtId="0" fontId="80" fillId="0" borderId="19" xfId="56" applyFont="1" applyFill="1" applyBorder="1" applyAlignment="1" applyProtection="1">
      <alignment horizontal="center" vertical="center" wrapText="1"/>
    </xf>
    <xf numFmtId="0" fontId="93" fillId="0" borderId="19" xfId="56" applyFont="1" applyFill="1" applyBorder="1" applyAlignment="1" applyProtection="1">
      <alignment horizontal="center" vertical="center" wrapText="1"/>
    </xf>
    <xf numFmtId="2" fontId="61" fillId="0" borderId="40" xfId="55" applyNumberFormat="1" applyFont="1" applyFill="1" applyBorder="1" applyAlignment="1">
      <alignment horizontal="center"/>
    </xf>
    <xf numFmtId="0" fontId="93" fillId="0" borderId="37" xfId="56" applyFont="1" applyFill="1" applyBorder="1" applyAlignment="1" applyProtection="1">
      <alignment horizontal="center" vertical="center" wrapText="1"/>
    </xf>
    <xf numFmtId="1" fontId="8" fillId="0" borderId="40" xfId="55" applyNumberFormat="1" applyFont="1" applyFill="1" applyBorder="1" applyAlignment="1">
      <alignment horizontal="center"/>
    </xf>
    <xf numFmtId="166" fontId="8" fillId="0" borderId="0" xfId="55" applyNumberFormat="1" applyFont="1" applyFill="1" applyBorder="1" applyAlignment="1">
      <alignment horizontal="center"/>
    </xf>
    <xf numFmtId="0" fontId="56" fillId="0" borderId="38" xfId="55" applyFont="1" applyFill="1" applyBorder="1" applyAlignment="1">
      <alignment horizontal="center"/>
    </xf>
    <xf numFmtId="0" fontId="58" fillId="0" borderId="41" xfId="56" applyFont="1" applyFill="1" applyBorder="1" applyAlignment="1" applyProtection="1">
      <alignment horizontal="center" vertical="center" wrapText="1"/>
    </xf>
    <xf numFmtId="0" fontId="58" fillId="0" borderId="10" xfId="55" applyNumberFormat="1" applyFont="1" applyFill="1" applyBorder="1" applyAlignment="1" applyProtection="1">
      <alignment horizontal="center" wrapText="1"/>
    </xf>
    <xf numFmtId="0" fontId="59" fillId="0" borderId="13" xfId="56" applyFont="1" applyFill="1" applyBorder="1" applyAlignment="1" applyProtection="1">
      <alignment horizontal="center" vertical="center" wrapText="1"/>
    </xf>
    <xf numFmtId="0" fontId="58" fillId="0" borderId="22" xfId="56" applyFont="1" applyFill="1" applyBorder="1" applyAlignment="1" applyProtection="1">
      <alignment horizontal="left" vertical="center" wrapText="1"/>
    </xf>
    <xf numFmtId="0" fontId="56" fillId="0" borderId="16" xfId="55" applyFont="1" applyFill="1" applyBorder="1" applyAlignment="1">
      <alignment horizontal="left" vertical="center"/>
    </xf>
    <xf numFmtId="0" fontId="56" fillId="0" borderId="39" xfId="55" applyFont="1" applyFill="1" applyBorder="1" applyAlignment="1">
      <alignment horizontal="left" vertical="center"/>
    </xf>
    <xf numFmtId="0" fontId="56" fillId="0" borderId="16" xfId="55" applyFont="1" applyFill="1" applyBorder="1" applyAlignment="1">
      <alignment horizontal="left"/>
    </xf>
    <xf numFmtId="0" fontId="58" fillId="0" borderId="22" xfId="56" applyFont="1" applyFill="1" applyBorder="1" applyAlignment="1" applyProtection="1">
      <alignment horizontal="left" vertical="center"/>
    </xf>
    <xf numFmtId="0" fontId="58" fillId="0" borderId="16" xfId="22938" applyFont="1" applyFill="1" applyBorder="1" applyAlignment="1" applyProtection="1">
      <alignment horizontal="left" vertical="center" wrapText="1"/>
    </xf>
    <xf numFmtId="0" fontId="8" fillId="0" borderId="16" xfId="0" applyFont="1" applyFill="1" applyBorder="1" applyAlignment="1">
      <alignment horizontal="left" vertical="center"/>
    </xf>
    <xf numFmtId="0" fontId="56" fillId="0" borderId="0" xfId="0" applyFont="1" applyBorder="1" applyAlignment="1">
      <alignment horizontal="right" vertical="center"/>
    </xf>
    <xf numFmtId="0" fontId="43" fillId="0" borderId="0" xfId="0" applyFont="1" applyAlignment="1">
      <alignment horizontal="center" vertical="center"/>
    </xf>
    <xf numFmtId="0" fontId="43" fillId="0" borderId="0" xfId="0" applyFont="1" applyBorder="1" applyAlignment="1">
      <alignment horizontal="center" vertical="center"/>
    </xf>
    <xf numFmtId="0" fontId="43" fillId="0" borderId="0" xfId="0" applyNumberFormat="1" applyFont="1" applyBorder="1" applyAlignment="1">
      <alignment horizontal="center" vertical="center"/>
    </xf>
    <xf numFmtId="0" fontId="43" fillId="0" borderId="0" xfId="0" applyNumberFormat="1" applyFont="1" applyFill="1" applyBorder="1" applyAlignment="1">
      <alignment horizontal="center" vertical="center"/>
    </xf>
    <xf numFmtId="0" fontId="43" fillId="33" borderId="0" xfId="0" applyFont="1" applyFill="1">
      <alignment vertical="center"/>
    </xf>
    <xf numFmtId="0" fontId="43" fillId="33" borderId="0" xfId="0" applyFont="1" applyFill="1" applyAlignment="1">
      <alignment horizontal="center" vertical="center"/>
    </xf>
    <xf numFmtId="0" fontId="0" fillId="33" borderId="0" xfId="0" applyFill="1">
      <alignment vertical="center"/>
    </xf>
    <xf numFmtId="0" fontId="60" fillId="37" borderId="44" xfId="55" applyFont="1" applyFill="1" applyBorder="1" applyAlignment="1">
      <alignment horizontal="center" vertical="center" wrapText="1"/>
    </xf>
    <xf numFmtId="0" fontId="60" fillId="37" borderId="51" xfId="55" applyFont="1" applyFill="1" applyBorder="1" applyAlignment="1">
      <alignment horizontal="center" vertical="center" wrapText="1"/>
    </xf>
    <xf numFmtId="0" fontId="60" fillId="37" borderId="42" xfId="55" applyFont="1" applyFill="1" applyBorder="1" applyAlignment="1">
      <alignment horizontal="center" vertical="center" wrapText="1"/>
    </xf>
    <xf numFmtId="0" fontId="60" fillId="37" borderId="43" xfId="55" applyFont="1" applyFill="1" applyBorder="1" applyAlignment="1">
      <alignment horizontal="center" vertical="center" wrapText="1"/>
    </xf>
    <xf numFmtId="165" fontId="60" fillId="37" borderId="44" xfId="58" applyNumberFormat="1" applyFont="1" applyFill="1" applyBorder="1" applyAlignment="1">
      <alignment horizontal="center" vertical="center" wrapText="1"/>
    </xf>
    <xf numFmtId="0" fontId="60" fillId="37" borderId="43" xfId="0" applyNumberFormat="1" applyFont="1" applyFill="1" applyBorder="1" applyAlignment="1">
      <alignment horizontal="center" vertical="center" wrapText="1"/>
    </xf>
    <xf numFmtId="1" fontId="60" fillId="37" borderId="44" xfId="48" applyNumberFormat="1" applyFont="1" applyFill="1" applyBorder="1" applyAlignment="1">
      <alignment horizontal="center" vertical="center" wrapText="1"/>
    </xf>
    <xf numFmtId="0" fontId="93" fillId="0" borderId="18" xfId="55" applyFont="1" applyFill="1" applyBorder="1" applyAlignment="1" applyProtection="1">
      <alignment horizontal="center" wrapText="1"/>
    </xf>
    <xf numFmtId="0" fontId="93" fillId="0" borderId="34" xfId="55" applyFont="1" applyFill="1" applyBorder="1" applyAlignment="1" applyProtection="1">
      <alignment horizontal="center" wrapText="1"/>
    </xf>
    <xf numFmtId="1" fontId="59" fillId="0" borderId="16" xfId="56" applyNumberFormat="1" applyFont="1" applyFill="1" applyBorder="1" applyAlignment="1">
      <alignment horizontal="center"/>
    </xf>
    <xf numFmtId="1" fontId="59" fillId="0" borderId="16" xfId="56" applyNumberFormat="1" applyFont="1" applyFill="1" applyBorder="1" applyAlignment="1" applyProtection="1">
      <alignment horizontal="center" vertical="center" wrapText="1"/>
    </xf>
    <xf numFmtId="1" fontId="56" fillId="0" borderId="16" xfId="56" applyNumberFormat="1" applyFont="1" applyFill="1" applyBorder="1" applyAlignment="1">
      <alignment horizontal="center"/>
    </xf>
    <xf numFmtId="2" fontId="59" fillId="0" borderId="17" xfId="56" applyNumberFormat="1" applyFont="1" applyFill="1" applyBorder="1" applyAlignment="1">
      <alignment horizontal="center"/>
    </xf>
    <xf numFmtId="1" fontId="8" fillId="0" borderId="17" xfId="182" applyNumberFormat="1" applyFont="1" applyFill="1" applyBorder="1" applyAlignment="1">
      <alignment horizontal="center"/>
    </xf>
    <xf numFmtId="0" fontId="8" fillId="0" borderId="17" xfId="55" applyNumberFormat="1" applyFont="1" applyFill="1" applyBorder="1" applyAlignment="1">
      <alignment horizontal="center"/>
    </xf>
    <xf numFmtId="1" fontId="8" fillId="0" borderId="16" xfId="57" applyNumberFormat="1" applyFont="1" applyFill="1" applyBorder="1" applyAlignment="1">
      <alignment horizontal="center"/>
    </xf>
    <xf numFmtId="1" fontId="56" fillId="0" borderId="16" xfId="55" applyNumberFormat="1" applyFont="1" applyFill="1" applyBorder="1" applyAlignment="1">
      <alignment horizontal="center"/>
    </xf>
    <xf numFmtId="1" fontId="8" fillId="0" borderId="16" xfId="55" applyNumberFormat="1" applyFont="1" applyFill="1" applyBorder="1" applyAlignment="1">
      <alignment horizontal="center"/>
    </xf>
    <xf numFmtId="0" fontId="56" fillId="0" borderId="16" xfId="55" applyNumberFormat="1" applyFont="1" applyFill="1" applyBorder="1" applyAlignment="1">
      <alignment horizontal="center"/>
    </xf>
    <xf numFmtId="166" fontId="8" fillId="0" borderId="17" xfId="0" applyNumberFormat="1" applyFont="1" applyFill="1" applyBorder="1" applyAlignment="1">
      <alignment horizontal="center"/>
    </xf>
    <xf numFmtId="1" fontId="8" fillId="0" borderId="17" xfId="0" applyNumberFormat="1" applyFont="1" applyFill="1" applyBorder="1" applyAlignment="1">
      <alignment horizontal="center" vertical="center"/>
    </xf>
    <xf numFmtId="1" fontId="8" fillId="0" borderId="16" xfId="0" applyNumberFormat="1" applyFont="1" applyFill="1" applyBorder="1" applyAlignment="1">
      <alignment horizontal="center" vertical="center"/>
    </xf>
    <xf numFmtId="1" fontId="8" fillId="0" borderId="16" xfId="10639" applyNumberFormat="1" applyFont="1" applyFill="1" applyBorder="1" applyAlignment="1">
      <alignment horizontal="center"/>
    </xf>
    <xf numFmtId="1" fontId="8" fillId="0" borderId="39" xfId="55" applyNumberFormat="1" applyFont="1" applyFill="1" applyBorder="1" applyAlignment="1">
      <alignment horizontal="center"/>
    </xf>
    <xf numFmtId="0" fontId="85" fillId="0" borderId="0" xfId="1842" applyFill="1" applyBorder="1">
      <alignment vertical="center"/>
    </xf>
    <xf numFmtId="0" fontId="2" fillId="39" borderId="17" xfId="22938" applyFont="1" applyFill="1" applyBorder="1" applyAlignment="1">
      <alignment horizontal="left" vertical="center"/>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cellXfs>
  <cellStyles count="45805">
    <cellStyle name="20% - Accent1" xfId="75" builtinId="30" customBuiltin="1"/>
    <cellStyle name="20% - Accent1 10" xfId="1845"/>
    <cellStyle name="20% - Accent1 10 2" xfId="5362"/>
    <cellStyle name="20% - Accent1 10 2 2" xfId="17666"/>
    <cellStyle name="20% - Accent1 10 2 2 2" xfId="40525"/>
    <cellStyle name="20% - Accent1 10 2 3" xfId="28223"/>
    <cellStyle name="20% - Accent1 10 3" xfId="8877"/>
    <cellStyle name="20% - Accent1 10 3 2" xfId="21181"/>
    <cellStyle name="20% - Accent1 10 3 2 2" xfId="44040"/>
    <cellStyle name="20% - Accent1 10 3 3" xfId="31738"/>
    <cellStyle name="20% - Accent1 10 4" xfId="14151"/>
    <cellStyle name="20% - Accent1 10 4 2" xfId="37010"/>
    <cellStyle name="20% - Accent1 10 5" xfId="24707"/>
    <cellStyle name="20% - Accent1 11" xfId="3611"/>
    <cellStyle name="20% - Accent1 11 2" xfId="15915"/>
    <cellStyle name="20% - Accent1 11 2 2" xfId="38774"/>
    <cellStyle name="20% - Accent1 11 3" xfId="26472"/>
    <cellStyle name="20% - Accent1 12" xfId="7126"/>
    <cellStyle name="20% - Accent1 12 2" xfId="19430"/>
    <cellStyle name="20% - Accent1 12 2 2" xfId="42289"/>
    <cellStyle name="20% - Accent1 12 3" xfId="29987"/>
    <cellStyle name="20% - Accent1 13" xfId="10641"/>
    <cellStyle name="20% - Accent1 13 2" xfId="33501"/>
    <cellStyle name="20% - Accent1 14" xfId="12391"/>
    <cellStyle name="20% - Accent1 14 2" xfId="35251"/>
    <cellStyle name="20% - Accent1 15" xfId="22953"/>
    <cellStyle name="20% - Accent1 2" xfId="1"/>
    <cellStyle name="20% - Accent1 3" xfId="105"/>
    <cellStyle name="20% - Accent1 3 10" xfId="10660"/>
    <cellStyle name="20% - Accent1 3 10 2" xfId="33520"/>
    <cellStyle name="20% - Accent1 3 11" xfId="12419"/>
    <cellStyle name="20% - Accent1 3 11 2" xfId="35278"/>
    <cellStyle name="20% - Accent1 3 12" xfId="22972"/>
    <cellStyle name="20% - Accent1 3 2" xfId="161"/>
    <cellStyle name="20% - Accent1 3 2 10" xfId="12473"/>
    <cellStyle name="20% - Accent1 3 2 10 2" xfId="35332"/>
    <cellStyle name="20% - Accent1 3 2 11" xfId="23027"/>
    <cellStyle name="20% - Accent1 3 2 2" xfId="269"/>
    <cellStyle name="20% - Accent1 3 2 2 10" xfId="23134"/>
    <cellStyle name="20% - Accent1 3 2 2 2" xfId="481"/>
    <cellStyle name="20% - Accent1 3 2 2 2 2" xfId="922"/>
    <cellStyle name="20% - Accent1 3 2 2 2 2 2" xfId="1801"/>
    <cellStyle name="20% - Accent1 3 2 2 2 2 2 2" xfId="3562"/>
    <cellStyle name="20% - Accent1 3 2 2 2 2 2 2 2" xfId="7077"/>
    <cellStyle name="20% - Accent1 3 2 2 2 2 2 2 2 2" xfId="19381"/>
    <cellStyle name="20% - Accent1 3 2 2 2 2 2 2 2 2 2" xfId="42240"/>
    <cellStyle name="20% - Accent1 3 2 2 2 2 2 2 2 3" xfId="29938"/>
    <cellStyle name="20% - Accent1 3 2 2 2 2 2 2 3" xfId="10592"/>
    <cellStyle name="20% - Accent1 3 2 2 2 2 2 2 3 2" xfId="22896"/>
    <cellStyle name="20% - Accent1 3 2 2 2 2 2 2 3 2 2" xfId="45755"/>
    <cellStyle name="20% - Accent1 3 2 2 2 2 2 2 3 3" xfId="33453"/>
    <cellStyle name="20% - Accent1 3 2 2 2 2 2 2 4" xfId="15866"/>
    <cellStyle name="20% - Accent1 3 2 2 2 2 2 2 4 2" xfId="38725"/>
    <cellStyle name="20% - Accent1 3 2 2 2 2 2 2 5" xfId="26423"/>
    <cellStyle name="20% - Accent1 3 2 2 2 2 2 3" xfId="5319"/>
    <cellStyle name="20% - Accent1 3 2 2 2 2 2 3 2" xfId="17623"/>
    <cellStyle name="20% - Accent1 3 2 2 2 2 2 3 2 2" xfId="40482"/>
    <cellStyle name="20% - Accent1 3 2 2 2 2 2 3 3" xfId="28180"/>
    <cellStyle name="20% - Accent1 3 2 2 2 2 2 4" xfId="8834"/>
    <cellStyle name="20% - Accent1 3 2 2 2 2 2 4 2" xfId="21138"/>
    <cellStyle name="20% - Accent1 3 2 2 2 2 2 4 2 2" xfId="43997"/>
    <cellStyle name="20% - Accent1 3 2 2 2 2 2 4 3" xfId="31695"/>
    <cellStyle name="20% - Accent1 3 2 2 2 2 2 5" xfId="12349"/>
    <cellStyle name="20% - Accent1 3 2 2 2 2 2 5 2" xfId="35209"/>
    <cellStyle name="20% - Accent1 3 2 2 2 2 2 6" xfId="14108"/>
    <cellStyle name="20% - Accent1 3 2 2 2 2 2 6 2" xfId="36967"/>
    <cellStyle name="20% - Accent1 3 2 2 2 2 2 7" xfId="24664"/>
    <cellStyle name="20% - Accent1 3 2 2 2 2 3" xfId="2684"/>
    <cellStyle name="20% - Accent1 3 2 2 2 2 3 2" xfId="6199"/>
    <cellStyle name="20% - Accent1 3 2 2 2 2 3 2 2" xfId="18503"/>
    <cellStyle name="20% - Accent1 3 2 2 2 2 3 2 2 2" xfId="41362"/>
    <cellStyle name="20% - Accent1 3 2 2 2 2 3 2 3" xfId="29060"/>
    <cellStyle name="20% - Accent1 3 2 2 2 2 3 3" xfId="9714"/>
    <cellStyle name="20% - Accent1 3 2 2 2 2 3 3 2" xfId="22018"/>
    <cellStyle name="20% - Accent1 3 2 2 2 2 3 3 2 2" xfId="44877"/>
    <cellStyle name="20% - Accent1 3 2 2 2 2 3 3 3" xfId="32575"/>
    <cellStyle name="20% - Accent1 3 2 2 2 2 3 4" xfId="14988"/>
    <cellStyle name="20% - Accent1 3 2 2 2 2 3 4 2" xfId="37847"/>
    <cellStyle name="20% - Accent1 3 2 2 2 2 3 5" xfId="25545"/>
    <cellStyle name="20% - Accent1 3 2 2 2 2 4" xfId="4441"/>
    <cellStyle name="20% - Accent1 3 2 2 2 2 4 2" xfId="16745"/>
    <cellStyle name="20% - Accent1 3 2 2 2 2 4 2 2" xfId="39604"/>
    <cellStyle name="20% - Accent1 3 2 2 2 2 4 3" xfId="27302"/>
    <cellStyle name="20% - Accent1 3 2 2 2 2 5" xfId="7956"/>
    <cellStyle name="20% - Accent1 3 2 2 2 2 5 2" xfId="20260"/>
    <cellStyle name="20% - Accent1 3 2 2 2 2 5 2 2" xfId="43119"/>
    <cellStyle name="20% - Accent1 3 2 2 2 2 5 3" xfId="30817"/>
    <cellStyle name="20% - Accent1 3 2 2 2 2 6" xfId="11471"/>
    <cellStyle name="20% - Accent1 3 2 2 2 2 6 2" xfId="34331"/>
    <cellStyle name="20% - Accent1 3 2 2 2 2 7" xfId="13230"/>
    <cellStyle name="20% - Accent1 3 2 2 2 2 7 2" xfId="36089"/>
    <cellStyle name="20% - Accent1 3 2 2 2 2 8" xfId="23786"/>
    <cellStyle name="20% - Accent1 3 2 2 2 3" xfId="1362"/>
    <cellStyle name="20% - Accent1 3 2 2 2 3 2" xfId="3123"/>
    <cellStyle name="20% - Accent1 3 2 2 2 3 2 2" xfId="6638"/>
    <cellStyle name="20% - Accent1 3 2 2 2 3 2 2 2" xfId="18942"/>
    <cellStyle name="20% - Accent1 3 2 2 2 3 2 2 2 2" xfId="41801"/>
    <cellStyle name="20% - Accent1 3 2 2 2 3 2 2 3" xfId="29499"/>
    <cellStyle name="20% - Accent1 3 2 2 2 3 2 3" xfId="10153"/>
    <cellStyle name="20% - Accent1 3 2 2 2 3 2 3 2" xfId="22457"/>
    <cellStyle name="20% - Accent1 3 2 2 2 3 2 3 2 2" xfId="45316"/>
    <cellStyle name="20% - Accent1 3 2 2 2 3 2 3 3" xfId="33014"/>
    <cellStyle name="20% - Accent1 3 2 2 2 3 2 4" xfId="15427"/>
    <cellStyle name="20% - Accent1 3 2 2 2 3 2 4 2" xfId="38286"/>
    <cellStyle name="20% - Accent1 3 2 2 2 3 2 5" xfId="25984"/>
    <cellStyle name="20% - Accent1 3 2 2 2 3 3" xfId="4880"/>
    <cellStyle name="20% - Accent1 3 2 2 2 3 3 2" xfId="17184"/>
    <cellStyle name="20% - Accent1 3 2 2 2 3 3 2 2" xfId="40043"/>
    <cellStyle name="20% - Accent1 3 2 2 2 3 3 3" xfId="27741"/>
    <cellStyle name="20% - Accent1 3 2 2 2 3 4" xfId="8395"/>
    <cellStyle name="20% - Accent1 3 2 2 2 3 4 2" xfId="20699"/>
    <cellStyle name="20% - Accent1 3 2 2 2 3 4 2 2" xfId="43558"/>
    <cellStyle name="20% - Accent1 3 2 2 2 3 4 3" xfId="31256"/>
    <cellStyle name="20% - Accent1 3 2 2 2 3 5" xfId="11910"/>
    <cellStyle name="20% - Accent1 3 2 2 2 3 5 2" xfId="34770"/>
    <cellStyle name="20% - Accent1 3 2 2 2 3 6" xfId="13669"/>
    <cellStyle name="20% - Accent1 3 2 2 2 3 6 2" xfId="36528"/>
    <cellStyle name="20% - Accent1 3 2 2 2 3 7" xfId="24225"/>
    <cellStyle name="20% - Accent1 3 2 2 2 4" xfId="2245"/>
    <cellStyle name="20% - Accent1 3 2 2 2 4 2" xfId="5760"/>
    <cellStyle name="20% - Accent1 3 2 2 2 4 2 2" xfId="18064"/>
    <cellStyle name="20% - Accent1 3 2 2 2 4 2 2 2" xfId="40923"/>
    <cellStyle name="20% - Accent1 3 2 2 2 4 2 3" xfId="28621"/>
    <cellStyle name="20% - Accent1 3 2 2 2 4 3" xfId="9275"/>
    <cellStyle name="20% - Accent1 3 2 2 2 4 3 2" xfId="21579"/>
    <cellStyle name="20% - Accent1 3 2 2 2 4 3 2 2" xfId="44438"/>
    <cellStyle name="20% - Accent1 3 2 2 2 4 3 3" xfId="32136"/>
    <cellStyle name="20% - Accent1 3 2 2 2 4 4" xfId="14549"/>
    <cellStyle name="20% - Accent1 3 2 2 2 4 4 2" xfId="37408"/>
    <cellStyle name="20% - Accent1 3 2 2 2 4 5" xfId="25106"/>
    <cellStyle name="20% - Accent1 3 2 2 2 5" xfId="4002"/>
    <cellStyle name="20% - Accent1 3 2 2 2 5 2" xfId="16306"/>
    <cellStyle name="20% - Accent1 3 2 2 2 5 2 2" xfId="39165"/>
    <cellStyle name="20% - Accent1 3 2 2 2 5 3" xfId="26863"/>
    <cellStyle name="20% - Accent1 3 2 2 2 6" xfId="7517"/>
    <cellStyle name="20% - Accent1 3 2 2 2 6 2" xfId="19821"/>
    <cellStyle name="20% - Accent1 3 2 2 2 6 2 2" xfId="42680"/>
    <cellStyle name="20% - Accent1 3 2 2 2 6 3" xfId="30378"/>
    <cellStyle name="20% - Accent1 3 2 2 2 7" xfId="11032"/>
    <cellStyle name="20% - Accent1 3 2 2 2 7 2" xfId="33892"/>
    <cellStyle name="20% - Accent1 3 2 2 2 8" xfId="12791"/>
    <cellStyle name="20% - Accent1 3 2 2 2 8 2" xfId="35650"/>
    <cellStyle name="20% - Accent1 3 2 2 2 9" xfId="23346"/>
    <cellStyle name="20% - Accent1 3 2 2 3" xfId="710"/>
    <cellStyle name="20% - Accent1 3 2 2 3 2" xfId="1589"/>
    <cellStyle name="20% - Accent1 3 2 2 3 2 2" xfId="3350"/>
    <cellStyle name="20% - Accent1 3 2 2 3 2 2 2" xfId="6865"/>
    <cellStyle name="20% - Accent1 3 2 2 3 2 2 2 2" xfId="19169"/>
    <cellStyle name="20% - Accent1 3 2 2 3 2 2 2 2 2" xfId="42028"/>
    <cellStyle name="20% - Accent1 3 2 2 3 2 2 2 3" xfId="29726"/>
    <cellStyle name="20% - Accent1 3 2 2 3 2 2 3" xfId="10380"/>
    <cellStyle name="20% - Accent1 3 2 2 3 2 2 3 2" xfId="22684"/>
    <cellStyle name="20% - Accent1 3 2 2 3 2 2 3 2 2" xfId="45543"/>
    <cellStyle name="20% - Accent1 3 2 2 3 2 2 3 3" xfId="33241"/>
    <cellStyle name="20% - Accent1 3 2 2 3 2 2 4" xfId="15654"/>
    <cellStyle name="20% - Accent1 3 2 2 3 2 2 4 2" xfId="38513"/>
    <cellStyle name="20% - Accent1 3 2 2 3 2 2 5" xfId="26211"/>
    <cellStyle name="20% - Accent1 3 2 2 3 2 3" xfId="5107"/>
    <cellStyle name="20% - Accent1 3 2 2 3 2 3 2" xfId="17411"/>
    <cellStyle name="20% - Accent1 3 2 2 3 2 3 2 2" xfId="40270"/>
    <cellStyle name="20% - Accent1 3 2 2 3 2 3 3" xfId="27968"/>
    <cellStyle name="20% - Accent1 3 2 2 3 2 4" xfId="8622"/>
    <cellStyle name="20% - Accent1 3 2 2 3 2 4 2" xfId="20926"/>
    <cellStyle name="20% - Accent1 3 2 2 3 2 4 2 2" xfId="43785"/>
    <cellStyle name="20% - Accent1 3 2 2 3 2 4 3" xfId="31483"/>
    <cellStyle name="20% - Accent1 3 2 2 3 2 5" xfId="12137"/>
    <cellStyle name="20% - Accent1 3 2 2 3 2 5 2" xfId="34997"/>
    <cellStyle name="20% - Accent1 3 2 2 3 2 6" xfId="13896"/>
    <cellStyle name="20% - Accent1 3 2 2 3 2 6 2" xfId="36755"/>
    <cellStyle name="20% - Accent1 3 2 2 3 2 7" xfId="24452"/>
    <cellStyle name="20% - Accent1 3 2 2 3 3" xfId="2472"/>
    <cellStyle name="20% - Accent1 3 2 2 3 3 2" xfId="5987"/>
    <cellStyle name="20% - Accent1 3 2 2 3 3 2 2" xfId="18291"/>
    <cellStyle name="20% - Accent1 3 2 2 3 3 2 2 2" xfId="41150"/>
    <cellStyle name="20% - Accent1 3 2 2 3 3 2 3" xfId="28848"/>
    <cellStyle name="20% - Accent1 3 2 2 3 3 3" xfId="9502"/>
    <cellStyle name="20% - Accent1 3 2 2 3 3 3 2" xfId="21806"/>
    <cellStyle name="20% - Accent1 3 2 2 3 3 3 2 2" xfId="44665"/>
    <cellStyle name="20% - Accent1 3 2 2 3 3 3 3" xfId="32363"/>
    <cellStyle name="20% - Accent1 3 2 2 3 3 4" xfId="14776"/>
    <cellStyle name="20% - Accent1 3 2 2 3 3 4 2" xfId="37635"/>
    <cellStyle name="20% - Accent1 3 2 2 3 3 5" xfId="25333"/>
    <cellStyle name="20% - Accent1 3 2 2 3 4" xfId="4229"/>
    <cellStyle name="20% - Accent1 3 2 2 3 4 2" xfId="16533"/>
    <cellStyle name="20% - Accent1 3 2 2 3 4 2 2" xfId="39392"/>
    <cellStyle name="20% - Accent1 3 2 2 3 4 3" xfId="27090"/>
    <cellStyle name="20% - Accent1 3 2 2 3 5" xfId="7744"/>
    <cellStyle name="20% - Accent1 3 2 2 3 5 2" xfId="20048"/>
    <cellStyle name="20% - Accent1 3 2 2 3 5 2 2" xfId="42907"/>
    <cellStyle name="20% - Accent1 3 2 2 3 5 3" xfId="30605"/>
    <cellStyle name="20% - Accent1 3 2 2 3 6" xfId="11259"/>
    <cellStyle name="20% - Accent1 3 2 2 3 6 2" xfId="34119"/>
    <cellStyle name="20% - Accent1 3 2 2 3 7" xfId="13018"/>
    <cellStyle name="20% - Accent1 3 2 2 3 7 2" xfId="35877"/>
    <cellStyle name="20% - Accent1 3 2 2 3 8" xfId="23574"/>
    <cellStyle name="20% - Accent1 3 2 2 4" xfId="1150"/>
    <cellStyle name="20% - Accent1 3 2 2 4 2" xfId="2911"/>
    <cellStyle name="20% - Accent1 3 2 2 4 2 2" xfId="6426"/>
    <cellStyle name="20% - Accent1 3 2 2 4 2 2 2" xfId="18730"/>
    <cellStyle name="20% - Accent1 3 2 2 4 2 2 2 2" xfId="41589"/>
    <cellStyle name="20% - Accent1 3 2 2 4 2 2 3" xfId="29287"/>
    <cellStyle name="20% - Accent1 3 2 2 4 2 3" xfId="9941"/>
    <cellStyle name="20% - Accent1 3 2 2 4 2 3 2" xfId="22245"/>
    <cellStyle name="20% - Accent1 3 2 2 4 2 3 2 2" xfId="45104"/>
    <cellStyle name="20% - Accent1 3 2 2 4 2 3 3" xfId="32802"/>
    <cellStyle name="20% - Accent1 3 2 2 4 2 4" xfId="15215"/>
    <cellStyle name="20% - Accent1 3 2 2 4 2 4 2" xfId="38074"/>
    <cellStyle name="20% - Accent1 3 2 2 4 2 5" xfId="25772"/>
    <cellStyle name="20% - Accent1 3 2 2 4 3" xfId="4668"/>
    <cellStyle name="20% - Accent1 3 2 2 4 3 2" xfId="16972"/>
    <cellStyle name="20% - Accent1 3 2 2 4 3 2 2" xfId="39831"/>
    <cellStyle name="20% - Accent1 3 2 2 4 3 3" xfId="27529"/>
    <cellStyle name="20% - Accent1 3 2 2 4 4" xfId="8183"/>
    <cellStyle name="20% - Accent1 3 2 2 4 4 2" xfId="20487"/>
    <cellStyle name="20% - Accent1 3 2 2 4 4 2 2" xfId="43346"/>
    <cellStyle name="20% - Accent1 3 2 2 4 4 3" xfId="31044"/>
    <cellStyle name="20% - Accent1 3 2 2 4 5" xfId="11698"/>
    <cellStyle name="20% - Accent1 3 2 2 4 5 2" xfId="34558"/>
    <cellStyle name="20% - Accent1 3 2 2 4 6" xfId="13457"/>
    <cellStyle name="20% - Accent1 3 2 2 4 6 2" xfId="36316"/>
    <cellStyle name="20% - Accent1 3 2 2 4 7" xfId="24013"/>
    <cellStyle name="20% - Accent1 3 2 2 5" xfId="2033"/>
    <cellStyle name="20% - Accent1 3 2 2 5 2" xfId="5548"/>
    <cellStyle name="20% - Accent1 3 2 2 5 2 2" xfId="17852"/>
    <cellStyle name="20% - Accent1 3 2 2 5 2 2 2" xfId="40711"/>
    <cellStyle name="20% - Accent1 3 2 2 5 2 3" xfId="28409"/>
    <cellStyle name="20% - Accent1 3 2 2 5 3" xfId="9063"/>
    <cellStyle name="20% - Accent1 3 2 2 5 3 2" xfId="21367"/>
    <cellStyle name="20% - Accent1 3 2 2 5 3 2 2" xfId="44226"/>
    <cellStyle name="20% - Accent1 3 2 2 5 3 3" xfId="31924"/>
    <cellStyle name="20% - Accent1 3 2 2 5 4" xfId="14337"/>
    <cellStyle name="20% - Accent1 3 2 2 5 4 2" xfId="37196"/>
    <cellStyle name="20% - Accent1 3 2 2 5 5" xfId="24894"/>
    <cellStyle name="20% - Accent1 3 2 2 6" xfId="3790"/>
    <cellStyle name="20% - Accent1 3 2 2 6 2" xfId="16094"/>
    <cellStyle name="20% - Accent1 3 2 2 6 2 2" xfId="38953"/>
    <cellStyle name="20% - Accent1 3 2 2 6 3" xfId="26651"/>
    <cellStyle name="20% - Accent1 3 2 2 7" xfId="7305"/>
    <cellStyle name="20% - Accent1 3 2 2 7 2" xfId="19609"/>
    <cellStyle name="20% - Accent1 3 2 2 7 2 2" xfId="42468"/>
    <cellStyle name="20% - Accent1 3 2 2 7 3" xfId="30166"/>
    <cellStyle name="20% - Accent1 3 2 2 8" xfId="10820"/>
    <cellStyle name="20% - Accent1 3 2 2 8 2" xfId="33680"/>
    <cellStyle name="20% - Accent1 3 2 2 9" xfId="12579"/>
    <cellStyle name="20% - Accent1 3 2 2 9 2" xfId="35438"/>
    <cellStyle name="20% - Accent1 3 2 3" xfId="375"/>
    <cellStyle name="20% - Accent1 3 2 3 2" xfId="816"/>
    <cellStyle name="20% - Accent1 3 2 3 2 2" xfId="1695"/>
    <cellStyle name="20% - Accent1 3 2 3 2 2 2" xfId="3456"/>
    <cellStyle name="20% - Accent1 3 2 3 2 2 2 2" xfId="6971"/>
    <cellStyle name="20% - Accent1 3 2 3 2 2 2 2 2" xfId="19275"/>
    <cellStyle name="20% - Accent1 3 2 3 2 2 2 2 2 2" xfId="42134"/>
    <cellStyle name="20% - Accent1 3 2 3 2 2 2 2 3" xfId="29832"/>
    <cellStyle name="20% - Accent1 3 2 3 2 2 2 3" xfId="10486"/>
    <cellStyle name="20% - Accent1 3 2 3 2 2 2 3 2" xfId="22790"/>
    <cellStyle name="20% - Accent1 3 2 3 2 2 2 3 2 2" xfId="45649"/>
    <cellStyle name="20% - Accent1 3 2 3 2 2 2 3 3" xfId="33347"/>
    <cellStyle name="20% - Accent1 3 2 3 2 2 2 4" xfId="15760"/>
    <cellStyle name="20% - Accent1 3 2 3 2 2 2 4 2" xfId="38619"/>
    <cellStyle name="20% - Accent1 3 2 3 2 2 2 5" xfId="26317"/>
    <cellStyle name="20% - Accent1 3 2 3 2 2 3" xfId="5213"/>
    <cellStyle name="20% - Accent1 3 2 3 2 2 3 2" xfId="17517"/>
    <cellStyle name="20% - Accent1 3 2 3 2 2 3 2 2" xfId="40376"/>
    <cellStyle name="20% - Accent1 3 2 3 2 2 3 3" xfId="28074"/>
    <cellStyle name="20% - Accent1 3 2 3 2 2 4" xfId="8728"/>
    <cellStyle name="20% - Accent1 3 2 3 2 2 4 2" xfId="21032"/>
    <cellStyle name="20% - Accent1 3 2 3 2 2 4 2 2" xfId="43891"/>
    <cellStyle name="20% - Accent1 3 2 3 2 2 4 3" xfId="31589"/>
    <cellStyle name="20% - Accent1 3 2 3 2 2 5" xfId="12243"/>
    <cellStyle name="20% - Accent1 3 2 3 2 2 5 2" xfId="35103"/>
    <cellStyle name="20% - Accent1 3 2 3 2 2 6" xfId="14002"/>
    <cellStyle name="20% - Accent1 3 2 3 2 2 6 2" xfId="36861"/>
    <cellStyle name="20% - Accent1 3 2 3 2 2 7" xfId="24558"/>
    <cellStyle name="20% - Accent1 3 2 3 2 3" xfId="2578"/>
    <cellStyle name="20% - Accent1 3 2 3 2 3 2" xfId="6093"/>
    <cellStyle name="20% - Accent1 3 2 3 2 3 2 2" xfId="18397"/>
    <cellStyle name="20% - Accent1 3 2 3 2 3 2 2 2" xfId="41256"/>
    <cellStyle name="20% - Accent1 3 2 3 2 3 2 3" xfId="28954"/>
    <cellStyle name="20% - Accent1 3 2 3 2 3 3" xfId="9608"/>
    <cellStyle name="20% - Accent1 3 2 3 2 3 3 2" xfId="21912"/>
    <cellStyle name="20% - Accent1 3 2 3 2 3 3 2 2" xfId="44771"/>
    <cellStyle name="20% - Accent1 3 2 3 2 3 3 3" xfId="32469"/>
    <cellStyle name="20% - Accent1 3 2 3 2 3 4" xfId="14882"/>
    <cellStyle name="20% - Accent1 3 2 3 2 3 4 2" xfId="37741"/>
    <cellStyle name="20% - Accent1 3 2 3 2 3 5" xfId="25439"/>
    <cellStyle name="20% - Accent1 3 2 3 2 4" xfId="4335"/>
    <cellStyle name="20% - Accent1 3 2 3 2 4 2" xfId="16639"/>
    <cellStyle name="20% - Accent1 3 2 3 2 4 2 2" xfId="39498"/>
    <cellStyle name="20% - Accent1 3 2 3 2 4 3" xfId="27196"/>
    <cellStyle name="20% - Accent1 3 2 3 2 5" xfId="7850"/>
    <cellStyle name="20% - Accent1 3 2 3 2 5 2" xfId="20154"/>
    <cellStyle name="20% - Accent1 3 2 3 2 5 2 2" xfId="43013"/>
    <cellStyle name="20% - Accent1 3 2 3 2 5 3" xfId="30711"/>
    <cellStyle name="20% - Accent1 3 2 3 2 6" xfId="11365"/>
    <cellStyle name="20% - Accent1 3 2 3 2 6 2" xfId="34225"/>
    <cellStyle name="20% - Accent1 3 2 3 2 7" xfId="13124"/>
    <cellStyle name="20% - Accent1 3 2 3 2 7 2" xfId="35983"/>
    <cellStyle name="20% - Accent1 3 2 3 2 8" xfId="23680"/>
    <cellStyle name="20% - Accent1 3 2 3 3" xfId="1256"/>
    <cellStyle name="20% - Accent1 3 2 3 3 2" xfId="3017"/>
    <cellStyle name="20% - Accent1 3 2 3 3 2 2" xfId="6532"/>
    <cellStyle name="20% - Accent1 3 2 3 3 2 2 2" xfId="18836"/>
    <cellStyle name="20% - Accent1 3 2 3 3 2 2 2 2" xfId="41695"/>
    <cellStyle name="20% - Accent1 3 2 3 3 2 2 3" xfId="29393"/>
    <cellStyle name="20% - Accent1 3 2 3 3 2 3" xfId="10047"/>
    <cellStyle name="20% - Accent1 3 2 3 3 2 3 2" xfId="22351"/>
    <cellStyle name="20% - Accent1 3 2 3 3 2 3 2 2" xfId="45210"/>
    <cellStyle name="20% - Accent1 3 2 3 3 2 3 3" xfId="32908"/>
    <cellStyle name="20% - Accent1 3 2 3 3 2 4" xfId="15321"/>
    <cellStyle name="20% - Accent1 3 2 3 3 2 4 2" xfId="38180"/>
    <cellStyle name="20% - Accent1 3 2 3 3 2 5" xfId="25878"/>
    <cellStyle name="20% - Accent1 3 2 3 3 3" xfId="4774"/>
    <cellStyle name="20% - Accent1 3 2 3 3 3 2" xfId="17078"/>
    <cellStyle name="20% - Accent1 3 2 3 3 3 2 2" xfId="39937"/>
    <cellStyle name="20% - Accent1 3 2 3 3 3 3" xfId="27635"/>
    <cellStyle name="20% - Accent1 3 2 3 3 4" xfId="8289"/>
    <cellStyle name="20% - Accent1 3 2 3 3 4 2" xfId="20593"/>
    <cellStyle name="20% - Accent1 3 2 3 3 4 2 2" xfId="43452"/>
    <cellStyle name="20% - Accent1 3 2 3 3 4 3" xfId="31150"/>
    <cellStyle name="20% - Accent1 3 2 3 3 5" xfId="11804"/>
    <cellStyle name="20% - Accent1 3 2 3 3 5 2" xfId="34664"/>
    <cellStyle name="20% - Accent1 3 2 3 3 6" xfId="13563"/>
    <cellStyle name="20% - Accent1 3 2 3 3 6 2" xfId="36422"/>
    <cellStyle name="20% - Accent1 3 2 3 3 7" xfId="24119"/>
    <cellStyle name="20% - Accent1 3 2 3 4" xfId="2139"/>
    <cellStyle name="20% - Accent1 3 2 3 4 2" xfId="5654"/>
    <cellStyle name="20% - Accent1 3 2 3 4 2 2" xfId="17958"/>
    <cellStyle name="20% - Accent1 3 2 3 4 2 2 2" xfId="40817"/>
    <cellStyle name="20% - Accent1 3 2 3 4 2 3" xfId="28515"/>
    <cellStyle name="20% - Accent1 3 2 3 4 3" xfId="9169"/>
    <cellStyle name="20% - Accent1 3 2 3 4 3 2" xfId="21473"/>
    <cellStyle name="20% - Accent1 3 2 3 4 3 2 2" xfId="44332"/>
    <cellStyle name="20% - Accent1 3 2 3 4 3 3" xfId="32030"/>
    <cellStyle name="20% - Accent1 3 2 3 4 4" xfId="14443"/>
    <cellStyle name="20% - Accent1 3 2 3 4 4 2" xfId="37302"/>
    <cellStyle name="20% - Accent1 3 2 3 4 5" xfId="25000"/>
    <cellStyle name="20% - Accent1 3 2 3 5" xfId="3896"/>
    <cellStyle name="20% - Accent1 3 2 3 5 2" xfId="16200"/>
    <cellStyle name="20% - Accent1 3 2 3 5 2 2" xfId="39059"/>
    <cellStyle name="20% - Accent1 3 2 3 5 3" xfId="26757"/>
    <cellStyle name="20% - Accent1 3 2 3 6" xfId="7411"/>
    <cellStyle name="20% - Accent1 3 2 3 6 2" xfId="19715"/>
    <cellStyle name="20% - Accent1 3 2 3 6 2 2" xfId="42574"/>
    <cellStyle name="20% - Accent1 3 2 3 6 3" xfId="30272"/>
    <cellStyle name="20% - Accent1 3 2 3 7" xfId="10926"/>
    <cellStyle name="20% - Accent1 3 2 3 7 2" xfId="33786"/>
    <cellStyle name="20% - Accent1 3 2 3 8" xfId="12685"/>
    <cellStyle name="20% - Accent1 3 2 3 8 2" xfId="35544"/>
    <cellStyle name="20% - Accent1 3 2 3 9" xfId="23240"/>
    <cellStyle name="20% - Accent1 3 2 4" xfId="604"/>
    <cellStyle name="20% - Accent1 3 2 4 2" xfId="1483"/>
    <cellStyle name="20% - Accent1 3 2 4 2 2" xfId="3244"/>
    <cellStyle name="20% - Accent1 3 2 4 2 2 2" xfId="6759"/>
    <cellStyle name="20% - Accent1 3 2 4 2 2 2 2" xfId="19063"/>
    <cellStyle name="20% - Accent1 3 2 4 2 2 2 2 2" xfId="41922"/>
    <cellStyle name="20% - Accent1 3 2 4 2 2 2 3" xfId="29620"/>
    <cellStyle name="20% - Accent1 3 2 4 2 2 3" xfId="10274"/>
    <cellStyle name="20% - Accent1 3 2 4 2 2 3 2" xfId="22578"/>
    <cellStyle name="20% - Accent1 3 2 4 2 2 3 2 2" xfId="45437"/>
    <cellStyle name="20% - Accent1 3 2 4 2 2 3 3" xfId="33135"/>
    <cellStyle name="20% - Accent1 3 2 4 2 2 4" xfId="15548"/>
    <cellStyle name="20% - Accent1 3 2 4 2 2 4 2" xfId="38407"/>
    <cellStyle name="20% - Accent1 3 2 4 2 2 5" xfId="26105"/>
    <cellStyle name="20% - Accent1 3 2 4 2 3" xfId="5001"/>
    <cellStyle name="20% - Accent1 3 2 4 2 3 2" xfId="17305"/>
    <cellStyle name="20% - Accent1 3 2 4 2 3 2 2" xfId="40164"/>
    <cellStyle name="20% - Accent1 3 2 4 2 3 3" xfId="27862"/>
    <cellStyle name="20% - Accent1 3 2 4 2 4" xfId="8516"/>
    <cellStyle name="20% - Accent1 3 2 4 2 4 2" xfId="20820"/>
    <cellStyle name="20% - Accent1 3 2 4 2 4 2 2" xfId="43679"/>
    <cellStyle name="20% - Accent1 3 2 4 2 4 3" xfId="31377"/>
    <cellStyle name="20% - Accent1 3 2 4 2 5" xfId="12031"/>
    <cellStyle name="20% - Accent1 3 2 4 2 5 2" xfId="34891"/>
    <cellStyle name="20% - Accent1 3 2 4 2 6" xfId="13790"/>
    <cellStyle name="20% - Accent1 3 2 4 2 6 2" xfId="36649"/>
    <cellStyle name="20% - Accent1 3 2 4 2 7" xfId="24346"/>
    <cellStyle name="20% - Accent1 3 2 4 3" xfId="2366"/>
    <cellStyle name="20% - Accent1 3 2 4 3 2" xfId="5881"/>
    <cellStyle name="20% - Accent1 3 2 4 3 2 2" xfId="18185"/>
    <cellStyle name="20% - Accent1 3 2 4 3 2 2 2" xfId="41044"/>
    <cellStyle name="20% - Accent1 3 2 4 3 2 3" xfId="28742"/>
    <cellStyle name="20% - Accent1 3 2 4 3 3" xfId="9396"/>
    <cellStyle name="20% - Accent1 3 2 4 3 3 2" xfId="21700"/>
    <cellStyle name="20% - Accent1 3 2 4 3 3 2 2" xfId="44559"/>
    <cellStyle name="20% - Accent1 3 2 4 3 3 3" xfId="32257"/>
    <cellStyle name="20% - Accent1 3 2 4 3 4" xfId="14670"/>
    <cellStyle name="20% - Accent1 3 2 4 3 4 2" xfId="37529"/>
    <cellStyle name="20% - Accent1 3 2 4 3 5" xfId="25227"/>
    <cellStyle name="20% - Accent1 3 2 4 4" xfId="4123"/>
    <cellStyle name="20% - Accent1 3 2 4 4 2" xfId="16427"/>
    <cellStyle name="20% - Accent1 3 2 4 4 2 2" xfId="39286"/>
    <cellStyle name="20% - Accent1 3 2 4 4 3" xfId="26984"/>
    <cellStyle name="20% - Accent1 3 2 4 5" xfId="7638"/>
    <cellStyle name="20% - Accent1 3 2 4 5 2" xfId="19942"/>
    <cellStyle name="20% - Accent1 3 2 4 5 2 2" xfId="42801"/>
    <cellStyle name="20% - Accent1 3 2 4 5 3" xfId="30499"/>
    <cellStyle name="20% - Accent1 3 2 4 6" xfId="11153"/>
    <cellStyle name="20% - Accent1 3 2 4 6 2" xfId="34013"/>
    <cellStyle name="20% - Accent1 3 2 4 7" xfId="12912"/>
    <cellStyle name="20% - Accent1 3 2 4 7 2" xfId="35771"/>
    <cellStyle name="20% - Accent1 3 2 4 8" xfId="23468"/>
    <cellStyle name="20% - Accent1 3 2 5" xfId="1044"/>
    <cellStyle name="20% - Accent1 3 2 5 2" xfId="2805"/>
    <cellStyle name="20% - Accent1 3 2 5 2 2" xfId="6320"/>
    <cellStyle name="20% - Accent1 3 2 5 2 2 2" xfId="18624"/>
    <cellStyle name="20% - Accent1 3 2 5 2 2 2 2" xfId="41483"/>
    <cellStyle name="20% - Accent1 3 2 5 2 2 3" xfId="29181"/>
    <cellStyle name="20% - Accent1 3 2 5 2 3" xfId="9835"/>
    <cellStyle name="20% - Accent1 3 2 5 2 3 2" xfId="22139"/>
    <cellStyle name="20% - Accent1 3 2 5 2 3 2 2" xfId="44998"/>
    <cellStyle name="20% - Accent1 3 2 5 2 3 3" xfId="32696"/>
    <cellStyle name="20% - Accent1 3 2 5 2 4" xfId="15109"/>
    <cellStyle name="20% - Accent1 3 2 5 2 4 2" xfId="37968"/>
    <cellStyle name="20% - Accent1 3 2 5 2 5" xfId="25666"/>
    <cellStyle name="20% - Accent1 3 2 5 3" xfId="4562"/>
    <cellStyle name="20% - Accent1 3 2 5 3 2" xfId="16866"/>
    <cellStyle name="20% - Accent1 3 2 5 3 2 2" xfId="39725"/>
    <cellStyle name="20% - Accent1 3 2 5 3 3" xfId="27423"/>
    <cellStyle name="20% - Accent1 3 2 5 4" xfId="8077"/>
    <cellStyle name="20% - Accent1 3 2 5 4 2" xfId="20381"/>
    <cellStyle name="20% - Accent1 3 2 5 4 2 2" xfId="43240"/>
    <cellStyle name="20% - Accent1 3 2 5 4 3" xfId="30938"/>
    <cellStyle name="20% - Accent1 3 2 5 5" xfId="11592"/>
    <cellStyle name="20% - Accent1 3 2 5 5 2" xfId="34452"/>
    <cellStyle name="20% - Accent1 3 2 5 6" xfId="13351"/>
    <cellStyle name="20% - Accent1 3 2 5 6 2" xfId="36210"/>
    <cellStyle name="20% - Accent1 3 2 5 7" xfId="23907"/>
    <cellStyle name="20% - Accent1 3 2 6" xfId="1927"/>
    <cellStyle name="20% - Accent1 3 2 6 2" xfId="5442"/>
    <cellStyle name="20% - Accent1 3 2 6 2 2" xfId="17746"/>
    <cellStyle name="20% - Accent1 3 2 6 2 2 2" xfId="40605"/>
    <cellStyle name="20% - Accent1 3 2 6 2 3" xfId="28303"/>
    <cellStyle name="20% - Accent1 3 2 6 3" xfId="8957"/>
    <cellStyle name="20% - Accent1 3 2 6 3 2" xfId="21261"/>
    <cellStyle name="20% - Accent1 3 2 6 3 2 2" xfId="44120"/>
    <cellStyle name="20% - Accent1 3 2 6 3 3" xfId="31818"/>
    <cellStyle name="20% - Accent1 3 2 6 4" xfId="14231"/>
    <cellStyle name="20% - Accent1 3 2 6 4 2" xfId="37090"/>
    <cellStyle name="20% - Accent1 3 2 6 5" xfId="24788"/>
    <cellStyle name="20% - Accent1 3 2 7" xfId="3684"/>
    <cellStyle name="20% - Accent1 3 2 7 2" xfId="15988"/>
    <cellStyle name="20% - Accent1 3 2 7 2 2" xfId="38847"/>
    <cellStyle name="20% - Accent1 3 2 7 3" xfId="26545"/>
    <cellStyle name="20% - Accent1 3 2 8" xfId="7199"/>
    <cellStyle name="20% - Accent1 3 2 8 2" xfId="19503"/>
    <cellStyle name="20% - Accent1 3 2 8 2 2" xfId="42362"/>
    <cellStyle name="20% - Accent1 3 2 8 3" xfId="30060"/>
    <cellStyle name="20% - Accent1 3 2 9" xfId="10714"/>
    <cellStyle name="20% - Accent1 3 2 9 2" xfId="33574"/>
    <cellStyle name="20% - Accent1 3 3" xfId="215"/>
    <cellStyle name="20% - Accent1 3 3 10" xfId="23080"/>
    <cellStyle name="20% - Accent1 3 3 2" xfId="427"/>
    <cellStyle name="20% - Accent1 3 3 2 2" xfId="868"/>
    <cellStyle name="20% - Accent1 3 3 2 2 2" xfId="1747"/>
    <cellStyle name="20% - Accent1 3 3 2 2 2 2" xfId="3508"/>
    <cellStyle name="20% - Accent1 3 3 2 2 2 2 2" xfId="7023"/>
    <cellStyle name="20% - Accent1 3 3 2 2 2 2 2 2" xfId="19327"/>
    <cellStyle name="20% - Accent1 3 3 2 2 2 2 2 2 2" xfId="42186"/>
    <cellStyle name="20% - Accent1 3 3 2 2 2 2 2 3" xfId="29884"/>
    <cellStyle name="20% - Accent1 3 3 2 2 2 2 3" xfId="10538"/>
    <cellStyle name="20% - Accent1 3 3 2 2 2 2 3 2" xfId="22842"/>
    <cellStyle name="20% - Accent1 3 3 2 2 2 2 3 2 2" xfId="45701"/>
    <cellStyle name="20% - Accent1 3 3 2 2 2 2 3 3" xfId="33399"/>
    <cellStyle name="20% - Accent1 3 3 2 2 2 2 4" xfId="15812"/>
    <cellStyle name="20% - Accent1 3 3 2 2 2 2 4 2" xfId="38671"/>
    <cellStyle name="20% - Accent1 3 3 2 2 2 2 5" xfId="26369"/>
    <cellStyle name="20% - Accent1 3 3 2 2 2 3" xfId="5265"/>
    <cellStyle name="20% - Accent1 3 3 2 2 2 3 2" xfId="17569"/>
    <cellStyle name="20% - Accent1 3 3 2 2 2 3 2 2" xfId="40428"/>
    <cellStyle name="20% - Accent1 3 3 2 2 2 3 3" xfId="28126"/>
    <cellStyle name="20% - Accent1 3 3 2 2 2 4" xfId="8780"/>
    <cellStyle name="20% - Accent1 3 3 2 2 2 4 2" xfId="21084"/>
    <cellStyle name="20% - Accent1 3 3 2 2 2 4 2 2" xfId="43943"/>
    <cellStyle name="20% - Accent1 3 3 2 2 2 4 3" xfId="31641"/>
    <cellStyle name="20% - Accent1 3 3 2 2 2 5" xfId="12295"/>
    <cellStyle name="20% - Accent1 3 3 2 2 2 5 2" xfId="35155"/>
    <cellStyle name="20% - Accent1 3 3 2 2 2 6" xfId="14054"/>
    <cellStyle name="20% - Accent1 3 3 2 2 2 6 2" xfId="36913"/>
    <cellStyle name="20% - Accent1 3 3 2 2 2 7" xfId="24610"/>
    <cellStyle name="20% - Accent1 3 3 2 2 3" xfId="2630"/>
    <cellStyle name="20% - Accent1 3 3 2 2 3 2" xfId="6145"/>
    <cellStyle name="20% - Accent1 3 3 2 2 3 2 2" xfId="18449"/>
    <cellStyle name="20% - Accent1 3 3 2 2 3 2 2 2" xfId="41308"/>
    <cellStyle name="20% - Accent1 3 3 2 2 3 2 3" xfId="29006"/>
    <cellStyle name="20% - Accent1 3 3 2 2 3 3" xfId="9660"/>
    <cellStyle name="20% - Accent1 3 3 2 2 3 3 2" xfId="21964"/>
    <cellStyle name="20% - Accent1 3 3 2 2 3 3 2 2" xfId="44823"/>
    <cellStyle name="20% - Accent1 3 3 2 2 3 3 3" xfId="32521"/>
    <cellStyle name="20% - Accent1 3 3 2 2 3 4" xfId="14934"/>
    <cellStyle name="20% - Accent1 3 3 2 2 3 4 2" xfId="37793"/>
    <cellStyle name="20% - Accent1 3 3 2 2 3 5" xfId="25491"/>
    <cellStyle name="20% - Accent1 3 3 2 2 4" xfId="4387"/>
    <cellStyle name="20% - Accent1 3 3 2 2 4 2" xfId="16691"/>
    <cellStyle name="20% - Accent1 3 3 2 2 4 2 2" xfId="39550"/>
    <cellStyle name="20% - Accent1 3 3 2 2 4 3" xfId="27248"/>
    <cellStyle name="20% - Accent1 3 3 2 2 5" xfId="7902"/>
    <cellStyle name="20% - Accent1 3 3 2 2 5 2" xfId="20206"/>
    <cellStyle name="20% - Accent1 3 3 2 2 5 2 2" xfId="43065"/>
    <cellStyle name="20% - Accent1 3 3 2 2 5 3" xfId="30763"/>
    <cellStyle name="20% - Accent1 3 3 2 2 6" xfId="11417"/>
    <cellStyle name="20% - Accent1 3 3 2 2 6 2" xfId="34277"/>
    <cellStyle name="20% - Accent1 3 3 2 2 7" xfId="13176"/>
    <cellStyle name="20% - Accent1 3 3 2 2 7 2" xfId="36035"/>
    <cellStyle name="20% - Accent1 3 3 2 2 8" xfId="23732"/>
    <cellStyle name="20% - Accent1 3 3 2 3" xfId="1308"/>
    <cellStyle name="20% - Accent1 3 3 2 3 2" xfId="3069"/>
    <cellStyle name="20% - Accent1 3 3 2 3 2 2" xfId="6584"/>
    <cellStyle name="20% - Accent1 3 3 2 3 2 2 2" xfId="18888"/>
    <cellStyle name="20% - Accent1 3 3 2 3 2 2 2 2" xfId="41747"/>
    <cellStyle name="20% - Accent1 3 3 2 3 2 2 3" xfId="29445"/>
    <cellStyle name="20% - Accent1 3 3 2 3 2 3" xfId="10099"/>
    <cellStyle name="20% - Accent1 3 3 2 3 2 3 2" xfId="22403"/>
    <cellStyle name="20% - Accent1 3 3 2 3 2 3 2 2" xfId="45262"/>
    <cellStyle name="20% - Accent1 3 3 2 3 2 3 3" xfId="32960"/>
    <cellStyle name="20% - Accent1 3 3 2 3 2 4" xfId="15373"/>
    <cellStyle name="20% - Accent1 3 3 2 3 2 4 2" xfId="38232"/>
    <cellStyle name="20% - Accent1 3 3 2 3 2 5" xfId="25930"/>
    <cellStyle name="20% - Accent1 3 3 2 3 3" xfId="4826"/>
    <cellStyle name="20% - Accent1 3 3 2 3 3 2" xfId="17130"/>
    <cellStyle name="20% - Accent1 3 3 2 3 3 2 2" xfId="39989"/>
    <cellStyle name="20% - Accent1 3 3 2 3 3 3" xfId="27687"/>
    <cellStyle name="20% - Accent1 3 3 2 3 4" xfId="8341"/>
    <cellStyle name="20% - Accent1 3 3 2 3 4 2" xfId="20645"/>
    <cellStyle name="20% - Accent1 3 3 2 3 4 2 2" xfId="43504"/>
    <cellStyle name="20% - Accent1 3 3 2 3 4 3" xfId="31202"/>
    <cellStyle name="20% - Accent1 3 3 2 3 5" xfId="11856"/>
    <cellStyle name="20% - Accent1 3 3 2 3 5 2" xfId="34716"/>
    <cellStyle name="20% - Accent1 3 3 2 3 6" xfId="13615"/>
    <cellStyle name="20% - Accent1 3 3 2 3 6 2" xfId="36474"/>
    <cellStyle name="20% - Accent1 3 3 2 3 7" xfId="24171"/>
    <cellStyle name="20% - Accent1 3 3 2 4" xfId="2191"/>
    <cellStyle name="20% - Accent1 3 3 2 4 2" xfId="5706"/>
    <cellStyle name="20% - Accent1 3 3 2 4 2 2" xfId="18010"/>
    <cellStyle name="20% - Accent1 3 3 2 4 2 2 2" xfId="40869"/>
    <cellStyle name="20% - Accent1 3 3 2 4 2 3" xfId="28567"/>
    <cellStyle name="20% - Accent1 3 3 2 4 3" xfId="9221"/>
    <cellStyle name="20% - Accent1 3 3 2 4 3 2" xfId="21525"/>
    <cellStyle name="20% - Accent1 3 3 2 4 3 2 2" xfId="44384"/>
    <cellStyle name="20% - Accent1 3 3 2 4 3 3" xfId="32082"/>
    <cellStyle name="20% - Accent1 3 3 2 4 4" xfId="14495"/>
    <cellStyle name="20% - Accent1 3 3 2 4 4 2" xfId="37354"/>
    <cellStyle name="20% - Accent1 3 3 2 4 5" xfId="25052"/>
    <cellStyle name="20% - Accent1 3 3 2 5" xfId="3948"/>
    <cellStyle name="20% - Accent1 3 3 2 5 2" xfId="16252"/>
    <cellStyle name="20% - Accent1 3 3 2 5 2 2" xfId="39111"/>
    <cellStyle name="20% - Accent1 3 3 2 5 3" xfId="26809"/>
    <cellStyle name="20% - Accent1 3 3 2 6" xfId="7463"/>
    <cellStyle name="20% - Accent1 3 3 2 6 2" xfId="19767"/>
    <cellStyle name="20% - Accent1 3 3 2 6 2 2" xfId="42626"/>
    <cellStyle name="20% - Accent1 3 3 2 6 3" xfId="30324"/>
    <cellStyle name="20% - Accent1 3 3 2 7" xfId="10978"/>
    <cellStyle name="20% - Accent1 3 3 2 7 2" xfId="33838"/>
    <cellStyle name="20% - Accent1 3 3 2 8" xfId="12737"/>
    <cellStyle name="20% - Accent1 3 3 2 8 2" xfId="35596"/>
    <cellStyle name="20% - Accent1 3 3 2 9" xfId="23292"/>
    <cellStyle name="20% - Accent1 3 3 3" xfId="656"/>
    <cellStyle name="20% - Accent1 3 3 3 2" xfId="1535"/>
    <cellStyle name="20% - Accent1 3 3 3 2 2" xfId="3296"/>
    <cellStyle name="20% - Accent1 3 3 3 2 2 2" xfId="6811"/>
    <cellStyle name="20% - Accent1 3 3 3 2 2 2 2" xfId="19115"/>
    <cellStyle name="20% - Accent1 3 3 3 2 2 2 2 2" xfId="41974"/>
    <cellStyle name="20% - Accent1 3 3 3 2 2 2 3" xfId="29672"/>
    <cellStyle name="20% - Accent1 3 3 3 2 2 3" xfId="10326"/>
    <cellStyle name="20% - Accent1 3 3 3 2 2 3 2" xfId="22630"/>
    <cellStyle name="20% - Accent1 3 3 3 2 2 3 2 2" xfId="45489"/>
    <cellStyle name="20% - Accent1 3 3 3 2 2 3 3" xfId="33187"/>
    <cellStyle name="20% - Accent1 3 3 3 2 2 4" xfId="15600"/>
    <cellStyle name="20% - Accent1 3 3 3 2 2 4 2" xfId="38459"/>
    <cellStyle name="20% - Accent1 3 3 3 2 2 5" xfId="26157"/>
    <cellStyle name="20% - Accent1 3 3 3 2 3" xfId="5053"/>
    <cellStyle name="20% - Accent1 3 3 3 2 3 2" xfId="17357"/>
    <cellStyle name="20% - Accent1 3 3 3 2 3 2 2" xfId="40216"/>
    <cellStyle name="20% - Accent1 3 3 3 2 3 3" xfId="27914"/>
    <cellStyle name="20% - Accent1 3 3 3 2 4" xfId="8568"/>
    <cellStyle name="20% - Accent1 3 3 3 2 4 2" xfId="20872"/>
    <cellStyle name="20% - Accent1 3 3 3 2 4 2 2" xfId="43731"/>
    <cellStyle name="20% - Accent1 3 3 3 2 4 3" xfId="31429"/>
    <cellStyle name="20% - Accent1 3 3 3 2 5" xfId="12083"/>
    <cellStyle name="20% - Accent1 3 3 3 2 5 2" xfId="34943"/>
    <cellStyle name="20% - Accent1 3 3 3 2 6" xfId="13842"/>
    <cellStyle name="20% - Accent1 3 3 3 2 6 2" xfId="36701"/>
    <cellStyle name="20% - Accent1 3 3 3 2 7" xfId="24398"/>
    <cellStyle name="20% - Accent1 3 3 3 3" xfId="2418"/>
    <cellStyle name="20% - Accent1 3 3 3 3 2" xfId="5933"/>
    <cellStyle name="20% - Accent1 3 3 3 3 2 2" xfId="18237"/>
    <cellStyle name="20% - Accent1 3 3 3 3 2 2 2" xfId="41096"/>
    <cellStyle name="20% - Accent1 3 3 3 3 2 3" xfId="28794"/>
    <cellStyle name="20% - Accent1 3 3 3 3 3" xfId="9448"/>
    <cellStyle name="20% - Accent1 3 3 3 3 3 2" xfId="21752"/>
    <cellStyle name="20% - Accent1 3 3 3 3 3 2 2" xfId="44611"/>
    <cellStyle name="20% - Accent1 3 3 3 3 3 3" xfId="32309"/>
    <cellStyle name="20% - Accent1 3 3 3 3 4" xfId="14722"/>
    <cellStyle name="20% - Accent1 3 3 3 3 4 2" xfId="37581"/>
    <cellStyle name="20% - Accent1 3 3 3 3 5" xfId="25279"/>
    <cellStyle name="20% - Accent1 3 3 3 4" xfId="4175"/>
    <cellStyle name="20% - Accent1 3 3 3 4 2" xfId="16479"/>
    <cellStyle name="20% - Accent1 3 3 3 4 2 2" xfId="39338"/>
    <cellStyle name="20% - Accent1 3 3 3 4 3" xfId="27036"/>
    <cellStyle name="20% - Accent1 3 3 3 5" xfId="7690"/>
    <cellStyle name="20% - Accent1 3 3 3 5 2" xfId="19994"/>
    <cellStyle name="20% - Accent1 3 3 3 5 2 2" xfId="42853"/>
    <cellStyle name="20% - Accent1 3 3 3 5 3" xfId="30551"/>
    <cellStyle name="20% - Accent1 3 3 3 6" xfId="11205"/>
    <cellStyle name="20% - Accent1 3 3 3 6 2" xfId="34065"/>
    <cellStyle name="20% - Accent1 3 3 3 7" xfId="12964"/>
    <cellStyle name="20% - Accent1 3 3 3 7 2" xfId="35823"/>
    <cellStyle name="20% - Accent1 3 3 3 8" xfId="23520"/>
    <cellStyle name="20% - Accent1 3 3 4" xfId="1096"/>
    <cellStyle name="20% - Accent1 3 3 4 2" xfId="2857"/>
    <cellStyle name="20% - Accent1 3 3 4 2 2" xfId="6372"/>
    <cellStyle name="20% - Accent1 3 3 4 2 2 2" xfId="18676"/>
    <cellStyle name="20% - Accent1 3 3 4 2 2 2 2" xfId="41535"/>
    <cellStyle name="20% - Accent1 3 3 4 2 2 3" xfId="29233"/>
    <cellStyle name="20% - Accent1 3 3 4 2 3" xfId="9887"/>
    <cellStyle name="20% - Accent1 3 3 4 2 3 2" xfId="22191"/>
    <cellStyle name="20% - Accent1 3 3 4 2 3 2 2" xfId="45050"/>
    <cellStyle name="20% - Accent1 3 3 4 2 3 3" xfId="32748"/>
    <cellStyle name="20% - Accent1 3 3 4 2 4" xfId="15161"/>
    <cellStyle name="20% - Accent1 3 3 4 2 4 2" xfId="38020"/>
    <cellStyle name="20% - Accent1 3 3 4 2 5" xfId="25718"/>
    <cellStyle name="20% - Accent1 3 3 4 3" xfId="4614"/>
    <cellStyle name="20% - Accent1 3 3 4 3 2" xfId="16918"/>
    <cellStyle name="20% - Accent1 3 3 4 3 2 2" xfId="39777"/>
    <cellStyle name="20% - Accent1 3 3 4 3 3" xfId="27475"/>
    <cellStyle name="20% - Accent1 3 3 4 4" xfId="8129"/>
    <cellStyle name="20% - Accent1 3 3 4 4 2" xfId="20433"/>
    <cellStyle name="20% - Accent1 3 3 4 4 2 2" xfId="43292"/>
    <cellStyle name="20% - Accent1 3 3 4 4 3" xfId="30990"/>
    <cellStyle name="20% - Accent1 3 3 4 5" xfId="11644"/>
    <cellStyle name="20% - Accent1 3 3 4 5 2" xfId="34504"/>
    <cellStyle name="20% - Accent1 3 3 4 6" xfId="13403"/>
    <cellStyle name="20% - Accent1 3 3 4 6 2" xfId="36262"/>
    <cellStyle name="20% - Accent1 3 3 4 7" xfId="23959"/>
    <cellStyle name="20% - Accent1 3 3 5" xfId="1979"/>
    <cellStyle name="20% - Accent1 3 3 5 2" xfId="5494"/>
    <cellStyle name="20% - Accent1 3 3 5 2 2" xfId="17798"/>
    <cellStyle name="20% - Accent1 3 3 5 2 2 2" xfId="40657"/>
    <cellStyle name="20% - Accent1 3 3 5 2 3" xfId="28355"/>
    <cellStyle name="20% - Accent1 3 3 5 3" xfId="9009"/>
    <cellStyle name="20% - Accent1 3 3 5 3 2" xfId="21313"/>
    <cellStyle name="20% - Accent1 3 3 5 3 2 2" xfId="44172"/>
    <cellStyle name="20% - Accent1 3 3 5 3 3" xfId="31870"/>
    <cellStyle name="20% - Accent1 3 3 5 4" xfId="14283"/>
    <cellStyle name="20% - Accent1 3 3 5 4 2" xfId="37142"/>
    <cellStyle name="20% - Accent1 3 3 5 5" xfId="24840"/>
    <cellStyle name="20% - Accent1 3 3 6" xfId="3736"/>
    <cellStyle name="20% - Accent1 3 3 6 2" xfId="16040"/>
    <cellStyle name="20% - Accent1 3 3 6 2 2" xfId="38899"/>
    <cellStyle name="20% - Accent1 3 3 6 3" xfId="26597"/>
    <cellStyle name="20% - Accent1 3 3 7" xfId="7251"/>
    <cellStyle name="20% - Accent1 3 3 7 2" xfId="19555"/>
    <cellStyle name="20% - Accent1 3 3 7 2 2" xfId="42414"/>
    <cellStyle name="20% - Accent1 3 3 7 3" xfId="30112"/>
    <cellStyle name="20% - Accent1 3 3 8" xfId="10766"/>
    <cellStyle name="20% - Accent1 3 3 8 2" xfId="33626"/>
    <cellStyle name="20% - Accent1 3 3 9" xfId="12525"/>
    <cellStyle name="20% - Accent1 3 3 9 2" xfId="35384"/>
    <cellStyle name="20% - Accent1 3 4" xfId="321"/>
    <cellStyle name="20% - Accent1 3 4 2" xfId="762"/>
    <cellStyle name="20% - Accent1 3 4 2 2" xfId="1641"/>
    <cellStyle name="20% - Accent1 3 4 2 2 2" xfId="3402"/>
    <cellStyle name="20% - Accent1 3 4 2 2 2 2" xfId="6917"/>
    <cellStyle name="20% - Accent1 3 4 2 2 2 2 2" xfId="19221"/>
    <cellStyle name="20% - Accent1 3 4 2 2 2 2 2 2" xfId="42080"/>
    <cellStyle name="20% - Accent1 3 4 2 2 2 2 3" xfId="29778"/>
    <cellStyle name="20% - Accent1 3 4 2 2 2 3" xfId="10432"/>
    <cellStyle name="20% - Accent1 3 4 2 2 2 3 2" xfId="22736"/>
    <cellStyle name="20% - Accent1 3 4 2 2 2 3 2 2" xfId="45595"/>
    <cellStyle name="20% - Accent1 3 4 2 2 2 3 3" xfId="33293"/>
    <cellStyle name="20% - Accent1 3 4 2 2 2 4" xfId="15706"/>
    <cellStyle name="20% - Accent1 3 4 2 2 2 4 2" xfId="38565"/>
    <cellStyle name="20% - Accent1 3 4 2 2 2 5" xfId="26263"/>
    <cellStyle name="20% - Accent1 3 4 2 2 3" xfId="5159"/>
    <cellStyle name="20% - Accent1 3 4 2 2 3 2" xfId="17463"/>
    <cellStyle name="20% - Accent1 3 4 2 2 3 2 2" xfId="40322"/>
    <cellStyle name="20% - Accent1 3 4 2 2 3 3" xfId="28020"/>
    <cellStyle name="20% - Accent1 3 4 2 2 4" xfId="8674"/>
    <cellStyle name="20% - Accent1 3 4 2 2 4 2" xfId="20978"/>
    <cellStyle name="20% - Accent1 3 4 2 2 4 2 2" xfId="43837"/>
    <cellStyle name="20% - Accent1 3 4 2 2 4 3" xfId="31535"/>
    <cellStyle name="20% - Accent1 3 4 2 2 5" xfId="12189"/>
    <cellStyle name="20% - Accent1 3 4 2 2 5 2" xfId="35049"/>
    <cellStyle name="20% - Accent1 3 4 2 2 6" xfId="13948"/>
    <cellStyle name="20% - Accent1 3 4 2 2 6 2" xfId="36807"/>
    <cellStyle name="20% - Accent1 3 4 2 2 7" xfId="24504"/>
    <cellStyle name="20% - Accent1 3 4 2 3" xfId="2524"/>
    <cellStyle name="20% - Accent1 3 4 2 3 2" xfId="6039"/>
    <cellStyle name="20% - Accent1 3 4 2 3 2 2" xfId="18343"/>
    <cellStyle name="20% - Accent1 3 4 2 3 2 2 2" xfId="41202"/>
    <cellStyle name="20% - Accent1 3 4 2 3 2 3" xfId="28900"/>
    <cellStyle name="20% - Accent1 3 4 2 3 3" xfId="9554"/>
    <cellStyle name="20% - Accent1 3 4 2 3 3 2" xfId="21858"/>
    <cellStyle name="20% - Accent1 3 4 2 3 3 2 2" xfId="44717"/>
    <cellStyle name="20% - Accent1 3 4 2 3 3 3" xfId="32415"/>
    <cellStyle name="20% - Accent1 3 4 2 3 4" xfId="14828"/>
    <cellStyle name="20% - Accent1 3 4 2 3 4 2" xfId="37687"/>
    <cellStyle name="20% - Accent1 3 4 2 3 5" xfId="25385"/>
    <cellStyle name="20% - Accent1 3 4 2 4" xfId="4281"/>
    <cellStyle name="20% - Accent1 3 4 2 4 2" xfId="16585"/>
    <cellStyle name="20% - Accent1 3 4 2 4 2 2" xfId="39444"/>
    <cellStyle name="20% - Accent1 3 4 2 4 3" xfId="27142"/>
    <cellStyle name="20% - Accent1 3 4 2 5" xfId="7796"/>
    <cellStyle name="20% - Accent1 3 4 2 5 2" xfId="20100"/>
    <cellStyle name="20% - Accent1 3 4 2 5 2 2" xfId="42959"/>
    <cellStyle name="20% - Accent1 3 4 2 5 3" xfId="30657"/>
    <cellStyle name="20% - Accent1 3 4 2 6" xfId="11311"/>
    <cellStyle name="20% - Accent1 3 4 2 6 2" xfId="34171"/>
    <cellStyle name="20% - Accent1 3 4 2 7" xfId="13070"/>
    <cellStyle name="20% - Accent1 3 4 2 7 2" xfId="35929"/>
    <cellStyle name="20% - Accent1 3 4 2 8" xfId="23626"/>
    <cellStyle name="20% - Accent1 3 4 3" xfId="1202"/>
    <cellStyle name="20% - Accent1 3 4 3 2" xfId="2963"/>
    <cellStyle name="20% - Accent1 3 4 3 2 2" xfId="6478"/>
    <cellStyle name="20% - Accent1 3 4 3 2 2 2" xfId="18782"/>
    <cellStyle name="20% - Accent1 3 4 3 2 2 2 2" xfId="41641"/>
    <cellStyle name="20% - Accent1 3 4 3 2 2 3" xfId="29339"/>
    <cellStyle name="20% - Accent1 3 4 3 2 3" xfId="9993"/>
    <cellStyle name="20% - Accent1 3 4 3 2 3 2" xfId="22297"/>
    <cellStyle name="20% - Accent1 3 4 3 2 3 2 2" xfId="45156"/>
    <cellStyle name="20% - Accent1 3 4 3 2 3 3" xfId="32854"/>
    <cellStyle name="20% - Accent1 3 4 3 2 4" xfId="15267"/>
    <cellStyle name="20% - Accent1 3 4 3 2 4 2" xfId="38126"/>
    <cellStyle name="20% - Accent1 3 4 3 2 5" xfId="25824"/>
    <cellStyle name="20% - Accent1 3 4 3 3" xfId="4720"/>
    <cellStyle name="20% - Accent1 3 4 3 3 2" xfId="17024"/>
    <cellStyle name="20% - Accent1 3 4 3 3 2 2" xfId="39883"/>
    <cellStyle name="20% - Accent1 3 4 3 3 3" xfId="27581"/>
    <cellStyle name="20% - Accent1 3 4 3 4" xfId="8235"/>
    <cellStyle name="20% - Accent1 3 4 3 4 2" xfId="20539"/>
    <cellStyle name="20% - Accent1 3 4 3 4 2 2" xfId="43398"/>
    <cellStyle name="20% - Accent1 3 4 3 4 3" xfId="31096"/>
    <cellStyle name="20% - Accent1 3 4 3 5" xfId="11750"/>
    <cellStyle name="20% - Accent1 3 4 3 5 2" xfId="34610"/>
    <cellStyle name="20% - Accent1 3 4 3 6" xfId="13509"/>
    <cellStyle name="20% - Accent1 3 4 3 6 2" xfId="36368"/>
    <cellStyle name="20% - Accent1 3 4 3 7" xfId="24065"/>
    <cellStyle name="20% - Accent1 3 4 4" xfId="2085"/>
    <cellStyle name="20% - Accent1 3 4 4 2" xfId="5600"/>
    <cellStyle name="20% - Accent1 3 4 4 2 2" xfId="17904"/>
    <cellStyle name="20% - Accent1 3 4 4 2 2 2" xfId="40763"/>
    <cellStyle name="20% - Accent1 3 4 4 2 3" xfId="28461"/>
    <cellStyle name="20% - Accent1 3 4 4 3" xfId="9115"/>
    <cellStyle name="20% - Accent1 3 4 4 3 2" xfId="21419"/>
    <cellStyle name="20% - Accent1 3 4 4 3 2 2" xfId="44278"/>
    <cellStyle name="20% - Accent1 3 4 4 3 3" xfId="31976"/>
    <cellStyle name="20% - Accent1 3 4 4 4" xfId="14389"/>
    <cellStyle name="20% - Accent1 3 4 4 4 2" xfId="37248"/>
    <cellStyle name="20% - Accent1 3 4 4 5" xfId="24946"/>
    <cellStyle name="20% - Accent1 3 4 5" xfId="3842"/>
    <cellStyle name="20% - Accent1 3 4 5 2" xfId="16146"/>
    <cellStyle name="20% - Accent1 3 4 5 2 2" xfId="39005"/>
    <cellStyle name="20% - Accent1 3 4 5 3" xfId="26703"/>
    <cellStyle name="20% - Accent1 3 4 6" xfId="7357"/>
    <cellStyle name="20% - Accent1 3 4 6 2" xfId="19661"/>
    <cellStyle name="20% - Accent1 3 4 6 2 2" xfId="42520"/>
    <cellStyle name="20% - Accent1 3 4 6 3" xfId="30218"/>
    <cellStyle name="20% - Accent1 3 4 7" xfId="10872"/>
    <cellStyle name="20% - Accent1 3 4 7 2" xfId="33732"/>
    <cellStyle name="20% - Accent1 3 4 8" xfId="12631"/>
    <cellStyle name="20% - Accent1 3 4 8 2" xfId="35490"/>
    <cellStyle name="20% - Accent1 3 4 9" xfId="23186"/>
    <cellStyle name="20% - Accent1 3 5" xfId="550"/>
    <cellStyle name="20% - Accent1 3 5 2" xfId="1429"/>
    <cellStyle name="20% - Accent1 3 5 2 2" xfId="3190"/>
    <cellStyle name="20% - Accent1 3 5 2 2 2" xfId="6705"/>
    <cellStyle name="20% - Accent1 3 5 2 2 2 2" xfId="19009"/>
    <cellStyle name="20% - Accent1 3 5 2 2 2 2 2" xfId="41868"/>
    <cellStyle name="20% - Accent1 3 5 2 2 2 3" xfId="29566"/>
    <cellStyle name="20% - Accent1 3 5 2 2 3" xfId="10220"/>
    <cellStyle name="20% - Accent1 3 5 2 2 3 2" xfId="22524"/>
    <cellStyle name="20% - Accent1 3 5 2 2 3 2 2" xfId="45383"/>
    <cellStyle name="20% - Accent1 3 5 2 2 3 3" xfId="33081"/>
    <cellStyle name="20% - Accent1 3 5 2 2 4" xfId="15494"/>
    <cellStyle name="20% - Accent1 3 5 2 2 4 2" xfId="38353"/>
    <cellStyle name="20% - Accent1 3 5 2 2 5" xfId="26051"/>
    <cellStyle name="20% - Accent1 3 5 2 3" xfId="4947"/>
    <cellStyle name="20% - Accent1 3 5 2 3 2" xfId="17251"/>
    <cellStyle name="20% - Accent1 3 5 2 3 2 2" xfId="40110"/>
    <cellStyle name="20% - Accent1 3 5 2 3 3" xfId="27808"/>
    <cellStyle name="20% - Accent1 3 5 2 4" xfId="8462"/>
    <cellStyle name="20% - Accent1 3 5 2 4 2" xfId="20766"/>
    <cellStyle name="20% - Accent1 3 5 2 4 2 2" xfId="43625"/>
    <cellStyle name="20% - Accent1 3 5 2 4 3" xfId="31323"/>
    <cellStyle name="20% - Accent1 3 5 2 5" xfId="11977"/>
    <cellStyle name="20% - Accent1 3 5 2 5 2" xfId="34837"/>
    <cellStyle name="20% - Accent1 3 5 2 6" xfId="13736"/>
    <cellStyle name="20% - Accent1 3 5 2 6 2" xfId="36595"/>
    <cellStyle name="20% - Accent1 3 5 2 7" xfId="24292"/>
    <cellStyle name="20% - Accent1 3 5 3" xfId="2312"/>
    <cellStyle name="20% - Accent1 3 5 3 2" xfId="5827"/>
    <cellStyle name="20% - Accent1 3 5 3 2 2" xfId="18131"/>
    <cellStyle name="20% - Accent1 3 5 3 2 2 2" xfId="40990"/>
    <cellStyle name="20% - Accent1 3 5 3 2 3" xfId="28688"/>
    <cellStyle name="20% - Accent1 3 5 3 3" xfId="9342"/>
    <cellStyle name="20% - Accent1 3 5 3 3 2" xfId="21646"/>
    <cellStyle name="20% - Accent1 3 5 3 3 2 2" xfId="44505"/>
    <cellStyle name="20% - Accent1 3 5 3 3 3" xfId="32203"/>
    <cellStyle name="20% - Accent1 3 5 3 4" xfId="14616"/>
    <cellStyle name="20% - Accent1 3 5 3 4 2" xfId="37475"/>
    <cellStyle name="20% - Accent1 3 5 3 5" xfId="25173"/>
    <cellStyle name="20% - Accent1 3 5 4" xfId="4069"/>
    <cellStyle name="20% - Accent1 3 5 4 2" xfId="16373"/>
    <cellStyle name="20% - Accent1 3 5 4 2 2" xfId="39232"/>
    <cellStyle name="20% - Accent1 3 5 4 3" xfId="26930"/>
    <cellStyle name="20% - Accent1 3 5 5" xfId="7584"/>
    <cellStyle name="20% - Accent1 3 5 5 2" xfId="19888"/>
    <cellStyle name="20% - Accent1 3 5 5 2 2" xfId="42747"/>
    <cellStyle name="20% - Accent1 3 5 5 3" xfId="30445"/>
    <cellStyle name="20% - Accent1 3 5 6" xfId="11099"/>
    <cellStyle name="20% - Accent1 3 5 6 2" xfId="33959"/>
    <cellStyle name="20% - Accent1 3 5 7" xfId="12858"/>
    <cellStyle name="20% - Accent1 3 5 7 2" xfId="35717"/>
    <cellStyle name="20% - Accent1 3 5 8" xfId="23414"/>
    <cellStyle name="20% - Accent1 3 6" xfId="990"/>
    <cellStyle name="20% - Accent1 3 6 2" xfId="2751"/>
    <cellStyle name="20% - Accent1 3 6 2 2" xfId="6266"/>
    <cellStyle name="20% - Accent1 3 6 2 2 2" xfId="18570"/>
    <cellStyle name="20% - Accent1 3 6 2 2 2 2" xfId="41429"/>
    <cellStyle name="20% - Accent1 3 6 2 2 3" xfId="29127"/>
    <cellStyle name="20% - Accent1 3 6 2 3" xfId="9781"/>
    <cellStyle name="20% - Accent1 3 6 2 3 2" xfId="22085"/>
    <cellStyle name="20% - Accent1 3 6 2 3 2 2" xfId="44944"/>
    <cellStyle name="20% - Accent1 3 6 2 3 3" xfId="32642"/>
    <cellStyle name="20% - Accent1 3 6 2 4" xfId="15055"/>
    <cellStyle name="20% - Accent1 3 6 2 4 2" xfId="37914"/>
    <cellStyle name="20% - Accent1 3 6 2 5" xfId="25612"/>
    <cellStyle name="20% - Accent1 3 6 3" xfId="4508"/>
    <cellStyle name="20% - Accent1 3 6 3 2" xfId="16812"/>
    <cellStyle name="20% - Accent1 3 6 3 2 2" xfId="39671"/>
    <cellStyle name="20% - Accent1 3 6 3 3" xfId="27369"/>
    <cellStyle name="20% - Accent1 3 6 4" xfId="8023"/>
    <cellStyle name="20% - Accent1 3 6 4 2" xfId="20327"/>
    <cellStyle name="20% - Accent1 3 6 4 2 2" xfId="43186"/>
    <cellStyle name="20% - Accent1 3 6 4 3" xfId="30884"/>
    <cellStyle name="20% - Accent1 3 6 5" xfId="11538"/>
    <cellStyle name="20% - Accent1 3 6 5 2" xfId="34398"/>
    <cellStyle name="20% - Accent1 3 6 6" xfId="13297"/>
    <cellStyle name="20% - Accent1 3 6 6 2" xfId="36156"/>
    <cellStyle name="20% - Accent1 3 6 7" xfId="23853"/>
    <cellStyle name="20% - Accent1 3 7" xfId="1873"/>
    <cellStyle name="20% - Accent1 3 7 2" xfId="5388"/>
    <cellStyle name="20% - Accent1 3 7 2 2" xfId="17692"/>
    <cellStyle name="20% - Accent1 3 7 2 2 2" xfId="40551"/>
    <cellStyle name="20% - Accent1 3 7 2 3" xfId="28249"/>
    <cellStyle name="20% - Accent1 3 7 3" xfId="8903"/>
    <cellStyle name="20% - Accent1 3 7 3 2" xfId="21207"/>
    <cellStyle name="20% - Accent1 3 7 3 2 2" xfId="44066"/>
    <cellStyle name="20% - Accent1 3 7 3 3" xfId="31764"/>
    <cellStyle name="20% - Accent1 3 7 4" xfId="14177"/>
    <cellStyle name="20% - Accent1 3 7 4 2" xfId="37036"/>
    <cellStyle name="20% - Accent1 3 7 5" xfId="24734"/>
    <cellStyle name="20% - Accent1 3 8" xfId="3630"/>
    <cellStyle name="20% - Accent1 3 8 2" xfId="15934"/>
    <cellStyle name="20% - Accent1 3 8 2 2" xfId="38793"/>
    <cellStyle name="20% - Accent1 3 8 3" xfId="26491"/>
    <cellStyle name="20% - Accent1 3 9" xfId="7145"/>
    <cellStyle name="20% - Accent1 3 9 2" xfId="19449"/>
    <cellStyle name="20% - Accent1 3 9 2 2" xfId="42308"/>
    <cellStyle name="20% - Accent1 3 9 3" xfId="30006"/>
    <cellStyle name="20% - Accent1 4" xfId="136"/>
    <cellStyle name="20% - Accent1 4 10" xfId="12448"/>
    <cellStyle name="20% - Accent1 4 10 2" xfId="35307"/>
    <cellStyle name="20% - Accent1 4 11" xfId="23002"/>
    <cellStyle name="20% - Accent1 4 2" xfId="244"/>
    <cellStyle name="20% - Accent1 4 2 10" xfId="23109"/>
    <cellStyle name="20% - Accent1 4 2 2" xfId="456"/>
    <cellStyle name="20% - Accent1 4 2 2 2" xfId="897"/>
    <cellStyle name="20% - Accent1 4 2 2 2 2" xfId="1776"/>
    <cellStyle name="20% - Accent1 4 2 2 2 2 2" xfId="3537"/>
    <cellStyle name="20% - Accent1 4 2 2 2 2 2 2" xfId="7052"/>
    <cellStyle name="20% - Accent1 4 2 2 2 2 2 2 2" xfId="19356"/>
    <cellStyle name="20% - Accent1 4 2 2 2 2 2 2 2 2" xfId="42215"/>
    <cellStyle name="20% - Accent1 4 2 2 2 2 2 2 3" xfId="29913"/>
    <cellStyle name="20% - Accent1 4 2 2 2 2 2 3" xfId="10567"/>
    <cellStyle name="20% - Accent1 4 2 2 2 2 2 3 2" xfId="22871"/>
    <cellStyle name="20% - Accent1 4 2 2 2 2 2 3 2 2" xfId="45730"/>
    <cellStyle name="20% - Accent1 4 2 2 2 2 2 3 3" xfId="33428"/>
    <cellStyle name="20% - Accent1 4 2 2 2 2 2 4" xfId="15841"/>
    <cellStyle name="20% - Accent1 4 2 2 2 2 2 4 2" xfId="38700"/>
    <cellStyle name="20% - Accent1 4 2 2 2 2 2 5" xfId="26398"/>
    <cellStyle name="20% - Accent1 4 2 2 2 2 3" xfId="5294"/>
    <cellStyle name="20% - Accent1 4 2 2 2 2 3 2" xfId="17598"/>
    <cellStyle name="20% - Accent1 4 2 2 2 2 3 2 2" xfId="40457"/>
    <cellStyle name="20% - Accent1 4 2 2 2 2 3 3" xfId="28155"/>
    <cellStyle name="20% - Accent1 4 2 2 2 2 4" xfId="8809"/>
    <cellStyle name="20% - Accent1 4 2 2 2 2 4 2" xfId="21113"/>
    <cellStyle name="20% - Accent1 4 2 2 2 2 4 2 2" xfId="43972"/>
    <cellStyle name="20% - Accent1 4 2 2 2 2 4 3" xfId="31670"/>
    <cellStyle name="20% - Accent1 4 2 2 2 2 5" xfId="12324"/>
    <cellStyle name="20% - Accent1 4 2 2 2 2 5 2" xfId="35184"/>
    <cellStyle name="20% - Accent1 4 2 2 2 2 6" xfId="14083"/>
    <cellStyle name="20% - Accent1 4 2 2 2 2 6 2" xfId="36942"/>
    <cellStyle name="20% - Accent1 4 2 2 2 2 7" xfId="24639"/>
    <cellStyle name="20% - Accent1 4 2 2 2 3" xfId="2659"/>
    <cellStyle name="20% - Accent1 4 2 2 2 3 2" xfId="6174"/>
    <cellStyle name="20% - Accent1 4 2 2 2 3 2 2" xfId="18478"/>
    <cellStyle name="20% - Accent1 4 2 2 2 3 2 2 2" xfId="41337"/>
    <cellStyle name="20% - Accent1 4 2 2 2 3 2 3" xfId="29035"/>
    <cellStyle name="20% - Accent1 4 2 2 2 3 3" xfId="9689"/>
    <cellStyle name="20% - Accent1 4 2 2 2 3 3 2" xfId="21993"/>
    <cellStyle name="20% - Accent1 4 2 2 2 3 3 2 2" xfId="44852"/>
    <cellStyle name="20% - Accent1 4 2 2 2 3 3 3" xfId="32550"/>
    <cellStyle name="20% - Accent1 4 2 2 2 3 4" xfId="14963"/>
    <cellStyle name="20% - Accent1 4 2 2 2 3 4 2" xfId="37822"/>
    <cellStyle name="20% - Accent1 4 2 2 2 3 5" xfId="25520"/>
    <cellStyle name="20% - Accent1 4 2 2 2 4" xfId="4416"/>
    <cellStyle name="20% - Accent1 4 2 2 2 4 2" xfId="16720"/>
    <cellStyle name="20% - Accent1 4 2 2 2 4 2 2" xfId="39579"/>
    <cellStyle name="20% - Accent1 4 2 2 2 4 3" xfId="27277"/>
    <cellStyle name="20% - Accent1 4 2 2 2 5" xfId="7931"/>
    <cellStyle name="20% - Accent1 4 2 2 2 5 2" xfId="20235"/>
    <cellStyle name="20% - Accent1 4 2 2 2 5 2 2" xfId="43094"/>
    <cellStyle name="20% - Accent1 4 2 2 2 5 3" xfId="30792"/>
    <cellStyle name="20% - Accent1 4 2 2 2 6" xfId="11446"/>
    <cellStyle name="20% - Accent1 4 2 2 2 6 2" xfId="34306"/>
    <cellStyle name="20% - Accent1 4 2 2 2 7" xfId="13205"/>
    <cellStyle name="20% - Accent1 4 2 2 2 7 2" xfId="36064"/>
    <cellStyle name="20% - Accent1 4 2 2 2 8" xfId="23761"/>
    <cellStyle name="20% - Accent1 4 2 2 3" xfId="1337"/>
    <cellStyle name="20% - Accent1 4 2 2 3 2" xfId="3098"/>
    <cellStyle name="20% - Accent1 4 2 2 3 2 2" xfId="6613"/>
    <cellStyle name="20% - Accent1 4 2 2 3 2 2 2" xfId="18917"/>
    <cellStyle name="20% - Accent1 4 2 2 3 2 2 2 2" xfId="41776"/>
    <cellStyle name="20% - Accent1 4 2 2 3 2 2 3" xfId="29474"/>
    <cellStyle name="20% - Accent1 4 2 2 3 2 3" xfId="10128"/>
    <cellStyle name="20% - Accent1 4 2 2 3 2 3 2" xfId="22432"/>
    <cellStyle name="20% - Accent1 4 2 2 3 2 3 2 2" xfId="45291"/>
    <cellStyle name="20% - Accent1 4 2 2 3 2 3 3" xfId="32989"/>
    <cellStyle name="20% - Accent1 4 2 2 3 2 4" xfId="15402"/>
    <cellStyle name="20% - Accent1 4 2 2 3 2 4 2" xfId="38261"/>
    <cellStyle name="20% - Accent1 4 2 2 3 2 5" xfId="25959"/>
    <cellStyle name="20% - Accent1 4 2 2 3 3" xfId="4855"/>
    <cellStyle name="20% - Accent1 4 2 2 3 3 2" xfId="17159"/>
    <cellStyle name="20% - Accent1 4 2 2 3 3 2 2" xfId="40018"/>
    <cellStyle name="20% - Accent1 4 2 2 3 3 3" xfId="27716"/>
    <cellStyle name="20% - Accent1 4 2 2 3 4" xfId="8370"/>
    <cellStyle name="20% - Accent1 4 2 2 3 4 2" xfId="20674"/>
    <cellStyle name="20% - Accent1 4 2 2 3 4 2 2" xfId="43533"/>
    <cellStyle name="20% - Accent1 4 2 2 3 4 3" xfId="31231"/>
    <cellStyle name="20% - Accent1 4 2 2 3 5" xfId="11885"/>
    <cellStyle name="20% - Accent1 4 2 2 3 5 2" xfId="34745"/>
    <cellStyle name="20% - Accent1 4 2 2 3 6" xfId="13644"/>
    <cellStyle name="20% - Accent1 4 2 2 3 6 2" xfId="36503"/>
    <cellStyle name="20% - Accent1 4 2 2 3 7" xfId="24200"/>
    <cellStyle name="20% - Accent1 4 2 2 4" xfId="2220"/>
    <cellStyle name="20% - Accent1 4 2 2 4 2" xfId="5735"/>
    <cellStyle name="20% - Accent1 4 2 2 4 2 2" xfId="18039"/>
    <cellStyle name="20% - Accent1 4 2 2 4 2 2 2" xfId="40898"/>
    <cellStyle name="20% - Accent1 4 2 2 4 2 3" xfId="28596"/>
    <cellStyle name="20% - Accent1 4 2 2 4 3" xfId="9250"/>
    <cellStyle name="20% - Accent1 4 2 2 4 3 2" xfId="21554"/>
    <cellStyle name="20% - Accent1 4 2 2 4 3 2 2" xfId="44413"/>
    <cellStyle name="20% - Accent1 4 2 2 4 3 3" xfId="32111"/>
    <cellStyle name="20% - Accent1 4 2 2 4 4" xfId="14524"/>
    <cellStyle name="20% - Accent1 4 2 2 4 4 2" xfId="37383"/>
    <cellStyle name="20% - Accent1 4 2 2 4 5" xfId="25081"/>
    <cellStyle name="20% - Accent1 4 2 2 5" xfId="3977"/>
    <cellStyle name="20% - Accent1 4 2 2 5 2" xfId="16281"/>
    <cellStyle name="20% - Accent1 4 2 2 5 2 2" xfId="39140"/>
    <cellStyle name="20% - Accent1 4 2 2 5 3" xfId="26838"/>
    <cellStyle name="20% - Accent1 4 2 2 6" xfId="7492"/>
    <cellStyle name="20% - Accent1 4 2 2 6 2" xfId="19796"/>
    <cellStyle name="20% - Accent1 4 2 2 6 2 2" xfId="42655"/>
    <cellStyle name="20% - Accent1 4 2 2 6 3" xfId="30353"/>
    <cellStyle name="20% - Accent1 4 2 2 7" xfId="11007"/>
    <cellStyle name="20% - Accent1 4 2 2 7 2" xfId="33867"/>
    <cellStyle name="20% - Accent1 4 2 2 8" xfId="12766"/>
    <cellStyle name="20% - Accent1 4 2 2 8 2" xfId="35625"/>
    <cellStyle name="20% - Accent1 4 2 2 9" xfId="23321"/>
    <cellStyle name="20% - Accent1 4 2 3" xfId="685"/>
    <cellStyle name="20% - Accent1 4 2 3 2" xfId="1564"/>
    <cellStyle name="20% - Accent1 4 2 3 2 2" xfId="3325"/>
    <cellStyle name="20% - Accent1 4 2 3 2 2 2" xfId="6840"/>
    <cellStyle name="20% - Accent1 4 2 3 2 2 2 2" xfId="19144"/>
    <cellStyle name="20% - Accent1 4 2 3 2 2 2 2 2" xfId="42003"/>
    <cellStyle name="20% - Accent1 4 2 3 2 2 2 3" xfId="29701"/>
    <cellStyle name="20% - Accent1 4 2 3 2 2 3" xfId="10355"/>
    <cellStyle name="20% - Accent1 4 2 3 2 2 3 2" xfId="22659"/>
    <cellStyle name="20% - Accent1 4 2 3 2 2 3 2 2" xfId="45518"/>
    <cellStyle name="20% - Accent1 4 2 3 2 2 3 3" xfId="33216"/>
    <cellStyle name="20% - Accent1 4 2 3 2 2 4" xfId="15629"/>
    <cellStyle name="20% - Accent1 4 2 3 2 2 4 2" xfId="38488"/>
    <cellStyle name="20% - Accent1 4 2 3 2 2 5" xfId="26186"/>
    <cellStyle name="20% - Accent1 4 2 3 2 3" xfId="5082"/>
    <cellStyle name="20% - Accent1 4 2 3 2 3 2" xfId="17386"/>
    <cellStyle name="20% - Accent1 4 2 3 2 3 2 2" xfId="40245"/>
    <cellStyle name="20% - Accent1 4 2 3 2 3 3" xfId="27943"/>
    <cellStyle name="20% - Accent1 4 2 3 2 4" xfId="8597"/>
    <cellStyle name="20% - Accent1 4 2 3 2 4 2" xfId="20901"/>
    <cellStyle name="20% - Accent1 4 2 3 2 4 2 2" xfId="43760"/>
    <cellStyle name="20% - Accent1 4 2 3 2 4 3" xfId="31458"/>
    <cellStyle name="20% - Accent1 4 2 3 2 5" xfId="12112"/>
    <cellStyle name="20% - Accent1 4 2 3 2 5 2" xfId="34972"/>
    <cellStyle name="20% - Accent1 4 2 3 2 6" xfId="13871"/>
    <cellStyle name="20% - Accent1 4 2 3 2 6 2" xfId="36730"/>
    <cellStyle name="20% - Accent1 4 2 3 2 7" xfId="24427"/>
    <cellStyle name="20% - Accent1 4 2 3 3" xfId="2447"/>
    <cellStyle name="20% - Accent1 4 2 3 3 2" xfId="5962"/>
    <cellStyle name="20% - Accent1 4 2 3 3 2 2" xfId="18266"/>
    <cellStyle name="20% - Accent1 4 2 3 3 2 2 2" xfId="41125"/>
    <cellStyle name="20% - Accent1 4 2 3 3 2 3" xfId="28823"/>
    <cellStyle name="20% - Accent1 4 2 3 3 3" xfId="9477"/>
    <cellStyle name="20% - Accent1 4 2 3 3 3 2" xfId="21781"/>
    <cellStyle name="20% - Accent1 4 2 3 3 3 2 2" xfId="44640"/>
    <cellStyle name="20% - Accent1 4 2 3 3 3 3" xfId="32338"/>
    <cellStyle name="20% - Accent1 4 2 3 3 4" xfId="14751"/>
    <cellStyle name="20% - Accent1 4 2 3 3 4 2" xfId="37610"/>
    <cellStyle name="20% - Accent1 4 2 3 3 5" xfId="25308"/>
    <cellStyle name="20% - Accent1 4 2 3 4" xfId="4204"/>
    <cellStyle name="20% - Accent1 4 2 3 4 2" xfId="16508"/>
    <cellStyle name="20% - Accent1 4 2 3 4 2 2" xfId="39367"/>
    <cellStyle name="20% - Accent1 4 2 3 4 3" xfId="27065"/>
    <cellStyle name="20% - Accent1 4 2 3 5" xfId="7719"/>
    <cellStyle name="20% - Accent1 4 2 3 5 2" xfId="20023"/>
    <cellStyle name="20% - Accent1 4 2 3 5 2 2" xfId="42882"/>
    <cellStyle name="20% - Accent1 4 2 3 5 3" xfId="30580"/>
    <cellStyle name="20% - Accent1 4 2 3 6" xfId="11234"/>
    <cellStyle name="20% - Accent1 4 2 3 6 2" xfId="34094"/>
    <cellStyle name="20% - Accent1 4 2 3 7" xfId="12993"/>
    <cellStyle name="20% - Accent1 4 2 3 7 2" xfId="35852"/>
    <cellStyle name="20% - Accent1 4 2 3 8" xfId="23549"/>
    <cellStyle name="20% - Accent1 4 2 4" xfId="1125"/>
    <cellStyle name="20% - Accent1 4 2 4 2" xfId="2886"/>
    <cellStyle name="20% - Accent1 4 2 4 2 2" xfId="6401"/>
    <cellStyle name="20% - Accent1 4 2 4 2 2 2" xfId="18705"/>
    <cellStyle name="20% - Accent1 4 2 4 2 2 2 2" xfId="41564"/>
    <cellStyle name="20% - Accent1 4 2 4 2 2 3" xfId="29262"/>
    <cellStyle name="20% - Accent1 4 2 4 2 3" xfId="9916"/>
    <cellStyle name="20% - Accent1 4 2 4 2 3 2" xfId="22220"/>
    <cellStyle name="20% - Accent1 4 2 4 2 3 2 2" xfId="45079"/>
    <cellStyle name="20% - Accent1 4 2 4 2 3 3" xfId="32777"/>
    <cellStyle name="20% - Accent1 4 2 4 2 4" xfId="15190"/>
    <cellStyle name="20% - Accent1 4 2 4 2 4 2" xfId="38049"/>
    <cellStyle name="20% - Accent1 4 2 4 2 5" xfId="25747"/>
    <cellStyle name="20% - Accent1 4 2 4 3" xfId="4643"/>
    <cellStyle name="20% - Accent1 4 2 4 3 2" xfId="16947"/>
    <cellStyle name="20% - Accent1 4 2 4 3 2 2" xfId="39806"/>
    <cellStyle name="20% - Accent1 4 2 4 3 3" xfId="27504"/>
    <cellStyle name="20% - Accent1 4 2 4 4" xfId="8158"/>
    <cellStyle name="20% - Accent1 4 2 4 4 2" xfId="20462"/>
    <cellStyle name="20% - Accent1 4 2 4 4 2 2" xfId="43321"/>
    <cellStyle name="20% - Accent1 4 2 4 4 3" xfId="31019"/>
    <cellStyle name="20% - Accent1 4 2 4 5" xfId="11673"/>
    <cellStyle name="20% - Accent1 4 2 4 5 2" xfId="34533"/>
    <cellStyle name="20% - Accent1 4 2 4 6" xfId="13432"/>
    <cellStyle name="20% - Accent1 4 2 4 6 2" xfId="36291"/>
    <cellStyle name="20% - Accent1 4 2 4 7" xfId="23988"/>
    <cellStyle name="20% - Accent1 4 2 5" xfId="2008"/>
    <cellStyle name="20% - Accent1 4 2 5 2" xfId="5523"/>
    <cellStyle name="20% - Accent1 4 2 5 2 2" xfId="17827"/>
    <cellStyle name="20% - Accent1 4 2 5 2 2 2" xfId="40686"/>
    <cellStyle name="20% - Accent1 4 2 5 2 3" xfId="28384"/>
    <cellStyle name="20% - Accent1 4 2 5 3" xfId="9038"/>
    <cellStyle name="20% - Accent1 4 2 5 3 2" xfId="21342"/>
    <cellStyle name="20% - Accent1 4 2 5 3 2 2" xfId="44201"/>
    <cellStyle name="20% - Accent1 4 2 5 3 3" xfId="31899"/>
    <cellStyle name="20% - Accent1 4 2 5 4" xfId="14312"/>
    <cellStyle name="20% - Accent1 4 2 5 4 2" xfId="37171"/>
    <cellStyle name="20% - Accent1 4 2 5 5" xfId="24869"/>
    <cellStyle name="20% - Accent1 4 2 6" xfId="3765"/>
    <cellStyle name="20% - Accent1 4 2 6 2" xfId="16069"/>
    <cellStyle name="20% - Accent1 4 2 6 2 2" xfId="38928"/>
    <cellStyle name="20% - Accent1 4 2 6 3" xfId="26626"/>
    <cellStyle name="20% - Accent1 4 2 7" xfId="7280"/>
    <cellStyle name="20% - Accent1 4 2 7 2" xfId="19584"/>
    <cellStyle name="20% - Accent1 4 2 7 2 2" xfId="42443"/>
    <cellStyle name="20% - Accent1 4 2 7 3" xfId="30141"/>
    <cellStyle name="20% - Accent1 4 2 8" xfId="10795"/>
    <cellStyle name="20% - Accent1 4 2 8 2" xfId="33655"/>
    <cellStyle name="20% - Accent1 4 2 9" xfId="12554"/>
    <cellStyle name="20% - Accent1 4 2 9 2" xfId="35413"/>
    <cellStyle name="20% - Accent1 4 3" xfId="350"/>
    <cellStyle name="20% - Accent1 4 3 2" xfId="791"/>
    <cellStyle name="20% - Accent1 4 3 2 2" xfId="1670"/>
    <cellStyle name="20% - Accent1 4 3 2 2 2" xfId="3431"/>
    <cellStyle name="20% - Accent1 4 3 2 2 2 2" xfId="6946"/>
    <cellStyle name="20% - Accent1 4 3 2 2 2 2 2" xfId="19250"/>
    <cellStyle name="20% - Accent1 4 3 2 2 2 2 2 2" xfId="42109"/>
    <cellStyle name="20% - Accent1 4 3 2 2 2 2 3" xfId="29807"/>
    <cellStyle name="20% - Accent1 4 3 2 2 2 3" xfId="10461"/>
    <cellStyle name="20% - Accent1 4 3 2 2 2 3 2" xfId="22765"/>
    <cellStyle name="20% - Accent1 4 3 2 2 2 3 2 2" xfId="45624"/>
    <cellStyle name="20% - Accent1 4 3 2 2 2 3 3" xfId="33322"/>
    <cellStyle name="20% - Accent1 4 3 2 2 2 4" xfId="15735"/>
    <cellStyle name="20% - Accent1 4 3 2 2 2 4 2" xfId="38594"/>
    <cellStyle name="20% - Accent1 4 3 2 2 2 5" xfId="26292"/>
    <cellStyle name="20% - Accent1 4 3 2 2 3" xfId="5188"/>
    <cellStyle name="20% - Accent1 4 3 2 2 3 2" xfId="17492"/>
    <cellStyle name="20% - Accent1 4 3 2 2 3 2 2" xfId="40351"/>
    <cellStyle name="20% - Accent1 4 3 2 2 3 3" xfId="28049"/>
    <cellStyle name="20% - Accent1 4 3 2 2 4" xfId="8703"/>
    <cellStyle name="20% - Accent1 4 3 2 2 4 2" xfId="21007"/>
    <cellStyle name="20% - Accent1 4 3 2 2 4 2 2" xfId="43866"/>
    <cellStyle name="20% - Accent1 4 3 2 2 4 3" xfId="31564"/>
    <cellStyle name="20% - Accent1 4 3 2 2 5" xfId="12218"/>
    <cellStyle name="20% - Accent1 4 3 2 2 5 2" xfId="35078"/>
    <cellStyle name="20% - Accent1 4 3 2 2 6" xfId="13977"/>
    <cellStyle name="20% - Accent1 4 3 2 2 6 2" xfId="36836"/>
    <cellStyle name="20% - Accent1 4 3 2 2 7" xfId="24533"/>
    <cellStyle name="20% - Accent1 4 3 2 3" xfId="2553"/>
    <cellStyle name="20% - Accent1 4 3 2 3 2" xfId="6068"/>
    <cellStyle name="20% - Accent1 4 3 2 3 2 2" xfId="18372"/>
    <cellStyle name="20% - Accent1 4 3 2 3 2 2 2" xfId="41231"/>
    <cellStyle name="20% - Accent1 4 3 2 3 2 3" xfId="28929"/>
    <cellStyle name="20% - Accent1 4 3 2 3 3" xfId="9583"/>
    <cellStyle name="20% - Accent1 4 3 2 3 3 2" xfId="21887"/>
    <cellStyle name="20% - Accent1 4 3 2 3 3 2 2" xfId="44746"/>
    <cellStyle name="20% - Accent1 4 3 2 3 3 3" xfId="32444"/>
    <cellStyle name="20% - Accent1 4 3 2 3 4" xfId="14857"/>
    <cellStyle name="20% - Accent1 4 3 2 3 4 2" xfId="37716"/>
    <cellStyle name="20% - Accent1 4 3 2 3 5" xfId="25414"/>
    <cellStyle name="20% - Accent1 4 3 2 4" xfId="4310"/>
    <cellStyle name="20% - Accent1 4 3 2 4 2" xfId="16614"/>
    <cellStyle name="20% - Accent1 4 3 2 4 2 2" xfId="39473"/>
    <cellStyle name="20% - Accent1 4 3 2 4 3" xfId="27171"/>
    <cellStyle name="20% - Accent1 4 3 2 5" xfId="7825"/>
    <cellStyle name="20% - Accent1 4 3 2 5 2" xfId="20129"/>
    <cellStyle name="20% - Accent1 4 3 2 5 2 2" xfId="42988"/>
    <cellStyle name="20% - Accent1 4 3 2 5 3" xfId="30686"/>
    <cellStyle name="20% - Accent1 4 3 2 6" xfId="11340"/>
    <cellStyle name="20% - Accent1 4 3 2 6 2" xfId="34200"/>
    <cellStyle name="20% - Accent1 4 3 2 7" xfId="13099"/>
    <cellStyle name="20% - Accent1 4 3 2 7 2" xfId="35958"/>
    <cellStyle name="20% - Accent1 4 3 2 8" xfId="23655"/>
    <cellStyle name="20% - Accent1 4 3 3" xfId="1231"/>
    <cellStyle name="20% - Accent1 4 3 3 2" xfId="2992"/>
    <cellStyle name="20% - Accent1 4 3 3 2 2" xfId="6507"/>
    <cellStyle name="20% - Accent1 4 3 3 2 2 2" xfId="18811"/>
    <cellStyle name="20% - Accent1 4 3 3 2 2 2 2" xfId="41670"/>
    <cellStyle name="20% - Accent1 4 3 3 2 2 3" xfId="29368"/>
    <cellStyle name="20% - Accent1 4 3 3 2 3" xfId="10022"/>
    <cellStyle name="20% - Accent1 4 3 3 2 3 2" xfId="22326"/>
    <cellStyle name="20% - Accent1 4 3 3 2 3 2 2" xfId="45185"/>
    <cellStyle name="20% - Accent1 4 3 3 2 3 3" xfId="32883"/>
    <cellStyle name="20% - Accent1 4 3 3 2 4" xfId="15296"/>
    <cellStyle name="20% - Accent1 4 3 3 2 4 2" xfId="38155"/>
    <cellStyle name="20% - Accent1 4 3 3 2 5" xfId="25853"/>
    <cellStyle name="20% - Accent1 4 3 3 3" xfId="4749"/>
    <cellStyle name="20% - Accent1 4 3 3 3 2" xfId="17053"/>
    <cellStyle name="20% - Accent1 4 3 3 3 2 2" xfId="39912"/>
    <cellStyle name="20% - Accent1 4 3 3 3 3" xfId="27610"/>
    <cellStyle name="20% - Accent1 4 3 3 4" xfId="8264"/>
    <cellStyle name="20% - Accent1 4 3 3 4 2" xfId="20568"/>
    <cellStyle name="20% - Accent1 4 3 3 4 2 2" xfId="43427"/>
    <cellStyle name="20% - Accent1 4 3 3 4 3" xfId="31125"/>
    <cellStyle name="20% - Accent1 4 3 3 5" xfId="11779"/>
    <cellStyle name="20% - Accent1 4 3 3 5 2" xfId="34639"/>
    <cellStyle name="20% - Accent1 4 3 3 6" xfId="13538"/>
    <cellStyle name="20% - Accent1 4 3 3 6 2" xfId="36397"/>
    <cellStyle name="20% - Accent1 4 3 3 7" xfId="24094"/>
    <cellStyle name="20% - Accent1 4 3 4" xfId="2114"/>
    <cellStyle name="20% - Accent1 4 3 4 2" xfId="5629"/>
    <cellStyle name="20% - Accent1 4 3 4 2 2" xfId="17933"/>
    <cellStyle name="20% - Accent1 4 3 4 2 2 2" xfId="40792"/>
    <cellStyle name="20% - Accent1 4 3 4 2 3" xfId="28490"/>
    <cellStyle name="20% - Accent1 4 3 4 3" xfId="9144"/>
    <cellStyle name="20% - Accent1 4 3 4 3 2" xfId="21448"/>
    <cellStyle name="20% - Accent1 4 3 4 3 2 2" xfId="44307"/>
    <cellStyle name="20% - Accent1 4 3 4 3 3" xfId="32005"/>
    <cellStyle name="20% - Accent1 4 3 4 4" xfId="14418"/>
    <cellStyle name="20% - Accent1 4 3 4 4 2" xfId="37277"/>
    <cellStyle name="20% - Accent1 4 3 4 5" xfId="24975"/>
    <cellStyle name="20% - Accent1 4 3 5" xfId="3871"/>
    <cellStyle name="20% - Accent1 4 3 5 2" xfId="16175"/>
    <cellStyle name="20% - Accent1 4 3 5 2 2" xfId="39034"/>
    <cellStyle name="20% - Accent1 4 3 5 3" xfId="26732"/>
    <cellStyle name="20% - Accent1 4 3 6" xfId="7386"/>
    <cellStyle name="20% - Accent1 4 3 6 2" xfId="19690"/>
    <cellStyle name="20% - Accent1 4 3 6 2 2" xfId="42549"/>
    <cellStyle name="20% - Accent1 4 3 6 3" xfId="30247"/>
    <cellStyle name="20% - Accent1 4 3 7" xfId="10901"/>
    <cellStyle name="20% - Accent1 4 3 7 2" xfId="33761"/>
    <cellStyle name="20% - Accent1 4 3 8" xfId="12660"/>
    <cellStyle name="20% - Accent1 4 3 8 2" xfId="35519"/>
    <cellStyle name="20% - Accent1 4 3 9" xfId="23215"/>
    <cellStyle name="20% - Accent1 4 4" xfId="579"/>
    <cellStyle name="20% - Accent1 4 4 2" xfId="1458"/>
    <cellStyle name="20% - Accent1 4 4 2 2" xfId="3219"/>
    <cellStyle name="20% - Accent1 4 4 2 2 2" xfId="6734"/>
    <cellStyle name="20% - Accent1 4 4 2 2 2 2" xfId="19038"/>
    <cellStyle name="20% - Accent1 4 4 2 2 2 2 2" xfId="41897"/>
    <cellStyle name="20% - Accent1 4 4 2 2 2 3" xfId="29595"/>
    <cellStyle name="20% - Accent1 4 4 2 2 3" xfId="10249"/>
    <cellStyle name="20% - Accent1 4 4 2 2 3 2" xfId="22553"/>
    <cellStyle name="20% - Accent1 4 4 2 2 3 2 2" xfId="45412"/>
    <cellStyle name="20% - Accent1 4 4 2 2 3 3" xfId="33110"/>
    <cellStyle name="20% - Accent1 4 4 2 2 4" xfId="15523"/>
    <cellStyle name="20% - Accent1 4 4 2 2 4 2" xfId="38382"/>
    <cellStyle name="20% - Accent1 4 4 2 2 5" xfId="26080"/>
    <cellStyle name="20% - Accent1 4 4 2 3" xfId="4976"/>
    <cellStyle name="20% - Accent1 4 4 2 3 2" xfId="17280"/>
    <cellStyle name="20% - Accent1 4 4 2 3 2 2" xfId="40139"/>
    <cellStyle name="20% - Accent1 4 4 2 3 3" xfId="27837"/>
    <cellStyle name="20% - Accent1 4 4 2 4" xfId="8491"/>
    <cellStyle name="20% - Accent1 4 4 2 4 2" xfId="20795"/>
    <cellStyle name="20% - Accent1 4 4 2 4 2 2" xfId="43654"/>
    <cellStyle name="20% - Accent1 4 4 2 4 3" xfId="31352"/>
    <cellStyle name="20% - Accent1 4 4 2 5" xfId="12006"/>
    <cellStyle name="20% - Accent1 4 4 2 5 2" xfId="34866"/>
    <cellStyle name="20% - Accent1 4 4 2 6" xfId="13765"/>
    <cellStyle name="20% - Accent1 4 4 2 6 2" xfId="36624"/>
    <cellStyle name="20% - Accent1 4 4 2 7" xfId="24321"/>
    <cellStyle name="20% - Accent1 4 4 3" xfId="2341"/>
    <cellStyle name="20% - Accent1 4 4 3 2" xfId="5856"/>
    <cellStyle name="20% - Accent1 4 4 3 2 2" xfId="18160"/>
    <cellStyle name="20% - Accent1 4 4 3 2 2 2" xfId="41019"/>
    <cellStyle name="20% - Accent1 4 4 3 2 3" xfId="28717"/>
    <cellStyle name="20% - Accent1 4 4 3 3" xfId="9371"/>
    <cellStyle name="20% - Accent1 4 4 3 3 2" xfId="21675"/>
    <cellStyle name="20% - Accent1 4 4 3 3 2 2" xfId="44534"/>
    <cellStyle name="20% - Accent1 4 4 3 3 3" xfId="32232"/>
    <cellStyle name="20% - Accent1 4 4 3 4" xfId="14645"/>
    <cellStyle name="20% - Accent1 4 4 3 4 2" xfId="37504"/>
    <cellStyle name="20% - Accent1 4 4 3 5" xfId="25202"/>
    <cellStyle name="20% - Accent1 4 4 4" xfId="4098"/>
    <cellStyle name="20% - Accent1 4 4 4 2" xfId="16402"/>
    <cellStyle name="20% - Accent1 4 4 4 2 2" xfId="39261"/>
    <cellStyle name="20% - Accent1 4 4 4 3" xfId="26959"/>
    <cellStyle name="20% - Accent1 4 4 5" xfId="7613"/>
    <cellStyle name="20% - Accent1 4 4 5 2" xfId="19917"/>
    <cellStyle name="20% - Accent1 4 4 5 2 2" xfId="42776"/>
    <cellStyle name="20% - Accent1 4 4 5 3" xfId="30474"/>
    <cellStyle name="20% - Accent1 4 4 6" xfId="11128"/>
    <cellStyle name="20% - Accent1 4 4 6 2" xfId="33988"/>
    <cellStyle name="20% - Accent1 4 4 7" xfId="12887"/>
    <cellStyle name="20% - Accent1 4 4 7 2" xfId="35746"/>
    <cellStyle name="20% - Accent1 4 4 8" xfId="23443"/>
    <cellStyle name="20% - Accent1 4 5" xfId="1019"/>
    <cellStyle name="20% - Accent1 4 5 2" xfId="2780"/>
    <cellStyle name="20% - Accent1 4 5 2 2" xfId="6295"/>
    <cellStyle name="20% - Accent1 4 5 2 2 2" xfId="18599"/>
    <cellStyle name="20% - Accent1 4 5 2 2 2 2" xfId="41458"/>
    <cellStyle name="20% - Accent1 4 5 2 2 3" xfId="29156"/>
    <cellStyle name="20% - Accent1 4 5 2 3" xfId="9810"/>
    <cellStyle name="20% - Accent1 4 5 2 3 2" xfId="22114"/>
    <cellStyle name="20% - Accent1 4 5 2 3 2 2" xfId="44973"/>
    <cellStyle name="20% - Accent1 4 5 2 3 3" xfId="32671"/>
    <cellStyle name="20% - Accent1 4 5 2 4" xfId="15084"/>
    <cellStyle name="20% - Accent1 4 5 2 4 2" xfId="37943"/>
    <cellStyle name="20% - Accent1 4 5 2 5" xfId="25641"/>
    <cellStyle name="20% - Accent1 4 5 3" xfId="4537"/>
    <cellStyle name="20% - Accent1 4 5 3 2" xfId="16841"/>
    <cellStyle name="20% - Accent1 4 5 3 2 2" xfId="39700"/>
    <cellStyle name="20% - Accent1 4 5 3 3" xfId="27398"/>
    <cellStyle name="20% - Accent1 4 5 4" xfId="8052"/>
    <cellStyle name="20% - Accent1 4 5 4 2" xfId="20356"/>
    <cellStyle name="20% - Accent1 4 5 4 2 2" xfId="43215"/>
    <cellStyle name="20% - Accent1 4 5 4 3" xfId="30913"/>
    <cellStyle name="20% - Accent1 4 5 5" xfId="11567"/>
    <cellStyle name="20% - Accent1 4 5 5 2" xfId="34427"/>
    <cellStyle name="20% - Accent1 4 5 6" xfId="13326"/>
    <cellStyle name="20% - Accent1 4 5 6 2" xfId="36185"/>
    <cellStyle name="20% - Accent1 4 5 7" xfId="23882"/>
    <cellStyle name="20% - Accent1 4 6" xfId="1902"/>
    <cellStyle name="20% - Accent1 4 6 2" xfId="5417"/>
    <cellStyle name="20% - Accent1 4 6 2 2" xfId="17721"/>
    <cellStyle name="20% - Accent1 4 6 2 2 2" xfId="40580"/>
    <cellStyle name="20% - Accent1 4 6 2 3" xfId="28278"/>
    <cellStyle name="20% - Accent1 4 6 3" xfId="8932"/>
    <cellStyle name="20% - Accent1 4 6 3 2" xfId="21236"/>
    <cellStyle name="20% - Accent1 4 6 3 2 2" xfId="44095"/>
    <cellStyle name="20% - Accent1 4 6 3 3" xfId="31793"/>
    <cellStyle name="20% - Accent1 4 6 4" xfId="14206"/>
    <cellStyle name="20% - Accent1 4 6 4 2" xfId="37065"/>
    <cellStyle name="20% - Accent1 4 6 5" xfId="24763"/>
    <cellStyle name="20% - Accent1 4 7" xfId="3659"/>
    <cellStyle name="20% - Accent1 4 7 2" xfId="15963"/>
    <cellStyle name="20% - Accent1 4 7 2 2" xfId="38822"/>
    <cellStyle name="20% - Accent1 4 7 3" xfId="26520"/>
    <cellStyle name="20% - Accent1 4 8" xfId="7174"/>
    <cellStyle name="20% - Accent1 4 8 2" xfId="19478"/>
    <cellStyle name="20% - Accent1 4 8 2 2" xfId="42337"/>
    <cellStyle name="20% - Accent1 4 8 3" xfId="30035"/>
    <cellStyle name="20% - Accent1 4 9" xfId="10689"/>
    <cellStyle name="20% - Accent1 4 9 2" xfId="33549"/>
    <cellStyle name="20% - Accent1 5" xfId="196"/>
    <cellStyle name="20% - Accent1 5 10" xfId="23061"/>
    <cellStyle name="20% - Accent1 5 2" xfId="408"/>
    <cellStyle name="20% - Accent1 5 2 2" xfId="849"/>
    <cellStyle name="20% - Accent1 5 2 2 2" xfId="1728"/>
    <cellStyle name="20% - Accent1 5 2 2 2 2" xfId="3489"/>
    <cellStyle name="20% - Accent1 5 2 2 2 2 2" xfId="7004"/>
    <cellStyle name="20% - Accent1 5 2 2 2 2 2 2" xfId="19308"/>
    <cellStyle name="20% - Accent1 5 2 2 2 2 2 2 2" xfId="42167"/>
    <cellStyle name="20% - Accent1 5 2 2 2 2 2 3" xfId="29865"/>
    <cellStyle name="20% - Accent1 5 2 2 2 2 3" xfId="10519"/>
    <cellStyle name="20% - Accent1 5 2 2 2 2 3 2" xfId="22823"/>
    <cellStyle name="20% - Accent1 5 2 2 2 2 3 2 2" xfId="45682"/>
    <cellStyle name="20% - Accent1 5 2 2 2 2 3 3" xfId="33380"/>
    <cellStyle name="20% - Accent1 5 2 2 2 2 4" xfId="15793"/>
    <cellStyle name="20% - Accent1 5 2 2 2 2 4 2" xfId="38652"/>
    <cellStyle name="20% - Accent1 5 2 2 2 2 5" xfId="26350"/>
    <cellStyle name="20% - Accent1 5 2 2 2 3" xfId="5246"/>
    <cellStyle name="20% - Accent1 5 2 2 2 3 2" xfId="17550"/>
    <cellStyle name="20% - Accent1 5 2 2 2 3 2 2" xfId="40409"/>
    <cellStyle name="20% - Accent1 5 2 2 2 3 3" xfId="28107"/>
    <cellStyle name="20% - Accent1 5 2 2 2 4" xfId="8761"/>
    <cellStyle name="20% - Accent1 5 2 2 2 4 2" xfId="21065"/>
    <cellStyle name="20% - Accent1 5 2 2 2 4 2 2" xfId="43924"/>
    <cellStyle name="20% - Accent1 5 2 2 2 4 3" xfId="31622"/>
    <cellStyle name="20% - Accent1 5 2 2 2 5" xfId="12276"/>
    <cellStyle name="20% - Accent1 5 2 2 2 5 2" xfId="35136"/>
    <cellStyle name="20% - Accent1 5 2 2 2 6" xfId="14035"/>
    <cellStyle name="20% - Accent1 5 2 2 2 6 2" xfId="36894"/>
    <cellStyle name="20% - Accent1 5 2 2 2 7" xfId="24591"/>
    <cellStyle name="20% - Accent1 5 2 2 3" xfId="2611"/>
    <cellStyle name="20% - Accent1 5 2 2 3 2" xfId="6126"/>
    <cellStyle name="20% - Accent1 5 2 2 3 2 2" xfId="18430"/>
    <cellStyle name="20% - Accent1 5 2 2 3 2 2 2" xfId="41289"/>
    <cellStyle name="20% - Accent1 5 2 2 3 2 3" xfId="28987"/>
    <cellStyle name="20% - Accent1 5 2 2 3 3" xfId="9641"/>
    <cellStyle name="20% - Accent1 5 2 2 3 3 2" xfId="21945"/>
    <cellStyle name="20% - Accent1 5 2 2 3 3 2 2" xfId="44804"/>
    <cellStyle name="20% - Accent1 5 2 2 3 3 3" xfId="32502"/>
    <cellStyle name="20% - Accent1 5 2 2 3 4" xfId="14915"/>
    <cellStyle name="20% - Accent1 5 2 2 3 4 2" xfId="37774"/>
    <cellStyle name="20% - Accent1 5 2 2 3 5" xfId="25472"/>
    <cellStyle name="20% - Accent1 5 2 2 4" xfId="4368"/>
    <cellStyle name="20% - Accent1 5 2 2 4 2" xfId="16672"/>
    <cellStyle name="20% - Accent1 5 2 2 4 2 2" xfId="39531"/>
    <cellStyle name="20% - Accent1 5 2 2 4 3" xfId="27229"/>
    <cellStyle name="20% - Accent1 5 2 2 5" xfId="7883"/>
    <cellStyle name="20% - Accent1 5 2 2 5 2" xfId="20187"/>
    <cellStyle name="20% - Accent1 5 2 2 5 2 2" xfId="43046"/>
    <cellStyle name="20% - Accent1 5 2 2 5 3" xfId="30744"/>
    <cellStyle name="20% - Accent1 5 2 2 6" xfId="11398"/>
    <cellStyle name="20% - Accent1 5 2 2 6 2" xfId="34258"/>
    <cellStyle name="20% - Accent1 5 2 2 7" xfId="13157"/>
    <cellStyle name="20% - Accent1 5 2 2 7 2" xfId="36016"/>
    <cellStyle name="20% - Accent1 5 2 2 8" xfId="23713"/>
    <cellStyle name="20% - Accent1 5 2 3" xfId="1289"/>
    <cellStyle name="20% - Accent1 5 2 3 2" xfId="3050"/>
    <cellStyle name="20% - Accent1 5 2 3 2 2" xfId="6565"/>
    <cellStyle name="20% - Accent1 5 2 3 2 2 2" xfId="18869"/>
    <cellStyle name="20% - Accent1 5 2 3 2 2 2 2" xfId="41728"/>
    <cellStyle name="20% - Accent1 5 2 3 2 2 3" xfId="29426"/>
    <cellStyle name="20% - Accent1 5 2 3 2 3" xfId="10080"/>
    <cellStyle name="20% - Accent1 5 2 3 2 3 2" xfId="22384"/>
    <cellStyle name="20% - Accent1 5 2 3 2 3 2 2" xfId="45243"/>
    <cellStyle name="20% - Accent1 5 2 3 2 3 3" xfId="32941"/>
    <cellStyle name="20% - Accent1 5 2 3 2 4" xfId="15354"/>
    <cellStyle name="20% - Accent1 5 2 3 2 4 2" xfId="38213"/>
    <cellStyle name="20% - Accent1 5 2 3 2 5" xfId="25911"/>
    <cellStyle name="20% - Accent1 5 2 3 3" xfId="4807"/>
    <cellStyle name="20% - Accent1 5 2 3 3 2" xfId="17111"/>
    <cellStyle name="20% - Accent1 5 2 3 3 2 2" xfId="39970"/>
    <cellStyle name="20% - Accent1 5 2 3 3 3" xfId="27668"/>
    <cellStyle name="20% - Accent1 5 2 3 4" xfId="8322"/>
    <cellStyle name="20% - Accent1 5 2 3 4 2" xfId="20626"/>
    <cellStyle name="20% - Accent1 5 2 3 4 2 2" xfId="43485"/>
    <cellStyle name="20% - Accent1 5 2 3 4 3" xfId="31183"/>
    <cellStyle name="20% - Accent1 5 2 3 5" xfId="11837"/>
    <cellStyle name="20% - Accent1 5 2 3 5 2" xfId="34697"/>
    <cellStyle name="20% - Accent1 5 2 3 6" xfId="13596"/>
    <cellStyle name="20% - Accent1 5 2 3 6 2" xfId="36455"/>
    <cellStyle name="20% - Accent1 5 2 3 7" xfId="24152"/>
    <cellStyle name="20% - Accent1 5 2 4" xfId="2172"/>
    <cellStyle name="20% - Accent1 5 2 4 2" xfId="5687"/>
    <cellStyle name="20% - Accent1 5 2 4 2 2" xfId="17991"/>
    <cellStyle name="20% - Accent1 5 2 4 2 2 2" xfId="40850"/>
    <cellStyle name="20% - Accent1 5 2 4 2 3" xfId="28548"/>
    <cellStyle name="20% - Accent1 5 2 4 3" xfId="9202"/>
    <cellStyle name="20% - Accent1 5 2 4 3 2" xfId="21506"/>
    <cellStyle name="20% - Accent1 5 2 4 3 2 2" xfId="44365"/>
    <cellStyle name="20% - Accent1 5 2 4 3 3" xfId="32063"/>
    <cellStyle name="20% - Accent1 5 2 4 4" xfId="14476"/>
    <cellStyle name="20% - Accent1 5 2 4 4 2" xfId="37335"/>
    <cellStyle name="20% - Accent1 5 2 4 5" xfId="25033"/>
    <cellStyle name="20% - Accent1 5 2 5" xfId="3929"/>
    <cellStyle name="20% - Accent1 5 2 5 2" xfId="16233"/>
    <cellStyle name="20% - Accent1 5 2 5 2 2" xfId="39092"/>
    <cellStyle name="20% - Accent1 5 2 5 3" xfId="26790"/>
    <cellStyle name="20% - Accent1 5 2 6" xfId="7444"/>
    <cellStyle name="20% - Accent1 5 2 6 2" xfId="19748"/>
    <cellStyle name="20% - Accent1 5 2 6 2 2" xfId="42607"/>
    <cellStyle name="20% - Accent1 5 2 6 3" xfId="30305"/>
    <cellStyle name="20% - Accent1 5 2 7" xfId="10959"/>
    <cellStyle name="20% - Accent1 5 2 7 2" xfId="33819"/>
    <cellStyle name="20% - Accent1 5 2 8" xfId="12718"/>
    <cellStyle name="20% - Accent1 5 2 8 2" xfId="35577"/>
    <cellStyle name="20% - Accent1 5 2 9" xfId="23273"/>
    <cellStyle name="20% - Accent1 5 3" xfId="637"/>
    <cellStyle name="20% - Accent1 5 3 2" xfId="1516"/>
    <cellStyle name="20% - Accent1 5 3 2 2" xfId="3277"/>
    <cellStyle name="20% - Accent1 5 3 2 2 2" xfId="6792"/>
    <cellStyle name="20% - Accent1 5 3 2 2 2 2" xfId="19096"/>
    <cellStyle name="20% - Accent1 5 3 2 2 2 2 2" xfId="41955"/>
    <cellStyle name="20% - Accent1 5 3 2 2 2 3" xfId="29653"/>
    <cellStyle name="20% - Accent1 5 3 2 2 3" xfId="10307"/>
    <cellStyle name="20% - Accent1 5 3 2 2 3 2" xfId="22611"/>
    <cellStyle name="20% - Accent1 5 3 2 2 3 2 2" xfId="45470"/>
    <cellStyle name="20% - Accent1 5 3 2 2 3 3" xfId="33168"/>
    <cellStyle name="20% - Accent1 5 3 2 2 4" xfId="15581"/>
    <cellStyle name="20% - Accent1 5 3 2 2 4 2" xfId="38440"/>
    <cellStyle name="20% - Accent1 5 3 2 2 5" xfId="26138"/>
    <cellStyle name="20% - Accent1 5 3 2 3" xfId="5034"/>
    <cellStyle name="20% - Accent1 5 3 2 3 2" xfId="17338"/>
    <cellStyle name="20% - Accent1 5 3 2 3 2 2" xfId="40197"/>
    <cellStyle name="20% - Accent1 5 3 2 3 3" xfId="27895"/>
    <cellStyle name="20% - Accent1 5 3 2 4" xfId="8549"/>
    <cellStyle name="20% - Accent1 5 3 2 4 2" xfId="20853"/>
    <cellStyle name="20% - Accent1 5 3 2 4 2 2" xfId="43712"/>
    <cellStyle name="20% - Accent1 5 3 2 4 3" xfId="31410"/>
    <cellStyle name="20% - Accent1 5 3 2 5" xfId="12064"/>
    <cellStyle name="20% - Accent1 5 3 2 5 2" xfId="34924"/>
    <cellStyle name="20% - Accent1 5 3 2 6" xfId="13823"/>
    <cellStyle name="20% - Accent1 5 3 2 6 2" xfId="36682"/>
    <cellStyle name="20% - Accent1 5 3 2 7" xfId="24379"/>
    <cellStyle name="20% - Accent1 5 3 3" xfId="2399"/>
    <cellStyle name="20% - Accent1 5 3 3 2" xfId="5914"/>
    <cellStyle name="20% - Accent1 5 3 3 2 2" xfId="18218"/>
    <cellStyle name="20% - Accent1 5 3 3 2 2 2" xfId="41077"/>
    <cellStyle name="20% - Accent1 5 3 3 2 3" xfId="28775"/>
    <cellStyle name="20% - Accent1 5 3 3 3" xfId="9429"/>
    <cellStyle name="20% - Accent1 5 3 3 3 2" xfId="21733"/>
    <cellStyle name="20% - Accent1 5 3 3 3 2 2" xfId="44592"/>
    <cellStyle name="20% - Accent1 5 3 3 3 3" xfId="32290"/>
    <cellStyle name="20% - Accent1 5 3 3 4" xfId="14703"/>
    <cellStyle name="20% - Accent1 5 3 3 4 2" xfId="37562"/>
    <cellStyle name="20% - Accent1 5 3 3 5" xfId="25260"/>
    <cellStyle name="20% - Accent1 5 3 4" xfId="4156"/>
    <cellStyle name="20% - Accent1 5 3 4 2" xfId="16460"/>
    <cellStyle name="20% - Accent1 5 3 4 2 2" xfId="39319"/>
    <cellStyle name="20% - Accent1 5 3 4 3" xfId="27017"/>
    <cellStyle name="20% - Accent1 5 3 5" xfId="7671"/>
    <cellStyle name="20% - Accent1 5 3 5 2" xfId="19975"/>
    <cellStyle name="20% - Accent1 5 3 5 2 2" xfId="42834"/>
    <cellStyle name="20% - Accent1 5 3 5 3" xfId="30532"/>
    <cellStyle name="20% - Accent1 5 3 6" xfId="11186"/>
    <cellStyle name="20% - Accent1 5 3 6 2" xfId="34046"/>
    <cellStyle name="20% - Accent1 5 3 7" xfId="12945"/>
    <cellStyle name="20% - Accent1 5 3 7 2" xfId="35804"/>
    <cellStyle name="20% - Accent1 5 3 8" xfId="23501"/>
    <cellStyle name="20% - Accent1 5 4" xfId="1077"/>
    <cellStyle name="20% - Accent1 5 4 2" xfId="2838"/>
    <cellStyle name="20% - Accent1 5 4 2 2" xfId="6353"/>
    <cellStyle name="20% - Accent1 5 4 2 2 2" xfId="18657"/>
    <cellStyle name="20% - Accent1 5 4 2 2 2 2" xfId="41516"/>
    <cellStyle name="20% - Accent1 5 4 2 2 3" xfId="29214"/>
    <cellStyle name="20% - Accent1 5 4 2 3" xfId="9868"/>
    <cellStyle name="20% - Accent1 5 4 2 3 2" xfId="22172"/>
    <cellStyle name="20% - Accent1 5 4 2 3 2 2" xfId="45031"/>
    <cellStyle name="20% - Accent1 5 4 2 3 3" xfId="32729"/>
    <cellStyle name="20% - Accent1 5 4 2 4" xfId="15142"/>
    <cellStyle name="20% - Accent1 5 4 2 4 2" xfId="38001"/>
    <cellStyle name="20% - Accent1 5 4 2 5" xfId="25699"/>
    <cellStyle name="20% - Accent1 5 4 3" xfId="4595"/>
    <cellStyle name="20% - Accent1 5 4 3 2" xfId="16899"/>
    <cellStyle name="20% - Accent1 5 4 3 2 2" xfId="39758"/>
    <cellStyle name="20% - Accent1 5 4 3 3" xfId="27456"/>
    <cellStyle name="20% - Accent1 5 4 4" xfId="8110"/>
    <cellStyle name="20% - Accent1 5 4 4 2" xfId="20414"/>
    <cellStyle name="20% - Accent1 5 4 4 2 2" xfId="43273"/>
    <cellStyle name="20% - Accent1 5 4 4 3" xfId="30971"/>
    <cellStyle name="20% - Accent1 5 4 5" xfId="11625"/>
    <cellStyle name="20% - Accent1 5 4 5 2" xfId="34485"/>
    <cellStyle name="20% - Accent1 5 4 6" xfId="13384"/>
    <cellStyle name="20% - Accent1 5 4 6 2" xfId="36243"/>
    <cellStyle name="20% - Accent1 5 4 7" xfId="23940"/>
    <cellStyle name="20% - Accent1 5 5" xfId="1960"/>
    <cellStyle name="20% - Accent1 5 5 2" xfId="5475"/>
    <cellStyle name="20% - Accent1 5 5 2 2" xfId="17779"/>
    <cellStyle name="20% - Accent1 5 5 2 2 2" xfId="40638"/>
    <cellStyle name="20% - Accent1 5 5 2 3" xfId="28336"/>
    <cellStyle name="20% - Accent1 5 5 3" xfId="8990"/>
    <cellStyle name="20% - Accent1 5 5 3 2" xfId="21294"/>
    <cellStyle name="20% - Accent1 5 5 3 2 2" xfId="44153"/>
    <cellStyle name="20% - Accent1 5 5 3 3" xfId="31851"/>
    <cellStyle name="20% - Accent1 5 5 4" xfId="14264"/>
    <cellStyle name="20% - Accent1 5 5 4 2" xfId="37123"/>
    <cellStyle name="20% - Accent1 5 5 5" xfId="24821"/>
    <cellStyle name="20% - Accent1 5 6" xfId="3717"/>
    <cellStyle name="20% - Accent1 5 6 2" xfId="16021"/>
    <cellStyle name="20% - Accent1 5 6 2 2" xfId="38880"/>
    <cellStyle name="20% - Accent1 5 6 3" xfId="26578"/>
    <cellStyle name="20% - Accent1 5 7" xfId="7232"/>
    <cellStyle name="20% - Accent1 5 7 2" xfId="19536"/>
    <cellStyle name="20% - Accent1 5 7 2 2" xfId="42395"/>
    <cellStyle name="20% - Accent1 5 7 3" xfId="30093"/>
    <cellStyle name="20% - Accent1 5 8" xfId="10747"/>
    <cellStyle name="20% - Accent1 5 8 2" xfId="33607"/>
    <cellStyle name="20% - Accent1 5 9" xfId="12506"/>
    <cellStyle name="20% - Accent1 5 9 2" xfId="35365"/>
    <cellStyle name="20% - Accent1 6" xfId="302"/>
    <cellStyle name="20% - Accent1 6 2" xfId="743"/>
    <cellStyle name="20% - Accent1 6 2 2" xfId="1622"/>
    <cellStyle name="20% - Accent1 6 2 2 2" xfId="3383"/>
    <cellStyle name="20% - Accent1 6 2 2 2 2" xfId="6898"/>
    <cellStyle name="20% - Accent1 6 2 2 2 2 2" xfId="19202"/>
    <cellStyle name="20% - Accent1 6 2 2 2 2 2 2" xfId="42061"/>
    <cellStyle name="20% - Accent1 6 2 2 2 2 3" xfId="29759"/>
    <cellStyle name="20% - Accent1 6 2 2 2 3" xfId="10413"/>
    <cellStyle name="20% - Accent1 6 2 2 2 3 2" xfId="22717"/>
    <cellStyle name="20% - Accent1 6 2 2 2 3 2 2" xfId="45576"/>
    <cellStyle name="20% - Accent1 6 2 2 2 3 3" xfId="33274"/>
    <cellStyle name="20% - Accent1 6 2 2 2 4" xfId="15687"/>
    <cellStyle name="20% - Accent1 6 2 2 2 4 2" xfId="38546"/>
    <cellStyle name="20% - Accent1 6 2 2 2 5" xfId="26244"/>
    <cellStyle name="20% - Accent1 6 2 2 3" xfId="5140"/>
    <cellStyle name="20% - Accent1 6 2 2 3 2" xfId="17444"/>
    <cellStyle name="20% - Accent1 6 2 2 3 2 2" xfId="40303"/>
    <cellStyle name="20% - Accent1 6 2 2 3 3" xfId="28001"/>
    <cellStyle name="20% - Accent1 6 2 2 4" xfId="8655"/>
    <cellStyle name="20% - Accent1 6 2 2 4 2" xfId="20959"/>
    <cellStyle name="20% - Accent1 6 2 2 4 2 2" xfId="43818"/>
    <cellStyle name="20% - Accent1 6 2 2 4 3" xfId="31516"/>
    <cellStyle name="20% - Accent1 6 2 2 5" xfId="12170"/>
    <cellStyle name="20% - Accent1 6 2 2 5 2" xfId="35030"/>
    <cellStyle name="20% - Accent1 6 2 2 6" xfId="13929"/>
    <cellStyle name="20% - Accent1 6 2 2 6 2" xfId="36788"/>
    <cellStyle name="20% - Accent1 6 2 2 7" xfId="24485"/>
    <cellStyle name="20% - Accent1 6 2 3" xfId="2505"/>
    <cellStyle name="20% - Accent1 6 2 3 2" xfId="6020"/>
    <cellStyle name="20% - Accent1 6 2 3 2 2" xfId="18324"/>
    <cellStyle name="20% - Accent1 6 2 3 2 2 2" xfId="41183"/>
    <cellStyle name="20% - Accent1 6 2 3 2 3" xfId="28881"/>
    <cellStyle name="20% - Accent1 6 2 3 3" xfId="9535"/>
    <cellStyle name="20% - Accent1 6 2 3 3 2" xfId="21839"/>
    <cellStyle name="20% - Accent1 6 2 3 3 2 2" xfId="44698"/>
    <cellStyle name="20% - Accent1 6 2 3 3 3" xfId="32396"/>
    <cellStyle name="20% - Accent1 6 2 3 4" xfId="14809"/>
    <cellStyle name="20% - Accent1 6 2 3 4 2" xfId="37668"/>
    <cellStyle name="20% - Accent1 6 2 3 5" xfId="25366"/>
    <cellStyle name="20% - Accent1 6 2 4" xfId="4262"/>
    <cellStyle name="20% - Accent1 6 2 4 2" xfId="16566"/>
    <cellStyle name="20% - Accent1 6 2 4 2 2" xfId="39425"/>
    <cellStyle name="20% - Accent1 6 2 4 3" xfId="27123"/>
    <cellStyle name="20% - Accent1 6 2 5" xfId="7777"/>
    <cellStyle name="20% - Accent1 6 2 5 2" xfId="20081"/>
    <cellStyle name="20% - Accent1 6 2 5 2 2" xfId="42940"/>
    <cellStyle name="20% - Accent1 6 2 5 3" xfId="30638"/>
    <cellStyle name="20% - Accent1 6 2 6" xfId="11292"/>
    <cellStyle name="20% - Accent1 6 2 6 2" xfId="34152"/>
    <cellStyle name="20% - Accent1 6 2 7" xfId="13051"/>
    <cellStyle name="20% - Accent1 6 2 7 2" xfId="35910"/>
    <cellStyle name="20% - Accent1 6 2 8" xfId="23607"/>
    <cellStyle name="20% - Accent1 6 3" xfId="1183"/>
    <cellStyle name="20% - Accent1 6 3 2" xfId="2944"/>
    <cellStyle name="20% - Accent1 6 3 2 2" xfId="6459"/>
    <cellStyle name="20% - Accent1 6 3 2 2 2" xfId="18763"/>
    <cellStyle name="20% - Accent1 6 3 2 2 2 2" xfId="41622"/>
    <cellStyle name="20% - Accent1 6 3 2 2 3" xfId="29320"/>
    <cellStyle name="20% - Accent1 6 3 2 3" xfId="9974"/>
    <cellStyle name="20% - Accent1 6 3 2 3 2" xfId="22278"/>
    <cellStyle name="20% - Accent1 6 3 2 3 2 2" xfId="45137"/>
    <cellStyle name="20% - Accent1 6 3 2 3 3" xfId="32835"/>
    <cellStyle name="20% - Accent1 6 3 2 4" xfId="15248"/>
    <cellStyle name="20% - Accent1 6 3 2 4 2" xfId="38107"/>
    <cellStyle name="20% - Accent1 6 3 2 5" xfId="25805"/>
    <cellStyle name="20% - Accent1 6 3 3" xfId="4701"/>
    <cellStyle name="20% - Accent1 6 3 3 2" xfId="17005"/>
    <cellStyle name="20% - Accent1 6 3 3 2 2" xfId="39864"/>
    <cellStyle name="20% - Accent1 6 3 3 3" xfId="27562"/>
    <cellStyle name="20% - Accent1 6 3 4" xfId="8216"/>
    <cellStyle name="20% - Accent1 6 3 4 2" xfId="20520"/>
    <cellStyle name="20% - Accent1 6 3 4 2 2" xfId="43379"/>
    <cellStyle name="20% - Accent1 6 3 4 3" xfId="31077"/>
    <cellStyle name="20% - Accent1 6 3 5" xfId="11731"/>
    <cellStyle name="20% - Accent1 6 3 5 2" xfId="34591"/>
    <cellStyle name="20% - Accent1 6 3 6" xfId="13490"/>
    <cellStyle name="20% - Accent1 6 3 6 2" xfId="36349"/>
    <cellStyle name="20% - Accent1 6 3 7" xfId="24046"/>
    <cellStyle name="20% - Accent1 6 4" xfId="2066"/>
    <cellStyle name="20% - Accent1 6 4 2" xfId="5581"/>
    <cellStyle name="20% - Accent1 6 4 2 2" xfId="17885"/>
    <cellStyle name="20% - Accent1 6 4 2 2 2" xfId="40744"/>
    <cellStyle name="20% - Accent1 6 4 2 3" xfId="28442"/>
    <cellStyle name="20% - Accent1 6 4 3" xfId="9096"/>
    <cellStyle name="20% - Accent1 6 4 3 2" xfId="21400"/>
    <cellStyle name="20% - Accent1 6 4 3 2 2" xfId="44259"/>
    <cellStyle name="20% - Accent1 6 4 3 3" xfId="31957"/>
    <cellStyle name="20% - Accent1 6 4 4" xfId="14370"/>
    <cellStyle name="20% - Accent1 6 4 4 2" xfId="37229"/>
    <cellStyle name="20% - Accent1 6 4 5" xfId="24927"/>
    <cellStyle name="20% - Accent1 6 5" xfId="3823"/>
    <cellStyle name="20% - Accent1 6 5 2" xfId="16127"/>
    <cellStyle name="20% - Accent1 6 5 2 2" xfId="38986"/>
    <cellStyle name="20% - Accent1 6 5 3" xfId="26684"/>
    <cellStyle name="20% - Accent1 6 6" xfId="7338"/>
    <cellStyle name="20% - Accent1 6 6 2" xfId="19642"/>
    <cellStyle name="20% - Accent1 6 6 2 2" xfId="42501"/>
    <cellStyle name="20% - Accent1 6 6 3" xfId="30199"/>
    <cellStyle name="20% - Accent1 6 7" xfId="10853"/>
    <cellStyle name="20% - Accent1 6 7 2" xfId="33713"/>
    <cellStyle name="20% - Accent1 6 8" xfId="12612"/>
    <cellStyle name="20% - Accent1 6 8 2" xfId="35471"/>
    <cellStyle name="20% - Accent1 6 9" xfId="23167"/>
    <cellStyle name="20% - Accent1 7" xfId="509"/>
    <cellStyle name="20% - Accent1 7 2" xfId="950"/>
    <cellStyle name="20% - Accent1 7 2 2" xfId="1829"/>
    <cellStyle name="20% - Accent1 7 2 2 2" xfId="3590"/>
    <cellStyle name="20% - Accent1 7 2 2 2 2" xfId="7105"/>
    <cellStyle name="20% - Accent1 7 2 2 2 2 2" xfId="19409"/>
    <cellStyle name="20% - Accent1 7 2 2 2 2 2 2" xfId="42268"/>
    <cellStyle name="20% - Accent1 7 2 2 2 2 3" xfId="29966"/>
    <cellStyle name="20% - Accent1 7 2 2 2 3" xfId="10620"/>
    <cellStyle name="20% - Accent1 7 2 2 2 3 2" xfId="22924"/>
    <cellStyle name="20% - Accent1 7 2 2 2 3 2 2" xfId="45783"/>
    <cellStyle name="20% - Accent1 7 2 2 2 3 3" xfId="33481"/>
    <cellStyle name="20% - Accent1 7 2 2 2 4" xfId="15894"/>
    <cellStyle name="20% - Accent1 7 2 2 2 4 2" xfId="38753"/>
    <cellStyle name="20% - Accent1 7 2 2 2 5" xfId="26451"/>
    <cellStyle name="20% - Accent1 7 2 2 3" xfId="5347"/>
    <cellStyle name="20% - Accent1 7 2 2 3 2" xfId="17651"/>
    <cellStyle name="20% - Accent1 7 2 2 3 2 2" xfId="40510"/>
    <cellStyle name="20% - Accent1 7 2 2 3 3" xfId="28208"/>
    <cellStyle name="20% - Accent1 7 2 2 4" xfId="8862"/>
    <cellStyle name="20% - Accent1 7 2 2 4 2" xfId="21166"/>
    <cellStyle name="20% - Accent1 7 2 2 4 2 2" xfId="44025"/>
    <cellStyle name="20% - Accent1 7 2 2 4 3" xfId="31723"/>
    <cellStyle name="20% - Accent1 7 2 2 5" xfId="12377"/>
    <cellStyle name="20% - Accent1 7 2 2 5 2" xfId="35237"/>
    <cellStyle name="20% - Accent1 7 2 2 6" xfId="14136"/>
    <cellStyle name="20% - Accent1 7 2 2 6 2" xfId="36995"/>
    <cellStyle name="20% - Accent1 7 2 2 7" xfId="24692"/>
    <cellStyle name="20% - Accent1 7 2 3" xfId="2712"/>
    <cellStyle name="20% - Accent1 7 2 3 2" xfId="6227"/>
    <cellStyle name="20% - Accent1 7 2 3 2 2" xfId="18531"/>
    <cellStyle name="20% - Accent1 7 2 3 2 2 2" xfId="41390"/>
    <cellStyle name="20% - Accent1 7 2 3 2 3" xfId="29088"/>
    <cellStyle name="20% - Accent1 7 2 3 3" xfId="9742"/>
    <cellStyle name="20% - Accent1 7 2 3 3 2" xfId="22046"/>
    <cellStyle name="20% - Accent1 7 2 3 3 2 2" xfId="44905"/>
    <cellStyle name="20% - Accent1 7 2 3 3 3" xfId="32603"/>
    <cellStyle name="20% - Accent1 7 2 3 4" xfId="15016"/>
    <cellStyle name="20% - Accent1 7 2 3 4 2" xfId="37875"/>
    <cellStyle name="20% - Accent1 7 2 3 5" xfId="25573"/>
    <cellStyle name="20% - Accent1 7 2 4" xfId="4469"/>
    <cellStyle name="20% - Accent1 7 2 4 2" xfId="16773"/>
    <cellStyle name="20% - Accent1 7 2 4 2 2" xfId="39632"/>
    <cellStyle name="20% - Accent1 7 2 4 3" xfId="27330"/>
    <cellStyle name="20% - Accent1 7 2 5" xfId="7984"/>
    <cellStyle name="20% - Accent1 7 2 5 2" xfId="20288"/>
    <cellStyle name="20% - Accent1 7 2 5 2 2" xfId="43147"/>
    <cellStyle name="20% - Accent1 7 2 5 3" xfId="30845"/>
    <cellStyle name="20% - Accent1 7 2 6" xfId="11499"/>
    <cellStyle name="20% - Accent1 7 2 6 2" xfId="34359"/>
    <cellStyle name="20% - Accent1 7 2 7" xfId="13258"/>
    <cellStyle name="20% - Accent1 7 2 7 2" xfId="36117"/>
    <cellStyle name="20% - Accent1 7 2 8" xfId="23814"/>
    <cellStyle name="20% - Accent1 7 3" xfId="1390"/>
    <cellStyle name="20% - Accent1 7 3 2" xfId="3151"/>
    <cellStyle name="20% - Accent1 7 3 2 2" xfId="6666"/>
    <cellStyle name="20% - Accent1 7 3 2 2 2" xfId="18970"/>
    <cellStyle name="20% - Accent1 7 3 2 2 2 2" xfId="41829"/>
    <cellStyle name="20% - Accent1 7 3 2 2 3" xfId="29527"/>
    <cellStyle name="20% - Accent1 7 3 2 3" xfId="10181"/>
    <cellStyle name="20% - Accent1 7 3 2 3 2" xfId="22485"/>
    <cellStyle name="20% - Accent1 7 3 2 3 2 2" xfId="45344"/>
    <cellStyle name="20% - Accent1 7 3 2 3 3" xfId="33042"/>
    <cellStyle name="20% - Accent1 7 3 2 4" xfId="15455"/>
    <cellStyle name="20% - Accent1 7 3 2 4 2" xfId="38314"/>
    <cellStyle name="20% - Accent1 7 3 2 5" xfId="26012"/>
    <cellStyle name="20% - Accent1 7 3 3" xfId="4908"/>
    <cellStyle name="20% - Accent1 7 3 3 2" xfId="17212"/>
    <cellStyle name="20% - Accent1 7 3 3 2 2" xfId="40071"/>
    <cellStyle name="20% - Accent1 7 3 3 3" xfId="27769"/>
    <cellStyle name="20% - Accent1 7 3 4" xfId="8423"/>
    <cellStyle name="20% - Accent1 7 3 4 2" xfId="20727"/>
    <cellStyle name="20% - Accent1 7 3 4 2 2" xfId="43586"/>
    <cellStyle name="20% - Accent1 7 3 4 3" xfId="31284"/>
    <cellStyle name="20% - Accent1 7 3 5" xfId="11938"/>
    <cellStyle name="20% - Accent1 7 3 5 2" xfId="34798"/>
    <cellStyle name="20% - Accent1 7 3 6" xfId="13697"/>
    <cellStyle name="20% - Accent1 7 3 6 2" xfId="36556"/>
    <cellStyle name="20% - Accent1 7 3 7" xfId="24253"/>
    <cellStyle name="20% - Accent1 7 4" xfId="2273"/>
    <cellStyle name="20% - Accent1 7 4 2" xfId="5788"/>
    <cellStyle name="20% - Accent1 7 4 2 2" xfId="18092"/>
    <cellStyle name="20% - Accent1 7 4 2 2 2" xfId="40951"/>
    <cellStyle name="20% - Accent1 7 4 2 3" xfId="28649"/>
    <cellStyle name="20% - Accent1 7 4 3" xfId="9303"/>
    <cellStyle name="20% - Accent1 7 4 3 2" xfId="21607"/>
    <cellStyle name="20% - Accent1 7 4 3 2 2" xfId="44466"/>
    <cellStyle name="20% - Accent1 7 4 3 3" xfId="32164"/>
    <cellStyle name="20% - Accent1 7 4 4" xfId="14577"/>
    <cellStyle name="20% - Accent1 7 4 4 2" xfId="37436"/>
    <cellStyle name="20% - Accent1 7 4 5" xfId="25134"/>
    <cellStyle name="20% - Accent1 7 5" xfId="4030"/>
    <cellStyle name="20% - Accent1 7 5 2" xfId="16334"/>
    <cellStyle name="20% - Accent1 7 5 2 2" xfId="39193"/>
    <cellStyle name="20% - Accent1 7 5 3" xfId="26891"/>
    <cellStyle name="20% - Accent1 7 6" xfId="7545"/>
    <cellStyle name="20% - Accent1 7 6 2" xfId="19849"/>
    <cellStyle name="20% - Accent1 7 6 2 2" xfId="42708"/>
    <cellStyle name="20% - Accent1 7 6 3" xfId="30406"/>
    <cellStyle name="20% - Accent1 7 7" xfId="11060"/>
    <cellStyle name="20% - Accent1 7 7 2" xfId="33920"/>
    <cellStyle name="20% - Accent1 7 8" xfId="12819"/>
    <cellStyle name="20% - Accent1 7 8 2" xfId="35678"/>
    <cellStyle name="20% - Accent1 7 9" xfId="23374"/>
    <cellStyle name="20% - Accent1 8" xfId="522"/>
    <cellStyle name="20% - Accent1 8 2" xfId="1403"/>
    <cellStyle name="20% - Accent1 8 2 2" xfId="3164"/>
    <cellStyle name="20% - Accent1 8 2 2 2" xfId="6679"/>
    <cellStyle name="20% - Accent1 8 2 2 2 2" xfId="18983"/>
    <cellStyle name="20% - Accent1 8 2 2 2 2 2" xfId="41842"/>
    <cellStyle name="20% - Accent1 8 2 2 2 3" xfId="29540"/>
    <cellStyle name="20% - Accent1 8 2 2 3" xfId="10194"/>
    <cellStyle name="20% - Accent1 8 2 2 3 2" xfId="22498"/>
    <cellStyle name="20% - Accent1 8 2 2 3 2 2" xfId="45357"/>
    <cellStyle name="20% - Accent1 8 2 2 3 3" xfId="33055"/>
    <cellStyle name="20% - Accent1 8 2 2 4" xfId="15468"/>
    <cellStyle name="20% - Accent1 8 2 2 4 2" xfId="38327"/>
    <cellStyle name="20% - Accent1 8 2 2 5" xfId="26025"/>
    <cellStyle name="20% - Accent1 8 2 3" xfId="4921"/>
    <cellStyle name="20% - Accent1 8 2 3 2" xfId="17225"/>
    <cellStyle name="20% - Accent1 8 2 3 2 2" xfId="40084"/>
    <cellStyle name="20% - Accent1 8 2 3 3" xfId="27782"/>
    <cellStyle name="20% - Accent1 8 2 4" xfId="8436"/>
    <cellStyle name="20% - Accent1 8 2 4 2" xfId="20740"/>
    <cellStyle name="20% - Accent1 8 2 4 2 2" xfId="43599"/>
    <cellStyle name="20% - Accent1 8 2 4 3" xfId="31297"/>
    <cellStyle name="20% - Accent1 8 2 5" xfId="11951"/>
    <cellStyle name="20% - Accent1 8 2 5 2" xfId="34811"/>
    <cellStyle name="20% - Accent1 8 2 6" xfId="13710"/>
    <cellStyle name="20% - Accent1 8 2 6 2" xfId="36569"/>
    <cellStyle name="20% - Accent1 8 2 7" xfId="24266"/>
    <cellStyle name="20% - Accent1 8 3" xfId="2286"/>
    <cellStyle name="20% - Accent1 8 3 2" xfId="5801"/>
    <cellStyle name="20% - Accent1 8 3 2 2" xfId="18105"/>
    <cellStyle name="20% - Accent1 8 3 2 2 2" xfId="40964"/>
    <cellStyle name="20% - Accent1 8 3 2 3" xfId="28662"/>
    <cellStyle name="20% - Accent1 8 3 3" xfId="9316"/>
    <cellStyle name="20% - Accent1 8 3 3 2" xfId="21620"/>
    <cellStyle name="20% - Accent1 8 3 3 2 2" xfId="44479"/>
    <cellStyle name="20% - Accent1 8 3 3 3" xfId="32177"/>
    <cellStyle name="20% - Accent1 8 3 4" xfId="14590"/>
    <cellStyle name="20% - Accent1 8 3 4 2" xfId="37449"/>
    <cellStyle name="20% - Accent1 8 3 5" xfId="25147"/>
    <cellStyle name="20% - Accent1 8 4" xfId="4043"/>
    <cellStyle name="20% - Accent1 8 4 2" xfId="16347"/>
    <cellStyle name="20% - Accent1 8 4 2 2" xfId="39206"/>
    <cellStyle name="20% - Accent1 8 4 3" xfId="26904"/>
    <cellStyle name="20% - Accent1 8 5" xfId="7558"/>
    <cellStyle name="20% - Accent1 8 5 2" xfId="19862"/>
    <cellStyle name="20% - Accent1 8 5 2 2" xfId="42721"/>
    <cellStyle name="20% - Accent1 8 5 3" xfId="30419"/>
    <cellStyle name="20% - Accent1 8 6" xfId="11073"/>
    <cellStyle name="20% - Accent1 8 6 2" xfId="33933"/>
    <cellStyle name="20% - Accent1 8 7" xfId="12832"/>
    <cellStyle name="20% - Accent1 8 7 2" xfId="35691"/>
    <cellStyle name="20% - Accent1 8 8" xfId="23387"/>
    <cellStyle name="20% - Accent1 9" xfId="971"/>
    <cellStyle name="20% - Accent1 9 2" xfId="2732"/>
    <cellStyle name="20% - Accent1 9 2 2" xfId="6247"/>
    <cellStyle name="20% - Accent1 9 2 2 2" xfId="18551"/>
    <cellStyle name="20% - Accent1 9 2 2 2 2" xfId="41410"/>
    <cellStyle name="20% - Accent1 9 2 2 3" xfId="29108"/>
    <cellStyle name="20% - Accent1 9 2 3" xfId="9762"/>
    <cellStyle name="20% - Accent1 9 2 3 2" xfId="22066"/>
    <cellStyle name="20% - Accent1 9 2 3 2 2" xfId="44925"/>
    <cellStyle name="20% - Accent1 9 2 3 3" xfId="32623"/>
    <cellStyle name="20% - Accent1 9 2 4" xfId="15036"/>
    <cellStyle name="20% - Accent1 9 2 4 2" xfId="37895"/>
    <cellStyle name="20% - Accent1 9 2 5" xfId="25593"/>
    <cellStyle name="20% - Accent1 9 3" xfId="4489"/>
    <cellStyle name="20% - Accent1 9 3 2" xfId="16793"/>
    <cellStyle name="20% - Accent1 9 3 2 2" xfId="39652"/>
    <cellStyle name="20% - Accent1 9 3 3" xfId="27350"/>
    <cellStyle name="20% - Accent1 9 4" xfId="8004"/>
    <cellStyle name="20% - Accent1 9 4 2" xfId="20308"/>
    <cellStyle name="20% - Accent1 9 4 2 2" xfId="43167"/>
    <cellStyle name="20% - Accent1 9 4 3" xfId="30865"/>
    <cellStyle name="20% - Accent1 9 5" xfId="11519"/>
    <cellStyle name="20% - Accent1 9 5 2" xfId="34379"/>
    <cellStyle name="20% - Accent1 9 6" xfId="13278"/>
    <cellStyle name="20% - Accent1 9 6 2" xfId="36137"/>
    <cellStyle name="20% - Accent1 9 7" xfId="23834"/>
    <cellStyle name="20% - Accent2" xfId="79" builtinId="34" customBuiltin="1"/>
    <cellStyle name="20% - Accent2 10" xfId="1847"/>
    <cellStyle name="20% - Accent2 10 2" xfId="5364"/>
    <cellStyle name="20% - Accent2 10 2 2" xfId="17668"/>
    <cellStyle name="20% - Accent2 10 2 2 2" xfId="40527"/>
    <cellStyle name="20% - Accent2 10 2 3" xfId="28225"/>
    <cellStyle name="20% - Accent2 10 3" xfId="8879"/>
    <cellStyle name="20% - Accent2 10 3 2" xfId="21183"/>
    <cellStyle name="20% - Accent2 10 3 2 2" xfId="44042"/>
    <cellStyle name="20% - Accent2 10 3 3" xfId="31740"/>
    <cellStyle name="20% - Accent2 10 4" xfId="14153"/>
    <cellStyle name="20% - Accent2 10 4 2" xfId="37012"/>
    <cellStyle name="20% - Accent2 10 5" xfId="24709"/>
    <cellStyle name="20% - Accent2 11" xfId="3613"/>
    <cellStyle name="20% - Accent2 11 2" xfId="15917"/>
    <cellStyle name="20% - Accent2 11 2 2" xfId="38776"/>
    <cellStyle name="20% - Accent2 11 3" xfId="26474"/>
    <cellStyle name="20% - Accent2 12" xfId="7128"/>
    <cellStyle name="20% - Accent2 12 2" xfId="19432"/>
    <cellStyle name="20% - Accent2 12 2 2" xfId="42291"/>
    <cellStyle name="20% - Accent2 12 3" xfId="29989"/>
    <cellStyle name="20% - Accent2 13" xfId="10643"/>
    <cellStyle name="20% - Accent2 13 2" xfId="33503"/>
    <cellStyle name="20% - Accent2 14" xfId="12393"/>
    <cellStyle name="20% - Accent2 14 2" xfId="35253"/>
    <cellStyle name="20% - Accent2 15" xfId="22955"/>
    <cellStyle name="20% - Accent2 2" xfId="2"/>
    <cellStyle name="20% - Accent2 3" xfId="107"/>
    <cellStyle name="20% - Accent2 3 10" xfId="10662"/>
    <cellStyle name="20% - Accent2 3 10 2" xfId="33522"/>
    <cellStyle name="20% - Accent2 3 11" xfId="12421"/>
    <cellStyle name="20% - Accent2 3 11 2" xfId="35280"/>
    <cellStyle name="20% - Accent2 3 12" xfId="22974"/>
    <cellStyle name="20% - Accent2 3 2" xfId="163"/>
    <cellStyle name="20% - Accent2 3 2 10" xfId="12475"/>
    <cellStyle name="20% - Accent2 3 2 10 2" xfId="35334"/>
    <cellStyle name="20% - Accent2 3 2 11" xfId="23029"/>
    <cellStyle name="20% - Accent2 3 2 2" xfId="271"/>
    <cellStyle name="20% - Accent2 3 2 2 10" xfId="23136"/>
    <cellStyle name="20% - Accent2 3 2 2 2" xfId="483"/>
    <cellStyle name="20% - Accent2 3 2 2 2 2" xfId="924"/>
    <cellStyle name="20% - Accent2 3 2 2 2 2 2" xfId="1803"/>
    <cellStyle name="20% - Accent2 3 2 2 2 2 2 2" xfId="3564"/>
    <cellStyle name="20% - Accent2 3 2 2 2 2 2 2 2" xfId="7079"/>
    <cellStyle name="20% - Accent2 3 2 2 2 2 2 2 2 2" xfId="19383"/>
    <cellStyle name="20% - Accent2 3 2 2 2 2 2 2 2 2 2" xfId="42242"/>
    <cellStyle name="20% - Accent2 3 2 2 2 2 2 2 2 3" xfId="29940"/>
    <cellStyle name="20% - Accent2 3 2 2 2 2 2 2 3" xfId="10594"/>
    <cellStyle name="20% - Accent2 3 2 2 2 2 2 2 3 2" xfId="22898"/>
    <cellStyle name="20% - Accent2 3 2 2 2 2 2 2 3 2 2" xfId="45757"/>
    <cellStyle name="20% - Accent2 3 2 2 2 2 2 2 3 3" xfId="33455"/>
    <cellStyle name="20% - Accent2 3 2 2 2 2 2 2 4" xfId="15868"/>
    <cellStyle name="20% - Accent2 3 2 2 2 2 2 2 4 2" xfId="38727"/>
    <cellStyle name="20% - Accent2 3 2 2 2 2 2 2 5" xfId="26425"/>
    <cellStyle name="20% - Accent2 3 2 2 2 2 2 3" xfId="5321"/>
    <cellStyle name="20% - Accent2 3 2 2 2 2 2 3 2" xfId="17625"/>
    <cellStyle name="20% - Accent2 3 2 2 2 2 2 3 2 2" xfId="40484"/>
    <cellStyle name="20% - Accent2 3 2 2 2 2 2 3 3" xfId="28182"/>
    <cellStyle name="20% - Accent2 3 2 2 2 2 2 4" xfId="8836"/>
    <cellStyle name="20% - Accent2 3 2 2 2 2 2 4 2" xfId="21140"/>
    <cellStyle name="20% - Accent2 3 2 2 2 2 2 4 2 2" xfId="43999"/>
    <cellStyle name="20% - Accent2 3 2 2 2 2 2 4 3" xfId="31697"/>
    <cellStyle name="20% - Accent2 3 2 2 2 2 2 5" xfId="12351"/>
    <cellStyle name="20% - Accent2 3 2 2 2 2 2 5 2" xfId="35211"/>
    <cellStyle name="20% - Accent2 3 2 2 2 2 2 6" xfId="14110"/>
    <cellStyle name="20% - Accent2 3 2 2 2 2 2 6 2" xfId="36969"/>
    <cellStyle name="20% - Accent2 3 2 2 2 2 2 7" xfId="24666"/>
    <cellStyle name="20% - Accent2 3 2 2 2 2 3" xfId="2686"/>
    <cellStyle name="20% - Accent2 3 2 2 2 2 3 2" xfId="6201"/>
    <cellStyle name="20% - Accent2 3 2 2 2 2 3 2 2" xfId="18505"/>
    <cellStyle name="20% - Accent2 3 2 2 2 2 3 2 2 2" xfId="41364"/>
    <cellStyle name="20% - Accent2 3 2 2 2 2 3 2 3" xfId="29062"/>
    <cellStyle name="20% - Accent2 3 2 2 2 2 3 3" xfId="9716"/>
    <cellStyle name="20% - Accent2 3 2 2 2 2 3 3 2" xfId="22020"/>
    <cellStyle name="20% - Accent2 3 2 2 2 2 3 3 2 2" xfId="44879"/>
    <cellStyle name="20% - Accent2 3 2 2 2 2 3 3 3" xfId="32577"/>
    <cellStyle name="20% - Accent2 3 2 2 2 2 3 4" xfId="14990"/>
    <cellStyle name="20% - Accent2 3 2 2 2 2 3 4 2" xfId="37849"/>
    <cellStyle name="20% - Accent2 3 2 2 2 2 3 5" xfId="25547"/>
    <cellStyle name="20% - Accent2 3 2 2 2 2 4" xfId="4443"/>
    <cellStyle name="20% - Accent2 3 2 2 2 2 4 2" xfId="16747"/>
    <cellStyle name="20% - Accent2 3 2 2 2 2 4 2 2" xfId="39606"/>
    <cellStyle name="20% - Accent2 3 2 2 2 2 4 3" xfId="27304"/>
    <cellStyle name="20% - Accent2 3 2 2 2 2 5" xfId="7958"/>
    <cellStyle name="20% - Accent2 3 2 2 2 2 5 2" xfId="20262"/>
    <cellStyle name="20% - Accent2 3 2 2 2 2 5 2 2" xfId="43121"/>
    <cellStyle name="20% - Accent2 3 2 2 2 2 5 3" xfId="30819"/>
    <cellStyle name="20% - Accent2 3 2 2 2 2 6" xfId="11473"/>
    <cellStyle name="20% - Accent2 3 2 2 2 2 6 2" xfId="34333"/>
    <cellStyle name="20% - Accent2 3 2 2 2 2 7" xfId="13232"/>
    <cellStyle name="20% - Accent2 3 2 2 2 2 7 2" xfId="36091"/>
    <cellStyle name="20% - Accent2 3 2 2 2 2 8" xfId="23788"/>
    <cellStyle name="20% - Accent2 3 2 2 2 3" xfId="1364"/>
    <cellStyle name="20% - Accent2 3 2 2 2 3 2" xfId="3125"/>
    <cellStyle name="20% - Accent2 3 2 2 2 3 2 2" xfId="6640"/>
    <cellStyle name="20% - Accent2 3 2 2 2 3 2 2 2" xfId="18944"/>
    <cellStyle name="20% - Accent2 3 2 2 2 3 2 2 2 2" xfId="41803"/>
    <cellStyle name="20% - Accent2 3 2 2 2 3 2 2 3" xfId="29501"/>
    <cellStyle name="20% - Accent2 3 2 2 2 3 2 3" xfId="10155"/>
    <cellStyle name="20% - Accent2 3 2 2 2 3 2 3 2" xfId="22459"/>
    <cellStyle name="20% - Accent2 3 2 2 2 3 2 3 2 2" xfId="45318"/>
    <cellStyle name="20% - Accent2 3 2 2 2 3 2 3 3" xfId="33016"/>
    <cellStyle name="20% - Accent2 3 2 2 2 3 2 4" xfId="15429"/>
    <cellStyle name="20% - Accent2 3 2 2 2 3 2 4 2" xfId="38288"/>
    <cellStyle name="20% - Accent2 3 2 2 2 3 2 5" xfId="25986"/>
    <cellStyle name="20% - Accent2 3 2 2 2 3 3" xfId="4882"/>
    <cellStyle name="20% - Accent2 3 2 2 2 3 3 2" xfId="17186"/>
    <cellStyle name="20% - Accent2 3 2 2 2 3 3 2 2" xfId="40045"/>
    <cellStyle name="20% - Accent2 3 2 2 2 3 3 3" xfId="27743"/>
    <cellStyle name="20% - Accent2 3 2 2 2 3 4" xfId="8397"/>
    <cellStyle name="20% - Accent2 3 2 2 2 3 4 2" xfId="20701"/>
    <cellStyle name="20% - Accent2 3 2 2 2 3 4 2 2" xfId="43560"/>
    <cellStyle name="20% - Accent2 3 2 2 2 3 4 3" xfId="31258"/>
    <cellStyle name="20% - Accent2 3 2 2 2 3 5" xfId="11912"/>
    <cellStyle name="20% - Accent2 3 2 2 2 3 5 2" xfId="34772"/>
    <cellStyle name="20% - Accent2 3 2 2 2 3 6" xfId="13671"/>
    <cellStyle name="20% - Accent2 3 2 2 2 3 6 2" xfId="36530"/>
    <cellStyle name="20% - Accent2 3 2 2 2 3 7" xfId="24227"/>
    <cellStyle name="20% - Accent2 3 2 2 2 4" xfId="2247"/>
    <cellStyle name="20% - Accent2 3 2 2 2 4 2" xfId="5762"/>
    <cellStyle name="20% - Accent2 3 2 2 2 4 2 2" xfId="18066"/>
    <cellStyle name="20% - Accent2 3 2 2 2 4 2 2 2" xfId="40925"/>
    <cellStyle name="20% - Accent2 3 2 2 2 4 2 3" xfId="28623"/>
    <cellStyle name="20% - Accent2 3 2 2 2 4 3" xfId="9277"/>
    <cellStyle name="20% - Accent2 3 2 2 2 4 3 2" xfId="21581"/>
    <cellStyle name="20% - Accent2 3 2 2 2 4 3 2 2" xfId="44440"/>
    <cellStyle name="20% - Accent2 3 2 2 2 4 3 3" xfId="32138"/>
    <cellStyle name="20% - Accent2 3 2 2 2 4 4" xfId="14551"/>
    <cellStyle name="20% - Accent2 3 2 2 2 4 4 2" xfId="37410"/>
    <cellStyle name="20% - Accent2 3 2 2 2 4 5" xfId="25108"/>
    <cellStyle name="20% - Accent2 3 2 2 2 5" xfId="4004"/>
    <cellStyle name="20% - Accent2 3 2 2 2 5 2" xfId="16308"/>
    <cellStyle name="20% - Accent2 3 2 2 2 5 2 2" xfId="39167"/>
    <cellStyle name="20% - Accent2 3 2 2 2 5 3" xfId="26865"/>
    <cellStyle name="20% - Accent2 3 2 2 2 6" xfId="7519"/>
    <cellStyle name="20% - Accent2 3 2 2 2 6 2" xfId="19823"/>
    <cellStyle name="20% - Accent2 3 2 2 2 6 2 2" xfId="42682"/>
    <cellStyle name="20% - Accent2 3 2 2 2 6 3" xfId="30380"/>
    <cellStyle name="20% - Accent2 3 2 2 2 7" xfId="11034"/>
    <cellStyle name="20% - Accent2 3 2 2 2 7 2" xfId="33894"/>
    <cellStyle name="20% - Accent2 3 2 2 2 8" xfId="12793"/>
    <cellStyle name="20% - Accent2 3 2 2 2 8 2" xfId="35652"/>
    <cellStyle name="20% - Accent2 3 2 2 2 9" xfId="23348"/>
    <cellStyle name="20% - Accent2 3 2 2 3" xfId="712"/>
    <cellStyle name="20% - Accent2 3 2 2 3 2" xfId="1591"/>
    <cellStyle name="20% - Accent2 3 2 2 3 2 2" xfId="3352"/>
    <cellStyle name="20% - Accent2 3 2 2 3 2 2 2" xfId="6867"/>
    <cellStyle name="20% - Accent2 3 2 2 3 2 2 2 2" xfId="19171"/>
    <cellStyle name="20% - Accent2 3 2 2 3 2 2 2 2 2" xfId="42030"/>
    <cellStyle name="20% - Accent2 3 2 2 3 2 2 2 3" xfId="29728"/>
    <cellStyle name="20% - Accent2 3 2 2 3 2 2 3" xfId="10382"/>
    <cellStyle name="20% - Accent2 3 2 2 3 2 2 3 2" xfId="22686"/>
    <cellStyle name="20% - Accent2 3 2 2 3 2 2 3 2 2" xfId="45545"/>
    <cellStyle name="20% - Accent2 3 2 2 3 2 2 3 3" xfId="33243"/>
    <cellStyle name="20% - Accent2 3 2 2 3 2 2 4" xfId="15656"/>
    <cellStyle name="20% - Accent2 3 2 2 3 2 2 4 2" xfId="38515"/>
    <cellStyle name="20% - Accent2 3 2 2 3 2 2 5" xfId="26213"/>
    <cellStyle name="20% - Accent2 3 2 2 3 2 3" xfId="5109"/>
    <cellStyle name="20% - Accent2 3 2 2 3 2 3 2" xfId="17413"/>
    <cellStyle name="20% - Accent2 3 2 2 3 2 3 2 2" xfId="40272"/>
    <cellStyle name="20% - Accent2 3 2 2 3 2 3 3" xfId="27970"/>
    <cellStyle name="20% - Accent2 3 2 2 3 2 4" xfId="8624"/>
    <cellStyle name="20% - Accent2 3 2 2 3 2 4 2" xfId="20928"/>
    <cellStyle name="20% - Accent2 3 2 2 3 2 4 2 2" xfId="43787"/>
    <cellStyle name="20% - Accent2 3 2 2 3 2 4 3" xfId="31485"/>
    <cellStyle name="20% - Accent2 3 2 2 3 2 5" xfId="12139"/>
    <cellStyle name="20% - Accent2 3 2 2 3 2 5 2" xfId="34999"/>
    <cellStyle name="20% - Accent2 3 2 2 3 2 6" xfId="13898"/>
    <cellStyle name="20% - Accent2 3 2 2 3 2 6 2" xfId="36757"/>
    <cellStyle name="20% - Accent2 3 2 2 3 2 7" xfId="24454"/>
    <cellStyle name="20% - Accent2 3 2 2 3 3" xfId="2474"/>
    <cellStyle name="20% - Accent2 3 2 2 3 3 2" xfId="5989"/>
    <cellStyle name="20% - Accent2 3 2 2 3 3 2 2" xfId="18293"/>
    <cellStyle name="20% - Accent2 3 2 2 3 3 2 2 2" xfId="41152"/>
    <cellStyle name="20% - Accent2 3 2 2 3 3 2 3" xfId="28850"/>
    <cellStyle name="20% - Accent2 3 2 2 3 3 3" xfId="9504"/>
    <cellStyle name="20% - Accent2 3 2 2 3 3 3 2" xfId="21808"/>
    <cellStyle name="20% - Accent2 3 2 2 3 3 3 2 2" xfId="44667"/>
    <cellStyle name="20% - Accent2 3 2 2 3 3 3 3" xfId="32365"/>
    <cellStyle name="20% - Accent2 3 2 2 3 3 4" xfId="14778"/>
    <cellStyle name="20% - Accent2 3 2 2 3 3 4 2" xfId="37637"/>
    <cellStyle name="20% - Accent2 3 2 2 3 3 5" xfId="25335"/>
    <cellStyle name="20% - Accent2 3 2 2 3 4" xfId="4231"/>
    <cellStyle name="20% - Accent2 3 2 2 3 4 2" xfId="16535"/>
    <cellStyle name="20% - Accent2 3 2 2 3 4 2 2" xfId="39394"/>
    <cellStyle name="20% - Accent2 3 2 2 3 4 3" xfId="27092"/>
    <cellStyle name="20% - Accent2 3 2 2 3 5" xfId="7746"/>
    <cellStyle name="20% - Accent2 3 2 2 3 5 2" xfId="20050"/>
    <cellStyle name="20% - Accent2 3 2 2 3 5 2 2" xfId="42909"/>
    <cellStyle name="20% - Accent2 3 2 2 3 5 3" xfId="30607"/>
    <cellStyle name="20% - Accent2 3 2 2 3 6" xfId="11261"/>
    <cellStyle name="20% - Accent2 3 2 2 3 6 2" xfId="34121"/>
    <cellStyle name="20% - Accent2 3 2 2 3 7" xfId="13020"/>
    <cellStyle name="20% - Accent2 3 2 2 3 7 2" xfId="35879"/>
    <cellStyle name="20% - Accent2 3 2 2 3 8" xfId="23576"/>
    <cellStyle name="20% - Accent2 3 2 2 4" xfId="1152"/>
    <cellStyle name="20% - Accent2 3 2 2 4 2" xfId="2913"/>
    <cellStyle name="20% - Accent2 3 2 2 4 2 2" xfId="6428"/>
    <cellStyle name="20% - Accent2 3 2 2 4 2 2 2" xfId="18732"/>
    <cellStyle name="20% - Accent2 3 2 2 4 2 2 2 2" xfId="41591"/>
    <cellStyle name="20% - Accent2 3 2 2 4 2 2 3" xfId="29289"/>
    <cellStyle name="20% - Accent2 3 2 2 4 2 3" xfId="9943"/>
    <cellStyle name="20% - Accent2 3 2 2 4 2 3 2" xfId="22247"/>
    <cellStyle name="20% - Accent2 3 2 2 4 2 3 2 2" xfId="45106"/>
    <cellStyle name="20% - Accent2 3 2 2 4 2 3 3" xfId="32804"/>
    <cellStyle name="20% - Accent2 3 2 2 4 2 4" xfId="15217"/>
    <cellStyle name="20% - Accent2 3 2 2 4 2 4 2" xfId="38076"/>
    <cellStyle name="20% - Accent2 3 2 2 4 2 5" xfId="25774"/>
    <cellStyle name="20% - Accent2 3 2 2 4 3" xfId="4670"/>
    <cellStyle name="20% - Accent2 3 2 2 4 3 2" xfId="16974"/>
    <cellStyle name="20% - Accent2 3 2 2 4 3 2 2" xfId="39833"/>
    <cellStyle name="20% - Accent2 3 2 2 4 3 3" xfId="27531"/>
    <cellStyle name="20% - Accent2 3 2 2 4 4" xfId="8185"/>
    <cellStyle name="20% - Accent2 3 2 2 4 4 2" xfId="20489"/>
    <cellStyle name="20% - Accent2 3 2 2 4 4 2 2" xfId="43348"/>
    <cellStyle name="20% - Accent2 3 2 2 4 4 3" xfId="31046"/>
    <cellStyle name="20% - Accent2 3 2 2 4 5" xfId="11700"/>
    <cellStyle name="20% - Accent2 3 2 2 4 5 2" xfId="34560"/>
    <cellStyle name="20% - Accent2 3 2 2 4 6" xfId="13459"/>
    <cellStyle name="20% - Accent2 3 2 2 4 6 2" xfId="36318"/>
    <cellStyle name="20% - Accent2 3 2 2 4 7" xfId="24015"/>
    <cellStyle name="20% - Accent2 3 2 2 5" xfId="2035"/>
    <cellStyle name="20% - Accent2 3 2 2 5 2" xfId="5550"/>
    <cellStyle name="20% - Accent2 3 2 2 5 2 2" xfId="17854"/>
    <cellStyle name="20% - Accent2 3 2 2 5 2 2 2" xfId="40713"/>
    <cellStyle name="20% - Accent2 3 2 2 5 2 3" xfId="28411"/>
    <cellStyle name="20% - Accent2 3 2 2 5 3" xfId="9065"/>
    <cellStyle name="20% - Accent2 3 2 2 5 3 2" xfId="21369"/>
    <cellStyle name="20% - Accent2 3 2 2 5 3 2 2" xfId="44228"/>
    <cellStyle name="20% - Accent2 3 2 2 5 3 3" xfId="31926"/>
    <cellStyle name="20% - Accent2 3 2 2 5 4" xfId="14339"/>
    <cellStyle name="20% - Accent2 3 2 2 5 4 2" xfId="37198"/>
    <cellStyle name="20% - Accent2 3 2 2 5 5" xfId="24896"/>
    <cellStyle name="20% - Accent2 3 2 2 6" xfId="3792"/>
    <cellStyle name="20% - Accent2 3 2 2 6 2" xfId="16096"/>
    <cellStyle name="20% - Accent2 3 2 2 6 2 2" xfId="38955"/>
    <cellStyle name="20% - Accent2 3 2 2 6 3" xfId="26653"/>
    <cellStyle name="20% - Accent2 3 2 2 7" xfId="7307"/>
    <cellStyle name="20% - Accent2 3 2 2 7 2" xfId="19611"/>
    <cellStyle name="20% - Accent2 3 2 2 7 2 2" xfId="42470"/>
    <cellStyle name="20% - Accent2 3 2 2 7 3" xfId="30168"/>
    <cellStyle name="20% - Accent2 3 2 2 8" xfId="10822"/>
    <cellStyle name="20% - Accent2 3 2 2 8 2" xfId="33682"/>
    <cellStyle name="20% - Accent2 3 2 2 9" xfId="12581"/>
    <cellStyle name="20% - Accent2 3 2 2 9 2" xfId="35440"/>
    <cellStyle name="20% - Accent2 3 2 3" xfId="377"/>
    <cellStyle name="20% - Accent2 3 2 3 2" xfId="818"/>
    <cellStyle name="20% - Accent2 3 2 3 2 2" xfId="1697"/>
    <cellStyle name="20% - Accent2 3 2 3 2 2 2" xfId="3458"/>
    <cellStyle name="20% - Accent2 3 2 3 2 2 2 2" xfId="6973"/>
    <cellStyle name="20% - Accent2 3 2 3 2 2 2 2 2" xfId="19277"/>
    <cellStyle name="20% - Accent2 3 2 3 2 2 2 2 2 2" xfId="42136"/>
    <cellStyle name="20% - Accent2 3 2 3 2 2 2 2 3" xfId="29834"/>
    <cellStyle name="20% - Accent2 3 2 3 2 2 2 3" xfId="10488"/>
    <cellStyle name="20% - Accent2 3 2 3 2 2 2 3 2" xfId="22792"/>
    <cellStyle name="20% - Accent2 3 2 3 2 2 2 3 2 2" xfId="45651"/>
    <cellStyle name="20% - Accent2 3 2 3 2 2 2 3 3" xfId="33349"/>
    <cellStyle name="20% - Accent2 3 2 3 2 2 2 4" xfId="15762"/>
    <cellStyle name="20% - Accent2 3 2 3 2 2 2 4 2" xfId="38621"/>
    <cellStyle name="20% - Accent2 3 2 3 2 2 2 5" xfId="26319"/>
    <cellStyle name="20% - Accent2 3 2 3 2 2 3" xfId="5215"/>
    <cellStyle name="20% - Accent2 3 2 3 2 2 3 2" xfId="17519"/>
    <cellStyle name="20% - Accent2 3 2 3 2 2 3 2 2" xfId="40378"/>
    <cellStyle name="20% - Accent2 3 2 3 2 2 3 3" xfId="28076"/>
    <cellStyle name="20% - Accent2 3 2 3 2 2 4" xfId="8730"/>
    <cellStyle name="20% - Accent2 3 2 3 2 2 4 2" xfId="21034"/>
    <cellStyle name="20% - Accent2 3 2 3 2 2 4 2 2" xfId="43893"/>
    <cellStyle name="20% - Accent2 3 2 3 2 2 4 3" xfId="31591"/>
    <cellStyle name="20% - Accent2 3 2 3 2 2 5" xfId="12245"/>
    <cellStyle name="20% - Accent2 3 2 3 2 2 5 2" xfId="35105"/>
    <cellStyle name="20% - Accent2 3 2 3 2 2 6" xfId="14004"/>
    <cellStyle name="20% - Accent2 3 2 3 2 2 6 2" xfId="36863"/>
    <cellStyle name="20% - Accent2 3 2 3 2 2 7" xfId="24560"/>
    <cellStyle name="20% - Accent2 3 2 3 2 3" xfId="2580"/>
    <cellStyle name="20% - Accent2 3 2 3 2 3 2" xfId="6095"/>
    <cellStyle name="20% - Accent2 3 2 3 2 3 2 2" xfId="18399"/>
    <cellStyle name="20% - Accent2 3 2 3 2 3 2 2 2" xfId="41258"/>
    <cellStyle name="20% - Accent2 3 2 3 2 3 2 3" xfId="28956"/>
    <cellStyle name="20% - Accent2 3 2 3 2 3 3" xfId="9610"/>
    <cellStyle name="20% - Accent2 3 2 3 2 3 3 2" xfId="21914"/>
    <cellStyle name="20% - Accent2 3 2 3 2 3 3 2 2" xfId="44773"/>
    <cellStyle name="20% - Accent2 3 2 3 2 3 3 3" xfId="32471"/>
    <cellStyle name="20% - Accent2 3 2 3 2 3 4" xfId="14884"/>
    <cellStyle name="20% - Accent2 3 2 3 2 3 4 2" xfId="37743"/>
    <cellStyle name="20% - Accent2 3 2 3 2 3 5" xfId="25441"/>
    <cellStyle name="20% - Accent2 3 2 3 2 4" xfId="4337"/>
    <cellStyle name="20% - Accent2 3 2 3 2 4 2" xfId="16641"/>
    <cellStyle name="20% - Accent2 3 2 3 2 4 2 2" xfId="39500"/>
    <cellStyle name="20% - Accent2 3 2 3 2 4 3" xfId="27198"/>
    <cellStyle name="20% - Accent2 3 2 3 2 5" xfId="7852"/>
    <cellStyle name="20% - Accent2 3 2 3 2 5 2" xfId="20156"/>
    <cellStyle name="20% - Accent2 3 2 3 2 5 2 2" xfId="43015"/>
    <cellStyle name="20% - Accent2 3 2 3 2 5 3" xfId="30713"/>
    <cellStyle name="20% - Accent2 3 2 3 2 6" xfId="11367"/>
    <cellStyle name="20% - Accent2 3 2 3 2 6 2" xfId="34227"/>
    <cellStyle name="20% - Accent2 3 2 3 2 7" xfId="13126"/>
    <cellStyle name="20% - Accent2 3 2 3 2 7 2" xfId="35985"/>
    <cellStyle name="20% - Accent2 3 2 3 2 8" xfId="23682"/>
    <cellStyle name="20% - Accent2 3 2 3 3" xfId="1258"/>
    <cellStyle name="20% - Accent2 3 2 3 3 2" xfId="3019"/>
    <cellStyle name="20% - Accent2 3 2 3 3 2 2" xfId="6534"/>
    <cellStyle name="20% - Accent2 3 2 3 3 2 2 2" xfId="18838"/>
    <cellStyle name="20% - Accent2 3 2 3 3 2 2 2 2" xfId="41697"/>
    <cellStyle name="20% - Accent2 3 2 3 3 2 2 3" xfId="29395"/>
    <cellStyle name="20% - Accent2 3 2 3 3 2 3" xfId="10049"/>
    <cellStyle name="20% - Accent2 3 2 3 3 2 3 2" xfId="22353"/>
    <cellStyle name="20% - Accent2 3 2 3 3 2 3 2 2" xfId="45212"/>
    <cellStyle name="20% - Accent2 3 2 3 3 2 3 3" xfId="32910"/>
    <cellStyle name="20% - Accent2 3 2 3 3 2 4" xfId="15323"/>
    <cellStyle name="20% - Accent2 3 2 3 3 2 4 2" xfId="38182"/>
    <cellStyle name="20% - Accent2 3 2 3 3 2 5" xfId="25880"/>
    <cellStyle name="20% - Accent2 3 2 3 3 3" xfId="4776"/>
    <cellStyle name="20% - Accent2 3 2 3 3 3 2" xfId="17080"/>
    <cellStyle name="20% - Accent2 3 2 3 3 3 2 2" xfId="39939"/>
    <cellStyle name="20% - Accent2 3 2 3 3 3 3" xfId="27637"/>
    <cellStyle name="20% - Accent2 3 2 3 3 4" xfId="8291"/>
    <cellStyle name="20% - Accent2 3 2 3 3 4 2" xfId="20595"/>
    <cellStyle name="20% - Accent2 3 2 3 3 4 2 2" xfId="43454"/>
    <cellStyle name="20% - Accent2 3 2 3 3 4 3" xfId="31152"/>
    <cellStyle name="20% - Accent2 3 2 3 3 5" xfId="11806"/>
    <cellStyle name="20% - Accent2 3 2 3 3 5 2" xfId="34666"/>
    <cellStyle name="20% - Accent2 3 2 3 3 6" xfId="13565"/>
    <cellStyle name="20% - Accent2 3 2 3 3 6 2" xfId="36424"/>
    <cellStyle name="20% - Accent2 3 2 3 3 7" xfId="24121"/>
    <cellStyle name="20% - Accent2 3 2 3 4" xfId="2141"/>
    <cellStyle name="20% - Accent2 3 2 3 4 2" xfId="5656"/>
    <cellStyle name="20% - Accent2 3 2 3 4 2 2" xfId="17960"/>
    <cellStyle name="20% - Accent2 3 2 3 4 2 2 2" xfId="40819"/>
    <cellStyle name="20% - Accent2 3 2 3 4 2 3" xfId="28517"/>
    <cellStyle name="20% - Accent2 3 2 3 4 3" xfId="9171"/>
    <cellStyle name="20% - Accent2 3 2 3 4 3 2" xfId="21475"/>
    <cellStyle name="20% - Accent2 3 2 3 4 3 2 2" xfId="44334"/>
    <cellStyle name="20% - Accent2 3 2 3 4 3 3" xfId="32032"/>
    <cellStyle name="20% - Accent2 3 2 3 4 4" xfId="14445"/>
    <cellStyle name="20% - Accent2 3 2 3 4 4 2" xfId="37304"/>
    <cellStyle name="20% - Accent2 3 2 3 4 5" xfId="25002"/>
    <cellStyle name="20% - Accent2 3 2 3 5" xfId="3898"/>
    <cellStyle name="20% - Accent2 3 2 3 5 2" xfId="16202"/>
    <cellStyle name="20% - Accent2 3 2 3 5 2 2" xfId="39061"/>
    <cellStyle name="20% - Accent2 3 2 3 5 3" xfId="26759"/>
    <cellStyle name="20% - Accent2 3 2 3 6" xfId="7413"/>
    <cellStyle name="20% - Accent2 3 2 3 6 2" xfId="19717"/>
    <cellStyle name="20% - Accent2 3 2 3 6 2 2" xfId="42576"/>
    <cellStyle name="20% - Accent2 3 2 3 6 3" xfId="30274"/>
    <cellStyle name="20% - Accent2 3 2 3 7" xfId="10928"/>
    <cellStyle name="20% - Accent2 3 2 3 7 2" xfId="33788"/>
    <cellStyle name="20% - Accent2 3 2 3 8" xfId="12687"/>
    <cellStyle name="20% - Accent2 3 2 3 8 2" xfId="35546"/>
    <cellStyle name="20% - Accent2 3 2 3 9" xfId="23242"/>
    <cellStyle name="20% - Accent2 3 2 4" xfId="606"/>
    <cellStyle name="20% - Accent2 3 2 4 2" xfId="1485"/>
    <cellStyle name="20% - Accent2 3 2 4 2 2" xfId="3246"/>
    <cellStyle name="20% - Accent2 3 2 4 2 2 2" xfId="6761"/>
    <cellStyle name="20% - Accent2 3 2 4 2 2 2 2" xfId="19065"/>
    <cellStyle name="20% - Accent2 3 2 4 2 2 2 2 2" xfId="41924"/>
    <cellStyle name="20% - Accent2 3 2 4 2 2 2 3" xfId="29622"/>
    <cellStyle name="20% - Accent2 3 2 4 2 2 3" xfId="10276"/>
    <cellStyle name="20% - Accent2 3 2 4 2 2 3 2" xfId="22580"/>
    <cellStyle name="20% - Accent2 3 2 4 2 2 3 2 2" xfId="45439"/>
    <cellStyle name="20% - Accent2 3 2 4 2 2 3 3" xfId="33137"/>
    <cellStyle name="20% - Accent2 3 2 4 2 2 4" xfId="15550"/>
    <cellStyle name="20% - Accent2 3 2 4 2 2 4 2" xfId="38409"/>
    <cellStyle name="20% - Accent2 3 2 4 2 2 5" xfId="26107"/>
    <cellStyle name="20% - Accent2 3 2 4 2 3" xfId="5003"/>
    <cellStyle name="20% - Accent2 3 2 4 2 3 2" xfId="17307"/>
    <cellStyle name="20% - Accent2 3 2 4 2 3 2 2" xfId="40166"/>
    <cellStyle name="20% - Accent2 3 2 4 2 3 3" xfId="27864"/>
    <cellStyle name="20% - Accent2 3 2 4 2 4" xfId="8518"/>
    <cellStyle name="20% - Accent2 3 2 4 2 4 2" xfId="20822"/>
    <cellStyle name="20% - Accent2 3 2 4 2 4 2 2" xfId="43681"/>
    <cellStyle name="20% - Accent2 3 2 4 2 4 3" xfId="31379"/>
    <cellStyle name="20% - Accent2 3 2 4 2 5" xfId="12033"/>
    <cellStyle name="20% - Accent2 3 2 4 2 5 2" xfId="34893"/>
    <cellStyle name="20% - Accent2 3 2 4 2 6" xfId="13792"/>
    <cellStyle name="20% - Accent2 3 2 4 2 6 2" xfId="36651"/>
    <cellStyle name="20% - Accent2 3 2 4 2 7" xfId="24348"/>
    <cellStyle name="20% - Accent2 3 2 4 3" xfId="2368"/>
    <cellStyle name="20% - Accent2 3 2 4 3 2" xfId="5883"/>
    <cellStyle name="20% - Accent2 3 2 4 3 2 2" xfId="18187"/>
    <cellStyle name="20% - Accent2 3 2 4 3 2 2 2" xfId="41046"/>
    <cellStyle name="20% - Accent2 3 2 4 3 2 3" xfId="28744"/>
    <cellStyle name="20% - Accent2 3 2 4 3 3" xfId="9398"/>
    <cellStyle name="20% - Accent2 3 2 4 3 3 2" xfId="21702"/>
    <cellStyle name="20% - Accent2 3 2 4 3 3 2 2" xfId="44561"/>
    <cellStyle name="20% - Accent2 3 2 4 3 3 3" xfId="32259"/>
    <cellStyle name="20% - Accent2 3 2 4 3 4" xfId="14672"/>
    <cellStyle name="20% - Accent2 3 2 4 3 4 2" xfId="37531"/>
    <cellStyle name="20% - Accent2 3 2 4 3 5" xfId="25229"/>
    <cellStyle name="20% - Accent2 3 2 4 4" xfId="4125"/>
    <cellStyle name="20% - Accent2 3 2 4 4 2" xfId="16429"/>
    <cellStyle name="20% - Accent2 3 2 4 4 2 2" xfId="39288"/>
    <cellStyle name="20% - Accent2 3 2 4 4 3" xfId="26986"/>
    <cellStyle name="20% - Accent2 3 2 4 5" xfId="7640"/>
    <cellStyle name="20% - Accent2 3 2 4 5 2" xfId="19944"/>
    <cellStyle name="20% - Accent2 3 2 4 5 2 2" xfId="42803"/>
    <cellStyle name="20% - Accent2 3 2 4 5 3" xfId="30501"/>
    <cellStyle name="20% - Accent2 3 2 4 6" xfId="11155"/>
    <cellStyle name="20% - Accent2 3 2 4 6 2" xfId="34015"/>
    <cellStyle name="20% - Accent2 3 2 4 7" xfId="12914"/>
    <cellStyle name="20% - Accent2 3 2 4 7 2" xfId="35773"/>
    <cellStyle name="20% - Accent2 3 2 4 8" xfId="23470"/>
    <cellStyle name="20% - Accent2 3 2 5" xfId="1046"/>
    <cellStyle name="20% - Accent2 3 2 5 2" xfId="2807"/>
    <cellStyle name="20% - Accent2 3 2 5 2 2" xfId="6322"/>
    <cellStyle name="20% - Accent2 3 2 5 2 2 2" xfId="18626"/>
    <cellStyle name="20% - Accent2 3 2 5 2 2 2 2" xfId="41485"/>
    <cellStyle name="20% - Accent2 3 2 5 2 2 3" xfId="29183"/>
    <cellStyle name="20% - Accent2 3 2 5 2 3" xfId="9837"/>
    <cellStyle name="20% - Accent2 3 2 5 2 3 2" xfId="22141"/>
    <cellStyle name="20% - Accent2 3 2 5 2 3 2 2" xfId="45000"/>
    <cellStyle name="20% - Accent2 3 2 5 2 3 3" xfId="32698"/>
    <cellStyle name="20% - Accent2 3 2 5 2 4" xfId="15111"/>
    <cellStyle name="20% - Accent2 3 2 5 2 4 2" xfId="37970"/>
    <cellStyle name="20% - Accent2 3 2 5 2 5" xfId="25668"/>
    <cellStyle name="20% - Accent2 3 2 5 3" xfId="4564"/>
    <cellStyle name="20% - Accent2 3 2 5 3 2" xfId="16868"/>
    <cellStyle name="20% - Accent2 3 2 5 3 2 2" xfId="39727"/>
    <cellStyle name="20% - Accent2 3 2 5 3 3" xfId="27425"/>
    <cellStyle name="20% - Accent2 3 2 5 4" xfId="8079"/>
    <cellStyle name="20% - Accent2 3 2 5 4 2" xfId="20383"/>
    <cellStyle name="20% - Accent2 3 2 5 4 2 2" xfId="43242"/>
    <cellStyle name="20% - Accent2 3 2 5 4 3" xfId="30940"/>
    <cellStyle name="20% - Accent2 3 2 5 5" xfId="11594"/>
    <cellStyle name="20% - Accent2 3 2 5 5 2" xfId="34454"/>
    <cellStyle name="20% - Accent2 3 2 5 6" xfId="13353"/>
    <cellStyle name="20% - Accent2 3 2 5 6 2" xfId="36212"/>
    <cellStyle name="20% - Accent2 3 2 5 7" xfId="23909"/>
    <cellStyle name="20% - Accent2 3 2 6" xfId="1929"/>
    <cellStyle name="20% - Accent2 3 2 6 2" xfId="5444"/>
    <cellStyle name="20% - Accent2 3 2 6 2 2" xfId="17748"/>
    <cellStyle name="20% - Accent2 3 2 6 2 2 2" xfId="40607"/>
    <cellStyle name="20% - Accent2 3 2 6 2 3" xfId="28305"/>
    <cellStyle name="20% - Accent2 3 2 6 3" xfId="8959"/>
    <cellStyle name="20% - Accent2 3 2 6 3 2" xfId="21263"/>
    <cellStyle name="20% - Accent2 3 2 6 3 2 2" xfId="44122"/>
    <cellStyle name="20% - Accent2 3 2 6 3 3" xfId="31820"/>
    <cellStyle name="20% - Accent2 3 2 6 4" xfId="14233"/>
    <cellStyle name="20% - Accent2 3 2 6 4 2" xfId="37092"/>
    <cellStyle name="20% - Accent2 3 2 6 5" xfId="24790"/>
    <cellStyle name="20% - Accent2 3 2 7" xfId="3686"/>
    <cellStyle name="20% - Accent2 3 2 7 2" xfId="15990"/>
    <cellStyle name="20% - Accent2 3 2 7 2 2" xfId="38849"/>
    <cellStyle name="20% - Accent2 3 2 7 3" xfId="26547"/>
    <cellStyle name="20% - Accent2 3 2 8" xfId="7201"/>
    <cellStyle name="20% - Accent2 3 2 8 2" xfId="19505"/>
    <cellStyle name="20% - Accent2 3 2 8 2 2" xfId="42364"/>
    <cellStyle name="20% - Accent2 3 2 8 3" xfId="30062"/>
    <cellStyle name="20% - Accent2 3 2 9" xfId="10716"/>
    <cellStyle name="20% - Accent2 3 2 9 2" xfId="33576"/>
    <cellStyle name="20% - Accent2 3 3" xfId="217"/>
    <cellStyle name="20% - Accent2 3 3 10" xfId="23082"/>
    <cellStyle name="20% - Accent2 3 3 2" xfId="429"/>
    <cellStyle name="20% - Accent2 3 3 2 2" xfId="870"/>
    <cellStyle name="20% - Accent2 3 3 2 2 2" xfId="1749"/>
    <cellStyle name="20% - Accent2 3 3 2 2 2 2" xfId="3510"/>
    <cellStyle name="20% - Accent2 3 3 2 2 2 2 2" xfId="7025"/>
    <cellStyle name="20% - Accent2 3 3 2 2 2 2 2 2" xfId="19329"/>
    <cellStyle name="20% - Accent2 3 3 2 2 2 2 2 2 2" xfId="42188"/>
    <cellStyle name="20% - Accent2 3 3 2 2 2 2 2 3" xfId="29886"/>
    <cellStyle name="20% - Accent2 3 3 2 2 2 2 3" xfId="10540"/>
    <cellStyle name="20% - Accent2 3 3 2 2 2 2 3 2" xfId="22844"/>
    <cellStyle name="20% - Accent2 3 3 2 2 2 2 3 2 2" xfId="45703"/>
    <cellStyle name="20% - Accent2 3 3 2 2 2 2 3 3" xfId="33401"/>
    <cellStyle name="20% - Accent2 3 3 2 2 2 2 4" xfId="15814"/>
    <cellStyle name="20% - Accent2 3 3 2 2 2 2 4 2" xfId="38673"/>
    <cellStyle name="20% - Accent2 3 3 2 2 2 2 5" xfId="26371"/>
    <cellStyle name="20% - Accent2 3 3 2 2 2 3" xfId="5267"/>
    <cellStyle name="20% - Accent2 3 3 2 2 2 3 2" xfId="17571"/>
    <cellStyle name="20% - Accent2 3 3 2 2 2 3 2 2" xfId="40430"/>
    <cellStyle name="20% - Accent2 3 3 2 2 2 3 3" xfId="28128"/>
    <cellStyle name="20% - Accent2 3 3 2 2 2 4" xfId="8782"/>
    <cellStyle name="20% - Accent2 3 3 2 2 2 4 2" xfId="21086"/>
    <cellStyle name="20% - Accent2 3 3 2 2 2 4 2 2" xfId="43945"/>
    <cellStyle name="20% - Accent2 3 3 2 2 2 4 3" xfId="31643"/>
    <cellStyle name="20% - Accent2 3 3 2 2 2 5" xfId="12297"/>
    <cellStyle name="20% - Accent2 3 3 2 2 2 5 2" xfId="35157"/>
    <cellStyle name="20% - Accent2 3 3 2 2 2 6" xfId="14056"/>
    <cellStyle name="20% - Accent2 3 3 2 2 2 6 2" xfId="36915"/>
    <cellStyle name="20% - Accent2 3 3 2 2 2 7" xfId="24612"/>
    <cellStyle name="20% - Accent2 3 3 2 2 3" xfId="2632"/>
    <cellStyle name="20% - Accent2 3 3 2 2 3 2" xfId="6147"/>
    <cellStyle name="20% - Accent2 3 3 2 2 3 2 2" xfId="18451"/>
    <cellStyle name="20% - Accent2 3 3 2 2 3 2 2 2" xfId="41310"/>
    <cellStyle name="20% - Accent2 3 3 2 2 3 2 3" xfId="29008"/>
    <cellStyle name="20% - Accent2 3 3 2 2 3 3" xfId="9662"/>
    <cellStyle name="20% - Accent2 3 3 2 2 3 3 2" xfId="21966"/>
    <cellStyle name="20% - Accent2 3 3 2 2 3 3 2 2" xfId="44825"/>
    <cellStyle name="20% - Accent2 3 3 2 2 3 3 3" xfId="32523"/>
    <cellStyle name="20% - Accent2 3 3 2 2 3 4" xfId="14936"/>
    <cellStyle name="20% - Accent2 3 3 2 2 3 4 2" xfId="37795"/>
    <cellStyle name="20% - Accent2 3 3 2 2 3 5" xfId="25493"/>
    <cellStyle name="20% - Accent2 3 3 2 2 4" xfId="4389"/>
    <cellStyle name="20% - Accent2 3 3 2 2 4 2" xfId="16693"/>
    <cellStyle name="20% - Accent2 3 3 2 2 4 2 2" xfId="39552"/>
    <cellStyle name="20% - Accent2 3 3 2 2 4 3" xfId="27250"/>
    <cellStyle name="20% - Accent2 3 3 2 2 5" xfId="7904"/>
    <cellStyle name="20% - Accent2 3 3 2 2 5 2" xfId="20208"/>
    <cellStyle name="20% - Accent2 3 3 2 2 5 2 2" xfId="43067"/>
    <cellStyle name="20% - Accent2 3 3 2 2 5 3" xfId="30765"/>
    <cellStyle name="20% - Accent2 3 3 2 2 6" xfId="11419"/>
    <cellStyle name="20% - Accent2 3 3 2 2 6 2" xfId="34279"/>
    <cellStyle name="20% - Accent2 3 3 2 2 7" xfId="13178"/>
    <cellStyle name="20% - Accent2 3 3 2 2 7 2" xfId="36037"/>
    <cellStyle name="20% - Accent2 3 3 2 2 8" xfId="23734"/>
    <cellStyle name="20% - Accent2 3 3 2 3" xfId="1310"/>
    <cellStyle name="20% - Accent2 3 3 2 3 2" xfId="3071"/>
    <cellStyle name="20% - Accent2 3 3 2 3 2 2" xfId="6586"/>
    <cellStyle name="20% - Accent2 3 3 2 3 2 2 2" xfId="18890"/>
    <cellStyle name="20% - Accent2 3 3 2 3 2 2 2 2" xfId="41749"/>
    <cellStyle name="20% - Accent2 3 3 2 3 2 2 3" xfId="29447"/>
    <cellStyle name="20% - Accent2 3 3 2 3 2 3" xfId="10101"/>
    <cellStyle name="20% - Accent2 3 3 2 3 2 3 2" xfId="22405"/>
    <cellStyle name="20% - Accent2 3 3 2 3 2 3 2 2" xfId="45264"/>
    <cellStyle name="20% - Accent2 3 3 2 3 2 3 3" xfId="32962"/>
    <cellStyle name="20% - Accent2 3 3 2 3 2 4" xfId="15375"/>
    <cellStyle name="20% - Accent2 3 3 2 3 2 4 2" xfId="38234"/>
    <cellStyle name="20% - Accent2 3 3 2 3 2 5" xfId="25932"/>
    <cellStyle name="20% - Accent2 3 3 2 3 3" xfId="4828"/>
    <cellStyle name="20% - Accent2 3 3 2 3 3 2" xfId="17132"/>
    <cellStyle name="20% - Accent2 3 3 2 3 3 2 2" xfId="39991"/>
    <cellStyle name="20% - Accent2 3 3 2 3 3 3" xfId="27689"/>
    <cellStyle name="20% - Accent2 3 3 2 3 4" xfId="8343"/>
    <cellStyle name="20% - Accent2 3 3 2 3 4 2" xfId="20647"/>
    <cellStyle name="20% - Accent2 3 3 2 3 4 2 2" xfId="43506"/>
    <cellStyle name="20% - Accent2 3 3 2 3 4 3" xfId="31204"/>
    <cellStyle name="20% - Accent2 3 3 2 3 5" xfId="11858"/>
    <cellStyle name="20% - Accent2 3 3 2 3 5 2" xfId="34718"/>
    <cellStyle name="20% - Accent2 3 3 2 3 6" xfId="13617"/>
    <cellStyle name="20% - Accent2 3 3 2 3 6 2" xfId="36476"/>
    <cellStyle name="20% - Accent2 3 3 2 3 7" xfId="24173"/>
    <cellStyle name="20% - Accent2 3 3 2 4" xfId="2193"/>
    <cellStyle name="20% - Accent2 3 3 2 4 2" xfId="5708"/>
    <cellStyle name="20% - Accent2 3 3 2 4 2 2" xfId="18012"/>
    <cellStyle name="20% - Accent2 3 3 2 4 2 2 2" xfId="40871"/>
    <cellStyle name="20% - Accent2 3 3 2 4 2 3" xfId="28569"/>
    <cellStyle name="20% - Accent2 3 3 2 4 3" xfId="9223"/>
    <cellStyle name="20% - Accent2 3 3 2 4 3 2" xfId="21527"/>
    <cellStyle name="20% - Accent2 3 3 2 4 3 2 2" xfId="44386"/>
    <cellStyle name="20% - Accent2 3 3 2 4 3 3" xfId="32084"/>
    <cellStyle name="20% - Accent2 3 3 2 4 4" xfId="14497"/>
    <cellStyle name="20% - Accent2 3 3 2 4 4 2" xfId="37356"/>
    <cellStyle name="20% - Accent2 3 3 2 4 5" xfId="25054"/>
    <cellStyle name="20% - Accent2 3 3 2 5" xfId="3950"/>
    <cellStyle name="20% - Accent2 3 3 2 5 2" xfId="16254"/>
    <cellStyle name="20% - Accent2 3 3 2 5 2 2" xfId="39113"/>
    <cellStyle name="20% - Accent2 3 3 2 5 3" xfId="26811"/>
    <cellStyle name="20% - Accent2 3 3 2 6" xfId="7465"/>
    <cellStyle name="20% - Accent2 3 3 2 6 2" xfId="19769"/>
    <cellStyle name="20% - Accent2 3 3 2 6 2 2" xfId="42628"/>
    <cellStyle name="20% - Accent2 3 3 2 6 3" xfId="30326"/>
    <cellStyle name="20% - Accent2 3 3 2 7" xfId="10980"/>
    <cellStyle name="20% - Accent2 3 3 2 7 2" xfId="33840"/>
    <cellStyle name="20% - Accent2 3 3 2 8" xfId="12739"/>
    <cellStyle name="20% - Accent2 3 3 2 8 2" xfId="35598"/>
    <cellStyle name="20% - Accent2 3 3 2 9" xfId="23294"/>
    <cellStyle name="20% - Accent2 3 3 3" xfId="658"/>
    <cellStyle name="20% - Accent2 3 3 3 2" xfId="1537"/>
    <cellStyle name="20% - Accent2 3 3 3 2 2" xfId="3298"/>
    <cellStyle name="20% - Accent2 3 3 3 2 2 2" xfId="6813"/>
    <cellStyle name="20% - Accent2 3 3 3 2 2 2 2" xfId="19117"/>
    <cellStyle name="20% - Accent2 3 3 3 2 2 2 2 2" xfId="41976"/>
    <cellStyle name="20% - Accent2 3 3 3 2 2 2 3" xfId="29674"/>
    <cellStyle name="20% - Accent2 3 3 3 2 2 3" xfId="10328"/>
    <cellStyle name="20% - Accent2 3 3 3 2 2 3 2" xfId="22632"/>
    <cellStyle name="20% - Accent2 3 3 3 2 2 3 2 2" xfId="45491"/>
    <cellStyle name="20% - Accent2 3 3 3 2 2 3 3" xfId="33189"/>
    <cellStyle name="20% - Accent2 3 3 3 2 2 4" xfId="15602"/>
    <cellStyle name="20% - Accent2 3 3 3 2 2 4 2" xfId="38461"/>
    <cellStyle name="20% - Accent2 3 3 3 2 2 5" xfId="26159"/>
    <cellStyle name="20% - Accent2 3 3 3 2 3" xfId="5055"/>
    <cellStyle name="20% - Accent2 3 3 3 2 3 2" xfId="17359"/>
    <cellStyle name="20% - Accent2 3 3 3 2 3 2 2" xfId="40218"/>
    <cellStyle name="20% - Accent2 3 3 3 2 3 3" xfId="27916"/>
    <cellStyle name="20% - Accent2 3 3 3 2 4" xfId="8570"/>
    <cellStyle name="20% - Accent2 3 3 3 2 4 2" xfId="20874"/>
    <cellStyle name="20% - Accent2 3 3 3 2 4 2 2" xfId="43733"/>
    <cellStyle name="20% - Accent2 3 3 3 2 4 3" xfId="31431"/>
    <cellStyle name="20% - Accent2 3 3 3 2 5" xfId="12085"/>
    <cellStyle name="20% - Accent2 3 3 3 2 5 2" xfId="34945"/>
    <cellStyle name="20% - Accent2 3 3 3 2 6" xfId="13844"/>
    <cellStyle name="20% - Accent2 3 3 3 2 6 2" xfId="36703"/>
    <cellStyle name="20% - Accent2 3 3 3 2 7" xfId="24400"/>
    <cellStyle name="20% - Accent2 3 3 3 3" xfId="2420"/>
    <cellStyle name="20% - Accent2 3 3 3 3 2" xfId="5935"/>
    <cellStyle name="20% - Accent2 3 3 3 3 2 2" xfId="18239"/>
    <cellStyle name="20% - Accent2 3 3 3 3 2 2 2" xfId="41098"/>
    <cellStyle name="20% - Accent2 3 3 3 3 2 3" xfId="28796"/>
    <cellStyle name="20% - Accent2 3 3 3 3 3" xfId="9450"/>
    <cellStyle name="20% - Accent2 3 3 3 3 3 2" xfId="21754"/>
    <cellStyle name="20% - Accent2 3 3 3 3 3 2 2" xfId="44613"/>
    <cellStyle name="20% - Accent2 3 3 3 3 3 3" xfId="32311"/>
    <cellStyle name="20% - Accent2 3 3 3 3 4" xfId="14724"/>
    <cellStyle name="20% - Accent2 3 3 3 3 4 2" xfId="37583"/>
    <cellStyle name="20% - Accent2 3 3 3 3 5" xfId="25281"/>
    <cellStyle name="20% - Accent2 3 3 3 4" xfId="4177"/>
    <cellStyle name="20% - Accent2 3 3 3 4 2" xfId="16481"/>
    <cellStyle name="20% - Accent2 3 3 3 4 2 2" xfId="39340"/>
    <cellStyle name="20% - Accent2 3 3 3 4 3" xfId="27038"/>
    <cellStyle name="20% - Accent2 3 3 3 5" xfId="7692"/>
    <cellStyle name="20% - Accent2 3 3 3 5 2" xfId="19996"/>
    <cellStyle name="20% - Accent2 3 3 3 5 2 2" xfId="42855"/>
    <cellStyle name="20% - Accent2 3 3 3 5 3" xfId="30553"/>
    <cellStyle name="20% - Accent2 3 3 3 6" xfId="11207"/>
    <cellStyle name="20% - Accent2 3 3 3 6 2" xfId="34067"/>
    <cellStyle name="20% - Accent2 3 3 3 7" xfId="12966"/>
    <cellStyle name="20% - Accent2 3 3 3 7 2" xfId="35825"/>
    <cellStyle name="20% - Accent2 3 3 3 8" xfId="23522"/>
    <cellStyle name="20% - Accent2 3 3 4" xfId="1098"/>
    <cellStyle name="20% - Accent2 3 3 4 2" xfId="2859"/>
    <cellStyle name="20% - Accent2 3 3 4 2 2" xfId="6374"/>
    <cellStyle name="20% - Accent2 3 3 4 2 2 2" xfId="18678"/>
    <cellStyle name="20% - Accent2 3 3 4 2 2 2 2" xfId="41537"/>
    <cellStyle name="20% - Accent2 3 3 4 2 2 3" xfId="29235"/>
    <cellStyle name="20% - Accent2 3 3 4 2 3" xfId="9889"/>
    <cellStyle name="20% - Accent2 3 3 4 2 3 2" xfId="22193"/>
    <cellStyle name="20% - Accent2 3 3 4 2 3 2 2" xfId="45052"/>
    <cellStyle name="20% - Accent2 3 3 4 2 3 3" xfId="32750"/>
    <cellStyle name="20% - Accent2 3 3 4 2 4" xfId="15163"/>
    <cellStyle name="20% - Accent2 3 3 4 2 4 2" xfId="38022"/>
    <cellStyle name="20% - Accent2 3 3 4 2 5" xfId="25720"/>
    <cellStyle name="20% - Accent2 3 3 4 3" xfId="4616"/>
    <cellStyle name="20% - Accent2 3 3 4 3 2" xfId="16920"/>
    <cellStyle name="20% - Accent2 3 3 4 3 2 2" xfId="39779"/>
    <cellStyle name="20% - Accent2 3 3 4 3 3" xfId="27477"/>
    <cellStyle name="20% - Accent2 3 3 4 4" xfId="8131"/>
    <cellStyle name="20% - Accent2 3 3 4 4 2" xfId="20435"/>
    <cellStyle name="20% - Accent2 3 3 4 4 2 2" xfId="43294"/>
    <cellStyle name="20% - Accent2 3 3 4 4 3" xfId="30992"/>
    <cellStyle name="20% - Accent2 3 3 4 5" xfId="11646"/>
    <cellStyle name="20% - Accent2 3 3 4 5 2" xfId="34506"/>
    <cellStyle name="20% - Accent2 3 3 4 6" xfId="13405"/>
    <cellStyle name="20% - Accent2 3 3 4 6 2" xfId="36264"/>
    <cellStyle name="20% - Accent2 3 3 4 7" xfId="23961"/>
    <cellStyle name="20% - Accent2 3 3 5" xfId="1981"/>
    <cellStyle name="20% - Accent2 3 3 5 2" xfId="5496"/>
    <cellStyle name="20% - Accent2 3 3 5 2 2" xfId="17800"/>
    <cellStyle name="20% - Accent2 3 3 5 2 2 2" xfId="40659"/>
    <cellStyle name="20% - Accent2 3 3 5 2 3" xfId="28357"/>
    <cellStyle name="20% - Accent2 3 3 5 3" xfId="9011"/>
    <cellStyle name="20% - Accent2 3 3 5 3 2" xfId="21315"/>
    <cellStyle name="20% - Accent2 3 3 5 3 2 2" xfId="44174"/>
    <cellStyle name="20% - Accent2 3 3 5 3 3" xfId="31872"/>
    <cellStyle name="20% - Accent2 3 3 5 4" xfId="14285"/>
    <cellStyle name="20% - Accent2 3 3 5 4 2" xfId="37144"/>
    <cellStyle name="20% - Accent2 3 3 5 5" xfId="24842"/>
    <cellStyle name="20% - Accent2 3 3 6" xfId="3738"/>
    <cellStyle name="20% - Accent2 3 3 6 2" xfId="16042"/>
    <cellStyle name="20% - Accent2 3 3 6 2 2" xfId="38901"/>
    <cellStyle name="20% - Accent2 3 3 6 3" xfId="26599"/>
    <cellStyle name="20% - Accent2 3 3 7" xfId="7253"/>
    <cellStyle name="20% - Accent2 3 3 7 2" xfId="19557"/>
    <cellStyle name="20% - Accent2 3 3 7 2 2" xfId="42416"/>
    <cellStyle name="20% - Accent2 3 3 7 3" xfId="30114"/>
    <cellStyle name="20% - Accent2 3 3 8" xfId="10768"/>
    <cellStyle name="20% - Accent2 3 3 8 2" xfId="33628"/>
    <cellStyle name="20% - Accent2 3 3 9" xfId="12527"/>
    <cellStyle name="20% - Accent2 3 3 9 2" xfId="35386"/>
    <cellStyle name="20% - Accent2 3 4" xfId="323"/>
    <cellStyle name="20% - Accent2 3 4 2" xfId="764"/>
    <cellStyle name="20% - Accent2 3 4 2 2" xfId="1643"/>
    <cellStyle name="20% - Accent2 3 4 2 2 2" xfId="3404"/>
    <cellStyle name="20% - Accent2 3 4 2 2 2 2" xfId="6919"/>
    <cellStyle name="20% - Accent2 3 4 2 2 2 2 2" xfId="19223"/>
    <cellStyle name="20% - Accent2 3 4 2 2 2 2 2 2" xfId="42082"/>
    <cellStyle name="20% - Accent2 3 4 2 2 2 2 3" xfId="29780"/>
    <cellStyle name="20% - Accent2 3 4 2 2 2 3" xfId="10434"/>
    <cellStyle name="20% - Accent2 3 4 2 2 2 3 2" xfId="22738"/>
    <cellStyle name="20% - Accent2 3 4 2 2 2 3 2 2" xfId="45597"/>
    <cellStyle name="20% - Accent2 3 4 2 2 2 3 3" xfId="33295"/>
    <cellStyle name="20% - Accent2 3 4 2 2 2 4" xfId="15708"/>
    <cellStyle name="20% - Accent2 3 4 2 2 2 4 2" xfId="38567"/>
    <cellStyle name="20% - Accent2 3 4 2 2 2 5" xfId="26265"/>
    <cellStyle name="20% - Accent2 3 4 2 2 3" xfId="5161"/>
    <cellStyle name="20% - Accent2 3 4 2 2 3 2" xfId="17465"/>
    <cellStyle name="20% - Accent2 3 4 2 2 3 2 2" xfId="40324"/>
    <cellStyle name="20% - Accent2 3 4 2 2 3 3" xfId="28022"/>
    <cellStyle name="20% - Accent2 3 4 2 2 4" xfId="8676"/>
    <cellStyle name="20% - Accent2 3 4 2 2 4 2" xfId="20980"/>
    <cellStyle name="20% - Accent2 3 4 2 2 4 2 2" xfId="43839"/>
    <cellStyle name="20% - Accent2 3 4 2 2 4 3" xfId="31537"/>
    <cellStyle name="20% - Accent2 3 4 2 2 5" xfId="12191"/>
    <cellStyle name="20% - Accent2 3 4 2 2 5 2" xfId="35051"/>
    <cellStyle name="20% - Accent2 3 4 2 2 6" xfId="13950"/>
    <cellStyle name="20% - Accent2 3 4 2 2 6 2" xfId="36809"/>
    <cellStyle name="20% - Accent2 3 4 2 2 7" xfId="24506"/>
    <cellStyle name="20% - Accent2 3 4 2 3" xfId="2526"/>
    <cellStyle name="20% - Accent2 3 4 2 3 2" xfId="6041"/>
    <cellStyle name="20% - Accent2 3 4 2 3 2 2" xfId="18345"/>
    <cellStyle name="20% - Accent2 3 4 2 3 2 2 2" xfId="41204"/>
    <cellStyle name="20% - Accent2 3 4 2 3 2 3" xfId="28902"/>
    <cellStyle name="20% - Accent2 3 4 2 3 3" xfId="9556"/>
    <cellStyle name="20% - Accent2 3 4 2 3 3 2" xfId="21860"/>
    <cellStyle name="20% - Accent2 3 4 2 3 3 2 2" xfId="44719"/>
    <cellStyle name="20% - Accent2 3 4 2 3 3 3" xfId="32417"/>
    <cellStyle name="20% - Accent2 3 4 2 3 4" xfId="14830"/>
    <cellStyle name="20% - Accent2 3 4 2 3 4 2" xfId="37689"/>
    <cellStyle name="20% - Accent2 3 4 2 3 5" xfId="25387"/>
    <cellStyle name="20% - Accent2 3 4 2 4" xfId="4283"/>
    <cellStyle name="20% - Accent2 3 4 2 4 2" xfId="16587"/>
    <cellStyle name="20% - Accent2 3 4 2 4 2 2" xfId="39446"/>
    <cellStyle name="20% - Accent2 3 4 2 4 3" xfId="27144"/>
    <cellStyle name="20% - Accent2 3 4 2 5" xfId="7798"/>
    <cellStyle name="20% - Accent2 3 4 2 5 2" xfId="20102"/>
    <cellStyle name="20% - Accent2 3 4 2 5 2 2" xfId="42961"/>
    <cellStyle name="20% - Accent2 3 4 2 5 3" xfId="30659"/>
    <cellStyle name="20% - Accent2 3 4 2 6" xfId="11313"/>
    <cellStyle name="20% - Accent2 3 4 2 6 2" xfId="34173"/>
    <cellStyle name="20% - Accent2 3 4 2 7" xfId="13072"/>
    <cellStyle name="20% - Accent2 3 4 2 7 2" xfId="35931"/>
    <cellStyle name="20% - Accent2 3 4 2 8" xfId="23628"/>
    <cellStyle name="20% - Accent2 3 4 3" xfId="1204"/>
    <cellStyle name="20% - Accent2 3 4 3 2" xfId="2965"/>
    <cellStyle name="20% - Accent2 3 4 3 2 2" xfId="6480"/>
    <cellStyle name="20% - Accent2 3 4 3 2 2 2" xfId="18784"/>
    <cellStyle name="20% - Accent2 3 4 3 2 2 2 2" xfId="41643"/>
    <cellStyle name="20% - Accent2 3 4 3 2 2 3" xfId="29341"/>
    <cellStyle name="20% - Accent2 3 4 3 2 3" xfId="9995"/>
    <cellStyle name="20% - Accent2 3 4 3 2 3 2" xfId="22299"/>
    <cellStyle name="20% - Accent2 3 4 3 2 3 2 2" xfId="45158"/>
    <cellStyle name="20% - Accent2 3 4 3 2 3 3" xfId="32856"/>
    <cellStyle name="20% - Accent2 3 4 3 2 4" xfId="15269"/>
    <cellStyle name="20% - Accent2 3 4 3 2 4 2" xfId="38128"/>
    <cellStyle name="20% - Accent2 3 4 3 2 5" xfId="25826"/>
    <cellStyle name="20% - Accent2 3 4 3 3" xfId="4722"/>
    <cellStyle name="20% - Accent2 3 4 3 3 2" xfId="17026"/>
    <cellStyle name="20% - Accent2 3 4 3 3 2 2" xfId="39885"/>
    <cellStyle name="20% - Accent2 3 4 3 3 3" xfId="27583"/>
    <cellStyle name="20% - Accent2 3 4 3 4" xfId="8237"/>
    <cellStyle name="20% - Accent2 3 4 3 4 2" xfId="20541"/>
    <cellStyle name="20% - Accent2 3 4 3 4 2 2" xfId="43400"/>
    <cellStyle name="20% - Accent2 3 4 3 4 3" xfId="31098"/>
    <cellStyle name="20% - Accent2 3 4 3 5" xfId="11752"/>
    <cellStyle name="20% - Accent2 3 4 3 5 2" xfId="34612"/>
    <cellStyle name="20% - Accent2 3 4 3 6" xfId="13511"/>
    <cellStyle name="20% - Accent2 3 4 3 6 2" xfId="36370"/>
    <cellStyle name="20% - Accent2 3 4 3 7" xfId="24067"/>
    <cellStyle name="20% - Accent2 3 4 4" xfId="2087"/>
    <cellStyle name="20% - Accent2 3 4 4 2" xfId="5602"/>
    <cellStyle name="20% - Accent2 3 4 4 2 2" xfId="17906"/>
    <cellStyle name="20% - Accent2 3 4 4 2 2 2" xfId="40765"/>
    <cellStyle name="20% - Accent2 3 4 4 2 3" xfId="28463"/>
    <cellStyle name="20% - Accent2 3 4 4 3" xfId="9117"/>
    <cellStyle name="20% - Accent2 3 4 4 3 2" xfId="21421"/>
    <cellStyle name="20% - Accent2 3 4 4 3 2 2" xfId="44280"/>
    <cellStyle name="20% - Accent2 3 4 4 3 3" xfId="31978"/>
    <cellStyle name="20% - Accent2 3 4 4 4" xfId="14391"/>
    <cellStyle name="20% - Accent2 3 4 4 4 2" xfId="37250"/>
    <cellStyle name="20% - Accent2 3 4 4 5" xfId="24948"/>
    <cellStyle name="20% - Accent2 3 4 5" xfId="3844"/>
    <cellStyle name="20% - Accent2 3 4 5 2" xfId="16148"/>
    <cellStyle name="20% - Accent2 3 4 5 2 2" xfId="39007"/>
    <cellStyle name="20% - Accent2 3 4 5 3" xfId="26705"/>
    <cellStyle name="20% - Accent2 3 4 6" xfId="7359"/>
    <cellStyle name="20% - Accent2 3 4 6 2" xfId="19663"/>
    <cellStyle name="20% - Accent2 3 4 6 2 2" xfId="42522"/>
    <cellStyle name="20% - Accent2 3 4 6 3" xfId="30220"/>
    <cellStyle name="20% - Accent2 3 4 7" xfId="10874"/>
    <cellStyle name="20% - Accent2 3 4 7 2" xfId="33734"/>
    <cellStyle name="20% - Accent2 3 4 8" xfId="12633"/>
    <cellStyle name="20% - Accent2 3 4 8 2" xfId="35492"/>
    <cellStyle name="20% - Accent2 3 4 9" xfId="23188"/>
    <cellStyle name="20% - Accent2 3 5" xfId="552"/>
    <cellStyle name="20% - Accent2 3 5 2" xfId="1431"/>
    <cellStyle name="20% - Accent2 3 5 2 2" xfId="3192"/>
    <cellStyle name="20% - Accent2 3 5 2 2 2" xfId="6707"/>
    <cellStyle name="20% - Accent2 3 5 2 2 2 2" xfId="19011"/>
    <cellStyle name="20% - Accent2 3 5 2 2 2 2 2" xfId="41870"/>
    <cellStyle name="20% - Accent2 3 5 2 2 2 3" xfId="29568"/>
    <cellStyle name="20% - Accent2 3 5 2 2 3" xfId="10222"/>
    <cellStyle name="20% - Accent2 3 5 2 2 3 2" xfId="22526"/>
    <cellStyle name="20% - Accent2 3 5 2 2 3 2 2" xfId="45385"/>
    <cellStyle name="20% - Accent2 3 5 2 2 3 3" xfId="33083"/>
    <cellStyle name="20% - Accent2 3 5 2 2 4" xfId="15496"/>
    <cellStyle name="20% - Accent2 3 5 2 2 4 2" xfId="38355"/>
    <cellStyle name="20% - Accent2 3 5 2 2 5" xfId="26053"/>
    <cellStyle name="20% - Accent2 3 5 2 3" xfId="4949"/>
    <cellStyle name="20% - Accent2 3 5 2 3 2" xfId="17253"/>
    <cellStyle name="20% - Accent2 3 5 2 3 2 2" xfId="40112"/>
    <cellStyle name="20% - Accent2 3 5 2 3 3" xfId="27810"/>
    <cellStyle name="20% - Accent2 3 5 2 4" xfId="8464"/>
    <cellStyle name="20% - Accent2 3 5 2 4 2" xfId="20768"/>
    <cellStyle name="20% - Accent2 3 5 2 4 2 2" xfId="43627"/>
    <cellStyle name="20% - Accent2 3 5 2 4 3" xfId="31325"/>
    <cellStyle name="20% - Accent2 3 5 2 5" xfId="11979"/>
    <cellStyle name="20% - Accent2 3 5 2 5 2" xfId="34839"/>
    <cellStyle name="20% - Accent2 3 5 2 6" xfId="13738"/>
    <cellStyle name="20% - Accent2 3 5 2 6 2" xfId="36597"/>
    <cellStyle name="20% - Accent2 3 5 2 7" xfId="24294"/>
    <cellStyle name="20% - Accent2 3 5 3" xfId="2314"/>
    <cellStyle name="20% - Accent2 3 5 3 2" xfId="5829"/>
    <cellStyle name="20% - Accent2 3 5 3 2 2" xfId="18133"/>
    <cellStyle name="20% - Accent2 3 5 3 2 2 2" xfId="40992"/>
    <cellStyle name="20% - Accent2 3 5 3 2 3" xfId="28690"/>
    <cellStyle name="20% - Accent2 3 5 3 3" xfId="9344"/>
    <cellStyle name="20% - Accent2 3 5 3 3 2" xfId="21648"/>
    <cellStyle name="20% - Accent2 3 5 3 3 2 2" xfId="44507"/>
    <cellStyle name="20% - Accent2 3 5 3 3 3" xfId="32205"/>
    <cellStyle name="20% - Accent2 3 5 3 4" xfId="14618"/>
    <cellStyle name="20% - Accent2 3 5 3 4 2" xfId="37477"/>
    <cellStyle name="20% - Accent2 3 5 3 5" xfId="25175"/>
    <cellStyle name="20% - Accent2 3 5 4" xfId="4071"/>
    <cellStyle name="20% - Accent2 3 5 4 2" xfId="16375"/>
    <cellStyle name="20% - Accent2 3 5 4 2 2" xfId="39234"/>
    <cellStyle name="20% - Accent2 3 5 4 3" xfId="26932"/>
    <cellStyle name="20% - Accent2 3 5 5" xfId="7586"/>
    <cellStyle name="20% - Accent2 3 5 5 2" xfId="19890"/>
    <cellStyle name="20% - Accent2 3 5 5 2 2" xfId="42749"/>
    <cellStyle name="20% - Accent2 3 5 5 3" xfId="30447"/>
    <cellStyle name="20% - Accent2 3 5 6" xfId="11101"/>
    <cellStyle name="20% - Accent2 3 5 6 2" xfId="33961"/>
    <cellStyle name="20% - Accent2 3 5 7" xfId="12860"/>
    <cellStyle name="20% - Accent2 3 5 7 2" xfId="35719"/>
    <cellStyle name="20% - Accent2 3 5 8" xfId="23416"/>
    <cellStyle name="20% - Accent2 3 6" xfId="992"/>
    <cellStyle name="20% - Accent2 3 6 2" xfId="2753"/>
    <cellStyle name="20% - Accent2 3 6 2 2" xfId="6268"/>
    <cellStyle name="20% - Accent2 3 6 2 2 2" xfId="18572"/>
    <cellStyle name="20% - Accent2 3 6 2 2 2 2" xfId="41431"/>
    <cellStyle name="20% - Accent2 3 6 2 2 3" xfId="29129"/>
    <cellStyle name="20% - Accent2 3 6 2 3" xfId="9783"/>
    <cellStyle name="20% - Accent2 3 6 2 3 2" xfId="22087"/>
    <cellStyle name="20% - Accent2 3 6 2 3 2 2" xfId="44946"/>
    <cellStyle name="20% - Accent2 3 6 2 3 3" xfId="32644"/>
    <cellStyle name="20% - Accent2 3 6 2 4" xfId="15057"/>
    <cellStyle name="20% - Accent2 3 6 2 4 2" xfId="37916"/>
    <cellStyle name="20% - Accent2 3 6 2 5" xfId="25614"/>
    <cellStyle name="20% - Accent2 3 6 3" xfId="4510"/>
    <cellStyle name="20% - Accent2 3 6 3 2" xfId="16814"/>
    <cellStyle name="20% - Accent2 3 6 3 2 2" xfId="39673"/>
    <cellStyle name="20% - Accent2 3 6 3 3" xfId="27371"/>
    <cellStyle name="20% - Accent2 3 6 4" xfId="8025"/>
    <cellStyle name="20% - Accent2 3 6 4 2" xfId="20329"/>
    <cellStyle name="20% - Accent2 3 6 4 2 2" xfId="43188"/>
    <cellStyle name="20% - Accent2 3 6 4 3" xfId="30886"/>
    <cellStyle name="20% - Accent2 3 6 5" xfId="11540"/>
    <cellStyle name="20% - Accent2 3 6 5 2" xfId="34400"/>
    <cellStyle name="20% - Accent2 3 6 6" xfId="13299"/>
    <cellStyle name="20% - Accent2 3 6 6 2" xfId="36158"/>
    <cellStyle name="20% - Accent2 3 6 7" xfId="23855"/>
    <cellStyle name="20% - Accent2 3 7" xfId="1875"/>
    <cellStyle name="20% - Accent2 3 7 2" xfId="5390"/>
    <cellStyle name="20% - Accent2 3 7 2 2" xfId="17694"/>
    <cellStyle name="20% - Accent2 3 7 2 2 2" xfId="40553"/>
    <cellStyle name="20% - Accent2 3 7 2 3" xfId="28251"/>
    <cellStyle name="20% - Accent2 3 7 3" xfId="8905"/>
    <cellStyle name="20% - Accent2 3 7 3 2" xfId="21209"/>
    <cellStyle name="20% - Accent2 3 7 3 2 2" xfId="44068"/>
    <cellStyle name="20% - Accent2 3 7 3 3" xfId="31766"/>
    <cellStyle name="20% - Accent2 3 7 4" xfId="14179"/>
    <cellStyle name="20% - Accent2 3 7 4 2" xfId="37038"/>
    <cellStyle name="20% - Accent2 3 7 5" xfId="24736"/>
    <cellStyle name="20% - Accent2 3 8" xfId="3632"/>
    <cellStyle name="20% - Accent2 3 8 2" xfId="15936"/>
    <cellStyle name="20% - Accent2 3 8 2 2" xfId="38795"/>
    <cellStyle name="20% - Accent2 3 8 3" xfId="26493"/>
    <cellStyle name="20% - Accent2 3 9" xfId="7147"/>
    <cellStyle name="20% - Accent2 3 9 2" xfId="19451"/>
    <cellStyle name="20% - Accent2 3 9 2 2" xfId="42310"/>
    <cellStyle name="20% - Accent2 3 9 3" xfId="30008"/>
    <cellStyle name="20% - Accent2 4" xfId="138"/>
    <cellStyle name="20% - Accent2 4 10" xfId="12450"/>
    <cellStyle name="20% - Accent2 4 10 2" xfId="35309"/>
    <cellStyle name="20% - Accent2 4 11" xfId="23004"/>
    <cellStyle name="20% - Accent2 4 2" xfId="246"/>
    <cellStyle name="20% - Accent2 4 2 10" xfId="23111"/>
    <cellStyle name="20% - Accent2 4 2 2" xfId="458"/>
    <cellStyle name="20% - Accent2 4 2 2 2" xfId="899"/>
    <cellStyle name="20% - Accent2 4 2 2 2 2" xfId="1778"/>
    <cellStyle name="20% - Accent2 4 2 2 2 2 2" xfId="3539"/>
    <cellStyle name="20% - Accent2 4 2 2 2 2 2 2" xfId="7054"/>
    <cellStyle name="20% - Accent2 4 2 2 2 2 2 2 2" xfId="19358"/>
    <cellStyle name="20% - Accent2 4 2 2 2 2 2 2 2 2" xfId="42217"/>
    <cellStyle name="20% - Accent2 4 2 2 2 2 2 2 3" xfId="29915"/>
    <cellStyle name="20% - Accent2 4 2 2 2 2 2 3" xfId="10569"/>
    <cellStyle name="20% - Accent2 4 2 2 2 2 2 3 2" xfId="22873"/>
    <cellStyle name="20% - Accent2 4 2 2 2 2 2 3 2 2" xfId="45732"/>
    <cellStyle name="20% - Accent2 4 2 2 2 2 2 3 3" xfId="33430"/>
    <cellStyle name="20% - Accent2 4 2 2 2 2 2 4" xfId="15843"/>
    <cellStyle name="20% - Accent2 4 2 2 2 2 2 4 2" xfId="38702"/>
    <cellStyle name="20% - Accent2 4 2 2 2 2 2 5" xfId="26400"/>
    <cellStyle name="20% - Accent2 4 2 2 2 2 3" xfId="5296"/>
    <cellStyle name="20% - Accent2 4 2 2 2 2 3 2" xfId="17600"/>
    <cellStyle name="20% - Accent2 4 2 2 2 2 3 2 2" xfId="40459"/>
    <cellStyle name="20% - Accent2 4 2 2 2 2 3 3" xfId="28157"/>
    <cellStyle name="20% - Accent2 4 2 2 2 2 4" xfId="8811"/>
    <cellStyle name="20% - Accent2 4 2 2 2 2 4 2" xfId="21115"/>
    <cellStyle name="20% - Accent2 4 2 2 2 2 4 2 2" xfId="43974"/>
    <cellStyle name="20% - Accent2 4 2 2 2 2 4 3" xfId="31672"/>
    <cellStyle name="20% - Accent2 4 2 2 2 2 5" xfId="12326"/>
    <cellStyle name="20% - Accent2 4 2 2 2 2 5 2" xfId="35186"/>
    <cellStyle name="20% - Accent2 4 2 2 2 2 6" xfId="14085"/>
    <cellStyle name="20% - Accent2 4 2 2 2 2 6 2" xfId="36944"/>
    <cellStyle name="20% - Accent2 4 2 2 2 2 7" xfId="24641"/>
    <cellStyle name="20% - Accent2 4 2 2 2 3" xfId="2661"/>
    <cellStyle name="20% - Accent2 4 2 2 2 3 2" xfId="6176"/>
    <cellStyle name="20% - Accent2 4 2 2 2 3 2 2" xfId="18480"/>
    <cellStyle name="20% - Accent2 4 2 2 2 3 2 2 2" xfId="41339"/>
    <cellStyle name="20% - Accent2 4 2 2 2 3 2 3" xfId="29037"/>
    <cellStyle name="20% - Accent2 4 2 2 2 3 3" xfId="9691"/>
    <cellStyle name="20% - Accent2 4 2 2 2 3 3 2" xfId="21995"/>
    <cellStyle name="20% - Accent2 4 2 2 2 3 3 2 2" xfId="44854"/>
    <cellStyle name="20% - Accent2 4 2 2 2 3 3 3" xfId="32552"/>
    <cellStyle name="20% - Accent2 4 2 2 2 3 4" xfId="14965"/>
    <cellStyle name="20% - Accent2 4 2 2 2 3 4 2" xfId="37824"/>
    <cellStyle name="20% - Accent2 4 2 2 2 3 5" xfId="25522"/>
    <cellStyle name="20% - Accent2 4 2 2 2 4" xfId="4418"/>
    <cellStyle name="20% - Accent2 4 2 2 2 4 2" xfId="16722"/>
    <cellStyle name="20% - Accent2 4 2 2 2 4 2 2" xfId="39581"/>
    <cellStyle name="20% - Accent2 4 2 2 2 4 3" xfId="27279"/>
    <cellStyle name="20% - Accent2 4 2 2 2 5" xfId="7933"/>
    <cellStyle name="20% - Accent2 4 2 2 2 5 2" xfId="20237"/>
    <cellStyle name="20% - Accent2 4 2 2 2 5 2 2" xfId="43096"/>
    <cellStyle name="20% - Accent2 4 2 2 2 5 3" xfId="30794"/>
    <cellStyle name="20% - Accent2 4 2 2 2 6" xfId="11448"/>
    <cellStyle name="20% - Accent2 4 2 2 2 6 2" xfId="34308"/>
    <cellStyle name="20% - Accent2 4 2 2 2 7" xfId="13207"/>
    <cellStyle name="20% - Accent2 4 2 2 2 7 2" xfId="36066"/>
    <cellStyle name="20% - Accent2 4 2 2 2 8" xfId="23763"/>
    <cellStyle name="20% - Accent2 4 2 2 3" xfId="1339"/>
    <cellStyle name="20% - Accent2 4 2 2 3 2" xfId="3100"/>
    <cellStyle name="20% - Accent2 4 2 2 3 2 2" xfId="6615"/>
    <cellStyle name="20% - Accent2 4 2 2 3 2 2 2" xfId="18919"/>
    <cellStyle name="20% - Accent2 4 2 2 3 2 2 2 2" xfId="41778"/>
    <cellStyle name="20% - Accent2 4 2 2 3 2 2 3" xfId="29476"/>
    <cellStyle name="20% - Accent2 4 2 2 3 2 3" xfId="10130"/>
    <cellStyle name="20% - Accent2 4 2 2 3 2 3 2" xfId="22434"/>
    <cellStyle name="20% - Accent2 4 2 2 3 2 3 2 2" xfId="45293"/>
    <cellStyle name="20% - Accent2 4 2 2 3 2 3 3" xfId="32991"/>
    <cellStyle name="20% - Accent2 4 2 2 3 2 4" xfId="15404"/>
    <cellStyle name="20% - Accent2 4 2 2 3 2 4 2" xfId="38263"/>
    <cellStyle name="20% - Accent2 4 2 2 3 2 5" xfId="25961"/>
    <cellStyle name="20% - Accent2 4 2 2 3 3" xfId="4857"/>
    <cellStyle name="20% - Accent2 4 2 2 3 3 2" xfId="17161"/>
    <cellStyle name="20% - Accent2 4 2 2 3 3 2 2" xfId="40020"/>
    <cellStyle name="20% - Accent2 4 2 2 3 3 3" xfId="27718"/>
    <cellStyle name="20% - Accent2 4 2 2 3 4" xfId="8372"/>
    <cellStyle name="20% - Accent2 4 2 2 3 4 2" xfId="20676"/>
    <cellStyle name="20% - Accent2 4 2 2 3 4 2 2" xfId="43535"/>
    <cellStyle name="20% - Accent2 4 2 2 3 4 3" xfId="31233"/>
    <cellStyle name="20% - Accent2 4 2 2 3 5" xfId="11887"/>
    <cellStyle name="20% - Accent2 4 2 2 3 5 2" xfId="34747"/>
    <cellStyle name="20% - Accent2 4 2 2 3 6" xfId="13646"/>
    <cellStyle name="20% - Accent2 4 2 2 3 6 2" xfId="36505"/>
    <cellStyle name="20% - Accent2 4 2 2 3 7" xfId="24202"/>
    <cellStyle name="20% - Accent2 4 2 2 4" xfId="2222"/>
    <cellStyle name="20% - Accent2 4 2 2 4 2" xfId="5737"/>
    <cellStyle name="20% - Accent2 4 2 2 4 2 2" xfId="18041"/>
    <cellStyle name="20% - Accent2 4 2 2 4 2 2 2" xfId="40900"/>
    <cellStyle name="20% - Accent2 4 2 2 4 2 3" xfId="28598"/>
    <cellStyle name="20% - Accent2 4 2 2 4 3" xfId="9252"/>
    <cellStyle name="20% - Accent2 4 2 2 4 3 2" xfId="21556"/>
    <cellStyle name="20% - Accent2 4 2 2 4 3 2 2" xfId="44415"/>
    <cellStyle name="20% - Accent2 4 2 2 4 3 3" xfId="32113"/>
    <cellStyle name="20% - Accent2 4 2 2 4 4" xfId="14526"/>
    <cellStyle name="20% - Accent2 4 2 2 4 4 2" xfId="37385"/>
    <cellStyle name="20% - Accent2 4 2 2 4 5" xfId="25083"/>
    <cellStyle name="20% - Accent2 4 2 2 5" xfId="3979"/>
    <cellStyle name="20% - Accent2 4 2 2 5 2" xfId="16283"/>
    <cellStyle name="20% - Accent2 4 2 2 5 2 2" xfId="39142"/>
    <cellStyle name="20% - Accent2 4 2 2 5 3" xfId="26840"/>
    <cellStyle name="20% - Accent2 4 2 2 6" xfId="7494"/>
    <cellStyle name="20% - Accent2 4 2 2 6 2" xfId="19798"/>
    <cellStyle name="20% - Accent2 4 2 2 6 2 2" xfId="42657"/>
    <cellStyle name="20% - Accent2 4 2 2 6 3" xfId="30355"/>
    <cellStyle name="20% - Accent2 4 2 2 7" xfId="11009"/>
    <cellStyle name="20% - Accent2 4 2 2 7 2" xfId="33869"/>
    <cellStyle name="20% - Accent2 4 2 2 8" xfId="12768"/>
    <cellStyle name="20% - Accent2 4 2 2 8 2" xfId="35627"/>
    <cellStyle name="20% - Accent2 4 2 2 9" xfId="23323"/>
    <cellStyle name="20% - Accent2 4 2 3" xfId="687"/>
    <cellStyle name="20% - Accent2 4 2 3 2" xfId="1566"/>
    <cellStyle name="20% - Accent2 4 2 3 2 2" xfId="3327"/>
    <cellStyle name="20% - Accent2 4 2 3 2 2 2" xfId="6842"/>
    <cellStyle name="20% - Accent2 4 2 3 2 2 2 2" xfId="19146"/>
    <cellStyle name="20% - Accent2 4 2 3 2 2 2 2 2" xfId="42005"/>
    <cellStyle name="20% - Accent2 4 2 3 2 2 2 3" xfId="29703"/>
    <cellStyle name="20% - Accent2 4 2 3 2 2 3" xfId="10357"/>
    <cellStyle name="20% - Accent2 4 2 3 2 2 3 2" xfId="22661"/>
    <cellStyle name="20% - Accent2 4 2 3 2 2 3 2 2" xfId="45520"/>
    <cellStyle name="20% - Accent2 4 2 3 2 2 3 3" xfId="33218"/>
    <cellStyle name="20% - Accent2 4 2 3 2 2 4" xfId="15631"/>
    <cellStyle name="20% - Accent2 4 2 3 2 2 4 2" xfId="38490"/>
    <cellStyle name="20% - Accent2 4 2 3 2 2 5" xfId="26188"/>
    <cellStyle name="20% - Accent2 4 2 3 2 3" xfId="5084"/>
    <cellStyle name="20% - Accent2 4 2 3 2 3 2" xfId="17388"/>
    <cellStyle name="20% - Accent2 4 2 3 2 3 2 2" xfId="40247"/>
    <cellStyle name="20% - Accent2 4 2 3 2 3 3" xfId="27945"/>
    <cellStyle name="20% - Accent2 4 2 3 2 4" xfId="8599"/>
    <cellStyle name="20% - Accent2 4 2 3 2 4 2" xfId="20903"/>
    <cellStyle name="20% - Accent2 4 2 3 2 4 2 2" xfId="43762"/>
    <cellStyle name="20% - Accent2 4 2 3 2 4 3" xfId="31460"/>
    <cellStyle name="20% - Accent2 4 2 3 2 5" xfId="12114"/>
    <cellStyle name="20% - Accent2 4 2 3 2 5 2" xfId="34974"/>
    <cellStyle name="20% - Accent2 4 2 3 2 6" xfId="13873"/>
    <cellStyle name="20% - Accent2 4 2 3 2 6 2" xfId="36732"/>
    <cellStyle name="20% - Accent2 4 2 3 2 7" xfId="24429"/>
    <cellStyle name="20% - Accent2 4 2 3 3" xfId="2449"/>
    <cellStyle name="20% - Accent2 4 2 3 3 2" xfId="5964"/>
    <cellStyle name="20% - Accent2 4 2 3 3 2 2" xfId="18268"/>
    <cellStyle name="20% - Accent2 4 2 3 3 2 2 2" xfId="41127"/>
    <cellStyle name="20% - Accent2 4 2 3 3 2 3" xfId="28825"/>
    <cellStyle name="20% - Accent2 4 2 3 3 3" xfId="9479"/>
    <cellStyle name="20% - Accent2 4 2 3 3 3 2" xfId="21783"/>
    <cellStyle name="20% - Accent2 4 2 3 3 3 2 2" xfId="44642"/>
    <cellStyle name="20% - Accent2 4 2 3 3 3 3" xfId="32340"/>
    <cellStyle name="20% - Accent2 4 2 3 3 4" xfId="14753"/>
    <cellStyle name="20% - Accent2 4 2 3 3 4 2" xfId="37612"/>
    <cellStyle name="20% - Accent2 4 2 3 3 5" xfId="25310"/>
    <cellStyle name="20% - Accent2 4 2 3 4" xfId="4206"/>
    <cellStyle name="20% - Accent2 4 2 3 4 2" xfId="16510"/>
    <cellStyle name="20% - Accent2 4 2 3 4 2 2" xfId="39369"/>
    <cellStyle name="20% - Accent2 4 2 3 4 3" xfId="27067"/>
    <cellStyle name="20% - Accent2 4 2 3 5" xfId="7721"/>
    <cellStyle name="20% - Accent2 4 2 3 5 2" xfId="20025"/>
    <cellStyle name="20% - Accent2 4 2 3 5 2 2" xfId="42884"/>
    <cellStyle name="20% - Accent2 4 2 3 5 3" xfId="30582"/>
    <cellStyle name="20% - Accent2 4 2 3 6" xfId="11236"/>
    <cellStyle name="20% - Accent2 4 2 3 6 2" xfId="34096"/>
    <cellStyle name="20% - Accent2 4 2 3 7" xfId="12995"/>
    <cellStyle name="20% - Accent2 4 2 3 7 2" xfId="35854"/>
    <cellStyle name="20% - Accent2 4 2 3 8" xfId="23551"/>
    <cellStyle name="20% - Accent2 4 2 4" xfId="1127"/>
    <cellStyle name="20% - Accent2 4 2 4 2" xfId="2888"/>
    <cellStyle name="20% - Accent2 4 2 4 2 2" xfId="6403"/>
    <cellStyle name="20% - Accent2 4 2 4 2 2 2" xfId="18707"/>
    <cellStyle name="20% - Accent2 4 2 4 2 2 2 2" xfId="41566"/>
    <cellStyle name="20% - Accent2 4 2 4 2 2 3" xfId="29264"/>
    <cellStyle name="20% - Accent2 4 2 4 2 3" xfId="9918"/>
    <cellStyle name="20% - Accent2 4 2 4 2 3 2" xfId="22222"/>
    <cellStyle name="20% - Accent2 4 2 4 2 3 2 2" xfId="45081"/>
    <cellStyle name="20% - Accent2 4 2 4 2 3 3" xfId="32779"/>
    <cellStyle name="20% - Accent2 4 2 4 2 4" xfId="15192"/>
    <cellStyle name="20% - Accent2 4 2 4 2 4 2" xfId="38051"/>
    <cellStyle name="20% - Accent2 4 2 4 2 5" xfId="25749"/>
    <cellStyle name="20% - Accent2 4 2 4 3" xfId="4645"/>
    <cellStyle name="20% - Accent2 4 2 4 3 2" xfId="16949"/>
    <cellStyle name="20% - Accent2 4 2 4 3 2 2" xfId="39808"/>
    <cellStyle name="20% - Accent2 4 2 4 3 3" xfId="27506"/>
    <cellStyle name="20% - Accent2 4 2 4 4" xfId="8160"/>
    <cellStyle name="20% - Accent2 4 2 4 4 2" xfId="20464"/>
    <cellStyle name="20% - Accent2 4 2 4 4 2 2" xfId="43323"/>
    <cellStyle name="20% - Accent2 4 2 4 4 3" xfId="31021"/>
    <cellStyle name="20% - Accent2 4 2 4 5" xfId="11675"/>
    <cellStyle name="20% - Accent2 4 2 4 5 2" xfId="34535"/>
    <cellStyle name="20% - Accent2 4 2 4 6" xfId="13434"/>
    <cellStyle name="20% - Accent2 4 2 4 6 2" xfId="36293"/>
    <cellStyle name="20% - Accent2 4 2 4 7" xfId="23990"/>
    <cellStyle name="20% - Accent2 4 2 5" xfId="2010"/>
    <cellStyle name="20% - Accent2 4 2 5 2" xfId="5525"/>
    <cellStyle name="20% - Accent2 4 2 5 2 2" xfId="17829"/>
    <cellStyle name="20% - Accent2 4 2 5 2 2 2" xfId="40688"/>
    <cellStyle name="20% - Accent2 4 2 5 2 3" xfId="28386"/>
    <cellStyle name="20% - Accent2 4 2 5 3" xfId="9040"/>
    <cellStyle name="20% - Accent2 4 2 5 3 2" xfId="21344"/>
    <cellStyle name="20% - Accent2 4 2 5 3 2 2" xfId="44203"/>
    <cellStyle name="20% - Accent2 4 2 5 3 3" xfId="31901"/>
    <cellStyle name="20% - Accent2 4 2 5 4" xfId="14314"/>
    <cellStyle name="20% - Accent2 4 2 5 4 2" xfId="37173"/>
    <cellStyle name="20% - Accent2 4 2 5 5" xfId="24871"/>
    <cellStyle name="20% - Accent2 4 2 6" xfId="3767"/>
    <cellStyle name="20% - Accent2 4 2 6 2" xfId="16071"/>
    <cellStyle name="20% - Accent2 4 2 6 2 2" xfId="38930"/>
    <cellStyle name="20% - Accent2 4 2 6 3" xfId="26628"/>
    <cellStyle name="20% - Accent2 4 2 7" xfId="7282"/>
    <cellStyle name="20% - Accent2 4 2 7 2" xfId="19586"/>
    <cellStyle name="20% - Accent2 4 2 7 2 2" xfId="42445"/>
    <cellStyle name="20% - Accent2 4 2 7 3" xfId="30143"/>
    <cellStyle name="20% - Accent2 4 2 8" xfId="10797"/>
    <cellStyle name="20% - Accent2 4 2 8 2" xfId="33657"/>
    <cellStyle name="20% - Accent2 4 2 9" xfId="12556"/>
    <cellStyle name="20% - Accent2 4 2 9 2" xfId="35415"/>
    <cellStyle name="20% - Accent2 4 3" xfId="352"/>
    <cellStyle name="20% - Accent2 4 3 2" xfId="793"/>
    <cellStyle name="20% - Accent2 4 3 2 2" xfId="1672"/>
    <cellStyle name="20% - Accent2 4 3 2 2 2" xfId="3433"/>
    <cellStyle name="20% - Accent2 4 3 2 2 2 2" xfId="6948"/>
    <cellStyle name="20% - Accent2 4 3 2 2 2 2 2" xfId="19252"/>
    <cellStyle name="20% - Accent2 4 3 2 2 2 2 2 2" xfId="42111"/>
    <cellStyle name="20% - Accent2 4 3 2 2 2 2 3" xfId="29809"/>
    <cellStyle name="20% - Accent2 4 3 2 2 2 3" xfId="10463"/>
    <cellStyle name="20% - Accent2 4 3 2 2 2 3 2" xfId="22767"/>
    <cellStyle name="20% - Accent2 4 3 2 2 2 3 2 2" xfId="45626"/>
    <cellStyle name="20% - Accent2 4 3 2 2 2 3 3" xfId="33324"/>
    <cellStyle name="20% - Accent2 4 3 2 2 2 4" xfId="15737"/>
    <cellStyle name="20% - Accent2 4 3 2 2 2 4 2" xfId="38596"/>
    <cellStyle name="20% - Accent2 4 3 2 2 2 5" xfId="26294"/>
    <cellStyle name="20% - Accent2 4 3 2 2 3" xfId="5190"/>
    <cellStyle name="20% - Accent2 4 3 2 2 3 2" xfId="17494"/>
    <cellStyle name="20% - Accent2 4 3 2 2 3 2 2" xfId="40353"/>
    <cellStyle name="20% - Accent2 4 3 2 2 3 3" xfId="28051"/>
    <cellStyle name="20% - Accent2 4 3 2 2 4" xfId="8705"/>
    <cellStyle name="20% - Accent2 4 3 2 2 4 2" xfId="21009"/>
    <cellStyle name="20% - Accent2 4 3 2 2 4 2 2" xfId="43868"/>
    <cellStyle name="20% - Accent2 4 3 2 2 4 3" xfId="31566"/>
    <cellStyle name="20% - Accent2 4 3 2 2 5" xfId="12220"/>
    <cellStyle name="20% - Accent2 4 3 2 2 5 2" xfId="35080"/>
    <cellStyle name="20% - Accent2 4 3 2 2 6" xfId="13979"/>
    <cellStyle name="20% - Accent2 4 3 2 2 6 2" xfId="36838"/>
    <cellStyle name="20% - Accent2 4 3 2 2 7" xfId="24535"/>
    <cellStyle name="20% - Accent2 4 3 2 3" xfId="2555"/>
    <cellStyle name="20% - Accent2 4 3 2 3 2" xfId="6070"/>
    <cellStyle name="20% - Accent2 4 3 2 3 2 2" xfId="18374"/>
    <cellStyle name="20% - Accent2 4 3 2 3 2 2 2" xfId="41233"/>
    <cellStyle name="20% - Accent2 4 3 2 3 2 3" xfId="28931"/>
    <cellStyle name="20% - Accent2 4 3 2 3 3" xfId="9585"/>
    <cellStyle name="20% - Accent2 4 3 2 3 3 2" xfId="21889"/>
    <cellStyle name="20% - Accent2 4 3 2 3 3 2 2" xfId="44748"/>
    <cellStyle name="20% - Accent2 4 3 2 3 3 3" xfId="32446"/>
    <cellStyle name="20% - Accent2 4 3 2 3 4" xfId="14859"/>
    <cellStyle name="20% - Accent2 4 3 2 3 4 2" xfId="37718"/>
    <cellStyle name="20% - Accent2 4 3 2 3 5" xfId="25416"/>
    <cellStyle name="20% - Accent2 4 3 2 4" xfId="4312"/>
    <cellStyle name="20% - Accent2 4 3 2 4 2" xfId="16616"/>
    <cellStyle name="20% - Accent2 4 3 2 4 2 2" xfId="39475"/>
    <cellStyle name="20% - Accent2 4 3 2 4 3" xfId="27173"/>
    <cellStyle name="20% - Accent2 4 3 2 5" xfId="7827"/>
    <cellStyle name="20% - Accent2 4 3 2 5 2" xfId="20131"/>
    <cellStyle name="20% - Accent2 4 3 2 5 2 2" xfId="42990"/>
    <cellStyle name="20% - Accent2 4 3 2 5 3" xfId="30688"/>
    <cellStyle name="20% - Accent2 4 3 2 6" xfId="11342"/>
    <cellStyle name="20% - Accent2 4 3 2 6 2" xfId="34202"/>
    <cellStyle name="20% - Accent2 4 3 2 7" xfId="13101"/>
    <cellStyle name="20% - Accent2 4 3 2 7 2" xfId="35960"/>
    <cellStyle name="20% - Accent2 4 3 2 8" xfId="23657"/>
    <cellStyle name="20% - Accent2 4 3 3" xfId="1233"/>
    <cellStyle name="20% - Accent2 4 3 3 2" xfId="2994"/>
    <cellStyle name="20% - Accent2 4 3 3 2 2" xfId="6509"/>
    <cellStyle name="20% - Accent2 4 3 3 2 2 2" xfId="18813"/>
    <cellStyle name="20% - Accent2 4 3 3 2 2 2 2" xfId="41672"/>
    <cellStyle name="20% - Accent2 4 3 3 2 2 3" xfId="29370"/>
    <cellStyle name="20% - Accent2 4 3 3 2 3" xfId="10024"/>
    <cellStyle name="20% - Accent2 4 3 3 2 3 2" xfId="22328"/>
    <cellStyle name="20% - Accent2 4 3 3 2 3 2 2" xfId="45187"/>
    <cellStyle name="20% - Accent2 4 3 3 2 3 3" xfId="32885"/>
    <cellStyle name="20% - Accent2 4 3 3 2 4" xfId="15298"/>
    <cellStyle name="20% - Accent2 4 3 3 2 4 2" xfId="38157"/>
    <cellStyle name="20% - Accent2 4 3 3 2 5" xfId="25855"/>
    <cellStyle name="20% - Accent2 4 3 3 3" xfId="4751"/>
    <cellStyle name="20% - Accent2 4 3 3 3 2" xfId="17055"/>
    <cellStyle name="20% - Accent2 4 3 3 3 2 2" xfId="39914"/>
    <cellStyle name="20% - Accent2 4 3 3 3 3" xfId="27612"/>
    <cellStyle name="20% - Accent2 4 3 3 4" xfId="8266"/>
    <cellStyle name="20% - Accent2 4 3 3 4 2" xfId="20570"/>
    <cellStyle name="20% - Accent2 4 3 3 4 2 2" xfId="43429"/>
    <cellStyle name="20% - Accent2 4 3 3 4 3" xfId="31127"/>
    <cellStyle name="20% - Accent2 4 3 3 5" xfId="11781"/>
    <cellStyle name="20% - Accent2 4 3 3 5 2" xfId="34641"/>
    <cellStyle name="20% - Accent2 4 3 3 6" xfId="13540"/>
    <cellStyle name="20% - Accent2 4 3 3 6 2" xfId="36399"/>
    <cellStyle name="20% - Accent2 4 3 3 7" xfId="24096"/>
    <cellStyle name="20% - Accent2 4 3 4" xfId="2116"/>
    <cellStyle name="20% - Accent2 4 3 4 2" xfId="5631"/>
    <cellStyle name="20% - Accent2 4 3 4 2 2" xfId="17935"/>
    <cellStyle name="20% - Accent2 4 3 4 2 2 2" xfId="40794"/>
    <cellStyle name="20% - Accent2 4 3 4 2 3" xfId="28492"/>
    <cellStyle name="20% - Accent2 4 3 4 3" xfId="9146"/>
    <cellStyle name="20% - Accent2 4 3 4 3 2" xfId="21450"/>
    <cellStyle name="20% - Accent2 4 3 4 3 2 2" xfId="44309"/>
    <cellStyle name="20% - Accent2 4 3 4 3 3" xfId="32007"/>
    <cellStyle name="20% - Accent2 4 3 4 4" xfId="14420"/>
    <cellStyle name="20% - Accent2 4 3 4 4 2" xfId="37279"/>
    <cellStyle name="20% - Accent2 4 3 4 5" xfId="24977"/>
    <cellStyle name="20% - Accent2 4 3 5" xfId="3873"/>
    <cellStyle name="20% - Accent2 4 3 5 2" xfId="16177"/>
    <cellStyle name="20% - Accent2 4 3 5 2 2" xfId="39036"/>
    <cellStyle name="20% - Accent2 4 3 5 3" xfId="26734"/>
    <cellStyle name="20% - Accent2 4 3 6" xfId="7388"/>
    <cellStyle name="20% - Accent2 4 3 6 2" xfId="19692"/>
    <cellStyle name="20% - Accent2 4 3 6 2 2" xfId="42551"/>
    <cellStyle name="20% - Accent2 4 3 6 3" xfId="30249"/>
    <cellStyle name="20% - Accent2 4 3 7" xfId="10903"/>
    <cellStyle name="20% - Accent2 4 3 7 2" xfId="33763"/>
    <cellStyle name="20% - Accent2 4 3 8" xfId="12662"/>
    <cellStyle name="20% - Accent2 4 3 8 2" xfId="35521"/>
    <cellStyle name="20% - Accent2 4 3 9" xfId="23217"/>
    <cellStyle name="20% - Accent2 4 4" xfId="581"/>
    <cellStyle name="20% - Accent2 4 4 2" xfId="1460"/>
    <cellStyle name="20% - Accent2 4 4 2 2" xfId="3221"/>
    <cellStyle name="20% - Accent2 4 4 2 2 2" xfId="6736"/>
    <cellStyle name="20% - Accent2 4 4 2 2 2 2" xfId="19040"/>
    <cellStyle name="20% - Accent2 4 4 2 2 2 2 2" xfId="41899"/>
    <cellStyle name="20% - Accent2 4 4 2 2 2 3" xfId="29597"/>
    <cellStyle name="20% - Accent2 4 4 2 2 3" xfId="10251"/>
    <cellStyle name="20% - Accent2 4 4 2 2 3 2" xfId="22555"/>
    <cellStyle name="20% - Accent2 4 4 2 2 3 2 2" xfId="45414"/>
    <cellStyle name="20% - Accent2 4 4 2 2 3 3" xfId="33112"/>
    <cellStyle name="20% - Accent2 4 4 2 2 4" xfId="15525"/>
    <cellStyle name="20% - Accent2 4 4 2 2 4 2" xfId="38384"/>
    <cellStyle name="20% - Accent2 4 4 2 2 5" xfId="26082"/>
    <cellStyle name="20% - Accent2 4 4 2 3" xfId="4978"/>
    <cellStyle name="20% - Accent2 4 4 2 3 2" xfId="17282"/>
    <cellStyle name="20% - Accent2 4 4 2 3 2 2" xfId="40141"/>
    <cellStyle name="20% - Accent2 4 4 2 3 3" xfId="27839"/>
    <cellStyle name="20% - Accent2 4 4 2 4" xfId="8493"/>
    <cellStyle name="20% - Accent2 4 4 2 4 2" xfId="20797"/>
    <cellStyle name="20% - Accent2 4 4 2 4 2 2" xfId="43656"/>
    <cellStyle name="20% - Accent2 4 4 2 4 3" xfId="31354"/>
    <cellStyle name="20% - Accent2 4 4 2 5" xfId="12008"/>
    <cellStyle name="20% - Accent2 4 4 2 5 2" xfId="34868"/>
    <cellStyle name="20% - Accent2 4 4 2 6" xfId="13767"/>
    <cellStyle name="20% - Accent2 4 4 2 6 2" xfId="36626"/>
    <cellStyle name="20% - Accent2 4 4 2 7" xfId="24323"/>
    <cellStyle name="20% - Accent2 4 4 3" xfId="2343"/>
    <cellStyle name="20% - Accent2 4 4 3 2" xfId="5858"/>
    <cellStyle name="20% - Accent2 4 4 3 2 2" xfId="18162"/>
    <cellStyle name="20% - Accent2 4 4 3 2 2 2" xfId="41021"/>
    <cellStyle name="20% - Accent2 4 4 3 2 3" xfId="28719"/>
    <cellStyle name="20% - Accent2 4 4 3 3" xfId="9373"/>
    <cellStyle name="20% - Accent2 4 4 3 3 2" xfId="21677"/>
    <cellStyle name="20% - Accent2 4 4 3 3 2 2" xfId="44536"/>
    <cellStyle name="20% - Accent2 4 4 3 3 3" xfId="32234"/>
    <cellStyle name="20% - Accent2 4 4 3 4" xfId="14647"/>
    <cellStyle name="20% - Accent2 4 4 3 4 2" xfId="37506"/>
    <cellStyle name="20% - Accent2 4 4 3 5" xfId="25204"/>
    <cellStyle name="20% - Accent2 4 4 4" xfId="4100"/>
    <cellStyle name="20% - Accent2 4 4 4 2" xfId="16404"/>
    <cellStyle name="20% - Accent2 4 4 4 2 2" xfId="39263"/>
    <cellStyle name="20% - Accent2 4 4 4 3" xfId="26961"/>
    <cellStyle name="20% - Accent2 4 4 5" xfId="7615"/>
    <cellStyle name="20% - Accent2 4 4 5 2" xfId="19919"/>
    <cellStyle name="20% - Accent2 4 4 5 2 2" xfId="42778"/>
    <cellStyle name="20% - Accent2 4 4 5 3" xfId="30476"/>
    <cellStyle name="20% - Accent2 4 4 6" xfId="11130"/>
    <cellStyle name="20% - Accent2 4 4 6 2" xfId="33990"/>
    <cellStyle name="20% - Accent2 4 4 7" xfId="12889"/>
    <cellStyle name="20% - Accent2 4 4 7 2" xfId="35748"/>
    <cellStyle name="20% - Accent2 4 4 8" xfId="23445"/>
    <cellStyle name="20% - Accent2 4 5" xfId="1021"/>
    <cellStyle name="20% - Accent2 4 5 2" xfId="2782"/>
    <cellStyle name="20% - Accent2 4 5 2 2" xfId="6297"/>
    <cellStyle name="20% - Accent2 4 5 2 2 2" xfId="18601"/>
    <cellStyle name="20% - Accent2 4 5 2 2 2 2" xfId="41460"/>
    <cellStyle name="20% - Accent2 4 5 2 2 3" xfId="29158"/>
    <cellStyle name="20% - Accent2 4 5 2 3" xfId="9812"/>
    <cellStyle name="20% - Accent2 4 5 2 3 2" xfId="22116"/>
    <cellStyle name="20% - Accent2 4 5 2 3 2 2" xfId="44975"/>
    <cellStyle name="20% - Accent2 4 5 2 3 3" xfId="32673"/>
    <cellStyle name="20% - Accent2 4 5 2 4" xfId="15086"/>
    <cellStyle name="20% - Accent2 4 5 2 4 2" xfId="37945"/>
    <cellStyle name="20% - Accent2 4 5 2 5" xfId="25643"/>
    <cellStyle name="20% - Accent2 4 5 3" xfId="4539"/>
    <cellStyle name="20% - Accent2 4 5 3 2" xfId="16843"/>
    <cellStyle name="20% - Accent2 4 5 3 2 2" xfId="39702"/>
    <cellStyle name="20% - Accent2 4 5 3 3" xfId="27400"/>
    <cellStyle name="20% - Accent2 4 5 4" xfId="8054"/>
    <cellStyle name="20% - Accent2 4 5 4 2" xfId="20358"/>
    <cellStyle name="20% - Accent2 4 5 4 2 2" xfId="43217"/>
    <cellStyle name="20% - Accent2 4 5 4 3" xfId="30915"/>
    <cellStyle name="20% - Accent2 4 5 5" xfId="11569"/>
    <cellStyle name="20% - Accent2 4 5 5 2" xfId="34429"/>
    <cellStyle name="20% - Accent2 4 5 6" xfId="13328"/>
    <cellStyle name="20% - Accent2 4 5 6 2" xfId="36187"/>
    <cellStyle name="20% - Accent2 4 5 7" xfId="23884"/>
    <cellStyle name="20% - Accent2 4 6" xfId="1904"/>
    <cellStyle name="20% - Accent2 4 6 2" xfId="5419"/>
    <cellStyle name="20% - Accent2 4 6 2 2" xfId="17723"/>
    <cellStyle name="20% - Accent2 4 6 2 2 2" xfId="40582"/>
    <cellStyle name="20% - Accent2 4 6 2 3" xfId="28280"/>
    <cellStyle name="20% - Accent2 4 6 3" xfId="8934"/>
    <cellStyle name="20% - Accent2 4 6 3 2" xfId="21238"/>
    <cellStyle name="20% - Accent2 4 6 3 2 2" xfId="44097"/>
    <cellStyle name="20% - Accent2 4 6 3 3" xfId="31795"/>
    <cellStyle name="20% - Accent2 4 6 4" xfId="14208"/>
    <cellStyle name="20% - Accent2 4 6 4 2" xfId="37067"/>
    <cellStyle name="20% - Accent2 4 6 5" xfId="24765"/>
    <cellStyle name="20% - Accent2 4 7" xfId="3661"/>
    <cellStyle name="20% - Accent2 4 7 2" xfId="15965"/>
    <cellStyle name="20% - Accent2 4 7 2 2" xfId="38824"/>
    <cellStyle name="20% - Accent2 4 7 3" xfId="26522"/>
    <cellStyle name="20% - Accent2 4 8" xfId="7176"/>
    <cellStyle name="20% - Accent2 4 8 2" xfId="19480"/>
    <cellStyle name="20% - Accent2 4 8 2 2" xfId="42339"/>
    <cellStyle name="20% - Accent2 4 8 3" xfId="30037"/>
    <cellStyle name="20% - Accent2 4 9" xfId="10691"/>
    <cellStyle name="20% - Accent2 4 9 2" xfId="33551"/>
    <cellStyle name="20% - Accent2 5" xfId="198"/>
    <cellStyle name="20% - Accent2 5 10" xfId="23063"/>
    <cellStyle name="20% - Accent2 5 2" xfId="410"/>
    <cellStyle name="20% - Accent2 5 2 2" xfId="851"/>
    <cellStyle name="20% - Accent2 5 2 2 2" xfId="1730"/>
    <cellStyle name="20% - Accent2 5 2 2 2 2" xfId="3491"/>
    <cellStyle name="20% - Accent2 5 2 2 2 2 2" xfId="7006"/>
    <cellStyle name="20% - Accent2 5 2 2 2 2 2 2" xfId="19310"/>
    <cellStyle name="20% - Accent2 5 2 2 2 2 2 2 2" xfId="42169"/>
    <cellStyle name="20% - Accent2 5 2 2 2 2 2 3" xfId="29867"/>
    <cellStyle name="20% - Accent2 5 2 2 2 2 3" xfId="10521"/>
    <cellStyle name="20% - Accent2 5 2 2 2 2 3 2" xfId="22825"/>
    <cellStyle name="20% - Accent2 5 2 2 2 2 3 2 2" xfId="45684"/>
    <cellStyle name="20% - Accent2 5 2 2 2 2 3 3" xfId="33382"/>
    <cellStyle name="20% - Accent2 5 2 2 2 2 4" xfId="15795"/>
    <cellStyle name="20% - Accent2 5 2 2 2 2 4 2" xfId="38654"/>
    <cellStyle name="20% - Accent2 5 2 2 2 2 5" xfId="26352"/>
    <cellStyle name="20% - Accent2 5 2 2 2 3" xfId="5248"/>
    <cellStyle name="20% - Accent2 5 2 2 2 3 2" xfId="17552"/>
    <cellStyle name="20% - Accent2 5 2 2 2 3 2 2" xfId="40411"/>
    <cellStyle name="20% - Accent2 5 2 2 2 3 3" xfId="28109"/>
    <cellStyle name="20% - Accent2 5 2 2 2 4" xfId="8763"/>
    <cellStyle name="20% - Accent2 5 2 2 2 4 2" xfId="21067"/>
    <cellStyle name="20% - Accent2 5 2 2 2 4 2 2" xfId="43926"/>
    <cellStyle name="20% - Accent2 5 2 2 2 4 3" xfId="31624"/>
    <cellStyle name="20% - Accent2 5 2 2 2 5" xfId="12278"/>
    <cellStyle name="20% - Accent2 5 2 2 2 5 2" xfId="35138"/>
    <cellStyle name="20% - Accent2 5 2 2 2 6" xfId="14037"/>
    <cellStyle name="20% - Accent2 5 2 2 2 6 2" xfId="36896"/>
    <cellStyle name="20% - Accent2 5 2 2 2 7" xfId="24593"/>
    <cellStyle name="20% - Accent2 5 2 2 3" xfId="2613"/>
    <cellStyle name="20% - Accent2 5 2 2 3 2" xfId="6128"/>
    <cellStyle name="20% - Accent2 5 2 2 3 2 2" xfId="18432"/>
    <cellStyle name="20% - Accent2 5 2 2 3 2 2 2" xfId="41291"/>
    <cellStyle name="20% - Accent2 5 2 2 3 2 3" xfId="28989"/>
    <cellStyle name="20% - Accent2 5 2 2 3 3" xfId="9643"/>
    <cellStyle name="20% - Accent2 5 2 2 3 3 2" xfId="21947"/>
    <cellStyle name="20% - Accent2 5 2 2 3 3 2 2" xfId="44806"/>
    <cellStyle name="20% - Accent2 5 2 2 3 3 3" xfId="32504"/>
    <cellStyle name="20% - Accent2 5 2 2 3 4" xfId="14917"/>
    <cellStyle name="20% - Accent2 5 2 2 3 4 2" xfId="37776"/>
    <cellStyle name="20% - Accent2 5 2 2 3 5" xfId="25474"/>
    <cellStyle name="20% - Accent2 5 2 2 4" xfId="4370"/>
    <cellStyle name="20% - Accent2 5 2 2 4 2" xfId="16674"/>
    <cellStyle name="20% - Accent2 5 2 2 4 2 2" xfId="39533"/>
    <cellStyle name="20% - Accent2 5 2 2 4 3" xfId="27231"/>
    <cellStyle name="20% - Accent2 5 2 2 5" xfId="7885"/>
    <cellStyle name="20% - Accent2 5 2 2 5 2" xfId="20189"/>
    <cellStyle name="20% - Accent2 5 2 2 5 2 2" xfId="43048"/>
    <cellStyle name="20% - Accent2 5 2 2 5 3" xfId="30746"/>
    <cellStyle name="20% - Accent2 5 2 2 6" xfId="11400"/>
    <cellStyle name="20% - Accent2 5 2 2 6 2" xfId="34260"/>
    <cellStyle name="20% - Accent2 5 2 2 7" xfId="13159"/>
    <cellStyle name="20% - Accent2 5 2 2 7 2" xfId="36018"/>
    <cellStyle name="20% - Accent2 5 2 2 8" xfId="23715"/>
    <cellStyle name="20% - Accent2 5 2 3" xfId="1291"/>
    <cellStyle name="20% - Accent2 5 2 3 2" xfId="3052"/>
    <cellStyle name="20% - Accent2 5 2 3 2 2" xfId="6567"/>
    <cellStyle name="20% - Accent2 5 2 3 2 2 2" xfId="18871"/>
    <cellStyle name="20% - Accent2 5 2 3 2 2 2 2" xfId="41730"/>
    <cellStyle name="20% - Accent2 5 2 3 2 2 3" xfId="29428"/>
    <cellStyle name="20% - Accent2 5 2 3 2 3" xfId="10082"/>
    <cellStyle name="20% - Accent2 5 2 3 2 3 2" xfId="22386"/>
    <cellStyle name="20% - Accent2 5 2 3 2 3 2 2" xfId="45245"/>
    <cellStyle name="20% - Accent2 5 2 3 2 3 3" xfId="32943"/>
    <cellStyle name="20% - Accent2 5 2 3 2 4" xfId="15356"/>
    <cellStyle name="20% - Accent2 5 2 3 2 4 2" xfId="38215"/>
    <cellStyle name="20% - Accent2 5 2 3 2 5" xfId="25913"/>
    <cellStyle name="20% - Accent2 5 2 3 3" xfId="4809"/>
    <cellStyle name="20% - Accent2 5 2 3 3 2" xfId="17113"/>
    <cellStyle name="20% - Accent2 5 2 3 3 2 2" xfId="39972"/>
    <cellStyle name="20% - Accent2 5 2 3 3 3" xfId="27670"/>
    <cellStyle name="20% - Accent2 5 2 3 4" xfId="8324"/>
    <cellStyle name="20% - Accent2 5 2 3 4 2" xfId="20628"/>
    <cellStyle name="20% - Accent2 5 2 3 4 2 2" xfId="43487"/>
    <cellStyle name="20% - Accent2 5 2 3 4 3" xfId="31185"/>
    <cellStyle name="20% - Accent2 5 2 3 5" xfId="11839"/>
    <cellStyle name="20% - Accent2 5 2 3 5 2" xfId="34699"/>
    <cellStyle name="20% - Accent2 5 2 3 6" xfId="13598"/>
    <cellStyle name="20% - Accent2 5 2 3 6 2" xfId="36457"/>
    <cellStyle name="20% - Accent2 5 2 3 7" xfId="24154"/>
    <cellStyle name="20% - Accent2 5 2 4" xfId="2174"/>
    <cellStyle name="20% - Accent2 5 2 4 2" xfId="5689"/>
    <cellStyle name="20% - Accent2 5 2 4 2 2" xfId="17993"/>
    <cellStyle name="20% - Accent2 5 2 4 2 2 2" xfId="40852"/>
    <cellStyle name="20% - Accent2 5 2 4 2 3" xfId="28550"/>
    <cellStyle name="20% - Accent2 5 2 4 3" xfId="9204"/>
    <cellStyle name="20% - Accent2 5 2 4 3 2" xfId="21508"/>
    <cellStyle name="20% - Accent2 5 2 4 3 2 2" xfId="44367"/>
    <cellStyle name="20% - Accent2 5 2 4 3 3" xfId="32065"/>
    <cellStyle name="20% - Accent2 5 2 4 4" xfId="14478"/>
    <cellStyle name="20% - Accent2 5 2 4 4 2" xfId="37337"/>
    <cellStyle name="20% - Accent2 5 2 4 5" xfId="25035"/>
    <cellStyle name="20% - Accent2 5 2 5" xfId="3931"/>
    <cellStyle name="20% - Accent2 5 2 5 2" xfId="16235"/>
    <cellStyle name="20% - Accent2 5 2 5 2 2" xfId="39094"/>
    <cellStyle name="20% - Accent2 5 2 5 3" xfId="26792"/>
    <cellStyle name="20% - Accent2 5 2 6" xfId="7446"/>
    <cellStyle name="20% - Accent2 5 2 6 2" xfId="19750"/>
    <cellStyle name="20% - Accent2 5 2 6 2 2" xfId="42609"/>
    <cellStyle name="20% - Accent2 5 2 6 3" xfId="30307"/>
    <cellStyle name="20% - Accent2 5 2 7" xfId="10961"/>
    <cellStyle name="20% - Accent2 5 2 7 2" xfId="33821"/>
    <cellStyle name="20% - Accent2 5 2 8" xfId="12720"/>
    <cellStyle name="20% - Accent2 5 2 8 2" xfId="35579"/>
    <cellStyle name="20% - Accent2 5 2 9" xfId="23275"/>
    <cellStyle name="20% - Accent2 5 3" xfId="639"/>
    <cellStyle name="20% - Accent2 5 3 2" xfId="1518"/>
    <cellStyle name="20% - Accent2 5 3 2 2" xfId="3279"/>
    <cellStyle name="20% - Accent2 5 3 2 2 2" xfId="6794"/>
    <cellStyle name="20% - Accent2 5 3 2 2 2 2" xfId="19098"/>
    <cellStyle name="20% - Accent2 5 3 2 2 2 2 2" xfId="41957"/>
    <cellStyle name="20% - Accent2 5 3 2 2 2 3" xfId="29655"/>
    <cellStyle name="20% - Accent2 5 3 2 2 3" xfId="10309"/>
    <cellStyle name="20% - Accent2 5 3 2 2 3 2" xfId="22613"/>
    <cellStyle name="20% - Accent2 5 3 2 2 3 2 2" xfId="45472"/>
    <cellStyle name="20% - Accent2 5 3 2 2 3 3" xfId="33170"/>
    <cellStyle name="20% - Accent2 5 3 2 2 4" xfId="15583"/>
    <cellStyle name="20% - Accent2 5 3 2 2 4 2" xfId="38442"/>
    <cellStyle name="20% - Accent2 5 3 2 2 5" xfId="26140"/>
    <cellStyle name="20% - Accent2 5 3 2 3" xfId="5036"/>
    <cellStyle name="20% - Accent2 5 3 2 3 2" xfId="17340"/>
    <cellStyle name="20% - Accent2 5 3 2 3 2 2" xfId="40199"/>
    <cellStyle name="20% - Accent2 5 3 2 3 3" xfId="27897"/>
    <cellStyle name="20% - Accent2 5 3 2 4" xfId="8551"/>
    <cellStyle name="20% - Accent2 5 3 2 4 2" xfId="20855"/>
    <cellStyle name="20% - Accent2 5 3 2 4 2 2" xfId="43714"/>
    <cellStyle name="20% - Accent2 5 3 2 4 3" xfId="31412"/>
    <cellStyle name="20% - Accent2 5 3 2 5" xfId="12066"/>
    <cellStyle name="20% - Accent2 5 3 2 5 2" xfId="34926"/>
    <cellStyle name="20% - Accent2 5 3 2 6" xfId="13825"/>
    <cellStyle name="20% - Accent2 5 3 2 6 2" xfId="36684"/>
    <cellStyle name="20% - Accent2 5 3 2 7" xfId="24381"/>
    <cellStyle name="20% - Accent2 5 3 3" xfId="2401"/>
    <cellStyle name="20% - Accent2 5 3 3 2" xfId="5916"/>
    <cellStyle name="20% - Accent2 5 3 3 2 2" xfId="18220"/>
    <cellStyle name="20% - Accent2 5 3 3 2 2 2" xfId="41079"/>
    <cellStyle name="20% - Accent2 5 3 3 2 3" xfId="28777"/>
    <cellStyle name="20% - Accent2 5 3 3 3" xfId="9431"/>
    <cellStyle name="20% - Accent2 5 3 3 3 2" xfId="21735"/>
    <cellStyle name="20% - Accent2 5 3 3 3 2 2" xfId="44594"/>
    <cellStyle name="20% - Accent2 5 3 3 3 3" xfId="32292"/>
    <cellStyle name="20% - Accent2 5 3 3 4" xfId="14705"/>
    <cellStyle name="20% - Accent2 5 3 3 4 2" xfId="37564"/>
    <cellStyle name="20% - Accent2 5 3 3 5" xfId="25262"/>
    <cellStyle name="20% - Accent2 5 3 4" xfId="4158"/>
    <cellStyle name="20% - Accent2 5 3 4 2" xfId="16462"/>
    <cellStyle name="20% - Accent2 5 3 4 2 2" xfId="39321"/>
    <cellStyle name="20% - Accent2 5 3 4 3" xfId="27019"/>
    <cellStyle name="20% - Accent2 5 3 5" xfId="7673"/>
    <cellStyle name="20% - Accent2 5 3 5 2" xfId="19977"/>
    <cellStyle name="20% - Accent2 5 3 5 2 2" xfId="42836"/>
    <cellStyle name="20% - Accent2 5 3 5 3" xfId="30534"/>
    <cellStyle name="20% - Accent2 5 3 6" xfId="11188"/>
    <cellStyle name="20% - Accent2 5 3 6 2" xfId="34048"/>
    <cellStyle name="20% - Accent2 5 3 7" xfId="12947"/>
    <cellStyle name="20% - Accent2 5 3 7 2" xfId="35806"/>
    <cellStyle name="20% - Accent2 5 3 8" xfId="23503"/>
    <cellStyle name="20% - Accent2 5 4" xfId="1079"/>
    <cellStyle name="20% - Accent2 5 4 2" xfId="2840"/>
    <cellStyle name="20% - Accent2 5 4 2 2" xfId="6355"/>
    <cellStyle name="20% - Accent2 5 4 2 2 2" xfId="18659"/>
    <cellStyle name="20% - Accent2 5 4 2 2 2 2" xfId="41518"/>
    <cellStyle name="20% - Accent2 5 4 2 2 3" xfId="29216"/>
    <cellStyle name="20% - Accent2 5 4 2 3" xfId="9870"/>
    <cellStyle name="20% - Accent2 5 4 2 3 2" xfId="22174"/>
    <cellStyle name="20% - Accent2 5 4 2 3 2 2" xfId="45033"/>
    <cellStyle name="20% - Accent2 5 4 2 3 3" xfId="32731"/>
    <cellStyle name="20% - Accent2 5 4 2 4" xfId="15144"/>
    <cellStyle name="20% - Accent2 5 4 2 4 2" xfId="38003"/>
    <cellStyle name="20% - Accent2 5 4 2 5" xfId="25701"/>
    <cellStyle name="20% - Accent2 5 4 3" xfId="4597"/>
    <cellStyle name="20% - Accent2 5 4 3 2" xfId="16901"/>
    <cellStyle name="20% - Accent2 5 4 3 2 2" xfId="39760"/>
    <cellStyle name="20% - Accent2 5 4 3 3" xfId="27458"/>
    <cellStyle name="20% - Accent2 5 4 4" xfId="8112"/>
    <cellStyle name="20% - Accent2 5 4 4 2" xfId="20416"/>
    <cellStyle name="20% - Accent2 5 4 4 2 2" xfId="43275"/>
    <cellStyle name="20% - Accent2 5 4 4 3" xfId="30973"/>
    <cellStyle name="20% - Accent2 5 4 5" xfId="11627"/>
    <cellStyle name="20% - Accent2 5 4 5 2" xfId="34487"/>
    <cellStyle name="20% - Accent2 5 4 6" xfId="13386"/>
    <cellStyle name="20% - Accent2 5 4 6 2" xfId="36245"/>
    <cellStyle name="20% - Accent2 5 4 7" xfId="23942"/>
    <cellStyle name="20% - Accent2 5 5" xfId="1962"/>
    <cellStyle name="20% - Accent2 5 5 2" xfId="5477"/>
    <cellStyle name="20% - Accent2 5 5 2 2" xfId="17781"/>
    <cellStyle name="20% - Accent2 5 5 2 2 2" xfId="40640"/>
    <cellStyle name="20% - Accent2 5 5 2 3" xfId="28338"/>
    <cellStyle name="20% - Accent2 5 5 3" xfId="8992"/>
    <cellStyle name="20% - Accent2 5 5 3 2" xfId="21296"/>
    <cellStyle name="20% - Accent2 5 5 3 2 2" xfId="44155"/>
    <cellStyle name="20% - Accent2 5 5 3 3" xfId="31853"/>
    <cellStyle name="20% - Accent2 5 5 4" xfId="14266"/>
    <cellStyle name="20% - Accent2 5 5 4 2" xfId="37125"/>
    <cellStyle name="20% - Accent2 5 5 5" xfId="24823"/>
    <cellStyle name="20% - Accent2 5 6" xfId="3719"/>
    <cellStyle name="20% - Accent2 5 6 2" xfId="16023"/>
    <cellStyle name="20% - Accent2 5 6 2 2" xfId="38882"/>
    <cellStyle name="20% - Accent2 5 6 3" xfId="26580"/>
    <cellStyle name="20% - Accent2 5 7" xfId="7234"/>
    <cellStyle name="20% - Accent2 5 7 2" xfId="19538"/>
    <cellStyle name="20% - Accent2 5 7 2 2" xfId="42397"/>
    <cellStyle name="20% - Accent2 5 7 3" xfId="30095"/>
    <cellStyle name="20% - Accent2 5 8" xfId="10749"/>
    <cellStyle name="20% - Accent2 5 8 2" xfId="33609"/>
    <cellStyle name="20% - Accent2 5 9" xfId="12508"/>
    <cellStyle name="20% - Accent2 5 9 2" xfId="35367"/>
    <cellStyle name="20% - Accent2 6" xfId="304"/>
    <cellStyle name="20% - Accent2 6 2" xfId="745"/>
    <cellStyle name="20% - Accent2 6 2 2" xfId="1624"/>
    <cellStyle name="20% - Accent2 6 2 2 2" xfId="3385"/>
    <cellStyle name="20% - Accent2 6 2 2 2 2" xfId="6900"/>
    <cellStyle name="20% - Accent2 6 2 2 2 2 2" xfId="19204"/>
    <cellStyle name="20% - Accent2 6 2 2 2 2 2 2" xfId="42063"/>
    <cellStyle name="20% - Accent2 6 2 2 2 2 3" xfId="29761"/>
    <cellStyle name="20% - Accent2 6 2 2 2 3" xfId="10415"/>
    <cellStyle name="20% - Accent2 6 2 2 2 3 2" xfId="22719"/>
    <cellStyle name="20% - Accent2 6 2 2 2 3 2 2" xfId="45578"/>
    <cellStyle name="20% - Accent2 6 2 2 2 3 3" xfId="33276"/>
    <cellStyle name="20% - Accent2 6 2 2 2 4" xfId="15689"/>
    <cellStyle name="20% - Accent2 6 2 2 2 4 2" xfId="38548"/>
    <cellStyle name="20% - Accent2 6 2 2 2 5" xfId="26246"/>
    <cellStyle name="20% - Accent2 6 2 2 3" xfId="5142"/>
    <cellStyle name="20% - Accent2 6 2 2 3 2" xfId="17446"/>
    <cellStyle name="20% - Accent2 6 2 2 3 2 2" xfId="40305"/>
    <cellStyle name="20% - Accent2 6 2 2 3 3" xfId="28003"/>
    <cellStyle name="20% - Accent2 6 2 2 4" xfId="8657"/>
    <cellStyle name="20% - Accent2 6 2 2 4 2" xfId="20961"/>
    <cellStyle name="20% - Accent2 6 2 2 4 2 2" xfId="43820"/>
    <cellStyle name="20% - Accent2 6 2 2 4 3" xfId="31518"/>
    <cellStyle name="20% - Accent2 6 2 2 5" xfId="12172"/>
    <cellStyle name="20% - Accent2 6 2 2 5 2" xfId="35032"/>
    <cellStyle name="20% - Accent2 6 2 2 6" xfId="13931"/>
    <cellStyle name="20% - Accent2 6 2 2 6 2" xfId="36790"/>
    <cellStyle name="20% - Accent2 6 2 2 7" xfId="24487"/>
    <cellStyle name="20% - Accent2 6 2 3" xfId="2507"/>
    <cellStyle name="20% - Accent2 6 2 3 2" xfId="6022"/>
    <cellStyle name="20% - Accent2 6 2 3 2 2" xfId="18326"/>
    <cellStyle name="20% - Accent2 6 2 3 2 2 2" xfId="41185"/>
    <cellStyle name="20% - Accent2 6 2 3 2 3" xfId="28883"/>
    <cellStyle name="20% - Accent2 6 2 3 3" xfId="9537"/>
    <cellStyle name="20% - Accent2 6 2 3 3 2" xfId="21841"/>
    <cellStyle name="20% - Accent2 6 2 3 3 2 2" xfId="44700"/>
    <cellStyle name="20% - Accent2 6 2 3 3 3" xfId="32398"/>
    <cellStyle name="20% - Accent2 6 2 3 4" xfId="14811"/>
    <cellStyle name="20% - Accent2 6 2 3 4 2" xfId="37670"/>
    <cellStyle name="20% - Accent2 6 2 3 5" xfId="25368"/>
    <cellStyle name="20% - Accent2 6 2 4" xfId="4264"/>
    <cellStyle name="20% - Accent2 6 2 4 2" xfId="16568"/>
    <cellStyle name="20% - Accent2 6 2 4 2 2" xfId="39427"/>
    <cellStyle name="20% - Accent2 6 2 4 3" xfId="27125"/>
    <cellStyle name="20% - Accent2 6 2 5" xfId="7779"/>
    <cellStyle name="20% - Accent2 6 2 5 2" xfId="20083"/>
    <cellStyle name="20% - Accent2 6 2 5 2 2" xfId="42942"/>
    <cellStyle name="20% - Accent2 6 2 5 3" xfId="30640"/>
    <cellStyle name="20% - Accent2 6 2 6" xfId="11294"/>
    <cellStyle name="20% - Accent2 6 2 6 2" xfId="34154"/>
    <cellStyle name="20% - Accent2 6 2 7" xfId="13053"/>
    <cellStyle name="20% - Accent2 6 2 7 2" xfId="35912"/>
    <cellStyle name="20% - Accent2 6 2 8" xfId="23609"/>
    <cellStyle name="20% - Accent2 6 3" xfId="1185"/>
    <cellStyle name="20% - Accent2 6 3 2" xfId="2946"/>
    <cellStyle name="20% - Accent2 6 3 2 2" xfId="6461"/>
    <cellStyle name="20% - Accent2 6 3 2 2 2" xfId="18765"/>
    <cellStyle name="20% - Accent2 6 3 2 2 2 2" xfId="41624"/>
    <cellStyle name="20% - Accent2 6 3 2 2 3" xfId="29322"/>
    <cellStyle name="20% - Accent2 6 3 2 3" xfId="9976"/>
    <cellStyle name="20% - Accent2 6 3 2 3 2" xfId="22280"/>
    <cellStyle name="20% - Accent2 6 3 2 3 2 2" xfId="45139"/>
    <cellStyle name="20% - Accent2 6 3 2 3 3" xfId="32837"/>
    <cellStyle name="20% - Accent2 6 3 2 4" xfId="15250"/>
    <cellStyle name="20% - Accent2 6 3 2 4 2" xfId="38109"/>
    <cellStyle name="20% - Accent2 6 3 2 5" xfId="25807"/>
    <cellStyle name="20% - Accent2 6 3 3" xfId="4703"/>
    <cellStyle name="20% - Accent2 6 3 3 2" xfId="17007"/>
    <cellStyle name="20% - Accent2 6 3 3 2 2" xfId="39866"/>
    <cellStyle name="20% - Accent2 6 3 3 3" xfId="27564"/>
    <cellStyle name="20% - Accent2 6 3 4" xfId="8218"/>
    <cellStyle name="20% - Accent2 6 3 4 2" xfId="20522"/>
    <cellStyle name="20% - Accent2 6 3 4 2 2" xfId="43381"/>
    <cellStyle name="20% - Accent2 6 3 4 3" xfId="31079"/>
    <cellStyle name="20% - Accent2 6 3 5" xfId="11733"/>
    <cellStyle name="20% - Accent2 6 3 5 2" xfId="34593"/>
    <cellStyle name="20% - Accent2 6 3 6" xfId="13492"/>
    <cellStyle name="20% - Accent2 6 3 6 2" xfId="36351"/>
    <cellStyle name="20% - Accent2 6 3 7" xfId="24048"/>
    <cellStyle name="20% - Accent2 6 4" xfId="2068"/>
    <cellStyle name="20% - Accent2 6 4 2" xfId="5583"/>
    <cellStyle name="20% - Accent2 6 4 2 2" xfId="17887"/>
    <cellStyle name="20% - Accent2 6 4 2 2 2" xfId="40746"/>
    <cellStyle name="20% - Accent2 6 4 2 3" xfId="28444"/>
    <cellStyle name="20% - Accent2 6 4 3" xfId="9098"/>
    <cellStyle name="20% - Accent2 6 4 3 2" xfId="21402"/>
    <cellStyle name="20% - Accent2 6 4 3 2 2" xfId="44261"/>
    <cellStyle name="20% - Accent2 6 4 3 3" xfId="31959"/>
    <cellStyle name="20% - Accent2 6 4 4" xfId="14372"/>
    <cellStyle name="20% - Accent2 6 4 4 2" xfId="37231"/>
    <cellStyle name="20% - Accent2 6 4 5" xfId="24929"/>
    <cellStyle name="20% - Accent2 6 5" xfId="3825"/>
    <cellStyle name="20% - Accent2 6 5 2" xfId="16129"/>
    <cellStyle name="20% - Accent2 6 5 2 2" xfId="38988"/>
    <cellStyle name="20% - Accent2 6 5 3" xfId="26686"/>
    <cellStyle name="20% - Accent2 6 6" xfId="7340"/>
    <cellStyle name="20% - Accent2 6 6 2" xfId="19644"/>
    <cellStyle name="20% - Accent2 6 6 2 2" xfId="42503"/>
    <cellStyle name="20% - Accent2 6 6 3" xfId="30201"/>
    <cellStyle name="20% - Accent2 6 7" xfId="10855"/>
    <cellStyle name="20% - Accent2 6 7 2" xfId="33715"/>
    <cellStyle name="20% - Accent2 6 8" xfId="12614"/>
    <cellStyle name="20% - Accent2 6 8 2" xfId="35473"/>
    <cellStyle name="20% - Accent2 6 9" xfId="23169"/>
    <cellStyle name="20% - Accent2 7" xfId="511"/>
    <cellStyle name="20% - Accent2 7 2" xfId="952"/>
    <cellStyle name="20% - Accent2 7 2 2" xfId="1831"/>
    <cellStyle name="20% - Accent2 7 2 2 2" xfId="3592"/>
    <cellStyle name="20% - Accent2 7 2 2 2 2" xfId="7107"/>
    <cellStyle name="20% - Accent2 7 2 2 2 2 2" xfId="19411"/>
    <cellStyle name="20% - Accent2 7 2 2 2 2 2 2" xfId="42270"/>
    <cellStyle name="20% - Accent2 7 2 2 2 2 3" xfId="29968"/>
    <cellStyle name="20% - Accent2 7 2 2 2 3" xfId="10622"/>
    <cellStyle name="20% - Accent2 7 2 2 2 3 2" xfId="22926"/>
    <cellStyle name="20% - Accent2 7 2 2 2 3 2 2" xfId="45785"/>
    <cellStyle name="20% - Accent2 7 2 2 2 3 3" xfId="33483"/>
    <cellStyle name="20% - Accent2 7 2 2 2 4" xfId="15896"/>
    <cellStyle name="20% - Accent2 7 2 2 2 4 2" xfId="38755"/>
    <cellStyle name="20% - Accent2 7 2 2 2 5" xfId="26453"/>
    <cellStyle name="20% - Accent2 7 2 2 3" xfId="5349"/>
    <cellStyle name="20% - Accent2 7 2 2 3 2" xfId="17653"/>
    <cellStyle name="20% - Accent2 7 2 2 3 2 2" xfId="40512"/>
    <cellStyle name="20% - Accent2 7 2 2 3 3" xfId="28210"/>
    <cellStyle name="20% - Accent2 7 2 2 4" xfId="8864"/>
    <cellStyle name="20% - Accent2 7 2 2 4 2" xfId="21168"/>
    <cellStyle name="20% - Accent2 7 2 2 4 2 2" xfId="44027"/>
    <cellStyle name="20% - Accent2 7 2 2 4 3" xfId="31725"/>
    <cellStyle name="20% - Accent2 7 2 2 5" xfId="12379"/>
    <cellStyle name="20% - Accent2 7 2 2 5 2" xfId="35239"/>
    <cellStyle name="20% - Accent2 7 2 2 6" xfId="14138"/>
    <cellStyle name="20% - Accent2 7 2 2 6 2" xfId="36997"/>
    <cellStyle name="20% - Accent2 7 2 2 7" xfId="24694"/>
    <cellStyle name="20% - Accent2 7 2 3" xfId="2714"/>
    <cellStyle name="20% - Accent2 7 2 3 2" xfId="6229"/>
    <cellStyle name="20% - Accent2 7 2 3 2 2" xfId="18533"/>
    <cellStyle name="20% - Accent2 7 2 3 2 2 2" xfId="41392"/>
    <cellStyle name="20% - Accent2 7 2 3 2 3" xfId="29090"/>
    <cellStyle name="20% - Accent2 7 2 3 3" xfId="9744"/>
    <cellStyle name="20% - Accent2 7 2 3 3 2" xfId="22048"/>
    <cellStyle name="20% - Accent2 7 2 3 3 2 2" xfId="44907"/>
    <cellStyle name="20% - Accent2 7 2 3 3 3" xfId="32605"/>
    <cellStyle name="20% - Accent2 7 2 3 4" xfId="15018"/>
    <cellStyle name="20% - Accent2 7 2 3 4 2" xfId="37877"/>
    <cellStyle name="20% - Accent2 7 2 3 5" xfId="25575"/>
    <cellStyle name="20% - Accent2 7 2 4" xfId="4471"/>
    <cellStyle name="20% - Accent2 7 2 4 2" xfId="16775"/>
    <cellStyle name="20% - Accent2 7 2 4 2 2" xfId="39634"/>
    <cellStyle name="20% - Accent2 7 2 4 3" xfId="27332"/>
    <cellStyle name="20% - Accent2 7 2 5" xfId="7986"/>
    <cellStyle name="20% - Accent2 7 2 5 2" xfId="20290"/>
    <cellStyle name="20% - Accent2 7 2 5 2 2" xfId="43149"/>
    <cellStyle name="20% - Accent2 7 2 5 3" xfId="30847"/>
    <cellStyle name="20% - Accent2 7 2 6" xfId="11501"/>
    <cellStyle name="20% - Accent2 7 2 6 2" xfId="34361"/>
    <cellStyle name="20% - Accent2 7 2 7" xfId="13260"/>
    <cellStyle name="20% - Accent2 7 2 7 2" xfId="36119"/>
    <cellStyle name="20% - Accent2 7 2 8" xfId="23816"/>
    <cellStyle name="20% - Accent2 7 3" xfId="1392"/>
    <cellStyle name="20% - Accent2 7 3 2" xfId="3153"/>
    <cellStyle name="20% - Accent2 7 3 2 2" xfId="6668"/>
    <cellStyle name="20% - Accent2 7 3 2 2 2" xfId="18972"/>
    <cellStyle name="20% - Accent2 7 3 2 2 2 2" xfId="41831"/>
    <cellStyle name="20% - Accent2 7 3 2 2 3" xfId="29529"/>
    <cellStyle name="20% - Accent2 7 3 2 3" xfId="10183"/>
    <cellStyle name="20% - Accent2 7 3 2 3 2" xfId="22487"/>
    <cellStyle name="20% - Accent2 7 3 2 3 2 2" xfId="45346"/>
    <cellStyle name="20% - Accent2 7 3 2 3 3" xfId="33044"/>
    <cellStyle name="20% - Accent2 7 3 2 4" xfId="15457"/>
    <cellStyle name="20% - Accent2 7 3 2 4 2" xfId="38316"/>
    <cellStyle name="20% - Accent2 7 3 2 5" xfId="26014"/>
    <cellStyle name="20% - Accent2 7 3 3" xfId="4910"/>
    <cellStyle name="20% - Accent2 7 3 3 2" xfId="17214"/>
    <cellStyle name="20% - Accent2 7 3 3 2 2" xfId="40073"/>
    <cellStyle name="20% - Accent2 7 3 3 3" xfId="27771"/>
    <cellStyle name="20% - Accent2 7 3 4" xfId="8425"/>
    <cellStyle name="20% - Accent2 7 3 4 2" xfId="20729"/>
    <cellStyle name="20% - Accent2 7 3 4 2 2" xfId="43588"/>
    <cellStyle name="20% - Accent2 7 3 4 3" xfId="31286"/>
    <cellStyle name="20% - Accent2 7 3 5" xfId="11940"/>
    <cellStyle name="20% - Accent2 7 3 5 2" xfId="34800"/>
    <cellStyle name="20% - Accent2 7 3 6" xfId="13699"/>
    <cellStyle name="20% - Accent2 7 3 6 2" xfId="36558"/>
    <cellStyle name="20% - Accent2 7 3 7" xfId="24255"/>
    <cellStyle name="20% - Accent2 7 4" xfId="2275"/>
    <cellStyle name="20% - Accent2 7 4 2" xfId="5790"/>
    <cellStyle name="20% - Accent2 7 4 2 2" xfId="18094"/>
    <cellStyle name="20% - Accent2 7 4 2 2 2" xfId="40953"/>
    <cellStyle name="20% - Accent2 7 4 2 3" xfId="28651"/>
    <cellStyle name="20% - Accent2 7 4 3" xfId="9305"/>
    <cellStyle name="20% - Accent2 7 4 3 2" xfId="21609"/>
    <cellStyle name="20% - Accent2 7 4 3 2 2" xfId="44468"/>
    <cellStyle name="20% - Accent2 7 4 3 3" xfId="32166"/>
    <cellStyle name="20% - Accent2 7 4 4" xfId="14579"/>
    <cellStyle name="20% - Accent2 7 4 4 2" xfId="37438"/>
    <cellStyle name="20% - Accent2 7 4 5" xfId="25136"/>
    <cellStyle name="20% - Accent2 7 5" xfId="4032"/>
    <cellStyle name="20% - Accent2 7 5 2" xfId="16336"/>
    <cellStyle name="20% - Accent2 7 5 2 2" xfId="39195"/>
    <cellStyle name="20% - Accent2 7 5 3" xfId="26893"/>
    <cellStyle name="20% - Accent2 7 6" xfId="7547"/>
    <cellStyle name="20% - Accent2 7 6 2" xfId="19851"/>
    <cellStyle name="20% - Accent2 7 6 2 2" xfId="42710"/>
    <cellStyle name="20% - Accent2 7 6 3" xfId="30408"/>
    <cellStyle name="20% - Accent2 7 7" xfId="11062"/>
    <cellStyle name="20% - Accent2 7 7 2" xfId="33922"/>
    <cellStyle name="20% - Accent2 7 8" xfId="12821"/>
    <cellStyle name="20% - Accent2 7 8 2" xfId="35680"/>
    <cellStyle name="20% - Accent2 7 9" xfId="23376"/>
    <cellStyle name="20% - Accent2 8" xfId="524"/>
    <cellStyle name="20% - Accent2 8 2" xfId="1405"/>
    <cellStyle name="20% - Accent2 8 2 2" xfId="3166"/>
    <cellStyle name="20% - Accent2 8 2 2 2" xfId="6681"/>
    <cellStyle name="20% - Accent2 8 2 2 2 2" xfId="18985"/>
    <cellStyle name="20% - Accent2 8 2 2 2 2 2" xfId="41844"/>
    <cellStyle name="20% - Accent2 8 2 2 2 3" xfId="29542"/>
    <cellStyle name="20% - Accent2 8 2 2 3" xfId="10196"/>
    <cellStyle name="20% - Accent2 8 2 2 3 2" xfId="22500"/>
    <cellStyle name="20% - Accent2 8 2 2 3 2 2" xfId="45359"/>
    <cellStyle name="20% - Accent2 8 2 2 3 3" xfId="33057"/>
    <cellStyle name="20% - Accent2 8 2 2 4" xfId="15470"/>
    <cellStyle name="20% - Accent2 8 2 2 4 2" xfId="38329"/>
    <cellStyle name="20% - Accent2 8 2 2 5" xfId="26027"/>
    <cellStyle name="20% - Accent2 8 2 3" xfId="4923"/>
    <cellStyle name="20% - Accent2 8 2 3 2" xfId="17227"/>
    <cellStyle name="20% - Accent2 8 2 3 2 2" xfId="40086"/>
    <cellStyle name="20% - Accent2 8 2 3 3" xfId="27784"/>
    <cellStyle name="20% - Accent2 8 2 4" xfId="8438"/>
    <cellStyle name="20% - Accent2 8 2 4 2" xfId="20742"/>
    <cellStyle name="20% - Accent2 8 2 4 2 2" xfId="43601"/>
    <cellStyle name="20% - Accent2 8 2 4 3" xfId="31299"/>
    <cellStyle name="20% - Accent2 8 2 5" xfId="11953"/>
    <cellStyle name="20% - Accent2 8 2 5 2" xfId="34813"/>
    <cellStyle name="20% - Accent2 8 2 6" xfId="13712"/>
    <cellStyle name="20% - Accent2 8 2 6 2" xfId="36571"/>
    <cellStyle name="20% - Accent2 8 2 7" xfId="24268"/>
    <cellStyle name="20% - Accent2 8 3" xfId="2288"/>
    <cellStyle name="20% - Accent2 8 3 2" xfId="5803"/>
    <cellStyle name="20% - Accent2 8 3 2 2" xfId="18107"/>
    <cellStyle name="20% - Accent2 8 3 2 2 2" xfId="40966"/>
    <cellStyle name="20% - Accent2 8 3 2 3" xfId="28664"/>
    <cellStyle name="20% - Accent2 8 3 3" xfId="9318"/>
    <cellStyle name="20% - Accent2 8 3 3 2" xfId="21622"/>
    <cellStyle name="20% - Accent2 8 3 3 2 2" xfId="44481"/>
    <cellStyle name="20% - Accent2 8 3 3 3" xfId="32179"/>
    <cellStyle name="20% - Accent2 8 3 4" xfId="14592"/>
    <cellStyle name="20% - Accent2 8 3 4 2" xfId="37451"/>
    <cellStyle name="20% - Accent2 8 3 5" xfId="25149"/>
    <cellStyle name="20% - Accent2 8 4" xfId="4045"/>
    <cellStyle name="20% - Accent2 8 4 2" xfId="16349"/>
    <cellStyle name="20% - Accent2 8 4 2 2" xfId="39208"/>
    <cellStyle name="20% - Accent2 8 4 3" xfId="26906"/>
    <cellStyle name="20% - Accent2 8 5" xfId="7560"/>
    <cellStyle name="20% - Accent2 8 5 2" xfId="19864"/>
    <cellStyle name="20% - Accent2 8 5 2 2" xfId="42723"/>
    <cellStyle name="20% - Accent2 8 5 3" xfId="30421"/>
    <cellStyle name="20% - Accent2 8 6" xfId="11075"/>
    <cellStyle name="20% - Accent2 8 6 2" xfId="33935"/>
    <cellStyle name="20% - Accent2 8 7" xfId="12834"/>
    <cellStyle name="20% - Accent2 8 7 2" xfId="35693"/>
    <cellStyle name="20% - Accent2 8 8" xfId="23389"/>
    <cellStyle name="20% - Accent2 9" xfId="973"/>
    <cellStyle name="20% - Accent2 9 2" xfId="2734"/>
    <cellStyle name="20% - Accent2 9 2 2" xfId="6249"/>
    <cellStyle name="20% - Accent2 9 2 2 2" xfId="18553"/>
    <cellStyle name="20% - Accent2 9 2 2 2 2" xfId="41412"/>
    <cellStyle name="20% - Accent2 9 2 2 3" xfId="29110"/>
    <cellStyle name="20% - Accent2 9 2 3" xfId="9764"/>
    <cellStyle name="20% - Accent2 9 2 3 2" xfId="22068"/>
    <cellStyle name="20% - Accent2 9 2 3 2 2" xfId="44927"/>
    <cellStyle name="20% - Accent2 9 2 3 3" xfId="32625"/>
    <cellStyle name="20% - Accent2 9 2 4" xfId="15038"/>
    <cellStyle name="20% - Accent2 9 2 4 2" xfId="37897"/>
    <cellStyle name="20% - Accent2 9 2 5" xfId="25595"/>
    <cellStyle name="20% - Accent2 9 3" xfId="4491"/>
    <cellStyle name="20% - Accent2 9 3 2" xfId="16795"/>
    <cellStyle name="20% - Accent2 9 3 2 2" xfId="39654"/>
    <cellStyle name="20% - Accent2 9 3 3" xfId="27352"/>
    <cellStyle name="20% - Accent2 9 4" xfId="8006"/>
    <cellStyle name="20% - Accent2 9 4 2" xfId="20310"/>
    <cellStyle name="20% - Accent2 9 4 2 2" xfId="43169"/>
    <cellStyle name="20% - Accent2 9 4 3" xfId="30867"/>
    <cellStyle name="20% - Accent2 9 5" xfId="11521"/>
    <cellStyle name="20% - Accent2 9 5 2" xfId="34381"/>
    <cellStyle name="20% - Accent2 9 6" xfId="13280"/>
    <cellStyle name="20% - Accent2 9 6 2" xfId="36139"/>
    <cellStyle name="20% - Accent2 9 7" xfId="23836"/>
    <cellStyle name="20% - Accent3" xfId="83" builtinId="38" customBuiltin="1"/>
    <cellStyle name="20% - Accent3 10" xfId="1849"/>
    <cellStyle name="20% - Accent3 10 2" xfId="5366"/>
    <cellStyle name="20% - Accent3 10 2 2" xfId="17670"/>
    <cellStyle name="20% - Accent3 10 2 2 2" xfId="40529"/>
    <cellStyle name="20% - Accent3 10 2 3" xfId="28227"/>
    <cellStyle name="20% - Accent3 10 3" xfId="8881"/>
    <cellStyle name="20% - Accent3 10 3 2" xfId="21185"/>
    <cellStyle name="20% - Accent3 10 3 2 2" xfId="44044"/>
    <cellStyle name="20% - Accent3 10 3 3" xfId="31742"/>
    <cellStyle name="20% - Accent3 10 4" xfId="14155"/>
    <cellStyle name="20% - Accent3 10 4 2" xfId="37014"/>
    <cellStyle name="20% - Accent3 10 5" xfId="24711"/>
    <cellStyle name="20% - Accent3 11" xfId="3615"/>
    <cellStyle name="20% - Accent3 11 2" xfId="15919"/>
    <cellStyle name="20% - Accent3 11 2 2" xfId="38778"/>
    <cellStyle name="20% - Accent3 11 3" xfId="26476"/>
    <cellStyle name="20% - Accent3 12" xfId="7130"/>
    <cellStyle name="20% - Accent3 12 2" xfId="19434"/>
    <cellStyle name="20% - Accent3 12 2 2" xfId="42293"/>
    <cellStyle name="20% - Accent3 12 3" xfId="29991"/>
    <cellStyle name="20% - Accent3 13" xfId="10645"/>
    <cellStyle name="20% - Accent3 13 2" xfId="33505"/>
    <cellStyle name="20% - Accent3 14" xfId="12395"/>
    <cellStyle name="20% - Accent3 14 2" xfId="35255"/>
    <cellStyle name="20% - Accent3 15" xfId="22957"/>
    <cellStyle name="20% - Accent3 2" xfId="3"/>
    <cellStyle name="20% - Accent3 3" xfId="109"/>
    <cellStyle name="20% - Accent3 3 10" xfId="10664"/>
    <cellStyle name="20% - Accent3 3 10 2" xfId="33524"/>
    <cellStyle name="20% - Accent3 3 11" xfId="12423"/>
    <cellStyle name="20% - Accent3 3 11 2" xfId="35282"/>
    <cellStyle name="20% - Accent3 3 12" xfId="22976"/>
    <cellStyle name="20% - Accent3 3 2" xfId="165"/>
    <cellStyle name="20% - Accent3 3 2 10" xfId="12477"/>
    <cellStyle name="20% - Accent3 3 2 10 2" xfId="35336"/>
    <cellStyle name="20% - Accent3 3 2 11" xfId="23031"/>
    <cellStyle name="20% - Accent3 3 2 2" xfId="273"/>
    <cellStyle name="20% - Accent3 3 2 2 10" xfId="23138"/>
    <cellStyle name="20% - Accent3 3 2 2 2" xfId="485"/>
    <cellStyle name="20% - Accent3 3 2 2 2 2" xfId="926"/>
    <cellStyle name="20% - Accent3 3 2 2 2 2 2" xfId="1805"/>
    <cellStyle name="20% - Accent3 3 2 2 2 2 2 2" xfId="3566"/>
    <cellStyle name="20% - Accent3 3 2 2 2 2 2 2 2" xfId="7081"/>
    <cellStyle name="20% - Accent3 3 2 2 2 2 2 2 2 2" xfId="19385"/>
    <cellStyle name="20% - Accent3 3 2 2 2 2 2 2 2 2 2" xfId="42244"/>
    <cellStyle name="20% - Accent3 3 2 2 2 2 2 2 2 3" xfId="29942"/>
    <cellStyle name="20% - Accent3 3 2 2 2 2 2 2 3" xfId="10596"/>
    <cellStyle name="20% - Accent3 3 2 2 2 2 2 2 3 2" xfId="22900"/>
    <cellStyle name="20% - Accent3 3 2 2 2 2 2 2 3 2 2" xfId="45759"/>
    <cellStyle name="20% - Accent3 3 2 2 2 2 2 2 3 3" xfId="33457"/>
    <cellStyle name="20% - Accent3 3 2 2 2 2 2 2 4" xfId="15870"/>
    <cellStyle name="20% - Accent3 3 2 2 2 2 2 2 4 2" xfId="38729"/>
    <cellStyle name="20% - Accent3 3 2 2 2 2 2 2 5" xfId="26427"/>
    <cellStyle name="20% - Accent3 3 2 2 2 2 2 3" xfId="5323"/>
    <cellStyle name="20% - Accent3 3 2 2 2 2 2 3 2" xfId="17627"/>
    <cellStyle name="20% - Accent3 3 2 2 2 2 2 3 2 2" xfId="40486"/>
    <cellStyle name="20% - Accent3 3 2 2 2 2 2 3 3" xfId="28184"/>
    <cellStyle name="20% - Accent3 3 2 2 2 2 2 4" xfId="8838"/>
    <cellStyle name="20% - Accent3 3 2 2 2 2 2 4 2" xfId="21142"/>
    <cellStyle name="20% - Accent3 3 2 2 2 2 2 4 2 2" xfId="44001"/>
    <cellStyle name="20% - Accent3 3 2 2 2 2 2 4 3" xfId="31699"/>
    <cellStyle name="20% - Accent3 3 2 2 2 2 2 5" xfId="12353"/>
    <cellStyle name="20% - Accent3 3 2 2 2 2 2 5 2" xfId="35213"/>
    <cellStyle name="20% - Accent3 3 2 2 2 2 2 6" xfId="14112"/>
    <cellStyle name="20% - Accent3 3 2 2 2 2 2 6 2" xfId="36971"/>
    <cellStyle name="20% - Accent3 3 2 2 2 2 2 7" xfId="24668"/>
    <cellStyle name="20% - Accent3 3 2 2 2 2 3" xfId="2688"/>
    <cellStyle name="20% - Accent3 3 2 2 2 2 3 2" xfId="6203"/>
    <cellStyle name="20% - Accent3 3 2 2 2 2 3 2 2" xfId="18507"/>
    <cellStyle name="20% - Accent3 3 2 2 2 2 3 2 2 2" xfId="41366"/>
    <cellStyle name="20% - Accent3 3 2 2 2 2 3 2 3" xfId="29064"/>
    <cellStyle name="20% - Accent3 3 2 2 2 2 3 3" xfId="9718"/>
    <cellStyle name="20% - Accent3 3 2 2 2 2 3 3 2" xfId="22022"/>
    <cellStyle name="20% - Accent3 3 2 2 2 2 3 3 2 2" xfId="44881"/>
    <cellStyle name="20% - Accent3 3 2 2 2 2 3 3 3" xfId="32579"/>
    <cellStyle name="20% - Accent3 3 2 2 2 2 3 4" xfId="14992"/>
    <cellStyle name="20% - Accent3 3 2 2 2 2 3 4 2" xfId="37851"/>
    <cellStyle name="20% - Accent3 3 2 2 2 2 3 5" xfId="25549"/>
    <cellStyle name="20% - Accent3 3 2 2 2 2 4" xfId="4445"/>
    <cellStyle name="20% - Accent3 3 2 2 2 2 4 2" xfId="16749"/>
    <cellStyle name="20% - Accent3 3 2 2 2 2 4 2 2" xfId="39608"/>
    <cellStyle name="20% - Accent3 3 2 2 2 2 4 3" xfId="27306"/>
    <cellStyle name="20% - Accent3 3 2 2 2 2 5" xfId="7960"/>
    <cellStyle name="20% - Accent3 3 2 2 2 2 5 2" xfId="20264"/>
    <cellStyle name="20% - Accent3 3 2 2 2 2 5 2 2" xfId="43123"/>
    <cellStyle name="20% - Accent3 3 2 2 2 2 5 3" xfId="30821"/>
    <cellStyle name="20% - Accent3 3 2 2 2 2 6" xfId="11475"/>
    <cellStyle name="20% - Accent3 3 2 2 2 2 6 2" xfId="34335"/>
    <cellStyle name="20% - Accent3 3 2 2 2 2 7" xfId="13234"/>
    <cellStyle name="20% - Accent3 3 2 2 2 2 7 2" xfId="36093"/>
    <cellStyle name="20% - Accent3 3 2 2 2 2 8" xfId="23790"/>
    <cellStyle name="20% - Accent3 3 2 2 2 3" xfId="1366"/>
    <cellStyle name="20% - Accent3 3 2 2 2 3 2" xfId="3127"/>
    <cellStyle name="20% - Accent3 3 2 2 2 3 2 2" xfId="6642"/>
    <cellStyle name="20% - Accent3 3 2 2 2 3 2 2 2" xfId="18946"/>
    <cellStyle name="20% - Accent3 3 2 2 2 3 2 2 2 2" xfId="41805"/>
    <cellStyle name="20% - Accent3 3 2 2 2 3 2 2 3" xfId="29503"/>
    <cellStyle name="20% - Accent3 3 2 2 2 3 2 3" xfId="10157"/>
    <cellStyle name="20% - Accent3 3 2 2 2 3 2 3 2" xfId="22461"/>
    <cellStyle name="20% - Accent3 3 2 2 2 3 2 3 2 2" xfId="45320"/>
    <cellStyle name="20% - Accent3 3 2 2 2 3 2 3 3" xfId="33018"/>
    <cellStyle name="20% - Accent3 3 2 2 2 3 2 4" xfId="15431"/>
    <cellStyle name="20% - Accent3 3 2 2 2 3 2 4 2" xfId="38290"/>
    <cellStyle name="20% - Accent3 3 2 2 2 3 2 5" xfId="25988"/>
    <cellStyle name="20% - Accent3 3 2 2 2 3 3" xfId="4884"/>
    <cellStyle name="20% - Accent3 3 2 2 2 3 3 2" xfId="17188"/>
    <cellStyle name="20% - Accent3 3 2 2 2 3 3 2 2" xfId="40047"/>
    <cellStyle name="20% - Accent3 3 2 2 2 3 3 3" xfId="27745"/>
    <cellStyle name="20% - Accent3 3 2 2 2 3 4" xfId="8399"/>
    <cellStyle name="20% - Accent3 3 2 2 2 3 4 2" xfId="20703"/>
    <cellStyle name="20% - Accent3 3 2 2 2 3 4 2 2" xfId="43562"/>
    <cellStyle name="20% - Accent3 3 2 2 2 3 4 3" xfId="31260"/>
    <cellStyle name="20% - Accent3 3 2 2 2 3 5" xfId="11914"/>
    <cellStyle name="20% - Accent3 3 2 2 2 3 5 2" xfId="34774"/>
    <cellStyle name="20% - Accent3 3 2 2 2 3 6" xfId="13673"/>
    <cellStyle name="20% - Accent3 3 2 2 2 3 6 2" xfId="36532"/>
    <cellStyle name="20% - Accent3 3 2 2 2 3 7" xfId="24229"/>
    <cellStyle name="20% - Accent3 3 2 2 2 4" xfId="2249"/>
    <cellStyle name="20% - Accent3 3 2 2 2 4 2" xfId="5764"/>
    <cellStyle name="20% - Accent3 3 2 2 2 4 2 2" xfId="18068"/>
    <cellStyle name="20% - Accent3 3 2 2 2 4 2 2 2" xfId="40927"/>
    <cellStyle name="20% - Accent3 3 2 2 2 4 2 3" xfId="28625"/>
    <cellStyle name="20% - Accent3 3 2 2 2 4 3" xfId="9279"/>
    <cellStyle name="20% - Accent3 3 2 2 2 4 3 2" xfId="21583"/>
    <cellStyle name="20% - Accent3 3 2 2 2 4 3 2 2" xfId="44442"/>
    <cellStyle name="20% - Accent3 3 2 2 2 4 3 3" xfId="32140"/>
    <cellStyle name="20% - Accent3 3 2 2 2 4 4" xfId="14553"/>
    <cellStyle name="20% - Accent3 3 2 2 2 4 4 2" xfId="37412"/>
    <cellStyle name="20% - Accent3 3 2 2 2 4 5" xfId="25110"/>
    <cellStyle name="20% - Accent3 3 2 2 2 5" xfId="4006"/>
    <cellStyle name="20% - Accent3 3 2 2 2 5 2" xfId="16310"/>
    <cellStyle name="20% - Accent3 3 2 2 2 5 2 2" xfId="39169"/>
    <cellStyle name="20% - Accent3 3 2 2 2 5 3" xfId="26867"/>
    <cellStyle name="20% - Accent3 3 2 2 2 6" xfId="7521"/>
    <cellStyle name="20% - Accent3 3 2 2 2 6 2" xfId="19825"/>
    <cellStyle name="20% - Accent3 3 2 2 2 6 2 2" xfId="42684"/>
    <cellStyle name="20% - Accent3 3 2 2 2 6 3" xfId="30382"/>
    <cellStyle name="20% - Accent3 3 2 2 2 7" xfId="11036"/>
    <cellStyle name="20% - Accent3 3 2 2 2 7 2" xfId="33896"/>
    <cellStyle name="20% - Accent3 3 2 2 2 8" xfId="12795"/>
    <cellStyle name="20% - Accent3 3 2 2 2 8 2" xfId="35654"/>
    <cellStyle name="20% - Accent3 3 2 2 2 9" xfId="23350"/>
    <cellStyle name="20% - Accent3 3 2 2 3" xfId="714"/>
    <cellStyle name="20% - Accent3 3 2 2 3 2" xfId="1593"/>
    <cellStyle name="20% - Accent3 3 2 2 3 2 2" xfId="3354"/>
    <cellStyle name="20% - Accent3 3 2 2 3 2 2 2" xfId="6869"/>
    <cellStyle name="20% - Accent3 3 2 2 3 2 2 2 2" xfId="19173"/>
    <cellStyle name="20% - Accent3 3 2 2 3 2 2 2 2 2" xfId="42032"/>
    <cellStyle name="20% - Accent3 3 2 2 3 2 2 2 3" xfId="29730"/>
    <cellStyle name="20% - Accent3 3 2 2 3 2 2 3" xfId="10384"/>
    <cellStyle name="20% - Accent3 3 2 2 3 2 2 3 2" xfId="22688"/>
    <cellStyle name="20% - Accent3 3 2 2 3 2 2 3 2 2" xfId="45547"/>
    <cellStyle name="20% - Accent3 3 2 2 3 2 2 3 3" xfId="33245"/>
    <cellStyle name="20% - Accent3 3 2 2 3 2 2 4" xfId="15658"/>
    <cellStyle name="20% - Accent3 3 2 2 3 2 2 4 2" xfId="38517"/>
    <cellStyle name="20% - Accent3 3 2 2 3 2 2 5" xfId="26215"/>
    <cellStyle name="20% - Accent3 3 2 2 3 2 3" xfId="5111"/>
    <cellStyle name="20% - Accent3 3 2 2 3 2 3 2" xfId="17415"/>
    <cellStyle name="20% - Accent3 3 2 2 3 2 3 2 2" xfId="40274"/>
    <cellStyle name="20% - Accent3 3 2 2 3 2 3 3" xfId="27972"/>
    <cellStyle name="20% - Accent3 3 2 2 3 2 4" xfId="8626"/>
    <cellStyle name="20% - Accent3 3 2 2 3 2 4 2" xfId="20930"/>
    <cellStyle name="20% - Accent3 3 2 2 3 2 4 2 2" xfId="43789"/>
    <cellStyle name="20% - Accent3 3 2 2 3 2 4 3" xfId="31487"/>
    <cellStyle name="20% - Accent3 3 2 2 3 2 5" xfId="12141"/>
    <cellStyle name="20% - Accent3 3 2 2 3 2 5 2" xfId="35001"/>
    <cellStyle name="20% - Accent3 3 2 2 3 2 6" xfId="13900"/>
    <cellStyle name="20% - Accent3 3 2 2 3 2 6 2" xfId="36759"/>
    <cellStyle name="20% - Accent3 3 2 2 3 2 7" xfId="24456"/>
    <cellStyle name="20% - Accent3 3 2 2 3 3" xfId="2476"/>
    <cellStyle name="20% - Accent3 3 2 2 3 3 2" xfId="5991"/>
    <cellStyle name="20% - Accent3 3 2 2 3 3 2 2" xfId="18295"/>
    <cellStyle name="20% - Accent3 3 2 2 3 3 2 2 2" xfId="41154"/>
    <cellStyle name="20% - Accent3 3 2 2 3 3 2 3" xfId="28852"/>
    <cellStyle name="20% - Accent3 3 2 2 3 3 3" xfId="9506"/>
    <cellStyle name="20% - Accent3 3 2 2 3 3 3 2" xfId="21810"/>
    <cellStyle name="20% - Accent3 3 2 2 3 3 3 2 2" xfId="44669"/>
    <cellStyle name="20% - Accent3 3 2 2 3 3 3 3" xfId="32367"/>
    <cellStyle name="20% - Accent3 3 2 2 3 3 4" xfId="14780"/>
    <cellStyle name="20% - Accent3 3 2 2 3 3 4 2" xfId="37639"/>
    <cellStyle name="20% - Accent3 3 2 2 3 3 5" xfId="25337"/>
    <cellStyle name="20% - Accent3 3 2 2 3 4" xfId="4233"/>
    <cellStyle name="20% - Accent3 3 2 2 3 4 2" xfId="16537"/>
    <cellStyle name="20% - Accent3 3 2 2 3 4 2 2" xfId="39396"/>
    <cellStyle name="20% - Accent3 3 2 2 3 4 3" xfId="27094"/>
    <cellStyle name="20% - Accent3 3 2 2 3 5" xfId="7748"/>
    <cellStyle name="20% - Accent3 3 2 2 3 5 2" xfId="20052"/>
    <cellStyle name="20% - Accent3 3 2 2 3 5 2 2" xfId="42911"/>
    <cellStyle name="20% - Accent3 3 2 2 3 5 3" xfId="30609"/>
    <cellStyle name="20% - Accent3 3 2 2 3 6" xfId="11263"/>
    <cellStyle name="20% - Accent3 3 2 2 3 6 2" xfId="34123"/>
    <cellStyle name="20% - Accent3 3 2 2 3 7" xfId="13022"/>
    <cellStyle name="20% - Accent3 3 2 2 3 7 2" xfId="35881"/>
    <cellStyle name="20% - Accent3 3 2 2 3 8" xfId="23578"/>
    <cellStyle name="20% - Accent3 3 2 2 4" xfId="1154"/>
    <cellStyle name="20% - Accent3 3 2 2 4 2" xfId="2915"/>
    <cellStyle name="20% - Accent3 3 2 2 4 2 2" xfId="6430"/>
    <cellStyle name="20% - Accent3 3 2 2 4 2 2 2" xfId="18734"/>
    <cellStyle name="20% - Accent3 3 2 2 4 2 2 2 2" xfId="41593"/>
    <cellStyle name="20% - Accent3 3 2 2 4 2 2 3" xfId="29291"/>
    <cellStyle name="20% - Accent3 3 2 2 4 2 3" xfId="9945"/>
    <cellStyle name="20% - Accent3 3 2 2 4 2 3 2" xfId="22249"/>
    <cellStyle name="20% - Accent3 3 2 2 4 2 3 2 2" xfId="45108"/>
    <cellStyle name="20% - Accent3 3 2 2 4 2 3 3" xfId="32806"/>
    <cellStyle name="20% - Accent3 3 2 2 4 2 4" xfId="15219"/>
    <cellStyle name="20% - Accent3 3 2 2 4 2 4 2" xfId="38078"/>
    <cellStyle name="20% - Accent3 3 2 2 4 2 5" xfId="25776"/>
    <cellStyle name="20% - Accent3 3 2 2 4 3" xfId="4672"/>
    <cellStyle name="20% - Accent3 3 2 2 4 3 2" xfId="16976"/>
    <cellStyle name="20% - Accent3 3 2 2 4 3 2 2" xfId="39835"/>
    <cellStyle name="20% - Accent3 3 2 2 4 3 3" xfId="27533"/>
    <cellStyle name="20% - Accent3 3 2 2 4 4" xfId="8187"/>
    <cellStyle name="20% - Accent3 3 2 2 4 4 2" xfId="20491"/>
    <cellStyle name="20% - Accent3 3 2 2 4 4 2 2" xfId="43350"/>
    <cellStyle name="20% - Accent3 3 2 2 4 4 3" xfId="31048"/>
    <cellStyle name="20% - Accent3 3 2 2 4 5" xfId="11702"/>
    <cellStyle name="20% - Accent3 3 2 2 4 5 2" xfId="34562"/>
    <cellStyle name="20% - Accent3 3 2 2 4 6" xfId="13461"/>
    <cellStyle name="20% - Accent3 3 2 2 4 6 2" xfId="36320"/>
    <cellStyle name="20% - Accent3 3 2 2 4 7" xfId="24017"/>
    <cellStyle name="20% - Accent3 3 2 2 5" xfId="2037"/>
    <cellStyle name="20% - Accent3 3 2 2 5 2" xfId="5552"/>
    <cellStyle name="20% - Accent3 3 2 2 5 2 2" xfId="17856"/>
    <cellStyle name="20% - Accent3 3 2 2 5 2 2 2" xfId="40715"/>
    <cellStyle name="20% - Accent3 3 2 2 5 2 3" xfId="28413"/>
    <cellStyle name="20% - Accent3 3 2 2 5 3" xfId="9067"/>
    <cellStyle name="20% - Accent3 3 2 2 5 3 2" xfId="21371"/>
    <cellStyle name="20% - Accent3 3 2 2 5 3 2 2" xfId="44230"/>
    <cellStyle name="20% - Accent3 3 2 2 5 3 3" xfId="31928"/>
    <cellStyle name="20% - Accent3 3 2 2 5 4" xfId="14341"/>
    <cellStyle name="20% - Accent3 3 2 2 5 4 2" xfId="37200"/>
    <cellStyle name="20% - Accent3 3 2 2 5 5" xfId="24898"/>
    <cellStyle name="20% - Accent3 3 2 2 6" xfId="3794"/>
    <cellStyle name="20% - Accent3 3 2 2 6 2" xfId="16098"/>
    <cellStyle name="20% - Accent3 3 2 2 6 2 2" xfId="38957"/>
    <cellStyle name="20% - Accent3 3 2 2 6 3" xfId="26655"/>
    <cellStyle name="20% - Accent3 3 2 2 7" xfId="7309"/>
    <cellStyle name="20% - Accent3 3 2 2 7 2" xfId="19613"/>
    <cellStyle name="20% - Accent3 3 2 2 7 2 2" xfId="42472"/>
    <cellStyle name="20% - Accent3 3 2 2 7 3" xfId="30170"/>
    <cellStyle name="20% - Accent3 3 2 2 8" xfId="10824"/>
    <cellStyle name="20% - Accent3 3 2 2 8 2" xfId="33684"/>
    <cellStyle name="20% - Accent3 3 2 2 9" xfId="12583"/>
    <cellStyle name="20% - Accent3 3 2 2 9 2" xfId="35442"/>
    <cellStyle name="20% - Accent3 3 2 3" xfId="379"/>
    <cellStyle name="20% - Accent3 3 2 3 2" xfId="820"/>
    <cellStyle name="20% - Accent3 3 2 3 2 2" xfId="1699"/>
    <cellStyle name="20% - Accent3 3 2 3 2 2 2" xfId="3460"/>
    <cellStyle name="20% - Accent3 3 2 3 2 2 2 2" xfId="6975"/>
    <cellStyle name="20% - Accent3 3 2 3 2 2 2 2 2" xfId="19279"/>
    <cellStyle name="20% - Accent3 3 2 3 2 2 2 2 2 2" xfId="42138"/>
    <cellStyle name="20% - Accent3 3 2 3 2 2 2 2 3" xfId="29836"/>
    <cellStyle name="20% - Accent3 3 2 3 2 2 2 3" xfId="10490"/>
    <cellStyle name="20% - Accent3 3 2 3 2 2 2 3 2" xfId="22794"/>
    <cellStyle name="20% - Accent3 3 2 3 2 2 2 3 2 2" xfId="45653"/>
    <cellStyle name="20% - Accent3 3 2 3 2 2 2 3 3" xfId="33351"/>
    <cellStyle name="20% - Accent3 3 2 3 2 2 2 4" xfId="15764"/>
    <cellStyle name="20% - Accent3 3 2 3 2 2 2 4 2" xfId="38623"/>
    <cellStyle name="20% - Accent3 3 2 3 2 2 2 5" xfId="26321"/>
    <cellStyle name="20% - Accent3 3 2 3 2 2 3" xfId="5217"/>
    <cellStyle name="20% - Accent3 3 2 3 2 2 3 2" xfId="17521"/>
    <cellStyle name="20% - Accent3 3 2 3 2 2 3 2 2" xfId="40380"/>
    <cellStyle name="20% - Accent3 3 2 3 2 2 3 3" xfId="28078"/>
    <cellStyle name="20% - Accent3 3 2 3 2 2 4" xfId="8732"/>
    <cellStyle name="20% - Accent3 3 2 3 2 2 4 2" xfId="21036"/>
    <cellStyle name="20% - Accent3 3 2 3 2 2 4 2 2" xfId="43895"/>
    <cellStyle name="20% - Accent3 3 2 3 2 2 4 3" xfId="31593"/>
    <cellStyle name="20% - Accent3 3 2 3 2 2 5" xfId="12247"/>
    <cellStyle name="20% - Accent3 3 2 3 2 2 5 2" xfId="35107"/>
    <cellStyle name="20% - Accent3 3 2 3 2 2 6" xfId="14006"/>
    <cellStyle name="20% - Accent3 3 2 3 2 2 6 2" xfId="36865"/>
    <cellStyle name="20% - Accent3 3 2 3 2 2 7" xfId="24562"/>
    <cellStyle name="20% - Accent3 3 2 3 2 3" xfId="2582"/>
    <cellStyle name="20% - Accent3 3 2 3 2 3 2" xfId="6097"/>
    <cellStyle name="20% - Accent3 3 2 3 2 3 2 2" xfId="18401"/>
    <cellStyle name="20% - Accent3 3 2 3 2 3 2 2 2" xfId="41260"/>
    <cellStyle name="20% - Accent3 3 2 3 2 3 2 3" xfId="28958"/>
    <cellStyle name="20% - Accent3 3 2 3 2 3 3" xfId="9612"/>
    <cellStyle name="20% - Accent3 3 2 3 2 3 3 2" xfId="21916"/>
    <cellStyle name="20% - Accent3 3 2 3 2 3 3 2 2" xfId="44775"/>
    <cellStyle name="20% - Accent3 3 2 3 2 3 3 3" xfId="32473"/>
    <cellStyle name="20% - Accent3 3 2 3 2 3 4" xfId="14886"/>
    <cellStyle name="20% - Accent3 3 2 3 2 3 4 2" xfId="37745"/>
    <cellStyle name="20% - Accent3 3 2 3 2 3 5" xfId="25443"/>
    <cellStyle name="20% - Accent3 3 2 3 2 4" xfId="4339"/>
    <cellStyle name="20% - Accent3 3 2 3 2 4 2" xfId="16643"/>
    <cellStyle name="20% - Accent3 3 2 3 2 4 2 2" xfId="39502"/>
    <cellStyle name="20% - Accent3 3 2 3 2 4 3" xfId="27200"/>
    <cellStyle name="20% - Accent3 3 2 3 2 5" xfId="7854"/>
    <cellStyle name="20% - Accent3 3 2 3 2 5 2" xfId="20158"/>
    <cellStyle name="20% - Accent3 3 2 3 2 5 2 2" xfId="43017"/>
    <cellStyle name="20% - Accent3 3 2 3 2 5 3" xfId="30715"/>
    <cellStyle name="20% - Accent3 3 2 3 2 6" xfId="11369"/>
    <cellStyle name="20% - Accent3 3 2 3 2 6 2" xfId="34229"/>
    <cellStyle name="20% - Accent3 3 2 3 2 7" xfId="13128"/>
    <cellStyle name="20% - Accent3 3 2 3 2 7 2" xfId="35987"/>
    <cellStyle name="20% - Accent3 3 2 3 2 8" xfId="23684"/>
    <cellStyle name="20% - Accent3 3 2 3 3" xfId="1260"/>
    <cellStyle name="20% - Accent3 3 2 3 3 2" xfId="3021"/>
    <cellStyle name="20% - Accent3 3 2 3 3 2 2" xfId="6536"/>
    <cellStyle name="20% - Accent3 3 2 3 3 2 2 2" xfId="18840"/>
    <cellStyle name="20% - Accent3 3 2 3 3 2 2 2 2" xfId="41699"/>
    <cellStyle name="20% - Accent3 3 2 3 3 2 2 3" xfId="29397"/>
    <cellStyle name="20% - Accent3 3 2 3 3 2 3" xfId="10051"/>
    <cellStyle name="20% - Accent3 3 2 3 3 2 3 2" xfId="22355"/>
    <cellStyle name="20% - Accent3 3 2 3 3 2 3 2 2" xfId="45214"/>
    <cellStyle name="20% - Accent3 3 2 3 3 2 3 3" xfId="32912"/>
    <cellStyle name="20% - Accent3 3 2 3 3 2 4" xfId="15325"/>
    <cellStyle name="20% - Accent3 3 2 3 3 2 4 2" xfId="38184"/>
    <cellStyle name="20% - Accent3 3 2 3 3 2 5" xfId="25882"/>
    <cellStyle name="20% - Accent3 3 2 3 3 3" xfId="4778"/>
    <cellStyle name="20% - Accent3 3 2 3 3 3 2" xfId="17082"/>
    <cellStyle name="20% - Accent3 3 2 3 3 3 2 2" xfId="39941"/>
    <cellStyle name="20% - Accent3 3 2 3 3 3 3" xfId="27639"/>
    <cellStyle name="20% - Accent3 3 2 3 3 4" xfId="8293"/>
    <cellStyle name="20% - Accent3 3 2 3 3 4 2" xfId="20597"/>
    <cellStyle name="20% - Accent3 3 2 3 3 4 2 2" xfId="43456"/>
    <cellStyle name="20% - Accent3 3 2 3 3 4 3" xfId="31154"/>
    <cellStyle name="20% - Accent3 3 2 3 3 5" xfId="11808"/>
    <cellStyle name="20% - Accent3 3 2 3 3 5 2" xfId="34668"/>
    <cellStyle name="20% - Accent3 3 2 3 3 6" xfId="13567"/>
    <cellStyle name="20% - Accent3 3 2 3 3 6 2" xfId="36426"/>
    <cellStyle name="20% - Accent3 3 2 3 3 7" xfId="24123"/>
    <cellStyle name="20% - Accent3 3 2 3 4" xfId="2143"/>
    <cellStyle name="20% - Accent3 3 2 3 4 2" xfId="5658"/>
    <cellStyle name="20% - Accent3 3 2 3 4 2 2" xfId="17962"/>
    <cellStyle name="20% - Accent3 3 2 3 4 2 2 2" xfId="40821"/>
    <cellStyle name="20% - Accent3 3 2 3 4 2 3" xfId="28519"/>
    <cellStyle name="20% - Accent3 3 2 3 4 3" xfId="9173"/>
    <cellStyle name="20% - Accent3 3 2 3 4 3 2" xfId="21477"/>
    <cellStyle name="20% - Accent3 3 2 3 4 3 2 2" xfId="44336"/>
    <cellStyle name="20% - Accent3 3 2 3 4 3 3" xfId="32034"/>
    <cellStyle name="20% - Accent3 3 2 3 4 4" xfId="14447"/>
    <cellStyle name="20% - Accent3 3 2 3 4 4 2" xfId="37306"/>
    <cellStyle name="20% - Accent3 3 2 3 4 5" xfId="25004"/>
    <cellStyle name="20% - Accent3 3 2 3 5" xfId="3900"/>
    <cellStyle name="20% - Accent3 3 2 3 5 2" xfId="16204"/>
    <cellStyle name="20% - Accent3 3 2 3 5 2 2" xfId="39063"/>
    <cellStyle name="20% - Accent3 3 2 3 5 3" xfId="26761"/>
    <cellStyle name="20% - Accent3 3 2 3 6" xfId="7415"/>
    <cellStyle name="20% - Accent3 3 2 3 6 2" xfId="19719"/>
    <cellStyle name="20% - Accent3 3 2 3 6 2 2" xfId="42578"/>
    <cellStyle name="20% - Accent3 3 2 3 6 3" xfId="30276"/>
    <cellStyle name="20% - Accent3 3 2 3 7" xfId="10930"/>
    <cellStyle name="20% - Accent3 3 2 3 7 2" xfId="33790"/>
    <cellStyle name="20% - Accent3 3 2 3 8" xfId="12689"/>
    <cellStyle name="20% - Accent3 3 2 3 8 2" xfId="35548"/>
    <cellStyle name="20% - Accent3 3 2 3 9" xfId="23244"/>
    <cellStyle name="20% - Accent3 3 2 4" xfId="608"/>
    <cellStyle name="20% - Accent3 3 2 4 2" xfId="1487"/>
    <cellStyle name="20% - Accent3 3 2 4 2 2" xfId="3248"/>
    <cellStyle name="20% - Accent3 3 2 4 2 2 2" xfId="6763"/>
    <cellStyle name="20% - Accent3 3 2 4 2 2 2 2" xfId="19067"/>
    <cellStyle name="20% - Accent3 3 2 4 2 2 2 2 2" xfId="41926"/>
    <cellStyle name="20% - Accent3 3 2 4 2 2 2 3" xfId="29624"/>
    <cellStyle name="20% - Accent3 3 2 4 2 2 3" xfId="10278"/>
    <cellStyle name="20% - Accent3 3 2 4 2 2 3 2" xfId="22582"/>
    <cellStyle name="20% - Accent3 3 2 4 2 2 3 2 2" xfId="45441"/>
    <cellStyle name="20% - Accent3 3 2 4 2 2 3 3" xfId="33139"/>
    <cellStyle name="20% - Accent3 3 2 4 2 2 4" xfId="15552"/>
    <cellStyle name="20% - Accent3 3 2 4 2 2 4 2" xfId="38411"/>
    <cellStyle name="20% - Accent3 3 2 4 2 2 5" xfId="26109"/>
    <cellStyle name="20% - Accent3 3 2 4 2 3" xfId="5005"/>
    <cellStyle name="20% - Accent3 3 2 4 2 3 2" xfId="17309"/>
    <cellStyle name="20% - Accent3 3 2 4 2 3 2 2" xfId="40168"/>
    <cellStyle name="20% - Accent3 3 2 4 2 3 3" xfId="27866"/>
    <cellStyle name="20% - Accent3 3 2 4 2 4" xfId="8520"/>
    <cellStyle name="20% - Accent3 3 2 4 2 4 2" xfId="20824"/>
    <cellStyle name="20% - Accent3 3 2 4 2 4 2 2" xfId="43683"/>
    <cellStyle name="20% - Accent3 3 2 4 2 4 3" xfId="31381"/>
    <cellStyle name="20% - Accent3 3 2 4 2 5" xfId="12035"/>
    <cellStyle name="20% - Accent3 3 2 4 2 5 2" xfId="34895"/>
    <cellStyle name="20% - Accent3 3 2 4 2 6" xfId="13794"/>
    <cellStyle name="20% - Accent3 3 2 4 2 6 2" xfId="36653"/>
    <cellStyle name="20% - Accent3 3 2 4 2 7" xfId="24350"/>
    <cellStyle name="20% - Accent3 3 2 4 3" xfId="2370"/>
    <cellStyle name="20% - Accent3 3 2 4 3 2" xfId="5885"/>
    <cellStyle name="20% - Accent3 3 2 4 3 2 2" xfId="18189"/>
    <cellStyle name="20% - Accent3 3 2 4 3 2 2 2" xfId="41048"/>
    <cellStyle name="20% - Accent3 3 2 4 3 2 3" xfId="28746"/>
    <cellStyle name="20% - Accent3 3 2 4 3 3" xfId="9400"/>
    <cellStyle name="20% - Accent3 3 2 4 3 3 2" xfId="21704"/>
    <cellStyle name="20% - Accent3 3 2 4 3 3 2 2" xfId="44563"/>
    <cellStyle name="20% - Accent3 3 2 4 3 3 3" xfId="32261"/>
    <cellStyle name="20% - Accent3 3 2 4 3 4" xfId="14674"/>
    <cellStyle name="20% - Accent3 3 2 4 3 4 2" xfId="37533"/>
    <cellStyle name="20% - Accent3 3 2 4 3 5" xfId="25231"/>
    <cellStyle name="20% - Accent3 3 2 4 4" xfId="4127"/>
    <cellStyle name="20% - Accent3 3 2 4 4 2" xfId="16431"/>
    <cellStyle name="20% - Accent3 3 2 4 4 2 2" xfId="39290"/>
    <cellStyle name="20% - Accent3 3 2 4 4 3" xfId="26988"/>
    <cellStyle name="20% - Accent3 3 2 4 5" xfId="7642"/>
    <cellStyle name="20% - Accent3 3 2 4 5 2" xfId="19946"/>
    <cellStyle name="20% - Accent3 3 2 4 5 2 2" xfId="42805"/>
    <cellStyle name="20% - Accent3 3 2 4 5 3" xfId="30503"/>
    <cellStyle name="20% - Accent3 3 2 4 6" xfId="11157"/>
    <cellStyle name="20% - Accent3 3 2 4 6 2" xfId="34017"/>
    <cellStyle name="20% - Accent3 3 2 4 7" xfId="12916"/>
    <cellStyle name="20% - Accent3 3 2 4 7 2" xfId="35775"/>
    <cellStyle name="20% - Accent3 3 2 4 8" xfId="23472"/>
    <cellStyle name="20% - Accent3 3 2 5" xfId="1048"/>
    <cellStyle name="20% - Accent3 3 2 5 2" xfId="2809"/>
    <cellStyle name="20% - Accent3 3 2 5 2 2" xfId="6324"/>
    <cellStyle name="20% - Accent3 3 2 5 2 2 2" xfId="18628"/>
    <cellStyle name="20% - Accent3 3 2 5 2 2 2 2" xfId="41487"/>
    <cellStyle name="20% - Accent3 3 2 5 2 2 3" xfId="29185"/>
    <cellStyle name="20% - Accent3 3 2 5 2 3" xfId="9839"/>
    <cellStyle name="20% - Accent3 3 2 5 2 3 2" xfId="22143"/>
    <cellStyle name="20% - Accent3 3 2 5 2 3 2 2" xfId="45002"/>
    <cellStyle name="20% - Accent3 3 2 5 2 3 3" xfId="32700"/>
    <cellStyle name="20% - Accent3 3 2 5 2 4" xfId="15113"/>
    <cellStyle name="20% - Accent3 3 2 5 2 4 2" xfId="37972"/>
    <cellStyle name="20% - Accent3 3 2 5 2 5" xfId="25670"/>
    <cellStyle name="20% - Accent3 3 2 5 3" xfId="4566"/>
    <cellStyle name="20% - Accent3 3 2 5 3 2" xfId="16870"/>
    <cellStyle name="20% - Accent3 3 2 5 3 2 2" xfId="39729"/>
    <cellStyle name="20% - Accent3 3 2 5 3 3" xfId="27427"/>
    <cellStyle name="20% - Accent3 3 2 5 4" xfId="8081"/>
    <cellStyle name="20% - Accent3 3 2 5 4 2" xfId="20385"/>
    <cellStyle name="20% - Accent3 3 2 5 4 2 2" xfId="43244"/>
    <cellStyle name="20% - Accent3 3 2 5 4 3" xfId="30942"/>
    <cellStyle name="20% - Accent3 3 2 5 5" xfId="11596"/>
    <cellStyle name="20% - Accent3 3 2 5 5 2" xfId="34456"/>
    <cellStyle name="20% - Accent3 3 2 5 6" xfId="13355"/>
    <cellStyle name="20% - Accent3 3 2 5 6 2" xfId="36214"/>
    <cellStyle name="20% - Accent3 3 2 5 7" xfId="23911"/>
    <cellStyle name="20% - Accent3 3 2 6" xfId="1931"/>
    <cellStyle name="20% - Accent3 3 2 6 2" xfId="5446"/>
    <cellStyle name="20% - Accent3 3 2 6 2 2" xfId="17750"/>
    <cellStyle name="20% - Accent3 3 2 6 2 2 2" xfId="40609"/>
    <cellStyle name="20% - Accent3 3 2 6 2 3" xfId="28307"/>
    <cellStyle name="20% - Accent3 3 2 6 3" xfId="8961"/>
    <cellStyle name="20% - Accent3 3 2 6 3 2" xfId="21265"/>
    <cellStyle name="20% - Accent3 3 2 6 3 2 2" xfId="44124"/>
    <cellStyle name="20% - Accent3 3 2 6 3 3" xfId="31822"/>
    <cellStyle name="20% - Accent3 3 2 6 4" xfId="14235"/>
    <cellStyle name="20% - Accent3 3 2 6 4 2" xfId="37094"/>
    <cellStyle name="20% - Accent3 3 2 6 5" xfId="24792"/>
    <cellStyle name="20% - Accent3 3 2 7" xfId="3688"/>
    <cellStyle name="20% - Accent3 3 2 7 2" xfId="15992"/>
    <cellStyle name="20% - Accent3 3 2 7 2 2" xfId="38851"/>
    <cellStyle name="20% - Accent3 3 2 7 3" xfId="26549"/>
    <cellStyle name="20% - Accent3 3 2 8" xfId="7203"/>
    <cellStyle name="20% - Accent3 3 2 8 2" xfId="19507"/>
    <cellStyle name="20% - Accent3 3 2 8 2 2" xfId="42366"/>
    <cellStyle name="20% - Accent3 3 2 8 3" xfId="30064"/>
    <cellStyle name="20% - Accent3 3 2 9" xfId="10718"/>
    <cellStyle name="20% - Accent3 3 2 9 2" xfId="33578"/>
    <cellStyle name="20% - Accent3 3 3" xfId="219"/>
    <cellStyle name="20% - Accent3 3 3 10" xfId="23084"/>
    <cellStyle name="20% - Accent3 3 3 2" xfId="431"/>
    <cellStyle name="20% - Accent3 3 3 2 2" xfId="872"/>
    <cellStyle name="20% - Accent3 3 3 2 2 2" xfId="1751"/>
    <cellStyle name="20% - Accent3 3 3 2 2 2 2" xfId="3512"/>
    <cellStyle name="20% - Accent3 3 3 2 2 2 2 2" xfId="7027"/>
    <cellStyle name="20% - Accent3 3 3 2 2 2 2 2 2" xfId="19331"/>
    <cellStyle name="20% - Accent3 3 3 2 2 2 2 2 2 2" xfId="42190"/>
    <cellStyle name="20% - Accent3 3 3 2 2 2 2 2 3" xfId="29888"/>
    <cellStyle name="20% - Accent3 3 3 2 2 2 2 3" xfId="10542"/>
    <cellStyle name="20% - Accent3 3 3 2 2 2 2 3 2" xfId="22846"/>
    <cellStyle name="20% - Accent3 3 3 2 2 2 2 3 2 2" xfId="45705"/>
    <cellStyle name="20% - Accent3 3 3 2 2 2 2 3 3" xfId="33403"/>
    <cellStyle name="20% - Accent3 3 3 2 2 2 2 4" xfId="15816"/>
    <cellStyle name="20% - Accent3 3 3 2 2 2 2 4 2" xfId="38675"/>
    <cellStyle name="20% - Accent3 3 3 2 2 2 2 5" xfId="26373"/>
    <cellStyle name="20% - Accent3 3 3 2 2 2 3" xfId="5269"/>
    <cellStyle name="20% - Accent3 3 3 2 2 2 3 2" xfId="17573"/>
    <cellStyle name="20% - Accent3 3 3 2 2 2 3 2 2" xfId="40432"/>
    <cellStyle name="20% - Accent3 3 3 2 2 2 3 3" xfId="28130"/>
    <cellStyle name="20% - Accent3 3 3 2 2 2 4" xfId="8784"/>
    <cellStyle name="20% - Accent3 3 3 2 2 2 4 2" xfId="21088"/>
    <cellStyle name="20% - Accent3 3 3 2 2 2 4 2 2" xfId="43947"/>
    <cellStyle name="20% - Accent3 3 3 2 2 2 4 3" xfId="31645"/>
    <cellStyle name="20% - Accent3 3 3 2 2 2 5" xfId="12299"/>
    <cellStyle name="20% - Accent3 3 3 2 2 2 5 2" xfId="35159"/>
    <cellStyle name="20% - Accent3 3 3 2 2 2 6" xfId="14058"/>
    <cellStyle name="20% - Accent3 3 3 2 2 2 6 2" xfId="36917"/>
    <cellStyle name="20% - Accent3 3 3 2 2 2 7" xfId="24614"/>
    <cellStyle name="20% - Accent3 3 3 2 2 3" xfId="2634"/>
    <cellStyle name="20% - Accent3 3 3 2 2 3 2" xfId="6149"/>
    <cellStyle name="20% - Accent3 3 3 2 2 3 2 2" xfId="18453"/>
    <cellStyle name="20% - Accent3 3 3 2 2 3 2 2 2" xfId="41312"/>
    <cellStyle name="20% - Accent3 3 3 2 2 3 2 3" xfId="29010"/>
    <cellStyle name="20% - Accent3 3 3 2 2 3 3" xfId="9664"/>
    <cellStyle name="20% - Accent3 3 3 2 2 3 3 2" xfId="21968"/>
    <cellStyle name="20% - Accent3 3 3 2 2 3 3 2 2" xfId="44827"/>
    <cellStyle name="20% - Accent3 3 3 2 2 3 3 3" xfId="32525"/>
    <cellStyle name="20% - Accent3 3 3 2 2 3 4" xfId="14938"/>
    <cellStyle name="20% - Accent3 3 3 2 2 3 4 2" xfId="37797"/>
    <cellStyle name="20% - Accent3 3 3 2 2 3 5" xfId="25495"/>
    <cellStyle name="20% - Accent3 3 3 2 2 4" xfId="4391"/>
    <cellStyle name="20% - Accent3 3 3 2 2 4 2" xfId="16695"/>
    <cellStyle name="20% - Accent3 3 3 2 2 4 2 2" xfId="39554"/>
    <cellStyle name="20% - Accent3 3 3 2 2 4 3" xfId="27252"/>
    <cellStyle name="20% - Accent3 3 3 2 2 5" xfId="7906"/>
    <cellStyle name="20% - Accent3 3 3 2 2 5 2" xfId="20210"/>
    <cellStyle name="20% - Accent3 3 3 2 2 5 2 2" xfId="43069"/>
    <cellStyle name="20% - Accent3 3 3 2 2 5 3" xfId="30767"/>
    <cellStyle name="20% - Accent3 3 3 2 2 6" xfId="11421"/>
    <cellStyle name="20% - Accent3 3 3 2 2 6 2" xfId="34281"/>
    <cellStyle name="20% - Accent3 3 3 2 2 7" xfId="13180"/>
    <cellStyle name="20% - Accent3 3 3 2 2 7 2" xfId="36039"/>
    <cellStyle name="20% - Accent3 3 3 2 2 8" xfId="23736"/>
    <cellStyle name="20% - Accent3 3 3 2 3" xfId="1312"/>
    <cellStyle name="20% - Accent3 3 3 2 3 2" xfId="3073"/>
    <cellStyle name="20% - Accent3 3 3 2 3 2 2" xfId="6588"/>
    <cellStyle name="20% - Accent3 3 3 2 3 2 2 2" xfId="18892"/>
    <cellStyle name="20% - Accent3 3 3 2 3 2 2 2 2" xfId="41751"/>
    <cellStyle name="20% - Accent3 3 3 2 3 2 2 3" xfId="29449"/>
    <cellStyle name="20% - Accent3 3 3 2 3 2 3" xfId="10103"/>
    <cellStyle name="20% - Accent3 3 3 2 3 2 3 2" xfId="22407"/>
    <cellStyle name="20% - Accent3 3 3 2 3 2 3 2 2" xfId="45266"/>
    <cellStyle name="20% - Accent3 3 3 2 3 2 3 3" xfId="32964"/>
    <cellStyle name="20% - Accent3 3 3 2 3 2 4" xfId="15377"/>
    <cellStyle name="20% - Accent3 3 3 2 3 2 4 2" xfId="38236"/>
    <cellStyle name="20% - Accent3 3 3 2 3 2 5" xfId="25934"/>
    <cellStyle name="20% - Accent3 3 3 2 3 3" xfId="4830"/>
    <cellStyle name="20% - Accent3 3 3 2 3 3 2" xfId="17134"/>
    <cellStyle name="20% - Accent3 3 3 2 3 3 2 2" xfId="39993"/>
    <cellStyle name="20% - Accent3 3 3 2 3 3 3" xfId="27691"/>
    <cellStyle name="20% - Accent3 3 3 2 3 4" xfId="8345"/>
    <cellStyle name="20% - Accent3 3 3 2 3 4 2" xfId="20649"/>
    <cellStyle name="20% - Accent3 3 3 2 3 4 2 2" xfId="43508"/>
    <cellStyle name="20% - Accent3 3 3 2 3 4 3" xfId="31206"/>
    <cellStyle name="20% - Accent3 3 3 2 3 5" xfId="11860"/>
    <cellStyle name="20% - Accent3 3 3 2 3 5 2" xfId="34720"/>
    <cellStyle name="20% - Accent3 3 3 2 3 6" xfId="13619"/>
    <cellStyle name="20% - Accent3 3 3 2 3 6 2" xfId="36478"/>
    <cellStyle name="20% - Accent3 3 3 2 3 7" xfId="24175"/>
    <cellStyle name="20% - Accent3 3 3 2 4" xfId="2195"/>
    <cellStyle name="20% - Accent3 3 3 2 4 2" xfId="5710"/>
    <cellStyle name="20% - Accent3 3 3 2 4 2 2" xfId="18014"/>
    <cellStyle name="20% - Accent3 3 3 2 4 2 2 2" xfId="40873"/>
    <cellStyle name="20% - Accent3 3 3 2 4 2 3" xfId="28571"/>
    <cellStyle name="20% - Accent3 3 3 2 4 3" xfId="9225"/>
    <cellStyle name="20% - Accent3 3 3 2 4 3 2" xfId="21529"/>
    <cellStyle name="20% - Accent3 3 3 2 4 3 2 2" xfId="44388"/>
    <cellStyle name="20% - Accent3 3 3 2 4 3 3" xfId="32086"/>
    <cellStyle name="20% - Accent3 3 3 2 4 4" xfId="14499"/>
    <cellStyle name="20% - Accent3 3 3 2 4 4 2" xfId="37358"/>
    <cellStyle name="20% - Accent3 3 3 2 4 5" xfId="25056"/>
    <cellStyle name="20% - Accent3 3 3 2 5" xfId="3952"/>
    <cellStyle name="20% - Accent3 3 3 2 5 2" xfId="16256"/>
    <cellStyle name="20% - Accent3 3 3 2 5 2 2" xfId="39115"/>
    <cellStyle name="20% - Accent3 3 3 2 5 3" xfId="26813"/>
    <cellStyle name="20% - Accent3 3 3 2 6" xfId="7467"/>
    <cellStyle name="20% - Accent3 3 3 2 6 2" xfId="19771"/>
    <cellStyle name="20% - Accent3 3 3 2 6 2 2" xfId="42630"/>
    <cellStyle name="20% - Accent3 3 3 2 6 3" xfId="30328"/>
    <cellStyle name="20% - Accent3 3 3 2 7" xfId="10982"/>
    <cellStyle name="20% - Accent3 3 3 2 7 2" xfId="33842"/>
    <cellStyle name="20% - Accent3 3 3 2 8" xfId="12741"/>
    <cellStyle name="20% - Accent3 3 3 2 8 2" xfId="35600"/>
    <cellStyle name="20% - Accent3 3 3 2 9" xfId="23296"/>
    <cellStyle name="20% - Accent3 3 3 3" xfId="660"/>
    <cellStyle name="20% - Accent3 3 3 3 2" xfId="1539"/>
    <cellStyle name="20% - Accent3 3 3 3 2 2" xfId="3300"/>
    <cellStyle name="20% - Accent3 3 3 3 2 2 2" xfId="6815"/>
    <cellStyle name="20% - Accent3 3 3 3 2 2 2 2" xfId="19119"/>
    <cellStyle name="20% - Accent3 3 3 3 2 2 2 2 2" xfId="41978"/>
    <cellStyle name="20% - Accent3 3 3 3 2 2 2 3" xfId="29676"/>
    <cellStyle name="20% - Accent3 3 3 3 2 2 3" xfId="10330"/>
    <cellStyle name="20% - Accent3 3 3 3 2 2 3 2" xfId="22634"/>
    <cellStyle name="20% - Accent3 3 3 3 2 2 3 2 2" xfId="45493"/>
    <cellStyle name="20% - Accent3 3 3 3 2 2 3 3" xfId="33191"/>
    <cellStyle name="20% - Accent3 3 3 3 2 2 4" xfId="15604"/>
    <cellStyle name="20% - Accent3 3 3 3 2 2 4 2" xfId="38463"/>
    <cellStyle name="20% - Accent3 3 3 3 2 2 5" xfId="26161"/>
    <cellStyle name="20% - Accent3 3 3 3 2 3" xfId="5057"/>
    <cellStyle name="20% - Accent3 3 3 3 2 3 2" xfId="17361"/>
    <cellStyle name="20% - Accent3 3 3 3 2 3 2 2" xfId="40220"/>
    <cellStyle name="20% - Accent3 3 3 3 2 3 3" xfId="27918"/>
    <cellStyle name="20% - Accent3 3 3 3 2 4" xfId="8572"/>
    <cellStyle name="20% - Accent3 3 3 3 2 4 2" xfId="20876"/>
    <cellStyle name="20% - Accent3 3 3 3 2 4 2 2" xfId="43735"/>
    <cellStyle name="20% - Accent3 3 3 3 2 4 3" xfId="31433"/>
    <cellStyle name="20% - Accent3 3 3 3 2 5" xfId="12087"/>
    <cellStyle name="20% - Accent3 3 3 3 2 5 2" xfId="34947"/>
    <cellStyle name="20% - Accent3 3 3 3 2 6" xfId="13846"/>
    <cellStyle name="20% - Accent3 3 3 3 2 6 2" xfId="36705"/>
    <cellStyle name="20% - Accent3 3 3 3 2 7" xfId="24402"/>
    <cellStyle name="20% - Accent3 3 3 3 3" xfId="2422"/>
    <cellStyle name="20% - Accent3 3 3 3 3 2" xfId="5937"/>
    <cellStyle name="20% - Accent3 3 3 3 3 2 2" xfId="18241"/>
    <cellStyle name="20% - Accent3 3 3 3 3 2 2 2" xfId="41100"/>
    <cellStyle name="20% - Accent3 3 3 3 3 2 3" xfId="28798"/>
    <cellStyle name="20% - Accent3 3 3 3 3 3" xfId="9452"/>
    <cellStyle name="20% - Accent3 3 3 3 3 3 2" xfId="21756"/>
    <cellStyle name="20% - Accent3 3 3 3 3 3 2 2" xfId="44615"/>
    <cellStyle name="20% - Accent3 3 3 3 3 3 3" xfId="32313"/>
    <cellStyle name="20% - Accent3 3 3 3 3 4" xfId="14726"/>
    <cellStyle name="20% - Accent3 3 3 3 3 4 2" xfId="37585"/>
    <cellStyle name="20% - Accent3 3 3 3 3 5" xfId="25283"/>
    <cellStyle name="20% - Accent3 3 3 3 4" xfId="4179"/>
    <cellStyle name="20% - Accent3 3 3 3 4 2" xfId="16483"/>
    <cellStyle name="20% - Accent3 3 3 3 4 2 2" xfId="39342"/>
    <cellStyle name="20% - Accent3 3 3 3 4 3" xfId="27040"/>
    <cellStyle name="20% - Accent3 3 3 3 5" xfId="7694"/>
    <cellStyle name="20% - Accent3 3 3 3 5 2" xfId="19998"/>
    <cellStyle name="20% - Accent3 3 3 3 5 2 2" xfId="42857"/>
    <cellStyle name="20% - Accent3 3 3 3 5 3" xfId="30555"/>
    <cellStyle name="20% - Accent3 3 3 3 6" xfId="11209"/>
    <cellStyle name="20% - Accent3 3 3 3 6 2" xfId="34069"/>
    <cellStyle name="20% - Accent3 3 3 3 7" xfId="12968"/>
    <cellStyle name="20% - Accent3 3 3 3 7 2" xfId="35827"/>
    <cellStyle name="20% - Accent3 3 3 3 8" xfId="23524"/>
    <cellStyle name="20% - Accent3 3 3 4" xfId="1100"/>
    <cellStyle name="20% - Accent3 3 3 4 2" xfId="2861"/>
    <cellStyle name="20% - Accent3 3 3 4 2 2" xfId="6376"/>
    <cellStyle name="20% - Accent3 3 3 4 2 2 2" xfId="18680"/>
    <cellStyle name="20% - Accent3 3 3 4 2 2 2 2" xfId="41539"/>
    <cellStyle name="20% - Accent3 3 3 4 2 2 3" xfId="29237"/>
    <cellStyle name="20% - Accent3 3 3 4 2 3" xfId="9891"/>
    <cellStyle name="20% - Accent3 3 3 4 2 3 2" xfId="22195"/>
    <cellStyle name="20% - Accent3 3 3 4 2 3 2 2" xfId="45054"/>
    <cellStyle name="20% - Accent3 3 3 4 2 3 3" xfId="32752"/>
    <cellStyle name="20% - Accent3 3 3 4 2 4" xfId="15165"/>
    <cellStyle name="20% - Accent3 3 3 4 2 4 2" xfId="38024"/>
    <cellStyle name="20% - Accent3 3 3 4 2 5" xfId="25722"/>
    <cellStyle name="20% - Accent3 3 3 4 3" xfId="4618"/>
    <cellStyle name="20% - Accent3 3 3 4 3 2" xfId="16922"/>
    <cellStyle name="20% - Accent3 3 3 4 3 2 2" xfId="39781"/>
    <cellStyle name="20% - Accent3 3 3 4 3 3" xfId="27479"/>
    <cellStyle name="20% - Accent3 3 3 4 4" xfId="8133"/>
    <cellStyle name="20% - Accent3 3 3 4 4 2" xfId="20437"/>
    <cellStyle name="20% - Accent3 3 3 4 4 2 2" xfId="43296"/>
    <cellStyle name="20% - Accent3 3 3 4 4 3" xfId="30994"/>
    <cellStyle name="20% - Accent3 3 3 4 5" xfId="11648"/>
    <cellStyle name="20% - Accent3 3 3 4 5 2" xfId="34508"/>
    <cellStyle name="20% - Accent3 3 3 4 6" xfId="13407"/>
    <cellStyle name="20% - Accent3 3 3 4 6 2" xfId="36266"/>
    <cellStyle name="20% - Accent3 3 3 4 7" xfId="23963"/>
    <cellStyle name="20% - Accent3 3 3 5" xfId="1983"/>
    <cellStyle name="20% - Accent3 3 3 5 2" xfId="5498"/>
    <cellStyle name="20% - Accent3 3 3 5 2 2" xfId="17802"/>
    <cellStyle name="20% - Accent3 3 3 5 2 2 2" xfId="40661"/>
    <cellStyle name="20% - Accent3 3 3 5 2 3" xfId="28359"/>
    <cellStyle name="20% - Accent3 3 3 5 3" xfId="9013"/>
    <cellStyle name="20% - Accent3 3 3 5 3 2" xfId="21317"/>
    <cellStyle name="20% - Accent3 3 3 5 3 2 2" xfId="44176"/>
    <cellStyle name="20% - Accent3 3 3 5 3 3" xfId="31874"/>
    <cellStyle name="20% - Accent3 3 3 5 4" xfId="14287"/>
    <cellStyle name="20% - Accent3 3 3 5 4 2" xfId="37146"/>
    <cellStyle name="20% - Accent3 3 3 5 5" xfId="24844"/>
    <cellStyle name="20% - Accent3 3 3 6" xfId="3740"/>
    <cellStyle name="20% - Accent3 3 3 6 2" xfId="16044"/>
    <cellStyle name="20% - Accent3 3 3 6 2 2" xfId="38903"/>
    <cellStyle name="20% - Accent3 3 3 6 3" xfId="26601"/>
    <cellStyle name="20% - Accent3 3 3 7" xfId="7255"/>
    <cellStyle name="20% - Accent3 3 3 7 2" xfId="19559"/>
    <cellStyle name="20% - Accent3 3 3 7 2 2" xfId="42418"/>
    <cellStyle name="20% - Accent3 3 3 7 3" xfId="30116"/>
    <cellStyle name="20% - Accent3 3 3 8" xfId="10770"/>
    <cellStyle name="20% - Accent3 3 3 8 2" xfId="33630"/>
    <cellStyle name="20% - Accent3 3 3 9" xfId="12529"/>
    <cellStyle name="20% - Accent3 3 3 9 2" xfId="35388"/>
    <cellStyle name="20% - Accent3 3 4" xfId="325"/>
    <cellStyle name="20% - Accent3 3 4 2" xfId="766"/>
    <cellStyle name="20% - Accent3 3 4 2 2" xfId="1645"/>
    <cellStyle name="20% - Accent3 3 4 2 2 2" xfId="3406"/>
    <cellStyle name="20% - Accent3 3 4 2 2 2 2" xfId="6921"/>
    <cellStyle name="20% - Accent3 3 4 2 2 2 2 2" xfId="19225"/>
    <cellStyle name="20% - Accent3 3 4 2 2 2 2 2 2" xfId="42084"/>
    <cellStyle name="20% - Accent3 3 4 2 2 2 2 3" xfId="29782"/>
    <cellStyle name="20% - Accent3 3 4 2 2 2 3" xfId="10436"/>
    <cellStyle name="20% - Accent3 3 4 2 2 2 3 2" xfId="22740"/>
    <cellStyle name="20% - Accent3 3 4 2 2 2 3 2 2" xfId="45599"/>
    <cellStyle name="20% - Accent3 3 4 2 2 2 3 3" xfId="33297"/>
    <cellStyle name="20% - Accent3 3 4 2 2 2 4" xfId="15710"/>
    <cellStyle name="20% - Accent3 3 4 2 2 2 4 2" xfId="38569"/>
    <cellStyle name="20% - Accent3 3 4 2 2 2 5" xfId="26267"/>
    <cellStyle name="20% - Accent3 3 4 2 2 3" xfId="5163"/>
    <cellStyle name="20% - Accent3 3 4 2 2 3 2" xfId="17467"/>
    <cellStyle name="20% - Accent3 3 4 2 2 3 2 2" xfId="40326"/>
    <cellStyle name="20% - Accent3 3 4 2 2 3 3" xfId="28024"/>
    <cellStyle name="20% - Accent3 3 4 2 2 4" xfId="8678"/>
    <cellStyle name="20% - Accent3 3 4 2 2 4 2" xfId="20982"/>
    <cellStyle name="20% - Accent3 3 4 2 2 4 2 2" xfId="43841"/>
    <cellStyle name="20% - Accent3 3 4 2 2 4 3" xfId="31539"/>
    <cellStyle name="20% - Accent3 3 4 2 2 5" xfId="12193"/>
    <cellStyle name="20% - Accent3 3 4 2 2 5 2" xfId="35053"/>
    <cellStyle name="20% - Accent3 3 4 2 2 6" xfId="13952"/>
    <cellStyle name="20% - Accent3 3 4 2 2 6 2" xfId="36811"/>
    <cellStyle name="20% - Accent3 3 4 2 2 7" xfId="24508"/>
    <cellStyle name="20% - Accent3 3 4 2 3" xfId="2528"/>
    <cellStyle name="20% - Accent3 3 4 2 3 2" xfId="6043"/>
    <cellStyle name="20% - Accent3 3 4 2 3 2 2" xfId="18347"/>
    <cellStyle name="20% - Accent3 3 4 2 3 2 2 2" xfId="41206"/>
    <cellStyle name="20% - Accent3 3 4 2 3 2 3" xfId="28904"/>
    <cellStyle name="20% - Accent3 3 4 2 3 3" xfId="9558"/>
    <cellStyle name="20% - Accent3 3 4 2 3 3 2" xfId="21862"/>
    <cellStyle name="20% - Accent3 3 4 2 3 3 2 2" xfId="44721"/>
    <cellStyle name="20% - Accent3 3 4 2 3 3 3" xfId="32419"/>
    <cellStyle name="20% - Accent3 3 4 2 3 4" xfId="14832"/>
    <cellStyle name="20% - Accent3 3 4 2 3 4 2" xfId="37691"/>
    <cellStyle name="20% - Accent3 3 4 2 3 5" xfId="25389"/>
    <cellStyle name="20% - Accent3 3 4 2 4" xfId="4285"/>
    <cellStyle name="20% - Accent3 3 4 2 4 2" xfId="16589"/>
    <cellStyle name="20% - Accent3 3 4 2 4 2 2" xfId="39448"/>
    <cellStyle name="20% - Accent3 3 4 2 4 3" xfId="27146"/>
    <cellStyle name="20% - Accent3 3 4 2 5" xfId="7800"/>
    <cellStyle name="20% - Accent3 3 4 2 5 2" xfId="20104"/>
    <cellStyle name="20% - Accent3 3 4 2 5 2 2" xfId="42963"/>
    <cellStyle name="20% - Accent3 3 4 2 5 3" xfId="30661"/>
    <cellStyle name="20% - Accent3 3 4 2 6" xfId="11315"/>
    <cellStyle name="20% - Accent3 3 4 2 6 2" xfId="34175"/>
    <cellStyle name="20% - Accent3 3 4 2 7" xfId="13074"/>
    <cellStyle name="20% - Accent3 3 4 2 7 2" xfId="35933"/>
    <cellStyle name="20% - Accent3 3 4 2 8" xfId="23630"/>
    <cellStyle name="20% - Accent3 3 4 3" xfId="1206"/>
    <cellStyle name="20% - Accent3 3 4 3 2" xfId="2967"/>
    <cellStyle name="20% - Accent3 3 4 3 2 2" xfId="6482"/>
    <cellStyle name="20% - Accent3 3 4 3 2 2 2" xfId="18786"/>
    <cellStyle name="20% - Accent3 3 4 3 2 2 2 2" xfId="41645"/>
    <cellStyle name="20% - Accent3 3 4 3 2 2 3" xfId="29343"/>
    <cellStyle name="20% - Accent3 3 4 3 2 3" xfId="9997"/>
    <cellStyle name="20% - Accent3 3 4 3 2 3 2" xfId="22301"/>
    <cellStyle name="20% - Accent3 3 4 3 2 3 2 2" xfId="45160"/>
    <cellStyle name="20% - Accent3 3 4 3 2 3 3" xfId="32858"/>
    <cellStyle name="20% - Accent3 3 4 3 2 4" xfId="15271"/>
    <cellStyle name="20% - Accent3 3 4 3 2 4 2" xfId="38130"/>
    <cellStyle name="20% - Accent3 3 4 3 2 5" xfId="25828"/>
    <cellStyle name="20% - Accent3 3 4 3 3" xfId="4724"/>
    <cellStyle name="20% - Accent3 3 4 3 3 2" xfId="17028"/>
    <cellStyle name="20% - Accent3 3 4 3 3 2 2" xfId="39887"/>
    <cellStyle name="20% - Accent3 3 4 3 3 3" xfId="27585"/>
    <cellStyle name="20% - Accent3 3 4 3 4" xfId="8239"/>
    <cellStyle name="20% - Accent3 3 4 3 4 2" xfId="20543"/>
    <cellStyle name="20% - Accent3 3 4 3 4 2 2" xfId="43402"/>
    <cellStyle name="20% - Accent3 3 4 3 4 3" xfId="31100"/>
    <cellStyle name="20% - Accent3 3 4 3 5" xfId="11754"/>
    <cellStyle name="20% - Accent3 3 4 3 5 2" xfId="34614"/>
    <cellStyle name="20% - Accent3 3 4 3 6" xfId="13513"/>
    <cellStyle name="20% - Accent3 3 4 3 6 2" xfId="36372"/>
    <cellStyle name="20% - Accent3 3 4 3 7" xfId="24069"/>
    <cellStyle name="20% - Accent3 3 4 4" xfId="2089"/>
    <cellStyle name="20% - Accent3 3 4 4 2" xfId="5604"/>
    <cellStyle name="20% - Accent3 3 4 4 2 2" xfId="17908"/>
    <cellStyle name="20% - Accent3 3 4 4 2 2 2" xfId="40767"/>
    <cellStyle name="20% - Accent3 3 4 4 2 3" xfId="28465"/>
    <cellStyle name="20% - Accent3 3 4 4 3" xfId="9119"/>
    <cellStyle name="20% - Accent3 3 4 4 3 2" xfId="21423"/>
    <cellStyle name="20% - Accent3 3 4 4 3 2 2" xfId="44282"/>
    <cellStyle name="20% - Accent3 3 4 4 3 3" xfId="31980"/>
    <cellStyle name="20% - Accent3 3 4 4 4" xfId="14393"/>
    <cellStyle name="20% - Accent3 3 4 4 4 2" xfId="37252"/>
    <cellStyle name="20% - Accent3 3 4 4 5" xfId="24950"/>
    <cellStyle name="20% - Accent3 3 4 5" xfId="3846"/>
    <cellStyle name="20% - Accent3 3 4 5 2" xfId="16150"/>
    <cellStyle name="20% - Accent3 3 4 5 2 2" xfId="39009"/>
    <cellStyle name="20% - Accent3 3 4 5 3" xfId="26707"/>
    <cellStyle name="20% - Accent3 3 4 6" xfId="7361"/>
    <cellStyle name="20% - Accent3 3 4 6 2" xfId="19665"/>
    <cellStyle name="20% - Accent3 3 4 6 2 2" xfId="42524"/>
    <cellStyle name="20% - Accent3 3 4 6 3" xfId="30222"/>
    <cellStyle name="20% - Accent3 3 4 7" xfId="10876"/>
    <cellStyle name="20% - Accent3 3 4 7 2" xfId="33736"/>
    <cellStyle name="20% - Accent3 3 4 8" xfId="12635"/>
    <cellStyle name="20% - Accent3 3 4 8 2" xfId="35494"/>
    <cellStyle name="20% - Accent3 3 4 9" xfId="23190"/>
    <cellStyle name="20% - Accent3 3 5" xfId="554"/>
    <cellStyle name="20% - Accent3 3 5 2" xfId="1433"/>
    <cellStyle name="20% - Accent3 3 5 2 2" xfId="3194"/>
    <cellStyle name="20% - Accent3 3 5 2 2 2" xfId="6709"/>
    <cellStyle name="20% - Accent3 3 5 2 2 2 2" xfId="19013"/>
    <cellStyle name="20% - Accent3 3 5 2 2 2 2 2" xfId="41872"/>
    <cellStyle name="20% - Accent3 3 5 2 2 2 3" xfId="29570"/>
    <cellStyle name="20% - Accent3 3 5 2 2 3" xfId="10224"/>
    <cellStyle name="20% - Accent3 3 5 2 2 3 2" xfId="22528"/>
    <cellStyle name="20% - Accent3 3 5 2 2 3 2 2" xfId="45387"/>
    <cellStyle name="20% - Accent3 3 5 2 2 3 3" xfId="33085"/>
    <cellStyle name="20% - Accent3 3 5 2 2 4" xfId="15498"/>
    <cellStyle name="20% - Accent3 3 5 2 2 4 2" xfId="38357"/>
    <cellStyle name="20% - Accent3 3 5 2 2 5" xfId="26055"/>
    <cellStyle name="20% - Accent3 3 5 2 3" xfId="4951"/>
    <cellStyle name="20% - Accent3 3 5 2 3 2" xfId="17255"/>
    <cellStyle name="20% - Accent3 3 5 2 3 2 2" xfId="40114"/>
    <cellStyle name="20% - Accent3 3 5 2 3 3" xfId="27812"/>
    <cellStyle name="20% - Accent3 3 5 2 4" xfId="8466"/>
    <cellStyle name="20% - Accent3 3 5 2 4 2" xfId="20770"/>
    <cellStyle name="20% - Accent3 3 5 2 4 2 2" xfId="43629"/>
    <cellStyle name="20% - Accent3 3 5 2 4 3" xfId="31327"/>
    <cellStyle name="20% - Accent3 3 5 2 5" xfId="11981"/>
    <cellStyle name="20% - Accent3 3 5 2 5 2" xfId="34841"/>
    <cellStyle name="20% - Accent3 3 5 2 6" xfId="13740"/>
    <cellStyle name="20% - Accent3 3 5 2 6 2" xfId="36599"/>
    <cellStyle name="20% - Accent3 3 5 2 7" xfId="24296"/>
    <cellStyle name="20% - Accent3 3 5 3" xfId="2316"/>
    <cellStyle name="20% - Accent3 3 5 3 2" xfId="5831"/>
    <cellStyle name="20% - Accent3 3 5 3 2 2" xfId="18135"/>
    <cellStyle name="20% - Accent3 3 5 3 2 2 2" xfId="40994"/>
    <cellStyle name="20% - Accent3 3 5 3 2 3" xfId="28692"/>
    <cellStyle name="20% - Accent3 3 5 3 3" xfId="9346"/>
    <cellStyle name="20% - Accent3 3 5 3 3 2" xfId="21650"/>
    <cellStyle name="20% - Accent3 3 5 3 3 2 2" xfId="44509"/>
    <cellStyle name="20% - Accent3 3 5 3 3 3" xfId="32207"/>
    <cellStyle name="20% - Accent3 3 5 3 4" xfId="14620"/>
    <cellStyle name="20% - Accent3 3 5 3 4 2" xfId="37479"/>
    <cellStyle name="20% - Accent3 3 5 3 5" xfId="25177"/>
    <cellStyle name="20% - Accent3 3 5 4" xfId="4073"/>
    <cellStyle name="20% - Accent3 3 5 4 2" xfId="16377"/>
    <cellStyle name="20% - Accent3 3 5 4 2 2" xfId="39236"/>
    <cellStyle name="20% - Accent3 3 5 4 3" xfId="26934"/>
    <cellStyle name="20% - Accent3 3 5 5" xfId="7588"/>
    <cellStyle name="20% - Accent3 3 5 5 2" xfId="19892"/>
    <cellStyle name="20% - Accent3 3 5 5 2 2" xfId="42751"/>
    <cellStyle name="20% - Accent3 3 5 5 3" xfId="30449"/>
    <cellStyle name="20% - Accent3 3 5 6" xfId="11103"/>
    <cellStyle name="20% - Accent3 3 5 6 2" xfId="33963"/>
    <cellStyle name="20% - Accent3 3 5 7" xfId="12862"/>
    <cellStyle name="20% - Accent3 3 5 7 2" xfId="35721"/>
    <cellStyle name="20% - Accent3 3 5 8" xfId="23418"/>
    <cellStyle name="20% - Accent3 3 6" xfId="994"/>
    <cellStyle name="20% - Accent3 3 6 2" xfId="2755"/>
    <cellStyle name="20% - Accent3 3 6 2 2" xfId="6270"/>
    <cellStyle name="20% - Accent3 3 6 2 2 2" xfId="18574"/>
    <cellStyle name="20% - Accent3 3 6 2 2 2 2" xfId="41433"/>
    <cellStyle name="20% - Accent3 3 6 2 2 3" xfId="29131"/>
    <cellStyle name="20% - Accent3 3 6 2 3" xfId="9785"/>
    <cellStyle name="20% - Accent3 3 6 2 3 2" xfId="22089"/>
    <cellStyle name="20% - Accent3 3 6 2 3 2 2" xfId="44948"/>
    <cellStyle name="20% - Accent3 3 6 2 3 3" xfId="32646"/>
    <cellStyle name="20% - Accent3 3 6 2 4" xfId="15059"/>
    <cellStyle name="20% - Accent3 3 6 2 4 2" xfId="37918"/>
    <cellStyle name="20% - Accent3 3 6 2 5" xfId="25616"/>
    <cellStyle name="20% - Accent3 3 6 3" xfId="4512"/>
    <cellStyle name="20% - Accent3 3 6 3 2" xfId="16816"/>
    <cellStyle name="20% - Accent3 3 6 3 2 2" xfId="39675"/>
    <cellStyle name="20% - Accent3 3 6 3 3" xfId="27373"/>
    <cellStyle name="20% - Accent3 3 6 4" xfId="8027"/>
    <cellStyle name="20% - Accent3 3 6 4 2" xfId="20331"/>
    <cellStyle name="20% - Accent3 3 6 4 2 2" xfId="43190"/>
    <cellStyle name="20% - Accent3 3 6 4 3" xfId="30888"/>
    <cellStyle name="20% - Accent3 3 6 5" xfId="11542"/>
    <cellStyle name="20% - Accent3 3 6 5 2" xfId="34402"/>
    <cellStyle name="20% - Accent3 3 6 6" xfId="13301"/>
    <cellStyle name="20% - Accent3 3 6 6 2" xfId="36160"/>
    <cellStyle name="20% - Accent3 3 6 7" xfId="23857"/>
    <cellStyle name="20% - Accent3 3 7" xfId="1877"/>
    <cellStyle name="20% - Accent3 3 7 2" xfId="5392"/>
    <cellStyle name="20% - Accent3 3 7 2 2" xfId="17696"/>
    <cellStyle name="20% - Accent3 3 7 2 2 2" xfId="40555"/>
    <cellStyle name="20% - Accent3 3 7 2 3" xfId="28253"/>
    <cellStyle name="20% - Accent3 3 7 3" xfId="8907"/>
    <cellStyle name="20% - Accent3 3 7 3 2" xfId="21211"/>
    <cellStyle name="20% - Accent3 3 7 3 2 2" xfId="44070"/>
    <cellStyle name="20% - Accent3 3 7 3 3" xfId="31768"/>
    <cellStyle name="20% - Accent3 3 7 4" xfId="14181"/>
    <cellStyle name="20% - Accent3 3 7 4 2" xfId="37040"/>
    <cellStyle name="20% - Accent3 3 7 5" xfId="24738"/>
    <cellStyle name="20% - Accent3 3 8" xfId="3634"/>
    <cellStyle name="20% - Accent3 3 8 2" xfId="15938"/>
    <cellStyle name="20% - Accent3 3 8 2 2" xfId="38797"/>
    <cellStyle name="20% - Accent3 3 8 3" xfId="26495"/>
    <cellStyle name="20% - Accent3 3 9" xfId="7149"/>
    <cellStyle name="20% - Accent3 3 9 2" xfId="19453"/>
    <cellStyle name="20% - Accent3 3 9 2 2" xfId="42312"/>
    <cellStyle name="20% - Accent3 3 9 3" xfId="30010"/>
    <cellStyle name="20% - Accent3 4" xfId="140"/>
    <cellStyle name="20% - Accent3 4 10" xfId="12452"/>
    <cellStyle name="20% - Accent3 4 10 2" xfId="35311"/>
    <cellStyle name="20% - Accent3 4 11" xfId="23006"/>
    <cellStyle name="20% - Accent3 4 2" xfId="248"/>
    <cellStyle name="20% - Accent3 4 2 10" xfId="23113"/>
    <cellStyle name="20% - Accent3 4 2 2" xfId="460"/>
    <cellStyle name="20% - Accent3 4 2 2 2" xfId="901"/>
    <cellStyle name="20% - Accent3 4 2 2 2 2" xfId="1780"/>
    <cellStyle name="20% - Accent3 4 2 2 2 2 2" xfId="3541"/>
    <cellStyle name="20% - Accent3 4 2 2 2 2 2 2" xfId="7056"/>
    <cellStyle name="20% - Accent3 4 2 2 2 2 2 2 2" xfId="19360"/>
    <cellStyle name="20% - Accent3 4 2 2 2 2 2 2 2 2" xfId="42219"/>
    <cellStyle name="20% - Accent3 4 2 2 2 2 2 2 3" xfId="29917"/>
    <cellStyle name="20% - Accent3 4 2 2 2 2 2 3" xfId="10571"/>
    <cellStyle name="20% - Accent3 4 2 2 2 2 2 3 2" xfId="22875"/>
    <cellStyle name="20% - Accent3 4 2 2 2 2 2 3 2 2" xfId="45734"/>
    <cellStyle name="20% - Accent3 4 2 2 2 2 2 3 3" xfId="33432"/>
    <cellStyle name="20% - Accent3 4 2 2 2 2 2 4" xfId="15845"/>
    <cellStyle name="20% - Accent3 4 2 2 2 2 2 4 2" xfId="38704"/>
    <cellStyle name="20% - Accent3 4 2 2 2 2 2 5" xfId="26402"/>
    <cellStyle name="20% - Accent3 4 2 2 2 2 3" xfId="5298"/>
    <cellStyle name="20% - Accent3 4 2 2 2 2 3 2" xfId="17602"/>
    <cellStyle name="20% - Accent3 4 2 2 2 2 3 2 2" xfId="40461"/>
    <cellStyle name="20% - Accent3 4 2 2 2 2 3 3" xfId="28159"/>
    <cellStyle name="20% - Accent3 4 2 2 2 2 4" xfId="8813"/>
    <cellStyle name="20% - Accent3 4 2 2 2 2 4 2" xfId="21117"/>
    <cellStyle name="20% - Accent3 4 2 2 2 2 4 2 2" xfId="43976"/>
    <cellStyle name="20% - Accent3 4 2 2 2 2 4 3" xfId="31674"/>
    <cellStyle name="20% - Accent3 4 2 2 2 2 5" xfId="12328"/>
    <cellStyle name="20% - Accent3 4 2 2 2 2 5 2" xfId="35188"/>
    <cellStyle name="20% - Accent3 4 2 2 2 2 6" xfId="14087"/>
    <cellStyle name="20% - Accent3 4 2 2 2 2 6 2" xfId="36946"/>
    <cellStyle name="20% - Accent3 4 2 2 2 2 7" xfId="24643"/>
    <cellStyle name="20% - Accent3 4 2 2 2 3" xfId="2663"/>
    <cellStyle name="20% - Accent3 4 2 2 2 3 2" xfId="6178"/>
    <cellStyle name="20% - Accent3 4 2 2 2 3 2 2" xfId="18482"/>
    <cellStyle name="20% - Accent3 4 2 2 2 3 2 2 2" xfId="41341"/>
    <cellStyle name="20% - Accent3 4 2 2 2 3 2 3" xfId="29039"/>
    <cellStyle name="20% - Accent3 4 2 2 2 3 3" xfId="9693"/>
    <cellStyle name="20% - Accent3 4 2 2 2 3 3 2" xfId="21997"/>
    <cellStyle name="20% - Accent3 4 2 2 2 3 3 2 2" xfId="44856"/>
    <cellStyle name="20% - Accent3 4 2 2 2 3 3 3" xfId="32554"/>
    <cellStyle name="20% - Accent3 4 2 2 2 3 4" xfId="14967"/>
    <cellStyle name="20% - Accent3 4 2 2 2 3 4 2" xfId="37826"/>
    <cellStyle name="20% - Accent3 4 2 2 2 3 5" xfId="25524"/>
    <cellStyle name="20% - Accent3 4 2 2 2 4" xfId="4420"/>
    <cellStyle name="20% - Accent3 4 2 2 2 4 2" xfId="16724"/>
    <cellStyle name="20% - Accent3 4 2 2 2 4 2 2" xfId="39583"/>
    <cellStyle name="20% - Accent3 4 2 2 2 4 3" xfId="27281"/>
    <cellStyle name="20% - Accent3 4 2 2 2 5" xfId="7935"/>
    <cellStyle name="20% - Accent3 4 2 2 2 5 2" xfId="20239"/>
    <cellStyle name="20% - Accent3 4 2 2 2 5 2 2" xfId="43098"/>
    <cellStyle name="20% - Accent3 4 2 2 2 5 3" xfId="30796"/>
    <cellStyle name="20% - Accent3 4 2 2 2 6" xfId="11450"/>
    <cellStyle name="20% - Accent3 4 2 2 2 6 2" xfId="34310"/>
    <cellStyle name="20% - Accent3 4 2 2 2 7" xfId="13209"/>
    <cellStyle name="20% - Accent3 4 2 2 2 7 2" xfId="36068"/>
    <cellStyle name="20% - Accent3 4 2 2 2 8" xfId="23765"/>
    <cellStyle name="20% - Accent3 4 2 2 3" xfId="1341"/>
    <cellStyle name="20% - Accent3 4 2 2 3 2" xfId="3102"/>
    <cellStyle name="20% - Accent3 4 2 2 3 2 2" xfId="6617"/>
    <cellStyle name="20% - Accent3 4 2 2 3 2 2 2" xfId="18921"/>
    <cellStyle name="20% - Accent3 4 2 2 3 2 2 2 2" xfId="41780"/>
    <cellStyle name="20% - Accent3 4 2 2 3 2 2 3" xfId="29478"/>
    <cellStyle name="20% - Accent3 4 2 2 3 2 3" xfId="10132"/>
    <cellStyle name="20% - Accent3 4 2 2 3 2 3 2" xfId="22436"/>
    <cellStyle name="20% - Accent3 4 2 2 3 2 3 2 2" xfId="45295"/>
    <cellStyle name="20% - Accent3 4 2 2 3 2 3 3" xfId="32993"/>
    <cellStyle name="20% - Accent3 4 2 2 3 2 4" xfId="15406"/>
    <cellStyle name="20% - Accent3 4 2 2 3 2 4 2" xfId="38265"/>
    <cellStyle name="20% - Accent3 4 2 2 3 2 5" xfId="25963"/>
    <cellStyle name="20% - Accent3 4 2 2 3 3" xfId="4859"/>
    <cellStyle name="20% - Accent3 4 2 2 3 3 2" xfId="17163"/>
    <cellStyle name="20% - Accent3 4 2 2 3 3 2 2" xfId="40022"/>
    <cellStyle name="20% - Accent3 4 2 2 3 3 3" xfId="27720"/>
    <cellStyle name="20% - Accent3 4 2 2 3 4" xfId="8374"/>
    <cellStyle name="20% - Accent3 4 2 2 3 4 2" xfId="20678"/>
    <cellStyle name="20% - Accent3 4 2 2 3 4 2 2" xfId="43537"/>
    <cellStyle name="20% - Accent3 4 2 2 3 4 3" xfId="31235"/>
    <cellStyle name="20% - Accent3 4 2 2 3 5" xfId="11889"/>
    <cellStyle name="20% - Accent3 4 2 2 3 5 2" xfId="34749"/>
    <cellStyle name="20% - Accent3 4 2 2 3 6" xfId="13648"/>
    <cellStyle name="20% - Accent3 4 2 2 3 6 2" xfId="36507"/>
    <cellStyle name="20% - Accent3 4 2 2 3 7" xfId="24204"/>
    <cellStyle name="20% - Accent3 4 2 2 4" xfId="2224"/>
    <cellStyle name="20% - Accent3 4 2 2 4 2" xfId="5739"/>
    <cellStyle name="20% - Accent3 4 2 2 4 2 2" xfId="18043"/>
    <cellStyle name="20% - Accent3 4 2 2 4 2 2 2" xfId="40902"/>
    <cellStyle name="20% - Accent3 4 2 2 4 2 3" xfId="28600"/>
    <cellStyle name="20% - Accent3 4 2 2 4 3" xfId="9254"/>
    <cellStyle name="20% - Accent3 4 2 2 4 3 2" xfId="21558"/>
    <cellStyle name="20% - Accent3 4 2 2 4 3 2 2" xfId="44417"/>
    <cellStyle name="20% - Accent3 4 2 2 4 3 3" xfId="32115"/>
    <cellStyle name="20% - Accent3 4 2 2 4 4" xfId="14528"/>
    <cellStyle name="20% - Accent3 4 2 2 4 4 2" xfId="37387"/>
    <cellStyle name="20% - Accent3 4 2 2 4 5" xfId="25085"/>
    <cellStyle name="20% - Accent3 4 2 2 5" xfId="3981"/>
    <cellStyle name="20% - Accent3 4 2 2 5 2" xfId="16285"/>
    <cellStyle name="20% - Accent3 4 2 2 5 2 2" xfId="39144"/>
    <cellStyle name="20% - Accent3 4 2 2 5 3" xfId="26842"/>
    <cellStyle name="20% - Accent3 4 2 2 6" xfId="7496"/>
    <cellStyle name="20% - Accent3 4 2 2 6 2" xfId="19800"/>
    <cellStyle name="20% - Accent3 4 2 2 6 2 2" xfId="42659"/>
    <cellStyle name="20% - Accent3 4 2 2 6 3" xfId="30357"/>
    <cellStyle name="20% - Accent3 4 2 2 7" xfId="11011"/>
    <cellStyle name="20% - Accent3 4 2 2 7 2" xfId="33871"/>
    <cellStyle name="20% - Accent3 4 2 2 8" xfId="12770"/>
    <cellStyle name="20% - Accent3 4 2 2 8 2" xfId="35629"/>
    <cellStyle name="20% - Accent3 4 2 2 9" xfId="23325"/>
    <cellStyle name="20% - Accent3 4 2 3" xfId="689"/>
    <cellStyle name="20% - Accent3 4 2 3 2" xfId="1568"/>
    <cellStyle name="20% - Accent3 4 2 3 2 2" xfId="3329"/>
    <cellStyle name="20% - Accent3 4 2 3 2 2 2" xfId="6844"/>
    <cellStyle name="20% - Accent3 4 2 3 2 2 2 2" xfId="19148"/>
    <cellStyle name="20% - Accent3 4 2 3 2 2 2 2 2" xfId="42007"/>
    <cellStyle name="20% - Accent3 4 2 3 2 2 2 3" xfId="29705"/>
    <cellStyle name="20% - Accent3 4 2 3 2 2 3" xfId="10359"/>
    <cellStyle name="20% - Accent3 4 2 3 2 2 3 2" xfId="22663"/>
    <cellStyle name="20% - Accent3 4 2 3 2 2 3 2 2" xfId="45522"/>
    <cellStyle name="20% - Accent3 4 2 3 2 2 3 3" xfId="33220"/>
    <cellStyle name="20% - Accent3 4 2 3 2 2 4" xfId="15633"/>
    <cellStyle name="20% - Accent3 4 2 3 2 2 4 2" xfId="38492"/>
    <cellStyle name="20% - Accent3 4 2 3 2 2 5" xfId="26190"/>
    <cellStyle name="20% - Accent3 4 2 3 2 3" xfId="5086"/>
    <cellStyle name="20% - Accent3 4 2 3 2 3 2" xfId="17390"/>
    <cellStyle name="20% - Accent3 4 2 3 2 3 2 2" xfId="40249"/>
    <cellStyle name="20% - Accent3 4 2 3 2 3 3" xfId="27947"/>
    <cellStyle name="20% - Accent3 4 2 3 2 4" xfId="8601"/>
    <cellStyle name="20% - Accent3 4 2 3 2 4 2" xfId="20905"/>
    <cellStyle name="20% - Accent3 4 2 3 2 4 2 2" xfId="43764"/>
    <cellStyle name="20% - Accent3 4 2 3 2 4 3" xfId="31462"/>
    <cellStyle name="20% - Accent3 4 2 3 2 5" xfId="12116"/>
    <cellStyle name="20% - Accent3 4 2 3 2 5 2" xfId="34976"/>
    <cellStyle name="20% - Accent3 4 2 3 2 6" xfId="13875"/>
    <cellStyle name="20% - Accent3 4 2 3 2 6 2" xfId="36734"/>
    <cellStyle name="20% - Accent3 4 2 3 2 7" xfId="24431"/>
    <cellStyle name="20% - Accent3 4 2 3 3" xfId="2451"/>
    <cellStyle name="20% - Accent3 4 2 3 3 2" xfId="5966"/>
    <cellStyle name="20% - Accent3 4 2 3 3 2 2" xfId="18270"/>
    <cellStyle name="20% - Accent3 4 2 3 3 2 2 2" xfId="41129"/>
    <cellStyle name="20% - Accent3 4 2 3 3 2 3" xfId="28827"/>
    <cellStyle name="20% - Accent3 4 2 3 3 3" xfId="9481"/>
    <cellStyle name="20% - Accent3 4 2 3 3 3 2" xfId="21785"/>
    <cellStyle name="20% - Accent3 4 2 3 3 3 2 2" xfId="44644"/>
    <cellStyle name="20% - Accent3 4 2 3 3 3 3" xfId="32342"/>
    <cellStyle name="20% - Accent3 4 2 3 3 4" xfId="14755"/>
    <cellStyle name="20% - Accent3 4 2 3 3 4 2" xfId="37614"/>
    <cellStyle name="20% - Accent3 4 2 3 3 5" xfId="25312"/>
    <cellStyle name="20% - Accent3 4 2 3 4" xfId="4208"/>
    <cellStyle name="20% - Accent3 4 2 3 4 2" xfId="16512"/>
    <cellStyle name="20% - Accent3 4 2 3 4 2 2" xfId="39371"/>
    <cellStyle name="20% - Accent3 4 2 3 4 3" xfId="27069"/>
    <cellStyle name="20% - Accent3 4 2 3 5" xfId="7723"/>
    <cellStyle name="20% - Accent3 4 2 3 5 2" xfId="20027"/>
    <cellStyle name="20% - Accent3 4 2 3 5 2 2" xfId="42886"/>
    <cellStyle name="20% - Accent3 4 2 3 5 3" xfId="30584"/>
    <cellStyle name="20% - Accent3 4 2 3 6" xfId="11238"/>
    <cellStyle name="20% - Accent3 4 2 3 6 2" xfId="34098"/>
    <cellStyle name="20% - Accent3 4 2 3 7" xfId="12997"/>
    <cellStyle name="20% - Accent3 4 2 3 7 2" xfId="35856"/>
    <cellStyle name="20% - Accent3 4 2 3 8" xfId="23553"/>
    <cellStyle name="20% - Accent3 4 2 4" xfId="1129"/>
    <cellStyle name="20% - Accent3 4 2 4 2" xfId="2890"/>
    <cellStyle name="20% - Accent3 4 2 4 2 2" xfId="6405"/>
    <cellStyle name="20% - Accent3 4 2 4 2 2 2" xfId="18709"/>
    <cellStyle name="20% - Accent3 4 2 4 2 2 2 2" xfId="41568"/>
    <cellStyle name="20% - Accent3 4 2 4 2 2 3" xfId="29266"/>
    <cellStyle name="20% - Accent3 4 2 4 2 3" xfId="9920"/>
    <cellStyle name="20% - Accent3 4 2 4 2 3 2" xfId="22224"/>
    <cellStyle name="20% - Accent3 4 2 4 2 3 2 2" xfId="45083"/>
    <cellStyle name="20% - Accent3 4 2 4 2 3 3" xfId="32781"/>
    <cellStyle name="20% - Accent3 4 2 4 2 4" xfId="15194"/>
    <cellStyle name="20% - Accent3 4 2 4 2 4 2" xfId="38053"/>
    <cellStyle name="20% - Accent3 4 2 4 2 5" xfId="25751"/>
    <cellStyle name="20% - Accent3 4 2 4 3" xfId="4647"/>
    <cellStyle name="20% - Accent3 4 2 4 3 2" xfId="16951"/>
    <cellStyle name="20% - Accent3 4 2 4 3 2 2" xfId="39810"/>
    <cellStyle name="20% - Accent3 4 2 4 3 3" xfId="27508"/>
    <cellStyle name="20% - Accent3 4 2 4 4" xfId="8162"/>
    <cellStyle name="20% - Accent3 4 2 4 4 2" xfId="20466"/>
    <cellStyle name="20% - Accent3 4 2 4 4 2 2" xfId="43325"/>
    <cellStyle name="20% - Accent3 4 2 4 4 3" xfId="31023"/>
    <cellStyle name="20% - Accent3 4 2 4 5" xfId="11677"/>
    <cellStyle name="20% - Accent3 4 2 4 5 2" xfId="34537"/>
    <cellStyle name="20% - Accent3 4 2 4 6" xfId="13436"/>
    <cellStyle name="20% - Accent3 4 2 4 6 2" xfId="36295"/>
    <cellStyle name="20% - Accent3 4 2 4 7" xfId="23992"/>
    <cellStyle name="20% - Accent3 4 2 5" xfId="2012"/>
    <cellStyle name="20% - Accent3 4 2 5 2" xfId="5527"/>
    <cellStyle name="20% - Accent3 4 2 5 2 2" xfId="17831"/>
    <cellStyle name="20% - Accent3 4 2 5 2 2 2" xfId="40690"/>
    <cellStyle name="20% - Accent3 4 2 5 2 3" xfId="28388"/>
    <cellStyle name="20% - Accent3 4 2 5 3" xfId="9042"/>
    <cellStyle name="20% - Accent3 4 2 5 3 2" xfId="21346"/>
    <cellStyle name="20% - Accent3 4 2 5 3 2 2" xfId="44205"/>
    <cellStyle name="20% - Accent3 4 2 5 3 3" xfId="31903"/>
    <cellStyle name="20% - Accent3 4 2 5 4" xfId="14316"/>
    <cellStyle name="20% - Accent3 4 2 5 4 2" xfId="37175"/>
    <cellStyle name="20% - Accent3 4 2 5 5" xfId="24873"/>
    <cellStyle name="20% - Accent3 4 2 6" xfId="3769"/>
    <cellStyle name="20% - Accent3 4 2 6 2" xfId="16073"/>
    <cellStyle name="20% - Accent3 4 2 6 2 2" xfId="38932"/>
    <cellStyle name="20% - Accent3 4 2 6 3" xfId="26630"/>
    <cellStyle name="20% - Accent3 4 2 7" xfId="7284"/>
    <cellStyle name="20% - Accent3 4 2 7 2" xfId="19588"/>
    <cellStyle name="20% - Accent3 4 2 7 2 2" xfId="42447"/>
    <cellStyle name="20% - Accent3 4 2 7 3" xfId="30145"/>
    <cellStyle name="20% - Accent3 4 2 8" xfId="10799"/>
    <cellStyle name="20% - Accent3 4 2 8 2" xfId="33659"/>
    <cellStyle name="20% - Accent3 4 2 9" xfId="12558"/>
    <cellStyle name="20% - Accent3 4 2 9 2" xfId="35417"/>
    <cellStyle name="20% - Accent3 4 3" xfId="354"/>
    <cellStyle name="20% - Accent3 4 3 2" xfId="795"/>
    <cellStyle name="20% - Accent3 4 3 2 2" xfId="1674"/>
    <cellStyle name="20% - Accent3 4 3 2 2 2" xfId="3435"/>
    <cellStyle name="20% - Accent3 4 3 2 2 2 2" xfId="6950"/>
    <cellStyle name="20% - Accent3 4 3 2 2 2 2 2" xfId="19254"/>
    <cellStyle name="20% - Accent3 4 3 2 2 2 2 2 2" xfId="42113"/>
    <cellStyle name="20% - Accent3 4 3 2 2 2 2 3" xfId="29811"/>
    <cellStyle name="20% - Accent3 4 3 2 2 2 3" xfId="10465"/>
    <cellStyle name="20% - Accent3 4 3 2 2 2 3 2" xfId="22769"/>
    <cellStyle name="20% - Accent3 4 3 2 2 2 3 2 2" xfId="45628"/>
    <cellStyle name="20% - Accent3 4 3 2 2 2 3 3" xfId="33326"/>
    <cellStyle name="20% - Accent3 4 3 2 2 2 4" xfId="15739"/>
    <cellStyle name="20% - Accent3 4 3 2 2 2 4 2" xfId="38598"/>
    <cellStyle name="20% - Accent3 4 3 2 2 2 5" xfId="26296"/>
    <cellStyle name="20% - Accent3 4 3 2 2 3" xfId="5192"/>
    <cellStyle name="20% - Accent3 4 3 2 2 3 2" xfId="17496"/>
    <cellStyle name="20% - Accent3 4 3 2 2 3 2 2" xfId="40355"/>
    <cellStyle name="20% - Accent3 4 3 2 2 3 3" xfId="28053"/>
    <cellStyle name="20% - Accent3 4 3 2 2 4" xfId="8707"/>
    <cellStyle name="20% - Accent3 4 3 2 2 4 2" xfId="21011"/>
    <cellStyle name="20% - Accent3 4 3 2 2 4 2 2" xfId="43870"/>
    <cellStyle name="20% - Accent3 4 3 2 2 4 3" xfId="31568"/>
    <cellStyle name="20% - Accent3 4 3 2 2 5" xfId="12222"/>
    <cellStyle name="20% - Accent3 4 3 2 2 5 2" xfId="35082"/>
    <cellStyle name="20% - Accent3 4 3 2 2 6" xfId="13981"/>
    <cellStyle name="20% - Accent3 4 3 2 2 6 2" xfId="36840"/>
    <cellStyle name="20% - Accent3 4 3 2 2 7" xfId="24537"/>
    <cellStyle name="20% - Accent3 4 3 2 3" xfId="2557"/>
    <cellStyle name="20% - Accent3 4 3 2 3 2" xfId="6072"/>
    <cellStyle name="20% - Accent3 4 3 2 3 2 2" xfId="18376"/>
    <cellStyle name="20% - Accent3 4 3 2 3 2 2 2" xfId="41235"/>
    <cellStyle name="20% - Accent3 4 3 2 3 2 3" xfId="28933"/>
    <cellStyle name="20% - Accent3 4 3 2 3 3" xfId="9587"/>
    <cellStyle name="20% - Accent3 4 3 2 3 3 2" xfId="21891"/>
    <cellStyle name="20% - Accent3 4 3 2 3 3 2 2" xfId="44750"/>
    <cellStyle name="20% - Accent3 4 3 2 3 3 3" xfId="32448"/>
    <cellStyle name="20% - Accent3 4 3 2 3 4" xfId="14861"/>
    <cellStyle name="20% - Accent3 4 3 2 3 4 2" xfId="37720"/>
    <cellStyle name="20% - Accent3 4 3 2 3 5" xfId="25418"/>
    <cellStyle name="20% - Accent3 4 3 2 4" xfId="4314"/>
    <cellStyle name="20% - Accent3 4 3 2 4 2" xfId="16618"/>
    <cellStyle name="20% - Accent3 4 3 2 4 2 2" xfId="39477"/>
    <cellStyle name="20% - Accent3 4 3 2 4 3" xfId="27175"/>
    <cellStyle name="20% - Accent3 4 3 2 5" xfId="7829"/>
    <cellStyle name="20% - Accent3 4 3 2 5 2" xfId="20133"/>
    <cellStyle name="20% - Accent3 4 3 2 5 2 2" xfId="42992"/>
    <cellStyle name="20% - Accent3 4 3 2 5 3" xfId="30690"/>
    <cellStyle name="20% - Accent3 4 3 2 6" xfId="11344"/>
    <cellStyle name="20% - Accent3 4 3 2 6 2" xfId="34204"/>
    <cellStyle name="20% - Accent3 4 3 2 7" xfId="13103"/>
    <cellStyle name="20% - Accent3 4 3 2 7 2" xfId="35962"/>
    <cellStyle name="20% - Accent3 4 3 2 8" xfId="23659"/>
    <cellStyle name="20% - Accent3 4 3 3" xfId="1235"/>
    <cellStyle name="20% - Accent3 4 3 3 2" xfId="2996"/>
    <cellStyle name="20% - Accent3 4 3 3 2 2" xfId="6511"/>
    <cellStyle name="20% - Accent3 4 3 3 2 2 2" xfId="18815"/>
    <cellStyle name="20% - Accent3 4 3 3 2 2 2 2" xfId="41674"/>
    <cellStyle name="20% - Accent3 4 3 3 2 2 3" xfId="29372"/>
    <cellStyle name="20% - Accent3 4 3 3 2 3" xfId="10026"/>
    <cellStyle name="20% - Accent3 4 3 3 2 3 2" xfId="22330"/>
    <cellStyle name="20% - Accent3 4 3 3 2 3 2 2" xfId="45189"/>
    <cellStyle name="20% - Accent3 4 3 3 2 3 3" xfId="32887"/>
    <cellStyle name="20% - Accent3 4 3 3 2 4" xfId="15300"/>
    <cellStyle name="20% - Accent3 4 3 3 2 4 2" xfId="38159"/>
    <cellStyle name="20% - Accent3 4 3 3 2 5" xfId="25857"/>
    <cellStyle name="20% - Accent3 4 3 3 3" xfId="4753"/>
    <cellStyle name="20% - Accent3 4 3 3 3 2" xfId="17057"/>
    <cellStyle name="20% - Accent3 4 3 3 3 2 2" xfId="39916"/>
    <cellStyle name="20% - Accent3 4 3 3 3 3" xfId="27614"/>
    <cellStyle name="20% - Accent3 4 3 3 4" xfId="8268"/>
    <cellStyle name="20% - Accent3 4 3 3 4 2" xfId="20572"/>
    <cellStyle name="20% - Accent3 4 3 3 4 2 2" xfId="43431"/>
    <cellStyle name="20% - Accent3 4 3 3 4 3" xfId="31129"/>
    <cellStyle name="20% - Accent3 4 3 3 5" xfId="11783"/>
    <cellStyle name="20% - Accent3 4 3 3 5 2" xfId="34643"/>
    <cellStyle name="20% - Accent3 4 3 3 6" xfId="13542"/>
    <cellStyle name="20% - Accent3 4 3 3 6 2" xfId="36401"/>
    <cellStyle name="20% - Accent3 4 3 3 7" xfId="24098"/>
    <cellStyle name="20% - Accent3 4 3 4" xfId="2118"/>
    <cellStyle name="20% - Accent3 4 3 4 2" xfId="5633"/>
    <cellStyle name="20% - Accent3 4 3 4 2 2" xfId="17937"/>
    <cellStyle name="20% - Accent3 4 3 4 2 2 2" xfId="40796"/>
    <cellStyle name="20% - Accent3 4 3 4 2 3" xfId="28494"/>
    <cellStyle name="20% - Accent3 4 3 4 3" xfId="9148"/>
    <cellStyle name="20% - Accent3 4 3 4 3 2" xfId="21452"/>
    <cellStyle name="20% - Accent3 4 3 4 3 2 2" xfId="44311"/>
    <cellStyle name="20% - Accent3 4 3 4 3 3" xfId="32009"/>
    <cellStyle name="20% - Accent3 4 3 4 4" xfId="14422"/>
    <cellStyle name="20% - Accent3 4 3 4 4 2" xfId="37281"/>
    <cellStyle name="20% - Accent3 4 3 4 5" xfId="24979"/>
    <cellStyle name="20% - Accent3 4 3 5" xfId="3875"/>
    <cellStyle name="20% - Accent3 4 3 5 2" xfId="16179"/>
    <cellStyle name="20% - Accent3 4 3 5 2 2" xfId="39038"/>
    <cellStyle name="20% - Accent3 4 3 5 3" xfId="26736"/>
    <cellStyle name="20% - Accent3 4 3 6" xfId="7390"/>
    <cellStyle name="20% - Accent3 4 3 6 2" xfId="19694"/>
    <cellStyle name="20% - Accent3 4 3 6 2 2" xfId="42553"/>
    <cellStyle name="20% - Accent3 4 3 6 3" xfId="30251"/>
    <cellStyle name="20% - Accent3 4 3 7" xfId="10905"/>
    <cellStyle name="20% - Accent3 4 3 7 2" xfId="33765"/>
    <cellStyle name="20% - Accent3 4 3 8" xfId="12664"/>
    <cellStyle name="20% - Accent3 4 3 8 2" xfId="35523"/>
    <cellStyle name="20% - Accent3 4 3 9" xfId="23219"/>
    <cellStyle name="20% - Accent3 4 4" xfId="583"/>
    <cellStyle name="20% - Accent3 4 4 2" xfId="1462"/>
    <cellStyle name="20% - Accent3 4 4 2 2" xfId="3223"/>
    <cellStyle name="20% - Accent3 4 4 2 2 2" xfId="6738"/>
    <cellStyle name="20% - Accent3 4 4 2 2 2 2" xfId="19042"/>
    <cellStyle name="20% - Accent3 4 4 2 2 2 2 2" xfId="41901"/>
    <cellStyle name="20% - Accent3 4 4 2 2 2 3" xfId="29599"/>
    <cellStyle name="20% - Accent3 4 4 2 2 3" xfId="10253"/>
    <cellStyle name="20% - Accent3 4 4 2 2 3 2" xfId="22557"/>
    <cellStyle name="20% - Accent3 4 4 2 2 3 2 2" xfId="45416"/>
    <cellStyle name="20% - Accent3 4 4 2 2 3 3" xfId="33114"/>
    <cellStyle name="20% - Accent3 4 4 2 2 4" xfId="15527"/>
    <cellStyle name="20% - Accent3 4 4 2 2 4 2" xfId="38386"/>
    <cellStyle name="20% - Accent3 4 4 2 2 5" xfId="26084"/>
    <cellStyle name="20% - Accent3 4 4 2 3" xfId="4980"/>
    <cellStyle name="20% - Accent3 4 4 2 3 2" xfId="17284"/>
    <cellStyle name="20% - Accent3 4 4 2 3 2 2" xfId="40143"/>
    <cellStyle name="20% - Accent3 4 4 2 3 3" xfId="27841"/>
    <cellStyle name="20% - Accent3 4 4 2 4" xfId="8495"/>
    <cellStyle name="20% - Accent3 4 4 2 4 2" xfId="20799"/>
    <cellStyle name="20% - Accent3 4 4 2 4 2 2" xfId="43658"/>
    <cellStyle name="20% - Accent3 4 4 2 4 3" xfId="31356"/>
    <cellStyle name="20% - Accent3 4 4 2 5" xfId="12010"/>
    <cellStyle name="20% - Accent3 4 4 2 5 2" xfId="34870"/>
    <cellStyle name="20% - Accent3 4 4 2 6" xfId="13769"/>
    <cellStyle name="20% - Accent3 4 4 2 6 2" xfId="36628"/>
    <cellStyle name="20% - Accent3 4 4 2 7" xfId="24325"/>
    <cellStyle name="20% - Accent3 4 4 3" xfId="2345"/>
    <cellStyle name="20% - Accent3 4 4 3 2" xfId="5860"/>
    <cellStyle name="20% - Accent3 4 4 3 2 2" xfId="18164"/>
    <cellStyle name="20% - Accent3 4 4 3 2 2 2" xfId="41023"/>
    <cellStyle name="20% - Accent3 4 4 3 2 3" xfId="28721"/>
    <cellStyle name="20% - Accent3 4 4 3 3" xfId="9375"/>
    <cellStyle name="20% - Accent3 4 4 3 3 2" xfId="21679"/>
    <cellStyle name="20% - Accent3 4 4 3 3 2 2" xfId="44538"/>
    <cellStyle name="20% - Accent3 4 4 3 3 3" xfId="32236"/>
    <cellStyle name="20% - Accent3 4 4 3 4" xfId="14649"/>
    <cellStyle name="20% - Accent3 4 4 3 4 2" xfId="37508"/>
    <cellStyle name="20% - Accent3 4 4 3 5" xfId="25206"/>
    <cellStyle name="20% - Accent3 4 4 4" xfId="4102"/>
    <cellStyle name="20% - Accent3 4 4 4 2" xfId="16406"/>
    <cellStyle name="20% - Accent3 4 4 4 2 2" xfId="39265"/>
    <cellStyle name="20% - Accent3 4 4 4 3" xfId="26963"/>
    <cellStyle name="20% - Accent3 4 4 5" xfId="7617"/>
    <cellStyle name="20% - Accent3 4 4 5 2" xfId="19921"/>
    <cellStyle name="20% - Accent3 4 4 5 2 2" xfId="42780"/>
    <cellStyle name="20% - Accent3 4 4 5 3" xfId="30478"/>
    <cellStyle name="20% - Accent3 4 4 6" xfId="11132"/>
    <cellStyle name="20% - Accent3 4 4 6 2" xfId="33992"/>
    <cellStyle name="20% - Accent3 4 4 7" xfId="12891"/>
    <cellStyle name="20% - Accent3 4 4 7 2" xfId="35750"/>
    <cellStyle name="20% - Accent3 4 4 8" xfId="23447"/>
    <cellStyle name="20% - Accent3 4 5" xfId="1023"/>
    <cellStyle name="20% - Accent3 4 5 2" xfId="2784"/>
    <cellStyle name="20% - Accent3 4 5 2 2" xfId="6299"/>
    <cellStyle name="20% - Accent3 4 5 2 2 2" xfId="18603"/>
    <cellStyle name="20% - Accent3 4 5 2 2 2 2" xfId="41462"/>
    <cellStyle name="20% - Accent3 4 5 2 2 3" xfId="29160"/>
    <cellStyle name="20% - Accent3 4 5 2 3" xfId="9814"/>
    <cellStyle name="20% - Accent3 4 5 2 3 2" xfId="22118"/>
    <cellStyle name="20% - Accent3 4 5 2 3 2 2" xfId="44977"/>
    <cellStyle name="20% - Accent3 4 5 2 3 3" xfId="32675"/>
    <cellStyle name="20% - Accent3 4 5 2 4" xfId="15088"/>
    <cellStyle name="20% - Accent3 4 5 2 4 2" xfId="37947"/>
    <cellStyle name="20% - Accent3 4 5 2 5" xfId="25645"/>
    <cellStyle name="20% - Accent3 4 5 3" xfId="4541"/>
    <cellStyle name="20% - Accent3 4 5 3 2" xfId="16845"/>
    <cellStyle name="20% - Accent3 4 5 3 2 2" xfId="39704"/>
    <cellStyle name="20% - Accent3 4 5 3 3" xfId="27402"/>
    <cellStyle name="20% - Accent3 4 5 4" xfId="8056"/>
    <cellStyle name="20% - Accent3 4 5 4 2" xfId="20360"/>
    <cellStyle name="20% - Accent3 4 5 4 2 2" xfId="43219"/>
    <cellStyle name="20% - Accent3 4 5 4 3" xfId="30917"/>
    <cellStyle name="20% - Accent3 4 5 5" xfId="11571"/>
    <cellStyle name="20% - Accent3 4 5 5 2" xfId="34431"/>
    <cellStyle name="20% - Accent3 4 5 6" xfId="13330"/>
    <cellStyle name="20% - Accent3 4 5 6 2" xfId="36189"/>
    <cellStyle name="20% - Accent3 4 5 7" xfId="23886"/>
    <cellStyle name="20% - Accent3 4 6" xfId="1906"/>
    <cellStyle name="20% - Accent3 4 6 2" xfId="5421"/>
    <cellStyle name="20% - Accent3 4 6 2 2" xfId="17725"/>
    <cellStyle name="20% - Accent3 4 6 2 2 2" xfId="40584"/>
    <cellStyle name="20% - Accent3 4 6 2 3" xfId="28282"/>
    <cellStyle name="20% - Accent3 4 6 3" xfId="8936"/>
    <cellStyle name="20% - Accent3 4 6 3 2" xfId="21240"/>
    <cellStyle name="20% - Accent3 4 6 3 2 2" xfId="44099"/>
    <cellStyle name="20% - Accent3 4 6 3 3" xfId="31797"/>
    <cellStyle name="20% - Accent3 4 6 4" xfId="14210"/>
    <cellStyle name="20% - Accent3 4 6 4 2" xfId="37069"/>
    <cellStyle name="20% - Accent3 4 6 5" xfId="24767"/>
    <cellStyle name="20% - Accent3 4 7" xfId="3663"/>
    <cellStyle name="20% - Accent3 4 7 2" xfId="15967"/>
    <cellStyle name="20% - Accent3 4 7 2 2" xfId="38826"/>
    <cellStyle name="20% - Accent3 4 7 3" xfId="26524"/>
    <cellStyle name="20% - Accent3 4 8" xfId="7178"/>
    <cellStyle name="20% - Accent3 4 8 2" xfId="19482"/>
    <cellStyle name="20% - Accent3 4 8 2 2" xfId="42341"/>
    <cellStyle name="20% - Accent3 4 8 3" xfId="30039"/>
    <cellStyle name="20% - Accent3 4 9" xfId="10693"/>
    <cellStyle name="20% - Accent3 4 9 2" xfId="33553"/>
    <cellStyle name="20% - Accent3 5" xfId="200"/>
    <cellStyle name="20% - Accent3 5 10" xfId="23065"/>
    <cellStyle name="20% - Accent3 5 2" xfId="412"/>
    <cellStyle name="20% - Accent3 5 2 2" xfId="853"/>
    <cellStyle name="20% - Accent3 5 2 2 2" xfId="1732"/>
    <cellStyle name="20% - Accent3 5 2 2 2 2" xfId="3493"/>
    <cellStyle name="20% - Accent3 5 2 2 2 2 2" xfId="7008"/>
    <cellStyle name="20% - Accent3 5 2 2 2 2 2 2" xfId="19312"/>
    <cellStyle name="20% - Accent3 5 2 2 2 2 2 2 2" xfId="42171"/>
    <cellStyle name="20% - Accent3 5 2 2 2 2 2 3" xfId="29869"/>
    <cellStyle name="20% - Accent3 5 2 2 2 2 3" xfId="10523"/>
    <cellStyle name="20% - Accent3 5 2 2 2 2 3 2" xfId="22827"/>
    <cellStyle name="20% - Accent3 5 2 2 2 2 3 2 2" xfId="45686"/>
    <cellStyle name="20% - Accent3 5 2 2 2 2 3 3" xfId="33384"/>
    <cellStyle name="20% - Accent3 5 2 2 2 2 4" xfId="15797"/>
    <cellStyle name="20% - Accent3 5 2 2 2 2 4 2" xfId="38656"/>
    <cellStyle name="20% - Accent3 5 2 2 2 2 5" xfId="26354"/>
    <cellStyle name="20% - Accent3 5 2 2 2 3" xfId="5250"/>
    <cellStyle name="20% - Accent3 5 2 2 2 3 2" xfId="17554"/>
    <cellStyle name="20% - Accent3 5 2 2 2 3 2 2" xfId="40413"/>
    <cellStyle name="20% - Accent3 5 2 2 2 3 3" xfId="28111"/>
    <cellStyle name="20% - Accent3 5 2 2 2 4" xfId="8765"/>
    <cellStyle name="20% - Accent3 5 2 2 2 4 2" xfId="21069"/>
    <cellStyle name="20% - Accent3 5 2 2 2 4 2 2" xfId="43928"/>
    <cellStyle name="20% - Accent3 5 2 2 2 4 3" xfId="31626"/>
    <cellStyle name="20% - Accent3 5 2 2 2 5" xfId="12280"/>
    <cellStyle name="20% - Accent3 5 2 2 2 5 2" xfId="35140"/>
    <cellStyle name="20% - Accent3 5 2 2 2 6" xfId="14039"/>
    <cellStyle name="20% - Accent3 5 2 2 2 6 2" xfId="36898"/>
    <cellStyle name="20% - Accent3 5 2 2 2 7" xfId="24595"/>
    <cellStyle name="20% - Accent3 5 2 2 3" xfId="2615"/>
    <cellStyle name="20% - Accent3 5 2 2 3 2" xfId="6130"/>
    <cellStyle name="20% - Accent3 5 2 2 3 2 2" xfId="18434"/>
    <cellStyle name="20% - Accent3 5 2 2 3 2 2 2" xfId="41293"/>
    <cellStyle name="20% - Accent3 5 2 2 3 2 3" xfId="28991"/>
    <cellStyle name="20% - Accent3 5 2 2 3 3" xfId="9645"/>
    <cellStyle name="20% - Accent3 5 2 2 3 3 2" xfId="21949"/>
    <cellStyle name="20% - Accent3 5 2 2 3 3 2 2" xfId="44808"/>
    <cellStyle name="20% - Accent3 5 2 2 3 3 3" xfId="32506"/>
    <cellStyle name="20% - Accent3 5 2 2 3 4" xfId="14919"/>
    <cellStyle name="20% - Accent3 5 2 2 3 4 2" xfId="37778"/>
    <cellStyle name="20% - Accent3 5 2 2 3 5" xfId="25476"/>
    <cellStyle name="20% - Accent3 5 2 2 4" xfId="4372"/>
    <cellStyle name="20% - Accent3 5 2 2 4 2" xfId="16676"/>
    <cellStyle name="20% - Accent3 5 2 2 4 2 2" xfId="39535"/>
    <cellStyle name="20% - Accent3 5 2 2 4 3" xfId="27233"/>
    <cellStyle name="20% - Accent3 5 2 2 5" xfId="7887"/>
    <cellStyle name="20% - Accent3 5 2 2 5 2" xfId="20191"/>
    <cellStyle name="20% - Accent3 5 2 2 5 2 2" xfId="43050"/>
    <cellStyle name="20% - Accent3 5 2 2 5 3" xfId="30748"/>
    <cellStyle name="20% - Accent3 5 2 2 6" xfId="11402"/>
    <cellStyle name="20% - Accent3 5 2 2 6 2" xfId="34262"/>
    <cellStyle name="20% - Accent3 5 2 2 7" xfId="13161"/>
    <cellStyle name="20% - Accent3 5 2 2 7 2" xfId="36020"/>
    <cellStyle name="20% - Accent3 5 2 2 8" xfId="23717"/>
    <cellStyle name="20% - Accent3 5 2 3" xfId="1293"/>
    <cellStyle name="20% - Accent3 5 2 3 2" xfId="3054"/>
    <cellStyle name="20% - Accent3 5 2 3 2 2" xfId="6569"/>
    <cellStyle name="20% - Accent3 5 2 3 2 2 2" xfId="18873"/>
    <cellStyle name="20% - Accent3 5 2 3 2 2 2 2" xfId="41732"/>
    <cellStyle name="20% - Accent3 5 2 3 2 2 3" xfId="29430"/>
    <cellStyle name="20% - Accent3 5 2 3 2 3" xfId="10084"/>
    <cellStyle name="20% - Accent3 5 2 3 2 3 2" xfId="22388"/>
    <cellStyle name="20% - Accent3 5 2 3 2 3 2 2" xfId="45247"/>
    <cellStyle name="20% - Accent3 5 2 3 2 3 3" xfId="32945"/>
    <cellStyle name="20% - Accent3 5 2 3 2 4" xfId="15358"/>
    <cellStyle name="20% - Accent3 5 2 3 2 4 2" xfId="38217"/>
    <cellStyle name="20% - Accent3 5 2 3 2 5" xfId="25915"/>
    <cellStyle name="20% - Accent3 5 2 3 3" xfId="4811"/>
    <cellStyle name="20% - Accent3 5 2 3 3 2" xfId="17115"/>
    <cellStyle name="20% - Accent3 5 2 3 3 2 2" xfId="39974"/>
    <cellStyle name="20% - Accent3 5 2 3 3 3" xfId="27672"/>
    <cellStyle name="20% - Accent3 5 2 3 4" xfId="8326"/>
    <cellStyle name="20% - Accent3 5 2 3 4 2" xfId="20630"/>
    <cellStyle name="20% - Accent3 5 2 3 4 2 2" xfId="43489"/>
    <cellStyle name="20% - Accent3 5 2 3 4 3" xfId="31187"/>
    <cellStyle name="20% - Accent3 5 2 3 5" xfId="11841"/>
    <cellStyle name="20% - Accent3 5 2 3 5 2" xfId="34701"/>
    <cellStyle name="20% - Accent3 5 2 3 6" xfId="13600"/>
    <cellStyle name="20% - Accent3 5 2 3 6 2" xfId="36459"/>
    <cellStyle name="20% - Accent3 5 2 3 7" xfId="24156"/>
    <cellStyle name="20% - Accent3 5 2 4" xfId="2176"/>
    <cellStyle name="20% - Accent3 5 2 4 2" xfId="5691"/>
    <cellStyle name="20% - Accent3 5 2 4 2 2" xfId="17995"/>
    <cellStyle name="20% - Accent3 5 2 4 2 2 2" xfId="40854"/>
    <cellStyle name="20% - Accent3 5 2 4 2 3" xfId="28552"/>
    <cellStyle name="20% - Accent3 5 2 4 3" xfId="9206"/>
    <cellStyle name="20% - Accent3 5 2 4 3 2" xfId="21510"/>
    <cellStyle name="20% - Accent3 5 2 4 3 2 2" xfId="44369"/>
    <cellStyle name="20% - Accent3 5 2 4 3 3" xfId="32067"/>
    <cellStyle name="20% - Accent3 5 2 4 4" xfId="14480"/>
    <cellStyle name="20% - Accent3 5 2 4 4 2" xfId="37339"/>
    <cellStyle name="20% - Accent3 5 2 4 5" xfId="25037"/>
    <cellStyle name="20% - Accent3 5 2 5" xfId="3933"/>
    <cellStyle name="20% - Accent3 5 2 5 2" xfId="16237"/>
    <cellStyle name="20% - Accent3 5 2 5 2 2" xfId="39096"/>
    <cellStyle name="20% - Accent3 5 2 5 3" xfId="26794"/>
    <cellStyle name="20% - Accent3 5 2 6" xfId="7448"/>
    <cellStyle name="20% - Accent3 5 2 6 2" xfId="19752"/>
    <cellStyle name="20% - Accent3 5 2 6 2 2" xfId="42611"/>
    <cellStyle name="20% - Accent3 5 2 6 3" xfId="30309"/>
    <cellStyle name="20% - Accent3 5 2 7" xfId="10963"/>
    <cellStyle name="20% - Accent3 5 2 7 2" xfId="33823"/>
    <cellStyle name="20% - Accent3 5 2 8" xfId="12722"/>
    <cellStyle name="20% - Accent3 5 2 8 2" xfId="35581"/>
    <cellStyle name="20% - Accent3 5 2 9" xfId="23277"/>
    <cellStyle name="20% - Accent3 5 3" xfId="641"/>
    <cellStyle name="20% - Accent3 5 3 2" xfId="1520"/>
    <cellStyle name="20% - Accent3 5 3 2 2" xfId="3281"/>
    <cellStyle name="20% - Accent3 5 3 2 2 2" xfId="6796"/>
    <cellStyle name="20% - Accent3 5 3 2 2 2 2" xfId="19100"/>
    <cellStyle name="20% - Accent3 5 3 2 2 2 2 2" xfId="41959"/>
    <cellStyle name="20% - Accent3 5 3 2 2 2 3" xfId="29657"/>
    <cellStyle name="20% - Accent3 5 3 2 2 3" xfId="10311"/>
    <cellStyle name="20% - Accent3 5 3 2 2 3 2" xfId="22615"/>
    <cellStyle name="20% - Accent3 5 3 2 2 3 2 2" xfId="45474"/>
    <cellStyle name="20% - Accent3 5 3 2 2 3 3" xfId="33172"/>
    <cellStyle name="20% - Accent3 5 3 2 2 4" xfId="15585"/>
    <cellStyle name="20% - Accent3 5 3 2 2 4 2" xfId="38444"/>
    <cellStyle name="20% - Accent3 5 3 2 2 5" xfId="26142"/>
    <cellStyle name="20% - Accent3 5 3 2 3" xfId="5038"/>
    <cellStyle name="20% - Accent3 5 3 2 3 2" xfId="17342"/>
    <cellStyle name="20% - Accent3 5 3 2 3 2 2" xfId="40201"/>
    <cellStyle name="20% - Accent3 5 3 2 3 3" xfId="27899"/>
    <cellStyle name="20% - Accent3 5 3 2 4" xfId="8553"/>
    <cellStyle name="20% - Accent3 5 3 2 4 2" xfId="20857"/>
    <cellStyle name="20% - Accent3 5 3 2 4 2 2" xfId="43716"/>
    <cellStyle name="20% - Accent3 5 3 2 4 3" xfId="31414"/>
    <cellStyle name="20% - Accent3 5 3 2 5" xfId="12068"/>
    <cellStyle name="20% - Accent3 5 3 2 5 2" xfId="34928"/>
    <cellStyle name="20% - Accent3 5 3 2 6" xfId="13827"/>
    <cellStyle name="20% - Accent3 5 3 2 6 2" xfId="36686"/>
    <cellStyle name="20% - Accent3 5 3 2 7" xfId="24383"/>
    <cellStyle name="20% - Accent3 5 3 3" xfId="2403"/>
    <cellStyle name="20% - Accent3 5 3 3 2" xfId="5918"/>
    <cellStyle name="20% - Accent3 5 3 3 2 2" xfId="18222"/>
    <cellStyle name="20% - Accent3 5 3 3 2 2 2" xfId="41081"/>
    <cellStyle name="20% - Accent3 5 3 3 2 3" xfId="28779"/>
    <cellStyle name="20% - Accent3 5 3 3 3" xfId="9433"/>
    <cellStyle name="20% - Accent3 5 3 3 3 2" xfId="21737"/>
    <cellStyle name="20% - Accent3 5 3 3 3 2 2" xfId="44596"/>
    <cellStyle name="20% - Accent3 5 3 3 3 3" xfId="32294"/>
    <cellStyle name="20% - Accent3 5 3 3 4" xfId="14707"/>
    <cellStyle name="20% - Accent3 5 3 3 4 2" xfId="37566"/>
    <cellStyle name="20% - Accent3 5 3 3 5" xfId="25264"/>
    <cellStyle name="20% - Accent3 5 3 4" xfId="4160"/>
    <cellStyle name="20% - Accent3 5 3 4 2" xfId="16464"/>
    <cellStyle name="20% - Accent3 5 3 4 2 2" xfId="39323"/>
    <cellStyle name="20% - Accent3 5 3 4 3" xfId="27021"/>
    <cellStyle name="20% - Accent3 5 3 5" xfId="7675"/>
    <cellStyle name="20% - Accent3 5 3 5 2" xfId="19979"/>
    <cellStyle name="20% - Accent3 5 3 5 2 2" xfId="42838"/>
    <cellStyle name="20% - Accent3 5 3 5 3" xfId="30536"/>
    <cellStyle name="20% - Accent3 5 3 6" xfId="11190"/>
    <cellStyle name="20% - Accent3 5 3 6 2" xfId="34050"/>
    <cellStyle name="20% - Accent3 5 3 7" xfId="12949"/>
    <cellStyle name="20% - Accent3 5 3 7 2" xfId="35808"/>
    <cellStyle name="20% - Accent3 5 3 8" xfId="23505"/>
    <cellStyle name="20% - Accent3 5 4" xfId="1081"/>
    <cellStyle name="20% - Accent3 5 4 2" xfId="2842"/>
    <cellStyle name="20% - Accent3 5 4 2 2" xfId="6357"/>
    <cellStyle name="20% - Accent3 5 4 2 2 2" xfId="18661"/>
    <cellStyle name="20% - Accent3 5 4 2 2 2 2" xfId="41520"/>
    <cellStyle name="20% - Accent3 5 4 2 2 3" xfId="29218"/>
    <cellStyle name="20% - Accent3 5 4 2 3" xfId="9872"/>
    <cellStyle name="20% - Accent3 5 4 2 3 2" xfId="22176"/>
    <cellStyle name="20% - Accent3 5 4 2 3 2 2" xfId="45035"/>
    <cellStyle name="20% - Accent3 5 4 2 3 3" xfId="32733"/>
    <cellStyle name="20% - Accent3 5 4 2 4" xfId="15146"/>
    <cellStyle name="20% - Accent3 5 4 2 4 2" xfId="38005"/>
    <cellStyle name="20% - Accent3 5 4 2 5" xfId="25703"/>
    <cellStyle name="20% - Accent3 5 4 3" xfId="4599"/>
    <cellStyle name="20% - Accent3 5 4 3 2" xfId="16903"/>
    <cellStyle name="20% - Accent3 5 4 3 2 2" xfId="39762"/>
    <cellStyle name="20% - Accent3 5 4 3 3" xfId="27460"/>
    <cellStyle name="20% - Accent3 5 4 4" xfId="8114"/>
    <cellStyle name="20% - Accent3 5 4 4 2" xfId="20418"/>
    <cellStyle name="20% - Accent3 5 4 4 2 2" xfId="43277"/>
    <cellStyle name="20% - Accent3 5 4 4 3" xfId="30975"/>
    <cellStyle name="20% - Accent3 5 4 5" xfId="11629"/>
    <cellStyle name="20% - Accent3 5 4 5 2" xfId="34489"/>
    <cellStyle name="20% - Accent3 5 4 6" xfId="13388"/>
    <cellStyle name="20% - Accent3 5 4 6 2" xfId="36247"/>
    <cellStyle name="20% - Accent3 5 4 7" xfId="23944"/>
    <cellStyle name="20% - Accent3 5 5" xfId="1964"/>
    <cellStyle name="20% - Accent3 5 5 2" xfId="5479"/>
    <cellStyle name="20% - Accent3 5 5 2 2" xfId="17783"/>
    <cellStyle name="20% - Accent3 5 5 2 2 2" xfId="40642"/>
    <cellStyle name="20% - Accent3 5 5 2 3" xfId="28340"/>
    <cellStyle name="20% - Accent3 5 5 3" xfId="8994"/>
    <cellStyle name="20% - Accent3 5 5 3 2" xfId="21298"/>
    <cellStyle name="20% - Accent3 5 5 3 2 2" xfId="44157"/>
    <cellStyle name="20% - Accent3 5 5 3 3" xfId="31855"/>
    <cellStyle name="20% - Accent3 5 5 4" xfId="14268"/>
    <cellStyle name="20% - Accent3 5 5 4 2" xfId="37127"/>
    <cellStyle name="20% - Accent3 5 5 5" xfId="24825"/>
    <cellStyle name="20% - Accent3 5 6" xfId="3721"/>
    <cellStyle name="20% - Accent3 5 6 2" xfId="16025"/>
    <cellStyle name="20% - Accent3 5 6 2 2" xfId="38884"/>
    <cellStyle name="20% - Accent3 5 6 3" xfId="26582"/>
    <cellStyle name="20% - Accent3 5 7" xfId="7236"/>
    <cellStyle name="20% - Accent3 5 7 2" xfId="19540"/>
    <cellStyle name="20% - Accent3 5 7 2 2" xfId="42399"/>
    <cellStyle name="20% - Accent3 5 7 3" xfId="30097"/>
    <cellStyle name="20% - Accent3 5 8" xfId="10751"/>
    <cellStyle name="20% - Accent3 5 8 2" xfId="33611"/>
    <cellStyle name="20% - Accent3 5 9" xfId="12510"/>
    <cellStyle name="20% - Accent3 5 9 2" xfId="35369"/>
    <cellStyle name="20% - Accent3 6" xfId="306"/>
    <cellStyle name="20% - Accent3 6 2" xfId="747"/>
    <cellStyle name="20% - Accent3 6 2 2" xfId="1626"/>
    <cellStyle name="20% - Accent3 6 2 2 2" xfId="3387"/>
    <cellStyle name="20% - Accent3 6 2 2 2 2" xfId="6902"/>
    <cellStyle name="20% - Accent3 6 2 2 2 2 2" xfId="19206"/>
    <cellStyle name="20% - Accent3 6 2 2 2 2 2 2" xfId="42065"/>
    <cellStyle name="20% - Accent3 6 2 2 2 2 3" xfId="29763"/>
    <cellStyle name="20% - Accent3 6 2 2 2 3" xfId="10417"/>
    <cellStyle name="20% - Accent3 6 2 2 2 3 2" xfId="22721"/>
    <cellStyle name="20% - Accent3 6 2 2 2 3 2 2" xfId="45580"/>
    <cellStyle name="20% - Accent3 6 2 2 2 3 3" xfId="33278"/>
    <cellStyle name="20% - Accent3 6 2 2 2 4" xfId="15691"/>
    <cellStyle name="20% - Accent3 6 2 2 2 4 2" xfId="38550"/>
    <cellStyle name="20% - Accent3 6 2 2 2 5" xfId="26248"/>
    <cellStyle name="20% - Accent3 6 2 2 3" xfId="5144"/>
    <cellStyle name="20% - Accent3 6 2 2 3 2" xfId="17448"/>
    <cellStyle name="20% - Accent3 6 2 2 3 2 2" xfId="40307"/>
    <cellStyle name="20% - Accent3 6 2 2 3 3" xfId="28005"/>
    <cellStyle name="20% - Accent3 6 2 2 4" xfId="8659"/>
    <cellStyle name="20% - Accent3 6 2 2 4 2" xfId="20963"/>
    <cellStyle name="20% - Accent3 6 2 2 4 2 2" xfId="43822"/>
    <cellStyle name="20% - Accent3 6 2 2 4 3" xfId="31520"/>
    <cellStyle name="20% - Accent3 6 2 2 5" xfId="12174"/>
    <cellStyle name="20% - Accent3 6 2 2 5 2" xfId="35034"/>
    <cellStyle name="20% - Accent3 6 2 2 6" xfId="13933"/>
    <cellStyle name="20% - Accent3 6 2 2 6 2" xfId="36792"/>
    <cellStyle name="20% - Accent3 6 2 2 7" xfId="24489"/>
    <cellStyle name="20% - Accent3 6 2 3" xfId="2509"/>
    <cellStyle name="20% - Accent3 6 2 3 2" xfId="6024"/>
    <cellStyle name="20% - Accent3 6 2 3 2 2" xfId="18328"/>
    <cellStyle name="20% - Accent3 6 2 3 2 2 2" xfId="41187"/>
    <cellStyle name="20% - Accent3 6 2 3 2 3" xfId="28885"/>
    <cellStyle name="20% - Accent3 6 2 3 3" xfId="9539"/>
    <cellStyle name="20% - Accent3 6 2 3 3 2" xfId="21843"/>
    <cellStyle name="20% - Accent3 6 2 3 3 2 2" xfId="44702"/>
    <cellStyle name="20% - Accent3 6 2 3 3 3" xfId="32400"/>
    <cellStyle name="20% - Accent3 6 2 3 4" xfId="14813"/>
    <cellStyle name="20% - Accent3 6 2 3 4 2" xfId="37672"/>
    <cellStyle name="20% - Accent3 6 2 3 5" xfId="25370"/>
    <cellStyle name="20% - Accent3 6 2 4" xfId="4266"/>
    <cellStyle name="20% - Accent3 6 2 4 2" xfId="16570"/>
    <cellStyle name="20% - Accent3 6 2 4 2 2" xfId="39429"/>
    <cellStyle name="20% - Accent3 6 2 4 3" xfId="27127"/>
    <cellStyle name="20% - Accent3 6 2 5" xfId="7781"/>
    <cellStyle name="20% - Accent3 6 2 5 2" xfId="20085"/>
    <cellStyle name="20% - Accent3 6 2 5 2 2" xfId="42944"/>
    <cellStyle name="20% - Accent3 6 2 5 3" xfId="30642"/>
    <cellStyle name="20% - Accent3 6 2 6" xfId="11296"/>
    <cellStyle name="20% - Accent3 6 2 6 2" xfId="34156"/>
    <cellStyle name="20% - Accent3 6 2 7" xfId="13055"/>
    <cellStyle name="20% - Accent3 6 2 7 2" xfId="35914"/>
    <cellStyle name="20% - Accent3 6 2 8" xfId="23611"/>
    <cellStyle name="20% - Accent3 6 3" xfId="1187"/>
    <cellStyle name="20% - Accent3 6 3 2" xfId="2948"/>
    <cellStyle name="20% - Accent3 6 3 2 2" xfId="6463"/>
    <cellStyle name="20% - Accent3 6 3 2 2 2" xfId="18767"/>
    <cellStyle name="20% - Accent3 6 3 2 2 2 2" xfId="41626"/>
    <cellStyle name="20% - Accent3 6 3 2 2 3" xfId="29324"/>
    <cellStyle name="20% - Accent3 6 3 2 3" xfId="9978"/>
    <cellStyle name="20% - Accent3 6 3 2 3 2" xfId="22282"/>
    <cellStyle name="20% - Accent3 6 3 2 3 2 2" xfId="45141"/>
    <cellStyle name="20% - Accent3 6 3 2 3 3" xfId="32839"/>
    <cellStyle name="20% - Accent3 6 3 2 4" xfId="15252"/>
    <cellStyle name="20% - Accent3 6 3 2 4 2" xfId="38111"/>
    <cellStyle name="20% - Accent3 6 3 2 5" xfId="25809"/>
    <cellStyle name="20% - Accent3 6 3 3" xfId="4705"/>
    <cellStyle name="20% - Accent3 6 3 3 2" xfId="17009"/>
    <cellStyle name="20% - Accent3 6 3 3 2 2" xfId="39868"/>
    <cellStyle name="20% - Accent3 6 3 3 3" xfId="27566"/>
    <cellStyle name="20% - Accent3 6 3 4" xfId="8220"/>
    <cellStyle name="20% - Accent3 6 3 4 2" xfId="20524"/>
    <cellStyle name="20% - Accent3 6 3 4 2 2" xfId="43383"/>
    <cellStyle name="20% - Accent3 6 3 4 3" xfId="31081"/>
    <cellStyle name="20% - Accent3 6 3 5" xfId="11735"/>
    <cellStyle name="20% - Accent3 6 3 5 2" xfId="34595"/>
    <cellStyle name="20% - Accent3 6 3 6" xfId="13494"/>
    <cellStyle name="20% - Accent3 6 3 6 2" xfId="36353"/>
    <cellStyle name="20% - Accent3 6 3 7" xfId="24050"/>
    <cellStyle name="20% - Accent3 6 4" xfId="2070"/>
    <cellStyle name="20% - Accent3 6 4 2" xfId="5585"/>
    <cellStyle name="20% - Accent3 6 4 2 2" xfId="17889"/>
    <cellStyle name="20% - Accent3 6 4 2 2 2" xfId="40748"/>
    <cellStyle name="20% - Accent3 6 4 2 3" xfId="28446"/>
    <cellStyle name="20% - Accent3 6 4 3" xfId="9100"/>
    <cellStyle name="20% - Accent3 6 4 3 2" xfId="21404"/>
    <cellStyle name="20% - Accent3 6 4 3 2 2" xfId="44263"/>
    <cellStyle name="20% - Accent3 6 4 3 3" xfId="31961"/>
    <cellStyle name="20% - Accent3 6 4 4" xfId="14374"/>
    <cellStyle name="20% - Accent3 6 4 4 2" xfId="37233"/>
    <cellStyle name="20% - Accent3 6 4 5" xfId="24931"/>
    <cellStyle name="20% - Accent3 6 5" xfId="3827"/>
    <cellStyle name="20% - Accent3 6 5 2" xfId="16131"/>
    <cellStyle name="20% - Accent3 6 5 2 2" xfId="38990"/>
    <cellStyle name="20% - Accent3 6 5 3" xfId="26688"/>
    <cellStyle name="20% - Accent3 6 6" xfId="7342"/>
    <cellStyle name="20% - Accent3 6 6 2" xfId="19646"/>
    <cellStyle name="20% - Accent3 6 6 2 2" xfId="42505"/>
    <cellStyle name="20% - Accent3 6 6 3" xfId="30203"/>
    <cellStyle name="20% - Accent3 6 7" xfId="10857"/>
    <cellStyle name="20% - Accent3 6 7 2" xfId="33717"/>
    <cellStyle name="20% - Accent3 6 8" xfId="12616"/>
    <cellStyle name="20% - Accent3 6 8 2" xfId="35475"/>
    <cellStyle name="20% - Accent3 6 9" xfId="23171"/>
    <cellStyle name="20% - Accent3 7" xfId="513"/>
    <cellStyle name="20% - Accent3 7 2" xfId="954"/>
    <cellStyle name="20% - Accent3 7 2 2" xfId="1833"/>
    <cellStyle name="20% - Accent3 7 2 2 2" xfId="3594"/>
    <cellStyle name="20% - Accent3 7 2 2 2 2" xfId="7109"/>
    <cellStyle name="20% - Accent3 7 2 2 2 2 2" xfId="19413"/>
    <cellStyle name="20% - Accent3 7 2 2 2 2 2 2" xfId="42272"/>
    <cellStyle name="20% - Accent3 7 2 2 2 2 3" xfId="29970"/>
    <cellStyle name="20% - Accent3 7 2 2 2 3" xfId="10624"/>
    <cellStyle name="20% - Accent3 7 2 2 2 3 2" xfId="22928"/>
    <cellStyle name="20% - Accent3 7 2 2 2 3 2 2" xfId="45787"/>
    <cellStyle name="20% - Accent3 7 2 2 2 3 3" xfId="33485"/>
    <cellStyle name="20% - Accent3 7 2 2 2 4" xfId="15898"/>
    <cellStyle name="20% - Accent3 7 2 2 2 4 2" xfId="38757"/>
    <cellStyle name="20% - Accent3 7 2 2 2 5" xfId="26455"/>
    <cellStyle name="20% - Accent3 7 2 2 3" xfId="5351"/>
    <cellStyle name="20% - Accent3 7 2 2 3 2" xfId="17655"/>
    <cellStyle name="20% - Accent3 7 2 2 3 2 2" xfId="40514"/>
    <cellStyle name="20% - Accent3 7 2 2 3 3" xfId="28212"/>
    <cellStyle name="20% - Accent3 7 2 2 4" xfId="8866"/>
    <cellStyle name="20% - Accent3 7 2 2 4 2" xfId="21170"/>
    <cellStyle name="20% - Accent3 7 2 2 4 2 2" xfId="44029"/>
    <cellStyle name="20% - Accent3 7 2 2 4 3" xfId="31727"/>
    <cellStyle name="20% - Accent3 7 2 2 5" xfId="12381"/>
    <cellStyle name="20% - Accent3 7 2 2 5 2" xfId="35241"/>
    <cellStyle name="20% - Accent3 7 2 2 6" xfId="14140"/>
    <cellStyle name="20% - Accent3 7 2 2 6 2" xfId="36999"/>
    <cellStyle name="20% - Accent3 7 2 2 7" xfId="24696"/>
    <cellStyle name="20% - Accent3 7 2 3" xfId="2716"/>
    <cellStyle name="20% - Accent3 7 2 3 2" xfId="6231"/>
    <cellStyle name="20% - Accent3 7 2 3 2 2" xfId="18535"/>
    <cellStyle name="20% - Accent3 7 2 3 2 2 2" xfId="41394"/>
    <cellStyle name="20% - Accent3 7 2 3 2 3" xfId="29092"/>
    <cellStyle name="20% - Accent3 7 2 3 3" xfId="9746"/>
    <cellStyle name="20% - Accent3 7 2 3 3 2" xfId="22050"/>
    <cellStyle name="20% - Accent3 7 2 3 3 2 2" xfId="44909"/>
    <cellStyle name="20% - Accent3 7 2 3 3 3" xfId="32607"/>
    <cellStyle name="20% - Accent3 7 2 3 4" xfId="15020"/>
    <cellStyle name="20% - Accent3 7 2 3 4 2" xfId="37879"/>
    <cellStyle name="20% - Accent3 7 2 3 5" xfId="25577"/>
    <cellStyle name="20% - Accent3 7 2 4" xfId="4473"/>
    <cellStyle name="20% - Accent3 7 2 4 2" xfId="16777"/>
    <cellStyle name="20% - Accent3 7 2 4 2 2" xfId="39636"/>
    <cellStyle name="20% - Accent3 7 2 4 3" xfId="27334"/>
    <cellStyle name="20% - Accent3 7 2 5" xfId="7988"/>
    <cellStyle name="20% - Accent3 7 2 5 2" xfId="20292"/>
    <cellStyle name="20% - Accent3 7 2 5 2 2" xfId="43151"/>
    <cellStyle name="20% - Accent3 7 2 5 3" xfId="30849"/>
    <cellStyle name="20% - Accent3 7 2 6" xfId="11503"/>
    <cellStyle name="20% - Accent3 7 2 6 2" xfId="34363"/>
    <cellStyle name="20% - Accent3 7 2 7" xfId="13262"/>
    <cellStyle name="20% - Accent3 7 2 7 2" xfId="36121"/>
    <cellStyle name="20% - Accent3 7 2 8" xfId="23818"/>
    <cellStyle name="20% - Accent3 7 3" xfId="1394"/>
    <cellStyle name="20% - Accent3 7 3 2" xfId="3155"/>
    <cellStyle name="20% - Accent3 7 3 2 2" xfId="6670"/>
    <cellStyle name="20% - Accent3 7 3 2 2 2" xfId="18974"/>
    <cellStyle name="20% - Accent3 7 3 2 2 2 2" xfId="41833"/>
    <cellStyle name="20% - Accent3 7 3 2 2 3" xfId="29531"/>
    <cellStyle name="20% - Accent3 7 3 2 3" xfId="10185"/>
    <cellStyle name="20% - Accent3 7 3 2 3 2" xfId="22489"/>
    <cellStyle name="20% - Accent3 7 3 2 3 2 2" xfId="45348"/>
    <cellStyle name="20% - Accent3 7 3 2 3 3" xfId="33046"/>
    <cellStyle name="20% - Accent3 7 3 2 4" xfId="15459"/>
    <cellStyle name="20% - Accent3 7 3 2 4 2" xfId="38318"/>
    <cellStyle name="20% - Accent3 7 3 2 5" xfId="26016"/>
    <cellStyle name="20% - Accent3 7 3 3" xfId="4912"/>
    <cellStyle name="20% - Accent3 7 3 3 2" xfId="17216"/>
    <cellStyle name="20% - Accent3 7 3 3 2 2" xfId="40075"/>
    <cellStyle name="20% - Accent3 7 3 3 3" xfId="27773"/>
    <cellStyle name="20% - Accent3 7 3 4" xfId="8427"/>
    <cellStyle name="20% - Accent3 7 3 4 2" xfId="20731"/>
    <cellStyle name="20% - Accent3 7 3 4 2 2" xfId="43590"/>
    <cellStyle name="20% - Accent3 7 3 4 3" xfId="31288"/>
    <cellStyle name="20% - Accent3 7 3 5" xfId="11942"/>
    <cellStyle name="20% - Accent3 7 3 5 2" xfId="34802"/>
    <cellStyle name="20% - Accent3 7 3 6" xfId="13701"/>
    <cellStyle name="20% - Accent3 7 3 6 2" xfId="36560"/>
    <cellStyle name="20% - Accent3 7 3 7" xfId="24257"/>
    <cellStyle name="20% - Accent3 7 4" xfId="2277"/>
    <cellStyle name="20% - Accent3 7 4 2" xfId="5792"/>
    <cellStyle name="20% - Accent3 7 4 2 2" xfId="18096"/>
    <cellStyle name="20% - Accent3 7 4 2 2 2" xfId="40955"/>
    <cellStyle name="20% - Accent3 7 4 2 3" xfId="28653"/>
    <cellStyle name="20% - Accent3 7 4 3" xfId="9307"/>
    <cellStyle name="20% - Accent3 7 4 3 2" xfId="21611"/>
    <cellStyle name="20% - Accent3 7 4 3 2 2" xfId="44470"/>
    <cellStyle name="20% - Accent3 7 4 3 3" xfId="32168"/>
    <cellStyle name="20% - Accent3 7 4 4" xfId="14581"/>
    <cellStyle name="20% - Accent3 7 4 4 2" xfId="37440"/>
    <cellStyle name="20% - Accent3 7 4 5" xfId="25138"/>
    <cellStyle name="20% - Accent3 7 5" xfId="4034"/>
    <cellStyle name="20% - Accent3 7 5 2" xfId="16338"/>
    <cellStyle name="20% - Accent3 7 5 2 2" xfId="39197"/>
    <cellStyle name="20% - Accent3 7 5 3" xfId="26895"/>
    <cellStyle name="20% - Accent3 7 6" xfId="7549"/>
    <cellStyle name="20% - Accent3 7 6 2" xfId="19853"/>
    <cellStyle name="20% - Accent3 7 6 2 2" xfId="42712"/>
    <cellStyle name="20% - Accent3 7 6 3" xfId="30410"/>
    <cellStyle name="20% - Accent3 7 7" xfId="11064"/>
    <cellStyle name="20% - Accent3 7 7 2" xfId="33924"/>
    <cellStyle name="20% - Accent3 7 8" xfId="12823"/>
    <cellStyle name="20% - Accent3 7 8 2" xfId="35682"/>
    <cellStyle name="20% - Accent3 7 9" xfId="23378"/>
    <cellStyle name="20% - Accent3 8" xfId="526"/>
    <cellStyle name="20% - Accent3 8 2" xfId="1407"/>
    <cellStyle name="20% - Accent3 8 2 2" xfId="3168"/>
    <cellStyle name="20% - Accent3 8 2 2 2" xfId="6683"/>
    <cellStyle name="20% - Accent3 8 2 2 2 2" xfId="18987"/>
    <cellStyle name="20% - Accent3 8 2 2 2 2 2" xfId="41846"/>
    <cellStyle name="20% - Accent3 8 2 2 2 3" xfId="29544"/>
    <cellStyle name="20% - Accent3 8 2 2 3" xfId="10198"/>
    <cellStyle name="20% - Accent3 8 2 2 3 2" xfId="22502"/>
    <cellStyle name="20% - Accent3 8 2 2 3 2 2" xfId="45361"/>
    <cellStyle name="20% - Accent3 8 2 2 3 3" xfId="33059"/>
    <cellStyle name="20% - Accent3 8 2 2 4" xfId="15472"/>
    <cellStyle name="20% - Accent3 8 2 2 4 2" xfId="38331"/>
    <cellStyle name="20% - Accent3 8 2 2 5" xfId="26029"/>
    <cellStyle name="20% - Accent3 8 2 3" xfId="4925"/>
    <cellStyle name="20% - Accent3 8 2 3 2" xfId="17229"/>
    <cellStyle name="20% - Accent3 8 2 3 2 2" xfId="40088"/>
    <cellStyle name="20% - Accent3 8 2 3 3" xfId="27786"/>
    <cellStyle name="20% - Accent3 8 2 4" xfId="8440"/>
    <cellStyle name="20% - Accent3 8 2 4 2" xfId="20744"/>
    <cellStyle name="20% - Accent3 8 2 4 2 2" xfId="43603"/>
    <cellStyle name="20% - Accent3 8 2 4 3" xfId="31301"/>
    <cellStyle name="20% - Accent3 8 2 5" xfId="11955"/>
    <cellStyle name="20% - Accent3 8 2 5 2" xfId="34815"/>
    <cellStyle name="20% - Accent3 8 2 6" xfId="13714"/>
    <cellStyle name="20% - Accent3 8 2 6 2" xfId="36573"/>
    <cellStyle name="20% - Accent3 8 2 7" xfId="24270"/>
    <cellStyle name="20% - Accent3 8 3" xfId="2290"/>
    <cellStyle name="20% - Accent3 8 3 2" xfId="5805"/>
    <cellStyle name="20% - Accent3 8 3 2 2" xfId="18109"/>
    <cellStyle name="20% - Accent3 8 3 2 2 2" xfId="40968"/>
    <cellStyle name="20% - Accent3 8 3 2 3" xfId="28666"/>
    <cellStyle name="20% - Accent3 8 3 3" xfId="9320"/>
    <cellStyle name="20% - Accent3 8 3 3 2" xfId="21624"/>
    <cellStyle name="20% - Accent3 8 3 3 2 2" xfId="44483"/>
    <cellStyle name="20% - Accent3 8 3 3 3" xfId="32181"/>
    <cellStyle name="20% - Accent3 8 3 4" xfId="14594"/>
    <cellStyle name="20% - Accent3 8 3 4 2" xfId="37453"/>
    <cellStyle name="20% - Accent3 8 3 5" xfId="25151"/>
    <cellStyle name="20% - Accent3 8 4" xfId="4047"/>
    <cellStyle name="20% - Accent3 8 4 2" xfId="16351"/>
    <cellStyle name="20% - Accent3 8 4 2 2" xfId="39210"/>
    <cellStyle name="20% - Accent3 8 4 3" xfId="26908"/>
    <cellStyle name="20% - Accent3 8 5" xfId="7562"/>
    <cellStyle name="20% - Accent3 8 5 2" xfId="19866"/>
    <cellStyle name="20% - Accent3 8 5 2 2" xfId="42725"/>
    <cellStyle name="20% - Accent3 8 5 3" xfId="30423"/>
    <cellStyle name="20% - Accent3 8 6" xfId="11077"/>
    <cellStyle name="20% - Accent3 8 6 2" xfId="33937"/>
    <cellStyle name="20% - Accent3 8 7" xfId="12836"/>
    <cellStyle name="20% - Accent3 8 7 2" xfId="35695"/>
    <cellStyle name="20% - Accent3 8 8" xfId="23391"/>
    <cellStyle name="20% - Accent3 9" xfId="975"/>
    <cellStyle name="20% - Accent3 9 2" xfId="2736"/>
    <cellStyle name="20% - Accent3 9 2 2" xfId="6251"/>
    <cellStyle name="20% - Accent3 9 2 2 2" xfId="18555"/>
    <cellStyle name="20% - Accent3 9 2 2 2 2" xfId="41414"/>
    <cellStyle name="20% - Accent3 9 2 2 3" xfId="29112"/>
    <cellStyle name="20% - Accent3 9 2 3" xfId="9766"/>
    <cellStyle name="20% - Accent3 9 2 3 2" xfId="22070"/>
    <cellStyle name="20% - Accent3 9 2 3 2 2" xfId="44929"/>
    <cellStyle name="20% - Accent3 9 2 3 3" xfId="32627"/>
    <cellStyle name="20% - Accent3 9 2 4" xfId="15040"/>
    <cellStyle name="20% - Accent3 9 2 4 2" xfId="37899"/>
    <cellStyle name="20% - Accent3 9 2 5" xfId="25597"/>
    <cellStyle name="20% - Accent3 9 3" xfId="4493"/>
    <cellStyle name="20% - Accent3 9 3 2" xfId="16797"/>
    <cellStyle name="20% - Accent3 9 3 2 2" xfId="39656"/>
    <cellStyle name="20% - Accent3 9 3 3" xfId="27354"/>
    <cellStyle name="20% - Accent3 9 4" xfId="8008"/>
    <cellStyle name="20% - Accent3 9 4 2" xfId="20312"/>
    <cellStyle name="20% - Accent3 9 4 2 2" xfId="43171"/>
    <cellStyle name="20% - Accent3 9 4 3" xfId="30869"/>
    <cellStyle name="20% - Accent3 9 5" xfId="11523"/>
    <cellStyle name="20% - Accent3 9 5 2" xfId="34383"/>
    <cellStyle name="20% - Accent3 9 6" xfId="13282"/>
    <cellStyle name="20% - Accent3 9 6 2" xfId="36141"/>
    <cellStyle name="20% - Accent3 9 7" xfId="23838"/>
    <cellStyle name="20% - Accent4" xfId="87" builtinId="42" customBuiltin="1"/>
    <cellStyle name="20% - Accent4 10" xfId="1851"/>
    <cellStyle name="20% - Accent4 10 2" xfId="5368"/>
    <cellStyle name="20% - Accent4 10 2 2" xfId="17672"/>
    <cellStyle name="20% - Accent4 10 2 2 2" xfId="40531"/>
    <cellStyle name="20% - Accent4 10 2 3" xfId="28229"/>
    <cellStyle name="20% - Accent4 10 3" xfId="8883"/>
    <cellStyle name="20% - Accent4 10 3 2" xfId="21187"/>
    <cellStyle name="20% - Accent4 10 3 2 2" xfId="44046"/>
    <cellStyle name="20% - Accent4 10 3 3" xfId="31744"/>
    <cellStyle name="20% - Accent4 10 4" xfId="14157"/>
    <cellStyle name="20% - Accent4 10 4 2" xfId="37016"/>
    <cellStyle name="20% - Accent4 10 5" xfId="24713"/>
    <cellStyle name="20% - Accent4 11" xfId="3617"/>
    <cellStyle name="20% - Accent4 11 2" xfId="15921"/>
    <cellStyle name="20% - Accent4 11 2 2" xfId="38780"/>
    <cellStyle name="20% - Accent4 11 3" xfId="26478"/>
    <cellStyle name="20% - Accent4 12" xfId="7132"/>
    <cellStyle name="20% - Accent4 12 2" xfId="19436"/>
    <cellStyle name="20% - Accent4 12 2 2" xfId="42295"/>
    <cellStyle name="20% - Accent4 12 3" xfId="29993"/>
    <cellStyle name="20% - Accent4 13" xfId="10647"/>
    <cellStyle name="20% - Accent4 13 2" xfId="33507"/>
    <cellStyle name="20% - Accent4 14" xfId="12397"/>
    <cellStyle name="20% - Accent4 14 2" xfId="35257"/>
    <cellStyle name="20% - Accent4 15" xfId="22959"/>
    <cellStyle name="20% - Accent4 2" xfId="4"/>
    <cellStyle name="20% - Accent4 3" xfId="111"/>
    <cellStyle name="20% - Accent4 3 10" xfId="10666"/>
    <cellStyle name="20% - Accent4 3 10 2" xfId="33526"/>
    <cellStyle name="20% - Accent4 3 11" xfId="12425"/>
    <cellStyle name="20% - Accent4 3 11 2" xfId="35284"/>
    <cellStyle name="20% - Accent4 3 12" xfId="22978"/>
    <cellStyle name="20% - Accent4 3 2" xfId="167"/>
    <cellStyle name="20% - Accent4 3 2 10" xfId="12479"/>
    <cellStyle name="20% - Accent4 3 2 10 2" xfId="35338"/>
    <cellStyle name="20% - Accent4 3 2 11" xfId="23033"/>
    <cellStyle name="20% - Accent4 3 2 2" xfId="275"/>
    <cellStyle name="20% - Accent4 3 2 2 10" xfId="23140"/>
    <cellStyle name="20% - Accent4 3 2 2 2" xfId="487"/>
    <cellStyle name="20% - Accent4 3 2 2 2 2" xfId="928"/>
    <cellStyle name="20% - Accent4 3 2 2 2 2 2" xfId="1807"/>
    <cellStyle name="20% - Accent4 3 2 2 2 2 2 2" xfId="3568"/>
    <cellStyle name="20% - Accent4 3 2 2 2 2 2 2 2" xfId="7083"/>
    <cellStyle name="20% - Accent4 3 2 2 2 2 2 2 2 2" xfId="19387"/>
    <cellStyle name="20% - Accent4 3 2 2 2 2 2 2 2 2 2" xfId="42246"/>
    <cellStyle name="20% - Accent4 3 2 2 2 2 2 2 2 3" xfId="29944"/>
    <cellStyle name="20% - Accent4 3 2 2 2 2 2 2 3" xfId="10598"/>
    <cellStyle name="20% - Accent4 3 2 2 2 2 2 2 3 2" xfId="22902"/>
    <cellStyle name="20% - Accent4 3 2 2 2 2 2 2 3 2 2" xfId="45761"/>
    <cellStyle name="20% - Accent4 3 2 2 2 2 2 2 3 3" xfId="33459"/>
    <cellStyle name="20% - Accent4 3 2 2 2 2 2 2 4" xfId="15872"/>
    <cellStyle name="20% - Accent4 3 2 2 2 2 2 2 4 2" xfId="38731"/>
    <cellStyle name="20% - Accent4 3 2 2 2 2 2 2 5" xfId="26429"/>
    <cellStyle name="20% - Accent4 3 2 2 2 2 2 3" xfId="5325"/>
    <cellStyle name="20% - Accent4 3 2 2 2 2 2 3 2" xfId="17629"/>
    <cellStyle name="20% - Accent4 3 2 2 2 2 2 3 2 2" xfId="40488"/>
    <cellStyle name="20% - Accent4 3 2 2 2 2 2 3 3" xfId="28186"/>
    <cellStyle name="20% - Accent4 3 2 2 2 2 2 4" xfId="8840"/>
    <cellStyle name="20% - Accent4 3 2 2 2 2 2 4 2" xfId="21144"/>
    <cellStyle name="20% - Accent4 3 2 2 2 2 2 4 2 2" xfId="44003"/>
    <cellStyle name="20% - Accent4 3 2 2 2 2 2 4 3" xfId="31701"/>
    <cellStyle name="20% - Accent4 3 2 2 2 2 2 5" xfId="12355"/>
    <cellStyle name="20% - Accent4 3 2 2 2 2 2 5 2" xfId="35215"/>
    <cellStyle name="20% - Accent4 3 2 2 2 2 2 6" xfId="14114"/>
    <cellStyle name="20% - Accent4 3 2 2 2 2 2 6 2" xfId="36973"/>
    <cellStyle name="20% - Accent4 3 2 2 2 2 2 7" xfId="24670"/>
    <cellStyle name="20% - Accent4 3 2 2 2 2 3" xfId="2690"/>
    <cellStyle name="20% - Accent4 3 2 2 2 2 3 2" xfId="6205"/>
    <cellStyle name="20% - Accent4 3 2 2 2 2 3 2 2" xfId="18509"/>
    <cellStyle name="20% - Accent4 3 2 2 2 2 3 2 2 2" xfId="41368"/>
    <cellStyle name="20% - Accent4 3 2 2 2 2 3 2 3" xfId="29066"/>
    <cellStyle name="20% - Accent4 3 2 2 2 2 3 3" xfId="9720"/>
    <cellStyle name="20% - Accent4 3 2 2 2 2 3 3 2" xfId="22024"/>
    <cellStyle name="20% - Accent4 3 2 2 2 2 3 3 2 2" xfId="44883"/>
    <cellStyle name="20% - Accent4 3 2 2 2 2 3 3 3" xfId="32581"/>
    <cellStyle name="20% - Accent4 3 2 2 2 2 3 4" xfId="14994"/>
    <cellStyle name="20% - Accent4 3 2 2 2 2 3 4 2" xfId="37853"/>
    <cellStyle name="20% - Accent4 3 2 2 2 2 3 5" xfId="25551"/>
    <cellStyle name="20% - Accent4 3 2 2 2 2 4" xfId="4447"/>
    <cellStyle name="20% - Accent4 3 2 2 2 2 4 2" xfId="16751"/>
    <cellStyle name="20% - Accent4 3 2 2 2 2 4 2 2" xfId="39610"/>
    <cellStyle name="20% - Accent4 3 2 2 2 2 4 3" xfId="27308"/>
    <cellStyle name="20% - Accent4 3 2 2 2 2 5" xfId="7962"/>
    <cellStyle name="20% - Accent4 3 2 2 2 2 5 2" xfId="20266"/>
    <cellStyle name="20% - Accent4 3 2 2 2 2 5 2 2" xfId="43125"/>
    <cellStyle name="20% - Accent4 3 2 2 2 2 5 3" xfId="30823"/>
    <cellStyle name="20% - Accent4 3 2 2 2 2 6" xfId="11477"/>
    <cellStyle name="20% - Accent4 3 2 2 2 2 6 2" xfId="34337"/>
    <cellStyle name="20% - Accent4 3 2 2 2 2 7" xfId="13236"/>
    <cellStyle name="20% - Accent4 3 2 2 2 2 7 2" xfId="36095"/>
    <cellStyle name="20% - Accent4 3 2 2 2 2 8" xfId="23792"/>
    <cellStyle name="20% - Accent4 3 2 2 2 3" xfId="1368"/>
    <cellStyle name="20% - Accent4 3 2 2 2 3 2" xfId="3129"/>
    <cellStyle name="20% - Accent4 3 2 2 2 3 2 2" xfId="6644"/>
    <cellStyle name="20% - Accent4 3 2 2 2 3 2 2 2" xfId="18948"/>
    <cellStyle name="20% - Accent4 3 2 2 2 3 2 2 2 2" xfId="41807"/>
    <cellStyle name="20% - Accent4 3 2 2 2 3 2 2 3" xfId="29505"/>
    <cellStyle name="20% - Accent4 3 2 2 2 3 2 3" xfId="10159"/>
    <cellStyle name="20% - Accent4 3 2 2 2 3 2 3 2" xfId="22463"/>
    <cellStyle name="20% - Accent4 3 2 2 2 3 2 3 2 2" xfId="45322"/>
    <cellStyle name="20% - Accent4 3 2 2 2 3 2 3 3" xfId="33020"/>
    <cellStyle name="20% - Accent4 3 2 2 2 3 2 4" xfId="15433"/>
    <cellStyle name="20% - Accent4 3 2 2 2 3 2 4 2" xfId="38292"/>
    <cellStyle name="20% - Accent4 3 2 2 2 3 2 5" xfId="25990"/>
    <cellStyle name="20% - Accent4 3 2 2 2 3 3" xfId="4886"/>
    <cellStyle name="20% - Accent4 3 2 2 2 3 3 2" xfId="17190"/>
    <cellStyle name="20% - Accent4 3 2 2 2 3 3 2 2" xfId="40049"/>
    <cellStyle name="20% - Accent4 3 2 2 2 3 3 3" xfId="27747"/>
    <cellStyle name="20% - Accent4 3 2 2 2 3 4" xfId="8401"/>
    <cellStyle name="20% - Accent4 3 2 2 2 3 4 2" xfId="20705"/>
    <cellStyle name="20% - Accent4 3 2 2 2 3 4 2 2" xfId="43564"/>
    <cellStyle name="20% - Accent4 3 2 2 2 3 4 3" xfId="31262"/>
    <cellStyle name="20% - Accent4 3 2 2 2 3 5" xfId="11916"/>
    <cellStyle name="20% - Accent4 3 2 2 2 3 5 2" xfId="34776"/>
    <cellStyle name="20% - Accent4 3 2 2 2 3 6" xfId="13675"/>
    <cellStyle name="20% - Accent4 3 2 2 2 3 6 2" xfId="36534"/>
    <cellStyle name="20% - Accent4 3 2 2 2 3 7" xfId="24231"/>
    <cellStyle name="20% - Accent4 3 2 2 2 4" xfId="2251"/>
    <cellStyle name="20% - Accent4 3 2 2 2 4 2" xfId="5766"/>
    <cellStyle name="20% - Accent4 3 2 2 2 4 2 2" xfId="18070"/>
    <cellStyle name="20% - Accent4 3 2 2 2 4 2 2 2" xfId="40929"/>
    <cellStyle name="20% - Accent4 3 2 2 2 4 2 3" xfId="28627"/>
    <cellStyle name="20% - Accent4 3 2 2 2 4 3" xfId="9281"/>
    <cellStyle name="20% - Accent4 3 2 2 2 4 3 2" xfId="21585"/>
    <cellStyle name="20% - Accent4 3 2 2 2 4 3 2 2" xfId="44444"/>
    <cellStyle name="20% - Accent4 3 2 2 2 4 3 3" xfId="32142"/>
    <cellStyle name="20% - Accent4 3 2 2 2 4 4" xfId="14555"/>
    <cellStyle name="20% - Accent4 3 2 2 2 4 4 2" xfId="37414"/>
    <cellStyle name="20% - Accent4 3 2 2 2 4 5" xfId="25112"/>
    <cellStyle name="20% - Accent4 3 2 2 2 5" xfId="4008"/>
    <cellStyle name="20% - Accent4 3 2 2 2 5 2" xfId="16312"/>
    <cellStyle name="20% - Accent4 3 2 2 2 5 2 2" xfId="39171"/>
    <cellStyle name="20% - Accent4 3 2 2 2 5 3" xfId="26869"/>
    <cellStyle name="20% - Accent4 3 2 2 2 6" xfId="7523"/>
    <cellStyle name="20% - Accent4 3 2 2 2 6 2" xfId="19827"/>
    <cellStyle name="20% - Accent4 3 2 2 2 6 2 2" xfId="42686"/>
    <cellStyle name="20% - Accent4 3 2 2 2 6 3" xfId="30384"/>
    <cellStyle name="20% - Accent4 3 2 2 2 7" xfId="11038"/>
    <cellStyle name="20% - Accent4 3 2 2 2 7 2" xfId="33898"/>
    <cellStyle name="20% - Accent4 3 2 2 2 8" xfId="12797"/>
    <cellStyle name="20% - Accent4 3 2 2 2 8 2" xfId="35656"/>
    <cellStyle name="20% - Accent4 3 2 2 2 9" xfId="23352"/>
    <cellStyle name="20% - Accent4 3 2 2 3" xfId="716"/>
    <cellStyle name="20% - Accent4 3 2 2 3 2" xfId="1595"/>
    <cellStyle name="20% - Accent4 3 2 2 3 2 2" xfId="3356"/>
    <cellStyle name="20% - Accent4 3 2 2 3 2 2 2" xfId="6871"/>
    <cellStyle name="20% - Accent4 3 2 2 3 2 2 2 2" xfId="19175"/>
    <cellStyle name="20% - Accent4 3 2 2 3 2 2 2 2 2" xfId="42034"/>
    <cellStyle name="20% - Accent4 3 2 2 3 2 2 2 3" xfId="29732"/>
    <cellStyle name="20% - Accent4 3 2 2 3 2 2 3" xfId="10386"/>
    <cellStyle name="20% - Accent4 3 2 2 3 2 2 3 2" xfId="22690"/>
    <cellStyle name="20% - Accent4 3 2 2 3 2 2 3 2 2" xfId="45549"/>
    <cellStyle name="20% - Accent4 3 2 2 3 2 2 3 3" xfId="33247"/>
    <cellStyle name="20% - Accent4 3 2 2 3 2 2 4" xfId="15660"/>
    <cellStyle name="20% - Accent4 3 2 2 3 2 2 4 2" xfId="38519"/>
    <cellStyle name="20% - Accent4 3 2 2 3 2 2 5" xfId="26217"/>
    <cellStyle name="20% - Accent4 3 2 2 3 2 3" xfId="5113"/>
    <cellStyle name="20% - Accent4 3 2 2 3 2 3 2" xfId="17417"/>
    <cellStyle name="20% - Accent4 3 2 2 3 2 3 2 2" xfId="40276"/>
    <cellStyle name="20% - Accent4 3 2 2 3 2 3 3" xfId="27974"/>
    <cellStyle name="20% - Accent4 3 2 2 3 2 4" xfId="8628"/>
    <cellStyle name="20% - Accent4 3 2 2 3 2 4 2" xfId="20932"/>
    <cellStyle name="20% - Accent4 3 2 2 3 2 4 2 2" xfId="43791"/>
    <cellStyle name="20% - Accent4 3 2 2 3 2 4 3" xfId="31489"/>
    <cellStyle name="20% - Accent4 3 2 2 3 2 5" xfId="12143"/>
    <cellStyle name="20% - Accent4 3 2 2 3 2 5 2" xfId="35003"/>
    <cellStyle name="20% - Accent4 3 2 2 3 2 6" xfId="13902"/>
    <cellStyle name="20% - Accent4 3 2 2 3 2 6 2" xfId="36761"/>
    <cellStyle name="20% - Accent4 3 2 2 3 2 7" xfId="24458"/>
    <cellStyle name="20% - Accent4 3 2 2 3 3" xfId="2478"/>
    <cellStyle name="20% - Accent4 3 2 2 3 3 2" xfId="5993"/>
    <cellStyle name="20% - Accent4 3 2 2 3 3 2 2" xfId="18297"/>
    <cellStyle name="20% - Accent4 3 2 2 3 3 2 2 2" xfId="41156"/>
    <cellStyle name="20% - Accent4 3 2 2 3 3 2 3" xfId="28854"/>
    <cellStyle name="20% - Accent4 3 2 2 3 3 3" xfId="9508"/>
    <cellStyle name="20% - Accent4 3 2 2 3 3 3 2" xfId="21812"/>
    <cellStyle name="20% - Accent4 3 2 2 3 3 3 2 2" xfId="44671"/>
    <cellStyle name="20% - Accent4 3 2 2 3 3 3 3" xfId="32369"/>
    <cellStyle name="20% - Accent4 3 2 2 3 3 4" xfId="14782"/>
    <cellStyle name="20% - Accent4 3 2 2 3 3 4 2" xfId="37641"/>
    <cellStyle name="20% - Accent4 3 2 2 3 3 5" xfId="25339"/>
    <cellStyle name="20% - Accent4 3 2 2 3 4" xfId="4235"/>
    <cellStyle name="20% - Accent4 3 2 2 3 4 2" xfId="16539"/>
    <cellStyle name="20% - Accent4 3 2 2 3 4 2 2" xfId="39398"/>
    <cellStyle name="20% - Accent4 3 2 2 3 4 3" xfId="27096"/>
    <cellStyle name="20% - Accent4 3 2 2 3 5" xfId="7750"/>
    <cellStyle name="20% - Accent4 3 2 2 3 5 2" xfId="20054"/>
    <cellStyle name="20% - Accent4 3 2 2 3 5 2 2" xfId="42913"/>
    <cellStyle name="20% - Accent4 3 2 2 3 5 3" xfId="30611"/>
    <cellStyle name="20% - Accent4 3 2 2 3 6" xfId="11265"/>
    <cellStyle name="20% - Accent4 3 2 2 3 6 2" xfId="34125"/>
    <cellStyle name="20% - Accent4 3 2 2 3 7" xfId="13024"/>
    <cellStyle name="20% - Accent4 3 2 2 3 7 2" xfId="35883"/>
    <cellStyle name="20% - Accent4 3 2 2 3 8" xfId="23580"/>
    <cellStyle name="20% - Accent4 3 2 2 4" xfId="1156"/>
    <cellStyle name="20% - Accent4 3 2 2 4 2" xfId="2917"/>
    <cellStyle name="20% - Accent4 3 2 2 4 2 2" xfId="6432"/>
    <cellStyle name="20% - Accent4 3 2 2 4 2 2 2" xfId="18736"/>
    <cellStyle name="20% - Accent4 3 2 2 4 2 2 2 2" xfId="41595"/>
    <cellStyle name="20% - Accent4 3 2 2 4 2 2 3" xfId="29293"/>
    <cellStyle name="20% - Accent4 3 2 2 4 2 3" xfId="9947"/>
    <cellStyle name="20% - Accent4 3 2 2 4 2 3 2" xfId="22251"/>
    <cellStyle name="20% - Accent4 3 2 2 4 2 3 2 2" xfId="45110"/>
    <cellStyle name="20% - Accent4 3 2 2 4 2 3 3" xfId="32808"/>
    <cellStyle name="20% - Accent4 3 2 2 4 2 4" xfId="15221"/>
    <cellStyle name="20% - Accent4 3 2 2 4 2 4 2" xfId="38080"/>
    <cellStyle name="20% - Accent4 3 2 2 4 2 5" xfId="25778"/>
    <cellStyle name="20% - Accent4 3 2 2 4 3" xfId="4674"/>
    <cellStyle name="20% - Accent4 3 2 2 4 3 2" xfId="16978"/>
    <cellStyle name="20% - Accent4 3 2 2 4 3 2 2" xfId="39837"/>
    <cellStyle name="20% - Accent4 3 2 2 4 3 3" xfId="27535"/>
    <cellStyle name="20% - Accent4 3 2 2 4 4" xfId="8189"/>
    <cellStyle name="20% - Accent4 3 2 2 4 4 2" xfId="20493"/>
    <cellStyle name="20% - Accent4 3 2 2 4 4 2 2" xfId="43352"/>
    <cellStyle name="20% - Accent4 3 2 2 4 4 3" xfId="31050"/>
    <cellStyle name="20% - Accent4 3 2 2 4 5" xfId="11704"/>
    <cellStyle name="20% - Accent4 3 2 2 4 5 2" xfId="34564"/>
    <cellStyle name="20% - Accent4 3 2 2 4 6" xfId="13463"/>
    <cellStyle name="20% - Accent4 3 2 2 4 6 2" xfId="36322"/>
    <cellStyle name="20% - Accent4 3 2 2 4 7" xfId="24019"/>
    <cellStyle name="20% - Accent4 3 2 2 5" xfId="2039"/>
    <cellStyle name="20% - Accent4 3 2 2 5 2" xfId="5554"/>
    <cellStyle name="20% - Accent4 3 2 2 5 2 2" xfId="17858"/>
    <cellStyle name="20% - Accent4 3 2 2 5 2 2 2" xfId="40717"/>
    <cellStyle name="20% - Accent4 3 2 2 5 2 3" xfId="28415"/>
    <cellStyle name="20% - Accent4 3 2 2 5 3" xfId="9069"/>
    <cellStyle name="20% - Accent4 3 2 2 5 3 2" xfId="21373"/>
    <cellStyle name="20% - Accent4 3 2 2 5 3 2 2" xfId="44232"/>
    <cellStyle name="20% - Accent4 3 2 2 5 3 3" xfId="31930"/>
    <cellStyle name="20% - Accent4 3 2 2 5 4" xfId="14343"/>
    <cellStyle name="20% - Accent4 3 2 2 5 4 2" xfId="37202"/>
    <cellStyle name="20% - Accent4 3 2 2 5 5" xfId="24900"/>
    <cellStyle name="20% - Accent4 3 2 2 6" xfId="3796"/>
    <cellStyle name="20% - Accent4 3 2 2 6 2" xfId="16100"/>
    <cellStyle name="20% - Accent4 3 2 2 6 2 2" xfId="38959"/>
    <cellStyle name="20% - Accent4 3 2 2 6 3" xfId="26657"/>
    <cellStyle name="20% - Accent4 3 2 2 7" xfId="7311"/>
    <cellStyle name="20% - Accent4 3 2 2 7 2" xfId="19615"/>
    <cellStyle name="20% - Accent4 3 2 2 7 2 2" xfId="42474"/>
    <cellStyle name="20% - Accent4 3 2 2 7 3" xfId="30172"/>
    <cellStyle name="20% - Accent4 3 2 2 8" xfId="10826"/>
    <cellStyle name="20% - Accent4 3 2 2 8 2" xfId="33686"/>
    <cellStyle name="20% - Accent4 3 2 2 9" xfId="12585"/>
    <cellStyle name="20% - Accent4 3 2 2 9 2" xfId="35444"/>
    <cellStyle name="20% - Accent4 3 2 3" xfId="381"/>
    <cellStyle name="20% - Accent4 3 2 3 2" xfId="822"/>
    <cellStyle name="20% - Accent4 3 2 3 2 2" xfId="1701"/>
    <cellStyle name="20% - Accent4 3 2 3 2 2 2" xfId="3462"/>
    <cellStyle name="20% - Accent4 3 2 3 2 2 2 2" xfId="6977"/>
    <cellStyle name="20% - Accent4 3 2 3 2 2 2 2 2" xfId="19281"/>
    <cellStyle name="20% - Accent4 3 2 3 2 2 2 2 2 2" xfId="42140"/>
    <cellStyle name="20% - Accent4 3 2 3 2 2 2 2 3" xfId="29838"/>
    <cellStyle name="20% - Accent4 3 2 3 2 2 2 3" xfId="10492"/>
    <cellStyle name="20% - Accent4 3 2 3 2 2 2 3 2" xfId="22796"/>
    <cellStyle name="20% - Accent4 3 2 3 2 2 2 3 2 2" xfId="45655"/>
    <cellStyle name="20% - Accent4 3 2 3 2 2 2 3 3" xfId="33353"/>
    <cellStyle name="20% - Accent4 3 2 3 2 2 2 4" xfId="15766"/>
    <cellStyle name="20% - Accent4 3 2 3 2 2 2 4 2" xfId="38625"/>
    <cellStyle name="20% - Accent4 3 2 3 2 2 2 5" xfId="26323"/>
    <cellStyle name="20% - Accent4 3 2 3 2 2 3" xfId="5219"/>
    <cellStyle name="20% - Accent4 3 2 3 2 2 3 2" xfId="17523"/>
    <cellStyle name="20% - Accent4 3 2 3 2 2 3 2 2" xfId="40382"/>
    <cellStyle name="20% - Accent4 3 2 3 2 2 3 3" xfId="28080"/>
    <cellStyle name="20% - Accent4 3 2 3 2 2 4" xfId="8734"/>
    <cellStyle name="20% - Accent4 3 2 3 2 2 4 2" xfId="21038"/>
    <cellStyle name="20% - Accent4 3 2 3 2 2 4 2 2" xfId="43897"/>
    <cellStyle name="20% - Accent4 3 2 3 2 2 4 3" xfId="31595"/>
    <cellStyle name="20% - Accent4 3 2 3 2 2 5" xfId="12249"/>
    <cellStyle name="20% - Accent4 3 2 3 2 2 5 2" xfId="35109"/>
    <cellStyle name="20% - Accent4 3 2 3 2 2 6" xfId="14008"/>
    <cellStyle name="20% - Accent4 3 2 3 2 2 6 2" xfId="36867"/>
    <cellStyle name="20% - Accent4 3 2 3 2 2 7" xfId="24564"/>
    <cellStyle name="20% - Accent4 3 2 3 2 3" xfId="2584"/>
    <cellStyle name="20% - Accent4 3 2 3 2 3 2" xfId="6099"/>
    <cellStyle name="20% - Accent4 3 2 3 2 3 2 2" xfId="18403"/>
    <cellStyle name="20% - Accent4 3 2 3 2 3 2 2 2" xfId="41262"/>
    <cellStyle name="20% - Accent4 3 2 3 2 3 2 3" xfId="28960"/>
    <cellStyle name="20% - Accent4 3 2 3 2 3 3" xfId="9614"/>
    <cellStyle name="20% - Accent4 3 2 3 2 3 3 2" xfId="21918"/>
    <cellStyle name="20% - Accent4 3 2 3 2 3 3 2 2" xfId="44777"/>
    <cellStyle name="20% - Accent4 3 2 3 2 3 3 3" xfId="32475"/>
    <cellStyle name="20% - Accent4 3 2 3 2 3 4" xfId="14888"/>
    <cellStyle name="20% - Accent4 3 2 3 2 3 4 2" xfId="37747"/>
    <cellStyle name="20% - Accent4 3 2 3 2 3 5" xfId="25445"/>
    <cellStyle name="20% - Accent4 3 2 3 2 4" xfId="4341"/>
    <cellStyle name="20% - Accent4 3 2 3 2 4 2" xfId="16645"/>
    <cellStyle name="20% - Accent4 3 2 3 2 4 2 2" xfId="39504"/>
    <cellStyle name="20% - Accent4 3 2 3 2 4 3" xfId="27202"/>
    <cellStyle name="20% - Accent4 3 2 3 2 5" xfId="7856"/>
    <cellStyle name="20% - Accent4 3 2 3 2 5 2" xfId="20160"/>
    <cellStyle name="20% - Accent4 3 2 3 2 5 2 2" xfId="43019"/>
    <cellStyle name="20% - Accent4 3 2 3 2 5 3" xfId="30717"/>
    <cellStyle name="20% - Accent4 3 2 3 2 6" xfId="11371"/>
    <cellStyle name="20% - Accent4 3 2 3 2 6 2" xfId="34231"/>
    <cellStyle name="20% - Accent4 3 2 3 2 7" xfId="13130"/>
    <cellStyle name="20% - Accent4 3 2 3 2 7 2" xfId="35989"/>
    <cellStyle name="20% - Accent4 3 2 3 2 8" xfId="23686"/>
    <cellStyle name="20% - Accent4 3 2 3 3" xfId="1262"/>
    <cellStyle name="20% - Accent4 3 2 3 3 2" xfId="3023"/>
    <cellStyle name="20% - Accent4 3 2 3 3 2 2" xfId="6538"/>
    <cellStyle name="20% - Accent4 3 2 3 3 2 2 2" xfId="18842"/>
    <cellStyle name="20% - Accent4 3 2 3 3 2 2 2 2" xfId="41701"/>
    <cellStyle name="20% - Accent4 3 2 3 3 2 2 3" xfId="29399"/>
    <cellStyle name="20% - Accent4 3 2 3 3 2 3" xfId="10053"/>
    <cellStyle name="20% - Accent4 3 2 3 3 2 3 2" xfId="22357"/>
    <cellStyle name="20% - Accent4 3 2 3 3 2 3 2 2" xfId="45216"/>
    <cellStyle name="20% - Accent4 3 2 3 3 2 3 3" xfId="32914"/>
    <cellStyle name="20% - Accent4 3 2 3 3 2 4" xfId="15327"/>
    <cellStyle name="20% - Accent4 3 2 3 3 2 4 2" xfId="38186"/>
    <cellStyle name="20% - Accent4 3 2 3 3 2 5" xfId="25884"/>
    <cellStyle name="20% - Accent4 3 2 3 3 3" xfId="4780"/>
    <cellStyle name="20% - Accent4 3 2 3 3 3 2" xfId="17084"/>
    <cellStyle name="20% - Accent4 3 2 3 3 3 2 2" xfId="39943"/>
    <cellStyle name="20% - Accent4 3 2 3 3 3 3" xfId="27641"/>
    <cellStyle name="20% - Accent4 3 2 3 3 4" xfId="8295"/>
    <cellStyle name="20% - Accent4 3 2 3 3 4 2" xfId="20599"/>
    <cellStyle name="20% - Accent4 3 2 3 3 4 2 2" xfId="43458"/>
    <cellStyle name="20% - Accent4 3 2 3 3 4 3" xfId="31156"/>
    <cellStyle name="20% - Accent4 3 2 3 3 5" xfId="11810"/>
    <cellStyle name="20% - Accent4 3 2 3 3 5 2" xfId="34670"/>
    <cellStyle name="20% - Accent4 3 2 3 3 6" xfId="13569"/>
    <cellStyle name="20% - Accent4 3 2 3 3 6 2" xfId="36428"/>
    <cellStyle name="20% - Accent4 3 2 3 3 7" xfId="24125"/>
    <cellStyle name="20% - Accent4 3 2 3 4" xfId="2145"/>
    <cellStyle name="20% - Accent4 3 2 3 4 2" xfId="5660"/>
    <cellStyle name="20% - Accent4 3 2 3 4 2 2" xfId="17964"/>
    <cellStyle name="20% - Accent4 3 2 3 4 2 2 2" xfId="40823"/>
    <cellStyle name="20% - Accent4 3 2 3 4 2 3" xfId="28521"/>
    <cellStyle name="20% - Accent4 3 2 3 4 3" xfId="9175"/>
    <cellStyle name="20% - Accent4 3 2 3 4 3 2" xfId="21479"/>
    <cellStyle name="20% - Accent4 3 2 3 4 3 2 2" xfId="44338"/>
    <cellStyle name="20% - Accent4 3 2 3 4 3 3" xfId="32036"/>
    <cellStyle name="20% - Accent4 3 2 3 4 4" xfId="14449"/>
    <cellStyle name="20% - Accent4 3 2 3 4 4 2" xfId="37308"/>
    <cellStyle name="20% - Accent4 3 2 3 4 5" xfId="25006"/>
    <cellStyle name="20% - Accent4 3 2 3 5" xfId="3902"/>
    <cellStyle name="20% - Accent4 3 2 3 5 2" xfId="16206"/>
    <cellStyle name="20% - Accent4 3 2 3 5 2 2" xfId="39065"/>
    <cellStyle name="20% - Accent4 3 2 3 5 3" xfId="26763"/>
    <cellStyle name="20% - Accent4 3 2 3 6" xfId="7417"/>
    <cellStyle name="20% - Accent4 3 2 3 6 2" xfId="19721"/>
    <cellStyle name="20% - Accent4 3 2 3 6 2 2" xfId="42580"/>
    <cellStyle name="20% - Accent4 3 2 3 6 3" xfId="30278"/>
    <cellStyle name="20% - Accent4 3 2 3 7" xfId="10932"/>
    <cellStyle name="20% - Accent4 3 2 3 7 2" xfId="33792"/>
    <cellStyle name="20% - Accent4 3 2 3 8" xfId="12691"/>
    <cellStyle name="20% - Accent4 3 2 3 8 2" xfId="35550"/>
    <cellStyle name="20% - Accent4 3 2 3 9" xfId="23246"/>
    <cellStyle name="20% - Accent4 3 2 4" xfId="610"/>
    <cellStyle name="20% - Accent4 3 2 4 2" xfId="1489"/>
    <cellStyle name="20% - Accent4 3 2 4 2 2" xfId="3250"/>
    <cellStyle name="20% - Accent4 3 2 4 2 2 2" xfId="6765"/>
    <cellStyle name="20% - Accent4 3 2 4 2 2 2 2" xfId="19069"/>
    <cellStyle name="20% - Accent4 3 2 4 2 2 2 2 2" xfId="41928"/>
    <cellStyle name="20% - Accent4 3 2 4 2 2 2 3" xfId="29626"/>
    <cellStyle name="20% - Accent4 3 2 4 2 2 3" xfId="10280"/>
    <cellStyle name="20% - Accent4 3 2 4 2 2 3 2" xfId="22584"/>
    <cellStyle name="20% - Accent4 3 2 4 2 2 3 2 2" xfId="45443"/>
    <cellStyle name="20% - Accent4 3 2 4 2 2 3 3" xfId="33141"/>
    <cellStyle name="20% - Accent4 3 2 4 2 2 4" xfId="15554"/>
    <cellStyle name="20% - Accent4 3 2 4 2 2 4 2" xfId="38413"/>
    <cellStyle name="20% - Accent4 3 2 4 2 2 5" xfId="26111"/>
    <cellStyle name="20% - Accent4 3 2 4 2 3" xfId="5007"/>
    <cellStyle name="20% - Accent4 3 2 4 2 3 2" xfId="17311"/>
    <cellStyle name="20% - Accent4 3 2 4 2 3 2 2" xfId="40170"/>
    <cellStyle name="20% - Accent4 3 2 4 2 3 3" xfId="27868"/>
    <cellStyle name="20% - Accent4 3 2 4 2 4" xfId="8522"/>
    <cellStyle name="20% - Accent4 3 2 4 2 4 2" xfId="20826"/>
    <cellStyle name="20% - Accent4 3 2 4 2 4 2 2" xfId="43685"/>
    <cellStyle name="20% - Accent4 3 2 4 2 4 3" xfId="31383"/>
    <cellStyle name="20% - Accent4 3 2 4 2 5" xfId="12037"/>
    <cellStyle name="20% - Accent4 3 2 4 2 5 2" xfId="34897"/>
    <cellStyle name="20% - Accent4 3 2 4 2 6" xfId="13796"/>
    <cellStyle name="20% - Accent4 3 2 4 2 6 2" xfId="36655"/>
    <cellStyle name="20% - Accent4 3 2 4 2 7" xfId="24352"/>
    <cellStyle name="20% - Accent4 3 2 4 3" xfId="2372"/>
    <cellStyle name="20% - Accent4 3 2 4 3 2" xfId="5887"/>
    <cellStyle name="20% - Accent4 3 2 4 3 2 2" xfId="18191"/>
    <cellStyle name="20% - Accent4 3 2 4 3 2 2 2" xfId="41050"/>
    <cellStyle name="20% - Accent4 3 2 4 3 2 3" xfId="28748"/>
    <cellStyle name="20% - Accent4 3 2 4 3 3" xfId="9402"/>
    <cellStyle name="20% - Accent4 3 2 4 3 3 2" xfId="21706"/>
    <cellStyle name="20% - Accent4 3 2 4 3 3 2 2" xfId="44565"/>
    <cellStyle name="20% - Accent4 3 2 4 3 3 3" xfId="32263"/>
    <cellStyle name="20% - Accent4 3 2 4 3 4" xfId="14676"/>
    <cellStyle name="20% - Accent4 3 2 4 3 4 2" xfId="37535"/>
    <cellStyle name="20% - Accent4 3 2 4 3 5" xfId="25233"/>
    <cellStyle name="20% - Accent4 3 2 4 4" xfId="4129"/>
    <cellStyle name="20% - Accent4 3 2 4 4 2" xfId="16433"/>
    <cellStyle name="20% - Accent4 3 2 4 4 2 2" xfId="39292"/>
    <cellStyle name="20% - Accent4 3 2 4 4 3" xfId="26990"/>
    <cellStyle name="20% - Accent4 3 2 4 5" xfId="7644"/>
    <cellStyle name="20% - Accent4 3 2 4 5 2" xfId="19948"/>
    <cellStyle name="20% - Accent4 3 2 4 5 2 2" xfId="42807"/>
    <cellStyle name="20% - Accent4 3 2 4 5 3" xfId="30505"/>
    <cellStyle name="20% - Accent4 3 2 4 6" xfId="11159"/>
    <cellStyle name="20% - Accent4 3 2 4 6 2" xfId="34019"/>
    <cellStyle name="20% - Accent4 3 2 4 7" xfId="12918"/>
    <cellStyle name="20% - Accent4 3 2 4 7 2" xfId="35777"/>
    <cellStyle name="20% - Accent4 3 2 4 8" xfId="23474"/>
    <cellStyle name="20% - Accent4 3 2 5" xfId="1050"/>
    <cellStyle name="20% - Accent4 3 2 5 2" xfId="2811"/>
    <cellStyle name="20% - Accent4 3 2 5 2 2" xfId="6326"/>
    <cellStyle name="20% - Accent4 3 2 5 2 2 2" xfId="18630"/>
    <cellStyle name="20% - Accent4 3 2 5 2 2 2 2" xfId="41489"/>
    <cellStyle name="20% - Accent4 3 2 5 2 2 3" xfId="29187"/>
    <cellStyle name="20% - Accent4 3 2 5 2 3" xfId="9841"/>
    <cellStyle name="20% - Accent4 3 2 5 2 3 2" xfId="22145"/>
    <cellStyle name="20% - Accent4 3 2 5 2 3 2 2" xfId="45004"/>
    <cellStyle name="20% - Accent4 3 2 5 2 3 3" xfId="32702"/>
    <cellStyle name="20% - Accent4 3 2 5 2 4" xfId="15115"/>
    <cellStyle name="20% - Accent4 3 2 5 2 4 2" xfId="37974"/>
    <cellStyle name="20% - Accent4 3 2 5 2 5" xfId="25672"/>
    <cellStyle name="20% - Accent4 3 2 5 3" xfId="4568"/>
    <cellStyle name="20% - Accent4 3 2 5 3 2" xfId="16872"/>
    <cellStyle name="20% - Accent4 3 2 5 3 2 2" xfId="39731"/>
    <cellStyle name="20% - Accent4 3 2 5 3 3" xfId="27429"/>
    <cellStyle name="20% - Accent4 3 2 5 4" xfId="8083"/>
    <cellStyle name="20% - Accent4 3 2 5 4 2" xfId="20387"/>
    <cellStyle name="20% - Accent4 3 2 5 4 2 2" xfId="43246"/>
    <cellStyle name="20% - Accent4 3 2 5 4 3" xfId="30944"/>
    <cellStyle name="20% - Accent4 3 2 5 5" xfId="11598"/>
    <cellStyle name="20% - Accent4 3 2 5 5 2" xfId="34458"/>
    <cellStyle name="20% - Accent4 3 2 5 6" xfId="13357"/>
    <cellStyle name="20% - Accent4 3 2 5 6 2" xfId="36216"/>
    <cellStyle name="20% - Accent4 3 2 5 7" xfId="23913"/>
    <cellStyle name="20% - Accent4 3 2 6" xfId="1933"/>
    <cellStyle name="20% - Accent4 3 2 6 2" xfId="5448"/>
    <cellStyle name="20% - Accent4 3 2 6 2 2" xfId="17752"/>
    <cellStyle name="20% - Accent4 3 2 6 2 2 2" xfId="40611"/>
    <cellStyle name="20% - Accent4 3 2 6 2 3" xfId="28309"/>
    <cellStyle name="20% - Accent4 3 2 6 3" xfId="8963"/>
    <cellStyle name="20% - Accent4 3 2 6 3 2" xfId="21267"/>
    <cellStyle name="20% - Accent4 3 2 6 3 2 2" xfId="44126"/>
    <cellStyle name="20% - Accent4 3 2 6 3 3" xfId="31824"/>
    <cellStyle name="20% - Accent4 3 2 6 4" xfId="14237"/>
    <cellStyle name="20% - Accent4 3 2 6 4 2" xfId="37096"/>
    <cellStyle name="20% - Accent4 3 2 6 5" xfId="24794"/>
    <cellStyle name="20% - Accent4 3 2 7" xfId="3690"/>
    <cellStyle name="20% - Accent4 3 2 7 2" xfId="15994"/>
    <cellStyle name="20% - Accent4 3 2 7 2 2" xfId="38853"/>
    <cellStyle name="20% - Accent4 3 2 7 3" xfId="26551"/>
    <cellStyle name="20% - Accent4 3 2 8" xfId="7205"/>
    <cellStyle name="20% - Accent4 3 2 8 2" xfId="19509"/>
    <cellStyle name="20% - Accent4 3 2 8 2 2" xfId="42368"/>
    <cellStyle name="20% - Accent4 3 2 8 3" xfId="30066"/>
    <cellStyle name="20% - Accent4 3 2 9" xfId="10720"/>
    <cellStyle name="20% - Accent4 3 2 9 2" xfId="33580"/>
    <cellStyle name="20% - Accent4 3 3" xfId="221"/>
    <cellStyle name="20% - Accent4 3 3 10" xfId="23086"/>
    <cellStyle name="20% - Accent4 3 3 2" xfId="433"/>
    <cellStyle name="20% - Accent4 3 3 2 2" xfId="874"/>
    <cellStyle name="20% - Accent4 3 3 2 2 2" xfId="1753"/>
    <cellStyle name="20% - Accent4 3 3 2 2 2 2" xfId="3514"/>
    <cellStyle name="20% - Accent4 3 3 2 2 2 2 2" xfId="7029"/>
    <cellStyle name="20% - Accent4 3 3 2 2 2 2 2 2" xfId="19333"/>
    <cellStyle name="20% - Accent4 3 3 2 2 2 2 2 2 2" xfId="42192"/>
    <cellStyle name="20% - Accent4 3 3 2 2 2 2 2 3" xfId="29890"/>
    <cellStyle name="20% - Accent4 3 3 2 2 2 2 3" xfId="10544"/>
    <cellStyle name="20% - Accent4 3 3 2 2 2 2 3 2" xfId="22848"/>
    <cellStyle name="20% - Accent4 3 3 2 2 2 2 3 2 2" xfId="45707"/>
    <cellStyle name="20% - Accent4 3 3 2 2 2 2 3 3" xfId="33405"/>
    <cellStyle name="20% - Accent4 3 3 2 2 2 2 4" xfId="15818"/>
    <cellStyle name="20% - Accent4 3 3 2 2 2 2 4 2" xfId="38677"/>
    <cellStyle name="20% - Accent4 3 3 2 2 2 2 5" xfId="26375"/>
    <cellStyle name="20% - Accent4 3 3 2 2 2 3" xfId="5271"/>
    <cellStyle name="20% - Accent4 3 3 2 2 2 3 2" xfId="17575"/>
    <cellStyle name="20% - Accent4 3 3 2 2 2 3 2 2" xfId="40434"/>
    <cellStyle name="20% - Accent4 3 3 2 2 2 3 3" xfId="28132"/>
    <cellStyle name="20% - Accent4 3 3 2 2 2 4" xfId="8786"/>
    <cellStyle name="20% - Accent4 3 3 2 2 2 4 2" xfId="21090"/>
    <cellStyle name="20% - Accent4 3 3 2 2 2 4 2 2" xfId="43949"/>
    <cellStyle name="20% - Accent4 3 3 2 2 2 4 3" xfId="31647"/>
    <cellStyle name="20% - Accent4 3 3 2 2 2 5" xfId="12301"/>
    <cellStyle name="20% - Accent4 3 3 2 2 2 5 2" xfId="35161"/>
    <cellStyle name="20% - Accent4 3 3 2 2 2 6" xfId="14060"/>
    <cellStyle name="20% - Accent4 3 3 2 2 2 6 2" xfId="36919"/>
    <cellStyle name="20% - Accent4 3 3 2 2 2 7" xfId="24616"/>
    <cellStyle name="20% - Accent4 3 3 2 2 3" xfId="2636"/>
    <cellStyle name="20% - Accent4 3 3 2 2 3 2" xfId="6151"/>
    <cellStyle name="20% - Accent4 3 3 2 2 3 2 2" xfId="18455"/>
    <cellStyle name="20% - Accent4 3 3 2 2 3 2 2 2" xfId="41314"/>
    <cellStyle name="20% - Accent4 3 3 2 2 3 2 3" xfId="29012"/>
    <cellStyle name="20% - Accent4 3 3 2 2 3 3" xfId="9666"/>
    <cellStyle name="20% - Accent4 3 3 2 2 3 3 2" xfId="21970"/>
    <cellStyle name="20% - Accent4 3 3 2 2 3 3 2 2" xfId="44829"/>
    <cellStyle name="20% - Accent4 3 3 2 2 3 3 3" xfId="32527"/>
    <cellStyle name="20% - Accent4 3 3 2 2 3 4" xfId="14940"/>
    <cellStyle name="20% - Accent4 3 3 2 2 3 4 2" xfId="37799"/>
    <cellStyle name="20% - Accent4 3 3 2 2 3 5" xfId="25497"/>
    <cellStyle name="20% - Accent4 3 3 2 2 4" xfId="4393"/>
    <cellStyle name="20% - Accent4 3 3 2 2 4 2" xfId="16697"/>
    <cellStyle name="20% - Accent4 3 3 2 2 4 2 2" xfId="39556"/>
    <cellStyle name="20% - Accent4 3 3 2 2 4 3" xfId="27254"/>
    <cellStyle name="20% - Accent4 3 3 2 2 5" xfId="7908"/>
    <cellStyle name="20% - Accent4 3 3 2 2 5 2" xfId="20212"/>
    <cellStyle name="20% - Accent4 3 3 2 2 5 2 2" xfId="43071"/>
    <cellStyle name="20% - Accent4 3 3 2 2 5 3" xfId="30769"/>
    <cellStyle name="20% - Accent4 3 3 2 2 6" xfId="11423"/>
    <cellStyle name="20% - Accent4 3 3 2 2 6 2" xfId="34283"/>
    <cellStyle name="20% - Accent4 3 3 2 2 7" xfId="13182"/>
    <cellStyle name="20% - Accent4 3 3 2 2 7 2" xfId="36041"/>
    <cellStyle name="20% - Accent4 3 3 2 2 8" xfId="23738"/>
    <cellStyle name="20% - Accent4 3 3 2 3" xfId="1314"/>
    <cellStyle name="20% - Accent4 3 3 2 3 2" xfId="3075"/>
    <cellStyle name="20% - Accent4 3 3 2 3 2 2" xfId="6590"/>
    <cellStyle name="20% - Accent4 3 3 2 3 2 2 2" xfId="18894"/>
    <cellStyle name="20% - Accent4 3 3 2 3 2 2 2 2" xfId="41753"/>
    <cellStyle name="20% - Accent4 3 3 2 3 2 2 3" xfId="29451"/>
    <cellStyle name="20% - Accent4 3 3 2 3 2 3" xfId="10105"/>
    <cellStyle name="20% - Accent4 3 3 2 3 2 3 2" xfId="22409"/>
    <cellStyle name="20% - Accent4 3 3 2 3 2 3 2 2" xfId="45268"/>
    <cellStyle name="20% - Accent4 3 3 2 3 2 3 3" xfId="32966"/>
    <cellStyle name="20% - Accent4 3 3 2 3 2 4" xfId="15379"/>
    <cellStyle name="20% - Accent4 3 3 2 3 2 4 2" xfId="38238"/>
    <cellStyle name="20% - Accent4 3 3 2 3 2 5" xfId="25936"/>
    <cellStyle name="20% - Accent4 3 3 2 3 3" xfId="4832"/>
    <cellStyle name="20% - Accent4 3 3 2 3 3 2" xfId="17136"/>
    <cellStyle name="20% - Accent4 3 3 2 3 3 2 2" xfId="39995"/>
    <cellStyle name="20% - Accent4 3 3 2 3 3 3" xfId="27693"/>
    <cellStyle name="20% - Accent4 3 3 2 3 4" xfId="8347"/>
    <cellStyle name="20% - Accent4 3 3 2 3 4 2" xfId="20651"/>
    <cellStyle name="20% - Accent4 3 3 2 3 4 2 2" xfId="43510"/>
    <cellStyle name="20% - Accent4 3 3 2 3 4 3" xfId="31208"/>
    <cellStyle name="20% - Accent4 3 3 2 3 5" xfId="11862"/>
    <cellStyle name="20% - Accent4 3 3 2 3 5 2" xfId="34722"/>
    <cellStyle name="20% - Accent4 3 3 2 3 6" xfId="13621"/>
    <cellStyle name="20% - Accent4 3 3 2 3 6 2" xfId="36480"/>
    <cellStyle name="20% - Accent4 3 3 2 3 7" xfId="24177"/>
    <cellStyle name="20% - Accent4 3 3 2 4" xfId="2197"/>
    <cellStyle name="20% - Accent4 3 3 2 4 2" xfId="5712"/>
    <cellStyle name="20% - Accent4 3 3 2 4 2 2" xfId="18016"/>
    <cellStyle name="20% - Accent4 3 3 2 4 2 2 2" xfId="40875"/>
    <cellStyle name="20% - Accent4 3 3 2 4 2 3" xfId="28573"/>
    <cellStyle name="20% - Accent4 3 3 2 4 3" xfId="9227"/>
    <cellStyle name="20% - Accent4 3 3 2 4 3 2" xfId="21531"/>
    <cellStyle name="20% - Accent4 3 3 2 4 3 2 2" xfId="44390"/>
    <cellStyle name="20% - Accent4 3 3 2 4 3 3" xfId="32088"/>
    <cellStyle name="20% - Accent4 3 3 2 4 4" xfId="14501"/>
    <cellStyle name="20% - Accent4 3 3 2 4 4 2" xfId="37360"/>
    <cellStyle name="20% - Accent4 3 3 2 4 5" xfId="25058"/>
    <cellStyle name="20% - Accent4 3 3 2 5" xfId="3954"/>
    <cellStyle name="20% - Accent4 3 3 2 5 2" xfId="16258"/>
    <cellStyle name="20% - Accent4 3 3 2 5 2 2" xfId="39117"/>
    <cellStyle name="20% - Accent4 3 3 2 5 3" xfId="26815"/>
    <cellStyle name="20% - Accent4 3 3 2 6" xfId="7469"/>
    <cellStyle name="20% - Accent4 3 3 2 6 2" xfId="19773"/>
    <cellStyle name="20% - Accent4 3 3 2 6 2 2" xfId="42632"/>
    <cellStyle name="20% - Accent4 3 3 2 6 3" xfId="30330"/>
    <cellStyle name="20% - Accent4 3 3 2 7" xfId="10984"/>
    <cellStyle name="20% - Accent4 3 3 2 7 2" xfId="33844"/>
    <cellStyle name="20% - Accent4 3 3 2 8" xfId="12743"/>
    <cellStyle name="20% - Accent4 3 3 2 8 2" xfId="35602"/>
    <cellStyle name="20% - Accent4 3 3 2 9" xfId="23298"/>
    <cellStyle name="20% - Accent4 3 3 3" xfId="662"/>
    <cellStyle name="20% - Accent4 3 3 3 2" xfId="1541"/>
    <cellStyle name="20% - Accent4 3 3 3 2 2" xfId="3302"/>
    <cellStyle name="20% - Accent4 3 3 3 2 2 2" xfId="6817"/>
    <cellStyle name="20% - Accent4 3 3 3 2 2 2 2" xfId="19121"/>
    <cellStyle name="20% - Accent4 3 3 3 2 2 2 2 2" xfId="41980"/>
    <cellStyle name="20% - Accent4 3 3 3 2 2 2 3" xfId="29678"/>
    <cellStyle name="20% - Accent4 3 3 3 2 2 3" xfId="10332"/>
    <cellStyle name="20% - Accent4 3 3 3 2 2 3 2" xfId="22636"/>
    <cellStyle name="20% - Accent4 3 3 3 2 2 3 2 2" xfId="45495"/>
    <cellStyle name="20% - Accent4 3 3 3 2 2 3 3" xfId="33193"/>
    <cellStyle name="20% - Accent4 3 3 3 2 2 4" xfId="15606"/>
    <cellStyle name="20% - Accent4 3 3 3 2 2 4 2" xfId="38465"/>
    <cellStyle name="20% - Accent4 3 3 3 2 2 5" xfId="26163"/>
    <cellStyle name="20% - Accent4 3 3 3 2 3" xfId="5059"/>
    <cellStyle name="20% - Accent4 3 3 3 2 3 2" xfId="17363"/>
    <cellStyle name="20% - Accent4 3 3 3 2 3 2 2" xfId="40222"/>
    <cellStyle name="20% - Accent4 3 3 3 2 3 3" xfId="27920"/>
    <cellStyle name="20% - Accent4 3 3 3 2 4" xfId="8574"/>
    <cellStyle name="20% - Accent4 3 3 3 2 4 2" xfId="20878"/>
    <cellStyle name="20% - Accent4 3 3 3 2 4 2 2" xfId="43737"/>
    <cellStyle name="20% - Accent4 3 3 3 2 4 3" xfId="31435"/>
    <cellStyle name="20% - Accent4 3 3 3 2 5" xfId="12089"/>
    <cellStyle name="20% - Accent4 3 3 3 2 5 2" xfId="34949"/>
    <cellStyle name="20% - Accent4 3 3 3 2 6" xfId="13848"/>
    <cellStyle name="20% - Accent4 3 3 3 2 6 2" xfId="36707"/>
    <cellStyle name="20% - Accent4 3 3 3 2 7" xfId="24404"/>
    <cellStyle name="20% - Accent4 3 3 3 3" xfId="2424"/>
    <cellStyle name="20% - Accent4 3 3 3 3 2" xfId="5939"/>
    <cellStyle name="20% - Accent4 3 3 3 3 2 2" xfId="18243"/>
    <cellStyle name="20% - Accent4 3 3 3 3 2 2 2" xfId="41102"/>
    <cellStyle name="20% - Accent4 3 3 3 3 2 3" xfId="28800"/>
    <cellStyle name="20% - Accent4 3 3 3 3 3" xfId="9454"/>
    <cellStyle name="20% - Accent4 3 3 3 3 3 2" xfId="21758"/>
    <cellStyle name="20% - Accent4 3 3 3 3 3 2 2" xfId="44617"/>
    <cellStyle name="20% - Accent4 3 3 3 3 3 3" xfId="32315"/>
    <cellStyle name="20% - Accent4 3 3 3 3 4" xfId="14728"/>
    <cellStyle name="20% - Accent4 3 3 3 3 4 2" xfId="37587"/>
    <cellStyle name="20% - Accent4 3 3 3 3 5" xfId="25285"/>
    <cellStyle name="20% - Accent4 3 3 3 4" xfId="4181"/>
    <cellStyle name="20% - Accent4 3 3 3 4 2" xfId="16485"/>
    <cellStyle name="20% - Accent4 3 3 3 4 2 2" xfId="39344"/>
    <cellStyle name="20% - Accent4 3 3 3 4 3" xfId="27042"/>
    <cellStyle name="20% - Accent4 3 3 3 5" xfId="7696"/>
    <cellStyle name="20% - Accent4 3 3 3 5 2" xfId="20000"/>
    <cellStyle name="20% - Accent4 3 3 3 5 2 2" xfId="42859"/>
    <cellStyle name="20% - Accent4 3 3 3 5 3" xfId="30557"/>
    <cellStyle name="20% - Accent4 3 3 3 6" xfId="11211"/>
    <cellStyle name="20% - Accent4 3 3 3 6 2" xfId="34071"/>
    <cellStyle name="20% - Accent4 3 3 3 7" xfId="12970"/>
    <cellStyle name="20% - Accent4 3 3 3 7 2" xfId="35829"/>
    <cellStyle name="20% - Accent4 3 3 3 8" xfId="23526"/>
    <cellStyle name="20% - Accent4 3 3 4" xfId="1102"/>
    <cellStyle name="20% - Accent4 3 3 4 2" xfId="2863"/>
    <cellStyle name="20% - Accent4 3 3 4 2 2" xfId="6378"/>
    <cellStyle name="20% - Accent4 3 3 4 2 2 2" xfId="18682"/>
    <cellStyle name="20% - Accent4 3 3 4 2 2 2 2" xfId="41541"/>
    <cellStyle name="20% - Accent4 3 3 4 2 2 3" xfId="29239"/>
    <cellStyle name="20% - Accent4 3 3 4 2 3" xfId="9893"/>
    <cellStyle name="20% - Accent4 3 3 4 2 3 2" xfId="22197"/>
    <cellStyle name="20% - Accent4 3 3 4 2 3 2 2" xfId="45056"/>
    <cellStyle name="20% - Accent4 3 3 4 2 3 3" xfId="32754"/>
    <cellStyle name="20% - Accent4 3 3 4 2 4" xfId="15167"/>
    <cellStyle name="20% - Accent4 3 3 4 2 4 2" xfId="38026"/>
    <cellStyle name="20% - Accent4 3 3 4 2 5" xfId="25724"/>
    <cellStyle name="20% - Accent4 3 3 4 3" xfId="4620"/>
    <cellStyle name="20% - Accent4 3 3 4 3 2" xfId="16924"/>
    <cellStyle name="20% - Accent4 3 3 4 3 2 2" xfId="39783"/>
    <cellStyle name="20% - Accent4 3 3 4 3 3" xfId="27481"/>
    <cellStyle name="20% - Accent4 3 3 4 4" xfId="8135"/>
    <cellStyle name="20% - Accent4 3 3 4 4 2" xfId="20439"/>
    <cellStyle name="20% - Accent4 3 3 4 4 2 2" xfId="43298"/>
    <cellStyle name="20% - Accent4 3 3 4 4 3" xfId="30996"/>
    <cellStyle name="20% - Accent4 3 3 4 5" xfId="11650"/>
    <cellStyle name="20% - Accent4 3 3 4 5 2" xfId="34510"/>
    <cellStyle name="20% - Accent4 3 3 4 6" xfId="13409"/>
    <cellStyle name="20% - Accent4 3 3 4 6 2" xfId="36268"/>
    <cellStyle name="20% - Accent4 3 3 4 7" xfId="23965"/>
    <cellStyle name="20% - Accent4 3 3 5" xfId="1985"/>
    <cellStyle name="20% - Accent4 3 3 5 2" xfId="5500"/>
    <cellStyle name="20% - Accent4 3 3 5 2 2" xfId="17804"/>
    <cellStyle name="20% - Accent4 3 3 5 2 2 2" xfId="40663"/>
    <cellStyle name="20% - Accent4 3 3 5 2 3" xfId="28361"/>
    <cellStyle name="20% - Accent4 3 3 5 3" xfId="9015"/>
    <cellStyle name="20% - Accent4 3 3 5 3 2" xfId="21319"/>
    <cellStyle name="20% - Accent4 3 3 5 3 2 2" xfId="44178"/>
    <cellStyle name="20% - Accent4 3 3 5 3 3" xfId="31876"/>
    <cellStyle name="20% - Accent4 3 3 5 4" xfId="14289"/>
    <cellStyle name="20% - Accent4 3 3 5 4 2" xfId="37148"/>
    <cellStyle name="20% - Accent4 3 3 5 5" xfId="24846"/>
    <cellStyle name="20% - Accent4 3 3 6" xfId="3742"/>
    <cellStyle name="20% - Accent4 3 3 6 2" xfId="16046"/>
    <cellStyle name="20% - Accent4 3 3 6 2 2" xfId="38905"/>
    <cellStyle name="20% - Accent4 3 3 6 3" xfId="26603"/>
    <cellStyle name="20% - Accent4 3 3 7" xfId="7257"/>
    <cellStyle name="20% - Accent4 3 3 7 2" xfId="19561"/>
    <cellStyle name="20% - Accent4 3 3 7 2 2" xfId="42420"/>
    <cellStyle name="20% - Accent4 3 3 7 3" xfId="30118"/>
    <cellStyle name="20% - Accent4 3 3 8" xfId="10772"/>
    <cellStyle name="20% - Accent4 3 3 8 2" xfId="33632"/>
    <cellStyle name="20% - Accent4 3 3 9" xfId="12531"/>
    <cellStyle name="20% - Accent4 3 3 9 2" xfId="35390"/>
    <cellStyle name="20% - Accent4 3 4" xfId="327"/>
    <cellStyle name="20% - Accent4 3 4 2" xfId="768"/>
    <cellStyle name="20% - Accent4 3 4 2 2" xfId="1647"/>
    <cellStyle name="20% - Accent4 3 4 2 2 2" xfId="3408"/>
    <cellStyle name="20% - Accent4 3 4 2 2 2 2" xfId="6923"/>
    <cellStyle name="20% - Accent4 3 4 2 2 2 2 2" xfId="19227"/>
    <cellStyle name="20% - Accent4 3 4 2 2 2 2 2 2" xfId="42086"/>
    <cellStyle name="20% - Accent4 3 4 2 2 2 2 3" xfId="29784"/>
    <cellStyle name="20% - Accent4 3 4 2 2 2 3" xfId="10438"/>
    <cellStyle name="20% - Accent4 3 4 2 2 2 3 2" xfId="22742"/>
    <cellStyle name="20% - Accent4 3 4 2 2 2 3 2 2" xfId="45601"/>
    <cellStyle name="20% - Accent4 3 4 2 2 2 3 3" xfId="33299"/>
    <cellStyle name="20% - Accent4 3 4 2 2 2 4" xfId="15712"/>
    <cellStyle name="20% - Accent4 3 4 2 2 2 4 2" xfId="38571"/>
    <cellStyle name="20% - Accent4 3 4 2 2 2 5" xfId="26269"/>
    <cellStyle name="20% - Accent4 3 4 2 2 3" xfId="5165"/>
    <cellStyle name="20% - Accent4 3 4 2 2 3 2" xfId="17469"/>
    <cellStyle name="20% - Accent4 3 4 2 2 3 2 2" xfId="40328"/>
    <cellStyle name="20% - Accent4 3 4 2 2 3 3" xfId="28026"/>
    <cellStyle name="20% - Accent4 3 4 2 2 4" xfId="8680"/>
    <cellStyle name="20% - Accent4 3 4 2 2 4 2" xfId="20984"/>
    <cellStyle name="20% - Accent4 3 4 2 2 4 2 2" xfId="43843"/>
    <cellStyle name="20% - Accent4 3 4 2 2 4 3" xfId="31541"/>
    <cellStyle name="20% - Accent4 3 4 2 2 5" xfId="12195"/>
    <cellStyle name="20% - Accent4 3 4 2 2 5 2" xfId="35055"/>
    <cellStyle name="20% - Accent4 3 4 2 2 6" xfId="13954"/>
    <cellStyle name="20% - Accent4 3 4 2 2 6 2" xfId="36813"/>
    <cellStyle name="20% - Accent4 3 4 2 2 7" xfId="24510"/>
    <cellStyle name="20% - Accent4 3 4 2 3" xfId="2530"/>
    <cellStyle name="20% - Accent4 3 4 2 3 2" xfId="6045"/>
    <cellStyle name="20% - Accent4 3 4 2 3 2 2" xfId="18349"/>
    <cellStyle name="20% - Accent4 3 4 2 3 2 2 2" xfId="41208"/>
    <cellStyle name="20% - Accent4 3 4 2 3 2 3" xfId="28906"/>
    <cellStyle name="20% - Accent4 3 4 2 3 3" xfId="9560"/>
    <cellStyle name="20% - Accent4 3 4 2 3 3 2" xfId="21864"/>
    <cellStyle name="20% - Accent4 3 4 2 3 3 2 2" xfId="44723"/>
    <cellStyle name="20% - Accent4 3 4 2 3 3 3" xfId="32421"/>
    <cellStyle name="20% - Accent4 3 4 2 3 4" xfId="14834"/>
    <cellStyle name="20% - Accent4 3 4 2 3 4 2" xfId="37693"/>
    <cellStyle name="20% - Accent4 3 4 2 3 5" xfId="25391"/>
    <cellStyle name="20% - Accent4 3 4 2 4" xfId="4287"/>
    <cellStyle name="20% - Accent4 3 4 2 4 2" xfId="16591"/>
    <cellStyle name="20% - Accent4 3 4 2 4 2 2" xfId="39450"/>
    <cellStyle name="20% - Accent4 3 4 2 4 3" xfId="27148"/>
    <cellStyle name="20% - Accent4 3 4 2 5" xfId="7802"/>
    <cellStyle name="20% - Accent4 3 4 2 5 2" xfId="20106"/>
    <cellStyle name="20% - Accent4 3 4 2 5 2 2" xfId="42965"/>
    <cellStyle name="20% - Accent4 3 4 2 5 3" xfId="30663"/>
    <cellStyle name="20% - Accent4 3 4 2 6" xfId="11317"/>
    <cellStyle name="20% - Accent4 3 4 2 6 2" xfId="34177"/>
    <cellStyle name="20% - Accent4 3 4 2 7" xfId="13076"/>
    <cellStyle name="20% - Accent4 3 4 2 7 2" xfId="35935"/>
    <cellStyle name="20% - Accent4 3 4 2 8" xfId="23632"/>
    <cellStyle name="20% - Accent4 3 4 3" xfId="1208"/>
    <cellStyle name="20% - Accent4 3 4 3 2" xfId="2969"/>
    <cellStyle name="20% - Accent4 3 4 3 2 2" xfId="6484"/>
    <cellStyle name="20% - Accent4 3 4 3 2 2 2" xfId="18788"/>
    <cellStyle name="20% - Accent4 3 4 3 2 2 2 2" xfId="41647"/>
    <cellStyle name="20% - Accent4 3 4 3 2 2 3" xfId="29345"/>
    <cellStyle name="20% - Accent4 3 4 3 2 3" xfId="9999"/>
    <cellStyle name="20% - Accent4 3 4 3 2 3 2" xfId="22303"/>
    <cellStyle name="20% - Accent4 3 4 3 2 3 2 2" xfId="45162"/>
    <cellStyle name="20% - Accent4 3 4 3 2 3 3" xfId="32860"/>
    <cellStyle name="20% - Accent4 3 4 3 2 4" xfId="15273"/>
    <cellStyle name="20% - Accent4 3 4 3 2 4 2" xfId="38132"/>
    <cellStyle name="20% - Accent4 3 4 3 2 5" xfId="25830"/>
    <cellStyle name="20% - Accent4 3 4 3 3" xfId="4726"/>
    <cellStyle name="20% - Accent4 3 4 3 3 2" xfId="17030"/>
    <cellStyle name="20% - Accent4 3 4 3 3 2 2" xfId="39889"/>
    <cellStyle name="20% - Accent4 3 4 3 3 3" xfId="27587"/>
    <cellStyle name="20% - Accent4 3 4 3 4" xfId="8241"/>
    <cellStyle name="20% - Accent4 3 4 3 4 2" xfId="20545"/>
    <cellStyle name="20% - Accent4 3 4 3 4 2 2" xfId="43404"/>
    <cellStyle name="20% - Accent4 3 4 3 4 3" xfId="31102"/>
    <cellStyle name="20% - Accent4 3 4 3 5" xfId="11756"/>
    <cellStyle name="20% - Accent4 3 4 3 5 2" xfId="34616"/>
    <cellStyle name="20% - Accent4 3 4 3 6" xfId="13515"/>
    <cellStyle name="20% - Accent4 3 4 3 6 2" xfId="36374"/>
    <cellStyle name="20% - Accent4 3 4 3 7" xfId="24071"/>
    <cellStyle name="20% - Accent4 3 4 4" xfId="2091"/>
    <cellStyle name="20% - Accent4 3 4 4 2" xfId="5606"/>
    <cellStyle name="20% - Accent4 3 4 4 2 2" xfId="17910"/>
    <cellStyle name="20% - Accent4 3 4 4 2 2 2" xfId="40769"/>
    <cellStyle name="20% - Accent4 3 4 4 2 3" xfId="28467"/>
    <cellStyle name="20% - Accent4 3 4 4 3" xfId="9121"/>
    <cellStyle name="20% - Accent4 3 4 4 3 2" xfId="21425"/>
    <cellStyle name="20% - Accent4 3 4 4 3 2 2" xfId="44284"/>
    <cellStyle name="20% - Accent4 3 4 4 3 3" xfId="31982"/>
    <cellStyle name="20% - Accent4 3 4 4 4" xfId="14395"/>
    <cellStyle name="20% - Accent4 3 4 4 4 2" xfId="37254"/>
    <cellStyle name="20% - Accent4 3 4 4 5" xfId="24952"/>
    <cellStyle name="20% - Accent4 3 4 5" xfId="3848"/>
    <cellStyle name="20% - Accent4 3 4 5 2" xfId="16152"/>
    <cellStyle name="20% - Accent4 3 4 5 2 2" xfId="39011"/>
    <cellStyle name="20% - Accent4 3 4 5 3" xfId="26709"/>
    <cellStyle name="20% - Accent4 3 4 6" xfId="7363"/>
    <cellStyle name="20% - Accent4 3 4 6 2" xfId="19667"/>
    <cellStyle name="20% - Accent4 3 4 6 2 2" xfId="42526"/>
    <cellStyle name="20% - Accent4 3 4 6 3" xfId="30224"/>
    <cellStyle name="20% - Accent4 3 4 7" xfId="10878"/>
    <cellStyle name="20% - Accent4 3 4 7 2" xfId="33738"/>
    <cellStyle name="20% - Accent4 3 4 8" xfId="12637"/>
    <cellStyle name="20% - Accent4 3 4 8 2" xfId="35496"/>
    <cellStyle name="20% - Accent4 3 4 9" xfId="23192"/>
    <cellStyle name="20% - Accent4 3 5" xfId="556"/>
    <cellStyle name="20% - Accent4 3 5 2" xfId="1435"/>
    <cellStyle name="20% - Accent4 3 5 2 2" xfId="3196"/>
    <cellStyle name="20% - Accent4 3 5 2 2 2" xfId="6711"/>
    <cellStyle name="20% - Accent4 3 5 2 2 2 2" xfId="19015"/>
    <cellStyle name="20% - Accent4 3 5 2 2 2 2 2" xfId="41874"/>
    <cellStyle name="20% - Accent4 3 5 2 2 2 3" xfId="29572"/>
    <cellStyle name="20% - Accent4 3 5 2 2 3" xfId="10226"/>
    <cellStyle name="20% - Accent4 3 5 2 2 3 2" xfId="22530"/>
    <cellStyle name="20% - Accent4 3 5 2 2 3 2 2" xfId="45389"/>
    <cellStyle name="20% - Accent4 3 5 2 2 3 3" xfId="33087"/>
    <cellStyle name="20% - Accent4 3 5 2 2 4" xfId="15500"/>
    <cellStyle name="20% - Accent4 3 5 2 2 4 2" xfId="38359"/>
    <cellStyle name="20% - Accent4 3 5 2 2 5" xfId="26057"/>
    <cellStyle name="20% - Accent4 3 5 2 3" xfId="4953"/>
    <cellStyle name="20% - Accent4 3 5 2 3 2" xfId="17257"/>
    <cellStyle name="20% - Accent4 3 5 2 3 2 2" xfId="40116"/>
    <cellStyle name="20% - Accent4 3 5 2 3 3" xfId="27814"/>
    <cellStyle name="20% - Accent4 3 5 2 4" xfId="8468"/>
    <cellStyle name="20% - Accent4 3 5 2 4 2" xfId="20772"/>
    <cellStyle name="20% - Accent4 3 5 2 4 2 2" xfId="43631"/>
    <cellStyle name="20% - Accent4 3 5 2 4 3" xfId="31329"/>
    <cellStyle name="20% - Accent4 3 5 2 5" xfId="11983"/>
    <cellStyle name="20% - Accent4 3 5 2 5 2" xfId="34843"/>
    <cellStyle name="20% - Accent4 3 5 2 6" xfId="13742"/>
    <cellStyle name="20% - Accent4 3 5 2 6 2" xfId="36601"/>
    <cellStyle name="20% - Accent4 3 5 2 7" xfId="24298"/>
    <cellStyle name="20% - Accent4 3 5 3" xfId="2318"/>
    <cellStyle name="20% - Accent4 3 5 3 2" xfId="5833"/>
    <cellStyle name="20% - Accent4 3 5 3 2 2" xfId="18137"/>
    <cellStyle name="20% - Accent4 3 5 3 2 2 2" xfId="40996"/>
    <cellStyle name="20% - Accent4 3 5 3 2 3" xfId="28694"/>
    <cellStyle name="20% - Accent4 3 5 3 3" xfId="9348"/>
    <cellStyle name="20% - Accent4 3 5 3 3 2" xfId="21652"/>
    <cellStyle name="20% - Accent4 3 5 3 3 2 2" xfId="44511"/>
    <cellStyle name="20% - Accent4 3 5 3 3 3" xfId="32209"/>
    <cellStyle name="20% - Accent4 3 5 3 4" xfId="14622"/>
    <cellStyle name="20% - Accent4 3 5 3 4 2" xfId="37481"/>
    <cellStyle name="20% - Accent4 3 5 3 5" xfId="25179"/>
    <cellStyle name="20% - Accent4 3 5 4" xfId="4075"/>
    <cellStyle name="20% - Accent4 3 5 4 2" xfId="16379"/>
    <cellStyle name="20% - Accent4 3 5 4 2 2" xfId="39238"/>
    <cellStyle name="20% - Accent4 3 5 4 3" xfId="26936"/>
    <cellStyle name="20% - Accent4 3 5 5" xfId="7590"/>
    <cellStyle name="20% - Accent4 3 5 5 2" xfId="19894"/>
    <cellStyle name="20% - Accent4 3 5 5 2 2" xfId="42753"/>
    <cellStyle name="20% - Accent4 3 5 5 3" xfId="30451"/>
    <cellStyle name="20% - Accent4 3 5 6" xfId="11105"/>
    <cellStyle name="20% - Accent4 3 5 6 2" xfId="33965"/>
    <cellStyle name="20% - Accent4 3 5 7" xfId="12864"/>
    <cellStyle name="20% - Accent4 3 5 7 2" xfId="35723"/>
    <cellStyle name="20% - Accent4 3 5 8" xfId="23420"/>
    <cellStyle name="20% - Accent4 3 6" xfId="996"/>
    <cellStyle name="20% - Accent4 3 6 2" xfId="2757"/>
    <cellStyle name="20% - Accent4 3 6 2 2" xfId="6272"/>
    <cellStyle name="20% - Accent4 3 6 2 2 2" xfId="18576"/>
    <cellStyle name="20% - Accent4 3 6 2 2 2 2" xfId="41435"/>
    <cellStyle name="20% - Accent4 3 6 2 2 3" xfId="29133"/>
    <cellStyle name="20% - Accent4 3 6 2 3" xfId="9787"/>
    <cellStyle name="20% - Accent4 3 6 2 3 2" xfId="22091"/>
    <cellStyle name="20% - Accent4 3 6 2 3 2 2" xfId="44950"/>
    <cellStyle name="20% - Accent4 3 6 2 3 3" xfId="32648"/>
    <cellStyle name="20% - Accent4 3 6 2 4" xfId="15061"/>
    <cellStyle name="20% - Accent4 3 6 2 4 2" xfId="37920"/>
    <cellStyle name="20% - Accent4 3 6 2 5" xfId="25618"/>
    <cellStyle name="20% - Accent4 3 6 3" xfId="4514"/>
    <cellStyle name="20% - Accent4 3 6 3 2" xfId="16818"/>
    <cellStyle name="20% - Accent4 3 6 3 2 2" xfId="39677"/>
    <cellStyle name="20% - Accent4 3 6 3 3" xfId="27375"/>
    <cellStyle name="20% - Accent4 3 6 4" xfId="8029"/>
    <cellStyle name="20% - Accent4 3 6 4 2" xfId="20333"/>
    <cellStyle name="20% - Accent4 3 6 4 2 2" xfId="43192"/>
    <cellStyle name="20% - Accent4 3 6 4 3" xfId="30890"/>
    <cellStyle name="20% - Accent4 3 6 5" xfId="11544"/>
    <cellStyle name="20% - Accent4 3 6 5 2" xfId="34404"/>
    <cellStyle name="20% - Accent4 3 6 6" xfId="13303"/>
    <cellStyle name="20% - Accent4 3 6 6 2" xfId="36162"/>
    <cellStyle name="20% - Accent4 3 6 7" xfId="23859"/>
    <cellStyle name="20% - Accent4 3 7" xfId="1879"/>
    <cellStyle name="20% - Accent4 3 7 2" xfId="5394"/>
    <cellStyle name="20% - Accent4 3 7 2 2" xfId="17698"/>
    <cellStyle name="20% - Accent4 3 7 2 2 2" xfId="40557"/>
    <cellStyle name="20% - Accent4 3 7 2 3" xfId="28255"/>
    <cellStyle name="20% - Accent4 3 7 3" xfId="8909"/>
    <cellStyle name="20% - Accent4 3 7 3 2" xfId="21213"/>
    <cellStyle name="20% - Accent4 3 7 3 2 2" xfId="44072"/>
    <cellStyle name="20% - Accent4 3 7 3 3" xfId="31770"/>
    <cellStyle name="20% - Accent4 3 7 4" xfId="14183"/>
    <cellStyle name="20% - Accent4 3 7 4 2" xfId="37042"/>
    <cellStyle name="20% - Accent4 3 7 5" xfId="24740"/>
    <cellStyle name="20% - Accent4 3 8" xfId="3636"/>
    <cellStyle name="20% - Accent4 3 8 2" xfId="15940"/>
    <cellStyle name="20% - Accent4 3 8 2 2" xfId="38799"/>
    <cellStyle name="20% - Accent4 3 8 3" xfId="26497"/>
    <cellStyle name="20% - Accent4 3 9" xfId="7151"/>
    <cellStyle name="20% - Accent4 3 9 2" xfId="19455"/>
    <cellStyle name="20% - Accent4 3 9 2 2" xfId="42314"/>
    <cellStyle name="20% - Accent4 3 9 3" xfId="30012"/>
    <cellStyle name="20% - Accent4 4" xfId="142"/>
    <cellStyle name="20% - Accent4 4 10" xfId="12454"/>
    <cellStyle name="20% - Accent4 4 10 2" xfId="35313"/>
    <cellStyle name="20% - Accent4 4 11" xfId="23008"/>
    <cellStyle name="20% - Accent4 4 2" xfId="250"/>
    <cellStyle name="20% - Accent4 4 2 10" xfId="23115"/>
    <cellStyle name="20% - Accent4 4 2 2" xfId="462"/>
    <cellStyle name="20% - Accent4 4 2 2 2" xfId="903"/>
    <cellStyle name="20% - Accent4 4 2 2 2 2" xfId="1782"/>
    <cellStyle name="20% - Accent4 4 2 2 2 2 2" xfId="3543"/>
    <cellStyle name="20% - Accent4 4 2 2 2 2 2 2" xfId="7058"/>
    <cellStyle name="20% - Accent4 4 2 2 2 2 2 2 2" xfId="19362"/>
    <cellStyle name="20% - Accent4 4 2 2 2 2 2 2 2 2" xfId="42221"/>
    <cellStyle name="20% - Accent4 4 2 2 2 2 2 2 3" xfId="29919"/>
    <cellStyle name="20% - Accent4 4 2 2 2 2 2 3" xfId="10573"/>
    <cellStyle name="20% - Accent4 4 2 2 2 2 2 3 2" xfId="22877"/>
    <cellStyle name="20% - Accent4 4 2 2 2 2 2 3 2 2" xfId="45736"/>
    <cellStyle name="20% - Accent4 4 2 2 2 2 2 3 3" xfId="33434"/>
    <cellStyle name="20% - Accent4 4 2 2 2 2 2 4" xfId="15847"/>
    <cellStyle name="20% - Accent4 4 2 2 2 2 2 4 2" xfId="38706"/>
    <cellStyle name="20% - Accent4 4 2 2 2 2 2 5" xfId="26404"/>
    <cellStyle name="20% - Accent4 4 2 2 2 2 3" xfId="5300"/>
    <cellStyle name="20% - Accent4 4 2 2 2 2 3 2" xfId="17604"/>
    <cellStyle name="20% - Accent4 4 2 2 2 2 3 2 2" xfId="40463"/>
    <cellStyle name="20% - Accent4 4 2 2 2 2 3 3" xfId="28161"/>
    <cellStyle name="20% - Accent4 4 2 2 2 2 4" xfId="8815"/>
    <cellStyle name="20% - Accent4 4 2 2 2 2 4 2" xfId="21119"/>
    <cellStyle name="20% - Accent4 4 2 2 2 2 4 2 2" xfId="43978"/>
    <cellStyle name="20% - Accent4 4 2 2 2 2 4 3" xfId="31676"/>
    <cellStyle name="20% - Accent4 4 2 2 2 2 5" xfId="12330"/>
    <cellStyle name="20% - Accent4 4 2 2 2 2 5 2" xfId="35190"/>
    <cellStyle name="20% - Accent4 4 2 2 2 2 6" xfId="14089"/>
    <cellStyle name="20% - Accent4 4 2 2 2 2 6 2" xfId="36948"/>
    <cellStyle name="20% - Accent4 4 2 2 2 2 7" xfId="24645"/>
    <cellStyle name="20% - Accent4 4 2 2 2 3" xfId="2665"/>
    <cellStyle name="20% - Accent4 4 2 2 2 3 2" xfId="6180"/>
    <cellStyle name="20% - Accent4 4 2 2 2 3 2 2" xfId="18484"/>
    <cellStyle name="20% - Accent4 4 2 2 2 3 2 2 2" xfId="41343"/>
    <cellStyle name="20% - Accent4 4 2 2 2 3 2 3" xfId="29041"/>
    <cellStyle name="20% - Accent4 4 2 2 2 3 3" xfId="9695"/>
    <cellStyle name="20% - Accent4 4 2 2 2 3 3 2" xfId="21999"/>
    <cellStyle name="20% - Accent4 4 2 2 2 3 3 2 2" xfId="44858"/>
    <cellStyle name="20% - Accent4 4 2 2 2 3 3 3" xfId="32556"/>
    <cellStyle name="20% - Accent4 4 2 2 2 3 4" xfId="14969"/>
    <cellStyle name="20% - Accent4 4 2 2 2 3 4 2" xfId="37828"/>
    <cellStyle name="20% - Accent4 4 2 2 2 3 5" xfId="25526"/>
    <cellStyle name="20% - Accent4 4 2 2 2 4" xfId="4422"/>
    <cellStyle name="20% - Accent4 4 2 2 2 4 2" xfId="16726"/>
    <cellStyle name="20% - Accent4 4 2 2 2 4 2 2" xfId="39585"/>
    <cellStyle name="20% - Accent4 4 2 2 2 4 3" xfId="27283"/>
    <cellStyle name="20% - Accent4 4 2 2 2 5" xfId="7937"/>
    <cellStyle name="20% - Accent4 4 2 2 2 5 2" xfId="20241"/>
    <cellStyle name="20% - Accent4 4 2 2 2 5 2 2" xfId="43100"/>
    <cellStyle name="20% - Accent4 4 2 2 2 5 3" xfId="30798"/>
    <cellStyle name="20% - Accent4 4 2 2 2 6" xfId="11452"/>
    <cellStyle name="20% - Accent4 4 2 2 2 6 2" xfId="34312"/>
    <cellStyle name="20% - Accent4 4 2 2 2 7" xfId="13211"/>
    <cellStyle name="20% - Accent4 4 2 2 2 7 2" xfId="36070"/>
    <cellStyle name="20% - Accent4 4 2 2 2 8" xfId="23767"/>
    <cellStyle name="20% - Accent4 4 2 2 3" xfId="1343"/>
    <cellStyle name="20% - Accent4 4 2 2 3 2" xfId="3104"/>
    <cellStyle name="20% - Accent4 4 2 2 3 2 2" xfId="6619"/>
    <cellStyle name="20% - Accent4 4 2 2 3 2 2 2" xfId="18923"/>
    <cellStyle name="20% - Accent4 4 2 2 3 2 2 2 2" xfId="41782"/>
    <cellStyle name="20% - Accent4 4 2 2 3 2 2 3" xfId="29480"/>
    <cellStyle name="20% - Accent4 4 2 2 3 2 3" xfId="10134"/>
    <cellStyle name="20% - Accent4 4 2 2 3 2 3 2" xfId="22438"/>
    <cellStyle name="20% - Accent4 4 2 2 3 2 3 2 2" xfId="45297"/>
    <cellStyle name="20% - Accent4 4 2 2 3 2 3 3" xfId="32995"/>
    <cellStyle name="20% - Accent4 4 2 2 3 2 4" xfId="15408"/>
    <cellStyle name="20% - Accent4 4 2 2 3 2 4 2" xfId="38267"/>
    <cellStyle name="20% - Accent4 4 2 2 3 2 5" xfId="25965"/>
    <cellStyle name="20% - Accent4 4 2 2 3 3" xfId="4861"/>
    <cellStyle name="20% - Accent4 4 2 2 3 3 2" xfId="17165"/>
    <cellStyle name="20% - Accent4 4 2 2 3 3 2 2" xfId="40024"/>
    <cellStyle name="20% - Accent4 4 2 2 3 3 3" xfId="27722"/>
    <cellStyle name="20% - Accent4 4 2 2 3 4" xfId="8376"/>
    <cellStyle name="20% - Accent4 4 2 2 3 4 2" xfId="20680"/>
    <cellStyle name="20% - Accent4 4 2 2 3 4 2 2" xfId="43539"/>
    <cellStyle name="20% - Accent4 4 2 2 3 4 3" xfId="31237"/>
    <cellStyle name="20% - Accent4 4 2 2 3 5" xfId="11891"/>
    <cellStyle name="20% - Accent4 4 2 2 3 5 2" xfId="34751"/>
    <cellStyle name="20% - Accent4 4 2 2 3 6" xfId="13650"/>
    <cellStyle name="20% - Accent4 4 2 2 3 6 2" xfId="36509"/>
    <cellStyle name="20% - Accent4 4 2 2 3 7" xfId="24206"/>
    <cellStyle name="20% - Accent4 4 2 2 4" xfId="2226"/>
    <cellStyle name="20% - Accent4 4 2 2 4 2" xfId="5741"/>
    <cellStyle name="20% - Accent4 4 2 2 4 2 2" xfId="18045"/>
    <cellStyle name="20% - Accent4 4 2 2 4 2 2 2" xfId="40904"/>
    <cellStyle name="20% - Accent4 4 2 2 4 2 3" xfId="28602"/>
    <cellStyle name="20% - Accent4 4 2 2 4 3" xfId="9256"/>
    <cellStyle name="20% - Accent4 4 2 2 4 3 2" xfId="21560"/>
    <cellStyle name="20% - Accent4 4 2 2 4 3 2 2" xfId="44419"/>
    <cellStyle name="20% - Accent4 4 2 2 4 3 3" xfId="32117"/>
    <cellStyle name="20% - Accent4 4 2 2 4 4" xfId="14530"/>
    <cellStyle name="20% - Accent4 4 2 2 4 4 2" xfId="37389"/>
    <cellStyle name="20% - Accent4 4 2 2 4 5" xfId="25087"/>
    <cellStyle name="20% - Accent4 4 2 2 5" xfId="3983"/>
    <cellStyle name="20% - Accent4 4 2 2 5 2" xfId="16287"/>
    <cellStyle name="20% - Accent4 4 2 2 5 2 2" xfId="39146"/>
    <cellStyle name="20% - Accent4 4 2 2 5 3" xfId="26844"/>
    <cellStyle name="20% - Accent4 4 2 2 6" xfId="7498"/>
    <cellStyle name="20% - Accent4 4 2 2 6 2" xfId="19802"/>
    <cellStyle name="20% - Accent4 4 2 2 6 2 2" xfId="42661"/>
    <cellStyle name="20% - Accent4 4 2 2 6 3" xfId="30359"/>
    <cellStyle name="20% - Accent4 4 2 2 7" xfId="11013"/>
    <cellStyle name="20% - Accent4 4 2 2 7 2" xfId="33873"/>
    <cellStyle name="20% - Accent4 4 2 2 8" xfId="12772"/>
    <cellStyle name="20% - Accent4 4 2 2 8 2" xfId="35631"/>
    <cellStyle name="20% - Accent4 4 2 2 9" xfId="23327"/>
    <cellStyle name="20% - Accent4 4 2 3" xfId="691"/>
    <cellStyle name="20% - Accent4 4 2 3 2" xfId="1570"/>
    <cellStyle name="20% - Accent4 4 2 3 2 2" xfId="3331"/>
    <cellStyle name="20% - Accent4 4 2 3 2 2 2" xfId="6846"/>
    <cellStyle name="20% - Accent4 4 2 3 2 2 2 2" xfId="19150"/>
    <cellStyle name="20% - Accent4 4 2 3 2 2 2 2 2" xfId="42009"/>
    <cellStyle name="20% - Accent4 4 2 3 2 2 2 3" xfId="29707"/>
    <cellStyle name="20% - Accent4 4 2 3 2 2 3" xfId="10361"/>
    <cellStyle name="20% - Accent4 4 2 3 2 2 3 2" xfId="22665"/>
    <cellStyle name="20% - Accent4 4 2 3 2 2 3 2 2" xfId="45524"/>
    <cellStyle name="20% - Accent4 4 2 3 2 2 3 3" xfId="33222"/>
    <cellStyle name="20% - Accent4 4 2 3 2 2 4" xfId="15635"/>
    <cellStyle name="20% - Accent4 4 2 3 2 2 4 2" xfId="38494"/>
    <cellStyle name="20% - Accent4 4 2 3 2 2 5" xfId="26192"/>
    <cellStyle name="20% - Accent4 4 2 3 2 3" xfId="5088"/>
    <cellStyle name="20% - Accent4 4 2 3 2 3 2" xfId="17392"/>
    <cellStyle name="20% - Accent4 4 2 3 2 3 2 2" xfId="40251"/>
    <cellStyle name="20% - Accent4 4 2 3 2 3 3" xfId="27949"/>
    <cellStyle name="20% - Accent4 4 2 3 2 4" xfId="8603"/>
    <cellStyle name="20% - Accent4 4 2 3 2 4 2" xfId="20907"/>
    <cellStyle name="20% - Accent4 4 2 3 2 4 2 2" xfId="43766"/>
    <cellStyle name="20% - Accent4 4 2 3 2 4 3" xfId="31464"/>
    <cellStyle name="20% - Accent4 4 2 3 2 5" xfId="12118"/>
    <cellStyle name="20% - Accent4 4 2 3 2 5 2" xfId="34978"/>
    <cellStyle name="20% - Accent4 4 2 3 2 6" xfId="13877"/>
    <cellStyle name="20% - Accent4 4 2 3 2 6 2" xfId="36736"/>
    <cellStyle name="20% - Accent4 4 2 3 2 7" xfId="24433"/>
    <cellStyle name="20% - Accent4 4 2 3 3" xfId="2453"/>
    <cellStyle name="20% - Accent4 4 2 3 3 2" xfId="5968"/>
    <cellStyle name="20% - Accent4 4 2 3 3 2 2" xfId="18272"/>
    <cellStyle name="20% - Accent4 4 2 3 3 2 2 2" xfId="41131"/>
    <cellStyle name="20% - Accent4 4 2 3 3 2 3" xfId="28829"/>
    <cellStyle name="20% - Accent4 4 2 3 3 3" xfId="9483"/>
    <cellStyle name="20% - Accent4 4 2 3 3 3 2" xfId="21787"/>
    <cellStyle name="20% - Accent4 4 2 3 3 3 2 2" xfId="44646"/>
    <cellStyle name="20% - Accent4 4 2 3 3 3 3" xfId="32344"/>
    <cellStyle name="20% - Accent4 4 2 3 3 4" xfId="14757"/>
    <cellStyle name="20% - Accent4 4 2 3 3 4 2" xfId="37616"/>
    <cellStyle name="20% - Accent4 4 2 3 3 5" xfId="25314"/>
    <cellStyle name="20% - Accent4 4 2 3 4" xfId="4210"/>
    <cellStyle name="20% - Accent4 4 2 3 4 2" xfId="16514"/>
    <cellStyle name="20% - Accent4 4 2 3 4 2 2" xfId="39373"/>
    <cellStyle name="20% - Accent4 4 2 3 4 3" xfId="27071"/>
    <cellStyle name="20% - Accent4 4 2 3 5" xfId="7725"/>
    <cellStyle name="20% - Accent4 4 2 3 5 2" xfId="20029"/>
    <cellStyle name="20% - Accent4 4 2 3 5 2 2" xfId="42888"/>
    <cellStyle name="20% - Accent4 4 2 3 5 3" xfId="30586"/>
    <cellStyle name="20% - Accent4 4 2 3 6" xfId="11240"/>
    <cellStyle name="20% - Accent4 4 2 3 6 2" xfId="34100"/>
    <cellStyle name="20% - Accent4 4 2 3 7" xfId="12999"/>
    <cellStyle name="20% - Accent4 4 2 3 7 2" xfId="35858"/>
    <cellStyle name="20% - Accent4 4 2 3 8" xfId="23555"/>
    <cellStyle name="20% - Accent4 4 2 4" xfId="1131"/>
    <cellStyle name="20% - Accent4 4 2 4 2" xfId="2892"/>
    <cellStyle name="20% - Accent4 4 2 4 2 2" xfId="6407"/>
    <cellStyle name="20% - Accent4 4 2 4 2 2 2" xfId="18711"/>
    <cellStyle name="20% - Accent4 4 2 4 2 2 2 2" xfId="41570"/>
    <cellStyle name="20% - Accent4 4 2 4 2 2 3" xfId="29268"/>
    <cellStyle name="20% - Accent4 4 2 4 2 3" xfId="9922"/>
    <cellStyle name="20% - Accent4 4 2 4 2 3 2" xfId="22226"/>
    <cellStyle name="20% - Accent4 4 2 4 2 3 2 2" xfId="45085"/>
    <cellStyle name="20% - Accent4 4 2 4 2 3 3" xfId="32783"/>
    <cellStyle name="20% - Accent4 4 2 4 2 4" xfId="15196"/>
    <cellStyle name="20% - Accent4 4 2 4 2 4 2" xfId="38055"/>
    <cellStyle name="20% - Accent4 4 2 4 2 5" xfId="25753"/>
    <cellStyle name="20% - Accent4 4 2 4 3" xfId="4649"/>
    <cellStyle name="20% - Accent4 4 2 4 3 2" xfId="16953"/>
    <cellStyle name="20% - Accent4 4 2 4 3 2 2" xfId="39812"/>
    <cellStyle name="20% - Accent4 4 2 4 3 3" xfId="27510"/>
    <cellStyle name="20% - Accent4 4 2 4 4" xfId="8164"/>
    <cellStyle name="20% - Accent4 4 2 4 4 2" xfId="20468"/>
    <cellStyle name="20% - Accent4 4 2 4 4 2 2" xfId="43327"/>
    <cellStyle name="20% - Accent4 4 2 4 4 3" xfId="31025"/>
    <cellStyle name="20% - Accent4 4 2 4 5" xfId="11679"/>
    <cellStyle name="20% - Accent4 4 2 4 5 2" xfId="34539"/>
    <cellStyle name="20% - Accent4 4 2 4 6" xfId="13438"/>
    <cellStyle name="20% - Accent4 4 2 4 6 2" xfId="36297"/>
    <cellStyle name="20% - Accent4 4 2 4 7" xfId="23994"/>
    <cellStyle name="20% - Accent4 4 2 5" xfId="2014"/>
    <cellStyle name="20% - Accent4 4 2 5 2" xfId="5529"/>
    <cellStyle name="20% - Accent4 4 2 5 2 2" xfId="17833"/>
    <cellStyle name="20% - Accent4 4 2 5 2 2 2" xfId="40692"/>
    <cellStyle name="20% - Accent4 4 2 5 2 3" xfId="28390"/>
    <cellStyle name="20% - Accent4 4 2 5 3" xfId="9044"/>
    <cellStyle name="20% - Accent4 4 2 5 3 2" xfId="21348"/>
    <cellStyle name="20% - Accent4 4 2 5 3 2 2" xfId="44207"/>
    <cellStyle name="20% - Accent4 4 2 5 3 3" xfId="31905"/>
    <cellStyle name="20% - Accent4 4 2 5 4" xfId="14318"/>
    <cellStyle name="20% - Accent4 4 2 5 4 2" xfId="37177"/>
    <cellStyle name="20% - Accent4 4 2 5 5" xfId="24875"/>
    <cellStyle name="20% - Accent4 4 2 6" xfId="3771"/>
    <cellStyle name="20% - Accent4 4 2 6 2" xfId="16075"/>
    <cellStyle name="20% - Accent4 4 2 6 2 2" xfId="38934"/>
    <cellStyle name="20% - Accent4 4 2 6 3" xfId="26632"/>
    <cellStyle name="20% - Accent4 4 2 7" xfId="7286"/>
    <cellStyle name="20% - Accent4 4 2 7 2" xfId="19590"/>
    <cellStyle name="20% - Accent4 4 2 7 2 2" xfId="42449"/>
    <cellStyle name="20% - Accent4 4 2 7 3" xfId="30147"/>
    <cellStyle name="20% - Accent4 4 2 8" xfId="10801"/>
    <cellStyle name="20% - Accent4 4 2 8 2" xfId="33661"/>
    <cellStyle name="20% - Accent4 4 2 9" xfId="12560"/>
    <cellStyle name="20% - Accent4 4 2 9 2" xfId="35419"/>
    <cellStyle name="20% - Accent4 4 3" xfId="356"/>
    <cellStyle name="20% - Accent4 4 3 2" xfId="797"/>
    <cellStyle name="20% - Accent4 4 3 2 2" xfId="1676"/>
    <cellStyle name="20% - Accent4 4 3 2 2 2" xfId="3437"/>
    <cellStyle name="20% - Accent4 4 3 2 2 2 2" xfId="6952"/>
    <cellStyle name="20% - Accent4 4 3 2 2 2 2 2" xfId="19256"/>
    <cellStyle name="20% - Accent4 4 3 2 2 2 2 2 2" xfId="42115"/>
    <cellStyle name="20% - Accent4 4 3 2 2 2 2 3" xfId="29813"/>
    <cellStyle name="20% - Accent4 4 3 2 2 2 3" xfId="10467"/>
    <cellStyle name="20% - Accent4 4 3 2 2 2 3 2" xfId="22771"/>
    <cellStyle name="20% - Accent4 4 3 2 2 2 3 2 2" xfId="45630"/>
    <cellStyle name="20% - Accent4 4 3 2 2 2 3 3" xfId="33328"/>
    <cellStyle name="20% - Accent4 4 3 2 2 2 4" xfId="15741"/>
    <cellStyle name="20% - Accent4 4 3 2 2 2 4 2" xfId="38600"/>
    <cellStyle name="20% - Accent4 4 3 2 2 2 5" xfId="26298"/>
    <cellStyle name="20% - Accent4 4 3 2 2 3" xfId="5194"/>
    <cellStyle name="20% - Accent4 4 3 2 2 3 2" xfId="17498"/>
    <cellStyle name="20% - Accent4 4 3 2 2 3 2 2" xfId="40357"/>
    <cellStyle name="20% - Accent4 4 3 2 2 3 3" xfId="28055"/>
    <cellStyle name="20% - Accent4 4 3 2 2 4" xfId="8709"/>
    <cellStyle name="20% - Accent4 4 3 2 2 4 2" xfId="21013"/>
    <cellStyle name="20% - Accent4 4 3 2 2 4 2 2" xfId="43872"/>
    <cellStyle name="20% - Accent4 4 3 2 2 4 3" xfId="31570"/>
    <cellStyle name="20% - Accent4 4 3 2 2 5" xfId="12224"/>
    <cellStyle name="20% - Accent4 4 3 2 2 5 2" xfId="35084"/>
    <cellStyle name="20% - Accent4 4 3 2 2 6" xfId="13983"/>
    <cellStyle name="20% - Accent4 4 3 2 2 6 2" xfId="36842"/>
    <cellStyle name="20% - Accent4 4 3 2 2 7" xfId="24539"/>
    <cellStyle name="20% - Accent4 4 3 2 3" xfId="2559"/>
    <cellStyle name="20% - Accent4 4 3 2 3 2" xfId="6074"/>
    <cellStyle name="20% - Accent4 4 3 2 3 2 2" xfId="18378"/>
    <cellStyle name="20% - Accent4 4 3 2 3 2 2 2" xfId="41237"/>
    <cellStyle name="20% - Accent4 4 3 2 3 2 3" xfId="28935"/>
    <cellStyle name="20% - Accent4 4 3 2 3 3" xfId="9589"/>
    <cellStyle name="20% - Accent4 4 3 2 3 3 2" xfId="21893"/>
    <cellStyle name="20% - Accent4 4 3 2 3 3 2 2" xfId="44752"/>
    <cellStyle name="20% - Accent4 4 3 2 3 3 3" xfId="32450"/>
    <cellStyle name="20% - Accent4 4 3 2 3 4" xfId="14863"/>
    <cellStyle name="20% - Accent4 4 3 2 3 4 2" xfId="37722"/>
    <cellStyle name="20% - Accent4 4 3 2 3 5" xfId="25420"/>
    <cellStyle name="20% - Accent4 4 3 2 4" xfId="4316"/>
    <cellStyle name="20% - Accent4 4 3 2 4 2" xfId="16620"/>
    <cellStyle name="20% - Accent4 4 3 2 4 2 2" xfId="39479"/>
    <cellStyle name="20% - Accent4 4 3 2 4 3" xfId="27177"/>
    <cellStyle name="20% - Accent4 4 3 2 5" xfId="7831"/>
    <cellStyle name="20% - Accent4 4 3 2 5 2" xfId="20135"/>
    <cellStyle name="20% - Accent4 4 3 2 5 2 2" xfId="42994"/>
    <cellStyle name="20% - Accent4 4 3 2 5 3" xfId="30692"/>
    <cellStyle name="20% - Accent4 4 3 2 6" xfId="11346"/>
    <cellStyle name="20% - Accent4 4 3 2 6 2" xfId="34206"/>
    <cellStyle name="20% - Accent4 4 3 2 7" xfId="13105"/>
    <cellStyle name="20% - Accent4 4 3 2 7 2" xfId="35964"/>
    <cellStyle name="20% - Accent4 4 3 2 8" xfId="23661"/>
    <cellStyle name="20% - Accent4 4 3 3" xfId="1237"/>
    <cellStyle name="20% - Accent4 4 3 3 2" xfId="2998"/>
    <cellStyle name="20% - Accent4 4 3 3 2 2" xfId="6513"/>
    <cellStyle name="20% - Accent4 4 3 3 2 2 2" xfId="18817"/>
    <cellStyle name="20% - Accent4 4 3 3 2 2 2 2" xfId="41676"/>
    <cellStyle name="20% - Accent4 4 3 3 2 2 3" xfId="29374"/>
    <cellStyle name="20% - Accent4 4 3 3 2 3" xfId="10028"/>
    <cellStyle name="20% - Accent4 4 3 3 2 3 2" xfId="22332"/>
    <cellStyle name="20% - Accent4 4 3 3 2 3 2 2" xfId="45191"/>
    <cellStyle name="20% - Accent4 4 3 3 2 3 3" xfId="32889"/>
    <cellStyle name="20% - Accent4 4 3 3 2 4" xfId="15302"/>
    <cellStyle name="20% - Accent4 4 3 3 2 4 2" xfId="38161"/>
    <cellStyle name="20% - Accent4 4 3 3 2 5" xfId="25859"/>
    <cellStyle name="20% - Accent4 4 3 3 3" xfId="4755"/>
    <cellStyle name="20% - Accent4 4 3 3 3 2" xfId="17059"/>
    <cellStyle name="20% - Accent4 4 3 3 3 2 2" xfId="39918"/>
    <cellStyle name="20% - Accent4 4 3 3 3 3" xfId="27616"/>
    <cellStyle name="20% - Accent4 4 3 3 4" xfId="8270"/>
    <cellStyle name="20% - Accent4 4 3 3 4 2" xfId="20574"/>
    <cellStyle name="20% - Accent4 4 3 3 4 2 2" xfId="43433"/>
    <cellStyle name="20% - Accent4 4 3 3 4 3" xfId="31131"/>
    <cellStyle name="20% - Accent4 4 3 3 5" xfId="11785"/>
    <cellStyle name="20% - Accent4 4 3 3 5 2" xfId="34645"/>
    <cellStyle name="20% - Accent4 4 3 3 6" xfId="13544"/>
    <cellStyle name="20% - Accent4 4 3 3 6 2" xfId="36403"/>
    <cellStyle name="20% - Accent4 4 3 3 7" xfId="24100"/>
    <cellStyle name="20% - Accent4 4 3 4" xfId="2120"/>
    <cellStyle name="20% - Accent4 4 3 4 2" xfId="5635"/>
    <cellStyle name="20% - Accent4 4 3 4 2 2" xfId="17939"/>
    <cellStyle name="20% - Accent4 4 3 4 2 2 2" xfId="40798"/>
    <cellStyle name="20% - Accent4 4 3 4 2 3" xfId="28496"/>
    <cellStyle name="20% - Accent4 4 3 4 3" xfId="9150"/>
    <cellStyle name="20% - Accent4 4 3 4 3 2" xfId="21454"/>
    <cellStyle name="20% - Accent4 4 3 4 3 2 2" xfId="44313"/>
    <cellStyle name="20% - Accent4 4 3 4 3 3" xfId="32011"/>
    <cellStyle name="20% - Accent4 4 3 4 4" xfId="14424"/>
    <cellStyle name="20% - Accent4 4 3 4 4 2" xfId="37283"/>
    <cellStyle name="20% - Accent4 4 3 4 5" xfId="24981"/>
    <cellStyle name="20% - Accent4 4 3 5" xfId="3877"/>
    <cellStyle name="20% - Accent4 4 3 5 2" xfId="16181"/>
    <cellStyle name="20% - Accent4 4 3 5 2 2" xfId="39040"/>
    <cellStyle name="20% - Accent4 4 3 5 3" xfId="26738"/>
    <cellStyle name="20% - Accent4 4 3 6" xfId="7392"/>
    <cellStyle name="20% - Accent4 4 3 6 2" xfId="19696"/>
    <cellStyle name="20% - Accent4 4 3 6 2 2" xfId="42555"/>
    <cellStyle name="20% - Accent4 4 3 6 3" xfId="30253"/>
    <cellStyle name="20% - Accent4 4 3 7" xfId="10907"/>
    <cellStyle name="20% - Accent4 4 3 7 2" xfId="33767"/>
    <cellStyle name="20% - Accent4 4 3 8" xfId="12666"/>
    <cellStyle name="20% - Accent4 4 3 8 2" xfId="35525"/>
    <cellStyle name="20% - Accent4 4 3 9" xfId="23221"/>
    <cellStyle name="20% - Accent4 4 4" xfId="585"/>
    <cellStyle name="20% - Accent4 4 4 2" xfId="1464"/>
    <cellStyle name="20% - Accent4 4 4 2 2" xfId="3225"/>
    <cellStyle name="20% - Accent4 4 4 2 2 2" xfId="6740"/>
    <cellStyle name="20% - Accent4 4 4 2 2 2 2" xfId="19044"/>
    <cellStyle name="20% - Accent4 4 4 2 2 2 2 2" xfId="41903"/>
    <cellStyle name="20% - Accent4 4 4 2 2 2 3" xfId="29601"/>
    <cellStyle name="20% - Accent4 4 4 2 2 3" xfId="10255"/>
    <cellStyle name="20% - Accent4 4 4 2 2 3 2" xfId="22559"/>
    <cellStyle name="20% - Accent4 4 4 2 2 3 2 2" xfId="45418"/>
    <cellStyle name="20% - Accent4 4 4 2 2 3 3" xfId="33116"/>
    <cellStyle name="20% - Accent4 4 4 2 2 4" xfId="15529"/>
    <cellStyle name="20% - Accent4 4 4 2 2 4 2" xfId="38388"/>
    <cellStyle name="20% - Accent4 4 4 2 2 5" xfId="26086"/>
    <cellStyle name="20% - Accent4 4 4 2 3" xfId="4982"/>
    <cellStyle name="20% - Accent4 4 4 2 3 2" xfId="17286"/>
    <cellStyle name="20% - Accent4 4 4 2 3 2 2" xfId="40145"/>
    <cellStyle name="20% - Accent4 4 4 2 3 3" xfId="27843"/>
    <cellStyle name="20% - Accent4 4 4 2 4" xfId="8497"/>
    <cellStyle name="20% - Accent4 4 4 2 4 2" xfId="20801"/>
    <cellStyle name="20% - Accent4 4 4 2 4 2 2" xfId="43660"/>
    <cellStyle name="20% - Accent4 4 4 2 4 3" xfId="31358"/>
    <cellStyle name="20% - Accent4 4 4 2 5" xfId="12012"/>
    <cellStyle name="20% - Accent4 4 4 2 5 2" xfId="34872"/>
    <cellStyle name="20% - Accent4 4 4 2 6" xfId="13771"/>
    <cellStyle name="20% - Accent4 4 4 2 6 2" xfId="36630"/>
    <cellStyle name="20% - Accent4 4 4 2 7" xfId="24327"/>
    <cellStyle name="20% - Accent4 4 4 3" xfId="2347"/>
    <cellStyle name="20% - Accent4 4 4 3 2" xfId="5862"/>
    <cellStyle name="20% - Accent4 4 4 3 2 2" xfId="18166"/>
    <cellStyle name="20% - Accent4 4 4 3 2 2 2" xfId="41025"/>
    <cellStyle name="20% - Accent4 4 4 3 2 3" xfId="28723"/>
    <cellStyle name="20% - Accent4 4 4 3 3" xfId="9377"/>
    <cellStyle name="20% - Accent4 4 4 3 3 2" xfId="21681"/>
    <cellStyle name="20% - Accent4 4 4 3 3 2 2" xfId="44540"/>
    <cellStyle name="20% - Accent4 4 4 3 3 3" xfId="32238"/>
    <cellStyle name="20% - Accent4 4 4 3 4" xfId="14651"/>
    <cellStyle name="20% - Accent4 4 4 3 4 2" xfId="37510"/>
    <cellStyle name="20% - Accent4 4 4 3 5" xfId="25208"/>
    <cellStyle name="20% - Accent4 4 4 4" xfId="4104"/>
    <cellStyle name="20% - Accent4 4 4 4 2" xfId="16408"/>
    <cellStyle name="20% - Accent4 4 4 4 2 2" xfId="39267"/>
    <cellStyle name="20% - Accent4 4 4 4 3" xfId="26965"/>
    <cellStyle name="20% - Accent4 4 4 5" xfId="7619"/>
    <cellStyle name="20% - Accent4 4 4 5 2" xfId="19923"/>
    <cellStyle name="20% - Accent4 4 4 5 2 2" xfId="42782"/>
    <cellStyle name="20% - Accent4 4 4 5 3" xfId="30480"/>
    <cellStyle name="20% - Accent4 4 4 6" xfId="11134"/>
    <cellStyle name="20% - Accent4 4 4 6 2" xfId="33994"/>
    <cellStyle name="20% - Accent4 4 4 7" xfId="12893"/>
    <cellStyle name="20% - Accent4 4 4 7 2" xfId="35752"/>
    <cellStyle name="20% - Accent4 4 4 8" xfId="23449"/>
    <cellStyle name="20% - Accent4 4 5" xfId="1025"/>
    <cellStyle name="20% - Accent4 4 5 2" xfId="2786"/>
    <cellStyle name="20% - Accent4 4 5 2 2" xfId="6301"/>
    <cellStyle name="20% - Accent4 4 5 2 2 2" xfId="18605"/>
    <cellStyle name="20% - Accent4 4 5 2 2 2 2" xfId="41464"/>
    <cellStyle name="20% - Accent4 4 5 2 2 3" xfId="29162"/>
    <cellStyle name="20% - Accent4 4 5 2 3" xfId="9816"/>
    <cellStyle name="20% - Accent4 4 5 2 3 2" xfId="22120"/>
    <cellStyle name="20% - Accent4 4 5 2 3 2 2" xfId="44979"/>
    <cellStyle name="20% - Accent4 4 5 2 3 3" xfId="32677"/>
    <cellStyle name="20% - Accent4 4 5 2 4" xfId="15090"/>
    <cellStyle name="20% - Accent4 4 5 2 4 2" xfId="37949"/>
    <cellStyle name="20% - Accent4 4 5 2 5" xfId="25647"/>
    <cellStyle name="20% - Accent4 4 5 3" xfId="4543"/>
    <cellStyle name="20% - Accent4 4 5 3 2" xfId="16847"/>
    <cellStyle name="20% - Accent4 4 5 3 2 2" xfId="39706"/>
    <cellStyle name="20% - Accent4 4 5 3 3" xfId="27404"/>
    <cellStyle name="20% - Accent4 4 5 4" xfId="8058"/>
    <cellStyle name="20% - Accent4 4 5 4 2" xfId="20362"/>
    <cellStyle name="20% - Accent4 4 5 4 2 2" xfId="43221"/>
    <cellStyle name="20% - Accent4 4 5 4 3" xfId="30919"/>
    <cellStyle name="20% - Accent4 4 5 5" xfId="11573"/>
    <cellStyle name="20% - Accent4 4 5 5 2" xfId="34433"/>
    <cellStyle name="20% - Accent4 4 5 6" xfId="13332"/>
    <cellStyle name="20% - Accent4 4 5 6 2" xfId="36191"/>
    <cellStyle name="20% - Accent4 4 5 7" xfId="23888"/>
    <cellStyle name="20% - Accent4 4 6" xfId="1908"/>
    <cellStyle name="20% - Accent4 4 6 2" xfId="5423"/>
    <cellStyle name="20% - Accent4 4 6 2 2" xfId="17727"/>
    <cellStyle name="20% - Accent4 4 6 2 2 2" xfId="40586"/>
    <cellStyle name="20% - Accent4 4 6 2 3" xfId="28284"/>
    <cellStyle name="20% - Accent4 4 6 3" xfId="8938"/>
    <cellStyle name="20% - Accent4 4 6 3 2" xfId="21242"/>
    <cellStyle name="20% - Accent4 4 6 3 2 2" xfId="44101"/>
    <cellStyle name="20% - Accent4 4 6 3 3" xfId="31799"/>
    <cellStyle name="20% - Accent4 4 6 4" xfId="14212"/>
    <cellStyle name="20% - Accent4 4 6 4 2" xfId="37071"/>
    <cellStyle name="20% - Accent4 4 6 5" xfId="24769"/>
    <cellStyle name="20% - Accent4 4 7" xfId="3665"/>
    <cellStyle name="20% - Accent4 4 7 2" xfId="15969"/>
    <cellStyle name="20% - Accent4 4 7 2 2" xfId="38828"/>
    <cellStyle name="20% - Accent4 4 7 3" xfId="26526"/>
    <cellStyle name="20% - Accent4 4 8" xfId="7180"/>
    <cellStyle name="20% - Accent4 4 8 2" xfId="19484"/>
    <cellStyle name="20% - Accent4 4 8 2 2" xfId="42343"/>
    <cellStyle name="20% - Accent4 4 8 3" xfId="30041"/>
    <cellStyle name="20% - Accent4 4 9" xfId="10695"/>
    <cellStyle name="20% - Accent4 4 9 2" xfId="33555"/>
    <cellStyle name="20% - Accent4 5" xfId="202"/>
    <cellStyle name="20% - Accent4 5 10" xfId="23067"/>
    <cellStyle name="20% - Accent4 5 2" xfId="414"/>
    <cellStyle name="20% - Accent4 5 2 2" xfId="855"/>
    <cellStyle name="20% - Accent4 5 2 2 2" xfId="1734"/>
    <cellStyle name="20% - Accent4 5 2 2 2 2" xfId="3495"/>
    <cellStyle name="20% - Accent4 5 2 2 2 2 2" xfId="7010"/>
    <cellStyle name="20% - Accent4 5 2 2 2 2 2 2" xfId="19314"/>
    <cellStyle name="20% - Accent4 5 2 2 2 2 2 2 2" xfId="42173"/>
    <cellStyle name="20% - Accent4 5 2 2 2 2 2 3" xfId="29871"/>
    <cellStyle name="20% - Accent4 5 2 2 2 2 3" xfId="10525"/>
    <cellStyle name="20% - Accent4 5 2 2 2 2 3 2" xfId="22829"/>
    <cellStyle name="20% - Accent4 5 2 2 2 2 3 2 2" xfId="45688"/>
    <cellStyle name="20% - Accent4 5 2 2 2 2 3 3" xfId="33386"/>
    <cellStyle name="20% - Accent4 5 2 2 2 2 4" xfId="15799"/>
    <cellStyle name="20% - Accent4 5 2 2 2 2 4 2" xfId="38658"/>
    <cellStyle name="20% - Accent4 5 2 2 2 2 5" xfId="26356"/>
    <cellStyle name="20% - Accent4 5 2 2 2 3" xfId="5252"/>
    <cellStyle name="20% - Accent4 5 2 2 2 3 2" xfId="17556"/>
    <cellStyle name="20% - Accent4 5 2 2 2 3 2 2" xfId="40415"/>
    <cellStyle name="20% - Accent4 5 2 2 2 3 3" xfId="28113"/>
    <cellStyle name="20% - Accent4 5 2 2 2 4" xfId="8767"/>
    <cellStyle name="20% - Accent4 5 2 2 2 4 2" xfId="21071"/>
    <cellStyle name="20% - Accent4 5 2 2 2 4 2 2" xfId="43930"/>
    <cellStyle name="20% - Accent4 5 2 2 2 4 3" xfId="31628"/>
    <cellStyle name="20% - Accent4 5 2 2 2 5" xfId="12282"/>
    <cellStyle name="20% - Accent4 5 2 2 2 5 2" xfId="35142"/>
    <cellStyle name="20% - Accent4 5 2 2 2 6" xfId="14041"/>
    <cellStyle name="20% - Accent4 5 2 2 2 6 2" xfId="36900"/>
    <cellStyle name="20% - Accent4 5 2 2 2 7" xfId="24597"/>
    <cellStyle name="20% - Accent4 5 2 2 3" xfId="2617"/>
    <cellStyle name="20% - Accent4 5 2 2 3 2" xfId="6132"/>
    <cellStyle name="20% - Accent4 5 2 2 3 2 2" xfId="18436"/>
    <cellStyle name="20% - Accent4 5 2 2 3 2 2 2" xfId="41295"/>
    <cellStyle name="20% - Accent4 5 2 2 3 2 3" xfId="28993"/>
    <cellStyle name="20% - Accent4 5 2 2 3 3" xfId="9647"/>
    <cellStyle name="20% - Accent4 5 2 2 3 3 2" xfId="21951"/>
    <cellStyle name="20% - Accent4 5 2 2 3 3 2 2" xfId="44810"/>
    <cellStyle name="20% - Accent4 5 2 2 3 3 3" xfId="32508"/>
    <cellStyle name="20% - Accent4 5 2 2 3 4" xfId="14921"/>
    <cellStyle name="20% - Accent4 5 2 2 3 4 2" xfId="37780"/>
    <cellStyle name="20% - Accent4 5 2 2 3 5" xfId="25478"/>
    <cellStyle name="20% - Accent4 5 2 2 4" xfId="4374"/>
    <cellStyle name="20% - Accent4 5 2 2 4 2" xfId="16678"/>
    <cellStyle name="20% - Accent4 5 2 2 4 2 2" xfId="39537"/>
    <cellStyle name="20% - Accent4 5 2 2 4 3" xfId="27235"/>
    <cellStyle name="20% - Accent4 5 2 2 5" xfId="7889"/>
    <cellStyle name="20% - Accent4 5 2 2 5 2" xfId="20193"/>
    <cellStyle name="20% - Accent4 5 2 2 5 2 2" xfId="43052"/>
    <cellStyle name="20% - Accent4 5 2 2 5 3" xfId="30750"/>
    <cellStyle name="20% - Accent4 5 2 2 6" xfId="11404"/>
    <cellStyle name="20% - Accent4 5 2 2 6 2" xfId="34264"/>
    <cellStyle name="20% - Accent4 5 2 2 7" xfId="13163"/>
    <cellStyle name="20% - Accent4 5 2 2 7 2" xfId="36022"/>
    <cellStyle name="20% - Accent4 5 2 2 8" xfId="23719"/>
    <cellStyle name="20% - Accent4 5 2 3" xfId="1295"/>
    <cellStyle name="20% - Accent4 5 2 3 2" xfId="3056"/>
    <cellStyle name="20% - Accent4 5 2 3 2 2" xfId="6571"/>
    <cellStyle name="20% - Accent4 5 2 3 2 2 2" xfId="18875"/>
    <cellStyle name="20% - Accent4 5 2 3 2 2 2 2" xfId="41734"/>
    <cellStyle name="20% - Accent4 5 2 3 2 2 3" xfId="29432"/>
    <cellStyle name="20% - Accent4 5 2 3 2 3" xfId="10086"/>
    <cellStyle name="20% - Accent4 5 2 3 2 3 2" xfId="22390"/>
    <cellStyle name="20% - Accent4 5 2 3 2 3 2 2" xfId="45249"/>
    <cellStyle name="20% - Accent4 5 2 3 2 3 3" xfId="32947"/>
    <cellStyle name="20% - Accent4 5 2 3 2 4" xfId="15360"/>
    <cellStyle name="20% - Accent4 5 2 3 2 4 2" xfId="38219"/>
    <cellStyle name="20% - Accent4 5 2 3 2 5" xfId="25917"/>
    <cellStyle name="20% - Accent4 5 2 3 3" xfId="4813"/>
    <cellStyle name="20% - Accent4 5 2 3 3 2" xfId="17117"/>
    <cellStyle name="20% - Accent4 5 2 3 3 2 2" xfId="39976"/>
    <cellStyle name="20% - Accent4 5 2 3 3 3" xfId="27674"/>
    <cellStyle name="20% - Accent4 5 2 3 4" xfId="8328"/>
    <cellStyle name="20% - Accent4 5 2 3 4 2" xfId="20632"/>
    <cellStyle name="20% - Accent4 5 2 3 4 2 2" xfId="43491"/>
    <cellStyle name="20% - Accent4 5 2 3 4 3" xfId="31189"/>
    <cellStyle name="20% - Accent4 5 2 3 5" xfId="11843"/>
    <cellStyle name="20% - Accent4 5 2 3 5 2" xfId="34703"/>
    <cellStyle name="20% - Accent4 5 2 3 6" xfId="13602"/>
    <cellStyle name="20% - Accent4 5 2 3 6 2" xfId="36461"/>
    <cellStyle name="20% - Accent4 5 2 3 7" xfId="24158"/>
    <cellStyle name="20% - Accent4 5 2 4" xfId="2178"/>
    <cellStyle name="20% - Accent4 5 2 4 2" xfId="5693"/>
    <cellStyle name="20% - Accent4 5 2 4 2 2" xfId="17997"/>
    <cellStyle name="20% - Accent4 5 2 4 2 2 2" xfId="40856"/>
    <cellStyle name="20% - Accent4 5 2 4 2 3" xfId="28554"/>
    <cellStyle name="20% - Accent4 5 2 4 3" xfId="9208"/>
    <cellStyle name="20% - Accent4 5 2 4 3 2" xfId="21512"/>
    <cellStyle name="20% - Accent4 5 2 4 3 2 2" xfId="44371"/>
    <cellStyle name="20% - Accent4 5 2 4 3 3" xfId="32069"/>
    <cellStyle name="20% - Accent4 5 2 4 4" xfId="14482"/>
    <cellStyle name="20% - Accent4 5 2 4 4 2" xfId="37341"/>
    <cellStyle name="20% - Accent4 5 2 4 5" xfId="25039"/>
    <cellStyle name="20% - Accent4 5 2 5" xfId="3935"/>
    <cellStyle name="20% - Accent4 5 2 5 2" xfId="16239"/>
    <cellStyle name="20% - Accent4 5 2 5 2 2" xfId="39098"/>
    <cellStyle name="20% - Accent4 5 2 5 3" xfId="26796"/>
    <cellStyle name="20% - Accent4 5 2 6" xfId="7450"/>
    <cellStyle name="20% - Accent4 5 2 6 2" xfId="19754"/>
    <cellStyle name="20% - Accent4 5 2 6 2 2" xfId="42613"/>
    <cellStyle name="20% - Accent4 5 2 6 3" xfId="30311"/>
    <cellStyle name="20% - Accent4 5 2 7" xfId="10965"/>
    <cellStyle name="20% - Accent4 5 2 7 2" xfId="33825"/>
    <cellStyle name="20% - Accent4 5 2 8" xfId="12724"/>
    <cellStyle name="20% - Accent4 5 2 8 2" xfId="35583"/>
    <cellStyle name="20% - Accent4 5 2 9" xfId="23279"/>
    <cellStyle name="20% - Accent4 5 3" xfId="643"/>
    <cellStyle name="20% - Accent4 5 3 2" xfId="1522"/>
    <cellStyle name="20% - Accent4 5 3 2 2" xfId="3283"/>
    <cellStyle name="20% - Accent4 5 3 2 2 2" xfId="6798"/>
    <cellStyle name="20% - Accent4 5 3 2 2 2 2" xfId="19102"/>
    <cellStyle name="20% - Accent4 5 3 2 2 2 2 2" xfId="41961"/>
    <cellStyle name="20% - Accent4 5 3 2 2 2 3" xfId="29659"/>
    <cellStyle name="20% - Accent4 5 3 2 2 3" xfId="10313"/>
    <cellStyle name="20% - Accent4 5 3 2 2 3 2" xfId="22617"/>
    <cellStyle name="20% - Accent4 5 3 2 2 3 2 2" xfId="45476"/>
    <cellStyle name="20% - Accent4 5 3 2 2 3 3" xfId="33174"/>
    <cellStyle name="20% - Accent4 5 3 2 2 4" xfId="15587"/>
    <cellStyle name="20% - Accent4 5 3 2 2 4 2" xfId="38446"/>
    <cellStyle name="20% - Accent4 5 3 2 2 5" xfId="26144"/>
    <cellStyle name="20% - Accent4 5 3 2 3" xfId="5040"/>
    <cellStyle name="20% - Accent4 5 3 2 3 2" xfId="17344"/>
    <cellStyle name="20% - Accent4 5 3 2 3 2 2" xfId="40203"/>
    <cellStyle name="20% - Accent4 5 3 2 3 3" xfId="27901"/>
    <cellStyle name="20% - Accent4 5 3 2 4" xfId="8555"/>
    <cellStyle name="20% - Accent4 5 3 2 4 2" xfId="20859"/>
    <cellStyle name="20% - Accent4 5 3 2 4 2 2" xfId="43718"/>
    <cellStyle name="20% - Accent4 5 3 2 4 3" xfId="31416"/>
    <cellStyle name="20% - Accent4 5 3 2 5" xfId="12070"/>
    <cellStyle name="20% - Accent4 5 3 2 5 2" xfId="34930"/>
    <cellStyle name="20% - Accent4 5 3 2 6" xfId="13829"/>
    <cellStyle name="20% - Accent4 5 3 2 6 2" xfId="36688"/>
    <cellStyle name="20% - Accent4 5 3 2 7" xfId="24385"/>
    <cellStyle name="20% - Accent4 5 3 3" xfId="2405"/>
    <cellStyle name="20% - Accent4 5 3 3 2" xfId="5920"/>
    <cellStyle name="20% - Accent4 5 3 3 2 2" xfId="18224"/>
    <cellStyle name="20% - Accent4 5 3 3 2 2 2" xfId="41083"/>
    <cellStyle name="20% - Accent4 5 3 3 2 3" xfId="28781"/>
    <cellStyle name="20% - Accent4 5 3 3 3" xfId="9435"/>
    <cellStyle name="20% - Accent4 5 3 3 3 2" xfId="21739"/>
    <cellStyle name="20% - Accent4 5 3 3 3 2 2" xfId="44598"/>
    <cellStyle name="20% - Accent4 5 3 3 3 3" xfId="32296"/>
    <cellStyle name="20% - Accent4 5 3 3 4" xfId="14709"/>
    <cellStyle name="20% - Accent4 5 3 3 4 2" xfId="37568"/>
    <cellStyle name="20% - Accent4 5 3 3 5" xfId="25266"/>
    <cellStyle name="20% - Accent4 5 3 4" xfId="4162"/>
    <cellStyle name="20% - Accent4 5 3 4 2" xfId="16466"/>
    <cellStyle name="20% - Accent4 5 3 4 2 2" xfId="39325"/>
    <cellStyle name="20% - Accent4 5 3 4 3" xfId="27023"/>
    <cellStyle name="20% - Accent4 5 3 5" xfId="7677"/>
    <cellStyle name="20% - Accent4 5 3 5 2" xfId="19981"/>
    <cellStyle name="20% - Accent4 5 3 5 2 2" xfId="42840"/>
    <cellStyle name="20% - Accent4 5 3 5 3" xfId="30538"/>
    <cellStyle name="20% - Accent4 5 3 6" xfId="11192"/>
    <cellStyle name="20% - Accent4 5 3 6 2" xfId="34052"/>
    <cellStyle name="20% - Accent4 5 3 7" xfId="12951"/>
    <cellStyle name="20% - Accent4 5 3 7 2" xfId="35810"/>
    <cellStyle name="20% - Accent4 5 3 8" xfId="23507"/>
    <cellStyle name="20% - Accent4 5 4" xfId="1083"/>
    <cellStyle name="20% - Accent4 5 4 2" xfId="2844"/>
    <cellStyle name="20% - Accent4 5 4 2 2" xfId="6359"/>
    <cellStyle name="20% - Accent4 5 4 2 2 2" xfId="18663"/>
    <cellStyle name="20% - Accent4 5 4 2 2 2 2" xfId="41522"/>
    <cellStyle name="20% - Accent4 5 4 2 2 3" xfId="29220"/>
    <cellStyle name="20% - Accent4 5 4 2 3" xfId="9874"/>
    <cellStyle name="20% - Accent4 5 4 2 3 2" xfId="22178"/>
    <cellStyle name="20% - Accent4 5 4 2 3 2 2" xfId="45037"/>
    <cellStyle name="20% - Accent4 5 4 2 3 3" xfId="32735"/>
    <cellStyle name="20% - Accent4 5 4 2 4" xfId="15148"/>
    <cellStyle name="20% - Accent4 5 4 2 4 2" xfId="38007"/>
    <cellStyle name="20% - Accent4 5 4 2 5" xfId="25705"/>
    <cellStyle name="20% - Accent4 5 4 3" xfId="4601"/>
    <cellStyle name="20% - Accent4 5 4 3 2" xfId="16905"/>
    <cellStyle name="20% - Accent4 5 4 3 2 2" xfId="39764"/>
    <cellStyle name="20% - Accent4 5 4 3 3" xfId="27462"/>
    <cellStyle name="20% - Accent4 5 4 4" xfId="8116"/>
    <cellStyle name="20% - Accent4 5 4 4 2" xfId="20420"/>
    <cellStyle name="20% - Accent4 5 4 4 2 2" xfId="43279"/>
    <cellStyle name="20% - Accent4 5 4 4 3" xfId="30977"/>
    <cellStyle name="20% - Accent4 5 4 5" xfId="11631"/>
    <cellStyle name="20% - Accent4 5 4 5 2" xfId="34491"/>
    <cellStyle name="20% - Accent4 5 4 6" xfId="13390"/>
    <cellStyle name="20% - Accent4 5 4 6 2" xfId="36249"/>
    <cellStyle name="20% - Accent4 5 4 7" xfId="23946"/>
    <cellStyle name="20% - Accent4 5 5" xfId="1966"/>
    <cellStyle name="20% - Accent4 5 5 2" xfId="5481"/>
    <cellStyle name="20% - Accent4 5 5 2 2" xfId="17785"/>
    <cellStyle name="20% - Accent4 5 5 2 2 2" xfId="40644"/>
    <cellStyle name="20% - Accent4 5 5 2 3" xfId="28342"/>
    <cellStyle name="20% - Accent4 5 5 3" xfId="8996"/>
    <cellStyle name="20% - Accent4 5 5 3 2" xfId="21300"/>
    <cellStyle name="20% - Accent4 5 5 3 2 2" xfId="44159"/>
    <cellStyle name="20% - Accent4 5 5 3 3" xfId="31857"/>
    <cellStyle name="20% - Accent4 5 5 4" xfId="14270"/>
    <cellStyle name="20% - Accent4 5 5 4 2" xfId="37129"/>
    <cellStyle name="20% - Accent4 5 5 5" xfId="24827"/>
    <cellStyle name="20% - Accent4 5 6" xfId="3723"/>
    <cellStyle name="20% - Accent4 5 6 2" xfId="16027"/>
    <cellStyle name="20% - Accent4 5 6 2 2" xfId="38886"/>
    <cellStyle name="20% - Accent4 5 6 3" xfId="26584"/>
    <cellStyle name="20% - Accent4 5 7" xfId="7238"/>
    <cellStyle name="20% - Accent4 5 7 2" xfId="19542"/>
    <cellStyle name="20% - Accent4 5 7 2 2" xfId="42401"/>
    <cellStyle name="20% - Accent4 5 7 3" xfId="30099"/>
    <cellStyle name="20% - Accent4 5 8" xfId="10753"/>
    <cellStyle name="20% - Accent4 5 8 2" xfId="33613"/>
    <cellStyle name="20% - Accent4 5 9" xfId="12512"/>
    <cellStyle name="20% - Accent4 5 9 2" xfId="35371"/>
    <cellStyle name="20% - Accent4 6" xfId="308"/>
    <cellStyle name="20% - Accent4 6 2" xfId="749"/>
    <cellStyle name="20% - Accent4 6 2 2" xfId="1628"/>
    <cellStyle name="20% - Accent4 6 2 2 2" xfId="3389"/>
    <cellStyle name="20% - Accent4 6 2 2 2 2" xfId="6904"/>
    <cellStyle name="20% - Accent4 6 2 2 2 2 2" xfId="19208"/>
    <cellStyle name="20% - Accent4 6 2 2 2 2 2 2" xfId="42067"/>
    <cellStyle name="20% - Accent4 6 2 2 2 2 3" xfId="29765"/>
    <cellStyle name="20% - Accent4 6 2 2 2 3" xfId="10419"/>
    <cellStyle name="20% - Accent4 6 2 2 2 3 2" xfId="22723"/>
    <cellStyle name="20% - Accent4 6 2 2 2 3 2 2" xfId="45582"/>
    <cellStyle name="20% - Accent4 6 2 2 2 3 3" xfId="33280"/>
    <cellStyle name="20% - Accent4 6 2 2 2 4" xfId="15693"/>
    <cellStyle name="20% - Accent4 6 2 2 2 4 2" xfId="38552"/>
    <cellStyle name="20% - Accent4 6 2 2 2 5" xfId="26250"/>
    <cellStyle name="20% - Accent4 6 2 2 3" xfId="5146"/>
    <cellStyle name="20% - Accent4 6 2 2 3 2" xfId="17450"/>
    <cellStyle name="20% - Accent4 6 2 2 3 2 2" xfId="40309"/>
    <cellStyle name="20% - Accent4 6 2 2 3 3" xfId="28007"/>
    <cellStyle name="20% - Accent4 6 2 2 4" xfId="8661"/>
    <cellStyle name="20% - Accent4 6 2 2 4 2" xfId="20965"/>
    <cellStyle name="20% - Accent4 6 2 2 4 2 2" xfId="43824"/>
    <cellStyle name="20% - Accent4 6 2 2 4 3" xfId="31522"/>
    <cellStyle name="20% - Accent4 6 2 2 5" xfId="12176"/>
    <cellStyle name="20% - Accent4 6 2 2 5 2" xfId="35036"/>
    <cellStyle name="20% - Accent4 6 2 2 6" xfId="13935"/>
    <cellStyle name="20% - Accent4 6 2 2 6 2" xfId="36794"/>
    <cellStyle name="20% - Accent4 6 2 2 7" xfId="24491"/>
    <cellStyle name="20% - Accent4 6 2 3" xfId="2511"/>
    <cellStyle name="20% - Accent4 6 2 3 2" xfId="6026"/>
    <cellStyle name="20% - Accent4 6 2 3 2 2" xfId="18330"/>
    <cellStyle name="20% - Accent4 6 2 3 2 2 2" xfId="41189"/>
    <cellStyle name="20% - Accent4 6 2 3 2 3" xfId="28887"/>
    <cellStyle name="20% - Accent4 6 2 3 3" xfId="9541"/>
    <cellStyle name="20% - Accent4 6 2 3 3 2" xfId="21845"/>
    <cellStyle name="20% - Accent4 6 2 3 3 2 2" xfId="44704"/>
    <cellStyle name="20% - Accent4 6 2 3 3 3" xfId="32402"/>
    <cellStyle name="20% - Accent4 6 2 3 4" xfId="14815"/>
    <cellStyle name="20% - Accent4 6 2 3 4 2" xfId="37674"/>
    <cellStyle name="20% - Accent4 6 2 3 5" xfId="25372"/>
    <cellStyle name="20% - Accent4 6 2 4" xfId="4268"/>
    <cellStyle name="20% - Accent4 6 2 4 2" xfId="16572"/>
    <cellStyle name="20% - Accent4 6 2 4 2 2" xfId="39431"/>
    <cellStyle name="20% - Accent4 6 2 4 3" xfId="27129"/>
    <cellStyle name="20% - Accent4 6 2 5" xfId="7783"/>
    <cellStyle name="20% - Accent4 6 2 5 2" xfId="20087"/>
    <cellStyle name="20% - Accent4 6 2 5 2 2" xfId="42946"/>
    <cellStyle name="20% - Accent4 6 2 5 3" xfId="30644"/>
    <cellStyle name="20% - Accent4 6 2 6" xfId="11298"/>
    <cellStyle name="20% - Accent4 6 2 6 2" xfId="34158"/>
    <cellStyle name="20% - Accent4 6 2 7" xfId="13057"/>
    <cellStyle name="20% - Accent4 6 2 7 2" xfId="35916"/>
    <cellStyle name="20% - Accent4 6 2 8" xfId="23613"/>
    <cellStyle name="20% - Accent4 6 3" xfId="1189"/>
    <cellStyle name="20% - Accent4 6 3 2" xfId="2950"/>
    <cellStyle name="20% - Accent4 6 3 2 2" xfId="6465"/>
    <cellStyle name="20% - Accent4 6 3 2 2 2" xfId="18769"/>
    <cellStyle name="20% - Accent4 6 3 2 2 2 2" xfId="41628"/>
    <cellStyle name="20% - Accent4 6 3 2 2 3" xfId="29326"/>
    <cellStyle name="20% - Accent4 6 3 2 3" xfId="9980"/>
    <cellStyle name="20% - Accent4 6 3 2 3 2" xfId="22284"/>
    <cellStyle name="20% - Accent4 6 3 2 3 2 2" xfId="45143"/>
    <cellStyle name="20% - Accent4 6 3 2 3 3" xfId="32841"/>
    <cellStyle name="20% - Accent4 6 3 2 4" xfId="15254"/>
    <cellStyle name="20% - Accent4 6 3 2 4 2" xfId="38113"/>
    <cellStyle name="20% - Accent4 6 3 2 5" xfId="25811"/>
    <cellStyle name="20% - Accent4 6 3 3" xfId="4707"/>
    <cellStyle name="20% - Accent4 6 3 3 2" xfId="17011"/>
    <cellStyle name="20% - Accent4 6 3 3 2 2" xfId="39870"/>
    <cellStyle name="20% - Accent4 6 3 3 3" xfId="27568"/>
    <cellStyle name="20% - Accent4 6 3 4" xfId="8222"/>
    <cellStyle name="20% - Accent4 6 3 4 2" xfId="20526"/>
    <cellStyle name="20% - Accent4 6 3 4 2 2" xfId="43385"/>
    <cellStyle name="20% - Accent4 6 3 4 3" xfId="31083"/>
    <cellStyle name="20% - Accent4 6 3 5" xfId="11737"/>
    <cellStyle name="20% - Accent4 6 3 5 2" xfId="34597"/>
    <cellStyle name="20% - Accent4 6 3 6" xfId="13496"/>
    <cellStyle name="20% - Accent4 6 3 6 2" xfId="36355"/>
    <cellStyle name="20% - Accent4 6 3 7" xfId="24052"/>
    <cellStyle name="20% - Accent4 6 4" xfId="2072"/>
    <cellStyle name="20% - Accent4 6 4 2" xfId="5587"/>
    <cellStyle name="20% - Accent4 6 4 2 2" xfId="17891"/>
    <cellStyle name="20% - Accent4 6 4 2 2 2" xfId="40750"/>
    <cellStyle name="20% - Accent4 6 4 2 3" xfId="28448"/>
    <cellStyle name="20% - Accent4 6 4 3" xfId="9102"/>
    <cellStyle name="20% - Accent4 6 4 3 2" xfId="21406"/>
    <cellStyle name="20% - Accent4 6 4 3 2 2" xfId="44265"/>
    <cellStyle name="20% - Accent4 6 4 3 3" xfId="31963"/>
    <cellStyle name="20% - Accent4 6 4 4" xfId="14376"/>
    <cellStyle name="20% - Accent4 6 4 4 2" xfId="37235"/>
    <cellStyle name="20% - Accent4 6 4 5" xfId="24933"/>
    <cellStyle name="20% - Accent4 6 5" xfId="3829"/>
    <cellStyle name="20% - Accent4 6 5 2" xfId="16133"/>
    <cellStyle name="20% - Accent4 6 5 2 2" xfId="38992"/>
    <cellStyle name="20% - Accent4 6 5 3" xfId="26690"/>
    <cellStyle name="20% - Accent4 6 6" xfId="7344"/>
    <cellStyle name="20% - Accent4 6 6 2" xfId="19648"/>
    <cellStyle name="20% - Accent4 6 6 2 2" xfId="42507"/>
    <cellStyle name="20% - Accent4 6 6 3" xfId="30205"/>
    <cellStyle name="20% - Accent4 6 7" xfId="10859"/>
    <cellStyle name="20% - Accent4 6 7 2" xfId="33719"/>
    <cellStyle name="20% - Accent4 6 8" xfId="12618"/>
    <cellStyle name="20% - Accent4 6 8 2" xfId="35477"/>
    <cellStyle name="20% - Accent4 6 9" xfId="23173"/>
    <cellStyle name="20% - Accent4 7" xfId="515"/>
    <cellStyle name="20% - Accent4 7 2" xfId="956"/>
    <cellStyle name="20% - Accent4 7 2 2" xfId="1835"/>
    <cellStyle name="20% - Accent4 7 2 2 2" xfId="3596"/>
    <cellStyle name="20% - Accent4 7 2 2 2 2" xfId="7111"/>
    <cellStyle name="20% - Accent4 7 2 2 2 2 2" xfId="19415"/>
    <cellStyle name="20% - Accent4 7 2 2 2 2 2 2" xfId="42274"/>
    <cellStyle name="20% - Accent4 7 2 2 2 2 3" xfId="29972"/>
    <cellStyle name="20% - Accent4 7 2 2 2 3" xfId="10626"/>
    <cellStyle name="20% - Accent4 7 2 2 2 3 2" xfId="22930"/>
    <cellStyle name="20% - Accent4 7 2 2 2 3 2 2" xfId="45789"/>
    <cellStyle name="20% - Accent4 7 2 2 2 3 3" xfId="33487"/>
    <cellStyle name="20% - Accent4 7 2 2 2 4" xfId="15900"/>
    <cellStyle name="20% - Accent4 7 2 2 2 4 2" xfId="38759"/>
    <cellStyle name="20% - Accent4 7 2 2 2 5" xfId="26457"/>
    <cellStyle name="20% - Accent4 7 2 2 3" xfId="5353"/>
    <cellStyle name="20% - Accent4 7 2 2 3 2" xfId="17657"/>
    <cellStyle name="20% - Accent4 7 2 2 3 2 2" xfId="40516"/>
    <cellStyle name="20% - Accent4 7 2 2 3 3" xfId="28214"/>
    <cellStyle name="20% - Accent4 7 2 2 4" xfId="8868"/>
    <cellStyle name="20% - Accent4 7 2 2 4 2" xfId="21172"/>
    <cellStyle name="20% - Accent4 7 2 2 4 2 2" xfId="44031"/>
    <cellStyle name="20% - Accent4 7 2 2 4 3" xfId="31729"/>
    <cellStyle name="20% - Accent4 7 2 2 5" xfId="12383"/>
    <cellStyle name="20% - Accent4 7 2 2 5 2" xfId="35243"/>
    <cellStyle name="20% - Accent4 7 2 2 6" xfId="14142"/>
    <cellStyle name="20% - Accent4 7 2 2 6 2" xfId="37001"/>
    <cellStyle name="20% - Accent4 7 2 2 7" xfId="24698"/>
    <cellStyle name="20% - Accent4 7 2 3" xfId="2718"/>
    <cellStyle name="20% - Accent4 7 2 3 2" xfId="6233"/>
    <cellStyle name="20% - Accent4 7 2 3 2 2" xfId="18537"/>
    <cellStyle name="20% - Accent4 7 2 3 2 2 2" xfId="41396"/>
    <cellStyle name="20% - Accent4 7 2 3 2 3" xfId="29094"/>
    <cellStyle name="20% - Accent4 7 2 3 3" xfId="9748"/>
    <cellStyle name="20% - Accent4 7 2 3 3 2" xfId="22052"/>
    <cellStyle name="20% - Accent4 7 2 3 3 2 2" xfId="44911"/>
    <cellStyle name="20% - Accent4 7 2 3 3 3" xfId="32609"/>
    <cellStyle name="20% - Accent4 7 2 3 4" xfId="15022"/>
    <cellStyle name="20% - Accent4 7 2 3 4 2" xfId="37881"/>
    <cellStyle name="20% - Accent4 7 2 3 5" xfId="25579"/>
    <cellStyle name="20% - Accent4 7 2 4" xfId="4475"/>
    <cellStyle name="20% - Accent4 7 2 4 2" xfId="16779"/>
    <cellStyle name="20% - Accent4 7 2 4 2 2" xfId="39638"/>
    <cellStyle name="20% - Accent4 7 2 4 3" xfId="27336"/>
    <cellStyle name="20% - Accent4 7 2 5" xfId="7990"/>
    <cellStyle name="20% - Accent4 7 2 5 2" xfId="20294"/>
    <cellStyle name="20% - Accent4 7 2 5 2 2" xfId="43153"/>
    <cellStyle name="20% - Accent4 7 2 5 3" xfId="30851"/>
    <cellStyle name="20% - Accent4 7 2 6" xfId="11505"/>
    <cellStyle name="20% - Accent4 7 2 6 2" xfId="34365"/>
    <cellStyle name="20% - Accent4 7 2 7" xfId="13264"/>
    <cellStyle name="20% - Accent4 7 2 7 2" xfId="36123"/>
    <cellStyle name="20% - Accent4 7 2 8" xfId="23820"/>
    <cellStyle name="20% - Accent4 7 3" xfId="1396"/>
    <cellStyle name="20% - Accent4 7 3 2" xfId="3157"/>
    <cellStyle name="20% - Accent4 7 3 2 2" xfId="6672"/>
    <cellStyle name="20% - Accent4 7 3 2 2 2" xfId="18976"/>
    <cellStyle name="20% - Accent4 7 3 2 2 2 2" xfId="41835"/>
    <cellStyle name="20% - Accent4 7 3 2 2 3" xfId="29533"/>
    <cellStyle name="20% - Accent4 7 3 2 3" xfId="10187"/>
    <cellStyle name="20% - Accent4 7 3 2 3 2" xfId="22491"/>
    <cellStyle name="20% - Accent4 7 3 2 3 2 2" xfId="45350"/>
    <cellStyle name="20% - Accent4 7 3 2 3 3" xfId="33048"/>
    <cellStyle name="20% - Accent4 7 3 2 4" xfId="15461"/>
    <cellStyle name="20% - Accent4 7 3 2 4 2" xfId="38320"/>
    <cellStyle name="20% - Accent4 7 3 2 5" xfId="26018"/>
    <cellStyle name="20% - Accent4 7 3 3" xfId="4914"/>
    <cellStyle name="20% - Accent4 7 3 3 2" xfId="17218"/>
    <cellStyle name="20% - Accent4 7 3 3 2 2" xfId="40077"/>
    <cellStyle name="20% - Accent4 7 3 3 3" xfId="27775"/>
    <cellStyle name="20% - Accent4 7 3 4" xfId="8429"/>
    <cellStyle name="20% - Accent4 7 3 4 2" xfId="20733"/>
    <cellStyle name="20% - Accent4 7 3 4 2 2" xfId="43592"/>
    <cellStyle name="20% - Accent4 7 3 4 3" xfId="31290"/>
    <cellStyle name="20% - Accent4 7 3 5" xfId="11944"/>
    <cellStyle name="20% - Accent4 7 3 5 2" xfId="34804"/>
    <cellStyle name="20% - Accent4 7 3 6" xfId="13703"/>
    <cellStyle name="20% - Accent4 7 3 6 2" xfId="36562"/>
    <cellStyle name="20% - Accent4 7 3 7" xfId="24259"/>
    <cellStyle name="20% - Accent4 7 4" xfId="2279"/>
    <cellStyle name="20% - Accent4 7 4 2" xfId="5794"/>
    <cellStyle name="20% - Accent4 7 4 2 2" xfId="18098"/>
    <cellStyle name="20% - Accent4 7 4 2 2 2" xfId="40957"/>
    <cellStyle name="20% - Accent4 7 4 2 3" xfId="28655"/>
    <cellStyle name="20% - Accent4 7 4 3" xfId="9309"/>
    <cellStyle name="20% - Accent4 7 4 3 2" xfId="21613"/>
    <cellStyle name="20% - Accent4 7 4 3 2 2" xfId="44472"/>
    <cellStyle name="20% - Accent4 7 4 3 3" xfId="32170"/>
    <cellStyle name="20% - Accent4 7 4 4" xfId="14583"/>
    <cellStyle name="20% - Accent4 7 4 4 2" xfId="37442"/>
    <cellStyle name="20% - Accent4 7 4 5" xfId="25140"/>
    <cellStyle name="20% - Accent4 7 5" xfId="4036"/>
    <cellStyle name="20% - Accent4 7 5 2" xfId="16340"/>
    <cellStyle name="20% - Accent4 7 5 2 2" xfId="39199"/>
    <cellStyle name="20% - Accent4 7 5 3" xfId="26897"/>
    <cellStyle name="20% - Accent4 7 6" xfId="7551"/>
    <cellStyle name="20% - Accent4 7 6 2" xfId="19855"/>
    <cellStyle name="20% - Accent4 7 6 2 2" xfId="42714"/>
    <cellStyle name="20% - Accent4 7 6 3" xfId="30412"/>
    <cellStyle name="20% - Accent4 7 7" xfId="11066"/>
    <cellStyle name="20% - Accent4 7 7 2" xfId="33926"/>
    <cellStyle name="20% - Accent4 7 8" xfId="12825"/>
    <cellStyle name="20% - Accent4 7 8 2" xfId="35684"/>
    <cellStyle name="20% - Accent4 7 9" xfId="23380"/>
    <cellStyle name="20% - Accent4 8" xfId="528"/>
    <cellStyle name="20% - Accent4 8 2" xfId="1409"/>
    <cellStyle name="20% - Accent4 8 2 2" xfId="3170"/>
    <cellStyle name="20% - Accent4 8 2 2 2" xfId="6685"/>
    <cellStyle name="20% - Accent4 8 2 2 2 2" xfId="18989"/>
    <cellStyle name="20% - Accent4 8 2 2 2 2 2" xfId="41848"/>
    <cellStyle name="20% - Accent4 8 2 2 2 3" xfId="29546"/>
    <cellStyle name="20% - Accent4 8 2 2 3" xfId="10200"/>
    <cellStyle name="20% - Accent4 8 2 2 3 2" xfId="22504"/>
    <cellStyle name="20% - Accent4 8 2 2 3 2 2" xfId="45363"/>
    <cellStyle name="20% - Accent4 8 2 2 3 3" xfId="33061"/>
    <cellStyle name="20% - Accent4 8 2 2 4" xfId="15474"/>
    <cellStyle name="20% - Accent4 8 2 2 4 2" xfId="38333"/>
    <cellStyle name="20% - Accent4 8 2 2 5" xfId="26031"/>
    <cellStyle name="20% - Accent4 8 2 3" xfId="4927"/>
    <cellStyle name="20% - Accent4 8 2 3 2" xfId="17231"/>
    <cellStyle name="20% - Accent4 8 2 3 2 2" xfId="40090"/>
    <cellStyle name="20% - Accent4 8 2 3 3" xfId="27788"/>
    <cellStyle name="20% - Accent4 8 2 4" xfId="8442"/>
    <cellStyle name="20% - Accent4 8 2 4 2" xfId="20746"/>
    <cellStyle name="20% - Accent4 8 2 4 2 2" xfId="43605"/>
    <cellStyle name="20% - Accent4 8 2 4 3" xfId="31303"/>
    <cellStyle name="20% - Accent4 8 2 5" xfId="11957"/>
    <cellStyle name="20% - Accent4 8 2 5 2" xfId="34817"/>
    <cellStyle name="20% - Accent4 8 2 6" xfId="13716"/>
    <cellStyle name="20% - Accent4 8 2 6 2" xfId="36575"/>
    <cellStyle name="20% - Accent4 8 2 7" xfId="24272"/>
    <cellStyle name="20% - Accent4 8 3" xfId="2292"/>
    <cellStyle name="20% - Accent4 8 3 2" xfId="5807"/>
    <cellStyle name="20% - Accent4 8 3 2 2" xfId="18111"/>
    <cellStyle name="20% - Accent4 8 3 2 2 2" xfId="40970"/>
    <cellStyle name="20% - Accent4 8 3 2 3" xfId="28668"/>
    <cellStyle name="20% - Accent4 8 3 3" xfId="9322"/>
    <cellStyle name="20% - Accent4 8 3 3 2" xfId="21626"/>
    <cellStyle name="20% - Accent4 8 3 3 2 2" xfId="44485"/>
    <cellStyle name="20% - Accent4 8 3 3 3" xfId="32183"/>
    <cellStyle name="20% - Accent4 8 3 4" xfId="14596"/>
    <cellStyle name="20% - Accent4 8 3 4 2" xfId="37455"/>
    <cellStyle name="20% - Accent4 8 3 5" xfId="25153"/>
    <cellStyle name="20% - Accent4 8 4" xfId="4049"/>
    <cellStyle name="20% - Accent4 8 4 2" xfId="16353"/>
    <cellStyle name="20% - Accent4 8 4 2 2" xfId="39212"/>
    <cellStyle name="20% - Accent4 8 4 3" xfId="26910"/>
    <cellStyle name="20% - Accent4 8 5" xfId="7564"/>
    <cellStyle name="20% - Accent4 8 5 2" xfId="19868"/>
    <cellStyle name="20% - Accent4 8 5 2 2" xfId="42727"/>
    <cellStyle name="20% - Accent4 8 5 3" xfId="30425"/>
    <cellStyle name="20% - Accent4 8 6" xfId="11079"/>
    <cellStyle name="20% - Accent4 8 6 2" xfId="33939"/>
    <cellStyle name="20% - Accent4 8 7" xfId="12838"/>
    <cellStyle name="20% - Accent4 8 7 2" xfId="35697"/>
    <cellStyle name="20% - Accent4 8 8" xfId="23393"/>
    <cellStyle name="20% - Accent4 9" xfId="977"/>
    <cellStyle name="20% - Accent4 9 2" xfId="2738"/>
    <cellStyle name="20% - Accent4 9 2 2" xfId="6253"/>
    <cellStyle name="20% - Accent4 9 2 2 2" xfId="18557"/>
    <cellStyle name="20% - Accent4 9 2 2 2 2" xfId="41416"/>
    <cellStyle name="20% - Accent4 9 2 2 3" xfId="29114"/>
    <cellStyle name="20% - Accent4 9 2 3" xfId="9768"/>
    <cellStyle name="20% - Accent4 9 2 3 2" xfId="22072"/>
    <cellStyle name="20% - Accent4 9 2 3 2 2" xfId="44931"/>
    <cellStyle name="20% - Accent4 9 2 3 3" xfId="32629"/>
    <cellStyle name="20% - Accent4 9 2 4" xfId="15042"/>
    <cellStyle name="20% - Accent4 9 2 4 2" xfId="37901"/>
    <cellStyle name="20% - Accent4 9 2 5" xfId="25599"/>
    <cellStyle name="20% - Accent4 9 3" xfId="4495"/>
    <cellStyle name="20% - Accent4 9 3 2" xfId="16799"/>
    <cellStyle name="20% - Accent4 9 3 2 2" xfId="39658"/>
    <cellStyle name="20% - Accent4 9 3 3" xfId="27356"/>
    <cellStyle name="20% - Accent4 9 4" xfId="8010"/>
    <cellStyle name="20% - Accent4 9 4 2" xfId="20314"/>
    <cellStyle name="20% - Accent4 9 4 2 2" xfId="43173"/>
    <cellStyle name="20% - Accent4 9 4 3" xfId="30871"/>
    <cellStyle name="20% - Accent4 9 5" xfId="11525"/>
    <cellStyle name="20% - Accent4 9 5 2" xfId="34385"/>
    <cellStyle name="20% - Accent4 9 6" xfId="13284"/>
    <cellStyle name="20% - Accent4 9 6 2" xfId="36143"/>
    <cellStyle name="20% - Accent4 9 7" xfId="23840"/>
    <cellStyle name="20% - Accent5" xfId="91" builtinId="46" customBuiltin="1"/>
    <cellStyle name="20% - Accent5 10" xfId="1853"/>
    <cellStyle name="20% - Accent5 10 2" xfId="5370"/>
    <cellStyle name="20% - Accent5 10 2 2" xfId="17674"/>
    <cellStyle name="20% - Accent5 10 2 2 2" xfId="40533"/>
    <cellStyle name="20% - Accent5 10 2 3" xfId="28231"/>
    <cellStyle name="20% - Accent5 10 3" xfId="8885"/>
    <cellStyle name="20% - Accent5 10 3 2" xfId="21189"/>
    <cellStyle name="20% - Accent5 10 3 2 2" xfId="44048"/>
    <cellStyle name="20% - Accent5 10 3 3" xfId="31746"/>
    <cellStyle name="20% - Accent5 10 4" xfId="14159"/>
    <cellStyle name="20% - Accent5 10 4 2" xfId="37018"/>
    <cellStyle name="20% - Accent5 10 5" xfId="24715"/>
    <cellStyle name="20% - Accent5 11" xfId="3619"/>
    <cellStyle name="20% - Accent5 11 2" xfId="15923"/>
    <cellStyle name="20% - Accent5 11 2 2" xfId="38782"/>
    <cellStyle name="20% - Accent5 11 3" xfId="26480"/>
    <cellStyle name="20% - Accent5 12" xfId="7134"/>
    <cellStyle name="20% - Accent5 12 2" xfId="19438"/>
    <cellStyle name="20% - Accent5 12 2 2" xfId="42297"/>
    <cellStyle name="20% - Accent5 12 3" xfId="29995"/>
    <cellStyle name="20% - Accent5 13" xfId="10649"/>
    <cellStyle name="20% - Accent5 13 2" xfId="33509"/>
    <cellStyle name="20% - Accent5 14" xfId="12399"/>
    <cellStyle name="20% - Accent5 14 2" xfId="35259"/>
    <cellStyle name="20% - Accent5 15" xfId="22961"/>
    <cellStyle name="20% - Accent5 2" xfId="5"/>
    <cellStyle name="20% - Accent5 3" xfId="113"/>
    <cellStyle name="20% - Accent5 3 10" xfId="10668"/>
    <cellStyle name="20% - Accent5 3 10 2" xfId="33528"/>
    <cellStyle name="20% - Accent5 3 11" xfId="12427"/>
    <cellStyle name="20% - Accent5 3 11 2" xfId="35286"/>
    <cellStyle name="20% - Accent5 3 12" xfId="22980"/>
    <cellStyle name="20% - Accent5 3 2" xfId="169"/>
    <cellStyle name="20% - Accent5 3 2 10" xfId="12481"/>
    <cellStyle name="20% - Accent5 3 2 10 2" xfId="35340"/>
    <cellStyle name="20% - Accent5 3 2 11" xfId="23035"/>
    <cellStyle name="20% - Accent5 3 2 2" xfId="277"/>
    <cellStyle name="20% - Accent5 3 2 2 10" xfId="23142"/>
    <cellStyle name="20% - Accent5 3 2 2 2" xfId="489"/>
    <cellStyle name="20% - Accent5 3 2 2 2 2" xfId="930"/>
    <cellStyle name="20% - Accent5 3 2 2 2 2 2" xfId="1809"/>
    <cellStyle name="20% - Accent5 3 2 2 2 2 2 2" xfId="3570"/>
    <cellStyle name="20% - Accent5 3 2 2 2 2 2 2 2" xfId="7085"/>
    <cellStyle name="20% - Accent5 3 2 2 2 2 2 2 2 2" xfId="19389"/>
    <cellStyle name="20% - Accent5 3 2 2 2 2 2 2 2 2 2" xfId="42248"/>
    <cellStyle name="20% - Accent5 3 2 2 2 2 2 2 2 3" xfId="29946"/>
    <cellStyle name="20% - Accent5 3 2 2 2 2 2 2 3" xfId="10600"/>
    <cellStyle name="20% - Accent5 3 2 2 2 2 2 2 3 2" xfId="22904"/>
    <cellStyle name="20% - Accent5 3 2 2 2 2 2 2 3 2 2" xfId="45763"/>
    <cellStyle name="20% - Accent5 3 2 2 2 2 2 2 3 3" xfId="33461"/>
    <cellStyle name="20% - Accent5 3 2 2 2 2 2 2 4" xfId="15874"/>
    <cellStyle name="20% - Accent5 3 2 2 2 2 2 2 4 2" xfId="38733"/>
    <cellStyle name="20% - Accent5 3 2 2 2 2 2 2 5" xfId="26431"/>
    <cellStyle name="20% - Accent5 3 2 2 2 2 2 3" xfId="5327"/>
    <cellStyle name="20% - Accent5 3 2 2 2 2 2 3 2" xfId="17631"/>
    <cellStyle name="20% - Accent5 3 2 2 2 2 2 3 2 2" xfId="40490"/>
    <cellStyle name="20% - Accent5 3 2 2 2 2 2 3 3" xfId="28188"/>
    <cellStyle name="20% - Accent5 3 2 2 2 2 2 4" xfId="8842"/>
    <cellStyle name="20% - Accent5 3 2 2 2 2 2 4 2" xfId="21146"/>
    <cellStyle name="20% - Accent5 3 2 2 2 2 2 4 2 2" xfId="44005"/>
    <cellStyle name="20% - Accent5 3 2 2 2 2 2 4 3" xfId="31703"/>
    <cellStyle name="20% - Accent5 3 2 2 2 2 2 5" xfId="12357"/>
    <cellStyle name="20% - Accent5 3 2 2 2 2 2 5 2" xfId="35217"/>
    <cellStyle name="20% - Accent5 3 2 2 2 2 2 6" xfId="14116"/>
    <cellStyle name="20% - Accent5 3 2 2 2 2 2 6 2" xfId="36975"/>
    <cellStyle name="20% - Accent5 3 2 2 2 2 2 7" xfId="24672"/>
    <cellStyle name="20% - Accent5 3 2 2 2 2 3" xfId="2692"/>
    <cellStyle name="20% - Accent5 3 2 2 2 2 3 2" xfId="6207"/>
    <cellStyle name="20% - Accent5 3 2 2 2 2 3 2 2" xfId="18511"/>
    <cellStyle name="20% - Accent5 3 2 2 2 2 3 2 2 2" xfId="41370"/>
    <cellStyle name="20% - Accent5 3 2 2 2 2 3 2 3" xfId="29068"/>
    <cellStyle name="20% - Accent5 3 2 2 2 2 3 3" xfId="9722"/>
    <cellStyle name="20% - Accent5 3 2 2 2 2 3 3 2" xfId="22026"/>
    <cellStyle name="20% - Accent5 3 2 2 2 2 3 3 2 2" xfId="44885"/>
    <cellStyle name="20% - Accent5 3 2 2 2 2 3 3 3" xfId="32583"/>
    <cellStyle name="20% - Accent5 3 2 2 2 2 3 4" xfId="14996"/>
    <cellStyle name="20% - Accent5 3 2 2 2 2 3 4 2" xfId="37855"/>
    <cellStyle name="20% - Accent5 3 2 2 2 2 3 5" xfId="25553"/>
    <cellStyle name="20% - Accent5 3 2 2 2 2 4" xfId="4449"/>
    <cellStyle name="20% - Accent5 3 2 2 2 2 4 2" xfId="16753"/>
    <cellStyle name="20% - Accent5 3 2 2 2 2 4 2 2" xfId="39612"/>
    <cellStyle name="20% - Accent5 3 2 2 2 2 4 3" xfId="27310"/>
    <cellStyle name="20% - Accent5 3 2 2 2 2 5" xfId="7964"/>
    <cellStyle name="20% - Accent5 3 2 2 2 2 5 2" xfId="20268"/>
    <cellStyle name="20% - Accent5 3 2 2 2 2 5 2 2" xfId="43127"/>
    <cellStyle name="20% - Accent5 3 2 2 2 2 5 3" xfId="30825"/>
    <cellStyle name="20% - Accent5 3 2 2 2 2 6" xfId="11479"/>
    <cellStyle name="20% - Accent5 3 2 2 2 2 6 2" xfId="34339"/>
    <cellStyle name="20% - Accent5 3 2 2 2 2 7" xfId="13238"/>
    <cellStyle name="20% - Accent5 3 2 2 2 2 7 2" xfId="36097"/>
    <cellStyle name="20% - Accent5 3 2 2 2 2 8" xfId="23794"/>
    <cellStyle name="20% - Accent5 3 2 2 2 3" xfId="1370"/>
    <cellStyle name="20% - Accent5 3 2 2 2 3 2" xfId="3131"/>
    <cellStyle name="20% - Accent5 3 2 2 2 3 2 2" xfId="6646"/>
    <cellStyle name="20% - Accent5 3 2 2 2 3 2 2 2" xfId="18950"/>
    <cellStyle name="20% - Accent5 3 2 2 2 3 2 2 2 2" xfId="41809"/>
    <cellStyle name="20% - Accent5 3 2 2 2 3 2 2 3" xfId="29507"/>
    <cellStyle name="20% - Accent5 3 2 2 2 3 2 3" xfId="10161"/>
    <cellStyle name="20% - Accent5 3 2 2 2 3 2 3 2" xfId="22465"/>
    <cellStyle name="20% - Accent5 3 2 2 2 3 2 3 2 2" xfId="45324"/>
    <cellStyle name="20% - Accent5 3 2 2 2 3 2 3 3" xfId="33022"/>
    <cellStyle name="20% - Accent5 3 2 2 2 3 2 4" xfId="15435"/>
    <cellStyle name="20% - Accent5 3 2 2 2 3 2 4 2" xfId="38294"/>
    <cellStyle name="20% - Accent5 3 2 2 2 3 2 5" xfId="25992"/>
    <cellStyle name="20% - Accent5 3 2 2 2 3 3" xfId="4888"/>
    <cellStyle name="20% - Accent5 3 2 2 2 3 3 2" xfId="17192"/>
    <cellStyle name="20% - Accent5 3 2 2 2 3 3 2 2" xfId="40051"/>
    <cellStyle name="20% - Accent5 3 2 2 2 3 3 3" xfId="27749"/>
    <cellStyle name="20% - Accent5 3 2 2 2 3 4" xfId="8403"/>
    <cellStyle name="20% - Accent5 3 2 2 2 3 4 2" xfId="20707"/>
    <cellStyle name="20% - Accent5 3 2 2 2 3 4 2 2" xfId="43566"/>
    <cellStyle name="20% - Accent5 3 2 2 2 3 4 3" xfId="31264"/>
    <cellStyle name="20% - Accent5 3 2 2 2 3 5" xfId="11918"/>
    <cellStyle name="20% - Accent5 3 2 2 2 3 5 2" xfId="34778"/>
    <cellStyle name="20% - Accent5 3 2 2 2 3 6" xfId="13677"/>
    <cellStyle name="20% - Accent5 3 2 2 2 3 6 2" xfId="36536"/>
    <cellStyle name="20% - Accent5 3 2 2 2 3 7" xfId="24233"/>
    <cellStyle name="20% - Accent5 3 2 2 2 4" xfId="2253"/>
    <cellStyle name="20% - Accent5 3 2 2 2 4 2" xfId="5768"/>
    <cellStyle name="20% - Accent5 3 2 2 2 4 2 2" xfId="18072"/>
    <cellStyle name="20% - Accent5 3 2 2 2 4 2 2 2" xfId="40931"/>
    <cellStyle name="20% - Accent5 3 2 2 2 4 2 3" xfId="28629"/>
    <cellStyle name="20% - Accent5 3 2 2 2 4 3" xfId="9283"/>
    <cellStyle name="20% - Accent5 3 2 2 2 4 3 2" xfId="21587"/>
    <cellStyle name="20% - Accent5 3 2 2 2 4 3 2 2" xfId="44446"/>
    <cellStyle name="20% - Accent5 3 2 2 2 4 3 3" xfId="32144"/>
    <cellStyle name="20% - Accent5 3 2 2 2 4 4" xfId="14557"/>
    <cellStyle name="20% - Accent5 3 2 2 2 4 4 2" xfId="37416"/>
    <cellStyle name="20% - Accent5 3 2 2 2 4 5" xfId="25114"/>
    <cellStyle name="20% - Accent5 3 2 2 2 5" xfId="4010"/>
    <cellStyle name="20% - Accent5 3 2 2 2 5 2" xfId="16314"/>
    <cellStyle name="20% - Accent5 3 2 2 2 5 2 2" xfId="39173"/>
    <cellStyle name="20% - Accent5 3 2 2 2 5 3" xfId="26871"/>
    <cellStyle name="20% - Accent5 3 2 2 2 6" xfId="7525"/>
    <cellStyle name="20% - Accent5 3 2 2 2 6 2" xfId="19829"/>
    <cellStyle name="20% - Accent5 3 2 2 2 6 2 2" xfId="42688"/>
    <cellStyle name="20% - Accent5 3 2 2 2 6 3" xfId="30386"/>
    <cellStyle name="20% - Accent5 3 2 2 2 7" xfId="11040"/>
    <cellStyle name="20% - Accent5 3 2 2 2 7 2" xfId="33900"/>
    <cellStyle name="20% - Accent5 3 2 2 2 8" xfId="12799"/>
    <cellStyle name="20% - Accent5 3 2 2 2 8 2" xfId="35658"/>
    <cellStyle name="20% - Accent5 3 2 2 2 9" xfId="23354"/>
    <cellStyle name="20% - Accent5 3 2 2 3" xfId="718"/>
    <cellStyle name="20% - Accent5 3 2 2 3 2" xfId="1597"/>
    <cellStyle name="20% - Accent5 3 2 2 3 2 2" xfId="3358"/>
    <cellStyle name="20% - Accent5 3 2 2 3 2 2 2" xfId="6873"/>
    <cellStyle name="20% - Accent5 3 2 2 3 2 2 2 2" xfId="19177"/>
    <cellStyle name="20% - Accent5 3 2 2 3 2 2 2 2 2" xfId="42036"/>
    <cellStyle name="20% - Accent5 3 2 2 3 2 2 2 3" xfId="29734"/>
    <cellStyle name="20% - Accent5 3 2 2 3 2 2 3" xfId="10388"/>
    <cellStyle name="20% - Accent5 3 2 2 3 2 2 3 2" xfId="22692"/>
    <cellStyle name="20% - Accent5 3 2 2 3 2 2 3 2 2" xfId="45551"/>
    <cellStyle name="20% - Accent5 3 2 2 3 2 2 3 3" xfId="33249"/>
    <cellStyle name="20% - Accent5 3 2 2 3 2 2 4" xfId="15662"/>
    <cellStyle name="20% - Accent5 3 2 2 3 2 2 4 2" xfId="38521"/>
    <cellStyle name="20% - Accent5 3 2 2 3 2 2 5" xfId="26219"/>
    <cellStyle name="20% - Accent5 3 2 2 3 2 3" xfId="5115"/>
    <cellStyle name="20% - Accent5 3 2 2 3 2 3 2" xfId="17419"/>
    <cellStyle name="20% - Accent5 3 2 2 3 2 3 2 2" xfId="40278"/>
    <cellStyle name="20% - Accent5 3 2 2 3 2 3 3" xfId="27976"/>
    <cellStyle name="20% - Accent5 3 2 2 3 2 4" xfId="8630"/>
    <cellStyle name="20% - Accent5 3 2 2 3 2 4 2" xfId="20934"/>
    <cellStyle name="20% - Accent5 3 2 2 3 2 4 2 2" xfId="43793"/>
    <cellStyle name="20% - Accent5 3 2 2 3 2 4 3" xfId="31491"/>
    <cellStyle name="20% - Accent5 3 2 2 3 2 5" xfId="12145"/>
    <cellStyle name="20% - Accent5 3 2 2 3 2 5 2" xfId="35005"/>
    <cellStyle name="20% - Accent5 3 2 2 3 2 6" xfId="13904"/>
    <cellStyle name="20% - Accent5 3 2 2 3 2 6 2" xfId="36763"/>
    <cellStyle name="20% - Accent5 3 2 2 3 2 7" xfId="24460"/>
    <cellStyle name="20% - Accent5 3 2 2 3 3" xfId="2480"/>
    <cellStyle name="20% - Accent5 3 2 2 3 3 2" xfId="5995"/>
    <cellStyle name="20% - Accent5 3 2 2 3 3 2 2" xfId="18299"/>
    <cellStyle name="20% - Accent5 3 2 2 3 3 2 2 2" xfId="41158"/>
    <cellStyle name="20% - Accent5 3 2 2 3 3 2 3" xfId="28856"/>
    <cellStyle name="20% - Accent5 3 2 2 3 3 3" xfId="9510"/>
    <cellStyle name="20% - Accent5 3 2 2 3 3 3 2" xfId="21814"/>
    <cellStyle name="20% - Accent5 3 2 2 3 3 3 2 2" xfId="44673"/>
    <cellStyle name="20% - Accent5 3 2 2 3 3 3 3" xfId="32371"/>
    <cellStyle name="20% - Accent5 3 2 2 3 3 4" xfId="14784"/>
    <cellStyle name="20% - Accent5 3 2 2 3 3 4 2" xfId="37643"/>
    <cellStyle name="20% - Accent5 3 2 2 3 3 5" xfId="25341"/>
    <cellStyle name="20% - Accent5 3 2 2 3 4" xfId="4237"/>
    <cellStyle name="20% - Accent5 3 2 2 3 4 2" xfId="16541"/>
    <cellStyle name="20% - Accent5 3 2 2 3 4 2 2" xfId="39400"/>
    <cellStyle name="20% - Accent5 3 2 2 3 4 3" xfId="27098"/>
    <cellStyle name="20% - Accent5 3 2 2 3 5" xfId="7752"/>
    <cellStyle name="20% - Accent5 3 2 2 3 5 2" xfId="20056"/>
    <cellStyle name="20% - Accent5 3 2 2 3 5 2 2" xfId="42915"/>
    <cellStyle name="20% - Accent5 3 2 2 3 5 3" xfId="30613"/>
    <cellStyle name="20% - Accent5 3 2 2 3 6" xfId="11267"/>
    <cellStyle name="20% - Accent5 3 2 2 3 6 2" xfId="34127"/>
    <cellStyle name="20% - Accent5 3 2 2 3 7" xfId="13026"/>
    <cellStyle name="20% - Accent5 3 2 2 3 7 2" xfId="35885"/>
    <cellStyle name="20% - Accent5 3 2 2 3 8" xfId="23582"/>
    <cellStyle name="20% - Accent5 3 2 2 4" xfId="1158"/>
    <cellStyle name="20% - Accent5 3 2 2 4 2" xfId="2919"/>
    <cellStyle name="20% - Accent5 3 2 2 4 2 2" xfId="6434"/>
    <cellStyle name="20% - Accent5 3 2 2 4 2 2 2" xfId="18738"/>
    <cellStyle name="20% - Accent5 3 2 2 4 2 2 2 2" xfId="41597"/>
    <cellStyle name="20% - Accent5 3 2 2 4 2 2 3" xfId="29295"/>
    <cellStyle name="20% - Accent5 3 2 2 4 2 3" xfId="9949"/>
    <cellStyle name="20% - Accent5 3 2 2 4 2 3 2" xfId="22253"/>
    <cellStyle name="20% - Accent5 3 2 2 4 2 3 2 2" xfId="45112"/>
    <cellStyle name="20% - Accent5 3 2 2 4 2 3 3" xfId="32810"/>
    <cellStyle name="20% - Accent5 3 2 2 4 2 4" xfId="15223"/>
    <cellStyle name="20% - Accent5 3 2 2 4 2 4 2" xfId="38082"/>
    <cellStyle name="20% - Accent5 3 2 2 4 2 5" xfId="25780"/>
    <cellStyle name="20% - Accent5 3 2 2 4 3" xfId="4676"/>
    <cellStyle name="20% - Accent5 3 2 2 4 3 2" xfId="16980"/>
    <cellStyle name="20% - Accent5 3 2 2 4 3 2 2" xfId="39839"/>
    <cellStyle name="20% - Accent5 3 2 2 4 3 3" xfId="27537"/>
    <cellStyle name="20% - Accent5 3 2 2 4 4" xfId="8191"/>
    <cellStyle name="20% - Accent5 3 2 2 4 4 2" xfId="20495"/>
    <cellStyle name="20% - Accent5 3 2 2 4 4 2 2" xfId="43354"/>
    <cellStyle name="20% - Accent5 3 2 2 4 4 3" xfId="31052"/>
    <cellStyle name="20% - Accent5 3 2 2 4 5" xfId="11706"/>
    <cellStyle name="20% - Accent5 3 2 2 4 5 2" xfId="34566"/>
    <cellStyle name="20% - Accent5 3 2 2 4 6" xfId="13465"/>
    <cellStyle name="20% - Accent5 3 2 2 4 6 2" xfId="36324"/>
    <cellStyle name="20% - Accent5 3 2 2 4 7" xfId="24021"/>
    <cellStyle name="20% - Accent5 3 2 2 5" xfId="2041"/>
    <cellStyle name="20% - Accent5 3 2 2 5 2" xfId="5556"/>
    <cellStyle name="20% - Accent5 3 2 2 5 2 2" xfId="17860"/>
    <cellStyle name="20% - Accent5 3 2 2 5 2 2 2" xfId="40719"/>
    <cellStyle name="20% - Accent5 3 2 2 5 2 3" xfId="28417"/>
    <cellStyle name="20% - Accent5 3 2 2 5 3" xfId="9071"/>
    <cellStyle name="20% - Accent5 3 2 2 5 3 2" xfId="21375"/>
    <cellStyle name="20% - Accent5 3 2 2 5 3 2 2" xfId="44234"/>
    <cellStyle name="20% - Accent5 3 2 2 5 3 3" xfId="31932"/>
    <cellStyle name="20% - Accent5 3 2 2 5 4" xfId="14345"/>
    <cellStyle name="20% - Accent5 3 2 2 5 4 2" xfId="37204"/>
    <cellStyle name="20% - Accent5 3 2 2 5 5" xfId="24902"/>
    <cellStyle name="20% - Accent5 3 2 2 6" xfId="3798"/>
    <cellStyle name="20% - Accent5 3 2 2 6 2" xfId="16102"/>
    <cellStyle name="20% - Accent5 3 2 2 6 2 2" xfId="38961"/>
    <cellStyle name="20% - Accent5 3 2 2 6 3" xfId="26659"/>
    <cellStyle name="20% - Accent5 3 2 2 7" xfId="7313"/>
    <cellStyle name="20% - Accent5 3 2 2 7 2" xfId="19617"/>
    <cellStyle name="20% - Accent5 3 2 2 7 2 2" xfId="42476"/>
    <cellStyle name="20% - Accent5 3 2 2 7 3" xfId="30174"/>
    <cellStyle name="20% - Accent5 3 2 2 8" xfId="10828"/>
    <cellStyle name="20% - Accent5 3 2 2 8 2" xfId="33688"/>
    <cellStyle name="20% - Accent5 3 2 2 9" xfId="12587"/>
    <cellStyle name="20% - Accent5 3 2 2 9 2" xfId="35446"/>
    <cellStyle name="20% - Accent5 3 2 3" xfId="383"/>
    <cellStyle name="20% - Accent5 3 2 3 2" xfId="824"/>
    <cellStyle name="20% - Accent5 3 2 3 2 2" xfId="1703"/>
    <cellStyle name="20% - Accent5 3 2 3 2 2 2" xfId="3464"/>
    <cellStyle name="20% - Accent5 3 2 3 2 2 2 2" xfId="6979"/>
    <cellStyle name="20% - Accent5 3 2 3 2 2 2 2 2" xfId="19283"/>
    <cellStyle name="20% - Accent5 3 2 3 2 2 2 2 2 2" xfId="42142"/>
    <cellStyle name="20% - Accent5 3 2 3 2 2 2 2 3" xfId="29840"/>
    <cellStyle name="20% - Accent5 3 2 3 2 2 2 3" xfId="10494"/>
    <cellStyle name="20% - Accent5 3 2 3 2 2 2 3 2" xfId="22798"/>
    <cellStyle name="20% - Accent5 3 2 3 2 2 2 3 2 2" xfId="45657"/>
    <cellStyle name="20% - Accent5 3 2 3 2 2 2 3 3" xfId="33355"/>
    <cellStyle name="20% - Accent5 3 2 3 2 2 2 4" xfId="15768"/>
    <cellStyle name="20% - Accent5 3 2 3 2 2 2 4 2" xfId="38627"/>
    <cellStyle name="20% - Accent5 3 2 3 2 2 2 5" xfId="26325"/>
    <cellStyle name="20% - Accent5 3 2 3 2 2 3" xfId="5221"/>
    <cellStyle name="20% - Accent5 3 2 3 2 2 3 2" xfId="17525"/>
    <cellStyle name="20% - Accent5 3 2 3 2 2 3 2 2" xfId="40384"/>
    <cellStyle name="20% - Accent5 3 2 3 2 2 3 3" xfId="28082"/>
    <cellStyle name="20% - Accent5 3 2 3 2 2 4" xfId="8736"/>
    <cellStyle name="20% - Accent5 3 2 3 2 2 4 2" xfId="21040"/>
    <cellStyle name="20% - Accent5 3 2 3 2 2 4 2 2" xfId="43899"/>
    <cellStyle name="20% - Accent5 3 2 3 2 2 4 3" xfId="31597"/>
    <cellStyle name="20% - Accent5 3 2 3 2 2 5" xfId="12251"/>
    <cellStyle name="20% - Accent5 3 2 3 2 2 5 2" xfId="35111"/>
    <cellStyle name="20% - Accent5 3 2 3 2 2 6" xfId="14010"/>
    <cellStyle name="20% - Accent5 3 2 3 2 2 6 2" xfId="36869"/>
    <cellStyle name="20% - Accent5 3 2 3 2 2 7" xfId="24566"/>
    <cellStyle name="20% - Accent5 3 2 3 2 3" xfId="2586"/>
    <cellStyle name="20% - Accent5 3 2 3 2 3 2" xfId="6101"/>
    <cellStyle name="20% - Accent5 3 2 3 2 3 2 2" xfId="18405"/>
    <cellStyle name="20% - Accent5 3 2 3 2 3 2 2 2" xfId="41264"/>
    <cellStyle name="20% - Accent5 3 2 3 2 3 2 3" xfId="28962"/>
    <cellStyle name="20% - Accent5 3 2 3 2 3 3" xfId="9616"/>
    <cellStyle name="20% - Accent5 3 2 3 2 3 3 2" xfId="21920"/>
    <cellStyle name="20% - Accent5 3 2 3 2 3 3 2 2" xfId="44779"/>
    <cellStyle name="20% - Accent5 3 2 3 2 3 3 3" xfId="32477"/>
    <cellStyle name="20% - Accent5 3 2 3 2 3 4" xfId="14890"/>
    <cellStyle name="20% - Accent5 3 2 3 2 3 4 2" xfId="37749"/>
    <cellStyle name="20% - Accent5 3 2 3 2 3 5" xfId="25447"/>
    <cellStyle name="20% - Accent5 3 2 3 2 4" xfId="4343"/>
    <cellStyle name="20% - Accent5 3 2 3 2 4 2" xfId="16647"/>
    <cellStyle name="20% - Accent5 3 2 3 2 4 2 2" xfId="39506"/>
    <cellStyle name="20% - Accent5 3 2 3 2 4 3" xfId="27204"/>
    <cellStyle name="20% - Accent5 3 2 3 2 5" xfId="7858"/>
    <cellStyle name="20% - Accent5 3 2 3 2 5 2" xfId="20162"/>
    <cellStyle name="20% - Accent5 3 2 3 2 5 2 2" xfId="43021"/>
    <cellStyle name="20% - Accent5 3 2 3 2 5 3" xfId="30719"/>
    <cellStyle name="20% - Accent5 3 2 3 2 6" xfId="11373"/>
    <cellStyle name="20% - Accent5 3 2 3 2 6 2" xfId="34233"/>
    <cellStyle name="20% - Accent5 3 2 3 2 7" xfId="13132"/>
    <cellStyle name="20% - Accent5 3 2 3 2 7 2" xfId="35991"/>
    <cellStyle name="20% - Accent5 3 2 3 2 8" xfId="23688"/>
    <cellStyle name="20% - Accent5 3 2 3 3" xfId="1264"/>
    <cellStyle name="20% - Accent5 3 2 3 3 2" xfId="3025"/>
    <cellStyle name="20% - Accent5 3 2 3 3 2 2" xfId="6540"/>
    <cellStyle name="20% - Accent5 3 2 3 3 2 2 2" xfId="18844"/>
    <cellStyle name="20% - Accent5 3 2 3 3 2 2 2 2" xfId="41703"/>
    <cellStyle name="20% - Accent5 3 2 3 3 2 2 3" xfId="29401"/>
    <cellStyle name="20% - Accent5 3 2 3 3 2 3" xfId="10055"/>
    <cellStyle name="20% - Accent5 3 2 3 3 2 3 2" xfId="22359"/>
    <cellStyle name="20% - Accent5 3 2 3 3 2 3 2 2" xfId="45218"/>
    <cellStyle name="20% - Accent5 3 2 3 3 2 3 3" xfId="32916"/>
    <cellStyle name="20% - Accent5 3 2 3 3 2 4" xfId="15329"/>
    <cellStyle name="20% - Accent5 3 2 3 3 2 4 2" xfId="38188"/>
    <cellStyle name="20% - Accent5 3 2 3 3 2 5" xfId="25886"/>
    <cellStyle name="20% - Accent5 3 2 3 3 3" xfId="4782"/>
    <cellStyle name="20% - Accent5 3 2 3 3 3 2" xfId="17086"/>
    <cellStyle name="20% - Accent5 3 2 3 3 3 2 2" xfId="39945"/>
    <cellStyle name="20% - Accent5 3 2 3 3 3 3" xfId="27643"/>
    <cellStyle name="20% - Accent5 3 2 3 3 4" xfId="8297"/>
    <cellStyle name="20% - Accent5 3 2 3 3 4 2" xfId="20601"/>
    <cellStyle name="20% - Accent5 3 2 3 3 4 2 2" xfId="43460"/>
    <cellStyle name="20% - Accent5 3 2 3 3 4 3" xfId="31158"/>
    <cellStyle name="20% - Accent5 3 2 3 3 5" xfId="11812"/>
    <cellStyle name="20% - Accent5 3 2 3 3 5 2" xfId="34672"/>
    <cellStyle name="20% - Accent5 3 2 3 3 6" xfId="13571"/>
    <cellStyle name="20% - Accent5 3 2 3 3 6 2" xfId="36430"/>
    <cellStyle name="20% - Accent5 3 2 3 3 7" xfId="24127"/>
    <cellStyle name="20% - Accent5 3 2 3 4" xfId="2147"/>
    <cellStyle name="20% - Accent5 3 2 3 4 2" xfId="5662"/>
    <cellStyle name="20% - Accent5 3 2 3 4 2 2" xfId="17966"/>
    <cellStyle name="20% - Accent5 3 2 3 4 2 2 2" xfId="40825"/>
    <cellStyle name="20% - Accent5 3 2 3 4 2 3" xfId="28523"/>
    <cellStyle name="20% - Accent5 3 2 3 4 3" xfId="9177"/>
    <cellStyle name="20% - Accent5 3 2 3 4 3 2" xfId="21481"/>
    <cellStyle name="20% - Accent5 3 2 3 4 3 2 2" xfId="44340"/>
    <cellStyle name="20% - Accent5 3 2 3 4 3 3" xfId="32038"/>
    <cellStyle name="20% - Accent5 3 2 3 4 4" xfId="14451"/>
    <cellStyle name="20% - Accent5 3 2 3 4 4 2" xfId="37310"/>
    <cellStyle name="20% - Accent5 3 2 3 4 5" xfId="25008"/>
    <cellStyle name="20% - Accent5 3 2 3 5" xfId="3904"/>
    <cellStyle name="20% - Accent5 3 2 3 5 2" xfId="16208"/>
    <cellStyle name="20% - Accent5 3 2 3 5 2 2" xfId="39067"/>
    <cellStyle name="20% - Accent5 3 2 3 5 3" xfId="26765"/>
    <cellStyle name="20% - Accent5 3 2 3 6" xfId="7419"/>
    <cellStyle name="20% - Accent5 3 2 3 6 2" xfId="19723"/>
    <cellStyle name="20% - Accent5 3 2 3 6 2 2" xfId="42582"/>
    <cellStyle name="20% - Accent5 3 2 3 6 3" xfId="30280"/>
    <cellStyle name="20% - Accent5 3 2 3 7" xfId="10934"/>
    <cellStyle name="20% - Accent5 3 2 3 7 2" xfId="33794"/>
    <cellStyle name="20% - Accent5 3 2 3 8" xfId="12693"/>
    <cellStyle name="20% - Accent5 3 2 3 8 2" xfId="35552"/>
    <cellStyle name="20% - Accent5 3 2 3 9" xfId="23248"/>
    <cellStyle name="20% - Accent5 3 2 4" xfId="612"/>
    <cellStyle name="20% - Accent5 3 2 4 2" xfId="1491"/>
    <cellStyle name="20% - Accent5 3 2 4 2 2" xfId="3252"/>
    <cellStyle name="20% - Accent5 3 2 4 2 2 2" xfId="6767"/>
    <cellStyle name="20% - Accent5 3 2 4 2 2 2 2" xfId="19071"/>
    <cellStyle name="20% - Accent5 3 2 4 2 2 2 2 2" xfId="41930"/>
    <cellStyle name="20% - Accent5 3 2 4 2 2 2 3" xfId="29628"/>
    <cellStyle name="20% - Accent5 3 2 4 2 2 3" xfId="10282"/>
    <cellStyle name="20% - Accent5 3 2 4 2 2 3 2" xfId="22586"/>
    <cellStyle name="20% - Accent5 3 2 4 2 2 3 2 2" xfId="45445"/>
    <cellStyle name="20% - Accent5 3 2 4 2 2 3 3" xfId="33143"/>
    <cellStyle name="20% - Accent5 3 2 4 2 2 4" xfId="15556"/>
    <cellStyle name="20% - Accent5 3 2 4 2 2 4 2" xfId="38415"/>
    <cellStyle name="20% - Accent5 3 2 4 2 2 5" xfId="26113"/>
    <cellStyle name="20% - Accent5 3 2 4 2 3" xfId="5009"/>
    <cellStyle name="20% - Accent5 3 2 4 2 3 2" xfId="17313"/>
    <cellStyle name="20% - Accent5 3 2 4 2 3 2 2" xfId="40172"/>
    <cellStyle name="20% - Accent5 3 2 4 2 3 3" xfId="27870"/>
    <cellStyle name="20% - Accent5 3 2 4 2 4" xfId="8524"/>
    <cellStyle name="20% - Accent5 3 2 4 2 4 2" xfId="20828"/>
    <cellStyle name="20% - Accent5 3 2 4 2 4 2 2" xfId="43687"/>
    <cellStyle name="20% - Accent5 3 2 4 2 4 3" xfId="31385"/>
    <cellStyle name="20% - Accent5 3 2 4 2 5" xfId="12039"/>
    <cellStyle name="20% - Accent5 3 2 4 2 5 2" xfId="34899"/>
    <cellStyle name="20% - Accent5 3 2 4 2 6" xfId="13798"/>
    <cellStyle name="20% - Accent5 3 2 4 2 6 2" xfId="36657"/>
    <cellStyle name="20% - Accent5 3 2 4 2 7" xfId="24354"/>
    <cellStyle name="20% - Accent5 3 2 4 3" xfId="2374"/>
    <cellStyle name="20% - Accent5 3 2 4 3 2" xfId="5889"/>
    <cellStyle name="20% - Accent5 3 2 4 3 2 2" xfId="18193"/>
    <cellStyle name="20% - Accent5 3 2 4 3 2 2 2" xfId="41052"/>
    <cellStyle name="20% - Accent5 3 2 4 3 2 3" xfId="28750"/>
    <cellStyle name="20% - Accent5 3 2 4 3 3" xfId="9404"/>
    <cellStyle name="20% - Accent5 3 2 4 3 3 2" xfId="21708"/>
    <cellStyle name="20% - Accent5 3 2 4 3 3 2 2" xfId="44567"/>
    <cellStyle name="20% - Accent5 3 2 4 3 3 3" xfId="32265"/>
    <cellStyle name="20% - Accent5 3 2 4 3 4" xfId="14678"/>
    <cellStyle name="20% - Accent5 3 2 4 3 4 2" xfId="37537"/>
    <cellStyle name="20% - Accent5 3 2 4 3 5" xfId="25235"/>
    <cellStyle name="20% - Accent5 3 2 4 4" xfId="4131"/>
    <cellStyle name="20% - Accent5 3 2 4 4 2" xfId="16435"/>
    <cellStyle name="20% - Accent5 3 2 4 4 2 2" xfId="39294"/>
    <cellStyle name="20% - Accent5 3 2 4 4 3" xfId="26992"/>
    <cellStyle name="20% - Accent5 3 2 4 5" xfId="7646"/>
    <cellStyle name="20% - Accent5 3 2 4 5 2" xfId="19950"/>
    <cellStyle name="20% - Accent5 3 2 4 5 2 2" xfId="42809"/>
    <cellStyle name="20% - Accent5 3 2 4 5 3" xfId="30507"/>
    <cellStyle name="20% - Accent5 3 2 4 6" xfId="11161"/>
    <cellStyle name="20% - Accent5 3 2 4 6 2" xfId="34021"/>
    <cellStyle name="20% - Accent5 3 2 4 7" xfId="12920"/>
    <cellStyle name="20% - Accent5 3 2 4 7 2" xfId="35779"/>
    <cellStyle name="20% - Accent5 3 2 4 8" xfId="23476"/>
    <cellStyle name="20% - Accent5 3 2 5" xfId="1052"/>
    <cellStyle name="20% - Accent5 3 2 5 2" xfId="2813"/>
    <cellStyle name="20% - Accent5 3 2 5 2 2" xfId="6328"/>
    <cellStyle name="20% - Accent5 3 2 5 2 2 2" xfId="18632"/>
    <cellStyle name="20% - Accent5 3 2 5 2 2 2 2" xfId="41491"/>
    <cellStyle name="20% - Accent5 3 2 5 2 2 3" xfId="29189"/>
    <cellStyle name="20% - Accent5 3 2 5 2 3" xfId="9843"/>
    <cellStyle name="20% - Accent5 3 2 5 2 3 2" xfId="22147"/>
    <cellStyle name="20% - Accent5 3 2 5 2 3 2 2" xfId="45006"/>
    <cellStyle name="20% - Accent5 3 2 5 2 3 3" xfId="32704"/>
    <cellStyle name="20% - Accent5 3 2 5 2 4" xfId="15117"/>
    <cellStyle name="20% - Accent5 3 2 5 2 4 2" xfId="37976"/>
    <cellStyle name="20% - Accent5 3 2 5 2 5" xfId="25674"/>
    <cellStyle name="20% - Accent5 3 2 5 3" xfId="4570"/>
    <cellStyle name="20% - Accent5 3 2 5 3 2" xfId="16874"/>
    <cellStyle name="20% - Accent5 3 2 5 3 2 2" xfId="39733"/>
    <cellStyle name="20% - Accent5 3 2 5 3 3" xfId="27431"/>
    <cellStyle name="20% - Accent5 3 2 5 4" xfId="8085"/>
    <cellStyle name="20% - Accent5 3 2 5 4 2" xfId="20389"/>
    <cellStyle name="20% - Accent5 3 2 5 4 2 2" xfId="43248"/>
    <cellStyle name="20% - Accent5 3 2 5 4 3" xfId="30946"/>
    <cellStyle name="20% - Accent5 3 2 5 5" xfId="11600"/>
    <cellStyle name="20% - Accent5 3 2 5 5 2" xfId="34460"/>
    <cellStyle name="20% - Accent5 3 2 5 6" xfId="13359"/>
    <cellStyle name="20% - Accent5 3 2 5 6 2" xfId="36218"/>
    <cellStyle name="20% - Accent5 3 2 5 7" xfId="23915"/>
    <cellStyle name="20% - Accent5 3 2 6" xfId="1935"/>
    <cellStyle name="20% - Accent5 3 2 6 2" xfId="5450"/>
    <cellStyle name="20% - Accent5 3 2 6 2 2" xfId="17754"/>
    <cellStyle name="20% - Accent5 3 2 6 2 2 2" xfId="40613"/>
    <cellStyle name="20% - Accent5 3 2 6 2 3" xfId="28311"/>
    <cellStyle name="20% - Accent5 3 2 6 3" xfId="8965"/>
    <cellStyle name="20% - Accent5 3 2 6 3 2" xfId="21269"/>
    <cellStyle name="20% - Accent5 3 2 6 3 2 2" xfId="44128"/>
    <cellStyle name="20% - Accent5 3 2 6 3 3" xfId="31826"/>
    <cellStyle name="20% - Accent5 3 2 6 4" xfId="14239"/>
    <cellStyle name="20% - Accent5 3 2 6 4 2" xfId="37098"/>
    <cellStyle name="20% - Accent5 3 2 6 5" xfId="24796"/>
    <cellStyle name="20% - Accent5 3 2 7" xfId="3692"/>
    <cellStyle name="20% - Accent5 3 2 7 2" xfId="15996"/>
    <cellStyle name="20% - Accent5 3 2 7 2 2" xfId="38855"/>
    <cellStyle name="20% - Accent5 3 2 7 3" xfId="26553"/>
    <cellStyle name="20% - Accent5 3 2 8" xfId="7207"/>
    <cellStyle name="20% - Accent5 3 2 8 2" xfId="19511"/>
    <cellStyle name="20% - Accent5 3 2 8 2 2" xfId="42370"/>
    <cellStyle name="20% - Accent5 3 2 8 3" xfId="30068"/>
    <cellStyle name="20% - Accent5 3 2 9" xfId="10722"/>
    <cellStyle name="20% - Accent5 3 2 9 2" xfId="33582"/>
    <cellStyle name="20% - Accent5 3 3" xfId="223"/>
    <cellStyle name="20% - Accent5 3 3 10" xfId="23088"/>
    <cellStyle name="20% - Accent5 3 3 2" xfId="435"/>
    <cellStyle name="20% - Accent5 3 3 2 2" xfId="876"/>
    <cellStyle name="20% - Accent5 3 3 2 2 2" xfId="1755"/>
    <cellStyle name="20% - Accent5 3 3 2 2 2 2" xfId="3516"/>
    <cellStyle name="20% - Accent5 3 3 2 2 2 2 2" xfId="7031"/>
    <cellStyle name="20% - Accent5 3 3 2 2 2 2 2 2" xfId="19335"/>
    <cellStyle name="20% - Accent5 3 3 2 2 2 2 2 2 2" xfId="42194"/>
    <cellStyle name="20% - Accent5 3 3 2 2 2 2 2 3" xfId="29892"/>
    <cellStyle name="20% - Accent5 3 3 2 2 2 2 3" xfId="10546"/>
    <cellStyle name="20% - Accent5 3 3 2 2 2 2 3 2" xfId="22850"/>
    <cellStyle name="20% - Accent5 3 3 2 2 2 2 3 2 2" xfId="45709"/>
    <cellStyle name="20% - Accent5 3 3 2 2 2 2 3 3" xfId="33407"/>
    <cellStyle name="20% - Accent5 3 3 2 2 2 2 4" xfId="15820"/>
    <cellStyle name="20% - Accent5 3 3 2 2 2 2 4 2" xfId="38679"/>
    <cellStyle name="20% - Accent5 3 3 2 2 2 2 5" xfId="26377"/>
    <cellStyle name="20% - Accent5 3 3 2 2 2 3" xfId="5273"/>
    <cellStyle name="20% - Accent5 3 3 2 2 2 3 2" xfId="17577"/>
    <cellStyle name="20% - Accent5 3 3 2 2 2 3 2 2" xfId="40436"/>
    <cellStyle name="20% - Accent5 3 3 2 2 2 3 3" xfId="28134"/>
    <cellStyle name="20% - Accent5 3 3 2 2 2 4" xfId="8788"/>
    <cellStyle name="20% - Accent5 3 3 2 2 2 4 2" xfId="21092"/>
    <cellStyle name="20% - Accent5 3 3 2 2 2 4 2 2" xfId="43951"/>
    <cellStyle name="20% - Accent5 3 3 2 2 2 4 3" xfId="31649"/>
    <cellStyle name="20% - Accent5 3 3 2 2 2 5" xfId="12303"/>
    <cellStyle name="20% - Accent5 3 3 2 2 2 5 2" xfId="35163"/>
    <cellStyle name="20% - Accent5 3 3 2 2 2 6" xfId="14062"/>
    <cellStyle name="20% - Accent5 3 3 2 2 2 6 2" xfId="36921"/>
    <cellStyle name="20% - Accent5 3 3 2 2 2 7" xfId="24618"/>
    <cellStyle name="20% - Accent5 3 3 2 2 3" xfId="2638"/>
    <cellStyle name="20% - Accent5 3 3 2 2 3 2" xfId="6153"/>
    <cellStyle name="20% - Accent5 3 3 2 2 3 2 2" xfId="18457"/>
    <cellStyle name="20% - Accent5 3 3 2 2 3 2 2 2" xfId="41316"/>
    <cellStyle name="20% - Accent5 3 3 2 2 3 2 3" xfId="29014"/>
    <cellStyle name="20% - Accent5 3 3 2 2 3 3" xfId="9668"/>
    <cellStyle name="20% - Accent5 3 3 2 2 3 3 2" xfId="21972"/>
    <cellStyle name="20% - Accent5 3 3 2 2 3 3 2 2" xfId="44831"/>
    <cellStyle name="20% - Accent5 3 3 2 2 3 3 3" xfId="32529"/>
    <cellStyle name="20% - Accent5 3 3 2 2 3 4" xfId="14942"/>
    <cellStyle name="20% - Accent5 3 3 2 2 3 4 2" xfId="37801"/>
    <cellStyle name="20% - Accent5 3 3 2 2 3 5" xfId="25499"/>
    <cellStyle name="20% - Accent5 3 3 2 2 4" xfId="4395"/>
    <cellStyle name="20% - Accent5 3 3 2 2 4 2" xfId="16699"/>
    <cellStyle name="20% - Accent5 3 3 2 2 4 2 2" xfId="39558"/>
    <cellStyle name="20% - Accent5 3 3 2 2 4 3" xfId="27256"/>
    <cellStyle name="20% - Accent5 3 3 2 2 5" xfId="7910"/>
    <cellStyle name="20% - Accent5 3 3 2 2 5 2" xfId="20214"/>
    <cellStyle name="20% - Accent5 3 3 2 2 5 2 2" xfId="43073"/>
    <cellStyle name="20% - Accent5 3 3 2 2 5 3" xfId="30771"/>
    <cellStyle name="20% - Accent5 3 3 2 2 6" xfId="11425"/>
    <cellStyle name="20% - Accent5 3 3 2 2 6 2" xfId="34285"/>
    <cellStyle name="20% - Accent5 3 3 2 2 7" xfId="13184"/>
    <cellStyle name="20% - Accent5 3 3 2 2 7 2" xfId="36043"/>
    <cellStyle name="20% - Accent5 3 3 2 2 8" xfId="23740"/>
    <cellStyle name="20% - Accent5 3 3 2 3" xfId="1316"/>
    <cellStyle name="20% - Accent5 3 3 2 3 2" xfId="3077"/>
    <cellStyle name="20% - Accent5 3 3 2 3 2 2" xfId="6592"/>
    <cellStyle name="20% - Accent5 3 3 2 3 2 2 2" xfId="18896"/>
    <cellStyle name="20% - Accent5 3 3 2 3 2 2 2 2" xfId="41755"/>
    <cellStyle name="20% - Accent5 3 3 2 3 2 2 3" xfId="29453"/>
    <cellStyle name="20% - Accent5 3 3 2 3 2 3" xfId="10107"/>
    <cellStyle name="20% - Accent5 3 3 2 3 2 3 2" xfId="22411"/>
    <cellStyle name="20% - Accent5 3 3 2 3 2 3 2 2" xfId="45270"/>
    <cellStyle name="20% - Accent5 3 3 2 3 2 3 3" xfId="32968"/>
    <cellStyle name="20% - Accent5 3 3 2 3 2 4" xfId="15381"/>
    <cellStyle name="20% - Accent5 3 3 2 3 2 4 2" xfId="38240"/>
    <cellStyle name="20% - Accent5 3 3 2 3 2 5" xfId="25938"/>
    <cellStyle name="20% - Accent5 3 3 2 3 3" xfId="4834"/>
    <cellStyle name="20% - Accent5 3 3 2 3 3 2" xfId="17138"/>
    <cellStyle name="20% - Accent5 3 3 2 3 3 2 2" xfId="39997"/>
    <cellStyle name="20% - Accent5 3 3 2 3 3 3" xfId="27695"/>
    <cellStyle name="20% - Accent5 3 3 2 3 4" xfId="8349"/>
    <cellStyle name="20% - Accent5 3 3 2 3 4 2" xfId="20653"/>
    <cellStyle name="20% - Accent5 3 3 2 3 4 2 2" xfId="43512"/>
    <cellStyle name="20% - Accent5 3 3 2 3 4 3" xfId="31210"/>
    <cellStyle name="20% - Accent5 3 3 2 3 5" xfId="11864"/>
    <cellStyle name="20% - Accent5 3 3 2 3 5 2" xfId="34724"/>
    <cellStyle name="20% - Accent5 3 3 2 3 6" xfId="13623"/>
    <cellStyle name="20% - Accent5 3 3 2 3 6 2" xfId="36482"/>
    <cellStyle name="20% - Accent5 3 3 2 3 7" xfId="24179"/>
    <cellStyle name="20% - Accent5 3 3 2 4" xfId="2199"/>
    <cellStyle name="20% - Accent5 3 3 2 4 2" xfId="5714"/>
    <cellStyle name="20% - Accent5 3 3 2 4 2 2" xfId="18018"/>
    <cellStyle name="20% - Accent5 3 3 2 4 2 2 2" xfId="40877"/>
    <cellStyle name="20% - Accent5 3 3 2 4 2 3" xfId="28575"/>
    <cellStyle name="20% - Accent5 3 3 2 4 3" xfId="9229"/>
    <cellStyle name="20% - Accent5 3 3 2 4 3 2" xfId="21533"/>
    <cellStyle name="20% - Accent5 3 3 2 4 3 2 2" xfId="44392"/>
    <cellStyle name="20% - Accent5 3 3 2 4 3 3" xfId="32090"/>
    <cellStyle name="20% - Accent5 3 3 2 4 4" xfId="14503"/>
    <cellStyle name="20% - Accent5 3 3 2 4 4 2" xfId="37362"/>
    <cellStyle name="20% - Accent5 3 3 2 4 5" xfId="25060"/>
    <cellStyle name="20% - Accent5 3 3 2 5" xfId="3956"/>
    <cellStyle name="20% - Accent5 3 3 2 5 2" xfId="16260"/>
    <cellStyle name="20% - Accent5 3 3 2 5 2 2" xfId="39119"/>
    <cellStyle name="20% - Accent5 3 3 2 5 3" xfId="26817"/>
    <cellStyle name="20% - Accent5 3 3 2 6" xfId="7471"/>
    <cellStyle name="20% - Accent5 3 3 2 6 2" xfId="19775"/>
    <cellStyle name="20% - Accent5 3 3 2 6 2 2" xfId="42634"/>
    <cellStyle name="20% - Accent5 3 3 2 6 3" xfId="30332"/>
    <cellStyle name="20% - Accent5 3 3 2 7" xfId="10986"/>
    <cellStyle name="20% - Accent5 3 3 2 7 2" xfId="33846"/>
    <cellStyle name="20% - Accent5 3 3 2 8" xfId="12745"/>
    <cellStyle name="20% - Accent5 3 3 2 8 2" xfId="35604"/>
    <cellStyle name="20% - Accent5 3 3 2 9" xfId="23300"/>
    <cellStyle name="20% - Accent5 3 3 3" xfId="664"/>
    <cellStyle name="20% - Accent5 3 3 3 2" xfId="1543"/>
    <cellStyle name="20% - Accent5 3 3 3 2 2" xfId="3304"/>
    <cellStyle name="20% - Accent5 3 3 3 2 2 2" xfId="6819"/>
    <cellStyle name="20% - Accent5 3 3 3 2 2 2 2" xfId="19123"/>
    <cellStyle name="20% - Accent5 3 3 3 2 2 2 2 2" xfId="41982"/>
    <cellStyle name="20% - Accent5 3 3 3 2 2 2 3" xfId="29680"/>
    <cellStyle name="20% - Accent5 3 3 3 2 2 3" xfId="10334"/>
    <cellStyle name="20% - Accent5 3 3 3 2 2 3 2" xfId="22638"/>
    <cellStyle name="20% - Accent5 3 3 3 2 2 3 2 2" xfId="45497"/>
    <cellStyle name="20% - Accent5 3 3 3 2 2 3 3" xfId="33195"/>
    <cellStyle name="20% - Accent5 3 3 3 2 2 4" xfId="15608"/>
    <cellStyle name="20% - Accent5 3 3 3 2 2 4 2" xfId="38467"/>
    <cellStyle name="20% - Accent5 3 3 3 2 2 5" xfId="26165"/>
    <cellStyle name="20% - Accent5 3 3 3 2 3" xfId="5061"/>
    <cellStyle name="20% - Accent5 3 3 3 2 3 2" xfId="17365"/>
    <cellStyle name="20% - Accent5 3 3 3 2 3 2 2" xfId="40224"/>
    <cellStyle name="20% - Accent5 3 3 3 2 3 3" xfId="27922"/>
    <cellStyle name="20% - Accent5 3 3 3 2 4" xfId="8576"/>
    <cellStyle name="20% - Accent5 3 3 3 2 4 2" xfId="20880"/>
    <cellStyle name="20% - Accent5 3 3 3 2 4 2 2" xfId="43739"/>
    <cellStyle name="20% - Accent5 3 3 3 2 4 3" xfId="31437"/>
    <cellStyle name="20% - Accent5 3 3 3 2 5" xfId="12091"/>
    <cellStyle name="20% - Accent5 3 3 3 2 5 2" xfId="34951"/>
    <cellStyle name="20% - Accent5 3 3 3 2 6" xfId="13850"/>
    <cellStyle name="20% - Accent5 3 3 3 2 6 2" xfId="36709"/>
    <cellStyle name="20% - Accent5 3 3 3 2 7" xfId="24406"/>
    <cellStyle name="20% - Accent5 3 3 3 3" xfId="2426"/>
    <cellStyle name="20% - Accent5 3 3 3 3 2" xfId="5941"/>
    <cellStyle name="20% - Accent5 3 3 3 3 2 2" xfId="18245"/>
    <cellStyle name="20% - Accent5 3 3 3 3 2 2 2" xfId="41104"/>
    <cellStyle name="20% - Accent5 3 3 3 3 2 3" xfId="28802"/>
    <cellStyle name="20% - Accent5 3 3 3 3 3" xfId="9456"/>
    <cellStyle name="20% - Accent5 3 3 3 3 3 2" xfId="21760"/>
    <cellStyle name="20% - Accent5 3 3 3 3 3 2 2" xfId="44619"/>
    <cellStyle name="20% - Accent5 3 3 3 3 3 3" xfId="32317"/>
    <cellStyle name="20% - Accent5 3 3 3 3 4" xfId="14730"/>
    <cellStyle name="20% - Accent5 3 3 3 3 4 2" xfId="37589"/>
    <cellStyle name="20% - Accent5 3 3 3 3 5" xfId="25287"/>
    <cellStyle name="20% - Accent5 3 3 3 4" xfId="4183"/>
    <cellStyle name="20% - Accent5 3 3 3 4 2" xfId="16487"/>
    <cellStyle name="20% - Accent5 3 3 3 4 2 2" xfId="39346"/>
    <cellStyle name="20% - Accent5 3 3 3 4 3" xfId="27044"/>
    <cellStyle name="20% - Accent5 3 3 3 5" xfId="7698"/>
    <cellStyle name="20% - Accent5 3 3 3 5 2" xfId="20002"/>
    <cellStyle name="20% - Accent5 3 3 3 5 2 2" xfId="42861"/>
    <cellStyle name="20% - Accent5 3 3 3 5 3" xfId="30559"/>
    <cellStyle name="20% - Accent5 3 3 3 6" xfId="11213"/>
    <cellStyle name="20% - Accent5 3 3 3 6 2" xfId="34073"/>
    <cellStyle name="20% - Accent5 3 3 3 7" xfId="12972"/>
    <cellStyle name="20% - Accent5 3 3 3 7 2" xfId="35831"/>
    <cellStyle name="20% - Accent5 3 3 3 8" xfId="23528"/>
    <cellStyle name="20% - Accent5 3 3 4" xfId="1104"/>
    <cellStyle name="20% - Accent5 3 3 4 2" xfId="2865"/>
    <cellStyle name="20% - Accent5 3 3 4 2 2" xfId="6380"/>
    <cellStyle name="20% - Accent5 3 3 4 2 2 2" xfId="18684"/>
    <cellStyle name="20% - Accent5 3 3 4 2 2 2 2" xfId="41543"/>
    <cellStyle name="20% - Accent5 3 3 4 2 2 3" xfId="29241"/>
    <cellStyle name="20% - Accent5 3 3 4 2 3" xfId="9895"/>
    <cellStyle name="20% - Accent5 3 3 4 2 3 2" xfId="22199"/>
    <cellStyle name="20% - Accent5 3 3 4 2 3 2 2" xfId="45058"/>
    <cellStyle name="20% - Accent5 3 3 4 2 3 3" xfId="32756"/>
    <cellStyle name="20% - Accent5 3 3 4 2 4" xfId="15169"/>
    <cellStyle name="20% - Accent5 3 3 4 2 4 2" xfId="38028"/>
    <cellStyle name="20% - Accent5 3 3 4 2 5" xfId="25726"/>
    <cellStyle name="20% - Accent5 3 3 4 3" xfId="4622"/>
    <cellStyle name="20% - Accent5 3 3 4 3 2" xfId="16926"/>
    <cellStyle name="20% - Accent5 3 3 4 3 2 2" xfId="39785"/>
    <cellStyle name="20% - Accent5 3 3 4 3 3" xfId="27483"/>
    <cellStyle name="20% - Accent5 3 3 4 4" xfId="8137"/>
    <cellStyle name="20% - Accent5 3 3 4 4 2" xfId="20441"/>
    <cellStyle name="20% - Accent5 3 3 4 4 2 2" xfId="43300"/>
    <cellStyle name="20% - Accent5 3 3 4 4 3" xfId="30998"/>
    <cellStyle name="20% - Accent5 3 3 4 5" xfId="11652"/>
    <cellStyle name="20% - Accent5 3 3 4 5 2" xfId="34512"/>
    <cellStyle name="20% - Accent5 3 3 4 6" xfId="13411"/>
    <cellStyle name="20% - Accent5 3 3 4 6 2" xfId="36270"/>
    <cellStyle name="20% - Accent5 3 3 4 7" xfId="23967"/>
    <cellStyle name="20% - Accent5 3 3 5" xfId="1987"/>
    <cellStyle name="20% - Accent5 3 3 5 2" xfId="5502"/>
    <cellStyle name="20% - Accent5 3 3 5 2 2" xfId="17806"/>
    <cellStyle name="20% - Accent5 3 3 5 2 2 2" xfId="40665"/>
    <cellStyle name="20% - Accent5 3 3 5 2 3" xfId="28363"/>
    <cellStyle name="20% - Accent5 3 3 5 3" xfId="9017"/>
    <cellStyle name="20% - Accent5 3 3 5 3 2" xfId="21321"/>
    <cellStyle name="20% - Accent5 3 3 5 3 2 2" xfId="44180"/>
    <cellStyle name="20% - Accent5 3 3 5 3 3" xfId="31878"/>
    <cellStyle name="20% - Accent5 3 3 5 4" xfId="14291"/>
    <cellStyle name="20% - Accent5 3 3 5 4 2" xfId="37150"/>
    <cellStyle name="20% - Accent5 3 3 5 5" xfId="24848"/>
    <cellStyle name="20% - Accent5 3 3 6" xfId="3744"/>
    <cellStyle name="20% - Accent5 3 3 6 2" xfId="16048"/>
    <cellStyle name="20% - Accent5 3 3 6 2 2" xfId="38907"/>
    <cellStyle name="20% - Accent5 3 3 6 3" xfId="26605"/>
    <cellStyle name="20% - Accent5 3 3 7" xfId="7259"/>
    <cellStyle name="20% - Accent5 3 3 7 2" xfId="19563"/>
    <cellStyle name="20% - Accent5 3 3 7 2 2" xfId="42422"/>
    <cellStyle name="20% - Accent5 3 3 7 3" xfId="30120"/>
    <cellStyle name="20% - Accent5 3 3 8" xfId="10774"/>
    <cellStyle name="20% - Accent5 3 3 8 2" xfId="33634"/>
    <cellStyle name="20% - Accent5 3 3 9" xfId="12533"/>
    <cellStyle name="20% - Accent5 3 3 9 2" xfId="35392"/>
    <cellStyle name="20% - Accent5 3 4" xfId="329"/>
    <cellStyle name="20% - Accent5 3 4 2" xfId="770"/>
    <cellStyle name="20% - Accent5 3 4 2 2" xfId="1649"/>
    <cellStyle name="20% - Accent5 3 4 2 2 2" xfId="3410"/>
    <cellStyle name="20% - Accent5 3 4 2 2 2 2" xfId="6925"/>
    <cellStyle name="20% - Accent5 3 4 2 2 2 2 2" xfId="19229"/>
    <cellStyle name="20% - Accent5 3 4 2 2 2 2 2 2" xfId="42088"/>
    <cellStyle name="20% - Accent5 3 4 2 2 2 2 3" xfId="29786"/>
    <cellStyle name="20% - Accent5 3 4 2 2 2 3" xfId="10440"/>
    <cellStyle name="20% - Accent5 3 4 2 2 2 3 2" xfId="22744"/>
    <cellStyle name="20% - Accent5 3 4 2 2 2 3 2 2" xfId="45603"/>
    <cellStyle name="20% - Accent5 3 4 2 2 2 3 3" xfId="33301"/>
    <cellStyle name="20% - Accent5 3 4 2 2 2 4" xfId="15714"/>
    <cellStyle name="20% - Accent5 3 4 2 2 2 4 2" xfId="38573"/>
    <cellStyle name="20% - Accent5 3 4 2 2 2 5" xfId="26271"/>
    <cellStyle name="20% - Accent5 3 4 2 2 3" xfId="5167"/>
    <cellStyle name="20% - Accent5 3 4 2 2 3 2" xfId="17471"/>
    <cellStyle name="20% - Accent5 3 4 2 2 3 2 2" xfId="40330"/>
    <cellStyle name="20% - Accent5 3 4 2 2 3 3" xfId="28028"/>
    <cellStyle name="20% - Accent5 3 4 2 2 4" xfId="8682"/>
    <cellStyle name="20% - Accent5 3 4 2 2 4 2" xfId="20986"/>
    <cellStyle name="20% - Accent5 3 4 2 2 4 2 2" xfId="43845"/>
    <cellStyle name="20% - Accent5 3 4 2 2 4 3" xfId="31543"/>
    <cellStyle name="20% - Accent5 3 4 2 2 5" xfId="12197"/>
    <cellStyle name="20% - Accent5 3 4 2 2 5 2" xfId="35057"/>
    <cellStyle name="20% - Accent5 3 4 2 2 6" xfId="13956"/>
    <cellStyle name="20% - Accent5 3 4 2 2 6 2" xfId="36815"/>
    <cellStyle name="20% - Accent5 3 4 2 2 7" xfId="24512"/>
    <cellStyle name="20% - Accent5 3 4 2 3" xfId="2532"/>
    <cellStyle name="20% - Accent5 3 4 2 3 2" xfId="6047"/>
    <cellStyle name="20% - Accent5 3 4 2 3 2 2" xfId="18351"/>
    <cellStyle name="20% - Accent5 3 4 2 3 2 2 2" xfId="41210"/>
    <cellStyle name="20% - Accent5 3 4 2 3 2 3" xfId="28908"/>
    <cellStyle name="20% - Accent5 3 4 2 3 3" xfId="9562"/>
    <cellStyle name="20% - Accent5 3 4 2 3 3 2" xfId="21866"/>
    <cellStyle name="20% - Accent5 3 4 2 3 3 2 2" xfId="44725"/>
    <cellStyle name="20% - Accent5 3 4 2 3 3 3" xfId="32423"/>
    <cellStyle name="20% - Accent5 3 4 2 3 4" xfId="14836"/>
    <cellStyle name="20% - Accent5 3 4 2 3 4 2" xfId="37695"/>
    <cellStyle name="20% - Accent5 3 4 2 3 5" xfId="25393"/>
    <cellStyle name="20% - Accent5 3 4 2 4" xfId="4289"/>
    <cellStyle name="20% - Accent5 3 4 2 4 2" xfId="16593"/>
    <cellStyle name="20% - Accent5 3 4 2 4 2 2" xfId="39452"/>
    <cellStyle name="20% - Accent5 3 4 2 4 3" xfId="27150"/>
    <cellStyle name="20% - Accent5 3 4 2 5" xfId="7804"/>
    <cellStyle name="20% - Accent5 3 4 2 5 2" xfId="20108"/>
    <cellStyle name="20% - Accent5 3 4 2 5 2 2" xfId="42967"/>
    <cellStyle name="20% - Accent5 3 4 2 5 3" xfId="30665"/>
    <cellStyle name="20% - Accent5 3 4 2 6" xfId="11319"/>
    <cellStyle name="20% - Accent5 3 4 2 6 2" xfId="34179"/>
    <cellStyle name="20% - Accent5 3 4 2 7" xfId="13078"/>
    <cellStyle name="20% - Accent5 3 4 2 7 2" xfId="35937"/>
    <cellStyle name="20% - Accent5 3 4 2 8" xfId="23634"/>
    <cellStyle name="20% - Accent5 3 4 3" xfId="1210"/>
    <cellStyle name="20% - Accent5 3 4 3 2" xfId="2971"/>
    <cellStyle name="20% - Accent5 3 4 3 2 2" xfId="6486"/>
    <cellStyle name="20% - Accent5 3 4 3 2 2 2" xfId="18790"/>
    <cellStyle name="20% - Accent5 3 4 3 2 2 2 2" xfId="41649"/>
    <cellStyle name="20% - Accent5 3 4 3 2 2 3" xfId="29347"/>
    <cellStyle name="20% - Accent5 3 4 3 2 3" xfId="10001"/>
    <cellStyle name="20% - Accent5 3 4 3 2 3 2" xfId="22305"/>
    <cellStyle name="20% - Accent5 3 4 3 2 3 2 2" xfId="45164"/>
    <cellStyle name="20% - Accent5 3 4 3 2 3 3" xfId="32862"/>
    <cellStyle name="20% - Accent5 3 4 3 2 4" xfId="15275"/>
    <cellStyle name="20% - Accent5 3 4 3 2 4 2" xfId="38134"/>
    <cellStyle name="20% - Accent5 3 4 3 2 5" xfId="25832"/>
    <cellStyle name="20% - Accent5 3 4 3 3" xfId="4728"/>
    <cellStyle name="20% - Accent5 3 4 3 3 2" xfId="17032"/>
    <cellStyle name="20% - Accent5 3 4 3 3 2 2" xfId="39891"/>
    <cellStyle name="20% - Accent5 3 4 3 3 3" xfId="27589"/>
    <cellStyle name="20% - Accent5 3 4 3 4" xfId="8243"/>
    <cellStyle name="20% - Accent5 3 4 3 4 2" xfId="20547"/>
    <cellStyle name="20% - Accent5 3 4 3 4 2 2" xfId="43406"/>
    <cellStyle name="20% - Accent5 3 4 3 4 3" xfId="31104"/>
    <cellStyle name="20% - Accent5 3 4 3 5" xfId="11758"/>
    <cellStyle name="20% - Accent5 3 4 3 5 2" xfId="34618"/>
    <cellStyle name="20% - Accent5 3 4 3 6" xfId="13517"/>
    <cellStyle name="20% - Accent5 3 4 3 6 2" xfId="36376"/>
    <cellStyle name="20% - Accent5 3 4 3 7" xfId="24073"/>
    <cellStyle name="20% - Accent5 3 4 4" xfId="2093"/>
    <cellStyle name="20% - Accent5 3 4 4 2" xfId="5608"/>
    <cellStyle name="20% - Accent5 3 4 4 2 2" xfId="17912"/>
    <cellStyle name="20% - Accent5 3 4 4 2 2 2" xfId="40771"/>
    <cellStyle name="20% - Accent5 3 4 4 2 3" xfId="28469"/>
    <cellStyle name="20% - Accent5 3 4 4 3" xfId="9123"/>
    <cellStyle name="20% - Accent5 3 4 4 3 2" xfId="21427"/>
    <cellStyle name="20% - Accent5 3 4 4 3 2 2" xfId="44286"/>
    <cellStyle name="20% - Accent5 3 4 4 3 3" xfId="31984"/>
    <cellStyle name="20% - Accent5 3 4 4 4" xfId="14397"/>
    <cellStyle name="20% - Accent5 3 4 4 4 2" xfId="37256"/>
    <cellStyle name="20% - Accent5 3 4 4 5" xfId="24954"/>
    <cellStyle name="20% - Accent5 3 4 5" xfId="3850"/>
    <cellStyle name="20% - Accent5 3 4 5 2" xfId="16154"/>
    <cellStyle name="20% - Accent5 3 4 5 2 2" xfId="39013"/>
    <cellStyle name="20% - Accent5 3 4 5 3" xfId="26711"/>
    <cellStyle name="20% - Accent5 3 4 6" xfId="7365"/>
    <cellStyle name="20% - Accent5 3 4 6 2" xfId="19669"/>
    <cellStyle name="20% - Accent5 3 4 6 2 2" xfId="42528"/>
    <cellStyle name="20% - Accent5 3 4 6 3" xfId="30226"/>
    <cellStyle name="20% - Accent5 3 4 7" xfId="10880"/>
    <cellStyle name="20% - Accent5 3 4 7 2" xfId="33740"/>
    <cellStyle name="20% - Accent5 3 4 8" xfId="12639"/>
    <cellStyle name="20% - Accent5 3 4 8 2" xfId="35498"/>
    <cellStyle name="20% - Accent5 3 4 9" xfId="23194"/>
    <cellStyle name="20% - Accent5 3 5" xfId="558"/>
    <cellStyle name="20% - Accent5 3 5 2" xfId="1437"/>
    <cellStyle name="20% - Accent5 3 5 2 2" xfId="3198"/>
    <cellStyle name="20% - Accent5 3 5 2 2 2" xfId="6713"/>
    <cellStyle name="20% - Accent5 3 5 2 2 2 2" xfId="19017"/>
    <cellStyle name="20% - Accent5 3 5 2 2 2 2 2" xfId="41876"/>
    <cellStyle name="20% - Accent5 3 5 2 2 2 3" xfId="29574"/>
    <cellStyle name="20% - Accent5 3 5 2 2 3" xfId="10228"/>
    <cellStyle name="20% - Accent5 3 5 2 2 3 2" xfId="22532"/>
    <cellStyle name="20% - Accent5 3 5 2 2 3 2 2" xfId="45391"/>
    <cellStyle name="20% - Accent5 3 5 2 2 3 3" xfId="33089"/>
    <cellStyle name="20% - Accent5 3 5 2 2 4" xfId="15502"/>
    <cellStyle name="20% - Accent5 3 5 2 2 4 2" xfId="38361"/>
    <cellStyle name="20% - Accent5 3 5 2 2 5" xfId="26059"/>
    <cellStyle name="20% - Accent5 3 5 2 3" xfId="4955"/>
    <cellStyle name="20% - Accent5 3 5 2 3 2" xfId="17259"/>
    <cellStyle name="20% - Accent5 3 5 2 3 2 2" xfId="40118"/>
    <cellStyle name="20% - Accent5 3 5 2 3 3" xfId="27816"/>
    <cellStyle name="20% - Accent5 3 5 2 4" xfId="8470"/>
    <cellStyle name="20% - Accent5 3 5 2 4 2" xfId="20774"/>
    <cellStyle name="20% - Accent5 3 5 2 4 2 2" xfId="43633"/>
    <cellStyle name="20% - Accent5 3 5 2 4 3" xfId="31331"/>
    <cellStyle name="20% - Accent5 3 5 2 5" xfId="11985"/>
    <cellStyle name="20% - Accent5 3 5 2 5 2" xfId="34845"/>
    <cellStyle name="20% - Accent5 3 5 2 6" xfId="13744"/>
    <cellStyle name="20% - Accent5 3 5 2 6 2" xfId="36603"/>
    <cellStyle name="20% - Accent5 3 5 2 7" xfId="24300"/>
    <cellStyle name="20% - Accent5 3 5 3" xfId="2320"/>
    <cellStyle name="20% - Accent5 3 5 3 2" xfId="5835"/>
    <cellStyle name="20% - Accent5 3 5 3 2 2" xfId="18139"/>
    <cellStyle name="20% - Accent5 3 5 3 2 2 2" xfId="40998"/>
    <cellStyle name="20% - Accent5 3 5 3 2 3" xfId="28696"/>
    <cellStyle name="20% - Accent5 3 5 3 3" xfId="9350"/>
    <cellStyle name="20% - Accent5 3 5 3 3 2" xfId="21654"/>
    <cellStyle name="20% - Accent5 3 5 3 3 2 2" xfId="44513"/>
    <cellStyle name="20% - Accent5 3 5 3 3 3" xfId="32211"/>
    <cellStyle name="20% - Accent5 3 5 3 4" xfId="14624"/>
    <cellStyle name="20% - Accent5 3 5 3 4 2" xfId="37483"/>
    <cellStyle name="20% - Accent5 3 5 3 5" xfId="25181"/>
    <cellStyle name="20% - Accent5 3 5 4" xfId="4077"/>
    <cellStyle name="20% - Accent5 3 5 4 2" xfId="16381"/>
    <cellStyle name="20% - Accent5 3 5 4 2 2" xfId="39240"/>
    <cellStyle name="20% - Accent5 3 5 4 3" xfId="26938"/>
    <cellStyle name="20% - Accent5 3 5 5" xfId="7592"/>
    <cellStyle name="20% - Accent5 3 5 5 2" xfId="19896"/>
    <cellStyle name="20% - Accent5 3 5 5 2 2" xfId="42755"/>
    <cellStyle name="20% - Accent5 3 5 5 3" xfId="30453"/>
    <cellStyle name="20% - Accent5 3 5 6" xfId="11107"/>
    <cellStyle name="20% - Accent5 3 5 6 2" xfId="33967"/>
    <cellStyle name="20% - Accent5 3 5 7" xfId="12866"/>
    <cellStyle name="20% - Accent5 3 5 7 2" xfId="35725"/>
    <cellStyle name="20% - Accent5 3 5 8" xfId="23422"/>
    <cellStyle name="20% - Accent5 3 6" xfId="998"/>
    <cellStyle name="20% - Accent5 3 6 2" xfId="2759"/>
    <cellStyle name="20% - Accent5 3 6 2 2" xfId="6274"/>
    <cellStyle name="20% - Accent5 3 6 2 2 2" xfId="18578"/>
    <cellStyle name="20% - Accent5 3 6 2 2 2 2" xfId="41437"/>
    <cellStyle name="20% - Accent5 3 6 2 2 3" xfId="29135"/>
    <cellStyle name="20% - Accent5 3 6 2 3" xfId="9789"/>
    <cellStyle name="20% - Accent5 3 6 2 3 2" xfId="22093"/>
    <cellStyle name="20% - Accent5 3 6 2 3 2 2" xfId="44952"/>
    <cellStyle name="20% - Accent5 3 6 2 3 3" xfId="32650"/>
    <cellStyle name="20% - Accent5 3 6 2 4" xfId="15063"/>
    <cellStyle name="20% - Accent5 3 6 2 4 2" xfId="37922"/>
    <cellStyle name="20% - Accent5 3 6 2 5" xfId="25620"/>
    <cellStyle name="20% - Accent5 3 6 3" xfId="4516"/>
    <cellStyle name="20% - Accent5 3 6 3 2" xfId="16820"/>
    <cellStyle name="20% - Accent5 3 6 3 2 2" xfId="39679"/>
    <cellStyle name="20% - Accent5 3 6 3 3" xfId="27377"/>
    <cellStyle name="20% - Accent5 3 6 4" xfId="8031"/>
    <cellStyle name="20% - Accent5 3 6 4 2" xfId="20335"/>
    <cellStyle name="20% - Accent5 3 6 4 2 2" xfId="43194"/>
    <cellStyle name="20% - Accent5 3 6 4 3" xfId="30892"/>
    <cellStyle name="20% - Accent5 3 6 5" xfId="11546"/>
    <cellStyle name="20% - Accent5 3 6 5 2" xfId="34406"/>
    <cellStyle name="20% - Accent5 3 6 6" xfId="13305"/>
    <cellStyle name="20% - Accent5 3 6 6 2" xfId="36164"/>
    <cellStyle name="20% - Accent5 3 6 7" xfId="23861"/>
    <cellStyle name="20% - Accent5 3 7" xfId="1881"/>
    <cellStyle name="20% - Accent5 3 7 2" xfId="5396"/>
    <cellStyle name="20% - Accent5 3 7 2 2" xfId="17700"/>
    <cellStyle name="20% - Accent5 3 7 2 2 2" xfId="40559"/>
    <cellStyle name="20% - Accent5 3 7 2 3" xfId="28257"/>
    <cellStyle name="20% - Accent5 3 7 3" xfId="8911"/>
    <cellStyle name="20% - Accent5 3 7 3 2" xfId="21215"/>
    <cellStyle name="20% - Accent5 3 7 3 2 2" xfId="44074"/>
    <cellStyle name="20% - Accent5 3 7 3 3" xfId="31772"/>
    <cellStyle name="20% - Accent5 3 7 4" xfId="14185"/>
    <cellStyle name="20% - Accent5 3 7 4 2" xfId="37044"/>
    <cellStyle name="20% - Accent5 3 7 5" xfId="24742"/>
    <cellStyle name="20% - Accent5 3 8" xfId="3638"/>
    <cellStyle name="20% - Accent5 3 8 2" xfId="15942"/>
    <cellStyle name="20% - Accent5 3 8 2 2" xfId="38801"/>
    <cellStyle name="20% - Accent5 3 8 3" xfId="26499"/>
    <cellStyle name="20% - Accent5 3 9" xfId="7153"/>
    <cellStyle name="20% - Accent5 3 9 2" xfId="19457"/>
    <cellStyle name="20% - Accent5 3 9 2 2" xfId="42316"/>
    <cellStyle name="20% - Accent5 3 9 3" xfId="30014"/>
    <cellStyle name="20% - Accent5 4" xfId="144"/>
    <cellStyle name="20% - Accent5 4 10" xfId="12456"/>
    <cellStyle name="20% - Accent5 4 10 2" xfId="35315"/>
    <cellStyle name="20% - Accent5 4 11" xfId="23010"/>
    <cellStyle name="20% - Accent5 4 2" xfId="252"/>
    <cellStyle name="20% - Accent5 4 2 10" xfId="23117"/>
    <cellStyle name="20% - Accent5 4 2 2" xfId="464"/>
    <cellStyle name="20% - Accent5 4 2 2 2" xfId="905"/>
    <cellStyle name="20% - Accent5 4 2 2 2 2" xfId="1784"/>
    <cellStyle name="20% - Accent5 4 2 2 2 2 2" xfId="3545"/>
    <cellStyle name="20% - Accent5 4 2 2 2 2 2 2" xfId="7060"/>
    <cellStyle name="20% - Accent5 4 2 2 2 2 2 2 2" xfId="19364"/>
    <cellStyle name="20% - Accent5 4 2 2 2 2 2 2 2 2" xfId="42223"/>
    <cellStyle name="20% - Accent5 4 2 2 2 2 2 2 3" xfId="29921"/>
    <cellStyle name="20% - Accent5 4 2 2 2 2 2 3" xfId="10575"/>
    <cellStyle name="20% - Accent5 4 2 2 2 2 2 3 2" xfId="22879"/>
    <cellStyle name="20% - Accent5 4 2 2 2 2 2 3 2 2" xfId="45738"/>
    <cellStyle name="20% - Accent5 4 2 2 2 2 2 3 3" xfId="33436"/>
    <cellStyle name="20% - Accent5 4 2 2 2 2 2 4" xfId="15849"/>
    <cellStyle name="20% - Accent5 4 2 2 2 2 2 4 2" xfId="38708"/>
    <cellStyle name="20% - Accent5 4 2 2 2 2 2 5" xfId="26406"/>
    <cellStyle name="20% - Accent5 4 2 2 2 2 3" xfId="5302"/>
    <cellStyle name="20% - Accent5 4 2 2 2 2 3 2" xfId="17606"/>
    <cellStyle name="20% - Accent5 4 2 2 2 2 3 2 2" xfId="40465"/>
    <cellStyle name="20% - Accent5 4 2 2 2 2 3 3" xfId="28163"/>
    <cellStyle name="20% - Accent5 4 2 2 2 2 4" xfId="8817"/>
    <cellStyle name="20% - Accent5 4 2 2 2 2 4 2" xfId="21121"/>
    <cellStyle name="20% - Accent5 4 2 2 2 2 4 2 2" xfId="43980"/>
    <cellStyle name="20% - Accent5 4 2 2 2 2 4 3" xfId="31678"/>
    <cellStyle name="20% - Accent5 4 2 2 2 2 5" xfId="12332"/>
    <cellStyle name="20% - Accent5 4 2 2 2 2 5 2" xfId="35192"/>
    <cellStyle name="20% - Accent5 4 2 2 2 2 6" xfId="14091"/>
    <cellStyle name="20% - Accent5 4 2 2 2 2 6 2" xfId="36950"/>
    <cellStyle name="20% - Accent5 4 2 2 2 2 7" xfId="24647"/>
    <cellStyle name="20% - Accent5 4 2 2 2 3" xfId="2667"/>
    <cellStyle name="20% - Accent5 4 2 2 2 3 2" xfId="6182"/>
    <cellStyle name="20% - Accent5 4 2 2 2 3 2 2" xfId="18486"/>
    <cellStyle name="20% - Accent5 4 2 2 2 3 2 2 2" xfId="41345"/>
    <cellStyle name="20% - Accent5 4 2 2 2 3 2 3" xfId="29043"/>
    <cellStyle name="20% - Accent5 4 2 2 2 3 3" xfId="9697"/>
    <cellStyle name="20% - Accent5 4 2 2 2 3 3 2" xfId="22001"/>
    <cellStyle name="20% - Accent5 4 2 2 2 3 3 2 2" xfId="44860"/>
    <cellStyle name="20% - Accent5 4 2 2 2 3 3 3" xfId="32558"/>
    <cellStyle name="20% - Accent5 4 2 2 2 3 4" xfId="14971"/>
    <cellStyle name="20% - Accent5 4 2 2 2 3 4 2" xfId="37830"/>
    <cellStyle name="20% - Accent5 4 2 2 2 3 5" xfId="25528"/>
    <cellStyle name="20% - Accent5 4 2 2 2 4" xfId="4424"/>
    <cellStyle name="20% - Accent5 4 2 2 2 4 2" xfId="16728"/>
    <cellStyle name="20% - Accent5 4 2 2 2 4 2 2" xfId="39587"/>
    <cellStyle name="20% - Accent5 4 2 2 2 4 3" xfId="27285"/>
    <cellStyle name="20% - Accent5 4 2 2 2 5" xfId="7939"/>
    <cellStyle name="20% - Accent5 4 2 2 2 5 2" xfId="20243"/>
    <cellStyle name="20% - Accent5 4 2 2 2 5 2 2" xfId="43102"/>
    <cellStyle name="20% - Accent5 4 2 2 2 5 3" xfId="30800"/>
    <cellStyle name="20% - Accent5 4 2 2 2 6" xfId="11454"/>
    <cellStyle name="20% - Accent5 4 2 2 2 6 2" xfId="34314"/>
    <cellStyle name="20% - Accent5 4 2 2 2 7" xfId="13213"/>
    <cellStyle name="20% - Accent5 4 2 2 2 7 2" xfId="36072"/>
    <cellStyle name="20% - Accent5 4 2 2 2 8" xfId="23769"/>
    <cellStyle name="20% - Accent5 4 2 2 3" xfId="1345"/>
    <cellStyle name="20% - Accent5 4 2 2 3 2" xfId="3106"/>
    <cellStyle name="20% - Accent5 4 2 2 3 2 2" xfId="6621"/>
    <cellStyle name="20% - Accent5 4 2 2 3 2 2 2" xfId="18925"/>
    <cellStyle name="20% - Accent5 4 2 2 3 2 2 2 2" xfId="41784"/>
    <cellStyle name="20% - Accent5 4 2 2 3 2 2 3" xfId="29482"/>
    <cellStyle name="20% - Accent5 4 2 2 3 2 3" xfId="10136"/>
    <cellStyle name="20% - Accent5 4 2 2 3 2 3 2" xfId="22440"/>
    <cellStyle name="20% - Accent5 4 2 2 3 2 3 2 2" xfId="45299"/>
    <cellStyle name="20% - Accent5 4 2 2 3 2 3 3" xfId="32997"/>
    <cellStyle name="20% - Accent5 4 2 2 3 2 4" xfId="15410"/>
    <cellStyle name="20% - Accent5 4 2 2 3 2 4 2" xfId="38269"/>
    <cellStyle name="20% - Accent5 4 2 2 3 2 5" xfId="25967"/>
    <cellStyle name="20% - Accent5 4 2 2 3 3" xfId="4863"/>
    <cellStyle name="20% - Accent5 4 2 2 3 3 2" xfId="17167"/>
    <cellStyle name="20% - Accent5 4 2 2 3 3 2 2" xfId="40026"/>
    <cellStyle name="20% - Accent5 4 2 2 3 3 3" xfId="27724"/>
    <cellStyle name="20% - Accent5 4 2 2 3 4" xfId="8378"/>
    <cellStyle name="20% - Accent5 4 2 2 3 4 2" xfId="20682"/>
    <cellStyle name="20% - Accent5 4 2 2 3 4 2 2" xfId="43541"/>
    <cellStyle name="20% - Accent5 4 2 2 3 4 3" xfId="31239"/>
    <cellStyle name="20% - Accent5 4 2 2 3 5" xfId="11893"/>
    <cellStyle name="20% - Accent5 4 2 2 3 5 2" xfId="34753"/>
    <cellStyle name="20% - Accent5 4 2 2 3 6" xfId="13652"/>
    <cellStyle name="20% - Accent5 4 2 2 3 6 2" xfId="36511"/>
    <cellStyle name="20% - Accent5 4 2 2 3 7" xfId="24208"/>
    <cellStyle name="20% - Accent5 4 2 2 4" xfId="2228"/>
    <cellStyle name="20% - Accent5 4 2 2 4 2" xfId="5743"/>
    <cellStyle name="20% - Accent5 4 2 2 4 2 2" xfId="18047"/>
    <cellStyle name="20% - Accent5 4 2 2 4 2 2 2" xfId="40906"/>
    <cellStyle name="20% - Accent5 4 2 2 4 2 3" xfId="28604"/>
    <cellStyle name="20% - Accent5 4 2 2 4 3" xfId="9258"/>
    <cellStyle name="20% - Accent5 4 2 2 4 3 2" xfId="21562"/>
    <cellStyle name="20% - Accent5 4 2 2 4 3 2 2" xfId="44421"/>
    <cellStyle name="20% - Accent5 4 2 2 4 3 3" xfId="32119"/>
    <cellStyle name="20% - Accent5 4 2 2 4 4" xfId="14532"/>
    <cellStyle name="20% - Accent5 4 2 2 4 4 2" xfId="37391"/>
    <cellStyle name="20% - Accent5 4 2 2 4 5" xfId="25089"/>
    <cellStyle name="20% - Accent5 4 2 2 5" xfId="3985"/>
    <cellStyle name="20% - Accent5 4 2 2 5 2" xfId="16289"/>
    <cellStyle name="20% - Accent5 4 2 2 5 2 2" xfId="39148"/>
    <cellStyle name="20% - Accent5 4 2 2 5 3" xfId="26846"/>
    <cellStyle name="20% - Accent5 4 2 2 6" xfId="7500"/>
    <cellStyle name="20% - Accent5 4 2 2 6 2" xfId="19804"/>
    <cellStyle name="20% - Accent5 4 2 2 6 2 2" xfId="42663"/>
    <cellStyle name="20% - Accent5 4 2 2 6 3" xfId="30361"/>
    <cellStyle name="20% - Accent5 4 2 2 7" xfId="11015"/>
    <cellStyle name="20% - Accent5 4 2 2 7 2" xfId="33875"/>
    <cellStyle name="20% - Accent5 4 2 2 8" xfId="12774"/>
    <cellStyle name="20% - Accent5 4 2 2 8 2" xfId="35633"/>
    <cellStyle name="20% - Accent5 4 2 2 9" xfId="23329"/>
    <cellStyle name="20% - Accent5 4 2 3" xfId="693"/>
    <cellStyle name="20% - Accent5 4 2 3 2" xfId="1572"/>
    <cellStyle name="20% - Accent5 4 2 3 2 2" xfId="3333"/>
    <cellStyle name="20% - Accent5 4 2 3 2 2 2" xfId="6848"/>
    <cellStyle name="20% - Accent5 4 2 3 2 2 2 2" xfId="19152"/>
    <cellStyle name="20% - Accent5 4 2 3 2 2 2 2 2" xfId="42011"/>
    <cellStyle name="20% - Accent5 4 2 3 2 2 2 3" xfId="29709"/>
    <cellStyle name="20% - Accent5 4 2 3 2 2 3" xfId="10363"/>
    <cellStyle name="20% - Accent5 4 2 3 2 2 3 2" xfId="22667"/>
    <cellStyle name="20% - Accent5 4 2 3 2 2 3 2 2" xfId="45526"/>
    <cellStyle name="20% - Accent5 4 2 3 2 2 3 3" xfId="33224"/>
    <cellStyle name="20% - Accent5 4 2 3 2 2 4" xfId="15637"/>
    <cellStyle name="20% - Accent5 4 2 3 2 2 4 2" xfId="38496"/>
    <cellStyle name="20% - Accent5 4 2 3 2 2 5" xfId="26194"/>
    <cellStyle name="20% - Accent5 4 2 3 2 3" xfId="5090"/>
    <cellStyle name="20% - Accent5 4 2 3 2 3 2" xfId="17394"/>
    <cellStyle name="20% - Accent5 4 2 3 2 3 2 2" xfId="40253"/>
    <cellStyle name="20% - Accent5 4 2 3 2 3 3" xfId="27951"/>
    <cellStyle name="20% - Accent5 4 2 3 2 4" xfId="8605"/>
    <cellStyle name="20% - Accent5 4 2 3 2 4 2" xfId="20909"/>
    <cellStyle name="20% - Accent5 4 2 3 2 4 2 2" xfId="43768"/>
    <cellStyle name="20% - Accent5 4 2 3 2 4 3" xfId="31466"/>
    <cellStyle name="20% - Accent5 4 2 3 2 5" xfId="12120"/>
    <cellStyle name="20% - Accent5 4 2 3 2 5 2" xfId="34980"/>
    <cellStyle name="20% - Accent5 4 2 3 2 6" xfId="13879"/>
    <cellStyle name="20% - Accent5 4 2 3 2 6 2" xfId="36738"/>
    <cellStyle name="20% - Accent5 4 2 3 2 7" xfId="24435"/>
    <cellStyle name="20% - Accent5 4 2 3 3" xfId="2455"/>
    <cellStyle name="20% - Accent5 4 2 3 3 2" xfId="5970"/>
    <cellStyle name="20% - Accent5 4 2 3 3 2 2" xfId="18274"/>
    <cellStyle name="20% - Accent5 4 2 3 3 2 2 2" xfId="41133"/>
    <cellStyle name="20% - Accent5 4 2 3 3 2 3" xfId="28831"/>
    <cellStyle name="20% - Accent5 4 2 3 3 3" xfId="9485"/>
    <cellStyle name="20% - Accent5 4 2 3 3 3 2" xfId="21789"/>
    <cellStyle name="20% - Accent5 4 2 3 3 3 2 2" xfId="44648"/>
    <cellStyle name="20% - Accent5 4 2 3 3 3 3" xfId="32346"/>
    <cellStyle name="20% - Accent5 4 2 3 3 4" xfId="14759"/>
    <cellStyle name="20% - Accent5 4 2 3 3 4 2" xfId="37618"/>
    <cellStyle name="20% - Accent5 4 2 3 3 5" xfId="25316"/>
    <cellStyle name="20% - Accent5 4 2 3 4" xfId="4212"/>
    <cellStyle name="20% - Accent5 4 2 3 4 2" xfId="16516"/>
    <cellStyle name="20% - Accent5 4 2 3 4 2 2" xfId="39375"/>
    <cellStyle name="20% - Accent5 4 2 3 4 3" xfId="27073"/>
    <cellStyle name="20% - Accent5 4 2 3 5" xfId="7727"/>
    <cellStyle name="20% - Accent5 4 2 3 5 2" xfId="20031"/>
    <cellStyle name="20% - Accent5 4 2 3 5 2 2" xfId="42890"/>
    <cellStyle name="20% - Accent5 4 2 3 5 3" xfId="30588"/>
    <cellStyle name="20% - Accent5 4 2 3 6" xfId="11242"/>
    <cellStyle name="20% - Accent5 4 2 3 6 2" xfId="34102"/>
    <cellStyle name="20% - Accent5 4 2 3 7" xfId="13001"/>
    <cellStyle name="20% - Accent5 4 2 3 7 2" xfId="35860"/>
    <cellStyle name="20% - Accent5 4 2 3 8" xfId="23557"/>
    <cellStyle name="20% - Accent5 4 2 4" xfId="1133"/>
    <cellStyle name="20% - Accent5 4 2 4 2" xfId="2894"/>
    <cellStyle name="20% - Accent5 4 2 4 2 2" xfId="6409"/>
    <cellStyle name="20% - Accent5 4 2 4 2 2 2" xfId="18713"/>
    <cellStyle name="20% - Accent5 4 2 4 2 2 2 2" xfId="41572"/>
    <cellStyle name="20% - Accent5 4 2 4 2 2 3" xfId="29270"/>
    <cellStyle name="20% - Accent5 4 2 4 2 3" xfId="9924"/>
    <cellStyle name="20% - Accent5 4 2 4 2 3 2" xfId="22228"/>
    <cellStyle name="20% - Accent5 4 2 4 2 3 2 2" xfId="45087"/>
    <cellStyle name="20% - Accent5 4 2 4 2 3 3" xfId="32785"/>
    <cellStyle name="20% - Accent5 4 2 4 2 4" xfId="15198"/>
    <cellStyle name="20% - Accent5 4 2 4 2 4 2" xfId="38057"/>
    <cellStyle name="20% - Accent5 4 2 4 2 5" xfId="25755"/>
    <cellStyle name="20% - Accent5 4 2 4 3" xfId="4651"/>
    <cellStyle name="20% - Accent5 4 2 4 3 2" xfId="16955"/>
    <cellStyle name="20% - Accent5 4 2 4 3 2 2" xfId="39814"/>
    <cellStyle name="20% - Accent5 4 2 4 3 3" xfId="27512"/>
    <cellStyle name="20% - Accent5 4 2 4 4" xfId="8166"/>
    <cellStyle name="20% - Accent5 4 2 4 4 2" xfId="20470"/>
    <cellStyle name="20% - Accent5 4 2 4 4 2 2" xfId="43329"/>
    <cellStyle name="20% - Accent5 4 2 4 4 3" xfId="31027"/>
    <cellStyle name="20% - Accent5 4 2 4 5" xfId="11681"/>
    <cellStyle name="20% - Accent5 4 2 4 5 2" xfId="34541"/>
    <cellStyle name="20% - Accent5 4 2 4 6" xfId="13440"/>
    <cellStyle name="20% - Accent5 4 2 4 6 2" xfId="36299"/>
    <cellStyle name="20% - Accent5 4 2 4 7" xfId="23996"/>
    <cellStyle name="20% - Accent5 4 2 5" xfId="2016"/>
    <cellStyle name="20% - Accent5 4 2 5 2" xfId="5531"/>
    <cellStyle name="20% - Accent5 4 2 5 2 2" xfId="17835"/>
    <cellStyle name="20% - Accent5 4 2 5 2 2 2" xfId="40694"/>
    <cellStyle name="20% - Accent5 4 2 5 2 3" xfId="28392"/>
    <cellStyle name="20% - Accent5 4 2 5 3" xfId="9046"/>
    <cellStyle name="20% - Accent5 4 2 5 3 2" xfId="21350"/>
    <cellStyle name="20% - Accent5 4 2 5 3 2 2" xfId="44209"/>
    <cellStyle name="20% - Accent5 4 2 5 3 3" xfId="31907"/>
    <cellStyle name="20% - Accent5 4 2 5 4" xfId="14320"/>
    <cellStyle name="20% - Accent5 4 2 5 4 2" xfId="37179"/>
    <cellStyle name="20% - Accent5 4 2 5 5" xfId="24877"/>
    <cellStyle name="20% - Accent5 4 2 6" xfId="3773"/>
    <cellStyle name="20% - Accent5 4 2 6 2" xfId="16077"/>
    <cellStyle name="20% - Accent5 4 2 6 2 2" xfId="38936"/>
    <cellStyle name="20% - Accent5 4 2 6 3" xfId="26634"/>
    <cellStyle name="20% - Accent5 4 2 7" xfId="7288"/>
    <cellStyle name="20% - Accent5 4 2 7 2" xfId="19592"/>
    <cellStyle name="20% - Accent5 4 2 7 2 2" xfId="42451"/>
    <cellStyle name="20% - Accent5 4 2 7 3" xfId="30149"/>
    <cellStyle name="20% - Accent5 4 2 8" xfId="10803"/>
    <cellStyle name="20% - Accent5 4 2 8 2" xfId="33663"/>
    <cellStyle name="20% - Accent5 4 2 9" xfId="12562"/>
    <cellStyle name="20% - Accent5 4 2 9 2" xfId="35421"/>
    <cellStyle name="20% - Accent5 4 3" xfId="358"/>
    <cellStyle name="20% - Accent5 4 3 2" xfId="799"/>
    <cellStyle name="20% - Accent5 4 3 2 2" xfId="1678"/>
    <cellStyle name="20% - Accent5 4 3 2 2 2" xfId="3439"/>
    <cellStyle name="20% - Accent5 4 3 2 2 2 2" xfId="6954"/>
    <cellStyle name="20% - Accent5 4 3 2 2 2 2 2" xfId="19258"/>
    <cellStyle name="20% - Accent5 4 3 2 2 2 2 2 2" xfId="42117"/>
    <cellStyle name="20% - Accent5 4 3 2 2 2 2 3" xfId="29815"/>
    <cellStyle name="20% - Accent5 4 3 2 2 2 3" xfId="10469"/>
    <cellStyle name="20% - Accent5 4 3 2 2 2 3 2" xfId="22773"/>
    <cellStyle name="20% - Accent5 4 3 2 2 2 3 2 2" xfId="45632"/>
    <cellStyle name="20% - Accent5 4 3 2 2 2 3 3" xfId="33330"/>
    <cellStyle name="20% - Accent5 4 3 2 2 2 4" xfId="15743"/>
    <cellStyle name="20% - Accent5 4 3 2 2 2 4 2" xfId="38602"/>
    <cellStyle name="20% - Accent5 4 3 2 2 2 5" xfId="26300"/>
    <cellStyle name="20% - Accent5 4 3 2 2 3" xfId="5196"/>
    <cellStyle name="20% - Accent5 4 3 2 2 3 2" xfId="17500"/>
    <cellStyle name="20% - Accent5 4 3 2 2 3 2 2" xfId="40359"/>
    <cellStyle name="20% - Accent5 4 3 2 2 3 3" xfId="28057"/>
    <cellStyle name="20% - Accent5 4 3 2 2 4" xfId="8711"/>
    <cellStyle name="20% - Accent5 4 3 2 2 4 2" xfId="21015"/>
    <cellStyle name="20% - Accent5 4 3 2 2 4 2 2" xfId="43874"/>
    <cellStyle name="20% - Accent5 4 3 2 2 4 3" xfId="31572"/>
    <cellStyle name="20% - Accent5 4 3 2 2 5" xfId="12226"/>
    <cellStyle name="20% - Accent5 4 3 2 2 5 2" xfId="35086"/>
    <cellStyle name="20% - Accent5 4 3 2 2 6" xfId="13985"/>
    <cellStyle name="20% - Accent5 4 3 2 2 6 2" xfId="36844"/>
    <cellStyle name="20% - Accent5 4 3 2 2 7" xfId="24541"/>
    <cellStyle name="20% - Accent5 4 3 2 3" xfId="2561"/>
    <cellStyle name="20% - Accent5 4 3 2 3 2" xfId="6076"/>
    <cellStyle name="20% - Accent5 4 3 2 3 2 2" xfId="18380"/>
    <cellStyle name="20% - Accent5 4 3 2 3 2 2 2" xfId="41239"/>
    <cellStyle name="20% - Accent5 4 3 2 3 2 3" xfId="28937"/>
    <cellStyle name="20% - Accent5 4 3 2 3 3" xfId="9591"/>
    <cellStyle name="20% - Accent5 4 3 2 3 3 2" xfId="21895"/>
    <cellStyle name="20% - Accent5 4 3 2 3 3 2 2" xfId="44754"/>
    <cellStyle name="20% - Accent5 4 3 2 3 3 3" xfId="32452"/>
    <cellStyle name="20% - Accent5 4 3 2 3 4" xfId="14865"/>
    <cellStyle name="20% - Accent5 4 3 2 3 4 2" xfId="37724"/>
    <cellStyle name="20% - Accent5 4 3 2 3 5" xfId="25422"/>
    <cellStyle name="20% - Accent5 4 3 2 4" xfId="4318"/>
    <cellStyle name="20% - Accent5 4 3 2 4 2" xfId="16622"/>
    <cellStyle name="20% - Accent5 4 3 2 4 2 2" xfId="39481"/>
    <cellStyle name="20% - Accent5 4 3 2 4 3" xfId="27179"/>
    <cellStyle name="20% - Accent5 4 3 2 5" xfId="7833"/>
    <cellStyle name="20% - Accent5 4 3 2 5 2" xfId="20137"/>
    <cellStyle name="20% - Accent5 4 3 2 5 2 2" xfId="42996"/>
    <cellStyle name="20% - Accent5 4 3 2 5 3" xfId="30694"/>
    <cellStyle name="20% - Accent5 4 3 2 6" xfId="11348"/>
    <cellStyle name="20% - Accent5 4 3 2 6 2" xfId="34208"/>
    <cellStyle name="20% - Accent5 4 3 2 7" xfId="13107"/>
    <cellStyle name="20% - Accent5 4 3 2 7 2" xfId="35966"/>
    <cellStyle name="20% - Accent5 4 3 2 8" xfId="23663"/>
    <cellStyle name="20% - Accent5 4 3 3" xfId="1239"/>
    <cellStyle name="20% - Accent5 4 3 3 2" xfId="3000"/>
    <cellStyle name="20% - Accent5 4 3 3 2 2" xfId="6515"/>
    <cellStyle name="20% - Accent5 4 3 3 2 2 2" xfId="18819"/>
    <cellStyle name="20% - Accent5 4 3 3 2 2 2 2" xfId="41678"/>
    <cellStyle name="20% - Accent5 4 3 3 2 2 3" xfId="29376"/>
    <cellStyle name="20% - Accent5 4 3 3 2 3" xfId="10030"/>
    <cellStyle name="20% - Accent5 4 3 3 2 3 2" xfId="22334"/>
    <cellStyle name="20% - Accent5 4 3 3 2 3 2 2" xfId="45193"/>
    <cellStyle name="20% - Accent5 4 3 3 2 3 3" xfId="32891"/>
    <cellStyle name="20% - Accent5 4 3 3 2 4" xfId="15304"/>
    <cellStyle name="20% - Accent5 4 3 3 2 4 2" xfId="38163"/>
    <cellStyle name="20% - Accent5 4 3 3 2 5" xfId="25861"/>
    <cellStyle name="20% - Accent5 4 3 3 3" xfId="4757"/>
    <cellStyle name="20% - Accent5 4 3 3 3 2" xfId="17061"/>
    <cellStyle name="20% - Accent5 4 3 3 3 2 2" xfId="39920"/>
    <cellStyle name="20% - Accent5 4 3 3 3 3" xfId="27618"/>
    <cellStyle name="20% - Accent5 4 3 3 4" xfId="8272"/>
    <cellStyle name="20% - Accent5 4 3 3 4 2" xfId="20576"/>
    <cellStyle name="20% - Accent5 4 3 3 4 2 2" xfId="43435"/>
    <cellStyle name="20% - Accent5 4 3 3 4 3" xfId="31133"/>
    <cellStyle name="20% - Accent5 4 3 3 5" xfId="11787"/>
    <cellStyle name="20% - Accent5 4 3 3 5 2" xfId="34647"/>
    <cellStyle name="20% - Accent5 4 3 3 6" xfId="13546"/>
    <cellStyle name="20% - Accent5 4 3 3 6 2" xfId="36405"/>
    <cellStyle name="20% - Accent5 4 3 3 7" xfId="24102"/>
    <cellStyle name="20% - Accent5 4 3 4" xfId="2122"/>
    <cellStyle name="20% - Accent5 4 3 4 2" xfId="5637"/>
    <cellStyle name="20% - Accent5 4 3 4 2 2" xfId="17941"/>
    <cellStyle name="20% - Accent5 4 3 4 2 2 2" xfId="40800"/>
    <cellStyle name="20% - Accent5 4 3 4 2 3" xfId="28498"/>
    <cellStyle name="20% - Accent5 4 3 4 3" xfId="9152"/>
    <cellStyle name="20% - Accent5 4 3 4 3 2" xfId="21456"/>
    <cellStyle name="20% - Accent5 4 3 4 3 2 2" xfId="44315"/>
    <cellStyle name="20% - Accent5 4 3 4 3 3" xfId="32013"/>
    <cellStyle name="20% - Accent5 4 3 4 4" xfId="14426"/>
    <cellStyle name="20% - Accent5 4 3 4 4 2" xfId="37285"/>
    <cellStyle name="20% - Accent5 4 3 4 5" xfId="24983"/>
    <cellStyle name="20% - Accent5 4 3 5" xfId="3879"/>
    <cellStyle name="20% - Accent5 4 3 5 2" xfId="16183"/>
    <cellStyle name="20% - Accent5 4 3 5 2 2" xfId="39042"/>
    <cellStyle name="20% - Accent5 4 3 5 3" xfId="26740"/>
    <cellStyle name="20% - Accent5 4 3 6" xfId="7394"/>
    <cellStyle name="20% - Accent5 4 3 6 2" xfId="19698"/>
    <cellStyle name="20% - Accent5 4 3 6 2 2" xfId="42557"/>
    <cellStyle name="20% - Accent5 4 3 6 3" xfId="30255"/>
    <cellStyle name="20% - Accent5 4 3 7" xfId="10909"/>
    <cellStyle name="20% - Accent5 4 3 7 2" xfId="33769"/>
    <cellStyle name="20% - Accent5 4 3 8" xfId="12668"/>
    <cellStyle name="20% - Accent5 4 3 8 2" xfId="35527"/>
    <cellStyle name="20% - Accent5 4 3 9" xfId="23223"/>
    <cellStyle name="20% - Accent5 4 4" xfId="587"/>
    <cellStyle name="20% - Accent5 4 4 2" xfId="1466"/>
    <cellStyle name="20% - Accent5 4 4 2 2" xfId="3227"/>
    <cellStyle name="20% - Accent5 4 4 2 2 2" xfId="6742"/>
    <cellStyle name="20% - Accent5 4 4 2 2 2 2" xfId="19046"/>
    <cellStyle name="20% - Accent5 4 4 2 2 2 2 2" xfId="41905"/>
    <cellStyle name="20% - Accent5 4 4 2 2 2 3" xfId="29603"/>
    <cellStyle name="20% - Accent5 4 4 2 2 3" xfId="10257"/>
    <cellStyle name="20% - Accent5 4 4 2 2 3 2" xfId="22561"/>
    <cellStyle name="20% - Accent5 4 4 2 2 3 2 2" xfId="45420"/>
    <cellStyle name="20% - Accent5 4 4 2 2 3 3" xfId="33118"/>
    <cellStyle name="20% - Accent5 4 4 2 2 4" xfId="15531"/>
    <cellStyle name="20% - Accent5 4 4 2 2 4 2" xfId="38390"/>
    <cellStyle name="20% - Accent5 4 4 2 2 5" xfId="26088"/>
    <cellStyle name="20% - Accent5 4 4 2 3" xfId="4984"/>
    <cellStyle name="20% - Accent5 4 4 2 3 2" xfId="17288"/>
    <cellStyle name="20% - Accent5 4 4 2 3 2 2" xfId="40147"/>
    <cellStyle name="20% - Accent5 4 4 2 3 3" xfId="27845"/>
    <cellStyle name="20% - Accent5 4 4 2 4" xfId="8499"/>
    <cellStyle name="20% - Accent5 4 4 2 4 2" xfId="20803"/>
    <cellStyle name="20% - Accent5 4 4 2 4 2 2" xfId="43662"/>
    <cellStyle name="20% - Accent5 4 4 2 4 3" xfId="31360"/>
    <cellStyle name="20% - Accent5 4 4 2 5" xfId="12014"/>
    <cellStyle name="20% - Accent5 4 4 2 5 2" xfId="34874"/>
    <cellStyle name="20% - Accent5 4 4 2 6" xfId="13773"/>
    <cellStyle name="20% - Accent5 4 4 2 6 2" xfId="36632"/>
    <cellStyle name="20% - Accent5 4 4 2 7" xfId="24329"/>
    <cellStyle name="20% - Accent5 4 4 3" xfId="2349"/>
    <cellStyle name="20% - Accent5 4 4 3 2" xfId="5864"/>
    <cellStyle name="20% - Accent5 4 4 3 2 2" xfId="18168"/>
    <cellStyle name="20% - Accent5 4 4 3 2 2 2" xfId="41027"/>
    <cellStyle name="20% - Accent5 4 4 3 2 3" xfId="28725"/>
    <cellStyle name="20% - Accent5 4 4 3 3" xfId="9379"/>
    <cellStyle name="20% - Accent5 4 4 3 3 2" xfId="21683"/>
    <cellStyle name="20% - Accent5 4 4 3 3 2 2" xfId="44542"/>
    <cellStyle name="20% - Accent5 4 4 3 3 3" xfId="32240"/>
    <cellStyle name="20% - Accent5 4 4 3 4" xfId="14653"/>
    <cellStyle name="20% - Accent5 4 4 3 4 2" xfId="37512"/>
    <cellStyle name="20% - Accent5 4 4 3 5" xfId="25210"/>
    <cellStyle name="20% - Accent5 4 4 4" xfId="4106"/>
    <cellStyle name="20% - Accent5 4 4 4 2" xfId="16410"/>
    <cellStyle name="20% - Accent5 4 4 4 2 2" xfId="39269"/>
    <cellStyle name="20% - Accent5 4 4 4 3" xfId="26967"/>
    <cellStyle name="20% - Accent5 4 4 5" xfId="7621"/>
    <cellStyle name="20% - Accent5 4 4 5 2" xfId="19925"/>
    <cellStyle name="20% - Accent5 4 4 5 2 2" xfId="42784"/>
    <cellStyle name="20% - Accent5 4 4 5 3" xfId="30482"/>
    <cellStyle name="20% - Accent5 4 4 6" xfId="11136"/>
    <cellStyle name="20% - Accent5 4 4 6 2" xfId="33996"/>
    <cellStyle name="20% - Accent5 4 4 7" xfId="12895"/>
    <cellStyle name="20% - Accent5 4 4 7 2" xfId="35754"/>
    <cellStyle name="20% - Accent5 4 4 8" xfId="23451"/>
    <cellStyle name="20% - Accent5 4 5" xfId="1027"/>
    <cellStyle name="20% - Accent5 4 5 2" xfId="2788"/>
    <cellStyle name="20% - Accent5 4 5 2 2" xfId="6303"/>
    <cellStyle name="20% - Accent5 4 5 2 2 2" xfId="18607"/>
    <cellStyle name="20% - Accent5 4 5 2 2 2 2" xfId="41466"/>
    <cellStyle name="20% - Accent5 4 5 2 2 3" xfId="29164"/>
    <cellStyle name="20% - Accent5 4 5 2 3" xfId="9818"/>
    <cellStyle name="20% - Accent5 4 5 2 3 2" xfId="22122"/>
    <cellStyle name="20% - Accent5 4 5 2 3 2 2" xfId="44981"/>
    <cellStyle name="20% - Accent5 4 5 2 3 3" xfId="32679"/>
    <cellStyle name="20% - Accent5 4 5 2 4" xfId="15092"/>
    <cellStyle name="20% - Accent5 4 5 2 4 2" xfId="37951"/>
    <cellStyle name="20% - Accent5 4 5 2 5" xfId="25649"/>
    <cellStyle name="20% - Accent5 4 5 3" xfId="4545"/>
    <cellStyle name="20% - Accent5 4 5 3 2" xfId="16849"/>
    <cellStyle name="20% - Accent5 4 5 3 2 2" xfId="39708"/>
    <cellStyle name="20% - Accent5 4 5 3 3" xfId="27406"/>
    <cellStyle name="20% - Accent5 4 5 4" xfId="8060"/>
    <cellStyle name="20% - Accent5 4 5 4 2" xfId="20364"/>
    <cellStyle name="20% - Accent5 4 5 4 2 2" xfId="43223"/>
    <cellStyle name="20% - Accent5 4 5 4 3" xfId="30921"/>
    <cellStyle name="20% - Accent5 4 5 5" xfId="11575"/>
    <cellStyle name="20% - Accent5 4 5 5 2" xfId="34435"/>
    <cellStyle name="20% - Accent5 4 5 6" xfId="13334"/>
    <cellStyle name="20% - Accent5 4 5 6 2" xfId="36193"/>
    <cellStyle name="20% - Accent5 4 5 7" xfId="23890"/>
    <cellStyle name="20% - Accent5 4 6" xfId="1910"/>
    <cellStyle name="20% - Accent5 4 6 2" xfId="5425"/>
    <cellStyle name="20% - Accent5 4 6 2 2" xfId="17729"/>
    <cellStyle name="20% - Accent5 4 6 2 2 2" xfId="40588"/>
    <cellStyle name="20% - Accent5 4 6 2 3" xfId="28286"/>
    <cellStyle name="20% - Accent5 4 6 3" xfId="8940"/>
    <cellStyle name="20% - Accent5 4 6 3 2" xfId="21244"/>
    <cellStyle name="20% - Accent5 4 6 3 2 2" xfId="44103"/>
    <cellStyle name="20% - Accent5 4 6 3 3" xfId="31801"/>
    <cellStyle name="20% - Accent5 4 6 4" xfId="14214"/>
    <cellStyle name="20% - Accent5 4 6 4 2" xfId="37073"/>
    <cellStyle name="20% - Accent5 4 6 5" xfId="24771"/>
    <cellStyle name="20% - Accent5 4 7" xfId="3667"/>
    <cellStyle name="20% - Accent5 4 7 2" xfId="15971"/>
    <cellStyle name="20% - Accent5 4 7 2 2" xfId="38830"/>
    <cellStyle name="20% - Accent5 4 7 3" xfId="26528"/>
    <cellStyle name="20% - Accent5 4 8" xfId="7182"/>
    <cellStyle name="20% - Accent5 4 8 2" xfId="19486"/>
    <cellStyle name="20% - Accent5 4 8 2 2" xfId="42345"/>
    <cellStyle name="20% - Accent5 4 8 3" xfId="30043"/>
    <cellStyle name="20% - Accent5 4 9" xfId="10697"/>
    <cellStyle name="20% - Accent5 4 9 2" xfId="33557"/>
    <cellStyle name="20% - Accent5 5" xfId="204"/>
    <cellStyle name="20% - Accent5 5 10" xfId="23069"/>
    <cellStyle name="20% - Accent5 5 2" xfId="416"/>
    <cellStyle name="20% - Accent5 5 2 2" xfId="857"/>
    <cellStyle name="20% - Accent5 5 2 2 2" xfId="1736"/>
    <cellStyle name="20% - Accent5 5 2 2 2 2" xfId="3497"/>
    <cellStyle name="20% - Accent5 5 2 2 2 2 2" xfId="7012"/>
    <cellStyle name="20% - Accent5 5 2 2 2 2 2 2" xfId="19316"/>
    <cellStyle name="20% - Accent5 5 2 2 2 2 2 2 2" xfId="42175"/>
    <cellStyle name="20% - Accent5 5 2 2 2 2 2 3" xfId="29873"/>
    <cellStyle name="20% - Accent5 5 2 2 2 2 3" xfId="10527"/>
    <cellStyle name="20% - Accent5 5 2 2 2 2 3 2" xfId="22831"/>
    <cellStyle name="20% - Accent5 5 2 2 2 2 3 2 2" xfId="45690"/>
    <cellStyle name="20% - Accent5 5 2 2 2 2 3 3" xfId="33388"/>
    <cellStyle name="20% - Accent5 5 2 2 2 2 4" xfId="15801"/>
    <cellStyle name="20% - Accent5 5 2 2 2 2 4 2" xfId="38660"/>
    <cellStyle name="20% - Accent5 5 2 2 2 2 5" xfId="26358"/>
    <cellStyle name="20% - Accent5 5 2 2 2 3" xfId="5254"/>
    <cellStyle name="20% - Accent5 5 2 2 2 3 2" xfId="17558"/>
    <cellStyle name="20% - Accent5 5 2 2 2 3 2 2" xfId="40417"/>
    <cellStyle name="20% - Accent5 5 2 2 2 3 3" xfId="28115"/>
    <cellStyle name="20% - Accent5 5 2 2 2 4" xfId="8769"/>
    <cellStyle name="20% - Accent5 5 2 2 2 4 2" xfId="21073"/>
    <cellStyle name="20% - Accent5 5 2 2 2 4 2 2" xfId="43932"/>
    <cellStyle name="20% - Accent5 5 2 2 2 4 3" xfId="31630"/>
    <cellStyle name="20% - Accent5 5 2 2 2 5" xfId="12284"/>
    <cellStyle name="20% - Accent5 5 2 2 2 5 2" xfId="35144"/>
    <cellStyle name="20% - Accent5 5 2 2 2 6" xfId="14043"/>
    <cellStyle name="20% - Accent5 5 2 2 2 6 2" xfId="36902"/>
    <cellStyle name="20% - Accent5 5 2 2 2 7" xfId="24599"/>
    <cellStyle name="20% - Accent5 5 2 2 3" xfId="2619"/>
    <cellStyle name="20% - Accent5 5 2 2 3 2" xfId="6134"/>
    <cellStyle name="20% - Accent5 5 2 2 3 2 2" xfId="18438"/>
    <cellStyle name="20% - Accent5 5 2 2 3 2 2 2" xfId="41297"/>
    <cellStyle name="20% - Accent5 5 2 2 3 2 3" xfId="28995"/>
    <cellStyle name="20% - Accent5 5 2 2 3 3" xfId="9649"/>
    <cellStyle name="20% - Accent5 5 2 2 3 3 2" xfId="21953"/>
    <cellStyle name="20% - Accent5 5 2 2 3 3 2 2" xfId="44812"/>
    <cellStyle name="20% - Accent5 5 2 2 3 3 3" xfId="32510"/>
    <cellStyle name="20% - Accent5 5 2 2 3 4" xfId="14923"/>
    <cellStyle name="20% - Accent5 5 2 2 3 4 2" xfId="37782"/>
    <cellStyle name="20% - Accent5 5 2 2 3 5" xfId="25480"/>
    <cellStyle name="20% - Accent5 5 2 2 4" xfId="4376"/>
    <cellStyle name="20% - Accent5 5 2 2 4 2" xfId="16680"/>
    <cellStyle name="20% - Accent5 5 2 2 4 2 2" xfId="39539"/>
    <cellStyle name="20% - Accent5 5 2 2 4 3" xfId="27237"/>
    <cellStyle name="20% - Accent5 5 2 2 5" xfId="7891"/>
    <cellStyle name="20% - Accent5 5 2 2 5 2" xfId="20195"/>
    <cellStyle name="20% - Accent5 5 2 2 5 2 2" xfId="43054"/>
    <cellStyle name="20% - Accent5 5 2 2 5 3" xfId="30752"/>
    <cellStyle name="20% - Accent5 5 2 2 6" xfId="11406"/>
    <cellStyle name="20% - Accent5 5 2 2 6 2" xfId="34266"/>
    <cellStyle name="20% - Accent5 5 2 2 7" xfId="13165"/>
    <cellStyle name="20% - Accent5 5 2 2 7 2" xfId="36024"/>
    <cellStyle name="20% - Accent5 5 2 2 8" xfId="23721"/>
    <cellStyle name="20% - Accent5 5 2 3" xfId="1297"/>
    <cellStyle name="20% - Accent5 5 2 3 2" xfId="3058"/>
    <cellStyle name="20% - Accent5 5 2 3 2 2" xfId="6573"/>
    <cellStyle name="20% - Accent5 5 2 3 2 2 2" xfId="18877"/>
    <cellStyle name="20% - Accent5 5 2 3 2 2 2 2" xfId="41736"/>
    <cellStyle name="20% - Accent5 5 2 3 2 2 3" xfId="29434"/>
    <cellStyle name="20% - Accent5 5 2 3 2 3" xfId="10088"/>
    <cellStyle name="20% - Accent5 5 2 3 2 3 2" xfId="22392"/>
    <cellStyle name="20% - Accent5 5 2 3 2 3 2 2" xfId="45251"/>
    <cellStyle name="20% - Accent5 5 2 3 2 3 3" xfId="32949"/>
    <cellStyle name="20% - Accent5 5 2 3 2 4" xfId="15362"/>
    <cellStyle name="20% - Accent5 5 2 3 2 4 2" xfId="38221"/>
    <cellStyle name="20% - Accent5 5 2 3 2 5" xfId="25919"/>
    <cellStyle name="20% - Accent5 5 2 3 3" xfId="4815"/>
    <cellStyle name="20% - Accent5 5 2 3 3 2" xfId="17119"/>
    <cellStyle name="20% - Accent5 5 2 3 3 2 2" xfId="39978"/>
    <cellStyle name="20% - Accent5 5 2 3 3 3" xfId="27676"/>
    <cellStyle name="20% - Accent5 5 2 3 4" xfId="8330"/>
    <cellStyle name="20% - Accent5 5 2 3 4 2" xfId="20634"/>
    <cellStyle name="20% - Accent5 5 2 3 4 2 2" xfId="43493"/>
    <cellStyle name="20% - Accent5 5 2 3 4 3" xfId="31191"/>
    <cellStyle name="20% - Accent5 5 2 3 5" xfId="11845"/>
    <cellStyle name="20% - Accent5 5 2 3 5 2" xfId="34705"/>
    <cellStyle name="20% - Accent5 5 2 3 6" xfId="13604"/>
    <cellStyle name="20% - Accent5 5 2 3 6 2" xfId="36463"/>
    <cellStyle name="20% - Accent5 5 2 3 7" xfId="24160"/>
    <cellStyle name="20% - Accent5 5 2 4" xfId="2180"/>
    <cellStyle name="20% - Accent5 5 2 4 2" xfId="5695"/>
    <cellStyle name="20% - Accent5 5 2 4 2 2" xfId="17999"/>
    <cellStyle name="20% - Accent5 5 2 4 2 2 2" xfId="40858"/>
    <cellStyle name="20% - Accent5 5 2 4 2 3" xfId="28556"/>
    <cellStyle name="20% - Accent5 5 2 4 3" xfId="9210"/>
    <cellStyle name="20% - Accent5 5 2 4 3 2" xfId="21514"/>
    <cellStyle name="20% - Accent5 5 2 4 3 2 2" xfId="44373"/>
    <cellStyle name="20% - Accent5 5 2 4 3 3" xfId="32071"/>
    <cellStyle name="20% - Accent5 5 2 4 4" xfId="14484"/>
    <cellStyle name="20% - Accent5 5 2 4 4 2" xfId="37343"/>
    <cellStyle name="20% - Accent5 5 2 4 5" xfId="25041"/>
    <cellStyle name="20% - Accent5 5 2 5" xfId="3937"/>
    <cellStyle name="20% - Accent5 5 2 5 2" xfId="16241"/>
    <cellStyle name="20% - Accent5 5 2 5 2 2" xfId="39100"/>
    <cellStyle name="20% - Accent5 5 2 5 3" xfId="26798"/>
    <cellStyle name="20% - Accent5 5 2 6" xfId="7452"/>
    <cellStyle name="20% - Accent5 5 2 6 2" xfId="19756"/>
    <cellStyle name="20% - Accent5 5 2 6 2 2" xfId="42615"/>
    <cellStyle name="20% - Accent5 5 2 6 3" xfId="30313"/>
    <cellStyle name="20% - Accent5 5 2 7" xfId="10967"/>
    <cellStyle name="20% - Accent5 5 2 7 2" xfId="33827"/>
    <cellStyle name="20% - Accent5 5 2 8" xfId="12726"/>
    <cellStyle name="20% - Accent5 5 2 8 2" xfId="35585"/>
    <cellStyle name="20% - Accent5 5 2 9" xfId="23281"/>
    <cellStyle name="20% - Accent5 5 3" xfId="645"/>
    <cellStyle name="20% - Accent5 5 3 2" xfId="1524"/>
    <cellStyle name="20% - Accent5 5 3 2 2" xfId="3285"/>
    <cellStyle name="20% - Accent5 5 3 2 2 2" xfId="6800"/>
    <cellStyle name="20% - Accent5 5 3 2 2 2 2" xfId="19104"/>
    <cellStyle name="20% - Accent5 5 3 2 2 2 2 2" xfId="41963"/>
    <cellStyle name="20% - Accent5 5 3 2 2 2 3" xfId="29661"/>
    <cellStyle name="20% - Accent5 5 3 2 2 3" xfId="10315"/>
    <cellStyle name="20% - Accent5 5 3 2 2 3 2" xfId="22619"/>
    <cellStyle name="20% - Accent5 5 3 2 2 3 2 2" xfId="45478"/>
    <cellStyle name="20% - Accent5 5 3 2 2 3 3" xfId="33176"/>
    <cellStyle name="20% - Accent5 5 3 2 2 4" xfId="15589"/>
    <cellStyle name="20% - Accent5 5 3 2 2 4 2" xfId="38448"/>
    <cellStyle name="20% - Accent5 5 3 2 2 5" xfId="26146"/>
    <cellStyle name="20% - Accent5 5 3 2 3" xfId="5042"/>
    <cellStyle name="20% - Accent5 5 3 2 3 2" xfId="17346"/>
    <cellStyle name="20% - Accent5 5 3 2 3 2 2" xfId="40205"/>
    <cellStyle name="20% - Accent5 5 3 2 3 3" xfId="27903"/>
    <cellStyle name="20% - Accent5 5 3 2 4" xfId="8557"/>
    <cellStyle name="20% - Accent5 5 3 2 4 2" xfId="20861"/>
    <cellStyle name="20% - Accent5 5 3 2 4 2 2" xfId="43720"/>
    <cellStyle name="20% - Accent5 5 3 2 4 3" xfId="31418"/>
    <cellStyle name="20% - Accent5 5 3 2 5" xfId="12072"/>
    <cellStyle name="20% - Accent5 5 3 2 5 2" xfId="34932"/>
    <cellStyle name="20% - Accent5 5 3 2 6" xfId="13831"/>
    <cellStyle name="20% - Accent5 5 3 2 6 2" xfId="36690"/>
    <cellStyle name="20% - Accent5 5 3 2 7" xfId="24387"/>
    <cellStyle name="20% - Accent5 5 3 3" xfId="2407"/>
    <cellStyle name="20% - Accent5 5 3 3 2" xfId="5922"/>
    <cellStyle name="20% - Accent5 5 3 3 2 2" xfId="18226"/>
    <cellStyle name="20% - Accent5 5 3 3 2 2 2" xfId="41085"/>
    <cellStyle name="20% - Accent5 5 3 3 2 3" xfId="28783"/>
    <cellStyle name="20% - Accent5 5 3 3 3" xfId="9437"/>
    <cellStyle name="20% - Accent5 5 3 3 3 2" xfId="21741"/>
    <cellStyle name="20% - Accent5 5 3 3 3 2 2" xfId="44600"/>
    <cellStyle name="20% - Accent5 5 3 3 3 3" xfId="32298"/>
    <cellStyle name="20% - Accent5 5 3 3 4" xfId="14711"/>
    <cellStyle name="20% - Accent5 5 3 3 4 2" xfId="37570"/>
    <cellStyle name="20% - Accent5 5 3 3 5" xfId="25268"/>
    <cellStyle name="20% - Accent5 5 3 4" xfId="4164"/>
    <cellStyle name="20% - Accent5 5 3 4 2" xfId="16468"/>
    <cellStyle name="20% - Accent5 5 3 4 2 2" xfId="39327"/>
    <cellStyle name="20% - Accent5 5 3 4 3" xfId="27025"/>
    <cellStyle name="20% - Accent5 5 3 5" xfId="7679"/>
    <cellStyle name="20% - Accent5 5 3 5 2" xfId="19983"/>
    <cellStyle name="20% - Accent5 5 3 5 2 2" xfId="42842"/>
    <cellStyle name="20% - Accent5 5 3 5 3" xfId="30540"/>
    <cellStyle name="20% - Accent5 5 3 6" xfId="11194"/>
    <cellStyle name="20% - Accent5 5 3 6 2" xfId="34054"/>
    <cellStyle name="20% - Accent5 5 3 7" xfId="12953"/>
    <cellStyle name="20% - Accent5 5 3 7 2" xfId="35812"/>
    <cellStyle name="20% - Accent5 5 3 8" xfId="23509"/>
    <cellStyle name="20% - Accent5 5 4" xfId="1085"/>
    <cellStyle name="20% - Accent5 5 4 2" xfId="2846"/>
    <cellStyle name="20% - Accent5 5 4 2 2" xfId="6361"/>
    <cellStyle name="20% - Accent5 5 4 2 2 2" xfId="18665"/>
    <cellStyle name="20% - Accent5 5 4 2 2 2 2" xfId="41524"/>
    <cellStyle name="20% - Accent5 5 4 2 2 3" xfId="29222"/>
    <cellStyle name="20% - Accent5 5 4 2 3" xfId="9876"/>
    <cellStyle name="20% - Accent5 5 4 2 3 2" xfId="22180"/>
    <cellStyle name="20% - Accent5 5 4 2 3 2 2" xfId="45039"/>
    <cellStyle name="20% - Accent5 5 4 2 3 3" xfId="32737"/>
    <cellStyle name="20% - Accent5 5 4 2 4" xfId="15150"/>
    <cellStyle name="20% - Accent5 5 4 2 4 2" xfId="38009"/>
    <cellStyle name="20% - Accent5 5 4 2 5" xfId="25707"/>
    <cellStyle name="20% - Accent5 5 4 3" xfId="4603"/>
    <cellStyle name="20% - Accent5 5 4 3 2" xfId="16907"/>
    <cellStyle name="20% - Accent5 5 4 3 2 2" xfId="39766"/>
    <cellStyle name="20% - Accent5 5 4 3 3" xfId="27464"/>
    <cellStyle name="20% - Accent5 5 4 4" xfId="8118"/>
    <cellStyle name="20% - Accent5 5 4 4 2" xfId="20422"/>
    <cellStyle name="20% - Accent5 5 4 4 2 2" xfId="43281"/>
    <cellStyle name="20% - Accent5 5 4 4 3" xfId="30979"/>
    <cellStyle name="20% - Accent5 5 4 5" xfId="11633"/>
    <cellStyle name="20% - Accent5 5 4 5 2" xfId="34493"/>
    <cellStyle name="20% - Accent5 5 4 6" xfId="13392"/>
    <cellStyle name="20% - Accent5 5 4 6 2" xfId="36251"/>
    <cellStyle name="20% - Accent5 5 4 7" xfId="23948"/>
    <cellStyle name="20% - Accent5 5 5" xfId="1968"/>
    <cellStyle name="20% - Accent5 5 5 2" xfId="5483"/>
    <cellStyle name="20% - Accent5 5 5 2 2" xfId="17787"/>
    <cellStyle name="20% - Accent5 5 5 2 2 2" xfId="40646"/>
    <cellStyle name="20% - Accent5 5 5 2 3" xfId="28344"/>
    <cellStyle name="20% - Accent5 5 5 3" xfId="8998"/>
    <cellStyle name="20% - Accent5 5 5 3 2" xfId="21302"/>
    <cellStyle name="20% - Accent5 5 5 3 2 2" xfId="44161"/>
    <cellStyle name="20% - Accent5 5 5 3 3" xfId="31859"/>
    <cellStyle name="20% - Accent5 5 5 4" xfId="14272"/>
    <cellStyle name="20% - Accent5 5 5 4 2" xfId="37131"/>
    <cellStyle name="20% - Accent5 5 5 5" xfId="24829"/>
    <cellStyle name="20% - Accent5 5 6" xfId="3725"/>
    <cellStyle name="20% - Accent5 5 6 2" xfId="16029"/>
    <cellStyle name="20% - Accent5 5 6 2 2" xfId="38888"/>
    <cellStyle name="20% - Accent5 5 6 3" xfId="26586"/>
    <cellStyle name="20% - Accent5 5 7" xfId="7240"/>
    <cellStyle name="20% - Accent5 5 7 2" xfId="19544"/>
    <cellStyle name="20% - Accent5 5 7 2 2" xfId="42403"/>
    <cellStyle name="20% - Accent5 5 7 3" xfId="30101"/>
    <cellStyle name="20% - Accent5 5 8" xfId="10755"/>
    <cellStyle name="20% - Accent5 5 8 2" xfId="33615"/>
    <cellStyle name="20% - Accent5 5 9" xfId="12514"/>
    <cellStyle name="20% - Accent5 5 9 2" xfId="35373"/>
    <cellStyle name="20% - Accent5 6" xfId="310"/>
    <cellStyle name="20% - Accent5 6 2" xfId="751"/>
    <cellStyle name="20% - Accent5 6 2 2" xfId="1630"/>
    <cellStyle name="20% - Accent5 6 2 2 2" xfId="3391"/>
    <cellStyle name="20% - Accent5 6 2 2 2 2" xfId="6906"/>
    <cellStyle name="20% - Accent5 6 2 2 2 2 2" xfId="19210"/>
    <cellStyle name="20% - Accent5 6 2 2 2 2 2 2" xfId="42069"/>
    <cellStyle name="20% - Accent5 6 2 2 2 2 3" xfId="29767"/>
    <cellStyle name="20% - Accent5 6 2 2 2 3" xfId="10421"/>
    <cellStyle name="20% - Accent5 6 2 2 2 3 2" xfId="22725"/>
    <cellStyle name="20% - Accent5 6 2 2 2 3 2 2" xfId="45584"/>
    <cellStyle name="20% - Accent5 6 2 2 2 3 3" xfId="33282"/>
    <cellStyle name="20% - Accent5 6 2 2 2 4" xfId="15695"/>
    <cellStyle name="20% - Accent5 6 2 2 2 4 2" xfId="38554"/>
    <cellStyle name="20% - Accent5 6 2 2 2 5" xfId="26252"/>
    <cellStyle name="20% - Accent5 6 2 2 3" xfId="5148"/>
    <cellStyle name="20% - Accent5 6 2 2 3 2" xfId="17452"/>
    <cellStyle name="20% - Accent5 6 2 2 3 2 2" xfId="40311"/>
    <cellStyle name="20% - Accent5 6 2 2 3 3" xfId="28009"/>
    <cellStyle name="20% - Accent5 6 2 2 4" xfId="8663"/>
    <cellStyle name="20% - Accent5 6 2 2 4 2" xfId="20967"/>
    <cellStyle name="20% - Accent5 6 2 2 4 2 2" xfId="43826"/>
    <cellStyle name="20% - Accent5 6 2 2 4 3" xfId="31524"/>
    <cellStyle name="20% - Accent5 6 2 2 5" xfId="12178"/>
    <cellStyle name="20% - Accent5 6 2 2 5 2" xfId="35038"/>
    <cellStyle name="20% - Accent5 6 2 2 6" xfId="13937"/>
    <cellStyle name="20% - Accent5 6 2 2 6 2" xfId="36796"/>
    <cellStyle name="20% - Accent5 6 2 2 7" xfId="24493"/>
    <cellStyle name="20% - Accent5 6 2 3" xfId="2513"/>
    <cellStyle name="20% - Accent5 6 2 3 2" xfId="6028"/>
    <cellStyle name="20% - Accent5 6 2 3 2 2" xfId="18332"/>
    <cellStyle name="20% - Accent5 6 2 3 2 2 2" xfId="41191"/>
    <cellStyle name="20% - Accent5 6 2 3 2 3" xfId="28889"/>
    <cellStyle name="20% - Accent5 6 2 3 3" xfId="9543"/>
    <cellStyle name="20% - Accent5 6 2 3 3 2" xfId="21847"/>
    <cellStyle name="20% - Accent5 6 2 3 3 2 2" xfId="44706"/>
    <cellStyle name="20% - Accent5 6 2 3 3 3" xfId="32404"/>
    <cellStyle name="20% - Accent5 6 2 3 4" xfId="14817"/>
    <cellStyle name="20% - Accent5 6 2 3 4 2" xfId="37676"/>
    <cellStyle name="20% - Accent5 6 2 3 5" xfId="25374"/>
    <cellStyle name="20% - Accent5 6 2 4" xfId="4270"/>
    <cellStyle name="20% - Accent5 6 2 4 2" xfId="16574"/>
    <cellStyle name="20% - Accent5 6 2 4 2 2" xfId="39433"/>
    <cellStyle name="20% - Accent5 6 2 4 3" xfId="27131"/>
    <cellStyle name="20% - Accent5 6 2 5" xfId="7785"/>
    <cellStyle name="20% - Accent5 6 2 5 2" xfId="20089"/>
    <cellStyle name="20% - Accent5 6 2 5 2 2" xfId="42948"/>
    <cellStyle name="20% - Accent5 6 2 5 3" xfId="30646"/>
    <cellStyle name="20% - Accent5 6 2 6" xfId="11300"/>
    <cellStyle name="20% - Accent5 6 2 6 2" xfId="34160"/>
    <cellStyle name="20% - Accent5 6 2 7" xfId="13059"/>
    <cellStyle name="20% - Accent5 6 2 7 2" xfId="35918"/>
    <cellStyle name="20% - Accent5 6 2 8" xfId="23615"/>
    <cellStyle name="20% - Accent5 6 3" xfId="1191"/>
    <cellStyle name="20% - Accent5 6 3 2" xfId="2952"/>
    <cellStyle name="20% - Accent5 6 3 2 2" xfId="6467"/>
    <cellStyle name="20% - Accent5 6 3 2 2 2" xfId="18771"/>
    <cellStyle name="20% - Accent5 6 3 2 2 2 2" xfId="41630"/>
    <cellStyle name="20% - Accent5 6 3 2 2 3" xfId="29328"/>
    <cellStyle name="20% - Accent5 6 3 2 3" xfId="9982"/>
    <cellStyle name="20% - Accent5 6 3 2 3 2" xfId="22286"/>
    <cellStyle name="20% - Accent5 6 3 2 3 2 2" xfId="45145"/>
    <cellStyle name="20% - Accent5 6 3 2 3 3" xfId="32843"/>
    <cellStyle name="20% - Accent5 6 3 2 4" xfId="15256"/>
    <cellStyle name="20% - Accent5 6 3 2 4 2" xfId="38115"/>
    <cellStyle name="20% - Accent5 6 3 2 5" xfId="25813"/>
    <cellStyle name="20% - Accent5 6 3 3" xfId="4709"/>
    <cellStyle name="20% - Accent5 6 3 3 2" xfId="17013"/>
    <cellStyle name="20% - Accent5 6 3 3 2 2" xfId="39872"/>
    <cellStyle name="20% - Accent5 6 3 3 3" xfId="27570"/>
    <cellStyle name="20% - Accent5 6 3 4" xfId="8224"/>
    <cellStyle name="20% - Accent5 6 3 4 2" xfId="20528"/>
    <cellStyle name="20% - Accent5 6 3 4 2 2" xfId="43387"/>
    <cellStyle name="20% - Accent5 6 3 4 3" xfId="31085"/>
    <cellStyle name="20% - Accent5 6 3 5" xfId="11739"/>
    <cellStyle name="20% - Accent5 6 3 5 2" xfId="34599"/>
    <cellStyle name="20% - Accent5 6 3 6" xfId="13498"/>
    <cellStyle name="20% - Accent5 6 3 6 2" xfId="36357"/>
    <cellStyle name="20% - Accent5 6 3 7" xfId="24054"/>
    <cellStyle name="20% - Accent5 6 4" xfId="2074"/>
    <cellStyle name="20% - Accent5 6 4 2" xfId="5589"/>
    <cellStyle name="20% - Accent5 6 4 2 2" xfId="17893"/>
    <cellStyle name="20% - Accent5 6 4 2 2 2" xfId="40752"/>
    <cellStyle name="20% - Accent5 6 4 2 3" xfId="28450"/>
    <cellStyle name="20% - Accent5 6 4 3" xfId="9104"/>
    <cellStyle name="20% - Accent5 6 4 3 2" xfId="21408"/>
    <cellStyle name="20% - Accent5 6 4 3 2 2" xfId="44267"/>
    <cellStyle name="20% - Accent5 6 4 3 3" xfId="31965"/>
    <cellStyle name="20% - Accent5 6 4 4" xfId="14378"/>
    <cellStyle name="20% - Accent5 6 4 4 2" xfId="37237"/>
    <cellStyle name="20% - Accent5 6 4 5" xfId="24935"/>
    <cellStyle name="20% - Accent5 6 5" xfId="3831"/>
    <cellStyle name="20% - Accent5 6 5 2" xfId="16135"/>
    <cellStyle name="20% - Accent5 6 5 2 2" xfId="38994"/>
    <cellStyle name="20% - Accent5 6 5 3" xfId="26692"/>
    <cellStyle name="20% - Accent5 6 6" xfId="7346"/>
    <cellStyle name="20% - Accent5 6 6 2" xfId="19650"/>
    <cellStyle name="20% - Accent5 6 6 2 2" xfId="42509"/>
    <cellStyle name="20% - Accent5 6 6 3" xfId="30207"/>
    <cellStyle name="20% - Accent5 6 7" xfId="10861"/>
    <cellStyle name="20% - Accent5 6 7 2" xfId="33721"/>
    <cellStyle name="20% - Accent5 6 8" xfId="12620"/>
    <cellStyle name="20% - Accent5 6 8 2" xfId="35479"/>
    <cellStyle name="20% - Accent5 6 9" xfId="23175"/>
    <cellStyle name="20% - Accent5 7" xfId="517"/>
    <cellStyle name="20% - Accent5 7 2" xfId="958"/>
    <cellStyle name="20% - Accent5 7 2 2" xfId="1837"/>
    <cellStyle name="20% - Accent5 7 2 2 2" xfId="3598"/>
    <cellStyle name="20% - Accent5 7 2 2 2 2" xfId="7113"/>
    <cellStyle name="20% - Accent5 7 2 2 2 2 2" xfId="19417"/>
    <cellStyle name="20% - Accent5 7 2 2 2 2 2 2" xfId="42276"/>
    <cellStyle name="20% - Accent5 7 2 2 2 2 3" xfId="29974"/>
    <cellStyle name="20% - Accent5 7 2 2 2 3" xfId="10628"/>
    <cellStyle name="20% - Accent5 7 2 2 2 3 2" xfId="22932"/>
    <cellStyle name="20% - Accent5 7 2 2 2 3 2 2" xfId="45791"/>
    <cellStyle name="20% - Accent5 7 2 2 2 3 3" xfId="33489"/>
    <cellStyle name="20% - Accent5 7 2 2 2 4" xfId="15902"/>
    <cellStyle name="20% - Accent5 7 2 2 2 4 2" xfId="38761"/>
    <cellStyle name="20% - Accent5 7 2 2 2 5" xfId="26459"/>
    <cellStyle name="20% - Accent5 7 2 2 3" xfId="5355"/>
    <cellStyle name="20% - Accent5 7 2 2 3 2" xfId="17659"/>
    <cellStyle name="20% - Accent5 7 2 2 3 2 2" xfId="40518"/>
    <cellStyle name="20% - Accent5 7 2 2 3 3" xfId="28216"/>
    <cellStyle name="20% - Accent5 7 2 2 4" xfId="8870"/>
    <cellStyle name="20% - Accent5 7 2 2 4 2" xfId="21174"/>
    <cellStyle name="20% - Accent5 7 2 2 4 2 2" xfId="44033"/>
    <cellStyle name="20% - Accent5 7 2 2 4 3" xfId="31731"/>
    <cellStyle name="20% - Accent5 7 2 2 5" xfId="12385"/>
    <cellStyle name="20% - Accent5 7 2 2 5 2" xfId="35245"/>
    <cellStyle name="20% - Accent5 7 2 2 6" xfId="14144"/>
    <cellStyle name="20% - Accent5 7 2 2 6 2" xfId="37003"/>
    <cellStyle name="20% - Accent5 7 2 2 7" xfId="24700"/>
    <cellStyle name="20% - Accent5 7 2 3" xfId="2720"/>
    <cellStyle name="20% - Accent5 7 2 3 2" xfId="6235"/>
    <cellStyle name="20% - Accent5 7 2 3 2 2" xfId="18539"/>
    <cellStyle name="20% - Accent5 7 2 3 2 2 2" xfId="41398"/>
    <cellStyle name="20% - Accent5 7 2 3 2 3" xfId="29096"/>
    <cellStyle name="20% - Accent5 7 2 3 3" xfId="9750"/>
    <cellStyle name="20% - Accent5 7 2 3 3 2" xfId="22054"/>
    <cellStyle name="20% - Accent5 7 2 3 3 2 2" xfId="44913"/>
    <cellStyle name="20% - Accent5 7 2 3 3 3" xfId="32611"/>
    <cellStyle name="20% - Accent5 7 2 3 4" xfId="15024"/>
    <cellStyle name="20% - Accent5 7 2 3 4 2" xfId="37883"/>
    <cellStyle name="20% - Accent5 7 2 3 5" xfId="25581"/>
    <cellStyle name="20% - Accent5 7 2 4" xfId="4477"/>
    <cellStyle name="20% - Accent5 7 2 4 2" xfId="16781"/>
    <cellStyle name="20% - Accent5 7 2 4 2 2" xfId="39640"/>
    <cellStyle name="20% - Accent5 7 2 4 3" xfId="27338"/>
    <cellStyle name="20% - Accent5 7 2 5" xfId="7992"/>
    <cellStyle name="20% - Accent5 7 2 5 2" xfId="20296"/>
    <cellStyle name="20% - Accent5 7 2 5 2 2" xfId="43155"/>
    <cellStyle name="20% - Accent5 7 2 5 3" xfId="30853"/>
    <cellStyle name="20% - Accent5 7 2 6" xfId="11507"/>
    <cellStyle name="20% - Accent5 7 2 6 2" xfId="34367"/>
    <cellStyle name="20% - Accent5 7 2 7" xfId="13266"/>
    <cellStyle name="20% - Accent5 7 2 7 2" xfId="36125"/>
    <cellStyle name="20% - Accent5 7 2 8" xfId="23822"/>
    <cellStyle name="20% - Accent5 7 3" xfId="1398"/>
    <cellStyle name="20% - Accent5 7 3 2" xfId="3159"/>
    <cellStyle name="20% - Accent5 7 3 2 2" xfId="6674"/>
    <cellStyle name="20% - Accent5 7 3 2 2 2" xfId="18978"/>
    <cellStyle name="20% - Accent5 7 3 2 2 2 2" xfId="41837"/>
    <cellStyle name="20% - Accent5 7 3 2 2 3" xfId="29535"/>
    <cellStyle name="20% - Accent5 7 3 2 3" xfId="10189"/>
    <cellStyle name="20% - Accent5 7 3 2 3 2" xfId="22493"/>
    <cellStyle name="20% - Accent5 7 3 2 3 2 2" xfId="45352"/>
    <cellStyle name="20% - Accent5 7 3 2 3 3" xfId="33050"/>
    <cellStyle name="20% - Accent5 7 3 2 4" xfId="15463"/>
    <cellStyle name="20% - Accent5 7 3 2 4 2" xfId="38322"/>
    <cellStyle name="20% - Accent5 7 3 2 5" xfId="26020"/>
    <cellStyle name="20% - Accent5 7 3 3" xfId="4916"/>
    <cellStyle name="20% - Accent5 7 3 3 2" xfId="17220"/>
    <cellStyle name="20% - Accent5 7 3 3 2 2" xfId="40079"/>
    <cellStyle name="20% - Accent5 7 3 3 3" xfId="27777"/>
    <cellStyle name="20% - Accent5 7 3 4" xfId="8431"/>
    <cellStyle name="20% - Accent5 7 3 4 2" xfId="20735"/>
    <cellStyle name="20% - Accent5 7 3 4 2 2" xfId="43594"/>
    <cellStyle name="20% - Accent5 7 3 4 3" xfId="31292"/>
    <cellStyle name="20% - Accent5 7 3 5" xfId="11946"/>
    <cellStyle name="20% - Accent5 7 3 5 2" xfId="34806"/>
    <cellStyle name="20% - Accent5 7 3 6" xfId="13705"/>
    <cellStyle name="20% - Accent5 7 3 6 2" xfId="36564"/>
    <cellStyle name="20% - Accent5 7 3 7" xfId="24261"/>
    <cellStyle name="20% - Accent5 7 4" xfId="2281"/>
    <cellStyle name="20% - Accent5 7 4 2" xfId="5796"/>
    <cellStyle name="20% - Accent5 7 4 2 2" xfId="18100"/>
    <cellStyle name="20% - Accent5 7 4 2 2 2" xfId="40959"/>
    <cellStyle name="20% - Accent5 7 4 2 3" xfId="28657"/>
    <cellStyle name="20% - Accent5 7 4 3" xfId="9311"/>
    <cellStyle name="20% - Accent5 7 4 3 2" xfId="21615"/>
    <cellStyle name="20% - Accent5 7 4 3 2 2" xfId="44474"/>
    <cellStyle name="20% - Accent5 7 4 3 3" xfId="32172"/>
    <cellStyle name="20% - Accent5 7 4 4" xfId="14585"/>
    <cellStyle name="20% - Accent5 7 4 4 2" xfId="37444"/>
    <cellStyle name="20% - Accent5 7 4 5" xfId="25142"/>
    <cellStyle name="20% - Accent5 7 5" xfId="4038"/>
    <cellStyle name="20% - Accent5 7 5 2" xfId="16342"/>
    <cellStyle name="20% - Accent5 7 5 2 2" xfId="39201"/>
    <cellStyle name="20% - Accent5 7 5 3" xfId="26899"/>
    <cellStyle name="20% - Accent5 7 6" xfId="7553"/>
    <cellStyle name="20% - Accent5 7 6 2" xfId="19857"/>
    <cellStyle name="20% - Accent5 7 6 2 2" xfId="42716"/>
    <cellStyle name="20% - Accent5 7 6 3" xfId="30414"/>
    <cellStyle name="20% - Accent5 7 7" xfId="11068"/>
    <cellStyle name="20% - Accent5 7 7 2" xfId="33928"/>
    <cellStyle name="20% - Accent5 7 8" xfId="12827"/>
    <cellStyle name="20% - Accent5 7 8 2" xfId="35686"/>
    <cellStyle name="20% - Accent5 7 9" xfId="23382"/>
    <cellStyle name="20% - Accent5 8" xfId="530"/>
    <cellStyle name="20% - Accent5 8 2" xfId="1411"/>
    <cellStyle name="20% - Accent5 8 2 2" xfId="3172"/>
    <cellStyle name="20% - Accent5 8 2 2 2" xfId="6687"/>
    <cellStyle name="20% - Accent5 8 2 2 2 2" xfId="18991"/>
    <cellStyle name="20% - Accent5 8 2 2 2 2 2" xfId="41850"/>
    <cellStyle name="20% - Accent5 8 2 2 2 3" xfId="29548"/>
    <cellStyle name="20% - Accent5 8 2 2 3" xfId="10202"/>
    <cellStyle name="20% - Accent5 8 2 2 3 2" xfId="22506"/>
    <cellStyle name="20% - Accent5 8 2 2 3 2 2" xfId="45365"/>
    <cellStyle name="20% - Accent5 8 2 2 3 3" xfId="33063"/>
    <cellStyle name="20% - Accent5 8 2 2 4" xfId="15476"/>
    <cellStyle name="20% - Accent5 8 2 2 4 2" xfId="38335"/>
    <cellStyle name="20% - Accent5 8 2 2 5" xfId="26033"/>
    <cellStyle name="20% - Accent5 8 2 3" xfId="4929"/>
    <cellStyle name="20% - Accent5 8 2 3 2" xfId="17233"/>
    <cellStyle name="20% - Accent5 8 2 3 2 2" xfId="40092"/>
    <cellStyle name="20% - Accent5 8 2 3 3" xfId="27790"/>
    <cellStyle name="20% - Accent5 8 2 4" xfId="8444"/>
    <cellStyle name="20% - Accent5 8 2 4 2" xfId="20748"/>
    <cellStyle name="20% - Accent5 8 2 4 2 2" xfId="43607"/>
    <cellStyle name="20% - Accent5 8 2 4 3" xfId="31305"/>
    <cellStyle name="20% - Accent5 8 2 5" xfId="11959"/>
    <cellStyle name="20% - Accent5 8 2 5 2" xfId="34819"/>
    <cellStyle name="20% - Accent5 8 2 6" xfId="13718"/>
    <cellStyle name="20% - Accent5 8 2 6 2" xfId="36577"/>
    <cellStyle name="20% - Accent5 8 2 7" xfId="24274"/>
    <cellStyle name="20% - Accent5 8 3" xfId="2294"/>
    <cellStyle name="20% - Accent5 8 3 2" xfId="5809"/>
    <cellStyle name="20% - Accent5 8 3 2 2" xfId="18113"/>
    <cellStyle name="20% - Accent5 8 3 2 2 2" xfId="40972"/>
    <cellStyle name="20% - Accent5 8 3 2 3" xfId="28670"/>
    <cellStyle name="20% - Accent5 8 3 3" xfId="9324"/>
    <cellStyle name="20% - Accent5 8 3 3 2" xfId="21628"/>
    <cellStyle name="20% - Accent5 8 3 3 2 2" xfId="44487"/>
    <cellStyle name="20% - Accent5 8 3 3 3" xfId="32185"/>
    <cellStyle name="20% - Accent5 8 3 4" xfId="14598"/>
    <cellStyle name="20% - Accent5 8 3 4 2" xfId="37457"/>
    <cellStyle name="20% - Accent5 8 3 5" xfId="25155"/>
    <cellStyle name="20% - Accent5 8 4" xfId="4051"/>
    <cellStyle name="20% - Accent5 8 4 2" xfId="16355"/>
    <cellStyle name="20% - Accent5 8 4 2 2" xfId="39214"/>
    <cellStyle name="20% - Accent5 8 4 3" xfId="26912"/>
    <cellStyle name="20% - Accent5 8 5" xfId="7566"/>
    <cellStyle name="20% - Accent5 8 5 2" xfId="19870"/>
    <cellStyle name="20% - Accent5 8 5 2 2" xfId="42729"/>
    <cellStyle name="20% - Accent5 8 5 3" xfId="30427"/>
    <cellStyle name="20% - Accent5 8 6" xfId="11081"/>
    <cellStyle name="20% - Accent5 8 6 2" xfId="33941"/>
    <cellStyle name="20% - Accent5 8 7" xfId="12840"/>
    <cellStyle name="20% - Accent5 8 7 2" xfId="35699"/>
    <cellStyle name="20% - Accent5 8 8" xfId="23395"/>
    <cellStyle name="20% - Accent5 9" xfId="979"/>
    <cellStyle name="20% - Accent5 9 2" xfId="2740"/>
    <cellStyle name="20% - Accent5 9 2 2" xfId="6255"/>
    <cellStyle name="20% - Accent5 9 2 2 2" xfId="18559"/>
    <cellStyle name="20% - Accent5 9 2 2 2 2" xfId="41418"/>
    <cellStyle name="20% - Accent5 9 2 2 3" xfId="29116"/>
    <cellStyle name="20% - Accent5 9 2 3" xfId="9770"/>
    <cellStyle name="20% - Accent5 9 2 3 2" xfId="22074"/>
    <cellStyle name="20% - Accent5 9 2 3 2 2" xfId="44933"/>
    <cellStyle name="20% - Accent5 9 2 3 3" xfId="32631"/>
    <cellStyle name="20% - Accent5 9 2 4" xfId="15044"/>
    <cellStyle name="20% - Accent5 9 2 4 2" xfId="37903"/>
    <cellStyle name="20% - Accent5 9 2 5" xfId="25601"/>
    <cellStyle name="20% - Accent5 9 3" xfId="4497"/>
    <cellStyle name="20% - Accent5 9 3 2" xfId="16801"/>
    <cellStyle name="20% - Accent5 9 3 2 2" xfId="39660"/>
    <cellStyle name="20% - Accent5 9 3 3" xfId="27358"/>
    <cellStyle name="20% - Accent5 9 4" xfId="8012"/>
    <cellStyle name="20% - Accent5 9 4 2" xfId="20316"/>
    <cellStyle name="20% - Accent5 9 4 2 2" xfId="43175"/>
    <cellStyle name="20% - Accent5 9 4 3" xfId="30873"/>
    <cellStyle name="20% - Accent5 9 5" xfId="11527"/>
    <cellStyle name="20% - Accent5 9 5 2" xfId="34387"/>
    <cellStyle name="20% - Accent5 9 6" xfId="13286"/>
    <cellStyle name="20% - Accent5 9 6 2" xfId="36145"/>
    <cellStyle name="20% - Accent5 9 7" xfId="23842"/>
    <cellStyle name="20% - Accent6" xfId="95" builtinId="50" customBuiltin="1"/>
    <cellStyle name="20% - Accent6 10" xfId="1855"/>
    <cellStyle name="20% - Accent6 10 2" xfId="5372"/>
    <cellStyle name="20% - Accent6 10 2 2" xfId="17676"/>
    <cellStyle name="20% - Accent6 10 2 2 2" xfId="40535"/>
    <cellStyle name="20% - Accent6 10 2 3" xfId="28233"/>
    <cellStyle name="20% - Accent6 10 3" xfId="8887"/>
    <cellStyle name="20% - Accent6 10 3 2" xfId="21191"/>
    <cellStyle name="20% - Accent6 10 3 2 2" xfId="44050"/>
    <cellStyle name="20% - Accent6 10 3 3" xfId="31748"/>
    <cellStyle name="20% - Accent6 10 4" xfId="14161"/>
    <cellStyle name="20% - Accent6 10 4 2" xfId="37020"/>
    <cellStyle name="20% - Accent6 10 5" xfId="24717"/>
    <cellStyle name="20% - Accent6 11" xfId="3621"/>
    <cellStyle name="20% - Accent6 11 2" xfId="15925"/>
    <cellStyle name="20% - Accent6 11 2 2" xfId="38784"/>
    <cellStyle name="20% - Accent6 11 3" xfId="26482"/>
    <cellStyle name="20% - Accent6 12" xfId="7136"/>
    <cellStyle name="20% - Accent6 12 2" xfId="19440"/>
    <cellStyle name="20% - Accent6 12 2 2" xfId="42299"/>
    <cellStyle name="20% - Accent6 12 3" xfId="29997"/>
    <cellStyle name="20% - Accent6 13" xfId="10651"/>
    <cellStyle name="20% - Accent6 13 2" xfId="33511"/>
    <cellStyle name="20% - Accent6 14" xfId="12401"/>
    <cellStyle name="20% - Accent6 14 2" xfId="35261"/>
    <cellStyle name="20% - Accent6 15" xfId="22963"/>
    <cellStyle name="20% - Accent6 2" xfId="6"/>
    <cellStyle name="20% - Accent6 3" xfId="115"/>
    <cellStyle name="20% - Accent6 3 10" xfId="10670"/>
    <cellStyle name="20% - Accent6 3 10 2" xfId="33530"/>
    <cellStyle name="20% - Accent6 3 11" xfId="12429"/>
    <cellStyle name="20% - Accent6 3 11 2" xfId="35288"/>
    <cellStyle name="20% - Accent6 3 12" xfId="22982"/>
    <cellStyle name="20% - Accent6 3 2" xfId="171"/>
    <cellStyle name="20% - Accent6 3 2 10" xfId="12483"/>
    <cellStyle name="20% - Accent6 3 2 10 2" xfId="35342"/>
    <cellStyle name="20% - Accent6 3 2 11" xfId="23037"/>
    <cellStyle name="20% - Accent6 3 2 2" xfId="279"/>
    <cellStyle name="20% - Accent6 3 2 2 10" xfId="23144"/>
    <cellStyle name="20% - Accent6 3 2 2 2" xfId="491"/>
    <cellStyle name="20% - Accent6 3 2 2 2 2" xfId="932"/>
    <cellStyle name="20% - Accent6 3 2 2 2 2 2" xfId="1811"/>
    <cellStyle name="20% - Accent6 3 2 2 2 2 2 2" xfId="3572"/>
    <cellStyle name="20% - Accent6 3 2 2 2 2 2 2 2" xfId="7087"/>
    <cellStyle name="20% - Accent6 3 2 2 2 2 2 2 2 2" xfId="19391"/>
    <cellStyle name="20% - Accent6 3 2 2 2 2 2 2 2 2 2" xfId="42250"/>
    <cellStyle name="20% - Accent6 3 2 2 2 2 2 2 2 3" xfId="29948"/>
    <cellStyle name="20% - Accent6 3 2 2 2 2 2 2 3" xfId="10602"/>
    <cellStyle name="20% - Accent6 3 2 2 2 2 2 2 3 2" xfId="22906"/>
    <cellStyle name="20% - Accent6 3 2 2 2 2 2 2 3 2 2" xfId="45765"/>
    <cellStyle name="20% - Accent6 3 2 2 2 2 2 2 3 3" xfId="33463"/>
    <cellStyle name="20% - Accent6 3 2 2 2 2 2 2 4" xfId="15876"/>
    <cellStyle name="20% - Accent6 3 2 2 2 2 2 2 4 2" xfId="38735"/>
    <cellStyle name="20% - Accent6 3 2 2 2 2 2 2 5" xfId="26433"/>
    <cellStyle name="20% - Accent6 3 2 2 2 2 2 3" xfId="5329"/>
    <cellStyle name="20% - Accent6 3 2 2 2 2 2 3 2" xfId="17633"/>
    <cellStyle name="20% - Accent6 3 2 2 2 2 2 3 2 2" xfId="40492"/>
    <cellStyle name="20% - Accent6 3 2 2 2 2 2 3 3" xfId="28190"/>
    <cellStyle name="20% - Accent6 3 2 2 2 2 2 4" xfId="8844"/>
    <cellStyle name="20% - Accent6 3 2 2 2 2 2 4 2" xfId="21148"/>
    <cellStyle name="20% - Accent6 3 2 2 2 2 2 4 2 2" xfId="44007"/>
    <cellStyle name="20% - Accent6 3 2 2 2 2 2 4 3" xfId="31705"/>
    <cellStyle name="20% - Accent6 3 2 2 2 2 2 5" xfId="12359"/>
    <cellStyle name="20% - Accent6 3 2 2 2 2 2 5 2" xfId="35219"/>
    <cellStyle name="20% - Accent6 3 2 2 2 2 2 6" xfId="14118"/>
    <cellStyle name="20% - Accent6 3 2 2 2 2 2 6 2" xfId="36977"/>
    <cellStyle name="20% - Accent6 3 2 2 2 2 2 7" xfId="24674"/>
    <cellStyle name="20% - Accent6 3 2 2 2 2 3" xfId="2694"/>
    <cellStyle name="20% - Accent6 3 2 2 2 2 3 2" xfId="6209"/>
    <cellStyle name="20% - Accent6 3 2 2 2 2 3 2 2" xfId="18513"/>
    <cellStyle name="20% - Accent6 3 2 2 2 2 3 2 2 2" xfId="41372"/>
    <cellStyle name="20% - Accent6 3 2 2 2 2 3 2 3" xfId="29070"/>
    <cellStyle name="20% - Accent6 3 2 2 2 2 3 3" xfId="9724"/>
    <cellStyle name="20% - Accent6 3 2 2 2 2 3 3 2" xfId="22028"/>
    <cellStyle name="20% - Accent6 3 2 2 2 2 3 3 2 2" xfId="44887"/>
    <cellStyle name="20% - Accent6 3 2 2 2 2 3 3 3" xfId="32585"/>
    <cellStyle name="20% - Accent6 3 2 2 2 2 3 4" xfId="14998"/>
    <cellStyle name="20% - Accent6 3 2 2 2 2 3 4 2" xfId="37857"/>
    <cellStyle name="20% - Accent6 3 2 2 2 2 3 5" xfId="25555"/>
    <cellStyle name="20% - Accent6 3 2 2 2 2 4" xfId="4451"/>
    <cellStyle name="20% - Accent6 3 2 2 2 2 4 2" xfId="16755"/>
    <cellStyle name="20% - Accent6 3 2 2 2 2 4 2 2" xfId="39614"/>
    <cellStyle name="20% - Accent6 3 2 2 2 2 4 3" xfId="27312"/>
    <cellStyle name="20% - Accent6 3 2 2 2 2 5" xfId="7966"/>
    <cellStyle name="20% - Accent6 3 2 2 2 2 5 2" xfId="20270"/>
    <cellStyle name="20% - Accent6 3 2 2 2 2 5 2 2" xfId="43129"/>
    <cellStyle name="20% - Accent6 3 2 2 2 2 5 3" xfId="30827"/>
    <cellStyle name="20% - Accent6 3 2 2 2 2 6" xfId="11481"/>
    <cellStyle name="20% - Accent6 3 2 2 2 2 6 2" xfId="34341"/>
    <cellStyle name="20% - Accent6 3 2 2 2 2 7" xfId="13240"/>
    <cellStyle name="20% - Accent6 3 2 2 2 2 7 2" xfId="36099"/>
    <cellStyle name="20% - Accent6 3 2 2 2 2 8" xfId="23796"/>
    <cellStyle name="20% - Accent6 3 2 2 2 3" xfId="1372"/>
    <cellStyle name="20% - Accent6 3 2 2 2 3 2" xfId="3133"/>
    <cellStyle name="20% - Accent6 3 2 2 2 3 2 2" xfId="6648"/>
    <cellStyle name="20% - Accent6 3 2 2 2 3 2 2 2" xfId="18952"/>
    <cellStyle name="20% - Accent6 3 2 2 2 3 2 2 2 2" xfId="41811"/>
    <cellStyle name="20% - Accent6 3 2 2 2 3 2 2 3" xfId="29509"/>
    <cellStyle name="20% - Accent6 3 2 2 2 3 2 3" xfId="10163"/>
    <cellStyle name="20% - Accent6 3 2 2 2 3 2 3 2" xfId="22467"/>
    <cellStyle name="20% - Accent6 3 2 2 2 3 2 3 2 2" xfId="45326"/>
    <cellStyle name="20% - Accent6 3 2 2 2 3 2 3 3" xfId="33024"/>
    <cellStyle name="20% - Accent6 3 2 2 2 3 2 4" xfId="15437"/>
    <cellStyle name="20% - Accent6 3 2 2 2 3 2 4 2" xfId="38296"/>
    <cellStyle name="20% - Accent6 3 2 2 2 3 2 5" xfId="25994"/>
    <cellStyle name="20% - Accent6 3 2 2 2 3 3" xfId="4890"/>
    <cellStyle name="20% - Accent6 3 2 2 2 3 3 2" xfId="17194"/>
    <cellStyle name="20% - Accent6 3 2 2 2 3 3 2 2" xfId="40053"/>
    <cellStyle name="20% - Accent6 3 2 2 2 3 3 3" xfId="27751"/>
    <cellStyle name="20% - Accent6 3 2 2 2 3 4" xfId="8405"/>
    <cellStyle name="20% - Accent6 3 2 2 2 3 4 2" xfId="20709"/>
    <cellStyle name="20% - Accent6 3 2 2 2 3 4 2 2" xfId="43568"/>
    <cellStyle name="20% - Accent6 3 2 2 2 3 4 3" xfId="31266"/>
    <cellStyle name="20% - Accent6 3 2 2 2 3 5" xfId="11920"/>
    <cellStyle name="20% - Accent6 3 2 2 2 3 5 2" xfId="34780"/>
    <cellStyle name="20% - Accent6 3 2 2 2 3 6" xfId="13679"/>
    <cellStyle name="20% - Accent6 3 2 2 2 3 6 2" xfId="36538"/>
    <cellStyle name="20% - Accent6 3 2 2 2 3 7" xfId="24235"/>
    <cellStyle name="20% - Accent6 3 2 2 2 4" xfId="2255"/>
    <cellStyle name="20% - Accent6 3 2 2 2 4 2" xfId="5770"/>
    <cellStyle name="20% - Accent6 3 2 2 2 4 2 2" xfId="18074"/>
    <cellStyle name="20% - Accent6 3 2 2 2 4 2 2 2" xfId="40933"/>
    <cellStyle name="20% - Accent6 3 2 2 2 4 2 3" xfId="28631"/>
    <cellStyle name="20% - Accent6 3 2 2 2 4 3" xfId="9285"/>
    <cellStyle name="20% - Accent6 3 2 2 2 4 3 2" xfId="21589"/>
    <cellStyle name="20% - Accent6 3 2 2 2 4 3 2 2" xfId="44448"/>
    <cellStyle name="20% - Accent6 3 2 2 2 4 3 3" xfId="32146"/>
    <cellStyle name="20% - Accent6 3 2 2 2 4 4" xfId="14559"/>
    <cellStyle name="20% - Accent6 3 2 2 2 4 4 2" xfId="37418"/>
    <cellStyle name="20% - Accent6 3 2 2 2 4 5" xfId="25116"/>
    <cellStyle name="20% - Accent6 3 2 2 2 5" xfId="4012"/>
    <cellStyle name="20% - Accent6 3 2 2 2 5 2" xfId="16316"/>
    <cellStyle name="20% - Accent6 3 2 2 2 5 2 2" xfId="39175"/>
    <cellStyle name="20% - Accent6 3 2 2 2 5 3" xfId="26873"/>
    <cellStyle name="20% - Accent6 3 2 2 2 6" xfId="7527"/>
    <cellStyle name="20% - Accent6 3 2 2 2 6 2" xfId="19831"/>
    <cellStyle name="20% - Accent6 3 2 2 2 6 2 2" xfId="42690"/>
    <cellStyle name="20% - Accent6 3 2 2 2 6 3" xfId="30388"/>
    <cellStyle name="20% - Accent6 3 2 2 2 7" xfId="11042"/>
    <cellStyle name="20% - Accent6 3 2 2 2 7 2" xfId="33902"/>
    <cellStyle name="20% - Accent6 3 2 2 2 8" xfId="12801"/>
    <cellStyle name="20% - Accent6 3 2 2 2 8 2" xfId="35660"/>
    <cellStyle name="20% - Accent6 3 2 2 2 9" xfId="23356"/>
    <cellStyle name="20% - Accent6 3 2 2 3" xfId="720"/>
    <cellStyle name="20% - Accent6 3 2 2 3 2" xfId="1599"/>
    <cellStyle name="20% - Accent6 3 2 2 3 2 2" xfId="3360"/>
    <cellStyle name="20% - Accent6 3 2 2 3 2 2 2" xfId="6875"/>
    <cellStyle name="20% - Accent6 3 2 2 3 2 2 2 2" xfId="19179"/>
    <cellStyle name="20% - Accent6 3 2 2 3 2 2 2 2 2" xfId="42038"/>
    <cellStyle name="20% - Accent6 3 2 2 3 2 2 2 3" xfId="29736"/>
    <cellStyle name="20% - Accent6 3 2 2 3 2 2 3" xfId="10390"/>
    <cellStyle name="20% - Accent6 3 2 2 3 2 2 3 2" xfId="22694"/>
    <cellStyle name="20% - Accent6 3 2 2 3 2 2 3 2 2" xfId="45553"/>
    <cellStyle name="20% - Accent6 3 2 2 3 2 2 3 3" xfId="33251"/>
    <cellStyle name="20% - Accent6 3 2 2 3 2 2 4" xfId="15664"/>
    <cellStyle name="20% - Accent6 3 2 2 3 2 2 4 2" xfId="38523"/>
    <cellStyle name="20% - Accent6 3 2 2 3 2 2 5" xfId="26221"/>
    <cellStyle name="20% - Accent6 3 2 2 3 2 3" xfId="5117"/>
    <cellStyle name="20% - Accent6 3 2 2 3 2 3 2" xfId="17421"/>
    <cellStyle name="20% - Accent6 3 2 2 3 2 3 2 2" xfId="40280"/>
    <cellStyle name="20% - Accent6 3 2 2 3 2 3 3" xfId="27978"/>
    <cellStyle name="20% - Accent6 3 2 2 3 2 4" xfId="8632"/>
    <cellStyle name="20% - Accent6 3 2 2 3 2 4 2" xfId="20936"/>
    <cellStyle name="20% - Accent6 3 2 2 3 2 4 2 2" xfId="43795"/>
    <cellStyle name="20% - Accent6 3 2 2 3 2 4 3" xfId="31493"/>
    <cellStyle name="20% - Accent6 3 2 2 3 2 5" xfId="12147"/>
    <cellStyle name="20% - Accent6 3 2 2 3 2 5 2" xfId="35007"/>
    <cellStyle name="20% - Accent6 3 2 2 3 2 6" xfId="13906"/>
    <cellStyle name="20% - Accent6 3 2 2 3 2 6 2" xfId="36765"/>
    <cellStyle name="20% - Accent6 3 2 2 3 2 7" xfId="24462"/>
    <cellStyle name="20% - Accent6 3 2 2 3 3" xfId="2482"/>
    <cellStyle name="20% - Accent6 3 2 2 3 3 2" xfId="5997"/>
    <cellStyle name="20% - Accent6 3 2 2 3 3 2 2" xfId="18301"/>
    <cellStyle name="20% - Accent6 3 2 2 3 3 2 2 2" xfId="41160"/>
    <cellStyle name="20% - Accent6 3 2 2 3 3 2 3" xfId="28858"/>
    <cellStyle name="20% - Accent6 3 2 2 3 3 3" xfId="9512"/>
    <cellStyle name="20% - Accent6 3 2 2 3 3 3 2" xfId="21816"/>
    <cellStyle name="20% - Accent6 3 2 2 3 3 3 2 2" xfId="44675"/>
    <cellStyle name="20% - Accent6 3 2 2 3 3 3 3" xfId="32373"/>
    <cellStyle name="20% - Accent6 3 2 2 3 3 4" xfId="14786"/>
    <cellStyle name="20% - Accent6 3 2 2 3 3 4 2" xfId="37645"/>
    <cellStyle name="20% - Accent6 3 2 2 3 3 5" xfId="25343"/>
    <cellStyle name="20% - Accent6 3 2 2 3 4" xfId="4239"/>
    <cellStyle name="20% - Accent6 3 2 2 3 4 2" xfId="16543"/>
    <cellStyle name="20% - Accent6 3 2 2 3 4 2 2" xfId="39402"/>
    <cellStyle name="20% - Accent6 3 2 2 3 4 3" xfId="27100"/>
    <cellStyle name="20% - Accent6 3 2 2 3 5" xfId="7754"/>
    <cellStyle name="20% - Accent6 3 2 2 3 5 2" xfId="20058"/>
    <cellStyle name="20% - Accent6 3 2 2 3 5 2 2" xfId="42917"/>
    <cellStyle name="20% - Accent6 3 2 2 3 5 3" xfId="30615"/>
    <cellStyle name="20% - Accent6 3 2 2 3 6" xfId="11269"/>
    <cellStyle name="20% - Accent6 3 2 2 3 6 2" xfId="34129"/>
    <cellStyle name="20% - Accent6 3 2 2 3 7" xfId="13028"/>
    <cellStyle name="20% - Accent6 3 2 2 3 7 2" xfId="35887"/>
    <cellStyle name="20% - Accent6 3 2 2 3 8" xfId="23584"/>
    <cellStyle name="20% - Accent6 3 2 2 4" xfId="1160"/>
    <cellStyle name="20% - Accent6 3 2 2 4 2" xfId="2921"/>
    <cellStyle name="20% - Accent6 3 2 2 4 2 2" xfId="6436"/>
    <cellStyle name="20% - Accent6 3 2 2 4 2 2 2" xfId="18740"/>
    <cellStyle name="20% - Accent6 3 2 2 4 2 2 2 2" xfId="41599"/>
    <cellStyle name="20% - Accent6 3 2 2 4 2 2 3" xfId="29297"/>
    <cellStyle name="20% - Accent6 3 2 2 4 2 3" xfId="9951"/>
    <cellStyle name="20% - Accent6 3 2 2 4 2 3 2" xfId="22255"/>
    <cellStyle name="20% - Accent6 3 2 2 4 2 3 2 2" xfId="45114"/>
    <cellStyle name="20% - Accent6 3 2 2 4 2 3 3" xfId="32812"/>
    <cellStyle name="20% - Accent6 3 2 2 4 2 4" xfId="15225"/>
    <cellStyle name="20% - Accent6 3 2 2 4 2 4 2" xfId="38084"/>
    <cellStyle name="20% - Accent6 3 2 2 4 2 5" xfId="25782"/>
    <cellStyle name="20% - Accent6 3 2 2 4 3" xfId="4678"/>
    <cellStyle name="20% - Accent6 3 2 2 4 3 2" xfId="16982"/>
    <cellStyle name="20% - Accent6 3 2 2 4 3 2 2" xfId="39841"/>
    <cellStyle name="20% - Accent6 3 2 2 4 3 3" xfId="27539"/>
    <cellStyle name="20% - Accent6 3 2 2 4 4" xfId="8193"/>
    <cellStyle name="20% - Accent6 3 2 2 4 4 2" xfId="20497"/>
    <cellStyle name="20% - Accent6 3 2 2 4 4 2 2" xfId="43356"/>
    <cellStyle name="20% - Accent6 3 2 2 4 4 3" xfId="31054"/>
    <cellStyle name="20% - Accent6 3 2 2 4 5" xfId="11708"/>
    <cellStyle name="20% - Accent6 3 2 2 4 5 2" xfId="34568"/>
    <cellStyle name="20% - Accent6 3 2 2 4 6" xfId="13467"/>
    <cellStyle name="20% - Accent6 3 2 2 4 6 2" xfId="36326"/>
    <cellStyle name="20% - Accent6 3 2 2 4 7" xfId="24023"/>
    <cellStyle name="20% - Accent6 3 2 2 5" xfId="2043"/>
    <cellStyle name="20% - Accent6 3 2 2 5 2" xfId="5558"/>
    <cellStyle name="20% - Accent6 3 2 2 5 2 2" xfId="17862"/>
    <cellStyle name="20% - Accent6 3 2 2 5 2 2 2" xfId="40721"/>
    <cellStyle name="20% - Accent6 3 2 2 5 2 3" xfId="28419"/>
    <cellStyle name="20% - Accent6 3 2 2 5 3" xfId="9073"/>
    <cellStyle name="20% - Accent6 3 2 2 5 3 2" xfId="21377"/>
    <cellStyle name="20% - Accent6 3 2 2 5 3 2 2" xfId="44236"/>
    <cellStyle name="20% - Accent6 3 2 2 5 3 3" xfId="31934"/>
    <cellStyle name="20% - Accent6 3 2 2 5 4" xfId="14347"/>
    <cellStyle name="20% - Accent6 3 2 2 5 4 2" xfId="37206"/>
    <cellStyle name="20% - Accent6 3 2 2 5 5" xfId="24904"/>
    <cellStyle name="20% - Accent6 3 2 2 6" xfId="3800"/>
    <cellStyle name="20% - Accent6 3 2 2 6 2" xfId="16104"/>
    <cellStyle name="20% - Accent6 3 2 2 6 2 2" xfId="38963"/>
    <cellStyle name="20% - Accent6 3 2 2 6 3" xfId="26661"/>
    <cellStyle name="20% - Accent6 3 2 2 7" xfId="7315"/>
    <cellStyle name="20% - Accent6 3 2 2 7 2" xfId="19619"/>
    <cellStyle name="20% - Accent6 3 2 2 7 2 2" xfId="42478"/>
    <cellStyle name="20% - Accent6 3 2 2 7 3" xfId="30176"/>
    <cellStyle name="20% - Accent6 3 2 2 8" xfId="10830"/>
    <cellStyle name="20% - Accent6 3 2 2 8 2" xfId="33690"/>
    <cellStyle name="20% - Accent6 3 2 2 9" xfId="12589"/>
    <cellStyle name="20% - Accent6 3 2 2 9 2" xfId="35448"/>
    <cellStyle name="20% - Accent6 3 2 3" xfId="385"/>
    <cellStyle name="20% - Accent6 3 2 3 2" xfId="826"/>
    <cellStyle name="20% - Accent6 3 2 3 2 2" xfId="1705"/>
    <cellStyle name="20% - Accent6 3 2 3 2 2 2" xfId="3466"/>
    <cellStyle name="20% - Accent6 3 2 3 2 2 2 2" xfId="6981"/>
    <cellStyle name="20% - Accent6 3 2 3 2 2 2 2 2" xfId="19285"/>
    <cellStyle name="20% - Accent6 3 2 3 2 2 2 2 2 2" xfId="42144"/>
    <cellStyle name="20% - Accent6 3 2 3 2 2 2 2 3" xfId="29842"/>
    <cellStyle name="20% - Accent6 3 2 3 2 2 2 3" xfId="10496"/>
    <cellStyle name="20% - Accent6 3 2 3 2 2 2 3 2" xfId="22800"/>
    <cellStyle name="20% - Accent6 3 2 3 2 2 2 3 2 2" xfId="45659"/>
    <cellStyle name="20% - Accent6 3 2 3 2 2 2 3 3" xfId="33357"/>
    <cellStyle name="20% - Accent6 3 2 3 2 2 2 4" xfId="15770"/>
    <cellStyle name="20% - Accent6 3 2 3 2 2 2 4 2" xfId="38629"/>
    <cellStyle name="20% - Accent6 3 2 3 2 2 2 5" xfId="26327"/>
    <cellStyle name="20% - Accent6 3 2 3 2 2 3" xfId="5223"/>
    <cellStyle name="20% - Accent6 3 2 3 2 2 3 2" xfId="17527"/>
    <cellStyle name="20% - Accent6 3 2 3 2 2 3 2 2" xfId="40386"/>
    <cellStyle name="20% - Accent6 3 2 3 2 2 3 3" xfId="28084"/>
    <cellStyle name="20% - Accent6 3 2 3 2 2 4" xfId="8738"/>
    <cellStyle name="20% - Accent6 3 2 3 2 2 4 2" xfId="21042"/>
    <cellStyle name="20% - Accent6 3 2 3 2 2 4 2 2" xfId="43901"/>
    <cellStyle name="20% - Accent6 3 2 3 2 2 4 3" xfId="31599"/>
    <cellStyle name="20% - Accent6 3 2 3 2 2 5" xfId="12253"/>
    <cellStyle name="20% - Accent6 3 2 3 2 2 5 2" xfId="35113"/>
    <cellStyle name="20% - Accent6 3 2 3 2 2 6" xfId="14012"/>
    <cellStyle name="20% - Accent6 3 2 3 2 2 6 2" xfId="36871"/>
    <cellStyle name="20% - Accent6 3 2 3 2 2 7" xfId="24568"/>
    <cellStyle name="20% - Accent6 3 2 3 2 3" xfId="2588"/>
    <cellStyle name="20% - Accent6 3 2 3 2 3 2" xfId="6103"/>
    <cellStyle name="20% - Accent6 3 2 3 2 3 2 2" xfId="18407"/>
    <cellStyle name="20% - Accent6 3 2 3 2 3 2 2 2" xfId="41266"/>
    <cellStyle name="20% - Accent6 3 2 3 2 3 2 3" xfId="28964"/>
    <cellStyle name="20% - Accent6 3 2 3 2 3 3" xfId="9618"/>
    <cellStyle name="20% - Accent6 3 2 3 2 3 3 2" xfId="21922"/>
    <cellStyle name="20% - Accent6 3 2 3 2 3 3 2 2" xfId="44781"/>
    <cellStyle name="20% - Accent6 3 2 3 2 3 3 3" xfId="32479"/>
    <cellStyle name="20% - Accent6 3 2 3 2 3 4" xfId="14892"/>
    <cellStyle name="20% - Accent6 3 2 3 2 3 4 2" xfId="37751"/>
    <cellStyle name="20% - Accent6 3 2 3 2 3 5" xfId="25449"/>
    <cellStyle name="20% - Accent6 3 2 3 2 4" xfId="4345"/>
    <cellStyle name="20% - Accent6 3 2 3 2 4 2" xfId="16649"/>
    <cellStyle name="20% - Accent6 3 2 3 2 4 2 2" xfId="39508"/>
    <cellStyle name="20% - Accent6 3 2 3 2 4 3" xfId="27206"/>
    <cellStyle name="20% - Accent6 3 2 3 2 5" xfId="7860"/>
    <cellStyle name="20% - Accent6 3 2 3 2 5 2" xfId="20164"/>
    <cellStyle name="20% - Accent6 3 2 3 2 5 2 2" xfId="43023"/>
    <cellStyle name="20% - Accent6 3 2 3 2 5 3" xfId="30721"/>
    <cellStyle name="20% - Accent6 3 2 3 2 6" xfId="11375"/>
    <cellStyle name="20% - Accent6 3 2 3 2 6 2" xfId="34235"/>
    <cellStyle name="20% - Accent6 3 2 3 2 7" xfId="13134"/>
    <cellStyle name="20% - Accent6 3 2 3 2 7 2" xfId="35993"/>
    <cellStyle name="20% - Accent6 3 2 3 2 8" xfId="23690"/>
    <cellStyle name="20% - Accent6 3 2 3 3" xfId="1266"/>
    <cellStyle name="20% - Accent6 3 2 3 3 2" xfId="3027"/>
    <cellStyle name="20% - Accent6 3 2 3 3 2 2" xfId="6542"/>
    <cellStyle name="20% - Accent6 3 2 3 3 2 2 2" xfId="18846"/>
    <cellStyle name="20% - Accent6 3 2 3 3 2 2 2 2" xfId="41705"/>
    <cellStyle name="20% - Accent6 3 2 3 3 2 2 3" xfId="29403"/>
    <cellStyle name="20% - Accent6 3 2 3 3 2 3" xfId="10057"/>
    <cellStyle name="20% - Accent6 3 2 3 3 2 3 2" xfId="22361"/>
    <cellStyle name="20% - Accent6 3 2 3 3 2 3 2 2" xfId="45220"/>
    <cellStyle name="20% - Accent6 3 2 3 3 2 3 3" xfId="32918"/>
    <cellStyle name="20% - Accent6 3 2 3 3 2 4" xfId="15331"/>
    <cellStyle name="20% - Accent6 3 2 3 3 2 4 2" xfId="38190"/>
    <cellStyle name="20% - Accent6 3 2 3 3 2 5" xfId="25888"/>
    <cellStyle name="20% - Accent6 3 2 3 3 3" xfId="4784"/>
    <cellStyle name="20% - Accent6 3 2 3 3 3 2" xfId="17088"/>
    <cellStyle name="20% - Accent6 3 2 3 3 3 2 2" xfId="39947"/>
    <cellStyle name="20% - Accent6 3 2 3 3 3 3" xfId="27645"/>
    <cellStyle name="20% - Accent6 3 2 3 3 4" xfId="8299"/>
    <cellStyle name="20% - Accent6 3 2 3 3 4 2" xfId="20603"/>
    <cellStyle name="20% - Accent6 3 2 3 3 4 2 2" xfId="43462"/>
    <cellStyle name="20% - Accent6 3 2 3 3 4 3" xfId="31160"/>
    <cellStyle name="20% - Accent6 3 2 3 3 5" xfId="11814"/>
    <cellStyle name="20% - Accent6 3 2 3 3 5 2" xfId="34674"/>
    <cellStyle name="20% - Accent6 3 2 3 3 6" xfId="13573"/>
    <cellStyle name="20% - Accent6 3 2 3 3 6 2" xfId="36432"/>
    <cellStyle name="20% - Accent6 3 2 3 3 7" xfId="24129"/>
    <cellStyle name="20% - Accent6 3 2 3 4" xfId="2149"/>
    <cellStyle name="20% - Accent6 3 2 3 4 2" xfId="5664"/>
    <cellStyle name="20% - Accent6 3 2 3 4 2 2" xfId="17968"/>
    <cellStyle name="20% - Accent6 3 2 3 4 2 2 2" xfId="40827"/>
    <cellStyle name="20% - Accent6 3 2 3 4 2 3" xfId="28525"/>
    <cellStyle name="20% - Accent6 3 2 3 4 3" xfId="9179"/>
    <cellStyle name="20% - Accent6 3 2 3 4 3 2" xfId="21483"/>
    <cellStyle name="20% - Accent6 3 2 3 4 3 2 2" xfId="44342"/>
    <cellStyle name="20% - Accent6 3 2 3 4 3 3" xfId="32040"/>
    <cellStyle name="20% - Accent6 3 2 3 4 4" xfId="14453"/>
    <cellStyle name="20% - Accent6 3 2 3 4 4 2" xfId="37312"/>
    <cellStyle name="20% - Accent6 3 2 3 4 5" xfId="25010"/>
    <cellStyle name="20% - Accent6 3 2 3 5" xfId="3906"/>
    <cellStyle name="20% - Accent6 3 2 3 5 2" xfId="16210"/>
    <cellStyle name="20% - Accent6 3 2 3 5 2 2" xfId="39069"/>
    <cellStyle name="20% - Accent6 3 2 3 5 3" xfId="26767"/>
    <cellStyle name="20% - Accent6 3 2 3 6" xfId="7421"/>
    <cellStyle name="20% - Accent6 3 2 3 6 2" xfId="19725"/>
    <cellStyle name="20% - Accent6 3 2 3 6 2 2" xfId="42584"/>
    <cellStyle name="20% - Accent6 3 2 3 6 3" xfId="30282"/>
    <cellStyle name="20% - Accent6 3 2 3 7" xfId="10936"/>
    <cellStyle name="20% - Accent6 3 2 3 7 2" xfId="33796"/>
    <cellStyle name="20% - Accent6 3 2 3 8" xfId="12695"/>
    <cellStyle name="20% - Accent6 3 2 3 8 2" xfId="35554"/>
    <cellStyle name="20% - Accent6 3 2 3 9" xfId="23250"/>
    <cellStyle name="20% - Accent6 3 2 4" xfId="614"/>
    <cellStyle name="20% - Accent6 3 2 4 2" xfId="1493"/>
    <cellStyle name="20% - Accent6 3 2 4 2 2" xfId="3254"/>
    <cellStyle name="20% - Accent6 3 2 4 2 2 2" xfId="6769"/>
    <cellStyle name="20% - Accent6 3 2 4 2 2 2 2" xfId="19073"/>
    <cellStyle name="20% - Accent6 3 2 4 2 2 2 2 2" xfId="41932"/>
    <cellStyle name="20% - Accent6 3 2 4 2 2 2 3" xfId="29630"/>
    <cellStyle name="20% - Accent6 3 2 4 2 2 3" xfId="10284"/>
    <cellStyle name="20% - Accent6 3 2 4 2 2 3 2" xfId="22588"/>
    <cellStyle name="20% - Accent6 3 2 4 2 2 3 2 2" xfId="45447"/>
    <cellStyle name="20% - Accent6 3 2 4 2 2 3 3" xfId="33145"/>
    <cellStyle name="20% - Accent6 3 2 4 2 2 4" xfId="15558"/>
    <cellStyle name="20% - Accent6 3 2 4 2 2 4 2" xfId="38417"/>
    <cellStyle name="20% - Accent6 3 2 4 2 2 5" xfId="26115"/>
    <cellStyle name="20% - Accent6 3 2 4 2 3" xfId="5011"/>
    <cellStyle name="20% - Accent6 3 2 4 2 3 2" xfId="17315"/>
    <cellStyle name="20% - Accent6 3 2 4 2 3 2 2" xfId="40174"/>
    <cellStyle name="20% - Accent6 3 2 4 2 3 3" xfId="27872"/>
    <cellStyle name="20% - Accent6 3 2 4 2 4" xfId="8526"/>
    <cellStyle name="20% - Accent6 3 2 4 2 4 2" xfId="20830"/>
    <cellStyle name="20% - Accent6 3 2 4 2 4 2 2" xfId="43689"/>
    <cellStyle name="20% - Accent6 3 2 4 2 4 3" xfId="31387"/>
    <cellStyle name="20% - Accent6 3 2 4 2 5" xfId="12041"/>
    <cellStyle name="20% - Accent6 3 2 4 2 5 2" xfId="34901"/>
    <cellStyle name="20% - Accent6 3 2 4 2 6" xfId="13800"/>
    <cellStyle name="20% - Accent6 3 2 4 2 6 2" xfId="36659"/>
    <cellStyle name="20% - Accent6 3 2 4 2 7" xfId="24356"/>
    <cellStyle name="20% - Accent6 3 2 4 3" xfId="2376"/>
    <cellStyle name="20% - Accent6 3 2 4 3 2" xfId="5891"/>
    <cellStyle name="20% - Accent6 3 2 4 3 2 2" xfId="18195"/>
    <cellStyle name="20% - Accent6 3 2 4 3 2 2 2" xfId="41054"/>
    <cellStyle name="20% - Accent6 3 2 4 3 2 3" xfId="28752"/>
    <cellStyle name="20% - Accent6 3 2 4 3 3" xfId="9406"/>
    <cellStyle name="20% - Accent6 3 2 4 3 3 2" xfId="21710"/>
    <cellStyle name="20% - Accent6 3 2 4 3 3 2 2" xfId="44569"/>
    <cellStyle name="20% - Accent6 3 2 4 3 3 3" xfId="32267"/>
    <cellStyle name="20% - Accent6 3 2 4 3 4" xfId="14680"/>
    <cellStyle name="20% - Accent6 3 2 4 3 4 2" xfId="37539"/>
    <cellStyle name="20% - Accent6 3 2 4 3 5" xfId="25237"/>
    <cellStyle name="20% - Accent6 3 2 4 4" xfId="4133"/>
    <cellStyle name="20% - Accent6 3 2 4 4 2" xfId="16437"/>
    <cellStyle name="20% - Accent6 3 2 4 4 2 2" xfId="39296"/>
    <cellStyle name="20% - Accent6 3 2 4 4 3" xfId="26994"/>
    <cellStyle name="20% - Accent6 3 2 4 5" xfId="7648"/>
    <cellStyle name="20% - Accent6 3 2 4 5 2" xfId="19952"/>
    <cellStyle name="20% - Accent6 3 2 4 5 2 2" xfId="42811"/>
    <cellStyle name="20% - Accent6 3 2 4 5 3" xfId="30509"/>
    <cellStyle name="20% - Accent6 3 2 4 6" xfId="11163"/>
    <cellStyle name="20% - Accent6 3 2 4 6 2" xfId="34023"/>
    <cellStyle name="20% - Accent6 3 2 4 7" xfId="12922"/>
    <cellStyle name="20% - Accent6 3 2 4 7 2" xfId="35781"/>
    <cellStyle name="20% - Accent6 3 2 4 8" xfId="23478"/>
    <cellStyle name="20% - Accent6 3 2 5" xfId="1054"/>
    <cellStyle name="20% - Accent6 3 2 5 2" xfId="2815"/>
    <cellStyle name="20% - Accent6 3 2 5 2 2" xfId="6330"/>
    <cellStyle name="20% - Accent6 3 2 5 2 2 2" xfId="18634"/>
    <cellStyle name="20% - Accent6 3 2 5 2 2 2 2" xfId="41493"/>
    <cellStyle name="20% - Accent6 3 2 5 2 2 3" xfId="29191"/>
    <cellStyle name="20% - Accent6 3 2 5 2 3" xfId="9845"/>
    <cellStyle name="20% - Accent6 3 2 5 2 3 2" xfId="22149"/>
    <cellStyle name="20% - Accent6 3 2 5 2 3 2 2" xfId="45008"/>
    <cellStyle name="20% - Accent6 3 2 5 2 3 3" xfId="32706"/>
    <cellStyle name="20% - Accent6 3 2 5 2 4" xfId="15119"/>
    <cellStyle name="20% - Accent6 3 2 5 2 4 2" xfId="37978"/>
    <cellStyle name="20% - Accent6 3 2 5 2 5" xfId="25676"/>
    <cellStyle name="20% - Accent6 3 2 5 3" xfId="4572"/>
    <cellStyle name="20% - Accent6 3 2 5 3 2" xfId="16876"/>
    <cellStyle name="20% - Accent6 3 2 5 3 2 2" xfId="39735"/>
    <cellStyle name="20% - Accent6 3 2 5 3 3" xfId="27433"/>
    <cellStyle name="20% - Accent6 3 2 5 4" xfId="8087"/>
    <cellStyle name="20% - Accent6 3 2 5 4 2" xfId="20391"/>
    <cellStyle name="20% - Accent6 3 2 5 4 2 2" xfId="43250"/>
    <cellStyle name="20% - Accent6 3 2 5 4 3" xfId="30948"/>
    <cellStyle name="20% - Accent6 3 2 5 5" xfId="11602"/>
    <cellStyle name="20% - Accent6 3 2 5 5 2" xfId="34462"/>
    <cellStyle name="20% - Accent6 3 2 5 6" xfId="13361"/>
    <cellStyle name="20% - Accent6 3 2 5 6 2" xfId="36220"/>
    <cellStyle name="20% - Accent6 3 2 5 7" xfId="23917"/>
    <cellStyle name="20% - Accent6 3 2 6" xfId="1937"/>
    <cellStyle name="20% - Accent6 3 2 6 2" xfId="5452"/>
    <cellStyle name="20% - Accent6 3 2 6 2 2" xfId="17756"/>
    <cellStyle name="20% - Accent6 3 2 6 2 2 2" xfId="40615"/>
    <cellStyle name="20% - Accent6 3 2 6 2 3" xfId="28313"/>
    <cellStyle name="20% - Accent6 3 2 6 3" xfId="8967"/>
    <cellStyle name="20% - Accent6 3 2 6 3 2" xfId="21271"/>
    <cellStyle name="20% - Accent6 3 2 6 3 2 2" xfId="44130"/>
    <cellStyle name="20% - Accent6 3 2 6 3 3" xfId="31828"/>
    <cellStyle name="20% - Accent6 3 2 6 4" xfId="14241"/>
    <cellStyle name="20% - Accent6 3 2 6 4 2" xfId="37100"/>
    <cellStyle name="20% - Accent6 3 2 6 5" xfId="24798"/>
    <cellStyle name="20% - Accent6 3 2 7" xfId="3694"/>
    <cellStyle name="20% - Accent6 3 2 7 2" xfId="15998"/>
    <cellStyle name="20% - Accent6 3 2 7 2 2" xfId="38857"/>
    <cellStyle name="20% - Accent6 3 2 7 3" xfId="26555"/>
    <cellStyle name="20% - Accent6 3 2 8" xfId="7209"/>
    <cellStyle name="20% - Accent6 3 2 8 2" xfId="19513"/>
    <cellStyle name="20% - Accent6 3 2 8 2 2" xfId="42372"/>
    <cellStyle name="20% - Accent6 3 2 8 3" xfId="30070"/>
    <cellStyle name="20% - Accent6 3 2 9" xfId="10724"/>
    <cellStyle name="20% - Accent6 3 2 9 2" xfId="33584"/>
    <cellStyle name="20% - Accent6 3 3" xfId="225"/>
    <cellStyle name="20% - Accent6 3 3 10" xfId="23090"/>
    <cellStyle name="20% - Accent6 3 3 2" xfId="437"/>
    <cellStyle name="20% - Accent6 3 3 2 2" xfId="878"/>
    <cellStyle name="20% - Accent6 3 3 2 2 2" xfId="1757"/>
    <cellStyle name="20% - Accent6 3 3 2 2 2 2" xfId="3518"/>
    <cellStyle name="20% - Accent6 3 3 2 2 2 2 2" xfId="7033"/>
    <cellStyle name="20% - Accent6 3 3 2 2 2 2 2 2" xfId="19337"/>
    <cellStyle name="20% - Accent6 3 3 2 2 2 2 2 2 2" xfId="42196"/>
    <cellStyle name="20% - Accent6 3 3 2 2 2 2 2 3" xfId="29894"/>
    <cellStyle name="20% - Accent6 3 3 2 2 2 2 3" xfId="10548"/>
    <cellStyle name="20% - Accent6 3 3 2 2 2 2 3 2" xfId="22852"/>
    <cellStyle name="20% - Accent6 3 3 2 2 2 2 3 2 2" xfId="45711"/>
    <cellStyle name="20% - Accent6 3 3 2 2 2 2 3 3" xfId="33409"/>
    <cellStyle name="20% - Accent6 3 3 2 2 2 2 4" xfId="15822"/>
    <cellStyle name="20% - Accent6 3 3 2 2 2 2 4 2" xfId="38681"/>
    <cellStyle name="20% - Accent6 3 3 2 2 2 2 5" xfId="26379"/>
    <cellStyle name="20% - Accent6 3 3 2 2 2 3" xfId="5275"/>
    <cellStyle name="20% - Accent6 3 3 2 2 2 3 2" xfId="17579"/>
    <cellStyle name="20% - Accent6 3 3 2 2 2 3 2 2" xfId="40438"/>
    <cellStyle name="20% - Accent6 3 3 2 2 2 3 3" xfId="28136"/>
    <cellStyle name="20% - Accent6 3 3 2 2 2 4" xfId="8790"/>
    <cellStyle name="20% - Accent6 3 3 2 2 2 4 2" xfId="21094"/>
    <cellStyle name="20% - Accent6 3 3 2 2 2 4 2 2" xfId="43953"/>
    <cellStyle name="20% - Accent6 3 3 2 2 2 4 3" xfId="31651"/>
    <cellStyle name="20% - Accent6 3 3 2 2 2 5" xfId="12305"/>
    <cellStyle name="20% - Accent6 3 3 2 2 2 5 2" xfId="35165"/>
    <cellStyle name="20% - Accent6 3 3 2 2 2 6" xfId="14064"/>
    <cellStyle name="20% - Accent6 3 3 2 2 2 6 2" xfId="36923"/>
    <cellStyle name="20% - Accent6 3 3 2 2 2 7" xfId="24620"/>
    <cellStyle name="20% - Accent6 3 3 2 2 3" xfId="2640"/>
    <cellStyle name="20% - Accent6 3 3 2 2 3 2" xfId="6155"/>
    <cellStyle name="20% - Accent6 3 3 2 2 3 2 2" xfId="18459"/>
    <cellStyle name="20% - Accent6 3 3 2 2 3 2 2 2" xfId="41318"/>
    <cellStyle name="20% - Accent6 3 3 2 2 3 2 3" xfId="29016"/>
    <cellStyle name="20% - Accent6 3 3 2 2 3 3" xfId="9670"/>
    <cellStyle name="20% - Accent6 3 3 2 2 3 3 2" xfId="21974"/>
    <cellStyle name="20% - Accent6 3 3 2 2 3 3 2 2" xfId="44833"/>
    <cellStyle name="20% - Accent6 3 3 2 2 3 3 3" xfId="32531"/>
    <cellStyle name="20% - Accent6 3 3 2 2 3 4" xfId="14944"/>
    <cellStyle name="20% - Accent6 3 3 2 2 3 4 2" xfId="37803"/>
    <cellStyle name="20% - Accent6 3 3 2 2 3 5" xfId="25501"/>
    <cellStyle name="20% - Accent6 3 3 2 2 4" xfId="4397"/>
    <cellStyle name="20% - Accent6 3 3 2 2 4 2" xfId="16701"/>
    <cellStyle name="20% - Accent6 3 3 2 2 4 2 2" xfId="39560"/>
    <cellStyle name="20% - Accent6 3 3 2 2 4 3" xfId="27258"/>
    <cellStyle name="20% - Accent6 3 3 2 2 5" xfId="7912"/>
    <cellStyle name="20% - Accent6 3 3 2 2 5 2" xfId="20216"/>
    <cellStyle name="20% - Accent6 3 3 2 2 5 2 2" xfId="43075"/>
    <cellStyle name="20% - Accent6 3 3 2 2 5 3" xfId="30773"/>
    <cellStyle name="20% - Accent6 3 3 2 2 6" xfId="11427"/>
    <cellStyle name="20% - Accent6 3 3 2 2 6 2" xfId="34287"/>
    <cellStyle name="20% - Accent6 3 3 2 2 7" xfId="13186"/>
    <cellStyle name="20% - Accent6 3 3 2 2 7 2" xfId="36045"/>
    <cellStyle name="20% - Accent6 3 3 2 2 8" xfId="23742"/>
    <cellStyle name="20% - Accent6 3 3 2 3" xfId="1318"/>
    <cellStyle name="20% - Accent6 3 3 2 3 2" xfId="3079"/>
    <cellStyle name="20% - Accent6 3 3 2 3 2 2" xfId="6594"/>
    <cellStyle name="20% - Accent6 3 3 2 3 2 2 2" xfId="18898"/>
    <cellStyle name="20% - Accent6 3 3 2 3 2 2 2 2" xfId="41757"/>
    <cellStyle name="20% - Accent6 3 3 2 3 2 2 3" xfId="29455"/>
    <cellStyle name="20% - Accent6 3 3 2 3 2 3" xfId="10109"/>
    <cellStyle name="20% - Accent6 3 3 2 3 2 3 2" xfId="22413"/>
    <cellStyle name="20% - Accent6 3 3 2 3 2 3 2 2" xfId="45272"/>
    <cellStyle name="20% - Accent6 3 3 2 3 2 3 3" xfId="32970"/>
    <cellStyle name="20% - Accent6 3 3 2 3 2 4" xfId="15383"/>
    <cellStyle name="20% - Accent6 3 3 2 3 2 4 2" xfId="38242"/>
    <cellStyle name="20% - Accent6 3 3 2 3 2 5" xfId="25940"/>
    <cellStyle name="20% - Accent6 3 3 2 3 3" xfId="4836"/>
    <cellStyle name="20% - Accent6 3 3 2 3 3 2" xfId="17140"/>
    <cellStyle name="20% - Accent6 3 3 2 3 3 2 2" xfId="39999"/>
    <cellStyle name="20% - Accent6 3 3 2 3 3 3" xfId="27697"/>
    <cellStyle name="20% - Accent6 3 3 2 3 4" xfId="8351"/>
    <cellStyle name="20% - Accent6 3 3 2 3 4 2" xfId="20655"/>
    <cellStyle name="20% - Accent6 3 3 2 3 4 2 2" xfId="43514"/>
    <cellStyle name="20% - Accent6 3 3 2 3 4 3" xfId="31212"/>
    <cellStyle name="20% - Accent6 3 3 2 3 5" xfId="11866"/>
    <cellStyle name="20% - Accent6 3 3 2 3 5 2" xfId="34726"/>
    <cellStyle name="20% - Accent6 3 3 2 3 6" xfId="13625"/>
    <cellStyle name="20% - Accent6 3 3 2 3 6 2" xfId="36484"/>
    <cellStyle name="20% - Accent6 3 3 2 3 7" xfId="24181"/>
    <cellStyle name="20% - Accent6 3 3 2 4" xfId="2201"/>
    <cellStyle name="20% - Accent6 3 3 2 4 2" xfId="5716"/>
    <cellStyle name="20% - Accent6 3 3 2 4 2 2" xfId="18020"/>
    <cellStyle name="20% - Accent6 3 3 2 4 2 2 2" xfId="40879"/>
    <cellStyle name="20% - Accent6 3 3 2 4 2 3" xfId="28577"/>
    <cellStyle name="20% - Accent6 3 3 2 4 3" xfId="9231"/>
    <cellStyle name="20% - Accent6 3 3 2 4 3 2" xfId="21535"/>
    <cellStyle name="20% - Accent6 3 3 2 4 3 2 2" xfId="44394"/>
    <cellStyle name="20% - Accent6 3 3 2 4 3 3" xfId="32092"/>
    <cellStyle name="20% - Accent6 3 3 2 4 4" xfId="14505"/>
    <cellStyle name="20% - Accent6 3 3 2 4 4 2" xfId="37364"/>
    <cellStyle name="20% - Accent6 3 3 2 4 5" xfId="25062"/>
    <cellStyle name="20% - Accent6 3 3 2 5" xfId="3958"/>
    <cellStyle name="20% - Accent6 3 3 2 5 2" xfId="16262"/>
    <cellStyle name="20% - Accent6 3 3 2 5 2 2" xfId="39121"/>
    <cellStyle name="20% - Accent6 3 3 2 5 3" xfId="26819"/>
    <cellStyle name="20% - Accent6 3 3 2 6" xfId="7473"/>
    <cellStyle name="20% - Accent6 3 3 2 6 2" xfId="19777"/>
    <cellStyle name="20% - Accent6 3 3 2 6 2 2" xfId="42636"/>
    <cellStyle name="20% - Accent6 3 3 2 6 3" xfId="30334"/>
    <cellStyle name="20% - Accent6 3 3 2 7" xfId="10988"/>
    <cellStyle name="20% - Accent6 3 3 2 7 2" xfId="33848"/>
    <cellStyle name="20% - Accent6 3 3 2 8" xfId="12747"/>
    <cellStyle name="20% - Accent6 3 3 2 8 2" xfId="35606"/>
    <cellStyle name="20% - Accent6 3 3 2 9" xfId="23302"/>
    <cellStyle name="20% - Accent6 3 3 3" xfId="666"/>
    <cellStyle name="20% - Accent6 3 3 3 2" xfId="1545"/>
    <cellStyle name="20% - Accent6 3 3 3 2 2" xfId="3306"/>
    <cellStyle name="20% - Accent6 3 3 3 2 2 2" xfId="6821"/>
    <cellStyle name="20% - Accent6 3 3 3 2 2 2 2" xfId="19125"/>
    <cellStyle name="20% - Accent6 3 3 3 2 2 2 2 2" xfId="41984"/>
    <cellStyle name="20% - Accent6 3 3 3 2 2 2 3" xfId="29682"/>
    <cellStyle name="20% - Accent6 3 3 3 2 2 3" xfId="10336"/>
    <cellStyle name="20% - Accent6 3 3 3 2 2 3 2" xfId="22640"/>
    <cellStyle name="20% - Accent6 3 3 3 2 2 3 2 2" xfId="45499"/>
    <cellStyle name="20% - Accent6 3 3 3 2 2 3 3" xfId="33197"/>
    <cellStyle name="20% - Accent6 3 3 3 2 2 4" xfId="15610"/>
    <cellStyle name="20% - Accent6 3 3 3 2 2 4 2" xfId="38469"/>
    <cellStyle name="20% - Accent6 3 3 3 2 2 5" xfId="26167"/>
    <cellStyle name="20% - Accent6 3 3 3 2 3" xfId="5063"/>
    <cellStyle name="20% - Accent6 3 3 3 2 3 2" xfId="17367"/>
    <cellStyle name="20% - Accent6 3 3 3 2 3 2 2" xfId="40226"/>
    <cellStyle name="20% - Accent6 3 3 3 2 3 3" xfId="27924"/>
    <cellStyle name="20% - Accent6 3 3 3 2 4" xfId="8578"/>
    <cellStyle name="20% - Accent6 3 3 3 2 4 2" xfId="20882"/>
    <cellStyle name="20% - Accent6 3 3 3 2 4 2 2" xfId="43741"/>
    <cellStyle name="20% - Accent6 3 3 3 2 4 3" xfId="31439"/>
    <cellStyle name="20% - Accent6 3 3 3 2 5" xfId="12093"/>
    <cellStyle name="20% - Accent6 3 3 3 2 5 2" xfId="34953"/>
    <cellStyle name="20% - Accent6 3 3 3 2 6" xfId="13852"/>
    <cellStyle name="20% - Accent6 3 3 3 2 6 2" xfId="36711"/>
    <cellStyle name="20% - Accent6 3 3 3 2 7" xfId="24408"/>
    <cellStyle name="20% - Accent6 3 3 3 3" xfId="2428"/>
    <cellStyle name="20% - Accent6 3 3 3 3 2" xfId="5943"/>
    <cellStyle name="20% - Accent6 3 3 3 3 2 2" xfId="18247"/>
    <cellStyle name="20% - Accent6 3 3 3 3 2 2 2" xfId="41106"/>
    <cellStyle name="20% - Accent6 3 3 3 3 2 3" xfId="28804"/>
    <cellStyle name="20% - Accent6 3 3 3 3 3" xfId="9458"/>
    <cellStyle name="20% - Accent6 3 3 3 3 3 2" xfId="21762"/>
    <cellStyle name="20% - Accent6 3 3 3 3 3 2 2" xfId="44621"/>
    <cellStyle name="20% - Accent6 3 3 3 3 3 3" xfId="32319"/>
    <cellStyle name="20% - Accent6 3 3 3 3 4" xfId="14732"/>
    <cellStyle name="20% - Accent6 3 3 3 3 4 2" xfId="37591"/>
    <cellStyle name="20% - Accent6 3 3 3 3 5" xfId="25289"/>
    <cellStyle name="20% - Accent6 3 3 3 4" xfId="4185"/>
    <cellStyle name="20% - Accent6 3 3 3 4 2" xfId="16489"/>
    <cellStyle name="20% - Accent6 3 3 3 4 2 2" xfId="39348"/>
    <cellStyle name="20% - Accent6 3 3 3 4 3" xfId="27046"/>
    <cellStyle name="20% - Accent6 3 3 3 5" xfId="7700"/>
    <cellStyle name="20% - Accent6 3 3 3 5 2" xfId="20004"/>
    <cellStyle name="20% - Accent6 3 3 3 5 2 2" xfId="42863"/>
    <cellStyle name="20% - Accent6 3 3 3 5 3" xfId="30561"/>
    <cellStyle name="20% - Accent6 3 3 3 6" xfId="11215"/>
    <cellStyle name="20% - Accent6 3 3 3 6 2" xfId="34075"/>
    <cellStyle name="20% - Accent6 3 3 3 7" xfId="12974"/>
    <cellStyle name="20% - Accent6 3 3 3 7 2" xfId="35833"/>
    <cellStyle name="20% - Accent6 3 3 3 8" xfId="23530"/>
    <cellStyle name="20% - Accent6 3 3 4" xfId="1106"/>
    <cellStyle name="20% - Accent6 3 3 4 2" xfId="2867"/>
    <cellStyle name="20% - Accent6 3 3 4 2 2" xfId="6382"/>
    <cellStyle name="20% - Accent6 3 3 4 2 2 2" xfId="18686"/>
    <cellStyle name="20% - Accent6 3 3 4 2 2 2 2" xfId="41545"/>
    <cellStyle name="20% - Accent6 3 3 4 2 2 3" xfId="29243"/>
    <cellStyle name="20% - Accent6 3 3 4 2 3" xfId="9897"/>
    <cellStyle name="20% - Accent6 3 3 4 2 3 2" xfId="22201"/>
    <cellStyle name="20% - Accent6 3 3 4 2 3 2 2" xfId="45060"/>
    <cellStyle name="20% - Accent6 3 3 4 2 3 3" xfId="32758"/>
    <cellStyle name="20% - Accent6 3 3 4 2 4" xfId="15171"/>
    <cellStyle name="20% - Accent6 3 3 4 2 4 2" xfId="38030"/>
    <cellStyle name="20% - Accent6 3 3 4 2 5" xfId="25728"/>
    <cellStyle name="20% - Accent6 3 3 4 3" xfId="4624"/>
    <cellStyle name="20% - Accent6 3 3 4 3 2" xfId="16928"/>
    <cellStyle name="20% - Accent6 3 3 4 3 2 2" xfId="39787"/>
    <cellStyle name="20% - Accent6 3 3 4 3 3" xfId="27485"/>
    <cellStyle name="20% - Accent6 3 3 4 4" xfId="8139"/>
    <cellStyle name="20% - Accent6 3 3 4 4 2" xfId="20443"/>
    <cellStyle name="20% - Accent6 3 3 4 4 2 2" xfId="43302"/>
    <cellStyle name="20% - Accent6 3 3 4 4 3" xfId="31000"/>
    <cellStyle name="20% - Accent6 3 3 4 5" xfId="11654"/>
    <cellStyle name="20% - Accent6 3 3 4 5 2" xfId="34514"/>
    <cellStyle name="20% - Accent6 3 3 4 6" xfId="13413"/>
    <cellStyle name="20% - Accent6 3 3 4 6 2" xfId="36272"/>
    <cellStyle name="20% - Accent6 3 3 4 7" xfId="23969"/>
    <cellStyle name="20% - Accent6 3 3 5" xfId="1989"/>
    <cellStyle name="20% - Accent6 3 3 5 2" xfId="5504"/>
    <cellStyle name="20% - Accent6 3 3 5 2 2" xfId="17808"/>
    <cellStyle name="20% - Accent6 3 3 5 2 2 2" xfId="40667"/>
    <cellStyle name="20% - Accent6 3 3 5 2 3" xfId="28365"/>
    <cellStyle name="20% - Accent6 3 3 5 3" xfId="9019"/>
    <cellStyle name="20% - Accent6 3 3 5 3 2" xfId="21323"/>
    <cellStyle name="20% - Accent6 3 3 5 3 2 2" xfId="44182"/>
    <cellStyle name="20% - Accent6 3 3 5 3 3" xfId="31880"/>
    <cellStyle name="20% - Accent6 3 3 5 4" xfId="14293"/>
    <cellStyle name="20% - Accent6 3 3 5 4 2" xfId="37152"/>
    <cellStyle name="20% - Accent6 3 3 5 5" xfId="24850"/>
    <cellStyle name="20% - Accent6 3 3 6" xfId="3746"/>
    <cellStyle name="20% - Accent6 3 3 6 2" xfId="16050"/>
    <cellStyle name="20% - Accent6 3 3 6 2 2" xfId="38909"/>
    <cellStyle name="20% - Accent6 3 3 6 3" xfId="26607"/>
    <cellStyle name="20% - Accent6 3 3 7" xfId="7261"/>
    <cellStyle name="20% - Accent6 3 3 7 2" xfId="19565"/>
    <cellStyle name="20% - Accent6 3 3 7 2 2" xfId="42424"/>
    <cellStyle name="20% - Accent6 3 3 7 3" xfId="30122"/>
    <cellStyle name="20% - Accent6 3 3 8" xfId="10776"/>
    <cellStyle name="20% - Accent6 3 3 8 2" xfId="33636"/>
    <cellStyle name="20% - Accent6 3 3 9" xfId="12535"/>
    <cellStyle name="20% - Accent6 3 3 9 2" xfId="35394"/>
    <cellStyle name="20% - Accent6 3 4" xfId="331"/>
    <cellStyle name="20% - Accent6 3 4 2" xfId="772"/>
    <cellStyle name="20% - Accent6 3 4 2 2" xfId="1651"/>
    <cellStyle name="20% - Accent6 3 4 2 2 2" xfId="3412"/>
    <cellStyle name="20% - Accent6 3 4 2 2 2 2" xfId="6927"/>
    <cellStyle name="20% - Accent6 3 4 2 2 2 2 2" xfId="19231"/>
    <cellStyle name="20% - Accent6 3 4 2 2 2 2 2 2" xfId="42090"/>
    <cellStyle name="20% - Accent6 3 4 2 2 2 2 3" xfId="29788"/>
    <cellStyle name="20% - Accent6 3 4 2 2 2 3" xfId="10442"/>
    <cellStyle name="20% - Accent6 3 4 2 2 2 3 2" xfId="22746"/>
    <cellStyle name="20% - Accent6 3 4 2 2 2 3 2 2" xfId="45605"/>
    <cellStyle name="20% - Accent6 3 4 2 2 2 3 3" xfId="33303"/>
    <cellStyle name="20% - Accent6 3 4 2 2 2 4" xfId="15716"/>
    <cellStyle name="20% - Accent6 3 4 2 2 2 4 2" xfId="38575"/>
    <cellStyle name="20% - Accent6 3 4 2 2 2 5" xfId="26273"/>
    <cellStyle name="20% - Accent6 3 4 2 2 3" xfId="5169"/>
    <cellStyle name="20% - Accent6 3 4 2 2 3 2" xfId="17473"/>
    <cellStyle name="20% - Accent6 3 4 2 2 3 2 2" xfId="40332"/>
    <cellStyle name="20% - Accent6 3 4 2 2 3 3" xfId="28030"/>
    <cellStyle name="20% - Accent6 3 4 2 2 4" xfId="8684"/>
    <cellStyle name="20% - Accent6 3 4 2 2 4 2" xfId="20988"/>
    <cellStyle name="20% - Accent6 3 4 2 2 4 2 2" xfId="43847"/>
    <cellStyle name="20% - Accent6 3 4 2 2 4 3" xfId="31545"/>
    <cellStyle name="20% - Accent6 3 4 2 2 5" xfId="12199"/>
    <cellStyle name="20% - Accent6 3 4 2 2 5 2" xfId="35059"/>
    <cellStyle name="20% - Accent6 3 4 2 2 6" xfId="13958"/>
    <cellStyle name="20% - Accent6 3 4 2 2 6 2" xfId="36817"/>
    <cellStyle name="20% - Accent6 3 4 2 2 7" xfId="24514"/>
    <cellStyle name="20% - Accent6 3 4 2 3" xfId="2534"/>
    <cellStyle name="20% - Accent6 3 4 2 3 2" xfId="6049"/>
    <cellStyle name="20% - Accent6 3 4 2 3 2 2" xfId="18353"/>
    <cellStyle name="20% - Accent6 3 4 2 3 2 2 2" xfId="41212"/>
    <cellStyle name="20% - Accent6 3 4 2 3 2 3" xfId="28910"/>
    <cellStyle name="20% - Accent6 3 4 2 3 3" xfId="9564"/>
    <cellStyle name="20% - Accent6 3 4 2 3 3 2" xfId="21868"/>
    <cellStyle name="20% - Accent6 3 4 2 3 3 2 2" xfId="44727"/>
    <cellStyle name="20% - Accent6 3 4 2 3 3 3" xfId="32425"/>
    <cellStyle name="20% - Accent6 3 4 2 3 4" xfId="14838"/>
    <cellStyle name="20% - Accent6 3 4 2 3 4 2" xfId="37697"/>
    <cellStyle name="20% - Accent6 3 4 2 3 5" xfId="25395"/>
    <cellStyle name="20% - Accent6 3 4 2 4" xfId="4291"/>
    <cellStyle name="20% - Accent6 3 4 2 4 2" xfId="16595"/>
    <cellStyle name="20% - Accent6 3 4 2 4 2 2" xfId="39454"/>
    <cellStyle name="20% - Accent6 3 4 2 4 3" xfId="27152"/>
    <cellStyle name="20% - Accent6 3 4 2 5" xfId="7806"/>
    <cellStyle name="20% - Accent6 3 4 2 5 2" xfId="20110"/>
    <cellStyle name="20% - Accent6 3 4 2 5 2 2" xfId="42969"/>
    <cellStyle name="20% - Accent6 3 4 2 5 3" xfId="30667"/>
    <cellStyle name="20% - Accent6 3 4 2 6" xfId="11321"/>
    <cellStyle name="20% - Accent6 3 4 2 6 2" xfId="34181"/>
    <cellStyle name="20% - Accent6 3 4 2 7" xfId="13080"/>
    <cellStyle name="20% - Accent6 3 4 2 7 2" xfId="35939"/>
    <cellStyle name="20% - Accent6 3 4 2 8" xfId="23636"/>
    <cellStyle name="20% - Accent6 3 4 3" xfId="1212"/>
    <cellStyle name="20% - Accent6 3 4 3 2" xfId="2973"/>
    <cellStyle name="20% - Accent6 3 4 3 2 2" xfId="6488"/>
    <cellStyle name="20% - Accent6 3 4 3 2 2 2" xfId="18792"/>
    <cellStyle name="20% - Accent6 3 4 3 2 2 2 2" xfId="41651"/>
    <cellStyle name="20% - Accent6 3 4 3 2 2 3" xfId="29349"/>
    <cellStyle name="20% - Accent6 3 4 3 2 3" xfId="10003"/>
    <cellStyle name="20% - Accent6 3 4 3 2 3 2" xfId="22307"/>
    <cellStyle name="20% - Accent6 3 4 3 2 3 2 2" xfId="45166"/>
    <cellStyle name="20% - Accent6 3 4 3 2 3 3" xfId="32864"/>
    <cellStyle name="20% - Accent6 3 4 3 2 4" xfId="15277"/>
    <cellStyle name="20% - Accent6 3 4 3 2 4 2" xfId="38136"/>
    <cellStyle name="20% - Accent6 3 4 3 2 5" xfId="25834"/>
    <cellStyle name="20% - Accent6 3 4 3 3" xfId="4730"/>
    <cellStyle name="20% - Accent6 3 4 3 3 2" xfId="17034"/>
    <cellStyle name="20% - Accent6 3 4 3 3 2 2" xfId="39893"/>
    <cellStyle name="20% - Accent6 3 4 3 3 3" xfId="27591"/>
    <cellStyle name="20% - Accent6 3 4 3 4" xfId="8245"/>
    <cellStyle name="20% - Accent6 3 4 3 4 2" xfId="20549"/>
    <cellStyle name="20% - Accent6 3 4 3 4 2 2" xfId="43408"/>
    <cellStyle name="20% - Accent6 3 4 3 4 3" xfId="31106"/>
    <cellStyle name="20% - Accent6 3 4 3 5" xfId="11760"/>
    <cellStyle name="20% - Accent6 3 4 3 5 2" xfId="34620"/>
    <cellStyle name="20% - Accent6 3 4 3 6" xfId="13519"/>
    <cellStyle name="20% - Accent6 3 4 3 6 2" xfId="36378"/>
    <cellStyle name="20% - Accent6 3 4 3 7" xfId="24075"/>
    <cellStyle name="20% - Accent6 3 4 4" xfId="2095"/>
    <cellStyle name="20% - Accent6 3 4 4 2" xfId="5610"/>
    <cellStyle name="20% - Accent6 3 4 4 2 2" xfId="17914"/>
    <cellStyle name="20% - Accent6 3 4 4 2 2 2" xfId="40773"/>
    <cellStyle name="20% - Accent6 3 4 4 2 3" xfId="28471"/>
    <cellStyle name="20% - Accent6 3 4 4 3" xfId="9125"/>
    <cellStyle name="20% - Accent6 3 4 4 3 2" xfId="21429"/>
    <cellStyle name="20% - Accent6 3 4 4 3 2 2" xfId="44288"/>
    <cellStyle name="20% - Accent6 3 4 4 3 3" xfId="31986"/>
    <cellStyle name="20% - Accent6 3 4 4 4" xfId="14399"/>
    <cellStyle name="20% - Accent6 3 4 4 4 2" xfId="37258"/>
    <cellStyle name="20% - Accent6 3 4 4 5" xfId="24956"/>
    <cellStyle name="20% - Accent6 3 4 5" xfId="3852"/>
    <cellStyle name="20% - Accent6 3 4 5 2" xfId="16156"/>
    <cellStyle name="20% - Accent6 3 4 5 2 2" xfId="39015"/>
    <cellStyle name="20% - Accent6 3 4 5 3" xfId="26713"/>
    <cellStyle name="20% - Accent6 3 4 6" xfId="7367"/>
    <cellStyle name="20% - Accent6 3 4 6 2" xfId="19671"/>
    <cellStyle name="20% - Accent6 3 4 6 2 2" xfId="42530"/>
    <cellStyle name="20% - Accent6 3 4 6 3" xfId="30228"/>
    <cellStyle name="20% - Accent6 3 4 7" xfId="10882"/>
    <cellStyle name="20% - Accent6 3 4 7 2" xfId="33742"/>
    <cellStyle name="20% - Accent6 3 4 8" xfId="12641"/>
    <cellStyle name="20% - Accent6 3 4 8 2" xfId="35500"/>
    <cellStyle name="20% - Accent6 3 4 9" xfId="23196"/>
    <cellStyle name="20% - Accent6 3 5" xfId="560"/>
    <cellStyle name="20% - Accent6 3 5 2" xfId="1439"/>
    <cellStyle name="20% - Accent6 3 5 2 2" xfId="3200"/>
    <cellStyle name="20% - Accent6 3 5 2 2 2" xfId="6715"/>
    <cellStyle name="20% - Accent6 3 5 2 2 2 2" xfId="19019"/>
    <cellStyle name="20% - Accent6 3 5 2 2 2 2 2" xfId="41878"/>
    <cellStyle name="20% - Accent6 3 5 2 2 2 3" xfId="29576"/>
    <cellStyle name="20% - Accent6 3 5 2 2 3" xfId="10230"/>
    <cellStyle name="20% - Accent6 3 5 2 2 3 2" xfId="22534"/>
    <cellStyle name="20% - Accent6 3 5 2 2 3 2 2" xfId="45393"/>
    <cellStyle name="20% - Accent6 3 5 2 2 3 3" xfId="33091"/>
    <cellStyle name="20% - Accent6 3 5 2 2 4" xfId="15504"/>
    <cellStyle name="20% - Accent6 3 5 2 2 4 2" xfId="38363"/>
    <cellStyle name="20% - Accent6 3 5 2 2 5" xfId="26061"/>
    <cellStyle name="20% - Accent6 3 5 2 3" xfId="4957"/>
    <cellStyle name="20% - Accent6 3 5 2 3 2" xfId="17261"/>
    <cellStyle name="20% - Accent6 3 5 2 3 2 2" xfId="40120"/>
    <cellStyle name="20% - Accent6 3 5 2 3 3" xfId="27818"/>
    <cellStyle name="20% - Accent6 3 5 2 4" xfId="8472"/>
    <cellStyle name="20% - Accent6 3 5 2 4 2" xfId="20776"/>
    <cellStyle name="20% - Accent6 3 5 2 4 2 2" xfId="43635"/>
    <cellStyle name="20% - Accent6 3 5 2 4 3" xfId="31333"/>
    <cellStyle name="20% - Accent6 3 5 2 5" xfId="11987"/>
    <cellStyle name="20% - Accent6 3 5 2 5 2" xfId="34847"/>
    <cellStyle name="20% - Accent6 3 5 2 6" xfId="13746"/>
    <cellStyle name="20% - Accent6 3 5 2 6 2" xfId="36605"/>
    <cellStyle name="20% - Accent6 3 5 2 7" xfId="24302"/>
    <cellStyle name="20% - Accent6 3 5 3" xfId="2322"/>
    <cellStyle name="20% - Accent6 3 5 3 2" xfId="5837"/>
    <cellStyle name="20% - Accent6 3 5 3 2 2" xfId="18141"/>
    <cellStyle name="20% - Accent6 3 5 3 2 2 2" xfId="41000"/>
    <cellStyle name="20% - Accent6 3 5 3 2 3" xfId="28698"/>
    <cellStyle name="20% - Accent6 3 5 3 3" xfId="9352"/>
    <cellStyle name="20% - Accent6 3 5 3 3 2" xfId="21656"/>
    <cellStyle name="20% - Accent6 3 5 3 3 2 2" xfId="44515"/>
    <cellStyle name="20% - Accent6 3 5 3 3 3" xfId="32213"/>
    <cellStyle name="20% - Accent6 3 5 3 4" xfId="14626"/>
    <cellStyle name="20% - Accent6 3 5 3 4 2" xfId="37485"/>
    <cellStyle name="20% - Accent6 3 5 3 5" xfId="25183"/>
    <cellStyle name="20% - Accent6 3 5 4" xfId="4079"/>
    <cellStyle name="20% - Accent6 3 5 4 2" xfId="16383"/>
    <cellStyle name="20% - Accent6 3 5 4 2 2" xfId="39242"/>
    <cellStyle name="20% - Accent6 3 5 4 3" xfId="26940"/>
    <cellStyle name="20% - Accent6 3 5 5" xfId="7594"/>
    <cellStyle name="20% - Accent6 3 5 5 2" xfId="19898"/>
    <cellStyle name="20% - Accent6 3 5 5 2 2" xfId="42757"/>
    <cellStyle name="20% - Accent6 3 5 5 3" xfId="30455"/>
    <cellStyle name="20% - Accent6 3 5 6" xfId="11109"/>
    <cellStyle name="20% - Accent6 3 5 6 2" xfId="33969"/>
    <cellStyle name="20% - Accent6 3 5 7" xfId="12868"/>
    <cellStyle name="20% - Accent6 3 5 7 2" xfId="35727"/>
    <cellStyle name="20% - Accent6 3 5 8" xfId="23424"/>
    <cellStyle name="20% - Accent6 3 6" xfId="1000"/>
    <cellStyle name="20% - Accent6 3 6 2" xfId="2761"/>
    <cellStyle name="20% - Accent6 3 6 2 2" xfId="6276"/>
    <cellStyle name="20% - Accent6 3 6 2 2 2" xfId="18580"/>
    <cellStyle name="20% - Accent6 3 6 2 2 2 2" xfId="41439"/>
    <cellStyle name="20% - Accent6 3 6 2 2 3" xfId="29137"/>
    <cellStyle name="20% - Accent6 3 6 2 3" xfId="9791"/>
    <cellStyle name="20% - Accent6 3 6 2 3 2" xfId="22095"/>
    <cellStyle name="20% - Accent6 3 6 2 3 2 2" xfId="44954"/>
    <cellStyle name="20% - Accent6 3 6 2 3 3" xfId="32652"/>
    <cellStyle name="20% - Accent6 3 6 2 4" xfId="15065"/>
    <cellStyle name="20% - Accent6 3 6 2 4 2" xfId="37924"/>
    <cellStyle name="20% - Accent6 3 6 2 5" xfId="25622"/>
    <cellStyle name="20% - Accent6 3 6 3" xfId="4518"/>
    <cellStyle name="20% - Accent6 3 6 3 2" xfId="16822"/>
    <cellStyle name="20% - Accent6 3 6 3 2 2" xfId="39681"/>
    <cellStyle name="20% - Accent6 3 6 3 3" xfId="27379"/>
    <cellStyle name="20% - Accent6 3 6 4" xfId="8033"/>
    <cellStyle name="20% - Accent6 3 6 4 2" xfId="20337"/>
    <cellStyle name="20% - Accent6 3 6 4 2 2" xfId="43196"/>
    <cellStyle name="20% - Accent6 3 6 4 3" xfId="30894"/>
    <cellStyle name="20% - Accent6 3 6 5" xfId="11548"/>
    <cellStyle name="20% - Accent6 3 6 5 2" xfId="34408"/>
    <cellStyle name="20% - Accent6 3 6 6" xfId="13307"/>
    <cellStyle name="20% - Accent6 3 6 6 2" xfId="36166"/>
    <cellStyle name="20% - Accent6 3 6 7" xfId="23863"/>
    <cellStyle name="20% - Accent6 3 7" xfId="1883"/>
    <cellStyle name="20% - Accent6 3 7 2" xfId="5398"/>
    <cellStyle name="20% - Accent6 3 7 2 2" xfId="17702"/>
    <cellStyle name="20% - Accent6 3 7 2 2 2" xfId="40561"/>
    <cellStyle name="20% - Accent6 3 7 2 3" xfId="28259"/>
    <cellStyle name="20% - Accent6 3 7 3" xfId="8913"/>
    <cellStyle name="20% - Accent6 3 7 3 2" xfId="21217"/>
    <cellStyle name="20% - Accent6 3 7 3 2 2" xfId="44076"/>
    <cellStyle name="20% - Accent6 3 7 3 3" xfId="31774"/>
    <cellStyle name="20% - Accent6 3 7 4" xfId="14187"/>
    <cellStyle name="20% - Accent6 3 7 4 2" xfId="37046"/>
    <cellStyle name="20% - Accent6 3 7 5" xfId="24744"/>
    <cellStyle name="20% - Accent6 3 8" xfId="3640"/>
    <cellStyle name="20% - Accent6 3 8 2" xfId="15944"/>
    <cellStyle name="20% - Accent6 3 8 2 2" xfId="38803"/>
    <cellStyle name="20% - Accent6 3 8 3" xfId="26501"/>
    <cellStyle name="20% - Accent6 3 9" xfId="7155"/>
    <cellStyle name="20% - Accent6 3 9 2" xfId="19459"/>
    <cellStyle name="20% - Accent6 3 9 2 2" xfId="42318"/>
    <cellStyle name="20% - Accent6 3 9 3" xfId="30016"/>
    <cellStyle name="20% - Accent6 4" xfId="146"/>
    <cellStyle name="20% - Accent6 4 10" xfId="12458"/>
    <cellStyle name="20% - Accent6 4 10 2" xfId="35317"/>
    <cellStyle name="20% - Accent6 4 11" xfId="23012"/>
    <cellStyle name="20% - Accent6 4 2" xfId="254"/>
    <cellStyle name="20% - Accent6 4 2 10" xfId="23119"/>
    <cellStyle name="20% - Accent6 4 2 2" xfId="466"/>
    <cellStyle name="20% - Accent6 4 2 2 2" xfId="907"/>
    <cellStyle name="20% - Accent6 4 2 2 2 2" xfId="1786"/>
    <cellStyle name="20% - Accent6 4 2 2 2 2 2" xfId="3547"/>
    <cellStyle name="20% - Accent6 4 2 2 2 2 2 2" xfId="7062"/>
    <cellStyle name="20% - Accent6 4 2 2 2 2 2 2 2" xfId="19366"/>
    <cellStyle name="20% - Accent6 4 2 2 2 2 2 2 2 2" xfId="42225"/>
    <cellStyle name="20% - Accent6 4 2 2 2 2 2 2 3" xfId="29923"/>
    <cellStyle name="20% - Accent6 4 2 2 2 2 2 3" xfId="10577"/>
    <cellStyle name="20% - Accent6 4 2 2 2 2 2 3 2" xfId="22881"/>
    <cellStyle name="20% - Accent6 4 2 2 2 2 2 3 2 2" xfId="45740"/>
    <cellStyle name="20% - Accent6 4 2 2 2 2 2 3 3" xfId="33438"/>
    <cellStyle name="20% - Accent6 4 2 2 2 2 2 4" xfId="15851"/>
    <cellStyle name="20% - Accent6 4 2 2 2 2 2 4 2" xfId="38710"/>
    <cellStyle name="20% - Accent6 4 2 2 2 2 2 5" xfId="26408"/>
    <cellStyle name="20% - Accent6 4 2 2 2 2 3" xfId="5304"/>
    <cellStyle name="20% - Accent6 4 2 2 2 2 3 2" xfId="17608"/>
    <cellStyle name="20% - Accent6 4 2 2 2 2 3 2 2" xfId="40467"/>
    <cellStyle name="20% - Accent6 4 2 2 2 2 3 3" xfId="28165"/>
    <cellStyle name="20% - Accent6 4 2 2 2 2 4" xfId="8819"/>
    <cellStyle name="20% - Accent6 4 2 2 2 2 4 2" xfId="21123"/>
    <cellStyle name="20% - Accent6 4 2 2 2 2 4 2 2" xfId="43982"/>
    <cellStyle name="20% - Accent6 4 2 2 2 2 4 3" xfId="31680"/>
    <cellStyle name="20% - Accent6 4 2 2 2 2 5" xfId="12334"/>
    <cellStyle name="20% - Accent6 4 2 2 2 2 5 2" xfId="35194"/>
    <cellStyle name="20% - Accent6 4 2 2 2 2 6" xfId="14093"/>
    <cellStyle name="20% - Accent6 4 2 2 2 2 6 2" xfId="36952"/>
    <cellStyle name="20% - Accent6 4 2 2 2 2 7" xfId="24649"/>
    <cellStyle name="20% - Accent6 4 2 2 2 3" xfId="2669"/>
    <cellStyle name="20% - Accent6 4 2 2 2 3 2" xfId="6184"/>
    <cellStyle name="20% - Accent6 4 2 2 2 3 2 2" xfId="18488"/>
    <cellStyle name="20% - Accent6 4 2 2 2 3 2 2 2" xfId="41347"/>
    <cellStyle name="20% - Accent6 4 2 2 2 3 2 3" xfId="29045"/>
    <cellStyle name="20% - Accent6 4 2 2 2 3 3" xfId="9699"/>
    <cellStyle name="20% - Accent6 4 2 2 2 3 3 2" xfId="22003"/>
    <cellStyle name="20% - Accent6 4 2 2 2 3 3 2 2" xfId="44862"/>
    <cellStyle name="20% - Accent6 4 2 2 2 3 3 3" xfId="32560"/>
    <cellStyle name="20% - Accent6 4 2 2 2 3 4" xfId="14973"/>
    <cellStyle name="20% - Accent6 4 2 2 2 3 4 2" xfId="37832"/>
    <cellStyle name="20% - Accent6 4 2 2 2 3 5" xfId="25530"/>
    <cellStyle name="20% - Accent6 4 2 2 2 4" xfId="4426"/>
    <cellStyle name="20% - Accent6 4 2 2 2 4 2" xfId="16730"/>
    <cellStyle name="20% - Accent6 4 2 2 2 4 2 2" xfId="39589"/>
    <cellStyle name="20% - Accent6 4 2 2 2 4 3" xfId="27287"/>
    <cellStyle name="20% - Accent6 4 2 2 2 5" xfId="7941"/>
    <cellStyle name="20% - Accent6 4 2 2 2 5 2" xfId="20245"/>
    <cellStyle name="20% - Accent6 4 2 2 2 5 2 2" xfId="43104"/>
    <cellStyle name="20% - Accent6 4 2 2 2 5 3" xfId="30802"/>
    <cellStyle name="20% - Accent6 4 2 2 2 6" xfId="11456"/>
    <cellStyle name="20% - Accent6 4 2 2 2 6 2" xfId="34316"/>
    <cellStyle name="20% - Accent6 4 2 2 2 7" xfId="13215"/>
    <cellStyle name="20% - Accent6 4 2 2 2 7 2" xfId="36074"/>
    <cellStyle name="20% - Accent6 4 2 2 2 8" xfId="23771"/>
    <cellStyle name="20% - Accent6 4 2 2 3" xfId="1347"/>
    <cellStyle name="20% - Accent6 4 2 2 3 2" xfId="3108"/>
    <cellStyle name="20% - Accent6 4 2 2 3 2 2" xfId="6623"/>
    <cellStyle name="20% - Accent6 4 2 2 3 2 2 2" xfId="18927"/>
    <cellStyle name="20% - Accent6 4 2 2 3 2 2 2 2" xfId="41786"/>
    <cellStyle name="20% - Accent6 4 2 2 3 2 2 3" xfId="29484"/>
    <cellStyle name="20% - Accent6 4 2 2 3 2 3" xfId="10138"/>
    <cellStyle name="20% - Accent6 4 2 2 3 2 3 2" xfId="22442"/>
    <cellStyle name="20% - Accent6 4 2 2 3 2 3 2 2" xfId="45301"/>
    <cellStyle name="20% - Accent6 4 2 2 3 2 3 3" xfId="32999"/>
    <cellStyle name="20% - Accent6 4 2 2 3 2 4" xfId="15412"/>
    <cellStyle name="20% - Accent6 4 2 2 3 2 4 2" xfId="38271"/>
    <cellStyle name="20% - Accent6 4 2 2 3 2 5" xfId="25969"/>
    <cellStyle name="20% - Accent6 4 2 2 3 3" xfId="4865"/>
    <cellStyle name="20% - Accent6 4 2 2 3 3 2" xfId="17169"/>
    <cellStyle name="20% - Accent6 4 2 2 3 3 2 2" xfId="40028"/>
    <cellStyle name="20% - Accent6 4 2 2 3 3 3" xfId="27726"/>
    <cellStyle name="20% - Accent6 4 2 2 3 4" xfId="8380"/>
    <cellStyle name="20% - Accent6 4 2 2 3 4 2" xfId="20684"/>
    <cellStyle name="20% - Accent6 4 2 2 3 4 2 2" xfId="43543"/>
    <cellStyle name="20% - Accent6 4 2 2 3 4 3" xfId="31241"/>
    <cellStyle name="20% - Accent6 4 2 2 3 5" xfId="11895"/>
    <cellStyle name="20% - Accent6 4 2 2 3 5 2" xfId="34755"/>
    <cellStyle name="20% - Accent6 4 2 2 3 6" xfId="13654"/>
    <cellStyle name="20% - Accent6 4 2 2 3 6 2" xfId="36513"/>
    <cellStyle name="20% - Accent6 4 2 2 3 7" xfId="24210"/>
    <cellStyle name="20% - Accent6 4 2 2 4" xfId="2230"/>
    <cellStyle name="20% - Accent6 4 2 2 4 2" xfId="5745"/>
    <cellStyle name="20% - Accent6 4 2 2 4 2 2" xfId="18049"/>
    <cellStyle name="20% - Accent6 4 2 2 4 2 2 2" xfId="40908"/>
    <cellStyle name="20% - Accent6 4 2 2 4 2 3" xfId="28606"/>
    <cellStyle name="20% - Accent6 4 2 2 4 3" xfId="9260"/>
    <cellStyle name="20% - Accent6 4 2 2 4 3 2" xfId="21564"/>
    <cellStyle name="20% - Accent6 4 2 2 4 3 2 2" xfId="44423"/>
    <cellStyle name="20% - Accent6 4 2 2 4 3 3" xfId="32121"/>
    <cellStyle name="20% - Accent6 4 2 2 4 4" xfId="14534"/>
    <cellStyle name="20% - Accent6 4 2 2 4 4 2" xfId="37393"/>
    <cellStyle name="20% - Accent6 4 2 2 4 5" xfId="25091"/>
    <cellStyle name="20% - Accent6 4 2 2 5" xfId="3987"/>
    <cellStyle name="20% - Accent6 4 2 2 5 2" xfId="16291"/>
    <cellStyle name="20% - Accent6 4 2 2 5 2 2" xfId="39150"/>
    <cellStyle name="20% - Accent6 4 2 2 5 3" xfId="26848"/>
    <cellStyle name="20% - Accent6 4 2 2 6" xfId="7502"/>
    <cellStyle name="20% - Accent6 4 2 2 6 2" xfId="19806"/>
    <cellStyle name="20% - Accent6 4 2 2 6 2 2" xfId="42665"/>
    <cellStyle name="20% - Accent6 4 2 2 6 3" xfId="30363"/>
    <cellStyle name="20% - Accent6 4 2 2 7" xfId="11017"/>
    <cellStyle name="20% - Accent6 4 2 2 7 2" xfId="33877"/>
    <cellStyle name="20% - Accent6 4 2 2 8" xfId="12776"/>
    <cellStyle name="20% - Accent6 4 2 2 8 2" xfId="35635"/>
    <cellStyle name="20% - Accent6 4 2 2 9" xfId="23331"/>
    <cellStyle name="20% - Accent6 4 2 3" xfId="695"/>
    <cellStyle name="20% - Accent6 4 2 3 2" xfId="1574"/>
    <cellStyle name="20% - Accent6 4 2 3 2 2" xfId="3335"/>
    <cellStyle name="20% - Accent6 4 2 3 2 2 2" xfId="6850"/>
    <cellStyle name="20% - Accent6 4 2 3 2 2 2 2" xfId="19154"/>
    <cellStyle name="20% - Accent6 4 2 3 2 2 2 2 2" xfId="42013"/>
    <cellStyle name="20% - Accent6 4 2 3 2 2 2 3" xfId="29711"/>
    <cellStyle name="20% - Accent6 4 2 3 2 2 3" xfId="10365"/>
    <cellStyle name="20% - Accent6 4 2 3 2 2 3 2" xfId="22669"/>
    <cellStyle name="20% - Accent6 4 2 3 2 2 3 2 2" xfId="45528"/>
    <cellStyle name="20% - Accent6 4 2 3 2 2 3 3" xfId="33226"/>
    <cellStyle name="20% - Accent6 4 2 3 2 2 4" xfId="15639"/>
    <cellStyle name="20% - Accent6 4 2 3 2 2 4 2" xfId="38498"/>
    <cellStyle name="20% - Accent6 4 2 3 2 2 5" xfId="26196"/>
    <cellStyle name="20% - Accent6 4 2 3 2 3" xfId="5092"/>
    <cellStyle name="20% - Accent6 4 2 3 2 3 2" xfId="17396"/>
    <cellStyle name="20% - Accent6 4 2 3 2 3 2 2" xfId="40255"/>
    <cellStyle name="20% - Accent6 4 2 3 2 3 3" xfId="27953"/>
    <cellStyle name="20% - Accent6 4 2 3 2 4" xfId="8607"/>
    <cellStyle name="20% - Accent6 4 2 3 2 4 2" xfId="20911"/>
    <cellStyle name="20% - Accent6 4 2 3 2 4 2 2" xfId="43770"/>
    <cellStyle name="20% - Accent6 4 2 3 2 4 3" xfId="31468"/>
    <cellStyle name="20% - Accent6 4 2 3 2 5" xfId="12122"/>
    <cellStyle name="20% - Accent6 4 2 3 2 5 2" xfId="34982"/>
    <cellStyle name="20% - Accent6 4 2 3 2 6" xfId="13881"/>
    <cellStyle name="20% - Accent6 4 2 3 2 6 2" xfId="36740"/>
    <cellStyle name="20% - Accent6 4 2 3 2 7" xfId="24437"/>
    <cellStyle name="20% - Accent6 4 2 3 3" xfId="2457"/>
    <cellStyle name="20% - Accent6 4 2 3 3 2" xfId="5972"/>
    <cellStyle name="20% - Accent6 4 2 3 3 2 2" xfId="18276"/>
    <cellStyle name="20% - Accent6 4 2 3 3 2 2 2" xfId="41135"/>
    <cellStyle name="20% - Accent6 4 2 3 3 2 3" xfId="28833"/>
    <cellStyle name="20% - Accent6 4 2 3 3 3" xfId="9487"/>
    <cellStyle name="20% - Accent6 4 2 3 3 3 2" xfId="21791"/>
    <cellStyle name="20% - Accent6 4 2 3 3 3 2 2" xfId="44650"/>
    <cellStyle name="20% - Accent6 4 2 3 3 3 3" xfId="32348"/>
    <cellStyle name="20% - Accent6 4 2 3 3 4" xfId="14761"/>
    <cellStyle name="20% - Accent6 4 2 3 3 4 2" xfId="37620"/>
    <cellStyle name="20% - Accent6 4 2 3 3 5" xfId="25318"/>
    <cellStyle name="20% - Accent6 4 2 3 4" xfId="4214"/>
    <cellStyle name="20% - Accent6 4 2 3 4 2" xfId="16518"/>
    <cellStyle name="20% - Accent6 4 2 3 4 2 2" xfId="39377"/>
    <cellStyle name="20% - Accent6 4 2 3 4 3" xfId="27075"/>
    <cellStyle name="20% - Accent6 4 2 3 5" xfId="7729"/>
    <cellStyle name="20% - Accent6 4 2 3 5 2" xfId="20033"/>
    <cellStyle name="20% - Accent6 4 2 3 5 2 2" xfId="42892"/>
    <cellStyle name="20% - Accent6 4 2 3 5 3" xfId="30590"/>
    <cellStyle name="20% - Accent6 4 2 3 6" xfId="11244"/>
    <cellStyle name="20% - Accent6 4 2 3 6 2" xfId="34104"/>
    <cellStyle name="20% - Accent6 4 2 3 7" xfId="13003"/>
    <cellStyle name="20% - Accent6 4 2 3 7 2" xfId="35862"/>
    <cellStyle name="20% - Accent6 4 2 3 8" xfId="23559"/>
    <cellStyle name="20% - Accent6 4 2 4" xfId="1135"/>
    <cellStyle name="20% - Accent6 4 2 4 2" xfId="2896"/>
    <cellStyle name="20% - Accent6 4 2 4 2 2" xfId="6411"/>
    <cellStyle name="20% - Accent6 4 2 4 2 2 2" xfId="18715"/>
    <cellStyle name="20% - Accent6 4 2 4 2 2 2 2" xfId="41574"/>
    <cellStyle name="20% - Accent6 4 2 4 2 2 3" xfId="29272"/>
    <cellStyle name="20% - Accent6 4 2 4 2 3" xfId="9926"/>
    <cellStyle name="20% - Accent6 4 2 4 2 3 2" xfId="22230"/>
    <cellStyle name="20% - Accent6 4 2 4 2 3 2 2" xfId="45089"/>
    <cellStyle name="20% - Accent6 4 2 4 2 3 3" xfId="32787"/>
    <cellStyle name="20% - Accent6 4 2 4 2 4" xfId="15200"/>
    <cellStyle name="20% - Accent6 4 2 4 2 4 2" xfId="38059"/>
    <cellStyle name="20% - Accent6 4 2 4 2 5" xfId="25757"/>
    <cellStyle name="20% - Accent6 4 2 4 3" xfId="4653"/>
    <cellStyle name="20% - Accent6 4 2 4 3 2" xfId="16957"/>
    <cellStyle name="20% - Accent6 4 2 4 3 2 2" xfId="39816"/>
    <cellStyle name="20% - Accent6 4 2 4 3 3" xfId="27514"/>
    <cellStyle name="20% - Accent6 4 2 4 4" xfId="8168"/>
    <cellStyle name="20% - Accent6 4 2 4 4 2" xfId="20472"/>
    <cellStyle name="20% - Accent6 4 2 4 4 2 2" xfId="43331"/>
    <cellStyle name="20% - Accent6 4 2 4 4 3" xfId="31029"/>
    <cellStyle name="20% - Accent6 4 2 4 5" xfId="11683"/>
    <cellStyle name="20% - Accent6 4 2 4 5 2" xfId="34543"/>
    <cellStyle name="20% - Accent6 4 2 4 6" xfId="13442"/>
    <cellStyle name="20% - Accent6 4 2 4 6 2" xfId="36301"/>
    <cellStyle name="20% - Accent6 4 2 4 7" xfId="23998"/>
    <cellStyle name="20% - Accent6 4 2 5" xfId="2018"/>
    <cellStyle name="20% - Accent6 4 2 5 2" xfId="5533"/>
    <cellStyle name="20% - Accent6 4 2 5 2 2" xfId="17837"/>
    <cellStyle name="20% - Accent6 4 2 5 2 2 2" xfId="40696"/>
    <cellStyle name="20% - Accent6 4 2 5 2 3" xfId="28394"/>
    <cellStyle name="20% - Accent6 4 2 5 3" xfId="9048"/>
    <cellStyle name="20% - Accent6 4 2 5 3 2" xfId="21352"/>
    <cellStyle name="20% - Accent6 4 2 5 3 2 2" xfId="44211"/>
    <cellStyle name="20% - Accent6 4 2 5 3 3" xfId="31909"/>
    <cellStyle name="20% - Accent6 4 2 5 4" xfId="14322"/>
    <cellStyle name="20% - Accent6 4 2 5 4 2" xfId="37181"/>
    <cellStyle name="20% - Accent6 4 2 5 5" xfId="24879"/>
    <cellStyle name="20% - Accent6 4 2 6" xfId="3775"/>
    <cellStyle name="20% - Accent6 4 2 6 2" xfId="16079"/>
    <cellStyle name="20% - Accent6 4 2 6 2 2" xfId="38938"/>
    <cellStyle name="20% - Accent6 4 2 6 3" xfId="26636"/>
    <cellStyle name="20% - Accent6 4 2 7" xfId="7290"/>
    <cellStyle name="20% - Accent6 4 2 7 2" xfId="19594"/>
    <cellStyle name="20% - Accent6 4 2 7 2 2" xfId="42453"/>
    <cellStyle name="20% - Accent6 4 2 7 3" xfId="30151"/>
    <cellStyle name="20% - Accent6 4 2 8" xfId="10805"/>
    <cellStyle name="20% - Accent6 4 2 8 2" xfId="33665"/>
    <cellStyle name="20% - Accent6 4 2 9" xfId="12564"/>
    <cellStyle name="20% - Accent6 4 2 9 2" xfId="35423"/>
    <cellStyle name="20% - Accent6 4 3" xfId="360"/>
    <cellStyle name="20% - Accent6 4 3 2" xfId="801"/>
    <cellStyle name="20% - Accent6 4 3 2 2" xfId="1680"/>
    <cellStyle name="20% - Accent6 4 3 2 2 2" xfId="3441"/>
    <cellStyle name="20% - Accent6 4 3 2 2 2 2" xfId="6956"/>
    <cellStyle name="20% - Accent6 4 3 2 2 2 2 2" xfId="19260"/>
    <cellStyle name="20% - Accent6 4 3 2 2 2 2 2 2" xfId="42119"/>
    <cellStyle name="20% - Accent6 4 3 2 2 2 2 3" xfId="29817"/>
    <cellStyle name="20% - Accent6 4 3 2 2 2 3" xfId="10471"/>
    <cellStyle name="20% - Accent6 4 3 2 2 2 3 2" xfId="22775"/>
    <cellStyle name="20% - Accent6 4 3 2 2 2 3 2 2" xfId="45634"/>
    <cellStyle name="20% - Accent6 4 3 2 2 2 3 3" xfId="33332"/>
    <cellStyle name="20% - Accent6 4 3 2 2 2 4" xfId="15745"/>
    <cellStyle name="20% - Accent6 4 3 2 2 2 4 2" xfId="38604"/>
    <cellStyle name="20% - Accent6 4 3 2 2 2 5" xfId="26302"/>
    <cellStyle name="20% - Accent6 4 3 2 2 3" xfId="5198"/>
    <cellStyle name="20% - Accent6 4 3 2 2 3 2" xfId="17502"/>
    <cellStyle name="20% - Accent6 4 3 2 2 3 2 2" xfId="40361"/>
    <cellStyle name="20% - Accent6 4 3 2 2 3 3" xfId="28059"/>
    <cellStyle name="20% - Accent6 4 3 2 2 4" xfId="8713"/>
    <cellStyle name="20% - Accent6 4 3 2 2 4 2" xfId="21017"/>
    <cellStyle name="20% - Accent6 4 3 2 2 4 2 2" xfId="43876"/>
    <cellStyle name="20% - Accent6 4 3 2 2 4 3" xfId="31574"/>
    <cellStyle name="20% - Accent6 4 3 2 2 5" xfId="12228"/>
    <cellStyle name="20% - Accent6 4 3 2 2 5 2" xfId="35088"/>
    <cellStyle name="20% - Accent6 4 3 2 2 6" xfId="13987"/>
    <cellStyle name="20% - Accent6 4 3 2 2 6 2" xfId="36846"/>
    <cellStyle name="20% - Accent6 4 3 2 2 7" xfId="24543"/>
    <cellStyle name="20% - Accent6 4 3 2 3" xfId="2563"/>
    <cellStyle name="20% - Accent6 4 3 2 3 2" xfId="6078"/>
    <cellStyle name="20% - Accent6 4 3 2 3 2 2" xfId="18382"/>
    <cellStyle name="20% - Accent6 4 3 2 3 2 2 2" xfId="41241"/>
    <cellStyle name="20% - Accent6 4 3 2 3 2 3" xfId="28939"/>
    <cellStyle name="20% - Accent6 4 3 2 3 3" xfId="9593"/>
    <cellStyle name="20% - Accent6 4 3 2 3 3 2" xfId="21897"/>
    <cellStyle name="20% - Accent6 4 3 2 3 3 2 2" xfId="44756"/>
    <cellStyle name="20% - Accent6 4 3 2 3 3 3" xfId="32454"/>
    <cellStyle name="20% - Accent6 4 3 2 3 4" xfId="14867"/>
    <cellStyle name="20% - Accent6 4 3 2 3 4 2" xfId="37726"/>
    <cellStyle name="20% - Accent6 4 3 2 3 5" xfId="25424"/>
    <cellStyle name="20% - Accent6 4 3 2 4" xfId="4320"/>
    <cellStyle name="20% - Accent6 4 3 2 4 2" xfId="16624"/>
    <cellStyle name="20% - Accent6 4 3 2 4 2 2" xfId="39483"/>
    <cellStyle name="20% - Accent6 4 3 2 4 3" xfId="27181"/>
    <cellStyle name="20% - Accent6 4 3 2 5" xfId="7835"/>
    <cellStyle name="20% - Accent6 4 3 2 5 2" xfId="20139"/>
    <cellStyle name="20% - Accent6 4 3 2 5 2 2" xfId="42998"/>
    <cellStyle name="20% - Accent6 4 3 2 5 3" xfId="30696"/>
    <cellStyle name="20% - Accent6 4 3 2 6" xfId="11350"/>
    <cellStyle name="20% - Accent6 4 3 2 6 2" xfId="34210"/>
    <cellStyle name="20% - Accent6 4 3 2 7" xfId="13109"/>
    <cellStyle name="20% - Accent6 4 3 2 7 2" xfId="35968"/>
    <cellStyle name="20% - Accent6 4 3 2 8" xfId="23665"/>
    <cellStyle name="20% - Accent6 4 3 3" xfId="1241"/>
    <cellStyle name="20% - Accent6 4 3 3 2" xfId="3002"/>
    <cellStyle name="20% - Accent6 4 3 3 2 2" xfId="6517"/>
    <cellStyle name="20% - Accent6 4 3 3 2 2 2" xfId="18821"/>
    <cellStyle name="20% - Accent6 4 3 3 2 2 2 2" xfId="41680"/>
    <cellStyle name="20% - Accent6 4 3 3 2 2 3" xfId="29378"/>
    <cellStyle name="20% - Accent6 4 3 3 2 3" xfId="10032"/>
    <cellStyle name="20% - Accent6 4 3 3 2 3 2" xfId="22336"/>
    <cellStyle name="20% - Accent6 4 3 3 2 3 2 2" xfId="45195"/>
    <cellStyle name="20% - Accent6 4 3 3 2 3 3" xfId="32893"/>
    <cellStyle name="20% - Accent6 4 3 3 2 4" xfId="15306"/>
    <cellStyle name="20% - Accent6 4 3 3 2 4 2" xfId="38165"/>
    <cellStyle name="20% - Accent6 4 3 3 2 5" xfId="25863"/>
    <cellStyle name="20% - Accent6 4 3 3 3" xfId="4759"/>
    <cellStyle name="20% - Accent6 4 3 3 3 2" xfId="17063"/>
    <cellStyle name="20% - Accent6 4 3 3 3 2 2" xfId="39922"/>
    <cellStyle name="20% - Accent6 4 3 3 3 3" xfId="27620"/>
    <cellStyle name="20% - Accent6 4 3 3 4" xfId="8274"/>
    <cellStyle name="20% - Accent6 4 3 3 4 2" xfId="20578"/>
    <cellStyle name="20% - Accent6 4 3 3 4 2 2" xfId="43437"/>
    <cellStyle name="20% - Accent6 4 3 3 4 3" xfId="31135"/>
    <cellStyle name="20% - Accent6 4 3 3 5" xfId="11789"/>
    <cellStyle name="20% - Accent6 4 3 3 5 2" xfId="34649"/>
    <cellStyle name="20% - Accent6 4 3 3 6" xfId="13548"/>
    <cellStyle name="20% - Accent6 4 3 3 6 2" xfId="36407"/>
    <cellStyle name="20% - Accent6 4 3 3 7" xfId="24104"/>
    <cellStyle name="20% - Accent6 4 3 4" xfId="2124"/>
    <cellStyle name="20% - Accent6 4 3 4 2" xfId="5639"/>
    <cellStyle name="20% - Accent6 4 3 4 2 2" xfId="17943"/>
    <cellStyle name="20% - Accent6 4 3 4 2 2 2" xfId="40802"/>
    <cellStyle name="20% - Accent6 4 3 4 2 3" xfId="28500"/>
    <cellStyle name="20% - Accent6 4 3 4 3" xfId="9154"/>
    <cellStyle name="20% - Accent6 4 3 4 3 2" xfId="21458"/>
    <cellStyle name="20% - Accent6 4 3 4 3 2 2" xfId="44317"/>
    <cellStyle name="20% - Accent6 4 3 4 3 3" xfId="32015"/>
    <cellStyle name="20% - Accent6 4 3 4 4" xfId="14428"/>
    <cellStyle name="20% - Accent6 4 3 4 4 2" xfId="37287"/>
    <cellStyle name="20% - Accent6 4 3 4 5" xfId="24985"/>
    <cellStyle name="20% - Accent6 4 3 5" xfId="3881"/>
    <cellStyle name="20% - Accent6 4 3 5 2" xfId="16185"/>
    <cellStyle name="20% - Accent6 4 3 5 2 2" xfId="39044"/>
    <cellStyle name="20% - Accent6 4 3 5 3" xfId="26742"/>
    <cellStyle name="20% - Accent6 4 3 6" xfId="7396"/>
    <cellStyle name="20% - Accent6 4 3 6 2" xfId="19700"/>
    <cellStyle name="20% - Accent6 4 3 6 2 2" xfId="42559"/>
    <cellStyle name="20% - Accent6 4 3 6 3" xfId="30257"/>
    <cellStyle name="20% - Accent6 4 3 7" xfId="10911"/>
    <cellStyle name="20% - Accent6 4 3 7 2" xfId="33771"/>
    <cellStyle name="20% - Accent6 4 3 8" xfId="12670"/>
    <cellStyle name="20% - Accent6 4 3 8 2" xfId="35529"/>
    <cellStyle name="20% - Accent6 4 3 9" xfId="23225"/>
    <cellStyle name="20% - Accent6 4 4" xfId="589"/>
    <cellStyle name="20% - Accent6 4 4 2" xfId="1468"/>
    <cellStyle name="20% - Accent6 4 4 2 2" xfId="3229"/>
    <cellStyle name="20% - Accent6 4 4 2 2 2" xfId="6744"/>
    <cellStyle name="20% - Accent6 4 4 2 2 2 2" xfId="19048"/>
    <cellStyle name="20% - Accent6 4 4 2 2 2 2 2" xfId="41907"/>
    <cellStyle name="20% - Accent6 4 4 2 2 2 3" xfId="29605"/>
    <cellStyle name="20% - Accent6 4 4 2 2 3" xfId="10259"/>
    <cellStyle name="20% - Accent6 4 4 2 2 3 2" xfId="22563"/>
    <cellStyle name="20% - Accent6 4 4 2 2 3 2 2" xfId="45422"/>
    <cellStyle name="20% - Accent6 4 4 2 2 3 3" xfId="33120"/>
    <cellStyle name="20% - Accent6 4 4 2 2 4" xfId="15533"/>
    <cellStyle name="20% - Accent6 4 4 2 2 4 2" xfId="38392"/>
    <cellStyle name="20% - Accent6 4 4 2 2 5" xfId="26090"/>
    <cellStyle name="20% - Accent6 4 4 2 3" xfId="4986"/>
    <cellStyle name="20% - Accent6 4 4 2 3 2" xfId="17290"/>
    <cellStyle name="20% - Accent6 4 4 2 3 2 2" xfId="40149"/>
    <cellStyle name="20% - Accent6 4 4 2 3 3" xfId="27847"/>
    <cellStyle name="20% - Accent6 4 4 2 4" xfId="8501"/>
    <cellStyle name="20% - Accent6 4 4 2 4 2" xfId="20805"/>
    <cellStyle name="20% - Accent6 4 4 2 4 2 2" xfId="43664"/>
    <cellStyle name="20% - Accent6 4 4 2 4 3" xfId="31362"/>
    <cellStyle name="20% - Accent6 4 4 2 5" xfId="12016"/>
    <cellStyle name="20% - Accent6 4 4 2 5 2" xfId="34876"/>
    <cellStyle name="20% - Accent6 4 4 2 6" xfId="13775"/>
    <cellStyle name="20% - Accent6 4 4 2 6 2" xfId="36634"/>
    <cellStyle name="20% - Accent6 4 4 2 7" xfId="24331"/>
    <cellStyle name="20% - Accent6 4 4 3" xfId="2351"/>
    <cellStyle name="20% - Accent6 4 4 3 2" xfId="5866"/>
    <cellStyle name="20% - Accent6 4 4 3 2 2" xfId="18170"/>
    <cellStyle name="20% - Accent6 4 4 3 2 2 2" xfId="41029"/>
    <cellStyle name="20% - Accent6 4 4 3 2 3" xfId="28727"/>
    <cellStyle name="20% - Accent6 4 4 3 3" xfId="9381"/>
    <cellStyle name="20% - Accent6 4 4 3 3 2" xfId="21685"/>
    <cellStyle name="20% - Accent6 4 4 3 3 2 2" xfId="44544"/>
    <cellStyle name="20% - Accent6 4 4 3 3 3" xfId="32242"/>
    <cellStyle name="20% - Accent6 4 4 3 4" xfId="14655"/>
    <cellStyle name="20% - Accent6 4 4 3 4 2" xfId="37514"/>
    <cellStyle name="20% - Accent6 4 4 3 5" xfId="25212"/>
    <cellStyle name="20% - Accent6 4 4 4" xfId="4108"/>
    <cellStyle name="20% - Accent6 4 4 4 2" xfId="16412"/>
    <cellStyle name="20% - Accent6 4 4 4 2 2" xfId="39271"/>
    <cellStyle name="20% - Accent6 4 4 4 3" xfId="26969"/>
    <cellStyle name="20% - Accent6 4 4 5" xfId="7623"/>
    <cellStyle name="20% - Accent6 4 4 5 2" xfId="19927"/>
    <cellStyle name="20% - Accent6 4 4 5 2 2" xfId="42786"/>
    <cellStyle name="20% - Accent6 4 4 5 3" xfId="30484"/>
    <cellStyle name="20% - Accent6 4 4 6" xfId="11138"/>
    <cellStyle name="20% - Accent6 4 4 6 2" xfId="33998"/>
    <cellStyle name="20% - Accent6 4 4 7" xfId="12897"/>
    <cellStyle name="20% - Accent6 4 4 7 2" xfId="35756"/>
    <cellStyle name="20% - Accent6 4 4 8" xfId="23453"/>
    <cellStyle name="20% - Accent6 4 5" xfId="1029"/>
    <cellStyle name="20% - Accent6 4 5 2" xfId="2790"/>
    <cellStyle name="20% - Accent6 4 5 2 2" xfId="6305"/>
    <cellStyle name="20% - Accent6 4 5 2 2 2" xfId="18609"/>
    <cellStyle name="20% - Accent6 4 5 2 2 2 2" xfId="41468"/>
    <cellStyle name="20% - Accent6 4 5 2 2 3" xfId="29166"/>
    <cellStyle name="20% - Accent6 4 5 2 3" xfId="9820"/>
    <cellStyle name="20% - Accent6 4 5 2 3 2" xfId="22124"/>
    <cellStyle name="20% - Accent6 4 5 2 3 2 2" xfId="44983"/>
    <cellStyle name="20% - Accent6 4 5 2 3 3" xfId="32681"/>
    <cellStyle name="20% - Accent6 4 5 2 4" xfId="15094"/>
    <cellStyle name="20% - Accent6 4 5 2 4 2" xfId="37953"/>
    <cellStyle name="20% - Accent6 4 5 2 5" xfId="25651"/>
    <cellStyle name="20% - Accent6 4 5 3" xfId="4547"/>
    <cellStyle name="20% - Accent6 4 5 3 2" xfId="16851"/>
    <cellStyle name="20% - Accent6 4 5 3 2 2" xfId="39710"/>
    <cellStyle name="20% - Accent6 4 5 3 3" xfId="27408"/>
    <cellStyle name="20% - Accent6 4 5 4" xfId="8062"/>
    <cellStyle name="20% - Accent6 4 5 4 2" xfId="20366"/>
    <cellStyle name="20% - Accent6 4 5 4 2 2" xfId="43225"/>
    <cellStyle name="20% - Accent6 4 5 4 3" xfId="30923"/>
    <cellStyle name="20% - Accent6 4 5 5" xfId="11577"/>
    <cellStyle name="20% - Accent6 4 5 5 2" xfId="34437"/>
    <cellStyle name="20% - Accent6 4 5 6" xfId="13336"/>
    <cellStyle name="20% - Accent6 4 5 6 2" xfId="36195"/>
    <cellStyle name="20% - Accent6 4 5 7" xfId="23892"/>
    <cellStyle name="20% - Accent6 4 6" xfId="1912"/>
    <cellStyle name="20% - Accent6 4 6 2" xfId="5427"/>
    <cellStyle name="20% - Accent6 4 6 2 2" xfId="17731"/>
    <cellStyle name="20% - Accent6 4 6 2 2 2" xfId="40590"/>
    <cellStyle name="20% - Accent6 4 6 2 3" xfId="28288"/>
    <cellStyle name="20% - Accent6 4 6 3" xfId="8942"/>
    <cellStyle name="20% - Accent6 4 6 3 2" xfId="21246"/>
    <cellStyle name="20% - Accent6 4 6 3 2 2" xfId="44105"/>
    <cellStyle name="20% - Accent6 4 6 3 3" xfId="31803"/>
    <cellStyle name="20% - Accent6 4 6 4" xfId="14216"/>
    <cellStyle name="20% - Accent6 4 6 4 2" xfId="37075"/>
    <cellStyle name="20% - Accent6 4 6 5" xfId="24773"/>
    <cellStyle name="20% - Accent6 4 7" xfId="3669"/>
    <cellStyle name="20% - Accent6 4 7 2" xfId="15973"/>
    <cellStyle name="20% - Accent6 4 7 2 2" xfId="38832"/>
    <cellStyle name="20% - Accent6 4 7 3" xfId="26530"/>
    <cellStyle name="20% - Accent6 4 8" xfId="7184"/>
    <cellStyle name="20% - Accent6 4 8 2" xfId="19488"/>
    <cellStyle name="20% - Accent6 4 8 2 2" xfId="42347"/>
    <cellStyle name="20% - Accent6 4 8 3" xfId="30045"/>
    <cellStyle name="20% - Accent6 4 9" xfId="10699"/>
    <cellStyle name="20% - Accent6 4 9 2" xfId="33559"/>
    <cellStyle name="20% - Accent6 5" xfId="206"/>
    <cellStyle name="20% - Accent6 5 10" xfId="23071"/>
    <cellStyle name="20% - Accent6 5 2" xfId="418"/>
    <cellStyle name="20% - Accent6 5 2 2" xfId="859"/>
    <cellStyle name="20% - Accent6 5 2 2 2" xfId="1738"/>
    <cellStyle name="20% - Accent6 5 2 2 2 2" xfId="3499"/>
    <cellStyle name="20% - Accent6 5 2 2 2 2 2" xfId="7014"/>
    <cellStyle name="20% - Accent6 5 2 2 2 2 2 2" xfId="19318"/>
    <cellStyle name="20% - Accent6 5 2 2 2 2 2 2 2" xfId="42177"/>
    <cellStyle name="20% - Accent6 5 2 2 2 2 2 3" xfId="29875"/>
    <cellStyle name="20% - Accent6 5 2 2 2 2 3" xfId="10529"/>
    <cellStyle name="20% - Accent6 5 2 2 2 2 3 2" xfId="22833"/>
    <cellStyle name="20% - Accent6 5 2 2 2 2 3 2 2" xfId="45692"/>
    <cellStyle name="20% - Accent6 5 2 2 2 2 3 3" xfId="33390"/>
    <cellStyle name="20% - Accent6 5 2 2 2 2 4" xfId="15803"/>
    <cellStyle name="20% - Accent6 5 2 2 2 2 4 2" xfId="38662"/>
    <cellStyle name="20% - Accent6 5 2 2 2 2 5" xfId="26360"/>
    <cellStyle name="20% - Accent6 5 2 2 2 3" xfId="5256"/>
    <cellStyle name="20% - Accent6 5 2 2 2 3 2" xfId="17560"/>
    <cellStyle name="20% - Accent6 5 2 2 2 3 2 2" xfId="40419"/>
    <cellStyle name="20% - Accent6 5 2 2 2 3 3" xfId="28117"/>
    <cellStyle name="20% - Accent6 5 2 2 2 4" xfId="8771"/>
    <cellStyle name="20% - Accent6 5 2 2 2 4 2" xfId="21075"/>
    <cellStyle name="20% - Accent6 5 2 2 2 4 2 2" xfId="43934"/>
    <cellStyle name="20% - Accent6 5 2 2 2 4 3" xfId="31632"/>
    <cellStyle name="20% - Accent6 5 2 2 2 5" xfId="12286"/>
    <cellStyle name="20% - Accent6 5 2 2 2 5 2" xfId="35146"/>
    <cellStyle name="20% - Accent6 5 2 2 2 6" xfId="14045"/>
    <cellStyle name="20% - Accent6 5 2 2 2 6 2" xfId="36904"/>
    <cellStyle name="20% - Accent6 5 2 2 2 7" xfId="24601"/>
    <cellStyle name="20% - Accent6 5 2 2 3" xfId="2621"/>
    <cellStyle name="20% - Accent6 5 2 2 3 2" xfId="6136"/>
    <cellStyle name="20% - Accent6 5 2 2 3 2 2" xfId="18440"/>
    <cellStyle name="20% - Accent6 5 2 2 3 2 2 2" xfId="41299"/>
    <cellStyle name="20% - Accent6 5 2 2 3 2 3" xfId="28997"/>
    <cellStyle name="20% - Accent6 5 2 2 3 3" xfId="9651"/>
    <cellStyle name="20% - Accent6 5 2 2 3 3 2" xfId="21955"/>
    <cellStyle name="20% - Accent6 5 2 2 3 3 2 2" xfId="44814"/>
    <cellStyle name="20% - Accent6 5 2 2 3 3 3" xfId="32512"/>
    <cellStyle name="20% - Accent6 5 2 2 3 4" xfId="14925"/>
    <cellStyle name="20% - Accent6 5 2 2 3 4 2" xfId="37784"/>
    <cellStyle name="20% - Accent6 5 2 2 3 5" xfId="25482"/>
    <cellStyle name="20% - Accent6 5 2 2 4" xfId="4378"/>
    <cellStyle name="20% - Accent6 5 2 2 4 2" xfId="16682"/>
    <cellStyle name="20% - Accent6 5 2 2 4 2 2" xfId="39541"/>
    <cellStyle name="20% - Accent6 5 2 2 4 3" xfId="27239"/>
    <cellStyle name="20% - Accent6 5 2 2 5" xfId="7893"/>
    <cellStyle name="20% - Accent6 5 2 2 5 2" xfId="20197"/>
    <cellStyle name="20% - Accent6 5 2 2 5 2 2" xfId="43056"/>
    <cellStyle name="20% - Accent6 5 2 2 5 3" xfId="30754"/>
    <cellStyle name="20% - Accent6 5 2 2 6" xfId="11408"/>
    <cellStyle name="20% - Accent6 5 2 2 6 2" xfId="34268"/>
    <cellStyle name="20% - Accent6 5 2 2 7" xfId="13167"/>
    <cellStyle name="20% - Accent6 5 2 2 7 2" xfId="36026"/>
    <cellStyle name="20% - Accent6 5 2 2 8" xfId="23723"/>
    <cellStyle name="20% - Accent6 5 2 3" xfId="1299"/>
    <cellStyle name="20% - Accent6 5 2 3 2" xfId="3060"/>
    <cellStyle name="20% - Accent6 5 2 3 2 2" xfId="6575"/>
    <cellStyle name="20% - Accent6 5 2 3 2 2 2" xfId="18879"/>
    <cellStyle name="20% - Accent6 5 2 3 2 2 2 2" xfId="41738"/>
    <cellStyle name="20% - Accent6 5 2 3 2 2 3" xfId="29436"/>
    <cellStyle name="20% - Accent6 5 2 3 2 3" xfId="10090"/>
    <cellStyle name="20% - Accent6 5 2 3 2 3 2" xfId="22394"/>
    <cellStyle name="20% - Accent6 5 2 3 2 3 2 2" xfId="45253"/>
    <cellStyle name="20% - Accent6 5 2 3 2 3 3" xfId="32951"/>
    <cellStyle name="20% - Accent6 5 2 3 2 4" xfId="15364"/>
    <cellStyle name="20% - Accent6 5 2 3 2 4 2" xfId="38223"/>
    <cellStyle name="20% - Accent6 5 2 3 2 5" xfId="25921"/>
    <cellStyle name="20% - Accent6 5 2 3 3" xfId="4817"/>
    <cellStyle name="20% - Accent6 5 2 3 3 2" xfId="17121"/>
    <cellStyle name="20% - Accent6 5 2 3 3 2 2" xfId="39980"/>
    <cellStyle name="20% - Accent6 5 2 3 3 3" xfId="27678"/>
    <cellStyle name="20% - Accent6 5 2 3 4" xfId="8332"/>
    <cellStyle name="20% - Accent6 5 2 3 4 2" xfId="20636"/>
    <cellStyle name="20% - Accent6 5 2 3 4 2 2" xfId="43495"/>
    <cellStyle name="20% - Accent6 5 2 3 4 3" xfId="31193"/>
    <cellStyle name="20% - Accent6 5 2 3 5" xfId="11847"/>
    <cellStyle name="20% - Accent6 5 2 3 5 2" xfId="34707"/>
    <cellStyle name="20% - Accent6 5 2 3 6" xfId="13606"/>
    <cellStyle name="20% - Accent6 5 2 3 6 2" xfId="36465"/>
    <cellStyle name="20% - Accent6 5 2 3 7" xfId="24162"/>
    <cellStyle name="20% - Accent6 5 2 4" xfId="2182"/>
    <cellStyle name="20% - Accent6 5 2 4 2" xfId="5697"/>
    <cellStyle name="20% - Accent6 5 2 4 2 2" xfId="18001"/>
    <cellStyle name="20% - Accent6 5 2 4 2 2 2" xfId="40860"/>
    <cellStyle name="20% - Accent6 5 2 4 2 3" xfId="28558"/>
    <cellStyle name="20% - Accent6 5 2 4 3" xfId="9212"/>
    <cellStyle name="20% - Accent6 5 2 4 3 2" xfId="21516"/>
    <cellStyle name="20% - Accent6 5 2 4 3 2 2" xfId="44375"/>
    <cellStyle name="20% - Accent6 5 2 4 3 3" xfId="32073"/>
    <cellStyle name="20% - Accent6 5 2 4 4" xfId="14486"/>
    <cellStyle name="20% - Accent6 5 2 4 4 2" xfId="37345"/>
    <cellStyle name="20% - Accent6 5 2 4 5" xfId="25043"/>
    <cellStyle name="20% - Accent6 5 2 5" xfId="3939"/>
    <cellStyle name="20% - Accent6 5 2 5 2" xfId="16243"/>
    <cellStyle name="20% - Accent6 5 2 5 2 2" xfId="39102"/>
    <cellStyle name="20% - Accent6 5 2 5 3" xfId="26800"/>
    <cellStyle name="20% - Accent6 5 2 6" xfId="7454"/>
    <cellStyle name="20% - Accent6 5 2 6 2" xfId="19758"/>
    <cellStyle name="20% - Accent6 5 2 6 2 2" xfId="42617"/>
    <cellStyle name="20% - Accent6 5 2 6 3" xfId="30315"/>
    <cellStyle name="20% - Accent6 5 2 7" xfId="10969"/>
    <cellStyle name="20% - Accent6 5 2 7 2" xfId="33829"/>
    <cellStyle name="20% - Accent6 5 2 8" xfId="12728"/>
    <cellStyle name="20% - Accent6 5 2 8 2" xfId="35587"/>
    <cellStyle name="20% - Accent6 5 2 9" xfId="23283"/>
    <cellStyle name="20% - Accent6 5 3" xfId="647"/>
    <cellStyle name="20% - Accent6 5 3 2" xfId="1526"/>
    <cellStyle name="20% - Accent6 5 3 2 2" xfId="3287"/>
    <cellStyle name="20% - Accent6 5 3 2 2 2" xfId="6802"/>
    <cellStyle name="20% - Accent6 5 3 2 2 2 2" xfId="19106"/>
    <cellStyle name="20% - Accent6 5 3 2 2 2 2 2" xfId="41965"/>
    <cellStyle name="20% - Accent6 5 3 2 2 2 3" xfId="29663"/>
    <cellStyle name="20% - Accent6 5 3 2 2 3" xfId="10317"/>
    <cellStyle name="20% - Accent6 5 3 2 2 3 2" xfId="22621"/>
    <cellStyle name="20% - Accent6 5 3 2 2 3 2 2" xfId="45480"/>
    <cellStyle name="20% - Accent6 5 3 2 2 3 3" xfId="33178"/>
    <cellStyle name="20% - Accent6 5 3 2 2 4" xfId="15591"/>
    <cellStyle name="20% - Accent6 5 3 2 2 4 2" xfId="38450"/>
    <cellStyle name="20% - Accent6 5 3 2 2 5" xfId="26148"/>
    <cellStyle name="20% - Accent6 5 3 2 3" xfId="5044"/>
    <cellStyle name="20% - Accent6 5 3 2 3 2" xfId="17348"/>
    <cellStyle name="20% - Accent6 5 3 2 3 2 2" xfId="40207"/>
    <cellStyle name="20% - Accent6 5 3 2 3 3" xfId="27905"/>
    <cellStyle name="20% - Accent6 5 3 2 4" xfId="8559"/>
    <cellStyle name="20% - Accent6 5 3 2 4 2" xfId="20863"/>
    <cellStyle name="20% - Accent6 5 3 2 4 2 2" xfId="43722"/>
    <cellStyle name="20% - Accent6 5 3 2 4 3" xfId="31420"/>
    <cellStyle name="20% - Accent6 5 3 2 5" xfId="12074"/>
    <cellStyle name="20% - Accent6 5 3 2 5 2" xfId="34934"/>
    <cellStyle name="20% - Accent6 5 3 2 6" xfId="13833"/>
    <cellStyle name="20% - Accent6 5 3 2 6 2" xfId="36692"/>
    <cellStyle name="20% - Accent6 5 3 2 7" xfId="24389"/>
    <cellStyle name="20% - Accent6 5 3 3" xfId="2409"/>
    <cellStyle name="20% - Accent6 5 3 3 2" xfId="5924"/>
    <cellStyle name="20% - Accent6 5 3 3 2 2" xfId="18228"/>
    <cellStyle name="20% - Accent6 5 3 3 2 2 2" xfId="41087"/>
    <cellStyle name="20% - Accent6 5 3 3 2 3" xfId="28785"/>
    <cellStyle name="20% - Accent6 5 3 3 3" xfId="9439"/>
    <cellStyle name="20% - Accent6 5 3 3 3 2" xfId="21743"/>
    <cellStyle name="20% - Accent6 5 3 3 3 2 2" xfId="44602"/>
    <cellStyle name="20% - Accent6 5 3 3 3 3" xfId="32300"/>
    <cellStyle name="20% - Accent6 5 3 3 4" xfId="14713"/>
    <cellStyle name="20% - Accent6 5 3 3 4 2" xfId="37572"/>
    <cellStyle name="20% - Accent6 5 3 3 5" xfId="25270"/>
    <cellStyle name="20% - Accent6 5 3 4" xfId="4166"/>
    <cellStyle name="20% - Accent6 5 3 4 2" xfId="16470"/>
    <cellStyle name="20% - Accent6 5 3 4 2 2" xfId="39329"/>
    <cellStyle name="20% - Accent6 5 3 4 3" xfId="27027"/>
    <cellStyle name="20% - Accent6 5 3 5" xfId="7681"/>
    <cellStyle name="20% - Accent6 5 3 5 2" xfId="19985"/>
    <cellStyle name="20% - Accent6 5 3 5 2 2" xfId="42844"/>
    <cellStyle name="20% - Accent6 5 3 5 3" xfId="30542"/>
    <cellStyle name="20% - Accent6 5 3 6" xfId="11196"/>
    <cellStyle name="20% - Accent6 5 3 6 2" xfId="34056"/>
    <cellStyle name="20% - Accent6 5 3 7" xfId="12955"/>
    <cellStyle name="20% - Accent6 5 3 7 2" xfId="35814"/>
    <cellStyle name="20% - Accent6 5 3 8" xfId="23511"/>
    <cellStyle name="20% - Accent6 5 4" xfId="1087"/>
    <cellStyle name="20% - Accent6 5 4 2" xfId="2848"/>
    <cellStyle name="20% - Accent6 5 4 2 2" xfId="6363"/>
    <cellStyle name="20% - Accent6 5 4 2 2 2" xfId="18667"/>
    <cellStyle name="20% - Accent6 5 4 2 2 2 2" xfId="41526"/>
    <cellStyle name="20% - Accent6 5 4 2 2 3" xfId="29224"/>
    <cellStyle name="20% - Accent6 5 4 2 3" xfId="9878"/>
    <cellStyle name="20% - Accent6 5 4 2 3 2" xfId="22182"/>
    <cellStyle name="20% - Accent6 5 4 2 3 2 2" xfId="45041"/>
    <cellStyle name="20% - Accent6 5 4 2 3 3" xfId="32739"/>
    <cellStyle name="20% - Accent6 5 4 2 4" xfId="15152"/>
    <cellStyle name="20% - Accent6 5 4 2 4 2" xfId="38011"/>
    <cellStyle name="20% - Accent6 5 4 2 5" xfId="25709"/>
    <cellStyle name="20% - Accent6 5 4 3" xfId="4605"/>
    <cellStyle name="20% - Accent6 5 4 3 2" xfId="16909"/>
    <cellStyle name="20% - Accent6 5 4 3 2 2" xfId="39768"/>
    <cellStyle name="20% - Accent6 5 4 3 3" xfId="27466"/>
    <cellStyle name="20% - Accent6 5 4 4" xfId="8120"/>
    <cellStyle name="20% - Accent6 5 4 4 2" xfId="20424"/>
    <cellStyle name="20% - Accent6 5 4 4 2 2" xfId="43283"/>
    <cellStyle name="20% - Accent6 5 4 4 3" xfId="30981"/>
    <cellStyle name="20% - Accent6 5 4 5" xfId="11635"/>
    <cellStyle name="20% - Accent6 5 4 5 2" xfId="34495"/>
    <cellStyle name="20% - Accent6 5 4 6" xfId="13394"/>
    <cellStyle name="20% - Accent6 5 4 6 2" xfId="36253"/>
    <cellStyle name="20% - Accent6 5 4 7" xfId="23950"/>
    <cellStyle name="20% - Accent6 5 5" xfId="1970"/>
    <cellStyle name="20% - Accent6 5 5 2" xfId="5485"/>
    <cellStyle name="20% - Accent6 5 5 2 2" xfId="17789"/>
    <cellStyle name="20% - Accent6 5 5 2 2 2" xfId="40648"/>
    <cellStyle name="20% - Accent6 5 5 2 3" xfId="28346"/>
    <cellStyle name="20% - Accent6 5 5 3" xfId="9000"/>
    <cellStyle name="20% - Accent6 5 5 3 2" xfId="21304"/>
    <cellStyle name="20% - Accent6 5 5 3 2 2" xfId="44163"/>
    <cellStyle name="20% - Accent6 5 5 3 3" xfId="31861"/>
    <cellStyle name="20% - Accent6 5 5 4" xfId="14274"/>
    <cellStyle name="20% - Accent6 5 5 4 2" xfId="37133"/>
    <cellStyle name="20% - Accent6 5 5 5" xfId="24831"/>
    <cellStyle name="20% - Accent6 5 6" xfId="3727"/>
    <cellStyle name="20% - Accent6 5 6 2" xfId="16031"/>
    <cellStyle name="20% - Accent6 5 6 2 2" xfId="38890"/>
    <cellStyle name="20% - Accent6 5 6 3" xfId="26588"/>
    <cellStyle name="20% - Accent6 5 7" xfId="7242"/>
    <cellStyle name="20% - Accent6 5 7 2" xfId="19546"/>
    <cellStyle name="20% - Accent6 5 7 2 2" xfId="42405"/>
    <cellStyle name="20% - Accent6 5 7 3" xfId="30103"/>
    <cellStyle name="20% - Accent6 5 8" xfId="10757"/>
    <cellStyle name="20% - Accent6 5 8 2" xfId="33617"/>
    <cellStyle name="20% - Accent6 5 9" xfId="12516"/>
    <cellStyle name="20% - Accent6 5 9 2" xfId="35375"/>
    <cellStyle name="20% - Accent6 6" xfId="312"/>
    <cellStyle name="20% - Accent6 6 2" xfId="753"/>
    <cellStyle name="20% - Accent6 6 2 2" xfId="1632"/>
    <cellStyle name="20% - Accent6 6 2 2 2" xfId="3393"/>
    <cellStyle name="20% - Accent6 6 2 2 2 2" xfId="6908"/>
    <cellStyle name="20% - Accent6 6 2 2 2 2 2" xfId="19212"/>
    <cellStyle name="20% - Accent6 6 2 2 2 2 2 2" xfId="42071"/>
    <cellStyle name="20% - Accent6 6 2 2 2 2 3" xfId="29769"/>
    <cellStyle name="20% - Accent6 6 2 2 2 3" xfId="10423"/>
    <cellStyle name="20% - Accent6 6 2 2 2 3 2" xfId="22727"/>
    <cellStyle name="20% - Accent6 6 2 2 2 3 2 2" xfId="45586"/>
    <cellStyle name="20% - Accent6 6 2 2 2 3 3" xfId="33284"/>
    <cellStyle name="20% - Accent6 6 2 2 2 4" xfId="15697"/>
    <cellStyle name="20% - Accent6 6 2 2 2 4 2" xfId="38556"/>
    <cellStyle name="20% - Accent6 6 2 2 2 5" xfId="26254"/>
    <cellStyle name="20% - Accent6 6 2 2 3" xfId="5150"/>
    <cellStyle name="20% - Accent6 6 2 2 3 2" xfId="17454"/>
    <cellStyle name="20% - Accent6 6 2 2 3 2 2" xfId="40313"/>
    <cellStyle name="20% - Accent6 6 2 2 3 3" xfId="28011"/>
    <cellStyle name="20% - Accent6 6 2 2 4" xfId="8665"/>
    <cellStyle name="20% - Accent6 6 2 2 4 2" xfId="20969"/>
    <cellStyle name="20% - Accent6 6 2 2 4 2 2" xfId="43828"/>
    <cellStyle name="20% - Accent6 6 2 2 4 3" xfId="31526"/>
    <cellStyle name="20% - Accent6 6 2 2 5" xfId="12180"/>
    <cellStyle name="20% - Accent6 6 2 2 5 2" xfId="35040"/>
    <cellStyle name="20% - Accent6 6 2 2 6" xfId="13939"/>
    <cellStyle name="20% - Accent6 6 2 2 6 2" xfId="36798"/>
    <cellStyle name="20% - Accent6 6 2 2 7" xfId="24495"/>
    <cellStyle name="20% - Accent6 6 2 3" xfId="2515"/>
    <cellStyle name="20% - Accent6 6 2 3 2" xfId="6030"/>
    <cellStyle name="20% - Accent6 6 2 3 2 2" xfId="18334"/>
    <cellStyle name="20% - Accent6 6 2 3 2 2 2" xfId="41193"/>
    <cellStyle name="20% - Accent6 6 2 3 2 3" xfId="28891"/>
    <cellStyle name="20% - Accent6 6 2 3 3" xfId="9545"/>
    <cellStyle name="20% - Accent6 6 2 3 3 2" xfId="21849"/>
    <cellStyle name="20% - Accent6 6 2 3 3 2 2" xfId="44708"/>
    <cellStyle name="20% - Accent6 6 2 3 3 3" xfId="32406"/>
    <cellStyle name="20% - Accent6 6 2 3 4" xfId="14819"/>
    <cellStyle name="20% - Accent6 6 2 3 4 2" xfId="37678"/>
    <cellStyle name="20% - Accent6 6 2 3 5" xfId="25376"/>
    <cellStyle name="20% - Accent6 6 2 4" xfId="4272"/>
    <cellStyle name="20% - Accent6 6 2 4 2" xfId="16576"/>
    <cellStyle name="20% - Accent6 6 2 4 2 2" xfId="39435"/>
    <cellStyle name="20% - Accent6 6 2 4 3" xfId="27133"/>
    <cellStyle name="20% - Accent6 6 2 5" xfId="7787"/>
    <cellStyle name="20% - Accent6 6 2 5 2" xfId="20091"/>
    <cellStyle name="20% - Accent6 6 2 5 2 2" xfId="42950"/>
    <cellStyle name="20% - Accent6 6 2 5 3" xfId="30648"/>
    <cellStyle name="20% - Accent6 6 2 6" xfId="11302"/>
    <cellStyle name="20% - Accent6 6 2 6 2" xfId="34162"/>
    <cellStyle name="20% - Accent6 6 2 7" xfId="13061"/>
    <cellStyle name="20% - Accent6 6 2 7 2" xfId="35920"/>
    <cellStyle name="20% - Accent6 6 2 8" xfId="23617"/>
    <cellStyle name="20% - Accent6 6 3" xfId="1193"/>
    <cellStyle name="20% - Accent6 6 3 2" xfId="2954"/>
    <cellStyle name="20% - Accent6 6 3 2 2" xfId="6469"/>
    <cellStyle name="20% - Accent6 6 3 2 2 2" xfId="18773"/>
    <cellStyle name="20% - Accent6 6 3 2 2 2 2" xfId="41632"/>
    <cellStyle name="20% - Accent6 6 3 2 2 3" xfId="29330"/>
    <cellStyle name="20% - Accent6 6 3 2 3" xfId="9984"/>
    <cellStyle name="20% - Accent6 6 3 2 3 2" xfId="22288"/>
    <cellStyle name="20% - Accent6 6 3 2 3 2 2" xfId="45147"/>
    <cellStyle name="20% - Accent6 6 3 2 3 3" xfId="32845"/>
    <cellStyle name="20% - Accent6 6 3 2 4" xfId="15258"/>
    <cellStyle name="20% - Accent6 6 3 2 4 2" xfId="38117"/>
    <cellStyle name="20% - Accent6 6 3 2 5" xfId="25815"/>
    <cellStyle name="20% - Accent6 6 3 3" xfId="4711"/>
    <cellStyle name="20% - Accent6 6 3 3 2" xfId="17015"/>
    <cellStyle name="20% - Accent6 6 3 3 2 2" xfId="39874"/>
    <cellStyle name="20% - Accent6 6 3 3 3" xfId="27572"/>
    <cellStyle name="20% - Accent6 6 3 4" xfId="8226"/>
    <cellStyle name="20% - Accent6 6 3 4 2" xfId="20530"/>
    <cellStyle name="20% - Accent6 6 3 4 2 2" xfId="43389"/>
    <cellStyle name="20% - Accent6 6 3 4 3" xfId="31087"/>
    <cellStyle name="20% - Accent6 6 3 5" xfId="11741"/>
    <cellStyle name="20% - Accent6 6 3 5 2" xfId="34601"/>
    <cellStyle name="20% - Accent6 6 3 6" xfId="13500"/>
    <cellStyle name="20% - Accent6 6 3 6 2" xfId="36359"/>
    <cellStyle name="20% - Accent6 6 3 7" xfId="24056"/>
    <cellStyle name="20% - Accent6 6 4" xfId="2076"/>
    <cellStyle name="20% - Accent6 6 4 2" xfId="5591"/>
    <cellStyle name="20% - Accent6 6 4 2 2" xfId="17895"/>
    <cellStyle name="20% - Accent6 6 4 2 2 2" xfId="40754"/>
    <cellStyle name="20% - Accent6 6 4 2 3" xfId="28452"/>
    <cellStyle name="20% - Accent6 6 4 3" xfId="9106"/>
    <cellStyle name="20% - Accent6 6 4 3 2" xfId="21410"/>
    <cellStyle name="20% - Accent6 6 4 3 2 2" xfId="44269"/>
    <cellStyle name="20% - Accent6 6 4 3 3" xfId="31967"/>
    <cellStyle name="20% - Accent6 6 4 4" xfId="14380"/>
    <cellStyle name="20% - Accent6 6 4 4 2" xfId="37239"/>
    <cellStyle name="20% - Accent6 6 4 5" xfId="24937"/>
    <cellStyle name="20% - Accent6 6 5" xfId="3833"/>
    <cellStyle name="20% - Accent6 6 5 2" xfId="16137"/>
    <cellStyle name="20% - Accent6 6 5 2 2" xfId="38996"/>
    <cellStyle name="20% - Accent6 6 5 3" xfId="26694"/>
    <cellStyle name="20% - Accent6 6 6" xfId="7348"/>
    <cellStyle name="20% - Accent6 6 6 2" xfId="19652"/>
    <cellStyle name="20% - Accent6 6 6 2 2" xfId="42511"/>
    <cellStyle name="20% - Accent6 6 6 3" xfId="30209"/>
    <cellStyle name="20% - Accent6 6 7" xfId="10863"/>
    <cellStyle name="20% - Accent6 6 7 2" xfId="33723"/>
    <cellStyle name="20% - Accent6 6 8" xfId="12622"/>
    <cellStyle name="20% - Accent6 6 8 2" xfId="35481"/>
    <cellStyle name="20% - Accent6 6 9" xfId="23177"/>
    <cellStyle name="20% - Accent6 7" xfId="519"/>
    <cellStyle name="20% - Accent6 7 2" xfId="960"/>
    <cellStyle name="20% - Accent6 7 2 2" xfId="1839"/>
    <cellStyle name="20% - Accent6 7 2 2 2" xfId="3600"/>
    <cellStyle name="20% - Accent6 7 2 2 2 2" xfId="7115"/>
    <cellStyle name="20% - Accent6 7 2 2 2 2 2" xfId="19419"/>
    <cellStyle name="20% - Accent6 7 2 2 2 2 2 2" xfId="42278"/>
    <cellStyle name="20% - Accent6 7 2 2 2 2 3" xfId="29976"/>
    <cellStyle name="20% - Accent6 7 2 2 2 3" xfId="10630"/>
    <cellStyle name="20% - Accent6 7 2 2 2 3 2" xfId="22934"/>
    <cellStyle name="20% - Accent6 7 2 2 2 3 2 2" xfId="45793"/>
    <cellStyle name="20% - Accent6 7 2 2 2 3 3" xfId="33491"/>
    <cellStyle name="20% - Accent6 7 2 2 2 4" xfId="15904"/>
    <cellStyle name="20% - Accent6 7 2 2 2 4 2" xfId="38763"/>
    <cellStyle name="20% - Accent6 7 2 2 2 5" xfId="26461"/>
    <cellStyle name="20% - Accent6 7 2 2 3" xfId="5357"/>
    <cellStyle name="20% - Accent6 7 2 2 3 2" xfId="17661"/>
    <cellStyle name="20% - Accent6 7 2 2 3 2 2" xfId="40520"/>
    <cellStyle name="20% - Accent6 7 2 2 3 3" xfId="28218"/>
    <cellStyle name="20% - Accent6 7 2 2 4" xfId="8872"/>
    <cellStyle name="20% - Accent6 7 2 2 4 2" xfId="21176"/>
    <cellStyle name="20% - Accent6 7 2 2 4 2 2" xfId="44035"/>
    <cellStyle name="20% - Accent6 7 2 2 4 3" xfId="31733"/>
    <cellStyle name="20% - Accent6 7 2 2 5" xfId="12387"/>
    <cellStyle name="20% - Accent6 7 2 2 5 2" xfId="35247"/>
    <cellStyle name="20% - Accent6 7 2 2 6" xfId="14146"/>
    <cellStyle name="20% - Accent6 7 2 2 6 2" xfId="37005"/>
    <cellStyle name="20% - Accent6 7 2 2 7" xfId="24702"/>
    <cellStyle name="20% - Accent6 7 2 3" xfId="2722"/>
    <cellStyle name="20% - Accent6 7 2 3 2" xfId="6237"/>
    <cellStyle name="20% - Accent6 7 2 3 2 2" xfId="18541"/>
    <cellStyle name="20% - Accent6 7 2 3 2 2 2" xfId="41400"/>
    <cellStyle name="20% - Accent6 7 2 3 2 3" xfId="29098"/>
    <cellStyle name="20% - Accent6 7 2 3 3" xfId="9752"/>
    <cellStyle name="20% - Accent6 7 2 3 3 2" xfId="22056"/>
    <cellStyle name="20% - Accent6 7 2 3 3 2 2" xfId="44915"/>
    <cellStyle name="20% - Accent6 7 2 3 3 3" xfId="32613"/>
    <cellStyle name="20% - Accent6 7 2 3 4" xfId="15026"/>
    <cellStyle name="20% - Accent6 7 2 3 4 2" xfId="37885"/>
    <cellStyle name="20% - Accent6 7 2 3 5" xfId="25583"/>
    <cellStyle name="20% - Accent6 7 2 4" xfId="4479"/>
    <cellStyle name="20% - Accent6 7 2 4 2" xfId="16783"/>
    <cellStyle name="20% - Accent6 7 2 4 2 2" xfId="39642"/>
    <cellStyle name="20% - Accent6 7 2 4 3" xfId="27340"/>
    <cellStyle name="20% - Accent6 7 2 5" xfId="7994"/>
    <cellStyle name="20% - Accent6 7 2 5 2" xfId="20298"/>
    <cellStyle name="20% - Accent6 7 2 5 2 2" xfId="43157"/>
    <cellStyle name="20% - Accent6 7 2 5 3" xfId="30855"/>
    <cellStyle name="20% - Accent6 7 2 6" xfId="11509"/>
    <cellStyle name="20% - Accent6 7 2 6 2" xfId="34369"/>
    <cellStyle name="20% - Accent6 7 2 7" xfId="13268"/>
    <cellStyle name="20% - Accent6 7 2 7 2" xfId="36127"/>
    <cellStyle name="20% - Accent6 7 2 8" xfId="23824"/>
    <cellStyle name="20% - Accent6 7 3" xfId="1400"/>
    <cellStyle name="20% - Accent6 7 3 2" xfId="3161"/>
    <cellStyle name="20% - Accent6 7 3 2 2" xfId="6676"/>
    <cellStyle name="20% - Accent6 7 3 2 2 2" xfId="18980"/>
    <cellStyle name="20% - Accent6 7 3 2 2 2 2" xfId="41839"/>
    <cellStyle name="20% - Accent6 7 3 2 2 3" xfId="29537"/>
    <cellStyle name="20% - Accent6 7 3 2 3" xfId="10191"/>
    <cellStyle name="20% - Accent6 7 3 2 3 2" xfId="22495"/>
    <cellStyle name="20% - Accent6 7 3 2 3 2 2" xfId="45354"/>
    <cellStyle name="20% - Accent6 7 3 2 3 3" xfId="33052"/>
    <cellStyle name="20% - Accent6 7 3 2 4" xfId="15465"/>
    <cellStyle name="20% - Accent6 7 3 2 4 2" xfId="38324"/>
    <cellStyle name="20% - Accent6 7 3 2 5" xfId="26022"/>
    <cellStyle name="20% - Accent6 7 3 3" xfId="4918"/>
    <cellStyle name="20% - Accent6 7 3 3 2" xfId="17222"/>
    <cellStyle name="20% - Accent6 7 3 3 2 2" xfId="40081"/>
    <cellStyle name="20% - Accent6 7 3 3 3" xfId="27779"/>
    <cellStyle name="20% - Accent6 7 3 4" xfId="8433"/>
    <cellStyle name="20% - Accent6 7 3 4 2" xfId="20737"/>
    <cellStyle name="20% - Accent6 7 3 4 2 2" xfId="43596"/>
    <cellStyle name="20% - Accent6 7 3 4 3" xfId="31294"/>
    <cellStyle name="20% - Accent6 7 3 5" xfId="11948"/>
    <cellStyle name="20% - Accent6 7 3 5 2" xfId="34808"/>
    <cellStyle name="20% - Accent6 7 3 6" xfId="13707"/>
    <cellStyle name="20% - Accent6 7 3 6 2" xfId="36566"/>
    <cellStyle name="20% - Accent6 7 3 7" xfId="24263"/>
    <cellStyle name="20% - Accent6 7 4" xfId="2283"/>
    <cellStyle name="20% - Accent6 7 4 2" xfId="5798"/>
    <cellStyle name="20% - Accent6 7 4 2 2" xfId="18102"/>
    <cellStyle name="20% - Accent6 7 4 2 2 2" xfId="40961"/>
    <cellStyle name="20% - Accent6 7 4 2 3" xfId="28659"/>
    <cellStyle name="20% - Accent6 7 4 3" xfId="9313"/>
    <cellStyle name="20% - Accent6 7 4 3 2" xfId="21617"/>
    <cellStyle name="20% - Accent6 7 4 3 2 2" xfId="44476"/>
    <cellStyle name="20% - Accent6 7 4 3 3" xfId="32174"/>
    <cellStyle name="20% - Accent6 7 4 4" xfId="14587"/>
    <cellStyle name="20% - Accent6 7 4 4 2" xfId="37446"/>
    <cellStyle name="20% - Accent6 7 4 5" xfId="25144"/>
    <cellStyle name="20% - Accent6 7 5" xfId="4040"/>
    <cellStyle name="20% - Accent6 7 5 2" xfId="16344"/>
    <cellStyle name="20% - Accent6 7 5 2 2" xfId="39203"/>
    <cellStyle name="20% - Accent6 7 5 3" xfId="26901"/>
    <cellStyle name="20% - Accent6 7 6" xfId="7555"/>
    <cellStyle name="20% - Accent6 7 6 2" xfId="19859"/>
    <cellStyle name="20% - Accent6 7 6 2 2" xfId="42718"/>
    <cellStyle name="20% - Accent6 7 6 3" xfId="30416"/>
    <cellStyle name="20% - Accent6 7 7" xfId="11070"/>
    <cellStyle name="20% - Accent6 7 7 2" xfId="33930"/>
    <cellStyle name="20% - Accent6 7 8" xfId="12829"/>
    <cellStyle name="20% - Accent6 7 8 2" xfId="35688"/>
    <cellStyle name="20% - Accent6 7 9" xfId="23384"/>
    <cellStyle name="20% - Accent6 8" xfId="532"/>
    <cellStyle name="20% - Accent6 8 2" xfId="1413"/>
    <cellStyle name="20% - Accent6 8 2 2" xfId="3174"/>
    <cellStyle name="20% - Accent6 8 2 2 2" xfId="6689"/>
    <cellStyle name="20% - Accent6 8 2 2 2 2" xfId="18993"/>
    <cellStyle name="20% - Accent6 8 2 2 2 2 2" xfId="41852"/>
    <cellStyle name="20% - Accent6 8 2 2 2 3" xfId="29550"/>
    <cellStyle name="20% - Accent6 8 2 2 3" xfId="10204"/>
    <cellStyle name="20% - Accent6 8 2 2 3 2" xfId="22508"/>
    <cellStyle name="20% - Accent6 8 2 2 3 2 2" xfId="45367"/>
    <cellStyle name="20% - Accent6 8 2 2 3 3" xfId="33065"/>
    <cellStyle name="20% - Accent6 8 2 2 4" xfId="15478"/>
    <cellStyle name="20% - Accent6 8 2 2 4 2" xfId="38337"/>
    <cellStyle name="20% - Accent6 8 2 2 5" xfId="26035"/>
    <cellStyle name="20% - Accent6 8 2 3" xfId="4931"/>
    <cellStyle name="20% - Accent6 8 2 3 2" xfId="17235"/>
    <cellStyle name="20% - Accent6 8 2 3 2 2" xfId="40094"/>
    <cellStyle name="20% - Accent6 8 2 3 3" xfId="27792"/>
    <cellStyle name="20% - Accent6 8 2 4" xfId="8446"/>
    <cellStyle name="20% - Accent6 8 2 4 2" xfId="20750"/>
    <cellStyle name="20% - Accent6 8 2 4 2 2" xfId="43609"/>
    <cellStyle name="20% - Accent6 8 2 4 3" xfId="31307"/>
    <cellStyle name="20% - Accent6 8 2 5" xfId="11961"/>
    <cellStyle name="20% - Accent6 8 2 5 2" xfId="34821"/>
    <cellStyle name="20% - Accent6 8 2 6" xfId="13720"/>
    <cellStyle name="20% - Accent6 8 2 6 2" xfId="36579"/>
    <cellStyle name="20% - Accent6 8 2 7" xfId="24276"/>
    <cellStyle name="20% - Accent6 8 3" xfId="2296"/>
    <cellStyle name="20% - Accent6 8 3 2" xfId="5811"/>
    <cellStyle name="20% - Accent6 8 3 2 2" xfId="18115"/>
    <cellStyle name="20% - Accent6 8 3 2 2 2" xfId="40974"/>
    <cellStyle name="20% - Accent6 8 3 2 3" xfId="28672"/>
    <cellStyle name="20% - Accent6 8 3 3" xfId="9326"/>
    <cellStyle name="20% - Accent6 8 3 3 2" xfId="21630"/>
    <cellStyle name="20% - Accent6 8 3 3 2 2" xfId="44489"/>
    <cellStyle name="20% - Accent6 8 3 3 3" xfId="32187"/>
    <cellStyle name="20% - Accent6 8 3 4" xfId="14600"/>
    <cellStyle name="20% - Accent6 8 3 4 2" xfId="37459"/>
    <cellStyle name="20% - Accent6 8 3 5" xfId="25157"/>
    <cellStyle name="20% - Accent6 8 4" xfId="4053"/>
    <cellStyle name="20% - Accent6 8 4 2" xfId="16357"/>
    <cellStyle name="20% - Accent6 8 4 2 2" xfId="39216"/>
    <cellStyle name="20% - Accent6 8 4 3" xfId="26914"/>
    <cellStyle name="20% - Accent6 8 5" xfId="7568"/>
    <cellStyle name="20% - Accent6 8 5 2" xfId="19872"/>
    <cellStyle name="20% - Accent6 8 5 2 2" xfId="42731"/>
    <cellStyle name="20% - Accent6 8 5 3" xfId="30429"/>
    <cellStyle name="20% - Accent6 8 6" xfId="11083"/>
    <cellStyle name="20% - Accent6 8 6 2" xfId="33943"/>
    <cellStyle name="20% - Accent6 8 7" xfId="12842"/>
    <cellStyle name="20% - Accent6 8 7 2" xfId="35701"/>
    <cellStyle name="20% - Accent6 8 8" xfId="23397"/>
    <cellStyle name="20% - Accent6 9" xfId="981"/>
    <cellStyle name="20% - Accent6 9 2" xfId="2742"/>
    <cellStyle name="20% - Accent6 9 2 2" xfId="6257"/>
    <cellStyle name="20% - Accent6 9 2 2 2" xfId="18561"/>
    <cellStyle name="20% - Accent6 9 2 2 2 2" xfId="41420"/>
    <cellStyle name="20% - Accent6 9 2 2 3" xfId="29118"/>
    <cellStyle name="20% - Accent6 9 2 3" xfId="9772"/>
    <cellStyle name="20% - Accent6 9 2 3 2" xfId="22076"/>
    <cellStyle name="20% - Accent6 9 2 3 2 2" xfId="44935"/>
    <cellStyle name="20% - Accent6 9 2 3 3" xfId="32633"/>
    <cellStyle name="20% - Accent6 9 2 4" xfId="15046"/>
    <cellStyle name="20% - Accent6 9 2 4 2" xfId="37905"/>
    <cellStyle name="20% - Accent6 9 2 5" xfId="25603"/>
    <cellStyle name="20% - Accent6 9 3" xfId="4499"/>
    <cellStyle name="20% - Accent6 9 3 2" xfId="16803"/>
    <cellStyle name="20% - Accent6 9 3 2 2" xfId="39662"/>
    <cellStyle name="20% - Accent6 9 3 3" xfId="27360"/>
    <cellStyle name="20% - Accent6 9 4" xfId="8014"/>
    <cellStyle name="20% - Accent6 9 4 2" xfId="20318"/>
    <cellStyle name="20% - Accent6 9 4 2 2" xfId="43177"/>
    <cellStyle name="20% - Accent6 9 4 3" xfId="30875"/>
    <cellStyle name="20% - Accent6 9 5" xfId="11529"/>
    <cellStyle name="20% - Accent6 9 5 2" xfId="34389"/>
    <cellStyle name="20% - Accent6 9 6" xfId="13288"/>
    <cellStyle name="20% - Accent6 9 6 2" xfId="36147"/>
    <cellStyle name="20% - Accent6 9 7" xfId="23844"/>
    <cellStyle name="40% - Accent1" xfId="76" builtinId="31" customBuiltin="1"/>
    <cellStyle name="40% - Accent1 10" xfId="1846"/>
    <cellStyle name="40% - Accent1 10 2" xfId="5363"/>
    <cellStyle name="40% - Accent1 10 2 2" xfId="17667"/>
    <cellStyle name="40% - Accent1 10 2 2 2" xfId="40526"/>
    <cellStyle name="40% - Accent1 10 2 3" xfId="28224"/>
    <cellStyle name="40% - Accent1 10 3" xfId="8878"/>
    <cellStyle name="40% - Accent1 10 3 2" xfId="21182"/>
    <cellStyle name="40% - Accent1 10 3 2 2" xfId="44041"/>
    <cellStyle name="40% - Accent1 10 3 3" xfId="31739"/>
    <cellStyle name="40% - Accent1 10 4" xfId="14152"/>
    <cellStyle name="40% - Accent1 10 4 2" xfId="37011"/>
    <cellStyle name="40% - Accent1 10 5" xfId="24708"/>
    <cellStyle name="40% - Accent1 11" xfId="3612"/>
    <cellStyle name="40% - Accent1 11 2" xfId="15916"/>
    <cellStyle name="40% - Accent1 11 2 2" xfId="38775"/>
    <cellStyle name="40% - Accent1 11 3" xfId="26473"/>
    <cellStyle name="40% - Accent1 12" xfId="7127"/>
    <cellStyle name="40% - Accent1 12 2" xfId="19431"/>
    <cellStyle name="40% - Accent1 12 2 2" xfId="42290"/>
    <cellStyle name="40% - Accent1 12 3" xfId="29988"/>
    <cellStyle name="40% - Accent1 13" xfId="10642"/>
    <cellStyle name="40% - Accent1 13 2" xfId="33502"/>
    <cellStyle name="40% - Accent1 14" xfId="12392"/>
    <cellStyle name="40% - Accent1 14 2" xfId="35252"/>
    <cellStyle name="40% - Accent1 15" xfId="22954"/>
    <cellStyle name="40% - Accent1 2" xfId="7"/>
    <cellStyle name="40% - Accent1 3" xfId="106"/>
    <cellStyle name="40% - Accent1 3 10" xfId="10661"/>
    <cellStyle name="40% - Accent1 3 10 2" xfId="33521"/>
    <cellStyle name="40% - Accent1 3 11" xfId="12420"/>
    <cellStyle name="40% - Accent1 3 11 2" xfId="35279"/>
    <cellStyle name="40% - Accent1 3 12" xfId="22973"/>
    <cellStyle name="40% - Accent1 3 2" xfId="162"/>
    <cellStyle name="40% - Accent1 3 2 10" xfId="12474"/>
    <cellStyle name="40% - Accent1 3 2 10 2" xfId="35333"/>
    <cellStyle name="40% - Accent1 3 2 11" xfId="23028"/>
    <cellStyle name="40% - Accent1 3 2 2" xfId="270"/>
    <cellStyle name="40% - Accent1 3 2 2 10" xfId="23135"/>
    <cellStyle name="40% - Accent1 3 2 2 2" xfId="482"/>
    <cellStyle name="40% - Accent1 3 2 2 2 2" xfId="923"/>
    <cellStyle name="40% - Accent1 3 2 2 2 2 2" xfId="1802"/>
    <cellStyle name="40% - Accent1 3 2 2 2 2 2 2" xfId="3563"/>
    <cellStyle name="40% - Accent1 3 2 2 2 2 2 2 2" xfId="7078"/>
    <cellStyle name="40% - Accent1 3 2 2 2 2 2 2 2 2" xfId="19382"/>
    <cellStyle name="40% - Accent1 3 2 2 2 2 2 2 2 2 2" xfId="42241"/>
    <cellStyle name="40% - Accent1 3 2 2 2 2 2 2 2 3" xfId="29939"/>
    <cellStyle name="40% - Accent1 3 2 2 2 2 2 2 3" xfId="10593"/>
    <cellStyle name="40% - Accent1 3 2 2 2 2 2 2 3 2" xfId="22897"/>
    <cellStyle name="40% - Accent1 3 2 2 2 2 2 2 3 2 2" xfId="45756"/>
    <cellStyle name="40% - Accent1 3 2 2 2 2 2 2 3 3" xfId="33454"/>
    <cellStyle name="40% - Accent1 3 2 2 2 2 2 2 4" xfId="15867"/>
    <cellStyle name="40% - Accent1 3 2 2 2 2 2 2 4 2" xfId="38726"/>
    <cellStyle name="40% - Accent1 3 2 2 2 2 2 2 5" xfId="26424"/>
    <cellStyle name="40% - Accent1 3 2 2 2 2 2 3" xfId="5320"/>
    <cellStyle name="40% - Accent1 3 2 2 2 2 2 3 2" xfId="17624"/>
    <cellStyle name="40% - Accent1 3 2 2 2 2 2 3 2 2" xfId="40483"/>
    <cellStyle name="40% - Accent1 3 2 2 2 2 2 3 3" xfId="28181"/>
    <cellStyle name="40% - Accent1 3 2 2 2 2 2 4" xfId="8835"/>
    <cellStyle name="40% - Accent1 3 2 2 2 2 2 4 2" xfId="21139"/>
    <cellStyle name="40% - Accent1 3 2 2 2 2 2 4 2 2" xfId="43998"/>
    <cellStyle name="40% - Accent1 3 2 2 2 2 2 4 3" xfId="31696"/>
    <cellStyle name="40% - Accent1 3 2 2 2 2 2 5" xfId="12350"/>
    <cellStyle name="40% - Accent1 3 2 2 2 2 2 5 2" xfId="35210"/>
    <cellStyle name="40% - Accent1 3 2 2 2 2 2 6" xfId="14109"/>
    <cellStyle name="40% - Accent1 3 2 2 2 2 2 6 2" xfId="36968"/>
    <cellStyle name="40% - Accent1 3 2 2 2 2 2 7" xfId="24665"/>
    <cellStyle name="40% - Accent1 3 2 2 2 2 3" xfId="2685"/>
    <cellStyle name="40% - Accent1 3 2 2 2 2 3 2" xfId="6200"/>
    <cellStyle name="40% - Accent1 3 2 2 2 2 3 2 2" xfId="18504"/>
    <cellStyle name="40% - Accent1 3 2 2 2 2 3 2 2 2" xfId="41363"/>
    <cellStyle name="40% - Accent1 3 2 2 2 2 3 2 3" xfId="29061"/>
    <cellStyle name="40% - Accent1 3 2 2 2 2 3 3" xfId="9715"/>
    <cellStyle name="40% - Accent1 3 2 2 2 2 3 3 2" xfId="22019"/>
    <cellStyle name="40% - Accent1 3 2 2 2 2 3 3 2 2" xfId="44878"/>
    <cellStyle name="40% - Accent1 3 2 2 2 2 3 3 3" xfId="32576"/>
    <cellStyle name="40% - Accent1 3 2 2 2 2 3 4" xfId="14989"/>
    <cellStyle name="40% - Accent1 3 2 2 2 2 3 4 2" xfId="37848"/>
    <cellStyle name="40% - Accent1 3 2 2 2 2 3 5" xfId="25546"/>
    <cellStyle name="40% - Accent1 3 2 2 2 2 4" xfId="4442"/>
    <cellStyle name="40% - Accent1 3 2 2 2 2 4 2" xfId="16746"/>
    <cellStyle name="40% - Accent1 3 2 2 2 2 4 2 2" xfId="39605"/>
    <cellStyle name="40% - Accent1 3 2 2 2 2 4 3" xfId="27303"/>
    <cellStyle name="40% - Accent1 3 2 2 2 2 5" xfId="7957"/>
    <cellStyle name="40% - Accent1 3 2 2 2 2 5 2" xfId="20261"/>
    <cellStyle name="40% - Accent1 3 2 2 2 2 5 2 2" xfId="43120"/>
    <cellStyle name="40% - Accent1 3 2 2 2 2 5 3" xfId="30818"/>
    <cellStyle name="40% - Accent1 3 2 2 2 2 6" xfId="11472"/>
    <cellStyle name="40% - Accent1 3 2 2 2 2 6 2" xfId="34332"/>
    <cellStyle name="40% - Accent1 3 2 2 2 2 7" xfId="13231"/>
    <cellStyle name="40% - Accent1 3 2 2 2 2 7 2" xfId="36090"/>
    <cellStyle name="40% - Accent1 3 2 2 2 2 8" xfId="23787"/>
    <cellStyle name="40% - Accent1 3 2 2 2 3" xfId="1363"/>
    <cellStyle name="40% - Accent1 3 2 2 2 3 2" xfId="3124"/>
    <cellStyle name="40% - Accent1 3 2 2 2 3 2 2" xfId="6639"/>
    <cellStyle name="40% - Accent1 3 2 2 2 3 2 2 2" xfId="18943"/>
    <cellStyle name="40% - Accent1 3 2 2 2 3 2 2 2 2" xfId="41802"/>
    <cellStyle name="40% - Accent1 3 2 2 2 3 2 2 3" xfId="29500"/>
    <cellStyle name="40% - Accent1 3 2 2 2 3 2 3" xfId="10154"/>
    <cellStyle name="40% - Accent1 3 2 2 2 3 2 3 2" xfId="22458"/>
    <cellStyle name="40% - Accent1 3 2 2 2 3 2 3 2 2" xfId="45317"/>
    <cellStyle name="40% - Accent1 3 2 2 2 3 2 3 3" xfId="33015"/>
    <cellStyle name="40% - Accent1 3 2 2 2 3 2 4" xfId="15428"/>
    <cellStyle name="40% - Accent1 3 2 2 2 3 2 4 2" xfId="38287"/>
    <cellStyle name="40% - Accent1 3 2 2 2 3 2 5" xfId="25985"/>
    <cellStyle name="40% - Accent1 3 2 2 2 3 3" xfId="4881"/>
    <cellStyle name="40% - Accent1 3 2 2 2 3 3 2" xfId="17185"/>
    <cellStyle name="40% - Accent1 3 2 2 2 3 3 2 2" xfId="40044"/>
    <cellStyle name="40% - Accent1 3 2 2 2 3 3 3" xfId="27742"/>
    <cellStyle name="40% - Accent1 3 2 2 2 3 4" xfId="8396"/>
    <cellStyle name="40% - Accent1 3 2 2 2 3 4 2" xfId="20700"/>
    <cellStyle name="40% - Accent1 3 2 2 2 3 4 2 2" xfId="43559"/>
    <cellStyle name="40% - Accent1 3 2 2 2 3 4 3" xfId="31257"/>
    <cellStyle name="40% - Accent1 3 2 2 2 3 5" xfId="11911"/>
    <cellStyle name="40% - Accent1 3 2 2 2 3 5 2" xfId="34771"/>
    <cellStyle name="40% - Accent1 3 2 2 2 3 6" xfId="13670"/>
    <cellStyle name="40% - Accent1 3 2 2 2 3 6 2" xfId="36529"/>
    <cellStyle name="40% - Accent1 3 2 2 2 3 7" xfId="24226"/>
    <cellStyle name="40% - Accent1 3 2 2 2 4" xfId="2246"/>
    <cellStyle name="40% - Accent1 3 2 2 2 4 2" xfId="5761"/>
    <cellStyle name="40% - Accent1 3 2 2 2 4 2 2" xfId="18065"/>
    <cellStyle name="40% - Accent1 3 2 2 2 4 2 2 2" xfId="40924"/>
    <cellStyle name="40% - Accent1 3 2 2 2 4 2 3" xfId="28622"/>
    <cellStyle name="40% - Accent1 3 2 2 2 4 3" xfId="9276"/>
    <cellStyle name="40% - Accent1 3 2 2 2 4 3 2" xfId="21580"/>
    <cellStyle name="40% - Accent1 3 2 2 2 4 3 2 2" xfId="44439"/>
    <cellStyle name="40% - Accent1 3 2 2 2 4 3 3" xfId="32137"/>
    <cellStyle name="40% - Accent1 3 2 2 2 4 4" xfId="14550"/>
    <cellStyle name="40% - Accent1 3 2 2 2 4 4 2" xfId="37409"/>
    <cellStyle name="40% - Accent1 3 2 2 2 4 5" xfId="25107"/>
    <cellStyle name="40% - Accent1 3 2 2 2 5" xfId="4003"/>
    <cellStyle name="40% - Accent1 3 2 2 2 5 2" xfId="16307"/>
    <cellStyle name="40% - Accent1 3 2 2 2 5 2 2" xfId="39166"/>
    <cellStyle name="40% - Accent1 3 2 2 2 5 3" xfId="26864"/>
    <cellStyle name="40% - Accent1 3 2 2 2 6" xfId="7518"/>
    <cellStyle name="40% - Accent1 3 2 2 2 6 2" xfId="19822"/>
    <cellStyle name="40% - Accent1 3 2 2 2 6 2 2" xfId="42681"/>
    <cellStyle name="40% - Accent1 3 2 2 2 6 3" xfId="30379"/>
    <cellStyle name="40% - Accent1 3 2 2 2 7" xfId="11033"/>
    <cellStyle name="40% - Accent1 3 2 2 2 7 2" xfId="33893"/>
    <cellStyle name="40% - Accent1 3 2 2 2 8" xfId="12792"/>
    <cellStyle name="40% - Accent1 3 2 2 2 8 2" xfId="35651"/>
    <cellStyle name="40% - Accent1 3 2 2 2 9" xfId="23347"/>
    <cellStyle name="40% - Accent1 3 2 2 3" xfId="711"/>
    <cellStyle name="40% - Accent1 3 2 2 3 2" xfId="1590"/>
    <cellStyle name="40% - Accent1 3 2 2 3 2 2" xfId="3351"/>
    <cellStyle name="40% - Accent1 3 2 2 3 2 2 2" xfId="6866"/>
    <cellStyle name="40% - Accent1 3 2 2 3 2 2 2 2" xfId="19170"/>
    <cellStyle name="40% - Accent1 3 2 2 3 2 2 2 2 2" xfId="42029"/>
    <cellStyle name="40% - Accent1 3 2 2 3 2 2 2 3" xfId="29727"/>
    <cellStyle name="40% - Accent1 3 2 2 3 2 2 3" xfId="10381"/>
    <cellStyle name="40% - Accent1 3 2 2 3 2 2 3 2" xfId="22685"/>
    <cellStyle name="40% - Accent1 3 2 2 3 2 2 3 2 2" xfId="45544"/>
    <cellStyle name="40% - Accent1 3 2 2 3 2 2 3 3" xfId="33242"/>
    <cellStyle name="40% - Accent1 3 2 2 3 2 2 4" xfId="15655"/>
    <cellStyle name="40% - Accent1 3 2 2 3 2 2 4 2" xfId="38514"/>
    <cellStyle name="40% - Accent1 3 2 2 3 2 2 5" xfId="26212"/>
    <cellStyle name="40% - Accent1 3 2 2 3 2 3" xfId="5108"/>
    <cellStyle name="40% - Accent1 3 2 2 3 2 3 2" xfId="17412"/>
    <cellStyle name="40% - Accent1 3 2 2 3 2 3 2 2" xfId="40271"/>
    <cellStyle name="40% - Accent1 3 2 2 3 2 3 3" xfId="27969"/>
    <cellStyle name="40% - Accent1 3 2 2 3 2 4" xfId="8623"/>
    <cellStyle name="40% - Accent1 3 2 2 3 2 4 2" xfId="20927"/>
    <cellStyle name="40% - Accent1 3 2 2 3 2 4 2 2" xfId="43786"/>
    <cellStyle name="40% - Accent1 3 2 2 3 2 4 3" xfId="31484"/>
    <cellStyle name="40% - Accent1 3 2 2 3 2 5" xfId="12138"/>
    <cellStyle name="40% - Accent1 3 2 2 3 2 5 2" xfId="34998"/>
    <cellStyle name="40% - Accent1 3 2 2 3 2 6" xfId="13897"/>
    <cellStyle name="40% - Accent1 3 2 2 3 2 6 2" xfId="36756"/>
    <cellStyle name="40% - Accent1 3 2 2 3 2 7" xfId="24453"/>
    <cellStyle name="40% - Accent1 3 2 2 3 3" xfId="2473"/>
    <cellStyle name="40% - Accent1 3 2 2 3 3 2" xfId="5988"/>
    <cellStyle name="40% - Accent1 3 2 2 3 3 2 2" xfId="18292"/>
    <cellStyle name="40% - Accent1 3 2 2 3 3 2 2 2" xfId="41151"/>
    <cellStyle name="40% - Accent1 3 2 2 3 3 2 3" xfId="28849"/>
    <cellStyle name="40% - Accent1 3 2 2 3 3 3" xfId="9503"/>
    <cellStyle name="40% - Accent1 3 2 2 3 3 3 2" xfId="21807"/>
    <cellStyle name="40% - Accent1 3 2 2 3 3 3 2 2" xfId="44666"/>
    <cellStyle name="40% - Accent1 3 2 2 3 3 3 3" xfId="32364"/>
    <cellStyle name="40% - Accent1 3 2 2 3 3 4" xfId="14777"/>
    <cellStyle name="40% - Accent1 3 2 2 3 3 4 2" xfId="37636"/>
    <cellStyle name="40% - Accent1 3 2 2 3 3 5" xfId="25334"/>
    <cellStyle name="40% - Accent1 3 2 2 3 4" xfId="4230"/>
    <cellStyle name="40% - Accent1 3 2 2 3 4 2" xfId="16534"/>
    <cellStyle name="40% - Accent1 3 2 2 3 4 2 2" xfId="39393"/>
    <cellStyle name="40% - Accent1 3 2 2 3 4 3" xfId="27091"/>
    <cellStyle name="40% - Accent1 3 2 2 3 5" xfId="7745"/>
    <cellStyle name="40% - Accent1 3 2 2 3 5 2" xfId="20049"/>
    <cellStyle name="40% - Accent1 3 2 2 3 5 2 2" xfId="42908"/>
    <cellStyle name="40% - Accent1 3 2 2 3 5 3" xfId="30606"/>
    <cellStyle name="40% - Accent1 3 2 2 3 6" xfId="11260"/>
    <cellStyle name="40% - Accent1 3 2 2 3 6 2" xfId="34120"/>
    <cellStyle name="40% - Accent1 3 2 2 3 7" xfId="13019"/>
    <cellStyle name="40% - Accent1 3 2 2 3 7 2" xfId="35878"/>
    <cellStyle name="40% - Accent1 3 2 2 3 8" xfId="23575"/>
    <cellStyle name="40% - Accent1 3 2 2 4" xfId="1151"/>
    <cellStyle name="40% - Accent1 3 2 2 4 2" xfId="2912"/>
    <cellStyle name="40% - Accent1 3 2 2 4 2 2" xfId="6427"/>
    <cellStyle name="40% - Accent1 3 2 2 4 2 2 2" xfId="18731"/>
    <cellStyle name="40% - Accent1 3 2 2 4 2 2 2 2" xfId="41590"/>
    <cellStyle name="40% - Accent1 3 2 2 4 2 2 3" xfId="29288"/>
    <cellStyle name="40% - Accent1 3 2 2 4 2 3" xfId="9942"/>
    <cellStyle name="40% - Accent1 3 2 2 4 2 3 2" xfId="22246"/>
    <cellStyle name="40% - Accent1 3 2 2 4 2 3 2 2" xfId="45105"/>
    <cellStyle name="40% - Accent1 3 2 2 4 2 3 3" xfId="32803"/>
    <cellStyle name="40% - Accent1 3 2 2 4 2 4" xfId="15216"/>
    <cellStyle name="40% - Accent1 3 2 2 4 2 4 2" xfId="38075"/>
    <cellStyle name="40% - Accent1 3 2 2 4 2 5" xfId="25773"/>
    <cellStyle name="40% - Accent1 3 2 2 4 3" xfId="4669"/>
    <cellStyle name="40% - Accent1 3 2 2 4 3 2" xfId="16973"/>
    <cellStyle name="40% - Accent1 3 2 2 4 3 2 2" xfId="39832"/>
    <cellStyle name="40% - Accent1 3 2 2 4 3 3" xfId="27530"/>
    <cellStyle name="40% - Accent1 3 2 2 4 4" xfId="8184"/>
    <cellStyle name="40% - Accent1 3 2 2 4 4 2" xfId="20488"/>
    <cellStyle name="40% - Accent1 3 2 2 4 4 2 2" xfId="43347"/>
    <cellStyle name="40% - Accent1 3 2 2 4 4 3" xfId="31045"/>
    <cellStyle name="40% - Accent1 3 2 2 4 5" xfId="11699"/>
    <cellStyle name="40% - Accent1 3 2 2 4 5 2" xfId="34559"/>
    <cellStyle name="40% - Accent1 3 2 2 4 6" xfId="13458"/>
    <cellStyle name="40% - Accent1 3 2 2 4 6 2" xfId="36317"/>
    <cellStyle name="40% - Accent1 3 2 2 4 7" xfId="24014"/>
    <cellStyle name="40% - Accent1 3 2 2 5" xfId="2034"/>
    <cellStyle name="40% - Accent1 3 2 2 5 2" xfId="5549"/>
    <cellStyle name="40% - Accent1 3 2 2 5 2 2" xfId="17853"/>
    <cellStyle name="40% - Accent1 3 2 2 5 2 2 2" xfId="40712"/>
    <cellStyle name="40% - Accent1 3 2 2 5 2 3" xfId="28410"/>
    <cellStyle name="40% - Accent1 3 2 2 5 3" xfId="9064"/>
    <cellStyle name="40% - Accent1 3 2 2 5 3 2" xfId="21368"/>
    <cellStyle name="40% - Accent1 3 2 2 5 3 2 2" xfId="44227"/>
    <cellStyle name="40% - Accent1 3 2 2 5 3 3" xfId="31925"/>
    <cellStyle name="40% - Accent1 3 2 2 5 4" xfId="14338"/>
    <cellStyle name="40% - Accent1 3 2 2 5 4 2" xfId="37197"/>
    <cellStyle name="40% - Accent1 3 2 2 5 5" xfId="24895"/>
    <cellStyle name="40% - Accent1 3 2 2 6" xfId="3791"/>
    <cellStyle name="40% - Accent1 3 2 2 6 2" xfId="16095"/>
    <cellStyle name="40% - Accent1 3 2 2 6 2 2" xfId="38954"/>
    <cellStyle name="40% - Accent1 3 2 2 6 3" xfId="26652"/>
    <cellStyle name="40% - Accent1 3 2 2 7" xfId="7306"/>
    <cellStyle name="40% - Accent1 3 2 2 7 2" xfId="19610"/>
    <cellStyle name="40% - Accent1 3 2 2 7 2 2" xfId="42469"/>
    <cellStyle name="40% - Accent1 3 2 2 7 3" xfId="30167"/>
    <cellStyle name="40% - Accent1 3 2 2 8" xfId="10821"/>
    <cellStyle name="40% - Accent1 3 2 2 8 2" xfId="33681"/>
    <cellStyle name="40% - Accent1 3 2 2 9" xfId="12580"/>
    <cellStyle name="40% - Accent1 3 2 2 9 2" xfId="35439"/>
    <cellStyle name="40% - Accent1 3 2 3" xfId="376"/>
    <cellStyle name="40% - Accent1 3 2 3 2" xfId="817"/>
    <cellStyle name="40% - Accent1 3 2 3 2 2" xfId="1696"/>
    <cellStyle name="40% - Accent1 3 2 3 2 2 2" xfId="3457"/>
    <cellStyle name="40% - Accent1 3 2 3 2 2 2 2" xfId="6972"/>
    <cellStyle name="40% - Accent1 3 2 3 2 2 2 2 2" xfId="19276"/>
    <cellStyle name="40% - Accent1 3 2 3 2 2 2 2 2 2" xfId="42135"/>
    <cellStyle name="40% - Accent1 3 2 3 2 2 2 2 3" xfId="29833"/>
    <cellStyle name="40% - Accent1 3 2 3 2 2 2 3" xfId="10487"/>
    <cellStyle name="40% - Accent1 3 2 3 2 2 2 3 2" xfId="22791"/>
    <cellStyle name="40% - Accent1 3 2 3 2 2 2 3 2 2" xfId="45650"/>
    <cellStyle name="40% - Accent1 3 2 3 2 2 2 3 3" xfId="33348"/>
    <cellStyle name="40% - Accent1 3 2 3 2 2 2 4" xfId="15761"/>
    <cellStyle name="40% - Accent1 3 2 3 2 2 2 4 2" xfId="38620"/>
    <cellStyle name="40% - Accent1 3 2 3 2 2 2 5" xfId="26318"/>
    <cellStyle name="40% - Accent1 3 2 3 2 2 3" xfId="5214"/>
    <cellStyle name="40% - Accent1 3 2 3 2 2 3 2" xfId="17518"/>
    <cellStyle name="40% - Accent1 3 2 3 2 2 3 2 2" xfId="40377"/>
    <cellStyle name="40% - Accent1 3 2 3 2 2 3 3" xfId="28075"/>
    <cellStyle name="40% - Accent1 3 2 3 2 2 4" xfId="8729"/>
    <cellStyle name="40% - Accent1 3 2 3 2 2 4 2" xfId="21033"/>
    <cellStyle name="40% - Accent1 3 2 3 2 2 4 2 2" xfId="43892"/>
    <cellStyle name="40% - Accent1 3 2 3 2 2 4 3" xfId="31590"/>
    <cellStyle name="40% - Accent1 3 2 3 2 2 5" xfId="12244"/>
    <cellStyle name="40% - Accent1 3 2 3 2 2 5 2" xfId="35104"/>
    <cellStyle name="40% - Accent1 3 2 3 2 2 6" xfId="14003"/>
    <cellStyle name="40% - Accent1 3 2 3 2 2 6 2" xfId="36862"/>
    <cellStyle name="40% - Accent1 3 2 3 2 2 7" xfId="24559"/>
    <cellStyle name="40% - Accent1 3 2 3 2 3" xfId="2579"/>
    <cellStyle name="40% - Accent1 3 2 3 2 3 2" xfId="6094"/>
    <cellStyle name="40% - Accent1 3 2 3 2 3 2 2" xfId="18398"/>
    <cellStyle name="40% - Accent1 3 2 3 2 3 2 2 2" xfId="41257"/>
    <cellStyle name="40% - Accent1 3 2 3 2 3 2 3" xfId="28955"/>
    <cellStyle name="40% - Accent1 3 2 3 2 3 3" xfId="9609"/>
    <cellStyle name="40% - Accent1 3 2 3 2 3 3 2" xfId="21913"/>
    <cellStyle name="40% - Accent1 3 2 3 2 3 3 2 2" xfId="44772"/>
    <cellStyle name="40% - Accent1 3 2 3 2 3 3 3" xfId="32470"/>
    <cellStyle name="40% - Accent1 3 2 3 2 3 4" xfId="14883"/>
    <cellStyle name="40% - Accent1 3 2 3 2 3 4 2" xfId="37742"/>
    <cellStyle name="40% - Accent1 3 2 3 2 3 5" xfId="25440"/>
    <cellStyle name="40% - Accent1 3 2 3 2 4" xfId="4336"/>
    <cellStyle name="40% - Accent1 3 2 3 2 4 2" xfId="16640"/>
    <cellStyle name="40% - Accent1 3 2 3 2 4 2 2" xfId="39499"/>
    <cellStyle name="40% - Accent1 3 2 3 2 4 3" xfId="27197"/>
    <cellStyle name="40% - Accent1 3 2 3 2 5" xfId="7851"/>
    <cellStyle name="40% - Accent1 3 2 3 2 5 2" xfId="20155"/>
    <cellStyle name="40% - Accent1 3 2 3 2 5 2 2" xfId="43014"/>
    <cellStyle name="40% - Accent1 3 2 3 2 5 3" xfId="30712"/>
    <cellStyle name="40% - Accent1 3 2 3 2 6" xfId="11366"/>
    <cellStyle name="40% - Accent1 3 2 3 2 6 2" xfId="34226"/>
    <cellStyle name="40% - Accent1 3 2 3 2 7" xfId="13125"/>
    <cellStyle name="40% - Accent1 3 2 3 2 7 2" xfId="35984"/>
    <cellStyle name="40% - Accent1 3 2 3 2 8" xfId="23681"/>
    <cellStyle name="40% - Accent1 3 2 3 3" xfId="1257"/>
    <cellStyle name="40% - Accent1 3 2 3 3 2" xfId="3018"/>
    <cellStyle name="40% - Accent1 3 2 3 3 2 2" xfId="6533"/>
    <cellStyle name="40% - Accent1 3 2 3 3 2 2 2" xfId="18837"/>
    <cellStyle name="40% - Accent1 3 2 3 3 2 2 2 2" xfId="41696"/>
    <cellStyle name="40% - Accent1 3 2 3 3 2 2 3" xfId="29394"/>
    <cellStyle name="40% - Accent1 3 2 3 3 2 3" xfId="10048"/>
    <cellStyle name="40% - Accent1 3 2 3 3 2 3 2" xfId="22352"/>
    <cellStyle name="40% - Accent1 3 2 3 3 2 3 2 2" xfId="45211"/>
    <cellStyle name="40% - Accent1 3 2 3 3 2 3 3" xfId="32909"/>
    <cellStyle name="40% - Accent1 3 2 3 3 2 4" xfId="15322"/>
    <cellStyle name="40% - Accent1 3 2 3 3 2 4 2" xfId="38181"/>
    <cellStyle name="40% - Accent1 3 2 3 3 2 5" xfId="25879"/>
    <cellStyle name="40% - Accent1 3 2 3 3 3" xfId="4775"/>
    <cellStyle name="40% - Accent1 3 2 3 3 3 2" xfId="17079"/>
    <cellStyle name="40% - Accent1 3 2 3 3 3 2 2" xfId="39938"/>
    <cellStyle name="40% - Accent1 3 2 3 3 3 3" xfId="27636"/>
    <cellStyle name="40% - Accent1 3 2 3 3 4" xfId="8290"/>
    <cellStyle name="40% - Accent1 3 2 3 3 4 2" xfId="20594"/>
    <cellStyle name="40% - Accent1 3 2 3 3 4 2 2" xfId="43453"/>
    <cellStyle name="40% - Accent1 3 2 3 3 4 3" xfId="31151"/>
    <cellStyle name="40% - Accent1 3 2 3 3 5" xfId="11805"/>
    <cellStyle name="40% - Accent1 3 2 3 3 5 2" xfId="34665"/>
    <cellStyle name="40% - Accent1 3 2 3 3 6" xfId="13564"/>
    <cellStyle name="40% - Accent1 3 2 3 3 6 2" xfId="36423"/>
    <cellStyle name="40% - Accent1 3 2 3 3 7" xfId="24120"/>
    <cellStyle name="40% - Accent1 3 2 3 4" xfId="2140"/>
    <cellStyle name="40% - Accent1 3 2 3 4 2" xfId="5655"/>
    <cellStyle name="40% - Accent1 3 2 3 4 2 2" xfId="17959"/>
    <cellStyle name="40% - Accent1 3 2 3 4 2 2 2" xfId="40818"/>
    <cellStyle name="40% - Accent1 3 2 3 4 2 3" xfId="28516"/>
    <cellStyle name="40% - Accent1 3 2 3 4 3" xfId="9170"/>
    <cellStyle name="40% - Accent1 3 2 3 4 3 2" xfId="21474"/>
    <cellStyle name="40% - Accent1 3 2 3 4 3 2 2" xfId="44333"/>
    <cellStyle name="40% - Accent1 3 2 3 4 3 3" xfId="32031"/>
    <cellStyle name="40% - Accent1 3 2 3 4 4" xfId="14444"/>
    <cellStyle name="40% - Accent1 3 2 3 4 4 2" xfId="37303"/>
    <cellStyle name="40% - Accent1 3 2 3 4 5" xfId="25001"/>
    <cellStyle name="40% - Accent1 3 2 3 5" xfId="3897"/>
    <cellStyle name="40% - Accent1 3 2 3 5 2" xfId="16201"/>
    <cellStyle name="40% - Accent1 3 2 3 5 2 2" xfId="39060"/>
    <cellStyle name="40% - Accent1 3 2 3 5 3" xfId="26758"/>
    <cellStyle name="40% - Accent1 3 2 3 6" xfId="7412"/>
    <cellStyle name="40% - Accent1 3 2 3 6 2" xfId="19716"/>
    <cellStyle name="40% - Accent1 3 2 3 6 2 2" xfId="42575"/>
    <cellStyle name="40% - Accent1 3 2 3 6 3" xfId="30273"/>
    <cellStyle name="40% - Accent1 3 2 3 7" xfId="10927"/>
    <cellStyle name="40% - Accent1 3 2 3 7 2" xfId="33787"/>
    <cellStyle name="40% - Accent1 3 2 3 8" xfId="12686"/>
    <cellStyle name="40% - Accent1 3 2 3 8 2" xfId="35545"/>
    <cellStyle name="40% - Accent1 3 2 3 9" xfId="23241"/>
    <cellStyle name="40% - Accent1 3 2 4" xfId="605"/>
    <cellStyle name="40% - Accent1 3 2 4 2" xfId="1484"/>
    <cellStyle name="40% - Accent1 3 2 4 2 2" xfId="3245"/>
    <cellStyle name="40% - Accent1 3 2 4 2 2 2" xfId="6760"/>
    <cellStyle name="40% - Accent1 3 2 4 2 2 2 2" xfId="19064"/>
    <cellStyle name="40% - Accent1 3 2 4 2 2 2 2 2" xfId="41923"/>
    <cellStyle name="40% - Accent1 3 2 4 2 2 2 3" xfId="29621"/>
    <cellStyle name="40% - Accent1 3 2 4 2 2 3" xfId="10275"/>
    <cellStyle name="40% - Accent1 3 2 4 2 2 3 2" xfId="22579"/>
    <cellStyle name="40% - Accent1 3 2 4 2 2 3 2 2" xfId="45438"/>
    <cellStyle name="40% - Accent1 3 2 4 2 2 3 3" xfId="33136"/>
    <cellStyle name="40% - Accent1 3 2 4 2 2 4" xfId="15549"/>
    <cellStyle name="40% - Accent1 3 2 4 2 2 4 2" xfId="38408"/>
    <cellStyle name="40% - Accent1 3 2 4 2 2 5" xfId="26106"/>
    <cellStyle name="40% - Accent1 3 2 4 2 3" xfId="5002"/>
    <cellStyle name="40% - Accent1 3 2 4 2 3 2" xfId="17306"/>
    <cellStyle name="40% - Accent1 3 2 4 2 3 2 2" xfId="40165"/>
    <cellStyle name="40% - Accent1 3 2 4 2 3 3" xfId="27863"/>
    <cellStyle name="40% - Accent1 3 2 4 2 4" xfId="8517"/>
    <cellStyle name="40% - Accent1 3 2 4 2 4 2" xfId="20821"/>
    <cellStyle name="40% - Accent1 3 2 4 2 4 2 2" xfId="43680"/>
    <cellStyle name="40% - Accent1 3 2 4 2 4 3" xfId="31378"/>
    <cellStyle name="40% - Accent1 3 2 4 2 5" xfId="12032"/>
    <cellStyle name="40% - Accent1 3 2 4 2 5 2" xfId="34892"/>
    <cellStyle name="40% - Accent1 3 2 4 2 6" xfId="13791"/>
    <cellStyle name="40% - Accent1 3 2 4 2 6 2" xfId="36650"/>
    <cellStyle name="40% - Accent1 3 2 4 2 7" xfId="24347"/>
    <cellStyle name="40% - Accent1 3 2 4 3" xfId="2367"/>
    <cellStyle name="40% - Accent1 3 2 4 3 2" xfId="5882"/>
    <cellStyle name="40% - Accent1 3 2 4 3 2 2" xfId="18186"/>
    <cellStyle name="40% - Accent1 3 2 4 3 2 2 2" xfId="41045"/>
    <cellStyle name="40% - Accent1 3 2 4 3 2 3" xfId="28743"/>
    <cellStyle name="40% - Accent1 3 2 4 3 3" xfId="9397"/>
    <cellStyle name="40% - Accent1 3 2 4 3 3 2" xfId="21701"/>
    <cellStyle name="40% - Accent1 3 2 4 3 3 2 2" xfId="44560"/>
    <cellStyle name="40% - Accent1 3 2 4 3 3 3" xfId="32258"/>
    <cellStyle name="40% - Accent1 3 2 4 3 4" xfId="14671"/>
    <cellStyle name="40% - Accent1 3 2 4 3 4 2" xfId="37530"/>
    <cellStyle name="40% - Accent1 3 2 4 3 5" xfId="25228"/>
    <cellStyle name="40% - Accent1 3 2 4 4" xfId="4124"/>
    <cellStyle name="40% - Accent1 3 2 4 4 2" xfId="16428"/>
    <cellStyle name="40% - Accent1 3 2 4 4 2 2" xfId="39287"/>
    <cellStyle name="40% - Accent1 3 2 4 4 3" xfId="26985"/>
    <cellStyle name="40% - Accent1 3 2 4 5" xfId="7639"/>
    <cellStyle name="40% - Accent1 3 2 4 5 2" xfId="19943"/>
    <cellStyle name="40% - Accent1 3 2 4 5 2 2" xfId="42802"/>
    <cellStyle name="40% - Accent1 3 2 4 5 3" xfId="30500"/>
    <cellStyle name="40% - Accent1 3 2 4 6" xfId="11154"/>
    <cellStyle name="40% - Accent1 3 2 4 6 2" xfId="34014"/>
    <cellStyle name="40% - Accent1 3 2 4 7" xfId="12913"/>
    <cellStyle name="40% - Accent1 3 2 4 7 2" xfId="35772"/>
    <cellStyle name="40% - Accent1 3 2 4 8" xfId="23469"/>
    <cellStyle name="40% - Accent1 3 2 5" xfId="1045"/>
    <cellStyle name="40% - Accent1 3 2 5 2" xfId="2806"/>
    <cellStyle name="40% - Accent1 3 2 5 2 2" xfId="6321"/>
    <cellStyle name="40% - Accent1 3 2 5 2 2 2" xfId="18625"/>
    <cellStyle name="40% - Accent1 3 2 5 2 2 2 2" xfId="41484"/>
    <cellStyle name="40% - Accent1 3 2 5 2 2 3" xfId="29182"/>
    <cellStyle name="40% - Accent1 3 2 5 2 3" xfId="9836"/>
    <cellStyle name="40% - Accent1 3 2 5 2 3 2" xfId="22140"/>
    <cellStyle name="40% - Accent1 3 2 5 2 3 2 2" xfId="44999"/>
    <cellStyle name="40% - Accent1 3 2 5 2 3 3" xfId="32697"/>
    <cellStyle name="40% - Accent1 3 2 5 2 4" xfId="15110"/>
    <cellStyle name="40% - Accent1 3 2 5 2 4 2" xfId="37969"/>
    <cellStyle name="40% - Accent1 3 2 5 2 5" xfId="25667"/>
    <cellStyle name="40% - Accent1 3 2 5 3" xfId="4563"/>
    <cellStyle name="40% - Accent1 3 2 5 3 2" xfId="16867"/>
    <cellStyle name="40% - Accent1 3 2 5 3 2 2" xfId="39726"/>
    <cellStyle name="40% - Accent1 3 2 5 3 3" xfId="27424"/>
    <cellStyle name="40% - Accent1 3 2 5 4" xfId="8078"/>
    <cellStyle name="40% - Accent1 3 2 5 4 2" xfId="20382"/>
    <cellStyle name="40% - Accent1 3 2 5 4 2 2" xfId="43241"/>
    <cellStyle name="40% - Accent1 3 2 5 4 3" xfId="30939"/>
    <cellStyle name="40% - Accent1 3 2 5 5" xfId="11593"/>
    <cellStyle name="40% - Accent1 3 2 5 5 2" xfId="34453"/>
    <cellStyle name="40% - Accent1 3 2 5 6" xfId="13352"/>
    <cellStyle name="40% - Accent1 3 2 5 6 2" xfId="36211"/>
    <cellStyle name="40% - Accent1 3 2 5 7" xfId="23908"/>
    <cellStyle name="40% - Accent1 3 2 6" xfId="1928"/>
    <cellStyle name="40% - Accent1 3 2 6 2" xfId="5443"/>
    <cellStyle name="40% - Accent1 3 2 6 2 2" xfId="17747"/>
    <cellStyle name="40% - Accent1 3 2 6 2 2 2" xfId="40606"/>
    <cellStyle name="40% - Accent1 3 2 6 2 3" xfId="28304"/>
    <cellStyle name="40% - Accent1 3 2 6 3" xfId="8958"/>
    <cellStyle name="40% - Accent1 3 2 6 3 2" xfId="21262"/>
    <cellStyle name="40% - Accent1 3 2 6 3 2 2" xfId="44121"/>
    <cellStyle name="40% - Accent1 3 2 6 3 3" xfId="31819"/>
    <cellStyle name="40% - Accent1 3 2 6 4" xfId="14232"/>
    <cellStyle name="40% - Accent1 3 2 6 4 2" xfId="37091"/>
    <cellStyle name="40% - Accent1 3 2 6 5" xfId="24789"/>
    <cellStyle name="40% - Accent1 3 2 7" xfId="3685"/>
    <cellStyle name="40% - Accent1 3 2 7 2" xfId="15989"/>
    <cellStyle name="40% - Accent1 3 2 7 2 2" xfId="38848"/>
    <cellStyle name="40% - Accent1 3 2 7 3" xfId="26546"/>
    <cellStyle name="40% - Accent1 3 2 8" xfId="7200"/>
    <cellStyle name="40% - Accent1 3 2 8 2" xfId="19504"/>
    <cellStyle name="40% - Accent1 3 2 8 2 2" xfId="42363"/>
    <cellStyle name="40% - Accent1 3 2 8 3" xfId="30061"/>
    <cellStyle name="40% - Accent1 3 2 9" xfId="10715"/>
    <cellStyle name="40% - Accent1 3 2 9 2" xfId="33575"/>
    <cellStyle name="40% - Accent1 3 3" xfId="216"/>
    <cellStyle name="40% - Accent1 3 3 10" xfId="23081"/>
    <cellStyle name="40% - Accent1 3 3 2" xfId="428"/>
    <cellStyle name="40% - Accent1 3 3 2 2" xfId="869"/>
    <cellStyle name="40% - Accent1 3 3 2 2 2" xfId="1748"/>
    <cellStyle name="40% - Accent1 3 3 2 2 2 2" xfId="3509"/>
    <cellStyle name="40% - Accent1 3 3 2 2 2 2 2" xfId="7024"/>
    <cellStyle name="40% - Accent1 3 3 2 2 2 2 2 2" xfId="19328"/>
    <cellStyle name="40% - Accent1 3 3 2 2 2 2 2 2 2" xfId="42187"/>
    <cellStyle name="40% - Accent1 3 3 2 2 2 2 2 3" xfId="29885"/>
    <cellStyle name="40% - Accent1 3 3 2 2 2 2 3" xfId="10539"/>
    <cellStyle name="40% - Accent1 3 3 2 2 2 2 3 2" xfId="22843"/>
    <cellStyle name="40% - Accent1 3 3 2 2 2 2 3 2 2" xfId="45702"/>
    <cellStyle name="40% - Accent1 3 3 2 2 2 2 3 3" xfId="33400"/>
    <cellStyle name="40% - Accent1 3 3 2 2 2 2 4" xfId="15813"/>
    <cellStyle name="40% - Accent1 3 3 2 2 2 2 4 2" xfId="38672"/>
    <cellStyle name="40% - Accent1 3 3 2 2 2 2 5" xfId="26370"/>
    <cellStyle name="40% - Accent1 3 3 2 2 2 3" xfId="5266"/>
    <cellStyle name="40% - Accent1 3 3 2 2 2 3 2" xfId="17570"/>
    <cellStyle name="40% - Accent1 3 3 2 2 2 3 2 2" xfId="40429"/>
    <cellStyle name="40% - Accent1 3 3 2 2 2 3 3" xfId="28127"/>
    <cellStyle name="40% - Accent1 3 3 2 2 2 4" xfId="8781"/>
    <cellStyle name="40% - Accent1 3 3 2 2 2 4 2" xfId="21085"/>
    <cellStyle name="40% - Accent1 3 3 2 2 2 4 2 2" xfId="43944"/>
    <cellStyle name="40% - Accent1 3 3 2 2 2 4 3" xfId="31642"/>
    <cellStyle name="40% - Accent1 3 3 2 2 2 5" xfId="12296"/>
    <cellStyle name="40% - Accent1 3 3 2 2 2 5 2" xfId="35156"/>
    <cellStyle name="40% - Accent1 3 3 2 2 2 6" xfId="14055"/>
    <cellStyle name="40% - Accent1 3 3 2 2 2 6 2" xfId="36914"/>
    <cellStyle name="40% - Accent1 3 3 2 2 2 7" xfId="24611"/>
    <cellStyle name="40% - Accent1 3 3 2 2 3" xfId="2631"/>
    <cellStyle name="40% - Accent1 3 3 2 2 3 2" xfId="6146"/>
    <cellStyle name="40% - Accent1 3 3 2 2 3 2 2" xfId="18450"/>
    <cellStyle name="40% - Accent1 3 3 2 2 3 2 2 2" xfId="41309"/>
    <cellStyle name="40% - Accent1 3 3 2 2 3 2 3" xfId="29007"/>
    <cellStyle name="40% - Accent1 3 3 2 2 3 3" xfId="9661"/>
    <cellStyle name="40% - Accent1 3 3 2 2 3 3 2" xfId="21965"/>
    <cellStyle name="40% - Accent1 3 3 2 2 3 3 2 2" xfId="44824"/>
    <cellStyle name="40% - Accent1 3 3 2 2 3 3 3" xfId="32522"/>
    <cellStyle name="40% - Accent1 3 3 2 2 3 4" xfId="14935"/>
    <cellStyle name="40% - Accent1 3 3 2 2 3 4 2" xfId="37794"/>
    <cellStyle name="40% - Accent1 3 3 2 2 3 5" xfId="25492"/>
    <cellStyle name="40% - Accent1 3 3 2 2 4" xfId="4388"/>
    <cellStyle name="40% - Accent1 3 3 2 2 4 2" xfId="16692"/>
    <cellStyle name="40% - Accent1 3 3 2 2 4 2 2" xfId="39551"/>
    <cellStyle name="40% - Accent1 3 3 2 2 4 3" xfId="27249"/>
    <cellStyle name="40% - Accent1 3 3 2 2 5" xfId="7903"/>
    <cellStyle name="40% - Accent1 3 3 2 2 5 2" xfId="20207"/>
    <cellStyle name="40% - Accent1 3 3 2 2 5 2 2" xfId="43066"/>
    <cellStyle name="40% - Accent1 3 3 2 2 5 3" xfId="30764"/>
    <cellStyle name="40% - Accent1 3 3 2 2 6" xfId="11418"/>
    <cellStyle name="40% - Accent1 3 3 2 2 6 2" xfId="34278"/>
    <cellStyle name="40% - Accent1 3 3 2 2 7" xfId="13177"/>
    <cellStyle name="40% - Accent1 3 3 2 2 7 2" xfId="36036"/>
    <cellStyle name="40% - Accent1 3 3 2 2 8" xfId="23733"/>
    <cellStyle name="40% - Accent1 3 3 2 3" xfId="1309"/>
    <cellStyle name="40% - Accent1 3 3 2 3 2" xfId="3070"/>
    <cellStyle name="40% - Accent1 3 3 2 3 2 2" xfId="6585"/>
    <cellStyle name="40% - Accent1 3 3 2 3 2 2 2" xfId="18889"/>
    <cellStyle name="40% - Accent1 3 3 2 3 2 2 2 2" xfId="41748"/>
    <cellStyle name="40% - Accent1 3 3 2 3 2 2 3" xfId="29446"/>
    <cellStyle name="40% - Accent1 3 3 2 3 2 3" xfId="10100"/>
    <cellStyle name="40% - Accent1 3 3 2 3 2 3 2" xfId="22404"/>
    <cellStyle name="40% - Accent1 3 3 2 3 2 3 2 2" xfId="45263"/>
    <cellStyle name="40% - Accent1 3 3 2 3 2 3 3" xfId="32961"/>
    <cellStyle name="40% - Accent1 3 3 2 3 2 4" xfId="15374"/>
    <cellStyle name="40% - Accent1 3 3 2 3 2 4 2" xfId="38233"/>
    <cellStyle name="40% - Accent1 3 3 2 3 2 5" xfId="25931"/>
    <cellStyle name="40% - Accent1 3 3 2 3 3" xfId="4827"/>
    <cellStyle name="40% - Accent1 3 3 2 3 3 2" xfId="17131"/>
    <cellStyle name="40% - Accent1 3 3 2 3 3 2 2" xfId="39990"/>
    <cellStyle name="40% - Accent1 3 3 2 3 3 3" xfId="27688"/>
    <cellStyle name="40% - Accent1 3 3 2 3 4" xfId="8342"/>
    <cellStyle name="40% - Accent1 3 3 2 3 4 2" xfId="20646"/>
    <cellStyle name="40% - Accent1 3 3 2 3 4 2 2" xfId="43505"/>
    <cellStyle name="40% - Accent1 3 3 2 3 4 3" xfId="31203"/>
    <cellStyle name="40% - Accent1 3 3 2 3 5" xfId="11857"/>
    <cellStyle name="40% - Accent1 3 3 2 3 5 2" xfId="34717"/>
    <cellStyle name="40% - Accent1 3 3 2 3 6" xfId="13616"/>
    <cellStyle name="40% - Accent1 3 3 2 3 6 2" xfId="36475"/>
    <cellStyle name="40% - Accent1 3 3 2 3 7" xfId="24172"/>
    <cellStyle name="40% - Accent1 3 3 2 4" xfId="2192"/>
    <cellStyle name="40% - Accent1 3 3 2 4 2" xfId="5707"/>
    <cellStyle name="40% - Accent1 3 3 2 4 2 2" xfId="18011"/>
    <cellStyle name="40% - Accent1 3 3 2 4 2 2 2" xfId="40870"/>
    <cellStyle name="40% - Accent1 3 3 2 4 2 3" xfId="28568"/>
    <cellStyle name="40% - Accent1 3 3 2 4 3" xfId="9222"/>
    <cellStyle name="40% - Accent1 3 3 2 4 3 2" xfId="21526"/>
    <cellStyle name="40% - Accent1 3 3 2 4 3 2 2" xfId="44385"/>
    <cellStyle name="40% - Accent1 3 3 2 4 3 3" xfId="32083"/>
    <cellStyle name="40% - Accent1 3 3 2 4 4" xfId="14496"/>
    <cellStyle name="40% - Accent1 3 3 2 4 4 2" xfId="37355"/>
    <cellStyle name="40% - Accent1 3 3 2 4 5" xfId="25053"/>
    <cellStyle name="40% - Accent1 3 3 2 5" xfId="3949"/>
    <cellStyle name="40% - Accent1 3 3 2 5 2" xfId="16253"/>
    <cellStyle name="40% - Accent1 3 3 2 5 2 2" xfId="39112"/>
    <cellStyle name="40% - Accent1 3 3 2 5 3" xfId="26810"/>
    <cellStyle name="40% - Accent1 3 3 2 6" xfId="7464"/>
    <cellStyle name="40% - Accent1 3 3 2 6 2" xfId="19768"/>
    <cellStyle name="40% - Accent1 3 3 2 6 2 2" xfId="42627"/>
    <cellStyle name="40% - Accent1 3 3 2 6 3" xfId="30325"/>
    <cellStyle name="40% - Accent1 3 3 2 7" xfId="10979"/>
    <cellStyle name="40% - Accent1 3 3 2 7 2" xfId="33839"/>
    <cellStyle name="40% - Accent1 3 3 2 8" xfId="12738"/>
    <cellStyle name="40% - Accent1 3 3 2 8 2" xfId="35597"/>
    <cellStyle name="40% - Accent1 3 3 2 9" xfId="23293"/>
    <cellStyle name="40% - Accent1 3 3 3" xfId="657"/>
    <cellStyle name="40% - Accent1 3 3 3 2" xfId="1536"/>
    <cellStyle name="40% - Accent1 3 3 3 2 2" xfId="3297"/>
    <cellStyle name="40% - Accent1 3 3 3 2 2 2" xfId="6812"/>
    <cellStyle name="40% - Accent1 3 3 3 2 2 2 2" xfId="19116"/>
    <cellStyle name="40% - Accent1 3 3 3 2 2 2 2 2" xfId="41975"/>
    <cellStyle name="40% - Accent1 3 3 3 2 2 2 3" xfId="29673"/>
    <cellStyle name="40% - Accent1 3 3 3 2 2 3" xfId="10327"/>
    <cellStyle name="40% - Accent1 3 3 3 2 2 3 2" xfId="22631"/>
    <cellStyle name="40% - Accent1 3 3 3 2 2 3 2 2" xfId="45490"/>
    <cellStyle name="40% - Accent1 3 3 3 2 2 3 3" xfId="33188"/>
    <cellStyle name="40% - Accent1 3 3 3 2 2 4" xfId="15601"/>
    <cellStyle name="40% - Accent1 3 3 3 2 2 4 2" xfId="38460"/>
    <cellStyle name="40% - Accent1 3 3 3 2 2 5" xfId="26158"/>
    <cellStyle name="40% - Accent1 3 3 3 2 3" xfId="5054"/>
    <cellStyle name="40% - Accent1 3 3 3 2 3 2" xfId="17358"/>
    <cellStyle name="40% - Accent1 3 3 3 2 3 2 2" xfId="40217"/>
    <cellStyle name="40% - Accent1 3 3 3 2 3 3" xfId="27915"/>
    <cellStyle name="40% - Accent1 3 3 3 2 4" xfId="8569"/>
    <cellStyle name="40% - Accent1 3 3 3 2 4 2" xfId="20873"/>
    <cellStyle name="40% - Accent1 3 3 3 2 4 2 2" xfId="43732"/>
    <cellStyle name="40% - Accent1 3 3 3 2 4 3" xfId="31430"/>
    <cellStyle name="40% - Accent1 3 3 3 2 5" xfId="12084"/>
    <cellStyle name="40% - Accent1 3 3 3 2 5 2" xfId="34944"/>
    <cellStyle name="40% - Accent1 3 3 3 2 6" xfId="13843"/>
    <cellStyle name="40% - Accent1 3 3 3 2 6 2" xfId="36702"/>
    <cellStyle name="40% - Accent1 3 3 3 2 7" xfId="24399"/>
    <cellStyle name="40% - Accent1 3 3 3 3" xfId="2419"/>
    <cellStyle name="40% - Accent1 3 3 3 3 2" xfId="5934"/>
    <cellStyle name="40% - Accent1 3 3 3 3 2 2" xfId="18238"/>
    <cellStyle name="40% - Accent1 3 3 3 3 2 2 2" xfId="41097"/>
    <cellStyle name="40% - Accent1 3 3 3 3 2 3" xfId="28795"/>
    <cellStyle name="40% - Accent1 3 3 3 3 3" xfId="9449"/>
    <cellStyle name="40% - Accent1 3 3 3 3 3 2" xfId="21753"/>
    <cellStyle name="40% - Accent1 3 3 3 3 3 2 2" xfId="44612"/>
    <cellStyle name="40% - Accent1 3 3 3 3 3 3" xfId="32310"/>
    <cellStyle name="40% - Accent1 3 3 3 3 4" xfId="14723"/>
    <cellStyle name="40% - Accent1 3 3 3 3 4 2" xfId="37582"/>
    <cellStyle name="40% - Accent1 3 3 3 3 5" xfId="25280"/>
    <cellStyle name="40% - Accent1 3 3 3 4" xfId="4176"/>
    <cellStyle name="40% - Accent1 3 3 3 4 2" xfId="16480"/>
    <cellStyle name="40% - Accent1 3 3 3 4 2 2" xfId="39339"/>
    <cellStyle name="40% - Accent1 3 3 3 4 3" xfId="27037"/>
    <cellStyle name="40% - Accent1 3 3 3 5" xfId="7691"/>
    <cellStyle name="40% - Accent1 3 3 3 5 2" xfId="19995"/>
    <cellStyle name="40% - Accent1 3 3 3 5 2 2" xfId="42854"/>
    <cellStyle name="40% - Accent1 3 3 3 5 3" xfId="30552"/>
    <cellStyle name="40% - Accent1 3 3 3 6" xfId="11206"/>
    <cellStyle name="40% - Accent1 3 3 3 6 2" xfId="34066"/>
    <cellStyle name="40% - Accent1 3 3 3 7" xfId="12965"/>
    <cellStyle name="40% - Accent1 3 3 3 7 2" xfId="35824"/>
    <cellStyle name="40% - Accent1 3 3 3 8" xfId="23521"/>
    <cellStyle name="40% - Accent1 3 3 4" xfId="1097"/>
    <cellStyle name="40% - Accent1 3 3 4 2" xfId="2858"/>
    <cellStyle name="40% - Accent1 3 3 4 2 2" xfId="6373"/>
    <cellStyle name="40% - Accent1 3 3 4 2 2 2" xfId="18677"/>
    <cellStyle name="40% - Accent1 3 3 4 2 2 2 2" xfId="41536"/>
    <cellStyle name="40% - Accent1 3 3 4 2 2 3" xfId="29234"/>
    <cellStyle name="40% - Accent1 3 3 4 2 3" xfId="9888"/>
    <cellStyle name="40% - Accent1 3 3 4 2 3 2" xfId="22192"/>
    <cellStyle name="40% - Accent1 3 3 4 2 3 2 2" xfId="45051"/>
    <cellStyle name="40% - Accent1 3 3 4 2 3 3" xfId="32749"/>
    <cellStyle name="40% - Accent1 3 3 4 2 4" xfId="15162"/>
    <cellStyle name="40% - Accent1 3 3 4 2 4 2" xfId="38021"/>
    <cellStyle name="40% - Accent1 3 3 4 2 5" xfId="25719"/>
    <cellStyle name="40% - Accent1 3 3 4 3" xfId="4615"/>
    <cellStyle name="40% - Accent1 3 3 4 3 2" xfId="16919"/>
    <cellStyle name="40% - Accent1 3 3 4 3 2 2" xfId="39778"/>
    <cellStyle name="40% - Accent1 3 3 4 3 3" xfId="27476"/>
    <cellStyle name="40% - Accent1 3 3 4 4" xfId="8130"/>
    <cellStyle name="40% - Accent1 3 3 4 4 2" xfId="20434"/>
    <cellStyle name="40% - Accent1 3 3 4 4 2 2" xfId="43293"/>
    <cellStyle name="40% - Accent1 3 3 4 4 3" xfId="30991"/>
    <cellStyle name="40% - Accent1 3 3 4 5" xfId="11645"/>
    <cellStyle name="40% - Accent1 3 3 4 5 2" xfId="34505"/>
    <cellStyle name="40% - Accent1 3 3 4 6" xfId="13404"/>
    <cellStyle name="40% - Accent1 3 3 4 6 2" xfId="36263"/>
    <cellStyle name="40% - Accent1 3 3 4 7" xfId="23960"/>
    <cellStyle name="40% - Accent1 3 3 5" xfId="1980"/>
    <cellStyle name="40% - Accent1 3 3 5 2" xfId="5495"/>
    <cellStyle name="40% - Accent1 3 3 5 2 2" xfId="17799"/>
    <cellStyle name="40% - Accent1 3 3 5 2 2 2" xfId="40658"/>
    <cellStyle name="40% - Accent1 3 3 5 2 3" xfId="28356"/>
    <cellStyle name="40% - Accent1 3 3 5 3" xfId="9010"/>
    <cellStyle name="40% - Accent1 3 3 5 3 2" xfId="21314"/>
    <cellStyle name="40% - Accent1 3 3 5 3 2 2" xfId="44173"/>
    <cellStyle name="40% - Accent1 3 3 5 3 3" xfId="31871"/>
    <cellStyle name="40% - Accent1 3 3 5 4" xfId="14284"/>
    <cellStyle name="40% - Accent1 3 3 5 4 2" xfId="37143"/>
    <cellStyle name="40% - Accent1 3 3 5 5" xfId="24841"/>
    <cellStyle name="40% - Accent1 3 3 6" xfId="3737"/>
    <cellStyle name="40% - Accent1 3 3 6 2" xfId="16041"/>
    <cellStyle name="40% - Accent1 3 3 6 2 2" xfId="38900"/>
    <cellStyle name="40% - Accent1 3 3 6 3" xfId="26598"/>
    <cellStyle name="40% - Accent1 3 3 7" xfId="7252"/>
    <cellStyle name="40% - Accent1 3 3 7 2" xfId="19556"/>
    <cellStyle name="40% - Accent1 3 3 7 2 2" xfId="42415"/>
    <cellStyle name="40% - Accent1 3 3 7 3" xfId="30113"/>
    <cellStyle name="40% - Accent1 3 3 8" xfId="10767"/>
    <cellStyle name="40% - Accent1 3 3 8 2" xfId="33627"/>
    <cellStyle name="40% - Accent1 3 3 9" xfId="12526"/>
    <cellStyle name="40% - Accent1 3 3 9 2" xfId="35385"/>
    <cellStyle name="40% - Accent1 3 4" xfId="322"/>
    <cellStyle name="40% - Accent1 3 4 2" xfId="763"/>
    <cellStyle name="40% - Accent1 3 4 2 2" xfId="1642"/>
    <cellStyle name="40% - Accent1 3 4 2 2 2" xfId="3403"/>
    <cellStyle name="40% - Accent1 3 4 2 2 2 2" xfId="6918"/>
    <cellStyle name="40% - Accent1 3 4 2 2 2 2 2" xfId="19222"/>
    <cellStyle name="40% - Accent1 3 4 2 2 2 2 2 2" xfId="42081"/>
    <cellStyle name="40% - Accent1 3 4 2 2 2 2 3" xfId="29779"/>
    <cellStyle name="40% - Accent1 3 4 2 2 2 3" xfId="10433"/>
    <cellStyle name="40% - Accent1 3 4 2 2 2 3 2" xfId="22737"/>
    <cellStyle name="40% - Accent1 3 4 2 2 2 3 2 2" xfId="45596"/>
    <cellStyle name="40% - Accent1 3 4 2 2 2 3 3" xfId="33294"/>
    <cellStyle name="40% - Accent1 3 4 2 2 2 4" xfId="15707"/>
    <cellStyle name="40% - Accent1 3 4 2 2 2 4 2" xfId="38566"/>
    <cellStyle name="40% - Accent1 3 4 2 2 2 5" xfId="26264"/>
    <cellStyle name="40% - Accent1 3 4 2 2 3" xfId="5160"/>
    <cellStyle name="40% - Accent1 3 4 2 2 3 2" xfId="17464"/>
    <cellStyle name="40% - Accent1 3 4 2 2 3 2 2" xfId="40323"/>
    <cellStyle name="40% - Accent1 3 4 2 2 3 3" xfId="28021"/>
    <cellStyle name="40% - Accent1 3 4 2 2 4" xfId="8675"/>
    <cellStyle name="40% - Accent1 3 4 2 2 4 2" xfId="20979"/>
    <cellStyle name="40% - Accent1 3 4 2 2 4 2 2" xfId="43838"/>
    <cellStyle name="40% - Accent1 3 4 2 2 4 3" xfId="31536"/>
    <cellStyle name="40% - Accent1 3 4 2 2 5" xfId="12190"/>
    <cellStyle name="40% - Accent1 3 4 2 2 5 2" xfId="35050"/>
    <cellStyle name="40% - Accent1 3 4 2 2 6" xfId="13949"/>
    <cellStyle name="40% - Accent1 3 4 2 2 6 2" xfId="36808"/>
    <cellStyle name="40% - Accent1 3 4 2 2 7" xfId="24505"/>
    <cellStyle name="40% - Accent1 3 4 2 3" xfId="2525"/>
    <cellStyle name="40% - Accent1 3 4 2 3 2" xfId="6040"/>
    <cellStyle name="40% - Accent1 3 4 2 3 2 2" xfId="18344"/>
    <cellStyle name="40% - Accent1 3 4 2 3 2 2 2" xfId="41203"/>
    <cellStyle name="40% - Accent1 3 4 2 3 2 3" xfId="28901"/>
    <cellStyle name="40% - Accent1 3 4 2 3 3" xfId="9555"/>
    <cellStyle name="40% - Accent1 3 4 2 3 3 2" xfId="21859"/>
    <cellStyle name="40% - Accent1 3 4 2 3 3 2 2" xfId="44718"/>
    <cellStyle name="40% - Accent1 3 4 2 3 3 3" xfId="32416"/>
    <cellStyle name="40% - Accent1 3 4 2 3 4" xfId="14829"/>
    <cellStyle name="40% - Accent1 3 4 2 3 4 2" xfId="37688"/>
    <cellStyle name="40% - Accent1 3 4 2 3 5" xfId="25386"/>
    <cellStyle name="40% - Accent1 3 4 2 4" xfId="4282"/>
    <cellStyle name="40% - Accent1 3 4 2 4 2" xfId="16586"/>
    <cellStyle name="40% - Accent1 3 4 2 4 2 2" xfId="39445"/>
    <cellStyle name="40% - Accent1 3 4 2 4 3" xfId="27143"/>
    <cellStyle name="40% - Accent1 3 4 2 5" xfId="7797"/>
    <cellStyle name="40% - Accent1 3 4 2 5 2" xfId="20101"/>
    <cellStyle name="40% - Accent1 3 4 2 5 2 2" xfId="42960"/>
    <cellStyle name="40% - Accent1 3 4 2 5 3" xfId="30658"/>
    <cellStyle name="40% - Accent1 3 4 2 6" xfId="11312"/>
    <cellStyle name="40% - Accent1 3 4 2 6 2" xfId="34172"/>
    <cellStyle name="40% - Accent1 3 4 2 7" xfId="13071"/>
    <cellStyle name="40% - Accent1 3 4 2 7 2" xfId="35930"/>
    <cellStyle name="40% - Accent1 3 4 2 8" xfId="23627"/>
    <cellStyle name="40% - Accent1 3 4 3" xfId="1203"/>
    <cellStyle name="40% - Accent1 3 4 3 2" xfId="2964"/>
    <cellStyle name="40% - Accent1 3 4 3 2 2" xfId="6479"/>
    <cellStyle name="40% - Accent1 3 4 3 2 2 2" xfId="18783"/>
    <cellStyle name="40% - Accent1 3 4 3 2 2 2 2" xfId="41642"/>
    <cellStyle name="40% - Accent1 3 4 3 2 2 3" xfId="29340"/>
    <cellStyle name="40% - Accent1 3 4 3 2 3" xfId="9994"/>
    <cellStyle name="40% - Accent1 3 4 3 2 3 2" xfId="22298"/>
    <cellStyle name="40% - Accent1 3 4 3 2 3 2 2" xfId="45157"/>
    <cellStyle name="40% - Accent1 3 4 3 2 3 3" xfId="32855"/>
    <cellStyle name="40% - Accent1 3 4 3 2 4" xfId="15268"/>
    <cellStyle name="40% - Accent1 3 4 3 2 4 2" xfId="38127"/>
    <cellStyle name="40% - Accent1 3 4 3 2 5" xfId="25825"/>
    <cellStyle name="40% - Accent1 3 4 3 3" xfId="4721"/>
    <cellStyle name="40% - Accent1 3 4 3 3 2" xfId="17025"/>
    <cellStyle name="40% - Accent1 3 4 3 3 2 2" xfId="39884"/>
    <cellStyle name="40% - Accent1 3 4 3 3 3" xfId="27582"/>
    <cellStyle name="40% - Accent1 3 4 3 4" xfId="8236"/>
    <cellStyle name="40% - Accent1 3 4 3 4 2" xfId="20540"/>
    <cellStyle name="40% - Accent1 3 4 3 4 2 2" xfId="43399"/>
    <cellStyle name="40% - Accent1 3 4 3 4 3" xfId="31097"/>
    <cellStyle name="40% - Accent1 3 4 3 5" xfId="11751"/>
    <cellStyle name="40% - Accent1 3 4 3 5 2" xfId="34611"/>
    <cellStyle name="40% - Accent1 3 4 3 6" xfId="13510"/>
    <cellStyle name="40% - Accent1 3 4 3 6 2" xfId="36369"/>
    <cellStyle name="40% - Accent1 3 4 3 7" xfId="24066"/>
    <cellStyle name="40% - Accent1 3 4 4" xfId="2086"/>
    <cellStyle name="40% - Accent1 3 4 4 2" xfId="5601"/>
    <cellStyle name="40% - Accent1 3 4 4 2 2" xfId="17905"/>
    <cellStyle name="40% - Accent1 3 4 4 2 2 2" xfId="40764"/>
    <cellStyle name="40% - Accent1 3 4 4 2 3" xfId="28462"/>
    <cellStyle name="40% - Accent1 3 4 4 3" xfId="9116"/>
    <cellStyle name="40% - Accent1 3 4 4 3 2" xfId="21420"/>
    <cellStyle name="40% - Accent1 3 4 4 3 2 2" xfId="44279"/>
    <cellStyle name="40% - Accent1 3 4 4 3 3" xfId="31977"/>
    <cellStyle name="40% - Accent1 3 4 4 4" xfId="14390"/>
    <cellStyle name="40% - Accent1 3 4 4 4 2" xfId="37249"/>
    <cellStyle name="40% - Accent1 3 4 4 5" xfId="24947"/>
    <cellStyle name="40% - Accent1 3 4 5" xfId="3843"/>
    <cellStyle name="40% - Accent1 3 4 5 2" xfId="16147"/>
    <cellStyle name="40% - Accent1 3 4 5 2 2" xfId="39006"/>
    <cellStyle name="40% - Accent1 3 4 5 3" xfId="26704"/>
    <cellStyle name="40% - Accent1 3 4 6" xfId="7358"/>
    <cellStyle name="40% - Accent1 3 4 6 2" xfId="19662"/>
    <cellStyle name="40% - Accent1 3 4 6 2 2" xfId="42521"/>
    <cellStyle name="40% - Accent1 3 4 6 3" xfId="30219"/>
    <cellStyle name="40% - Accent1 3 4 7" xfId="10873"/>
    <cellStyle name="40% - Accent1 3 4 7 2" xfId="33733"/>
    <cellStyle name="40% - Accent1 3 4 8" xfId="12632"/>
    <cellStyle name="40% - Accent1 3 4 8 2" xfId="35491"/>
    <cellStyle name="40% - Accent1 3 4 9" xfId="23187"/>
    <cellStyle name="40% - Accent1 3 5" xfId="551"/>
    <cellStyle name="40% - Accent1 3 5 2" xfId="1430"/>
    <cellStyle name="40% - Accent1 3 5 2 2" xfId="3191"/>
    <cellStyle name="40% - Accent1 3 5 2 2 2" xfId="6706"/>
    <cellStyle name="40% - Accent1 3 5 2 2 2 2" xfId="19010"/>
    <cellStyle name="40% - Accent1 3 5 2 2 2 2 2" xfId="41869"/>
    <cellStyle name="40% - Accent1 3 5 2 2 2 3" xfId="29567"/>
    <cellStyle name="40% - Accent1 3 5 2 2 3" xfId="10221"/>
    <cellStyle name="40% - Accent1 3 5 2 2 3 2" xfId="22525"/>
    <cellStyle name="40% - Accent1 3 5 2 2 3 2 2" xfId="45384"/>
    <cellStyle name="40% - Accent1 3 5 2 2 3 3" xfId="33082"/>
    <cellStyle name="40% - Accent1 3 5 2 2 4" xfId="15495"/>
    <cellStyle name="40% - Accent1 3 5 2 2 4 2" xfId="38354"/>
    <cellStyle name="40% - Accent1 3 5 2 2 5" xfId="26052"/>
    <cellStyle name="40% - Accent1 3 5 2 3" xfId="4948"/>
    <cellStyle name="40% - Accent1 3 5 2 3 2" xfId="17252"/>
    <cellStyle name="40% - Accent1 3 5 2 3 2 2" xfId="40111"/>
    <cellStyle name="40% - Accent1 3 5 2 3 3" xfId="27809"/>
    <cellStyle name="40% - Accent1 3 5 2 4" xfId="8463"/>
    <cellStyle name="40% - Accent1 3 5 2 4 2" xfId="20767"/>
    <cellStyle name="40% - Accent1 3 5 2 4 2 2" xfId="43626"/>
    <cellStyle name="40% - Accent1 3 5 2 4 3" xfId="31324"/>
    <cellStyle name="40% - Accent1 3 5 2 5" xfId="11978"/>
    <cellStyle name="40% - Accent1 3 5 2 5 2" xfId="34838"/>
    <cellStyle name="40% - Accent1 3 5 2 6" xfId="13737"/>
    <cellStyle name="40% - Accent1 3 5 2 6 2" xfId="36596"/>
    <cellStyle name="40% - Accent1 3 5 2 7" xfId="24293"/>
    <cellStyle name="40% - Accent1 3 5 3" xfId="2313"/>
    <cellStyle name="40% - Accent1 3 5 3 2" xfId="5828"/>
    <cellStyle name="40% - Accent1 3 5 3 2 2" xfId="18132"/>
    <cellStyle name="40% - Accent1 3 5 3 2 2 2" xfId="40991"/>
    <cellStyle name="40% - Accent1 3 5 3 2 3" xfId="28689"/>
    <cellStyle name="40% - Accent1 3 5 3 3" xfId="9343"/>
    <cellStyle name="40% - Accent1 3 5 3 3 2" xfId="21647"/>
    <cellStyle name="40% - Accent1 3 5 3 3 2 2" xfId="44506"/>
    <cellStyle name="40% - Accent1 3 5 3 3 3" xfId="32204"/>
    <cellStyle name="40% - Accent1 3 5 3 4" xfId="14617"/>
    <cellStyle name="40% - Accent1 3 5 3 4 2" xfId="37476"/>
    <cellStyle name="40% - Accent1 3 5 3 5" xfId="25174"/>
    <cellStyle name="40% - Accent1 3 5 4" xfId="4070"/>
    <cellStyle name="40% - Accent1 3 5 4 2" xfId="16374"/>
    <cellStyle name="40% - Accent1 3 5 4 2 2" xfId="39233"/>
    <cellStyle name="40% - Accent1 3 5 4 3" xfId="26931"/>
    <cellStyle name="40% - Accent1 3 5 5" xfId="7585"/>
    <cellStyle name="40% - Accent1 3 5 5 2" xfId="19889"/>
    <cellStyle name="40% - Accent1 3 5 5 2 2" xfId="42748"/>
    <cellStyle name="40% - Accent1 3 5 5 3" xfId="30446"/>
    <cellStyle name="40% - Accent1 3 5 6" xfId="11100"/>
    <cellStyle name="40% - Accent1 3 5 6 2" xfId="33960"/>
    <cellStyle name="40% - Accent1 3 5 7" xfId="12859"/>
    <cellStyle name="40% - Accent1 3 5 7 2" xfId="35718"/>
    <cellStyle name="40% - Accent1 3 5 8" xfId="23415"/>
    <cellStyle name="40% - Accent1 3 6" xfId="991"/>
    <cellStyle name="40% - Accent1 3 6 2" xfId="2752"/>
    <cellStyle name="40% - Accent1 3 6 2 2" xfId="6267"/>
    <cellStyle name="40% - Accent1 3 6 2 2 2" xfId="18571"/>
    <cellStyle name="40% - Accent1 3 6 2 2 2 2" xfId="41430"/>
    <cellStyle name="40% - Accent1 3 6 2 2 3" xfId="29128"/>
    <cellStyle name="40% - Accent1 3 6 2 3" xfId="9782"/>
    <cellStyle name="40% - Accent1 3 6 2 3 2" xfId="22086"/>
    <cellStyle name="40% - Accent1 3 6 2 3 2 2" xfId="44945"/>
    <cellStyle name="40% - Accent1 3 6 2 3 3" xfId="32643"/>
    <cellStyle name="40% - Accent1 3 6 2 4" xfId="15056"/>
    <cellStyle name="40% - Accent1 3 6 2 4 2" xfId="37915"/>
    <cellStyle name="40% - Accent1 3 6 2 5" xfId="25613"/>
    <cellStyle name="40% - Accent1 3 6 3" xfId="4509"/>
    <cellStyle name="40% - Accent1 3 6 3 2" xfId="16813"/>
    <cellStyle name="40% - Accent1 3 6 3 2 2" xfId="39672"/>
    <cellStyle name="40% - Accent1 3 6 3 3" xfId="27370"/>
    <cellStyle name="40% - Accent1 3 6 4" xfId="8024"/>
    <cellStyle name="40% - Accent1 3 6 4 2" xfId="20328"/>
    <cellStyle name="40% - Accent1 3 6 4 2 2" xfId="43187"/>
    <cellStyle name="40% - Accent1 3 6 4 3" xfId="30885"/>
    <cellStyle name="40% - Accent1 3 6 5" xfId="11539"/>
    <cellStyle name="40% - Accent1 3 6 5 2" xfId="34399"/>
    <cellStyle name="40% - Accent1 3 6 6" xfId="13298"/>
    <cellStyle name="40% - Accent1 3 6 6 2" xfId="36157"/>
    <cellStyle name="40% - Accent1 3 6 7" xfId="23854"/>
    <cellStyle name="40% - Accent1 3 7" xfId="1874"/>
    <cellStyle name="40% - Accent1 3 7 2" xfId="5389"/>
    <cellStyle name="40% - Accent1 3 7 2 2" xfId="17693"/>
    <cellStyle name="40% - Accent1 3 7 2 2 2" xfId="40552"/>
    <cellStyle name="40% - Accent1 3 7 2 3" xfId="28250"/>
    <cellStyle name="40% - Accent1 3 7 3" xfId="8904"/>
    <cellStyle name="40% - Accent1 3 7 3 2" xfId="21208"/>
    <cellStyle name="40% - Accent1 3 7 3 2 2" xfId="44067"/>
    <cellStyle name="40% - Accent1 3 7 3 3" xfId="31765"/>
    <cellStyle name="40% - Accent1 3 7 4" xfId="14178"/>
    <cellStyle name="40% - Accent1 3 7 4 2" xfId="37037"/>
    <cellStyle name="40% - Accent1 3 7 5" xfId="24735"/>
    <cellStyle name="40% - Accent1 3 8" xfId="3631"/>
    <cellStyle name="40% - Accent1 3 8 2" xfId="15935"/>
    <cellStyle name="40% - Accent1 3 8 2 2" xfId="38794"/>
    <cellStyle name="40% - Accent1 3 8 3" xfId="26492"/>
    <cellStyle name="40% - Accent1 3 9" xfId="7146"/>
    <cellStyle name="40% - Accent1 3 9 2" xfId="19450"/>
    <cellStyle name="40% - Accent1 3 9 2 2" xfId="42309"/>
    <cellStyle name="40% - Accent1 3 9 3" xfId="30007"/>
    <cellStyle name="40% - Accent1 4" xfId="137"/>
    <cellStyle name="40% - Accent1 4 10" xfId="12449"/>
    <cellStyle name="40% - Accent1 4 10 2" xfId="35308"/>
    <cellStyle name="40% - Accent1 4 11" xfId="23003"/>
    <cellStyle name="40% - Accent1 4 2" xfId="245"/>
    <cellStyle name="40% - Accent1 4 2 10" xfId="23110"/>
    <cellStyle name="40% - Accent1 4 2 2" xfId="457"/>
    <cellStyle name="40% - Accent1 4 2 2 2" xfId="898"/>
    <cellStyle name="40% - Accent1 4 2 2 2 2" xfId="1777"/>
    <cellStyle name="40% - Accent1 4 2 2 2 2 2" xfId="3538"/>
    <cellStyle name="40% - Accent1 4 2 2 2 2 2 2" xfId="7053"/>
    <cellStyle name="40% - Accent1 4 2 2 2 2 2 2 2" xfId="19357"/>
    <cellStyle name="40% - Accent1 4 2 2 2 2 2 2 2 2" xfId="42216"/>
    <cellStyle name="40% - Accent1 4 2 2 2 2 2 2 3" xfId="29914"/>
    <cellStyle name="40% - Accent1 4 2 2 2 2 2 3" xfId="10568"/>
    <cellStyle name="40% - Accent1 4 2 2 2 2 2 3 2" xfId="22872"/>
    <cellStyle name="40% - Accent1 4 2 2 2 2 2 3 2 2" xfId="45731"/>
    <cellStyle name="40% - Accent1 4 2 2 2 2 2 3 3" xfId="33429"/>
    <cellStyle name="40% - Accent1 4 2 2 2 2 2 4" xfId="15842"/>
    <cellStyle name="40% - Accent1 4 2 2 2 2 2 4 2" xfId="38701"/>
    <cellStyle name="40% - Accent1 4 2 2 2 2 2 5" xfId="26399"/>
    <cellStyle name="40% - Accent1 4 2 2 2 2 3" xfId="5295"/>
    <cellStyle name="40% - Accent1 4 2 2 2 2 3 2" xfId="17599"/>
    <cellStyle name="40% - Accent1 4 2 2 2 2 3 2 2" xfId="40458"/>
    <cellStyle name="40% - Accent1 4 2 2 2 2 3 3" xfId="28156"/>
    <cellStyle name="40% - Accent1 4 2 2 2 2 4" xfId="8810"/>
    <cellStyle name="40% - Accent1 4 2 2 2 2 4 2" xfId="21114"/>
    <cellStyle name="40% - Accent1 4 2 2 2 2 4 2 2" xfId="43973"/>
    <cellStyle name="40% - Accent1 4 2 2 2 2 4 3" xfId="31671"/>
    <cellStyle name="40% - Accent1 4 2 2 2 2 5" xfId="12325"/>
    <cellStyle name="40% - Accent1 4 2 2 2 2 5 2" xfId="35185"/>
    <cellStyle name="40% - Accent1 4 2 2 2 2 6" xfId="14084"/>
    <cellStyle name="40% - Accent1 4 2 2 2 2 6 2" xfId="36943"/>
    <cellStyle name="40% - Accent1 4 2 2 2 2 7" xfId="24640"/>
    <cellStyle name="40% - Accent1 4 2 2 2 3" xfId="2660"/>
    <cellStyle name="40% - Accent1 4 2 2 2 3 2" xfId="6175"/>
    <cellStyle name="40% - Accent1 4 2 2 2 3 2 2" xfId="18479"/>
    <cellStyle name="40% - Accent1 4 2 2 2 3 2 2 2" xfId="41338"/>
    <cellStyle name="40% - Accent1 4 2 2 2 3 2 3" xfId="29036"/>
    <cellStyle name="40% - Accent1 4 2 2 2 3 3" xfId="9690"/>
    <cellStyle name="40% - Accent1 4 2 2 2 3 3 2" xfId="21994"/>
    <cellStyle name="40% - Accent1 4 2 2 2 3 3 2 2" xfId="44853"/>
    <cellStyle name="40% - Accent1 4 2 2 2 3 3 3" xfId="32551"/>
    <cellStyle name="40% - Accent1 4 2 2 2 3 4" xfId="14964"/>
    <cellStyle name="40% - Accent1 4 2 2 2 3 4 2" xfId="37823"/>
    <cellStyle name="40% - Accent1 4 2 2 2 3 5" xfId="25521"/>
    <cellStyle name="40% - Accent1 4 2 2 2 4" xfId="4417"/>
    <cellStyle name="40% - Accent1 4 2 2 2 4 2" xfId="16721"/>
    <cellStyle name="40% - Accent1 4 2 2 2 4 2 2" xfId="39580"/>
    <cellStyle name="40% - Accent1 4 2 2 2 4 3" xfId="27278"/>
    <cellStyle name="40% - Accent1 4 2 2 2 5" xfId="7932"/>
    <cellStyle name="40% - Accent1 4 2 2 2 5 2" xfId="20236"/>
    <cellStyle name="40% - Accent1 4 2 2 2 5 2 2" xfId="43095"/>
    <cellStyle name="40% - Accent1 4 2 2 2 5 3" xfId="30793"/>
    <cellStyle name="40% - Accent1 4 2 2 2 6" xfId="11447"/>
    <cellStyle name="40% - Accent1 4 2 2 2 6 2" xfId="34307"/>
    <cellStyle name="40% - Accent1 4 2 2 2 7" xfId="13206"/>
    <cellStyle name="40% - Accent1 4 2 2 2 7 2" xfId="36065"/>
    <cellStyle name="40% - Accent1 4 2 2 2 8" xfId="23762"/>
    <cellStyle name="40% - Accent1 4 2 2 3" xfId="1338"/>
    <cellStyle name="40% - Accent1 4 2 2 3 2" xfId="3099"/>
    <cellStyle name="40% - Accent1 4 2 2 3 2 2" xfId="6614"/>
    <cellStyle name="40% - Accent1 4 2 2 3 2 2 2" xfId="18918"/>
    <cellStyle name="40% - Accent1 4 2 2 3 2 2 2 2" xfId="41777"/>
    <cellStyle name="40% - Accent1 4 2 2 3 2 2 3" xfId="29475"/>
    <cellStyle name="40% - Accent1 4 2 2 3 2 3" xfId="10129"/>
    <cellStyle name="40% - Accent1 4 2 2 3 2 3 2" xfId="22433"/>
    <cellStyle name="40% - Accent1 4 2 2 3 2 3 2 2" xfId="45292"/>
    <cellStyle name="40% - Accent1 4 2 2 3 2 3 3" xfId="32990"/>
    <cellStyle name="40% - Accent1 4 2 2 3 2 4" xfId="15403"/>
    <cellStyle name="40% - Accent1 4 2 2 3 2 4 2" xfId="38262"/>
    <cellStyle name="40% - Accent1 4 2 2 3 2 5" xfId="25960"/>
    <cellStyle name="40% - Accent1 4 2 2 3 3" xfId="4856"/>
    <cellStyle name="40% - Accent1 4 2 2 3 3 2" xfId="17160"/>
    <cellStyle name="40% - Accent1 4 2 2 3 3 2 2" xfId="40019"/>
    <cellStyle name="40% - Accent1 4 2 2 3 3 3" xfId="27717"/>
    <cellStyle name="40% - Accent1 4 2 2 3 4" xfId="8371"/>
    <cellStyle name="40% - Accent1 4 2 2 3 4 2" xfId="20675"/>
    <cellStyle name="40% - Accent1 4 2 2 3 4 2 2" xfId="43534"/>
    <cellStyle name="40% - Accent1 4 2 2 3 4 3" xfId="31232"/>
    <cellStyle name="40% - Accent1 4 2 2 3 5" xfId="11886"/>
    <cellStyle name="40% - Accent1 4 2 2 3 5 2" xfId="34746"/>
    <cellStyle name="40% - Accent1 4 2 2 3 6" xfId="13645"/>
    <cellStyle name="40% - Accent1 4 2 2 3 6 2" xfId="36504"/>
    <cellStyle name="40% - Accent1 4 2 2 3 7" xfId="24201"/>
    <cellStyle name="40% - Accent1 4 2 2 4" xfId="2221"/>
    <cellStyle name="40% - Accent1 4 2 2 4 2" xfId="5736"/>
    <cellStyle name="40% - Accent1 4 2 2 4 2 2" xfId="18040"/>
    <cellStyle name="40% - Accent1 4 2 2 4 2 2 2" xfId="40899"/>
    <cellStyle name="40% - Accent1 4 2 2 4 2 3" xfId="28597"/>
    <cellStyle name="40% - Accent1 4 2 2 4 3" xfId="9251"/>
    <cellStyle name="40% - Accent1 4 2 2 4 3 2" xfId="21555"/>
    <cellStyle name="40% - Accent1 4 2 2 4 3 2 2" xfId="44414"/>
    <cellStyle name="40% - Accent1 4 2 2 4 3 3" xfId="32112"/>
    <cellStyle name="40% - Accent1 4 2 2 4 4" xfId="14525"/>
    <cellStyle name="40% - Accent1 4 2 2 4 4 2" xfId="37384"/>
    <cellStyle name="40% - Accent1 4 2 2 4 5" xfId="25082"/>
    <cellStyle name="40% - Accent1 4 2 2 5" xfId="3978"/>
    <cellStyle name="40% - Accent1 4 2 2 5 2" xfId="16282"/>
    <cellStyle name="40% - Accent1 4 2 2 5 2 2" xfId="39141"/>
    <cellStyle name="40% - Accent1 4 2 2 5 3" xfId="26839"/>
    <cellStyle name="40% - Accent1 4 2 2 6" xfId="7493"/>
    <cellStyle name="40% - Accent1 4 2 2 6 2" xfId="19797"/>
    <cellStyle name="40% - Accent1 4 2 2 6 2 2" xfId="42656"/>
    <cellStyle name="40% - Accent1 4 2 2 6 3" xfId="30354"/>
    <cellStyle name="40% - Accent1 4 2 2 7" xfId="11008"/>
    <cellStyle name="40% - Accent1 4 2 2 7 2" xfId="33868"/>
    <cellStyle name="40% - Accent1 4 2 2 8" xfId="12767"/>
    <cellStyle name="40% - Accent1 4 2 2 8 2" xfId="35626"/>
    <cellStyle name="40% - Accent1 4 2 2 9" xfId="23322"/>
    <cellStyle name="40% - Accent1 4 2 3" xfId="686"/>
    <cellStyle name="40% - Accent1 4 2 3 2" xfId="1565"/>
    <cellStyle name="40% - Accent1 4 2 3 2 2" xfId="3326"/>
    <cellStyle name="40% - Accent1 4 2 3 2 2 2" xfId="6841"/>
    <cellStyle name="40% - Accent1 4 2 3 2 2 2 2" xfId="19145"/>
    <cellStyle name="40% - Accent1 4 2 3 2 2 2 2 2" xfId="42004"/>
    <cellStyle name="40% - Accent1 4 2 3 2 2 2 3" xfId="29702"/>
    <cellStyle name="40% - Accent1 4 2 3 2 2 3" xfId="10356"/>
    <cellStyle name="40% - Accent1 4 2 3 2 2 3 2" xfId="22660"/>
    <cellStyle name="40% - Accent1 4 2 3 2 2 3 2 2" xfId="45519"/>
    <cellStyle name="40% - Accent1 4 2 3 2 2 3 3" xfId="33217"/>
    <cellStyle name="40% - Accent1 4 2 3 2 2 4" xfId="15630"/>
    <cellStyle name="40% - Accent1 4 2 3 2 2 4 2" xfId="38489"/>
    <cellStyle name="40% - Accent1 4 2 3 2 2 5" xfId="26187"/>
    <cellStyle name="40% - Accent1 4 2 3 2 3" xfId="5083"/>
    <cellStyle name="40% - Accent1 4 2 3 2 3 2" xfId="17387"/>
    <cellStyle name="40% - Accent1 4 2 3 2 3 2 2" xfId="40246"/>
    <cellStyle name="40% - Accent1 4 2 3 2 3 3" xfId="27944"/>
    <cellStyle name="40% - Accent1 4 2 3 2 4" xfId="8598"/>
    <cellStyle name="40% - Accent1 4 2 3 2 4 2" xfId="20902"/>
    <cellStyle name="40% - Accent1 4 2 3 2 4 2 2" xfId="43761"/>
    <cellStyle name="40% - Accent1 4 2 3 2 4 3" xfId="31459"/>
    <cellStyle name="40% - Accent1 4 2 3 2 5" xfId="12113"/>
    <cellStyle name="40% - Accent1 4 2 3 2 5 2" xfId="34973"/>
    <cellStyle name="40% - Accent1 4 2 3 2 6" xfId="13872"/>
    <cellStyle name="40% - Accent1 4 2 3 2 6 2" xfId="36731"/>
    <cellStyle name="40% - Accent1 4 2 3 2 7" xfId="24428"/>
    <cellStyle name="40% - Accent1 4 2 3 3" xfId="2448"/>
    <cellStyle name="40% - Accent1 4 2 3 3 2" xfId="5963"/>
    <cellStyle name="40% - Accent1 4 2 3 3 2 2" xfId="18267"/>
    <cellStyle name="40% - Accent1 4 2 3 3 2 2 2" xfId="41126"/>
    <cellStyle name="40% - Accent1 4 2 3 3 2 3" xfId="28824"/>
    <cellStyle name="40% - Accent1 4 2 3 3 3" xfId="9478"/>
    <cellStyle name="40% - Accent1 4 2 3 3 3 2" xfId="21782"/>
    <cellStyle name="40% - Accent1 4 2 3 3 3 2 2" xfId="44641"/>
    <cellStyle name="40% - Accent1 4 2 3 3 3 3" xfId="32339"/>
    <cellStyle name="40% - Accent1 4 2 3 3 4" xfId="14752"/>
    <cellStyle name="40% - Accent1 4 2 3 3 4 2" xfId="37611"/>
    <cellStyle name="40% - Accent1 4 2 3 3 5" xfId="25309"/>
    <cellStyle name="40% - Accent1 4 2 3 4" xfId="4205"/>
    <cellStyle name="40% - Accent1 4 2 3 4 2" xfId="16509"/>
    <cellStyle name="40% - Accent1 4 2 3 4 2 2" xfId="39368"/>
    <cellStyle name="40% - Accent1 4 2 3 4 3" xfId="27066"/>
    <cellStyle name="40% - Accent1 4 2 3 5" xfId="7720"/>
    <cellStyle name="40% - Accent1 4 2 3 5 2" xfId="20024"/>
    <cellStyle name="40% - Accent1 4 2 3 5 2 2" xfId="42883"/>
    <cellStyle name="40% - Accent1 4 2 3 5 3" xfId="30581"/>
    <cellStyle name="40% - Accent1 4 2 3 6" xfId="11235"/>
    <cellStyle name="40% - Accent1 4 2 3 6 2" xfId="34095"/>
    <cellStyle name="40% - Accent1 4 2 3 7" xfId="12994"/>
    <cellStyle name="40% - Accent1 4 2 3 7 2" xfId="35853"/>
    <cellStyle name="40% - Accent1 4 2 3 8" xfId="23550"/>
    <cellStyle name="40% - Accent1 4 2 4" xfId="1126"/>
    <cellStyle name="40% - Accent1 4 2 4 2" xfId="2887"/>
    <cellStyle name="40% - Accent1 4 2 4 2 2" xfId="6402"/>
    <cellStyle name="40% - Accent1 4 2 4 2 2 2" xfId="18706"/>
    <cellStyle name="40% - Accent1 4 2 4 2 2 2 2" xfId="41565"/>
    <cellStyle name="40% - Accent1 4 2 4 2 2 3" xfId="29263"/>
    <cellStyle name="40% - Accent1 4 2 4 2 3" xfId="9917"/>
    <cellStyle name="40% - Accent1 4 2 4 2 3 2" xfId="22221"/>
    <cellStyle name="40% - Accent1 4 2 4 2 3 2 2" xfId="45080"/>
    <cellStyle name="40% - Accent1 4 2 4 2 3 3" xfId="32778"/>
    <cellStyle name="40% - Accent1 4 2 4 2 4" xfId="15191"/>
    <cellStyle name="40% - Accent1 4 2 4 2 4 2" xfId="38050"/>
    <cellStyle name="40% - Accent1 4 2 4 2 5" xfId="25748"/>
    <cellStyle name="40% - Accent1 4 2 4 3" xfId="4644"/>
    <cellStyle name="40% - Accent1 4 2 4 3 2" xfId="16948"/>
    <cellStyle name="40% - Accent1 4 2 4 3 2 2" xfId="39807"/>
    <cellStyle name="40% - Accent1 4 2 4 3 3" xfId="27505"/>
    <cellStyle name="40% - Accent1 4 2 4 4" xfId="8159"/>
    <cellStyle name="40% - Accent1 4 2 4 4 2" xfId="20463"/>
    <cellStyle name="40% - Accent1 4 2 4 4 2 2" xfId="43322"/>
    <cellStyle name="40% - Accent1 4 2 4 4 3" xfId="31020"/>
    <cellStyle name="40% - Accent1 4 2 4 5" xfId="11674"/>
    <cellStyle name="40% - Accent1 4 2 4 5 2" xfId="34534"/>
    <cellStyle name="40% - Accent1 4 2 4 6" xfId="13433"/>
    <cellStyle name="40% - Accent1 4 2 4 6 2" xfId="36292"/>
    <cellStyle name="40% - Accent1 4 2 4 7" xfId="23989"/>
    <cellStyle name="40% - Accent1 4 2 5" xfId="2009"/>
    <cellStyle name="40% - Accent1 4 2 5 2" xfId="5524"/>
    <cellStyle name="40% - Accent1 4 2 5 2 2" xfId="17828"/>
    <cellStyle name="40% - Accent1 4 2 5 2 2 2" xfId="40687"/>
    <cellStyle name="40% - Accent1 4 2 5 2 3" xfId="28385"/>
    <cellStyle name="40% - Accent1 4 2 5 3" xfId="9039"/>
    <cellStyle name="40% - Accent1 4 2 5 3 2" xfId="21343"/>
    <cellStyle name="40% - Accent1 4 2 5 3 2 2" xfId="44202"/>
    <cellStyle name="40% - Accent1 4 2 5 3 3" xfId="31900"/>
    <cellStyle name="40% - Accent1 4 2 5 4" xfId="14313"/>
    <cellStyle name="40% - Accent1 4 2 5 4 2" xfId="37172"/>
    <cellStyle name="40% - Accent1 4 2 5 5" xfId="24870"/>
    <cellStyle name="40% - Accent1 4 2 6" xfId="3766"/>
    <cellStyle name="40% - Accent1 4 2 6 2" xfId="16070"/>
    <cellStyle name="40% - Accent1 4 2 6 2 2" xfId="38929"/>
    <cellStyle name="40% - Accent1 4 2 6 3" xfId="26627"/>
    <cellStyle name="40% - Accent1 4 2 7" xfId="7281"/>
    <cellStyle name="40% - Accent1 4 2 7 2" xfId="19585"/>
    <cellStyle name="40% - Accent1 4 2 7 2 2" xfId="42444"/>
    <cellStyle name="40% - Accent1 4 2 7 3" xfId="30142"/>
    <cellStyle name="40% - Accent1 4 2 8" xfId="10796"/>
    <cellStyle name="40% - Accent1 4 2 8 2" xfId="33656"/>
    <cellStyle name="40% - Accent1 4 2 9" xfId="12555"/>
    <cellStyle name="40% - Accent1 4 2 9 2" xfId="35414"/>
    <cellStyle name="40% - Accent1 4 3" xfId="351"/>
    <cellStyle name="40% - Accent1 4 3 2" xfId="792"/>
    <cellStyle name="40% - Accent1 4 3 2 2" xfId="1671"/>
    <cellStyle name="40% - Accent1 4 3 2 2 2" xfId="3432"/>
    <cellStyle name="40% - Accent1 4 3 2 2 2 2" xfId="6947"/>
    <cellStyle name="40% - Accent1 4 3 2 2 2 2 2" xfId="19251"/>
    <cellStyle name="40% - Accent1 4 3 2 2 2 2 2 2" xfId="42110"/>
    <cellStyle name="40% - Accent1 4 3 2 2 2 2 3" xfId="29808"/>
    <cellStyle name="40% - Accent1 4 3 2 2 2 3" xfId="10462"/>
    <cellStyle name="40% - Accent1 4 3 2 2 2 3 2" xfId="22766"/>
    <cellStyle name="40% - Accent1 4 3 2 2 2 3 2 2" xfId="45625"/>
    <cellStyle name="40% - Accent1 4 3 2 2 2 3 3" xfId="33323"/>
    <cellStyle name="40% - Accent1 4 3 2 2 2 4" xfId="15736"/>
    <cellStyle name="40% - Accent1 4 3 2 2 2 4 2" xfId="38595"/>
    <cellStyle name="40% - Accent1 4 3 2 2 2 5" xfId="26293"/>
    <cellStyle name="40% - Accent1 4 3 2 2 3" xfId="5189"/>
    <cellStyle name="40% - Accent1 4 3 2 2 3 2" xfId="17493"/>
    <cellStyle name="40% - Accent1 4 3 2 2 3 2 2" xfId="40352"/>
    <cellStyle name="40% - Accent1 4 3 2 2 3 3" xfId="28050"/>
    <cellStyle name="40% - Accent1 4 3 2 2 4" xfId="8704"/>
    <cellStyle name="40% - Accent1 4 3 2 2 4 2" xfId="21008"/>
    <cellStyle name="40% - Accent1 4 3 2 2 4 2 2" xfId="43867"/>
    <cellStyle name="40% - Accent1 4 3 2 2 4 3" xfId="31565"/>
    <cellStyle name="40% - Accent1 4 3 2 2 5" xfId="12219"/>
    <cellStyle name="40% - Accent1 4 3 2 2 5 2" xfId="35079"/>
    <cellStyle name="40% - Accent1 4 3 2 2 6" xfId="13978"/>
    <cellStyle name="40% - Accent1 4 3 2 2 6 2" xfId="36837"/>
    <cellStyle name="40% - Accent1 4 3 2 2 7" xfId="24534"/>
    <cellStyle name="40% - Accent1 4 3 2 3" xfId="2554"/>
    <cellStyle name="40% - Accent1 4 3 2 3 2" xfId="6069"/>
    <cellStyle name="40% - Accent1 4 3 2 3 2 2" xfId="18373"/>
    <cellStyle name="40% - Accent1 4 3 2 3 2 2 2" xfId="41232"/>
    <cellStyle name="40% - Accent1 4 3 2 3 2 3" xfId="28930"/>
    <cellStyle name="40% - Accent1 4 3 2 3 3" xfId="9584"/>
    <cellStyle name="40% - Accent1 4 3 2 3 3 2" xfId="21888"/>
    <cellStyle name="40% - Accent1 4 3 2 3 3 2 2" xfId="44747"/>
    <cellStyle name="40% - Accent1 4 3 2 3 3 3" xfId="32445"/>
    <cellStyle name="40% - Accent1 4 3 2 3 4" xfId="14858"/>
    <cellStyle name="40% - Accent1 4 3 2 3 4 2" xfId="37717"/>
    <cellStyle name="40% - Accent1 4 3 2 3 5" xfId="25415"/>
    <cellStyle name="40% - Accent1 4 3 2 4" xfId="4311"/>
    <cellStyle name="40% - Accent1 4 3 2 4 2" xfId="16615"/>
    <cellStyle name="40% - Accent1 4 3 2 4 2 2" xfId="39474"/>
    <cellStyle name="40% - Accent1 4 3 2 4 3" xfId="27172"/>
    <cellStyle name="40% - Accent1 4 3 2 5" xfId="7826"/>
    <cellStyle name="40% - Accent1 4 3 2 5 2" xfId="20130"/>
    <cellStyle name="40% - Accent1 4 3 2 5 2 2" xfId="42989"/>
    <cellStyle name="40% - Accent1 4 3 2 5 3" xfId="30687"/>
    <cellStyle name="40% - Accent1 4 3 2 6" xfId="11341"/>
    <cellStyle name="40% - Accent1 4 3 2 6 2" xfId="34201"/>
    <cellStyle name="40% - Accent1 4 3 2 7" xfId="13100"/>
    <cellStyle name="40% - Accent1 4 3 2 7 2" xfId="35959"/>
    <cellStyle name="40% - Accent1 4 3 2 8" xfId="23656"/>
    <cellStyle name="40% - Accent1 4 3 3" xfId="1232"/>
    <cellStyle name="40% - Accent1 4 3 3 2" xfId="2993"/>
    <cellStyle name="40% - Accent1 4 3 3 2 2" xfId="6508"/>
    <cellStyle name="40% - Accent1 4 3 3 2 2 2" xfId="18812"/>
    <cellStyle name="40% - Accent1 4 3 3 2 2 2 2" xfId="41671"/>
    <cellStyle name="40% - Accent1 4 3 3 2 2 3" xfId="29369"/>
    <cellStyle name="40% - Accent1 4 3 3 2 3" xfId="10023"/>
    <cellStyle name="40% - Accent1 4 3 3 2 3 2" xfId="22327"/>
    <cellStyle name="40% - Accent1 4 3 3 2 3 2 2" xfId="45186"/>
    <cellStyle name="40% - Accent1 4 3 3 2 3 3" xfId="32884"/>
    <cellStyle name="40% - Accent1 4 3 3 2 4" xfId="15297"/>
    <cellStyle name="40% - Accent1 4 3 3 2 4 2" xfId="38156"/>
    <cellStyle name="40% - Accent1 4 3 3 2 5" xfId="25854"/>
    <cellStyle name="40% - Accent1 4 3 3 3" xfId="4750"/>
    <cellStyle name="40% - Accent1 4 3 3 3 2" xfId="17054"/>
    <cellStyle name="40% - Accent1 4 3 3 3 2 2" xfId="39913"/>
    <cellStyle name="40% - Accent1 4 3 3 3 3" xfId="27611"/>
    <cellStyle name="40% - Accent1 4 3 3 4" xfId="8265"/>
    <cellStyle name="40% - Accent1 4 3 3 4 2" xfId="20569"/>
    <cellStyle name="40% - Accent1 4 3 3 4 2 2" xfId="43428"/>
    <cellStyle name="40% - Accent1 4 3 3 4 3" xfId="31126"/>
    <cellStyle name="40% - Accent1 4 3 3 5" xfId="11780"/>
    <cellStyle name="40% - Accent1 4 3 3 5 2" xfId="34640"/>
    <cellStyle name="40% - Accent1 4 3 3 6" xfId="13539"/>
    <cellStyle name="40% - Accent1 4 3 3 6 2" xfId="36398"/>
    <cellStyle name="40% - Accent1 4 3 3 7" xfId="24095"/>
    <cellStyle name="40% - Accent1 4 3 4" xfId="2115"/>
    <cellStyle name="40% - Accent1 4 3 4 2" xfId="5630"/>
    <cellStyle name="40% - Accent1 4 3 4 2 2" xfId="17934"/>
    <cellStyle name="40% - Accent1 4 3 4 2 2 2" xfId="40793"/>
    <cellStyle name="40% - Accent1 4 3 4 2 3" xfId="28491"/>
    <cellStyle name="40% - Accent1 4 3 4 3" xfId="9145"/>
    <cellStyle name="40% - Accent1 4 3 4 3 2" xfId="21449"/>
    <cellStyle name="40% - Accent1 4 3 4 3 2 2" xfId="44308"/>
    <cellStyle name="40% - Accent1 4 3 4 3 3" xfId="32006"/>
    <cellStyle name="40% - Accent1 4 3 4 4" xfId="14419"/>
    <cellStyle name="40% - Accent1 4 3 4 4 2" xfId="37278"/>
    <cellStyle name="40% - Accent1 4 3 4 5" xfId="24976"/>
    <cellStyle name="40% - Accent1 4 3 5" xfId="3872"/>
    <cellStyle name="40% - Accent1 4 3 5 2" xfId="16176"/>
    <cellStyle name="40% - Accent1 4 3 5 2 2" xfId="39035"/>
    <cellStyle name="40% - Accent1 4 3 5 3" xfId="26733"/>
    <cellStyle name="40% - Accent1 4 3 6" xfId="7387"/>
    <cellStyle name="40% - Accent1 4 3 6 2" xfId="19691"/>
    <cellStyle name="40% - Accent1 4 3 6 2 2" xfId="42550"/>
    <cellStyle name="40% - Accent1 4 3 6 3" xfId="30248"/>
    <cellStyle name="40% - Accent1 4 3 7" xfId="10902"/>
    <cellStyle name="40% - Accent1 4 3 7 2" xfId="33762"/>
    <cellStyle name="40% - Accent1 4 3 8" xfId="12661"/>
    <cellStyle name="40% - Accent1 4 3 8 2" xfId="35520"/>
    <cellStyle name="40% - Accent1 4 3 9" xfId="23216"/>
    <cellStyle name="40% - Accent1 4 4" xfId="580"/>
    <cellStyle name="40% - Accent1 4 4 2" xfId="1459"/>
    <cellStyle name="40% - Accent1 4 4 2 2" xfId="3220"/>
    <cellStyle name="40% - Accent1 4 4 2 2 2" xfId="6735"/>
    <cellStyle name="40% - Accent1 4 4 2 2 2 2" xfId="19039"/>
    <cellStyle name="40% - Accent1 4 4 2 2 2 2 2" xfId="41898"/>
    <cellStyle name="40% - Accent1 4 4 2 2 2 3" xfId="29596"/>
    <cellStyle name="40% - Accent1 4 4 2 2 3" xfId="10250"/>
    <cellStyle name="40% - Accent1 4 4 2 2 3 2" xfId="22554"/>
    <cellStyle name="40% - Accent1 4 4 2 2 3 2 2" xfId="45413"/>
    <cellStyle name="40% - Accent1 4 4 2 2 3 3" xfId="33111"/>
    <cellStyle name="40% - Accent1 4 4 2 2 4" xfId="15524"/>
    <cellStyle name="40% - Accent1 4 4 2 2 4 2" xfId="38383"/>
    <cellStyle name="40% - Accent1 4 4 2 2 5" xfId="26081"/>
    <cellStyle name="40% - Accent1 4 4 2 3" xfId="4977"/>
    <cellStyle name="40% - Accent1 4 4 2 3 2" xfId="17281"/>
    <cellStyle name="40% - Accent1 4 4 2 3 2 2" xfId="40140"/>
    <cellStyle name="40% - Accent1 4 4 2 3 3" xfId="27838"/>
    <cellStyle name="40% - Accent1 4 4 2 4" xfId="8492"/>
    <cellStyle name="40% - Accent1 4 4 2 4 2" xfId="20796"/>
    <cellStyle name="40% - Accent1 4 4 2 4 2 2" xfId="43655"/>
    <cellStyle name="40% - Accent1 4 4 2 4 3" xfId="31353"/>
    <cellStyle name="40% - Accent1 4 4 2 5" xfId="12007"/>
    <cellStyle name="40% - Accent1 4 4 2 5 2" xfId="34867"/>
    <cellStyle name="40% - Accent1 4 4 2 6" xfId="13766"/>
    <cellStyle name="40% - Accent1 4 4 2 6 2" xfId="36625"/>
    <cellStyle name="40% - Accent1 4 4 2 7" xfId="24322"/>
    <cellStyle name="40% - Accent1 4 4 3" xfId="2342"/>
    <cellStyle name="40% - Accent1 4 4 3 2" xfId="5857"/>
    <cellStyle name="40% - Accent1 4 4 3 2 2" xfId="18161"/>
    <cellStyle name="40% - Accent1 4 4 3 2 2 2" xfId="41020"/>
    <cellStyle name="40% - Accent1 4 4 3 2 3" xfId="28718"/>
    <cellStyle name="40% - Accent1 4 4 3 3" xfId="9372"/>
    <cellStyle name="40% - Accent1 4 4 3 3 2" xfId="21676"/>
    <cellStyle name="40% - Accent1 4 4 3 3 2 2" xfId="44535"/>
    <cellStyle name="40% - Accent1 4 4 3 3 3" xfId="32233"/>
    <cellStyle name="40% - Accent1 4 4 3 4" xfId="14646"/>
    <cellStyle name="40% - Accent1 4 4 3 4 2" xfId="37505"/>
    <cellStyle name="40% - Accent1 4 4 3 5" xfId="25203"/>
    <cellStyle name="40% - Accent1 4 4 4" xfId="4099"/>
    <cellStyle name="40% - Accent1 4 4 4 2" xfId="16403"/>
    <cellStyle name="40% - Accent1 4 4 4 2 2" xfId="39262"/>
    <cellStyle name="40% - Accent1 4 4 4 3" xfId="26960"/>
    <cellStyle name="40% - Accent1 4 4 5" xfId="7614"/>
    <cellStyle name="40% - Accent1 4 4 5 2" xfId="19918"/>
    <cellStyle name="40% - Accent1 4 4 5 2 2" xfId="42777"/>
    <cellStyle name="40% - Accent1 4 4 5 3" xfId="30475"/>
    <cellStyle name="40% - Accent1 4 4 6" xfId="11129"/>
    <cellStyle name="40% - Accent1 4 4 6 2" xfId="33989"/>
    <cellStyle name="40% - Accent1 4 4 7" xfId="12888"/>
    <cellStyle name="40% - Accent1 4 4 7 2" xfId="35747"/>
    <cellStyle name="40% - Accent1 4 4 8" xfId="23444"/>
    <cellStyle name="40% - Accent1 4 5" xfId="1020"/>
    <cellStyle name="40% - Accent1 4 5 2" xfId="2781"/>
    <cellStyle name="40% - Accent1 4 5 2 2" xfId="6296"/>
    <cellStyle name="40% - Accent1 4 5 2 2 2" xfId="18600"/>
    <cellStyle name="40% - Accent1 4 5 2 2 2 2" xfId="41459"/>
    <cellStyle name="40% - Accent1 4 5 2 2 3" xfId="29157"/>
    <cellStyle name="40% - Accent1 4 5 2 3" xfId="9811"/>
    <cellStyle name="40% - Accent1 4 5 2 3 2" xfId="22115"/>
    <cellStyle name="40% - Accent1 4 5 2 3 2 2" xfId="44974"/>
    <cellStyle name="40% - Accent1 4 5 2 3 3" xfId="32672"/>
    <cellStyle name="40% - Accent1 4 5 2 4" xfId="15085"/>
    <cellStyle name="40% - Accent1 4 5 2 4 2" xfId="37944"/>
    <cellStyle name="40% - Accent1 4 5 2 5" xfId="25642"/>
    <cellStyle name="40% - Accent1 4 5 3" xfId="4538"/>
    <cellStyle name="40% - Accent1 4 5 3 2" xfId="16842"/>
    <cellStyle name="40% - Accent1 4 5 3 2 2" xfId="39701"/>
    <cellStyle name="40% - Accent1 4 5 3 3" xfId="27399"/>
    <cellStyle name="40% - Accent1 4 5 4" xfId="8053"/>
    <cellStyle name="40% - Accent1 4 5 4 2" xfId="20357"/>
    <cellStyle name="40% - Accent1 4 5 4 2 2" xfId="43216"/>
    <cellStyle name="40% - Accent1 4 5 4 3" xfId="30914"/>
    <cellStyle name="40% - Accent1 4 5 5" xfId="11568"/>
    <cellStyle name="40% - Accent1 4 5 5 2" xfId="34428"/>
    <cellStyle name="40% - Accent1 4 5 6" xfId="13327"/>
    <cellStyle name="40% - Accent1 4 5 6 2" xfId="36186"/>
    <cellStyle name="40% - Accent1 4 5 7" xfId="23883"/>
    <cellStyle name="40% - Accent1 4 6" xfId="1903"/>
    <cellStyle name="40% - Accent1 4 6 2" xfId="5418"/>
    <cellStyle name="40% - Accent1 4 6 2 2" xfId="17722"/>
    <cellStyle name="40% - Accent1 4 6 2 2 2" xfId="40581"/>
    <cellStyle name="40% - Accent1 4 6 2 3" xfId="28279"/>
    <cellStyle name="40% - Accent1 4 6 3" xfId="8933"/>
    <cellStyle name="40% - Accent1 4 6 3 2" xfId="21237"/>
    <cellStyle name="40% - Accent1 4 6 3 2 2" xfId="44096"/>
    <cellStyle name="40% - Accent1 4 6 3 3" xfId="31794"/>
    <cellStyle name="40% - Accent1 4 6 4" xfId="14207"/>
    <cellStyle name="40% - Accent1 4 6 4 2" xfId="37066"/>
    <cellStyle name="40% - Accent1 4 6 5" xfId="24764"/>
    <cellStyle name="40% - Accent1 4 7" xfId="3660"/>
    <cellStyle name="40% - Accent1 4 7 2" xfId="15964"/>
    <cellStyle name="40% - Accent1 4 7 2 2" xfId="38823"/>
    <cellStyle name="40% - Accent1 4 7 3" xfId="26521"/>
    <cellStyle name="40% - Accent1 4 8" xfId="7175"/>
    <cellStyle name="40% - Accent1 4 8 2" xfId="19479"/>
    <cellStyle name="40% - Accent1 4 8 2 2" xfId="42338"/>
    <cellStyle name="40% - Accent1 4 8 3" xfId="30036"/>
    <cellStyle name="40% - Accent1 4 9" xfId="10690"/>
    <cellStyle name="40% - Accent1 4 9 2" xfId="33550"/>
    <cellStyle name="40% - Accent1 5" xfId="197"/>
    <cellStyle name="40% - Accent1 5 10" xfId="23062"/>
    <cellStyle name="40% - Accent1 5 2" xfId="409"/>
    <cellStyle name="40% - Accent1 5 2 2" xfId="850"/>
    <cellStyle name="40% - Accent1 5 2 2 2" xfId="1729"/>
    <cellStyle name="40% - Accent1 5 2 2 2 2" xfId="3490"/>
    <cellStyle name="40% - Accent1 5 2 2 2 2 2" xfId="7005"/>
    <cellStyle name="40% - Accent1 5 2 2 2 2 2 2" xfId="19309"/>
    <cellStyle name="40% - Accent1 5 2 2 2 2 2 2 2" xfId="42168"/>
    <cellStyle name="40% - Accent1 5 2 2 2 2 2 3" xfId="29866"/>
    <cellStyle name="40% - Accent1 5 2 2 2 2 3" xfId="10520"/>
    <cellStyle name="40% - Accent1 5 2 2 2 2 3 2" xfId="22824"/>
    <cellStyle name="40% - Accent1 5 2 2 2 2 3 2 2" xfId="45683"/>
    <cellStyle name="40% - Accent1 5 2 2 2 2 3 3" xfId="33381"/>
    <cellStyle name="40% - Accent1 5 2 2 2 2 4" xfId="15794"/>
    <cellStyle name="40% - Accent1 5 2 2 2 2 4 2" xfId="38653"/>
    <cellStyle name="40% - Accent1 5 2 2 2 2 5" xfId="26351"/>
    <cellStyle name="40% - Accent1 5 2 2 2 3" xfId="5247"/>
    <cellStyle name="40% - Accent1 5 2 2 2 3 2" xfId="17551"/>
    <cellStyle name="40% - Accent1 5 2 2 2 3 2 2" xfId="40410"/>
    <cellStyle name="40% - Accent1 5 2 2 2 3 3" xfId="28108"/>
    <cellStyle name="40% - Accent1 5 2 2 2 4" xfId="8762"/>
    <cellStyle name="40% - Accent1 5 2 2 2 4 2" xfId="21066"/>
    <cellStyle name="40% - Accent1 5 2 2 2 4 2 2" xfId="43925"/>
    <cellStyle name="40% - Accent1 5 2 2 2 4 3" xfId="31623"/>
    <cellStyle name="40% - Accent1 5 2 2 2 5" xfId="12277"/>
    <cellStyle name="40% - Accent1 5 2 2 2 5 2" xfId="35137"/>
    <cellStyle name="40% - Accent1 5 2 2 2 6" xfId="14036"/>
    <cellStyle name="40% - Accent1 5 2 2 2 6 2" xfId="36895"/>
    <cellStyle name="40% - Accent1 5 2 2 2 7" xfId="24592"/>
    <cellStyle name="40% - Accent1 5 2 2 3" xfId="2612"/>
    <cellStyle name="40% - Accent1 5 2 2 3 2" xfId="6127"/>
    <cellStyle name="40% - Accent1 5 2 2 3 2 2" xfId="18431"/>
    <cellStyle name="40% - Accent1 5 2 2 3 2 2 2" xfId="41290"/>
    <cellStyle name="40% - Accent1 5 2 2 3 2 3" xfId="28988"/>
    <cellStyle name="40% - Accent1 5 2 2 3 3" xfId="9642"/>
    <cellStyle name="40% - Accent1 5 2 2 3 3 2" xfId="21946"/>
    <cellStyle name="40% - Accent1 5 2 2 3 3 2 2" xfId="44805"/>
    <cellStyle name="40% - Accent1 5 2 2 3 3 3" xfId="32503"/>
    <cellStyle name="40% - Accent1 5 2 2 3 4" xfId="14916"/>
    <cellStyle name="40% - Accent1 5 2 2 3 4 2" xfId="37775"/>
    <cellStyle name="40% - Accent1 5 2 2 3 5" xfId="25473"/>
    <cellStyle name="40% - Accent1 5 2 2 4" xfId="4369"/>
    <cellStyle name="40% - Accent1 5 2 2 4 2" xfId="16673"/>
    <cellStyle name="40% - Accent1 5 2 2 4 2 2" xfId="39532"/>
    <cellStyle name="40% - Accent1 5 2 2 4 3" xfId="27230"/>
    <cellStyle name="40% - Accent1 5 2 2 5" xfId="7884"/>
    <cellStyle name="40% - Accent1 5 2 2 5 2" xfId="20188"/>
    <cellStyle name="40% - Accent1 5 2 2 5 2 2" xfId="43047"/>
    <cellStyle name="40% - Accent1 5 2 2 5 3" xfId="30745"/>
    <cellStyle name="40% - Accent1 5 2 2 6" xfId="11399"/>
    <cellStyle name="40% - Accent1 5 2 2 6 2" xfId="34259"/>
    <cellStyle name="40% - Accent1 5 2 2 7" xfId="13158"/>
    <cellStyle name="40% - Accent1 5 2 2 7 2" xfId="36017"/>
    <cellStyle name="40% - Accent1 5 2 2 8" xfId="23714"/>
    <cellStyle name="40% - Accent1 5 2 3" xfId="1290"/>
    <cellStyle name="40% - Accent1 5 2 3 2" xfId="3051"/>
    <cellStyle name="40% - Accent1 5 2 3 2 2" xfId="6566"/>
    <cellStyle name="40% - Accent1 5 2 3 2 2 2" xfId="18870"/>
    <cellStyle name="40% - Accent1 5 2 3 2 2 2 2" xfId="41729"/>
    <cellStyle name="40% - Accent1 5 2 3 2 2 3" xfId="29427"/>
    <cellStyle name="40% - Accent1 5 2 3 2 3" xfId="10081"/>
    <cellStyle name="40% - Accent1 5 2 3 2 3 2" xfId="22385"/>
    <cellStyle name="40% - Accent1 5 2 3 2 3 2 2" xfId="45244"/>
    <cellStyle name="40% - Accent1 5 2 3 2 3 3" xfId="32942"/>
    <cellStyle name="40% - Accent1 5 2 3 2 4" xfId="15355"/>
    <cellStyle name="40% - Accent1 5 2 3 2 4 2" xfId="38214"/>
    <cellStyle name="40% - Accent1 5 2 3 2 5" xfId="25912"/>
    <cellStyle name="40% - Accent1 5 2 3 3" xfId="4808"/>
    <cellStyle name="40% - Accent1 5 2 3 3 2" xfId="17112"/>
    <cellStyle name="40% - Accent1 5 2 3 3 2 2" xfId="39971"/>
    <cellStyle name="40% - Accent1 5 2 3 3 3" xfId="27669"/>
    <cellStyle name="40% - Accent1 5 2 3 4" xfId="8323"/>
    <cellStyle name="40% - Accent1 5 2 3 4 2" xfId="20627"/>
    <cellStyle name="40% - Accent1 5 2 3 4 2 2" xfId="43486"/>
    <cellStyle name="40% - Accent1 5 2 3 4 3" xfId="31184"/>
    <cellStyle name="40% - Accent1 5 2 3 5" xfId="11838"/>
    <cellStyle name="40% - Accent1 5 2 3 5 2" xfId="34698"/>
    <cellStyle name="40% - Accent1 5 2 3 6" xfId="13597"/>
    <cellStyle name="40% - Accent1 5 2 3 6 2" xfId="36456"/>
    <cellStyle name="40% - Accent1 5 2 3 7" xfId="24153"/>
    <cellStyle name="40% - Accent1 5 2 4" xfId="2173"/>
    <cellStyle name="40% - Accent1 5 2 4 2" xfId="5688"/>
    <cellStyle name="40% - Accent1 5 2 4 2 2" xfId="17992"/>
    <cellStyle name="40% - Accent1 5 2 4 2 2 2" xfId="40851"/>
    <cellStyle name="40% - Accent1 5 2 4 2 3" xfId="28549"/>
    <cellStyle name="40% - Accent1 5 2 4 3" xfId="9203"/>
    <cellStyle name="40% - Accent1 5 2 4 3 2" xfId="21507"/>
    <cellStyle name="40% - Accent1 5 2 4 3 2 2" xfId="44366"/>
    <cellStyle name="40% - Accent1 5 2 4 3 3" xfId="32064"/>
    <cellStyle name="40% - Accent1 5 2 4 4" xfId="14477"/>
    <cellStyle name="40% - Accent1 5 2 4 4 2" xfId="37336"/>
    <cellStyle name="40% - Accent1 5 2 4 5" xfId="25034"/>
    <cellStyle name="40% - Accent1 5 2 5" xfId="3930"/>
    <cellStyle name="40% - Accent1 5 2 5 2" xfId="16234"/>
    <cellStyle name="40% - Accent1 5 2 5 2 2" xfId="39093"/>
    <cellStyle name="40% - Accent1 5 2 5 3" xfId="26791"/>
    <cellStyle name="40% - Accent1 5 2 6" xfId="7445"/>
    <cellStyle name="40% - Accent1 5 2 6 2" xfId="19749"/>
    <cellStyle name="40% - Accent1 5 2 6 2 2" xfId="42608"/>
    <cellStyle name="40% - Accent1 5 2 6 3" xfId="30306"/>
    <cellStyle name="40% - Accent1 5 2 7" xfId="10960"/>
    <cellStyle name="40% - Accent1 5 2 7 2" xfId="33820"/>
    <cellStyle name="40% - Accent1 5 2 8" xfId="12719"/>
    <cellStyle name="40% - Accent1 5 2 8 2" xfId="35578"/>
    <cellStyle name="40% - Accent1 5 2 9" xfId="23274"/>
    <cellStyle name="40% - Accent1 5 3" xfId="638"/>
    <cellStyle name="40% - Accent1 5 3 2" xfId="1517"/>
    <cellStyle name="40% - Accent1 5 3 2 2" xfId="3278"/>
    <cellStyle name="40% - Accent1 5 3 2 2 2" xfId="6793"/>
    <cellStyle name="40% - Accent1 5 3 2 2 2 2" xfId="19097"/>
    <cellStyle name="40% - Accent1 5 3 2 2 2 2 2" xfId="41956"/>
    <cellStyle name="40% - Accent1 5 3 2 2 2 3" xfId="29654"/>
    <cellStyle name="40% - Accent1 5 3 2 2 3" xfId="10308"/>
    <cellStyle name="40% - Accent1 5 3 2 2 3 2" xfId="22612"/>
    <cellStyle name="40% - Accent1 5 3 2 2 3 2 2" xfId="45471"/>
    <cellStyle name="40% - Accent1 5 3 2 2 3 3" xfId="33169"/>
    <cellStyle name="40% - Accent1 5 3 2 2 4" xfId="15582"/>
    <cellStyle name="40% - Accent1 5 3 2 2 4 2" xfId="38441"/>
    <cellStyle name="40% - Accent1 5 3 2 2 5" xfId="26139"/>
    <cellStyle name="40% - Accent1 5 3 2 3" xfId="5035"/>
    <cellStyle name="40% - Accent1 5 3 2 3 2" xfId="17339"/>
    <cellStyle name="40% - Accent1 5 3 2 3 2 2" xfId="40198"/>
    <cellStyle name="40% - Accent1 5 3 2 3 3" xfId="27896"/>
    <cellStyle name="40% - Accent1 5 3 2 4" xfId="8550"/>
    <cellStyle name="40% - Accent1 5 3 2 4 2" xfId="20854"/>
    <cellStyle name="40% - Accent1 5 3 2 4 2 2" xfId="43713"/>
    <cellStyle name="40% - Accent1 5 3 2 4 3" xfId="31411"/>
    <cellStyle name="40% - Accent1 5 3 2 5" xfId="12065"/>
    <cellStyle name="40% - Accent1 5 3 2 5 2" xfId="34925"/>
    <cellStyle name="40% - Accent1 5 3 2 6" xfId="13824"/>
    <cellStyle name="40% - Accent1 5 3 2 6 2" xfId="36683"/>
    <cellStyle name="40% - Accent1 5 3 2 7" xfId="24380"/>
    <cellStyle name="40% - Accent1 5 3 3" xfId="2400"/>
    <cellStyle name="40% - Accent1 5 3 3 2" xfId="5915"/>
    <cellStyle name="40% - Accent1 5 3 3 2 2" xfId="18219"/>
    <cellStyle name="40% - Accent1 5 3 3 2 2 2" xfId="41078"/>
    <cellStyle name="40% - Accent1 5 3 3 2 3" xfId="28776"/>
    <cellStyle name="40% - Accent1 5 3 3 3" xfId="9430"/>
    <cellStyle name="40% - Accent1 5 3 3 3 2" xfId="21734"/>
    <cellStyle name="40% - Accent1 5 3 3 3 2 2" xfId="44593"/>
    <cellStyle name="40% - Accent1 5 3 3 3 3" xfId="32291"/>
    <cellStyle name="40% - Accent1 5 3 3 4" xfId="14704"/>
    <cellStyle name="40% - Accent1 5 3 3 4 2" xfId="37563"/>
    <cellStyle name="40% - Accent1 5 3 3 5" xfId="25261"/>
    <cellStyle name="40% - Accent1 5 3 4" xfId="4157"/>
    <cellStyle name="40% - Accent1 5 3 4 2" xfId="16461"/>
    <cellStyle name="40% - Accent1 5 3 4 2 2" xfId="39320"/>
    <cellStyle name="40% - Accent1 5 3 4 3" xfId="27018"/>
    <cellStyle name="40% - Accent1 5 3 5" xfId="7672"/>
    <cellStyle name="40% - Accent1 5 3 5 2" xfId="19976"/>
    <cellStyle name="40% - Accent1 5 3 5 2 2" xfId="42835"/>
    <cellStyle name="40% - Accent1 5 3 5 3" xfId="30533"/>
    <cellStyle name="40% - Accent1 5 3 6" xfId="11187"/>
    <cellStyle name="40% - Accent1 5 3 6 2" xfId="34047"/>
    <cellStyle name="40% - Accent1 5 3 7" xfId="12946"/>
    <cellStyle name="40% - Accent1 5 3 7 2" xfId="35805"/>
    <cellStyle name="40% - Accent1 5 3 8" xfId="23502"/>
    <cellStyle name="40% - Accent1 5 4" xfId="1078"/>
    <cellStyle name="40% - Accent1 5 4 2" xfId="2839"/>
    <cellStyle name="40% - Accent1 5 4 2 2" xfId="6354"/>
    <cellStyle name="40% - Accent1 5 4 2 2 2" xfId="18658"/>
    <cellStyle name="40% - Accent1 5 4 2 2 2 2" xfId="41517"/>
    <cellStyle name="40% - Accent1 5 4 2 2 3" xfId="29215"/>
    <cellStyle name="40% - Accent1 5 4 2 3" xfId="9869"/>
    <cellStyle name="40% - Accent1 5 4 2 3 2" xfId="22173"/>
    <cellStyle name="40% - Accent1 5 4 2 3 2 2" xfId="45032"/>
    <cellStyle name="40% - Accent1 5 4 2 3 3" xfId="32730"/>
    <cellStyle name="40% - Accent1 5 4 2 4" xfId="15143"/>
    <cellStyle name="40% - Accent1 5 4 2 4 2" xfId="38002"/>
    <cellStyle name="40% - Accent1 5 4 2 5" xfId="25700"/>
    <cellStyle name="40% - Accent1 5 4 3" xfId="4596"/>
    <cellStyle name="40% - Accent1 5 4 3 2" xfId="16900"/>
    <cellStyle name="40% - Accent1 5 4 3 2 2" xfId="39759"/>
    <cellStyle name="40% - Accent1 5 4 3 3" xfId="27457"/>
    <cellStyle name="40% - Accent1 5 4 4" xfId="8111"/>
    <cellStyle name="40% - Accent1 5 4 4 2" xfId="20415"/>
    <cellStyle name="40% - Accent1 5 4 4 2 2" xfId="43274"/>
    <cellStyle name="40% - Accent1 5 4 4 3" xfId="30972"/>
    <cellStyle name="40% - Accent1 5 4 5" xfId="11626"/>
    <cellStyle name="40% - Accent1 5 4 5 2" xfId="34486"/>
    <cellStyle name="40% - Accent1 5 4 6" xfId="13385"/>
    <cellStyle name="40% - Accent1 5 4 6 2" xfId="36244"/>
    <cellStyle name="40% - Accent1 5 4 7" xfId="23941"/>
    <cellStyle name="40% - Accent1 5 5" xfId="1961"/>
    <cellStyle name="40% - Accent1 5 5 2" xfId="5476"/>
    <cellStyle name="40% - Accent1 5 5 2 2" xfId="17780"/>
    <cellStyle name="40% - Accent1 5 5 2 2 2" xfId="40639"/>
    <cellStyle name="40% - Accent1 5 5 2 3" xfId="28337"/>
    <cellStyle name="40% - Accent1 5 5 3" xfId="8991"/>
    <cellStyle name="40% - Accent1 5 5 3 2" xfId="21295"/>
    <cellStyle name="40% - Accent1 5 5 3 2 2" xfId="44154"/>
    <cellStyle name="40% - Accent1 5 5 3 3" xfId="31852"/>
    <cellStyle name="40% - Accent1 5 5 4" xfId="14265"/>
    <cellStyle name="40% - Accent1 5 5 4 2" xfId="37124"/>
    <cellStyle name="40% - Accent1 5 5 5" xfId="24822"/>
    <cellStyle name="40% - Accent1 5 6" xfId="3718"/>
    <cellStyle name="40% - Accent1 5 6 2" xfId="16022"/>
    <cellStyle name="40% - Accent1 5 6 2 2" xfId="38881"/>
    <cellStyle name="40% - Accent1 5 6 3" xfId="26579"/>
    <cellStyle name="40% - Accent1 5 7" xfId="7233"/>
    <cellStyle name="40% - Accent1 5 7 2" xfId="19537"/>
    <cellStyle name="40% - Accent1 5 7 2 2" xfId="42396"/>
    <cellStyle name="40% - Accent1 5 7 3" xfId="30094"/>
    <cellStyle name="40% - Accent1 5 8" xfId="10748"/>
    <cellStyle name="40% - Accent1 5 8 2" xfId="33608"/>
    <cellStyle name="40% - Accent1 5 9" xfId="12507"/>
    <cellStyle name="40% - Accent1 5 9 2" xfId="35366"/>
    <cellStyle name="40% - Accent1 6" xfId="303"/>
    <cellStyle name="40% - Accent1 6 2" xfId="744"/>
    <cellStyle name="40% - Accent1 6 2 2" xfId="1623"/>
    <cellStyle name="40% - Accent1 6 2 2 2" xfId="3384"/>
    <cellStyle name="40% - Accent1 6 2 2 2 2" xfId="6899"/>
    <cellStyle name="40% - Accent1 6 2 2 2 2 2" xfId="19203"/>
    <cellStyle name="40% - Accent1 6 2 2 2 2 2 2" xfId="42062"/>
    <cellStyle name="40% - Accent1 6 2 2 2 2 3" xfId="29760"/>
    <cellStyle name="40% - Accent1 6 2 2 2 3" xfId="10414"/>
    <cellStyle name="40% - Accent1 6 2 2 2 3 2" xfId="22718"/>
    <cellStyle name="40% - Accent1 6 2 2 2 3 2 2" xfId="45577"/>
    <cellStyle name="40% - Accent1 6 2 2 2 3 3" xfId="33275"/>
    <cellStyle name="40% - Accent1 6 2 2 2 4" xfId="15688"/>
    <cellStyle name="40% - Accent1 6 2 2 2 4 2" xfId="38547"/>
    <cellStyle name="40% - Accent1 6 2 2 2 5" xfId="26245"/>
    <cellStyle name="40% - Accent1 6 2 2 3" xfId="5141"/>
    <cellStyle name="40% - Accent1 6 2 2 3 2" xfId="17445"/>
    <cellStyle name="40% - Accent1 6 2 2 3 2 2" xfId="40304"/>
    <cellStyle name="40% - Accent1 6 2 2 3 3" xfId="28002"/>
    <cellStyle name="40% - Accent1 6 2 2 4" xfId="8656"/>
    <cellStyle name="40% - Accent1 6 2 2 4 2" xfId="20960"/>
    <cellStyle name="40% - Accent1 6 2 2 4 2 2" xfId="43819"/>
    <cellStyle name="40% - Accent1 6 2 2 4 3" xfId="31517"/>
    <cellStyle name="40% - Accent1 6 2 2 5" xfId="12171"/>
    <cellStyle name="40% - Accent1 6 2 2 5 2" xfId="35031"/>
    <cellStyle name="40% - Accent1 6 2 2 6" xfId="13930"/>
    <cellStyle name="40% - Accent1 6 2 2 6 2" xfId="36789"/>
    <cellStyle name="40% - Accent1 6 2 2 7" xfId="24486"/>
    <cellStyle name="40% - Accent1 6 2 3" xfId="2506"/>
    <cellStyle name="40% - Accent1 6 2 3 2" xfId="6021"/>
    <cellStyle name="40% - Accent1 6 2 3 2 2" xfId="18325"/>
    <cellStyle name="40% - Accent1 6 2 3 2 2 2" xfId="41184"/>
    <cellStyle name="40% - Accent1 6 2 3 2 3" xfId="28882"/>
    <cellStyle name="40% - Accent1 6 2 3 3" xfId="9536"/>
    <cellStyle name="40% - Accent1 6 2 3 3 2" xfId="21840"/>
    <cellStyle name="40% - Accent1 6 2 3 3 2 2" xfId="44699"/>
    <cellStyle name="40% - Accent1 6 2 3 3 3" xfId="32397"/>
    <cellStyle name="40% - Accent1 6 2 3 4" xfId="14810"/>
    <cellStyle name="40% - Accent1 6 2 3 4 2" xfId="37669"/>
    <cellStyle name="40% - Accent1 6 2 3 5" xfId="25367"/>
    <cellStyle name="40% - Accent1 6 2 4" xfId="4263"/>
    <cellStyle name="40% - Accent1 6 2 4 2" xfId="16567"/>
    <cellStyle name="40% - Accent1 6 2 4 2 2" xfId="39426"/>
    <cellStyle name="40% - Accent1 6 2 4 3" xfId="27124"/>
    <cellStyle name="40% - Accent1 6 2 5" xfId="7778"/>
    <cellStyle name="40% - Accent1 6 2 5 2" xfId="20082"/>
    <cellStyle name="40% - Accent1 6 2 5 2 2" xfId="42941"/>
    <cellStyle name="40% - Accent1 6 2 5 3" xfId="30639"/>
    <cellStyle name="40% - Accent1 6 2 6" xfId="11293"/>
    <cellStyle name="40% - Accent1 6 2 6 2" xfId="34153"/>
    <cellStyle name="40% - Accent1 6 2 7" xfId="13052"/>
    <cellStyle name="40% - Accent1 6 2 7 2" xfId="35911"/>
    <cellStyle name="40% - Accent1 6 2 8" xfId="23608"/>
    <cellStyle name="40% - Accent1 6 3" xfId="1184"/>
    <cellStyle name="40% - Accent1 6 3 2" xfId="2945"/>
    <cellStyle name="40% - Accent1 6 3 2 2" xfId="6460"/>
    <cellStyle name="40% - Accent1 6 3 2 2 2" xfId="18764"/>
    <cellStyle name="40% - Accent1 6 3 2 2 2 2" xfId="41623"/>
    <cellStyle name="40% - Accent1 6 3 2 2 3" xfId="29321"/>
    <cellStyle name="40% - Accent1 6 3 2 3" xfId="9975"/>
    <cellStyle name="40% - Accent1 6 3 2 3 2" xfId="22279"/>
    <cellStyle name="40% - Accent1 6 3 2 3 2 2" xfId="45138"/>
    <cellStyle name="40% - Accent1 6 3 2 3 3" xfId="32836"/>
    <cellStyle name="40% - Accent1 6 3 2 4" xfId="15249"/>
    <cellStyle name="40% - Accent1 6 3 2 4 2" xfId="38108"/>
    <cellStyle name="40% - Accent1 6 3 2 5" xfId="25806"/>
    <cellStyle name="40% - Accent1 6 3 3" xfId="4702"/>
    <cellStyle name="40% - Accent1 6 3 3 2" xfId="17006"/>
    <cellStyle name="40% - Accent1 6 3 3 2 2" xfId="39865"/>
    <cellStyle name="40% - Accent1 6 3 3 3" xfId="27563"/>
    <cellStyle name="40% - Accent1 6 3 4" xfId="8217"/>
    <cellStyle name="40% - Accent1 6 3 4 2" xfId="20521"/>
    <cellStyle name="40% - Accent1 6 3 4 2 2" xfId="43380"/>
    <cellStyle name="40% - Accent1 6 3 4 3" xfId="31078"/>
    <cellStyle name="40% - Accent1 6 3 5" xfId="11732"/>
    <cellStyle name="40% - Accent1 6 3 5 2" xfId="34592"/>
    <cellStyle name="40% - Accent1 6 3 6" xfId="13491"/>
    <cellStyle name="40% - Accent1 6 3 6 2" xfId="36350"/>
    <cellStyle name="40% - Accent1 6 3 7" xfId="24047"/>
    <cellStyle name="40% - Accent1 6 4" xfId="2067"/>
    <cellStyle name="40% - Accent1 6 4 2" xfId="5582"/>
    <cellStyle name="40% - Accent1 6 4 2 2" xfId="17886"/>
    <cellStyle name="40% - Accent1 6 4 2 2 2" xfId="40745"/>
    <cellStyle name="40% - Accent1 6 4 2 3" xfId="28443"/>
    <cellStyle name="40% - Accent1 6 4 3" xfId="9097"/>
    <cellStyle name="40% - Accent1 6 4 3 2" xfId="21401"/>
    <cellStyle name="40% - Accent1 6 4 3 2 2" xfId="44260"/>
    <cellStyle name="40% - Accent1 6 4 3 3" xfId="31958"/>
    <cellStyle name="40% - Accent1 6 4 4" xfId="14371"/>
    <cellStyle name="40% - Accent1 6 4 4 2" xfId="37230"/>
    <cellStyle name="40% - Accent1 6 4 5" xfId="24928"/>
    <cellStyle name="40% - Accent1 6 5" xfId="3824"/>
    <cellStyle name="40% - Accent1 6 5 2" xfId="16128"/>
    <cellStyle name="40% - Accent1 6 5 2 2" xfId="38987"/>
    <cellStyle name="40% - Accent1 6 5 3" xfId="26685"/>
    <cellStyle name="40% - Accent1 6 6" xfId="7339"/>
    <cellStyle name="40% - Accent1 6 6 2" xfId="19643"/>
    <cellStyle name="40% - Accent1 6 6 2 2" xfId="42502"/>
    <cellStyle name="40% - Accent1 6 6 3" xfId="30200"/>
    <cellStyle name="40% - Accent1 6 7" xfId="10854"/>
    <cellStyle name="40% - Accent1 6 7 2" xfId="33714"/>
    <cellStyle name="40% - Accent1 6 8" xfId="12613"/>
    <cellStyle name="40% - Accent1 6 8 2" xfId="35472"/>
    <cellStyle name="40% - Accent1 6 9" xfId="23168"/>
    <cellStyle name="40% - Accent1 7" xfId="510"/>
    <cellStyle name="40% - Accent1 7 2" xfId="951"/>
    <cellStyle name="40% - Accent1 7 2 2" xfId="1830"/>
    <cellStyle name="40% - Accent1 7 2 2 2" xfId="3591"/>
    <cellStyle name="40% - Accent1 7 2 2 2 2" xfId="7106"/>
    <cellStyle name="40% - Accent1 7 2 2 2 2 2" xfId="19410"/>
    <cellStyle name="40% - Accent1 7 2 2 2 2 2 2" xfId="42269"/>
    <cellStyle name="40% - Accent1 7 2 2 2 2 3" xfId="29967"/>
    <cellStyle name="40% - Accent1 7 2 2 2 3" xfId="10621"/>
    <cellStyle name="40% - Accent1 7 2 2 2 3 2" xfId="22925"/>
    <cellStyle name="40% - Accent1 7 2 2 2 3 2 2" xfId="45784"/>
    <cellStyle name="40% - Accent1 7 2 2 2 3 3" xfId="33482"/>
    <cellStyle name="40% - Accent1 7 2 2 2 4" xfId="15895"/>
    <cellStyle name="40% - Accent1 7 2 2 2 4 2" xfId="38754"/>
    <cellStyle name="40% - Accent1 7 2 2 2 5" xfId="26452"/>
    <cellStyle name="40% - Accent1 7 2 2 3" xfId="5348"/>
    <cellStyle name="40% - Accent1 7 2 2 3 2" xfId="17652"/>
    <cellStyle name="40% - Accent1 7 2 2 3 2 2" xfId="40511"/>
    <cellStyle name="40% - Accent1 7 2 2 3 3" xfId="28209"/>
    <cellStyle name="40% - Accent1 7 2 2 4" xfId="8863"/>
    <cellStyle name="40% - Accent1 7 2 2 4 2" xfId="21167"/>
    <cellStyle name="40% - Accent1 7 2 2 4 2 2" xfId="44026"/>
    <cellStyle name="40% - Accent1 7 2 2 4 3" xfId="31724"/>
    <cellStyle name="40% - Accent1 7 2 2 5" xfId="12378"/>
    <cellStyle name="40% - Accent1 7 2 2 5 2" xfId="35238"/>
    <cellStyle name="40% - Accent1 7 2 2 6" xfId="14137"/>
    <cellStyle name="40% - Accent1 7 2 2 6 2" xfId="36996"/>
    <cellStyle name="40% - Accent1 7 2 2 7" xfId="24693"/>
    <cellStyle name="40% - Accent1 7 2 3" xfId="2713"/>
    <cellStyle name="40% - Accent1 7 2 3 2" xfId="6228"/>
    <cellStyle name="40% - Accent1 7 2 3 2 2" xfId="18532"/>
    <cellStyle name="40% - Accent1 7 2 3 2 2 2" xfId="41391"/>
    <cellStyle name="40% - Accent1 7 2 3 2 3" xfId="29089"/>
    <cellStyle name="40% - Accent1 7 2 3 3" xfId="9743"/>
    <cellStyle name="40% - Accent1 7 2 3 3 2" xfId="22047"/>
    <cellStyle name="40% - Accent1 7 2 3 3 2 2" xfId="44906"/>
    <cellStyle name="40% - Accent1 7 2 3 3 3" xfId="32604"/>
    <cellStyle name="40% - Accent1 7 2 3 4" xfId="15017"/>
    <cellStyle name="40% - Accent1 7 2 3 4 2" xfId="37876"/>
    <cellStyle name="40% - Accent1 7 2 3 5" xfId="25574"/>
    <cellStyle name="40% - Accent1 7 2 4" xfId="4470"/>
    <cellStyle name="40% - Accent1 7 2 4 2" xfId="16774"/>
    <cellStyle name="40% - Accent1 7 2 4 2 2" xfId="39633"/>
    <cellStyle name="40% - Accent1 7 2 4 3" xfId="27331"/>
    <cellStyle name="40% - Accent1 7 2 5" xfId="7985"/>
    <cellStyle name="40% - Accent1 7 2 5 2" xfId="20289"/>
    <cellStyle name="40% - Accent1 7 2 5 2 2" xfId="43148"/>
    <cellStyle name="40% - Accent1 7 2 5 3" xfId="30846"/>
    <cellStyle name="40% - Accent1 7 2 6" xfId="11500"/>
    <cellStyle name="40% - Accent1 7 2 6 2" xfId="34360"/>
    <cellStyle name="40% - Accent1 7 2 7" xfId="13259"/>
    <cellStyle name="40% - Accent1 7 2 7 2" xfId="36118"/>
    <cellStyle name="40% - Accent1 7 2 8" xfId="23815"/>
    <cellStyle name="40% - Accent1 7 3" xfId="1391"/>
    <cellStyle name="40% - Accent1 7 3 2" xfId="3152"/>
    <cellStyle name="40% - Accent1 7 3 2 2" xfId="6667"/>
    <cellStyle name="40% - Accent1 7 3 2 2 2" xfId="18971"/>
    <cellStyle name="40% - Accent1 7 3 2 2 2 2" xfId="41830"/>
    <cellStyle name="40% - Accent1 7 3 2 2 3" xfId="29528"/>
    <cellStyle name="40% - Accent1 7 3 2 3" xfId="10182"/>
    <cellStyle name="40% - Accent1 7 3 2 3 2" xfId="22486"/>
    <cellStyle name="40% - Accent1 7 3 2 3 2 2" xfId="45345"/>
    <cellStyle name="40% - Accent1 7 3 2 3 3" xfId="33043"/>
    <cellStyle name="40% - Accent1 7 3 2 4" xfId="15456"/>
    <cellStyle name="40% - Accent1 7 3 2 4 2" xfId="38315"/>
    <cellStyle name="40% - Accent1 7 3 2 5" xfId="26013"/>
    <cellStyle name="40% - Accent1 7 3 3" xfId="4909"/>
    <cellStyle name="40% - Accent1 7 3 3 2" xfId="17213"/>
    <cellStyle name="40% - Accent1 7 3 3 2 2" xfId="40072"/>
    <cellStyle name="40% - Accent1 7 3 3 3" xfId="27770"/>
    <cellStyle name="40% - Accent1 7 3 4" xfId="8424"/>
    <cellStyle name="40% - Accent1 7 3 4 2" xfId="20728"/>
    <cellStyle name="40% - Accent1 7 3 4 2 2" xfId="43587"/>
    <cellStyle name="40% - Accent1 7 3 4 3" xfId="31285"/>
    <cellStyle name="40% - Accent1 7 3 5" xfId="11939"/>
    <cellStyle name="40% - Accent1 7 3 5 2" xfId="34799"/>
    <cellStyle name="40% - Accent1 7 3 6" xfId="13698"/>
    <cellStyle name="40% - Accent1 7 3 6 2" xfId="36557"/>
    <cellStyle name="40% - Accent1 7 3 7" xfId="24254"/>
    <cellStyle name="40% - Accent1 7 4" xfId="2274"/>
    <cellStyle name="40% - Accent1 7 4 2" xfId="5789"/>
    <cellStyle name="40% - Accent1 7 4 2 2" xfId="18093"/>
    <cellStyle name="40% - Accent1 7 4 2 2 2" xfId="40952"/>
    <cellStyle name="40% - Accent1 7 4 2 3" xfId="28650"/>
    <cellStyle name="40% - Accent1 7 4 3" xfId="9304"/>
    <cellStyle name="40% - Accent1 7 4 3 2" xfId="21608"/>
    <cellStyle name="40% - Accent1 7 4 3 2 2" xfId="44467"/>
    <cellStyle name="40% - Accent1 7 4 3 3" xfId="32165"/>
    <cellStyle name="40% - Accent1 7 4 4" xfId="14578"/>
    <cellStyle name="40% - Accent1 7 4 4 2" xfId="37437"/>
    <cellStyle name="40% - Accent1 7 4 5" xfId="25135"/>
    <cellStyle name="40% - Accent1 7 5" xfId="4031"/>
    <cellStyle name="40% - Accent1 7 5 2" xfId="16335"/>
    <cellStyle name="40% - Accent1 7 5 2 2" xfId="39194"/>
    <cellStyle name="40% - Accent1 7 5 3" xfId="26892"/>
    <cellStyle name="40% - Accent1 7 6" xfId="7546"/>
    <cellStyle name="40% - Accent1 7 6 2" xfId="19850"/>
    <cellStyle name="40% - Accent1 7 6 2 2" xfId="42709"/>
    <cellStyle name="40% - Accent1 7 6 3" xfId="30407"/>
    <cellStyle name="40% - Accent1 7 7" xfId="11061"/>
    <cellStyle name="40% - Accent1 7 7 2" xfId="33921"/>
    <cellStyle name="40% - Accent1 7 8" xfId="12820"/>
    <cellStyle name="40% - Accent1 7 8 2" xfId="35679"/>
    <cellStyle name="40% - Accent1 7 9" xfId="23375"/>
    <cellStyle name="40% - Accent1 8" xfId="523"/>
    <cellStyle name="40% - Accent1 8 2" xfId="1404"/>
    <cellStyle name="40% - Accent1 8 2 2" xfId="3165"/>
    <cellStyle name="40% - Accent1 8 2 2 2" xfId="6680"/>
    <cellStyle name="40% - Accent1 8 2 2 2 2" xfId="18984"/>
    <cellStyle name="40% - Accent1 8 2 2 2 2 2" xfId="41843"/>
    <cellStyle name="40% - Accent1 8 2 2 2 3" xfId="29541"/>
    <cellStyle name="40% - Accent1 8 2 2 3" xfId="10195"/>
    <cellStyle name="40% - Accent1 8 2 2 3 2" xfId="22499"/>
    <cellStyle name="40% - Accent1 8 2 2 3 2 2" xfId="45358"/>
    <cellStyle name="40% - Accent1 8 2 2 3 3" xfId="33056"/>
    <cellStyle name="40% - Accent1 8 2 2 4" xfId="15469"/>
    <cellStyle name="40% - Accent1 8 2 2 4 2" xfId="38328"/>
    <cellStyle name="40% - Accent1 8 2 2 5" xfId="26026"/>
    <cellStyle name="40% - Accent1 8 2 3" xfId="4922"/>
    <cellStyle name="40% - Accent1 8 2 3 2" xfId="17226"/>
    <cellStyle name="40% - Accent1 8 2 3 2 2" xfId="40085"/>
    <cellStyle name="40% - Accent1 8 2 3 3" xfId="27783"/>
    <cellStyle name="40% - Accent1 8 2 4" xfId="8437"/>
    <cellStyle name="40% - Accent1 8 2 4 2" xfId="20741"/>
    <cellStyle name="40% - Accent1 8 2 4 2 2" xfId="43600"/>
    <cellStyle name="40% - Accent1 8 2 4 3" xfId="31298"/>
    <cellStyle name="40% - Accent1 8 2 5" xfId="11952"/>
    <cellStyle name="40% - Accent1 8 2 5 2" xfId="34812"/>
    <cellStyle name="40% - Accent1 8 2 6" xfId="13711"/>
    <cellStyle name="40% - Accent1 8 2 6 2" xfId="36570"/>
    <cellStyle name="40% - Accent1 8 2 7" xfId="24267"/>
    <cellStyle name="40% - Accent1 8 3" xfId="2287"/>
    <cellStyle name="40% - Accent1 8 3 2" xfId="5802"/>
    <cellStyle name="40% - Accent1 8 3 2 2" xfId="18106"/>
    <cellStyle name="40% - Accent1 8 3 2 2 2" xfId="40965"/>
    <cellStyle name="40% - Accent1 8 3 2 3" xfId="28663"/>
    <cellStyle name="40% - Accent1 8 3 3" xfId="9317"/>
    <cellStyle name="40% - Accent1 8 3 3 2" xfId="21621"/>
    <cellStyle name="40% - Accent1 8 3 3 2 2" xfId="44480"/>
    <cellStyle name="40% - Accent1 8 3 3 3" xfId="32178"/>
    <cellStyle name="40% - Accent1 8 3 4" xfId="14591"/>
    <cellStyle name="40% - Accent1 8 3 4 2" xfId="37450"/>
    <cellStyle name="40% - Accent1 8 3 5" xfId="25148"/>
    <cellStyle name="40% - Accent1 8 4" xfId="4044"/>
    <cellStyle name="40% - Accent1 8 4 2" xfId="16348"/>
    <cellStyle name="40% - Accent1 8 4 2 2" xfId="39207"/>
    <cellStyle name="40% - Accent1 8 4 3" xfId="26905"/>
    <cellStyle name="40% - Accent1 8 5" xfId="7559"/>
    <cellStyle name="40% - Accent1 8 5 2" xfId="19863"/>
    <cellStyle name="40% - Accent1 8 5 2 2" xfId="42722"/>
    <cellStyle name="40% - Accent1 8 5 3" xfId="30420"/>
    <cellStyle name="40% - Accent1 8 6" xfId="11074"/>
    <cellStyle name="40% - Accent1 8 6 2" xfId="33934"/>
    <cellStyle name="40% - Accent1 8 7" xfId="12833"/>
    <cellStyle name="40% - Accent1 8 7 2" xfId="35692"/>
    <cellStyle name="40% - Accent1 8 8" xfId="23388"/>
    <cellStyle name="40% - Accent1 9" xfId="972"/>
    <cellStyle name="40% - Accent1 9 2" xfId="2733"/>
    <cellStyle name="40% - Accent1 9 2 2" xfId="6248"/>
    <cellStyle name="40% - Accent1 9 2 2 2" xfId="18552"/>
    <cellStyle name="40% - Accent1 9 2 2 2 2" xfId="41411"/>
    <cellStyle name="40% - Accent1 9 2 2 3" xfId="29109"/>
    <cellStyle name="40% - Accent1 9 2 3" xfId="9763"/>
    <cellStyle name="40% - Accent1 9 2 3 2" xfId="22067"/>
    <cellStyle name="40% - Accent1 9 2 3 2 2" xfId="44926"/>
    <cellStyle name="40% - Accent1 9 2 3 3" xfId="32624"/>
    <cellStyle name="40% - Accent1 9 2 4" xfId="15037"/>
    <cellStyle name="40% - Accent1 9 2 4 2" xfId="37896"/>
    <cellStyle name="40% - Accent1 9 2 5" xfId="25594"/>
    <cellStyle name="40% - Accent1 9 3" xfId="4490"/>
    <cellStyle name="40% - Accent1 9 3 2" xfId="16794"/>
    <cellStyle name="40% - Accent1 9 3 2 2" xfId="39653"/>
    <cellStyle name="40% - Accent1 9 3 3" xfId="27351"/>
    <cellStyle name="40% - Accent1 9 4" xfId="8005"/>
    <cellStyle name="40% - Accent1 9 4 2" xfId="20309"/>
    <cellStyle name="40% - Accent1 9 4 2 2" xfId="43168"/>
    <cellStyle name="40% - Accent1 9 4 3" xfId="30866"/>
    <cellStyle name="40% - Accent1 9 5" xfId="11520"/>
    <cellStyle name="40% - Accent1 9 5 2" xfId="34380"/>
    <cellStyle name="40% - Accent1 9 6" xfId="13279"/>
    <cellStyle name="40% - Accent1 9 6 2" xfId="36138"/>
    <cellStyle name="40% - Accent1 9 7" xfId="23835"/>
    <cellStyle name="40% - Accent2" xfId="80" builtinId="35" customBuiltin="1"/>
    <cellStyle name="40% - Accent2 10" xfId="1848"/>
    <cellStyle name="40% - Accent2 10 2" xfId="5365"/>
    <cellStyle name="40% - Accent2 10 2 2" xfId="17669"/>
    <cellStyle name="40% - Accent2 10 2 2 2" xfId="40528"/>
    <cellStyle name="40% - Accent2 10 2 3" xfId="28226"/>
    <cellStyle name="40% - Accent2 10 3" xfId="8880"/>
    <cellStyle name="40% - Accent2 10 3 2" xfId="21184"/>
    <cellStyle name="40% - Accent2 10 3 2 2" xfId="44043"/>
    <cellStyle name="40% - Accent2 10 3 3" xfId="31741"/>
    <cellStyle name="40% - Accent2 10 4" xfId="14154"/>
    <cellStyle name="40% - Accent2 10 4 2" xfId="37013"/>
    <cellStyle name="40% - Accent2 10 5" xfId="24710"/>
    <cellStyle name="40% - Accent2 11" xfId="3614"/>
    <cellStyle name="40% - Accent2 11 2" xfId="15918"/>
    <cellStyle name="40% - Accent2 11 2 2" xfId="38777"/>
    <cellStyle name="40% - Accent2 11 3" xfId="26475"/>
    <cellStyle name="40% - Accent2 12" xfId="7129"/>
    <cellStyle name="40% - Accent2 12 2" xfId="19433"/>
    <cellStyle name="40% - Accent2 12 2 2" xfId="42292"/>
    <cellStyle name="40% - Accent2 12 3" xfId="29990"/>
    <cellStyle name="40% - Accent2 13" xfId="10644"/>
    <cellStyle name="40% - Accent2 13 2" xfId="33504"/>
    <cellStyle name="40% - Accent2 14" xfId="12394"/>
    <cellStyle name="40% - Accent2 14 2" xfId="35254"/>
    <cellStyle name="40% - Accent2 15" xfId="22956"/>
    <cellStyle name="40% - Accent2 2" xfId="8"/>
    <cellStyle name="40% - Accent2 3" xfId="108"/>
    <cellStyle name="40% - Accent2 3 10" xfId="10663"/>
    <cellStyle name="40% - Accent2 3 10 2" xfId="33523"/>
    <cellStyle name="40% - Accent2 3 11" xfId="12422"/>
    <cellStyle name="40% - Accent2 3 11 2" xfId="35281"/>
    <cellStyle name="40% - Accent2 3 12" xfId="22975"/>
    <cellStyle name="40% - Accent2 3 2" xfId="164"/>
    <cellStyle name="40% - Accent2 3 2 10" xfId="12476"/>
    <cellStyle name="40% - Accent2 3 2 10 2" xfId="35335"/>
    <cellStyle name="40% - Accent2 3 2 11" xfId="23030"/>
    <cellStyle name="40% - Accent2 3 2 2" xfId="272"/>
    <cellStyle name="40% - Accent2 3 2 2 10" xfId="23137"/>
    <cellStyle name="40% - Accent2 3 2 2 2" xfId="484"/>
    <cellStyle name="40% - Accent2 3 2 2 2 2" xfId="925"/>
    <cellStyle name="40% - Accent2 3 2 2 2 2 2" xfId="1804"/>
    <cellStyle name="40% - Accent2 3 2 2 2 2 2 2" xfId="3565"/>
    <cellStyle name="40% - Accent2 3 2 2 2 2 2 2 2" xfId="7080"/>
    <cellStyle name="40% - Accent2 3 2 2 2 2 2 2 2 2" xfId="19384"/>
    <cellStyle name="40% - Accent2 3 2 2 2 2 2 2 2 2 2" xfId="42243"/>
    <cellStyle name="40% - Accent2 3 2 2 2 2 2 2 2 3" xfId="29941"/>
    <cellStyle name="40% - Accent2 3 2 2 2 2 2 2 3" xfId="10595"/>
    <cellStyle name="40% - Accent2 3 2 2 2 2 2 2 3 2" xfId="22899"/>
    <cellStyle name="40% - Accent2 3 2 2 2 2 2 2 3 2 2" xfId="45758"/>
    <cellStyle name="40% - Accent2 3 2 2 2 2 2 2 3 3" xfId="33456"/>
    <cellStyle name="40% - Accent2 3 2 2 2 2 2 2 4" xfId="15869"/>
    <cellStyle name="40% - Accent2 3 2 2 2 2 2 2 4 2" xfId="38728"/>
    <cellStyle name="40% - Accent2 3 2 2 2 2 2 2 5" xfId="26426"/>
    <cellStyle name="40% - Accent2 3 2 2 2 2 2 3" xfId="5322"/>
    <cellStyle name="40% - Accent2 3 2 2 2 2 2 3 2" xfId="17626"/>
    <cellStyle name="40% - Accent2 3 2 2 2 2 2 3 2 2" xfId="40485"/>
    <cellStyle name="40% - Accent2 3 2 2 2 2 2 3 3" xfId="28183"/>
    <cellStyle name="40% - Accent2 3 2 2 2 2 2 4" xfId="8837"/>
    <cellStyle name="40% - Accent2 3 2 2 2 2 2 4 2" xfId="21141"/>
    <cellStyle name="40% - Accent2 3 2 2 2 2 2 4 2 2" xfId="44000"/>
    <cellStyle name="40% - Accent2 3 2 2 2 2 2 4 3" xfId="31698"/>
    <cellStyle name="40% - Accent2 3 2 2 2 2 2 5" xfId="12352"/>
    <cellStyle name="40% - Accent2 3 2 2 2 2 2 5 2" xfId="35212"/>
    <cellStyle name="40% - Accent2 3 2 2 2 2 2 6" xfId="14111"/>
    <cellStyle name="40% - Accent2 3 2 2 2 2 2 6 2" xfId="36970"/>
    <cellStyle name="40% - Accent2 3 2 2 2 2 2 7" xfId="24667"/>
    <cellStyle name="40% - Accent2 3 2 2 2 2 3" xfId="2687"/>
    <cellStyle name="40% - Accent2 3 2 2 2 2 3 2" xfId="6202"/>
    <cellStyle name="40% - Accent2 3 2 2 2 2 3 2 2" xfId="18506"/>
    <cellStyle name="40% - Accent2 3 2 2 2 2 3 2 2 2" xfId="41365"/>
    <cellStyle name="40% - Accent2 3 2 2 2 2 3 2 3" xfId="29063"/>
    <cellStyle name="40% - Accent2 3 2 2 2 2 3 3" xfId="9717"/>
    <cellStyle name="40% - Accent2 3 2 2 2 2 3 3 2" xfId="22021"/>
    <cellStyle name="40% - Accent2 3 2 2 2 2 3 3 2 2" xfId="44880"/>
    <cellStyle name="40% - Accent2 3 2 2 2 2 3 3 3" xfId="32578"/>
    <cellStyle name="40% - Accent2 3 2 2 2 2 3 4" xfId="14991"/>
    <cellStyle name="40% - Accent2 3 2 2 2 2 3 4 2" xfId="37850"/>
    <cellStyle name="40% - Accent2 3 2 2 2 2 3 5" xfId="25548"/>
    <cellStyle name="40% - Accent2 3 2 2 2 2 4" xfId="4444"/>
    <cellStyle name="40% - Accent2 3 2 2 2 2 4 2" xfId="16748"/>
    <cellStyle name="40% - Accent2 3 2 2 2 2 4 2 2" xfId="39607"/>
    <cellStyle name="40% - Accent2 3 2 2 2 2 4 3" xfId="27305"/>
    <cellStyle name="40% - Accent2 3 2 2 2 2 5" xfId="7959"/>
    <cellStyle name="40% - Accent2 3 2 2 2 2 5 2" xfId="20263"/>
    <cellStyle name="40% - Accent2 3 2 2 2 2 5 2 2" xfId="43122"/>
    <cellStyle name="40% - Accent2 3 2 2 2 2 5 3" xfId="30820"/>
    <cellStyle name="40% - Accent2 3 2 2 2 2 6" xfId="11474"/>
    <cellStyle name="40% - Accent2 3 2 2 2 2 6 2" xfId="34334"/>
    <cellStyle name="40% - Accent2 3 2 2 2 2 7" xfId="13233"/>
    <cellStyle name="40% - Accent2 3 2 2 2 2 7 2" xfId="36092"/>
    <cellStyle name="40% - Accent2 3 2 2 2 2 8" xfId="23789"/>
    <cellStyle name="40% - Accent2 3 2 2 2 3" xfId="1365"/>
    <cellStyle name="40% - Accent2 3 2 2 2 3 2" xfId="3126"/>
    <cellStyle name="40% - Accent2 3 2 2 2 3 2 2" xfId="6641"/>
    <cellStyle name="40% - Accent2 3 2 2 2 3 2 2 2" xfId="18945"/>
    <cellStyle name="40% - Accent2 3 2 2 2 3 2 2 2 2" xfId="41804"/>
    <cellStyle name="40% - Accent2 3 2 2 2 3 2 2 3" xfId="29502"/>
    <cellStyle name="40% - Accent2 3 2 2 2 3 2 3" xfId="10156"/>
    <cellStyle name="40% - Accent2 3 2 2 2 3 2 3 2" xfId="22460"/>
    <cellStyle name="40% - Accent2 3 2 2 2 3 2 3 2 2" xfId="45319"/>
    <cellStyle name="40% - Accent2 3 2 2 2 3 2 3 3" xfId="33017"/>
    <cellStyle name="40% - Accent2 3 2 2 2 3 2 4" xfId="15430"/>
    <cellStyle name="40% - Accent2 3 2 2 2 3 2 4 2" xfId="38289"/>
    <cellStyle name="40% - Accent2 3 2 2 2 3 2 5" xfId="25987"/>
    <cellStyle name="40% - Accent2 3 2 2 2 3 3" xfId="4883"/>
    <cellStyle name="40% - Accent2 3 2 2 2 3 3 2" xfId="17187"/>
    <cellStyle name="40% - Accent2 3 2 2 2 3 3 2 2" xfId="40046"/>
    <cellStyle name="40% - Accent2 3 2 2 2 3 3 3" xfId="27744"/>
    <cellStyle name="40% - Accent2 3 2 2 2 3 4" xfId="8398"/>
    <cellStyle name="40% - Accent2 3 2 2 2 3 4 2" xfId="20702"/>
    <cellStyle name="40% - Accent2 3 2 2 2 3 4 2 2" xfId="43561"/>
    <cellStyle name="40% - Accent2 3 2 2 2 3 4 3" xfId="31259"/>
    <cellStyle name="40% - Accent2 3 2 2 2 3 5" xfId="11913"/>
    <cellStyle name="40% - Accent2 3 2 2 2 3 5 2" xfId="34773"/>
    <cellStyle name="40% - Accent2 3 2 2 2 3 6" xfId="13672"/>
    <cellStyle name="40% - Accent2 3 2 2 2 3 6 2" xfId="36531"/>
    <cellStyle name="40% - Accent2 3 2 2 2 3 7" xfId="24228"/>
    <cellStyle name="40% - Accent2 3 2 2 2 4" xfId="2248"/>
    <cellStyle name="40% - Accent2 3 2 2 2 4 2" xfId="5763"/>
    <cellStyle name="40% - Accent2 3 2 2 2 4 2 2" xfId="18067"/>
    <cellStyle name="40% - Accent2 3 2 2 2 4 2 2 2" xfId="40926"/>
    <cellStyle name="40% - Accent2 3 2 2 2 4 2 3" xfId="28624"/>
    <cellStyle name="40% - Accent2 3 2 2 2 4 3" xfId="9278"/>
    <cellStyle name="40% - Accent2 3 2 2 2 4 3 2" xfId="21582"/>
    <cellStyle name="40% - Accent2 3 2 2 2 4 3 2 2" xfId="44441"/>
    <cellStyle name="40% - Accent2 3 2 2 2 4 3 3" xfId="32139"/>
    <cellStyle name="40% - Accent2 3 2 2 2 4 4" xfId="14552"/>
    <cellStyle name="40% - Accent2 3 2 2 2 4 4 2" xfId="37411"/>
    <cellStyle name="40% - Accent2 3 2 2 2 4 5" xfId="25109"/>
    <cellStyle name="40% - Accent2 3 2 2 2 5" xfId="4005"/>
    <cellStyle name="40% - Accent2 3 2 2 2 5 2" xfId="16309"/>
    <cellStyle name="40% - Accent2 3 2 2 2 5 2 2" xfId="39168"/>
    <cellStyle name="40% - Accent2 3 2 2 2 5 3" xfId="26866"/>
    <cellStyle name="40% - Accent2 3 2 2 2 6" xfId="7520"/>
    <cellStyle name="40% - Accent2 3 2 2 2 6 2" xfId="19824"/>
    <cellStyle name="40% - Accent2 3 2 2 2 6 2 2" xfId="42683"/>
    <cellStyle name="40% - Accent2 3 2 2 2 6 3" xfId="30381"/>
    <cellStyle name="40% - Accent2 3 2 2 2 7" xfId="11035"/>
    <cellStyle name="40% - Accent2 3 2 2 2 7 2" xfId="33895"/>
    <cellStyle name="40% - Accent2 3 2 2 2 8" xfId="12794"/>
    <cellStyle name="40% - Accent2 3 2 2 2 8 2" xfId="35653"/>
    <cellStyle name="40% - Accent2 3 2 2 2 9" xfId="23349"/>
    <cellStyle name="40% - Accent2 3 2 2 3" xfId="713"/>
    <cellStyle name="40% - Accent2 3 2 2 3 2" xfId="1592"/>
    <cellStyle name="40% - Accent2 3 2 2 3 2 2" xfId="3353"/>
    <cellStyle name="40% - Accent2 3 2 2 3 2 2 2" xfId="6868"/>
    <cellStyle name="40% - Accent2 3 2 2 3 2 2 2 2" xfId="19172"/>
    <cellStyle name="40% - Accent2 3 2 2 3 2 2 2 2 2" xfId="42031"/>
    <cellStyle name="40% - Accent2 3 2 2 3 2 2 2 3" xfId="29729"/>
    <cellStyle name="40% - Accent2 3 2 2 3 2 2 3" xfId="10383"/>
    <cellStyle name="40% - Accent2 3 2 2 3 2 2 3 2" xfId="22687"/>
    <cellStyle name="40% - Accent2 3 2 2 3 2 2 3 2 2" xfId="45546"/>
    <cellStyle name="40% - Accent2 3 2 2 3 2 2 3 3" xfId="33244"/>
    <cellStyle name="40% - Accent2 3 2 2 3 2 2 4" xfId="15657"/>
    <cellStyle name="40% - Accent2 3 2 2 3 2 2 4 2" xfId="38516"/>
    <cellStyle name="40% - Accent2 3 2 2 3 2 2 5" xfId="26214"/>
    <cellStyle name="40% - Accent2 3 2 2 3 2 3" xfId="5110"/>
    <cellStyle name="40% - Accent2 3 2 2 3 2 3 2" xfId="17414"/>
    <cellStyle name="40% - Accent2 3 2 2 3 2 3 2 2" xfId="40273"/>
    <cellStyle name="40% - Accent2 3 2 2 3 2 3 3" xfId="27971"/>
    <cellStyle name="40% - Accent2 3 2 2 3 2 4" xfId="8625"/>
    <cellStyle name="40% - Accent2 3 2 2 3 2 4 2" xfId="20929"/>
    <cellStyle name="40% - Accent2 3 2 2 3 2 4 2 2" xfId="43788"/>
    <cellStyle name="40% - Accent2 3 2 2 3 2 4 3" xfId="31486"/>
    <cellStyle name="40% - Accent2 3 2 2 3 2 5" xfId="12140"/>
    <cellStyle name="40% - Accent2 3 2 2 3 2 5 2" xfId="35000"/>
    <cellStyle name="40% - Accent2 3 2 2 3 2 6" xfId="13899"/>
    <cellStyle name="40% - Accent2 3 2 2 3 2 6 2" xfId="36758"/>
    <cellStyle name="40% - Accent2 3 2 2 3 2 7" xfId="24455"/>
    <cellStyle name="40% - Accent2 3 2 2 3 3" xfId="2475"/>
    <cellStyle name="40% - Accent2 3 2 2 3 3 2" xfId="5990"/>
    <cellStyle name="40% - Accent2 3 2 2 3 3 2 2" xfId="18294"/>
    <cellStyle name="40% - Accent2 3 2 2 3 3 2 2 2" xfId="41153"/>
    <cellStyle name="40% - Accent2 3 2 2 3 3 2 3" xfId="28851"/>
    <cellStyle name="40% - Accent2 3 2 2 3 3 3" xfId="9505"/>
    <cellStyle name="40% - Accent2 3 2 2 3 3 3 2" xfId="21809"/>
    <cellStyle name="40% - Accent2 3 2 2 3 3 3 2 2" xfId="44668"/>
    <cellStyle name="40% - Accent2 3 2 2 3 3 3 3" xfId="32366"/>
    <cellStyle name="40% - Accent2 3 2 2 3 3 4" xfId="14779"/>
    <cellStyle name="40% - Accent2 3 2 2 3 3 4 2" xfId="37638"/>
    <cellStyle name="40% - Accent2 3 2 2 3 3 5" xfId="25336"/>
    <cellStyle name="40% - Accent2 3 2 2 3 4" xfId="4232"/>
    <cellStyle name="40% - Accent2 3 2 2 3 4 2" xfId="16536"/>
    <cellStyle name="40% - Accent2 3 2 2 3 4 2 2" xfId="39395"/>
    <cellStyle name="40% - Accent2 3 2 2 3 4 3" xfId="27093"/>
    <cellStyle name="40% - Accent2 3 2 2 3 5" xfId="7747"/>
    <cellStyle name="40% - Accent2 3 2 2 3 5 2" xfId="20051"/>
    <cellStyle name="40% - Accent2 3 2 2 3 5 2 2" xfId="42910"/>
    <cellStyle name="40% - Accent2 3 2 2 3 5 3" xfId="30608"/>
    <cellStyle name="40% - Accent2 3 2 2 3 6" xfId="11262"/>
    <cellStyle name="40% - Accent2 3 2 2 3 6 2" xfId="34122"/>
    <cellStyle name="40% - Accent2 3 2 2 3 7" xfId="13021"/>
    <cellStyle name="40% - Accent2 3 2 2 3 7 2" xfId="35880"/>
    <cellStyle name="40% - Accent2 3 2 2 3 8" xfId="23577"/>
    <cellStyle name="40% - Accent2 3 2 2 4" xfId="1153"/>
    <cellStyle name="40% - Accent2 3 2 2 4 2" xfId="2914"/>
    <cellStyle name="40% - Accent2 3 2 2 4 2 2" xfId="6429"/>
    <cellStyle name="40% - Accent2 3 2 2 4 2 2 2" xfId="18733"/>
    <cellStyle name="40% - Accent2 3 2 2 4 2 2 2 2" xfId="41592"/>
    <cellStyle name="40% - Accent2 3 2 2 4 2 2 3" xfId="29290"/>
    <cellStyle name="40% - Accent2 3 2 2 4 2 3" xfId="9944"/>
    <cellStyle name="40% - Accent2 3 2 2 4 2 3 2" xfId="22248"/>
    <cellStyle name="40% - Accent2 3 2 2 4 2 3 2 2" xfId="45107"/>
    <cellStyle name="40% - Accent2 3 2 2 4 2 3 3" xfId="32805"/>
    <cellStyle name="40% - Accent2 3 2 2 4 2 4" xfId="15218"/>
    <cellStyle name="40% - Accent2 3 2 2 4 2 4 2" xfId="38077"/>
    <cellStyle name="40% - Accent2 3 2 2 4 2 5" xfId="25775"/>
    <cellStyle name="40% - Accent2 3 2 2 4 3" xfId="4671"/>
    <cellStyle name="40% - Accent2 3 2 2 4 3 2" xfId="16975"/>
    <cellStyle name="40% - Accent2 3 2 2 4 3 2 2" xfId="39834"/>
    <cellStyle name="40% - Accent2 3 2 2 4 3 3" xfId="27532"/>
    <cellStyle name="40% - Accent2 3 2 2 4 4" xfId="8186"/>
    <cellStyle name="40% - Accent2 3 2 2 4 4 2" xfId="20490"/>
    <cellStyle name="40% - Accent2 3 2 2 4 4 2 2" xfId="43349"/>
    <cellStyle name="40% - Accent2 3 2 2 4 4 3" xfId="31047"/>
    <cellStyle name="40% - Accent2 3 2 2 4 5" xfId="11701"/>
    <cellStyle name="40% - Accent2 3 2 2 4 5 2" xfId="34561"/>
    <cellStyle name="40% - Accent2 3 2 2 4 6" xfId="13460"/>
    <cellStyle name="40% - Accent2 3 2 2 4 6 2" xfId="36319"/>
    <cellStyle name="40% - Accent2 3 2 2 4 7" xfId="24016"/>
    <cellStyle name="40% - Accent2 3 2 2 5" xfId="2036"/>
    <cellStyle name="40% - Accent2 3 2 2 5 2" xfId="5551"/>
    <cellStyle name="40% - Accent2 3 2 2 5 2 2" xfId="17855"/>
    <cellStyle name="40% - Accent2 3 2 2 5 2 2 2" xfId="40714"/>
    <cellStyle name="40% - Accent2 3 2 2 5 2 3" xfId="28412"/>
    <cellStyle name="40% - Accent2 3 2 2 5 3" xfId="9066"/>
    <cellStyle name="40% - Accent2 3 2 2 5 3 2" xfId="21370"/>
    <cellStyle name="40% - Accent2 3 2 2 5 3 2 2" xfId="44229"/>
    <cellStyle name="40% - Accent2 3 2 2 5 3 3" xfId="31927"/>
    <cellStyle name="40% - Accent2 3 2 2 5 4" xfId="14340"/>
    <cellStyle name="40% - Accent2 3 2 2 5 4 2" xfId="37199"/>
    <cellStyle name="40% - Accent2 3 2 2 5 5" xfId="24897"/>
    <cellStyle name="40% - Accent2 3 2 2 6" xfId="3793"/>
    <cellStyle name="40% - Accent2 3 2 2 6 2" xfId="16097"/>
    <cellStyle name="40% - Accent2 3 2 2 6 2 2" xfId="38956"/>
    <cellStyle name="40% - Accent2 3 2 2 6 3" xfId="26654"/>
    <cellStyle name="40% - Accent2 3 2 2 7" xfId="7308"/>
    <cellStyle name="40% - Accent2 3 2 2 7 2" xfId="19612"/>
    <cellStyle name="40% - Accent2 3 2 2 7 2 2" xfId="42471"/>
    <cellStyle name="40% - Accent2 3 2 2 7 3" xfId="30169"/>
    <cellStyle name="40% - Accent2 3 2 2 8" xfId="10823"/>
    <cellStyle name="40% - Accent2 3 2 2 8 2" xfId="33683"/>
    <cellStyle name="40% - Accent2 3 2 2 9" xfId="12582"/>
    <cellStyle name="40% - Accent2 3 2 2 9 2" xfId="35441"/>
    <cellStyle name="40% - Accent2 3 2 3" xfId="378"/>
    <cellStyle name="40% - Accent2 3 2 3 2" xfId="819"/>
    <cellStyle name="40% - Accent2 3 2 3 2 2" xfId="1698"/>
    <cellStyle name="40% - Accent2 3 2 3 2 2 2" xfId="3459"/>
    <cellStyle name="40% - Accent2 3 2 3 2 2 2 2" xfId="6974"/>
    <cellStyle name="40% - Accent2 3 2 3 2 2 2 2 2" xfId="19278"/>
    <cellStyle name="40% - Accent2 3 2 3 2 2 2 2 2 2" xfId="42137"/>
    <cellStyle name="40% - Accent2 3 2 3 2 2 2 2 3" xfId="29835"/>
    <cellStyle name="40% - Accent2 3 2 3 2 2 2 3" xfId="10489"/>
    <cellStyle name="40% - Accent2 3 2 3 2 2 2 3 2" xfId="22793"/>
    <cellStyle name="40% - Accent2 3 2 3 2 2 2 3 2 2" xfId="45652"/>
    <cellStyle name="40% - Accent2 3 2 3 2 2 2 3 3" xfId="33350"/>
    <cellStyle name="40% - Accent2 3 2 3 2 2 2 4" xfId="15763"/>
    <cellStyle name="40% - Accent2 3 2 3 2 2 2 4 2" xfId="38622"/>
    <cellStyle name="40% - Accent2 3 2 3 2 2 2 5" xfId="26320"/>
    <cellStyle name="40% - Accent2 3 2 3 2 2 3" xfId="5216"/>
    <cellStyle name="40% - Accent2 3 2 3 2 2 3 2" xfId="17520"/>
    <cellStyle name="40% - Accent2 3 2 3 2 2 3 2 2" xfId="40379"/>
    <cellStyle name="40% - Accent2 3 2 3 2 2 3 3" xfId="28077"/>
    <cellStyle name="40% - Accent2 3 2 3 2 2 4" xfId="8731"/>
    <cellStyle name="40% - Accent2 3 2 3 2 2 4 2" xfId="21035"/>
    <cellStyle name="40% - Accent2 3 2 3 2 2 4 2 2" xfId="43894"/>
    <cellStyle name="40% - Accent2 3 2 3 2 2 4 3" xfId="31592"/>
    <cellStyle name="40% - Accent2 3 2 3 2 2 5" xfId="12246"/>
    <cellStyle name="40% - Accent2 3 2 3 2 2 5 2" xfId="35106"/>
    <cellStyle name="40% - Accent2 3 2 3 2 2 6" xfId="14005"/>
    <cellStyle name="40% - Accent2 3 2 3 2 2 6 2" xfId="36864"/>
    <cellStyle name="40% - Accent2 3 2 3 2 2 7" xfId="24561"/>
    <cellStyle name="40% - Accent2 3 2 3 2 3" xfId="2581"/>
    <cellStyle name="40% - Accent2 3 2 3 2 3 2" xfId="6096"/>
    <cellStyle name="40% - Accent2 3 2 3 2 3 2 2" xfId="18400"/>
    <cellStyle name="40% - Accent2 3 2 3 2 3 2 2 2" xfId="41259"/>
    <cellStyle name="40% - Accent2 3 2 3 2 3 2 3" xfId="28957"/>
    <cellStyle name="40% - Accent2 3 2 3 2 3 3" xfId="9611"/>
    <cellStyle name="40% - Accent2 3 2 3 2 3 3 2" xfId="21915"/>
    <cellStyle name="40% - Accent2 3 2 3 2 3 3 2 2" xfId="44774"/>
    <cellStyle name="40% - Accent2 3 2 3 2 3 3 3" xfId="32472"/>
    <cellStyle name="40% - Accent2 3 2 3 2 3 4" xfId="14885"/>
    <cellStyle name="40% - Accent2 3 2 3 2 3 4 2" xfId="37744"/>
    <cellStyle name="40% - Accent2 3 2 3 2 3 5" xfId="25442"/>
    <cellStyle name="40% - Accent2 3 2 3 2 4" xfId="4338"/>
    <cellStyle name="40% - Accent2 3 2 3 2 4 2" xfId="16642"/>
    <cellStyle name="40% - Accent2 3 2 3 2 4 2 2" xfId="39501"/>
    <cellStyle name="40% - Accent2 3 2 3 2 4 3" xfId="27199"/>
    <cellStyle name="40% - Accent2 3 2 3 2 5" xfId="7853"/>
    <cellStyle name="40% - Accent2 3 2 3 2 5 2" xfId="20157"/>
    <cellStyle name="40% - Accent2 3 2 3 2 5 2 2" xfId="43016"/>
    <cellStyle name="40% - Accent2 3 2 3 2 5 3" xfId="30714"/>
    <cellStyle name="40% - Accent2 3 2 3 2 6" xfId="11368"/>
    <cellStyle name="40% - Accent2 3 2 3 2 6 2" xfId="34228"/>
    <cellStyle name="40% - Accent2 3 2 3 2 7" xfId="13127"/>
    <cellStyle name="40% - Accent2 3 2 3 2 7 2" xfId="35986"/>
    <cellStyle name="40% - Accent2 3 2 3 2 8" xfId="23683"/>
    <cellStyle name="40% - Accent2 3 2 3 3" xfId="1259"/>
    <cellStyle name="40% - Accent2 3 2 3 3 2" xfId="3020"/>
    <cellStyle name="40% - Accent2 3 2 3 3 2 2" xfId="6535"/>
    <cellStyle name="40% - Accent2 3 2 3 3 2 2 2" xfId="18839"/>
    <cellStyle name="40% - Accent2 3 2 3 3 2 2 2 2" xfId="41698"/>
    <cellStyle name="40% - Accent2 3 2 3 3 2 2 3" xfId="29396"/>
    <cellStyle name="40% - Accent2 3 2 3 3 2 3" xfId="10050"/>
    <cellStyle name="40% - Accent2 3 2 3 3 2 3 2" xfId="22354"/>
    <cellStyle name="40% - Accent2 3 2 3 3 2 3 2 2" xfId="45213"/>
    <cellStyle name="40% - Accent2 3 2 3 3 2 3 3" xfId="32911"/>
    <cellStyle name="40% - Accent2 3 2 3 3 2 4" xfId="15324"/>
    <cellStyle name="40% - Accent2 3 2 3 3 2 4 2" xfId="38183"/>
    <cellStyle name="40% - Accent2 3 2 3 3 2 5" xfId="25881"/>
    <cellStyle name="40% - Accent2 3 2 3 3 3" xfId="4777"/>
    <cellStyle name="40% - Accent2 3 2 3 3 3 2" xfId="17081"/>
    <cellStyle name="40% - Accent2 3 2 3 3 3 2 2" xfId="39940"/>
    <cellStyle name="40% - Accent2 3 2 3 3 3 3" xfId="27638"/>
    <cellStyle name="40% - Accent2 3 2 3 3 4" xfId="8292"/>
    <cellStyle name="40% - Accent2 3 2 3 3 4 2" xfId="20596"/>
    <cellStyle name="40% - Accent2 3 2 3 3 4 2 2" xfId="43455"/>
    <cellStyle name="40% - Accent2 3 2 3 3 4 3" xfId="31153"/>
    <cellStyle name="40% - Accent2 3 2 3 3 5" xfId="11807"/>
    <cellStyle name="40% - Accent2 3 2 3 3 5 2" xfId="34667"/>
    <cellStyle name="40% - Accent2 3 2 3 3 6" xfId="13566"/>
    <cellStyle name="40% - Accent2 3 2 3 3 6 2" xfId="36425"/>
    <cellStyle name="40% - Accent2 3 2 3 3 7" xfId="24122"/>
    <cellStyle name="40% - Accent2 3 2 3 4" xfId="2142"/>
    <cellStyle name="40% - Accent2 3 2 3 4 2" xfId="5657"/>
    <cellStyle name="40% - Accent2 3 2 3 4 2 2" xfId="17961"/>
    <cellStyle name="40% - Accent2 3 2 3 4 2 2 2" xfId="40820"/>
    <cellStyle name="40% - Accent2 3 2 3 4 2 3" xfId="28518"/>
    <cellStyle name="40% - Accent2 3 2 3 4 3" xfId="9172"/>
    <cellStyle name="40% - Accent2 3 2 3 4 3 2" xfId="21476"/>
    <cellStyle name="40% - Accent2 3 2 3 4 3 2 2" xfId="44335"/>
    <cellStyle name="40% - Accent2 3 2 3 4 3 3" xfId="32033"/>
    <cellStyle name="40% - Accent2 3 2 3 4 4" xfId="14446"/>
    <cellStyle name="40% - Accent2 3 2 3 4 4 2" xfId="37305"/>
    <cellStyle name="40% - Accent2 3 2 3 4 5" xfId="25003"/>
    <cellStyle name="40% - Accent2 3 2 3 5" xfId="3899"/>
    <cellStyle name="40% - Accent2 3 2 3 5 2" xfId="16203"/>
    <cellStyle name="40% - Accent2 3 2 3 5 2 2" xfId="39062"/>
    <cellStyle name="40% - Accent2 3 2 3 5 3" xfId="26760"/>
    <cellStyle name="40% - Accent2 3 2 3 6" xfId="7414"/>
    <cellStyle name="40% - Accent2 3 2 3 6 2" xfId="19718"/>
    <cellStyle name="40% - Accent2 3 2 3 6 2 2" xfId="42577"/>
    <cellStyle name="40% - Accent2 3 2 3 6 3" xfId="30275"/>
    <cellStyle name="40% - Accent2 3 2 3 7" xfId="10929"/>
    <cellStyle name="40% - Accent2 3 2 3 7 2" xfId="33789"/>
    <cellStyle name="40% - Accent2 3 2 3 8" xfId="12688"/>
    <cellStyle name="40% - Accent2 3 2 3 8 2" xfId="35547"/>
    <cellStyle name="40% - Accent2 3 2 3 9" xfId="23243"/>
    <cellStyle name="40% - Accent2 3 2 4" xfId="607"/>
    <cellStyle name="40% - Accent2 3 2 4 2" xfId="1486"/>
    <cellStyle name="40% - Accent2 3 2 4 2 2" xfId="3247"/>
    <cellStyle name="40% - Accent2 3 2 4 2 2 2" xfId="6762"/>
    <cellStyle name="40% - Accent2 3 2 4 2 2 2 2" xfId="19066"/>
    <cellStyle name="40% - Accent2 3 2 4 2 2 2 2 2" xfId="41925"/>
    <cellStyle name="40% - Accent2 3 2 4 2 2 2 3" xfId="29623"/>
    <cellStyle name="40% - Accent2 3 2 4 2 2 3" xfId="10277"/>
    <cellStyle name="40% - Accent2 3 2 4 2 2 3 2" xfId="22581"/>
    <cellStyle name="40% - Accent2 3 2 4 2 2 3 2 2" xfId="45440"/>
    <cellStyle name="40% - Accent2 3 2 4 2 2 3 3" xfId="33138"/>
    <cellStyle name="40% - Accent2 3 2 4 2 2 4" xfId="15551"/>
    <cellStyle name="40% - Accent2 3 2 4 2 2 4 2" xfId="38410"/>
    <cellStyle name="40% - Accent2 3 2 4 2 2 5" xfId="26108"/>
    <cellStyle name="40% - Accent2 3 2 4 2 3" xfId="5004"/>
    <cellStyle name="40% - Accent2 3 2 4 2 3 2" xfId="17308"/>
    <cellStyle name="40% - Accent2 3 2 4 2 3 2 2" xfId="40167"/>
    <cellStyle name="40% - Accent2 3 2 4 2 3 3" xfId="27865"/>
    <cellStyle name="40% - Accent2 3 2 4 2 4" xfId="8519"/>
    <cellStyle name="40% - Accent2 3 2 4 2 4 2" xfId="20823"/>
    <cellStyle name="40% - Accent2 3 2 4 2 4 2 2" xfId="43682"/>
    <cellStyle name="40% - Accent2 3 2 4 2 4 3" xfId="31380"/>
    <cellStyle name="40% - Accent2 3 2 4 2 5" xfId="12034"/>
    <cellStyle name="40% - Accent2 3 2 4 2 5 2" xfId="34894"/>
    <cellStyle name="40% - Accent2 3 2 4 2 6" xfId="13793"/>
    <cellStyle name="40% - Accent2 3 2 4 2 6 2" xfId="36652"/>
    <cellStyle name="40% - Accent2 3 2 4 2 7" xfId="24349"/>
    <cellStyle name="40% - Accent2 3 2 4 3" xfId="2369"/>
    <cellStyle name="40% - Accent2 3 2 4 3 2" xfId="5884"/>
    <cellStyle name="40% - Accent2 3 2 4 3 2 2" xfId="18188"/>
    <cellStyle name="40% - Accent2 3 2 4 3 2 2 2" xfId="41047"/>
    <cellStyle name="40% - Accent2 3 2 4 3 2 3" xfId="28745"/>
    <cellStyle name="40% - Accent2 3 2 4 3 3" xfId="9399"/>
    <cellStyle name="40% - Accent2 3 2 4 3 3 2" xfId="21703"/>
    <cellStyle name="40% - Accent2 3 2 4 3 3 2 2" xfId="44562"/>
    <cellStyle name="40% - Accent2 3 2 4 3 3 3" xfId="32260"/>
    <cellStyle name="40% - Accent2 3 2 4 3 4" xfId="14673"/>
    <cellStyle name="40% - Accent2 3 2 4 3 4 2" xfId="37532"/>
    <cellStyle name="40% - Accent2 3 2 4 3 5" xfId="25230"/>
    <cellStyle name="40% - Accent2 3 2 4 4" xfId="4126"/>
    <cellStyle name="40% - Accent2 3 2 4 4 2" xfId="16430"/>
    <cellStyle name="40% - Accent2 3 2 4 4 2 2" xfId="39289"/>
    <cellStyle name="40% - Accent2 3 2 4 4 3" xfId="26987"/>
    <cellStyle name="40% - Accent2 3 2 4 5" xfId="7641"/>
    <cellStyle name="40% - Accent2 3 2 4 5 2" xfId="19945"/>
    <cellStyle name="40% - Accent2 3 2 4 5 2 2" xfId="42804"/>
    <cellStyle name="40% - Accent2 3 2 4 5 3" xfId="30502"/>
    <cellStyle name="40% - Accent2 3 2 4 6" xfId="11156"/>
    <cellStyle name="40% - Accent2 3 2 4 6 2" xfId="34016"/>
    <cellStyle name="40% - Accent2 3 2 4 7" xfId="12915"/>
    <cellStyle name="40% - Accent2 3 2 4 7 2" xfId="35774"/>
    <cellStyle name="40% - Accent2 3 2 4 8" xfId="23471"/>
    <cellStyle name="40% - Accent2 3 2 5" xfId="1047"/>
    <cellStyle name="40% - Accent2 3 2 5 2" xfId="2808"/>
    <cellStyle name="40% - Accent2 3 2 5 2 2" xfId="6323"/>
    <cellStyle name="40% - Accent2 3 2 5 2 2 2" xfId="18627"/>
    <cellStyle name="40% - Accent2 3 2 5 2 2 2 2" xfId="41486"/>
    <cellStyle name="40% - Accent2 3 2 5 2 2 3" xfId="29184"/>
    <cellStyle name="40% - Accent2 3 2 5 2 3" xfId="9838"/>
    <cellStyle name="40% - Accent2 3 2 5 2 3 2" xfId="22142"/>
    <cellStyle name="40% - Accent2 3 2 5 2 3 2 2" xfId="45001"/>
    <cellStyle name="40% - Accent2 3 2 5 2 3 3" xfId="32699"/>
    <cellStyle name="40% - Accent2 3 2 5 2 4" xfId="15112"/>
    <cellStyle name="40% - Accent2 3 2 5 2 4 2" xfId="37971"/>
    <cellStyle name="40% - Accent2 3 2 5 2 5" xfId="25669"/>
    <cellStyle name="40% - Accent2 3 2 5 3" xfId="4565"/>
    <cellStyle name="40% - Accent2 3 2 5 3 2" xfId="16869"/>
    <cellStyle name="40% - Accent2 3 2 5 3 2 2" xfId="39728"/>
    <cellStyle name="40% - Accent2 3 2 5 3 3" xfId="27426"/>
    <cellStyle name="40% - Accent2 3 2 5 4" xfId="8080"/>
    <cellStyle name="40% - Accent2 3 2 5 4 2" xfId="20384"/>
    <cellStyle name="40% - Accent2 3 2 5 4 2 2" xfId="43243"/>
    <cellStyle name="40% - Accent2 3 2 5 4 3" xfId="30941"/>
    <cellStyle name="40% - Accent2 3 2 5 5" xfId="11595"/>
    <cellStyle name="40% - Accent2 3 2 5 5 2" xfId="34455"/>
    <cellStyle name="40% - Accent2 3 2 5 6" xfId="13354"/>
    <cellStyle name="40% - Accent2 3 2 5 6 2" xfId="36213"/>
    <cellStyle name="40% - Accent2 3 2 5 7" xfId="23910"/>
    <cellStyle name="40% - Accent2 3 2 6" xfId="1930"/>
    <cellStyle name="40% - Accent2 3 2 6 2" xfId="5445"/>
    <cellStyle name="40% - Accent2 3 2 6 2 2" xfId="17749"/>
    <cellStyle name="40% - Accent2 3 2 6 2 2 2" xfId="40608"/>
    <cellStyle name="40% - Accent2 3 2 6 2 3" xfId="28306"/>
    <cellStyle name="40% - Accent2 3 2 6 3" xfId="8960"/>
    <cellStyle name="40% - Accent2 3 2 6 3 2" xfId="21264"/>
    <cellStyle name="40% - Accent2 3 2 6 3 2 2" xfId="44123"/>
    <cellStyle name="40% - Accent2 3 2 6 3 3" xfId="31821"/>
    <cellStyle name="40% - Accent2 3 2 6 4" xfId="14234"/>
    <cellStyle name="40% - Accent2 3 2 6 4 2" xfId="37093"/>
    <cellStyle name="40% - Accent2 3 2 6 5" xfId="24791"/>
    <cellStyle name="40% - Accent2 3 2 7" xfId="3687"/>
    <cellStyle name="40% - Accent2 3 2 7 2" xfId="15991"/>
    <cellStyle name="40% - Accent2 3 2 7 2 2" xfId="38850"/>
    <cellStyle name="40% - Accent2 3 2 7 3" xfId="26548"/>
    <cellStyle name="40% - Accent2 3 2 8" xfId="7202"/>
    <cellStyle name="40% - Accent2 3 2 8 2" xfId="19506"/>
    <cellStyle name="40% - Accent2 3 2 8 2 2" xfId="42365"/>
    <cellStyle name="40% - Accent2 3 2 8 3" xfId="30063"/>
    <cellStyle name="40% - Accent2 3 2 9" xfId="10717"/>
    <cellStyle name="40% - Accent2 3 2 9 2" xfId="33577"/>
    <cellStyle name="40% - Accent2 3 3" xfId="218"/>
    <cellStyle name="40% - Accent2 3 3 10" xfId="23083"/>
    <cellStyle name="40% - Accent2 3 3 2" xfId="430"/>
    <cellStyle name="40% - Accent2 3 3 2 2" xfId="871"/>
    <cellStyle name="40% - Accent2 3 3 2 2 2" xfId="1750"/>
    <cellStyle name="40% - Accent2 3 3 2 2 2 2" xfId="3511"/>
    <cellStyle name="40% - Accent2 3 3 2 2 2 2 2" xfId="7026"/>
    <cellStyle name="40% - Accent2 3 3 2 2 2 2 2 2" xfId="19330"/>
    <cellStyle name="40% - Accent2 3 3 2 2 2 2 2 2 2" xfId="42189"/>
    <cellStyle name="40% - Accent2 3 3 2 2 2 2 2 3" xfId="29887"/>
    <cellStyle name="40% - Accent2 3 3 2 2 2 2 3" xfId="10541"/>
    <cellStyle name="40% - Accent2 3 3 2 2 2 2 3 2" xfId="22845"/>
    <cellStyle name="40% - Accent2 3 3 2 2 2 2 3 2 2" xfId="45704"/>
    <cellStyle name="40% - Accent2 3 3 2 2 2 2 3 3" xfId="33402"/>
    <cellStyle name="40% - Accent2 3 3 2 2 2 2 4" xfId="15815"/>
    <cellStyle name="40% - Accent2 3 3 2 2 2 2 4 2" xfId="38674"/>
    <cellStyle name="40% - Accent2 3 3 2 2 2 2 5" xfId="26372"/>
    <cellStyle name="40% - Accent2 3 3 2 2 2 3" xfId="5268"/>
    <cellStyle name="40% - Accent2 3 3 2 2 2 3 2" xfId="17572"/>
    <cellStyle name="40% - Accent2 3 3 2 2 2 3 2 2" xfId="40431"/>
    <cellStyle name="40% - Accent2 3 3 2 2 2 3 3" xfId="28129"/>
    <cellStyle name="40% - Accent2 3 3 2 2 2 4" xfId="8783"/>
    <cellStyle name="40% - Accent2 3 3 2 2 2 4 2" xfId="21087"/>
    <cellStyle name="40% - Accent2 3 3 2 2 2 4 2 2" xfId="43946"/>
    <cellStyle name="40% - Accent2 3 3 2 2 2 4 3" xfId="31644"/>
    <cellStyle name="40% - Accent2 3 3 2 2 2 5" xfId="12298"/>
    <cellStyle name="40% - Accent2 3 3 2 2 2 5 2" xfId="35158"/>
    <cellStyle name="40% - Accent2 3 3 2 2 2 6" xfId="14057"/>
    <cellStyle name="40% - Accent2 3 3 2 2 2 6 2" xfId="36916"/>
    <cellStyle name="40% - Accent2 3 3 2 2 2 7" xfId="24613"/>
    <cellStyle name="40% - Accent2 3 3 2 2 3" xfId="2633"/>
    <cellStyle name="40% - Accent2 3 3 2 2 3 2" xfId="6148"/>
    <cellStyle name="40% - Accent2 3 3 2 2 3 2 2" xfId="18452"/>
    <cellStyle name="40% - Accent2 3 3 2 2 3 2 2 2" xfId="41311"/>
    <cellStyle name="40% - Accent2 3 3 2 2 3 2 3" xfId="29009"/>
    <cellStyle name="40% - Accent2 3 3 2 2 3 3" xfId="9663"/>
    <cellStyle name="40% - Accent2 3 3 2 2 3 3 2" xfId="21967"/>
    <cellStyle name="40% - Accent2 3 3 2 2 3 3 2 2" xfId="44826"/>
    <cellStyle name="40% - Accent2 3 3 2 2 3 3 3" xfId="32524"/>
    <cellStyle name="40% - Accent2 3 3 2 2 3 4" xfId="14937"/>
    <cellStyle name="40% - Accent2 3 3 2 2 3 4 2" xfId="37796"/>
    <cellStyle name="40% - Accent2 3 3 2 2 3 5" xfId="25494"/>
    <cellStyle name="40% - Accent2 3 3 2 2 4" xfId="4390"/>
    <cellStyle name="40% - Accent2 3 3 2 2 4 2" xfId="16694"/>
    <cellStyle name="40% - Accent2 3 3 2 2 4 2 2" xfId="39553"/>
    <cellStyle name="40% - Accent2 3 3 2 2 4 3" xfId="27251"/>
    <cellStyle name="40% - Accent2 3 3 2 2 5" xfId="7905"/>
    <cellStyle name="40% - Accent2 3 3 2 2 5 2" xfId="20209"/>
    <cellStyle name="40% - Accent2 3 3 2 2 5 2 2" xfId="43068"/>
    <cellStyle name="40% - Accent2 3 3 2 2 5 3" xfId="30766"/>
    <cellStyle name="40% - Accent2 3 3 2 2 6" xfId="11420"/>
    <cellStyle name="40% - Accent2 3 3 2 2 6 2" xfId="34280"/>
    <cellStyle name="40% - Accent2 3 3 2 2 7" xfId="13179"/>
    <cellStyle name="40% - Accent2 3 3 2 2 7 2" xfId="36038"/>
    <cellStyle name="40% - Accent2 3 3 2 2 8" xfId="23735"/>
    <cellStyle name="40% - Accent2 3 3 2 3" xfId="1311"/>
    <cellStyle name="40% - Accent2 3 3 2 3 2" xfId="3072"/>
    <cellStyle name="40% - Accent2 3 3 2 3 2 2" xfId="6587"/>
    <cellStyle name="40% - Accent2 3 3 2 3 2 2 2" xfId="18891"/>
    <cellStyle name="40% - Accent2 3 3 2 3 2 2 2 2" xfId="41750"/>
    <cellStyle name="40% - Accent2 3 3 2 3 2 2 3" xfId="29448"/>
    <cellStyle name="40% - Accent2 3 3 2 3 2 3" xfId="10102"/>
    <cellStyle name="40% - Accent2 3 3 2 3 2 3 2" xfId="22406"/>
    <cellStyle name="40% - Accent2 3 3 2 3 2 3 2 2" xfId="45265"/>
    <cellStyle name="40% - Accent2 3 3 2 3 2 3 3" xfId="32963"/>
    <cellStyle name="40% - Accent2 3 3 2 3 2 4" xfId="15376"/>
    <cellStyle name="40% - Accent2 3 3 2 3 2 4 2" xfId="38235"/>
    <cellStyle name="40% - Accent2 3 3 2 3 2 5" xfId="25933"/>
    <cellStyle name="40% - Accent2 3 3 2 3 3" xfId="4829"/>
    <cellStyle name="40% - Accent2 3 3 2 3 3 2" xfId="17133"/>
    <cellStyle name="40% - Accent2 3 3 2 3 3 2 2" xfId="39992"/>
    <cellStyle name="40% - Accent2 3 3 2 3 3 3" xfId="27690"/>
    <cellStyle name="40% - Accent2 3 3 2 3 4" xfId="8344"/>
    <cellStyle name="40% - Accent2 3 3 2 3 4 2" xfId="20648"/>
    <cellStyle name="40% - Accent2 3 3 2 3 4 2 2" xfId="43507"/>
    <cellStyle name="40% - Accent2 3 3 2 3 4 3" xfId="31205"/>
    <cellStyle name="40% - Accent2 3 3 2 3 5" xfId="11859"/>
    <cellStyle name="40% - Accent2 3 3 2 3 5 2" xfId="34719"/>
    <cellStyle name="40% - Accent2 3 3 2 3 6" xfId="13618"/>
    <cellStyle name="40% - Accent2 3 3 2 3 6 2" xfId="36477"/>
    <cellStyle name="40% - Accent2 3 3 2 3 7" xfId="24174"/>
    <cellStyle name="40% - Accent2 3 3 2 4" xfId="2194"/>
    <cellStyle name="40% - Accent2 3 3 2 4 2" xfId="5709"/>
    <cellStyle name="40% - Accent2 3 3 2 4 2 2" xfId="18013"/>
    <cellStyle name="40% - Accent2 3 3 2 4 2 2 2" xfId="40872"/>
    <cellStyle name="40% - Accent2 3 3 2 4 2 3" xfId="28570"/>
    <cellStyle name="40% - Accent2 3 3 2 4 3" xfId="9224"/>
    <cellStyle name="40% - Accent2 3 3 2 4 3 2" xfId="21528"/>
    <cellStyle name="40% - Accent2 3 3 2 4 3 2 2" xfId="44387"/>
    <cellStyle name="40% - Accent2 3 3 2 4 3 3" xfId="32085"/>
    <cellStyle name="40% - Accent2 3 3 2 4 4" xfId="14498"/>
    <cellStyle name="40% - Accent2 3 3 2 4 4 2" xfId="37357"/>
    <cellStyle name="40% - Accent2 3 3 2 4 5" xfId="25055"/>
    <cellStyle name="40% - Accent2 3 3 2 5" xfId="3951"/>
    <cellStyle name="40% - Accent2 3 3 2 5 2" xfId="16255"/>
    <cellStyle name="40% - Accent2 3 3 2 5 2 2" xfId="39114"/>
    <cellStyle name="40% - Accent2 3 3 2 5 3" xfId="26812"/>
    <cellStyle name="40% - Accent2 3 3 2 6" xfId="7466"/>
    <cellStyle name="40% - Accent2 3 3 2 6 2" xfId="19770"/>
    <cellStyle name="40% - Accent2 3 3 2 6 2 2" xfId="42629"/>
    <cellStyle name="40% - Accent2 3 3 2 6 3" xfId="30327"/>
    <cellStyle name="40% - Accent2 3 3 2 7" xfId="10981"/>
    <cellStyle name="40% - Accent2 3 3 2 7 2" xfId="33841"/>
    <cellStyle name="40% - Accent2 3 3 2 8" xfId="12740"/>
    <cellStyle name="40% - Accent2 3 3 2 8 2" xfId="35599"/>
    <cellStyle name="40% - Accent2 3 3 2 9" xfId="23295"/>
    <cellStyle name="40% - Accent2 3 3 3" xfId="659"/>
    <cellStyle name="40% - Accent2 3 3 3 2" xfId="1538"/>
    <cellStyle name="40% - Accent2 3 3 3 2 2" xfId="3299"/>
    <cellStyle name="40% - Accent2 3 3 3 2 2 2" xfId="6814"/>
    <cellStyle name="40% - Accent2 3 3 3 2 2 2 2" xfId="19118"/>
    <cellStyle name="40% - Accent2 3 3 3 2 2 2 2 2" xfId="41977"/>
    <cellStyle name="40% - Accent2 3 3 3 2 2 2 3" xfId="29675"/>
    <cellStyle name="40% - Accent2 3 3 3 2 2 3" xfId="10329"/>
    <cellStyle name="40% - Accent2 3 3 3 2 2 3 2" xfId="22633"/>
    <cellStyle name="40% - Accent2 3 3 3 2 2 3 2 2" xfId="45492"/>
    <cellStyle name="40% - Accent2 3 3 3 2 2 3 3" xfId="33190"/>
    <cellStyle name="40% - Accent2 3 3 3 2 2 4" xfId="15603"/>
    <cellStyle name="40% - Accent2 3 3 3 2 2 4 2" xfId="38462"/>
    <cellStyle name="40% - Accent2 3 3 3 2 2 5" xfId="26160"/>
    <cellStyle name="40% - Accent2 3 3 3 2 3" xfId="5056"/>
    <cellStyle name="40% - Accent2 3 3 3 2 3 2" xfId="17360"/>
    <cellStyle name="40% - Accent2 3 3 3 2 3 2 2" xfId="40219"/>
    <cellStyle name="40% - Accent2 3 3 3 2 3 3" xfId="27917"/>
    <cellStyle name="40% - Accent2 3 3 3 2 4" xfId="8571"/>
    <cellStyle name="40% - Accent2 3 3 3 2 4 2" xfId="20875"/>
    <cellStyle name="40% - Accent2 3 3 3 2 4 2 2" xfId="43734"/>
    <cellStyle name="40% - Accent2 3 3 3 2 4 3" xfId="31432"/>
    <cellStyle name="40% - Accent2 3 3 3 2 5" xfId="12086"/>
    <cellStyle name="40% - Accent2 3 3 3 2 5 2" xfId="34946"/>
    <cellStyle name="40% - Accent2 3 3 3 2 6" xfId="13845"/>
    <cellStyle name="40% - Accent2 3 3 3 2 6 2" xfId="36704"/>
    <cellStyle name="40% - Accent2 3 3 3 2 7" xfId="24401"/>
    <cellStyle name="40% - Accent2 3 3 3 3" xfId="2421"/>
    <cellStyle name="40% - Accent2 3 3 3 3 2" xfId="5936"/>
    <cellStyle name="40% - Accent2 3 3 3 3 2 2" xfId="18240"/>
    <cellStyle name="40% - Accent2 3 3 3 3 2 2 2" xfId="41099"/>
    <cellStyle name="40% - Accent2 3 3 3 3 2 3" xfId="28797"/>
    <cellStyle name="40% - Accent2 3 3 3 3 3" xfId="9451"/>
    <cellStyle name="40% - Accent2 3 3 3 3 3 2" xfId="21755"/>
    <cellStyle name="40% - Accent2 3 3 3 3 3 2 2" xfId="44614"/>
    <cellStyle name="40% - Accent2 3 3 3 3 3 3" xfId="32312"/>
    <cellStyle name="40% - Accent2 3 3 3 3 4" xfId="14725"/>
    <cellStyle name="40% - Accent2 3 3 3 3 4 2" xfId="37584"/>
    <cellStyle name="40% - Accent2 3 3 3 3 5" xfId="25282"/>
    <cellStyle name="40% - Accent2 3 3 3 4" xfId="4178"/>
    <cellStyle name="40% - Accent2 3 3 3 4 2" xfId="16482"/>
    <cellStyle name="40% - Accent2 3 3 3 4 2 2" xfId="39341"/>
    <cellStyle name="40% - Accent2 3 3 3 4 3" xfId="27039"/>
    <cellStyle name="40% - Accent2 3 3 3 5" xfId="7693"/>
    <cellStyle name="40% - Accent2 3 3 3 5 2" xfId="19997"/>
    <cellStyle name="40% - Accent2 3 3 3 5 2 2" xfId="42856"/>
    <cellStyle name="40% - Accent2 3 3 3 5 3" xfId="30554"/>
    <cellStyle name="40% - Accent2 3 3 3 6" xfId="11208"/>
    <cellStyle name="40% - Accent2 3 3 3 6 2" xfId="34068"/>
    <cellStyle name="40% - Accent2 3 3 3 7" xfId="12967"/>
    <cellStyle name="40% - Accent2 3 3 3 7 2" xfId="35826"/>
    <cellStyle name="40% - Accent2 3 3 3 8" xfId="23523"/>
    <cellStyle name="40% - Accent2 3 3 4" xfId="1099"/>
    <cellStyle name="40% - Accent2 3 3 4 2" xfId="2860"/>
    <cellStyle name="40% - Accent2 3 3 4 2 2" xfId="6375"/>
    <cellStyle name="40% - Accent2 3 3 4 2 2 2" xfId="18679"/>
    <cellStyle name="40% - Accent2 3 3 4 2 2 2 2" xfId="41538"/>
    <cellStyle name="40% - Accent2 3 3 4 2 2 3" xfId="29236"/>
    <cellStyle name="40% - Accent2 3 3 4 2 3" xfId="9890"/>
    <cellStyle name="40% - Accent2 3 3 4 2 3 2" xfId="22194"/>
    <cellStyle name="40% - Accent2 3 3 4 2 3 2 2" xfId="45053"/>
    <cellStyle name="40% - Accent2 3 3 4 2 3 3" xfId="32751"/>
    <cellStyle name="40% - Accent2 3 3 4 2 4" xfId="15164"/>
    <cellStyle name="40% - Accent2 3 3 4 2 4 2" xfId="38023"/>
    <cellStyle name="40% - Accent2 3 3 4 2 5" xfId="25721"/>
    <cellStyle name="40% - Accent2 3 3 4 3" xfId="4617"/>
    <cellStyle name="40% - Accent2 3 3 4 3 2" xfId="16921"/>
    <cellStyle name="40% - Accent2 3 3 4 3 2 2" xfId="39780"/>
    <cellStyle name="40% - Accent2 3 3 4 3 3" xfId="27478"/>
    <cellStyle name="40% - Accent2 3 3 4 4" xfId="8132"/>
    <cellStyle name="40% - Accent2 3 3 4 4 2" xfId="20436"/>
    <cellStyle name="40% - Accent2 3 3 4 4 2 2" xfId="43295"/>
    <cellStyle name="40% - Accent2 3 3 4 4 3" xfId="30993"/>
    <cellStyle name="40% - Accent2 3 3 4 5" xfId="11647"/>
    <cellStyle name="40% - Accent2 3 3 4 5 2" xfId="34507"/>
    <cellStyle name="40% - Accent2 3 3 4 6" xfId="13406"/>
    <cellStyle name="40% - Accent2 3 3 4 6 2" xfId="36265"/>
    <cellStyle name="40% - Accent2 3 3 4 7" xfId="23962"/>
    <cellStyle name="40% - Accent2 3 3 5" xfId="1982"/>
    <cellStyle name="40% - Accent2 3 3 5 2" xfId="5497"/>
    <cellStyle name="40% - Accent2 3 3 5 2 2" xfId="17801"/>
    <cellStyle name="40% - Accent2 3 3 5 2 2 2" xfId="40660"/>
    <cellStyle name="40% - Accent2 3 3 5 2 3" xfId="28358"/>
    <cellStyle name="40% - Accent2 3 3 5 3" xfId="9012"/>
    <cellStyle name="40% - Accent2 3 3 5 3 2" xfId="21316"/>
    <cellStyle name="40% - Accent2 3 3 5 3 2 2" xfId="44175"/>
    <cellStyle name="40% - Accent2 3 3 5 3 3" xfId="31873"/>
    <cellStyle name="40% - Accent2 3 3 5 4" xfId="14286"/>
    <cellStyle name="40% - Accent2 3 3 5 4 2" xfId="37145"/>
    <cellStyle name="40% - Accent2 3 3 5 5" xfId="24843"/>
    <cellStyle name="40% - Accent2 3 3 6" xfId="3739"/>
    <cellStyle name="40% - Accent2 3 3 6 2" xfId="16043"/>
    <cellStyle name="40% - Accent2 3 3 6 2 2" xfId="38902"/>
    <cellStyle name="40% - Accent2 3 3 6 3" xfId="26600"/>
    <cellStyle name="40% - Accent2 3 3 7" xfId="7254"/>
    <cellStyle name="40% - Accent2 3 3 7 2" xfId="19558"/>
    <cellStyle name="40% - Accent2 3 3 7 2 2" xfId="42417"/>
    <cellStyle name="40% - Accent2 3 3 7 3" xfId="30115"/>
    <cellStyle name="40% - Accent2 3 3 8" xfId="10769"/>
    <cellStyle name="40% - Accent2 3 3 8 2" xfId="33629"/>
    <cellStyle name="40% - Accent2 3 3 9" xfId="12528"/>
    <cellStyle name="40% - Accent2 3 3 9 2" xfId="35387"/>
    <cellStyle name="40% - Accent2 3 4" xfId="324"/>
    <cellStyle name="40% - Accent2 3 4 2" xfId="765"/>
    <cellStyle name="40% - Accent2 3 4 2 2" xfId="1644"/>
    <cellStyle name="40% - Accent2 3 4 2 2 2" xfId="3405"/>
    <cellStyle name="40% - Accent2 3 4 2 2 2 2" xfId="6920"/>
    <cellStyle name="40% - Accent2 3 4 2 2 2 2 2" xfId="19224"/>
    <cellStyle name="40% - Accent2 3 4 2 2 2 2 2 2" xfId="42083"/>
    <cellStyle name="40% - Accent2 3 4 2 2 2 2 3" xfId="29781"/>
    <cellStyle name="40% - Accent2 3 4 2 2 2 3" xfId="10435"/>
    <cellStyle name="40% - Accent2 3 4 2 2 2 3 2" xfId="22739"/>
    <cellStyle name="40% - Accent2 3 4 2 2 2 3 2 2" xfId="45598"/>
    <cellStyle name="40% - Accent2 3 4 2 2 2 3 3" xfId="33296"/>
    <cellStyle name="40% - Accent2 3 4 2 2 2 4" xfId="15709"/>
    <cellStyle name="40% - Accent2 3 4 2 2 2 4 2" xfId="38568"/>
    <cellStyle name="40% - Accent2 3 4 2 2 2 5" xfId="26266"/>
    <cellStyle name="40% - Accent2 3 4 2 2 3" xfId="5162"/>
    <cellStyle name="40% - Accent2 3 4 2 2 3 2" xfId="17466"/>
    <cellStyle name="40% - Accent2 3 4 2 2 3 2 2" xfId="40325"/>
    <cellStyle name="40% - Accent2 3 4 2 2 3 3" xfId="28023"/>
    <cellStyle name="40% - Accent2 3 4 2 2 4" xfId="8677"/>
    <cellStyle name="40% - Accent2 3 4 2 2 4 2" xfId="20981"/>
    <cellStyle name="40% - Accent2 3 4 2 2 4 2 2" xfId="43840"/>
    <cellStyle name="40% - Accent2 3 4 2 2 4 3" xfId="31538"/>
    <cellStyle name="40% - Accent2 3 4 2 2 5" xfId="12192"/>
    <cellStyle name="40% - Accent2 3 4 2 2 5 2" xfId="35052"/>
    <cellStyle name="40% - Accent2 3 4 2 2 6" xfId="13951"/>
    <cellStyle name="40% - Accent2 3 4 2 2 6 2" xfId="36810"/>
    <cellStyle name="40% - Accent2 3 4 2 2 7" xfId="24507"/>
    <cellStyle name="40% - Accent2 3 4 2 3" xfId="2527"/>
    <cellStyle name="40% - Accent2 3 4 2 3 2" xfId="6042"/>
    <cellStyle name="40% - Accent2 3 4 2 3 2 2" xfId="18346"/>
    <cellStyle name="40% - Accent2 3 4 2 3 2 2 2" xfId="41205"/>
    <cellStyle name="40% - Accent2 3 4 2 3 2 3" xfId="28903"/>
    <cellStyle name="40% - Accent2 3 4 2 3 3" xfId="9557"/>
    <cellStyle name="40% - Accent2 3 4 2 3 3 2" xfId="21861"/>
    <cellStyle name="40% - Accent2 3 4 2 3 3 2 2" xfId="44720"/>
    <cellStyle name="40% - Accent2 3 4 2 3 3 3" xfId="32418"/>
    <cellStyle name="40% - Accent2 3 4 2 3 4" xfId="14831"/>
    <cellStyle name="40% - Accent2 3 4 2 3 4 2" xfId="37690"/>
    <cellStyle name="40% - Accent2 3 4 2 3 5" xfId="25388"/>
    <cellStyle name="40% - Accent2 3 4 2 4" xfId="4284"/>
    <cellStyle name="40% - Accent2 3 4 2 4 2" xfId="16588"/>
    <cellStyle name="40% - Accent2 3 4 2 4 2 2" xfId="39447"/>
    <cellStyle name="40% - Accent2 3 4 2 4 3" xfId="27145"/>
    <cellStyle name="40% - Accent2 3 4 2 5" xfId="7799"/>
    <cellStyle name="40% - Accent2 3 4 2 5 2" xfId="20103"/>
    <cellStyle name="40% - Accent2 3 4 2 5 2 2" xfId="42962"/>
    <cellStyle name="40% - Accent2 3 4 2 5 3" xfId="30660"/>
    <cellStyle name="40% - Accent2 3 4 2 6" xfId="11314"/>
    <cellStyle name="40% - Accent2 3 4 2 6 2" xfId="34174"/>
    <cellStyle name="40% - Accent2 3 4 2 7" xfId="13073"/>
    <cellStyle name="40% - Accent2 3 4 2 7 2" xfId="35932"/>
    <cellStyle name="40% - Accent2 3 4 2 8" xfId="23629"/>
    <cellStyle name="40% - Accent2 3 4 3" xfId="1205"/>
    <cellStyle name="40% - Accent2 3 4 3 2" xfId="2966"/>
    <cellStyle name="40% - Accent2 3 4 3 2 2" xfId="6481"/>
    <cellStyle name="40% - Accent2 3 4 3 2 2 2" xfId="18785"/>
    <cellStyle name="40% - Accent2 3 4 3 2 2 2 2" xfId="41644"/>
    <cellStyle name="40% - Accent2 3 4 3 2 2 3" xfId="29342"/>
    <cellStyle name="40% - Accent2 3 4 3 2 3" xfId="9996"/>
    <cellStyle name="40% - Accent2 3 4 3 2 3 2" xfId="22300"/>
    <cellStyle name="40% - Accent2 3 4 3 2 3 2 2" xfId="45159"/>
    <cellStyle name="40% - Accent2 3 4 3 2 3 3" xfId="32857"/>
    <cellStyle name="40% - Accent2 3 4 3 2 4" xfId="15270"/>
    <cellStyle name="40% - Accent2 3 4 3 2 4 2" xfId="38129"/>
    <cellStyle name="40% - Accent2 3 4 3 2 5" xfId="25827"/>
    <cellStyle name="40% - Accent2 3 4 3 3" xfId="4723"/>
    <cellStyle name="40% - Accent2 3 4 3 3 2" xfId="17027"/>
    <cellStyle name="40% - Accent2 3 4 3 3 2 2" xfId="39886"/>
    <cellStyle name="40% - Accent2 3 4 3 3 3" xfId="27584"/>
    <cellStyle name="40% - Accent2 3 4 3 4" xfId="8238"/>
    <cellStyle name="40% - Accent2 3 4 3 4 2" xfId="20542"/>
    <cellStyle name="40% - Accent2 3 4 3 4 2 2" xfId="43401"/>
    <cellStyle name="40% - Accent2 3 4 3 4 3" xfId="31099"/>
    <cellStyle name="40% - Accent2 3 4 3 5" xfId="11753"/>
    <cellStyle name="40% - Accent2 3 4 3 5 2" xfId="34613"/>
    <cellStyle name="40% - Accent2 3 4 3 6" xfId="13512"/>
    <cellStyle name="40% - Accent2 3 4 3 6 2" xfId="36371"/>
    <cellStyle name="40% - Accent2 3 4 3 7" xfId="24068"/>
    <cellStyle name="40% - Accent2 3 4 4" xfId="2088"/>
    <cellStyle name="40% - Accent2 3 4 4 2" xfId="5603"/>
    <cellStyle name="40% - Accent2 3 4 4 2 2" xfId="17907"/>
    <cellStyle name="40% - Accent2 3 4 4 2 2 2" xfId="40766"/>
    <cellStyle name="40% - Accent2 3 4 4 2 3" xfId="28464"/>
    <cellStyle name="40% - Accent2 3 4 4 3" xfId="9118"/>
    <cellStyle name="40% - Accent2 3 4 4 3 2" xfId="21422"/>
    <cellStyle name="40% - Accent2 3 4 4 3 2 2" xfId="44281"/>
    <cellStyle name="40% - Accent2 3 4 4 3 3" xfId="31979"/>
    <cellStyle name="40% - Accent2 3 4 4 4" xfId="14392"/>
    <cellStyle name="40% - Accent2 3 4 4 4 2" xfId="37251"/>
    <cellStyle name="40% - Accent2 3 4 4 5" xfId="24949"/>
    <cellStyle name="40% - Accent2 3 4 5" xfId="3845"/>
    <cellStyle name="40% - Accent2 3 4 5 2" xfId="16149"/>
    <cellStyle name="40% - Accent2 3 4 5 2 2" xfId="39008"/>
    <cellStyle name="40% - Accent2 3 4 5 3" xfId="26706"/>
    <cellStyle name="40% - Accent2 3 4 6" xfId="7360"/>
    <cellStyle name="40% - Accent2 3 4 6 2" xfId="19664"/>
    <cellStyle name="40% - Accent2 3 4 6 2 2" xfId="42523"/>
    <cellStyle name="40% - Accent2 3 4 6 3" xfId="30221"/>
    <cellStyle name="40% - Accent2 3 4 7" xfId="10875"/>
    <cellStyle name="40% - Accent2 3 4 7 2" xfId="33735"/>
    <cellStyle name="40% - Accent2 3 4 8" xfId="12634"/>
    <cellStyle name="40% - Accent2 3 4 8 2" xfId="35493"/>
    <cellStyle name="40% - Accent2 3 4 9" xfId="23189"/>
    <cellStyle name="40% - Accent2 3 5" xfId="553"/>
    <cellStyle name="40% - Accent2 3 5 2" xfId="1432"/>
    <cellStyle name="40% - Accent2 3 5 2 2" xfId="3193"/>
    <cellStyle name="40% - Accent2 3 5 2 2 2" xfId="6708"/>
    <cellStyle name="40% - Accent2 3 5 2 2 2 2" xfId="19012"/>
    <cellStyle name="40% - Accent2 3 5 2 2 2 2 2" xfId="41871"/>
    <cellStyle name="40% - Accent2 3 5 2 2 2 3" xfId="29569"/>
    <cellStyle name="40% - Accent2 3 5 2 2 3" xfId="10223"/>
    <cellStyle name="40% - Accent2 3 5 2 2 3 2" xfId="22527"/>
    <cellStyle name="40% - Accent2 3 5 2 2 3 2 2" xfId="45386"/>
    <cellStyle name="40% - Accent2 3 5 2 2 3 3" xfId="33084"/>
    <cellStyle name="40% - Accent2 3 5 2 2 4" xfId="15497"/>
    <cellStyle name="40% - Accent2 3 5 2 2 4 2" xfId="38356"/>
    <cellStyle name="40% - Accent2 3 5 2 2 5" xfId="26054"/>
    <cellStyle name="40% - Accent2 3 5 2 3" xfId="4950"/>
    <cellStyle name="40% - Accent2 3 5 2 3 2" xfId="17254"/>
    <cellStyle name="40% - Accent2 3 5 2 3 2 2" xfId="40113"/>
    <cellStyle name="40% - Accent2 3 5 2 3 3" xfId="27811"/>
    <cellStyle name="40% - Accent2 3 5 2 4" xfId="8465"/>
    <cellStyle name="40% - Accent2 3 5 2 4 2" xfId="20769"/>
    <cellStyle name="40% - Accent2 3 5 2 4 2 2" xfId="43628"/>
    <cellStyle name="40% - Accent2 3 5 2 4 3" xfId="31326"/>
    <cellStyle name="40% - Accent2 3 5 2 5" xfId="11980"/>
    <cellStyle name="40% - Accent2 3 5 2 5 2" xfId="34840"/>
    <cellStyle name="40% - Accent2 3 5 2 6" xfId="13739"/>
    <cellStyle name="40% - Accent2 3 5 2 6 2" xfId="36598"/>
    <cellStyle name="40% - Accent2 3 5 2 7" xfId="24295"/>
    <cellStyle name="40% - Accent2 3 5 3" xfId="2315"/>
    <cellStyle name="40% - Accent2 3 5 3 2" xfId="5830"/>
    <cellStyle name="40% - Accent2 3 5 3 2 2" xfId="18134"/>
    <cellStyle name="40% - Accent2 3 5 3 2 2 2" xfId="40993"/>
    <cellStyle name="40% - Accent2 3 5 3 2 3" xfId="28691"/>
    <cellStyle name="40% - Accent2 3 5 3 3" xfId="9345"/>
    <cellStyle name="40% - Accent2 3 5 3 3 2" xfId="21649"/>
    <cellStyle name="40% - Accent2 3 5 3 3 2 2" xfId="44508"/>
    <cellStyle name="40% - Accent2 3 5 3 3 3" xfId="32206"/>
    <cellStyle name="40% - Accent2 3 5 3 4" xfId="14619"/>
    <cellStyle name="40% - Accent2 3 5 3 4 2" xfId="37478"/>
    <cellStyle name="40% - Accent2 3 5 3 5" xfId="25176"/>
    <cellStyle name="40% - Accent2 3 5 4" xfId="4072"/>
    <cellStyle name="40% - Accent2 3 5 4 2" xfId="16376"/>
    <cellStyle name="40% - Accent2 3 5 4 2 2" xfId="39235"/>
    <cellStyle name="40% - Accent2 3 5 4 3" xfId="26933"/>
    <cellStyle name="40% - Accent2 3 5 5" xfId="7587"/>
    <cellStyle name="40% - Accent2 3 5 5 2" xfId="19891"/>
    <cellStyle name="40% - Accent2 3 5 5 2 2" xfId="42750"/>
    <cellStyle name="40% - Accent2 3 5 5 3" xfId="30448"/>
    <cellStyle name="40% - Accent2 3 5 6" xfId="11102"/>
    <cellStyle name="40% - Accent2 3 5 6 2" xfId="33962"/>
    <cellStyle name="40% - Accent2 3 5 7" xfId="12861"/>
    <cellStyle name="40% - Accent2 3 5 7 2" xfId="35720"/>
    <cellStyle name="40% - Accent2 3 5 8" xfId="23417"/>
    <cellStyle name="40% - Accent2 3 6" xfId="993"/>
    <cellStyle name="40% - Accent2 3 6 2" xfId="2754"/>
    <cellStyle name="40% - Accent2 3 6 2 2" xfId="6269"/>
    <cellStyle name="40% - Accent2 3 6 2 2 2" xfId="18573"/>
    <cellStyle name="40% - Accent2 3 6 2 2 2 2" xfId="41432"/>
    <cellStyle name="40% - Accent2 3 6 2 2 3" xfId="29130"/>
    <cellStyle name="40% - Accent2 3 6 2 3" xfId="9784"/>
    <cellStyle name="40% - Accent2 3 6 2 3 2" xfId="22088"/>
    <cellStyle name="40% - Accent2 3 6 2 3 2 2" xfId="44947"/>
    <cellStyle name="40% - Accent2 3 6 2 3 3" xfId="32645"/>
    <cellStyle name="40% - Accent2 3 6 2 4" xfId="15058"/>
    <cellStyle name="40% - Accent2 3 6 2 4 2" xfId="37917"/>
    <cellStyle name="40% - Accent2 3 6 2 5" xfId="25615"/>
    <cellStyle name="40% - Accent2 3 6 3" xfId="4511"/>
    <cellStyle name="40% - Accent2 3 6 3 2" xfId="16815"/>
    <cellStyle name="40% - Accent2 3 6 3 2 2" xfId="39674"/>
    <cellStyle name="40% - Accent2 3 6 3 3" xfId="27372"/>
    <cellStyle name="40% - Accent2 3 6 4" xfId="8026"/>
    <cellStyle name="40% - Accent2 3 6 4 2" xfId="20330"/>
    <cellStyle name="40% - Accent2 3 6 4 2 2" xfId="43189"/>
    <cellStyle name="40% - Accent2 3 6 4 3" xfId="30887"/>
    <cellStyle name="40% - Accent2 3 6 5" xfId="11541"/>
    <cellStyle name="40% - Accent2 3 6 5 2" xfId="34401"/>
    <cellStyle name="40% - Accent2 3 6 6" xfId="13300"/>
    <cellStyle name="40% - Accent2 3 6 6 2" xfId="36159"/>
    <cellStyle name="40% - Accent2 3 6 7" xfId="23856"/>
    <cellStyle name="40% - Accent2 3 7" xfId="1876"/>
    <cellStyle name="40% - Accent2 3 7 2" xfId="5391"/>
    <cellStyle name="40% - Accent2 3 7 2 2" xfId="17695"/>
    <cellStyle name="40% - Accent2 3 7 2 2 2" xfId="40554"/>
    <cellStyle name="40% - Accent2 3 7 2 3" xfId="28252"/>
    <cellStyle name="40% - Accent2 3 7 3" xfId="8906"/>
    <cellStyle name="40% - Accent2 3 7 3 2" xfId="21210"/>
    <cellStyle name="40% - Accent2 3 7 3 2 2" xfId="44069"/>
    <cellStyle name="40% - Accent2 3 7 3 3" xfId="31767"/>
    <cellStyle name="40% - Accent2 3 7 4" xfId="14180"/>
    <cellStyle name="40% - Accent2 3 7 4 2" xfId="37039"/>
    <cellStyle name="40% - Accent2 3 7 5" xfId="24737"/>
    <cellStyle name="40% - Accent2 3 8" xfId="3633"/>
    <cellStyle name="40% - Accent2 3 8 2" xfId="15937"/>
    <cellStyle name="40% - Accent2 3 8 2 2" xfId="38796"/>
    <cellStyle name="40% - Accent2 3 8 3" xfId="26494"/>
    <cellStyle name="40% - Accent2 3 9" xfId="7148"/>
    <cellStyle name="40% - Accent2 3 9 2" xfId="19452"/>
    <cellStyle name="40% - Accent2 3 9 2 2" xfId="42311"/>
    <cellStyle name="40% - Accent2 3 9 3" xfId="30009"/>
    <cellStyle name="40% - Accent2 4" xfId="139"/>
    <cellStyle name="40% - Accent2 4 10" xfId="12451"/>
    <cellStyle name="40% - Accent2 4 10 2" xfId="35310"/>
    <cellStyle name="40% - Accent2 4 11" xfId="23005"/>
    <cellStyle name="40% - Accent2 4 2" xfId="247"/>
    <cellStyle name="40% - Accent2 4 2 10" xfId="23112"/>
    <cellStyle name="40% - Accent2 4 2 2" xfId="459"/>
    <cellStyle name="40% - Accent2 4 2 2 2" xfId="900"/>
    <cellStyle name="40% - Accent2 4 2 2 2 2" xfId="1779"/>
    <cellStyle name="40% - Accent2 4 2 2 2 2 2" xfId="3540"/>
    <cellStyle name="40% - Accent2 4 2 2 2 2 2 2" xfId="7055"/>
    <cellStyle name="40% - Accent2 4 2 2 2 2 2 2 2" xfId="19359"/>
    <cellStyle name="40% - Accent2 4 2 2 2 2 2 2 2 2" xfId="42218"/>
    <cellStyle name="40% - Accent2 4 2 2 2 2 2 2 3" xfId="29916"/>
    <cellStyle name="40% - Accent2 4 2 2 2 2 2 3" xfId="10570"/>
    <cellStyle name="40% - Accent2 4 2 2 2 2 2 3 2" xfId="22874"/>
    <cellStyle name="40% - Accent2 4 2 2 2 2 2 3 2 2" xfId="45733"/>
    <cellStyle name="40% - Accent2 4 2 2 2 2 2 3 3" xfId="33431"/>
    <cellStyle name="40% - Accent2 4 2 2 2 2 2 4" xfId="15844"/>
    <cellStyle name="40% - Accent2 4 2 2 2 2 2 4 2" xfId="38703"/>
    <cellStyle name="40% - Accent2 4 2 2 2 2 2 5" xfId="26401"/>
    <cellStyle name="40% - Accent2 4 2 2 2 2 3" xfId="5297"/>
    <cellStyle name="40% - Accent2 4 2 2 2 2 3 2" xfId="17601"/>
    <cellStyle name="40% - Accent2 4 2 2 2 2 3 2 2" xfId="40460"/>
    <cellStyle name="40% - Accent2 4 2 2 2 2 3 3" xfId="28158"/>
    <cellStyle name="40% - Accent2 4 2 2 2 2 4" xfId="8812"/>
    <cellStyle name="40% - Accent2 4 2 2 2 2 4 2" xfId="21116"/>
    <cellStyle name="40% - Accent2 4 2 2 2 2 4 2 2" xfId="43975"/>
    <cellStyle name="40% - Accent2 4 2 2 2 2 4 3" xfId="31673"/>
    <cellStyle name="40% - Accent2 4 2 2 2 2 5" xfId="12327"/>
    <cellStyle name="40% - Accent2 4 2 2 2 2 5 2" xfId="35187"/>
    <cellStyle name="40% - Accent2 4 2 2 2 2 6" xfId="14086"/>
    <cellStyle name="40% - Accent2 4 2 2 2 2 6 2" xfId="36945"/>
    <cellStyle name="40% - Accent2 4 2 2 2 2 7" xfId="24642"/>
    <cellStyle name="40% - Accent2 4 2 2 2 3" xfId="2662"/>
    <cellStyle name="40% - Accent2 4 2 2 2 3 2" xfId="6177"/>
    <cellStyle name="40% - Accent2 4 2 2 2 3 2 2" xfId="18481"/>
    <cellStyle name="40% - Accent2 4 2 2 2 3 2 2 2" xfId="41340"/>
    <cellStyle name="40% - Accent2 4 2 2 2 3 2 3" xfId="29038"/>
    <cellStyle name="40% - Accent2 4 2 2 2 3 3" xfId="9692"/>
    <cellStyle name="40% - Accent2 4 2 2 2 3 3 2" xfId="21996"/>
    <cellStyle name="40% - Accent2 4 2 2 2 3 3 2 2" xfId="44855"/>
    <cellStyle name="40% - Accent2 4 2 2 2 3 3 3" xfId="32553"/>
    <cellStyle name="40% - Accent2 4 2 2 2 3 4" xfId="14966"/>
    <cellStyle name="40% - Accent2 4 2 2 2 3 4 2" xfId="37825"/>
    <cellStyle name="40% - Accent2 4 2 2 2 3 5" xfId="25523"/>
    <cellStyle name="40% - Accent2 4 2 2 2 4" xfId="4419"/>
    <cellStyle name="40% - Accent2 4 2 2 2 4 2" xfId="16723"/>
    <cellStyle name="40% - Accent2 4 2 2 2 4 2 2" xfId="39582"/>
    <cellStyle name="40% - Accent2 4 2 2 2 4 3" xfId="27280"/>
    <cellStyle name="40% - Accent2 4 2 2 2 5" xfId="7934"/>
    <cellStyle name="40% - Accent2 4 2 2 2 5 2" xfId="20238"/>
    <cellStyle name="40% - Accent2 4 2 2 2 5 2 2" xfId="43097"/>
    <cellStyle name="40% - Accent2 4 2 2 2 5 3" xfId="30795"/>
    <cellStyle name="40% - Accent2 4 2 2 2 6" xfId="11449"/>
    <cellStyle name="40% - Accent2 4 2 2 2 6 2" xfId="34309"/>
    <cellStyle name="40% - Accent2 4 2 2 2 7" xfId="13208"/>
    <cellStyle name="40% - Accent2 4 2 2 2 7 2" xfId="36067"/>
    <cellStyle name="40% - Accent2 4 2 2 2 8" xfId="23764"/>
    <cellStyle name="40% - Accent2 4 2 2 3" xfId="1340"/>
    <cellStyle name="40% - Accent2 4 2 2 3 2" xfId="3101"/>
    <cellStyle name="40% - Accent2 4 2 2 3 2 2" xfId="6616"/>
    <cellStyle name="40% - Accent2 4 2 2 3 2 2 2" xfId="18920"/>
    <cellStyle name="40% - Accent2 4 2 2 3 2 2 2 2" xfId="41779"/>
    <cellStyle name="40% - Accent2 4 2 2 3 2 2 3" xfId="29477"/>
    <cellStyle name="40% - Accent2 4 2 2 3 2 3" xfId="10131"/>
    <cellStyle name="40% - Accent2 4 2 2 3 2 3 2" xfId="22435"/>
    <cellStyle name="40% - Accent2 4 2 2 3 2 3 2 2" xfId="45294"/>
    <cellStyle name="40% - Accent2 4 2 2 3 2 3 3" xfId="32992"/>
    <cellStyle name="40% - Accent2 4 2 2 3 2 4" xfId="15405"/>
    <cellStyle name="40% - Accent2 4 2 2 3 2 4 2" xfId="38264"/>
    <cellStyle name="40% - Accent2 4 2 2 3 2 5" xfId="25962"/>
    <cellStyle name="40% - Accent2 4 2 2 3 3" xfId="4858"/>
    <cellStyle name="40% - Accent2 4 2 2 3 3 2" xfId="17162"/>
    <cellStyle name="40% - Accent2 4 2 2 3 3 2 2" xfId="40021"/>
    <cellStyle name="40% - Accent2 4 2 2 3 3 3" xfId="27719"/>
    <cellStyle name="40% - Accent2 4 2 2 3 4" xfId="8373"/>
    <cellStyle name="40% - Accent2 4 2 2 3 4 2" xfId="20677"/>
    <cellStyle name="40% - Accent2 4 2 2 3 4 2 2" xfId="43536"/>
    <cellStyle name="40% - Accent2 4 2 2 3 4 3" xfId="31234"/>
    <cellStyle name="40% - Accent2 4 2 2 3 5" xfId="11888"/>
    <cellStyle name="40% - Accent2 4 2 2 3 5 2" xfId="34748"/>
    <cellStyle name="40% - Accent2 4 2 2 3 6" xfId="13647"/>
    <cellStyle name="40% - Accent2 4 2 2 3 6 2" xfId="36506"/>
    <cellStyle name="40% - Accent2 4 2 2 3 7" xfId="24203"/>
    <cellStyle name="40% - Accent2 4 2 2 4" xfId="2223"/>
    <cellStyle name="40% - Accent2 4 2 2 4 2" xfId="5738"/>
    <cellStyle name="40% - Accent2 4 2 2 4 2 2" xfId="18042"/>
    <cellStyle name="40% - Accent2 4 2 2 4 2 2 2" xfId="40901"/>
    <cellStyle name="40% - Accent2 4 2 2 4 2 3" xfId="28599"/>
    <cellStyle name="40% - Accent2 4 2 2 4 3" xfId="9253"/>
    <cellStyle name="40% - Accent2 4 2 2 4 3 2" xfId="21557"/>
    <cellStyle name="40% - Accent2 4 2 2 4 3 2 2" xfId="44416"/>
    <cellStyle name="40% - Accent2 4 2 2 4 3 3" xfId="32114"/>
    <cellStyle name="40% - Accent2 4 2 2 4 4" xfId="14527"/>
    <cellStyle name="40% - Accent2 4 2 2 4 4 2" xfId="37386"/>
    <cellStyle name="40% - Accent2 4 2 2 4 5" xfId="25084"/>
    <cellStyle name="40% - Accent2 4 2 2 5" xfId="3980"/>
    <cellStyle name="40% - Accent2 4 2 2 5 2" xfId="16284"/>
    <cellStyle name="40% - Accent2 4 2 2 5 2 2" xfId="39143"/>
    <cellStyle name="40% - Accent2 4 2 2 5 3" xfId="26841"/>
    <cellStyle name="40% - Accent2 4 2 2 6" xfId="7495"/>
    <cellStyle name="40% - Accent2 4 2 2 6 2" xfId="19799"/>
    <cellStyle name="40% - Accent2 4 2 2 6 2 2" xfId="42658"/>
    <cellStyle name="40% - Accent2 4 2 2 6 3" xfId="30356"/>
    <cellStyle name="40% - Accent2 4 2 2 7" xfId="11010"/>
    <cellStyle name="40% - Accent2 4 2 2 7 2" xfId="33870"/>
    <cellStyle name="40% - Accent2 4 2 2 8" xfId="12769"/>
    <cellStyle name="40% - Accent2 4 2 2 8 2" xfId="35628"/>
    <cellStyle name="40% - Accent2 4 2 2 9" xfId="23324"/>
    <cellStyle name="40% - Accent2 4 2 3" xfId="688"/>
    <cellStyle name="40% - Accent2 4 2 3 2" xfId="1567"/>
    <cellStyle name="40% - Accent2 4 2 3 2 2" xfId="3328"/>
    <cellStyle name="40% - Accent2 4 2 3 2 2 2" xfId="6843"/>
    <cellStyle name="40% - Accent2 4 2 3 2 2 2 2" xfId="19147"/>
    <cellStyle name="40% - Accent2 4 2 3 2 2 2 2 2" xfId="42006"/>
    <cellStyle name="40% - Accent2 4 2 3 2 2 2 3" xfId="29704"/>
    <cellStyle name="40% - Accent2 4 2 3 2 2 3" xfId="10358"/>
    <cellStyle name="40% - Accent2 4 2 3 2 2 3 2" xfId="22662"/>
    <cellStyle name="40% - Accent2 4 2 3 2 2 3 2 2" xfId="45521"/>
    <cellStyle name="40% - Accent2 4 2 3 2 2 3 3" xfId="33219"/>
    <cellStyle name="40% - Accent2 4 2 3 2 2 4" xfId="15632"/>
    <cellStyle name="40% - Accent2 4 2 3 2 2 4 2" xfId="38491"/>
    <cellStyle name="40% - Accent2 4 2 3 2 2 5" xfId="26189"/>
    <cellStyle name="40% - Accent2 4 2 3 2 3" xfId="5085"/>
    <cellStyle name="40% - Accent2 4 2 3 2 3 2" xfId="17389"/>
    <cellStyle name="40% - Accent2 4 2 3 2 3 2 2" xfId="40248"/>
    <cellStyle name="40% - Accent2 4 2 3 2 3 3" xfId="27946"/>
    <cellStyle name="40% - Accent2 4 2 3 2 4" xfId="8600"/>
    <cellStyle name="40% - Accent2 4 2 3 2 4 2" xfId="20904"/>
    <cellStyle name="40% - Accent2 4 2 3 2 4 2 2" xfId="43763"/>
    <cellStyle name="40% - Accent2 4 2 3 2 4 3" xfId="31461"/>
    <cellStyle name="40% - Accent2 4 2 3 2 5" xfId="12115"/>
    <cellStyle name="40% - Accent2 4 2 3 2 5 2" xfId="34975"/>
    <cellStyle name="40% - Accent2 4 2 3 2 6" xfId="13874"/>
    <cellStyle name="40% - Accent2 4 2 3 2 6 2" xfId="36733"/>
    <cellStyle name="40% - Accent2 4 2 3 2 7" xfId="24430"/>
    <cellStyle name="40% - Accent2 4 2 3 3" xfId="2450"/>
    <cellStyle name="40% - Accent2 4 2 3 3 2" xfId="5965"/>
    <cellStyle name="40% - Accent2 4 2 3 3 2 2" xfId="18269"/>
    <cellStyle name="40% - Accent2 4 2 3 3 2 2 2" xfId="41128"/>
    <cellStyle name="40% - Accent2 4 2 3 3 2 3" xfId="28826"/>
    <cellStyle name="40% - Accent2 4 2 3 3 3" xfId="9480"/>
    <cellStyle name="40% - Accent2 4 2 3 3 3 2" xfId="21784"/>
    <cellStyle name="40% - Accent2 4 2 3 3 3 2 2" xfId="44643"/>
    <cellStyle name="40% - Accent2 4 2 3 3 3 3" xfId="32341"/>
    <cellStyle name="40% - Accent2 4 2 3 3 4" xfId="14754"/>
    <cellStyle name="40% - Accent2 4 2 3 3 4 2" xfId="37613"/>
    <cellStyle name="40% - Accent2 4 2 3 3 5" xfId="25311"/>
    <cellStyle name="40% - Accent2 4 2 3 4" xfId="4207"/>
    <cellStyle name="40% - Accent2 4 2 3 4 2" xfId="16511"/>
    <cellStyle name="40% - Accent2 4 2 3 4 2 2" xfId="39370"/>
    <cellStyle name="40% - Accent2 4 2 3 4 3" xfId="27068"/>
    <cellStyle name="40% - Accent2 4 2 3 5" xfId="7722"/>
    <cellStyle name="40% - Accent2 4 2 3 5 2" xfId="20026"/>
    <cellStyle name="40% - Accent2 4 2 3 5 2 2" xfId="42885"/>
    <cellStyle name="40% - Accent2 4 2 3 5 3" xfId="30583"/>
    <cellStyle name="40% - Accent2 4 2 3 6" xfId="11237"/>
    <cellStyle name="40% - Accent2 4 2 3 6 2" xfId="34097"/>
    <cellStyle name="40% - Accent2 4 2 3 7" xfId="12996"/>
    <cellStyle name="40% - Accent2 4 2 3 7 2" xfId="35855"/>
    <cellStyle name="40% - Accent2 4 2 3 8" xfId="23552"/>
    <cellStyle name="40% - Accent2 4 2 4" xfId="1128"/>
    <cellStyle name="40% - Accent2 4 2 4 2" xfId="2889"/>
    <cellStyle name="40% - Accent2 4 2 4 2 2" xfId="6404"/>
    <cellStyle name="40% - Accent2 4 2 4 2 2 2" xfId="18708"/>
    <cellStyle name="40% - Accent2 4 2 4 2 2 2 2" xfId="41567"/>
    <cellStyle name="40% - Accent2 4 2 4 2 2 3" xfId="29265"/>
    <cellStyle name="40% - Accent2 4 2 4 2 3" xfId="9919"/>
    <cellStyle name="40% - Accent2 4 2 4 2 3 2" xfId="22223"/>
    <cellStyle name="40% - Accent2 4 2 4 2 3 2 2" xfId="45082"/>
    <cellStyle name="40% - Accent2 4 2 4 2 3 3" xfId="32780"/>
    <cellStyle name="40% - Accent2 4 2 4 2 4" xfId="15193"/>
    <cellStyle name="40% - Accent2 4 2 4 2 4 2" xfId="38052"/>
    <cellStyle name="40% - Accent2 4 2 4 2 5" xfId="25750"/>
    <cellStyle name="40% - Accent2 4 2 4 3" xfId="4646"/>
    <cellStyle name="40% - Accent2 4 2 4 3 2" xfId="16950"/>
    <cellStyle name="40% - Accent2 4 2 4 3 2 2" xfId="39809"/>
    <cellStyle name="40% - Accent2 4 2 4 3 3" xfId="27507"/>
    <cellStyle name="40% - Accent2 4 2 4 4" xfId="8161"/>
    <cellStyle name="40% - Accent2 4 2 4 4 2" xfId="20465"/>
    <cellStyle name="40% - Accent2 4 2 4 4 2 2" xfId="43324"/>
    <cellStyle name="40% - Accent2 4 2 4 4 3" xfId="31022"/>
    <cellStyle name="40% - Accent2 4 2 4 5" xfId="11676"/>
    <cellStyle name="40% - Accent2 4 2 4 5 2" xfId="34536"/>
    <cellStyle name="40% - Accent2 4 2 4 6" xfId="13435"/>
    <cellStyle name="40% - Accent2 4 2 4 6 2" xfId="36294"/>
    <cellStyle name="40% - Accent2 4 2 4 7" xfId="23991"/>
    <cellStyle name="40% - Accent2 4 2 5" xfId="2011"/>
    <cellStyle name="40% - Accent2 4 2 5 2" xfId="5526"/>
    <cellStyle name="40% - Accent2 4 2 5 2 2" xfId="17830"/>
    <cellStyle name="40% - Accent2 4 2 5 2 2 2" xfId="40689"/>
    <cellStyle name="40% - Accent2 4 2 5 2 3" xfId="28387"/>
    <cellStyle name="40% - Accent2 4 2 5 3" xfId="9041"/>
    <cellStyle name="40% - Accent2 4 2 5 3 2" xfId="21345"/>
    <cellStyle name="40% - Accent2 4 2 5 3 2 2" xfId="44204"/>
    <cellStyle name="40% - Accent2 4 2 5 3 3" xfId="31902"/>
    <cellStyle name="40% - Accent2 4 2 5 4" xfId="14315"/>
    <cellStyle name="40% - Accent2 4 2 5 4 2" xfId="37174"/>
    <cellStyle name="40% - Accent2 4 2 5 5" xfId="24872"/>
    <cellStyle name="40% - Accent2 4 2 6" xfId="3768"/>
    <cellStyle name="40% - Accent2 4 2 6 2" xfId="16072"/>
    <cellStyle name="40% - Accent2 4 2 6 2 2" xfId="38931"/>
    <cellStyle name="40% - Accent2 4 2 6 3" xfId="26629"/>
    <cellStyle name="40% - Accent2 4 2 7" xfId="7283"/>
    <cellStyle name="40% - Accent2 4 2 7 2" xfId="19587"/>
    <cellStyle name="40% - Accent2 4 2 7 2 2" xfId="42446"/>
    <cellStyle name="40% - Accent2 4 2 7 3" xfId="30144"/>
    <cellStyle name="40% - Accent2 4 2 8" xfId="10798"/>
    <cellStyle name="40% - Accent2 4 2 8 2" xfId="33658"/>
    <cellStyle name="40% - Accent2 4 2 9" xfId="12557"/>
    <cellStyle name="40% - Accent2 4 2 9 2" xfId="35416"/>
    <cellStyle name="40% - Accent2 4 3" xfId="353"/>
    <cellStyle name="40% - Accent2 4 3 2" xfId="794"/>
    <cellStyle name="40% - Accent2 4 3 2 2" xfId="1673"/>
    <cellStyle name="40% - Accent2 4 3 2 2 2" xfId="3434"/>
    <cellStyle name="40% - Accent2 4 3 2 2 2 2" xfId="6949"/>
    <cellStyle name="40% - Accent2 4 3 2 2 2 2 2" xfId="19253"/>
    <cellStyle name="40% - Accent2 4 3 2 2 2 2 2 2" xfId="42112"/>
    <cellStyle name="40% - Accent2 4 3 2 2 2 2 3" xfId="29810"/>
    <cellStyle name="40% - Accent2 4 3 2 2 2 3" xfId="10464"/>
    <cellStyle name="40% - Accent2 4 3 2 2 2 3 2" xfId="22768"/>
    <cellStyle name="40% - Accent2 4 3 2 2 2 3 2 2" xfId="45627"/>
    <cellStyle name="40% - Accent2 4 3 2 2 2 3 3" xfId="33325"/>
    <cellStyle name="40% - Accent2 4 3 2 2 2 4" xfId="15738"/>
    <cellStyle name="40% - Accent2 4 3 2 2 2 4 2" xfId="38597"/>
    <cellStyle name="40% - Accent2 4 3 2 2 2 5" xfId="26295"/>
    <cellStyle name="40% - Accent2 4 3 2 2 3" xfId="5191"/>
    <cellStyle name="40% - Accent2 4 3 2 2 3 2" xfId="17495"/>
    <cellStyle name="40% - Accent2 4 3 2 2 3 2 2" xfId="40354"/>
    <cellStyle name="40% - Accent2 4 3 2 2 3 3" xfId="28052"/>
    <cellStyle name="40% - Accent2 4 3 2 2 4" xfId="8706"/>
    <cellStyle name="40% - Accent2 4 3 2 2 4 2" xfId="21010"/>
    <cellStyle name="40% - Accent2 4 3 2 2 4 2 2" xfId="43869"/>
    <cellStyle name="40% - Accent2 4 3 2 2 4 3" xfId="31567"/>
    <cellStyle name="40% - Accent2 4 3 2 2 5" xfId="12221"/>
    <cellStyle name="40% - Accent2 4 3 2 2 5 2" xfId="35081"/>
    <cellStyle name="40% - Accent2 4 3 2 2 6" xfId="13980"/>
    <cellStyle name="40% - Accent2 4 3 2 2 6 2" xfId="36839"/>
    <cellStyle name="40% - Accent2 4 3 2 2 7" xfId="24536"/>
    <cellStyle name="40% - Accent2 4 3 2 3" xfId="2556"/>
    <cellStyle name="40% - Accent2 4 3 2 3 2" xfId="6071"/>
    <cellStyle name="40% - Accent2 4 3 2 3 2 2" xfId="18375"/>
    <cellStyle name="40% - Accent2 4 3 2 3 2 2 2" xfId="41234"/>
    <cellStyle name="40% - Accent2 4 3 2 3 2 3" xfId="28932"/>
    <cellStyle name="40% - Accent2 4 3 2 3 3" xfId="9586"/>
    <cellStyle name="40% - Accent2 4 3 2 3 3 2" xfId="21890"/>
    <cellStyle name="40% - Accent2 4 3 2 3 3 2 2" xfId="44749"/>
    <cellStyle name="40% - Accent2 4 3 2 3 3 3" xfId="32447"/>
    <cellStyle name="40% - Accent2 4 3 2 3 4" xfId="14860"/>
    <cellStyle name="40% - Accent2 4 3 2 3 4 2" xfId="37719"/>
    <cellStyle name="40% - Accent2 4 3 2 3 5" xfId="25417"/>
    <cellStyle name="40% - Accent2 4 3 2 4" xfId="4313"/>
    <cellStyle name="40% - Accent2 4 3 2 4 2" xfId="16617"/>
    <cellStyle name="40% - Accent2 4 3 2 4 2 2" xfId="39476"/>
    <cellStyle name="40% - Accent2 4 3 2 4 3" xfId="27174"/>
    <cellStyle name="40% - Accent2 4 3 2 5" xfId="7828"/>
    <cellStyle name="40% - Accent2 4 3 2 5 2" xfId="20132"/>
    <cellStyle name="40% - Accent2 4 3 2 5 2 2" xfId="42991"/>
    <cellStyle name="40% - Accent2 4 3 2 5 3" xfId="30689"/>
    <cellStyle name="40% - Accent2 4 3 2 6" xfId="11343"/>
    <cellStyle name="40% - Accent2 4 3 2 6 2" xfId="34203"/>
    <cellStyle name="40% - Accent2 4 3 2 7" xfId="13102"/>
    <cellStyle name="40% - Accent2 4 3 2 7 2" xfId="35961"/>
    <cellStyle name="40% - Accent2 4 3 2 8" xfId="23658"/>
    <cellStyle name="40% - Accent2 4 3 3" xfId="1234"/>
    <cellStyle name="40% - Accent2 4 3 3 2" xfId="2995"/>
    <cellStyle name="40% - Accent2 4 3 3 2 2" xfId="6510"/>
    <cellStyle name="40% - Accent2 4 3 3 2 2 2" xfId="18814"/>
    <cellStyle name="40% - Accent2 4 3 3 2 2 2 2" xfId="41673"/>
    <cellStyle name="40% - Accent2 4 3 3 2 2 3" xfId="29371"/>
    <cellStyle name="40% - Accent2 4 3 3 2 3" xfId="10025"/>
    <cellStyle name="40% - Accent2 4 3 3 2 3 2" xfId="22329"/>
    <cellStyle name="40% - Accent2 4 3 3 2 3 2 2" xfId="45188"/>
    <cellStyle name="40% - Accent2 4 3 3 2 3 3" xfId="32886"/>
    <cellStyle name="40% - Accent2 4 3 3 2 4" xfId="15299"/>
    <cellStyle name="40% - Accent2 4 3 3 2 4 2" xfId="38158"/>
    <cellStyle name="40% - Accent2 4 3 3 2 5" xfId="25856"/>
    <cellStyle name="40% - Accent2 4 3 3 3" xfId="4752"/>
    <cellStyle name="40% - Accent2 4 3 3 3 2" xfId="17056"/>
    <cellStyle name="40% - Accent2 4 3 3 3 2 2" xfId="39915"/>
    <cellStyle name="40% - Accent2 4 3 3 3 3" xfId="27613"/>
    <cellStyle name="40% - Accent2 4 3 3 4" xfId="8267"/>
    <cellStyle name="40% - Accent2 4 3 3 4 2" xfId="20571"/>
    <cellStyle name="40% - Accent2 4 3 3 4 2 2" xfId="43430"/>
    <cellStyle name="40% - Accent2 4 3 3 4 3" xfId="31128"/>
    <cellStyle name="40% - Accent2 4 3 3 5" xfId="11782"/>
    <cellStyle name="40% - Accent2 4 3 3 5 2" xfId="34642"/>
    <cellStyle name="40% - Accent2 4 3 3 6" xfId="13541"/>
    <cellStyle name="40% - Accent2 4 3 3 6 2" xfId="36400"/>
    <cellStyle name="40% - Accent2 4 3 3 7" xfId="24097"/>
    <cellStyle name="40% - Accent2 4 3 4" xfId="2117"/>
    <cellStyle name="40% - Accent2 4 3 4 2" xfId="5632"/>
    <cellStyle name="40% - Accent2 4 3 4 2 2" xfId="17936"/>
    <cellStyle name="40% - Accent2 4 3 4 2 2 2" xfId="40795"/>
    <cellStyle name="40% - Accent2 4 3 4 2 3" xfId="28493"/>
    <cellStyle name="40% - Accent2 4 3 4 3" xfId="9147"/>
    <cellStyle name="40% - Accent2 4 3 4 3 2" xfId="21451"/>
    <cellStyle name="40% - Accent2 4 3 4 3 2 2" xfId="44310"/>
    <cellStyle name="40% - Accent2 4 3 4 3 3" xfId="32008"/>
    <cellStyle name="40% - Accent2 4 3 4 4" xfId="14421"/>
    <cellStyle name="40% - Accent2 4 3 4 4 2" xfId="37280"/>
    <cellStyle name="40% - Accent2 4 3 4 5" xfId="24978"/>
    <cellStyle name="40% - Accent2 4 3 5" xfId="3874"/>
    <cellStyle name="40% - Accent2 4 3 5 2" xfId="16178"/>
    <cellStyle name="40% - Accent2 4 3 5 2 2" xfId="39037"/>
    <cellStyle name="40% - Accent2 4 3 5 3" xfId="26735"/>
    <cellStyle name="40% - Accent2 4 3 6" xfId="7389"/>
    <cellStyle name="40% - Accent2 4 3 6 2" xfId="19693"/>
    <cellStyle name="40% - Accent2 4 3 6 2 2" xfId="42552"/>
    <cellStyle name="40% - Accent2 4 3 6 3" xfId="30250"/>
    <cellStyle name="40% - Accent2 4 3 7" xfId="10904"/>
    <cellStyle name="40% - Accent2 4 3 7 2" xfId="33764"/>
    <cellStyle name="40% - Accent2 4 3 8" xfId="12663"/>
    <cellStyle name="40% - Accent2 4 3 8 2" xfId="35522"/>
    <cellStyle name="40% - Accent2 4 3 9" xfId="23218"/>
    <cellStyle name="40% - Accent2 4 4" xfId="582"/>
    <cellStyle name="40% - Accent2 4 4 2" xfId="1461"/>
    <cellStyle name="40% - Accent2 4 4 2 2" xfId="3222"/>
    <cellStyle name="40% - Accent2 4 4 2 2 2" xfId="6737"/>
    <cellStyle name="40% - Accent2 4 4 2 2 2 2" xfId="19041"/>
    <cellStyle name="40% - Accent2 4 4 2 2 2 2 2" xfId="41900"/>
    <cellStyle name="40% - Accent2 4 4 2 2 2 3" xfId="29598"/>
    <cellStyle name="40% - Accent2 4 4 2 2 3" xfId="10252"/>
    <cellStyle name="40% - Accent2 4 4 2 2 3 2" xfId="22556"/>
    <cellStyle name="40% - Accent2 4 4 2 2 3 2 2" xfId="45415"/>
    <cellStyle name="40% - Accent2 4 4 2 2 3 3" xfId="33113"/>
    <cellStyle name="40% - Accent2 4 4 2 2 4" xfId="15526"/>
    <cellStyle name="40% - Accent2 4 4 2 2 4 2" xfId="38385"/>
    <cellStyle name="40% - Accent2 4 4 2 2 5" xfId="26083"/>
    <cellStyle name="40% - Accent2 4 4 2 3" xfId="4979"/>
    <cellStyle name="40% - Accent2 4 4 2 3 2" xfId="17283"/>
    <cellStyle name="40% - Accent2 4 4 2 3 2 2" xfId="40142"/>
    <cellStyle name="40% - Accent2 4 4 2 3 3" xfId="27840"/>
    <cellStyle name="40% - Accent2 4 4 2 4" xfId="8494"/>
    <cellStyle name="40% - Accent2 4 4 2 4 2" xfId="20798"/>
    <cellStyle name="40% - Accent2 4 4 2 4 2 2" xfId="43657"/>
    <cellStyle name="40% - Accent2 4 4 2 4 3" xfId="31355"/>
    <cellStyle name="40% - Accent2 4 4 2 5" xfId="12009"/>
    <cellStyle name="40% - Accent2 4 4 2 5 2" xfId="34869"/>
    <cellStyle name="40% - Accent2 4 4 2 6" xfId="13768"/>
    <cellStyle name="40% - Accent2 4 4 2 6 2" xfId="36627"/>
    <cellStyle name="40% - Accent2 4 4 2 7" xfId="24324"/>
    <cellStyle name="40% - Accent2 4 4 3" xfId="2344"/>
    <cellStyle name="40% - Accent2 4 4 3 2" xfId="5859"/>
    <cellStyle name="40% - Accent2 4 4 3 2 2" xfId="18163"/>
    <cellStyle name="40% - Accent2 4 4 3 2 2 2" xfId="41022"/>
    <cellStyle name="40% - Accent2 4 4 3 2 3" xfId="28720"/>
    <cellStyle name="40% - Accent2 4 4 3 3" xfId="9374"/>
    <cellStyle name="40% - Accent2 4 4 3 3 2" xfId="21678"/>
    <cellStyle name="40% - Accent2 4 4 3 3 2 2" xfId="44537"/>
    <cellStyle name="40% - Accent2 4 4 3 3 3" xfId="32235"/>
    <cellStyle name="40% - Accent2 4 4 3 4" xfId="14648"/>
    <cellStyle name="40% - Accent2 4 4 3 4 2" xfId="37507"/>
    <cellStyle name="40% - Accent2 4 4 3 5" xfId="25205"/>
    <cellStyle name="40% - Accent2 4 4 4" xfId="4101"/>
    <cellStyle name="40% - Accent2 4 4 4 2" xfId="16405"/>
    <cellStyle name="40% - Accent2 4 4 4 2 2" xfId="39264"/>
    <cellStyle name="40% - Accent2 4 4 4 3" xfId="26962"/>
    <cellStyle name="40% - Accent2 4 4 5" xfId="7616"/>
    <cellStyle name="40% - Accent2 4 4 5 2" xfId="19920"/>
    <cellStyle name="40% - Accent2 4 4 5 2 2" xfId="42779"/>
    <cellStyle name="40% - Accent2 4 4 5 3" xfId="30477"/>
    <cellStyle name="40% - Accent2 4 4 6" xfId="11131"/>
    <cellStyle name="40% - Accent2 4 4 6 2" xfId="33991"/>
    <cellStyle name="40% - Accent2 4 4 7" xfId="12890"/>
    <cellStyle name="40% - Accent2 4 4 7 2" xfId="35749"/>
    <cellStyle name="40% - Accent2 4 4 8" xfId="23446"/>
    <cellStyle name="40% - Accent2 4 5" xfId="1022"/>
    <cellStyle name="40% - Accent2 4 5 2" xfId="2783"/>
    <cellStyle name="40% - Accent2 4 5 2 2" xfId="6298"/>
    <cellStyle name="40% - Accent2 4 5 2 2 2" xfId="18602"/>
    <cellStyle name="40% - Accent2 4 5 2 2 2 2" xfId="41461"/>
    <cellStyle name="40% - Accent2 4 5 2 2 3" xfId="29159"/>
    <cellStyle name="40% - Accent2 4 5 2 3" xfId="9813"/>
    <cellStyle name="40% - Accent2 4 5 2 3 2" xfId="22117"/>
    <cellStyle name="40% - Accent2 4 5 2 3 2 2" xfId="44976"/>
    <cellStyle name="40% - Accent2 4 5 2 3 3" xfId="32674"/>
    <cellStyle name="40% - Accent2 4 5 2 4" xfId="15087"/>
    <cellStyle name="40% - Accent2 4 5 2 4 2" xfId="37946"/>
    <cellStyle name="40% - Accent2 4 5 2 5" xfId="25644"/>
    <cellStyle name="40% - Accent2 4 5 3" xfId="4540"/>
    <cellStyle name="40% - Accent2 4 5 3 2" xfId="16844"/>
    <cellStyle name="40% - Accent2 4 5 3 2 2" xfId="39703"/>
    <cellStyle name="40% - Accent2 4 5 3 3" xfId="27401"/>
    <cellStyle name="40% - Accent2 4 5 4" xfId="8055"/>
    <cellStyle name="40% - Accent2 4 5 4 2" xfId="20359"/>
    <cellStyle name="40% - Accent2 4 5 4 2 2" xfId="43218"/>
    <cellStyle name="40% - Accent2 4 5 4 3" xfId="30916"/>
    <cellStyle name="40% - Accent2 4 5 5" xfId="11570"/>
    <cellStyle name="40% - Accent2 4 5 5 2" xfId="34430"/>
    <cellStyle name="40% - Accent2 4 5 6" xfId="13329"/>
    <cellStyle name="40% - Accent2 4 5 6 2" xfId="36188"/>
    <cellStyle name="40% - Accent2 4 5 7" xfId="23885"/>
    <cellStyle name="40% - Accent2 4 6" xfId="1905"/>
    <cellStyle name="40% - Accent2 4 6 2" xfId="5420"/>
    <cellStyle name="40% - Accent2 4 6 2 2" xfId="17724"/>
    <cellStyle name="40% - Accent2 4 6 2 2 2" xfId="40583"/>
    <cellStyle name="40% - Accent2 4 6 2 3" xfId="28281"/>
    <cellStyle name="40% - Accent2 4 6 3" xfId="8935"/>
    <cellStyle name="40% - Accent2 4 6 3 2" xfId="21239"/>
    <cellStyle name="40% - Accent2 4 6 3 2 2" xfId="44098"/>
    <cellStyle name="40% - Accent2 4 6 3 3" xfId="31796"/>
    <cellStyle name="40% - Accent2 4 6 4" xfId="14209"/>
    <cellStyle name="40% - Accent2 4 6 4 2" xfId="37068"/>
    <cellStyle name="40% - Accent2 4 6 5" xfId="24766"/>
    <cellStyle name="40% - Accent2 4 7" xfId="3662"/>
    <cellStyle name="40% - Accent2 4 7 2" xfId="15966"/>
    <cellStyle name="40% - Accent2 4 7 2 2" xfId="38825"/>
    <cellStyle name="40% - Accent2 4 7 3" xfId="26523"/>
    <cellStyle name="40% - Accent2 4 8" xfId="7177"/>
    <cellStyle name="40% - Accent2 4 8 2" xfId="19481"/>
    <cellStyle name="40% - Accent2 4 8 2 2" xfId="42340"/>
    <cellStyle name="40% - Accent2 4 8 3" xfId="30038"/>
    <cellStyle name="40% - Accent2 4 9" xfId="10692"/>
    <cellStyle name="40% - Accent2 4 9 2" xfId="33552"/>
    <cellStyle name="40% - Accent2 5" xfId="199"/>
    <cellStyle name="40% - Accent2 5 10" xfId="23064"/>
    <cellStyle name="40% - Accent2 5 2" xfId="411"/>
    <cellStyle name="40% - Accent2 5 2 2" xfId="852"/>
    <cellStyle name="40% - Accent2 5 2 2 2" xfId="1731"/>
    <cellStyle name="40% - Accent2 5 2 2 2 2" xfId="3492"/>
    <cellStyle name="40% - Accent2 5 2 2 2 2 2" xfId="7007"/>
    <cellStyle name="40% - Accent2 5 2 2 2 2 2 2" xfId="19311"/>
    <cellStyle name="40% - Accent2 5 2 2 2 2 2 2 2" xfId="42170"/>
    <cellStyle name="40% - Accent2 5 2 2 2 2 2 3" xfId="29868"/>
    <cellStyle name="40% - Accent2 5 2 2 2 2 3" xfId="10522"/>
    <cellStyle name="40% - Accent2 5 2 2 2 2 3 2" xfId="22826"/>
    <cellStyle name="40% - Accent2 5 2 2 2 2 3 2 2" xfId="45685"/>
    <cellStyle name="40% - Accent2 5 2 2 2 2 3 3" xfId="33383"/>
    <cellStyle name="40% - Accent2 5 2 2 2 2 4" xfId="15796"/>
    <cellStyle name="40% - Accent2 5 2 2 2 2 4 2" xfId="38655"/>
    <cellStyle name="40% - Accent2 5 2 2 2 2 5" xfId="26353"/>
    <cellStyle name="40% - Accent2 5 2 2 2 3" xfId="5249"/>
    <cellStyle name="40% - Accent2 5 2 2 2 3 2" xfId="17553"/>
    <cellStyle name="40% - Accent2 5 2 2 2 3 2 2" xfId="40412"/>
    <cellStyle name="40% - Accent2 5 2 2 2 3 3" xfId="28110"/>
    <cellStyle name="40% - Accent2 5 2 2 2 4" xfId="8764"/>
    <cellStyle name="40% - Accent2 5 2 2 2 4 2" xfId="21068"/>
    <cellStyle name="40% - Accent2 5 2 2 2 4 2 2" xfId="43927"/>
    <cellStyle name="40% - Accent2 5 2 2 2 4 3" xfId="31625"/>
    <cellStyle name="40% - Accent2 5 2 2 2 5" xfId="12279"/>
    <cellStyle name="40% - Accent2 5 2 2 2 5 2" xfId="35139"/>
    <cellStyle name="40% - Accent2 5 2 2 2 6" xfId="14038"/>
    <cellStyle name="40% - Accent2 5 2 2 2 6 2" xfId="36897"/>
    <cellStyle name="40% - Accent2 5 2 2 2 7" xfId="24594"/>
    <cellStyle name="40% - Accent2 5 2 2 3" xfId="2614"/>
    <cellStyle name="40% - Accent2 5 2 2 3 2" xfId="6129"/>
    <cellStyle name="40% - Accent2 5 2 2 3 2 2" xfId="18433"/>
    <cellStyle name="40% - Accent2 5 2 2 3 2 2 2" xfId="41292"/>
    <cellStyle name="40% - Accent2 5 2 2 3 2 3" xfId="28990"/>
    <cellStyle name="40% - Accent2 5 2 2 3 3" xfId="9644"/>
    <cellStyle name="40% - Accent2 5 2 2 3 3 2" xfId="21948"/>
    <cellStyle name="40% - Accent2 5 2 2 3 3 2 2" xfId="44807"/>
    <cellStyle name="40% - Accent2 5 2 2 3 3 3" xfId="32505"/>
    <cellStyle name="40% - Accent2 5 2 2 3 4" xfId="14918"/>
    <cellStyle name="40% - Accent2 5 2 2 3 4 2" xfId="37777"/>
    <cellStyle name="40% - Accent2 5 2 2 3 5" xfId="25475"/>
    <cellStyle name="40% - Accent2 5 2 2 4" xfId="4371"/>
    <cellStyle name="40% - Accent2 5 2 2 4 2" xfId="16675"/>
    <cellStyle name="40% - Accent2 5 2 2 4 2 2" xfId="39534"/>
    <cellStyle name="40% - Accent2 5 2 2 4 3" xfId="27232"/>
    <cellStyle name="40% - Accent2 5 2 2 5" xfId="7886"/>
    <cellStyle name="40% - Accent2 5 2 2 5 2" xfId="20190"/>
    <cellStyle name="40% - Accent2 5 2 2 5 2 2" xfId="43049"/>
    <cellStyle name="40% - Accent2 5 2 2 5 3" xfId="30747"/>
    <cellStyle name="40% - Accent2 5 2 2 6" xfId="11401"/>
    <cellStyle name="40% - Accent2 5 2 2 6 2" xfId="34261"/>
    <cellStyle name="40% - Accent2 5 2 2 7" xfId="13160"/>
    <cellStyle name="40% - Accent2 5 2 2 7 2" xfId="36019"/>
    <cellStyle name="40% - Accent2 5 2 2 8" xfId="23716"/>
    <cellStyle name="40% - Accent2 5 2 3" xfId="1292"/>
    <cellStyle name="40% - Accent2 5 2 3 2" xfId="3053"/>
    <cellStyle name="40% - Accent2 5 2 3 2 2" xfId="6568"/>
    <cellStyle name="40% - Accent2 5 2 3 2 2 2" xfId="18872"/>
    <cellStyle name="40% - Accent2 5 2 3 2 2 2 2" xfId="41731"/>
    <cellStyle name="40% - Accent2 5 2 3 2 2 3" xfId="29429"/>
    <cellStyle name="40% - Accent2 5 2 3 2 3" xfId="10083"/>
    <cellStyle name="40% - Accent2 5 2 3 2 3 2" xfId="22387"/>
    <cellStyle name="40% - Accent2 5 2 3 2 3 2 2" xfId="45246"/>
    <cellStyle name="40% - Accent2 5 2 3 2 3 3" xfId="32944"/>
    <cellStyle name="40% - Accent2 5 2 3 2 4" xfId="15357"/>
    <cellStyle name="40% - Accent2 5 2 3 2 4 2" xfId="38216"/>
    <cellStyle name="40% - Accent2 5 2 3 2 5" xfId="25914"/>
    <cellStyle name="40% - Accent2 5 2 3 3" xfId="4810"/>
    <cellStyle name="40% - Accent2 5 2 3 3 2" xfId="17114"/>
    <cellStyle name="40% - Accent2 5 2 3 3 2 2" xfId="39973"/>
    <cellStyle name="40% - Accent2 5 2 3 3 3" xfId="27671"/>
    <cellStyle name="40% - Accent2 5 2 3 4" xfId="8325"/>
    <cellStyle name="40% - Accent2 5 2 3 4 2" xfId="20629"/>
    <cellStyle name="40% - Accent2 5 2 3 4 2 2" xfId="43488"/>
    <cellStyle name="40% - Accent2 5 2 3 4 3" xfId="31186"/>
    <cellStyle name="40% - Accent2 5 2 3 5" xfId="11840"/>
    <cellStyle name="40% - Accent2 5 2 3 5 2" xfId="34700"/>
    <cellStyle name="40% - Accent2 5 2 3 6" xfId="13599"/>
    <cellStyle name="40% - Accent2 5 2 3 6 2" xfId="36458"/>
    <cellStyle name="40% - Accent2 5 2 3 7" xfId="24155"/>
    <cellStyle name="40% - Accent2 5 2 4" xfId="2175"/>
    <cellStyle name="40% - Accent2 5 2 4 2" xfId="5690"/>
    <cellStyle name="40% - Accent2 5 2 4 2 2" xfId="17994"/>
    <cellStyle name="40% - Accent2 5 2 4 2 2 2" xfId="40853"/>
    <cellStyle name="40% - Accent2 5 2 4 2 3" xfId="28551"/>
    <cellStyle name="40% - Accent2 5 2 4 3" xfId="9205"/>
    <cellStyle name="40% - Accent2 5 2 4 3 2" xfId="21509"/>
    <cellStyle name="40% - Accent2 5 2 4 3 2 2" xfId="44368"/>
    <cellStyle name="40% - Accent2 5 2 4 3 3" xfId="32066"/>
    <cellStyle name="40% - Accent2 5 2 4 4" xfId="14479"/>
    <cellStyle name="40% - Accent2 5 2 4 4 2" xfId="37338"/>
    <cellStyle name="40% - Accent2 5 2 4 5" xfId="25036"/>
    <cellStyle name="40% - Accent2 5 2 5" xfId="3932"/>
    <cellStyle name="40% - Accent2 5 2 5 2" xfId="16236"/>
    <cellStyle name="40% - Accent2 5 2 5 2 2" xfId="39095"/>
    <cellStyle name="40% - Accent2 5 2 5 3" xfId="26793"/>
    <cellStyle name="40% - Accent2 5 2 6" xfId="7447"/>
    <cellStyle name="40% - Accent2 5 2 6 2" xfId="19751"/>
    <cellStyle name="40% - Accent2 5 2 6 2 2" xfId="42610"/>
    <cellStyle name="40% - Accent2 5 2 6 3" xfId="30308"/>
    <cellStyle name="40% - Accent2 5 2 7" xfId="10962"/>
    <cellStyle name="40% - Accent2 5 2 7 2" xfId="33822"/>
    <cellStyle name="40% - Accent2 5 2 8" xfId="12721"/>
    <cellStyle name="40% - Accent2 5 2 8 2" xfId="35580"/>
    <cellStyle name="40% - Accent2 5 2 9" xfId="23276"/>
    <cellStyle name="40% - Accent2 5 3" xfId="640"/>
    <cellStyle name="40% - Accent2 5 3 2" xfId="1519"/>
    <cellStyle name="40% - Accent2 5 3 2 2" xfId="3280"/>
    <cellStyle name="40% - Accent2 5 3 2 2 2" xfId="6795"/>
    <cellStyle name="40% - Accent2 5 3 2 2 2 2" xfId="19099"/>
    <cellStyle name="40% - Accent2 5 3 2 2 2 2 2" xfId="41958"/>
    <cellStyle name="40% - Accent2 5 3 2 2 2 3" xfId="29656"/>
    <cellStyle name="40% - Accent2 5 3 2 2 3" xfId="10310"/>
    <cellStyle name="40% - Accent2 5 3 2 2 3 2" xfId="22614"/>
    <cellStyle name="40% - Accent2 5 3 2 2 3 2 2" xfId="45473"/>
    <cellStyle name="40% - Accent2 5 3 2 2 3 3" xfId="33171"/>
    <cellStyle name="40% - Accent2 5 3 2 2 4" xfId="15584"/>
    <cellStyle name="40% - Accent2 5 3 2 2 4 2" xfId="38443"/>
    <cellStyle name="40% - Accent2 5 3 2 2 5" xfId="26141"/>
    <cellStyle name="40% - Accent2 5 3 2 3" xfId="5037"/>
    <cellStyle name="40% - Accent2 5 3 2 3 2" xfId="17341"/>
    <cellStyle name="40% - Accent2 5 3 2 3 2 2" xfId="40200"/>
    <cellStyle name="40% - Accent2 5 3 2 3 3" xfId="27898"/>
    <cellStyle name="40% - Accent2 5 3 2 4" xfId="8552"/>
    <cellStyle name="40% - Accent2 5 3 2 4 2" xfId="20856"/>
    <cellStyle name="40% - Accent2 5 3 2 4 2 2" xfId="43715"/>
    <cellStyle name="40% - Accent2 5 3 2 4 3" xfId="31413"/>
    <cellStyle name="40% - Accent2 5 3 2 5" xfId="12067"/>
    <cellStyle name="40% - Accent2 5 3 2 5 2" xfId="34927"/>
    <cellStyle name="40% - Accent2 5 3 2 6" xfId="13826"/>
    <cellStyle name="40% - Accent2 5 3 2 6 2" xfId="36685"/>
    <cellStyle name="40% - Accent2 5 3 2 7" xfId="24382"/>
    <cellStyle name="40% - Accent2 5 3 3" xfId="2402"/>
    <cellStyle name="40% - Accent2 5 3 3 2" xfId="5917"/>
    <cellStyle name="40% - Accent2 5 3 3 2 2" xfId="18221"/>
    <cellStyle name="40% - Accent2 5 3 3 2 2 2" xfId="41080"/>
    <cellStyle name="40% - Accent2 5 3 3 2 3" xfId="28778"/>
    <cellStyle name="40% - Accent2 5 3 3 3" xfId="9432"/>
    <cellStyle name="40% - Accent2 5 3 3 3 2" xfId="21736"/>
    <cellStyle name="40% - Accent2 5 3 3 3 2 2" xfId="44595"/>
    <cellStyle name="40% - Accent2 5 3 3 3 3" xfId="32293"/>
    <cellStyle name="40% - Accent2 5 3 3 4" xfId="14706"/>
    <cellStyle name="40% - Accent2 5 3 3 4 2" xfId="37565"/>
    <cellStyle name="40% - Accent2 5 3 3 5" xfId="25263"/>
    <cellStyle name="40% - Accent2 5 3 4" xfId="4159"/>
    <cellStyle name="40% - Accent2 5 3 4 2" xfId="16463"/>
    <cellStyle name="40% - Accent2 5 3 4 2 2" xfId="39322"/>
    <cellStyle name="40% - Accent2 5 3 4 3" xfId="27020"/>
    <cellStyle name="40% - Accent2 5 3 5" xfId="7674"/>
    <cellStyle name="40% - Accent2 5 3 5 2" xfId="19978"/>
    <cellStyle name="40% - Accent2 5 3 5 2 2" xfId="42837"/>
    <cellStyle name="40% - Accent2 5 3 5 3" xfId="30535"/>
    <cellStyle name="40% - Accent2 5 3 6" xfId="11189"/>
    <cellStyle name="40% - Accent2 5 3 6 2" xfId="34049"/>
    <cellStyle name="40% - Accent2 5 3 7" xfId="12948"/>
    <cellStyle name="40% - Accent2 5 3 7 2" xfId="35807"/>
    <cellStyle name="40% - Accent2 5 3 8" xfId="23504"/>
    <cellStyle name="40% - Accent2 5 4" xfId="1080"/>
    <cellStyle name="40% - Accent2 5 4 2" xfId="2841"/>
    <cellStyle name="40% - Accent2 5 4 2 2" xfId="6356"/>
    <cellStyle name="40% - Accent2 5 4 2 2 2" xfId="18660"/>
    <cellStyle name="40% - Accent2 5 4 2 2 2 2" xfId="41519"/>
    <cellStyle name="40% - Accent2 5 4 2 2 3" xfId="29217"/>
    <cellStyle name="40% - Accent2 5 4 2 3" xfId="9871"/>
    <cellStyle name="40% - Accent2 5 4 2 3 2" xfId="22175"/>
    <cellStyle name="40% - Accent2 5 4 2 3 2 2" xfId="45034"/>
    <cellStyle name="40% - Accent2 5 4 2 3 3" xfId="32732"/>
    <cellStyle name="40% - Accent2 5 4 2 4" xfId="15145"/>
    <cellStyle name="40% - Accent2 5 4 2 4 2" xfId="38004"/>
    <cellStyle name="40% - Accent2 5 4 2 5" xfId="25702"/>
    <cellStyle name="40% - Accent2 5 4 3" xfId="4598"/>
    <cellStyle name="40% - Accent2 5 4 3 2" xfId="16902"/>
    <cellStyle name="40% - Accent2 5 4 3 2 2" xfId="39761"/>
    <cellStyle name="40% - Accent2 5 4 3 3" xfId="27459"/>
    <cellStyle name="40% - Accent2 5 4 4" xfId="8113"/>
    <cellStyle name="40% - Accent2 5 4 4 2" xfId="20417"/>
    <cellStyle name="40% - Accent2 5 4 4 2 2" xfId="43276"/>
    <cellStyle name="40% - Accent2 5 4 4 3" xfId="30974"/>
    <cellStyle name="40% - Accent2 5 4 5" xfId="11628"/>
    <cellStyle name="40% - Accent2 5 4 5 2" xfId="34488"/>
    <cellStyle name="40% - Accent2 5 4 6" xfId="13387"/>
    <cellStyle name="40% - Accent2 5 4 6 2" xfId="36246"/>
    <cellStyle name="40% - Accent2 5 4 7" xfId="23943"/>
    <cellStyle name="40% - Accent2 5 5" xfId="1963"/>
    <cellStyle name="40% - Accent2 5 5 2" xfId="5478"/>
    <cellStyle name="40% - Accent2 5 5 2 2" xfId="17782"/>
    <cellStyle name="40% - Accent2 5 5 2 2 2" xfId="40641"/>
    <cellStyle name="40% - Accent2 5 5 2 3" xfId="28339"/>
    <cellStyle name="40% - Accent2 5 5 3" xfId="8993"/>
    <cellStyle name="40% - Accent2 5 5 3 2" xfId="21297"/>
    <cellStyle name="40% - Accent2 5 5 3 2 2" xfId="44156"/>
    <cellStyle name="40% - Accent2 5 5 3 3" xfId="31854"/>
    <cellStyle name="40% - Accent2 5 5 4" xfId="14267"/>
    <cellStyle name="40% - Accent2 5 5 4 2" xfId="37126"/>
    <cellStyle name="40% - Accent2 5 5 5" xfId="24824"/>
    <cellStyle name="40% - Accent2 5 6" xfId="3720"/>
    <cellStyle name="40% - Accent2 5 6 2" xfId="16024"/>
    <cellStyle name="40% - Accent2 5 6 2 2" xfId="38883"/>
    <cellStyle name="40% - Accent2 5 6 3" xfId="26581"/>
    <cellStyle name="40% - Accent2 5 7" xfId="7235"/>
    <cellStyle name="40% - Accent2 5 7 2" xfId="19539"/>
    <cellStyle name="40% - Accent2 5 7 2 2" xfId="42398"/>
    <cellStyle name="40% - Accent2 5 7 3" xfId="30096"/>
    <cellStyle name="40% - Accent2 5 8" xfId="10750"/>
    <cellStyle name="40% - Accent2 5 8 2" xfId="33610"/>
    <cellStyle name="40% - Accent2 5 9" xfId="12509"/>
    <cellStyle name="40% - Accent2 5 9 2" xfId="35368"/>
    <cellStyle name="40% - Accent2 6" xfId="305"/>
    <cellStyle name="40% - Accent2 6 2" xfId="746"/>
    <cellStyle name="40% - Accent2 6 2 2" xfId="1625"/>
    <cellStyle name="40% - Accent2 6 2 2 2" xfId="3386"/>
    <cellStyle name="40% - Accent2 6 2 2 2 2" xfId="6901"/>
    <cellStyle name="40% - Accent2 6 2 2 2 2 2" xfId="19205"/>
    <cellStyle name="40% - Accent2 6 2 2 2 2 2 2" xfId="42064"/>
    <cellStyle name="40% - Accent2 6 2 2 2 2 3" xfId="29762"/>
    <cellStyle name="40% - Accent2 6 2 2 2 3" xfId="10416"/>
    <cellStyle name="40% - Accent2 6 2 2 2 3 2" xfId="22720"/>
    <cellStyle name="40% - Accent2 6 2 2 2 3 2 2" xfId="45579"/>
    <cellStyle name="40% - Accent2 6 2 2 2 3 3" xfId="33277"/>
    <cellStyle name="40% - Accent2 6 2 2 2 4" xfId="15690"/>
    <cellStyle name="40% - Accent2 6 2 2 2 4 2" xfId="38549"/>
    <cellStyle name="40% - Accent2 6 2 2 2 5" xfId="26247"/>
    <cellStyle name="40% - Accent2 6 2 2 3" xfId="5143"/>
    <cellStyle name="40% - Accent2 6 2 2 3 2" xfId="17447"/>
    <cellStyle name="40% - Accent2 6 2 2 3 2 2" xfId="40306"/>
    <cellStyle name="40% - Accent2 6 2 2 3 3" xfId="28004"/>
    <cellStyle name="40% - Accent2 6 2 2 4" xfId="8658"/>
    <cellStyle name="40% - Accent2 6 2 2 4 2" xfId="20962"/>
    <cellStyle name="40% - Accent2 6 2 2 4 2 2" xfId="43821"/>
    <cellStyle name="40% - Accent2 6 2 2 4 3" xfId="31519"/>
    <cellStyle name="40% - Accent2 6 2 2 5" xfId="12173"/>
    <cellStyle name="40% - Accent2 6 2 2 5 2" xfId="35033"/>
    <cellStyle name="40% - Accent2 6 2 2 6" xfId="13932"/>
    <cellStyle name="40% - Accent2 6 2 2 6 2" xfId="36791"/>
    <cellStyle name="40% - Accent2 6 2 2 7" xfId="24488"/>
    <cellStyle name="40% - Accent2 6 2 3" xfId="2508"/>
    <cellStyle name="40% - Accent2 6 2 3 2" xfId="6023"/>
    <cellStyle name="40% - Accent2 6 2 3 2 2" xfId="18327"/>
    <cellStyle name="40% - Accent2 6 2 3 2 2 2" xfId="41186"/>
    <cellStyle name="40% - Accent2 6 2 3 2 3" xfId="28884"/>
    <cellStyle name="40% - Accent2 6 2 3 3" xfId="9538"/>
    <cellStyle name="40% - Accent2 6 2 3 3 2" xfId="21842"/>
    <cellStyle name="40% - Accent2 6 2 3 3 2 2" xfId="44701"/>
    <cellStyle name="40% - Accent2 6 2 3 3 3" xfId="32399"/>
    <cellStyle name="40% - Accent2 6 2 3 4" xfId="14812"/>
    <cellStyle name="40% - Accent2 6 2 3 4 2" xfId="37671"/>
    <cellStyle name="40% - Accent2 6 2 3 5" xfId="25369"/>
    <cellStyle name="40% - Accent2 6 2 4" xfId="4265"/>
    <cellStyle name="40% - Accent2 6 2 4 2" xfId="16569"/>
    <cellStyle name="40% - Accent2 6 2 4 2 2" xfId="39428"/>
    <cellStyle name="40% - Accent2 6 2 4 3" xfId="27126"/>
    <cellStyle name="40% - Accent2 6 2 5" xfId="7780"/>
    <cellStyle name="40% - Accent2 6 2 5 2" xfId="20084"/>
    <cellStyle name="40% - Accent2 6 2 5 2 2" xfId="42943"/>
    <cellStyle name="40% - Accent2 6 2 5 3" xfId="30641"/>
    <cellStyle name="40% - Accent2 6 2 6" xfId="11295"/>
    <cellStyle name="40% - Accent2 6 2 6 2" xfId="34155"/>
    <cellStyle name="40% - Accent2 6 2 7" xfId="13054"/>
    <cellStyle name="40% - Accent2 6 2 7 2" xfId="35913"/>
    <cellStyle name="40% - Accent2 6 2 8" xfId="23610"/>
    <cellStyle name="40% - Accent2 6 3" xfId="1186"/>
    <cellStyle name="40% - Accent2 6 3 2" xfId="2947"/>
    <cellStyle name="40% - Accent2 6 3 2 2" xfId="6462"/>
    <cellStyle name="40% - Accent2 6 3 2 2 2" xfId="18766"/>
    <cellStyle name="40% - Accent2 6 3 2 2 2 2" xfId="41625"/>
    <cellStyle name="40% - Accent2 6 3 2 2 3" xfId="29323"/>
    <cellStyle name="40% - Accent2 6 3 2 3" xfId="9977"/>
    <cellStyle name="40% - Accent2 6 3 2 3 2" xfId="22281"/>
    <cellStyle name="40% - Accent2 6 3 2 3 2 2" xfId="45140"/>
    <cellStyle name="40% - Accent2 6 3 2 3 3" xfId="32838"/>
    <cellStyle name="40% - Accent2 6 3 2 4" xfId="15251"/>
    <cellStyle name="40% - Accent2 6 3 2 4 2" xfId="38110"/>
    <cellStyle name="40% - Accent2 6 3 2 5" xfId="25808"/>
    <cellStyle name="40% - Accent2 6 3 3" xfId="4704"/>
    <cellStyle name="40% - Accent2 6 3 3 2" xfId="17008"/>
    <cellStyle name="40% - Accent2 6 3 3 2 2" xfId="39867"/>
    <cellStyle name="40% - Accent2 6 3 3 3" xfId="27565"/>
    <cellStyle name="40% - Accent2 6 3 4" xfId="8219"/>
    <cellStyle name="40% - Accent2 6 3 4 2" xfId="20523"/>
    <cellStyle name="40% - Accent2 6 3 4 2 2" xfId="43382"/>
    <cellStyle name="40% - Accent2 6 3 4 3" xfId="31080"/>
    <cellStyle name="40% - Accent2 6 3 5" xfId="11734"/>
    <cellStyle name="40% - Accent2 6 3 5 2" xfId="34594"/>
    <cellStyle name="40% - Accent2 6 3 6" xfId="13493"/>
    <cellStyle name="40% - Accent2 6 3 6 2" xfId="36352"/>
    <cellStyle name="40% - Accent2 6 3 7" xfId="24049"/>
    <cellStyle name="40% - Accent2 6 4" xfId="2069"/>
    <cellStyle name="40% - Accent2 6 4 2" xfId="5584"/>
    <cellStyle name="40% - Accent2 6 4 2 2" xfId="17888"/>
    <cellStyle name="40% - Accent2 6 4 2 2 2" xfId="40747"/>
    <cellStyle name="40% - Accent2 6 4 2 3" xfId="28445"/>
    <cellStyle name="40% - Accent2 6 4 3" xfId="9099"/>
    <cellStyle name="40% - Accent2 6 4 3 2" xfId="21403"/>
    <cellStyle name="40% - Accent2 6 4 3 2 2" xfId="44262"/>
    <cellStyle name="40% - Accent2 6 4 3 3" xfId="31960"/>
    <cellStyle name="40% - Accent2 6 4 4" xfId="14373"/>
    <cellStyle name="40% - Accent2 6 4 4 2" xfId="37232"/>
    <cellStyle name="40% - Accent2 6 4 5" xfId="24930"/>
    <cellStyle name="40% - Accent2 6 5" xfId="3826"/>
    <cellStyle name="40% - Accent2 6 5 2" xfId="16130"/>
    <cellStyle name="40% - Accent2 6 5 2 2" xfId="38989"/>
    <cellStyle name="40% - Accent2 6 5 3" xfId="26687"/>
    <cellStyle name="40% - Accent2 6 6" xfId="7341"/>
    <cellStyle name="40% - Accent2 6 6 2" xfId="19645"/>
    <cellStyle name="40% - Accent2 6 6 2 2" xfId="42504"/>
    <cellStyle name="40% - Accent2 6 6 3" xfId="30202"/>
    <cellStyle name="40% - Accent2 6 7" xfId="10856"/>
    <cellStyle name="40% - Accent2 6 7 2" xfId="33716"/>
    <cellStyle name="40% - Accent2 6 8" xfId="12615"/>
    <cellStyle name="40% - Accent2 6 8 2" xfId="35474"/>
    <cellStyle name="40% - Accent2 6 9" xfId="23170"/>
    <cellStyle name="40% - Accent2 7" xfId="512"/>
    <cellStyle name="40% - Accent2 7 2" xfId="953"/>
    <cellStyle name="40% - Accent2 7 2 2" xfId="1832"/>
    <cellStyle name="40% - Accent2 7 2 2 2" xfId="3593"/>
    <cellStyle name="40% - Accent2 7 2 2 2 2" xfId="7108"/>
    <cellStyle name="40% - Accent2 7 2 2 2 2 2" xfId="19412"/>
    <cellStyle name="40% - Accent2 7 2 2 2 2 2 2" xfId="42271"/>
    <cellStyle name="40% - Accent2 7 2 2 2 2 3" xfId="29969"/>
    <cellStyle name="40% - Accent2 7 2 2 2 3" xfId="10623"/>
    <cellStyle name="40% - Accent2 7 2 2 2 3 2" xfId="22927"/>
    <cellStyle name="40% - Accent2 7 2 2 2 3 2 2" xfId="45786"/>
    <cellStyle name="40% - Accent2 7 2 2 2 3 3" xfId="33484"/>
    <cellStyle name="40% - Accent2 7 2 2 2 4" xfId="15897"/>
    <cellStyle name="40% - Accent2 7 2 2 2 4 2" xfId="38756"/>
    <cellStyle name="40% - Accent2 7 2 2 2 5" xfId="26454"/>
    <cellStyle name="40% - Accent2 7 2 2 3" xfId="5350"/>
    <cellStyle name="40% - Accent2 7 2 2 3 2" xfId="17654"/>
    <cellStyle name="40% - Accent2 7 2 2 3 2 2" xfId="40513"/>
    <cellStyle name="40% - Accent2 7 2 2 3 3" xfId="28211"/>
    <cellStyle name="40% - Accent2 7 2 2 4" xfId="8865"/>
    <cellStyle name="40% - Accent2 7 2 2 4 2" xfId="21169"/>
    <cellStyle name="40% - Accent2 7 2 2 4 2 2" xfId="44028"/>
    <cellStyle name="40% - Accent2 7 2 2 4 3" xfId="31726"/>
    <cellStyle name="40% - Accent2 7 2 2 5" xfId="12380"/>
    <cellStyle name="40% - Accent2 7 2 2 5 2" xfId="35240"/>
    <cellStyle name="40% - Accent2 7 2 2 6" xfId="14139"/>
    <cellStyle name="40% - Accent2 7 2 2 6 2" xfId="36998"/>
    <cellStyle name="40% - Accent2 7 2 2 7" xfId="24695"/>
    <cellStyle name="40% - Accent2 7 2 3" xfId="2715"/>
    <cellStyle name="40% - Accent2 7 2 3 2" xfId="6230"/>
    <cellStyle name="40% - Accent2 7 2 3 2 2" xfId="18534"/>
    <cellStyle name="40% - Accent2 7 2 3 2 2 2" xfId="41393"/>
    <cellStyle name="40% - Accent2 7 2 3 2 3" xfId="29091"/>
    <cellStyle name="40% - Accent2 7 2 3 3" xfId="9745"/>
    <cellStyle name="40% - Accent2 7 2 3 3 2" xfId="22049"/>
    <cellStyle name="40% - Accent2 7 2 3 3 2 2" xfId="44908"/>
    <cellStyle name="40% - Accent2 7 2 3 3 3" xfId="32606"/>
    <cellStyle name="40% - Accent2 7 2 3 4" xfId="15019"/>
    <cellStyle name="40% - Accent2 7 2 3 4 2" xfId="37878"/>
    <cellStyle name="40% - Accent2 7 2 3 5" xfId="25576"/>
    <cellStyle name="40% - Accent2 7 2 4" xfId="4472"/>
    <cellStyle name="40% - Accent2 7 2 4 2" xfId="16776"/>
    <cellStyle name="40% - Accent2 7 2 4 2 2" xfId="39635"/>
    <cellStyle name="40% - Accent2 7 2 4 3" xfId="27333"/>
    <cellStyle name="40% - Accent2 7 2 5" xfId="7987"/>
    <cellStyle name="40% - Accent2 7 2 5 2" xfId="20291"/>
    <cellStyle name="40% - Accent2 7 2 5 2 2" xfId="43150"/>
    <cellStyle name="40% - Accent2 7 2 5 3" xfId="30848"/>
    <cellStyle name="40% - Accent2 7 2 6" xfId="11502"/>
    <cellStyle name="40% - Accent2 7 2 6 2" xfId="34362"/>
    <cellStyle name="40% - Accent2 7 2 7" xfId="13261"/>
    <cellStyle name="40% - Accent2 7 2 7 2" xfId="36120"/>
    <cellStyle name="40% - Accent2 7 2 8" xfId="23817"/>
    <cellStyle name="40% - Accent2 7 3" xfId="1393"/>
    <cellStyle name="40% - Accent2 7 3 2" xfId="3154"/>
    <cellStyle name="40% - Accent2 7 3 2 2" xfId="6669"/>
    <cellStyle name="40% - Accent2 7 3 2 2 2" xfId="18973"/>
    <cellStyle name="40% - Accent2 7 3 2 2 2 2" xfId="41832"/>
    <cellStyle name="40% - Accent2 7 3 2 2 3" xfId="29530"/>
    <cellStyle name="40% - Accent2 7 3 2 3" xfId="10184"/>
    <cellStyle name="40% - Accent2 7 3 2 3 2" xfId="22488"/>
    <cellStyle name="40% - Accent2 7 3 2 3 2 2" xfId="45347"/>
    <cellStyle name="40% - Accent2 7 3 2 3 3" xfId="33045"/>
    <cellStyle name="40% - Accent2 7 3 2 4" xfId="15458"/>
    <cellStyle name="40% - Accent2 7 3 2 4 2" xfId="38317"/>
    <cellStyle name="40% - Accent2 7 3 2 5" xfId="26015"/>
    <cellStyle name="40% - Accent2 7 3 3" xfId="4911"/>
    <cellStyle name="40% - Accent2 7 3 3 2" xfId="17215"/>
    <cellStyle name="40% - Accent2 7 3 3 2 2" xfId="40074"/>
    <cellStyle name="40% - Accent2 7 3 3 3" xfId="27772"/>
    <cellStyle name="40% - Accent2 7 3 4" xfId="8426"/>
    <cellStyle name="40% - Accent2 7 3 4 2" xfId="20730"/>
    <cellStyle name="40% - Accent2 7 3 4 2 2" xfId="43589"/>
    <cellStyle name="40% - Accent2 7 3 4 3" xfId="31287"/>
    <cellStyle name="40% - Accent2 7 3 5" xfId="11941"/>
    <cellStyle name="40% - Accent2 7 3 5 2" xfId="34801"/>
    <cellStyle name="40% - Accent2 7 3 6" xfId="13700"/>
    <cellStyle name="40% - Accent2 7 3 6 2" xfId="36559"/>
    <cellStyle name="40% - Accent2 7 3 7" xfId="24256"/>
    <cellStyle name="40% - Accent2 7 4" xfId="2276"/>
    <cellStyle name="40% - Accent2 7 4 2" xfId="5791"/>
    <cellStyle name="40% - Accent2 7 4 2 2" xfId="18095"/>
    <cellStyle name="40% - Accent2 7 4 2 2 2" xfId="40954"/>
    <cellStyle name="40% - Accent2 7 4 2 3" xfId="28652"/>
    <cellStyle name="40% - Accent2 7 4 3" xfId="9306"/>
    <cellStyle name="40% - Accent2 7 4 3 2" xfId="21610"/>
    <cellStyle name="40% - Accent2 7 4 3 2 2" xfId="44469"/>
    <cellStyle name="40% - Accent2 7 4 3 3" xfId="32167"/>
    <cellStyle name="40% - Accent2 7 4 4" xfId="14580"/>
    <cellStyle name="40% - Accent2 7 4 4 2" xfId="37439"/>
    <cellStyle name="40% - Accent2 7 4 5" xfId="25137"/>
    <cellStyle name="40% - Accent2 7 5" xfId="4033"/>
    <cellStyle name="40% - Accent2 7 5 2" xfId="16337"/>
    <cellStyle name="40% - Accent2 7 5 2 2" xfId="39196"/>
    <cellStyle name="40% - Accent2 7 5 3" xfId="26894"/>
    <cellStyle name="40% - Accent2 7 6" xfId="7548"/>
    <cellStyle name="40% - Accent2 7 6 2" xfId="19852"/>
    <cellStyle name="40% - Accent2 7 6 2 2" xfId="42711"/>
    <cellStyle name="40% - Accent2 7 6 3" xfId="30409"/>
    <cellStyle name="40% - Accent2 7 7" xfId="11063"/>
    <cellStyle name="40% - Accent2 7 7 2" xfId="33923"/>
    <cellStyle name="40% - Accent2 7 8" xfId="12822"/>
    <cellStyle name="40% - Accent2 7 8 2" xfId="35681"/>
    <cellStyle name="40% - Accent2 7 9" xfId="23377"/>
    <cellStyle name="40% - Accent2 8" xfId="525"/>
    <cellStyle name="40% - Accent2 8 2" xfId="1406"/>
    <cellStyle name="40% - Accent2 8 2 2" xfId="3167"/>
    <cellStyle name="40% - Accent2 8 2 2 2" xfId="6682"/>
    <cellStyle name="40% - Accent2 8 2 2 2 2" xfId="18986"/>
    <cellStyle name="40% - Accent2 8 2 2 2 2 2" xfId="41845"/>
    <cellStyle name="40% - Accent2 8 2 2 2 3" xfId="29543"/>
    <cellStyle name="40% - Accent2 8 2 2 3" xfId="10197"/>
    <cellStyle name="40% - Accent2 8 2 2 3 2" xfId="22501"/>
    <cellStyle name="40% - Accent2 8 2 2 3 2 2" xfId="45360"/>
    <cellStyle name="40% - Accent2 8 2 2 3 3" xfId="33058"/>
    <cellStyle name="40% - Accent2 8 2 2 4" xfId="15471"/>
    <cellStyle name="40% - Accent2 8 2 2 4 2" xfId="38330"/>
    <cellStyle name="40% - Accent2 8 2 2 5" xfId="26028"/>
    <cellStyle name="40% - Accent2 8 2 3" xfId="4924"/>
    <cellStyle name="40% - Accent2 8 2 3 2" xfId="17228"/>
    <cellStyle name="40% - Accent2 8 2 3 2 2" xfId="40087"/>
    <cellStyle name="40% - Accent2 8 2 3 3" xfId="27785"/>
    <cellStyle name="40% - Accent2 8 2 4" xfId="8439"/>
    <cellStyle name="40% - Accent2 8 2 4 2" xfId="20743"/>
    <cellStyle name="40% - Accent2 8 2 4 2 2" xfId="43602"/>
    <cellStyle name="40% - Accent2 8 2 4 3" xfId="31300"/>
    <cellStyle name="40% - Accent2 8 2 5" xfId="11954"/>
    <cellStyle name="40% - Accent2 8 2 5 2" xfId="34814"/>
    <cellStyle name="40% - Accent2 8 2 6" xfId="13713"/>
    <cellStyle name="40% - Accent2 8 2 6 2" xfId="36572"/>
    <cellStyle name="40% - Accent2 8 2 7" xfId="24269"/>
    <cellStyle name="40% - Accent2 8 3" xfId="2289"/>
    <cellStyle name="40% - Accent2 8 3 2" xfId="5804"/>
    <cellStyle name="40% - Accent2 8 3 2 2" xfId="18108"/>
    <cellStyle name="40% - Accent2 8 3 2 2 2" xfId="40967"/>
    <cellStyle name="40% - Accent2 8 3 2 3" xfId="28665"/>
    <cellStyle name="40% - Accent2 8 3 3" xfId="9319"/>
    <cellStyle name="40% - Accent2 8 3 3 2" xfId="21623"/>
    <cellStyle name="40% - Accent2 8 3 3 2 2" xfId="44482"/>
    <cellStyle name="40% - Accent2 8 3 3 3" xfId="32180"/>
    <cellStyle name="40% - Accent2 8 3 4" xfId="14593"/>
    <cellStyle name="40% - Accent2 8 3 4 2" xfId="37452"/>
    <cellStyle name="40% - Accent2 8 3 5" xfId="25150"/>
    <cellStyle name="40% - Accent2 8 4" xfId="4046"/>
    <cellStyle name="40% - Accent2 8 4 2" xfId="16350"/>
    <cellStyle name="40% - Accent2 8 4 2 2" xfId="39209"/>
    <cellStyle name="40% - Accent2 8 4 3" xfId="26907"/>
    <cellStyle name="40% - Accent2 8 5" xfId="7561"/>
    <cellStyle name="40% - Accent2 8 5 2" xfId="19865"/>
    <cellStyle name="40% - Accent2 8 5 2 2" xfId="42724"/>
    <cellStyle name="40% - Accent2 8 5 3" xfId="30422"/>
    <cellStyle name="40% - Accent2 8 6" xfId="11076"/>
    <cellStyle name="40% - Accent2 8 6 2" xfId="33936"/>
    <cellStyle name="40% - Accent2 8 7" xfId="12835"/>
    <cellStyle name="40% - Accent2 8 7 2" xfId="35694"/>
    <cellStyle name="40% - Accent2 8 8" xfId="23390"/>
    <cellStyle name="40% - Accent2 9" xfId="974"/>
    <cellStyle name="40% - Accent2 9 2" xfId="2735"/>
    <cellStyle name="40% - Accent2 9 2 2" xfId="6250"/>
    <cellStyle name="40% - Accent2 9 2 2 2" xfId="18554"/>
    <cellStyle name="40% - Accent2 9 2 2 2 2" xfId="41413"/>
    <cellStyle name="40% - Accent2 9 2 2 3" xfId="29111"/>
    <cellStyle name="40% - Accent2 9 2 3" xfId="9765"/>
    <cellStyle name="40% - Accent2 9 2 3 2" xfId="22069"/>
    <cellStyle name="40% - Accent2 9 2 3 2 2" xfId="44928"/>
    <cellStyle name="40% - Accent2 9 2 3 3" xfId="32626"/>
    <cellStyle name="40% - Accent2 9 2 4" xfId="15039"/>
    <cellStyle name="40% - Accent2 9 2 4 2" xfId="37898"/>
    <cellStyle name="40% - Accent2 9 2 5" xfId="25596"/>
    <cellStyle name="40% - Accent2 9 3" xfId="4492"/>
    <cellStyle name="40% - Accent2 9 3 2" xfId="16796"/>
    <cellStyle name="40% - Accent2 9 3 2 2" xfId="39655"/>
    <cellStyle name="40% - Accent2 9 3 3" xfId="27353"/>
    <cellStyle name="40% - Accent2 9 4" xfId="8007"/>
    <cellStyle name="40% - Accent2 9 4 2" xfId="20311"/>
    <cellStyle name="40% - Accent2 9 4 2 2" xfId="43170"/>
    <cellStyle name="40% - Accent2 9 4 3" xfId="30868"/>
    <cellStyle name="40% - Accent2 9 5" xfId="11522"/>
    <cellStyle name="40% - Accent2 9 5 2" xfId="34382"/>
    <cellStyle name="40% - Accent2 9 6" xfId="13281"/>
    <cellStyle name="40% - Accent2 9 6 2" xfId="36140"/>
    <cellStyle name="40% - Accent2 9 7" xfId="23837"/>
    <cellStyle name="40% - Accent3" xfId="84" builtinId="39" customBuiltin="1"/>
    <cellStyle name="40% - Accent3 10" xfId="1850"/>
    <cellStyle name="40% - Accent3 10 2" xfId="5367"/>
    <cellStyle name="40% - Accent3 10 2 2" xfId="17671"/>
    <cellStyle name="40% - Accent3 10 2 2 2" xfId="40530"/>
    <cellStyle name="40% - Accent3 10 2 3" xfId="28228"/>
    <cellStyle name="40% - Accent3 10 3" xfId="8882"/>
    <cellStyle name="40% - Accent3 10 3 2" xfId="21186"/>
    <cellStyle name="40% - Accent3 10 3 2 2" xfId="44045"/>
    <cellStyle name="40% - Accent3 10 3 3" xfId="31743"/>
    <cellStyle name="40% - Accent3 10 4" xfId="14156"/>
    <cellStyle name="40% - Accent3 10 4 2" xfId="37015"/>
    <cellStyle name="40% - Accent3 10 5" xfId="24712"/>
    <cellStyle name="40% - Accent3 11" xfId="3616"/>
    <cellStyle name="40% - Accent3 11 2" xfId="15920"/>
    <cellStyle name="40% - Accent3 11 2 2" xfId="38779"/>
    <cellStyle name="40% - Accent3 11 3" xfId="26477"/>
    <cellStyle name="40% - Accent3 12" xfId="7131"/>
    <cellStyle name="40% - Accent3 12 2" xfId="19435"/>
    <cellStyle name="40% - Accent3 12 2 2" xfId="42294"/>
    <cellStyle name="40% - Accent3 12 3" xfId="29992"/>
    <cellStyle name="40% - Accent3 13" xfId="10646"/>
    <cellStyle name="40% - Accent3 13 2" xfId="33506"/>
    <cellStyle name="40% - Accent3 14" xfId="12396"/>
    <cellStyle name="40% - Accent3 14 2" xfId="35256"/>
    <cellStyle name="40% - Accent3 15" xfId="22958"/>
    <cellStyle name="40% - Accent3 2" xfId="9"/>
    <cellStyle name="40% - Accent3 3" xfId="110"/>
    <cellStyle name="40% - Accent3 3 10" xfId="10665"/>
    <cellStyle name="40% - Accent3 3 10 2" xfId="33525"/>
    <cellStyle name="40% - Accent3 3 11" xfId="12424"/>
    <cellStyle name="40% - Accent3 3 11 2" xfId="35283"/>
    <cellStyle name="40% - Accent3 3 12" xfId="22977"/>
    <cellStyle name="40% - Accent3 3 2" xfId="166"/>
    <cellStyle name="40% - Accent3 3 2 10" xfId="12478"/>
    <cellStyle name="40% - Accent3 3 2 10 2" xfId="35337"/>
    <cellStyle name="40% - Accent3 3 2 11" xfId="23032"/>
    <cellStyle name="40% - Accent3 3 2 2" xfId="274"/>
    <cellStyle name="40% - Accent3 3 2 2 10" xfId="23139"/>
    <cellStyle name="40% - Accent3 3 2 2 2" xfId="486"/>
    <cellStyle name="40% - Accent3 3 2 2 2 2" xfId="927"/>
    <cellStyle name="40% - Accent3 3 2 2 2 2 2" xfId="1806"/>
    <cellStyle name="40% - Accent3 3 2 2 2 2 2 2" xfId="3567"/>
    <cellStyle name="40% - Accent3 3 2 2 2 2 2 2 2" xfId="7082"/>
    <cellStyle name="40% - Accent3 3 2 2 2 2 2 2 2 2" xfId="19386"/>
    <cellStyle name="40% - Accent3 3 2 2 2 2 2 2 2 2 2" xfId="42245"/>
    <cellStyle name="40% - Accent3 3 2 2 2 2 2 2 2 3" xfId="29943"/>
    <cellStyle name="40% - Accent3 3 2 2 2 2 2 2 3" xfId="10597"/>
    <cellStyle name="40% - Accent3 3 2 2 2 2 2 2 3 2" xfId="22901"/>
    <cellStyle name="40% - Accent3 3 2 2 2 2 2 2 3 2 2" xfId="45760"/>
    <cellStyle name="40% - Accent3 3 2 2 2 2 2 2 3 3" xfId="33458"/>
    <cellStyle name="40% - Accent3 3 2 2 2 2 2 2 4" xfId="15871"/>
    <cellStyle name="40% - Accent3 3 2 2 2 2 2 2 4 2" xfId="38730"/>
    <cellStyle name="40% - Accent3 3 2 2 2 2 2 2 5" xfId="26428"/>
    <cellStyle name="40% - Accent3 3 2 2 2 2 2 3" xfId="5324"/>
    <cellStyle name="40% - Accent3 3 2 2 2 2 2 3 2" xfId="17628"/>
    <cellStyle name="40% - Accent3 3 2 2 2 2 2 3 2 2" xfId="40487"/>
    <cellStyle name="40% - Accent3 3 2 2 2 2 2 3 3" xfId="28185"/>
    <cellStyle name="40% - Accent3 3 2 2 2 2 2 4" xfId="8839"/>
    <cellStyle name="40% - Accent3 3 2 2 2 2 2 4 2" xfId="21143"/>
    <cellStyle name="40% - Accent3 3 2 2 2 2 2 4 2 2" xfId="44002"/>
    <cellStyle name="40% - Accent3 3 2 2 2 2 2 4 3" xfId="31700"/>
    <cellStyle name="40% - Accent3 3 2 2 2 2 2 5" xfId="12354"/>
    <cellStyle name="40% - Accent3 3 2 2 2 2 2 5 2" xfId="35214"/>
    <cellStyle name="40% - Accent3 3 2 2 2 2 2 6" xfId="14113"/>
    <cellStyle name="40% - Accent3 3 2 2 2 2 2 6 2" xfId="36972"/>
    <cellStyle name="40% - Accent3 3 2 2 2 2 2 7" xfId="24669"/>
    <cellStyle name="40% - Accent3 3 2 2 2 2 3" xfId="2689"/>
    <cellStyle name="40% - Accent3 3 2 2 2 2 3 2" xfId="6204"/>
    <cellStyle name="40% - Accent3 3 2 2 2 2 3 2 2" xfId="18508"/>
    <cellStyle name="40% - Accent3 3 2 2 2 2 3 2 2 2" xfId="41367"/>
    <cellStyle name="40% - Accent3 3 2 2 2 2 3 2 3" xfId="29065"/>
    <cellStyle name="40% - Accent3 3 2 2 2 2 3 3" xfId="9719"/>
    <cellStyle name="40% - Accent3 3 2 2 2 2 3 3 2" xfId="22023"/>
    <cellStyle name="40% - Accent3 3 2 2 2 2 3 3 2 2" xfId="44882"/>
    <cellStyle name="40% - Accent3 3 2 2 2 2 3 3 3" xfId="32580"/>
    <cellStyle name="40% - Accent3 3 2 2 2 2 3 4" xfId="14993"/>
    <cellStyle name="40% - Accent3 3 2 2 2 2 3 4 2" xfId="37852"/>
    <cellStyle name="40% - Accent3 3 2 2 2 2 3 5" xfId="25550"/>
    <cellStyle name="40% - Accent3 3 2 2 2 2 4" xfId="4446"/>
    <cellStyle name="40% - Accent3 3 2 2 2 2 4 2" xfId="16750"/>
    <cellStyle name="40% - Accent3 3 2 2 2 2 4 2 2" xfId="39609"/>
    <cellStyle name="40% - Accent3 3 2 2 2 2 4 3" xfId="27307"/>
    <cellStyle name="40% - Accent3 3 2 2 2 2 5" xfId="7961"/>
    <cellStyle name="40% - Accent3 3 2 2 2 2 5 2" xfId="20265"/>
    <cellStyle name="40% - Accent3 3 2 2 2 2 5 2 2" xfId="43124"/>
    <cellStyle name="40% - Accent3 3 2 2 2 2 5 3" xfId="30822"/>
    <cellStyle name="40% - Accent3 3 2 2 2 2 6" xfId="11476"/>
    <cellStyle name="40% - Accent3 3 2 2 2 2 6 2" xfId="34336"/>
    <cellStyle name="40% - Accent3 3 2 2 2 2 7" xfId="13235"/>
    <cellStyle name="40% - Accent3 3 2 2 2 2 7 2" xfId="36094"/>
    <cellStyle name="40% - Accent3 3 2 2 2 2 8" xfId="23791"/>
    <cellStyle name="40% - Accent3 3 2 2 2 3" xfId="1367"/>
    <cellStyle name="40% - Accent3 3 2 2 2 3 2" xfId="3128"/>
    <cellStyle name="40% - Accent3 3 2 2 2 3 2 2" xfId="6643"/>
    <cellStyle name="40% - Accent3 3 2 2 2 3 2 2 2" xfId="18947"/>
    <cellStyle name="40% - Accent3 3 2 2 2 3 2 2 2 2" xfId="41806"/>
    <cellStyle name="40% - Accent3 3 2 2 2 3 2 2 3" xfId="29504"/>
    <cellStyle name="40% - Accent3 3 2 2 2 3 2 3" xfId="10158"/>
    <cellStyle name="40% - Accent3 3 2 2 2 3 2 3 2" xfId="22462"/>
    <cellStyle name="40% - Accent3 3 2 2 2 3 2 3 2 2" xfId="45321"/>
    <cellStyle name="40% - Accent3 3 2 2 2 3 2 3 3" xfId="33019"/>
    <cellStyle name="40% - Accent3 3 2 2 2 3 2 4" xfId="15432"/>
    <cellStyle name="40% - Accent3 3 2 2 2 3 2 4 2" xfId="38291"/>
    <cellStyle name="40% - Accent3 3 2 2 2 3 2 5" xfId="25989"/>
    <cellStyle name="40% - Accent3 3 2 2 2 3 3" xfId="4885"/>
    <cellStyle name="40% - Accent3 3 2 2 2 3 3 2" xfId="17189"/>
    <cellStyle name="40% - Accent3 3 2 2 2 3 3 2 2" xfId="40048"/>
    <cellStyle name="40% - Accent3 3 2 2 2 3 3 3" xfId="27746"/>
    <cellStyle name="40% - Accent3 3 2 2 2 3 4" xfId="8400"/>
    <cellStyle name="40% - Accent3 3 2 2 2 3 4 2" xfId="20704"/>
    <cellStyle name="40% - Accent3 3 2 2 2 3 4 2 2" xfId="43563"/>
    <cellStyle name="40% - Accent3 3 2 2 2 3 4 3" xfId="31261"/>
    <cellStyle name="40% - Accent3 3 2 2 2 3 5" xfId="11915"/>
    <cellStyle name="40% - Accent3 3 2 2 2 3 5 2" xfId="34775"/>
    <cellStyle name="40% - Accent3 3 2 2 2 3 6" xfId="13674"/>
    <cellStyle name="40% - Accent3 3 2 2 2 3 6 2" xfId="36533"/>
    <cellStyle name="40% - Accent3 3 2 2 2 3 7" xfId="24230"/>
    <cellStyle name="40% - Accent3 3 2 2 2 4" xfId="2250"/>
    <cellStyle name="40% - Accent3 3 2 2 2 4 2" xfId="5765"/>
    <cellStyle name="40% - Accent3 3 2 2 2 4 2 2" xfId="18069"/>
    <cellStyle name="40% - Accent3 3 2 2 2 4 2 2 2" xfId="40928"/>
    <cellStyle name="40% - Accent3 3 2 2 2 4 2 3" xfId="28626"/>
    <cellStyle name="40% - Accent3 3 2 2 2 4 3" xfId="9280"/>
    <cellStyle name="40% - Accent3 3 2 2 2 4 3 2" xfId="21584"/>
    <cellStyle name="40% - Accent3 3 2 2 2 4 3 2 2" xfId="44443"/>
    <cellStyle name="40% - Accent3 3 2 2 2 4 3 3" xfId="32141"/>
    <cellStyle name="40% - Accent3 3 2 2 2 4 4" xfId="14554"/>
    <cellStyle name="40% - Accent3 3 2 2 2 4 4 2" xfId="37413"/>
    <cellStyle name="40% - Accent3 3 2 2 2 4 5" xfId="25111"/>
    <cellStyle name="40% - Accent3 3 2 2 2 5" xfId="4007"/>
    <cellStyle name="40% - Accent3 3 2 2 2 5 2" xfId="16311"/>
    <cellStyle name="40% - Accent3 3 2 2 2 5 2 2" xfId="39170"/>
    <cellStyle name="40% - Accent3 3 2 2 2 5 3" xfId="26868"/>
    <cellStyle name="40% - Accent3 3 2 2 2 6" xfId="7522"/>
    <cellStyle name="40% - Accent3 3 2 2 2 6 2" xfId="19826"/>
    <cellStyle name="40% - Accent3 3 2 2 2 6 2 2" xfId="42685"/>
    <cellStyle name="40% - Accent3 3 2 2 2 6 3" xfId="30383"/>
    <cellStyle name="40% - Accent3 3 2 2 2 7" xfId="11037"/>
    <cellStyle name="40% - Accent3 3 2 2 2 7 2" xfId="33897"/>
    <cellStyle name="40% - Accent3 3 2 2 2 8" xfId="12796"/>
    <cellStyle name="40% - Accent3 3 2 2 2 8 2" xfId="35655"/>
    <cellStyle name="40% - Accent3 3 2 2 2 9" xfId="23351"/>
    <cellStyle name="40% - Accent3 3 2 2 3" xfId="715"/>
    <cellStyle name="40% - Accent3 3 2 2 3 2" xfId="1594"/>
    <cellStyle name="40% - Accent3 3 2 2 3 2 2" xfId="3355"/>
    <cellStyle name="40% - Accent3 3 2 2 3 2 2 2" xfId="6870"/>
    <cellStyle name="40% - Accent3 3 2 2 3 2 2 2 2" xfId="19174"/>
    <cellStyle name="40% - Accent3 3 2 2 3 2 2 2 2 2" xfId="42033"/>
    <cellStyle name="40% - Accent3 3 2 2 3 2 2 2 3" xfId="29731"/>
    <cellStyle name="40% - Accent3 3 2 2 3 2 2 3" xfId="10385"/>
    <cellStyle name="40% - Accent3 3 2 2 3 2 2 3 2" xfId="22689"/>
    <cellStyle name="40% - Accent3 3 2 2 3 2 2 3 2 2" xfId="45548"/>
    <cellStyle name="40% - Accent3 3 2 2 3 2 2 3 3" xfId="33246"/>
    <cellStyle name="40% - Accent3 3 2 2 3 2 2 4" xfId="15659"/>
    <cellStyle name="40% - Accent3 3 2 2 3 2 2 4 2" xfId="38518"/>
    <cellStyle name="40% - Accent3 3 2 2 3 2 2 5" xfId="26216"/>
    <cellStyle name="40% - Accent3 3 2 2 3 2 3" xfId="5112"/>
    <cellStyle name="40% - Accent3 3 2 2 3 2 3 2" xfId="17416"/>
    <cellStyle name="40% - Accent3 3 2 2 3 2 3 2 2" xfId="40275"/>
    <cellStyle name="40% - Accent3 3 2 2 3 2 3 3" xfId="27973"/>
    <cellStyle name="40% - Accent3 3 2 2 3 2 4" xfId="8627"/>
    <cellStyle name="40% - Accent3 3 2 2 3 2 4 2" xfId="20931"/>
    <cellStyle name="40% - Accent3 3 2 2 3 2 4 2 2" xfId="43790"/>
    <cellStyle name="40% - Accent3 3 2 2 3 2 4 3" xfId="31488"/>
    <cellStyle name="40% - Accent3 3 2 2 3 2 5" xfId="12142"/>
    <cellStyle name="40% - Accent3 3 2 2 3 2 5 2" xfId="35002"/>
    <cellStyle name="40% - Accent3 3 2 2 3 2 6" xfId="13901"/>
    <cellStyle name="40% - Accent3 3 2 2 3 2 6 2" xfId="36760"/>
    <cellStyle name="40% - Accent3 3 2 2 3 2 7" xfId="24457"/>
    <cellStyle name="40% - Accent3 3 2 2 3 3" xfId="2477"/>
    <cellStyle name="40% - Accent3 3 2 2 3 3 2" xfId="5992"/>
    <cellStyle name="40% - Accent3 3 2 2 3 3 2 2" xfId="18296"/>
    <cellStyle name="40% - Accent3 3 2 2 3 3 2 2 2" xfId="41155"/>
    <cellStyle name="40% - Accent3 3 2 2 3 3 2 3" xfId="28853"/>
    <cellStyle name="40% - Accent3 3 2 2 3 3 3" xfId="9507"/>
    <cellStyle name="40% - Accent3 3 2 2 3 3 3 2" xfId="21811"/>
    <cellStyle name="40% - Accent3 3 2 2 3 3 3 2 2" xfId="44670"/>
    <cellStyle name="40% - Accent3 3 2 2 3 3 3 3" xfId="32368"/>
    <cellStyle name="40% - Accent3 3 2 2 3 3 4" xfId="14781"/>
    <cellStyle name="40% - Accent3 3 2 2 3 3 4 2" xfId="37640"/>
    <cellStyle name="40% - Accent3 3 2 2 3 3 5" xfId="25338"/>
    <cellStyle name="40% - Accent3 3 2 2 3 4" xfId="4234"/>
    <cellStyle name="40% - Accent3 3 2 2 3 4 2" xfId="16538"/>
    <cellStyle name="40% - Accent3 3 2 2 3 4 2 2" xfId="39397"/>
    <cellStyle name="40% - Accent3 3 2 2 3 4 3" xfId="27095"/>
    <cellStyle name="40% - Accent3 3 2 2 3 5" xfId="7749"/>
    <cellStyle name="40% - Accent3 3 2 2 3 5 2" xfId="20053"/>
    <cellStyle name="40% - Accent3 3 2 2 3 5 2 2" xfId="42912"/>
    <cellStyle name="40% - Accent3 3 2 2 3 5 3" xfId="30610"/>
    <cellStyle name="40% - Accent3 3 2 2 3 6" xfId="11264"/>
    <cellStyle name="40% - Accent3 3 2 2 3 6 2" xfId="34124"/>
    <cellStyle name="40% - Accent3 3 2 2 3 7" xfId="13023"/>
    <cellStyle name="40% - Accent3 3 2 2 3 7 2" xfId="35882"/>
    <cellStyle name="40% - Accent3 3 2 2 3 8" xfId="23579"/>
    <cellStyle name="40% - Accent3 3 2 2 4" xfId="1155"/>
    <cellStyle name="40% - Accent3 3 2 2 4 2" xfId="2916"/>
    <cellStyle name="40% - Accent3 3 2 2 4 2 2" xfId="6431"/>
    <cellStyle name="40% - Accent3 3 2 2 4 2 2 2" xfId="18735"/>
    <cellStyle name="40% - Accent3 3 2 2 4 2 2 2 2" xfId="41594"/>
    <cellStyle name="40% - Accent3 3 2 2 4 2 2 3" xfId="29292"/>
    <cellStyle name="40% - Accent3 3 2 2 4 2 3" xfId="9946"/>
    <cellStyle name="40% - Accent3 3 2 2 4 2 3 2" xfId="22250"/>
    <cellStyle name="40% - Accent3 3 2 2 4 2 3 2 2" xfId="45109"/>
    <cellStyle name="40% - Accent3 3 2 2 4 2 3 3" xfId="32807"/>
    <cellStyle name="40% - Accent3 3 2 2 4 2 4" xfId="15220"/>
    <cellStyle name="40% - Accent3 3 2 2 4 2 4 2" xfId="38079"/>
    <cellStyle name="40% - Accent3 3 2 2 4 2 5" xfId="25777"/>
    <cellStyle name="40% - Accent3 3 2 2 4 3" xfId="4673"/>
    <cellStyle name="40% - Accent3 3 2 2 4 3 2" xfId="16977"/>
    <cellStyle name="40% - Accent3 3 2 2 4 3 2 2" xfId="39836"/>
    <cellStyle name="40% - Accent3 3 2 2 4 3 3" xfId="27534"/>
    <cellStyle name="40% - Accent3 3 2 2 4 4" xfId="8188"/>
    <cellStyle name="40% - Accent3 3 2 2 4 4 2" xfId="20492"/>
    <cellStyle name="40% - Accent3 3 2 2 4 4 2 2" xfId="43351"/>
    <cellStyle name="40% - Accent3 3 2 2 4 4 3" xfId="31049"/>
    <cellStyle name="40% - Accent3 3 2 2 4 5" xfId="11703"/>
    <cellStyle name="40% - Accent3 3 2 2 4 5 2" xfId="34563"/>
    <cellStyle name="40% - Accent3 3 2 2 4 6" xfId="13462"/>
    <cellStyle name="40% - Accent3 3 2 2 4 6 2" xfId="36321"/>
    <cellStyle name="40% - Accent3 3 2 2 4 7" xfId="24018"/>
    <cellStyle name="40% - Accent3 3 2 2 5" xfId="2038"/>
    <cellStyle name="40% - Accent3 3 2 2 5 2" xfId="5553"/>
    <cellStyle name="40% - Accent3 3 2 2 5 2 2" xfId="17857"/>
    <cellStyle name="40% - Accent3 3 2 2 5 2 2 2" xfId="40716"/>
    <cellStyle name="40% - Accent3 3 2 2 5 2 3" xfId="28414"/>
    <cellStyle name="40% - Accent3 3 2 2 5 3" xfId="9068"/>
    <cellStyle name="40% - Accent3 3 2 2 5 3 2" xfId="21372"/>
    <cellStyle name="40% - Accent3 3 2 2 5 3 2 2" xfId="44231"/>
    <cellStyle name="40% - Accent3 3 2 2 5 3 3" xfId="31929"/>
    <cellStyle name="40% - Accent3 3 2 2 5 4" xfId="14342"/>
    <cellStyle name="40% - Accent3 3 2 2 5 4 2" xfId="37201"/>
    <cellStyle name="40% - Accent3 3 2 2 5 5" xfId="24899"/>
    <cellStyle name="40% - Accent3 3 2 2 6" xfId="3795"/>
    <cellStyle name="40% - Accent3 3 2 2 6 2" xfId="16099"/>
    <cellStyle name="40% - Accent3 3 2 2 6 2 2" xfId="38958"/>
    <cellStyle name="40% - Accent3 3 2 2 6 3" xfId="26656"/>
    <cellStyle name="40% - Accent3 3 2 2 7" xfId="7310"/>
    <cellStyle name="40% - Accent3 3 2 2 7 2" xfId="19614"/>
    <cellStyle name="40% - Accent3 3 2 2 7 2 2" xfId="42473"/>
    <cellStyle name="40% - Accent3 3 2 2 7 3" xfId="30171"/>
    <cellStyle name="40% - Accent3 3 2 2 8" xfId="10825"/>
    <cellStyle name="40% - Accent3 3 2 2 8 2" xfId="33685"/>
    <cellStyle name="40% - Accent3 3 2 2 9" xfId="12584"/>
    <cellStyle name="40% - Accent3 3 2 2 9 2" xfId="35443"/>
    <cellStyle name="40% - Accent3 3 2 3" xfId="380"/>
    <cellStyle name="40% - Accent3 3 2 3 2" xfId="821"/>
    <cellStyle name="40% - Accent3 3 2 3 2 2" xfId="1700"/>
    <cellStyle name="40% - Accent3 3 2 3 2 2 2" xfId="3461"/>
    <cellStyle name="40% - Accent3 3 2 3 2 2 2 2" xfId="6976"/>
    <cellStyle name="40% - Accent3 3 2 3 2 2 2 2 2" xfId="19280"/>
    <cellStyle name="40% - Accent3 3 2 3 2 2 2 2 2 2" xfId="42139"/>
    <cellStyle name="40% - Accent3 3 2 3 2 2 2 2 3" xfId="29837"/>
    <cellStyle name="40% - Accent3 3 2 3 2 2 2 3" xfId="10491"/>
    <cellStyle name="40% - Accent3 3 2 3 2 2 2 3 2" xfId="22795"/>
    <cellStyle name="40% - Accent3 3 2 3 2 2 2 3 2 2" xfId="45654"/>
    <cellStyle name="40% - Accent3 3 2 3 2 2 2 3 3" xfId="33352"/>
    <cellStyle name="40% - Accent3 3 2 3 2 2 2 4" xfId="15765"/>
    <cellStyle name="40% - Accent3 3 2 3 2 2 2 4 2" xfId="38624"/>
    <cellStyle name="40% - Accent3 3 2 3 2 2 2 5" xfId="26322"/>
    <cellStyle name="40% - Accent3 3 2 3 2 2 3" xfId="5218"/>
    <cellStyle name="40% - Accent3 3 2 3 2 2 3 2" xfId="17522"/>
    <cellStyle name="40% - Accent3 3 2 3 2 2 3 2 2" xfId="40381"/>
    <cellStyle name="40% - Accent3 3 2 3 2 2 3 3" xfId="28079"/>
    <cellStyle name="40% - Accent3 3 2 3 2 2 4" xfId="8733"/>
    <cellStyle name="40% - Accent3 3 2 3 2 2 4 2" xfId="21037"/>
    <cellStyle name="40% - Accent3 3 2 3 2 2 4 2 2" xfId="43896"/>
    <cellStyle name="40% - Accent3 3 2 3 2 2 4 3" xfId="31594"/>
    <cellStyle name="40% - Accent3 3 2 3 2 2 5" xfId="12248"/>
    <cellStyle name="40% - Accent3 3 2 3 2 2 5 2" xfId="35108"/>
    <cellStyle name="40% - Accent3 3 2 3 2 2 6" xfId="14007"/>
    <cellStyle name="40% - Accent3 3 2 3 2 2 6 2" xfId="36866"/>
    <cellStyle name="40% - Accent3 3 2 3 2 2 7" xfId="24563"/>
    <cellStyle name="40% - Accent3 3 2 3 2 3" xfId="2583"/>
    <cellStyle name="40% - Accent3 3 2 3 2 3 2" xfId="6098"/>
    <cellStyle name="40% - Accent3 3 2 3 2 3 2 2" xfId="18402"/>
    <cellStyle name="40% - Accent3 3 2 3 2 3 2 2 2" xfId="41261"/>
    <cellStyle name="40% - Accent3 3 2 3 2 3 2 3" xfId="28959"/>
    <cellStyle name="40% - Accent3 3 2 3 2 3 3" xfId="9613"/>
    <cellStyle name="40% - Accent3 3 2 3 2 3 3 2" xfId="21917"/>
    <cellStyle name="40% - Accent3 3 2 3 2 3 3 2 2" xfId="44776"/>
    <cellStyle name="40% - Accent3 3 2 3 2 3 3 3" xfId="32474"/>
    <cellStyle name="40% - Accent3 3 2 3 2 3 4" xfId="14887"/>
    <cellStyle name="40% - Accent3 3 2 3 2 3 4 2" xfId="37746"/>
    <cellStyle name="40% - Accent3 3 2 3 2 3 5" xfId="25444"/>
    <cellStyle name="40% - Accent3 3 2 3 2 4" xfId="4340"/>
    <cellStyle name="40% - Accent3 3 2 3 2 4 2" xfId="16644"/>
    <cellStyle name="40% - Accent3 3 2 3 2 4 2 2" xfId="39503"/>
    <cellStyle name="40% - Accent3 3 2 3 2 4 3" xfId="27201"/>
    <cellStyle name="40% - Accent3 3 2 3 2 5" xfId="7855"/>
    <cellStyle name="40% - Accent3 3 2 3 2 5 2" xfId="20159"/>
    <cellStyle name="40% - Accent3 3 2 3 2 5 2 2" xfId="43018"/>
    <cellStyle name="40% - Accent3 3 2 3 2 5 3" xfId="30716"/>
    <cellStyle name="40% - Accent3 3 2 3 2 6" xfId="11370"/>
    <cellStyle name="40% - Accent3 3 2 3 2 6 2" xfId="34230"/>
    <cellStyle name="40% - Accent3 3 2 3 2 7" xfId="13129"/>
    <cellStyle name="40% - Accent3 3 2 3 2 7 2" xfId="35988"/>
    <cellStyle name="40% - Accent3 3 2 3 2 8" xfId="23685"/>
    <cellStyle name="40% - Accent3 3 2 3 3" xfId="1261"/>
    <cellStyle name="40% - Accent3 3 2 3 3 2" xfId="3022"/>
    <cellStyle name="40% - Accent3 3 2 3 3 2 2" xfId="6537"/>
    <cellStyle name="40% - Accent3 3 2 3 3 2 2 2" xfId="18841"/>
    <cellStyle name="40% - Accent3 3 2 3 3 2 2 2 2" xfId="41700"/>
    <cellStyle name="40% - Accent3 3 2 3 3 2 2 3" xfId="29398"/>
    <cellStyle name="40% - Accent3 3 2 3 3 2 3" xfId="10052"/>
    <cellStyle name="40% - Accent3 3 2 3 3 2 3 2" xfId="22356"/>
    <cellStyle name="40% - Accent3 3 2 3 3 2 3 2 2" xfId="45215"/>
    <cellStyle name="40% - Accent3 3 2 3 3 2 3 3" xfId="32913"/>
    <cellStyle name="40% - Accent3 3 2 3 3 2 4" xfId="15326"/>
    <cellStyle name="40% - Accent3 3 2 3 3 2 4 2" xfId="38185"/>
    <cellStyle name="40% - Accent3 3 2 3 3 2 5" xfId="25883"/>
    <cellStyle name="40% - Accent3 3 2 3 3 3" xfId="4779"/>
    <cellStyle name="40% - Accent3 3 2 3 3 3 2" xfId="17083"/>
    <cellStyle name="40% - Accent3 3 2 3 3 3 2 2" xfId="39942"/>
    <cellStyle name="40% - Accent3 3 2 3 3 3 3" xfId="27640"/>
    <cellStyle name="40% - Accent3 3 2 3 3 4" xfId="8294"/>
    <cellStyle name="40% - Accent3 3 2 3 3 4 2" xfId="20598"/>
    <cellStyle name="40% - Accent3 3 2 3 3 4 2 2" xfId="43457"/>
    <cellStyle name="40% - Accent3 3 2 3 3 4 3" xfId="31155"/>
    <cellStyle name="40% - Accent3 3 2 3 3 5" xfId="11809"/>
    <cellStyle name="40% - Accent3 3 2 3 3 5 2" xfId="34669"/>
    <cellStyle name="40% - Accent3 3 2 3 3 6" xfId="13568"/>
    <cellStyle name="40% - Accent3 3 2 3 3 6 2" xfId="36427"/>
    <cellStyle name="40% - Accent3 3 2 3 3 7" xfId="24124"/>
    <cellStyle name="40% - Accent3 3 2 3 4" xfId="2144"/>
    <cellStyle name="40% - Accent3 3 2 3 4 2" xfId="5659"/>
    <cellStyle name="40% - Accent3 3 2 3 4 2 2" xfId="17963"/>
    <cellStyle name="40% - Accent3 3 2 3 4 2 2 2" xfId="40822"/>
    <cellStyle name="40% - Accent3 3 2 3 4 2 3" xfId="28520"/>
    <cellStyle name="40% - Accent3 3 2 3 4 3" xfId="9174"/>
    <cellStyle name="40% - Accent3 3 2 3 4 3 2" xfId="21478"/>
    <cellStyle name="40% - Accent3 3 2 3 4 3 2 2" xfId="44337"/>
    <cellStyle name="40% - Accent3 3 2 3 4 3 3" xfId="32035"/>
    <cellStyle name="40% - Accent3 3 2 3 4 4" xfId="14448"/>
    <cellStyle name="40% - Accent3 3 2 3 4 4 2" xfId="37307"/>
    <cellStyle name="40% - Accent3 3 2 3 4 5" xfId="25005"/>
    <cellStyle name="40% - Accent3 3 2 3 5" xfId="3901"/>
    <cellStyle name="40% - Accent3 3 2 3 5 2" xfId="16205"/>
    <cellStyle name="40% - Accent3 3 2 3 5 2 2" xfId="39064"/>
    <cellStyle name="40% - Accent3 3 2 3 5 3" xfId="26762"/>
    <cellStyle name="40% - Accent3 3 2 3 6" xfId="7416"/>
    <cellStyle name="40% - Accent3 3 2 3 6 2" xfId="19720"/>
    <cellStyle name="40% - Accent3 3 2 3 6 2 2" xfId="42579"/>
    <cellStyle name="40% - Accent3 3 2 3 6 3" xfId="30277"/>
    <cellStyle name="40% - Accent3 3 2 3 7" xfId="10931"/>
    <cellStyle name="40% - Accent3 3 2 3 7 2" xfId="33791"/>
    <cellStyle name="40% - Accent3 3 2 3 8" xfId="12690"/>
    <cellStyle name="40% - Accent3 3 2 3 8 2" xfId="35549"/>
    <cellStyle name="40% - Accent3 3 2 3 9" xfId="23245"/>
    <cellStyle name="40% - Accent3 3 2 4" xfId="609"/>
    <cellStyle name="40% - Accent3 3 2 4 2" xfId="1488"/>
    <cellStyle name="40% - Accent3 3 2 4 2 2" xfId="3249"/>
    <cellStyle name="40% - Accent3 3 2 4 2 2 2" xfId="6764"/>
    <cellStyle name="40% - Accent3 3 2 4 2 2 2 2" xfId="19068"/>
    <cellStyle name="40% - Accent3 3 2 4 2 2 2 2 2" xfId="41927"/>
    <cellStyle name="40% - Accent3 3 2 4 2 2 2 3" xfId="29625"/>
    <cellStyle name="40% - Accent3 3 2 4 2 2 3" xfId="10279"/>
    <cellStyle name="40% - Accent3 3 2 4 2 2 3 2" xfId="22583"/>
    <cellStyle name="40% - Accent3 3 2 4 2 2 3 2 2" xfId="45442"/>
    <cellStyle name="40% - Accent3 3 2 4 2 2 3 3" xfId="33140"/>
    <cellStyle name="40% - Accent3 3 2 4 2 2 4" xfId="15553"/>
    <cellStyle name="40% - Accent3 3 2 4 2 2 4 2" xfId="38412"/>
    <cellStyle name="40% - Accent3 3 2 4 2 2 5" xfId="26110"/>
    <cellStyle name="40% - Accent3 3 2 4 2 3" xfId="5006"/>
    <cellStyle name="40% - Accent3 3 2 4 2 3 2" xfId="17310"/>
    <cellStyle name="40% - Accent3 3 2 4 2 3 2 2" xfId="40169"/>
    <cellStyle name="40% - Accent3 3 2 4 2 3 3" xfId="27867"/>
    <cellStyle name="40% - Accent3 3 2 4 2 4" xfId="8521"/>
    <cellStyle name="40% - Accent3 3 2 4 2 4 2" xfId="20825"/>
    <cellStyle name="40% - Accent3 3 2 4 2 4 2 2" xfId="43684"/>
    <cellStyle name="40% - Accent3 3 2 4 2 4 3" xfId="31382"/>
    <cellStyle name="40% - Accent3 3 2 4 2 5" xfId="12036"/>
    <cellStyle name="40% - Accent3 3 2 4 2 5 2" xfId="34896"/>
    <cellStyle name="40% - Accent3 3 2 4 2 6" xfId="13795"/>
    <cellStyle name="40% - Accent3 3 2 4 2 6 2" xfId="36654"/>
    <cellStyle name="40% - Accent3 3 2 4 2 7" xfId="24351"/>
    <cellStyle name="40% - Accent3 3 2 4 3" xfId="2371"/>
    <cellStyle name="40% - Accent3 3 2 4 3 2" xfId="5886"/>
    <cellStyle name="40% - Accent3 3 2 4 3 2 2" xfId="18190"/>
    <cellStyle name="40% - Accent3 3 2 4 3 2 2 2" xfId="41049"/>
    <cellStyle name="40% - Accent3 3 2 4 3 2 3" xfId="28747"/>
    <cellStyle name="40% - Accent3 3 2 4 3 3" xfId="9401"/>
    <cellStyle name="40% - Accent3 3 2 4 3 3 2" xfId="21705"/>
    <cellStyle name="40% - Accent3 3 2 4 3 3 2 2" xfId="44564"/>
    <cellStyle name="40% - Accent3 3 2 4 3 3 3" xfId="32262"/>
    <cellStyle name="40% - Accent3 3 2 4 3 4" xfId="14675"/>
    <cellStyle name="40% - Accent3 3 2 4 3 4 2" xfId="37534"/>
    <cellStyle name="40% - Accent3 3 2 4 3 5" xfId="25232"/>
    <cellStyle name="40% - Accent3 3 2 4 4" xfId="4128"/>
    <cellStyle name="40% - Accent3 3 2 4 4 2" xfId="16432"/>
    <cellStyle name="40% - Accent3 3 2 4 4 2 2" xfId="39291"/>
    <cellStyle name="40% - Accent3 3 2 4 4 3" xfId="26989"/>
    <cellStyle name="40% - Accent3 3 2 4 5" xfId="7643"/>
    <cellStyle name="40% - Accent3 3 2 4 5 2" xfId="19947"/>
    <cellStyle name="40% - Accent3 3 2 4 5 2 2" xfId="42806"/>
    <cellStyle name="40% - Accent3 3 2 4 5 3" xfId="30504"/>
    <cellStyle name="40% - Accent3 3 2 4 6" xfId="11158"/>
    <cellStyle name="40% - Accent3 3 2 4 6 2" xfId="34018"/>
    <cellStyle name="40% - Accent3 3 2 4 7" xfId="12917"/>
    <cellStyle name="40% - Accent3 3 2 4 7 2" xfId="35776"/>
    <cellStyle name="40% - Accent3 3 2 4 8" xfId="23473"/>
    <cellStyle name="40% - Accent3 3 2 5" xfId="1049"/>
    <cellStyle name="40% - Accent3 3 2 5 2" xfId="2810"/>
    <cellStyle name="40% - Accent3 3 2 5 2 2" xfId="6325"/>
    <cellStyle name="40% - Accent3 3 2 5 2 2 2" xfId="18629"/>
    <cellStyle name="40% - Accent3 3 2 5 2 2 2 2" xfId="41488"/>
    <cellStyle name="40% - Accent3 3 2 5 2 2 3" xfId="29186"/>
    <cellStyle name="40% - Accent3 3 2 5 2 3" xfId="9840"/>
    <cellStyle name="40% - Accent3 3 2 5 2 3 2" xfId="22144"/>
    <cellStyle name="40% - Accent3 3 2 5 2 3 2 2" xfId="45003"/>
    <cellStyle name="40% - Accent3 3 2 5 2 3 3" xfId="32701"/>
    <cellStyle name="40% - Accent3 3 2 5 2 4" xfId="15114"/>
    <cellStyle name="40% - Accent3 3 2 5 2 4 2" xfId="37973"/>
    <cellStyle name="40% - Accent3 3 2 5 2 5" xfId="25671"/>
    <cellStyle name="40% - Accent3 3 2 5 3" xfId="4567"/>
    <cellStyle name="40% - Accent3 3 2 5 3 2" xfId="16871"/>
    <cellStyle name="40% - Accent3 3 2 5 3 2 2" xfId="39730"/>
    <cellStyle name="40% - Accent3 3 2 5 3 3" xfId="27428"/>
    <cellStyle name="40% - Accent3 3 2 5 4" xfId="8082"/>
    <cellStyle name="40% - Accent3 3 2 5 4 2" xfId="20386"/>
    <cellStyle name="40% - Accent3 3 2 5 4 2 2" xfId="43245"/>
    <cellStyle name="40% - Accent3 3 2 5 4 3" xfId="30943"/>
    <cellStyle name="40% - Accent3 3 2 5 5" xfId="11597"/>
    <cellStyle name="40% - Accent3 3 2 5 5 2" xfId="34457"/>
    <cellStyle name="40% - Accent3 3 2 5 6" xfId="13356"/>
    <cellStyle name="40% - Accent3 3 2 5 6 2" xfId="36215"/>
    <cellStyle name="40% - Accent3 3 2 5 7" xfId="23912"/>
    <cellStyle name="40% - Accent3 3 2 6" xfId="1932"/>
    <cellStyle name="40% - Accent3 3 2 6 2" xfId="5447"/>
    <cellStyle name="40% - Accent3 3 2 6 2 2" xfId="17751"/>
    <cellStyle name="40% - Accent3 3 2 6 2 2 2" xfId="40610"/>
    <cellStyle name="40% - Accent3 3 2 6 2 3" xfId="28308"/>
    <cellStyle name="40% - Accent3 3 2 6 3" xfId="8962"/>
    <cellStyle name="40% - Accent3 3 2 6 3 2" xfId="21266"/>
    <cellStyle name="40% - Accent3 3 2 6 3 2 2" xfId="44125"/>
    <cellStyle name="40% - Accent3 3 2 6 3 3" xfId="31823"/>
    <cellStyle name="40% - Accent3 3 2 6 4" xfId="14236"/>
    <cellStyle name="40% - Accent3 3 2 6 4 2" xfId="37095"/>
    <cellStyle name="40% - Accent3 3 2 6 5" xfId="24793"/>
    <cellStyle name="40% - Accent3 3 2 7" xfId="3689"/>
    <cellStyle name="40% - Accent3 3 2 7 2" xfId="15993"/>
    <cellStyle name="40% - Accent3 3 2 7 2 2" xfId="38852"/>
    <cellStyle name="40% - Accent3 3 2 7 3" xfId="26550"/>
    <cellStyle name="40% - Accent3 3 2 8" xfId="7204"/>
    <cellStyle name="40% - Accent3 3 2 8 2" xfId="19508"/>
    <cellStyle name="40% - Accent3 3 2 8 2 2" xfId="42367"/>
    <cellStyle name="40% - Accent3 3 2 8 3" xfId="30065"/>
    <cellStyle name="40% - Accent3 3 2 9" xfId="10719"/>
    <cellStyle name="40% - Accent3 3 2 9 2" xfId="33579"/>
    <cellStyle name="40% - Accent3 3 3" xfId="220"/>
    <cellStyle name="40% - Accent3 3 3 10" xfId="23085"/>
    <cellStyle name="40% - Accent3 3 3 2" xfId="432"/>
    <cellStyle name="40% - Accent3 3 3 2 2" xfId="873"/>
    <cellStyle name="40% - Accent3 3 3 2 2 2" xfId="1752"/>
    <cellStyle name="40% - Accent3 3 3 2 2 2 2" xfId="3513"/>
    <cellStyle name="40% - Accent3 3 3 2 2 2 2 2" xfId="7028"/>
    <cellStyle name="40% - Accent3 3 3 2 2 2 2 2 2" xfId="19332"/>
    <cellStyle name="40% - Accent3 3 3 2 2 2 2 2 2 2" xfId="42191"/>
    <cellStyle name="40% - Accent3 3 3 2 2 2 2 2 3" xfId="29889"/>
    <cellStyle name="40% - Accent3 3 3 2 2 2 2 3" xfId="10543"/>
    <cellStyle name="40% - Accent3 3 3 2 2 2 2 3 2" xfId="22847"/>
    <cellStyle name="40% - Accent3 3 3 2 2 2 2 3 2 2" xfId="45706"/>
    <cellStyle name="40% - Accent3 3 3 2 2 2 2 3 3" xfId="33404"/>
    <cellStyle name="40% - Accent3 3 3 2 2 2 2 4" xfId="15817"/>
    <cellStyle name="40% - Accent3 3 3 2 2 2 2 4 2" xfId="38676"/>
    <cellStyle name="40% - Accent3 3 3 2 2 2 2 5" xfId="26374"/>
    <cellStyle name="40% - Accent3 3 3 2 2 2 3" xfId="5270"/>
    <cellStyle name="40% - Accent3 3 3 2 2 2 3 2" xfId="17574"/>
    <cellStyle name="40% - Accent3 3 3 2 2 2 3 2 2" xfId="40433"/>
    <cellStyle name="40% - Accent3 3 3 2 2 2 3 3" xfId="28131"/>
    <cellStyle name="40% - Accent3 3 3 2 2 2 4" xfId="8785"/>
    <cellStyle name="40% - Accent3 3 3 2 2 2 4 2" xfId="21089"/>
    <cellStyle name="40% - Accent3 3 3 2 2 2 4 2 2" xfId="43948"/>
    <cellStyle name="40% - Accent3 3 3 2 2 2 4 3" xfId="31646"/>
    <cellStyle name="40% - Accent3 3 3 2 2 2 5" xfId="12300"/>
    <cellStyle name="40% - Accent3 3 3 2 2 2 5 2" xfId="35160"/>
    <cellStyle name="40% - Accent3 3 3 2 2 2 6" xfId="14059"/>
    <cellStyle name="40% - Accent3 3 3 2 2 2 6 2" xfId="36918"/>
    <cellStyle name="40% - Accent3 3 3 2 2 2 7" xfId="24615"/>
    <cellStyle name="40% - Accent3 3 3 2 2 3" xfId="2635"/>
    <cellStyle name="40% - Accent3 3 3 2 2 3 2" xfId="6150"/>
    <cellStyle name="40% - Accent3 3 3 2 2 3 2 2" xfId="18454"/>
    <cellStyle name="40% - Accent3 3 3 2 2 3 2 2 2" xfId="41313"/>
    <cellStyle name="40% - Accent3 3 3 2 2 3 2 3" xfId="29011"/>
    <cellStyle name="40% - Accent3 3 3 2 2 3 3" xfId="9665"/>
    <cellStyle name="40% - Accent3 3 3 2 2 3 3 2" xfId="21969"/>
    <cellStyle name="40% - Accent3 3 3 2 2 3 3 2 2" xfId="44828"/>
    <cellStyle name="40% - Accent3 3 3 2 2 3 3 3" xfId="32526"/>
    <cellStyle name="40% - Accent3 3 3 2 2 3 4" xfId="14939"/>
    <cellStyle name="40% - Accent3 3 3 2 2 3 4 2" xfId="37798"/>
    <cellStyle name="40% - Accent3 3 3 2 2 3 5" xfId="25496"/>
    <cellStyle name="40% - Accent3 3 3 2 2 4" xfId="4392"/>
    <cellStyle name="40% - Accent3 3 3 2 2 4 2" xfId="16696"/>
    <cellStyle name="40% - Accent3 3 3 2 2 4 2 2" xfId="39555"/>
    <cellStyle name="40% - Accent3 3 3 2 2 4 3" xfId="27253"/>
    <cellStyle name="40% - Accent3 3 3 2 2 5" xfId="7907"/>
    <cellStyle name="40% - Accent3 3 3 2 2 5 2" xfId="20211"/>
    <cellStyle name="40% - Accent3 3 3 2 2 5 2 2" xfId="43070"/>
    <cellStyle name="40% - Accent3 3 3 2 2 5 3" xfId="30768"/>
    <cellStyle name="40% - Accent3 3 3 2 2 6" xfId="11422"/>
    <cellStyle name="40% - Accent3 3 3 2 2 6 2" xfId="34282"/>
    <cellStyle name="40% - Accent3 3 3 2 2 7" xfId="13181"/>
    <cellStyle name="40% - Accent3 3 3 2 2 7 2" xfId="36040"/>
    <cellStyle name="40% - Accent3 3 3 2 2 8" xfId="23737"/>
    <cellStyle name="40% - Accent3 3 3 2 3" xfId="1313"/>
    <cellStyle name="40% - Accent3 3 3 2 3 2" xfId="3074"/>
    <cellStyle name="40% - Accent3 3 3 2 3 2 2" xfId="6589"/>
    <cellStyle name="40% - Accent3 3 3 2 3 2 2 2" xfId="18893"/>
    <cellStyle name="40% - Accent3 3 3 2 3 2 2 2 2" xfId="41752"/>
    <cellStyle name="40% - Accent3 3 3 2 3 2 2 3" xfId="29450"/>
    <cellStyle name="40% - Accent3 3 3 2 3 2 3" xfId="10104"/>
    <cellStyle name="40% - Accent3 3 3 2 3 2 3 2" xfId="22408"/>
    <cellStyle name="40% - Accent3 3 3 2 3 2 3 2 2" xfId="45267"/>
    <cellStyle name="40% - Accent3 3 3 2 3 2 3 3" xfId="32965"/>
    <cellStyle name="40% - Accent3 3 3 2 3 2 4" xfId="15378"/>
    <cellStyle name="40% - Accent3 3 3 2 3 2 4 2" xfId="38237"/>
    <cellStyle name="40% - Accent3 3 3 2 3 2 5" xfId="25935"/>
    <cellStyle name="40% - Accent3 3 3 2 3 3" xfId="4831"/>
    <cellStyle name="40% - Accent3 3 3 2 3 3 2" xfId="17135"/>
    <cellStyle name="40% - Accent3 3 3 2 3 3 2 2" xfId="39994"/>
    <cellStyle name="40% - Accent3 3 3 2 3 3 3" xfId="27692"/>
    <cellStyle name="40% - Accent3 3 3 2 3 4" xfId="8346"/>
    <cellStyle name="40% - Accent3 3 3 2 3 4 2" xfId="20650"/>
    <cellStyle name="40% - Accent3 3 3 2 3 4 2 2" xfId="43509"/>
    <cellStyle name="40% - Accent3 3 3 2 3 4 3" xfId="31207"/>
    <cellStyle name="40% - Accent3 3 3 2 3 5" xfId="11861"/>
    <cellStyle name="40% - Accent3 3 3 2 3 5 2" xfId="34721"/>
    <cellStyle name="40% - Accent3 3 3 2 3 6" xfId="13620"/>
    <cellStyle name="40% - Accent3 3 3 2 3 6 2" xfId="36479"/>
    <cellStyle name="40% - Accent3 3 3 2 3 7" xfId="24176"/>
    <cellStyle name="40% - Accent3 3 3 2 4" xfId="2196"/>
    <cellStyle name="40% - Accent3 3 3 2 4 2" xfId="5711"/>
    <cellStyle name="40% - Accent3 3 3 2 4 2 2" xfId="18015"/>
    <cellStyle name="40% - Accent3 3 3 2 4 2 2 2" xfId="40874"/>
    <cellStyle name="40% - Accent3 3 3 2 4 2 3" xfId="28572"/>
    <cellStyle name="40% - Accent3 3 3 2 4 3" xfId="9226"/>
    <cellStyle name="40% - Accent3 3 3 2 4 3 2" xfId="21530"/>
    <cellStyle name="40% - Accent3 3 3 2 4 3 2 2" xfId="44389"/>
    <cellStyle name="40% - Accent3 3 3 2 4 3 3" xfId="32087"/>
    <cellStyle name="40% - Accent3 3 3 2 4 4" xfId="14500"/>
    <cellStyle name="40% - Accent3 3 3 2 4 4 2" xfId="37359"/>
    <cellStyle name="40% - Accent3 3 3 2 4 5" xfId="25057"/>
    <cellStyle name="40% - Accent3 3 3 2 5" xfId="3953"/>
    <cellStyle name="40% - Accent3 3 3 2 5 2" xfId="16257"/>
    <cellStyle name="40% - Accent3 3 3 2 5 2 2" xfId="39116"/>
    <cellStyle name="40% - Accent3 3 3 2 5 3" xfId="26814"/>
    <cellStyle name="40% - Accent3 3 3 2 6" xfId="7468"/>
    <cellStyle name="40% - Accent3 3 3 2 6 2" xfId="19772"/>
    <cellStyle name="40% - Accent3 3 3 2 6 2 2" xfId="42631"/>
    <cellStyle name="40% - Accent3 3 3 2 6 3" xfId="30329"/>
    <cellStyle name="40% - Accent3 3 3 2 7" xfId="10983"/>
    <cellStyle name="40% - Accent3 3 3 2 7 2" xfId="33843"/>
    <cellStyle name="40% - Accent3 3 3 2 8" xfId="12742"/>
    <cellStyle name="40% - Accent3 3 3 2 8 2" xfId="35601"/>
    <cellStyle name="40% - Accent3 3 3 2 9" xfId="23297"/>
    <cellStyle name="40% - Accent3 3 3 3" xfId="661"/>
    <cellStyle name="40% - Accent3 3 3 3 2" xfId="1540"/>
    <cellStyle name="40% - Accent3 3 3 3 2 2" xfId="3301"/>
    <cellStyle name="40% - Accent3 3 3 3 2 2 2" xfId="6816"/>
    <cellStyle name="40% - Accent3 3 3 3 2 2 2 2" xfId="19120"/>
    <cellStyle name="40% - Accent3 3 3 3 2 2 2 2 2" xfId="41979"/>
    <cellStyle name="40% - Accent3 3 3 3 2 2 2 3" xfId="29677"/>
    <cellStyle name="40% - Accent3 3 3 3 2 2 3" xfId="10331"/>
    <cellStyle name="40% - Accent3 3 3 3 2 2 3 2" xfId="22635"/>
    <cellStyle name="40% - Accent3 3 3 3 2 2 3 2 2" xfId="45494"/>
    <cellStyle name="40% - Accent3 3 3 3 2 2 3 3" xfId="33192"/>
    <cellStyle name="40% - Accent3 3 3 3 2 2 4" xfId="15605"/>
    <cellStyle name="40% - Accent3 3 3 3 2 2 4 2" xfId="38464"/>
    <cellStyle name="40% - Accent3 3 3 3 2 2 5" xfId="26162"/>
    <cellStyle name="40% - Accent3 3 3 3 2 3" xfId="5058"/>
    <cellStyle name="40% - Accent3 3 3 3 2 3 2" xfId="17362"/>
    <cellStyle name="40% - Accent3 3 3 3 2 3 2 2" xfId="40221"/>
    <cellStyle name="40% - Accent3 3 3 3 2 3 3" xfId="27919"/>
    <cellStyle name="40% - Accent3 3 3 3 2 4" xfId="8573"/>
    <cellStyle name="40% - Accent3 3 3 3 2 4 2" xfId="20877"/>
    <cellStyle name="40% - Accent3 3 3 3 2 4 2 2" xfId="43736"/>
    <cellStyle name="40% - Accent3 3 3 3 2 4 3" xfId="31434"/>
    <cellStyle name="40% - Accent3 3 3 3 2 5" xfId="12088"/>
    <cellStyle name="40% - Accent3 3 3 3 2 5 2" xfId="34948"/>
    <cellStyle name="40% - Accent3 3 3 3 2 6" xfId="13847"/>
    <cellStyle name="40% - Accent3 3 3 3 2 6 2" xfId="36706"/>
    <cellStyle name="40% - Accent3 3 3 3 2 7" xfId="24403"/>
    <cellStyle name="40% - Accent3 3 3 3 3" xfId="2423"/>
    <cellStyle name="40% - Accent3 3 3 3 3 2" xfId="5938"/>
    <cellStyle name="40% - Accent3 3 3 3 3 2 2" xfId="18242"/>
    <cellStyle name="40% - Accent3 3 3 3 3 2 2 2" xfId="41101"/>
    <cellStyle name="40% - Accent3 3 3 3 3 2 3" xfId="28799"/>
    <cellStyle name="40% - Accent3 3 3 3 3 3" xfId="9453"/>
    <cellStyle name="40% - Accent3 3 3 3 3 3 2" xfId="21757"/>
    <cellStyle name="40% - Accent3 3 3 3 3 3 2 2" xfId="44616"/>
    <cellStyle name="40% - Accent3 3 3 3 3 3 3" xfId="32314"/>
    <cellStyle name="40% - Accent3 3 3 3 3 4" xfId="14727"/>
    <cellStyle name="40% - Accent3 3 3 3 3 4 2" xfId="37586"/>
    <cellStyle name="40% - Accent3 3 3 3 3 5" xfId="25284"/>
    <cellStyle name="40% - Accent3 3 3 3 4" xfId="4180"/>
    <cellStyle name="40% - Accent3 3 3 3 4 2" xfId="16484"/>
    <cellStyle name="40% - Accent3 3 3 3 4 2 2" xfId="39343"/>
    <cellStyle name="40% - Accent3 3 3 3 4 3" xfId="27041"/>
    <cellStyle name="40% - Accent3 3 3 3 5" xfId="7695"/>
    <cellStyle name="40% - Accent3 3 3 3 5 2" xfId="19999"/>
    <cellStyle name="40% - Accent3 3 3 3 5 2 2" xfId="42858"/>
    <cellStyle name="40% - Accent3 3 3 3 5 3" xfId="30556"/>
    <cellStyle name="40% - Accent3 3 3 3 6" xfId="11210"/>
    <cellStyle name="40% - Accent3 3 3 3 6 2" xfId="34070"/>
    <cellStyle name="40% - Accent3 3 3 3 7" xfId="12969"/>
    <cellStyle name="40% - Accent3 3 3 3 7 2" xfId="35828"/>
    <cellStyle name="40% - Accent3 3 3 3 8" xfId="23525"/>
    <cellStyle name="40% - Accent3 3 3 4" xfId="1101"/>
    <cellStyle name="40% - Accent3 3 3 4 2" xfId="2862"/>
    <cellStyle name="40% - Accent3 3 3 4 2 2" xfId="6377"/>
    <cellStyle name="40% - Accent3 3 3 4 2 2 2" xfId="18681"/>
    <cellStyle name="40% - Accent3 3 3 4 2 2 2 2" xfId="41540"/>
    <cellStyle name="40% - Accent3 3 3 4 2 2 3" xfId="29238"/>
    <cellStyle name="40% - Accent3 3 3 4 2 3" xfId="9892"/>
    <cellStyle name="40% - Accent3 3 3 4 2 3 2" xfId="22196"/>
    <cellStyle name="40% - Accent3 3 3 4 2 3 2 2" xfId="45055"/>
    <cellStyle name="40% - Accent3 3 3 4 2 3 3" xfId="32753"/>
    <cellStyle name="40% - Accent3 3 3 4 2 4" xfId="15166"/>
    <cellStyle name="40% - Accent3 3 3 4 2 4 2" xfId="38025"/>
    <cellStyle name="40% - Accent3 3 3 4 2 5" xfId="25723"/>
    <cellStyle name="40% - Accent3 3 3 4 3" xfId="4619"/>
    <cellStyle name="40% - Accent3 3 3 4 3 2" xfId="16923"/>
    <cellStyle name="40% - Accent3 3 3 4 3 2 2" xfId="39782"/>
    <cellStyle name="40% - Accent3 3 3 4 3 3" xfId="27480"/>
    <cellStyle name="40% - Accent3 3 3 4 4" xfId="8134"/>
    <cellStyle name="40% - Accent3 3 3 4 4 2" xfId="20438"/>
    <cellStyle name="40% - Accent3 3 3 4 4 2 2" xfId="43297"/>
    <cellStyle name="40% - Accent3 3 3 4 4 3" xfId="30995"/>
    <cellStyle name="40% - Accent3 3 3 4 5" xfId="11649"/>
    <cellStyle name="40% - Accent3 3 3 4 5 2" xfId="34509"/>
    <cellStyle name="40% - Accent3 3 3 4 6" xfId="13408"/>
    <cellStyle name="40% - Accent3 3 3 4 6 2" xfId="36267"/>
    <cellStyle name="40% - Accent3 3 3 4 7" xfId="23964"/>
    <cellStyle name="40% - Accent3 3 3 5" xfId="1984"/>
    <cellStyle name="40% - Accent3 3 3 5 2" xfId="5499"/>
    <cellStyle name="40% - Accent3 3 3 5 2 2" xfId="17803"/>
    <cellStyle name="40% - Accent3 3 3 5 2 2 2" xfId="40662"/>
    <cellStyle name="40% - Accent3 3 3 5 2 3" xfId="28360"/>
    <cellStyle name="40% - Accent3 3 3 5 3" xfId="9014"/>
    <cellStyle name="40% - Accent3 3 3 5 3 2" xfId="21318"/>
    <cellStyle name="40% - Accent3 3 3 5 3 2 2" xfId="44177"/>
    <cellStyle name="40% - Accent3 3 3 5 3 3" xfId="31875"/>
    <cellStyle name="40% - Accent3 3 3 5 4" xfId="14288"/>
    <cellStyle name="40% - Accent3 3 3 5 4 2" xfId="37147"/>
    <cellStyle name="40% - Accent3 3 3 5 5" xfId="24845"/>
    <cellStyle name="40% - Accent3 3 3 6" xfId="3741"/>
    <cellStyle name="40% - Accent3 3 3 6 2" xfId="16045"/>
    <cellStyle name="40% - Accent3 3 3 6 2 2" xfId="38904"/>
    <cellStyle name="40% - Accent3 3 3 6 3" xfId="26602"/>
    <cellStyle name="40% - Accent3 3 3 7" xfId="7256"/>
    <cellStyle name="40% - Accent3 3 3 7 2" xfId="19560"/>
    <cellStyle name="40% - Accent3 3 3 7 2 2" xfId="42419"/>
    <cellStyle name="40% - Accent3 3 3 7 3" xfId="30117"/>
    <cellStyle name="40% - Accent3 3 3 8" xfId="10771"/>
    <cellStyle name="40% - Accent3 3 3 8 2" xfId="33631"/>
    <cellStyle name="40% - Accent3 3 3 9" xfId="12530"/>
    <cellStyle name="40% - Accent3 3 3 9 2" xfId="35389"/>
    <cellStyle name="40% - Accent3 3 4" xfId="326"/>
    <cellStyle name="40% - Accent3 3 4 2" xfId="767"/>
    <cellStyle name="40% - Accent3 3 4 2 2" xfId="1646"/>
    <cellStyle name="40% - Accent3 3 4 2 2 2" xfId="3407"/>
    <cellStyle name="40% - Accent3 3 4 2 2 2 2" xfId="6922"/>
    <cellStyle name="40% - Accent3 3 4 2 2 2 2 2" xfId="19226"/>
    <cellStyle name="40% - Accent3 3 4 2 2 2 2 2 2" xfId="42085"/>
    <cellStyle name="40% - Accent3 3 4 2 2 2 2 3" xfId="29783"/>
    <cellStyle name="40% - Accent3 3 4 2 2 2 3" xfId="10437"/>
    <cellStyle name="40% - Accent3 3 4 2 2 2 3 2" xfId="22741"/>
    <cellStyle name="40% - Accent3 3 4 2 2 2 3 2 2" xfId="45600"/>
    <cellStyle name="40% - Accent3 3 4 2 2 2 3 3" xfId="33298"/>
    <cellStyle name="40% - Accent3 3 4 2 2 2 4" xfId="15711"/>
    <cellStyle name="40% - Accent3 3 4 2 2 2 4 2" xfId="38570"/>
    <cellStyle name="40% - Accent3 3 4 2 2 2 5" xfId="26268"/>
    <cellStyle name="40% - Accent3 3 4 2 2 3" xfId="5164"/>
    <cellStyle name="40% - Accent3 3 4 2 2 3 2" xfId="17468"/>
    <cellStyle name="40% - Accent3 3 4 2 2 3 2 2" xfId="40327"/>
    <cellStyle name="40% - Accent3 3 4 2 2 3 3" xfId="28025"/>
    <cellStyle name="40% - Accent3 3 4 2 2 4" xfId="8679"/>
    <cellStyle name="40% - Accent3 3 4 2 2 4 2" xfId="20983"/>
    <cellStyle name="40% - Accent3 3 4 2 2 4 2 2" xfId="43842"/>
    <cellStyle name="40% - Accent3 3 4 2 2 4 3" xfId="31540"/>
    <cellStyle name="40% - Accent3 3 4 2 2 5" xfId="12194"/>
    <cellStyle name="40% - Accent3 3 4 2 2 5 2" xfId="35054"/>
    <cellStyle name="40% - Accent3 3 4 2 2 6" xfId="13953"/>
    <cellStyle name="40% - Accent3 3 4 2 2 6 2" xfId="36812"/>
    <cellStyle name="40% - Accent3 3 4 2 2 7" xfId="24509"/>
    <cellStyle name="40% - Accent3 3 4 2 3" xfId="2529"/>
    <cellStyle name="40% - Accent3 3 4 2 3 2" xfId="6044"/>
    <cellStyle name="40% - Accent3 3 4 2 3 2 2" xfId="18348"/>
    <cellStyle name="40% - Accent3 3 4 2 3 2 2 2" xfId="41207"/>
    <cellStyle name="40% - Accent3 3 4 2 3 2 3" xfId="28905"/>
    <cellStyle name="40% - Accent3 3 4 2 3 3" xfId="9559"/>
    <cellStyle name="40% - Accent3 3 4 2 3 3 2" xfId="21863"/>
    <cellStyle name="40% - Accent3 3 4 2 3 3 2 2" xfId="44722"/>
    <cellStyle name="40% - Accent3 3 4 2 3 3 3" xfId="32420"/>
    <cellStyle name="40% - Accent3 3 4 2 3 4" xfId="14833"/>
    <cellStyle name="40% - Accent3 3 4 2 3 4 2" xfId="37692"/>
    <cellStyle name="40% - Accent3 3 4 2 3 5" xfId="25390"/>
    <cellStyle name="40% - Accent3 3 4 2 4" xfId="4286"/>
    <cellStyle name="40% - Accent3 3 4 2 4 2" xfId="16590"/>
    <cellStyle name="40% - Accent3 3 4 2 4 2 2" xfId="39449"/>
    <cellStyle name="40% - Accent3 3 4 2 4 3" xfId="27147"/>
    <cellStyle name="40% - Accent3 3 4 2 5" xfId="7801"/>
    <cellStyle name="40% - Accent3 3 4 2 5 2" xfId="20105"/>
    <cellStyle name="40% - Accent3 3 4 2 5 2 2" xfId="42964"/>
    <cellStyle name="40% - Accent3 3 4 2 5 3" xfId="30662"/>
    <cellStyle name="40% - Accent3 3 4 2 6" xfId="11316"/>
    <cellStyle name="40% - Accent3 3 4 2 6 2" xfId="34176"/>
    <cellStyle name="40% - Accent3 3 4 2 7" xfId="13075"/>
    <cellStyle name="40% - Accent3 3 4 2 7 2" xfId="35934"/>
    <cellStyle name="40% - Accent3 3 4 2 8" xfId="23631"/>
    <cellStyle name="40% - Accent3 3 4 3" xfId="1207"/>
    <cellStyle name="40% - Accent3 3 4 3 2" xfId="2968"/>
    <cellStyle name="40% - Accent3 3 4 3 2 2" xfId="6483"/>
    <cellStyle name="40% - Accent3 3 4 3 2 2 2" xfId="18787"/>
    <cellStyle name="40% - Accent3 3 4 3 2 2 2 2" xfId="41646"/>
    <cellStyle name="40% - Accent3 3 4 3 2 2 3" xfId="29344"/>
    <cellStyle name="40% - Accent3 3 4 3 2 3" xfId="9998"/>
    <cellStyle name="40% - Accent3 3 4 3 2 3 2" xfId="22302"/>
    <cellStyle name="40% - Accent3 3 4 3 2 3 2 2" xfId="45161"/>
    <cellStyle name="40% - Accent3 3 4 3 2 3 3" xfId="32859"/>
    <cellStyle name="40% - Accent3 3 4 3 2 4" xfId="15272"/>
    <cellStyle name="40% - Accent3 3 4 3 2 4 2" xfId="38131"/>
    <cellStyle name="40% - Accent3 3 4 3 2 5" xfId="25829"/>
    <cellStyle name="40% - Accent3 3 4 3 3" xfId="4725"/>
    <cellStyle name="40% - Accent3 3 4 3 3 2" xfId="17029"/>
    <cellStyle name="40% - Accent3 3 4 3 3 2 2" xfId="39888"/>
    <cellStyle name="40% - Accent3 3 4 3 3 3" xfId="27586"/>
    <cellStyle name="40% - Accent3 3 4 3 4" xfId="8240"/>
    <cellStyle name="40% - Accent3 3 4 3 4 2" xfId="20544"/>
    <cellStyle name="40% - Accent3 3 4 3 4 2 2" xfId="43403"/>
    <cellStyle name="40% - Accent3 3 4 3 4 3" xfId="31101"/>
    <cellStyle name="40% - Accent3 3 4 3 5" xfId="11755"/>
    <cellStyle name="40% - Accent3 3 4 3 5 2" xfId="34615"/>
    <cellStyle name="40% - Accent3 3 4 3 6" xfId="13514"/>
    <cellStyle name="40% - Accent3 3 4 3 6 2" xfId="36373"/>
    <cellStyle name="40% - Accent3 3 4 3 7" xfId="24070"/>
    <cellStyle name="40% - Accent3 3 4 4" xfId="2090"/>
    <cellStyle name="40% - Accent3 3 4 4 2" xfId="5605"/>
    <cellStyle name="40% - Accent3 3 4 4 2 2" xfId="17909"/>
    <cellStyle name="40% - Accent3 3 4 4 2 2 2" xfId="40768"/>
    <cellStyle name="40% - Accent3 3 4 4 2 3" xfId="28466"/>
    <cellStyle name="40% - Accent3 3 4 4 3" xfId="9120"/>
    <cellStyle name="40% - Accent3 3 4 4 3 2" xfId="21424"/>
    <cellStyle name="40% - Accent3 3 4 4 3 2 2" xfId="44283"/>
    <cellStyle name="40% - Accent3 3 4 4 3 3" xfId="31981"/>
    <cellStyle name="40% - Accent3 3 4 4 4" xfId="14394"/>
    <cellStyle name="40% - Accent3 3 4 4 4 2" xfId="37253"/>
    <cellStyle name="40% - Accent3 3 4 4 5" xfId="24951"/>
    <cellStyle name="40% - Accent3 3 4 5" xfId="3847"/>
    <cellStyle name="40% - Accent3 3 4 5 2" xfId="16151"/>
    <cellStyle name="40% - Accent3 3 4 5 2 2" xfId="39010"/>
    <cellStyle name="40% - Accent3 3 4 5 3" xfId="26708"/>
    <cellStyle name="40% - Accent3 3 4 6" xfId="7362"/>
    <cellStyle name="40% - Accent3 3 4 6 2" xfId="19666"/>
    <cellStyle name="40% - Accent3 3 4 6 2 2" xfId="42525"/>
    <cellStyle name="40% - Accent3 3 4 6 3" xfId="30223"/>
    <cellStyle name="40% - Accent3 3 4 7" xfId="10877"/>
    <cellStyle name="40% - Accent3 3 4 7 2" xfId="33737"/>
    <cellStyle name="40% - Accent3 3 4 8" xfId="12636"/>
    <cellStyle name="40% - Accent3 3 4 8 2" xfId="35495"/>
    <cellStyle name="40% - Accent3 3 4 9" xfId="23191"/>
    <cellStyle name="40% - Accent3 3 5" xfId="555"/>
    <cellStyle name="40% - Accent3 3 5 2" xfId="1434"/>
    <cellStyle name="40% - Accent3 3 5 2 2" xfId="3195"/>
    <cellStyle name="40% - Accent3 3 5 2 2 2" xfId="6710"/>
    <cellStyle name="40% - Accent3 3 5 2 2 2 2" xfId="19014"/>
    <cellStyle name="40% - Accent3 3 5 2 2 2 2 2" xfId="41873"/>
    <cellStyle name="40% - Accent3 3 5 2 2 2 3" xfId="29571"/>
    <cellStyle name="40% - Accent3 3 5 2 2 3" xfId="10225"/>
    <cellStyle name="40% - Accent3 3 5 2 2 3 2" xfId="22529"/>
    <cellStyle name="40% - Accent3 3 5 2 2 3 2 2" xfId="45388"/>
    <cellStyle name="40% - Accent3 3 5 2 2 3 3" xfId="33086"/>
    <cellStyle name="40% - Accent3 3 5 2 2 4" xfId="15499"/>
    <cellStyle name="40% - Accent3 3 5 2 2 4 2" xfId="38358"/>
    <cellStyle name="40% - Accent3 3 5 2 2 5" xfId="26056"/>
    <cellStyle name="40% - Accent3 3 5 2 3" xfId="4952"/>
    <cellStyle name="40% - Accent3 3 5 2 3 2" xfId="17256"/>
    <cellStyle name="40% - Accent3 3 5 2 3 2 2" xfId="40115"/>
    <cellStyle name="40% - Accent3 3 5 2 3 3" xfId="27813"/>
    <cellStyle name="40% - Accent3 3 5 2 4" xfId="8467"/>
    <cellStyle name="40% - Accent3 3 5 2 4 2" xfId="20771"/>
    <cellStyle name="40% - Accent3 3 5 2 4 2 2" xfId="43630"/>
    <cellStyle name="40% - Accent3 3 5 2 4 3" xfId="31328"/>
    <cellStyle name="40% - Accent3 3 5 2 5" xfId="11982"/>
    <cellStyle name="40% - Accent3 3 5 2 5 2" xfId="34842"/>
    <cellStyle name="40% - Accent3 3 5 2 6" xfId="13741"/>
    <cellStyle name="40% - Accent3 3 5 2 6 2" xfId="36600"/>
    <cellStyle name="40% - Accent3 3 5 2 7" xfId="24297"/>
    <cellStyle name="40% - Accent3 3 5 3" xfId="2317"/>
    <cellStyle name="40% - Accent3 3 5 3 2" xfId="5832"/>
    <cellStyle name="40% - Accent3 3 5 3 2 2" xfId="18136"/>
    <cellStyle name="40% - Accent3 3 5 3 2 2 2" xfId="40995"/>
    <cellStyle name="40% - Accent3 3 5 3 2 3" xfId="28693"/>
    <cellStyle name="40% - Accent3 3 5 3 3" xfId="9347"/>
    <cellStyle name="40% - Accent3 3 5 3 3 2" xfId="21651"/>
    <cellStyle name="40% - Accent3 3 5 3 3 2 2" xfId="44510"/>
    <cellStyle name="40% - Accent3 3 5 3 3 3" xfId="32208"/>
    <cellStyle name="40% - Accent3 3 5 3 4" xfId="14621"/>
    <cellStyle name="40% - Accent3 3 5 3 4 2" xfId="37480"/>
    <cellStyle name="40% - Accent3 3 5 3 5" xfId="25178"/>
    <cellStyle name="40% - Accent3 3 5 4" xfId="4074"/>
    <cellStyle name="40% - Accent3 3 5 4 2" xfId="16378"/>
    <cellStyle name="40% - Accent3 3 5 4 2 2" xfId="39237"/>
    <cellStyle name="40% - Accent3 3 5 4 3" xfId="26935"/>
    <cellStyle name="40% - Accent3 3 5 5" xfId="7589"/>
    <cellStyle name="40% - Accent3 3 5 5 2" xfId="19893"/>
    <cellStyle name="40% - Accent3 3 5 5 2 2" xfId="42752"/>
    <cellStyle name="40% - Accent3 3 5 5 3" xfId="30450"/>
    <cellStyle name="40% - Accent3 3 5 6" xfId="11104"/>
    <cellStyle name="40% - Accent3 3 5 6 2" xfId="33964"/>
    <cellStyle name="40% - Accent3 3 5 7" xfId="12863"/>
    <cellStyle name="40% - Accent3 3 5 7 2" xfId="35722"/>
    <cellStyle name="40% - Accent3 3 5 8" xfId="23419"/>
    <cellStyle name="40% - Accent3 3 6" xfId="995"/>
    <cellStyle name="40% - Accent3 3 6 2" xfId="2756"/>
    <cellStyle name="40% - Accent3 3 6 2 2" xfId="6271"/>
    <cellStyle name="40% - Accent3 3 6 2 2 2" xfId="18575"/>
    <cellStyle name="40% - Accent3 3 6 2 2 2 2" xfId="41434"/>
    <cellStyle name="40% - Accent3 3 6 2 2 3" xfId="29132"/>
    <cellStyle name="40% - Accent3 3 6 2 3" xfId="9786"/>
    <cellStyle name="40% - Accent3 3 6 2 3 2" xfId="22090"/>
    <cellStyle name="40% - Accent3 3 6 2 3 2 2" xfId="44949"/>
    <cellStyle name="40% - Accent3 3 6 2 3 3" xfId="32647"/>
    <cellStyle name="40% - Accent3 3 6 2 4" xfId="15060"/>
    <cellStyle name="40% - Accent3 3 6 2 4 2" xfId="37919"/>
    <cellStyle name="40% - Accent3 3 6 2 5" xfId="25617"/>
    <cellStyle name="40% - Accent3 3 6 3" xfId="4513"/>
    <cellStyle name="40% - Accent3 3 6 3 2" xfId="16817"/>
    <cellStyle name="40% - Accent3 3 6 3 2 2" xfId="39676"/>
    <cellStyle name="40% - Accent3 3 6 3 3" xfId="27374"/>
    <cellStyle name="40% - Accent3 3 6 4" xfId="8028"/>
    <cellStyle name="40% - Accent3 3 6 4 2" xfId="20332"/>
    <cellStyle name="40% - Accent3 3 6 4 2 2" xfId="43191"/>
    <cellStyle name="40% - Accent3 3 6 4 3" xfId="30889"/>
    <cellStyle name="40% - Accent3 3 6 5" xfId="11543"/>
    <cellStyle name="40% - Accent3 3 6 5 2" xfId="34403"/>
    <cellStyle name="40% - Accent3 3 6 6" xfId="13302"/>
    <cellStyle name="40% - Accent3 3 6 6 2" xfId="36161"/>
    <cellStyle name="40% - Accent3 3 6 7" xfId="23858"/>
    <cellStyle name="40% - Accent3 3 7" xfId="1878"/>
    <cellStyle name="40% - Accent3 3 7 2" xfId="5393"/>
    <cellStyle name="40% - Accent3 3 7 2 2" xfId="17697"/>
    <cellStyle name="40% - Accent3 3 7 2 2 2" xfId="40556"/>
    <cellStyle name="40% - Accent3 3 7 2 3" xfId="28254"/>
    <cellStyle name="40% - Accent3 3 7 3" xfId="8908"/>
    <cellStyle name="40% - Accent3 3 7 3 2" xfId="21212"/>
    <cellStyle name="40% - Accent3 3 7 3 2 2" xfId="44071"/>
    <cellStyle name="40% - Accent3 3 7 3 3" xfId="31769"/>
    <cellStyle name="40% - Accent3 3 7 4" xfId="14182"/>
    <cellStyle name="40% - Accent3 3 7 4 2" xfId="37041"/>
    <cellStyle name="40% - Accent3 3 7 5" xfId="24739"/>
    <cellStyle name="40% - Accent3 3 8" xfId="3635"/>
    <cellStyle name="40% - Accent3 3 8 2" xfId="15939"/>
    <cellStyle name="40% - Accent3 3 8 2 2" xfId="38798"/>
    <cellStyle name="40% - Accent3 3 8 3" xfId="26496"/>
    <cellStyle name="40% - Accent3 3 9" xfId="7150"/>
    <cellStyle name="40% - Accent3 3 9 2" xfId="19454"/>
    <cellStyle name="40% - Accent3 3 9 2 2" xfId="42313"/>
    <cellStyle name="40% - Accent3 3 9 3" xfId="30011"/>
    <cellStyle name="40% - Accent3 4" xfId="141"/>
    <cellStyle name="40% - Accent3 4 10" xfId="12453"/>
    <cellStyle name="40% - Accent3 4 10 2" xfId="35312"/>
    <cellStyle name="40% - Accent3 4 11" xfId="23007"/>
    <cellStyle name="40% - Accent3 4 2" xfId="249"/>
    <cellStyle name="40% - Accent3 4 2 10" xfId="23114"/>
    <cellStyle name="40% - Accent3 4 2 2" xfId="461"/>
    <cellStyle name="40% - Accent3 4 2 2 2" xfId="902"/>
    <cellStyle name="40% - Accent3 4 2 2 2 2" xfId="1781"/>
    <cellStyle name="40% - Accent3 4 2 2 2 2 2" xfId="3542"/>
    <cellStyle name="40% - Accent3 4 2 2 2 2 2 2" xfId="7057"/>
    <cellStyle name="40% - Accent3 4 2 2 2 2 2 2 2" xfId="19361"/>
    <cellStyle name="40% - Accent3 4 2 2 2 2 2 2 2 2" xfId="42220"/>
    <cellStyle name="40% - Accent3 4 2 2 2 2 2 2 3" xfId="29918"/>
    <cellStyle name="40% - Accent3 4 2 2 2 2 2 3" xfId="10572"/>
    <cellStyle name="40% - Accent3 4 2 2 2 2 2 3 2" xfId="22876"/>
    <cellStyle name="40% - Accent3 4 2 2 2 2 2 3 2 2" xfId="45735"/>
    <cellStyle name="40% - Accent3 4 2 2 2 2 2 3 3" xfId="33433"/>
    <cellStyle name="40% - Accent3 4 2 2 2 2 2 4" xfId="15846"/>
    <cellStyle name="40% - Accent3 4 2 2 2 2 2 4 2" xfId="38705"/>
    <cellStyle name="40% - Accent3 4 2 2 2 2 2 5" xfId="26403"/>
    <cellStyle name="40% - Accent3 4 2 2 2 2 3" xfId="5299"/>
    <cellStyle name="40% - Accent3 4 2 2 2 2 3 2" xfId="17603"/>
    <cellStyle name="40% - Accent3 4 2 2 2 2 3 2 2" xfId="40462"/>
    <cellStyle name="40% - Accent3 4 2 2 2 2 3 3" xfId="28160"/>
    <cellStyle name="40% - Accent3 4 2 2 2 2 4" xfId="8814"/>
    <cellStyle name="40% - Accent3 4 2 2 2 2 4 2" xfId="21118"/>
    <cellStyle name="40% - Accent3 4 2 2 2 2 4 2 2" xfId="43977"/>
    <cellStyle name="40% - Accent3 4 2 2 2 2 4 3" xfId="31675"/>
    <cellStyle name="40% - Accent3 4 2 2 2 2 5" xfId="12329"/>
    <cellStyle name="40% - Accent3 4 2 2 2 2 5 2" xfId="35189"/>
    <cellStyle name="40% - Accent3 4 2 2 2 2 6" xfId="14088"/>
    <cellStyle name="40% - Accent3 4 2 2 2 2 6 2" xfId="36947"/>
    <cellStyle name="40% - Accent3 4 2 2 2 2 7" xfId="24644"/>
    <cellStyle name="40% - Accent3 4 2 2 2 3" xfId="2664"/>
    <cellStyle name="40% - Accent3 4 2 2 2 3 2" xfId="6179"/>
    <cellStyle name="40% - Accent3 4 2 2 2 3 2 2" xfId="18483"/>
    <cellStyle name="40% - Accent3 4 2 2 2 3 2 2 2" xfId="41342"/>
    <cellStyle name="40% - Accent3 4 2 2 2 3 2 3" xfId="29040"/>
    <cellStyle name="40% - Accent3 4 2 2 2 3 3" xfId="9694"/>
    <cellStyle name="40% - Accent3 4 2 2 2 3 3 2" xfId="21998"/>
    <cellStyle name="40% - Accent3 4 2 2 2 3 3 2 2" xfId="44857"/>
    <cellStyle name="40% - Accent3 4 2 2 2 3 3 3" xfId="32555"/>
    <cellStyle name="40% - Accent3 4 2 2 2 3 4" xfId="14968"/>
    <cellStyle name="40% - Accent3 4 2 2 2 3 4 2" xfId="37827"/>
    <cellStyle name="40% - Accent3 4 2 2 2 3 5" xfId="25525"/>
    <cellStyle name="40% - Accent3 4 2 2 2 4" xfId="4421"/>
    <cellStyle name="40% - Accent3 4 2 2 2 4 2" xfId="16725"/>
    <cellStyle name="40% - Accent3 4 2 2 2 4 2 2" xfId="39584"/>
    <cellStyle name="40% - Accent3 4 2 2 2 4 3" xfId="27282"/>
    <cellStyle name="40% - Accent3 4 2 2 2 5" xfId="7936"/>
    <cellStyle name="40% - Accent3 4 2 2 2 5 2" xfId="20240"/>
    <cellStyle name="40% - Accent3 4 2 2 2 5 2 2" xfId="43099"/>
    <cellStyle name="40% - Accent3 4 2 2 2 5 3" xfId="30797"/>
    <cellStyle name="40% - Accent3 4 2 2 2 6" xfId="11451"/>
    <cellStyle name="40% - Accent3 4 2 2 2 6 2" xfId="34311"/>
    <cellStyle name="40% - Accent3 4 2 2 2 7" xfId="13210"/>
    <cellStyle name="40% - Accent3 4 2 2 2 7 2" xfId="36069"/>
    <cellStyle name="40% - Accent3 4 2 2 2 8" xfId="23766"/>
    <cellStyle name="40% - Accent3 4 2 2 3" xfId="1342"/>
    <cellStyle name="40% - Accent3 4 2 2 3 2" xfId="3103"/>
    <cellStyle name="40% - Accent3 4 2 2 3 2 2" xfId="6618"/>
    <cellStyle name="40% - Accent3 4 2 2 3 2 2 2" xfId="18922"/>
    <cellStyle name="40% - Accent3 4 2 2 3 2 2 2 2" xfId="41781"/>
    <cellStyle name="40% - Accent3 4 2 2 3 2 2 3" xfId="29479"/>
    <cellStyle name="40% - Accent3 4 2 2 3 2 3" xfId="10133"/>
    <cellStyle name="40% - Accent3 4 2 2 3 2 3 2" xfId="22437"/>
    <cellStyle name="40% - Accent3 4 2 2 3 2 3 2 2" xfId="45296"/>
    <cellStyle name="40% - Accent3 4 2 2 3 2 3 3" xfId="32994"/>
    <cellStyle name="40% - Accent3 4 2 2 3 2 4" xfId="15407"/>
    <cellStyle name="40% - Accent3 4 2 2 3 2 4 2" xfId="38266"/>
    <cellStyle name="40% - Accent3 4 2 2 3 2 5" xfId="25964"/>
    <cellStyle name="40% - Accent3 4 2 2 3 3" xfId="4860"/>
    <cellStyle name="40% - Accent3 4 2 2 3 3 2" xfId="17164"/>
    <cellStyle name="40% - Accent3 4 2 2 3 3 2 2" xfId="40023"/>
    <cellStyle name="40% - Accent3 4 2 2 3 3 3" xfId="27721"/>
    <cellStyle name="40% - Accent3 4 2 2 3 4" xfId="8375"/>
    <cellStyle name="40% - Accent3 4 2 2 3 4 2" xfId="20679"/>
    <cellStyle name="40% - Accent3 4 2 2 3 4 2 2" xfId="43538"/>
    <cellStyle name="40% - Accent3 4 2 2 3 4 3" xfId="31236"/>
    <cellStyle name="40% - Accent3 4 2 2 3 5" xfId="11890"/>
    <cellStyle name="40% - Accent3 4 2 2 3 5 2" xfId="34750"/>
    <cellStyle name="40% - Accent3 4 2 2 3 6" xfId="13649"/>
    <cellStyle name="40% - Accent3 4 2 2 3 6 2" xfId="36508"/>
    <cellStyle name="40% - Accent3 4 2 2 3 7" xfId="24205"/>
    <cellStyle name="40% - Accent3 4 2 2 4" xfId="2225"/>
    <cellStyle name="40% - Accent3 4 2 2 4 2" xfId="5740"/>
    <cellStyle name="40% - Accent3 4 2 2 4 2 2" xfId="18044"/>
    <cellStyle name="40% - Accent3 4 2 2 4 2 2 2" xfId="40903"/>
    <cellStyle name="40% - Accent3 4 2 2 4 2 3" xfId="28601"/>
    <cellStyle name="40% - Accent3 4 2 2 4 3" xfId="9255"/>
    <cellStyle name="40% - Accent3 4 2 2 4 3 2" xfId="21559"/>
    <cellStyle name="40% - Accent3 4 2 2 4 3 2 2" xfId="44418"/>
    <cellStyle name="40% - Accent3 4 2 2 4 3 3" xfId="32116"/>
    <cellStyle name="40% - Accent3 4 2 2 4 4" xfId="14529"/>
    <cellStyle name="40% - Accent3 4 2 2 4 4 2" xfId="37388"/>
    <cellStyle name="40% - Accent3 4 2 2 4 5" xfId="25086"/>
    <cellStyle name="40% - Accent3 4 2 2 5" xfId="3982"/>
    <cellStyle name="40% - Accent3 4 2 2 5 2" xfId="16286"/>
    <cellStyle name="40% - Accent3 4 2 2 5 2 2" xfId="39145"/>
    <cellStyle name="40% - Accent3 4 2 2 5 3" xfId="26843"/>
    <cellStyle name="40% - Accent3 4 2 2 6" xfId="7497"/>
    <cellStyle name="40% - Accent3 4 2 2 6 2" xfId="19801"/>
    <cellStyle name="40% - Accent3 4 2 2 6 2 2" xfId="42660"/>
    <cellStyle name="40% - Accent3 4 2 2 6 3" xfId="30358"/>
    <cellStyle name="40% - Accent3 4 2 2 7" xfId="11012"/>
    <cellStyle name="40% - Accent3 4 2 2 7 2" xfId="33872"/>
    <cellStyle name="40% - Accent3 4 2 2 8" xfId="12771"/>
    <cellStyle name="40% - Accent3 4 2 2 8 2" xfId="35630"/>
    <cellStyle name="40% - Accent3 4 2 2 9" xfId="23326"/>
    <cellStyle name="40% - Accent3 4 2 3" xfId="690"/>
    <cellStyle name="40% - Accent3 4 2 3 2" xfId="1569"/>
    <cellStyle name="40% - Accent3 4 2 3 2 2" xfId="3330"/>
    <cellStyle name="40% - Accent3 4 2 3 2 2 2" xfId="6845"/>
    <cellStyle name="40% - Accent3 4 2 3 2 2 2 2" xfId="19149"/>
    <cellStyle name="40% - Accent3 4 2 3 2 2 2 2 2" xfId="42008"/>
    <cellStyle name="40% - Accent3 4 2 3 2 2 2 3" xfId="29706"/>
    <cellStyle name="40% - Accent3 4 2 3 2 2 3" xfId="10360"/>
    <cellStyle name="40% - Accent3 4 2 3 2 2 3 2" xfId="22664"/>
    <cellStyle name="40% - Accent3 4 2 3 2 2 3 2 2" xfId="45523"/>
    <cellStyle name="40% - Accent3 4 2 3 2 2 3 3" xfId="33221"/>
    <cellStyle name="40% - Accent3 4 2 3 2 2 4" xfId="15634"/>
    <cellStyle name="40% - Accent3 4 2 3 2 2 4 2" xfId="38493"/>
    <cellStyle name="40% - Accent3 4 2 3 2 2 5" xfId="26191"/>
    <cellStyle name="40% - Accent3 4 2 3 2 3" xfId="5087"/>
    <cellStyle name="40% - Accent3 4 2 3 2 3 2" xfId="17391"/>
    <cellStyle name="40% - Accent3 4 2 3 2 3 2 2" xfId="40250"/>
    <cellStyle name="40% - Accent3 4 2 3 2 3 3" xfId="27948"/>
    <cellStyle name="40% - Accent3 4 2 3 2 4" xfId="8602"/>
    <cellStyle name="40% - Accent3 4 2 3 2 4 2" xfId="20906"/>
    <cellStyle name="40% - Accent3 4 2 3 2 4 2 2" xfId="43765"/>
    <cellStyle name="40% - Accent3 4 2 3 2 4 3" xfId="31463"/>
    <cellStyle name="40% - Accent3 4 2 3 2 5" xfId="12117"/>
    <cellStyle name="40% - Accent3 4 2 3 2 5 2" xfId="34977"/>
    <cellStyle name="40% - Accent3 4 2 3 2 6" xfId="13876"/>
    <cellStyle name="40% - Accent3 4 2 3 2 6 2" xfId="36735"/>
    <cellStyle name="40% - Accent3 4 2 3 2 7" xfId="24432"/>
    <cellStyle name="40% - Accent3 4 2 3 3" xfId="2452"/>
    <cellStyle name="40% - Accent3 4 2 3 3 2" xfId="5967"/>
    <cellStyle name="40% - Accent3 4 2 3 3 2 2" xfId="18271"/>
    <cellStyle name="40% - Accent3 4 2 3 3 2 2 2" xfId="41130"/>
    <cellStyle name="40% - Accent3 4 2 3 3 2 3" xfId="28828"/>
    <cellStyle name="40% - Accent3 4 2 3 3 3" xfId="9482"/>
    <cellStyle name="40% - Accent3 4 2 3 3 3 2" xfId="21786"/>
    <cellStyle name="40% - Accent3 4 2 3 3 3 2 2" xfId="44645"/>
    <cellStyle name="40% - Accent3 4 2 3 3 3 3" xfId="32343"/>
    <cellStyle name="40% - Accent3 4 2 3 3 4" xfId="14756"/>
    <cellStyle name="40% - Accent3 4 2 3 3 4 2" xfId="37615"/>
    <cellStyle name="40% - Accent3 4 2 3 3 5" xfId="25313"/>
    <cellStyle name="40% - Accent3 4 2 3 4" xfId="4209"/>
    <cellStyle name="40% - Accent3 4 2 3 4 2" xfId="16513"/>
    <cellStyle name="40% - Accent3 4 2 3 4 2 2" xfId="39372"/>
    <cellStyle name="40% - Accent3 4 2 3 4 3" xfId="27070"/>
    <cellStyle name="40% - Accent3 4 2 3 5" xfId="7724"/>
    <cellStyle name="40% - Accent3 4 2 3 5 2" xfId="20028"/>
    <cellStyle name="40% - Accent3 4 2 3 5 2 2" xfId="42887"/>
    <cellStyle name="40% - Accent3 4 2 3 5 3" xfId="30585"/>
    <cellStyle name="40% - Accent3 4 2 3 6" xfId="11239"/>
    <cellStyle name="40% - Accent3 4 2 3 6 2" xfId="34099"/>
    <cellStyle name="40% - Accent3 4 2 3 7" xfId="12998"/>
    <cellStyle name="40% - Accent3 4 2 3 7 2" xfId="35857"/>
    <cellStyle name="40% - Accent3 4 2 3 8" xfId="23554"/>
    <cellStyle name="40% - Accent3 4 2 4" xfId="1130"/>
    <cellStyle name="40% - Accent3 4 2 4 2" xfId="2891"/>
    <cellStyle name="40% - Accent3 4 2 4 2 2" xfId="6406"/>
    <cellStyle name="40% - Accent3 4 2 4 2 2 2" xfId="18710"/>
    <cellStyle name="40% - Accent3 4 2 4 2 2 2 2" xfId="41569"/>
    <cellStyle name="40% - Accent3 4 2 4 2 2 3" xfId="29267"/>
    <cellStyle name="40% - Accent3 4 2 4 2 3" xfId="9921"/>
    <cellStyle name="40% - Accent3 4 2 4 2 3 2" xfId="22225"/>
    <cellStyle name="40% - Accent3 4 2 4 2 3 2 2" xfId="45084"/>
    <cellStyle name="40% - Accent3 4 2 4 2 3 3" xfId="32782"/>
    <cellStyle name="40% - Accent3 4 2 4 2 4" xfId="15195"/>
    <cellStyle name="40% - Accent3 4 2 4 2 4 2" xfId="38054"/>
    <cellStyle name="40% - Accent3 4 2 4 2 5" xfId="25752"/>
    <cellStyle name="40% - Accent3 4 2 4 3" xfId="4648"/>
    <cellStyle name="40% - Accent3 4 2 4 3 2" xfId="16952"/>
    <cellStyle name="40% - Accent3 4 2 4 3 2 2" xfId="39811"/>
    <cellStyle name="40% - Accent3 4 2 4 3 3" xfId="27509"/>
    <cellStyle name="40% - Accent3 4 2 4 4" xfId="8163"/>
    <cellStyle name="40% - Accent3 4 2 4 4 2" xfId="20467"/>
    <cellStyle name="40% - Accent3 4 2 4 4 2 2" xfId="43326"/>
    <cellStyle name="40% - Accent3 4 2 4 4 3" xfId="31024"/>
    <cellStyle name="40% - Accent3 4 2 4 5" xfId="11678"/>
    <cellStyle name="40% - Accent3 4 2 4 5 2" xfId="34538"/>
    <cellStyle name="40% - Accent3 4 2 4 6" xfId="13437"/>
    <cellStyle name="40% - Accent3 4 2 4 6 2" xfId="36296"/>
    <cellStyle name="40% - Accent3 4 2 4 7" xfId="23993"/>
    <cellStyle name="40% - Accent3 4 2 5" xfId="2013"/>
    <cellStyle name="40% - Accent3 4 2 5 2" xfId="5528"/>
    <cellStyle name="40% - Accent3 4 2 5 2 2" xfId="17832"/>
    <cellStyle name="40% - Accent3 4 2 5 2 2 2" xfId="40691"/>
    <cellStyle name="40% - Accent3 4 2 5 2 3" xfId="28389"/>
    <cellStyle name="40% - Accent3 4 2 5 3" xfId="9043"/>
    <cellStyle name="40% - Accent3 4 2 5 3 2" xfId="21347"/>
    <cellStyle name="40% - Accent3 4 2 5 3 2 2" xfId="44206"/>
    <cellStyle name="40% - Accent3 4 2 5 3 3" xfId="31904"/>
    <cellStyle name="40% - Accent3 4 2 5 4" xfId="14317"/>
    <cellStyle name="40% - Accent3 4 2 5 4 2" xfId="37176"/>
    <cellStyle name="40% - Accent3 4 2 5 5" xfId="24874"/>
    <cellStyle name="40% - Accent3 4 2 6" xfId="3770"/>
    <cellStyle name="40% - Accent3 4 2 6 2" xfId="16074"/>
    <cellStyle name="40% - Accent3 4 2 6 2 2" xfId="38933"/>
    <cellStyle name="40% - Accent3 4 2 6 3" xfId="26631"/>
    <cellStyle name="40% - Accent3 4 2 7" xfId="7285"/>
    <cellStyle name="40% - Accent3 4 2 7 2" xfId="19589"/>
    <cellStyle name="40% - Accent3 4 2 7 2 2" xfId="42448"/>
    <cellStyle name="40% - Accent3 4 2 7 3" xfId="30146"/>
    <cellStyle name="40% - Accent3 4 2 8" xfId="10800"/>
    <cellStyle name="40% - Accent3 4 2 8 2" xfId="33660"/>
    <cellStyle name="40% - Accent3 4 2 9" xfId="12559"/>
    <cellStyle name="40% - Accent3 4 2 9 2" xfId="35418"/>
    <cellStyle name="40% - Accent3 4 3" xfId="355"/>
    <cellStyle name="40% - Accent3 4 3 2" xfId="796"/>
    <cellStyle name="40% - Accent3 4 3 2 2" xfId="1675"/>
    <cellStyle name="40% - Accent3 4 3 2 2 2" xfId="3436"/>
    <cellStyle name="40% - Accent3 4 3 2 2 2 2" xfId="6951"/>
    <cellStyle name="40% - Accent3 4 3 2 2 2 2 2" xfId="19255"/>
    <cellStyle name="40% - Accent3 4 3 2 2 2 2 2 2" xfId="42114"/>
    <cellStyle name="40% - Accent3 4 3 2 2 2 2 3" xfId="29812"/>
    <cellStyle name="40% - Accent3 4 3 2 2 2 3" xfId="10466"/>
    <cellStyle name="40% - Accent3 4 3 2 2 2 3 2" xfId="22770"/>
    <cellStyle name="40% - Accent3 4 3 2 2 2 3 2 2" xfId="45629"/>
    <cellStyle name="40% - Accent3 4 3 2 2 2 3 3" xfId="33327"/>
    <cellStyle name="40% - Accent3 4 3 2 2 2 4" xfId="15740"/>
    <cellStyle name="40% - Accent3 4 3 2 2 2 4 2" xfId="38599"/>
    <cellStyle name="40% - Accent3 4 3 2 2 2 5" xfId="26297"/>
    <cellStyle name="40% - Accent3 4 3 2 2 3" xfId="5193"/>
    <cellStyle name="40% - Accent3 4 3 2 2 3 2" xfId="17497"/>
    <cellStyle name="40% - Accent3 4 3 2 2 3 2 2" xfId="40356"/>
    <cellStyle name="40% - Accent3 4 3 2 2 3 3" xfId="28054"/>
    <cellStyle name="40% - Accent3 4 3 2 2 4" xfId="8708"/>
    <cellStyle name="40% - Accent3 4 3 2 2 4 2" xfId="21012"/>
    <cellStyle name="40% - Accent3 4 3 2 2 4 2 2" xfId="43871"/>
    <cellStyle name="40% - Accent3 4 3 2 2 4 3" xfId="31569"/>
    <cellStyle name="40% - Accent3 4 3 2 2 5" xfId="12223"/>
    <cellStyle name="40% - Accent3 4 3 2 2 5 2" xfId="35083"/>
    <cellStyle name="40% - Accent3 4 3 2 2 6" xfId="13982"/>
    <cellStyle name="40% - Accent3 4 3 2 2 6 2" xfId="36841"/>
    <cellStyle name="40% - Accent3 4 3 2 2 7" xfId="24538"/>
    <cellStyle name="40% - Accent3 4 3 2 3" xfId="2558"/>
    <cellStyle name="40% - Accent3 4 3 2 3 2" xfId="6073"/>
    <cellStyle name="40% - Accent3 4 3 2 3 2 2" xfId="18377"/>
    <cellStyle name="40% - Accent3 4 3 2 3 2 2 2" xfId="41236"/>
    <cellStyle name="40% - Accent3 4 3 2 3 2 3" xfId="28934"/>
    <cellStyle name="40% - Accent3 4 3 2 3 3" xfId="9588"/>
    <cellStyle name="40% - Accent3 4 3 2 3 3 2" xfId="21892"/>
    <cellStyle name="40% - Accent3 4 3 2 3 3 2 2" xfId="44751"/>
    <cellStyle name="40% - Accent3 4 3 2 3 3 3" xfId="32449"/>
    <cellStyle name="40% - Accent3 4 3 2 3 4" xfId="14862"/>
    <cellStyle name="40% - Accent3 4 3 2 3 4 2" xfId="37721"/>
    <cellStyle name="40% - Accent3 4 3 2 3 5" xfId="25419"/>
    <cellStyle name="40% - Accent3 4 3 2 4" xfId="4315"/>
    <cellStyle name="40% - Accent3 4 3 2 4 2" xfId="16619"/>
    <cellStyle name="40% - Accent3 4 3 2 4 2 2" xfId="39478"/>
    <cellStyle name="40% - Accent3 4 3 2 4 3" xfId="27176"/>
    <cellStyle name="40% - Accent3 4 3 2 5" xfId="7830"/>
    <cellStyle name="40% - Accent3 4 3 2 5 2" xfId="20134"/>
    <cellStyle name="40% - Accent3 4 3 2 5 2 2" xfId="42993"/>
    <cellStyle name="40% - Accent3 4 3 2 5 3" xfId="30691"/>
    <cellStyle name="40% - Accent3 4 3 2 6" xfId="11345"/>
    <cellStyle name="40% - Accent3 4 3 2 6 2" xfId="34205"/>
    <cellStyle name="40% - Accent3 4 3 2 7" xfId="13104"/>
    <cellStyle name="40% - Accent3 4 3 2 7 2" xfId="35963"/>
    <cellStyle name="40% - Accent3 4 3 2 8" xfId="23660"/>
    <cellStyle name="40% - Accent3 4 3 3" xfId="1236"/>
    <cellStyle name="40% - Accent3 4 3 3 2" xfId="2997"/>
    <cellStyle name="40% - Accent3 4 3 3 2 2" xfId="6512"/>
    <cellStyle name="40% - Accent3 4 3 3 2 2 2" xfId="18816"/>
    <cellStyle name="40% - Accent3 4 3 3 2 2 2 2" xfId="41675"/>
    <cellStyle name="40% - Accent3 4 3 3 2 2 3" xfId="29373"/>
    <cellStyle name="40% - Accent3 4 3 3 2 3" xfId="10027"/>
    <cellStyle name="40% - Accent3 4 3 3 2 3 2" xfId="22331"/>
    <cellStyle name="40% - Accent3 4 3 3 2 3 2 2" xfId="45190"/>
    <cellStyle name="40% - Accent3 4 3 3 2 3 3" xfId="32888"/>
    <cellStyle name="40% - Accent3 4 3 3 2 4" xfId="15301"/>
    <cellStyle name="40% - Accent3 4 3 3 2 4 2" xfId="38160"/>
    <cellStyle name="40% - Accent3 4 3 3 2 5" xfId="25858"/>
    <cellStyle name="40% - Accent3 4 3 3 3" xfId="4754"/>
    <cellStyle name="40% - Accent3 4 3 3 3 2" xfId="17058"/>
    <cellStyle name="40% - Accent3 4 3 3 3 2 2" xfId="39917"/>
    <cellStyle name="40% - Accent3 4 3 3 3 3" xfId="27615"/>
    <cellStyle name="40% - Accent3 4 3 3 4" xfId="8269"/>
    <cellStyle name="40% - Accent3 4 3 3 4 2" xfId="20573"/>
    <cellStyle name="40% - Accent3 4 3 3 4 2 2" xfId="43432"/>
    <cellStyle name="40% - Accent3 4 3 3 4 3" xfId="31130"/>
    <cellStyle name="40% - Accent3 4 3 3 5" xfId="11784"/>
    <cellStyle name="40% - Accent3 4 3 3 5 2" xfId="34644"/>
    <cellStyle name="40% - Accent3 4 3 3 6" xfId="13543"/>
    <cellStyle name="40% - Accent3 4 3 3 6 2" xfId="36402"/>
    <cellStyle name="40% - Accent3 4 3 3 7" xfId="24099"/>
    <cellStyle name="40% - Accent3 4 3 4" xfId="2119"/>
    <cellStyle name="40% - Accent3 4 3 4 2" xfId="5634"/>
    <cellStyle name="40% - Accent3 4 3 4 2 2" xfId="17938"/>
    <cellStyle name="40% - Accent3 4 3 4 2 2 2" xfId="40797"/>
    <cellStyle name="40% - Accent3 4 3 4 2 3" xfId="28495"/>
    <cellStyle name="40% - Accent3 4 3 4 3" xfId="9149"/>
    <cellStyle name="40% - Accent3 4 3 4 3 2" xfId="21453"/>
    <cellStyle name="40% - Accent3 4 3 4 3 2 2" xfId="44312"/>
    <cellStyle name="40% - Accent3 4 3 4 3 3" xfId="32010"/>
    <cellStyle name="40% - Accent3 4 3 4 4" xfId="14423"/>
    <cellStyle name="40% - Accent3 4 3 4 4 2" xfId="37282"/>
    <cellStyle name="40% - Accent3 4 3 4 5" xfId="24980"/>
    <cellStyle name="40% - Accent3 4 3 5" xfId="3876"/>
    <cellStyle name="40% - Accent3 4 3 5 2" xfId="16180"/>
    <cellStyle name="40% - Accent3 4 3 5 2 2" xfId="39039"/>
    <cellStyle name="40% - Accent3 4 3 5 3" xfId="26737"/>
    <cellStyle name="40% - Accent3 4 3 6" xfId="7391"/>
    <cellStyle name="40% - Accent3 4 3 6 2" xfId="19695"/>
    <cellStyle name="40% - Accent3 4 3 6 2 2" xfId="42554"/>
    <cellStyle name="40% - Accent3 4 3 6 3" xfId="30252"/>
    <cellStyle name="40% - Accent3 4 3 7" xfId="10906"/>
    <cellStyle name="40% - Accent3 4 3 7 2" xfId="33766"/>
    <cellStyle name="40% - Accent3 4 3 8" xfId="12665"/>
    <cellStyle name="40% - Accent3 4 3 8 2" xfId="35524"/>
    <cellStyle name="40% - Accent3 4 3 9" xfId="23220"/>
    <cellStyle name="40% - Accent3 4 4" xfId="584"/>
    <cellStyle name="40% - Accent3 4 4 2" xfId="1463"/>
    <cellStyle name="40% - Accent3 4 4 2 2" xfId="3224"/>
    <cellStyle name="40% - Accent3 4 4 2 2 2" xfId="6739"/>
    <cellStyle name="40% - Accent3 4 4 2 2 2 2" xfId="19043"/>
    <cellStyle name="40% - Accent3 4 4 2 2 2 2 2" xfId="41902"/>
    <cellStyle name="40% - Accent3 4 4 2 2 2 3" xfId="29600"/>
    <cellStyle name="40% - Accent3 4 4 2 2 3" xfId="10254"/>
    <cellStyle name="40% - Accent3 4 4 2 2 3 2" xfId="22558"/>
    <cellStyle name="40% - Accent3 4 4 2 2 3 2 2" xfId="45417"/>
    <cellStyle name="40% - Accent3 4 4 2 2 3 3" xfId="33115"/>
    <cellStyle name="40% - Accent3 4 4 2 2 4" xfId="15528"/>
    <cellStyle name="40% - Accent3 4 4 2 2 4 2" xfId="38387"/>
    <cellStyle name="40% - Accent3 4 4 2 2 5" xfId="26085"/>
    <cellStyle name="40% - Accent3 4 4 2 3" xfId="4981"/>
    <cellStyle name="40% - Accent3 4 4 2 3 2" xfId="17285"/>
    <cellStyle name="40% - Accent3 4 4 2 3 2 2" xfId="40144"/>
    <cellStyle name="40% - Accent3 4 4 2 3 3" xfId="27842"/>
    <cellStyle name="40% - Accent3 4 4 2 4" xfId="8496"/>
    <cellStyle name="40% - Accent3 4 4 2 4 2" xfId="20800"/>
    <cellStyle name="40% - Accent3 4 4 2 4 2 2" xfId="43659"/>
    <cellStyle name="40% - Accent3 4 4 2 4 3" xfId="31357"/>
    <cellStyle name="40% - Accent3 4 4 2 5" xfId="12011"/>
    <cellStyle name="40% - Accent3 4 4 2 5 2" xfId="34871"/>
    <cellStyle name="40% - Accent3 4 4 2 6" xfId="13770"/>
    <cellStyle name="40% - Accent3 4 4 2 6 2" xfId="36629"/>
    <cellStyle name="40% - Accent3 4 4 2 7" xfId="24326"/>
    <cellStyle name="40% - Accent3 4 4 3" xfId="2346"/>
    <cellStyle name="40% - Accent3 4 4 3 2" xfId="5861"/>
    <cellStyle name="40% - Accent3 4 4 3 2 2" xfId="18165"/>
    <cellStyle name="40% - Accent3 4 4 3 2 2 2" xfId="41024"/>
    <cellStyle name="40% - Accent3 4 4 3 2 3" xfId="28722"/>
    <cellStyle name="40% - Accent3 4 4 3 3" xfId="9376"/>
    <cellStyle name="40% - Accent3 4 4 3 3 2" xfId="21680"/>
    <cellStyle name="40% - Accent3 4 4 3 3 2 2" xfId="44539"/>
    <cellStyle name="40% - Accent3 4 4 3 3 3" xfId="32237"/>
    <cellStyle name="40% - Accent3 4 4 3 4" xfId="14650"/>
    <cellStyle name="40% - Accent3 4 4 3 4 2" xfId="37509"/>
    <cellStyle name="40% - Accent3 4 4 3 5" xfId="25207"/>
    <cellStyle name="40% - Accent3 4 4 4" xfId="4103"/>
    <cellStyle name="40% - Accent3 4 4 4 2" xfId="16407"/>
    <cellStyle name="40% - Accent3 4 4 4 2 2" xfId="39266"/>
    <cellStyle name="40% - Accent3 4 4 4 3" xfId="26964"/>
    <cellStyle name="40% - Accent3 4 4 5" xfId="7618"/>
    <cellStyle name="40% - Accent3 4 4 5 2" xfId="19922"/>
    <cellStyle name="40% - Accent3 4 4 5 2 2" xfId="42781"/>
    <cellStyle name="40% - Accent3 4 4 5 3" xfId="30479"/>
    <cellStyle name="40% - Accent3 4 4 6" xfId="11133"/>
    <cellStyle name="40% - Accent3 4 4 6 2" xfId="33993"/>
    <cellStyle name="40% - Accent3 4 4 7" xfId="12892"/>
    <cellStyle name="40% - Accent3 4 4 7 2" xfId="35751"/>
    <cellStyle name="40% - Accent3 4 4 8" xfId="23448"/>
    <cellStyle name="40% - Accent3 4 5" xfId="1024"/>
    <cellStyle name="40% - Accent3 4 5 2" xfId="2785"/>
    <cellStyle name="40% - Accent3 4 5 2 2" xfId="6300"/>
    <cellStyle name="40% - Accent3 4 5 2 2 2" xfId="18604"/>
    <cellStyle name="40% - Accent3 4 5 2 2 2 2" xfId="41463"/>
    <cellStyle name="40% - Accent3 4 5 2 2 3" xfId="29161"/>
    <cellStyle name="40% - Accent3 4 5 2 3" xfId="9815"/>
    <cellStyle name="40% - Accent3 4 5 2 3 2" xfId="22119"/>
    <cellStyle name="40% - Accent3 4 5 2 3 2 2" xfId="44978"/>
    <cellStyle name="40% - Accent3 4 5 2 3 3" xfId="32676"/>
    <cellStyle name="40% - Accent3 4 5 2 4" xfId="15089"/>
    <cellStyle name="40% - Accent3 4 5 2 4 2" xfId="37948"/>
    <cellStyle name="40% - Accent3 4 5 2 5" xfId="25646"/>
    <cellStyle name="40% - Accent3 4 5 3" xfId="4542"/>
    <cellStyle name="40% - Accent3 4 5 3 2" xfId="16846"/>
    <cellStyle name="40% - Accent3 4 5 3 2 2" xfId="39705"/>
    <cellStyle name="40% - Accent3 4 5 3 3" xfId="27403"/>
    <cellStyle name="40% - Accent3 4 5 4" xfId="8057"/>
    <cellStyle name="40% - Accent3 4 5 4 2" xfId="20361"/>
    <cellStyle name="40% - Accent3 4 5 4 2 2" xfId="43220"/>
    <cellStyle name="40% - Accent3 4 5 4 3" xfId="30918"/>
    <cellStyle name="40% - Accent3 4 5 5" xfId="11572"/>
    <cellStyle name="40% - Accent3 4 5 5 2" xfId="34432"/>
    <cellStyle name="40% - Accent3 4 5 6" xfId="13331"/>
    <cellStyle name="40% - Accent3 4 5 6 2" xfId="36190"/>
    <cellStyle name="40% - Accent3 4 5 7" xfId="23887"/>
    <cellStyle name="40% - Accent3 4 6" xfId="1907"/>
    <cellStyle name="40% - Accent3 4 6 2" xfId="5422"/>
    <cellStyle name="40% - Accent3 4 6 2 2" xfId="17726"/>
    <cellStyle name="40% - Accent3 4 6 2 2 2" xfId="40585"/>
    <cellStyle name="40% - Accent3 4 6 2 3" xfId="28283"/>
    <cellStyle name="40% - Accent3 4 6 3" xfId="8937"/>
    <cellStyle name="40% - Accent3 4 6 3 2" xfId="21241"/>
    <cellStyle name="40% - Accent3 4 6 3 2 2" xfId="44100"/>
    <cellStyle name="40% - Accent3 4 6 3 3" xfId="31798"/>
    <cellStyle name="40% - Accent3 4 6 4" xfId="14211"/>
    <cellStyle name="40% - Accent3 4 6 4 2" xfId="37070"/>
    <cellStyle name="40% - Accent3 4 6 5" xfId="24768"/>
    <cellStyle name="40% - Accent3 4 7" xfId="3664"/>
    <cellStyle name="40% - Accent3 4 7 2" xfId="15968"/>
    <cellStyle name="40% - Accent3 4 7 2 2" xfId="38827"/>
    <cellStyle name="40% - Accent3 4 7 3" xfId="26525"/>
    <cellStyle name="40% - Accent3 4 8" xfId="7179"/>
    <cellStyle name="40% - Accent3 4 8 2" xfId="19483"/>
    <cellStyle name="40% - Accent3 4 8 2 2" xfId="42342"/>
    <cellStyle name="40% - Accent3 4 8 3" xfId="30040"/>
    <cellStyle name="40% - Accent3 4 9" xfId="10694"/>
    <cellStyle name="40% - Accent3 4 9 2" xfId="33554"/>
    <cellStyle name="40% - Accent3 5" xfId="201"/>
    <cellStyle name="40% - Accent3 5 10" xfId="23066"/>
    <cellStyle name="40% - Accent3 5 2" xfId="413"/>
    <cellStyle name="40% - Accent3 5 2 2" xfId="854"/>
    <cellStyle name="40% - Accent3 5 2 2 2" xfId="1733"/>
    <cellStyle name="40% - Accent3 5 2 2 2 2" xfId="3494"/>
    <cellStyle name="40% - Accent3 5 2 2 2 2 2" xfId="7009"/>
    <cellStyle name="40% - Accent3 5 2 2 2 2 2 2" xfId="19313"/>
    <cellStyle name="40% - Accent3 5 2 2 2 2 2 2 2" xfId="42172"/>
    <cellStyle name="40% - Accent3 5 2 2 2 2 2 3" xfId="29870"/>
    <cellStyle name="40% - Accent3 5 2 2 2 2 3" xfId="10524"/>
    <cellStyle name="40% - Accent3 5 2 2 2 2 3 2" xfId="22828"/>
    <cellStyle name="40% - Accent3 5 2 2 2 2 3 2 2" xfId="45687"/>
    <cellStyle name="40% - Accent3 5 2 2 2 2 3 3" xfId="33385"/>
    <cellStyle name="40% - Accent3 5 2 2 2 2 4" xfId="15798"/>
    <cellStyle name="40% - Accent3 5 2 2 2 2 4 2" xfId="38657"/>
    <cellStyle name="40% - Accent3 5 2 2 2 2 5" xfId="26355"/>
    <cellStyle name="40% - Accent3 5 2 2 2 3" xfId="5251"/>
    <cellStyle name="40% - Accent3 5 2 2 2 3 2" xfId="17555"/>
    <cellStyle name="40% - Accent3 5 2 2 2 3 2 2" xfId="40414"/>
    <cellStyle name="40% - Accent3 5 2 2 2 3 3" xfId="28112"/>
    <cellStyle name="40% - Accent3 5 2 2 2 4" xfId="8766"/>
    <cellStyle name="40% - Accent3 5 2 2 2 4 2" xfId="21070"/>
    <cellStyle name="40% - Accent3 5 2 2 2 4 2 2" xfId="43929"/>
    <cellStyle name="40% - Accent3 5 2 2 2 4 3" xfId="31627"/>
    <cellStyle name="40% - Accent3 5 2 2 2 5" xfId="12281"/>
    <cellStyle name="40% - Accent3 5 2 2 2 5 2" xfId="35141"/>
    <cellStyle name="40% - Accent3 5 2 2 2 6" xfId="14040"/>
    <cellStyle name="40% - Accent3 5 2 2 2 6 2" xfId="36899"/>
    <cellStyle name="40% - Accent3 5 2 2 2 7" xfId="24596"/>
    <cellStyle name="40% - Accent3 5 2 2 3" xfId="2616"/>
    <cellStyle name="40% - Accent3 5 2 2 3 2" xfId="6131"/>
    <cellStyle name="40% - Accent3 5 2 2 3 2 2" xfId="18435"/>
    <cellStyle name="40% - Accent3 5 2 2 3 2 2 2" xfId="41294"/>
    <cellStyle name="40% - Accent3 5 2 2 3 2 3" xfId="28992"/>
    <cellStyle name="40% - Accent3 5 2 2 3 3" xfId="9646"/>
    <cellStyle name="40% - Accent3 5 2 2 3 3 2" xfId="21950"/>
    <cellStyle name="40% - Accent3 5 2 2 3 3 2 2" xfId="44809"/>
    <cellStyle name="40% - Accent3 5 2 2 3 3 3" xfId="32507"/>
    <cellStyle name="40% - Accent3 5 2 2 3 4" xfId="14920"/>
    <cellStyle name="40% - Accent3 5 2 2 3 4 2" xfId="37779"/>
    <cellStyle name="40% - Accent3 5 2 2 3 5" xfId="25477"/>
    <cellStyle name="40% - Accent3 5 2 2 4" xfId="4373"/>
    <cellStyle name="40% - Accent3 5 2 2 4 2" xfId="16677"/>
    <cellStyle name="40% - Accent3 5 2 2 4 2 2" xfId="39536"/>
    <cellStyle name="40% - Accent3 5 2 2 4 3" xfId="27234"/>
    <cellStyle name="40% - Accent3 5 2 2 5" xfId="7888"/>
    <cellStyle name="40% - Accent3 5 2 2 5 2" xfId="20192"/>
    <cellStyle name="40% - Accent3 5 2 2 5 2 2" xfId="43051"/>
    <cellStyle name="40% - Accent3 5 2 2 5 3" xfId="30749"/>
    <cellStyle name="40% - Accent3 5 2 2 6" xfId="11403"/>
    <cellStyle name="40% - Accent3 5 2 2 6 2" xfId="34263"/>
    <cellStyle name="40% - Accent3 5 2 2 7" xfId="13162"/>
    <cellStyle name="40% - Accent3 5 2 2 7 2" xfId="36021"/>
    <cellStyle name="40% - Accent3 5 2 2 8" xfId="23718"/>
    <cellStyle name="40% - Accent3 5 2 3" xfId="1294"/>
    <cellStyle name="40% - Accent3 5 2 3 2" xfId="3055"/>
    <cellStyle name="40% - Accent3 5 2 3 2 2" xfId="6570"/>
    <cellStyle name="40% - Accent3 5 2 3 2 2 2" xfId="18874"/>
    <cellStyle name="40% - Accent3 5 2 3 2 2 2 2" xfId="41733"/>
    <cellStyle name="40% - Accent3 5 2 3 2 2 3" xfId="29431"/>
    <cellStyle name="40% - Accent3 5 2 3 2 3" xfId="10085"/>
    <cellStyle name="40% - Accent3 5 2 3 2 3 2" xfId="22389"/>
    <cellStyle name="40% - Accent3 5 2 3 2 3 2 2" xfId="45248"/>
    <cellStyle name="40% - Accent3 5 2 3 2 3 3" xfId="32946"/>
    <cellStyle name="40% - Accent3 5 2 3 2 4" xfId="15359"/>
    <cellStyle name="40% - Accent3 5 2 3 2 4 2" xfId="38218"/>
    <cellStyle name="40% - Accent3 5 2 3 2 5" xfId="25916"/>
    <cellStyle name="40% - Accent3 5 2 3 3" xfId="4812"/>
    <cellStyle name="40% - Accent3 5 2 3 3 2" xfId="17116"/>
    <cellStyle name="40% - Accent3 5 2 3 3 2 2" xfId="39975"/>
    <cellStyle name="40% - Accent3 5 2 3 3 3" xfId="27673"/>
    <cellStyle name="40% - Accent3 5 2 3 4" xfId="8327"/>
    <cellStyle name="40% - Accent3 5 2 3 4 2" xfId="20631"/>
    <cellStyle name="40% - Accent3 5 2 3 4 2 2" xfId="43490"/>
    <cellStyle name="40% - Accent3 5 2 3 4 3" xfId="31188"/>
    <cellStyle name="40% - Accent3 5 2 3 5" xfId="11842"/>
    <cellStyle name="40% - Accent3 5 2 3 5 2" xfId="34702"/>
    <cellStyle name="40% - Accent3 5 2 3 6" xfId="13601"/>
    <cellStyle name="40% - Accent3 5 2 3 6 2" xfId="36460"/>
    <cellStyle name="40% - Accent3 5 2 3 7" xfId="24157"/>
    <cellStyle name="40% - Accent3 5 2 4" xfId="2177"/>
    <cellStyle name="40% - Accent3 5 2 4 2" xfId="5692"/>
    <cellStyle name="40% - Accent3 5 2 4 2 2" xfId="17996"/>
    <cellStyle name="40% - Accent3 5 2 4 2 2 2" xfId="40855"/>
    <cellStyle name="40% - Accent3 5 2 4 2 3" xfId="28553"/>
    <cellStyle name="40% - Accent3 5 2 4 3" xfId="9207"/>
    <cellStyle name="40% - Accent3 5 2 4 3 2" xfId="21511"/>
    <cellStyle name="40% - Accent3 5 2 4 3 2 2" xfId="44370"/>
    <cellStyle name="40% - Accent3 5 2 4 3 3" xfId="32068"/>
    <cellStyle name="40% - Accent3 5 2 4 4" xfId="14481"/>
    <cellStyle name="40% - Accent3 5 2 4 4 2" xfId="37340"/>
    <cellStyle name="40% - Accent3 5 2 4 5" xfId="25038"/>
    <cellStyle name="40% - Accent3 5 2 5" xfId="3934"/>
    <cellStyle name="40% - Accent3 5 2 5 2" xfId="16238"/>
    <cellStyle name="40% - Accent3 5 2 5 2 2" xfId="39097"/>
    <cellStyle name="40% - Accent3 5 2 5 3" xfId="26795"/>
    <cellStyle name="40% - Accent3 5 2 6" xfId="7449"/>
    <cellStyle name="40% - Accent3 5 2 6 2" xfId="19753"/>
    <cellStyle name="40% - Accent3 5 2 6 2 2" xfId="42612"/>
    <cellStyle name="40% - Accent3 5 2 6 3" xfId="30310"/>
    <cellStyle name="40% - Accent3 5 2 7" xfId="10964"/>
    <cellStyle name="40% - Accent3 5 2 7 2" xfId="33824"/>
    <cellStyle name="40% - Accent3 5 2 8" xfId="12723"/>
    <cellStyle name="40% - Accent3 5 2 8 2" xfId="35582"/>
    <cellStyle name="40% - Accent3 5 2 9" xfId="23278"/>
    <cellStyle name="40% - Accent3 5 3" xfId="642"/>
    <cellStyle name="40% - Accent3 5 3 2" xfId="1521"/>
    <cellStyle name="40% - Accent3 5 3 2 2" xfId="3282"/>
    <cellStyle name="40% - Accent3 5 3 2 2 2" xfId="6797"/>
    <cellStyle name="40% - Accent3 5 3 2 2 2 2" xfId="19101"/>
    <cellStyle name="40% - Accent3 5 3 2 2 2 2 2" xfId="41960"/>
    <cellStyle name="40% - Accent3 5 3 2 2 2 3" xfId="29658"/>
    <cellStyle name="40% - Accent3 5 3 2 2 3" xfId="10312"/>
    <cellStyle name="40% - Accent3 5 3 2 2 3 2" xfId="22616"/>
    <cellStyle name="40% - Accent3 5 3 2 2 3 2 2" xfId="45475"/>
    <cellStyle name="40% - Accent3 5 3 2 2 3 3" xfId="33173"/>
    <cellStyle name="40% - Accent3 5 3 2 2 4" xfId="15586"/>
    <cellStyle name="40% - Accent3 5 3 2 2 4 2" xfId="38445"/>
    <cellStyle name="40% - Accent3 5 3 2 2 5" xfId="26143"/>
    <cellStyle name="40% - Accent3 5 3 2 3" xfId="5039"/>
    <cellStyle name="40% - Accent3 5 3 2 3 2" xfId="17343"/>
    <cellStyle name="40% - Accent3 5 3 2 3 2 2" xfId="40202"/>
    <cellStyle name="40% - Accent3 5 3 2 3 3" xfId="27900"/>
    <cellStyle name="40% - Accent3 5 3 2 4" xfId="8554"/>
    <cellStyle name="40% - Accent3 5 3 2 4 2" xfId="20858"/>
    <cellStyle name="40% - Accent3 5 3 2 4 2 2" xfId="43717"/>
    <cellStyle name="40% - Accent3 5 3 2 4 3" xfId="31415"/>
    <cellStyle name="40% - Accent3 5 3 2 5" xfId="12069"/>
    <cellStyle name="40% - Accent3 5 3 2 5 2" xfId="34929"/>
    <cellStyle name="40% - Accent3 5 3 2 6" xfId="13828"/>
    <cellStyle name="40% - Accent3 5 3 2 6 2" xfId="36687"/>
    <cellStyle name="40% - Accent3 5 3 2 7" xfId="24384"/>
    <cellStyle name="40% - Accent3 5 3 3" xfId="2404"/>
    <cellStyle name="40% - Accent3 5 3 3 2" xfId="5919"/>
    <cellStyle name="40% - Accent3 5 3 3 2 2" xfId="18223"/>
    <cellStyle name="40% - Accent3 5 3 3 2 2 2" xfId="41082"/>
    <cellStyle name="40% - Accent3 5 3 3 2 3" xfId="28780"/>
    <cellStyle name="40% - Accent3 5 3 3 3" xfId="9434"/>
    <cellStyle name="40% - Accent3 5 3 3 3 2" xfId="21738"/>
    <cellStyle name="40% - Accent3 5 3 3 3 2 2" xfId="44597"/>
    <cellStyle name="40% - Accent3 5 3 3 3 3" xfId="32295"/>
    <cellStyle name="40% - Accent3 5 3 3 4" xfId="14708"/>
    <cellStyle name="40% - Accent3 5 3 3 4 2" xfId="37567"/>
    <cellStyle name="40% - Accent3 5 3 3 5" xfId="25265"/>
    <cellStyle name="40% - Accent3 5 3 4" xfId="4161"/>
    <cellStyle name="40% - Accent3 5 3 4 2" xfId="16465"/>
    <cellStyle name="40% - Accent3 5 3 4 2 2" xfId="39324"/>
    <cellStyle name="40% - Accent3 5 3 4 3" xfId="27022"/>
    <cellStyle name="40% - Accent3 5 3 5" xfId="7676"/>
    <cellStyle name="40% - Accent3 5 3 5 2" xfId="19980"/>
    <cellStyle name="40% - Accent3 5 3 5 2 2" xfId="42839"/>
    <cellStyle name="40% - Accent3 5 3 5 3" xfId="30537"/>
    <cellStyle name="40% - Accent3 5 3 6" xfId="11191"/>
    <cellStyle name="40% - Accent3 5 3 6 2" xfId="34051"/>
    <cellStyle name="40% - Accent3 5 3 7" xfId="12950"/>
    <cellStyle name="40% - Accent3 5 3 7 2" xfId="35809"/>
    <cellStyle name="40% - Accent3 5 3 8" xfId="23506"/>
    <cellStyle name="40% - Accent3 5 4" xfId="1082"/>
    <cellStyle name="40% - Accent3 5 4 2" xfId="2843"/>
    <cellStyle name="40% - Accent3 5 4 2 2" xfId="6358"/>
    <cellStyle name="40% - Accent3 5 4 2 2 2" xfId="18662"/>
    <cellStyle name="40% - Accent3 5 4 2 2 2 2" xfId="41521"/>
    <cellStyle name="40% - Accent3 5 4 2 2 3" xfId="29219"/>
    <cellStyle name="40% - Accent3 5 4 2 3" xfId="9873"/>
    <cellStyle name="40% - Accent3 5 4 2 3 2" xfId="22177"/>
    <cellStyle name="40% - Accent3 5 4 2 3 2 2" xfId="45036"/>
    <cellStyle name="40% - Accent3 5 4 2 3 3" xfId="32734"/>
    <cellStyle name="40% - Accent3 5 4 2 4" xfId="15147"/>
    <cellStyle name="40% - Accent3 5 4 2 4 2" xfId="38006"/>
    <cellStyle name="40% - Accent3 5 4 2 5" xfId="25704"/>
    <cellStyle name="40% - Accent3 5 4 3" xfId="4600"/>
    <cellStyle name="40% - Accent3 5 4 3 2" xfId="16904"/>
    <cellStyle name="40% - Accent3 5 4 3 2 2" xfId="39763"/>
    <cellStyle name="40% - Accent3 5 4 3 3" xfId="27461"/>
    <cellStyle name="40% - Accent3 5 4 4" xfId="8115"/>
    <cellStyle name="40% - Accent3 5 4 4 2" xfId="20419"/>
    <cellStyle name="40% - Accent3 5 4 4 2 2" xfId="43278"/>
    <cellStyle name="40% - Accent3 5 4 4 3" xfId="30976"/>
    <cellStyle name="40% - Accent3 5 4 5" xfId="11630"/>
    <cellStyle name="40% - Accent3 5 4 5 2" xfId="34490"/>
    <cellStyle name="40% - Accent3 5 4 6" xfId="13389"/>
    <cellStyle name="40% - Accent3 5 4 6 2" xfId="36248"/>
    <cellStyle name="40% - Accent3 5 4 7" xfId="23945"/>
    <cellStyle name="40% - Accent3 5 5" xfId="1965"/>
    <cellStyle name="40% - Accent3 5 5 2" xfId="5480"/>
    <cellStyle name="40% - Accent3 5 5 2 2" xfId="17784"/>
    <cellStyle name="40% - Accent3 5 5 2 2 2" xfId="40643"/>
    <cellStyle name="40% - Accent3 5 5 2 3" xfId="28341"/>
    <cellStyle name="40% - Accent3 5 5 3" xfId="8995"/>
    <cellStyle name="40% - Accent3 5 5 3 2" xfId="21299"/>
    <cellStyle name="40% - Accent3 5 5 3 2 2" xfId="44158"/>
    <cellStyle name="40% - Accent3 5 5 3 3" xfId="31856"/>
    <cellStyle name="40% - Accent3 5 5 4" xfId="14269"/>
    <cellStyle name="40% - Accent3 5 5 4 2" xfId="37128"/>
    <cellStyle name="40% - Accent3 5 5 5" xfId="24826"/>
    <cellStyle name="40% - Accent3 5 6" xfId="3722"/>
    <cellStyle name="40% - Accent3 5 6 2" xfId="16026"/>
    <cellStyle name="40% - Accent3 5 6 2 2" xfId="38885"/>
    <cellStyle name="40% - Accent3 5 6 3" xfId="26583"/>
    <cellStyle name="40% - Accent3 5 7" xfId="7237"/>
    <cellStyle name="40% - Accent3 5 7 2" xfId="19541"/>
    <cellStyle name="40% - Accent3 5 7 2 2" xfId="42400"/>
    <cellStyle name="40% - Accent3 5 7 3" xfId="30098"/>
    <cellStyle name="40% - Accent3 5 8" xfId="10752"/>
    <cellStyle name="40% - Accent3 5 8 2" xfId="33612"/>
    <cellStyle name="40% - Accent3 5 9" xfId="12511"/>
    <cellStyle name="40% - Accent3 5 9 2" xfId="35370"/>
    <cellStyle name="40% - Accent3 6" xfId="307"/>
    <cellStyle name="40% - Accent3 6 2" xfId="748"/>
    <cellStyle name="40% - Accent3 6 2 2" xfId="1627"/>
    <cellStyle name="40% - Accent3 6 2 2 2" xfId="3388"/>
    <cellStyle name="40% - Accent3 6 2 2 2 2" xfId="6903"/>
    <cellStyle name="40% - Accent3 6 2 2 2 2 2" xfId="19207"/>
    <cellStyle name="40% - Accent3 6 2 2 2 2 2 2" xfId="42066"/>
    <cellStyle name="40% - Accent3 6 2 2 2 2 3" xfId="29764"/>
    <cellStyle name="40% - Accent3 6 2 2 2 3" xfId="10418"/>
    <cellStyle name="40% - Accent3 6 2 2 2 3 2" xfId="22722"/>
    <cellStyle name="40% - Accent3 6 2 2 2 3 2 2" xfId="45581"/>
    <cellStyle name="40% - Accent3 6 2 2 2 3 3" xfId="33279"/>
    <cellStyle name="40% - Accent3 6 2 2 2 4" xfId="15692"/>
    <cellStyle name="40% - Accent3 6 2 2 2 4 2" xfId="38551"/>
    <cellStyle name="40% - Accent3 6 2 2 2 5" xfId="26249"/>
    <cellStyle name="40% - Accent3 6 2 2 3" xfId="5145"/>
    <cellStyle name="40% - Accent3 6 2 2 3 2" xfId="17449"/>
    <cellStyle name="40% - Accent3 6 2 2 3 2 2" xfId="40308"/>
    <cellStyle name="40% - Accent3 6 2 2 3 3" xfId="28006"/>
    <cellStyle name="40% - Accent3 6 2 2 4" xfId="8660"/>
    <cellStyle name="40% - Accent3 6 2 2 4 2" xfId="20964"/>
    <cellStyle name="40% - Accent3 6 2 2 4 2 2" xfId="43823"/>
    <cellStyle name="40% - Accent3 6 2 2 4 3" xfId="31521"/>
    <cellStyle name="40% - Accent3 6 2 2 5" xfId="12175"/>
    <cellStyle name="40% - Accent3 6 2 2 5 2" xfId="35035"/>
    <cellStyle name="40% - Accent3 6 2 2 6" xfId="13934"/>
    <cellStyle name="40% - Accent3 6 2 2 6 2" xfId="36793"/>
    <cellStyle name="40% - Accent3 6 2 2 7" xfId="24490"/>
    <cellStyle name="40% - Accent3 6 2 3" xfId="2510"/>
    <cellStyle name="40% - Accent3 6 2 3 2" xfId="6025"/>
    <cellStyle name="40% - Accent3 6 2 3 2 2" xfId="18329"/>
    <cellStyle name="40% - Accent3 6 2 3 2 2 2" xfId="41188"/>
    <cellStyle name="40% - Accent3 6 2 3 2 3" xfId="28886"/>
    <cellStyle name="40% - Accent3 6 2 3 3" xfId="9540"/>
    <cellStyle name="40% - Accent3 6 2 3 3 2" xfId="21844"/>
    <cellStyle name="40% - Accent3 6 2 3 3 2 2" xfId="44703"/>
    <cellStyle name="40% - Accent3 6 2 3 3 3" xfId="32401"/>
    <cellStyle name="40% - Accent3 6 2 3 4" xfId="14814"/>
    <cellStyle name="40% - Accent3 6 2 3 4 2" xfId="37673"/>
    <cellStyle name="40% - Accent3 6 2 3 5" xfId="25371"/>
    <cellStyle name="40% - Accent3 6 2 4" xfId="4267"/>
    <cellStyle name="40% - Accent3 6 2 4 2" xfId="16571"/>
    <cellStyle name="40% - Accent3 6 2 4 2 2" xfId="39430"/>
    <cellStyle name="40% - Accent3 6 2 4 3" xfId="27128"/>
    <cellStyle name="40% - Accent3 6 2 5" xfId="7782"/>
    <cellStyle name="40% - Accent3 6 2 5 2" xfId="20086"/>
    <cellStyle name="40% - Accent3 6 2 5 2 2" xfId="42945"/>
    <cellStyle name="40% - Accent3 6 2 5 3" xfId="30643"/>
    <cellStyle name="40% - Accent3 6 2 6" xfId="11297"/>
    <cellStyle name="40% - Accent3 6 2 6 2" xfId="34157"/>
    <cellStyle name="40% - Accent3 6 2 7" xfId="13056"/>
    <cellStyle name="40% - Accent3 6 2 7 2" xfId="35915"/>
    <cellStyle name="40% - Accent3 6 2 8" xfId="23612"/>
    <cellStyle name="40% - Accent3 6 3" xfId="1188"/>
    <cellStyle name="40% - Accent3 6 3 2" xfId="2949"/>
    <cellStyle name="40% - Accent3 6 3 2 2" xfId="6464"/>
    <cellStyle name="40% - Accent3 6 3 2 2 2" xfId="18768"/>
    <cellStyle name="40% - Accent3 6 3 2 2 2 2" xfId="41627"/>
    <cellStyle name="40% - Accent3 6 3 2 2 3" xfId="29325"/>
    <cellStyle name="40% - Accent3 6 3 2 3" xfId="9979"/>
    <cellStyle name="40% - Accent3 6 3 2 3 2" xfId="22283"/>
    <cellStyle name="40% - Accent3 6 3 2 3 2 2" xfId="45142"/>
    <cellStyle name="40% - Accent3 6 3 2 3 3" xfId="32840"/>
    <cellStyle name="40% - Accent3 6 3 2 4" xfId="15253"/>
    <cellStyle name="40% - Accent3 6 3 2 4 2" xfId="38112"/>
    <cellStyle name="40% - Accent3 6 3 2 5" xfId="25810"/>
    <cellStyle name="40% - Accent3 6 3 3" xfId="4706"/>
    <cellStyle name="40% - Accent3 6 3 3 2" xfId="17010"/>
    <cellStyle name="40% - Accent3 6 3 3 2 2" xfId="39869"/>
    <cellStyle name="40% - Accent3 6 3 3 3" xfId="27567"/>
    <cellStyle name="40% - Accent3 6 3 4" xfId="8221"/>
    <cellStyle name="40% - Accent3 6 3 4 2" xfId="20525"/>
    <cellStyle name="40% - Accent3 6 3 4 2 2" xfId="43384"/>
    <cellStyle name="40% - Accent3 6 3 4 3" xfId="31082"/>
    <cellStyle name="40% - Accent3 6 3 5" xfId="11736"/>
    <cellStyle name="40% - Accent3 6 3 5 2" xfId="34596"/>
    <cellStyle name="40% - Accent3 6 3 6" xfId="13495"/>
    <cellStyle name="40% - Accent3 6 3 6 2" xfId="36354"/>
    <cellStyle name="40% - Accent3 6 3 7" xfId="24051"/>
    <cellStyle name="40% - Accent3 6 4" xfId="2071"/>
    <cellStyle name="40% - Accent3 6 4 2" xfId="5586"/>
    <cellStyle name="40% - Accent3 6 4 2 2" xfId="17890"/>
    <cellStyle name="40% - Accent3 6 4 2 2 2" xfId="40749"/>
    <cellStyle name="40% - Accent3 6 4 2 3" xfId="28447"/>
    <cellStyle name="40% - Accent3 6 4 3" xfId="9101"/>
    <cellStyle name="40% - Accent3 6 4 3 2" xfId="21405"/>
    <cellStyle name="40% - Accent3 6 4 3 2 2" xfId="44264"/>
    <cellStyle name="40% - Accent3 6 4 3 3" xfId="31962"/>
    <cellStyle name="40% - Accent3 6 4 4" xfId="14375"/>
    <cellStyle name="40% - Accent3 6 4 4 2" xfId="37234"/>
    <cellStyle name="40% - Accent3 6 4 5" xfId="24932"/>
    <cellStyle name="40% - Accent3 6 5" xfId="3828"/>
    <cellStyle name="40% - Accent3 6 5 2" xfId="16132"/>
    <cellStyle name="40% - Accent3 6 5 2 2" xfId="38991"/>
    <cellStyle name="40% - Accent3 6 5 3" xfId="26689"/>
    <cellStyle name="40% - Accent3 6 6" xfId="7343"/>
    <cellStyle name="40% - Accent3 6 6 2" xfId="19647"/>
    <cellStyle name="40% - Accent3 6 6 2 2" xfId="42506"/>
    <cellStyle name="40% - Accent3 6 6 3" xfId="30204"/>
    <cellStyle name="40% - Accent3 6 7" xfId="10858"/>
    <cellStyle name="40% - Accent3 6 7 2" xfId="33718"/>
    <cellStyle name="40% - Accent3 6 8" xfId="12617"/>
    <cellStyle name="40% - Accent3 6 8 2" xfId="35476"/>
    <cellStyle name="40% - Accent3 6 9" xfId="23172"/>
    <cellStyle name="40% - Accent3 7" xfId="514"/>
    <cellStyle name="40% - Accent3 7 2" xfId="955"/>
    <cellStyle name="40% - Accent3 7 2 2" xfId="1834"/>
    <cellStyle name="40% - Accent3 7 2 2 2" xfId="3595"/>
    <cellStyle name="40% - Accent3 7 2 2 2 2" xfId="7110"/>
    <cellStyle name="40% - Accent3 7 2 2 2 2 2" xfId="19414"/>
    <cellStyle name="40% - Accent3 7 2 2 2 2 2 2" xfId="42273"/>
    <cellStyle name="40% - Accent3 7 2 2 2 2 3" xfId="29971"/>
    <cellStyle name="40% - Accent3 7 2 2 2 3" xfId="10625"/>
    <cellStyle name="40% - Accent3 7 2 2 2 3 2" xfId="22929"/>
    <cellStyle name="40% - Accent3 7 2 2 2 3 2 2" xfId="45788"/>
    <cellStyle name="40% - Accent3 7 2 2 2 3 3" xfId="33486"/>
    <cellStyle name="40% - Accent3 7 2 2 2 4" xfId="15899"/>
    <cellStyle name="40% - Accent3 7 2 2 2 4 2" xfId="38758"/>
    <cellStyle name="40% - Accent3 7 2 2 2 5" xfId="26456"/>
    <cellStyle name="40% - Accent3 7 2 2 3" xfId="5352"/>
    <cellStyle name="40% - Accent3 7 2 2 3 2" xfId="17656"/>
    <cellStyle name="40% - Accent3 7 2 2 3 2 2" xfId="40515"/>
    <cellStyle name="40% - Accent3 7 2 2 3 3" xfId="28213"/>
    <cellStyle name="40% - Accent3 7 2 2 4" xfId="8867"/>
    <cellStyle name="40% - Accent3 7 2 2 4 2" xfId="21171"/>
    <cellStyle name="40% - Accent3 7 2 2 4 2 2" xfId="44030"/>
    <cellStyle name="40% - Accent3 7 2 2 4 3" xfId="31728"/>
    <cellStyle name="40% - Accent3 7 2 2 5" xfId="12382"/>
    <cellStyle name="40% - Accent3 7 2 2 5 2" xfId="35242"/>
    <cellStyle name="40% - Accent3 7 2 2 6" xfId="14141"/>
    <cellStyle name="40% - Accent3 7 2 2 6 2" xfId="37000"/>
    <cellStyle name="40% - Accent3 7 2 2 7" xfId="24697"/>
    <cellStyle name="40% - Accent3 7 2 3" xfId="2717"/>
    <cellStyle name="40% - Accent3 7 2 3 2" xfId="6232"/>
    <cellStyle name="40% - Accent3 7 2 3 2 2" xfId="18536"/>
    <cellStyle name="40% - Accent3 7 2 3 2 2 2" xfId="41395"/>
    <cellStyle name="40% - Accent3 7 2 3 2 3" xfId="29093"/>
    <cellStyle name="40% - Accent3 7 2 3 3" xfId="9747"/>
    <cellStyle name="40% - Accent3 7 2 3 3 2" xfId="22051"/>
    <cellStyle name="40% - Accent3 7 2 3 3 2 2" xfId="44910"/>
    <cellStyle name="40% - Accent3 7 2 3 3 3" xfId="32608"/>
    <cellStyle name="40% - Accent3 7 2 3 4" xfId="15021"/>
    <cellStyle name="40% - Accent3 7 2 3 4 2" xfId="37880"/>
    <cellStyle name="40% - Accent3 7 2 3 5" xfId="25578"/>
    <cellStyle name="40% - Accent3 7 2 4" xfId="4474"/>
    <cellStyle name="40% - Accent3 7 2 4 2" xfId="16778"/>
    <cellStyle name="40% - Accent3 7 2 4 2 2" xfId="39637"/>
    <cellStyle name="40% - Accent3 7 2 4 3" xfId="27335"/>
    <cellStyle name="40% - Accent3 7 2 5" xfId="7989"/>
    <cellStyle name="40% - Accent3 7 2 5 2" xfId="20293"/>
    <cellStyle name="40% - Accent3 7 2 5 2 2" xfId="43152"/>
    <cellStyle name="40% - Accent3 7 2 5 3" xfId="30850"/>
    <cellStyle name="40% - Accent3 7 2 6" xfId="11504"/>
    <cellStyle name="40% - Accent3 7 2 6 2" xfId="34364"/>
    <cellStyle name="40% - Accent3 7 2 7" xfId="13263"/>
    <cellStyle name="40% - Accent3 7 2 7 2" xfId="36122"/>
    <cellStyle name="40% - Accent3 7 2 8" xfId="23819"/>
    <cellStyle name="40% - Accent3 7 3" xfId="1395"/>
    <cellStyle name="40% - Accent3 7 3 2" xfId="3156"/>
    <cellStyle name="40% - Accent3 7 3 2 2" xfId="6671"/>
    <cellStyle name="40% - Accent3 7 3 2 2 2" xfId="18975"/>
    <cellStyle name="40% - Accent3 7 3 2 2 2 2" xfId="41834"/>
    <cellStyle name="40% - Accent3 7 3 2 2 3" xfId="29532"/>
    <cellStyle name="40% - Accent3 7 3 2 3" xfId="10186"/>
    <cellStyle name="40% - Accent3 7 3 2 3 2" xfId="22490"/>
    <cellStyle name="40% - Accent3 7 3 2 3 2 2" xfId="45349"/>
    <cellStyle name="40% - Accent3 7 3 2 3 3" xfId="33047"/>
    <cellStyle name="40% - Accent3 7 3 2 4" xfId="15460"/>
    <cellStyle name="40% - Accent3 7 3 2 4 2" xfId="38319"/>
    <cellStyle name="40% - Accent3 7 3 2 5" xfId="26017"/>
    <cellStyle name="40% - Accent3 7 3 3" xfId="4913"/>
    <cellStyle name="40% - Accent3 7 3 3 2" xfId="17217"/>
    <cellStyle name="40% - Accent3 7 3 3 2 2" xfId="40076"/>
    <cellStyle name="40% - Accent3 7 3 3 3" xfId="27774"/>
    <cellStyle name="40% - Accent3 7 3 4" xfId="8428"/>
    <cellStyle name="40% - Accent3 7 3 4 2" xfId="20732"/>
    <cellStyle name="40% - Accent3 7 3 4 2 2" xfId="43591"/>
    <cellStyle name="40% - Accent3 7 3 4 3" xfId="31289"/>
    <cellStyle name="40% - Accent3 7 3 5" xfId="11943"/>
    <cellStyle name="40% - Accent3 7 3 5 2" xfId="34803"/>
    <cellStyle name="40% - Accent3 7 3 6" xfId="13702"/>
    <cellStyle name="40% - Accent3 7 3 6 2" xfId="36561"/>
    <cellStyle name="40% - Accent3 7 3 7" xfId="24258"/>
    <cellStyle name="40% - Accent3 7 4" xfId="2278"/>
    <cellStyle name="40% - Accent3 7 4 2" xfId="5793"/>
    <cellStyle name="40% - Accent3 7 4 2 2" xfId="18097"/>
    <cellStyle name="40% - Accent3 7 4 2 2 2" xfId="40956"/>
    <cellStyle name="40% - Accent3 7 4 2 3" xfId="28654"/>
    <cellStyle name="40% - Accent3 7 4 3" xfId="9308"/>
    <cellStyle name="40% - Accent3 7 4 3 2" xfId="21612"/>
    <cellStyle name="40% - Accent3 7 4 3 2 2" xfId="44471"/>
    <cellStyle name="40% - Accent3 7 4 3 3" xfId="32169"/>
    <cellStyle name="40% - Accent3 7 4 4" xfId="14582"/>
    <cellStyle name="40% - Accent3 7 4 4 2" xfId="37441"/>
    <cellStyle name="40% - Accent3 7 4 5" xfId="25139"/>
    <cellStyle name="40% - Accent3 7 5" xfId="4035"/>
    <cellStyle name="40% - Accent3 7 5 2" xfId="16339"/>
    <cellStyle name="40% - Accent3 7 5 2 2" xfId="39198"/>
    <cellStyle name="40% - Accent3 7 5 3" xfId="26896"/>
    <cellStyle name="40% - Accent3 7 6" xfId="7550"/>
    <cellStyle name="40% - Accent3 7 6 2" xfId="19854"/>
    <cellStyle name="40% - Accent3 7 6 2 2" xfId="42713"/>
    <cellStyle name="40% - Accent3 7 6 3" xfId="30411"/>
    <cellStyle name="40% - Accent3 7 7" xfId="11065"/>
    <cellStyle name="40% - Accent3 7 7 2" xfId="33925"/>
    <cellStyle name="40% - Accent3 7 8" xfId="12824"/>
    <cellStyle name="40% - Accent3 7 8 2" xfId="35683"/>
    <cellStyle name="40% - Accent3 7 9" xfId="23379"/>
    <cellStyle name="40% - Accent3 8" xfId="527"/>
    <cellStyle name="40% - Accent3 8 2" xfId="1408"/>
    <cellStyle name="40% - Accent3 8 2 2" xfId="3169"/>
    <cellStyle name="40% - Accent3 8 2 2 2" xfId="6684"/>
    <cellStyle name="40% - Accent3 8 2 2 2 2" xfId="18988"/>
    <cellStyle name="40% - Accent3 8 2 2 2 2 2" xfId="41847"/>
    <cellStyle name="40% - Accent3 8 2 2 2 3" xfId="29545"/>
    <cellStyle name="40% - Accent3 8 2 2 3" xfId="10199"/>
    <cellStyle name="40% - Accent3 8 2 2 3 2" xfId="22503"/>
    <cellStyle name="40% - Accent3 8 2 2 3 2 2" xfId="45362"/>
    <cellStyle name="40% - Accent3 8 2 2 3 3" xfId="33060"/>
    <cellStyle name="40% - Accent3 8 2 2 4" xfId="15473"/>
    <cellStyle name="40% - Accent3 8 2 2 4 2" xfId="38332"/>
    <cellStyle name="40% - Accent3 8 2 2 5" xfId="26030"/>
    <cellStyle name="40% - Accent3 8 2 3" xfId="4926"/>
    <cellStyle name="40% - Accent3 8 2 3 2" xfId="17230"/>
    <cellStyle name="40% - Accent3 8 2 3 2 2" xfId="40089"/>
    <cellStyle name="40% - Accent3 8 2 3 3" xfId="27787"/>
    <cellStyle name="40% - Accent3 8 2 4" xfId="8441"/>
    <cellStyle name="40% - Accent3 8 2 4 2" xfId="20745"/>
    <cellStyle name="40% - Accent3 8 2 4 2 2" xfId="43604"/>
    <cellStyle name="40% - Accent3 8 2 4 3" xfId="31302"/>
    <cellStyle name="40% - Accent3 8 2 5" xfId="11956"/>
    <cellStyle name="40% - Accent3 8 2 5 2" xfId="34816"/>
    <cellStyle name="40% - Accent3 8 2 6" xfId="13715"/>
    <cellStyle name="40% - Accent3 8 2 6 2" xfId="36574"/>
    <cellStyle name="40% - Accent3 8 2 7" xfId="24271"/>
    <cellStyle name="40% - Accent3 8 3" xfId="2291"/>
    <cellStyle name="40% - Accent3 8 3 2" xfId="5806"/>
    <cellStyle name="40% - Accent3 8 3 2 2" xfId="18110"/>
    <cellStyle name="40% - Accent3 8 3 2 2 2" xfId="40969"/>
    <cellStyle name="40% - Accent3 8 3 2 3" xfId="28667"/>
    <cellStyle name="40% - Accent3 8 3 3" xfId="9321"/>
    <cellStyle name="40% - Accent3 8 3 3 2" xfId="21625"/>
    <cellStyle name="40% - Accent3 8 3 3 2 2" xfId="44484"/>
    <cellStyle name="40% - Accent3 8 3 3 3" xfId="32182"/>
    <cellStyle name="40% - Accent3 8 3 4" xfId="14595"/>
    <cellStyle name="40% - Accent3 8 3 4 2" xfId="37454"/>
    <cellStyle name="40% - Accent3 8 3 5" xfId="25152"/>
    <cellStyle name="40% - Accent3 8 4" xfId="4048"/>
    <cellStyle name="40% - Accent3 8 4 2" xfId="16352"/>
    <cellStyle name="40% - Accent3 8 4 2 2" xfId="39211"/>
    <cellStyle name="40% - Accent3 8 4 3" xfId="26909"/>
    <cellStyle name="40% - Accent3 8 5" xfId="7563"/>
    <cellStyle name="40% - Accent3 8 5 2" xfId="19867"/>
    <cellStyle name="40% - Accent3 8 5 2 2" xfId="42726"/>
    <cellStyle name="40% - Accent3 8 5 3" xfId="30424"/>
    <cellStyle name="40% - Accent3 8 6" xfId="11078"/>
    <cellStyle name="40% - Accent3 8 6 2" xfId="33938"/>
    <cellStyle name="40% - Accent3 8 7" xfId="12837"/>
    <cellStyle name="40% - Accent3 8 7 2" xfId="35696"/>
    <cellStyle name="40% - Accent3 8 8" xfId="23392"/>
    <cellStyle name="40% - Accent3 9" xfId="976"/>
    <cellStyle name="40% - Accent3 9 2" xfId="2737"/>
    <cellStyle name="40% - Accent3 9 2 2" xfId="6252"/>
    <cellStyle name="40% - Accent3 9 2 2 2" xfId="18556"/>
    <cellStyle name="40% - Accent3 9 2 2 2 2" xfId="41415"/>
    <cellStyle name="40% - Accent3 9 2 2 3" xfId="29113"/>
    <cellStyle name="40% - Accent3 9 2 3" xfId="9767"/>
    <cellStyle name="40% - Accent3 9 2 3 2" xfId="22071"/>
    <cellStyle name="40% - Accent3 9 2 3 2 2" xfId="44930"/>
    <cellStyle name="40% - Accent3 9 2 3 3" xfId="32628"/>
    <cellStyle name="40% - Accent3 9 2 4" xfId="15041"/>
    <cellStyle name="40% - Accent3 9 2 4 2" xfId="37900"/>
    <cellStyle name="40% - Accent3 9 2 5" xfId="25598"/>
    <cellStyle name="40% - Accent3 9 3" xfId="4494"/>
    <cellStyle name="40% - Accent3 9 3 2" xfId="16798"/>
    <cellStyle name="40% - Accent3 9 3 2 2" xfId="39657"/>
    <cellStyle name="40% - Accent3 9 3 3" xfId="27355"/>
    <cellStyle name="40% - Accent3 9 4" xfId="8009"/>
    <cellStyle name="40% - Accent3 9 4 2" xfId="20313"/>
    <cellStyle name="40% - Accent3 9 4 2 2" xfId="43172"/>
    <cellStyle name="40% - Accent3 9 4 3" xfId="30870"/>
    <cellStyle name="40% - Accent3 9 5" xfId="11524"/>
    <cellStyle name="40% - Accent3 9 5 2" xfId="34384"/>
    <cellStyle name="40% - Accent3 9 6" xfId="13283"/>
    <cellStyle name="40% - Accent3 9 6 2" xfId="36142"/>
    <cellStyle name="40% - Accent3 9 7" xfId="23839"/>
    <cellStyle name="40% - Accent4" xfId="88" builtinId="43" customBuiltin="1"/>
    <cellStyle name="40% - Accent4 10" xfId="1852"/>
    <cellStyle name="40% - Accent4 10 2" xfId="5369"/>
    <cellStyle name="40% - Accent4 10 2 2" xfId="17673"/>
    <cellStyle name="40% - Accent4 10 2 2 2" xfId="40532"/>
    <cellStyle name="40% - Accent4 10 2 3" xfId="28230"/>
    <cellStyle name="40% - Accent4 10 3" xfId="8884"/>
    <cellStyle name="40% - Accent4 10 3 2" xfId="21188"/>
    <cellStyle name="40% - Accent4 10 3 2 2" xfId="44047"/>
    <cellStyle name="40% - Accent4 10 3 3" xfId="31745"/>
    <cellStyle name="40% - Accent4 10 4" xfId="14158"/>
    <cellStyle name="40% - Accent4 10 4 2" xfId="37017"/>
    <cellStyle name="40% - Accent4 10 5" xfId="24714"/>
    <cellStyle name="40% - Accent4 11" xfId="3618"/>
    <cellStyle name="40% - Accent4 11 2" xfId="15922"/>
    <cellStyle name="40% - Accent4 11 2 2" xfId="38781"/>
    <cellStyle name="40% - Accent4 11 3" xfId="26479"/>
    <cellStyle name="40% - Accent4 12" xfId="7133"/>
    <cellStyle name="40% - Accent4 12 2" xfId="19437"/>
    <cellStyle name="40% - Accent4 12 2 2" xfId="42296"/>
    <cellStyle name="40% - Accent4 12 3" xfId="29994"/>
    <cellStyle name="40% - Accent4 13" xfId="10648"/>
    <cellStyle name="40% - Accent4 13 2" xfId="33508"/>
    <cellStyle name="40% - Accent4 14" xfId="12398"/>
    <cellStyle name="40% - Accent4 14 2" xfId="35258"/>
    <cellStyle name="40% - Accent4 15" xfId="22960"/>
    <cellStyle name="40% - Accent4 2" xfId="10"/>
    <cellStyle name="40% - Accent4 3" xfId="112"/>
    <cellStyle name="40% - Accent4 3 10" xfId="10667"/>
    <cellStyle name="40% - Accent4 3 10 2" xfId="33527"/>
    <cellStyle name="40% - Accent4 3 11" xfId="12426"/>
    <cellStyle name="40% - Accent4 3 11 2" xfId="35285"/>
    <cellStyle name="40% - Accent4 3 12" xfId="22979"/>
    <cellStyle name="40% - Accent4 3 2" xfId="168"/>
    <cellStyle name="40% - Accent4 3 2 10" xfId="12480"/>
    <cellStyle name="40% - Accent4 3 2 10 2" xfId="35339"/>
    <cellStyle name="40% - Accent4 3 2 11" xfId="23034"/>
    <cellStyle name="40% - Accent4 3 2 2" xfId="276"/>
    <cellStyle name="40% - Accent4 3 2 2 10" xfId="23141"/>
    <cellStyle name="40% - Accent4 3 2 2 2" xfId="488"/>
    <cellStyle name="40% - Accent4 3 2 2 2 2" xfId="929"/>
    <cellStyle name="40% - Accent4 3 2 2 2 2 2" xfId="1808"/>
    <cellStyle name="40% - Accent4 3 2 2 2 2 2 2" xfId="3569"/>
    <cellStyle name="40% - Accent4 3 2 2 2 2 2 2 2" xfId="7084"/>
    <cellStyle name="40% - Accent4 3 2 2 2 2 2 2 2 2" xfId="19388"/>
    <cellStyle name="40% - Accent4 3 2 2 2 2 2 2 2 2 2" xfId="42247"/>
    <cellStyle name="40% - Accent4 3 2 2 2 2 2 2 2 3" xfId="29945"/>
    <cellStyle name="40% - Accent4 3 2 2 2 2 2 2 3" xfId="10599"/>
    <cellStyle name="40% - Accent4 3 2 2 2 2 2 2 3 2" xfId="22903"/>
    <cellStyle name="40% - Accent4 3 2 2 2 2 2 2 3 2 2" xfId="45762"/>
    <cellStyle name="40% - Accent4 3 2 2 2 2 2 2 3 3" xfId="33460"/>
    <cellStyle name="40% - Accent4 3 2 2 2 2 2 2 4" xfId="15873"/>
    <cellStyle name="40% - Accent4 3 2 2 2 2 2 2 4 2" xfId="38732"/>
    <cellStyle name="40% - Accent4 3 2 2 2 2 2 2 5" xfId="26430"/>
    <cellStyle name="40% - Accent4 3 2 2 2 2 2 3" xfId="5326"/>
    <cellStyle name="40% - Accent4 3 2 2 2 2 2 3 2" xfId="17630"/>
    <cellStyle name="40% - Accent4 3 2 2 2 2 2 3 2 2" xfId="40489"/>
    <cellStyle name="40% - Accent4 3 2 2 2 2 2 3 3" xfId="28187"/>
    <cellStyle name="40% - Accent4 3 2 2 2 2 2 4" xfId="8841"/>
    <cellStyle name="40% - Accent4 3 2 2 2 2 2 4 2" xfId="21145"/>
    <cellStyle name="40% - Accent4 3 2 2 2 2 2 4 2 2" xfId="44004"/>
    <cellStyle name="40% - Accent4 3 2 2 2 2 2 4 3" xfId="31702"/>
    <cellStyle name="40% - Accent4 3 2 2 2 2 2 5" xfId="12356"/>
    <cellStyle name="40% - Accent4 3 2 2 2 2 2 5 2" xfId="35216"/>
    <cellStyle name="40% - Accent4 3 2 2 2 2 2 6" xfId="14115"/>
    <cellStyle name="40% - Accent4 3 2 2 2 2 2 6 2" xfId="36974"/>
    <cellStyle name="40% - Accent4 3 2 2 2 2 2 7" xfId="24671"/>
    <cellStyle name="40% - Accent4 3 2 2 2 2 3" xfId="2691"/>
    <cellStyle name="40% - Accent4 3 2 2 2 2 3 2" xfId="6206"/>
    <cellStyle name="40% - Accent4 3 2 2 2 2 3 2 2" xfId="18510"/>
    <cellStyle name="40% - Accent4 3 2 2 2 2 3 2 2 2" xfId="41369"/>
    <cellStyle name="40% - Accent4 3 2 2 2 2 3 2 3" xfId="29067"/>
    <cellStyle name="40% - Accent4 3 2 2 2 2 3 3" xfId="9721"/>
    <cellStyle name="40% - Accent4 3 2 2 2 2 3 3 2" xfId="22025"/>
    <cellStyle name="40% - Accent4 3 2 2 2 2 3 3 2 2" xfId="44884"/>
    <cellStyle name="40% - Accent4 3 2 2 2 2 3 3 3" xfId="32582"/>
    <cellStyle name="40% - Accent4 3 2 2 2 2 3 4" xfId="14995"/>
    <cellStyle name="40% - Accent4 3 2 2 2 2 3 4 2" xfId="37854"/>
    <cellStyle name="40% - Accent4 3 2 2 2 2 3 5" xfId="25552"/>
    <cellStyle name="40% - Accent4 3 2 2 2 2 4" xfId="4448"/>
    <cellStyle name="40% - Accent4 3 2 2 2 2 4 2" xfId="16752"/>
    <cellStyle name="40% - Accent4 3 2 2 2 2 4 2 2" xfId="39611"/>
    <cellStyle name="40% - Accent4 3 2 2 2 2 4 3" xfId="27309"/>
    <cellStyle name="40% - Accent4 3 2 2 2 2 5" xfId="7963"/>
    <cellStyle name="40% - Accent4 3 2 2 2 2 5 2" xfId="20267"/>
    <cellStyle name="40% - Accent4 3 2 2 2 2 5 2 2" xfId="43126"/>
    <cellStyle name="40% - Accent4 3 2 2 2 2 5 3" xfId="30824"/>
    <cellStyle name="40% - Accent4 3 2 2 2 2 6" xfId="11478"/>
    <cellStyle name="40% - Accent4 3 2 2 2 2 6 2" xfId="34338"/>
    <cellStyle name="40% - Accent4 3 2 2 2 2 7" xfId="13237"/>
    <cellStyle name="40% - Accent4 3 2 2 2 2 7 2" xfId="36096"/>
    <cellStyle name="40% - Accent4 3 2 2 2 2 8" xfId="23793"/>
    <cellStyle name="40% - Accent4 3 2 2 2 3" xfId="1369"/>
    <cellStyle name="40% - Accent4 3 2 2 2 3 2" xfId="3130"/>
    <cellStyle name="40% - Accent4 3 2 2 2 3 2 2" xfId="6645"/>
    <cellStyle name="40% - Accent4 3 2 2 2 3 2 2 2" xfId="18949"/>
    <cellStyle name="40% - Accent4 3 2 2 2 3 2 2 2 2" xfId="41808"/>
    <cellStyle name="40% - Accent4 3 2 2 2 3 2 2 3" xfId="29506"/>
    <cellStyle name="40% - Accent4 3 2 2 2 3 2 3" xfId="10160"/>
    <cellStyle name="40% - Accent4 3 2 2 2 3 2 3 2" xfId="22464"/>
    <cellStyle name="40% - Accent4 3 2 2 2 3 2 3 2 2" xfId="45323"/>
    <cellStyle name="40% - Accent4 3 2 2 2 3 2 3 3" xfId="33021"/>
    <cellStyle name="40% - Accent4 3 2 2 2 3 2 4" xfId="15434"/>
    <cellStyle name="40% - Accent4 3 2 2 2 3 2 4 2" xfId="38293"/>
    <cellStyle name="40% - Accent4 3 2 2 2 3 2 5" xfId="25991"/>
    <cellStyle name="40% - Accent4 3 2 2 2 3 3" xfId="4887"/>
    <cellStyle name="40% - Accent4 3 2 2 2 3 3 2" xfId="17191"/>
    <cellStyle name="40% - Accent4 3 2 2 2 3 3 2 2" xfId="40050"/>
    <cellStyle name="40% - Accent4 3 2 2 2 3 3 3" xfId="27748"/>
    <cellStyle name="40% - Accent4 3 2 2 2 3 4" xfId="8402"/>
    <cellStyle name="40% - Accent4 3 2 2 2 3 4 2" xfId="20706"/>
    <cellStyle name="40% - Accent4 3 2 2 2 3 4 2 2" xfId="43565"/>
    <cellStyle name="40% - Accent4 3 2 2 2 3 4 3" xfId="31263"/>
    <cellStyle name="40% - Accent4 3 2 2 2 3 5" xfId="11917"/>
    <cellStyle name="40% - Accent4 3 2 2 2 3 5 2" xfId="34777"/>
    <cellStyle name="40% - Accent4 3 2 2 2 3 6" xfId="13676"/>
    <cellStyle name="40% - Accent4 3 2 2 2 3 6 2" xfId="36535"/>
    <cellStyle name="40% - Accent4 3 2 2 2 3 7" xfId="24232"/>
    <cellStyle name="40% - Accent4 3 2 2 2 4" xfId="2252"/>
    <cellStyle name="40% - Accent4 3 2 2 2 4 2" xfId="5767"/>
    <cellStyle name="40% - Accent4 3 2 2 2 4 2 2" xfId="18071"/>
    <cellStyle name="40% - Accent4 3 2 2 2 4 2 2 2" xfId="40930"/>
    <cellStyle name="40% - Accent4 3 2 2 2 4 2 3" xfId="28628"/>
    <cellStyle name="40% - Accent4 3 2 2 2 4 3" xfId="9282"/>
    <cellStyle name="40% - Accent4 3 2 2 2 4 3 2" xfId="21586"/>
    <cellStyle name="40% - Accent4 3 2 2 2 4 3 2 2" xfId="44445"/>
    <cellStyle name="40% - Accent4 3 2 2 2 4 3 3" xfId="32143"/>
    <cellStyle name="40% - Accent4 3 2 2 2 4 4" xfId="14556"/>
    <cellStyle name="40% - Accent4 3 2 2 2 4 4 2" xfId="37415"/>
    <cellStyle name="40% - Accent4 3 2 2 2 4 5" xfId="25113"/>
    <cellStyle name="40% - Accent4 3 2 2 2 5" xfId="4009"/>
    <cellStyle name="40% - Accent4 3 2 2 2 5 2" xfId="16313"/>
    <cellStyle name="40% - Accent4 3 2 2 2 5 2 2" xfId="39172"/>
    <cellStyle name="40% - Accent4 3 2 2 2 5 3" xfId="26870"/>
    <cellStyle name="40% - Accent4 3 2 2 2 6" xfId="7524"/>
    <cellStyle name="40% - Accent4 3 2 2 2 6 2" xfId="19828"/>
    <cellStyle name="40% - Accent4 3 2 2 2 6 2 2" xfId="42687"/>
    <cellStyle name="40% - Accent4 3 2 2 2 6 3" xfId="30385"/>
    <cellStyle name="40% - Accent4 3 2 2 2 7" xfId="11039"/>
    <cellStyle name="40% - Accent4 3 2 2 2 7 2" xfId="33899"/>
    <cellStyle name="40% - Accent4 3 2 2 2 8" xfId="12798"/>
    <cellStyle name="40% - Accent4 3 2 2 2 8 2" xfId="35657"/>
    <cellStyle name="40% - Accent4 3 2 2 2 9" xfId="23353"/>
    <cellStyle name="40% - Accent4 3 2 2 3" xfId="717"/>
    <cellStyle name="40% - Accent4 3 2 2 3 2" xfId="1596"/>
    <cellStyle name="40% - Accent4 3 2 2 3 2 2" xfId="3357"/>
    <cellStyle name="40% - Accent4 3 2 2 3 2 2 2" xfId="6872"/>
    <cellStyle name="40% - Accent4 3 2 2 3 2 2 2 2" xfId="19176"/>
    <cellStyle name="40% - Accent4 3 2 2 3 2 2 2 2 2" xfId="42035"/>
    <cellStyle name="40% - Accent4 3 2 2 3 2 2 2 3" xfId="29733"/>
    <cellStyle name="40% - Accent4 3 2 2 3 2 2 3" xfId="10387"/>
    <cellStyle name="40% - Accent4 3 2 2 3 2 2 3 2" xfId="22691"/>
    <cellStyle name="40% - Accent4 3 2 2 3 2 2 3 2 2" xfId="45550"/>
    <cellStyle name="40% - Accent4 3 2 2 3 2 2 3 3" xfId="33248"/>
    <cellStyle name="40% - Accent4 3 2 2 3 2 2 4" xfId="15661"/>
    <cellStyle name="40% - Accent4 3 2 2 3 2 2 4 2" xfId="38520"/>
    <cellStyle name="40% - Accent4 3 2 2 3 2 2 5" xfId="26218"/>
    <cellStyle name="40% - Accent4 3 2 2 3 2 3" xfId="5114"/>
    <cellStyle name="40% - Accent4 3 2 2 3 2 3 2" xfId="17418"/>
    <cellStyle name="40% - Accent4 3 2 2 3 2 3 2 2" xfId="40277"/>
    <cellStyle name="40% - Accent4 3 2 2 3 2 3 3" xfId="27975"/>
    <cellStyle name="40% - Accent4 3 2 2 3 2 4" xfId="8629"/>
    <cellStyle name="40% - Accent4 3 2 2 3 2 4 2" xfId="20933"/>
    <cellStyle name="40% - Accent4 3 2 2 3 2 4 2 2" xfId="43792"/>
    <cellStyle name="40% - Accent4 3 2 2 3 2 4 3" xfId="31490"/>
    <cellStyle name="40% - Accent4 3 2 2 3 2 5" xfId="12144"/>
    <cellStyle name="40% - Accent4 3 2 2 3 2 5 2" xfId="35004"/>
    <cellStyle name="40% - Accent4 3 2 2 3 2 6" xfId="13903"/>
    <cellStyle name="40% - Accent4 3 2 2 3 2 6 2" xfId="36762"/>
    <cellStyle name="40% - Accent4 3 2 2 3 2 7" xfId="24459"/>
    <cellStyle name="40% - Accent4 3 2 2 3 3" xfId="2479"/>
    <cellStyle name="40% - Accent4 3 2 2 3 3 2" xfId="5994"/>
    <cellStyle name="40% - Accent4 3 2 2 3 3 2 2" xfId="18298"/>
    <cellStyle name="40% - Accent4 3 2 2 3 3 2 2 2" xfId="41157"/>
    <cellStyle name="40% - Accent4 3 2 2 3 3 2 3" xfId="28855"/>
    <cellStyle name="40% - Accent4 3 2 2 3 3 3" xfId="9509"/>
    <cellStyle name="40% - Accent4 3 2 2 3 3 3 2" xfId="21813"/>
    <cellStyle name="40% - Accent4 3 2 2 3 3 3 2 2" xfId="44672"/>
    <cellStyle name="40% - Accent4 3 2 2 3 3 3 3" xfId="32370"/>
    <cellStyle name="40% - Accent4 3 2 2 3 3 4" xfId="14783"/>
    <cellStyle name="40% - Accent4 3 2 2 3 3 4 2" xfId="37642"/>
    <cellStyle name="40% - Accent4 3 2 2 3 3 5" xfId="25340"/>
    <cellStyle name="40% - Accent4 3 2 2 3 4" xfId="4236"/>
    <cellStyle name="40% - Accent4 3 2 2 3 4 2" xfId="16540"/>
    <cellStyle name="40% - Accent4 3 2 2 3 4 2 2" xfId="39399"/>
    <cellStyle name="40% - Accent4 3 2 2 3 4 3" xfId="27097"/>
    <cellStyle name="40% - Accent4 3 2 2 3 5" xfId="7751"/>
    <cellStyle name="40% - Accent4 3 2 2 3 5 2" xfId="20055"/>
    <cellStyle name="40% - Accent4 3 2 2 3 5 2 2" xfId="42914"/>
    <cellStyle name="40% - Accent4 3 2 2 3 5 3" xfId="30612"/>
    <cellStyle name="40% - Accent4 3 2 2 3 6" xfId="11266"/>
    <cellStyle name="40% - Accent4 3 2 2 3 6 2" xfId="34126"/>
    <cellStyle name="40% - Accent4 3 2 2 3 7" xfId="13025"/>
    <cellStyle name="40% - Accent4 3 2 2 3 7 2" xfId="35884"/>
    <cellStyle name="40% - Accent4 3 2 2 3 8" xfId="23581"/>
    <cellStyle name="40% - Accent4 3 2 2 4" xfId="1157"/>
    <cellStyle name="40% - Accent4 3 2 2 4 2" xfId="2918"/>
    <cellStyle name="40% - Accent4 3 2 2 4 2 2" xfId="6433"/>
    <cellStyle name="40% - Accent4 3 2 2 4 2 2 2" xfId="18737"/>
    <cellStyle name="40% - Accent4 3 2 2 4 2 2 2 2" xfId="41596"/>
    <cellStyle name="40% - Accent4 3 2 2 4 2 2 3" xfId="29294"/>
    <cellStyle name="40% - Accent4 3 2 2 4 2 3" xfId="9948"/>
    <cellStyle name="40% - Accent4 3 2 2 4 2 3 2" xfId="22252"/>
    <cellStyle name="40% - Accent4 3 2 2 4 2 3 2 2" xfId="45111"/>
    <cellStyle name="40% - Accent4 3 2 2 4 2 3 3" xfId="32809"/>
    <cellStyle name="40% - Accent4 3 2 2 4 2 4" xfId="15222"/>
    <cellStyle name="40% - Accent4 3 2 2 4 2 4 2" xfId="38081"/>
    <cellStyle name="40% - Accent4 3 2 2 4 2 5" xfId="25779"/>
    <cellStyle name="40% - Accent4 3 2 2 4 3" xfId="4675"/>
    <cellStyle name="40% - Accent4 3 2 2 4 3 2" xfId="16979"/>
    <cellStyle name="40% - Accent4 3 2 2 4 3 2 2" xfId="39838"/>
    <cellStyle name="40% - Accent4 3 2 2 4 3 3" xfId="27536"/>
    <cellStyle name="40% - Accent4 3 2 2 4 4" xfId="8190"/>
    <cellStyle name="40% - Accent4 3 2 2 4 4 2" xfId="20494"/>
    <cellStyle name="40% - Accent4 3 2 2 4 4 2 2" xfId="43353"/>
    <cellStyle name="40% - Accent4 3 2 2 4 4 3" xfId="31051"/>
    <cellStyle name="40% - Accent4 3 2 2 4 5" xfId="11705"/>
    <cellStyle name="40% - Accent4 3 2 2 4 5 2" xfId="34565"/>
    <cellStyle name="40% - Accent4 3 2 2 4 6" xfId="13464"/>
    <cellStyle name="40% - Accent4 3 2 2 4 6 2" xfId="36323"/>
    <cellStyle name="40% - Accent4 3 2 2 4 7" xfId="24020"/>
    <cellStyle name="40% - Accent4 3 2 2 5" xfId="2040"/>
    <cellStyle name="40% - Accent4 3 2 2 5 2" xfId="5555"/>
    <cellStyle name="40% - Accent4 3 2 2 5 2 2" xfId="17859"/>
    <cellStyle name="40% - Accent4 3 2 2 5 2 2 2" xfId="40718"/>
    <cellStyle name="40% - Accent4 3 2 2 5 2 3" xfId="28416"/>
    <cellStyle name="40% - Accent4 3 2 2 5 3" xfId="9070"/>
    <cellStyle name="40% - Accent4 3 2 2 5 3 2" xfId="21374"/>
    <cellStyle name="40% - Accent4 3 2 2 5 3 2 2" xfId="44233"/>
    <cellStyle name="40% - Accent4 3 2 2 5 3 3" xfId="31931"/>
    <cellStyle name="40% - Accent4 3 2 2 5 4" xfId="14344"/>
    <cellStyle name="40% - Accent4 3 2 2 5 4 2" xfId="37203"/>
    <cellStyle name="40% - Accent4 3 2 2 5 5" xfId="24901"/>
    <cellStyle name="40% - Accent4 3 2 2 6" xfId="3797"/>
    <cellStyle name="40% - Accent4 3 2 2 6 2" xfId="16101"/>
    <cellStyle name="40% - Accent4 3 2 2 6 2 2" xfId="38960"/>
    <cellStyle name="40% - Accent4 3 2 2 6 3" xfId="26658"/>
    <cellStyle name="40% - Accent4 3 2 2 7" xfId="7312"/>
    <cellStyle name="40% - Accent4 3 2 2 7 2" xfId="19616"/>
    <cellStyle name="40% - Accent4 3 2 2 7 2 2" xfId="42475"/>
    <cellStyle name="40% - Accent4 3 2 2 7 3" xfId="30173"/>
    <cellStyle name="40% - Accent4 3 2 2 8" xfId="10827"/>
    <cellStyle name="40% - Accent4 3 2 2 8 2" xfId="33687"/>
    <cellStyle name="40% - Accent4 3 2 2 9" xfId="12586"/>
    <cellStyle name="40% - Accent4 3 2 2 9 2" xfId="35445"/>
    <cellStyle name="40% - Accent4 3 2 3" xfId="382"/>
    <cellStyle name="40% - Accent4 3 2 3 2" xfId="823"/>
    <cellStyle name="40% - Accent4 3 2 3 2 2" xfId="1702"/>
    <cellStyle name="40% - Accent4 3 2 3 2 2 2" xfId="3463"/>
    <cellStyle name="40% - Accent4 3 2 3 2 2 2 2" xfId="6978"/>
    <cellStyle name="40% - Accent4 3 2 3 2 2 2 2 2" xfId="19282"/>
    <cellStyle name="40% - Accent4 3 2 3 2 2 2 2 2 2" xfId="42141"/>
    <cellStyle name="40% - Accent4 3 2 3 2 2 2 2 3" xfId="29839"/>
    <cellStyle name="40% - Accent4 3 2 3 2 2 2 3" xfId="10493"/>
    <cellStyle name="40% - Accent4 3 2 3 2 2 2 3 2" xfId="22797"/>
    <cellStyle name="40% - Accent4 3 2 3 2 2 2 3 2 2" xfId="45656"/>
    <cellStyle name="40% - Accent4 3 2 3 2 2 2 3 3" xfId="33354"/>
    <cellStyle name="40% - Accent4 3 2 3 2 2 2 4" xfId="15767"/>
    <cellStyle name="40% - Accent4 3 2 3 2 2 2 4 2" xfId="38626"/>
    <cellStyle name="40% - Accent4 3 2 3 2 2 2 5" xfId="26324"/>
    <cellStyle name="40% - Accent4 3 2 3 2 2 3" xfId="5220"/>
    <cellStyle name="40% - Accent4 3 2 3 2 2 3 2" xfId="17524"/>
    <cellStyle name="40% - Accent4 3 2 3 2 2 3 2 2" xfId="40383"/>
    <cellStyle name="40% - Accent4 3 2 3 2 2 3 3" xfId="28081"/>
    <cellStyle name="40% - Accent4 3 2 3 2 2 4" xfId="8735"/>
    <cellStyle name="40% - Accent4 3 2 3 2 2 4 2" xfId="21039"/>
    <cellStyle name="40% - Accent4 3 2 3 2 2 4 2 2" xfId="43898"/>
    <cellStyle name="40% - Accent4 3 2 3 2 2 4 3" xfId="31596"/>
    <cellStyle name="40% - Accent4 3 2 3 2 2 5" xfId="12250"/>
    <cellStyle name="40% - Accent4 3 2 3 2 2 5 2" xfId="35110"/>
    <cellStyle name="40% - Accent4 3 2 3 2 2 6" xfId="14009"/>
    <cellStyle name="40% - Accent4 3 2 3 2 2 6 2" xfId="36868"/>
    <cellStyle name="40% - Accent4 3 2 3 2 2 7" xfId="24565"/>
    <cellStyle name="40% - Accent4 3 2 3 2 3" xfId="2585"/>
    <cellStyle name="40% - Accent4 3 2 3 2 3 2" xfId="6100"/>
    <cellStyle name="40% - Accent4 3 2 3 2 3 2 2" xfId="18404"/>
    <cellStyle name="40% - Accent4 3 2 3 2 3 2 2 2" xfId="41263"/>
    <cellStyle name="40% - Accent4 3 2 3 2 3 2 3" xfId="28961"/>
    <cellStyle name="40% - Accent4 3 2 3 2 3 3" xfId="9615"/>
    <cellStyle name="40% - Accent4 3 2 3 2 3 3 2" xfId="21919"/>
    <cellStyle name="40% - Accent4 3 2 3 2 3 3 2 2" xfId="44778"/>
    <cellStyle name="40% - Accent4 3 2 3 2 3 3 3" xfId="32476"/>
    <cellStyle name="40% - Accent4 3 2 3 2 3 4" xfId="14889"/>
    <cellStyle name="40% - Accent4 3 2 3 2 3 4 2" xfId="37748"/>
    <cellStyle name="40% - Accent4 3 2 3 2 3 5" xfId="25446"/>
    <cellStyle name="40% - Accent4 3 2 3 2 4" xfId="4342"/>
    <cellStyle name="40% - Accent4 3 2 3 2 4 2" xfId="16646"/>
    <cellStyle name="40% - Accent4 3 2 3 2 4 2 2" xfId="39505"/>
    <cellStyle name="40% - Accent4 3 2 3 2 4 3" xfId="27203"/>
    <cellStyle name="40% - Accent4 3 2 3 2 5" xfId="7857"/>
    <cellStyle name="40% - Accent4 3 2 3 2 5 2" xfId="20161"/>
    <cellStyle name="40% - Accent4 3 2 3 2 5 2 2" xfId="43020"/>
    <cellStyle name="40% - Accent4 3 2 3 2 5 3" xfId="30718"/>
    <cellStyle name="40% - Accent4 3 2 3 2 6" xfId="11372"/>
    <cellStyle name="40% - Accent4 3 2 3 2 6 2" xfId="34232"/>
    <cellStyle name="40% - Accent4 3 2 3 2 7" xfId="13131"/>
    <cellStyle name="40% - Accent4 3 2 3 2 7 2" xfId="35990"/>
    <cellStyle name="40% - Accent4 3 2 3 2 8" xfId="23687"/>
    <cellStyle name="40% - Accent4 3 2 3 3" xfId="1263"/>
    <cellStyle name="40% - Accent4 3 2 3 3 2" xfId="3024"/>
    <cellStyle name="40% - Accent4 3 2 3 3 2 2" xfId="6539"/>
    <cellStyle name="40% - Accent4 3 2 3 3 2 2 2" xfId="18843"/>
    <cellStyle name="40% - Accent4 3 2 3 3 2 2 2 2" xfId="41702"/>
    <cellStyle name="40% - Accent4 3 2 3 3 2 2 3" xfId="29400"/>
    <cellStyle name="40% - Accent4 3 2 3 3 2 3" xfId="10054"/>
    <cellStyle name="40% - Accent4 3 2 3 3 2 3 2" xfId="22358"/>
    <cellStyle name="40% - Accent4 3 2 3 3 2 3 2 2" xfId="45217"/>
    <cellStyle name="40% - Accent4 3 2 3 3 2 3 3" xfId="32915"/>
    <cellStyle name="40% - Accent4 3 2 3 3 2 4" xfId="15328"/>
    <cellStyle name="40% - Accent4 3 2 3 3 2 4 2" xfId="38187"/>
    <cellStyle name="40% - Accent4 3 2 3 3 2 5" xfId="25885"/>
    <cellStyle name="40% - Accent4 3 2 3 3 3" xfId="4781"/>
    <cellStyle name="40% - Accent4 3 2 3 3 3 2" xfId="17085"/>
    <cellStyle name="40% - Accent4 3 2 3 3 3 2 2" xfId="39944"/>
    <cellStyle name="40% - Accent4 3 2 3 3 3 3" xfId="27642"/>
    <cellStyle name="40% - Accent4 3 2 3 3 4" xfId="8296"/>
    <cellStyle name="40% - Accent4 3 2 3 3 4 2" xfId="20600"/>
    <cellStyle name="40% - Accent4 3 2 3 3 4 2 2" xfId="43459"/>
    <cellStyle name="40% - Accent4 3 2 3 3 4 3" xfId="31157"/>
    <cellStyle name="40% - Accent4 3 2 3 3 5" xfId="11811"/>
    <cellStyle name="40% - Accent4 3 2 3 3 5 2" xfId="34671"/>
    <cellStyle name="40% - Accent4 3 2 3 3 6" xfId="13570"/>
    <cellStyle name="40% - Accent4 3 2 3 3 6 2" xfId="36429"/>
    <cellStyle name="40% - Accent4 3 2 3 3 7" xfId="24126"/>
    <cellStyle name="40% - Accent4 3 2 3 4" xfId="2146"/>
    <cellStyle name="40% - Accent4 3 2 3 4 2" xfId="5661"/>
    <cellStyle name="40% - Accent4 3 2 3 4 2 2" xfId="17965"/>
    <cellStyle name="40% - Accent4 3 2 3 4 2 2 2" xfId="40824"/>
    <cellStyle name="40% - Accent4 3 2 3 4 2 3" xfId="28522"/>
    <cellStyle name="40% - Accent4 3 2 3 4 3" xfId="9176"/>
    <cellStyle name="40% - Accent4 3 2 3 4 3 2" xfId="21480"/>
    <cellStyle name="40% - Accent4 3 2 3 4 3 2 2" xfId="44339"/>
    <cellStyle name="40% - Accent4 3 2 3 4 3 3" xfId="32037"/>
    <cellStyle name="40% - Accent4 3 2 3 4 4" xfId="14450"/>
    <cellStyle name="40% - Accent4 3 2 3 4 4 2" xfId="37309"/>
    <cellStyle name="40% - Accent4 3 2 3 4 5" xfId="25007"/>
    <cellStyle name="40% - Accent4 3 2 3 5" xfId="3903"/>
    <cellStyle name="40% - Accent4 3 2 3 5 2" xfId="16207"/>
    <cellStyle name="40% - Accent4 3 2 3 5 2 2" xfId="39066"/>
    <cellStyle name="40% - Accent4 3 2 3 5 3" xfId="26764"/>
    <cellStyle name="40% - Accent4 3 2 3 6" xfId="7418"/>
    <cellStyle name="40% - Accent4 3 2 3 6 2" xfId="19722"/>
    <cellStyle name="40% - Accent4 3 2 3 6 2 2" xfId="42581"/>
    <cellStyle name="40% - Accent4 3 2 3 6 3" xfId="30279"/>
    <cellStyle name="40% - Accent4 3 2 3 7" xfId="10933"/>
    <cellStyle name="40% - Accent4 3 2 3 7 2" xfId="33793"/>
    <cellStyle name="40% - Accent4 3 2 3 8" xfId="12692"/>
    <cellStyle name="40% - Accent4 3 2 3 8 2" xfId="35551"/>
    <cellStyle name="40% - Accent4 3 2 3 9" xfId="23247"/>
    <cellStyle name="40% - Accent4 3 2 4" xfId="611"/>
    <cellStyle name="40% - Accent4 3 2 4 2" xfId="1490"/>
    <cellStyle name="40% - Accent4 3 2 4 2 2" xfId="3251"/>
    <cellStyle name="40% - Accent4 3 2 4 2 2 2" xfId="6766"/>
    <cellStyle name="40% - Accent4 3 2 4 2 2 2 2" xfId="19070"/>
    <cellStyle name="40% - Accent4 3 2 4 2 2 2 2 2" xfId="41929"/>
    <cellStyle name="40% - Accent4 3 2 4 2 2 2 3" xfId="29627"/>
    <cellStyle name="40% - Accent4 3 2 4 2 2 3" xfId="10281"/>
    <cellStyle name="40% - Accent4 3 2 4 2 2 3 2" xfId="22585"/>
    <cellStyle name="40% - Accent4 3 2 4 2 2 3 2 2" xfId="45444"/>
    <cellStyle name="40% - Accent4 3 2 4 2 2 3 3" xfId="33142"/>
    <cellStyle name="40% - Accent4 3 2 4 2 2 4" xfId="15555"/>
    <cellStyle name="40% - Accent4 3 2 4 2 2 4 2" xfId="38414"/>
    <cellStyle name="40% - Accent4 3 2 4 2 2 5" xfId="26112"/>
    <cellStyle name="40% - Accent4 3 2 4 2 3" xfId="5008"/>
    <cellStyle name="40% - Accent4 3 2 4 2 3 2" xfId="17312"/>
    <cellStyle name="40% - Accent4 3 2 4 2 3 2 2" xfId="40171"/>
    <cellStyle name="40% - Accent4 3 2 4 2 3 3" xfId="27869"/>
    <cellStyle name="40% - Accent4 3 2 4 2 4" xfId="8523"/>
    <cellStyle name="40% - Accent4 3 2 4 2 4 2" xfId="20827"/>
    <cellStyle name="40% - Accent4 3 2 4 2 4 2 2" xfId="43686"/>
    <cellStyle name="40% - Accent4 3 2 4 2 4 3" xfId="31384"/>
    <cellStyle name="40% - Accent4 3 2 4 2 5" xfId="12038"/>
    <cellStyle name="40% - Accent4 3 2 4 2 5 2" xfId="34898"/>
    <cellStyle name="40% - Accent4 3 2 4 2 6" xfId="13797"/>
    <cellStyle name="40% - Accent4 3 2 4 2 6 2" xfId="36656"/>
    <cellStyle name="40% - Accent4 3 2 4 2 7" xfId="24353"/>
    <cellStyle name="40% - Accent4 3 2 4 3" xfId="2373"/>
    <cellStyle name="40% - Accent4 3 2 4 3 2" xfId="5888"/>
    <cellStyle name="40% - Accent4 3 2 4 3 2 2" xfId="18192"/>
    <cellStyle name="40% - Accent4 3 2 4 3 2 2 2" xfId="41051"/>
    <cellStyle name="40% - Accent4 3 2 4 3 2 3" xfId="28749"/>
    <cellStyle name="40% - Accent4 3 2 4 3 3" xfId="9403"/>
    <cellStyle name="40% - Accent4 3 2 4 3 3 2" xfId="21707"/>
    <cellStyle name="40% - Accent4 3 2 4 3 3 2 2" xfId="44566"/>
    <cellStyle name="40% - Accent4 3 2 4 3 3 3" xfId="32264"/>
    <cellStyle name="40% - Accent4 3 2 4 3 4" xfId="14677"/>
    <cellStyle name="40% - Accent4 3 2 4 3 4 2" xfId="37536"/>
    <cellStyle name="40% - Accent4 3 2 4 3 5" xfId="25234"/>
    <cellStyle name="40% - Accent4 3 2 4 4" xfId="4130"/>
    <cellStyle name="40% - Accent4 3 2 4 4 2" xfId="16434"/>
    <cellStyle name="40% - Accent4 3 2 4 4 2 2" xfId="39293"/>
    <cellStyle name="40% - Accent4 3 2 4 4 3" xfId="26991"/>
    <cellStyle name="40% - Accent4 3 2 4 5" xfId="7645"/>
    <cellStyle name="40% - Accent4 3 2 4 5 2" xfId="19949"/>
    <cellStyle name="40% - Accent4 3 2 4 5 2 2" xfId="42808"/>
    <cellStyle name="40% - Accent4 3 2 4 5 3" xfId="30506"/>
    <cellStyle name="40% - Accent4 3 2 4 6" xfId="11160"/>
    <cellStyle name="40% - Accent4 3 2 4 6 2" xfId="34020"/>
    <cellStyle name="40% - Accent4 3 2 4 7" xfId="12919"/>
    <cellStyle name="40% - Accent4 3 2 4 7 2" xfId="35778"/>
    <cellStyle name="40% - Accent4 3 2 4 8" xfId="23475"/>
    <cellStyle name="40% - Accent4 3 2 5" xfId="1051"/>
    <cellStyle name="40% - Accent4 3 2 5 2" xfId="2812"/>
    <cellStyle name="40% - Accent4 3 2 5 2 2" xfId="6327"/>
    <cellStyle name="40% - Accent4 3 2 5 2 2 2" xfId="18631"/>
    <cellStyle name="40% - Accent4 3 2 5 2 2 2 2" xfId="41490"/>
    <cellStyle name="40% - Accent4 3 2 5 2 2 3" xfId="29188"/>
    <cellStyle name="40% - Accent4 3 2 5 2 3" xfId="9842"/>
    <cellStyle name="40% - Accent4 3 2 5 2 3 2" xfId="22146"/>
    <cellStyle name="40% - Accent4 3 2 5 2 3 2 2" xfId="45005"/>
    <cellStyle name="40% - Accent4 3 2 5 2 3 3" xfId="32703"/>
    <cellStyle name="40% - Accent4 3 2 5 2 4" xfId="15116"/>
    <cellStyle name="40% - Accent4 3 2 5 2 4 2" xfId="37975"/>
    <cellStyle name="40% - Accent4 3 2 5 2 5" xfId="25673"/>
    <cellStyle name="40% - Accent4 3 2 5 3" xfId="4569"/>
    <cellStyle name="40% - Accent4 3 2 5 3 2" xfId="16873"/>
    <cellStyle name="40% - Accent4 3 2 5 3 2 2" xfId="39732"/>
    <cellStyle name="40% - Accent4 3 2 5 3 3" xfId="27430"/>
    <cellStyle name="40% - Accent4 3 2 5 4" xfId="8084"/>
    <cellStyle name="40% - Accent4 3 2 5 4 2" xfId="20388"/>
    <cellStyle name="40% - Accent4 3 2 5 4 2 2" xfId="43247"/>
    <cellStyle name="40% - Accent4 3 2 5 4 3" xfId="30945"/>
    <cellStyle name="40% - Accent4 3 2 5 5" xfId="11599"/>
    <cellStyle name="40% - Accent4 3 2 5 5 2" xfId="34459"/>
    <cellStyle name="40% - Accent4 3 2 5 6" xfId="13358"/>
    <cellStyle name="40% - Accent4 3 2 5 6 2" xfId="36217"/>
    <cellStyle name="40% - Accent4 3 2 5 7" xfId="23914"/>
    <cellStyle name="40% - Accent4 3 2 6" xfId="1934"/>
    <cellStyle name="40% - Accent4 3 2 6 2" xfId="5449"/>
    <cellStyle name="40% - Accent4 3 2 6 2 2" xfId="17753"/>
    <cellStyle name="40% - Accent4 3 2 6 2 2 2" xfId="40612"/>
    <cellStyle name="40% - Accent4 3 2 6 2 3" xfId="28310"/>
    <cellStyle name="40% - Accent4 3 2 6 3" xfId="8964"/>
    <cellStyle name="40% - Accent4 3 2 6 3 2" xfId="21268"/>
    <cellStyle name="40% - Accent4 3 2 6 3 2 2" xfId="44127"/>
    <cellStyle name="40% - Accent4 3 2 6 3 3" xfId="31825"/>
    <cellStyle name="40% - Accent4 3 2 6 4" xfId="14238"/>
    <cellStyle name="40% - Accent4 3 2 6 4 2" xfId="37097"/>
    <cellStyle name="40% - Accent4 3 2 6 5" xfId="24795"/>
    <cellStyle name="40% - Accent4 3 2 7" xfId="3691"/>
    <cellStyle name="40% - Accent4 3 2 7 2" xfId="15995"/>
    <cellStyle name="40% - Accent4 3 2 7 2 2" xfId="38854"/>
    <cellStyle name="40% - Accent4 3 2 7 3" xfId="26552"/>
    <cellStyle name="40% - Accent4 3 2 8" xfId="7206"/>
    <cellStyle name="40% - Accent4 3 2 8 2" xfId="19510"/>
    <cellStyle name="40% - Accent4 3 2 8 2 2" xfId="42369"/>
    <cellStyle name="40% - Accent4 3 2 8 3" xfId="30067"/>
    <cellStyle name="40% - Accent4 3 2 9" xfId="10721"/>
    <cellStyle name="40% - Accent4 3 2 9 2" xfId="33581"/>
    <cellStyle name="40% - Accent4 3 3" xfId="222"/>
    <cellStyle name="40% - Accent4 3 3 10" xfId="23087"/>
    <cellStyle name="40% - Accent4 3 3 2" xfId="434"/>
    <cellStyle name="40% - Accent4 3 3 2 2" xfId="875"/>
    <cellStyle name="40% - Accent4 3 3 2 2 2" xfId="1754"/>
    <cellStyle name="40% - Accent4 3 3 2 2 2 2" xfId="3515"/>
    <cellStyle name="40% - Accent4 3 3 2 2 2 2 2" xfId="7030"/>
    <cellStyle name="40% - Accent4 3 3 2 2 2 2 2 2" xfId="19334"/>
    <cellStyle name="40% - Accent4 3 3 2 2 2 2 2 2 2" xfId="42193"/>
    <cellStyle name="40% - Accent4 3 3 2 2 2 2 2 3" xfId="29891"/>
    <cellStyle name="40% - Accent4 3 3 2 2 2 2 3" xfId="10545"/>
    <cellStyle name="40% - Accent4 3 3 2 2 2 2 3 2" xfId="22849"/>
    <cellStyle name="40% - Accent4 3 3 2 2 2 2 3 2 2" xfId="45708"/>
    <cellStyle name="40% - Accent4 3 3 2 2 2 2 3 3" xfId="33406"/>
    <cellStyle name="40% - Accent4 3 3 2 2 2 2 4" xfId="15819"/>
    <cellStyle name="40% - Accent4 3 3 2 2 2 2 4 2" xfId="38678"/>
    <cellStyle name="40% - Accent4 3 3 2 2 2 2 5" xfId="26376"/>
    <cellStyle name="40% - Accent4 3 3 2 2 2 3" xfId="5272"/>
    <cellStyle name="40% - Accent4 3 3 2 2 2 3 2" xfId="17576"/>
    <cellStyle name="40% - Accent4 3 3 2 2 2 3 2 2" xfId="40435"/>
    <cellStyle name="40% - Accent4 3 3 2 2 2 3 3" xfId="28133"/>
    <cellStyle name="40% - Accent4 3 3 2 2 2 4" xfId="8787"/>
    <cellStyle name="40% - Accent4 3 3 2 2 2 4 2" xfId="21091"/>
    <cellStyle name="40% - Accent4 3 3 2 2 2 4 2 2" xfId="43950"/>
    <cellStyle name="40% - Accent4 3 3 2 2 2 4 3" xfId="31648"/>
    <cellStyle name="40% - Accent4 3 3 2 2 2 5" xfId="12302"/>
    <cellStyle name="40% - Accent4 3 3 2 2 2 5 2" xfId="35162"/>
    <cellStyle name="40% - Accent4 3 3 2 2 2 6" xfId="14061"/>
    <cellStyle name="40% - Accent4 3 3 2 2 2 6 2" xfId="36920"/>
    <cellStyle name="40% - Accent4 3 3 2 2 2 7" xfId="24617"/>
    <cellStyle name="40% - Accent4 3 3 2 2 3" xfId="2637"/>
    <cellStyle name="40% - Accent4 3 3 2 2 3 2" xfId="6152"/>
    <cellStyle name="40% - Accent4 3 3 2 2 3 2 2" xfId="18456"/>
    <cellStyle name="40% - Accent4 3 3 2 2 3 2 2 2" xfId="41315"/>
    <cellStyle name="40% - Accent4 3 3 2 2 3 2 3" xfId="29013"/>
    <cellStyle name="40% - Accent4 3 3 2 2 3 3" xfId="9667"/>
    <cellStyle name="40% - Accent4 3 3 2 2 3 3 2" xfId="21971"/>
    <cellStyle name="40% - Accent4 3 3 2 2 3 3 2 2" xfId="44830"/>
    <cellStyle name="40% - Accent4 3 3 2 2 3 3 3" xfId="32528"/>
    <cellStyle name="40% - Accent4 3 3 2 2 3 4" xfId="14941"/>
    <cellStyle name="40% - Accent4 3 3 2 2 3 4 2" xfId="37800"/>
    <cellStyle name="40% - Accent4 3 3 2 2 3 5" xfId="25498"/>
    <cellStyle name="40% - Accent4 3 3 2 2 4" xfId="4394"/>
    <cellStyle name="40% - Accent4 3 3 2 2 4 2" xfId="16698"/>
    <cellStyle name="40% - Accent4 3 3 2 2 4 2 2" xfId="39557"/>
    <cellStyle name="40% - Accent4 3 3 2 2 4 3" xfId="27255"/>
    <cellStyle name="40% - Accent4 3 3 2 2 5" xfId="7909"/>
    <cellStyle name="40% - Accent4 3 3 2 2 5 2" xfId="20213"/>
    <cellStyle name="40% - Accent4 3 3 2 2 5 2 2" xfId="43072"/>
    <cellStyle name="40% - Accent4 3 3 2 2 5 3" xfId="30770"/>
    <cellStyle name="40% - Accent4 3 3 2 2 6" xfId="11424"/>
    <cellStyle name="40% - Accent4 3 3 2 2 6 2" xfId="34284"/>
    <cellStyle name="40% - Accent4 3 3 2 2 7" xfId="13183"/>
    <cellStyle name="40% - Accent4 3 3 2 2 7 2" xfId="36042"/>
    <cellStyle name="40% - Accent4 3 3 2 2 8" xfId="23739"/>
    <cellStyle name="40% - Accent4 3 3 2 3" xfId="1315"/>
    <cellStyle name="40% - Accent4 3 3 2 3 2" xfId="3076"/>
    <cellStyle name="40% - Accent4 3 3 2 3 2 2" xfId="6591"/>
    <cellStyle name="40% - Accent4 3 3 2 3 2 2 2" xfId="18895"/>
    <cellStyle name="40% - Accent4 3 3 2 3 2 2 2 2" xfId="41754"/>
    <cellStyle name="40% - Accent4 3 3 2 3 2 2 3" xfId="29452"/>
    <cellStyle name="40% - Accent4 3 3 2 3 2 3" xfId="10106"/>
    <cellStyle name="40% - Accent4 3 3 2 3 2 3 2" xfId="22410"/>
    <cellStyle name="40% - Accent4 3 3 2 3 2 3 2 2" xfId="45269"/>
    <cellStyle name="40% - Accent4 3 3 2 3 2 3 3" xfId="32967"/>
    <cellStyle name="40% - Accent4 3 3 2 3 2 4" xfId="15380"/>
    <cellStyle name="40% - Accent4 3 3 2 3 2 4 2" xfId="38239"/>
    <cellStyle name="40% - Accent4 3 3 2 3 2 5" xfId="25937"/>
    <cellStyle name="40% - Accent4 3 3 2 3 3" xfId="4833"/>
    <cellStyle name="40% - Accent4 3 3 2 3 3 2" xfId="17137"/>
    <cellStyle name="40% - Accent4 3 3 2 3 3 2 2" xfId="39996"/>
    <cellStyle name="40% - Accent4 3 3 2 3 3 3" xfId="27694"/>
    <cellStyle name="40% - Accent4 3 3 2 3 4" xfId="8348"/>
    <cellStyle name="40% - Accent4 3 3 2 3 4 2" xfId="20652"/>
    <cellStyle name="40% - Accent4 3 3 2 3 4 2 2" xfId="43511"/>
    <cellStyle name="40% - Accent4 3 3 2 3 4 3" xfId="31209"/>
    <cellStyle name="40% - Accent4 3 3 2 3 5" xfId="11863"/>
    <cellStyle name="40% - Accent4 3 3 2 3 5 2" xfId="34723"/>
    <cellStyle name="40% - Accent4 3 3 2 3 6" xfId="13622"/>
    <cellStyle name="40% - Accent4 3 3 2 3 6 2" xfId="36481"/>
    <cellStyle name="40% - Accent4 3 3 2 3 7" xfId="24178"/>
    <cellStyle name="40% - Accent4 3 3 2 4" xfId="2198"/>
    <cellStyle name="40% - Accent4 3 3 2 4 2" xfId="5713"/>
    <cellStyle name="40% - Accent4 3 3 2 4 2 2" xfId="18017"/>
    <cellStyle name="40% - Accent4 3 3 2 4 2 2 2" xfId="40876"/>
    <cellStyle name="40% - Accent4 3 3 2 4 2 3" xfId="28574"/>
    <cellStyle name="40% - Accent4 3 3 2 4 3" xfId="9228"/>
    <cellStyle name="40% - Accent4 3 3 2 4 3 2" xfId="21532"/>
    <cellStyle name="40% - Accent4 3 3 2 4 3 2 2" xfId="44391"/>
    <cellStyle name="40% - Accent4 3 3 2 4 3 3" xfId="32089"/>
    <cellStyle name="40% - Accent4 3 3 2 4 4" xfId="14502"/>
    <cellStyle name="40% - Accent4 3 3 2 4 4 2" xfId="37361"/>
    <cellStyle name="40% - Accent4 3 3 2 4 5" xfId="25059"/>
    <cellStyle name="40% - Accent4 3 3 2 5" xfId="3955"/>
    <cellStyle name="40% - Accent4 3 3 2 5 2" xfId="16259"/>
    <cellStyle name="40% - Accent4 3 3 2 5 2 2" xfId="39118"/>
    <cellStyle name="40% - Accent4 3 3 2 5 3" xfId="26816"/>
    <cellStyle name="40% - Accent4 3 3 2 6" xfId="7470"/>
    <cellStyle name="40% - Accent4 3 3 2 6 2" xfId="19774"/>
    <cellStyle name="40% - Accent4 3 3 2 6 2 2" xfId="42633"/>
    <cellStyle name="40% - Accent4 3 3 2 6 3" xfId="30331"/>
    <cellStyle name="40% - Accent4 3 3 2 7" xfId="10985"/>
    <cellStyle name="40% - Accent4 3 3 2 7 2" xfId="33845"/>
    <cellStyle name="40% - Accent4 3 3 2 8" xfId="12744"/>
    <cellStyle name="40% - Accent4 3 3 2 8 2" xfId="35603"/>
    <cellStyle name="40% - Accent4 3 3 2 9" xfId="23299"/>
    <cellStyle name="40% - Accent4 3 3 3" xfId="663"/>
    <cellStyle name="40% - Accent4 3 3 3 2" xfId="1542"/>
    <cellStyle name="40% - Accent4 3 3 3 2 2" xfId="3303"/>
    <cellStyle name="40% - Accent4 3 3 3 2 2 2" xfId="6818"/>
    <cellStyle name="40% - Accent4 3 3 3 2 2 2 2" xfId="19122"/>
    <cellStyle name="40% - Accent4 3 3 3 2 2 2 2 2" xfId="41981"/>
    <cellStyle name="40% - Accent4 3 3 3 2 2 2 3" xfId="29679"/>
    <cellStyle name="40% - Accent4 3 3 3 2 2 3" xfId="10333"/>
    <cellStyle name="40% - Accent4 3 3 3 2 2 3 2" xfId="22637"/>
    <cellStyle name="40% - Accent4 3 3 3 2 2 3 2 2" xfId="45496"/>
    <cellStyle name="40% - Accent4 3 3 3 2 2 3 3" xfId="33194"/>
    <cellStyle name="40% - Accent4 3 3 3 2 2 4" xfId="15607"/>
    <cellStyle name="40% - Accent4 3 3 3 2 2 4 2" xfId="38466"/>
    <cellStyle name="40% - Accent4 3 3 3 2 2 5" xfId="26164"/>
    <cellStyle name="40% - Accent4 3 3 3 2 3" xfId="5060"/>
    <cellStyle name="40% - Accent4 3 3 3 2 3 2" xfId="17364"/>
    <cellStyle name="40% - Accent4 3 3 3 2 3 2 2" xfId="40223"/>
    <cellStyle name="40% - Accent4 3 3 3 2 3 3" xfId="27921"/>
    <cellStyle name="40% - Accent4 3 3 3 2 4" xfId="8575"/>
    <cellStyle name="40% - Accent4 3 3 3 2 4 2" xfId="20879"/>
    <cellStyle name="40% - Accent4 3 3 3 2 4 2 2" xfId="43738"/>
    <cellStyle name="40% - Accent4 3 3 3 2 4 3" xfId="31436"/>
    <cellStyle name="40% - Accent4 3 3 3 2 5" xfId="12090"/>
    <cellStyle name="40% - Accent4 3 3 3 2 5 2" xfId="34950"/>
    <cellStyle name="40% - Accent4 3 3 3 2 6" xfId="13849"/>
    <cellStyle name="40% - Accent4 3 3 3 2 6 2" xfId="36708"/>
    <cellStyle name="40% - Accent4 3 3 3 2 7" xfId="24405"/>
    <cellStyle name="40% - Accent4 3 3 3 3" xfId="2425"/>
    <cellStyle name="40% - Accent4 3 3 3 3 2" xfId="5940"/>
    <cellStyle name="40% - Accent4 3 3 3 3 2 2" xfId="18244"/>
    <cellStyle name="40% - Accent4 3 3 3 3 2 2 2" xfId="41103"/>
    <cellStyle name="40% - Accent4 3 3 3 3 2 3" xfId="28801"/>
    <cellStyle name="40% - Accent4 3 3 3 3 3" xfId="9455"/>
    <cellStyle name="40% - Accent4 3 3 3 3 3 2" xfId="21759"/>
    <cellStyle name="40% - Accent4 3 3 3 3 3 2 2" xfId="44618"/>
    <cellStyle name="40% - Accent4 3 3 3 3 3 3" xfId="32316"/>
    <cellStyle name="40% - Accent4 3 3 3 3 4" xfId="14729"/>
    <cellStyle name="40% - Accent4 3 3 3 3 4 2" xfId="37588"/>
    <cellStyle name="40% - Accent4 3 3 3 3 5" xfId="25286"/>
    <cellStyle name="40% - Accent4 3 3 3 4" xfId="4182"/>
    <cellStyle name="40% - Accent4 3 3 3 4 2" xfId="16486"/>
    <cellStyle name="40% - Accent4 3 3 3 4 2 2" xfId="39345"/>
    <cellStyle name="40% - Accent4 3 3 3 4 3" xfId="27043"/>
    <cellStyle name="40% - Accent4 3 3 3 5" xfId="7697"/>
    <cellStyle name="40% - Accent4 3 3 3 5 2" xfId="20001"/>
    <cellStyle name="40% - Accent4 3 3 3 5 2 2" xfId="42860"/>
    <cellStyle name="40% - Accent4 3 3 3 5 3" xfId="30558"/>
    <cellStyle name="40% - Accent4 3 3 3 6" xfId="11212"/>
    <cellStyle name="40% - Accent4 3 3 3 6 2" xfId="34072"/>
    <cellStyle name="40% - Accent4 3 3 3 7" xfId="12971"/>
    <cellStyle name="40% - Accent4 3 3 3 7 2" xfId="35830"/>
    <cellStyle name="40% - Accent4 3 3 3 8" xfId="23527"/>
    <cellStyle name="40% - Accent4 3 3 4" xfId="1103"/>
    <cellStyle name="40% - Accent4 3 3 4 2" xfId="2864"/>
    <cellStyle name="40% - Accent4 3 3 4 2 2" xfId="6379"/>
    <cellStyle name="40% - Accent4 3 3 4 2 2 2" xfId="18683"/>
    <cellStyle name="40% - Accent4 3 3 4 2 2 2 2" xfId="41542"/>
    <cellStyle name="40% - Accent4 3 3 4 2 2 3" xfId="29240"/>
    <cellStyle name="40% - Accent4 3 3 4 2 3" xfId="9894"/>
    <cellStyle name="40% - Accent4 3 3 4 2 3 2" xfId="22198"/>
    <cellStyle name="40% - Accent4 3 3 4 2 3 2 2" xfId="45057"/>
    <cellStyle name="40% - Accent4 3 3 4 2 3 3" xfId="32755"/>
    <cellStyle name="40% - Accent4 3 3 4 2 4" xfId="15168"/>
    <cellStyle name="40% - Accent4 3 3 4 2 4 2" xfId="38027"/>
    <cellStyle name="40% - Accent4 3 3 4 2 5" xfId="25725"/>
    <cellStyle name="40% - Accent4 3 3 4 3" xfId="4621"/>
    <cellStyle name="40% - Accent4 3 3 4 3 2" xfId="16925"/>
    <cellStyle name="40% - Accent4 3 3 4 3 2 2" xfId="39784"/>
    <cellStyle name="40% - Accent4 3 3 4 3 3" xfId="27482"/>
    <cellStyle name="40% - Accent4 3 3 4 4" xfId="8136"/>
    <cellStyle name="40% - Accent4 3 3 4 4 2" xfId="20440"/>
    <cellStyle name="40% - Accent4 3 3 4 4 2 2" xfId="43299"/>
    <cellStyle name="40% - Accent4 3 3 4 4 3" xfId="30997"/>
    <cellStyle name="40% - Accent4 3 3 4 5" xfId="11651"/>
    <cellStyle name="40% - Accent4 3 3 4 5 2" xfId="34511"/>
    <cellStyle name="40% - Accent4 3 3 4 6" xfId="13410"/>
    <cellStyle name="40% - Accent4 3 3 4 6 2" xfId="36269"/>
    <cellStyle name="40% - Accent4 3 3 4 7" xfId="23966"/>
    <cellStyle name="40% - Accent4 3 3 5" xfId="1986"/>
    <cellStyle name="40% - Accent4 3 3 5 2" xfId="5501"/>
    <cellStyle name="40% - Accent4 3 3 5 2 2" xfId="17805"/>
    <cellStyle name="40% - Accent4 3 3 5 2 2 2" xfId="40664"/>
    <cellStyle name="40% - Accent4 3 3 5 2 3" xfId="28362"/>
    <cellStyle name="40% - Accent4 3 3 5 3" xfId="9016"/>
    <cellStyle name="40% - Accent4 3 3 5 3 2" xfId="21320"/>
    <cellStyle name="40% - Accent4 3 3 5 3 2 2" xfId="44179"/>
    <cellStyle name="40% - Accent4 3 3 5 3 3" xfId="31877"/>
    <cellStyle name="40% - Accent4 3 3 5 4" xfId="14290"/>
    <cellStyle name="40% - Accent4 3 3 5 4 2" xfId="37149"/>
    <cellStyle name="40% - Accent4 3 3 5 5" xfId="24847"/>
    <cellStyle name="40% - Accent4 3 3 6" xfId="3743"/>
    <cellStyle name="40% - Accent4 3 3 6 2" xfId="16047"/>
    <cellStyle name="40% - Accent4 3 3 6 2 2" xfId="38906"/>
    <cellStyle name="40% - Accent4 3 3 6 3" xfId="26604"/>
    <cellStyle name="40% - Accent4 3 3 7" xfId="7258"/>
    <cellStyle name="40% - Accent4 3 3 7 2" xfId="19562"/>
    <cellStyle name="40% - Accent4 3 3 7 2 2" xfId="42421"/>
    <cellStyle name="40% - Accent4 3 3 7 3" xfId="30119"/>
    <cellStyle name="40% - Accent4 3 3 8" xfId="10773"/>
    <cellStyle name="40% - Accent4 3 3 8 2" xfId="33633"/>
    <cellStyle name="40% - Accent4 3 3 9" xfId="12532"/>
    <cellStyle name="40% - Accent4 3 3 9 2" xfId="35391"/>
    <cellStyle name="40% - Accent4 3 4" xfId="328"/>
    <cellStyle name="40% - Accent4 3 4 2" xfId="769"/>
    <cellStyle name="40% - Accent4 3 4 2 2" xfId="1648"/>
    <cellStyle name="40% - Accent4 3 4 2 2 2" xfId="3409"/>
    <cellStyle name="40% - Accent4 3 4 2 2 2 2" xfId="6924"/>
    <cellStyle name="40% - Accent4 3 4 2 2 2 2 2" xfId="19228"/>
    <cellStyle name="40% - Accent4 3 4 2 2 2 2 2 2" xfId="42087"/>
    <cellStyle name="40% - Accent4 3 4 2 2 2 2 3" xfId="29785"/>
    <cellStyle name="40% - Accent4 3 4 2 2 2 3" xfId="10439"/>
    <cellStyle name="40% - Accent4 3 4 2 2 2 3 2" xfId="22743"/>
    <cellStyle name="40% - Accent4 3 4 2 2 2 3 2 2" xfId="45602"/>
    <cellStyle name="40% - Accent4 3 4 2 2 2 3 3" xfId="33300"/>
    <cellStyle name="40% - Accent4 3 4 2 2 2 4" xfId="15713"/>
    <cellStyle name="40% - Accent4 3 4 2 2 2 4 2" xfId="38572"/>
    <cellStyle name="40% - Accent4 3 4 2 2 2 5" xfId="26270"/>
    <cellStyle name="40% - Accent4 3 4 2 2 3" xfId="5166"/>
    <cellStyle name="40% - Accent4 3 4 2 2 3 2" xfId="17470"/>
    <cellStyle name="40% - Accent4 3 4 2 2 3 2 2" xfId="40329"/>
    <cellStyle name="40% - Accent4 3 4 2 2 3 3" xfId="28027"/>
    <cellStyle name="40% - Accent4 3 4 2 2 4" xfId="8681"/>
    <cellStyle name="40% - Accent4 3 4 2 2 4 2" xfId="20985"/>
    <cellStyle name="40% - Accent4 3 4 2 2 4 2 2" xfId="43844"/>
    <cellStyle name="40% - Accent4 3 4 2 2 4 3" xfId="31542"/>
    <cellStyle name="40% - Accent4 3 4 2 2 5" xfId="12196"/>
    <cellStyle name="40% - Accent4 3 4 2 2 5 2" xfId="35056"/>
    <cellStyle name="40% - Accent4 3 4 2 2 6" xfId="13955"/>
    <cellStyle name="40% - Accent4 3 4 2 2 6 2" xfId="36814"/>
    <cellStyle name="40% - Accent4 3 4 2 2 7" xfId="24511"/>
    <cellStyle name="40% - Accent4 3 4 2 3" xfId="2531"/>
    <cellStyle name="40% - Accent4 3 4 2 3 2" xfId="6046"/>
    <cellStyle name="40% - Accent4 3 4 2 3 2 2" xfId="18350"/>
    <cellStyle name="40% - Accent4 3 4 2 3 2 2 2" xfId="41209"/>
    <cellStyle name="40% - Accent4 3 4 2 3 2 3" xfId="28907"/>
    <cellStyle name="40% - Accent4 3 4 2 3 3" xfId="9561"/>
    <cellStyle name="40% - Accent4 3 4 2 3 3 2" xfId="21865"/>
    <cellStyle name="40% - Accent4 3 4 2 3 3 2 2" xfId="44724"/>
    <cellStyle name="40% - Accent4 3 4 2 3 3 3" xfId="32422"/>
    <cellStyle name="40% - Accent4 3 4 2 3 4" xfId="14835"/>
    <cellStyle name="40% - Accent4 3 4 2 3 4 2" xfId="37694"/>
    <cellStyle name="40% - Accent4 3 4 2 3 5" xfId="25392"/>
    <cellStyle name="40% - Accent4 3 4 2 4" xfId="4288"/>
    <cellStyle name="40% - Accent4 3 4 2 4 2" xfId="16592"/>
    <cellStyle name="40% - Accent4 3 4 2 4 2 2" xfId="39451"/>
    <cellStyle name="40% - Accent4 3 4 2 4 3" xfId="27149"/>
    <cellStyle name="40% - Accent4 3 4 2 5" xfId="7803"/>
    <cellStyle name="40% - Accent4 3 4 2 5 2" xfId="20107"/>
    <cellStyle name="40% - Accent4 3 4 2 5 2 2" xfId="42966"/>
    <cellStyle name="40% - Accent4 3 4 2 5 3" xfId="30664"/>
    <cellStyle name="40% - Accent4 3 4 2 6" xfId="11318"/>
    <cellStyle name="40% - Accent4 3 4 2 6 2" xfId="34178"/>
    <cellStyle name="40% - Accent4 3 4 2 7" xfId="13077"/>
    <cellStyle name="40% - Accent4 3 4 2 7 2" xfId="35936"/>
    <cellStyle name="40% - Accent4 3 4 2 8" xfId="23633"/>
    <cellStyle name="40% - Accent4 3 4 3" xfId="1209"/>
    <cellStyle name="40% - Accent4 3 4 3 2" xfId="2970"/>
    <cellStyle name="40% - Accent4 3 4 3 2 2" xfId="6485"/>
    <cellStyle name="40% - Accent4 3 4 3 2 2 2" xfId="18789"/>
    <cellStyle name="40% - Accent4 3 4 3 2 2 2 2" xfId="41648"/>
    <cellStyle name="40% - Accent4 3 4 3 2 2 3" xfId="29346"/>
    <cellStyle name="40% - Accent4 3 4 3 2 3" xfId="10000"/>
    <cellStyle name="40% - Accent4 3 4 3 2 3 2" xfId="22304"/>
    <cellStyle name="40% - Accent4 3 4 3 2 3 2 2" xfId="45163"/>
    <cellStyle name="40% - Accent4 3 4 3 2 3 3" xfId="32861"/>
    <cellStyle name="40% - Accent4 3 4 3 2 4" xfId="15274"/>
    <cellStyle name="40% - Accent4 3 4 3 2 4 2" xfId="38133"/>
    <cellStyle name="40% - Accent4 3 4 3 2 5" xfId="25831"/>
    <cellStyle name="40% - Accent4 3 4 3 3" xfId="4727"/>
    <cellStyle name="40% - Accent4 3 4 3 3 2" xfId="17031"/>
    <cellStyle name="40% - Accent4 3 4 3 3 2 2" xfId="39890"/>
    <cellStyle name="40% - Accent4 3 4 3 3 3" xfId="27588"/>
    <cellStyle name="40% - Accent4 3 4 3 4" xfId="8242"/>
    <cellStyle name="40% - Accent4 3 4 3 4 2" xfId="20546"/>
    <cellStyle name="40% - Accent4 3 4 3 4 2 2" xfId="43405"/>
    <cellStyle name="40% - Accent4 3 4 3 4 3" xfId="31103"/>
    <cellStyle name="40% - Accent4 3 4 3 5" xfId="11757"/>
    <cellStyle name="40% - Accent4 3 4 3 5 2" xfId="34617"/>
    <cellStyle name="40% - Accent4 3 4 3 6" xfId="13516"/>
    <cellStyle name="40% - Accent4 3 4 3 6 2" xfId="36375"/>
    <cellStyle name="40% - Accent4 3 4 3 7" xfId="24072"/>
    <cellStyle name="40% - Accent4 3 4 4" xfId="2092"/>
    <cellStyle name="40% - Accent4 3 4 4 2" xfId="5607"/>
    <cellStyle name="40% - Accent4 3 4 4 2 2" xfId="17911"/>
    <cellStyle name="40% - Accent4 3 4 4 2 2 2" xfId="40770"/>
    <cellStyle name="40% - Accent4 3 4 4 2 3" xfId="28468"/>
    <cellStyle name="40% - Accent4 3 4 4 3" xfId="9122"/>
    <cellStyle name="40% - Accent4 3 4 4 3 2" xfId="21426"/>
    <cellStyle name="40% - Accent4 3 4 4 3 2 2" xfId="44285"/>
    <cellStyle name="40% - Accent4 3 4 4 3 3" xfId="31983"/>
    <cellStyle name="40% - Accent4 3 4 4 4" xfId="14396"/>
    <cellStyle name="40% - Accent4 3 4 4 4 2" xfId="37255"/>
    <cellStyle name="40% - Accent4 3 4 4 5" xfId="24953"/>
    <cellStyle name="40% - Accent4 3 4 5" xfId="3849"/>
    <cellStyle name="40% - Accent4 3 4 5 2" xfId="16153"/>
    <cellStyle name="40% - Accent4 3 4 5 2 2" xfId="39012"/>
    <cellStyle name="40% - Accent4 3 4 5 3" xfId="26710"/>
    <cellStyle name="40% - Accent4 3 4 6" xfId="7364"/>
    <cellStyle name="40% - Accent4 3 4 6 2" xfId="19668"/>
    <cellStyle name="40% - Accent4 3 4 6 2 2" xfId="42527"/>
    <cellStyle name="40% - Accent4 3 4 6 3" xfId="30225"/>
    <cellStyle name="40% - Accent4 3 4 7" xfId="10879"/>
    <cellStyle name="40% - Accent4 3 4 7 2" xfId="33739"/>
    <cellStyle name="40% - Accent4 3 4 8" xfId="12638"/>
    <cellStyle name="40% - Accent4 3 4 8 2" xfId="35497"/>
    <cellStyle name="40% - Accent4 3 4 9" xfId="23193"/>
    <cellStyle name="40% - Accent4 3 5" xfId="557"/>
    <cellStyle name="40% - Accent4 3 5 2" xfId="1436"/>
    <cellStyle name="40% - Accent4 3 5 2 2" xfId="3197"/>
    <cellStyle name="40% - Accent4 3 5 2 2 2" xfId="6712"/>
    <cellStyle name="40% - Accent4 3 5 2 2 2 2" xfId="19016"/>
    <cellStyle name="40% - Accent4 3 5 2 2 2 2 2" xfId="41875"/>
    <cellStyle name="40% - Accent4 3 5 2 2 2 3" xfId="29573"/>
    <cellStyle name="40% - Accent4 3 5 2 2 3" xfId="10227"/>
    <cellStyle name="40% - Accent4 3 5 2 2 3 2" xfId="22531"/>
    <cellStyle name="40% - Accent4 3 5 2 2 3 2 2" xfId="45390"/>
    <cellStyle name="40% - Accent4 3 5 2 2 3 3" xfId="33088"/>
    <cellStyle name="40% - Accent4 3 5 2 2 4" xfId="15501"/>
    <cellStyle name="40% - Accent4 3 5 2 2 4 2" xfId="38360"/>
    <cellStyle name="40% - Accent4 3 5 2 2 5" xfId="26058"/>
    <cellStyle name="40% - Accent4 3 5 2 3" xfId="4954"/>
    <cellStyle name="40% - Accent4 3 5 2 3 2" xfId="17258"/>
    <cellStyle name="40% - Accent4 3 5 2 3 2 2" xfId="40117"/>
    <cellStyle name="40% - Accent4 3 5 2 3 3" xfId="27815"/>
    <cellStyle name="40% - Accent4 3 5 2 4" xfId="8469"/>
    <cellStyle name="40% - Accent4 3 5 2 4 2" xfId="20773"/>
    <cellStyle name="40% - Accent4 3 5 2 4 2 2" xfId="43632"/>
    <cellStyle name="40% - Accent4 3 5 2 4 3" xfId="31330"/>
    <cellStyle name="40% - Accent4 3 5 2 5" xfId="11984"/>
    <cellStyle name="40% - Accent4 3 5 2 5 2" xfId="34844"/>
    <cellStyle name="40% - Accent4 3 5 2 6" xfId="13743"/>
    <cellStyle name="40% - Accent4 3 5 2 6 2" xfId="36602"/>
    <cellStyle name="40% - Accent4 3 5 2 7" xfId="24299"/>
    <cellStyle name="40% - Accent4 3 5 3" xfId="2319"/>
    <cellStyle name="40% - Accent4 3 5 3 2" xfId="5834"/>
    <cellStyle name="40% - Accent4 3 5 3 2 2" xfId="18138"/>
    <cellStyle name="40% - Accent4 3 5 3 2 2 2" xfId="40997"/>
    <cellStyle name="40% - Accent4 3 5 3 2 3" xfId="28695"/>
    <cellStyle name="40% - Accent4 3 5 3 3" xfId="9349"/>
    <cellStyle name="40% - Accent4 3 5 3 3 2" xfId="21653"/>
    <cellStyle name="40% - Accent4 3 5 3 3 2 2" xfId="44512"/>
    <cellStyle name="40% - Accent4 3 5 3 3 3" xfId="32210"/>
    <cellStyle name="40% - Accent4 3 5 3 4" xfId="14623"/>
    <cellStyle name="40% - Accent4 3 5 3 4 2" xfId="37482"/>
    <cellStyle name="40% - Accent4 3 5 3 5" xfId="25180"/>
    <cellStyle name="40% - Accent4 3 5 4" xfId="4076"/>
    <cellStyle name="40% - Accent4 3 5 4 2" xfId="16380"/>
    <cellStyle name="40% - Accent4 3 5 4 2 2" xfId="39239"/>
    <cellStyle name="40% - Accent4 3 5 4 3" xfId="26937"/>
    <cellStyle name="40% - Accent4 3 5 5" xfId="7591"/>
    <cellStyle name="40% - Accent4 3 5 5 2" xfId="19895"/>
    <cellStyle name="40% - Accent4 3 5 5 2 2" xfId="42754"/>
    <cellStyle name="40% - Accent4 3 5 5 3" xfId="30452"/>
    <cellStyle name="40% - Accent4 3 5 6" xfId="11106"/>
    <cellStyle name="40% - Accent4 3 5 6 2" xfId="33966"/>
    <cellStyle name="40% - Accent4 3 5 7" xfId="12865"/>
    <cellStyle name="40% - Accent4 3 5 7 2" xfId="35724"/>
    <cellStyle name="40% - Accent4 3 5 8" xfId="23421"/>
    <cellStyle name="40% - Accent4 3 6" xfId="997"/>
    <cellStyle name="40% - Accent4 3 6 2" xfId="2758"/>
    <cellStyle name="40% - Accent4 3 6 2 2" xfId="6273"/>
    <cellStyle name="40% - Accent4 3 6 2 2 2" xfId="18577"/>
    <cellStyle name="40% - Accent4 3 6 2 2 2 2" xfId="41436"/>
    <cellStyle name="40% - Accent4 3 6 2 2 3" xfId="29134"/>
    <cellStyle name="40% - Accent4 3 6 2 3" xfId="9788"/>
    <cellStyle name="40% - Accent4 3 6 2 3 2" xfId="22092"/>
    <cellStyle name="40% - Accent4 3 6 2 3 2 2" xfId="44951"/>
    <cellStyle name="40% - Accent4 3 6 2 3 3" xfId="32649"/>
    <cellStyle name="40% - Accent4 3 6 2 4" xfId="15062"/>
    <cellStyle name="40% - Accent4 3 6 2 4 2" xfId="37921"/>
    <cellStyle name="40% - Accent4 3 6 2 5" xfId="25619"/>
    <cellStyle name="40% - Accent4 3 6 3" xfId="4515"/>
    <cellStyle name="40% - Accent4 3 6 3 2" xfId="16819"/>
    <cellStyle name="40% - Accent4 3 6 3 2 2" xfId="39678"/>
    <cellStyle name="40% - Accent4 3 6 3 3" xfId="27376"/>
    <cellStyle name="40% - Accent4 3 6 4" xfId="8030"/>
    <cellStyle name="40% - Accent4 3 6 4 2" xfId="20334"/>
    <cellStyle name="40% - Accent4 3 6 4 2 2" xfId="43193"/>
    <cellStyle name="40% - Accent4 3 6 4 3" xfId="30891"/>
    <cellStyle name="40% - Accent4 3 6 5" xfId="11545"/>
    <cellStyle name="40% - Accent4 3 6 5 2" xfId="34405"/>
    <cellStyle name="40% - Accent4 3 6 6" xfId="13304"/>
    <cellStyle name="40% - Accent4 3 6 6 2" xfId="36163"/>
    <cellStyle name="40% - Accent4 3 6 7" xfId="23860"/>
    <cellStyle name="40% - Accent4 3 7" xfId="1880"/>
    <cellStyle name="40% - Accent4 3 7 2" xfId="5395"/>
    <cellStyle name="40% - Accent4 3 7 2 2" xfId="17699"/>
    <cellStyle name="40% - Accent4 3 7 2 2 2" xfId="40558"/>
    <cellStyle name="40% - Accent4 3 7 2 3" xfId="28256"/>
    <cellStyle name="40% - Accent4 3 7 3" xfId="8910"/>
    <cellStyle name="40% - Accent4 3 7 3 2" xfId="21214"/>
    <cellStyle name="40% - Accent4 3 7 3 2 2" xfId="44073"/>
    <cellStyle name="40% - Accent4 3 7 3 3" xfId="31771"/>
    <cellStyle name="40% - Accent4 3 7 4" xfId="14184"/>
    <cellStyle name="40% - Accent4 3 7 4 2" xfId="37043"/>
    <cellStyle name="40% - Accent4 3 7 5" xfId="24741"/>
    <cellStyle name="40% - Accent4 3 8" xfId="3637"/>
    <cellStyle name="40% - Accent4 3 8 2" xfId="15941"/>
    <cellStyle name="40% - Accent4 3 8 2 2" xfId="38800"/>
    <cellStyle name="40% - Accent4 3 8 3" xfId="26498"/>
    <cellStyle name="40% - Accent4 3 9" xfId="7152"/>
    <cellStyle name="40% - Accent4 3 9 2" xfId="19456"/>
    <cellStyle name="40% - Accent4 3 9 2 2" xfId="42315"/>
    <cellStyle name="40% - Accent4 3 9 3" xfId="30013"/>
    <cellStyle name="40% - Accent4 4" xfId="143"/>
    <cellStyle name="40% - Accent4 4 10" xfId="12455"/>
    <cellStyle name="40% - Accent4 4 10 2" xfId="35314"/>
    <cellStyle name="40% - Accent4 4 11" xfId="23009"/>
    <cellStyle name="40% - Accent4 4 2" xfId="251"/>
    <cellStyle name="40% - Accent4 4 2 10" xfId="23116"/>
    <cellStyle name="40% - Accent4 4 2 2" xfId="463"/>
    <cellStyle name="40% - Accent4 4 2 2 2" xfId="904"/>
    <cellStyle name="40% - Accent4 4 2 2 2 2" xfId="1783"/>
    <cellStyle name="40% - Accent4 4 2 2 2 2 2" xfId="3544"/>
    <cellStyle name="40% - Accent4 4 2 2 2 2 2 2" xfId="7059"/>
    <cellStyle name="40% - Accent4 4 2 2 2 2 2 2 2" xfId="19363"/>
    <cellStyle name="40% - Accent4 4 2 2 2 2 2 2 2 2" xfId="42222"/>
    <cellStyle name="40% - Accent4 4 2 2 2 2 2 2 3" xfId="29920"/>
    <cellStyle name="40% - Accent4 4 2 2 2 2 2 3" xfId="10574"/>
    <cellStyle name="40% - Accent4 4 2 2 2 2 2 3 2" xfId="22878"/>
    <cellStyle name="40% - Accent4 4 2 2 2 2 2 3 2 2" xfId="45737"/>
    <cellStyle name="40% - Accent4 4 2 2 2 2 2 3 3" xfId="33435"/>
    <cellStyle name="40% - Accent4 4 2 2 2 2 2 4" xfId="15848"/>
    <cellStyle name="40% - Accent4 4 2 2 2 2 2 4 2" xfId="38707"/>
    <cellStyle name="40% - Accent4 4 2 2 2 2 2 5" xfId="26405"/>
    <cellStyle name="40% - Accent4 4 2 2 2 2 3" xfId="5301"/>
    <cellStyle name="40% - Accent4 4 2 2 2 2 3 2" xfId="17605"/>
    <cellStyle name="40% - Accent4 4 2 2 2 2 3 2 2" xfId="40464"/>
    <cellStyle name="40% - Accent4 4 2 2 2 2 3 3" xfId="28162"/>
    <cellStyle name="40% - Accent4 4 2 2 2 2 4" xfId="8816"/>
    <cellStyle name="40% - Accent4 4 2 2 2 2 4 2" xfId="21120"/>
    <cellStyle name="40% - Accent4 4 2 2 2 2 4 2 2" xfId="43979"/>
    <cellStyle name="40% - Accent4 4 2 2 2 2 4 3" xfId="31677"/>
    <cellStyle name="40% - Accent4 4 2 2 2 2 5" xfId="12331"/>
    <cellStyle name="40% - Accent4 4 2 2 2 2 5 2" xfId="35191"/>
    <cellStyle name="40% - Accent4 4 2 2 2 2 6" xfId="14090"/>
    <cellStyle name="40% - Accent4 4 2 2 2 2 6 2" xfId="36949"/>
    <cellStyle name="40% - Accent4 4 2 2 2 2 7" xfId="24646"/>
    <cellStyle name="40% - Accent4 4 2 2 2 3" xfId="2666"/>
    <cellStyle name="40% - Accent4 4 2 2 2 3 2" xfId="6181"/>
    <cellStyle name="40% - Accent4 4 2 2 2 3 2 2" xfId="18485"/>
    <cellStyle name="40% - Accent4 4 2 2 2 3 2 2 2" xfId="41344"/>
    <cellStyle name="40% - Accent4 4 2 2 2 3 2 3" xfId="29042"/>
    <cellStyle name="40% - Accent4 4 2 2 2 3 3" xfId="9696"/>
    <cellStyle name="40% - Accent4 4 2 2 2 3 3 2" xfId="22000"/>
    <cellStyle name="40% - Accent4 4 2 2 2 3 3 2 2" xfId="44859"/>
    <cellStyle name="40% - Accent4 4 2 2 2 3 3 3" xfId="32557"/>
    <cellStyle name="40% - Accent4 4 2 2 2 3 4" xfId="14970"/>
    <cellStyle name="40% - Accent4 4 2 2 2 3 4 2" xfId="37829"/>
    <cellStyle name="40% - Accent4 4 2 2 2 3 5" xfId="25527"/>
    <cellStyle name="40% - Accent4 4 2 2 2 4" xfId="4423"/>
    <cellStyle name="40% - Accent4 4 2 2 2 4 2" xfId="16727"/>
    <cellStyle name="40% - Accent4 4 2 2 2 4 2 2" xfId="39586"/>
    <cellStyle name="40% - Accent4 4 2 2 2 4 3" xfId="27284"/>
    <cellStyle name="40% - Accent4 4 2 2 2 5" xfId="7938"/>
    <cellStyle name="40% - Accent4 4 2 2 2 5 2" xfId="20242"/>
    <cellStyle name="40% - Accent4 4 2 2 2 5 2 2" xfId="43101"/>
    <cellStyle name="40% - Accent4 4 2 2 2 5 3" xfId="30799"/>
    <cellStyle name="40% - Accent4 4 2 2 2 6" xfId="11453"/>
    <cellStyle name="40% - Accent4 4 2 2 2 6 2" xfId="34313"/>
    <cellStyle name="40% - Accent4 4 2 2 2 7" xfId="13212"/>
    <cellStyle name="40% - Accent4 4 2 2 2 7 2" xfId="36071"/>
    <cellStyle name="40% - Accent4 4 2 2 2 8" xfId="23768"/>
    <cellStyle name="40% - Accent4 4 2 2 3" xfId="1344"/>
    <cellStyle name="40% - Accent4 4 2 2 3 2" xfId="3105"/>
    <cellStyle name="40% - Accent4 4 2 2 3 2 2" xfId="6620"/>
    <cellStyle name="40% - Accent4 4 2 2 3 2 2 2" xfId="18924"/>
    <cellStyle name="40% - Accent4 4 2 2 3 2 2 2 2" xfId="41783"/>
    <cellStyle name="40% - Accent4 4 2 2 3 2 2 3" xfId="29481"/>
    <cellStyle name="40% - Accent4 4 2 2 3 2 3" xfId="10135"/>
    <cellStyle name="40% - Accent4 4 2 2 3 2 3 2" xfId="22439"/>
    <cellStyle name="40% - Accent4 4 2 2 3 2 3 2 2" xfId="45298"/>
    <cellStyle name="40% - Accent4 4 2 2 3 2 3 3" xfId="32996"/>
    <cellStyle name="40% - Accent4 4 2 2 3 2 4" xfId="15409"/>
    <cellStyle name="40% - Accent4 4 2 2 3 2 4 2" xfId="38268"/>
    <cellStyle name="40% - Accent4 4 2 2 3 2 5" xfId="25966"/>
    <cellStyle name="40% - Accent4 4 2 2 3 3" xfId="4862"/>
    <cellStyle name="40% - Accent4 4 2 2 3 3 2" xfId="17166"/>
    <cellStyle name="40% - Accent4 4 2 2 3 3 2 2" xfId="40025"/>
    <cellStyle name="40% - Accent4 4 2 2 3 3 3" xfId="27723"/>
    <cellStyle name="40% - Accent4 4 2 2 3 4" xfId="8377"/>
    <cellStyle name="40% - Accent4 4 2 2 3 4 2" xfId="20681"/>
    <cellStyle name="40% - Accent4 4 2 2 3 4 2 2" xfId="43540"/>
    <cellStyle name="40% - Accent4 4 2 2 3 4 3" xfId="31238"/>
    <cellStyle name="40% - Accent4 4 2 2 3 5" xfId="11892"/>
    <cellStyle name="40% - Accent4 4 2 2 3 5 2" xfId="34752"/>
    <cellStyle name="40% - Accent4 4 2 2 3 6" xfId="13651"/>
    <cellStyle name="40% - Accent4 4 2 2 3 6 2" xfId="36510"/>
    <cellStyle name="40% - Accent4 4 2 2 3 7" xfId="24207"/>
    <cellStyle name="40% - Accent4 4 2 2 4" xfId="2227"/>
    <cellStyle name="40% - Accent4 4 2 2 4 2" xfId="5742"/>
    <cellStyle name="40% - Accent4 4 2 2 4 2 2" xfId="18046"/>
    <cellStyle name="40% - Accent4 4 2 2 4 2 2 2" xfId="40905"/>
    <cellStyle name="40% - Accent4 4 2 2 4 2 3" xfId="28603"/>
    <cellStyle name="40% - Accent4 4 2 2 4 3" xfId="9257"/>
    <cellStyle name="40% - Accent4 4 2 2 4 3 2" xfId="21561"/>
    <cellStyle name="40% - Accent4 4 2 2 4 3 2 2" xfId="44420"/>
    <cellStyle name="40% - Accent4 4 2 2 4 3 3" xfId="32118"/>
    <cellStyle name="40% - Accent4 4 2 2 4 4" xfId="14531"/>
    <cellStyle name="40% - Accent4 4 2 2 4 4 2" xfId="37390"/>
    <cellStyle name="40% - Accent4 4 2 2 4 5" xfId="25088"/>
    <cellStyle name="40% - Accent4 4 2 2 5" xfId="3984"/>
    <cellStyle name="40% - Accent4 4 2 2 5 2" xfId="16288"/>
    <cellStyle name="40% - Accent4 4 2 2 5 2 2" xfId="39147"/>
    <cellStyle name="40% - Accent4 4 2 2 5 3" xfId="26845"/>
    <cellStyle name="40% - Accent4 4 2 2 6" xfId="7499"/>
    <cellStyle name="40% - Accent4 4 2 2 6 2" xfId="19803"/>
    <cellStyle name="40% - Accent4 4 2 2 6 2 2" xfId="42662"/>
    <cellStyle name="40% - Accent4 4 2 2 6 3" xfId="30360"/>
    <cellStyle name="40% - Accent4 4 2 2 7" xfId="11014"/>
    <cellStyle name="40% - Accent4 4 2 2 7 2" xfId="33874"/>
    <cellStyle name="40% - Accent4 4 2 2 8" xfId="12773"/>
    <cellStyle name="40% - Accent4 4 2 2 8 2" xfId="35632"/>
    <cellStyle name="40% - Accent4 4 2 2 9" xfId="23328"/>
    <cellStyle name="40% - Accent4 4 2 3" xfId="692"/>
    <cellStyle name="40% - Accent4 4 2 3 2" xfId="1571"/>
    <cellStyle name="40% - Accent4 4 2 3 2 2" xfId="3332"/>
    <cellStyle name="40% - Accent4 4 2 3 2 2 2" xfId="6847"/>
    <cellStyle name="40% - Accent4 4 2 3 2 2 2 2" xfId="19151"/>
    <cellStyle name="40% - Accent4 4 2 3 2 2 2 2 2" xfId="42010"/>
    <cellStyle name="40% - Accent4 4 2 3 2 2 2 3" xfId="29708"/>
    <cellStyle name="40% - Accent4 4 2 3 2 2 3" xfId="10362"/>
    <cellStyle name="40% - Accent4 4 2 3 2 2 3 2" xfId="22666"/>
    <cellStyle name="40% - Accent4 4 2 3 2 2 3 2 2" xfId="45525"/>
    <cellStyle name="40% - Accent4 4 2 3 2 2 3 3" xfId="33223"/>
    <cellStyle name="40% - Accent4 4 2 3 2 2 4" xfId="15636"/>
    <cellStyle name="40% - Accent4 4 2 3 2 2 4 2" xfId="38495"/>
    <cellStyle name="40% - Accent4 4 2 3 2 2 5" xfId="26193"/>
    <cellStyle name="40% - Accent4 4 2 3 2 3" xfId="5089"/>
    <cellStyle name="40% - Accent4 4 2 3 2 3 2" xfId="17393"/>
    <cellStyle name="40% - Accent4 4 2 3 2 3 2 2" xfId="40252"/>
    <cellStyle name="40% - Accent4 4 2 3 2 3 3" xfId="27950"/>
    <cellStyle name="40% - Accent4 4 2 3 2 4" xfId="8604"/>
    <cellStyle name="40% - Accent4 4 2 3 2 4 2" xfId="20908"/>
    <cellStyle name="40% - Accent4 4 2 3 2 4 2 2" xfId="43767"/>
    <cellStyle name="40% - Accent4 4 2 3 2 4 3" xfId="31465"/>
    <cellStyle name="40% - Accent4 4 2 3 2 5" xfId="12119"/>
    <cellStyle name="40% - Accent4 4 2 3 2 5 2" xfId="34979"/>
    <cellStyle name="40% - Accent4 4 2 3 2 6" xfId="13878"/>
    <cellStyle name="40% - Accent4 4 2 3 2 6 2" xfId="36737"/>
    <cellStyle name="40% - Accent4 4 2 3 2 7" xfId="24434"/>
    <cellStyle name="40% - Accent4 4 2 3 3" xfId="2454"/>
    <cellStyle name="40% - Accent4 4 2 3 3 2" xfId="5969"/>
    <cellStyle name="40% - Accent4 4 2 3 3 2 2" xfId="18273"/>
    <cellStyle name="40% - Accent4 4 2 3 3 2 2 2" xfId="41132"/>
    <cellStyle name="40% - Accent4 4 2 3 3 2 3" xfId="28830"/>
    <cellStyle name="40% - Accent4 4 2 3 3 3" xfId="9484"/>
    <cellStyle name="40% - Accent4 4 2 3 3 3 2" xfId="21788"/>
    <cellStyle name="40% - Accent4 4 2 3 3 3 2 2" xfId="44647"/>
    <cellStyle name="40% - Accent4 4 2 3 3 3 3" xfId="32345"/>
    <cellStyle name="40% - Accent4 4 2 3 3 4" xfId="14758"/>
    <cellStyle name="40% - Accent4 4 2 3 3 4 2" xfId="37617"/>
    <cellStyle name="40% - Accent4 4 2 3 3 5" xfId="25315"/>
    <cellStyle name="40% - Accent4 4 2 3 4" xfId="4211"/>
    <cellStyle name="40% - Accent4 4 2 3 4 2" xfId="16515"/>
    <cellStyle name="40% - Accent4 4 2 3 4 2 2" xfId="39374"/>
    <cellStyle name="40% - Accent4 4 2 3 4 3" xfId="27072"/>
    <cellStyle name="40% - Accent4 4 2 3 5" xfId="7726"/>
    <cellStyle name="40% - Accent4 4 2 3 5 2" xfId="20030"/>
    <cellStyle name="40% - Accent4 4 2 3 5 2 2" xfId="42889"/>
    <cellStyle name="40% - Accent4 4 2 3 5 3" xfId="30587"/>
    <cellStyle name="40% - Accent4 4 2 3 6" xfId="11241"/>
    <cellStyle name="40% - Accent4 4 2 3 6 2" xfId="34101"/>
    <cellStyle name="40% - Accent4 4 2 3 7" xfId="13000"/>
    <cellStyle name="40% - Accent4 4 2 3 7 2" xfId="35859"/>
    <cellStyle name="40% - Accent4 4 2 3 8" xfId="23556"/>
    <cellStyle name="40% - Accent4 4 2 4" xfId="1132"/>
    <cellStyle name="40% - Accent4 4 2 4 2" xfId="2893"/>
    <cellStyle name="40% - Accent4 4 2 4 2 2" xfId="6408"/>
    <cellStyle name="40% - Accent4 4 2 4 2 2 2" xfId="18712"/>
    <cellStyle name="40% - Accent4 4 2 4 2 2 2 2" xfId="41571"/>
    <cellStyle name="40% - Accent4 4 2 4 2 2 3" xfId="29269"/>
    <cellStyle name="40% - Accent4 4 2 4 2 3" xfId="9923"/>
    <cellStyle name="40% - Accent4 4 2 4 2 3 2" xfId="22227"/>
    <cellStyle name="40% - Accent4 4 2 4 2 3 2 2" xfId="45086"/>
    <cellStyle name="40% - Accent4 4 2 4 2 3 3" xfId="32784"/>
    <cellStyle name="40% - Accent4 4 2 4 2 4" xfId="15197"/>
    <cellStyle name="40% - Accent4 4 2 4 2 4 2" xfId="38056"/>
    <cellStyle name="40% - Accent4 4 2 4 2 5" xfId="25754"/>
    <cellStyle name="40% - Accent4 4 2 4 3" xfId="4650"/>
    <cellStyle name="40% - Accent4 4 2 4 3 2" xfId="16954"/>
    <cellStyle name="40% - Accent4 4 2 4 3 2 2" xfId="39813"/>
    <cellStyle name="40% - Accent4 4 2 4 3 3" xfId="27511"/>
    <cellStyle name="40% - Accent4 4 2 4 4" xfId="8165"/>
    <cellStyle name="40% - Accent4 4 2 4 4 2" xfId="20469"/>
    <cellStyle name="40% - Accent4 4 2 4 4 2 2" xfId="43328"/>
    <cellStyle name="40% - Accent4 4 2 4 4 3" xfId="31026"/>
    <cellStyle name="40% - Accent4 4 2 4 5" xfId="11680"/>
    <cellStyle name="40% - Accent4 4 2 4 5 2" xfId="34540"/>
    <cellStyle name="40% - Accent4 4 2 4 6" xfId="13439"/>
    <cellStyle name="40% - Accent4 4 2 4 6 2" xfId="36298"/>
    <cellStyle name="40% - Accent4 4 2 4 7" xfId="23995"/>
    <cellStyle name="40% - Accent4 4 2 5" xfId="2015"/>
    <cellStyle name="40% - Accent4 4 2 5 2" xfId="5530"/>
    <cellStyle name="40% - Accent4 4 2 5 2 2" xfId="17834"/>
    <cellStyle name="40% - Accent4 4 2 5 2 2 2" xfId="40693"/>
    <cellStyle name="40% - Accent4 4 2 5 2 3" xfId="28391"/>
    <cellStyle name="40% - Accent4 4 2 5 3" xfId="9045"/>
    <cellStyle name="40% - Accent4 4 2 5 3 2" xfId="21349"/>
    <cellStyle name="40% - Accent4 4 2 5 3 2 2" xfId="44208"/>
    <cellStyle name="40% - Accent4 4 2 5 3 3" xfId="31906"/>
    <cellStyle name="40% - Accent4 4 2 5 4" xfId="14319"/>
    <cellStyle name="40% - Accent4 4 2 5 4 2" xfId="37178"/>
    <cellStyle name="40% - Accent4 4 2 5 5" xfId="24876"/>
    <cellStyle name="40% - Accent4 4 2 6" xfId="3772"/>
    <cellStyle name="40% - Accent4 4 2 6 2" xfId="16076"/>
    <cellStyle name="40% - Accent4 4 2 6 2 2" xfId="38935"/>
    <cellStyle name="40% - Accent4 4 2 6 3" xfId="26633"/>
    <cellStyle name="40% - Accent4 4 2 7" xfId="7287"/>
    <cellStyle name="40% - Accent4 4 2 7 2" xfId="19591"/>
    <cellStyle name="40% - Accent4 4 2 7 2 2" xfId="42450"/>
    <cellStyle name="40% - Accent4 4 2 7 3" xfId="30148"/>
    <cellStyle name="40% - Accent4 4 2 8" xfId="10802"/>
    <cellStyle name="40% - Accent4 4 2 8 2" xfId="33662"/>
    <cellStyle name="40% - Accent4 4 2 9" xfId="12561"/>
    <cellStyle name="40% - Accent4 4 2 9 2" xfId="35420"/>
    <cellStyle name="40% - Accent4 4 3" xfId="357"/>
    <cellStyle name="40% - Accent4 4 3 2" xfId="798"/>
    <cellStyle name="40% - Accent4 4 3 2 2" xfId="1677"/>
    <cellStyle name="40% - Accent4 4 3 2 2 2" xfId="3438"/>
    <cellStyle name="40% - Accent4 4 3 2 2 2 2" xfId="6953"/>
    <cellStyle name="40% - Accent4 4 3 2 2 2 2 2" xfId="19257"/>
    <cellStyle name="40% - Accent4 4 3 2 2 2 2 2 2" xfId="42116"/>
    <cellStyle name="40% - Accent4 4 3 2 2 2 2 3" xfId="29814"/>
    <cellStyle name="40% - Accent4 4 3 2 2 2 3" xfId="10468"/>
    <cellStyle name="40% - Accent4 4 3 2 2 2 3 2" xfId="22772"/>
    <cellStyle name="40% - Accent4 4 3 2 2 2 3 2 2" xfId="45631"/>
    <cellStyle name="40% - Accent4 4 3 2 2 2 3 3" xfId="33329"/>
    <cellStyle name="40% - Accent4 4 3 2 2 2 4" xfId="15742"/>
    <cellStyle name="40% - Accent4 4 3 2 2 2 4 2" xfId="38601"/>
    <cellStyle name="40% - Accent4 4 3 2 2 2 5" xfId="26299"/>
    <cellStyle name="40% - Accent4 4 3 2 2 3" xfId="5195"/>
    <cellStyle name="40% - Accent4 4 3 2 2 3 2" xfId="17499"/>
    <cellStyle name="40% - Accent4 4 3 2 2 3 2 2" xfId="40358"/>
    <cellStyle name="40% - Accent4 4 3 2 2 3 3" xfId="28056"/>
    <cellStyle name="40% - Accent4 4 3 2 2 4" xfId="8710"/>
    <cellStyle name="40% - Accent4 4 3 2 2 4 2" xfId="21014"/>
    <cellStyle name="40% - Accent4 4 3 2 2 4 2 2" xfId="43873"/>
    <cellStyle name="40% - Accent4 4 3 2 2 4 3" xfId="31571"/>
    <cellStyle name="40% - Accent4 4 3 2 2 5" xfId="12225"/>
    <cellStyle name="40% - Accent4 4 3 2 2 5 2" xfId="35085"/>
    <cellStyle name="40% - Accent4 4 3 2 2 6" xfId="13984"/>
    <cellStyle name="40% - Accent4 4 3 2 2 6 2" xfId="36843"/>
    <cellStyle name="40% - Accent4 4 3 2 2 7" xfId="24540"/>
    <cellStyle name="40% - Accent4 4 3 2 3" xfId="2560"/>
    <cellStyle name="40% - Accent4 4 3 2 3 2" xfId="6075"/>
    <cellStyle name="40% - Accent4 4 3 2 3 2 2" xfId="18379"/>
    <cellStyle name="40% - Accent4 4 3 2 3 2 2 2" xfId="41238"/>
    <cellStyle name="40% - Accent4 4 3 2 3 2 3" xfId="28936"/>
    <cellStyle name="40% - Accent4 4 3 2 3 3" xfId="9590"/>
    <cellStyle name="40% - Accent4 4 3 2 3 3 2" xfId="21894"/>
    <cellStyle name="40% - Accent4 4 3 2 3 3 2 2" xfId="44753"/>
    <cellStyle name="40% - Accent4 4 3 2 3 3 3" xfId="32451"/>
    <cellStyle name="40% - Accent4 4 3 2 3 4" xfId="14864"/>
    <cellStyle name="40% - Accent4 4 3 2 3 4 2" xfId="37723"/>
    <cellStyle name="40% - Accent4 4 3 2 3 5" xfId="25421"/>
    <cellStyle name="40% - Accent4 4 3 2 4" xfId="4317"/>
    <cellStyle name="40% - Accent4 4 3 2 4 2" xfId="16621"/>
    <cellStyle name="40% - Accent4 4 3 2 4 2 2" xfId="39480"/>
    <cellStyle name="40% - Accent4 4 3 2 4 3" xfId="27178"/>
    <cellStyle name="40% - Accent4 4 3 2 5" xfId="7832"/>
    <cellStyle name="40% - Accent4 4 3 2 5 2" xfId="20136"/>
    <cellStyle name="40% - Accent4 4 3 2 5 2 2" xfId="42995"/>
    <cellStyle name="40% - Accent4 4 3 2 5 3" xfId="30693"/>
    <cellStyle name="40% - Accent4 4 3 2 6" xfId="11347"/>
    <cellStyle name="40% - Accent4 4 3 2 6 2" xfId="34207"/>
    <cellStyle name="40% - Accent4 4 3 2 7" xfId="13106"/>
    <cellStyle name="40% - Accent4 4 3 2 7 2" xfId="35965"/>
    <cellStyle name="40% - Accent4 4 3 2 8" xfId="23662"/>
    <cellStyle name="40% - Accent4 4 3 3" xfId="1238"/>
    <cellStyle name="40% - Accent4 4 3 3 2" xfId="2999"/>
    <cellStyle name="40% - Accent4 4 3 3 2 2" xfId="6514"/>
    <cellStyle name="40% - Accent4 4 3 3 2 2 2" xfId="18818"/>
    <cellStyle name="40% - Accent4 4 3 3 2 2 2 2" xfId="41677"/>
    <cellStyle name="40% - Accent4 4 3 3 2 2 3" xfId="29375"/>
    <cellStyle name="40% - Accent4 4 3 3 2 3" xfId="10029"/>
    <cellStyle name="40% - Accent4 4 3 3 2 3 2" xfId="22333"/>
    <cellStyle name="40% - Accent4 4 3 3 2 3 2 2" xfId="45192"/>
    <cellStyle name="40% - Accent4 4 3 3 2 3 3" xfId="32890"/>
    <cellStyle name="40% - Accent4 4 3 3 2 4" xfId="15303"/>
    <cellStyle name="40% - Accent4 4 3 3 2 4 2" xfId="38162"/>
    <cellStyle name="40% - Accent4 4 3 3 2 5" xfId="25860"/>
    <cellStyle name="40% - Accent4 4 3 3 3" xfId="4756"/>
    <cellStyle name="40% - Accent4 4 3 3 3 2" xfId="17060"/>
    <cellStyle name="40% - Accent4 4 3 3 3 2 2" xfId="39919"/>
    <cellStyle name="40% - Accent4 4 3 3 3 3" xfId="27617"/>
    <cellStyle name="40% - Accent4 4 3 3 4" xfId="8271"/>
    <cellStyle name="40% - Accent4 4 3 3 4 2" xfId="20575"/>
    <cellStyle name="40% - Accent4 4 3 3 4 2 2" xfId="43434"/>
    <cellStyle name="40% - Accent4 4 3 3 4 3" xfId="31132"/>
    <cellStyle name="40% - Accent4 4 3 3 5" xfId="11786"/>
    <cellStyle name="40% - Accent4 4 3 3 5 2" xfId="34646"/>
    <cellStyle name="40% - Accent4 4 3 3 6" xfId="13545"/>
    <cellStyle name="40% - Accent4 4 3 3 6 2" xfId="36404"/>
    <cellStyle name="40% - Accent4 4 3 3 7" xfId="24101"/>
    <cellStyle name="40% - Accent4 4 3 4" xfId="2121"/>
    <cellStyle name="40% - Accent4 4 3 4 2" xfId="5636"/>
    <cellStyle name="40% - Accent4 4 3 4 2 2" xfId="17940"/>
    <cellStyle name="40% - Accent4 4 3 4 2 2 2" xfId="40799"/>
    <cellStyle name="40% - Accent4 4 3 4 2 3" xfId="28497"/>
    <cellStyle name="40% - Accent4 4 3 4 3" xfId="9151"/>
    <cellStyle name="40% - Accent4 4 3 4 3 2" xfId="21455"/>
    <cellStyle name="40% - Accent4 4 3 4 3 2 2" xfId="44314"/>
    <cellStyle name="40% - Accent4 4 3 4 3 3" xfId="32012"/>
    <cellStyle name="40% - Accent4 4 3 4 4" xfId="14425"/>
    <cellStyle name="40% - Accent4 4 3 4 4 2" xfId="37284"/>
    <cellStyle name="40% - Accent4 4 3 4 5" xfId="24982"/>
    <cellStyle name="40% - Accent4 4 3 5" xfId="3878"/>
    <cellStyle name="40% - Accent4 4 3 5 2" xfId="16182"/>
    <cellStyle name="40% - Accent4 4 3 5 2 2" xfId="39041"/>
    <cellStyle name="40% - Accent4 4 3 5 3" xfId="26739"/>
    <cellStyle name="40% - Accent4 4 3 6" xfId="7393"/>
    <cellStyle name="40% - Accent4 4 3 6 2" xfId="19697"/>
    <cellStyle name="40% - Accent4 4 3 6 2 2" xfId="42556"/>
    <cellStyle name="40% - Accent4 4 3 6 3" xfId="30254"/>
    <cellStyle name="40% - Accent4 4 3 7" xfId="10908"/>
    <cellStyle name="40% - Accent4 4 3 7 2" xfId="33768"/>
    <cellStyle name="40% - Accent4 4 3 8" xfId="12667"/>
    <cellStyle name="40% - Accent4 4 3 8 2" xfId="35526"/>
    <cellStyle name="40% - Accent4 4 3 9" xfId="23222"/>
    <cellStyle name="40% - Accent4 4 4" xfId="586"/>
    <cellStyle name="40% - Accent4 4 4 2" xfId="1465"/>
    <cellStyle name="40% - Accent4 4 4 2 2" xfId="3226"/>
    <cellStyle name="40% - Accent4 4 4 2 2 2" xfId="6741"/>
    <cellStyle name="40% - Accent4 4 4 2 2 2 2" xfId="19045"/>
    <cellStyle name="40% - Accent4 4 4 2 2 2 2 2" xfId="41904"/>
    <cellStyle name="40% - Accent4 4 4 2 2 2 3" xfId="29602"/>
    <cellStyle name="40% - Accent4 4 4 2 2 3" xfId="10256"/>
    <cellStyle name="40% - Accent4 4 4 2 2 3 2" xfId="22560"/>
    <cellStyle name="40% - Accent4 4 4 2 2 3 2 2" xfId="45419"/>
    <cellStyle name="40% - Accent4 4 4 2 2 3 3" xfId="33117"/>
    <cellStyle name="40% - Accent4 4 4 2 2 4" xfId="15530"/>
    <cellStyle name="40% - Accent4 4 4 2 2 4 2" xfId="38389"/>
    <cellStyle name="40% - Accent4 4 4 2 2 5" xfId="26087"/>
    <cellStyle name="40% - Accent4 4 4 2 3" xfId="4983"/>
    <cellStyle name="40% - Accent4 4 4 2 3 2" xfId="17287"/>
    <cellStyle name="40% - Accent4 4 4 2 3 2 2" xfId="40146"/>
    <cellStyle name="40% - Accent4 4 4 2 3 3" xfId="27844"/>
    <cellStyle name="40% - Accent4 4 4 2 4" xfId="8498"/>
    <cellStyle name="40% - Accent4 4 4 2 4 2" xfId="20802"/>
    <cellStyle name="40% - Accent4 4 4 2 4 2 2" xfId="43661"/>
    <cellStyle name="40% - Accent4 4 4 2 4 3" xfId="31359"/>
    <cellStyle name="40% - Accent4 4 4 2 5" xfId="12013"/>
    <cellStyle name="40% - Accent4 4 4 2 5 2" xfId="34873"/>
    <cellStyle name="40% - Accent4 4 4 2 6" xfId="13772"/>
    <cellStyle name="40% - Accent4 4 4 2 6 2" xfId="36631"/>
    <cellStyle name="40% - Accent4 4 4 2 7" xfId="24328"/>
    <cellStyle name="40% - Accent4 4 4 3" xfId="2348"/>
    <cellStyle name="40% - Accent4 4 4 3 2" xfId="5863"/>
    <cellStyle name="40% - Accent4 4 4 3 2 2" xfId="18167"/>
    <cellStyle name="40% - Accent4 4 4 3 2 2 2" xfId="41026"/>
    <cellStyle name="40% - Accent4 4 4 3 2 3" xfId="28724"/>
    <cellStyle name="40% - Accent4 4 4 3 3" xfId="9378"/>
    <cellStyle name="40% - Accent4 4 4 3 3 2" xfId="21682"/>
    <cellStyle name="40% - Accent4 4 4 3 3 2 2" xfId="44541"/>
    <cellStyle name="40% - Accent4 4 4 3 3 3" xfId="32239"/>
    <cellStyle name="40% - Accent4 4 4 3 4" xfId="14652"/>
    <cellStyle name="40% - Accent4 4 4 3 4 2" xfId="37511"/>
    <cellStyle name="40% - Accent4 4 4 3 5" xfId="25209"/>
    <cellStyle name="40% - Accent4 4 4 4" xfId="4105"/>
    <cellStyle name="40% - Accent4 4 4 4 2" xfId="16409"/>
    <cellStyle name="40% - Accent4 4 4 4 2 2" xfId="39268"/>
    <cellStyle name="40% - Accent4 4 4 4 3" xfId="26966"/>
    <cellStyle name="40% - Accent4 4 4 5" xfId="7620"/>
    <cellStyle name="40% - Accent4 4 4 5 2" xfId="19924"/>
    <cellStyle name="40% - Accent4 4 4 5 2 2" xfId="42783"/>
    <cellStyle name="40% - Accent4 4 4 5 3" xfId="30481"/>
    <cellStyle name="40% - Accent4 4 4 6" xfId="11135"/>
    <cellStyle name="40% - Accent4 4 4 6 2" xfId="33995"/>
    <cellStyle name="40% - Accent4 4 4 7" xfId="12894"/>
    <cellStyle name="40% - Accent4 4 4 7 2" xfId="35753"/>
    <cellStyle name="40% - Accent4 4 4 8" xfId="23450"/>
    <cellStyle name="40% - Accent4 4 5" xfId="1026"/>
    <cellStyle name="40% - Accent4 4 5 2" xfId="2787"/>
    <cellStyle name="40% - Accent4 4 5 2 2" xfId="6302"/>
    <cellStyle name="40% - Accent4 4 5 2 2 2" xfId="18606"/>
    <cellStyle name="40% - Accent4 4 5 2 2 2 2" xfId="41465"/>
    <cellStyle name="40% - Accent4 4 5 2 2 3" xfId="29163"/>
    <cellStyle name="40% - Accent4 4 5 2 3" xfId="9817"/>
    <cellStyle name="40% - Accent4 4 5 2 3 2" xfId="22121"/>
    <cellStyle name="40% - Accent4 4 5 2 3 2 2" xfId="44980"/>
    <cellStyle name="40% - Accent4 4 5 2 3 3" xfId="32678"/>
    <cellStyle name="40% - Accent4 4 5 2 4" xfId="15091"/>
    <cellStyle name="40% - Accent4 4 5 2 4 2" xfId="37950"/>
    <cellStyle name="40% - Accent4 4 5 2 5" xfId="25648"/>
    <cellStyle name="40% - Accent4 4 5 3" xfId="4544"/>
    <cellStyle name="40% - Accent4 4 5 3 2" xfId="16848"/>
    <cellStyle name="40% - Accent4 4 5 3 2 2" xfId="39707"/>
    <cellStyle name="40% - Accent4 4 5 3 3" xfId="27405"/>
    <cellStyle name="40% - Accent4 4 5 4" xfId="8059"/>
    <cellStyle name="40% - Accent4 4 5 4 2" xfId="20363"/>
    <cellStyle name="40% - Accent4 4 5 4 2 2" xfId="43222"/>
    <cellStyle name="40% - Accent4 4 5 4 3" xfId="30920"/>
    <cellStyle name="40% - Accent4 4 5 5" xfId="11574"/>
    <cellStyle name="40% - Accent4 4 5 5 2" xfId="34434"/>
    <cellStyle name="40% - Accent4 4 5 6" xfId="13333"/>
    <cellStyle name="40% - Accent4 4 5 6 2" xfId="36192"/>
    <cellStyle name="40% - Accent4 4 5 7" xfId="23889"/>
    <cellStyle name="40% - Accent4 4 6" xfId="1909"/>
    <cellStyle name="40% - Accent4 4 6 2" xfId="5424"/>
    <cellStyle name="40% - Accent4 4 6 2 2" xfId="17728"/>
    <cellStyle name="40% - Accent4 4 6 2 2 2" xfId="40587"/>
    <cellStyle name="40% - Accent4 4 6 2 3" xfId="28285"/>
    <cellStyle name="40% - Accent4 4 6 3" xfId="8939"/>
    <cellStyle name="40% - Accent4 4 6 3 2" xfId="21243"/>
    <cellStyle name="40% - Accent4 4 6 3 2 2" xfId="44102"/>
    <cellStyle name="40% - Accent4 4 6 3 3" xfId="31800"/>
    <cellStyle name="40% - Accent4 4 6 4" xfId="14213"/>
    <cellStyle name="40% - Accent4 4 6 4 2" xfId="37072"/>
    <cellStyle name="40% - Accent4 4 6 5" xfId="24770"/>
    <cellStyle name="40% - Accent4 4 7" xfId="3666"/>
    <cellStyle name="40% - Accent4 4 7 2" xfId="15970"/>
    <cellStyle name="40% - Accent4 4 7 2 2" xfId="38829"/>
    <cellStyle name="40% - Accent4 4 7 3" xfId="26527"/>
    <cellStyle name="40% - Accent4 4 8" xfId="7181"/>
    <cellStyle name="40% - Accent4 4 8 2" xfId="19485"/>
    <cellStyle name="40% - Accent4 4 8 2 2" xfId="42344"/>
    <cellStyle name="40% - Accent4 4 8 3" xfId="30042"/>
    <cellStyle name="40% - Accent4 4 9" xfId="10696"/>
    <cellStyle name="40% - Accent4 4 9 2" xfId="33556"/>
    <cellStyle name="40% - Accent4 5" xfId="203"/>
    <cellStyle name="40% - Accent4 5 10" xfId="23068"/>
    <cellStyle name="40% - Accent4 5 2" xfId="415"/>
    <cellStyle name="40% - Accent4 5 2 2" xfId="856"/>
    <cellStyle name="40% - Accent4 5 2 2 2" xfId="1735"/>
    <cellStyle name="40% - Accent4 5 2 2 2 2" xfId="3496"/>
    <cellStyle name="40% - Accent4 5 2 2 2 2 2" xfId="7011"/>
    <cellStyle name="40% - Accent4 5 2 2 2 2 2 2" xfId="19315"/>
    <cellStyle name="40% - Accent4 5 2 2 2 2 2 2 2" xfId="42174"/>
    <cellStyle name="40% - Accent4 5 2 2 2 2 2 3" xfId="29872"/>
    <cellStyle name="40% - Accent4 5 2 2 2 2 3" xfId="10526"/>
    <cellStyle name="40% - Accent4 5 2 2 2 2 3 2" xfId="22830"/>
    <cellStyle name="40% - Accent4 5 2 2 2 2 3 2 2" xfId="45689"/>
    <cellStyle name="40% - Accent4 5 2 2 2 2 3 3" xfId="33387"/>
    <cellStyle name="40% - Accent4 5 2 2 2 2 4" xfId="15800"/>
    <cellStyle name="40% - Accent4 5 2 2 2 2 4 2" xfId="38659"/>
    <cellStyle name="40% - Accent4 5 2 2 2 2 5" xfId="26357"/>
    <cellStyle name="40% - Accent4 5 2 2 2 3" xfId="5253"/>
    <cellStyle name="40% - Accent4 5 2 2 2 3 2" xfId="17557"/>
    <cellStyle name="40% - Accent4 5 2 2 2 3 2 2" xfId="40416"/>
    <cellStyle name="40% - Accent4 5 2 2 2 3 3" xfId="28114"/>
    <cellStyle name="40% - Accent4 5 2 2 2 4" xfId="8768"/>
    <cellStyle name="40% - Accent4 5 2 2 2 4 2" xfId="21072"/>
    <cellStyle name="40% - Accent4 5 2 2 2 4 2 2" xfId="43931"/>
    <cellStyle name="40% - Accent4 5 2 2 2 4 3" xfId="31629"/>
    <cellStyle name="40% - Accent4 5 2 2 2 5" xfId="12283"/>
    <cellStyle name="40% - Accent4 5 2 2 2 5 2" xfId="35143"/>
    <cellStyle name="40% - Accent4 5 2 2 2 6" xfId="14042"/>
    <cellStyle name="40% - Accent4 5 2 2 2 6 2" xfId="36901"/>
    <cellStyle name="40% - Accent4 5 2 2 2 7" xfId="24598"/>
    <cellStyle name="40% - Accent4 5 2 2 3" xfId="2618"/>
    <cellStyle name="40% - Accent4 5 2 2 3 2" xfId="6133"/>
    <cellStyle name="40% - Accent4 5 2 2 3 2 2" xfId="18437"/>
    <cellStyle name="40% - Accent4 5 2 2 3 2 2 2" xfId="41296"/>
    <cellStyle name="40% - Accent4 5 2 2 3 2 3" xfId="28994"/>
    <cellStyle name="40% - Accent4 5 2 2 3 3" xfId="9648"/>
    <cellStyle name="40% - Accent4 5 2 2 3 3 2" xfId="21952"/>
    <cellStyle name="40% - Accent4 5 2 2 3 3 2 2" xfId="44811"/>
    <cellStyle name="40% - Accent4 5 2 2 3 3 3" xfId="32509"/>
    <cellStyle name="40% - Accent4 5 2 2 3 4" xfId="14922"/>
    <cellStyle name="40% - Accent4 5 2 2 3 4 2" xfId="37781"/>
    <cellStyle name="40% - Accent4 5 2 2 3 5" xfId="25479"/>
    <cellStyle name="40% - Accent4 5 2 2 4" xfId="4375"/>
    <cellStyle name="40% - Accent4 5 2 2 4 2" xfId="16679"/>
    <cellStyle name="40% - Accent4 5 2 2 4 2 2" xfId="39538"/>
    <cellStyle name="40% - Accent4 5 2 2 4 3" xfId="27236"/>
    <cellStyle name="40% - Accent4 5 2 2 5" xfId="7890"/>
    <cellStyle name="40% - Accent4 5 2 2 5 2" xfId="20194"/>
    <cellStyle name="40% - Accent4 5 2 2 5 2 2" xfId="43053"/>
    <cellStyle name="40% - Accent4 5 2 2 5 3" xfId="30751"/>
    <cellStyle name="40% - Accent4 5 2 2 6" xfId="11405"/>
    <cellStyle name="40% - Accent4 5 2 2 6 2" xfId="34265"/>
    <cellStyle name="40% - Accent4 5 2 2 7" xfId="13164"/>
    <cellStyle name="40% - Accent4 5 2 2 7 2" xfId="36023"/>
    <cellStyle name="40% - Accent4 5 2 2 8" xfId="23720"/>
    <cellStyle name="40% - Accent4 5 2 3" xfId="1296"/>
    <cellStyle name="40% - Accent4 5 2 3 2" xfId="3057"/>
    <cellStyle name="40% - Accent4 5 2 3 2 2" xfId="6572"/>
    <cellStyle name="40% - Accent4 5 2 3 2 2 2" xfId="18876"/>
    <cellStyle name="40% - Accent4 5 2 3 2 2 2 2" xfId="41735"/>
    <cellStyle name="40% - Accent4 5 2 3 2 2 3" xfId="29433"/>
    <cellStyle name="40% - Accent4 5 2 3 2 3" xfId="10087"/>
    <cellStyle name="40% - Accent4 5 2 3 2 3 2" xfId="22391"/>
    <cellStyle name="40% - Accent4 5 2 3 2 3 2 2" xfId="45250"/>
    <cellStyle name="40% - Accent4 5 2 3 2 3 3" xfId="32948"/>
    <cellStyle name="40% - Accent4 5 2 3 2 4" xfId="15361"/>
    <cellStyle name="40% - Accent4 5 2 3 2 4 2" xfId="38220"/>
    <cellStyle name="40% - Accent4 5 2 3 2 5" xfId="25918"/>
    <cellStyle name="40% - Accent4 5 2 3 3" xfId="4814"/>
    <cellStyle name="40% - Accent4 5 2 3 3 2" xfId="17118"/>
    <cellStyle name="40% - Accent4 5 2 3 3 2 2" xfId="39977"/>
    <cellStyle name="40% - Accent4 5 2 3 3 3" xfId="27675"/>
    <cellStyle name="40% - Accent4 5 2 3 4" xfId="8329"/>
    <cellStyle name="40% - Accent4 5 2 3 4 2" xfId="20633"/>
    <cellStyle name="40% - Accent4 5 2 3 4 2 2" xfId="43492"/>
    <cellStyle name="40% - Accent4 5 2 3 4 3" xfId="31190"/>
    <cellStyle name="40% - Accent4 5 2 3 5" xfId="11844"/>
    <cellStyle name="40% - Accent4 5 2 3 5 2" xfId="34704"/>
    <cellStyle name="40% - Accent4 5 2 3 6" xfId="13603"/>
    <cellStyle name="40% - Accent4 5 2 3 6 2" xfId="36462"/>
    <cellStyle name="40% - Accent4 5 2 3 7" xfId="24159"/>
    <cellStyle name="40% - Accent4 5 2 4" xfId="2179"/>
    <cellStyle name="40% - Accent4 5 2 4 2" xfId="5694"/>
    <cellStyle name="40% - Accent4 5 2 4 2 2" xfId="17998"/>
    <cellStyle name="40% - Accent4 5 2 4 2 2 2" xfId="40857"/>
    <cellStyle name="40% - Accent4 5 2 4 2 3" xfId="28555"/>
    <cellStyle name="40% - Accent4 5 2 4 3" xfId="9209"/>
    <cellStyle name="40% - Accent4 5 2 4 3 2" xfId="21513"/>
    <cellStyle name="40% - Accent4 5 2 4 3 2 2" xfId="44372"/>
    <cellStyle name="40% - Accent4 5 2 4 3 3" xfId="32070"/>
    <cellStyle name="40% - Accent4 5 2 4 4" xfId="14483"/>
    <cellStyle name="40% - Accent4 5 2 4 4 2" xfId="37342"/>
    <cellStyle name="40% - Accent4 5 2 4 5" xfId="25040"/>
    <cellStyle name="40% - Accent4 5 2 5" xfId="3936"/>
    <cellStyle name="40% - Accent4 5 2 5 2" xfId="16240"/>
    <cellStyle name="40% - Accent4 5 2 5 2 2" xfId="39099"/>
    <cellStyle name="40% - Accent4 5 2 5 3" xfId="26797"/>
    <cellStyle name="40% - Accent4 5 2 6" xfId="7451"/>
    <cellStyle name="40% - Accent4 5 2 6 2" xfId="19755"/>
    <cellStyle name="40% - Accent4 5 2 6 2 2" xfId="42614"/>
    <cellStyle name="40% - Accent4 5 2 6 3" xfId="30312"/>
    <cellStyle name="40% - Accent4 5 2 7" xfId="10966"/>
    <cellStyle name="40% - Accent4 5 2 7 2" xfId="33826"/>
    <cellStyle name="40% - Accent4 5 2 8" xfId="12725"/>
    <cellStyle name="40% - Accent4 5 2 8 2" xfId="35584"/>
    <cellStyle name="40% - Accent4 5 2 9" xfId="23280"/>
    <cellStyle name="40% - Accent4 5 3" xfId="644"/>
    <cellStyle name="40% - Accent4 5 3 2" xfId="1523"/>
    <cellStyle name="40% - Accent4 5 3 2 2" xfId="3284"/>
    <cellStyle name="40% - Accent4 5 3 2 2 2" xfId="6799"/>
    <cellStyle name="40% - Accent4 5 3 2 2 2 2" xfId="19103"/>
    <cellStyle name="40% - Accent4 5 3 2 2 2 2 2" xfId="41962"/>
    <cellStyle name="40% - Accent4 5 3 2 2 2 3" xfId="29660"/>
    <cellStyle name="40% - Accent4 5 3 2 2 3" xfId="10314"/>
    <cellStyle name="40% - Accent4 5 3 2 2 3 2" xfId="22618"/>
    <cellStyle name="40% - Accent4 5 3 2 2 3 2 2" xfId="45477"/>
    <cellStyle name="40% - Accent4 5 3 2 2 3 3" xfId="33175"/>
    <cellStyle name="40% - Accent4 5 3 2 2 4" xfId="15588"/>
    <cellStyle name="40% - Accent4 5 3 2 2 4 2" xfId="38447"/>
    <cellStyle name="40% - Accent4 5 3 2 2 5" xfId="26145"/>
    <cellStyle name="40% - Accent4 5 3 2 3" xfId="5041"/>
    <cellStyle name="40% - Accent4 5 3 2 3 2" xfId="17345"/>
    <cellStyle name="40% - Accent4 5 3 2 3 2 2" xfId="40204"/>
    <cellStyle name="40% - Accent4 5 3 2 3 3" xfId="27902"/>
    <cellStyle name="40% - Accent4 5 3 2 4" xfId="8556"/>
    <cellStyle name="40% - Accent4 5 3 2 4 2" xfId="20860"/>
    <cellStyle name="40% - Accent4 5 3 2 4 2 2" xfId="43719"/>
    <cellStyle name="40% - Accent4 5 3 2 4 3" xfId="31417"/>
    <cellStyle name="40% - Accent4 5 3 2 5" xfId="12071"/>
    <cellStyle name="40% - Accent4 5 3 2 5 2" xfId="34931"/>
    <cellStyle name="40% - Accent4 5 3 2 6" xfId="13830"/>
    <cellStyle name="40% - Accent4 5 3 2 6 2" xfId="36689"/>
    <cellStyle name="40% - Accent4 5 3 2 7" xfId="24386"/>
    <cellStyle name="40% - Accent4 5 3 3" xfId="2406"/>
    <cellStyle name="40% - Accent4 5 3 3 2" xfId="5921"/>
    <cellStyle name="40% - Accent4 5 3 3 2 2" xfId="18225"/>
    <cellStyle name="40% - Accent4 5 3 3 2 2 2" xfId="41084"/>
    <cellStyle name="40% - Accent4 5 3 3 2 3" xfId="28782"/>
    <cellStyle name="40% - Accent4 5 3 3 3" xfId="9436"/>
    <cellStyle name="40% - Accent4 5 3 3 3 2" xfId="21740"/>
    <cellStyle name="40% - Accent4 5 3 3 3 2 2" xfId="44599"/>
    <cellStyle name="40% - Accent4 5 3 3 3 3" xfId="32297"/>
    <cellStyle name="40% - Accent4 5 3 3 4" xfId="14710"/>
    <cellStyle name="40% - Accent4 5 3 3 4 2" xfId="37569"/>
    <cellStyle name="40% - Accent4 5 3 3 5" xfId="25267"/>
    <cellStyle name="40% - Accent4 5 3 4" xfId="4163"/>
    <cellStyle name="40% - Accent4 5 3 4 2" xfId="16467"/>
    <cellStyle name="40% - Accent4 5 3 4 2 2" xfId="39326"/>
    <cellStyle name="40% - Accent4 5 3 4 3" xfId="27024"/>
    <cellStyle name="40% - Accent4 5 3 5" xfId="7678"/>
    <cellStyle name="40% - Accent4 5 3 5 2" xfId="19982"/>
    <cellStyle name="40% - Accent4 5 3 5 2 2" xfId="42841"/>
    <cellStyle name="40% - Accent4 5 3 5 3" xfId="30539"/>
    <cellStyle name="40% - Accent4 5 3 6" xfId="11193"/>
    <cellStyle name="40% - Accent4 5 3 6 2" xfId="34053"/>
    <cellStyle name="40% - Accent4 5 3 7" xfId="12952"/>
    <cellStyle name="40% - Accent4 5 3 7 2" xfId="35811"/>
    <cellStyle name="40% - Accent4 5 3 8" xfId="23508"/>
    <cellStyle name="40% - Accent4 5 4" xfId="1084"/>
    <cellStyle name="40% - Accent4 5 4 2" xfId="2845"/>
    <cellStyle name="40% - Accent4 5 4 2 2" xfId="6360"/>
    <cellStyle name="40% - Accent4 5 4 2 2 2" xfId="18664"/>
    <cellStyle name="40% - Accent4 5 4 2 2 2 2" xfId="41523"/>
    <cellStyle name="40% - Accent4 5 4 2 2 3" xfId="29221"/>
    <cellStyle name="40% - Accent4 5 4 2 3" xfId="9875"/>
    <cellStyle name="40% - Accent4 5 4 2 3 2" xfId="22179"/>
    <cellStyle name="40% - Accent4 5 4 2 3 2 2" xfId="45038"/>
    <cellStyle name="40% - Accent4 5 4 2 3 3" xfId="32736"/>
    <cellStyle name="40% - Accent4 5 4 2 4" xfId="15149"/>
    <cellStyle name="40% - Accent4 5 4 2 4 2" xfId="38008"/>
    <cellStyle name="40% - Accent4 5 4 2 5" xfId="25706"/>
    <cellStyle name="40% - Accent4 5 4 3" xfId="4602"/>
    <cellStyle name="40% - Accent4 5 4 3 2" xfId="16906"/>
    <cellStyle name="40% - Accent4 5 4 3 2 2" xfId="39765"/>
    <cellStyle name="40% - Accent4 5 4 3 3" xfId="27463"/>
    <cellStyle name="40% - Accent4 5 4 4" xfId="8117"/>
    <cellStyle name="40% - Accent4 5 4 4 2" xfId="20421"/>
    <cellStyle name="40% - Accent4 5 4 4 2 2" xfId="43280"/>
    <cellStyle name="40% - Accent4 5 4 4 3" xfId="30978"/>
    <cellStyle name="40% - Accent4 5 4 5" xfId="11632"/>
    <cellStyle name="40% - Accent4 5 4 5 2" xfId="34492"/>
    <cellStyle name="40% - Accent4 5 4 6" xfId="13391"/>
    <cellStyle name="40% - Accent4 5 4 6 2" xfId="36250"/>
    <cellStyle name="40% - Accent4 5 4 7" xfId="23947"/>
    <cellStyle name="40% - Accent4 5 5" xfId="1967"/>
    <cellStyle name="40% - Accent4 5 5 2" xfId="5482"/>
    <cellStyle name="40% - Accent4 5 5 2 2" xfId="17786"/>
    <cellStyle name="40% - Accent4 5 5 2 2 2" xfId="40645"/>
    <cellStyle name="40% - Accent4 5 5 2 3" xfId="28343"/>
    <cellStyle name="40% - Accent4 5 5 3" xfId="8997"/>
    <cellStyle name="40% - Accent4 5 5 3 2" xfId="21301"/>
    <cellStyle name="40% - Accent4 5 5 3 2 2" xfId="44160"/>
    <cellStyle name="40% - Accent4 5 5 3 3" xfId="31858"/>
    <cellStyle name="40% - Accent4 5 5 4" xfId="14271"/>
    <cellStyle name="40% - Accent4 5 5 4 2" xfId="37130"/>
    <cellStyle name="40% - Accent4 5 5 5" xfId="24828"/>
    <cellStyle name="40% - Accent4 5 6" xfId="3724"/>
    <cellStyle name="40% - Accent4 5 6 2" xfId="16028"/>
    <cellStyle name="40% - Accent4 5 6 2 2" xfId="38887"/>
    <cellStyle name="40% - Accent4 5 6 3" xfId="26585"/>
    <cellStyle name="40% - Accent4 5 7" xfId="7239"/>
    <cellStyle name="40% - Accent4 5 7 2" xfId="19543"/>
    <cellStyle name="40% - Accent4 5 7 2 2" xfId="42402"/>
    <cellStyle name="40% - Accent4 5 7 3" xfId="30100"/>
    <cellStyle name="40% - Accent4 5 8" xfId="10754"/>
    <cellStyle name="40% - Accent4 5 8 2" xfId="33614"/>
    <cellStyle name="40% - Accent4 5 9" xfId="12513"/>
    <cellStyle name="40% - Accent4 5 9 2" xfId="35372"/>
    <cellStyle name="40% - Accent4 6" xfId="309"/>
    <cellStyle name="40% - Accent4 6 2" xfId="750"/>
    <cellStyle name="40% - Accent4 6 2 2" xfId="1629"/>
    <cellStyle name="40% - Accent4 6 2 2 2" xfId="3390"/>
    <cellStyle name="40% - Accent4 6 2 2 2 2" xfId="6905"/>
    <cellStyle name="40% - Accent4 6 2 2 2 2 2" xfId="19209"/>
    <cellStyle name="40% - Accent4 6 2 2 2 2 2 2" xfId="42068"/>
    <cellStyle name="40% - Accent4 6 2 2 2 2 3" xfId="29766"/>
    <cellStyle name="40% - Accent4 6 2 2 2 3" xfId="10420"/>
    <cellStyle name="40% - Accent4 6 2 2 2 3 2" xfId="22724"/>
    <cellStyle name="40% - Accent4 6 2 2 2 3 2 2" xfId="45583"/>
    <cellStyle name="40% - Accent4 6 2 2 2 3 3" xfId="33281"/>
    <cellStyle name="40% - Accent4 6 2 2 2 4" xfId="15694"/>
    <cellStyle name="40% - Accent4 6 2 2 2 4 2" xfId="38553"/>
    <cellStyle name="40% - Accent4 6 2 2 2 5" xfId="26251"/>
    <cellStyle name="40% - Accent4 6 2 2 3" xfId="5147"/>
    <cellStyle name="40% - Accent4 6 2 2 3 2" xfId="17451"/>
    <cellStyle name="40% - Accent4 6 2 2 3 2 2" xfId="40310"/>
    <cellStyle name="40% - Accent4 6 2 2 3 3" xfId="28008"/>
    <cellStyle name="40% - Accent4 6 2 2 4" xfId="8662"/>
    <cellStyle name="40% - Accent4 6 2 2 4 2" xfId="20966"/>
    <cellStyle name="40% - Accent4 6 2 2 4 2 2" xfId="43825"/>
    <cellStyle name="40% - Accent4 6 2 2 4 3" xfId="31523"/>
    <cellStyle name="40% - Accent4 6 2 2 5" xfId="12177"/>
    <cellStyle name="40% - Accent4 6 2 2 5 2" xfId="35037"/>
    <cellStyle name="40% - Accent4 6 2 2 6" xfId="13936"/>
    <cellStyle name="40% - Accent4 6 2 2 6 2" xfId="36795"/>
    <cellStyle name="40% - Accent4 6 2 2 7" xfId="24492"/>
    <cellStyle name="40% - Accent4 6 2 3" xfId="2512"/>
    <cellStyle name="40% - Accent4 6 2 3 2" xfId="6027"/>
    <cellStyle name="40% - Accent4 6 2 3 2 2" xfId="18331"/>
    <cellStyle name="40% - Accent4 6 2 3 2 2 2" xfId="41190"/>
    <cellStyle name="40% - Accent4 6 2 3 2 3" xfId="28888"/>
    <cellStyle name="40% - Accent4 6 2 3 3" xfId="9542"/>
    <cellStyle name="40% - Accent4 6 2 3 3 2" xfId="21846"/>
    <cellStyle name="40% - Accent4 6 2 3 3 2 2" xfId="44705"/>
    <cellStyle name="40% - Accent4 6 2 3 3 3" xfId="32403"/>
    <cellStyle name="40% - Accent4 6 2 3 4" xfId="14816"/>
    <cellStyle name="40% - Accent4 6 2 3 4 2" xfId="37675"/>
    <cellStyle name="40% - Accent4 6 2 3 5" xfId="25373"/>
    <cellStyle name="40% - Accent4 6 2 4" xfId="4269"/>
    <cellStyle name="40% - Accent4 6 2 4 2" xfId="16573"/>
    <cellStyle name="40% - Accent4 6 2 4 2 2" xfId="39432"/>
    <cellStyle name="40% - Accent4 6 2 4 3" xfId="27130"/>
    <cellStyle name="40% - Accent4 6 2 5" xfId="7784"/>
    <cellStyle name="40% - Accent4 6 2 5 2" xfId="20088"/>
    <cellStyle name="40% - Accent4 6 2 5 2 2" xfId="42947"/>
    <cellStyle name="40% - Accent4 6 2 5 3" xfId="30645"/>
    <cellStyle name="40% - Accent4 6 2 6" xfId="11299"/>
    <cellStyle name="40% - Accent4 6 2 6 2" xfId="34159"/>
    <cellStyle name="40% - Accent4 6 2 7" xfId="13058"/>
    <cellStyle name="40% - Accent4 6 2 7 2" xfId="35917"/>
    <cellStyle name="40% - Accent4 6 2 8" xfId="23614"/>
    <cellStyle name="40% - Accent4 6 3" xfId="1190"/>
    <cellStyle name="40% - Accent4 6 3 2" xfId="2951"/>
    <cellStyle name="40% - Accent4 6 3 2 2" xfId="6466"/>
    <cellStyle name="40% - Accent4 6 3 2 2 2" xfId="18770"/>
    <cellStyle name="40% - Accent4 6 3 2 2 2 2" xfId="41629"/>
    <cellStyle name="40% - Accent4 6 3 2 2 3" xfId="29327"/>
    <cellStyle name="40% - Accent4 6 3 2 3" xfId="9981"/>
    <cellStyle name="40% - Accent4 6 3 2 3 2" xfId="22285"/>
    <cellStyle name="40% - Accent4 6 3 2 3 2 2" xfId="45144"/>
    <cellStyle name="40% - Accent4 6 3 2 3 3" xfId="32842"/>
    <cellStyle name="40% - Accent4 6 3 2 4" xfId="15255"/>
    <cellStyle name="40% - Accent4 6 3 2 4 2" xfId="38114"/>
    <cellStyle name="40% - Accent4 6 3 2 5" xfId="25812"/>
    <cellStyle name="40% - Accent4 6 3 3" xfId="4708"/>
    <cellStyle name="40% - Accent4 6 3 3 2" xfId="17012"/>
    <cellStyle name="40% - Accent4 6 3 3 2 2" xfId="39871"/>
    <cellStyle name="40% - Accent4 6 3 3 3" xfId="27569"/>
    <cellStyle name="40% - Accent4 6 3 4" xfId="8223"/>
    <cellStyle name="40% - Accent4 6 3 4 2" xfId="20527"/>
    <cellStyle name="40% - Accent4 6 3 4 2 2" xfId="43386"/>
    <cellStyle name="40% - Accent4 6 3 4 3" xfId="31084"/>
    <cellStyle name="40% - Accent4 6 3 5" xfId="11738"/>
    <cellStyle name="40% - Accent4 6 3 5 2" xfId="34598"/>
    <cellStyle name="40% - Accent4 6 3 6" xfId="13497"/>
    <cellStyle name="40% - Accent4 6 3 6 2" xfId="36356"/>
    <cellStyle name="40% - Accent4 6 3 7" xfId="24053"/>
    <cellStyle name="40% - Accent4 6 4" xfId="2073"/>
    <cellStyle name="40% - Accent4 6 4 2" xfId="5588"/>
    <cellStyle name="40% - Accent4 6 4 2 2" xfId="17892"/>
    <cellStyle name="40% - Accent4 6 4 2 2 2" xfId="40751"/>
    <cellStyle name="40% - Accent4 6 4 2 3" xfId="28449"/>
    <cellStyle name="40% - Accent4 6 4 3" xfId="9103"/>
    <cellStyle name="40% - Accent4 6 4 3 2" xfId="21407"/>
    <cellStyle name="40% - Accent4 6 4 3 2 2" xfId="44266"/>
    <cellStyle name="40% - Accent4 6 4 3 3" xfId="31964"/>
    <cellStyle name="40% - Accent4 6 4 4" xfId="14377"/>
    <cellStyle name="40% - Accent4 6 4 4 2" xfId="37236"/>
    <cellStyle name="40% - Accent4 6 4 5" xfId="24934"/>
    <cellStyle name="40% - Accent4 6 5" xfId="3830"/>
    <cellStyle name="40% - Accent4 6 5 2" xfId="16134"/>
    <cellStyle name="40% - Accent4 6 5 2 2" xfId="38993"/>
    <cellStyle name="40% - Accent4 6 5 3" xfId="26691"/>
    <cellStyle name="40% - Accent4 6 6" xfId="7345"/>
    <cellStyle name="40% - Accent4 6 6 2" xfId="19649"/>
    <cellStyle name="40% - Accent4 6 6 2 2" xfId="42508"/>
    <cellStyle name="40% - Accent4 6 6 3" xfId="30206"/>
    <cellStyle name="40% - Accent4 6 7" xfId="10860"/>
    <cellStyle name="40% - Accent4 6 7 2" xfId="33720"/>
    <cellStyle name="40% - Accent4 6 8" xfId="12619"/>
    <cellStyle name="40% - Accent4 6 8 2" xfId="35478"/>
    <cellStyle name="40% - Accent4 6 9" xfId="23174"/>
    <cellStyle name="40% - Accent4 7" xfId="516"/>
    <cellStyle name="40% - Accent4 7 2" xfId="957"/>
    <cellStyle name="40% - Accent4 7 2 2" xfId="1836"/>
    <cellStyle name="40% - Accent4 7 2 2 2" xfId="3597"/>
    <cellStyle name="40% - Accent4 7 2 2 2 2" xfId="7112"/>
    <cellStyle name="40% - Accent4 7 2 2 2 2 2" xfId="19416"/>
    <cellStyle name="40% - Accent4 7 2 2 2 2 2 2" xfId="42275"/>
    <cellStyle name="40% - Accent4 7 2 2 2 2 3" xfId="29973"/>
    <cellStyle name="40% - Accent4 7 2 2 2 3" xfId="10627"/>
    <cellStyle name="40% - Accent4 7 2 2 2 3 2" xfId="22931"/>
    <cellStyle name="40% - Accent4 7 2 2 2 3 2 2" xfId="45790"/>
    <cellStyle name="40% - Accent4 7 2 2 2 3 3" xfId="33488"/>
    <cellStyle name="40% - Accent4 7 2 2 2 4" xfId="15901"/>
    <cellStyle name="40% - Accent4 7 2 2 2 4 2" xfId="38760"/>
    <cellStyle name="40% - Accent4 7 2 2 2 5" xfId="26458"/>
    <cellStyle name="40% - Accent4 7 2 2 3" xfId="5354"/>
    <cellStyle name="40% - Accent4 7 2 2 3 2" xfId="17658"/>
    <cellStyle name="40% - Accent4 7 2 2 3 2 2" xfId="40517"/>
    <cellStyle name="40% - Accent4 7 2 2 3 3" xfId="28215"/>
    <cellStyle name="40% - Accent4 7 2 2 4" xfId="8869"/>
    <cellStyle name="40% - Accent4 7 2 2 4 2" xfId="21173"/>
    <cellStyle name="40% - Accent4 7 2 2 4 2 2" xfId="44032"/>
    <cellStyle name="40% - Accent4 7 2 2 4 3" xfId="31730"/>
    <cellStyle name="40% - Accent4 7 2 2 5" xfId="12384"/>
    <cellStyle name="40% - Accent4 7 2 2 5 2" xfId="35244"/>
    <cellStyle name="40% - Accent4 7 2 2 6" xfId="14143"/>
    <cellStyle name="40% - Accent4 7 2 2 6 2" xfId="37002"/>
    <cellStyle name="40% - Accent4 7 2 2 7" xfId="24699"/>
    <cellStyle name="40% - Accent4 7 2 3" xfId="2719"/>
    <cellStyle name="40% - Accent4 7 2 3 2" xfId="6234"/>
    <cellStyle name="40% - Accent4 7 2 3 2 2" xfId="18538"/>
    <cellStyle name="40% - Accent4 7 2 3 2 2 2" xfId="41397"/>
    <cellStyle name="40% - Accent4 7 2 3 2 3" xfId="29095"/>
    <cellStyle name="40% - Accent4 7 2 3 3" xfId="9749"/>
    <cellStyle name="40% - Accent4 7 2 3 3 2" xfId="22053"/>
    <cellStyle name="40% - Accent4 7 2 3 3 2 2" xfId="44912"/>
    <cellStyle name="40% - Accent4 7 2 3 3 3" xfId="32610"/>
    <cellStyle name="40% - Accent4 7 2 3 4" xfId="15023"/>
    <cellStyle name="40% - Accent4 7 2 3 4 2" xfId="37882"/>
    <cellStyle name="40% - Accent4 7 2 3 5" xfId="25580"/>
    <cellStyle name="40% - Accent4 7 2 4" xfId="4476"/>
    <cellStyle name="40% - Accent4 7 2 4 2" xfId="16780"/>
    <cellStyle name="40% - Accent4 7 2 4 2 2" xfId="39639"/>
    <cellStyle name="40% - Accent4 7 2 4 3" xfId="27337"/>
    <cellStyle name="40% - Accent4 7 2 5" xfId="7991"/>
    <cellStyle name="40% - Accent4 7 2 5 2" xfId="20295"/>
    <cellStyle name="40% - Accent4 7 2 5 2 2" xfId="43154"/>
    <cellStyle name="40% - Accent4 7 2 5 3" xfId="30852"/>
    <cellStyle name="40% - Accent4 7 2 6" xfId="11506"/>
    <cellStyle name="40% - Accent4 7 2 6 2" xfId="34366"/>
    <cellStyle name="40% - Accent4 7 2 7" xfId="13265"/>
    <cellStyle name="40% - Accent4 7 2 7 2" xfId="36124"/>
    <cellStyle name="40% - Accent4 7 2 8" xfId="23821"/>
    <cellStyle name="40% - Accent4 7 3" xfId="1397"/>
    <cellStyle name="40% - Accent4 7 3 2" xfId="3158"/>
    <cellStyle name="40% - Accent4 7 3 2 2" xfId="6673"/>
    <cellStyle name="40% - Accent4 7 3 2 2 2" xfId="18977"/>
    <cellStyle name="40% - Accent4 7 3 2 2 2 2" xfId="41836"/>
    <cellStyle name="40% - Accent4 7 3 2 2 3" xfId="29534"/>
    <cellStyle name="40% - Accent4 7 3 2 3" xfId="10188"/>
    <cellStyle name="40% - Accent4 7 3 2 3 2" xfId="22492"/>
    <cellStyle name="40% - Accent4 7 3 2 3 2 2" xfId="45351"/>
    <cellStyle name="40% - Accent4 7 3 2 3 3" xfId="33049"/>
    <cellStyle name="40% - Accent4 7 3 2 4" xfId="15462"/>
    <cellStyle name="40% - Accent4 7 3 2 4 2" xfId="38321"/>
    <cellStyle name="40% - Accent4 7 3 2 5" xfId="26019"/>
    <cellStyle name="40% - Accent4 7 3 3" xfId="4915"/>
    <cellStyle name="40% - Accent4 7 3 3 2" xfId="17219"/>
    <cellStyle name="40% - Accent4 7 3 3 2 2" xfId="40078"/>
    <cellStyle name="40% - Accent4 7 3 3 3" xfId="27776"/>
    <cellStyle name="40% - Accent4 7 3 4" xfId="8430"/>
    <cellStyle name="40% - Accent4 7 3 4 2" xfId="20734"/>
    <cellStyle name="40% - Accent4 7 3 4 2 2" xfId="43593"/>
    <cellStyle name="40% - Accent4 7 3 4 3" xfId="31291"/>
    <cellStyle name="40% - Accent4 7 3 5" xfId="11945"/>
    <cellStyle name="40% - Accent4 7 3 5 2" xfId="34805"/>
    <cellStyle name="40% - Accent4 7 3 6" xfId="13704"/>
    <cellStyle name="40% - Accent4 7 3 6 2" xfId="36563"/>
    <cellStyle name="40% - Accent4 7 3 7" xfId="24260"/>
    <cellStyle name="40% - Accent4 7 4" xfId="2280"/>
    <cellStyle name="40% - Accent4 7 4 2" xfId="5795"/>
    <cellStyle name="40% - Accent4 7 4 2 2" xfId="18099"/>
    <cellStyle name="40% - Accent4 7 4 2 2 2" xfId="40958"/>
    <cellStyle name="40% - Accent4 7 4 2 3" xfId="28656"/>
    <cellStyle name="40% - Accent4 7 4 3" xfId="9310"/>
    <cellStyle name="40% - Accent4 7 4 3 2" xfId="21614"/>
    <cellStyle name="40% - Accent4 7 4 3 2 2" xfId="44473"/>
    <cellStyle name="40% - Accent4 7 4 3 3" xfId="32171"/>
    <cellStyle name="40% - Accent4 7 4 4" xfId="14584"/>
    <cellStyle name="40% - Accent4 7 4 4 2" xfId="37443"/>
    <cellStyle name="40% - Accent4 7 4 5" xfId="25141"/>
    <cellStyle name="40% - Accent4 7 5" xfId="4037"/>
    <cellStyle name="40% - Accent4 7 5 2" xfId="16341"/>
    <cellStyle name="40% - Accent4 7 5 2 2" xfId="39200"/>
    <cellStyle name="40% - Accent4 7 5 3" xfId="26898"/>
    <cellStyle name="40% - Accent4 7 6" xfId="7552"/>
    <cellStyle name="40% - Accent4 7 6 2" xfId="19856"/>
    <cellStyle name="40% - Accent4 7 6 2 2" xfId="42715"/>
    <cellStyle name="40% - Accent4 7 6 3" xfId="30413"/>
    <cellStyle name="40% - Accent4 7 7" xfId="11067"/>
    <cellStyle name="40% - Accent4 7 7 2" xfId="33927"/>
    <cellStyle name="40% - Accent4 7 8" xfId="12826"/>
    <cellStyle name="40% - Accent4 7 8 2" xfId="35685"/>
    <cellStyle name="40% - Accent4 7 9" xfId="23381"/>
    <cellStyle name="40% - Accent4 8" xfId="529"/>
    <cellStyle name="40% - Accent4 8 2" xfId="1410"/>
    <cellStyle name="40% - Accent4 8 2 2" xfId="3171"/>
    <cellStyle name="40% - Accent4 8 2 2 2" xfId="6686"/>
    <cellStyle name="40% - Accent4 8 2 2 2 2" xfId="18990"/>
    <cellStyle name="40% - Accent4 8 2 2 2 2 2" xfId="41849"/>
    <cellStyle name="40% - Accent4 8 2 2 2 3" xfId="29547"/>
    <cellStyle name="40% - Accent4 8 2 2 3" xfId="10201"/>
    <cellStyle name="40% - Accent4 8 2 2 3 2" xfId="22505"/>
    <cellStyle name="40% - Accent4 8 2 2 3 2 2" xfId="45364"/>
    <cellStyle name="40% - Accent4 8 2 2 3 3" xfId="33062"/>
    <cellStyle name="40% - Accent4 8 2 2 4" xfId="15475"/>
    <cellStyle name="40% - Accent4 8 2 2 4 2" xfId="38334"/>
    <cellStyle name="40% - Accent4 8 2 2 5" xfId="26032"/>
    <cellStyle name="40% - Accent4 8 2 3" xfId="4928"/>
    <cellStyle name="40% - Accent4 8 2 3 2" xfId="17232"/>
    <cellStyle name="40% - Accent4 8 2 3 2 2" xfId="40091"/>
    <cellStyle name="40% - Accent4 8 2 3 3" xfId="27789"/>
    <cellStyle name="40% - Accent4 8 2 4" xfId="8443"/>
    <cellStyle name="40% - Accent4 8 2 4 2" xfId="20747"/>
    <cellStyle name="40% - Accent4 8 2 4 2 2" xfId="43606"/>
    <cellStyle name="40% - Accent4 8 2 4 3" xfId="31304"/>
    <cellStyle name="40% - Accent4 8 2 5" xfId="11958"/>
    <cellStyle name="40% - Accent4 8 2 5 2" xfId="34818"/>
    <cellStyle name="40% - Accent4 8 2 6" xfId="13717"/>
    <cellStyle name="40% - Accent4 8 2 6 2" xfId="36576"/>
    <cellStyle name="40% - Accent4 8 2 7" xfId="24273"/>
    <cellStyle name="40% - Accent4 8 3" xfId="2293"/>
    <cellStyle name="40% - Accent4 8 3 2" xfId="5808"/>
    <cellStyle name="40% - Accent4 8 3 2 2" xfId="18112"/>
    <cellStyle name="40% - Accent4 8 3 2 2 2" xfId="40971"/>
    <cellStyle name="40% - Accent4 8 3 2 3" xfId="28669"/>
    <cellStyle name="40% - Accent4 8 3 3" xfId="9323"/>
    <cellStyle name="40% - Accent4 8 3 3 2" xfId="21627"/>
    <cellStyle name="40% - Accent4 8 3 3 2 2" xfId="44486"/>
    <cellStyle name="40% - Accent4 8 3 3 3" xfId="32184"/>
    <cellStyle name="40% - Accent4 8 3 4" xfId="14597"/>
    <cellStyle name="40% - Accent4 8 3 4 2" xfId="37456"/>
    <cellStyle name="40% - Accent4 8 3 5" xfId="25154"/>
    <cellStyle name="40% - Accent4 8 4" xfId="4050"/>
    <cellStyle name="40% - Accent4 8 4 2" xfId="16354"/>
    <cellStyle name="40% - Accent4 8 4 2 2" xfId="39213"/>
    <cellStyle name="40% - Accent4 8 4 3" xfId="26911"/>
    <cellStyle name="40% - Accent4 8 5" xfId="7565"/>
    <cellStyle name="40% - Accent4 8 5 2" xfId="19869"/>
    <cellStyle name="40% - Accent4 8 5 2 2" xfId="42728"/>
    <cellStyle name="40% - Accent4 8 5 3" xfId="30426"/>
    <cellStyle name="40% - Accent4 8 6" xfId="11080"/>
    <cellStyle name="40% - Accent4 8 6 2" xfId="33940"/>
    <cellStyle name="40% - Accent4 8 7" xfId="12839"/>
    <cellStyle name="40% - Accent4 8 7 2" xfId="35698"/>
    <cellStyle name="40% - Accent4 8 8" xfId="23394"/>
    <cellStyle name="40% - Accent4 9" xfId="978"/>
    <cellStyle name="40% - Accent4 9 2" xfId="2739"/>
    <cellStyle name="40% - Accent4 9 2 2" xfId="6254"/>
    <cellStyle name="40% - Accent4 9 2 2 2" xfId="18558"/>
    <cellStyle name="40% - Accent4 9 2 2 2 2" xfId="41417"/>
    <cellStyle name="40% - Accent4 9 2 2 3" xfId="29115"/>
    <cellStyle name="40% - Accent4 9 2 3" xfId="9769"/>
    <cellStyle name="40% - Accent4 9 2 3 2" xfId="22073"/>
    <cellStyle name="40% - Accent4 9 2 3 2 2" xfId="44932"/>
    <cellStyle name="40% - Accent4 9 2 3 3" xfId="32630"/>
    <cellStyle name="40% - Accent4 9 2 4" xfId="15043"/>
    <cellStyle name="40% - Accent4 9 2 4 2" xfId="37902"/>
    <cellStyle name="40% - Accent4 9 2 5" xfId="25600"/>
    <cellStyle name="40% - Accent4 9 3" xfId="4496"/>
    <cellStyle name="40% - Accent4 9 3 2" xfId="16800"/>
    <cellStyle name="40% - Accent4 9 3 2 2" xfId="39659"/>
    <cellStyle name="40% - Accent4 9 3 3" xfId="27357"/>
    <cellStyle name="40% - Accent4 9 4" xfId="8011"/>
    <cellStyle name="40% - Accent4 9 4 2" xfId="20315"/>
    <cellStyle name="40% - Accent4 9 4 2 2" xfId="43174"/>
    <cellStyle name="40% - Accent4 9 4 3" xfId="30872"/>
    <cellStyle name="40% - Accent4 9 5" xfId="11526"/>
    <cellStyle name="40% - Accent4 9 5 2" xfId="34386"/>
    <cellStyle name="40% - Accent4 9 6" xfId="13285"/>
    <cellStyle name="40% - Accent4 9 6 2" xfId="36144"/>
    <cellStyle name="40% - Accent4 9 7" xfId="23841"/>
    <cellStyle name="40% - Accent5" xfId="92" builtinId="47" customBuiltin="1"/>
    <cellStyle name="40% - Accent5 10" xfId="1854"/>
    <cellStyle name="40% - Accent5 10 2" xfId="5371"/>
    <cellStyle name="40% - Accent5 10 2 2" xfId="17675"/>
    <cellStyle name="40% - Accent5 10 2 2 2" xfId="40534"/>
    <cellStyle name="40% - Accent5 10 2 3" xfId="28232"/>
    <cellStyle name="40% - Accent5 10 3" xfId="8886"/>
    <cellStyle name="40% - Accent5 10 3 2" xfId="21190"/>
    <cellStyle name="40% - Accent5 10 3 2 2" xfId="44049"/>
    <cellStyle name="40% - Accent5 10 3 3" xfId="31747"/>
    <cellStyle name="40% - Accent5 10 4" xfId="14160"/>
    <cellStyle name="40% - Accent5 10 4 2" xfId="37019"/>
    <cellStyle name="40% - Accent5 10 5" xfId="24716"/>
    <cellStyle name="40% - Accent5 11" xfId="3620"/>
    <cellStyle name="40% - Accent5 11 2" xfId="15924"/>
    <cellStyle name="40% - Accent5 11 2 2" xfId="38783"/>
    <cellStyle name="40% - Accent5 11 3" xfId="26481"/>
    <cellStyle name="40% - Accent5 12" xfId="7135"/>
    <cellStyle name="40% - Accent5 12 2" xfId="19439"/>
    <cellStyle name="40% - Accent5 12 2 2" xfId="42298"/>
    <cellStyle name="40% - Accent5 12 3" xfId="29996"/>
    <cellStyle name="40% - Accent5 13" xfId="10650"/>
    <cellStyle name="40% - Accent5 13 2" xfId="33510"/>
    <cellStyle name="40% - Accent5 14" xfId="12400"/>
    <cellStyle name="40% - Accent5 14 2" xfId="35260"/>
    <cellStyle name="40% - Accent5 15" xfId="22962"/>
    <cellStyle name="40% - Accent5 2" xfId="11"/>
    <cellStyle name="40% - Accent5 3" xfId="114"/>
    <cellStyle name="40% - Accent5 3 10" xfId="10669"/>
    <cellStyle name="40% - Accent5 3 10 2" xfId="33529"/>
    <cellStyle name="40% - Accent5 3 11" xfId="12428"/>
    <cellStyle name="40% - Accent5 3 11 2" xfId="35287"/>
    <cellStyle name="40% - Accent5 3 12" xfId="22981"/>
    <cellStyle name="40% - Accent5 3 2" xfId="170"/>
    <cellStyle name="40% - Accent5 3 2 10" xfId="12482"/>
    <cellStyle name="40% - Accent5 3 2 10 2" xfId="35341"/>
    <cellStyle name="40% - Accent5 3 2 11" xfId="23036"/>
    <cellStyle name="40% - Accent5 3 2 2" xfId="278"/>
    <cellStyle name="40% - Accent5 3 2 2 10" xfId="23143"/>
    <cellStyle name="40% - Accent5 3 2 2 2" xfId="490"/>
    <cellStyle name="40% - Accent5 3 2 2 2 2" xfId="931"/>
    <cellStyle name="40% - Accent5 3 2 2 2 2 2" xfId="1810"/>
    <cellStyle name="40% - Accent5 3 2 2 2 2 2 2" xfId="3571"/>
    <cellStyle name="40% - Accent5 3 2 2 2 2 2 2 2" xfId="7086"/>
    <cellStyle name="40% - Accent5 3 2 2 2 2 2 2 2 2" xfId="19390"/>
    <cellStyle name="40% - Accent5 3 2 2 2 2 2 2 2 2 2" xfId="42249"/>
    <cellStyle name="40% - Accent5 3 2 2 2 2 2 2 2 3" xfId="29947"/>
    <cellStyle name="40% - Accent5 3 2 2 2 2 2 2 3" xfId="10601"/>
    <cellStyle name="40% - Accent5 3 2 2 2 2 2 2 3 2" xfId="22905"/>
    <cellStyle name="40% - Accent5 3 2 2 2 2 2 2 3 2 2" xfId="45764"/>
    <cellStyle name="40% - Accent5 3 2 2 2 2 2 2 3 3" xfId="33462"/>
    <cellStyle name="40% - Accent5 3 2 2 2 2 2 2 4" xfId="15875"/>
    <cellStyle name="40% - Accent5 3 2 2 2 2 2 2 4 2" xfId="38734"/>
    <cellStyle name="40% - Accent5 3 2 2 2 2 2 2 5" xfId="26432"/>
    <cellStyle name="40% - Accent5 3 2 2 2 2 2 3" xfId="5328"/>
    <cellStyle name="40% - Accent5 3 2 2 2 2 2 3 2" xfId="17632"/>
    <cellStyle name="40% - Accent5 3 2 2 2 2 2 3 2 2" xfId="40491"/>
    <cellStyle name="40% - Accent5 3 2 2 2 2 2 3 3" xfId="28189"/>
    <cellStyle name="40% - Accent5 3 2 2 2 2 2 4" xfId="8843"/>
    <cellStyle name="40% - Accent5 3 2 2 2 2 2 4 2" xfId="21147"/>
    <cellStyle name="40% - Accent5 3 2 2 2 2 2 4 2 2" xfId="44006"/>
    <cellStyle name="40% - Accent5 3 2 2 2 2 2 4 3" xfId="31704"/>
    <cellStyle name="40% - Accent5 3 2 2 2 2 2 5" xfId="12358"/>
    <cellStyle name="40% - Accent5 3 2 2 2 2 2 5 2" xfId="35218"/>
    <cellStyle name="40% - Accent5 3 2 2 2 2 2 6" xfId="14117"/>
    <cellStyle name="40% - Accent5 3 2 2 2 2 2 6 2" xfId="36976"/>
    <cellStyle name="40% - Accent5 3 2 2 2 2 2 7" xfId="24673"/>
    <cellStyle name="40% - Accent5 3 2 2 2 2 3" xfId="2693"/>
    <cellStyle name="40% - Accent5 3 2 2 2 2 3 2" xfId="6208"/>
    <cellStyle name="40% - Accent5 3 2 2 2 2 3 2 2" xfId="18512"/>
    <cellStyle name="40% - Accent5 3 2 2 2 2 3 2 2 2" xfId="41371"/>
    <cellStyle name="40% - Accent5 3 2 2 2 2 3 2 3" xfId="29069"/>
    <cellStyle name="40% - Accent5 3 2 2 2 2 3 3" xfId="9723"/>
    <cellStyle name="40% - Accent5 3 2 2 2 2 3 3 2" xfId="22027"/>
    <cellStyle name="40% - Accent5 3 2 2 2 2 3 3 2 2" xfId="44886"/>
    <cellStyle name="40% - Accent5 3 2 2 2 2 3 3 3" xfId="32584"/>
    <cellStyle name="40% - Accent5 3 2 2 2 2 3 4" xfId="14997"/>
    <cellStyle name="40% - Accent5 3 2 2 2 2 3 4 2" xfId="37856"/>
    <cellStyle name="40% - Accent5 3 2 2 2 2 3 5" xfId="25554"/>
    <cellStyle name="40% - Accent5 3 2 2 2 2 4" xfId="4450"/>
    <cellStyle name="40% - Accent5 3 2 2 2 2 4 2" xfId="16754"/>
    <cellStyle name="40% - Accent5 3 2 2 2 2 4 2 2" xfId="39613"/>
    <cellStyle name="40% - Accent5 3 2 2 2 2 4 3" xfId="27311"/>
    <cellStyle name="40% - Accent5 3 2 2 2 2 5" xfId="7965"/>
    <cellStyle name="40% - Accent5 3 2 2 2 2 5 2" xfId="20269"/>
    <cellStyle name="40% - Accent5 3 2 2 2 2 5 2 2" xfId="43128"/>
    <cellStyle name="40% - Accent5 3 2 2 2 2 5 3" xfId="30826"/>
    <cellStyle name="40% - Accent5 3 2 2 2 2 6" xfId="11480"/>
    <cellStyle name="40% - Accent5 3 2 2 2 2 6 2" xfId="34340"/>
    <cellStyle name="40% - Accent5 3 2 2 2 2 7" xfId="13239"/>
    <cellStyle name="40% - Accent5 3 2 2 2 2 7 2" xfId="36098"/>
    <cellStyle name="40% - Accent5 3 2 2 2 2 8" xfId="23795"/>
    <cellStyle name="40% - Accent5 3 2 2 2 3" xfId="1371"/>
    <cellStyle name="40% - Accent5 3 2 2 2 3 2" xfId="3132"/>
    <cellStyle name="40% - Accent5 3 2 2 2 3 2 2" xfId="6647"/>
    <cellStyle name="40% - Accent5 3 2 2 2 3 2 2 2" xfId="18951"/>
    <cellStyle name="40% - Accent5 3 2 2 2 3 2 2 2 2" xfId="41810"/>
    <cellStyle name="40% - Accent5 3 2 2 2 3 2 2 3" xfId="29508"/>
    <cellStyle name="40% - Accent5 3 2 2 2 3 2 3" xfId="10162"/>
    <cellStyle name="40% - Accent5 3 2 2 2 3 2 3 2" xfId="22466"/>
    <cellStyle name="40% - Accent5 3 2 2 2 3 2 3 2 2" xfId="45325"/>
    <cellStyle name="40% - Accent5 3 2 2 2 3 2 3 3" xfId="33023"/>
    <cellStyle name="40% - Accent5 3 2 2 2 3 2 4" xfId="15436"/>
    <cellStyle name="40% - Accent5 3 2 2 2 3 2 4 2" xfId="38295"/>
    <cellStyle name="40% - Accent5 3 2 2 2 3 2 5" xfId="25993"/>
    <cellStyle name="40% - Accent5 3 2 2 2 3 3" xfId="4889"/>
    <cellStyle name="40% - Accent5 3 2 2 2 3 3 2" xfId="17193"/>
    <cellStyle name="40% - Accent5 3 2 2 2 3 3 2 2" xfId="40052"/>
    <cellStyle name="40% - Accent5 3 2 2 2 3 3 3" xfId="27750"/>
    <cellStyle name="40% - Accent5 3 2 2 2 3 4" xfId="8404"/>
    <cellStyle name="40% - Accent5 3 2 2 2 3 4 2" xfId="20708"/>
    <cellStyle name="40% - Accent5 3 2 2 2 3 4 2 2" xfId="43567"/>
    <cellStyle name="40% - Accent5 3 2 2 2 3 4 3" xfId="31265"/>
    <cellStyle name="40% - Accent5 3 2 2 2 3 5" xfId="11919"/>
    <cellStyle name="40% - Accent5 3 2 2 2 3 5 2" xfId="34779"/>
    <cellStyle name="40% - Accent5 3 2 2 2 3 6" xfId="13678"/>
    <cellStyle name="40% - Accent5 3 2 2 2 3 6 2" xfId="36537"/>
    <cellStyle name="40% - Accent5 3 2 2 2 3 7" xfId="24234"/>
    <cellStyle name="40% - Accent5 3 2 2 2 4" xfId="2254"/>
    <cellStyle name="40% - Accent5 3 2 2 2 4 2" xfId="5769"/>
    <cellStyle name="40% - Accent5 3 2 2 2 4 2 2" xfId="18073"/>
    <cellStyle name="40% - Accent5 3 2 2 2 4 2 2 2" xfId="40932"/>
    <cellStyle name="40% - Accent5 3 2 2 2 4 2 3" xfId="28630"/>
    <cellStyle name="40% - Accent5 3 2 2 2 4 3" xfId="9284"/>
    <cellStyle name="40% - Accent5 3 2 2 2 4 3 2" xfId="21588"/>
    <cellStyle name="40% - Accent5 3 2 2 2 4 3 2 2" xfId="44447"/>
    <cellStyle name="40% - Accent5 3 2 2 2 4 3 3" xfId="32145"/>
    <cellStyle name="40% - Accent5 3 2 2 2 4 4" xfId="14558"/>
    <cellStyle name="40% - Accent5 3 2 2 2 4 4 2" xfId="37417"/>
    <cellStyle name="40% - Accent5 3 2 2 2 4 5" xfId="25115"/>
    <cellStyle name="40% - Accent5 3 2 2 2 5" xfId="4011"/>
    <cellStyle name="40% - Accent5 3 2 2 2 5 2" xfId="16315"/>
    <cellStyle name="40% - Accent5 3 2 2 2 5 2 2" xfId="39174"/>
    <cellStyle name="40% - Accent5 3 2 2 2 5 3" xfId="26872"/>
    <cellStyle name="40% - Accent5 3 2 2 2 6" xfId="7526"/>
    <cellStyle name="40% - Accent5 3 2 2 2 6 2" xfId="19830"/>
    <cellStyle name="40% - Accent5 3 2 2 2 6 2 2" xfId="42689"/>
    <cellStyle name="40% - Accent5 3 2 2 2 6 3" xfId="30387"/>
    <cellStyle name="40% - Accent5 3 2 2 2 7" xfId="11041"/>
    <cellStyle name="40% - Accent5 3 2 2 2 7 2" xfId="33901"/>
    <cellStyle name="40% - Accent5 3 2 2 2 8" xfId="12800"/>
    <cellStyle name="40% - Accent5 3 2 2 2 8 2" xfId="35659"/>
    <cellStyle name="40% - Accent5 3 2 2 2 9" xfId="23355"/>
    <cellStyle name="40% - Accent5 3 2 2 3" xfId="719"/>
    <cellStyle name="40% - Accent5 3 2 2 3 2" xfId="1598"/>
    <cellStyle name="40% - Accent5 3 2 2 3 2 2" xfId="3359"/>
    <cellStyle name="40% - Accent5 3 2 2 3 2 2 2" xfId="6874"/>
    <cellStyle name="40% - Accent5 3 2 2 3 2 2 2 2" xfId="19178"/>
    <cellStyle name="40% - Accent5 3 2 2 3 2 2 2 2 2" xfId="42037"/>
    <cellStyle name="40% - Accent5 3 2 2 3 2 2 2 3" xfId="29735"/>
    <cellStyle name="40% - Accent5 3 2 2 3 2 2 3" xfId="10389"/>
    <cellStyle name="40% - Accent5 3 2 2 3 2 2 3 2" xfId="22693"/>
    <cellStyle name="40% - Accent5 3 2 2 3 2 2 3 2 2" xfId="45552"/>
    <cellStyle name="40% - Accent5 3 2 2 3 2 2 3 3" xfId="33250"/>
    <cellStyle name="40% - Accent5 3 2 2 3 2 2 4" xfId="15663"/>
    <cellStyle name="40% - Accent5 3 2 2 3 2 2 4 2" xfId="38522"/>
    <cellStyle name="40% - Accent5 3 2 2 3 2 2 5" xfId="26220"/>
    <cellStyle name="40% - Accent5 3 2 2 3 2 3" xfId="5116"/>
    <cellStyle name="40% - Accent5 3 2 2 3 2 3 2" xfId="17420"/>
    <cellStyle name="40% - Accent5 3 2 2 3 2 3 2 2" xfId="40279"/>
    <cellStyle name="40% - Accent5 3 2 2 3 2 3 3" xfId="27977"/>
    <cellStyle name="40% - Accent5 3 2 2 3 2 4" xfId="8631"/>
    <cellStyle name="40% - Accent5 3 2 2 3 2 4 2" xfId="20935"/>
    <cellStyle name="40% - Accent5 3 2 2 3 2 4 2 2" xfId="43794"/>
    <cellStyle name="40% - Accent5 3 2 2 3 2 4 3" xfId="31492"/>
    <cellStyle name="40% - Accent5 3 2 2 3 2 5" xfId="12146"/>
    <cellStyle name="40% - Accent5 3 2 2 3 2 5 2" xfId="35006"/>
    <cellStyle name="40% - Accent5 3 2 2 3 2 6" xfId="13905"/>
    <cellStyle name="40% - Accent5 3 2 2 3 2 6 2" xfId="36764"/>
    <cellStyle name="40% - Accent5 3 2 2 3 2 7" xfId="24461"/>
    <cellStyle name="40% - Accent5 3 2 2 3 3" xfId="2481"/>
    <cellStyle name="40% - Accent5 3 2 2 3 3 2" xfId="5996"/>
    <cellStyle name="40% - Accent5 3 2 2 3 3 2 2" xfId="18300"/>
    <cellStyle name="40% - Accent5 3 2 2 3 3 2 2 2" xfId="41159"/>
    <cellStyle name="40% - Accent5 3 2 2 3 3 2 3" xfId="28857"/>
    <cellStyle name="40% - Accent5 3 2 2 3 3 3" xfId="9511"/>
    <cellStyle name="40% - Accent5 3 2 2 3 3 3 2" xfId="21815"/>
    <cellStyle name="40% - Accent5 3 2 2 3 3 3 2 2" xfId="44674"/>
    <cellStyle name="40% - Accent5 3 2 2 3 3 3 3" xfId="32372"/>
    <cellStyle name="40% - Accent5 3 2 2 3 3 4" xfId="14785"/>
    <cellStyle name="40% - Accent5 3 2 2 3 3 4 2" xfId="37644"/>
    <cellStyle name="40% - Accent5 3 2 2 3 3 5" xfId="25342"/>
    <cellStyle name="40% - Accent5 3 2 2 3 4" xfId="4238"/>
    <cellStyle name="40% - Accent5 3 2 2 3 4 2" xfId="16542"/>
    <cellStyle name="40% - Accent5 3 2 2 3 4 2 2" xfId="39401"/>
    <cellStyle name="40% - Accent5 3 2 2 3 4 3" xfId="27099"/>
    <cellStyle name="40% - Accent5 3 2 2 3 5" xfId="7753"/>
    <cellStyle name="40% - Accent5 3 2 2 3 5 2" xfId="20057"/>
    <cellStyle name="40% - Accent5 3 2 2 3 5 2 2" xfId="42916"/>
    <cellStyle name="40% - Accent5 3 2 2 3 5 3" xfId="30614"/>
    <cellStyle name="40% - Accent5 3 2 2 3 6" xfId="11268"/>
    <cellStyle name="40% - Accent5 3 2 2 3 6 2" xfId="34128"/>
    <cellStyle name="40% - Accent5 3 2 2 3 7" xfId="13027"/>
    <cellStyle name="40% - Accent5 3 2 2 3 7 2" xfId="35886"/>
    <cellStyle name="40% - Accent5 3 2 2 3 8" xfId="23583"/>
    <cellStyle name="40% - Accent5 3 2 2 4" xfId="1159"/>
    <cellStyle name="40% - Accent5 3 2 2 4 2" xfId="2920"/>
    <cellStyle name="40% - Accent5 3 2 2 4 2 2" xfId="6435"/>
    <cellStyle name="40% - Accent5 3 2 2 4 2 2 2" xfId="18739"/>
    <cellStyle name="40% - Accent5 3 2 2 4 2 2 2 2" xfId="41598"/>
    <cellStyle name="40% - Accent5 3 2 2 4 2 2 3" xfId="29296"/>
    <cellStyle name="40% - Accent5 3 2 2 4 2 3" xfId="9950"/>
    <cellStyle name="40% - Accent5 3 2 2 4 2 3 2" xfId="22254"/>
    <cellStyle name="40% - Accent5 3 2 2 4 2 3 2 2" xfId="45113"/>
    <cellStyle name="40% - Accent5 3 2 2 4 2 3 3" xfId="32811"/>
    <cellStyle name="40% - Accent5 3 2 2 4 2 4" xfId="15224"/>
    <cellStyle name="40% - Accent5 3 2 2 4 2 4 2" xfId="38083"/>
    <cellStyle name="40% - Accent5 3 2 2 4 2 5" xfId="25781"/>
    <cellStyle name="40% - Accent5 3 2 2 4 3" xfId="4677"/>
    <cellStyle name="40% - Accent5 3 2 2 4 3 2" xfId="16981"/>
    <cellStyle name="40% - Accent5 3 2 2 4 3 2 2" xfId="39840"/>
    <cellStyle name="40% - Accent5 3 2 2 4 3 3" xfId="27538"/>
    <cellStyle name="40% - Accent5 3 2 2 4 4" xfId="8192"/>
    <cellStyle name="40% - Accent5 3 2 2 4 4 2" xfId="20496"/>
    <cellStyle name="40% - Accent5 3 2 2 4 4 2 2" xfId="43355"/>
    <cellStyle name="40% - Accent5 3 2 2 4 4 3" xfId="31053"/>
    <cellStyle name="40% - Accent5 3 2 2 4 5" xfId="11707"/>
    <cellStyle name="40% - Accent5 3 2 2 4 5 2" xfId="34567"/>
    <cellStyle name="40% - Accent5 3 2 2 4 6" xfId="13466"/>
    <cellStyle name="40% - Accent5 3 2 2 4 6 2" xfId="36325"/>
    <cellStyle name="40% - Accent5 3 2 2 4 7" xfId="24022"/>
    <cellStyle name="40% - Accent5 3 2 2 5" xfId="2042"/>
    <cellStyle name="40% - Accent5 3 2 2 5 2" xfId="5557"/>
    <cellStyle name="40% - Accent5 3 2 2 5 2 2" xfId="17861"/>
    <cellStyle name="40% - Accent5 3 2 2 5 2 2 2" xfId="40720"/>
    <cellStyle name="40% - Accent5 3 2 2 5 2 3" xfId="28418"/>
    <cellStyle name="40% - Accent5 3 2 2 5 3" xfId="9072"/>
    <cellStyle name="40% - Accent5 3 2 2 5 3 2" xfId="21376"/>
    <cellStyle name="40% - Accent5 3 2 2 5 3 2 2" xfId="44235"/>
    <cellStyle name="40% - Accent5 3 2 2 5 3 3" xfId="31933"/>
    <cellStyle name="40% - Accent5 3 2 2 5 4" xfId="14346"/>
    <cellStyle name="40% - Accent5 3 2 2 5 4 2" xfId="37205"/>
    <cellStyle name="40% - Accent5 3 2 2 5 5" xfId="24903"/>
    <cellStyle name="40% - Accent5 3 2 2 6" xfId="3799"/>
    <cellStyle name="40% - Accent5 3 2 2 6 2" xfId="16103"/>
    <cellStyle name="40% - Accent5 3 2 2 6 2 2" xfId="38962"/>
    <cellStyle name="40% - Accent5 3 2 2 6 3" xfId="26660"/>
    <cellStyle name="40% - Accent5 3 2 2 7" xfId="7314"/>
    <cellStyle name="40% - Accent5 3 2 2 7 2" xfId="19618"/>
    <cellStyle name="40% - Accent5 3 2 2 7 2 2" xfId="42477"/>
    <cellStyle name="40% - Accent5 3 2 2 7 3" xfId="30175"/>
    <cellStyle name="40% - Accent5 3 2 2 8" xfId="10829"/>
    <cellStyle name="40% - Accent5 3 2 2 8 2" xfId="33689"/>
    <cellStyle name="40% - Accent5 3 2 2 9" xfId="12588"/>
    <cellStyle name="40% - Accent5 3 2 2 9 2" xfId="35447"/>
    <cellStyle name="40% - Accent5 3 2 3" xfId="384"/>
    <cellStyle name="40% - Accent5 3 2 3 2" xfId="825"/>
    <cellStyle name="40% - Accent5 3 2 3 2 2" xfId="1704"/>
    <cellStyle name="40% - Accent5 3 2 3 2 2 2" xfId="3465"/>
    <cellStyle name="40% - Accent5 3 2 3 2 2 2 2" xfId="6980"/>
    <cellStyle name="40% - Accent5 3 2 3 2 2 2 2 2" xfId="19284"/>
    <cellStyle name="40% - Accent5 3 2 3 2 2 2 2 2 2" xfId="42143"/>
    <cellStyle name="40% - Accent5 3 2 3 2 2 2 2 3" xfId="29841"/>
    <cellStyle name="40% - Accent5 3 2 3 2 2 2 3" xfId="10495"/>
    <cellStyle name="40% - Accent5 3 2 3 2 2 2 3 2" xfId="22799"/>
    <cellStyle name="40% - Accent5 3 2 3 2 2 2 3 2 2" xfId="45658"/>
    <cellStyle name="40% - Accent5 3 2 3 2 2 2 3 3" xfId="33356"/>
    <cellStyle name="40% - Accent5 3 2 3 2 2 2 4" xfId="15769"/>
    <cellStyle name="40% - Accent5 3 2 3 2 2 2 4 2" xfId="38628"/>
    <cellStyle name="40% - Accent5 3 2 3 2 2 2 5" xfId="26326"/>
    <cellStyle name="40% - Accent5 3 2 3 2 2 3" xfId="5222"/>
    <cellStyle name="40% - Accent5 3 2 3 2 2 3 2" xfId="17526"/>
    <cellStyle name="40% - Accent5 3 2 3 2 2 3 2 2" xfId="40385"/>
    <cellStyle name="40% - Accent5 3 2 3 2 2 3 3" xfId="28083"/>
    <cellStyle name="40% - Accent5 3 2 3 2 2 4" xfId="8737"/>
    <cellStyle name="40% - Accent5 3 2 3 2 2 4 2" xfId="21041"/>
    <cellStyle name="40% - Accent5 3 2 3 2 2 4 2 2" xfId="43900"/>
    <cellStyle name="40% - Accent5 3 2 3 2 2 4 3" xfId="31598"/>
    <cellStyle name="40% - Accent5 3 2 3 2 2 5" xfId="12252"/>
    <cellStyle name="40% - Accent5 3 2 3 2 2 5 2" xfId="35112"/>
    <cellStyle name="40% - Accent5 3 2 3 2 2 6" xfId="14011"/>
    <cellStyle name="40% - Accent5 3 2 3 2 2 6 2" xfId="36870"/>
    <cellStyle name="40% - Accent5 3 2 3 2 2 7" xfId="24567"/>
    <cellStyle name="40% - Accent5 3 2 3 2 3" xfId="2587"/>
    <cellStyle name="40% - Accent5 3 2 3 2 3 2" xfId="6102"/>
    <cellStyle name="40% - Accent5 3 2 3 2 3 2 2" xfId="18406"/>
    <cellStyle name="40% - Accent5 3 2 3 2 3 2 2 2" xfId="41265"/>
    <cellStyle name="40% - Accent5 3 2 3 2 3 2 3" xfId="28963"/>
    <cellStyle name="40% - Accent5 3 2 3 2 3 3" xfId="9617"/>
    <cellStyle name="40% - Accent5 3 2 3 2 3 3 2" xfId="21921"/>
    <cellStyle name="40% - Accent5 3 2 3 2 3 3 2 2" xfId="44780"/>
    <cellStyle name="40% - Accent5 3 2 3 2 3 3 3" xfId="32478"/>
    <cellStyle name="40% - Accent5 3 2 3 2 3 4" xfId="14891"/>
    <cellStyle name="40% - Accent5 3 2 3 2 3 4 2" xfId="37750"/>
    <cellStyle name="40% - Accent5 3 2 3 2 3 5" xfId="25448"/>
    <cellStyle name="40% - Accent5 3 2 3 2 4" xfId="4344"/>
    <cellStyle name="40% - Accent5 3 2 3 2 4 2" xfId="16648"/>
    <cellStyle name="40% - Accent5 3 2 3 2 4 2 2" xfId="39507"/>
    <cellStyle name="40% - Accent5 3 2 3 2 4 3" xfId="27205"/>
    <cellStyle name="40% - Accent5 3 2 3 2 5" xfId="7859"/>
    <cellStyle name="40% - Accent5 3 2 3 2 5 2" xfId="20163"/>
    <cellStyle name="40% - Accent5 3 2 3 2 5 2 2" xfId="43022"/>
    <cellStyle name="40% - Accent5 3 2 3 2 5 3" xfId="30720"/>
    <cellStyle name="40% - Accent5 3 2 3 2 6" xfId="11374"/>
    <cellStyle name="40% - Accent5 3 2 3 2 6 2" xfId="34234"/>
    <cellStyle name="40% - Accent5 3 2 3 2 7" xfId="13133"/>
    <cellStyle name="40% - Accent5 3 2 3 2 7 2" xfId="35992"/>
    <cellStyle name="40% - Accent5 3 2 3 2 8" xfId="23689"/>
    <cellStyle name="40% - Accent5 3 2 3 3" xfId="1265"/>
    <cellStyle name="40% - Accent5 3 2 3 3 2" xfId="3026"/>
    <cellStyle name="40% - Accent5 3 2 3 3 2 2" xfId="6541"/>
    <cellStyle name="40% - Accent5 3 2 3 3 2 2 2" xfId="18845"/>
    <cellStyle name="40% - Accent5 3 2 3 3 2 2 2 2" xfId="41704"/>
    <cellStyle name="40% - Accent5 3 2 3 3 2 2 3" xfId="29402"/>
    <cellStyle name="40% - Accent5 3 2 3 3 2 3" xfId="10056"/>
    <cellStyle name="40% - Accent5 3 2 3 3 2 3 2" xfId="22360"/>
    <cellStyle name="40% - Accent5 3 2 3 3 2 3 2 2" xfId="45219"/>
    <cellStyle name="40% - Accent5 3 2 3 3 2 3 3" xfId="32917"/>
    <cellStyle name="40% - Accent5 3 2 3 3 2 4" xfId="15330"/>
    <cellStyle name="40% - Accent5 3 2 3 3 2 4 2" xfId="38189"/>
    <cellStyle name="40% - Accent5 3 2 3 3 2 5" xfId="25887"/>
    <cellStyle name="40% - Accent5 3 2 3 3 3" xfId="4783"/>
    <cellStyle name="40% - Accent5 3 2 3 3 3 2" xfId="17087"/>
    <cellStyle name="40% - Accent5 3 2 3 3 3 2 2" xfId="39946"/>
    <cellStyle name="40% - Accent5 3 2 3 3 3 3" xfId="27644"/>
    <cellStyle name="40% - Accent5 3 2 3 3 4" xfId="8298"/>
    <cellStyle name="40% - Accent5 3 2 3 3 4 2" xfId="20602"/>
    <cellStyle name="40% - Accent5 3 2 3 3 4 2 2" xfId="43461"/>
    <cellStyle name="40% - Accent5 3 2 3 3 4 3" xfId="31159"/>
    <cellStyle name="40% - Accent5 3 2 3 3 5" xfId="11813"/>
    <cellStyle name="40% - Accent5 3 2 3 3 5 2" xfId="34673"/>
    <cellStyle name="40% - Accent5 3 2 3 3 6" xfId="13572"/>
    <cellStyle name="40% - Accent5 3 2 3 3 6 2" xfId="36431"/>
    <cellStyle name="40% - Accent5 3 2 3 3 7" xfId="24128"/>
    <cellStyle name="40% - Accent5 3 2 3 4" xfId="2148"/>
    <cellStyle name="40% - Accent5 3 2 3 4 2" xfId="5663"/>
    <cellStyle name="40% - Accent5 3 2 3 4 2 2" xfId="17967"/>
    <cellStyle name="40% - Accent5 3 2 3 4 2 2 2" xfId="40826"/>
    <cellStyle name="40% - Accent5 3 2 3 4 2 3" xfId="28524"/>
    <cellStyle name="40% - Accent5 3 2 3 4 3" xfId="9178"/>
    <cellStyle name="40% - Accent5 3 2 3 4 3 2" xfId="21482"/>
    <cellStyle name="40% - Accent5 3 2 3 4 3 2 2" xfId="44341"/>
    <cellStyle name="40% - Accent5 3 2 3 4 3 3" xfId="32039"/>
    <cellStyle name="40% - Accent5 3 2 3 4 4" xfId="14452"/>
    <cellStyle name="40% - Accent5 3 2 3 4 4 2" xfId="37311"/>
    <cellStyle name="40% - Accent5 3 2 3 4 5" xfId="25009"/>
    <cellStyle name="40% - Accent5 3 2 3 5" xfId="3905"/>
    <cellStyle name="40% - Accent5 3 2 3 5 2" xfId="16209"/>
    <cellStyle name="40% - Accent5 3 2 3 5 2 2" xfId="39068"/>
    <cellStyle name="40% - Accent5 3 2 3 5 3" xfId="26766"/>
    <cellStyle name="40% - Accent5 3 2 3 6" xfId="7420"/>
    <cellStyle name="40% - Accent5 3 2 3 6 2" xfId="19724"/>
    <cellStyle name="40% - Accent5 3 2 3 6 2 2" xfId="42583"/>
    <cellStyle name="40% - Accent5 3 2 3 6 3" xfId="30281"/>
    <cellStyle name="40% - Accent5 3 2 3 7" xfId="10935"/>
    <cellStyle name="40% - Accent5 3 2 3 7 2" xfId="33795"/>
    <cellStyle name="40% - Accent5 3 2 3 8" xfId="12694"/>
    <cellStyle name="40% - Accent5 3 2 3 8 2" xfId="35553"/>
    <cellStyle name="40% - Accent5 3 2 3 9" xfId="23249"/>
    <cellStyle name="40% - Accent5 3 2 4" xfId="613"/>
    <cellStyle name="40% - Accent5 3 2 4 2" xfId="1492"/>
    <cellStyle name="40% - Accent5 3 2 4 2 2" xfId="3253"/>
    <cellStyle name="40% - Accent5 3 2 4 2 2 2" xfId="6768"/>
    <cellStyle name="40% - Accent5 3 2 4 2 2 2 2" xfId="19072"/>
    <cellStyle name="40% - Accent5 3 2 4 2 2 2 2 2" xfId="41931"/>
    <cellStyle name="40% - Accent5 3 2 4 2 2 2 3" xfId="29629"/>
    <cellStyle name="40% - Accent5 3 2 4 2 2 3" xfId="10283"/>
    <cellStyle name="40% - Accent5 3 2 4 2 2 3 2" xfId="22587"/>
    <cellStyle name="40% - Accent5 3 2 4 2 2 3 2 2" xfId="45446"/>
    <cellStyle name="40% - Accent5 3 2 4 2 2 3 3" xfId="33144"/>
    <cellStyle name="40% - Accent5 3 2 4 2 2 4" xfId="15557"/>
    <cellStyle name="40% - Accent5 3 2 4 2 2 4 2" xfId="38416"/>
    <cellStyle name="40% - Accent5 3 2 4 2 2 5" xfId="26114"/>
    <cellStyle name="40% - Accent5 3 2 4 2 3" xfId="5010"/>
    <cellStyle name="40% - Accent5 3 2 4 2 3 2" xfId="17314"/>
    <cellStyle name="40% - Accent5 3 2 4 2 3 2 2" xfId="40173"/>
    <cellStyle name="40% - Accent5 3 2 4 2 3 3" xfId="27871"/>
    <cellStyle name="40% - Accent5 3 2 4 2 4" xfId="8525"/>
    <cellStyle name="40% - Accent5 3 2 4 2 4 2" xfId="20829"/>
    <cellStyle name="40% - Accent5 3 2 4 2 4 2 2" xfId="43688"/>
    <cellStyle name="40% - Accent5 3 2 4 2 4 3" xfId="31386"/>
    <cellStyle name="40% - Accent5 3 2 4 2 5" xfId="12040"/>
    <cellStyle name="40% - Accent5 3 2 4 2 5 2" xfId="34900"/>
    <cellStyle name="40% - Accent5 3 2 4 2 6" xfId="13799"/>
    <cellStyle name="40% - Accent5 3 2 4 2 6 2" xfId="36658"/>
    <cellStyle name="40% - Accent5 3 2 4 2 7" xfId="24355"/>
    <cellStyle name="40% - Accent5 3 2 4 3" xfId="2375"/>
    <cellStyle name="40% - Accent5 3 2 4 3 2" xfId="5890"/>
    <cellStyle name="40% - Accent5 3 2 4 3 2 2" xfId="18194"/>
    <cellStyle name="40% - Accent5 3 2 4 3 2 2 2" xfId="41053"/>
    <cellStyle name="40% - Accent5 3 2 4 3 2 3" xfId="28751"/>
    <cellStyle name="40% - Accent5 3 2 4 3 3" xfId="9405"/>
    <cellStyle name="40% - Accent5 3 2 4 3 3 2" xfId="21709"/>
    <cellStyle name="40% - Accent5 3 2 4 3 3 2 2" xfId="44568"/>
    <cellStyle name="40% - Accent5 3 2 4 3 3 3" xfId="32266"/>
    <cellStyle name="40% - Accent5 3 2 4 3 4" xfId="14679"/>
    <cellStyle name="40% - Accent5 3 2 4 3 4 2" xfId="37538"/>
    <cellStyle name="40% - Accent5 3 2 4 3 5" xfId="25236"/>
    <cellStyle name="40% - Accent5 3 2 4 4" xfId="4132"/>
    <cellStyle name="40% - Accent5 3 2 4 4 2" xfId="16436"/>
    <cellStyle name="40% - Accent5 3 2 4 4 2 2" xfId="39295"/>
    <cellStyle name="40% - Accent5 3 2 4 4 3" xfId="26993"/>
    <cellStyle name="40% - Accent5 3 2 4 5" xfId="7647"/>
    <cellStyle name="40% - Accent5 3 2 4 5 2" xfId="19951"/>
    <cellStyle name="40% - Accent5 3 2 4 5 2 2" xfId="42810"/>
    <cellStyle name="40% - Accent5 3 2 4 5 3" xfId="30508"/>
    <cellStyle name="40% - Accent5 3 2 4 6" xfId="11162"/>
    <cellStyle name="40% - Accent5 3 2 4 6 2" xfId="34022"/>
    <cellStyle name="40% - Accent5 3 2 4 7" xfId="12921"/>
    <cellStyle name="40% - Accent5 3 2 4 7 2" xfId="35780"/>
    <cellStyle name="40% - Accent5 3 2 4 8" xfId="23477"/>
    <cellStyle name="40% - Accent5 3 2 5" xfId="1053"/>
    <cellStyle name="40% - Accent5 3 2 5 2" xfId="2814"/>
    <cellStyle name="40% - Accent5 3 2 5 2 2" xfId="6329"/>
    <cellStyle name="40% - Accent5 3 2 5 2 2 2" xfId="18633"/>
    <cellStyle name="40% - Accent5 3 2 5 2 2 2 2" xfId="41492"/>
    <cellStyle name="40% - Accent5 3 2 5 2 2 3" xfId="29190"/>
    <cellStyle name="40% - Accent5 3 2 5 2 3" xfId="9844"/>
    <cellStyle name="40% - Accent5 3 2 5 2 3 2" xfId="22148"/>
    <cellStyle name="40% - Accent5 3 2 5 2 3 2 2" xfId="45007"/>
    <cellStyle name="40% - Accent5 3 2 5 2 3 3" xfId="32705"/>
    <cellStyle name="40% - Accent5 3 2 5 2 4" xfId="15118"/>
    <cellStyle name="40% - Accent5 3 2 5 2 4 2" xfId="37977"/>
    <cellStyle name="40% - Accent5 3 2 5 2 5" xfId="25675"/>
    <cellStyle name="40% - Accent5 3 2 5 3" xfId="4571"/>
    <cellStyle name="40% - Accent5 3 2 5 3 2" xfId="16875"/>
    <cellStyle name="40% - Accent5 3 2 5 3 2 2" xfId="39734"/>
    <cellStyle name="40% - Accent5 3 2 5 3 3" xfId="27432"/>
    <cellStyle name="40% - Accent5 3 2 5 4" xfId="8086"/>
    <cellStyle name="40% - Accent5 3 2 5 4 2" xfId="20390"/>
    <cellStyle name="40% - Accent5 3 2 5 4 2 2" xfId="43249"/>
    <cellStyle name="40% - Accent5 3 2 5 4 3" xfId="30947"/>
    <cellStyle name="40% - Accent5 3 2 5 5" xfId="11601"/>
    <cellStyle name="40% - Accent5 3 2 5 5 2" xfId="34461"/>
    <cellStyle name="40% - Accent5 3 2 5 6" xfId="13360"/>
    <cellStyle name="40% - Accent5 3 2 5 6 2" xfId="36219"/>
    <cellStyle name="40% - Accent5 3 2 5 7" xfId="23916"/>
    <cellStyle name="40% - Accent5 3 2 6" xfId="1936"/>
    <cellStyle name="40% - Accent5 3 2 6 2" xfId="5451"/>
    <cellStyle name="40% - Accent5 3 2 6 2 2" xfId="17755"/>
    <cellStyle name="40% - Accent5 3 2 6 2 2 2" xfId="40614"/>
    <cellStyle name="40% - Accent5 3 2 6 2 3" xfId="28312"/>
    <cellStyle name="40% - Accent5 3 2 6 3" xfId="8966"/>
    <cellStyle name="40% - Accent5 3 2 6 3 2" xfId="21270"/>
    <cellStyle name="40% - Accent5 3 2 6 3 2 2" xfId="44129"/>
    <cellStyle name="40% - Accent5 3 2 6 3 3" xfId="31827"/>
    <cellStyle name="40% - Accent5 3 2 6 4" xfId="14240"/>
    <cellStyle name="40% - Accent5 3 2 6 4 2" xfId="37099"/>
    <cellStyle name="40% - Accent5 3 2 6 5" xfId="24797"/>
    <cellStyle name="40% - Accent5 3 2 7" xfId="3693"/>
    <cellStyle name="40% - Accent5 3 2 7 2" xfId="15997"/>
    <cellStyle name="40% - Accent5 3 2 7 2 2" xfId="38856"/>
    <cellStyle name="40% - Accent5 3 2 7 3" xfId="26554"/>
    <cellStyle name="40% - Accent5 3 2 8" xfId="7208"/>
    <cellStyle name="40% - Accent5 3 2 8 2" xfId="19512"/>
    <cellStyle name="40% - Accent5 3 2 8 2 2" xfId="42371"/>
    <cellStyle name="40% - Accent5 3 2 8 3" xfId="30069"/>
    <cellStyle name="40% - Accent5 3 2 9" xfId="10723"/>
    <cellStyle name="40% - Accent5 3 2 9 2" xfId="33583"/>
    <cellStyle name="40% - Accent5 3 3" xfId="224"/>
    <cellStyle name="40% - Accent5 3 3 10" xfId="23089"/>
    <cellStyle name="40% - Accent5 3 3 2" xfId="436"/>
    <cellStyle name="40% - Accent5 3 3 2 2" xfId="877"/>
    <cellStyle name="40% - Accent5 3 3 2 2 2" xfId="1756"/>
    <cellStyle name="40% - Accent5 3 3 2 2 2 2" xfId="3517"/>
    <cellStyle name="40% - Accent5 3 3 2 2 2 2 2" xfId="7032"/>
    <cellStyle name="40% - Accent5 3 3 2 2 2 2 2 2" xfId="19336"/>
    <cellStyle name="40% - Accent5 3 3 2 2 2 2 2 2 2" xfId="42195"/>
    <cellStyle name="40% - Accent5 3 3 2 2 2 2 2 3" xfId="29893"/>
    <cellStyle name="40% - Accent5 3 3 2 2 2 2 3" xfId="10547"/>
    <cellStyle name="40% - Accent5 3 3 2 2 2 2 3 2" xfId="22851"/>
    <cellStyle name="40% - Accent5 3 3 2 2 2 2 3 2 2" xfId="45710"/>
    <cellStyle name="40% - Accent5 3 3 2 2 2 2 3 3" xfId="33408"/>
    <cellStyle name="40% - Accent5 3 3 2 2 2 2 4" xfId="15821"/>
    <cellStyle name="40% - Accent5 3 3 2 2 2 2 4 2" xfId="38680"/>
    <cellStyle name="40% - Accent5 3 3 2 2 2 2 5" xfId="26378"/>
    <cellStyle name="40% - Accent5 3 3 2 2 2 3" xfId="5274"/>
    <cellStyle name="40% - Accent5 3 3 2 2 2 3 2" xfId="17578"/>
    <cellStyle name="40% - Accent5 3 3 2 2 2 3 2 2" xfId="40437"/>
    <cellStyle name="40% - Accent5 3 3 2 2 2 3 3" xfId="28135"/>
    <cellStyle name="40% - Accent5 3 3 2 2 2 4" xfId="8789"/>
    <cellStyle name="40% - Accent5 3 3 2 2 2 4 2" xfId="21093"/>
    <cellStyle name="40% - Accent5 3 3 2 2 2 4 2 2" xfId="43952"/>
    <cellStyle name="40% - Accent5 3 3 2 2 2 4 3" xfId="31650"/>
    <cellStyle name="40% - Accent5 3 3 2 2 2 5" xfId="12304"/>
    <cellStyle name="40% - Accent5 3 3 2 2 2 5 2" xfId="35164"/>
    <cellStyle name="40% - Accent5 3 3 2 2 2 6" xfId="14063"/>
    <cellStyle name="40% - Accent5 3 3 2 2 2 6 2" xfId="36922"/>
    <cellStyle name="40% - Accent5 3 3 2 2 2 7" xfId="24619"/>
    <cellStyle name="40% - Accent5 3 3 2 2 3" xfId="2639"/>
    <cellStyle name="40% - Accent5 3 3 2 2 3 2" xfId="6154"/>
    <cellStyle name="40% - Accent5 3 3 2 2 3 2 2" xfId="18458"/>
    <cellStyle name="40% - Accent5 3 3 2 2 3 2 2 2" xfId="41317"/>
    <cellStyle name="40% - Accent5 3 3 2 2 3 2 3" xfId="29015"/>
    <cellStyle name="40% - Accent5 3 3 2 2 3 3" xfId="9669"/>
    <cellStyle name="40% - Accent5 3 3 2 2 3 3 2" xfId="21973"/>
    <cellStyle name="40% - Accent5 3 3 2 2 3 3 2 2" xfId="44832"/>
    <cellStyle name="40% - Accent5 3 3 2 2 3 3 3" xfId="32530"/>
    <cellStyle name="40% - Accent5 3 3 2 2 3 4" xfId="14943"/>
    <cellStyle name="40% - Accent5 3 3 2 2 3 4 2" xfId="37802"/>
    <cellStyle name="40% - Accent5 3 3 2 2 3 5" xfId="25500"/>
    <cellStyle name="40% - Accent5 3 3 2 2 4" xfId="4396"/>
    <cellStyle name="40% - Accent5 3 3 2 2 4 2" xfId="16700"/>
    <cellStyle name="40% - Accent5 3 3 2 2 4 2 2" xfId="39559"/>
    <cellStyle name="40% - Accent5 3 3 2 2 4 3" xfId="27257"/>
    <cellStyle name="40% - Accent5 3 3 2 2 5" xfId="7911"/>
    <cellStyle name="40% - Accent5 3 3 2 2 5 2" xfId="20215"/>
    <cellStyle name="40% - Accent5 3 3 2 2 5 2 2" xfId="43074"/>
    <cellStyle name="40% - Accent5 3 3 2 2 5 3" xfId="30772"/>
    <cellStyle name="40% - Accent5 3 3 2 2 6" xfId="11426"/>
    <cellStyle name="40% - Accent5 3 3 2 2 6 2" xfId="34286"/>
    <cellStyle name="40% - Accent5 3 3 2 2 7" xfId="13185"/>
    <cellStyle name="40% - Accent5 3 3 2 2 7 2" xfId="36044"/>
    <cellStyle name="40% - Accent5 3 3 2 2 8" xfId="23741"/>
    <cellStyle name="40% - Accent5 3 3 2 3" xfId="1317"/>
    <cellStyle name="40% - Accent5 3 3 2 3 2" xfId="3078"/>
    <cellStyle name="40% - Accent5 3 3 2 3 2 2" xfId="6593"/>
    <cellStyle name="40% - Accent5 3 3 2 3 2 2 2" xfId="18897"/>
    <cellStyle name="40% - Accent5 3 3 2 3 2 2 2 2" xfId="41756"/>
    <cellStyle name="40% - Accent5 3 3 2 3 2 2 3" xfId="29454"/>
    <cellStyle name="40% - Accent5 3 3 2 3 2 3" xfId="10108"/>
    <cellStyle name="40% - Accent5 3 3 2 3 2 3 2" xfId="22412"/>
    <cellStyle name="40% - Accent5 3 3 2 3 2 3 2 2" xfId="45271"/>
    <cellStyle name="40% - Accent5 3 3 2 3 2 3 3" xfId="32969"/>
    <cellStyle name="40% - Accent5 3 3 2 3 2 4" xfId="15382"/>
    <cellStyle name="40% - Accent5 3 3 2 3 2 4 2" xfId="38241"/>
    <cellStyle name="40% - Accent5 3 3 2 3 2 5" xfId="25939"/>
    <cellStyle name="40% - Accent5 3 3 2 3 3" xfId="4835"/>
    <cellStyle name="40% - Accent5 3 3 2 3 3 2" xfId="17139"/>
    <cellStyle name="40% - Accent5 3 3 2 3 3 2 2" xfId="39998"/>
    <cellStyle name="40% - Accent5 3 3 2 3 3 3" xfId="27696"/>
    <cellStyle name="40% - Accent5 3 3 2 3 4" xfId="8350"/>
    <cellStyle name="40% - Accent5 3 3 2 3 4 2" xfId="20654"/>
    <cellStyle name="40% - Accent5 3 3 2 3 4 2 2" xfId="43513"/>
    <cellStyle name="40% - Accent5 3 3 2 3 4 3" xfId="31211"/>
    <cellStyle name="40% - Accent5 3 3 2 3 5" xfId="11865"/>
    <cellStyle name="40% - Accent5 3 3 2 3 5 2" xfId="34725"/>
    <cellStyle name="40% - Accent5 3 3 2 3 6" xfId="13624"/>
    <cellStyle name="40% - Accent5 3 3 2 3 6 2" xfId="36483"/>
    <cellStyle name="40% - Accent5 3 3 2 3 7" xfId="24180"/>
    <cellStyle name="40% - Accent5 3 3 2 4" xfId="2200"/>
    <cellStyle name="40% - Accent5 3 3 2 4 2" xfId="5715"/>
    <cellStyle name="40% - Accent5 3 3 2 4 2 2" xfId="18019"/>
    <cellStyle name="40% - Accent5 3 3 2 4 2 2 2" xfId="40878"/>
    <cellStyle name="40% - Accent5 3 3 2 4 2 3" xfId="28576"/>
    <cellStyle name="40% - Accent5 3 3 2 4 3" xfId="9230"/>
    <cellStyle name="40% - Accent5 3 3 2 4 3 2" xfId="21534"/>
    <cellStyle name="40% - Accent5 3 3 2 4 3 2 2" xfId="44393"/>
    <cellStyle name="40% - Accent5 3 3 2 4 3 3" xfId="32091"/>
    <cellStyle name="40% - Accent5 3 3 2 4 4" xfId="14504"/>
    <cellStyle name="40% - Accent5 3 3 2 4 4 2" xfId="37363"/>
    <cellStyle name="40% - Accent5 3 3 2 4 5" xfId="25061"/>
    <cellStyle name="40% - Accent5 3 3 2 5" xfId="3957"/>
    <cellStyle name="40% - Accent5 3 3 2 5 2" xfId="16261"/>
    <cellStyle name="40% - Accent5 3 3 2 5 2 2" xfId="39120"/>
    <cellStyle name="40% - Accent5 3 3 2 5 3" xfId="26818"/>
    <cellStyle name="40% - Accent5 3 3 2 6" xfId="7472"/>
    <cellStyle name="40% - Accent5 3 3 2 6 2" xfId="19776"/>
    <cellStyle name="40% - Accent5 3 3 2 6 2 2" xfId="42635"/>
    <cellStyle name="40% - Accent5 3 3 2 6 3" xfId="30333"/>
    <cellStyle name="40% - Accent5 3 3 2 7" xfId="10987"/>
    <cellStyle name="40% - Accent5 3 3 2 7 2" xfId="33847"/>
    <cellStyle name="40% - Accent5 3 3 2 8" xfId="12746"/>
    <cellStyle name="40% - Accent5 3 3 2 8 2" xfId="35605"/>
    <cellStyle name="40% - Accent5 3 3 2 9" xfId="23301"/>
    <cellStyle name="40% - Accent5 3 3 3" xfId="665"/>
    <cellStyle name="40% - Accent5 3 3 3 2" xfId="1544"/>
    <cellStyle name="40% - Accent5 3 3 3 2 2" xfId="3305"/>
    <cellStyle name="40% - Accent5 3 3 3 2 2 2" xfId="6820"/>
    <cellStyle name="40% - Accent5 3 3 3 2 2 2 2" xfId="19124"/>
    <cellStyle name="40% - Accent5 3 3 3 2 2 2 2 2" xfId="41983"/>
    <cellStyle name="40% - Accent5 3 3 3 2 2 2 3" xfId="29681"/>
    <cellStyle name="40% - Accent5 3 3 3 2 2 3" xfId="10335"/>
    <cellStyle name="40% - Accent5 3 3 3 2 2 3 2" xfId="22639"/>
    <cellStyle name="40% - Accent5 3 3 3 2 2 3 2 2" xfId="45498"/>
    <cellStyle name="40% - Accent5 3 3 3 2 2 3 3" xfId="33196"/>
    <cellStyle name="40% - Accent5 3 3 3 2 2 4" xfId="15609"/>
    <cellStyle name="40% - Accent5 3 3 3 2 2 4 2" xfId="38468"/>
    <cellStyle name="40% - Accent5 3 3 3 2 2 5" xfId="26166"/>
    <cellStyle name="40% - Accent5 3 3 3 2 3" xfId="5062"/>
    <cellStyle name="40% - Accent5 3 3 3 2 3 2" xfId="17366"/>
    <cellStyle name="40% - Accent5 3 3 3 2 3 2 2" xfId="40225"/>
    <cellStyle name="40% - Accent5 3 3 3 2 3 3" xfId="27923"/>
    <cellStyle name="40% - Accent5 3 3 3 2 4" xfId="8577"/>
    <cellStyle name="40% - Accent5 3 3 3 2 4 2" xfId="20881"/>
    <cellStyle name="40% - Accent5 3 3 3 2 4 2 2" xfId="43740"/>
    <cellStyle name="40% - Accent5 3 3 3 2 4 3" xfId="31438"/>
    <cellStyle name="40% - Accent5 3 3 3 2 5" xfId="12092"/>
    <cellStyle name="40% - Accent5 3 3 3 2 5 2" xfId="34952"/>
    <cellStyle name="40% - Accent5 3 3 3 2 6" xfId="13851"/>
    <cellStyle name="40% - Accent5 3 3 3 2 6 2" xfId="36710"/>
    <cellStyle name="40% - Accent5 3 3 3 2 7" xfId="24407"/>
    <cellStyle name="40% - Accent5 3 3 3 3" xfId="2427"/>
    <cellStyle name="40% - Accent5 3 3 3 3 2" xfId="5942"/>
    <cellStyle name="40% - Accent5 3 3 3 3 2 2" xfId="18246"/>
    <cellStyle name="40% - Accent5 3 3 3 3 2 2 2" xfId="41105"/>
    <cellStyle name="40% - Accent5 3 3 3 3 2 3" xfId="28803"/>
    <cellStyle name="40% - Accent5 3 3 3 3 3" xfId="9457"/>
    <cellStyle name="40% - Accent5 3 3 3 3 3 2" xfId="21761"/>
    <cellStyle name="40% - Accent5 3 3 3 3 3 2 2" xfId="44620"/>
    <cellStyle name="40% - Accent5 3 3 3 3 3 3" xfId="32318"/>
    <cellStyle name="40% - Accent5 3 3 3 3 4" xfId="14731"/>
    <cellStyle name="40% - Accent5 3 3 3 3 4 2" xfId="37590"/>
    <cellStyle name="40% - Accent5 3 3 3 3 5" xfId="25288"/>
    <cellStyle name="40% - Accent5 3 3 3 4" xfId="4184"/>
    <cellStyle name="40% - Accent5 3 3 3 4 2" xfId="16488"/>
    <cellStyle name="40% - Accent5 3 3 3 4 2 2" xfId="39347"/>
    <cellStyle name="40% - Accent5 3 3 3 4 3" xfId="27045"/>
    <cellStyle name="40% - Accent5 3 3 3 5" xfId="7699"/>
    <cellStyle name="40% - Accent5 3 3 3 5 2" xfId="20003"/>
    <cellStyle name="40% - Accent5 3 3 3 5 2 2" xfId="42862"/>
    <cellStyle name="40% - Accent5 3 3 3 5 3" xfId="30560"/>
    <cellStyle name="40% - Accent5 3 3 3 6" xfId="11214"/>
    <cellStyle name="40% - Accent5 3 3 3 6 2" xfId="34074"/>
    <cellStyle name="40% - Accent5 3 3 3 7" xfId="12973"/>
    <cellStyle name="40% - Accent5 3 3 3 7 2" xfId="35832"/>
    <cellStyle name="40% - Accent5 3 3 3 8" xfId="23529"/>
    <cellStyle name="40% - Accent5 3 3 4" xfId="1105"/>
    <cellStyle name="40% - Accent5 3 3 4 2" xfId="2866"/>
    <cellStyle name="40% - Accent5 3 3 4 2 2" xfId="6381"/>
    <cellStyle name="40% - Accent5 3 3 4 2 2 2" xfId="18685"/>
    <cellStyle name="40% - Accent5 3 3 4 2 2 2 2" xfId="41544"/>
    <cellStyle name="40% - Accent5 3 3 4 2 2 3" xfId="29242"/>
    <cellStyle name="40% - Accent5 3 3 4 2 3" xfId="9896"/>
    <cellStyle name="40% - Accent5 3 3 4 2 3 2" xfId="22200"/>
    <cellStyle name="40% - Accent5 3 3 4 2 3 2 2" xfId="45059"/>
    <cellStyle name="40% - Accent5 3 3 4 2 3 3" xfId="32757"/>
    <cellStyle name="40% - Accent5 3 3 4 2 4" xfId="15170"/>
    <cellStyle name="40% - Accent5 3 3 4 2 4 2" xfId="38029"/>
    <cellStyle name="40% - Accent5 3 3 4 2 5" xfId="25727"/>
    <cellStyle name="40% - Accent5 3 3 4 3" xfId="4623"/>
    <cellStyle name="40% - Accent5 3 3 4 3 2" xfId="16927"/>
    <cellStyle name="40% - Accent5 3 3 4 3 2 2" xfId="39786"/>
    <cellStyle name="40% - Accent5 3 3 4 3 3" xfId="27484"/>
    <cellStyle name="40% - Accent5 3 3 4 4" xfId="8138"/>
    <cellStyle name="40% - Accent5 3 3 4 4 2" xfId="20442"/>
    <cellStyle name="40% - Accent5 3 3 4 4 2 2" xfId="43301"/>
    <cellStyle name="40% - Accent5 3 3 4 4 3" xfId="30999"/>
    <cellStyle name="40% - Accent5 3 3 4 5" xfId="11653"/>
    <cellStyle name="40% - Accent5 3 3 4 5 2" xfId="34513"/>
    <cellStyle name="40% - Accent5 3 3 4 6" xfId="13412"/>
    <cellStyle name="40% - Accent5 3 3 4 6 2" xfId="36271"/>
    <cellStyle name="40% - Accent5 3 3 4 7" xfId="23968"/>
    <cellStyle name="40% - Accent5 3 3 5" xfId="1988"/>
    <cellStyle name="40% - Accent5 3 3 5 2" xfId="5503"/>
    <cellStyle name="40% - Accent5 3 3 5 2 2" xfId="17807"/>
    <cellStyle name="40% - Accent5 3 3 5 2 2 2" xfId="40666"/>
    <cellStyle name="40% - Accent5 3 3 5 2 3" xfId="28364"/>
    <cellStyle name="40% - Accent5 3 3 5 3" xfId="9018"/>
    <cellStyle name="40% - Accent5 3 3 5 3 2" xfId="21322"/>
    <cellStyle name="40% - Accent5 3 3 5 3 2 2" xfId="44181"/>
    <cellStyle name="40% - Accent5 3 3 5 3 3" xfId="31879"/>
    <cellStyle name="40% - Accent5 3 3 5 4" xfId="14292"/>
    <cellStyle name="40% - Accent5 3 3 5 4 2" xfId="37151"/>
    <cellStyle name="40% - Accent5 3 3 5 5" xfId="24849"/>
    <cellStyle name="40% - Accent5 3 3 6" xfId="3745"/>
    <cellStyle name="40% - Accent5 3 3 6 2" xfId="16049"/>
    <cellStyle name="40% - Accent5 3 3 6 2 2" xfId="38908"/>
    <cellStyle name="40% - Accent5 3 3 6 3" xfId="26606"/>
    <cellStyle name="40% - Accent5 3 3 7" xfId="7260"/>
    <cellStyle name="40% - Accent5 3 3 7 2" xfId="19564"/>
    <cellStyle name="40% - Accent5 3 3 7 2 2" xfId="42423"/>
    <cellStyle name="40% - Accent5 3 3 7 3" xfId="30121"/>
    <cellStyle name="40% - Accent5 3 3 8" xfId="10775"/>
    <cellStyle name="40% - Accent5 3 3 8 2" xfId="33635"/>
    <cellStyle name="40% - Accent5 3 3 9" xfId="12534"/>
    <cellStyle name="40% - Accent5 3 3 9 2" xfId="35393"/>
    <cellStyle name="40% - Accent5 3 4" xfId="330"/>
    <cellStyle name="40% - Accent5 3 4 2" xfId="771"/>
    <cellStyle name="40% - Accent5 3 4 2 2" xfId="1650"/>
    <cellStyle name="40% - Accent5 3 4 2 2 2" xfId="3411"/>
    <cellStyle name="40% - Accent5 3 4 2 2 2 2" xfId="6926"/>
    <cellStyle name="40% - Accent5 3 4 2 2 2 2 2" xfId="19230"/>
    <cellStyle name="40% - Accent5 3 4 2 2 2 2 2 2" xfId="42089"/>
    <cellStyle name="40% - Accent5 3 4 2 2 2 2 3" xfId="29787"/>
    <cellStyle name="40% - Accent5 3 4 2 2 2 3" xfId="10441"/>
    <cellStyle name="40% - Accent5 3 4 2 2 2 3 2" xfId="22745"/>
    <cellStyle name="40% - Accent5 3 4 2 2 2 3 2 2" xfId="45604"/>
    <cellStyle name="40% - Accent5 3 4 2 2 2 3 3" xfId="33302"/>
    <cellStyle name="40% - Accent5 3 4 2 2 2 4" xfId="15715"/>
    <cellStyle name="40% - Accent5 3 4 2 2 2 4 2" xfId="38574"/>
    <cellStyle name="40% - Accent5 3 4 2 2 2 5" xfId="26272"/>
    <cellStyle name="40% - Accent5 3 4 2 2 3" xfId="5168"/>
    <cellStyle name="40% - Accent5 3 4 2 2 3 2" xfId="17472"/>
    <cellStyle name="40% - Accent5 3 4 2 2 3 2 2" xfId="40331"/>
    <cellStyle name="40% - Accent5 3 4 2 2 3 3" xfId="28029"/>
    <cellStyle name="40% - Accent5 3 4 2 2 4" xfId="8683"/>
    <cellStyle name="40% - Accent5 3 4 2 2 4 2" xfId="20987"/>
    <cellStyle name="40% - Accent5 3 4 2 2 4 2 2" xfId="43846"/>
    <cellStyle name="40% - Accent5 3 4 2 2 4 3" xfId="31544"/>
    <cellStyle name="40% - Accent5 3 4 2 2 5" xfId="12198"/>
    <cellStyle name="40% - Accent5 3 4 2 2 5 2" xfId="35058"/>
    <cellStyle name="40% - Accent5 3 4 2 2 6" xfId="13957"/>
    <cellStyle name="40% - Accent5 3 4 2 2 6 2" xfId="36816"/>
    <cellStyle name="40% - Accent5 3 4 2 2 7" xfId="24513"/>
    <cellStyle name="40% - Accent5 3 4 2 3" xfId="2533"/>
    <cellStyle name="40% - Accent5 3 4 2 3 2" xfId="6048"/>
    <cellStyle name="40% - Accent5 3 4 2 3 2 2" xfId="18352"/>
    <cellStyle name="40% - Accent5 3 4 2 3 2 2 2" xfId="41211"/>
    <cellStyle name="40% - Accent5 3 4 2 3 2 3" xfId="28909"/>
    <cellStyle name="40% - Accent5 3 4 2 3 3" xfId="9563"/>
    <cellStyle name="40% - Accent5 3 4 2 3 3 2" xfId="21867"/>
    <cellStyle name="40% - Accent5 3 4 2 3 3 2 2" xfId="44726"/>
    <cellStyle name="40% - Accent5 3 4 2 3 3 3" xfId="32424"/>
    <cellStyle name="40% - Accent5 3 4 2 3 4" xfId="14837"/>
    <cellStyle name="40% - Accent5 3 4 2 3 4 2" xfId="37696"/>
    <cellStyle name="40% - Accent5 3 4 2 3 5" xfId="25394"/>
    <cellStyle name="40% - Accent5 3 4 2 4" xfId="4290"/>
    <cellStyle name="40% - Accent5 3 4 2 4 2" xfId="16594"/>
    <cellStyle name="40% - Accent5 3 4 2 4 2 2" xfId="39453"/>
    <cellStyle name="40% - Accent5 3 4 2 4 3" xfId="27151"/>
    <cellStyle name="40% - Accent5 3 4 2 5" xfId="7805"/>
    <cellStyle name="40% - Accent5 3 4 2 5 2" xfId="20109"/>
    <cellStyle name="40% - Accent5 3 4 2 5 2 2" xfId="42968"/>
    <cellStyle name="40% - Accent5 3 4 2 5 3" xfId="30666"/>
    <cellStyle name="40% - Accent5 3 4 2 6" xfId="11320"/>
    <cellStyle name="40% - Accent5 3 4 2 6 2" xfId="34180"/>
    <cellStyle name="40% - Accent5 3 4 2 7" xfId="13079"/>
    <cellStyle name="40% - Accent5 3 4 2 7 2" xfId="35938"/>
    <cellStyle name="40% - Accent5 3 4 2 8" xfId="23635"/>
    <cellStyle name="40% - Accent5 3 4 3" xfId="1211"/>
    <cellStyle name="40% - Accent5 3 4 3 2" xfId="2972"/>
    <cellStyle name="40% - Accent5 3 4 3 2 2" xfId="6487"/>
    <cellStyle name="40% - Accent5 3 4 3 2 2 2" xfId="18791"/>
    <cellStyle name="40% - Accent5 3 4 3 2 2 2 2" xfId="41650"/>
    <cellStyle name="40% - Accent5 3 4 3 2 2 3" xfId="29348"/>
    <cellStyle name="40% - Accent5 3 4 3 2 3" xfId="10002"/>
    <cellStyle name="40% - Accent5 3 4 3 2 3 2" xfId="22306"/>
    <cellStyle name="40% - Accent5 3 4 3 2 3 2 2" xfId="45165"/>
    <cellStyle name="40% - Accent5 3 4 3 2 3 3" xfId="32863"/>
    <cellStyle name="40% - Accent5 3 4 3 2 4" xfId="15276"/>
    <cellStyle name="40% - Accent5 3 4 3 2 4 2" xfId="38135"/>
    <cellStyle name="40% - Accent5 3 4 3 2 5" xfId="25833"/>
    <cellStyle name="40% - Accent5 3 4 3 3" xfId="4729"/>
    <cellStyle name="40% - Accent5 3 4 3 3 2" xfId="17033"/>
    <cellStyle name="40% - Accent5 3 4 3 3 2 2" xfId="39892"/>
    <cellStyle name="40% - Accent5 3 4 3 3 3" xfId="27590"/>
    <cellStyle name="40% - Accent5 3 4 3 4" xfId="8244"/>
    <cellStyle name="40% - Accent5 3 4 3 4 2" xfId="20548"/>
    <cellStyle name="40% - Accent5 3 4 3 4 2 2" xfId="43407"/>
    <cellStyle name="40% - Accent5 3 4 3 4 3" xfId="31105"/>
    <cellStyle name="40% - Accent5 3 4 3 5" xfId="11759"/>
    <cellStyle name="40% - Accent5 3 4 3 5 2" xfId="34619"/>
    <cellStyle name="40% - Accent5 3 4 3 6" xfId="13518"/>
    <cellStyle name="40% - Accent5 3 4 3 6 2" xfId="36377"/>
    <cellStyle name="40% - Accent5 3 4 3 7" xfId="24074"/>
    <cellStyle name="40% - Accent5 3 4 4" xfId="2094"/>
    <cellStyle name="40% - Accent5 3 4 4 2" xfId="5609"/>
    <cellStyle name="40% - Accent5 3 4 4 2 2" xfId="17913"/>
    <cellStyle name="40% - Accent5 3 4 4 2 2 2" xfId="40772"/>
    <cellStyle name="40% - Accent5 3 4 4 2 3" xfId="28470"/>
    <cellStyle name="40% - Accent5 3 4 4 3" xfId="9124"/>
    <cellStyle name="40% - Accent5 3 4 4 3 2" xfId="21428"/>
    <cellStyle name="40% - Accent5 3 4 4 3 2 2" xfId="44287"/>
    <cellStyle name="40% - Accent5 3 4 4 3 3" xfId="31985"/>
    <cellStyle name="40% - Accent5 3 4 4 4" xfId="14398"/>
    <cellStyle name="40% - Accent5 3 4 4 4 2" xfId="37257"/>
    <cellStyle name="40% - Accent5 3 4 4 5" xfId="24955"/>
    <cellStyle name="40% - Accent5 3 4 5" xfId="3851"/>
    <cellStyle name="40% - Accent5 3 4 5 2" xfId="16155"/>
    <cellStyle name="40% - Accent5 3 4 5 2 2" xfId="39014"/>
    <cellStyle name="40% - Accent5 3 4 5 3" xfId="26712"/>
    <cellStyle name="40% - Accent5 3 4 6" xfId="7366"/>
    <cellStyle name="40% - Accent5 3 4 6 2" xfId="19670"/>
    <cellStyle name="40% - Accent5 3 4 6 2 2" xfId="42529"/>
    <cellStyle name="40% - Accent5 3 4 6 3" xfId="30227"/>
    <cellStyle name="40% - Accent5 3 4 7" xfId="10881"/>
    <cellStyle name="40% - Accent5 3 4 7 2" xfId="33741"/>
    <cellStyle name="40% - Accent5 3 4 8" xfId="12640"/>
    <cellStyle name="40% - Accent5 3 4 8 2" xfId="35499"/>
    <cellStyle name="40% - Accent5 3 4 9" xfId="23195"/>
    <cellStyle name="40% - Accent5 3 5" xfId="559"/>
    <cellStyle name="40% - Accent5 3 5 2" xfId="1438"/>
    <cellStyle name="40% - Accent5 3 5 2 2" xfId="3199"/>
    <cellStyle name="40% - Accent5 3 5 2 2 2" xfId="6714"/>
    <cellStyle name="40% - Accent5 3 5 2 2 2 2" xfId="19018"/>
    <cellStyle name="40% - Accent5 3 5 2 2 2 2 2" xfId="41877"/>
    <cellStyle name="40% - Accent5 3 5 2 2 2 3" xfId="29575"/>
    <cellStyle name="40% - Accent5 3 5 2 2 3" xfId="10229"/>
    <cellStyle name="40% - Accent5 3 5 2 2 3 2" xfId="22533"/>
    <cellStyle name="40% - Accent5 3 5 2 2 3 2 2" xfId="45392"/>
    <cellStyle name="40% - Accent5 3 5 2 2 3 3" xfId="33090"/>
    <cellStyle name="40% - Accent5 3 5 2 2 4" xfId="15503"/>
    <cellStyle name="40% - Accent5 3 5 2 2 4 2" xfId="38362"/>
    <cellStyle name="40% - Accent5 3 5 2 2 5" xfId="26060"/>
    <cellStyle name="40% - Accent5 3 5 2 3" xfId="4956"/>
    <cellStyle name="40% - Accent5 3 5 2 3 2" xfId="17260"/>
    <cellStyle name="40% - Accent5 3 5 2 3 2 2" xfId="40119"/>
    <cellStyle name="40% - Accent5 3 5 2 3 3" xfId="27817"/>
    <cellStyle name="40% - Accent5 3 5 2 4" xfId="8471"/>
    <cellStyle name="40% - Accent5 3 5 2 4 2" xfId="20775"/>
    <cellStyle name="40% - Accent5 3 5 2 4 2 2" xfId="43634"/>
    <cellStyle name="40% - Accent5 3 5 2 4 3" xfId="31332"/>
    <cellStyle name="40% - Accent5 3 5 2 5" xfId="11986"/>
    <cellStyle name="40% - Accent5 3 5 2 5 2" xfId="34846"/>
    <cellStyle name="40% - Accent5 3 5 2 6" xfId="13745"/>
    <cellStyle name="40% - Accent5 3 5 2 6 2" xfId="36604"/>
    <cellStyle name="40% - Accent5 3 5 2 7" xfId="24301"/>
    <cellStyle name="40% - Accent5 3 5 3" xfId="2321"/>
    <cellStyle name="40% - Accent5 3 5 3 2" xfId="5836"/>
    <cellStyle name="40% - Accent5 3 5 3 2 2" xfId="18140"/>
    <cellStyle name="40% - Accent5 3 5 3 2 2 2" xfId="40999"/>
    <cellStyle name="40% - Accent5 3 5 3 2 3" xfId="28697"/>
    <cellStyle name="40% - Accent5 3 5 3 3" xfId="9351"/>
    <cellStyle name="40% - Accent5 3 5 3 3 2" xfId="21655"/>
    <cellStyle name="40% - Accent5 3 5 3 3 2 2" xfId="44514"/>
    <cellStyle name="40% - Accent5 3 5 3 3 3" xfId="32212"/>
    <cellStyle name="40% - Accent5 3 5 3 4" xfId="14625"/>
    <cellStyle name="40% - Accent5 3 5 3 4 2" xfId="37484"/>
    <cellStyle name="40% - Accent5 3 5 3 5" xfId="25182"/>
    <cellStyle name="40% - Accent5 3 5 4" xfId="4078"/>
    <cellStyle name="40% - Accent5 3 5 4 2" xfId="16382"/>
    <cellStyle name="40% - Accent5 3 5 4 2 2" xfId="39241"/>
    <cellStyle name="40% - Accent5 3 5 4 3" xfId="26939"/>
    <cellStyle name="40% - Accent5 3 5 5" xfId="7593"/>
    <cellStyle name="40% - Accent5 3 5 5 2" xfId="19897"/>
    <cellStyle name="40% - Accent5 3 5 5 2 2" xfId="42756"/>
    <cellStyle name="40% - Accent5 3 5 5 3" xfId="30454"/>
    <cellStyle name="40% - Accent5 3 5 6" xfId="11108"/>
    <cellStyle name="40% - Accent5 3 5 6 2" xfId="33968"/>
    <cellStyle name="40% - Accent5 3 5 7" xfId="12867"/>
    <cellStyle name="40% - Accent5 3 5 7 2" xfId="35726"/>
    <cellStyle name="40% - Accent5 3 5 8" xfId="23423"/>
    <cellStyle name="40% - Accent5 3 6" xfId="999"/>
    <cellStyle name="40% - Accent5 3 6 2" xfId="2760"/>
    <cellStyle name="40% - Accent5 3 6 2 2" xfId="6275"/>
    <cellStyle name="40% - Accent5 3 6 2 2 2" xfId="18579"/>
    <cellStyle name="40% - Accent5 3 6 2 2 2 2" xfId="41438"/>
    <cellStyle name="40% - Accent5 3 6 2 2 3" xfId="29136"/>
    <cellStyle name="40% - Accent5 3 6 2 3" xfId="9790"/>
    <cellStyle name="40% - Accent5 3 6 2 3 2" xfId="22094"/>
    <cellStyle name="40% - Accent5 3 6 2 3 2 2" xfId="44953"/>
    <cellStyle name="40% - Accent5 3 6 2 3 3" xfId="32651"/>
    <cellStyle name="40% - Accent5 3 6 2 4" xfId="15064"/>
    <cellStyle name="40% - Accent5 3 6 2 4 2" xfId="37923"/>
    <cellStyle name="40% - Accent5 3 6 2 5" xfId="25621"/>
    <cellStyle name="40% - Accent5 3 6 3" xfId="4517"/>
    <cellStyle name="40% - Accent5 3 6 3 2" xfId="16821"/>
    <cellStyle name="40% - Accent5 3 6 3 2 2" xfId="39680"/>
    <cellStyle name="40% - Accent5 3 6 3 3" xfId="27378"/>
    <cellStyle name="40% - Accent5 3 6 4" xfId="8032"/>
    <cellStyle name="40% - Accent5 3 6 4 2" xfId="20336"/>
    <cellStyle name="40% - Accent5 3 6 4 2 2" xfId="43195"/>
    <cellStyle name="40% - Accent5 3 6 4 3" xfId="30893"/>
    <cellStyle name="40% - Accent5 3 6 5" xfId="11547"/>
    <cellStyle name="40% - Accent5 3 6 5 2" xfId="34407"/>
    <cellStyle name="40% - Accent5 3 6 6" xfId="13306"/>
    <cellStyle name="40% - Accent5 3 6 6 2" xfId="36165"/>
    <cellStyle name="40% - Accent5 3 6 7" xfId="23862"/>
    <cellStyle name="40% - Accent5 3 7" xfId="1882"/>
    <cellStyle name="40% - Accent5 3 7 2" xfId="5397"/>
    <cellStyle name="40% - Accent5 3 7 2 2" xfId="17701"/>
    <cellStyle name="40% - Accent5 3 7 2 2 2" xfId="40560"/>
    <cellStyle name="40% - Accent5 3 7 2 3" xfId="28258"/>
    <cellStyle name="40% - Accent5 3 7 3" xfId="8912"/>
    <cellStyle name="40% - Accent5 3 7 3 2" xfId="21216"/>
    <cellStyle name="40% - Accent5 3 7 3 2 2" xfId="44075"/>
    <cellStyle name="40% - Accent5 3 7 3 3" xfId="31773"/>
    <cellStyle name="40% - Accent5 3 7 4" xfId="14186"/>
    <cellStyle name="40% - Accent5 3 7 4 2" xfId="37045"/>
    <cellStyle name="40% - Accent5 3 7 5" xfId="24743"/>
    <cellStyle name="40% - Accent5 3 8" xfId="3639"/>
    <cellStyle name="40% - Accent5 3 8 2" xfId="15943"/>
    <cellStyle name="40% - Accent5 3 8 2 2" xfId="38802"/>
    <cellStyle name="40% - Accent5 3 8 3" xfId="26500"/>
    <cellStyle name="40% - Accent5 3 9" xfId="7154"/>
    <cellStyle name="40% - Accent5 3 9 2" xfId="19458"/>
    <cellStyle name="40% - Accent5 3 9 2 2" xfId="42317"/>
    <cellStyle name="40% - Accent5 3 9 3" xfId="30015"/>
    <cellStyle name="40% - Accent5 4" xfId="145"/>
    <cellStyle name="40% - Accent5 4 10" xfId="12457"/>
    <cellStyle name="40% - Accent5 4 10 2" xfId="35316"/>
    <cellStyle name="40% - Accent5 4 11" xfId="23011"/>
    <cellStyle name="40% - Accent5 4 2" xfId="253"/>
    <cellStyle name="40% - Accent5 4 2 10" xfId="23118"/>
    <cellStyle name="40% - Accent5 4 2 2" xfId="465"/>
    <cellStyle name="40% - Accent5 4 2 2 2" xfId="906"/>
    <cellStyle name="40% - Accent5 4 2 2 2 2" xfId="1785"/>
    <cellStyle name="40% - Accent5 4 2 2 2 2 2" xfId="3546"/>
    <cellStyle name="40% - Accent5 4 2 2 2 2 2 2" xfId="7061"/>
    <cellStyle name="40% - Accent5 4 2 2 2 2 2 2 2" xfId="19365"/>
    <cellStyle name="40% - Accent5 4 2 2 2 2 2 2 2 2" xfId="42224"/>
    <cellStyle name="40% - Accent5 4 2 2 2 2 2 2 3" xfId="29922"/>
    <cellStyle name="40% - Accent5 4 2 2 2 2 2 3" xfId="10576"/>
    <cellStyle name="40% - Accent5 4 2 2 2 2 2 3 2" xfId="22880"/>
    <cellStyle name="40% - Accent5 4 2 2 2 2 2 3 2 2" xfId="45739"/>
    <cellStyle name="40% - Accent5 4 2 2 2 2 2 3 3" xfId="33437"/>
    <cellStyle name="40% - Accent5 4 2 2 2 2 2 4" xfId="15850"/>
    <cellStyle name="40% - Accent5 4 2 2 2 2 2 4 2" xfId="38709"/>
    <cellStyle name="40% - Accent5 4 2 2 2 2 2 5" xfId="26407"/>
    <cellStyle name="40% - Accent5 4 2 2 2 2 3" xfId="5303"/>
    <cellStyle name="40% - Accent5 4 2 2 2 2 3 2" xfId="17607"/>
    <cellStyle name="40% - Accent5 4 2 2 2 2 3 2 2" xfId="40466"/>
    <cellStyle name="40% - Accent5 4 2 2 2 2 3 3" xfId="28164"/>
    <cellStyle name="40% - Accent5 4 2 2 2 2 4" xfId="8818"/>
    <cellStyle name="40% - Accent5 4 2 2 2 2 4 2" xfId="21122"/>
    <cellStyle name="40% - Accent5 4 2 2 2 2 4 2 2" xfId="43981"/>
    <cellStyle name="40% - Accent5 4 2 2 2 2 4 3" xfId="31679"/>
    <cellStyle name="40% - Accent5 4 2 2 2 2 5" xfId="12333"/>
    <cellStyle name="40% - Accent5 4 2 2 2 2 5 2" xfId="35193"/>
    <cellStyle name="40% - Accent5 4 2 2 2 2 6" xfId="14092"/>
    <cellStyle name="40% - Accent5 4 2 2 2 2 6 2" xfId="36951"/>
    <cellStyle name="40% - Accent5 4 2 2 2 2 7" xfId="24648"/>
    <cellStyle name="40% - Accent5 4 2 2 2 3" xfId="2668"/>
    <cellStyle name="40% - Accent5 4 2 2 2 3 2" xfId="6183"/>
    <cellStyle name="40% - Accent5 4 2 2 2 3 2 2" xfId="18487"/>
    <cellStyle name="40% - Accent5 4 2 2 2 3 2 2 2" xfId="41346"/>
    <cellStyle name="40% - Accent5 4 2 2 2 3 2 3" xfId="29044"/>
    <cellStyle name="40% - Accent5 4 2 2 2 3 3" xfId="9698"/>
    <cellStyle name="40% - Accent5 4 2 2 2 3 3 2" xfId="22002"/>
    <cellStyle name="40% - Accent5 4 2 2 2 3 3 2 2" xfId="44861"/>
    <cellStyle name="40% - Accent5 4 2 2 2 3 3 3" xfId="32559"/>
    <cellStyle name="40% - Accent5 4 2 2 2 3 4" xfId="14972"/>
    <cellStyle name="40% - Accent5 4 2 2 2 3 4 2" xfId="37831"/>
    <cellStyle name="40% - Accent5 4 2 2 2 3 5" xfId="25529"/>
    <cellStyle name="40% - Accent5 4 2 2 2 4" xfId="4425"/>
    <cellStyle name="40% - Accent5 4 2 2 2 4 2" xfId="16729"/>
    <cellStyle name="40% - Accent5 4 2 2 2 4 2 2" xfId="39588"/>
    <cellStyle name="40% - Accent5 4 2 2 2 4 3" xfId="27286"/>
    <cellStyle name="40% - Accent5 4 2 2 2 5" xfId="7940"/>
    <cellStyle name="40% - Accent5 4 2 2 2 5 2" xfId="20244"/>
    <cellStyle name="40% - Accent5 4 2 2 2 5 2 2" xfId="43103"/>
    <cellStyle name="40% - Accent5 4 2 2 2 5 3" xfId="30801"/>
    <cellStyle name="40% - Accent5 4 2 2 2 6" xfId="11455"/>
    <cellStyle name="40% - Accent5 4 2 2 2 6 2" xfId="34315"/>
    <cellStyle name="40% - Accent5 4 2 2 2 7" xfId="13214"/>
    <cellStyle name="40% - Accent5 4 2 2 2 7 2" xfId="36073"/>
    <cellStyle name="40% - Accent5 4 2 2 2 8" xfId="23770"/>
    <cellStyle name="40% - Accent5 4 2 2 3" xfId="1346"/>
    <cellStyle name="40% - Accent5 4 2 2 3 2" xfId="3107"/>
    <cellStyle name="40% - Accent5 4 2 2 3 2 2" xfId="6622"/>
    <cellStyle name="40% - Accent5 4 2 2 3 2 2 2" xfId="18926"/>
    <cellStyle name="40% - Accent5 4 2 2 3 2 2 2 2" xfId="41785"/>
    <cellStyle name="40% - Accent5 4 2 2 3 2 2 3" xfId="29483"/>
    <cellStyle name="40% - Accent5 4 2 2 3 2 3" xfId="10137"/>
    <cellStyle name="40% - Accent5 4 2 2 3 2 3 2" xfId="22441"/>
    <cellStyle name="40% - Accent5 4 2 2 3 2 3 2 2" xfId="45300"/>
    <cellStyle name="40% - Accent5 4 2 2 3 2 3 3" xfId="32998"/>
    <cellStyle name="40% - Accent5 4 2 2 3 2 4" xfId="15411"/>
    <cellStyle name="40% - Accent5 4 2 2 3 2 4 2" xfId="38270"/>
    <cellStyle name="40% - Accent5 4 2 2 3 2 5" xfId="25968"/>
    <cellStyle name="40% - Accent5 4 2 2 3 3" xfId="4864"/>
    <cellStyle name="40% - Accent5 4 2 2 3 3 2" xfId="17168"/>
    <cellStyle name="40% - Accent5 4 2 2 3 3 2 2" xfId="40027"/>
    <cellStyle name="40% - Accent5 4 2 2 3 3 3" xfId="27725"/>
    <cellStyle name="40% - Accent5 4 2 2 3 4" xfId="8379"/>
    <cellStyle name="40% - Accent5 4 2 2 3 4 2" xfId="20683"/>
    <cellStyle name="40% - Accent5 4 2 2 3 4 2 2" xfId="43542"/>
    <cellStyle name="40% - Accent5 4 2 2 3 4 3" xfId="31240"/>
    <cellStyle name="40% - Accent5 4 2 2 3 5" xfId="11894"/>
    <cellStyle name="40% - Accent5 4 2 2 3 5 2" xfId="34754"/>
    <cellStyle name="40% - Accent5 4 2 2 3 6" xfId="13653"/>
    <cellStyle name="40% - Accent5 4 2 2 3 6 2" xfId="36512"/>
    <cellStyle name="40% - Accent5 4 2 2 3 7" xfId="24209"/>
    <cellStyle name="40% - Accent5 4 2 2 4" xfId="2229"/>
    <cellStyle name="40% - Accent5 4 2 2 4 2" xfId="5744"/>
    <cellStyle name="40% - Accent5 4 2 2 4 2 2" xfId="18048"/>
    <cellStyle name="40% - Accent5 4 2 2 4 2 2 2" xfId="40907"/>
    <cellStyle name="40% - Accent5 4 2 2 4 2 3" xfId="28605"/>
    <cellStyle name="40% - Accent5 4 2 2 4 3" xfId="9259"/>
    <cellStyle name="40% - Accent5 4 2 2 4 3 2" xfId="21563"/>
    <cellStyle name="40% - Accent5 4 2 2 4 3 2 2" xfId="44422"/>
    <cellStyle name="40% - Accent5 4 2 2 4 3 3" xfId="32120"/>
    <cellStyle name="40% - Accent5 4 2 2 4 4" xfId="14533"/>
    <cellStyle name="40% - Accent5 4 2 2 4 4 2" xfId="37392"/>
    <cellStyle name="40% - Accent5 4 2 2 4 5" xfId="25090"/>
    <cellStyle name="40% - Accent5 4 2 2 5" xfId="3986"/>
    <cellStyle name="40% - Accent5 4 2 2 5 2" xfId="16290"/>
    <cellStyle name="40% - Accent5 4 2 2 5 2 2" xfId="39149"/>
    <cellStyle name="40% - Accent5 4 2 2 5 3" xfId="26847"/>
    <cellStyle name="40% - Accent5 4 2 2 6" xfId="7501"/>
    <cellStyle name="40% - Accent5 4 2 2 6 2" xfId="19805"/>
    <cellStyle name="40% - Accent5 4 2 2 6 2 2" xfId="42664"/>
    <cellStyle name="40% - Accent5 4 2 2 6 3" xfId="30362"/>
    <cellStyle name="40% - Accent5 4 2 2 7" xfId="11016"/>
    <cellStyle name="40% - Accent5 4 2 2 7 2" xfId="33876"/>
    <cellStyle name="40% - Accent5 4 2 2 8" xfId="12775"/>
    <cellStyle name="40% - Accent5 4 2 2 8 2" xfId="35634"/>
    <cellStyle name="40% - Accent5 4 2 2 9" xfId="23330"/>
    <cellStyle name="40% - Accent5 4 2 3" xfId="694"/>
    <cellStyle name="40% - Accent5 4 2 3 2" xfId="1573"/>
    <cellStyle name="40% - Accent5 4 2 3 2 2" xfId="3334"/>
    <cellStyle name="40% - Accent5 4 2 3 2 2 2" xfId="6849"/>
    <cellStyle name="40% - Accent5 4 2 3 2 2 2 2" xfId="19153"/>
    <cellStyle name="40% - Accent5 4 2 3 2 2 2 2 2" xfId="42012"/>
    <cellStyle name="40% - Accent5 4 2 3 2 2 2 3" xfId="29710"/>
    <cellStyle name="40% - Accent5 4 2 3 2 2 3" xfId="10364"/>
    <cellStyle name="40% - Accent5 4 2 3 2 2 3 2" xfId="22668"/>
    <cellStyle name="40% - Accent5 4 2 3 2 2 3 2 2" xfId="45527"/>
    <cellStyle name="40% - Accent5 4 2 3 2 2 3 3" xfId="33225"/>
    <cellStyle name="40% - Accent5 4 2 3 2 2 4" xfId="15638"/>
    <cellStyle name="40% - Accent5 4 2 3 2 2 4 2" xfId="38497"/>
    <cellStyle name="40% - Accent5 4 2 3 2 2 5" xfId="26195"/>
    <cellStyle name="40% - Accent5 4 2 3 2 3" xfId="5091"/>
    <cellStyle name="40% - Accent5 4 2 3 2 3 2" xfId="17395"/>
    <cellStyle name="40% - Accent5 4 2 3 2 3 2 2" xfId="40254"/>
    <cellStyle name="40% - Accent5 4 2 3 2 3 3" xfId="27952"/>
    <cellStyle name="40% - Accent5 4 2 3 2 4" xfId="8606"/>
    <cellStyle name="40% - Accent5 4 2 3 2 4 2" xfId="20910"/>
    <cellStyle name="40% - Accent5 4 2 3 2 4 2 2" xfId="43769"/>
    <cellStyle name="40% - Accent5 4 2 3 2 4 3" xfId="31467"/>
    <cellStyle name="40% - Accent5 4 2 3 2 5" xfId="12121"/>
    <cellStyle name="40% - Accent5 4 2 3 2 5 2" xfId="34981"/>
    <cellStyle name="40% - Accent5 4 2 3 2 6" xfId="13880"/>
    <cellStyle name="40% - Accent5 4 2 3 2 6 2" xfId="36739"/>
    <cellStyle name="40% - Accent5 4 2 3 2 7" xfId="24436"/>
    <cellStyle name="40% - Accent5 4 2 3 3" xfId="2456"/>
    <cellStyle name="40% - Accent5 4 2 3 3 2" xfId="5971"/>
    <cellStyle name="40% - Accent5 4 2 3 3 2 2" xfId="18275"/>
    <cellStyle name="40% - Accent5 4 2 3 3 2 2 2" xfId="41134"/>
    <cellStyle name="40% - Accent5 4 2 3 3 2 3" xfId="28832"/>
    <cellStyle name="40% - Accent5 4 2 3 3 3" xfId="9486"/>
    <cellStyle name="40% - Accent5 4 2 3 3 3 2" xfId="21790"/>
    <cellStyle name="40% - Accent5 4 2 3 3 3 2 2" xfId="44649"/>
    <cellStyle name="40% - Accent5 4 2 3 3 3 3" xfId="32347"/>
    <cellStyle name="40% - Accent5 4 2 3 3 4" xfId="14760"/>
    <cellStyle name="40% - Accent5 4 2 3 3 4 2" xfId="37619"/>
    <cellStyle name="40% - Accent5 4 2 3 3 5" xfId="25317"/>
    <cellStyle name="40% - Accent5 4 2 3 4" xfId="4213"/>
    <cellStyle name="40% - Accent5 4 2 3 4 2" xfId="16517"/>
    <cellStyle name="40% - Accent5 4 2 3 4 2 2" xfId="39376"/>
    <cellStyle name="40% - Accent5 4 2 3 4 3" xfId="27074"/>
    <cellStyle name="40% - Accent5 4 2 3 5" xfId="7728"/>
    <cellStyle name="40% - Accent5 4 2 3 5 2" xfId="20032"/>
    <cellStyle name="40% - Accent5 4 2 3 5 2 2" xfId="42891"/>
    <cellStyle name="40% - Accent5 4 2 3 5 3" xfId="30589"/>
    <cellStyle name="40% - Accent5 4 2 3 6" xfId="11243"/>
    <cellStyle name="40% - Accent5 4 2 3 6 2" xfId="34103"/>
    <cellStyle name="40% - Accent5 4 2 3 7" xfId="13002"/>
    <cellStyle name="40% - Accent5 4 2 3 7 2" xfId="35861"/>
    <cellStyle name="40% - Accent5 4 2 3 8" xfId="23558"/>
    <cellStyle name="40% - Accent5 4 2 4" xfId="1134"/>
    <cellStyle name="40% - Accent5 4 2 4 2" xfId="2895"/>
    <cellStyle name="40% - Accent5 4 2 4 2 2" xfId="6410"/>
    <cellStyle name="40% - Accent5 4 2 4 2 2 2" xfId="18714"/>
    <cellStyle name="40% - Accent5 4 2 4 2 2 2 2" xfId="41573"/>
    <cellStyle name="40% - Accent5 4 2 4 2 2 3" xfId="29271"/>
    <cellStyle name="40% - Accent5 4 2 4 2 3" xfId="9925"/>
    <cellStyle name="40% - Accent5 4 2 4 2 3 2" xfId="22229"/>
    <cellStyle name="40% - Accent5 4 2 4 2 3 2 2" xfId="45088"/>
    <cellStyle name="40% - Accent5 4 2 4 2 3 3" xfId="32786"/>
    <cellStyle name="40% - Accent5 4 2 4 2 4" xfId="15199"/>
    <cellStyle name="40% - Accent5 4 2 4 2 4 2" xfId="38058"/>
    <cellStyle name="40% - Accent5 4 2 4 2 5" xfId="25756"/>
    <cellStyle name="40% - Accent5 4 2 4 3" xfId="4652"/>
    <cellStyle name="40% - Accent5 4 2 4 3 2" xfId="16956"/>
    <cellStyle name="40% - Accent5 4 2 4 3 2 2" xfId="39815"/>
    <cellStyle name="40% - Accent5 4 2 4 3 3" xfId="27513"/>
    <cellStyle name="40% - Accent5 4 2 4 4" xfId="8167"/>
    <cellStyle name="40% - Accent5 4 2 4 4 2" xfId="20471"/>
    <cellStyle name="40% - Accent5 4 2 4 4 2 2" xfId="43330"/>
    <cellStyle name="40% - Accent5 4 2 4 4 3" xfId="31028"/>
    <cellStyle name="40% - Accent5 4 2 4 5" xfId="11682"/>
    <cellStyle name="40% - Accent5 4 2 4 5 2" xfId="34542"/>
    <cellStyle name="40% - Accent5 4 2 4 6" xfId="13441"/>
    <cellStyle name="40% - Accent5 4 2 4 6 2" xfId="36300"/>
    <cellStyle name="40% - Accent5 4 2 4 7" xfId="23997"/>
    <cellStyle name="40% - Accent5 4 2 5" xfId="2017"/>
    <cellStyle name="40% - Accent5 4 2 5 2" xfId="5532"/>
    <cellStyle name="40% - Accent5 4 2 5 2 2" xfId="17836"/>
    <cellStyle name="40% - Accent5 4 2 5 2 2 2" xfId="40695"/>
    <cellStyle name="40% - Accent5 4 2 5 2 3" xfId="28393"/>
    <cellStyle name="40% - Accent5 4 2 5 3" xfId="9047"/>
    <cellStyle name="40% - Accent5 4 2 5 3 2" xfId="21351"/>
    <cellStyle name="40% - Accent5 4 2 5 3 2 2" xfId="44210"/>
    <cellStyle name="40% - Accent5 4 2 5 3 3" xfId="31908"/>
    <cellStyle name="40% - Accent5 4 2 5 4" xfId="14321"/>
    <cellStyle name="40% - Accent5 4 2 5 4 2" xfId="37180"/>
    <cellStyle name="40% - Accent5 4 2 5 5" xfId="24878"/>
    <cellStyle name="40% - Accent5 4 2 6" xfId="3774"/>
    <cellStyle name="40% - Accent5 4 2 6 2" xfId="16078"/>
    <cellStyle name="40% - Accent5 4 2 6 2 2" xfId="38937"/>
    <cellStyle name="40% - Accent5 4 2 6 3" xfId="26635"/>
    <cellStyle name="40% - Accent5 4 2 7" xfId="7289"/>
    <cellStyle name="40% - Accent5 4 2 7 2" xfId="19593"/>
    <cellStyle name="40% - Accent5 4 2 7 2 2" xfId="42452"/>
    <cellStyle name="40% - Accent5 4 2 7 3" xfId="30150"/>
    <cellStyle name="40% - Accent5 4 2 8" xfId="10804"/>
    <cellStyle name="40% - Accent5 4 2 8 2" xfId="33664"/>
    <cellStyle name="40% - Accent5 4 2 9" xfId="12563"/>
    <cellStyle name="40% - Accent5 4 2 9 2" xfId="35422"/>
    <cellStyle name="40% - Accent5 4 3" xfId="359"/>
    <cellStyle name="40% - Accent5 4 3 2" xfId="800"/>
    <cellStyle name="40% - Accent5 4 3 2 2" xfId="1679"/>
    <cellStyle name="40% - Accent5 4 3 2 2 2" xfId="3440"/>
    <cellStyle name="40% - Accent5 4 3 2 2 2 2" xfId="6955"/>
    <cellStyle name="40% - Accent5 4 3 2 2 2 2 2" xfId="19259"/>
    <cellStyle name="40% - Accent5 4 3 2 2 2 2 2 2" xfId="42118"/>
    <cellStyle name="40% - Accent5 4 3 2 2 2 2 3" xfId="29816"/>
    <cellStyle name="40% - Accent5 4 3 2 2 2 3" xfId="10470"/>
    <cellStyle name="40% - Accent5 4 3 2 2 2 3 2" xfId="22774"/>
    <cellStyle name="40% - Accent5 4 3 2 2 2 3 2 2" xfId="45633"/>
    <cellStyle name="40% - Accent5 4 3 2 2 2 3 3" xfId="33331"/>
    <cellStyle name="40% - Accent5 4 3 2 2 2 4" xfId="15744"/>
    <cellStyle name="40% - Accent5 4 3 2 2 2 4 2" xfId="38603"/>
    <cellStyle name="40% - Accent5 4 3 2 2 2 5" xfId="26301"/>
    <cellStyle name="40% - Accent5 4 3 2 2 3" xfId="5197"/>
    <cellStyle name="40% - Accent5 4 3 2 2 3 2" xfId="17501"/>
    <cellStyle name="40% - Accent5 4 3 2 2 3 2 2" xfId="40360"/>
    <cellStyle name="40% - Accent5 4 3 2 2 3 3" xfId="28058"/>
    <cellStyle name="40% - Accent5 4 3 2 2 4" xfId="8712"/>
    <cellStyle name="40% - Accent5 4 3 2 2 4 2" xfId="21016"/>
    <cellStyle name="40% - Accent5 4 3 2 2 4 2 2" xfId="43875"/>
    <cellStyle name="40% - Accent5 4 3 2 2 4 3" xfId="31573"/>
    <cellStyle name="40% - Accent5 4 3 2 2 5" xfId="12227"/>
    <cellStyle name="40% - Accent5 4 3 2 2 5 2" xfId="35087"/>
    <cellStyle name="40% - Accent5 4 3 2 2 6" xfId="13986"/>
    <cellStyle name="40% - Accent5 4 3 2 2 6 2" xfId="36845"/>
    <cellStyle name="40% - Accent5 4 3 2 2 7" xfId="24542"/>
    <cellStyle name="40% - Accent5 4 3 2 3" xfId="2562"/>
    <cellStyle name="40% - Accent5 4 3 2 3 2" xfId="6077"/>
    <cellStyle name="40% - Accent5 4 3 2 3 2 2" xfId="18381"/>
    <cellStyle name="40% - Accent5 4 3 2 3 2 2 2" xfId="41240"/>
    <cellStyle name="40% - Accent5 4 3 2 3 2 3" xfId="28938"/>
    <cellStyle name="40% - Accent5 4 3 2 3 3" xfId="9592"/>
    <cellStyle name="40% - Accent5 4 3 2 3 3 2" xfId="21896"/>
    <cellStyle name="40% - Accent5 4 3 2 3 3 2 2" xfId="44755"/>
    <cellStyle name="40% - Accent5 4 3 2 3 3 3" xfId="32453"/>
    <cellStyle name="40% - Accent5 4 3 2 3 4" xfId="14866"/>
    <cellStyle name="40% - Accent5 4 3 2 3 4 2" xfId="37725"/>
    <cellStyle name="40% - Accent5 4 3 2 3 5" xfId="25423"/>
    <cellStyle name="40% - Accent5 4 3 2 4" xfId="4319"/>
    <cellStyle name="40% - Accent5 4 3 2 4 2" xfId="16623"/>
    <cellStyle name="40% - Accent5 4 3 2 4 2 2" xfId="39482"/>
    <cellStyle name="40% - Accent5 4 3 2 4 3" xfId="27180"/>
    <cellStyle name="40% - Accent5 4 3 2 5" xfId="7834"/>
    <cellStyle name="40% - Accent5 4 3 2 5 2" xfId="20138"/>
    <cellStyle name="40% - Accent5 4 3 2 5 2 2" xfId="42997"/>
    <cellStyle name="40% - Accent5 4 3 2 5 3" xfId="30695"/>
    <cellStyle name="40% - Accent5 4 3 2 6" xfId="11349"/>
    <cellStyle name="40% - Accent5 4 3 2 6 2" xfId="34209"/>
    <cellStyle name="40% - Accent5 4 3 2 7" xfId="13108"/>
    <cellStyle name="40% - Accent5 4 3 2 7 2" xfId="35967"/>
    <cellStyle name="40% - Accent5 4 3 2 8" xfId="23664"/>
    <cellStyle name="40% - Accent5 4 3 3" xfId="1240"/>
    <cellStyle name="40% - Accent5 4 3 3 2" xfId="3001"/>
    <cellStyle name="40% - Accent5 4 3 3 2 2" xfId="6516"/>
    <cellStyle name="40% - Accent5 4 3 3 2 2 2" xfId="18820"/>
    <cellStyle name="40% - Accent5 4 3 3 2 2 2 2" xfId="41679"/>
    <cellStyle name="40% - Accent5 4 3 3 2 2 3" xfId="29377"/>
    <cellStyle name="40% - Accent5 4 3 3 2 3" xfId="10031"/>
    <cellStyle name="40% - Accent5 4 3 3 2 3 2" xfId="22335"/>
    <cellStyle name="40% - Accent5 4 3 3 2 3 2 2" xfId="45194"/>
    <cellStyle name="40% - Accent5 4 3 3 2 3 3" xfId="32892"/>
    <cellStyle name="40% - Accent5 4 3 3 2 4" xfId="15305"/>
    <cellStyle name="40% - Accent5 4 3 3 2 4 2" xfId="38164"/>
    <cellStyle name="40% - Accent5 4 3 3 2 5" xfId="25862"/>
    <cellStyle name="40% - Accent5 4 3 3 3" xfId="4758"/>
    <cellStyle name="40% - Accent5 4 3 3 3 2" xfId="17062"/>
    <cellStyle name="40% - Accent5 4 3 3 3 2 2" xfId="39921"/>
    <cellStyle name="40% - Accent5 4 3 3 3 3" xfId="27619"/>
    <cellStyle name="40% - Accent5 4 3 3 4" xfId="8273"/>
    <cellStyle name="40% - Accent5 4 3 3 4 2" xfId="20577"/>
    <cellStyle name="40% - Accent5 4 3 3 4 2 2" xfId="43436"/>
    <cellStyle name="40% - Accent5 4 3 3 4 3" xfId="31134"/>
    <cellStyle name="40% - Accent5 4 3 3 5" xfId="11788"/>
    <cellStyle name="40% - Accent5 4 3 3 5 2" xfId="34648"/>
    <cellStyle name="40% - Accent5 4 3 3 6" xfId="13547"/>
    <cellStyle name="40% - Accent5 4 3 3 6 2" xfId="36406"/>
    <cellStyle name="40% - Accent5 4 3 3 7" xfId="24103"/>
    <cellStyle name="40% - Accent5 4 3 4" xfId="2123"/>
    <cellStyle name="40% - Accent5 4 3 4 2" xfId="5638"/>
    <cellStyle name="40% - Accent5 4 3 4 2 2" xfId="17942"/>
    <cellStyle name="40% - Accent5 4 3 4 2 2 2" xfId="40801"/>
    <cellStyle name="40% - Accent5 4 3 4 2 3" xfId="28499"/>
    <cellStyle name="40% - Accent5 4 3 4 3" xfId="9153"/>
    <cellStyle name="40% - Accent5 4 3 4 3 2" xfId="21457"/>
    <cellStyle name="40% - Accent5 4 3 4 3 2 2" xfId="44316"/>
    <cellStyle name="40% - Accent5 4 3 4 3 3" xfId="32014"/>
    <cellStyle name="40% - Accent5 4 3 4 4" xfId="14427"/>
    <cellStyle name="40% - Accent5 4 3 4 4 2" xfId="37286"/>
    <cellStyle name="40% - Accent5 4 3 4 5" xfId="24984"/>
    <cellStyle name="40% - Accent5 4 3 5" xfId="3880"/>
    <cellStyle name="40% - Accent5 4 3 5 2" xfId="16184"/>
    <cellStyle name="40% - Accent5 4 3 5 2 2" xfId="39043"/>
    <cellStyle name="40% - Accent5 4 3 5 3" xfId="26741"/>
    <cellStyle name="40% - Accent5 4 3 6" xfId="7395"/>
    <cellStyle name="40% - Accent5 4 3 6 2" xfId="19699"/>
    <cellStyle name="40% - Accent5 4 3 6 2 2" xfId="42558"/>
    <cellStyle name="40% - Accent5 4 3 6 3" xfId="30256"/>
    <cellStyle name="40% - Accent5 4 3 7" xfId="10910"/>
    <cellStyle name="40% - Accent5 4 3 7 2" xfId="33770"/>
    <cellStyle name="40% - Accent5 4 3 8" xfId="12669"/>
    <cellStyle name="40% - Accent5 4 3 8 2" xfId="35528"/>
    <cellStyle name="40% - Accent5 4 3 9" xfId="23224"/>
    <cellStyle name="40% - Accent5 4 4" xfId="588"/>
    <cellStyle name="40% - Accent5 4 4 2" xfId="1467"/>
    <cellStyle name="40% - Accent5 4 4 2 2" xfId="3228"/>
    <cellStyle name="40% - Accent5 4 4 2 2 2" xfId="6743"/>
    <cellStyle name="40% - Accent5 4 4 2 2 2 2" xfId="19047"/>
    <cellStyle name="40% - Accent5 4 4 2 2 2 2 2" xfId="41906"/>
    <cellStyle name="40% - Accent5 4 4 2 2 2 3" xfId="29604"/>
    <cellStyle name="40% - Accent5 4 4 2 2 3" xfId="10258"/>
    <cellStyle name="40% - Accent5 4 4 2 2 3 2" xfId="22562"/>
    <cellStyle name="40% - Accent5 4 4 2 2 3 2 2" xfId="45421"/>
    <cellStyle name="40% - Accent5 4 4 2 2 3 3" xfId="33119"/>
    <cellStyle name="40% - Accent5 4 4 2 2 4" xfId="15532"/>
    <cellStyle name="40% - Accent5 4 4 2 2 4 2" xfId="38391"/>
    <cellStyle name="40% - Accent5 4 4 2 2 5" xfId="26089"/>
    <cellStyle name="40% - Accent5 4 4 2 3" xfId="4985"/>
    <cellStyle name="40% - Accent5 4 4 2 3 2" xfId="17289"/>
    <cellStyle name="40% - Accent5 4 4 2 3 2 2" xfId="40148"/>
    <cellStyle name="40% - Accent5 4 4 2 3 3" xfId="27846"/>
    <cellStyle name="40% - Accent5 4 4 2 4" xfId="8500"/>
    <cellStyle name="40% - Accent5 4 4 2 4 2" xfId="20804"/>
    <cellStyle name="40% - Accent5 4 4 2 4 2 2" xfId="43663"/>
    <cellStyle name="40% - Accent5 4 4 2 4 3" xfId="31361"/>
    <cellStyle name="40% - Accent5 4 4 2 5" xfId="12015"/>
    <cellStyle name="40% - Accent5 4 4 2 5 2" xfId="34875"/>
    <cellStyle name="40% - Accent5 4 4 2 6" xfId="13774"/>
    <cellStyle name="40% - Accent5 4 4 2 6 2" xfId="36633"/>
    <cellStyle name="40% - Accent5 4 4 2 7" xfId="24330"/>
    <cellStyle name="40% - Accent5 4 4 3" xfId="2350"/>
    <cellStyle name="40% - Accent5 4 4 3 2" xfId="5865"/>
    <cellStyle name="40% - Accent5 4 4 3 2 2" xfId="18169"/>
    <cellStyle name="40% - Accent5 4 4 3 2 2 2" xfId="41028"/>
    <cellStyle name="40% - Accent5 4 4 3 2 3" xfId="28726"/>
    <cellStyle name="40% - Accent5 4 4 3 3" xfId="9380"/>
    <cellStyle name="40% - Accent5 4 4 3 3 2" xfId="21684"/>
    <cellStyle name="40% - Accent5 4 4 3 3 2 2" xfId="44543"/>
    <cellStyle name="40% - Accent5 4 4 3 3 3" xfId="32241"/>
    <cellStyle name="40% - Accent5 4 4 3 4" xfId="14654"/>
    <cellStyle name="40% - Accent5 4 4 3 4 2" xfId="37513"/>
    <cellStyle name="40% - Accent5 4 4 3 5" xfId="25211"/>
    <cellStyle name="40% - Accent5 4 4 4" xfId="4107"/>
    <cellStyle name="40% - Accent5 4 4 4 2" xfId="16411"/>
    <cellStyle name="40% - Accent5 4 4 4 2 2" xfId="39270"/>
    <cellStyle name="40% - Accent5 4 4 4 3" xfId="26968"/>
    <cellStyle name="40% - Accent5 4 4 5" xfId="7622"/>
    <cellStyle name="40% - Accent5 4 4 5 2" xfId="19926"/>
    <cellStyle name="40% - Accent5 4 4 5 2 2" xfId="42785"/>
    <cellStyle name="40% - Accent5 4 4 5 3" xfId="30483"/>
    <cellStyle name="40% - Accent5 4 4 6" xfId="11137"/>
    <cellStyle name="40% - Accent5 4 4 6 2" xfId="33997"/>
    <cellStyle name="40% - Accent5 4 4 7" xfId="12896"/>
    <cellStyle name="40% - Accent5 4 4 7 2" xfId="35755"/>
    <cellStyle name="40% - Accent5 4 4 8" xfId="23452"/>
    <cellStyle name="40% - Accent5 4 5" xfId="1028"/>
    <cellStyle name="40% - Accent5 4 5 2" xfId="2789"/>
    <cellStyle name="40% - Accent5 4 5 2 2" xfId="6304"/>
    <cellStyle name="40% - Accent5 4 5 2 2 2" xfId="18608"/>
    <cellStyle name="40% - Accent5 4 5 2 2 2 2" xfId="41467"/>
    <cellStyle name="40% - Accent5 4 5 2 2 3" xfId="29165"/>
    <cellStyle name="40% - Accent5 4 5 2 3" xfId="9819"/>
    <cellStyle name="40% - Accent5 4 5 2 3 2" xfId="22123"/>
    <cellStyle name="40% - Accent5 4 5 2 3 2 2" xfId="44982"/>
    <cellStyle name="40% - Accent5 4 5 2 3 3" xfId="32680"/>
    <cellStyle name="40% - Accent5 4 5 2 4" xfId="15093"/>
    <cellStyle name="40% - Accent5 4 5 2 4 2" xfId="37952"/>
    <cellStyle name="40% - Accent5 4 5 2 5" xfId="25650"/>
    <cellStyle name="40% - Accent5 4 5 3" xfId="4546"/>
    <cellStyle name="40% - Accent5 4 5 3 2" xfId="16850"/>
    <cellStyle name="40% - Accent5 4 5 3 2 2" xfId="39709"/>
    <cellStyle name="40% - Accent5 4 5 3 3" xfId="27407"/>
    <cellStyle name="40% - Accent5 4 5 4" xfId="8061"/>
    <cellStyle name="40% - Accent5 4 5 4 2" xfId="20365"/>
    <cellStyle name="40% - Accent5 4 5 4 2 2" xfId="43224"/>
    <cellStyle name="40% - Accent5 4 5 4 3" xfId="30922"/>
    <cellStyle name="40% - Accent5 4 5 5" xfId="11576"/>
    <cellStyle name="40% - Accent5 4 5 5 2" xfId="34436"/>
    <cellStyle name="40% - Accent5 4 5 6" xfId="13335"/>
    <cellStyle name="40% - Accent5 4 5 6 2" xfId="36194"/>
    <cellStyle name="40% - Accent5 4 5 7" xfId="23891"/>
    <cellStyle name="40% - Accent5 4 6" xfId="1911"/>
    <cellStyle name="40% - Accent5 4 6 2" xfId="5426"/>
    <cellStyle name="40% - Accent5 4 6 2 2" xfId="17730"/>
    <cellStyle name="40% - Accent5 4 6 2 2 2" xfId="40589"/>
    <cellStyle name="40% - Accent5 4 6 2 3" xfId="28287"/>
    <cellStyle name="40% - Accent5 4 6 3" xfId="8941"/>
    <cellStyle name="40% - Accent5 4 6 3 2" xfId="21245"/>
    <cellStyle name="40% - Accent5 4 6 3 2 2" xfId="44104"/>
    <cellStyle name="40% - Accent5 4 6 3 3" xfId="31802"/>
    <cellStyle name="40% - Accent5 4 6 4" xfId="14215"/>
    <cellStyle name="40% - Accent5 4 6 4 2" xfId="37074"/>
    <cellStyle name="40% - Accent5 4 6 5" xfId="24772"/>
    <cellStyle name="40% - Accent5 4 7" xfId="3668"/>
    <cellStyle name="40% - Accent5 4 7 2" xfId="15972"/>
    <cellStyle name="40% - Accent5 4 7 2 2" xfId="38831"/>
    <cellStyle name="40% - Accent5 4 7 3" xfId="26529"/>
    <cellStyle name="40% - Accent5 4 8" xfId="7183"/>
    <cellStyle name="40% - Accent5 4 8 2" xfId="19487"/>
    <cellStyle name="40% - Accent5 4 8 2 2" xfId="42346"/>
    <cellStyle name="40% - Accent5 4 8 3" xfId="30044"/>
    <cellStyle name="40% - Accent5 4 9" xfId="10698"/>
    <cellStyle name="40% - Accent5 4 9 2" xfId="33558"/>
    <cellStyle name="40% - Accent5 5" xfId="205"/>
    <cellStyle name="40% - Accent5 5 10" xfId="23070"/>
    <cellStyle name="40% - Accent5 5 2" xfId="417"/>
    <cellStyle name="40% - Accent5 5 2 2" xfId="858"/>
    <cellStyle name="40% - Accent5 5 2 2 2" xfId="1737"/>
    <cellStyle name="40% - Accent5 5 2 2 2 2" xfId="3498"/>
    <cellStyle name="40% - Accent5 5 2 2 2 2 2" xfId="7013"/>
    <cellStyle name="40% - Accent5 5 2 2 2 2 2 2" xfId="19317"/>
    <cellStyle name="40% - Accent5 5 2 2 2 2 2 2 2" xfId="42176"/>
    <cellStyle name="40% - Accent5 5 2 2 2 2 2 3" xfId="29874"/>
    <cellStyle name="40% - Accent5 5 2 2 2 2 3" xfId="10528"/>
    <cellStyle name="40% - Accent5 5 2 2 2 2 3 2" xfId="22832"/>
    <cellStyle name="40% - Accent5 5 2 2 2 2 3 2 2" xfId="45691"/>
    <cellStyle name="40% - Accent5 5 2 2 2 2 3 3" xfId="33389"/>
    <cellStyle name="40% - Accent5 5 2 2 2 2 4" xfId="15802"/>
    <cellStyle name="40% - Accent5 5 2 2 2 2 4 2" xfId="38661"/>
    <cellStyle name="40% - Accent5 5 2 2 2 2 5" xfId="26359"/>
    <cellStyle name="40% - Accent5 5 2 2 2 3" xfId="5255"/>
    <cellStyle name="40% - Accent5 5 2 2 2 3 2" xfId="17559"/>
    <cellStyle name="40% - Accent5 5 2 2 2 3 2 2" xfId="40418"/>
    <cellStyle name="40% - Accent5 5 2 2 2 3 3" xfId="28116"/>
    <cellStyle name="40% - Accent5 5 2 2 2 4" xfId="8770"/>
    <cellStyle name="40% - Accent5 5 2 2 2 4 2" xfId="21074"/>
    <cellStyle name="40% - Accent5 5 2 2 2 4 2 2" xfId="43933"/>
    <cellStyle name="40% - Accent5 5 2 2 2 4 3" xfId="31631"/>
    <cellStyle name="40% - Accent5 5 2 2 2 5" xfId="12285"/>
    <cellStyle name="40% - Accent5 5 2 2 2 5 2" xfId="35145"/>
    <cellStyle name="40% - Accent5 5 2 2 2 6" xfId="14044"/>
    <cellStyle name="40% - Accent5 5 2 2 2 6 2" xfId="36903"/>
    <cellStyle name="40% - Accent5 5 2 2 2 7" xfId="24600"/>
    <cellStyle name="40% - Accent5 5 2 2 3" xfId="2620"/>
    <cellStyle name="40% - Accent5 5 2 2 3 2" xfId="6135"/>
    <cellStyle name="40% - Accent5 5 2 2 3 2 2" xfId="18439"/>
    <cellStyle name="40% - Accent5 5 2 2 3 2 2 2" xfId="41298"/>
    <cellStyle name="40% - Accent5 5 2 2 3 2 3" xfId="28996"/>
    <cellStyle name="40% - Accent5 5 2 2 3 3" xfId="9650"/>
    <cellStyle name="40% - Accent5 5 2 2 3 3 2" xfId="21954"/>
    <cellStyle name="40% - Accent5 5 2 2 3 3 2 2" xfId="44813"/>
    <cellStyle name="40% - Accent5 5 2 2 3 3 3" xfId="32511"/>
    <cellStyle name="40% - Accent5 5 2 2 3 4" xfId="14924"/>
    <cellStyle name="40% - Accent5 5 2 2 3 4 2" xfId="37783"/>
    <cellStyle name="40% - Accent5 5 2 2 3 5" xfId="25481"/>
    <cellStyle name="40% - Accent5 5 2 2 4" xfId="4377"/>
    <cellStyle name="40% - Accent5 5 2 2 4 2" xfId="16681"/>
    <cellStyle name="40% - Accent5 5 2 2 4 2 2" xfId="39540"/>
    <cellStyle name="40% - Accent5 5 2 2 4 3" xfId="27238"/>
    <cellStyle name="40% - Accent5 5 2 2 5" xfId="7892"/>
    <cellStyle name="40% - Accent5 5 2 2 5 2" xfId="20196"/>
    <cellStyle name="40% - Accent5 5 2 2 5 2 2" xfId="43055"/>
    <cellStyle name="40% - Accent5 5 2 2 5 3" xfId="30753"/>
    <cellStyle name="40% - Accent5 5 2 2 6" xfId="11407"/>
    <cellStyle name="40% - Accent5 5 2 2 6 2" xfId="34267"/>
    <cellStyle name="40% - Accent5 5 2 2 7" xfId="13166"/>
    <cellStyle name="40% - Accent5 5 2 2 7 2" xfId="36025"/>
    <cellStyle name="40% - Accent5 5 2 2 8" xfId="23722"/>
    <cellStyle name="40% - Accent5 5 2 3" xfId="1298"/>
    <cellStyle name="40% - Accent5 5 2 3 2" xfId="3059"/>
    <cellStyle name="40% - Accent5 5 2 3 2 2" xfId="6574"/>
    <cellStyle name="40% - Accent5 5 2 3 2 2 2" xfId="18878"/>
    <cellStyle name="40% - Accent5 5 2 3 2 2 2 2" xfId="41737"/>
    <cellStyle name="40% - Accent5 5 2 3 2 2 3" xfId="29435"/>
    <cellStyle name="40% - Accent5 5 2 3 2 3" xfId="10089"/>
    <cellStyle name="40% - Accent5 5 2 3 2 3 2" xfId="22393"/>
    <cellStyle name="40% - Accent5 5 2 3 2 3 2 2" xfId="45252"/>
    <cellStyle name="40% - Accent5 5 2 3 2 3 3" xfId="32950"/>
    <cellStyle name="40% - Accent5 5 2 3 2 4" xfId="15363"/>
    <cellStyle name="40% - Accent5 5 2 3 2 4 2" xfId="38222"/>
    <cellStyle name="40% - Accent5 5 2 3 2 5" xfId="25920"/>
    <cellStyle name="40% - Accent5 5 2 3 3" xfId="4816"/>
    <cellStyle name="40% - Accent5 5 2 3 3 2" xfId="17120"/>
    <cellStyle name="40% - Accent5 5 2 3 3 2 2" xfId="39979"/>
    <cellStyle name="40% - Accent5 5 2 3 3 3" xfId="27677"/>
    <cellStyle name="40% - Accent5 5 2 3 4" xfId="8331"/>
    <cellStyle name="40% - Accent5 5 2 3 4 2" xfId="20635"/>
    <cellStyle name="40% - Accent5 5 2 3 4 2 2" xfId="43494"/>
    <cellStyle name="40% - Accent5 5 2 3 4 3" xfId="31192"/>
    <cellStyle name="40% - Accent5 5 2 3 5" xfId="11846"/>
    <cellStyle name="40% - Accent5 5 2 3 5 2" xfId="34706"/>
    <cellStyle name="40% - Accent5 5 2 3 6" xfId="13605"/>
    <cellStyle name="40% - Accent5 5 2 3 6 2" xfId="36464"/>
    <cellStyle name="40% - Accent5 5 2 3 7" xfId="24161"/>
    <cellStyle name="40% - Accent5 5 2 4" xfId="2181"/>
    <cellStyle name="40% - Accent5 5 2 4 2" xfId="5696"/>
    <cellStyle name="40% - Accent5 5 2 4 2 2" xfId="18000"/>
    <cellStyle name="40% - Accent5 5 2 4 2 2 2" xfId="40859"/>
    <cellStyle name="40% - Accent5 5 2 4 2 3" xfId="28557"/>
    <cellStyle name="40% - Accent5 5 2 4 3" xfId="9211"/>
    <cellStyle name="40% - Accent5 5 2 4 3 2" xfId="21515"/>
    <cellStyle name="40% - Accent5 5 2 4 3 2 2" xfId="44374"/>
    <cellStyle name="40% - Accent5 5 2 4 3 3" xfId="32072"/>
    <cellStyle name="40% - Accent5 5 2 4 4" xfId="14485"/>
    <cellStyle name="40% - Accent5 5 2 4 4 2" xfId="37344"/>
    <cellStyle name="40% - Accent5 5 2 4 5" xfId="25042"/>
    <cellStyle name="40% - Accent5 5 2 5" xfId="3938"/>
    <cellStyle name="40% - Accent5 5 2 5 2" xfId="16242"/>
    <cellStyle name="40% - Accent5 5 2 5 2 2" xfId="39101"/>
    <cellStyle name="40% - Accent5 5 2 5 3" xfId="26799"/>
    <cellStyle name="40% - Accent5 5 2 6" xfId="7453"/>
    <cellStyle name="40% - Accent5 5 2 6 2" xfId="19757"/>
    <cellStyle name="40% - Accent5 5 2 6 2 2" xfId="42616"/>
    <cellStyle name="40% - Accent5 5 2 6 3" xfId="30314"/>
    <cellStyle name="40% - Accent5 5 2 7" xfId="10968"/>
    <cellStyle name="40% - Accent5 5 2 7 2" xfId="33828"/>
    <cellStyle name="40% - Accent5 5 2 8" xfId="12727"/>
    <cellStyle name="40% - Accent5 5 2 8 2" xfId="35586"/>
    <cellStyle name="40% - Accent5 5 2 9" xfId="23282"/>
    <cellStyle name="40% - Accent5 5 3" xfId="646"/>
    <cellStyle name="40% - Accent5 5 3 2" xfId="1525"/>
    <cellStyle name="40% - Accent5 5 3 2 2" xfId="3286"/>
    <cellStyle name="40% - Accent5 5 3 2 2 2" xfId="6801"/>
    <cellStyle name="40% - Accent5 5 3 2 2 2 2" xfId="19105"/>
    <cellStyle name="40% - Accent5 5 3 2 2 2 2 2" xfId="41964"/>
    <cellStyle name="40% - Accent5 5 3 2 2 2 3" xfId="29662"/>
    <cellStyle name="40% - Accent5 5 3 2 2 3" xfId="10316"/>
    <cellStyle name="40% - Accent5 5 3 2 2 3 2" xfId="22620"/>
    <cellStyle name="40% - Accent5 5 3 2 2 3 2 2" xfId="45479"/>
    <cellStyle name="40% - Accent5 5 3 2 2 3 3" xfId="33177"/>
    <cellStyle name="40% - Accent5 5 3 2 2 4" xfId="15590"/>
    <cellStyle name="40% - Accent5 5 3 2 2 4 2" xfId="38449"/>
    <cellStyle name="40% - Accent5 5 3 2 2 5" xfId="26147"/>
    <cellStyle name="40% - Accent5 5 3 2 3" xfId="5043"/>
    <cellStyle name="40% - Accent5 5 3 2 3 2" xfId="17347"/>
    <cellStyle name="40% - Accent5 5 3 2 3 2 2" xfId="40206"/>
    <cellStyle name="40% - Accent5 5 3 2 3 3" xfId="27904"/>
    <cellStyle name="40% - Accent5 5 3 2 4" xfId="8558"/>
    <cellStyle name="40% - Accent5 5 3 2 4 2" xfId="20862"/>
    <cellStyle name="40% - Accent5 5 3 2 4 2 2" xfId="43721"/>
    <cellStyle name="40% - Accent5 5 3 2 4 3" xfId="31419"/>
    <cellStyle name="40% - Accent5 5 3 2 5" xfId="12073"/>
    <cellStyle name="40% - Accent5 5 3 2 5 2" xfId="34933"/>
    <cellStyle name="40% - Accent5 5 3 2 6" xfId="13832"/>
    <cellStyle name="40% - Accent5 5 3 2 6 2" xfId="36691"/>
    <cellStyle name="40% - Accent5 5 3 2 7" xfId="24388"/>
    <cellStyle name="40% - Accent5 5 3 3" xfId="2408"/>
    <cellStyle name="40% - Accent5 5 3 3 2" xfId="5923"/>
    <cellStyle name="40% - Accent5 5 3 3 2 2" xfId="18227"/>
    <cellStyle name="40% - Accent5 5 3 3 2 2 2" xfId="41086"/>
    <cellStyle name="40% - Accent5 5 3 3 2 3" xfId="28784"/>
    <cellStyle name="40% - Accent5 5 3 3 3" xfId="9438"/>
    <cellStyle name="40% - Accent5 5 3 3 3 2" xfId="21742"/>
    <cellStyle name="40% - Accent5 5 3 3 3 2 2" xfId="44601"/>
    <cellStyle name="40% - Accent5 5 3 3 3 3" xfId="32299"/>
    <cellStyle name="40% - Accent5 5 3 3 4" xfId="14712"/>
    <cellStyle name="40% - Accent5 5 3 3 4 2" xfId="37571"/>
    <cellStyle name="40% - Accent5 5 3 3 5" xfId="25269"/>
    <cellStyle name="40% - Accent5 5 3 4" xfId="4165"/>
    <cellStyle name="40% - Accent5 5 3 4 2" xfId="16469"/>
    <cellStyle name="40% - Accent5 5 3 4 2 2" xfId="39328"/>
    <cellStyle name="40% - Accent5 5 3 4 3" xfId="27026"/>
    <cellStyle name="40% - Accent5 5 3 5" xfId="7680"/>
    <cellStyle name="40% - Accent5 5 3 5 2" xfId="19984"/>
    <cellStyle name="40% - Accent5 5 3 5 2 2" xfId="42843"/>
    <cellStyle name="40% - Accent5 5 3 5 3" xfId="30541"/>
    <cellStyle name="40% - Accent5 5 3 6" xfId="11195"/>
    <cellStyle name="40% - Accent5 5 3 6 2" xfId="34055"/>
    <cellStyle name="40% - Accent5 5 3 7" xfId="12954"/>
    <cellStyle name="40% - Accent5 5 3 7 2" xfId="35813"/>
    <cellStyle name="40% - Accent5 5 3 8" xfId="23510"/>
    <cellStyle name="40% - Accent5 5 4" xfId="1086"/>
    <cellStyle name="40% - Accent5 5 4 2" xfId="2847"/>
    <cellStyle name="40% - Accent5 5 4 2 2" xfId="6362"/>
    <cellStyle name="40% - Accent5 5 4 2 2 2" xfId="18666"/>
    <cellStyle name="40% - Accent5 5 4 2 2 2 2" xfId="41525"/>
    <cellStyle name="40% - Accent5 5 4 2 2 3" xfId="29223"/>
    <cellStyle name="40% - Accent5 5 4 2 3" xfId="9877"/>
    <cellStyle name="40% - Accent5 5 4 2 3 2" xfId="22181"/>
    <cellStyle name="40% - Accent5 5 4 2 3 2 2" xfId="45040"/>
    <cellStyle name="40% - Accent5 5 4 2 3 3" xfId="32738"/>
    <cellStyle name="40% - Accent5 5 4 2 4" xfId="15151"/>
    <cellStyle name="40% - Accent5 5 4 2 4 2" xfId="38010"/>
    <cellStyle name="40% - Accent5 5 4 2 5" xfId="25708"/>
    <cellStyle name="40% - Accent5 5 4 3" xfId="4604"/>
    <cellStyle name="40% - Accent5 5 4 3 2" xfId="16908"/>
    <cellStyle name="40% - Accent5 5 4 3 2 2" xfId="39767"/>
    <cellStyle name="40% - Accent5 5 4 3 3" xfId="27465"/>
    <cellStyle name="40% - Accent5 5 4 4" xfId="8119"/>
    <cellStyle name="40% - Accent5 5 4 4 2" xfId="20423"/>
    <cellStyle name="40% - Accent5 5 4 4 2 2" xfId="43282"/>
    <cellStyle name="40% - Accent5 5 4 4 3" xfId="30980"/>
    <cellStyle name="40% - Accent5 5 4 5" xfId="11634"/>
    <cellStyle name="40% - Accent5 5 4 5 2" xfId="34494"/>
    <cellStyle name="40% - Accent5 5 4 6" xfId="13393"/>
    <cellStyle name="40% - Accent5 5 4 6 2" xfId="36252"/>
    <cellStyle name="40% - Accent5 5 4 7" xfId="23949"/>
    <cellStyle name="40% - Accent5 5 5" xfId="1969"/>
    <cellStyle name="40% - Accent5 5 5 2" xfId="5484"/>
    <cellStyle name="40% - Accent5 5 5 2 2" xfId="17788"/>
    <cellStyle name="40% - Accent5 5 5 2 2 2" xfId="40647"/>
    <cellStyle name="40% - Accent5 5 5 2 3" xfId="28345"/>
    <cellStyle name="40% - Accent5 5 5 3" xfId="8999"/>
    <cellStyle name="40% - Accent5 5 5 3 2" xfId="21303"/>
    <cellStyle name="40% - Accent5 5 5 3 2 2" xfId="44162"/>
    <cellStyle name="40% - Accent5 5 5 3 3" xfId="31860"/>
    <cellStyle name="40% - Accent5 5 5 4" xfId="14273"/>
    <cellStyle name="40% - Accent5 5 5 4 2" xfId="37132"/>
    <cellStyle name="40% - Accent5 5 5 5" xfId="24830"/>
    <cellStyle name="40% - Accent5 5 6" xfId="3726"/>
    <cellStyle name="40% - Accent5 5 6 2" xfId="16030"/>
    <cellStyle name="40% - Accent5 5 6 2 2" xfId="38889"/>
    <cellStyle name="40% - Accent5 5 6 3" xfId="26587"/>
    <cellStyle name="40% - Accent5 5 7" xfId="7241"/>
    <cellStyle name="40% - Accent5 5 7 2" xfId="19545"/>
    <cellStyle name="40% - Accent5 5 7 2 2" xfId="42404"/>
    <cellStyle name="40% - Accent5 5 7 3" xfId="30102"/>
    <cellStyle name="40% - Accent5 5 8" xfId="10756"/>
    <cellStyle name="40% - Accent5 5 8 2" xfId="33616"/>
    <cellStyle name="40% - Accent5 5 9" xfId="12515"/>
    <cellStyle name="40% - Accent5 5 9 2" xfId="35374"/>
    <cellStyle name="40% - Accent5 6" xfId="311"/>
    <cellStyle name="40% - Accent5 6 2" xfId="752"/>
    <cellStyle name="40% - Accent5 6 2 2" xfId="1631"/>
    <cellStyle name="40% - Accent5 6 2 2 2" xfId="3392"/>
    <cellStyle name="40% - Accent5 6 2 2 2 2" xfId="6907"/>
    <cellStyle name="40% - Accent5 6 2 2 2 2 2" xfId="19211"/>
    <cellStyle name="40% - Accent5 6 2 2 2 2 2 2" xfId="42070"/>
    <cellStyle name="40% - Accent5 6 2 2 2 2 3" xfId="29768"/>
    <cellStyle name="40% - Accent5 6 2 2 2 3" xfId="10422"/>
    <cellStyle name="40% - Accent5 6 2 2 2 3 2" xfId="22726"/>
    <cellStyle name="40% - Accent5 6 2 2 2 3 2 2" xfId="45585"/>
    <cellStyle name="40% - Accent5 6 2 2 2 3 3" xfId="33283"/>
    <cellStyle name="40% - Accent5 6 2 2 2 4" xfId="15696"/>
    <cellStyle name="40% - Accent5 6 2 2 2 4 2" xfId="38555"/>
    <cellStyle name="40% - Accent5 6 2 2 2 5" xfId="26253"/>
    <cellStyle name="40% - Accent5 6 2 2 3" xfId="5149"/>
    <cellStyle name="40% - Accent5 6 2 2 3 2" xfId="17453"/>
    <cellStyle name="40% - Accent5 6 2 2 3 2 2" xfId="40312"/>
    <cellStyle name="40% - Accent5 6 2 2 3 3" xfId="28010"/>
    <cellStyle name="40% - Accent5 6 2 2 4" xfId="8664"/>
    <cellStyle name="40% - Accent5 6 2 2 4 2" xfId="20968"/>
    <cellStyle name="40% - Accent5 6 2 2 4 2 2" xfId="43827"/>
    <cellStyle name="40% - Accent5 6 2 2 4 3" xfId="31525"/>
    <cellStyle name="40% - Accent5 6 2 2 5" xfId="12179"/>
    <cellStyle name="40% - Accent5 6 2 2 5 2" xfId="35039"/>
    <cellStyle name="40% - Accent5 6 2 2 6" xfId="13938"/>
    <cellStyle name="40% - Accent5 6 2 2 6 2" xfId="36797"/>
    <cellStyle name="40% - Accent5 6 2 2 7" xfId="24494"/>
    <cellStyle name="40% - Accent5 6 2 3" xfId="2514"/>
    <cellStyle name="40% - Accent5 6 2 3 2" xfId="6029"/>
    <cellStyle name="40% - Accent5 6 2 3 2 2" xfId="18333"/>
    <cellStyle name="40% - Accent5 6 2 3 2 2 2" xfId="41192"/>
    <cellStyle name="40% - Accent5 6 2 3 2 3" xfId="28890"/>
    <cellStyle name="40% - Accent5 6 2 3 3" xfId="9544"/>
    <cellStyle name="40% - Accent5 6 2 3 3 2" xfId="21848"/>
    <cellStyle name="40% - Accent5 6 2 3 3 2 2" xfId="44707"/>
    <cellStyle name="40% - Accent5 6 2 3 3 3" xfId="32405"/>
    <cellStyle name="40% - Accent5 6 2 3 4" xfId="14818"/>
    <cellStyle name="40% - Accent5 6 2 3 4 2" xfId="37677"/>
    <cellStyle name="40% - Accent5 6 2 3 5" xfId="25375"/>
    <cellStyle name="40% - Accent5 6 2 4" xfId="4271"/>
    <cellStyle name="40% - Accent5 6 2 4 2" xfId="16575"/>
    <cellStyle name="40% - Accent5 6 2 4 2 2" xfId="39434"/>
    <cellStyle name="40% - Accent5 6 2 4 3" xfId="27132"/>
    <cellStyle name="40% - Accent5 6 2 5" xfId="7786"/>
    <cellStyle name="40% - Accent5 6 2 5 2" xfId="20090"/>
    <cellStyle name="40% - Accent5 6 2 5 2 2" xfId="42949"/>
    <cellStyle name="40% - Accent5 6 2 5 3" xfId="30647"/>
    <cellStyle name="40% - Accent5 6 2 6" xfId="11301"/>
    <cellStyle name="40% - Accent5 6 2 6 2" xfId="34161"/>
    <cellStyle name="40% - Accent5 6 2 7" xfId="13060"/>
    <cellStyle name="40% - Accent5 6 2 7 2" xfId="35919"/>
    <cellStyle name="40% - Accent5 6 2 8" xfId="23616"/>
    <cellStyle name="40% - Accent5 6 3" xfId="1192"/>
    <cellStyle name="40% - Accent5 6 3 2" xfId="2953"/>
    <cellStyle name="40% - Accent5 6 3 2 2" xfId="6468"/>
    <cellStyle name="40% - Accent5 6 3 2 2 2" xfId="18772"/>
    <cellStyle name="40% - Accent5 6 3 2 2 2 2" xfId="41631"/>
    <cellStyle name="40% - Accent5 6 3 2 2 3" xfId="29329"/>
    <cellStyle name="40% - Accent5 6 3 2 3" xfId="9983"/>
    <cellStyle name="40% - Accent5 6 3 2 3 2" xfId="22287"/>
    <cellStyle name="40% - Accent5 6 3 2 3 2 2" xfId="45146"/>
    <cellStyle name="40% - Accent5 6 3 2 3 3" xfId="32844"/>
    <cellStyle name="40% - Accent5 6 3 2 4" xfId="15257"/>
    <cellStyle name="40% - Accent5 6 3 2 4 2" xfId="38116"/>
    <cellStyle name="40% - Accent5 6 3 2 5" xfId="25814"/>
    <cellStyle name="40% - Accent5 6 3 3" xfId="4710"/>
    <cellStyle name="40% - Accent5 6 3 3 2" xfId="17014"/>
    <cellStyle name="40% - Accent5 6 3 3 2 2" xfId="39873"/>
    <cellStyle name="40% - Accent5 6 3 3 3" xfId="27571"/>
    <cellStyle name="40% - Accent5 6 3 4" xfId="8225"/>
    <cellStyle name="40% - Accent5 6 3 4 2" xfId="20529"/>
    <cellStyle name="40% - Accent5 6 3 4 2 2" xfId="43388"/>
    <cellStyle name="40% - Accent5 6 3 4 3" xfId="31086"/>
    <cellStyle name="40% - Accent5 6 3 5" xfId="11740"/>
    <cellStyle name="40% - Accent5 6 3 5 2" xfId="34600"/>
    <cellStyle name="40% - Accent5 6 3 6" xfId="13499"/>
    <cellStyle name="40% - Accent5 6 3 6 2" xfId="36358"/>
    <cellStyle name="40% - Accent5 6 3 7" xfId="24055"/>
    <cellStyle name="40% - Accent5 6 4" xfId="2075"/>
    <cellStyle name="40% - Accent5 6 4 2" xfId="5590"/>
    <cellStyle name="40% - Accent5 6 4 2 2" xfId="17894"/>
    <cellStyle name="40% - Accent5 6 4 2 2 2" xfId="40753"/>
    <cellStyle name="40% - Accent5 6 4 2 3" xfId="28451"/>
    <cellStyle name="40% - Accent5 6 4 3" xfId="9105"/>
    <cellStyle name="40% - Accent5 6 4 3 2" xfId="21409"/>
    <cellStyle name="40% - Accent5 6 4 3 2 2" xfId="44268"/>
    <cellStyle name="40% - Accent5 6 4 3 3" xfId="31966"/>
    <cellStyle name="40% - Accent5 6 4 4" xfId="14379"/>
    <cellStyle name="40% - Accent5 6 4 4 2" xfId="37238"/>
    <cellStyle name="40% - Accent5 6 4 5" xfId="24936"/>
    <cellStyle name="40% - Accent5 6 5" xfId="3832"/>
    <cellStyle name="40% - Accent5 6 5 2" xfId="16136"/>
    <cellStyle name="40% - Accent5 6 5 2 2" xfId="38995"/>
    <cellStyle name="40% - Accent5 6 5 3" xfId="26693"/>
    <cellStyle name="40% - Accent5 6 6" xfId="7347"/>
    <cellStyle name="40% - Accent5 6 6 2" xfId="19651"/>
    <cellStyle name="40% - Accent5 6 6 2 2" xfId="42510"/>
    <cellStyle name="40% - Accent5 6 6 3" xfId="30208"/>
    <cellStyle name="40% - Accent5 6 7" xfId="10862"/>
    <cellStyle name="40% - Accent5 6 7 2" xfId="33722"/>
    <cellStyle name="40% - Accent5 6 8" xfId="12621"/>
    <cellStyle name="40% - Accent5 6 8 2" xfId="35480"/>
    <cellStyle name="40% - Accent5 6 9" xfId="23176"/>
    <cellStyle name="40% - Accent5 7" xfId="518"/>
    <cellStyle name="40% - Accent5 7 2" xfId="959"/>
    <cellStyle name="40% - Accent5 7 2 2" xfId="1838"/>
    <cellStyle name="40% - Accent5 7 2 2 2" xfId="3599"/>
    <cellStyle name="40% - Accent5 7 2 2 2 2" xfId="7114"/>
    <cellStyle name="40% - Accent5 7 2 2 2 2 2" xfId="19418"/>
    <cellStyle name="40% - Accent5 7 2 2 2 2 2 2" xfId="42277"/>
    <cellStyle name="40% - Accent5 7 2 2 2 2 3" xfId="29975"/>
    <cellStyle name="40% - Accent5 7 2 2 2 3" xfId="10629"/>
    <cellStyle name="40% - Accent5 7 2 2 2 3 2" xfId="22933"/>
    <cellStyle name="40% - Accent5 7 2 2 2 3 2 2" xfId="45792"/>
    <cellStyle name="40% - Accent5 7 2 2 2 3 3" xfId="33490"/>
    <cellStyle name="40% - Accent5 7 2 2 2 4" xfId="15903"/>
    <cellStyle name="40% - Accent5 7 2 2 2 4 2" xfId="38762"/>
    <cellStyle name="40% - Accent5 7 2 2 2 5" xfId="26460"/>
    <cellStyle name="40% - Accent5 7 2 2 3" xfId="5356"/>
    <cellStyle name="40% - Accent5 7 2 2 3 2" xfId="17660"/>
    <cellStyle name="40% - Accent5 7 2 2 3 2 2" xfId="40519"/>
    <cellStyle name="40% - Accent5 7 2 2 3 3" xfId="28217"/>
    <cellStyle name="40% - Accent5 7 2 2 4" xfId="8871"/>
    <cellStyle name="40% - Accent5 7 2 2 4 2" xfId="21175"/>
    <cellStyle name="40% - Accent5 7 2 2 4 2 2" xfId="44034"/>
    <cellStyle name="40% - Accent5 7 2 2 4 3" xfId="31732"/>
    <cellStyle name="40% - Accent5 7 2 2 5" xfId="12386"/>
    <cellStyle name="40% - Accent5 7 2 2 5 2" xfId="35246"/>
    <cellStyle name="40% - Accent5 7 2 2 6" xfId="14145"/>
    <cellStyle name="40% - Accent5 7 2 2 6 2" xfId="37004"/>
    <cellStyle name="40% - Accent5 7 2 2 7" xfId="24701"/>
    <cellStyle name="40% - Accent5 7 2 3" xfId="2721"/>
    <cellStyle name="40% - Accent5 7 2 3 2" xfId="6236"/>
    <cellStyle name="40% - Accent5 7 2 3 2 2" xfId="18540"/>
    <cellStyle name="40% - Accent5 7 2 3 2 2 2" xfId="41399"/>
    <cellStyle name="40% - Accent5 7 2 3 2 3" xfId="29097"/>
    <cellStyle name="40% - Accent5 7 2 3 3" xfId="9751"/>
    <cellStyle name="40% - Accent5 7 2 3 3 2" xfId="22055"/>
    <cellStyle name="40% - Accent5 7 2 3 3 2 2" xfId="44914"/>
    <cellStyle name="40% - Accent5 7 2 3 3 3" xfId="32612"/>
    <cellStyle name="40% - Accent5 7 2 3 4" xfId="15025"/>
    <cellStyle name="40% - Accent5 7 2 3 4 2" xfId="37884"/>
    <cellStyle name="40% - Accent5 7 2 3 5" xfId="25582"/>
    <cellStyle name="40% - Accent5 7 2 4" xfId="4478"/>
    <cellStyle name="40% - Accent5 7 2 4 2" xfId="16782"/>
    <cellStyle name="40% - Accent5 7 2 4 2 2" xfId="39641"/>
    <cellStyle name="40% - Accent5 7 2 4 3" xfId="27339"/>
    <cellStyle name="40% - Accent5 7 2 5" xfId="7993"/>
    <cellStyle name="40% - Accent5 7 2 5 2" xfId="20297"/>
    <cellStyle name="40% - Accent5 7 2 5 2 2" xfId="43156"/>
    <cellStyle name="40% - Accent5 7 2 5 3" xfId="30854"/>
    <cellStyle name="40% - Accent5 7 2 6" xfId="11508"/>
    <cellStyle name="40% - Accent5 7 2 6 2" xfId="34368"/>
    <cellStyle name="40% - Accent5 7 2 7" xfId="13267"/>
    <cellStyle name="40% - Accent5 7 2 7 2" xfId="36126"/>
    <cellStyle name="40% - Accent5 7 2 8" xfId="23823"/>
    <cellStyle name="40% - Accent5 7 3" xfId="1399"/>
    <cellStyle name="40% - Accent5 7 3 2" xfId="3160"/>
    <cellStyle name="40% - Accent5 7 3 2 2" xfId="6675"/>
    <cellStyle name="40% - Accent5 7 3 2 2 2" xfId="18979"/>
    <cellStyle name="40% - Accent5 7 3 2 2 2 2" xfId="41838"/>
    <cellStyle name="40% - Accent5 7 3 2 2 3" xfId="29536"/>
    <cellStyle name="40% - Accent5 7 3 2 3" xfId="10190"/>
    <cellStyle name="40% - Accent5 7 3 2 3 2" xfId="22494"/>
    <cellStyle name="40% - Accent5 7 3 2 3 2 2" xfId="45353"/>
    <cellStyle name="40% - Accent5 7 3 2 3 3" xfId="33051"/>
    <cellStyle name="40% - Accent5 7 3 2 4" xfId="15464"/>
    <cellStyle name="40% - Accent5 7 3 2 4 2" xfId="38323"/>
    <cellStyle name="40% - Accent5 7 3 2 5" xfId="26021"/>
    <cellStyle name="40% - Accent5 7 3 3" xfId="4917"/>
    <cellStyle name="40% - Accent5 7 3 3 2" xfId="17221"/>
    <cellStyle name="40% - Accent5 7 3 3 2 2" xfId="40080"/>
    <cellStyle name="40% - Accent5 7 3 3 3" xfId="27778"/>
    <cellStyle name="40% - Accent5 7 3 4" xfId="8432"/>
    <cellStyle name="40% - Accent5 7 3 4 2" xfId="20736"/>
    <cellStyle name="40% - Accent5 7 3 4 2 2" xfId="43595"/>
    <cellStyle name="40% - Accent5 7 3 4 3" xfId="31293"/>
    <cellStyle name="40% - Accent5 7 3 5" xfId="11947"/>
    <cellStyle name="40% - Accent5 7 3 5 2" xfId="34807"/>
    <cellStyle name="40% - Accent5 7 3 6" xfId="13706"/>
    <cellStyle name="40% - Accent5 7 3 6 2" xfId="36565"/>
    <cellStyle name="40% - Accent5 7 3 7" xfId="24262"/>
    <cellStyle name="40% - Accent5 7 4" xfId="2282"/>
    <cellStyle name="40% - Accent5 7 4 2" xfId="5797"/>
    <cellStyle name="40% - Accent5 7 4 2 2" xfId="18101"/>
    <cellStyle name="40% - Accent5 7 4 2 2 2" xfId="40960"/>
    <cellStyle name="40% - Accent5 7 4 2 3" xfId="28658"/>
    <cellStyle name="40% - Accent5 7 4 3" xfId="9312"/>
    <cellStyle name="40% - Accent5 7 4 3 2" xfId="21616"/>
    <cellStyle name="40% - Accent5 7 4 3 2 2" xfId="44475"/>
    <cellStyle name="40% - Accent5 7 4 3 3" xfId="32173"/>
    <cellStyle name="40% - Accent5 7 4 4" xfId="14586"/>
    <cellStyle name="40% - Accent5 7 4 4 2" xfId="37445"/>
    <cellStyle name="40% - Accent5 7 4 5" xfId="25143"/>
    <cellStyle name="40% - Accent5 7 5" xfId="4039"/>
    <cellStyle name="40% - Accent5 7 5 2" xfId="16343"/>
    <cellStyle name="40% - Accent5 7 5 2 2" xfId="39202"/>
    <cellStyle name="40% - Accent5 7 5 3" xfId="26900"/>
    <cellStyle name="40% - Accent5 7 6" xfId="7554"/>
    <cellStyle name="40% - Accent5 7 6 2" xfId="19858"/>
    <cellStyle name="40% - Accent5 7 6 2 2" xfId="42717"/>
    <cellStyle name="40% - Accent5 7 6 3" xfId="30415"/>
    <cellStyle name="40% - Accent5 7 7" xfId="11069"/>
    <cellStyle name="40% - Accent5 7 7 2" xfId="33929"/>
    <cellStyle name="40% - Accent5 7 8" xfId="12828"/>
    <cellStyle name="40% - Accent5 7 8 2" xfId="35687"/>
    <cellStyle name="40% - Accent5 7 9" xfId="23383"/>
    <cellStyle name="40% - Accent5 8" xfId="531"/>
    <cellStyle name="40% - Accent5 8 2" xfId="1412"/>
    <cellStyle name="40% - Accent5 8 2 2" xfId="3173"/>
    <cellStyle name="40% - Accent5 8 2 2 2" xfId="6688"/>
    <cellStyle name="40% - Accent5 8 2 2 2 2" xfId="18992"/>
    <cellStyle name="40% - Accent5 8 2 2 2 2 2" xfId="41851"/>
    <cellStyle name="40% - Accent5 8 2 2 2 3" xfId="29549"/>
    <cellStyle name="40% - Accent5 8 2 2 3" xfId="10203"/>
    <cellStyle name="40% - Accent5 8 2 2 3 2" xfId="22507"/>
    <cellStyle name="40% - Accent5 8 2 2 3 2 2" xfId="45366"/>
    <cellStyle name="40% - Accent5 8 2 2 3 3" xfId="33064"/>
    <cellStyle name="40% - Accent5 8 2 2 4" xfId="15477"/>
    <cellStyle name="40% - Accent5 8 2 2 4 2" xfId="38336"/>
    <cellStyle name="40% - Accent5 8 2 2 5" xfId="26034"/>
    <cellStyle name="40% - Accent5 8 2 3" xfId="4930"/>
    <cellStyle name="40% - Accent5 8 2 3 2" xfId="17234"/>
    <cellStyle name="40% - Accent5 8 2 3 2 2" xfId="40093"/>
    <cellStyle name="40% - Accent5 8 2 3 3" xfId="27791"/>
    <cellStyle name="40% - Accent5 8 2 4" xfId="8445"/>
    <cellStyle name="40% - Accent5 8 2 4 2" xfId="20749"/>
    <cellStyle name="40% - Accent5 8 2 4 2 2" xfId="43608"/>
    <cellStyle name="40% - Accent5 8 2 4 3" xfId="31306"/>
    <cellStyle name="40% - Accent5 8 2 5" xfId="11960"/>
    <cellStyle name="40% - Accent5 8 2 5 2" xfId="34820"/>
    <cellStyle name="40% - Accent5 8 2 6" xfId="13719"/>
    <cellStyle name="40% - Accent5 8 2 6 2" xfId="36578"/>
    <cellStyle name="40% - Accent5 8 2 7" xfId="24275"/>
    <cellStyle name="40% - Accent5 8 3" xfId="2295"/>
    <cellStyle name="40% - Accent5 8 3 2" xfId="5810"/>
    <cellStyle name="40% - Accent5 8 3 2 2" xfId="18114"/>
    <cellStyle name="40% - Accent5 8 3 2 2 2" xfId="40973"/>
    <cellStyle name="40% - Accent5 8 3 2 3" xfId="28671"/>
    <cellStyle name="40% - Accent5 8 3 3" xfId="9325"/>
    <cellStyle name="40% - Accent5 8 3 3 2" xfId="21629"/>
    <cellStyle name="40% - Accent5 8 3 3 2 2" xfId="44488"/>
    <cellStyle name="40% - Accent5 8 3 3 3" xfId="32186"/>
    <cellStyle name="40% - Accent5 8 3 4" xfId="14599"/>
    <cellStyle name="40% - Accent5 8 3 4 2" xfId="37458"/>
    <cellStyle name="40% - Accent5 8 3 5" xfId="25156"/>
    <cellStyle name="40% - Accent5 8 4" xfId="4052"/>
    <cellStyle name="40% - Accent5 8 4 2" xfId="16356"/>
    <cellStyle name="40% - Accent5 8 4 2 2" xfId="39215"/>
    <cellStyle name="40% - Accent5 8 4 3" xfId="26913"/>
    <cellStyle name="40% - Accent5 8 5" xfId="7567"/>
    <cellStyle name="40% - Accent5 8 5 2" xfId="19871"/>
    <cellStyle name="40% - Accent5 8 5 2 2" xfId="42730"/>
    <cellStyle name="40% - Accent5 8 5 3" xfId="30428"/>
    <cellStyle name="40% - Accent5 8 6" xfId="11082"/>
    <cellStyle name="40% - Accent5 8 6 2" xfId="33942"/>
    <cellStyle name="40% - Accent5 8 7" xfId="12841"/>
    <cellStyle name="40% - Accent5 8 7 2" xfId="35700"/>
    <cellStyle name="40% - Accent5 8 8" xfId="23396"/>
    <cellStyle name="40% - Accent5 9" xfId="980"/>
    <cellStyle name="40% - Accent5 9 2" xfId="2741"/>
    <cellStyle name="40% - Accent5 9 2 2" xfId="6256"/>
    <cellStyle name="40% - Accent5 9 2 2 2" xfId="18560"/>
    <cellStyle name="40% - Accent5 9 2 2 2 2" xfId="41419"/>
    <cellStyle name="40% - Accent5 9 2 2 3" xfId="29117"/>
    <cellStyle name="40% - Accent5 9 2 3" xfId="9771"/>
    <cellStyle name="40% - Accent5 9 2 3 2" xfId="22075"/>
    <cellStyle name="40% - Accent5 9 2 3 2 2" xfId="44934"/>
    <cellStyle name="40% - Accent5 9 2 3 3" xfId="32632"/>
    <cellStyle name="40% - Accent5 9 2 4" xfId="15045"/>
    <cellStyle name="40% - Accent5 9 2 4 2" xfId="37904"/>
    <cellStyle name="40% - Accent5 9 2 5" xfId="25602"/>
    <cellStyle name="40% - Accent5 9 3" xfId="4498"/>
    <cellStyle name="40% - Accent5 9 3 2" xfId="16802"/>
    <cellStyle name="40% - Accent5 9 3 2 2" xfId="39661"/>
    <cellStyle name="40% - Accent5 9 3 3" xfId="27359"/>
    <cellStyle name="40% - Accent5 9 4" xfId="8013"/>
    <cellStyle name="40% - Accent5 9 4 2" xfId="20317"/>
    <cellStyle name="40% - Accent5 9 4 2 2" xfId="43176"/>
    <cellStyle name="40% - Accent5 9 4 3" xfId="30874"/>
    <cellStyle name="40% - Accent5 9 5" xfId="11528"/>
    <cellStyle name="40% - Accent5 9 5 2" xfId="34388"/>
    <cellStyle name="40% - Accent5 9 6" xfId="13287"/>
    <cellStyle name="40% - Accent5 9 6 2" xfId="36146"/>
    <cellStyle name="40% - Accent5 9 7" xfId="23843"/>
    <cellStyle name="40% - Accent6" xfId="96" builtinId="51" customBuiltin="1"/>
    <cellStyle name="40% - Accent6 10" xfId="1856"/>
    <cellStyle name="40% - Accent6 10 2" xfId="5373"/>
    <cellStyle name="40% - Accent6 10 2 2" xfId="17677"/>
    <cellStyle name="40% - Accent6 10 2 2 2" xfId="40536"/>
    <cellStyle name="40% - Accent6 10 2 3" xfId="28234"/>
    <cellStyle name="40% - Accent6 10 3" xfId="8888"/>
    <cellStyle name="40% - Accent6 10 3 2" xfId="21192"/>
    <cellStyle name="40% - Accent6 10 3 2 2" xfId="44051"/>
    <cellStyle name="40% - Accent6 10 3 3" xfId="31749"/>
    <cellStyle name="40% - Accent6 10 4" xfId="14162"/>
    <cellStyle name="40% - Accent6 10 4 2" xfId="37021"/>
    <cellStyle name="40% - Accent6 10 5" xfId="24718"/>
    <cellStyle name="40% - Accent6 11" xfId="3622"/>
    <cellStyle name="40% - Accent6 11 2" xfId="15926"/>
    <cellStyle name="40% - Accent6 11 2 2" xfId="38785"/>
    <cellStyle name="40% - Accent6 11 3" xfId="26483"/>
    <cellStyle name="40% - Accent6 12" xfId="7137"/>
    <cellStyle name="40% - Accent6 12 2" xfId="19441"/>
    <cellStyle name="40% - Accent6 12 2 2" xfId="42300"/>
    <cellStyle name="40% - Accent6 12 3" xfId="29998"/>
    <cellStyle name="40% - Accent6 13" xfId="10652"/>
    <cellStyle name="40% - Accent6 13 2" xfId="33512"/>
    <cellStyle name="40% - Accent6 14" xfId="12402"/>
    <cellStyle name="40% - Accent6 14 2" xfId="35262"/>
    <cellStyle name="40% - Accent6 15" xfId="22964"/>
    <cellStyle name="40% - Accent6 2" xfId="12"/>
    <cellStyle name="40% - Accent6 3" xfId="116"/>
    <cellStyle name="40% - Accent6 3 10" xfId="10671"/>
    <cellStyle name="40% - Accent6 3 10 2" xfId="33531"/>
    <cellStyle name="40% - Accent6 3 11" xfId="12430"/>
    <cellStyle name="40% - Accent6 3 11 2" xfId="35289"/>
    <cellStyle name="40% - Accent6 3 12" xfId="22983"/>
    <cellStyle name="40% - Accent6 3 2" xfId="172"/>
    <cellStyle name="40% - Accent6 3 2 10" xfId="12484"/>
    <cellStyle name="40% - Accent6 3 2 10 2" xfId="35343"/>
    <cellStyle name="40% - Accent6 3 2 11" xfId="23038"/>
    <cellStyle name="40% - Accent6 3 2 2" xfId="280"/>
    <cellStyle name="40% - Accent6 3 2 2 10" xfId="23145"/>
    <cellStyle name="40% - Accent6 3 2 2 2" xfId="492"/>
    <cellStyle name="40% - Accent6 3 2 2 2 2" xfId="933"/>
    <cellStyle name="40% - Accent6 3 2 2 2 2 2" xfId="1812"/>
    <cellStyle name="40% - Accent6 3 2 2 2 2 2 2" xfId="3573"/>
    <cellStyle name="40% - Accent6 3 2 2 2 2 2 2 2" xfId="7088"/>
    <cellStyle name="40% - Accent6 3 2 2 2 2 2 2 2 2" xfId="19392"/>
    <cellStyle name="40% - Accent6 3 2 2 2 2 2 2 2 2 2" xfId="42251"/>
    <cellStyle name="40% - Accent6 3 2 2 2 2 2 2 2 3" xfId="29949"/>
    <cellStyle name="40% - Accent6 3 2 2 2 2 2 2 3" xfId="10603"/>
    <cellStyle name="40% - Accent6 3 2 2 2 2 2 2 3 2" xfId="22907"/>
    <cellStyle name="40% - Accent6 3 2 2 2 2 2 2 3 2 2" xfId="45766"/>
    <cellStyle name="40% - Accent6 3 2 2 2 2 2 2 3 3" xfId="33464"/>
    <cellStyle name="40% - Accent6 3 2 2 2 2 2 2 4" xfId="15877"/>
    <cellStyle name="40% - Accent6 3 2 2 2 2 2 2 4 2" xfId="38736"/>
    <cellStyle name="40% - Accent6 3 2 2 2 2 2 2 5" xfId="26434"/>
    <cellStyle name="40% - Accent6 3 2 2 2 2 2 3" xfId="5330"/>
    <cellStyle name="40% - Accent6 3 2 2 2 2 2 3 2" xfId="17634"/>
    <cellStyle name="40% - Accent6 3 2 2 2 2 2 3 2 2" xfId="40493"/>
    <cellStyle name="40% - Accent6 3 2 2 2 2 2 3 3" xfId="28191"/>
    <cellStyle name="40% - Accent6 3 2 2 2 2 2 4" xfId="8845"/>
    <cellStyle name="40% - Accent6 3 2 2 2 2 2 4 2" xfId="21149"/>
    <cellStyle name="40% - Accent6 3 2 2 2 2 2 4 2 2" xfId="44008"/>
    <cellStyle name="40% - Accent6 3 2 2 2 2 2 4 3" xfId="31706"/>
    <cellStyle name="40% - Accent6 3 2 2 2 2 2 5" xfId="12360"/>
    <cellStyle name="40% - Accent6 3 2 2 2 2 2 5 2" xfId="35220"/>
    <cellStyle name="40% - Accent6 3 2 2 2 2 2 6" xfId="14119"/>
    <cellStyle name="40% - Accent6 3 2 2 2 2 2 6 2" xfId="36978"/>
    <cellStyle name="40% - Accent6 3 2 2 2 2 2 7" xfId="24675"/>
    <cellStyle name="40% - Accent6 3 2 2 2 2 3" xfId="2695"/>
    <cellStyle name="40% - Accent6 3 2 2 2 2 3 2" xfId="6210"/>
    <cellStyle name="40% - Accent6 3 2 2 2 2 3 2 2" xfId="18514"/>
    <cellStyle name="40% - Accent6 3 2 2 2 2 3 2 2 2" xfId="41373"/>
    <cellStyle name="40% - Accent6 3 2 2 2 2 3 2 3" xfId="29071"/>
    <cellStyle name="40% - Accent6 3 2 2 2 2 3 3" xfId="9725"/>
    <cellStyle name="40% - Accent6 3 2 2 2 2 3 3 2" xfId="22029"/>
    <cellStyle name="40% - Accent6 3 2 2 2 2 3 3 2 2" xfId="44888"/>
    <cellStyle name="40% - Accent6 3 2 2 2 2 3 3 3" xfId="32586"/>
    <cellStyle name="40% - Accent6 3 2 2 2 2 3 4" xfId="14999"/>
    <cellStyle name="40% - Accent6 3 2 2 2 2 3 4 2" xfId="37858"/>
    <cellStyle name="40% - Accent6 3 2 2 2 2 3 5" xfId="25556"/>
    <cellStyle name="40% - Accent6 3 2 2 2 2 4" xfId="4452"/>
    <cellStyle name="40% - Accent6 3 2 2 2 2 4 2" xfId="16756"/>
    <cellStyle name="40% - Accent6 3 2 2 2 2 4 2 2" xfId="39615"/>
    <cellStyle name="40% - Accent6 3 2 2 2 2 4 3" xfId="27313"/>
    <cellStyle name="40% - Accent6 3 2 2 2 2 5" xfId="7967"/>
    <cellStyle name="40% - Accent6 3 2 2 2 2 5 2" xfId="20271"/>
    <cellStyle name="40% - Accent6 3 2 2 2 2 5 2 2" xfId="43130"/>
    <cellStyle name="40% - Accent6 3 2 2 2 2 5 3" xfId="30828"/>
    <cellStyle name="40% - Accent6 3 2 2 2 2 6" xfId="11482"/>
    <cellStyle name="40% - Accent6 3 2 2 2 2 6 2" xfId="34342"/>
    <cellStyle name="40% - Accent6 3 2 2 2 2 7" xfId="13241"/>
    <cellStyle name="40% - Accent6 3 2 2 2 2 7 2" xfId="36100"/>
    <cellStyle name="40% - Accent6 3 2 2 2 2 8" xfId="23797"/>
    <cellStyle name="40% - Accent6 3 2 2 2 3" xfId="1373"/>
    <cellStyle name="40% - Accent6 3 2 2 2 3 2" xfId="3134"/>
    <cellStyle name="40% - Accent6 3 2 2 2 3 2 2" xfId="6649"/>
    <cellStyle name="40% - Accent6 3 2 2 2 3 2 2 2" xfId="18953"/>
    <cellStyle name="40% - Accent6 3 2 2 2 3 2 2 2 2" xfId="41812"/>
    <cellStyle name="40% - Accent6 3 2 2 2 3 2 2 3" xfId="29510"/>
    <cellStyle name="40% - Accent6 3 2 2 2 3 2 3" xfId="10164"/>
    <cellStyle name="40% - Accent6 3 2 2 2 3 2 3 2" xfId="22468"/>
    <cellStyle name="40% - Accent6 3 2 2 2 3 2 3 2 2" xfId="45327"/>
    <cellStyle name="40% - Accent6 3 2 2 2 3 2 3 3" xfId="33025"/>
    <cellStyle name="40% - Accent6 3 2 2 2 3 2 4" xfId="15438"/>
    <cellStyle name="40% - Accent6 3 2 2 2 3 2 4 2" xfId="38297"/>
    <cellStyle name="40% - Accent6 3 2 2 2 3 2 5" xfId="25995"/>
    <cellStyle name="40% - Accent6 3 2 2 2 3 3" xfId="4891"/>
    <cellStyle name="40% - Accent6 3 2 2 2 3 3 2" xfId="17195"/>
    <cellStyle name="40% - Accent6 3 2 2 2 3 3 2 2" xfId="40054"/>
    <cellStyle name="40% - Accent6 3 2 2 2 3 3 3" xfId="27752"/>
    <cellStyle name="40% - Accent6 3 2 2 2 3 4" xfId="8406"/>
    <cellStyle name="40% - Accent6 3 2 2 2 3 4 2" xfId="20710"/>
    <cellStyle name="40% - Accent6 3 2 2 2 3 4 2 2" xfId="43569"/>
    <cellStyle name="40% - Accent6 3 2 2 2 3 4 3" xfId="31267"/>
    <cellStyle name="40% - Accent6 3 2 2 2 3 5" xfId="11921"/>
    <cellStyle name="40% - Accent6 3 2 2 2 3 5 2" xfId="34781"/>
    <cellStyle name="40% - Accent6 3 2 2 2 3 6" xfId="13680"/>
    <cellStyle name="40% - Accent6 3 2 2 2 3 6 2" xfId="36539"/>
    <cellStyle name="40% - Accent6 3 2 2 2 3 7" xfId="24236"/>
    <cellStyle name="40% - Accent6 3 2 2 2 4" xfId="2256"/>
    <cellStyle name="40% - Accent6 3 2 2 2 4 2" xfId="5771"/>
    <cellStyle name="40% - Accent6 3 2 2 2 4 2 2" xfId="18075"/>
    <cellStyle name="40% - Accent6 3 2 2 2 4 2 2 2" xfId="40934"/>
    <cellStyle name="40% - Accent6 3 2 2 2 4 2 3" xfId="28632"/>
    <cellStyle name="40% - Accent6 3 2 2 2 4 3" xfId="9286"/>
    <cellStyle name="40% - Accent6 3 2 2 2 4 3 2" xfId="21590"/>
    <cellStyle name="40% - Accent6 3 2 2 2 4 3 2 2" xfId="44449"/>
    <cellStyle name="40% - Accent6 3 2 2 2 4 3 3" xfId="32147"/>
    <cellStyle name="40% - Accent6 3 2 2 2 4 4" xfId="14560"/>
    <cellStyle name="40% - Accent6 3 2 2 2 4 4 2" xfId="37419"/>
    <cellStyle name="40% - Accent6 3 2 2 2 4 5" xfId="25117"/>
    <cellStyle name="40% - Accent6 3 2 2 2 5" xfId="4013"/>
    <cellStyle name="40% - Accent6 3 2 2 2 5 2" xfId="16317"/>
    <cellStyle name="40% - Accent6 3 2 2 2 5 2 2" xfId="39176"/>
    <cellStyle name="40% - Accent6 3 2 2 2 5 3" xfId="26874"/>
    <cellStyle name="40% - Accent6 3 2 2 2 6" xfId="7528"/>
    <cellStyle name="40% - Accent6 3 2 2 2 6 2" xfId="19832"/>
    <cellStyle name="40% - Accent6 3 2 2 2 6 2 2" xfId="42691"/>
    <cellStyle name="40% - Accent6 3 2 2 2 6 3" xfId="30389"/>
    <cellStyle name="40% - Accent6 3 2 2 2 7" xfId="11043"/>
    <cellStyle name="40% - Accent6 3 2 2 2 7 2" xfId="33903"/>
    <cellStyle name="40% - Accent6 3 2 2 2 8" xfId="12802"/>
    <cellStyle name="40% - Accent6 3 2 2 2 8 2" xfId="35661"/>
    <cellStyle name="40% - Accent6 3 2 2 2 9" xfId="23357"/>
    <cellStyle name="40% - Accent6 3 2 2 3" xfId="721"/>
    <cellStyle name="40% - Accent6 3 2 2 3 2" xfId="1600"/>
    <cellStyle name="40% - Accent6 3 2 2 3 2 2" xfId="3361"/>
    <cellStyle name="40% - Accent6 3 2 2 3 2 2 2" xfId="6876"/>
    <cellStyle name="40% - Accent6 3 2 2 3 2 2 2 2" xfId="19180"/>
    <cellStyle name="40% - Accent6 3 2 2 3 2 2 2 2 2" xfId="42039"/>
    <cellStyle name="40% - Accent6 3 2 2 3 2 2 2 3" xfId="29737"/>
    <cellStyle name="40% - Accent6 3 2 2 3 2 2 3" xfId="10391"/>
    <cellStyle name="40% - Accent6 3 2 2 3 2 2 3 2" xfId="22695"/>
    <cellStyle name="40% - Accent6 3 2 2 3 2 2 3 2 2" xfId="45554"/>
    <cellStyle name="40% - Accent6 3 2 2 3 2 2 3 3" xfId="33252"/>
    <cellStyle name="40% - Accent6 3 2 2 3 2 2 4" xfId="15665"/>
    <cellStyle name="40% - Accent6 3 2 2 3 2 2 4 2" xfId="38524"/>
    <cellStyle name="40% - Accent6 3 2 2 3 2 2 5" xfId="26222"/>
    <cellStyle name="40% - Accent6 3 2 2 3 2 3" xfId="5118"/>
    <cellStyle name="40% - Accent6 3 2 2 3 2 3 2" xfId="17422"/>
    <cellStyle name="40% - Accent6 3 2 2 3 2 3 2 2" xfId="40281"/>
    <cellStyle name="40% - Accent6 3 2 2 3 2 3 3" xfId="27979"/>
    <cellStyle name="40% - Accent6 3 2 2 3 2 4" xfId="8633"/>
    <cellStyle name="40% - Accent6 3 2 2 3 2 4 2" xfId="20937"/>
    <cellStyle name="40% - Accent6 3 2 2 3 2 4 2 2" xfId="43796"/>
    <cellStyle name="40% - Accent6 3 2 2 3 2 4 3" xfId="31494"/>
    <cellStyle name="40% - Accent6 3 2 2 3 2 5" xfId="12148"/>
    <cellStyle name="40% - Accent6 3 2 2 3 2 5 2" xfId="35008"/>
    <cellStyle name="40% - Accent6 3 2 2 3 2 6" xfId="13907"/>
    <cellStyle name="40% - Accent6 3 2 2 3 2 6 2" xfId="36766"/>
    <cellStyle name="40% - Accent6 3 2 2 3 2 7" xfId="24463"/>
    <cellStyle name="40% - Accent6 3 2 2 3 3" xfId="2483"/>
    <cellStyle name="40% - Accent6 3 2 2 3 3 2" xfId="5998"/>
    <cellStyle name="40% - Accent6 3 2 2 3 3 2 2" xfId="18302"/>
    <cellStyle name="40% - Accent6 3 2 2 3 3 2 2 2" xfId="41161"/>
    <cellStyle name="40% - Accent6 3 2 2 3 3 2 3" xfId="28859"/>
    <cellStyle name="40% - Accent6 3 2 2 3 3 3" xfId="9513"/>
    <cellStyle name="40% - Accent6 3 2 2 3 3 3 2" xfId="21817"/>
    <cellStyle name="40% - Accent6 3 2 2 3 3 3 2 2" xfId="44676"/>
    <cellStyle name="40% - Accent6 3 2 2 3 3 3 3" xfId="32374"/>
    <cellStyle name="40% - Accent6 3 2 2 3 3 4" xfId="14787"/>
    <cellStyle name="40% - Accent6 3 2 2 3 3 4 2" xfId="37646"/>
    <cellStyle name="40% - Accent6 3 2 2 3 3 5" xfId="25344"/>
    <cellStyle name="40% - Accent6 3 2 2 3 4" xfId="4240"/>
    <cellStyle name="40% - Accent6 3 2 2 3 4 2" xfId="16544"/>
    <cellStyle name="40% - Accent6 3 2 2 3 4 2 2" xfId="39403"/>
    <cellStyle name="40% - Accent6 3 2 2 3 4 3" xfId="27101"/>
    <cellStyle name="40% - Accent6 3 2 2 3 5" xfId="7755"/>
    <cellStyle name="40% - Accent6 3 2 2 3 5 2" xfId="20059"/>
    <cellStyle name="40% - Accent6 3 2 2 3 5 2 2" xfId="42918"/>
    <cellStyle name="40% - Accent6 3 2 2 3 5 3" xfId="30616"/>
    <cellStyle name="40% - Accent6 3 2 2 3 6" xfId="11270"/>
    <cellStyle name="40% - Accent6 3 2 2 3 6 2" xfId="34130"/>
    <cellStyle name="40% - Accent6 3 2 2 3 7" xfId="13029"/>
    <cellStyle name="40% - Accent6 3 2 2 3 7 2" xfId="35888"/>
    <cellStyle name="40% - Accent6 3 2 2 3 8" xfId="23585"/>
    <cellStyle name="40% - Accent6 3 2 2 4" xfId="1161"/>
    <cellStyle name="40% - Accent6 3 2 2 4 2" xfId="2922"/>
    <cellStyle name="40% - Accent6 3 2 2 4 2 2" xfId="6437"/>
    <cellStyle name="40% - Accent6 3 2 2 4 2 2 2" xfId="18741"/>
    <cellStyle name="40% - Accent6 3 2 2 4 2 2 2 2" xfId="41600"/>
    <cellStyle name="40% - Accent6 3 2 2 4 2 2 3" xfId="29298"/>
    <cellStyle name="40% - Accent6 3 2 2 4 2 3" xfId="9952"/>
    <cellStyle name="40% - Accent6 3 2 2 4 2 3 2" xfId="22256"/>
    <cellStyle name="40% - Accent6 3 2 2 4 2 3 2 2" xfId="45115"/>
    <cellStyle name="40% - Accent6 3 2 2 4 2 3 3" xfId="32813"/>
    <cellStyle name="40% - Accent6 3 2 2 4 2 4" xfId="15226"/>
    <cellStyle name="40% - Accent6 3 2 2 4 2 4 2" xfId="38085"/>
    <cellStyle name="40% - Accent6 3 2 2 4 2 5" xfId="25783"/>
    <cellStyle name="40% - Accent6 3 2 2 4 3" xfId="4679"/>
    <cellStyle name="40% - Accent6 3 2 2 4 3 2" xfId="16983"/>
    <cellStyle name="40% - Accent6 3 2 2 4 3 2 2" xfId="39842"/>
    <cellStyle name="40% - Accent6 3 2 2 4 3 3" xfId="27540"/>
    <cellStyle name="40% - Accent6 3 2 2 4 4" xfId="8194"/>
    <cellStyle name="40% - Accent6 3 2 2 4 4 2" xfId="20498"/>
    <cellStyle name="40% - Accent6 3 2 2 4 4 2 2" xfId="43357"/>
    <cellStyle name="40% - Accent6 3 2 2 4 4 3" xfId="31055"/>
    <cellStyle name="40% - Accent6 3 2 2 4 5" xfId="11709"/>
    <cellStyle name="40% - Accent6 3 2 2 4 5 2" xfId="34569"/>
    <cellStyle name="40% - Accent6 3 2 2 4 6" xfId="13468"/>
    <cellStyle name="40% - Accent6 3 2 2 4 6 2" xfId="36327"/>
    <cellStyle name="40% - Accent6 3 2 2 4 7" xfId="24024"/>
    <cellStyle name="40% - Accent6 3 2 2 5" xfId="2044"/>
    <cellStyle name="40% - Accent6 3 2 2 5 2" xfId="5559"/>
    <cellStyle name="40% - Accent6 3 2 2 5 2 2" xfId="17863"/>
    <cellStyle name="40% - Accent6 3 2 2 5 2 2 2" xfId="40722"/>
    <cellStyle name="40% - Accent6 3 2 2 5 2 3" xfId="28420"/>
    <cellStyle name="40% - Accent6 3 2 2 5 3" xfId="9074"/>
    <cellStyle name="40% - Accent6 3 2 2 5 3 2" xfId="21378"/>
    <cellStyle name="40% - Accent6 3 2 2 5 3 2 2" xfId="44237"/>
    <cellStyle name="40% - Accent6 3 2 2 5 3 3" xfId="31935"/>
    <cellStyle name="40% - Accent6 3 2 2 5 4" xfId="14348"/>
    <cellStyle name="40% - Accent6 3 2 2 5 4 2" xfId="37207"/>
    <cellStyle name="40% - Accent6 3 2 2 5 5" xfId="24905"/>
    <cellStyle name="40% - Accent6 3 2 2 6" xfId="3801"/>
    <cellStyle name="40% - Accent6 3 2 2 6 2" xfId="16105"/>
    <cellStyle name="40% - Accent6 3 2 2 6 2 2" xfId="38964"/>
    <cellStyle name="40% - Accent6 3 2 2 6 3" xfId="26662"/>
    <cellStyle name="40% - Accent6 3 2 2 7" xfId="7316"/>
    <cellStyle name="40% - Accent6 3 2 2 7 2" xfId="19620"/>
    <cellStyle name="40% - Accent6 3 2 2 7 2 2" xfId="42479"/>
    <cellStyle name="40% - Accent6 3 2 2 7 3" xfId="30177"/>
    <cellStyle name="40% - Accent6 3 2 2 8" xfId="10831"/>
    <cellStyle name="40% - Accent6 3 2 2 8 2" xfId="33691"/>
    <cellStyle name="40% - Accent6 3 2 2 9" xfId="12590"/>
    <cellStyle name="40% - Accent6 3 2 2 9 2" xfId="35449"/>
    <cellStyle name="40% - Accent6 3 2 3" xfId="386"/>
    <cellStyle name="40% - Accent6 3 2 3 2" xfId="827"/>
    <cellStyle name="40% - Accent6 3 2 3 2 2" xfId="1706"/>
    <cellStyle name="40% - Accent6 3 2 3 2 2 2" xfId="3467"/>
    <cellStyle name="40% - Accent6 3 2 3 2 2 2 2" xfId="6982"/>
    <cellStyle name="40% - Accent6 3 2 3 2 2 2 2 2" xfId="19286"/>
    <cellStyle name="40% - Accent6 3 2 3 2 2 2 2 2 2" xfId="42145"/>
    <cellStyle name="40% - Accent6 3 2 3 2 2 2 2 3" xfId="29843"/>
    <cellStyle name="40% - Accent6 3 2 3 2 2 2 3" xfId="10497"/>
    <cellStyle name="40% - Accent6 3 2 3 2 2 2 3 2" xfId="22801"/>
    <cellStyle name="40% - Accent6 3 2 3 2 2 2 3 2 2" xfId="45660"/>
    <cellStyle name="40% - Accent6 3 2 3 2 2 2 3 3" xfId="33358"/>
    <cellStyle name="40% - Accent6 3 2 3 2 2 2 4" xfId="15771"/>
    <cellStyle name="40% - Accent6 3 2 3 2 2 2 4 2" xfId="38630"/>
    <cellStyle name="40% - Accent6 3 2 3 2 2 2 5" xfId="26328"/>
    <cellStyle name="40% - Accent6 3 2 3 2 2 3" xfId="5224"/>
    <cellStyle name="40% - Accent6 3 2 3 2 2 3 2" xfId="17528"/>
    <cellStyle name="40% - Accent6 3 2 3 2 2 3 2 2" xfId="40387"/>
    <cellStyle name="40% - Accent6 3 2 3 2 2 3 3" xfId="28085"/>
    <cellStyle name="40% - Accent6 3 2 3 2 2 4" xfId="8739"/>
    <cellStyle name="40% - Accent6 3 2 3 2 2 4 2" xfId="21043"/>
    <cellStyle name="40% - Accent6 3 2 3 2 2 4 2 2" xfId="43902"/>
    <cellStyle name="40% - Accent6 3 2 3 2 2 4 3" xfId="31600"/>
    <cellStyle name="40% - Accent6 3 2 3 2 2 5" xfId="12254"/>
    <cellStyle name="40% - Accent6 3 2 3 2 2 5 2" xfId="35114"/>
    <cellStyle name="40% - Accent6 3 2 3 2 2 6" xfId="14013"/>
    <cellStyle name="40% - Accent6 3 2 3 2 2 6 2" xfId="36872"/>
    <cellStyle name="40% - Accent6 3 2 3 2 2 7" xfId="24569"/>
    <cellStyle name="40% - Accent6 3 2 3 2 3" xfId="2589"/>
    <cellStyle name="40% - Accent6 3 2 3 2 3 2" xfId="6104"/>
    <cellStyle name="40% - Accent6 3 2 3 2 3 2 2" xfId="18408"/>
    <cellStyle name="40% - Accent6 3 2 3 2 3 2 2 2" xfId="41267"/>
    <cellStyle name="40% - Accent6 3 2 3 2 3 2 3" xfId="28965"/>
    <cellStyle name="40% - Accent6 3 2 3 2 3 3" xfId="9619"/>
    <cellStyle name="40% - Accent6 3 2 3 2 3 3 2" xfId="21923"/>
    <cellStyle name="40% - Accent6 3 2 3 2 3 3 2 2" xfId="44782"/>
    <cellStyle name="40% - Accent6 3 2 3 2 3 3 3" xfId="32480"/>
    <cellStyle name="40% - Accent6 3 2 3 2 3 4" xfId="14893"/>
    <cellStyle name="40% - Accent6 3 2 3 2 3 4 2" xfId="37752"/>
    <cellStyle name="40% - Accent6 3 2 3 2 3 5" xfId="25450"/>
    <cellStyle name="40% - Accent6 3 2 3 2 4" xfId="4346"/>
    <cellStyle name="40% - Accent6 3 2 3 2 4 2" xfId="16650"/>
    <cellStyle name="40% - Accent6 3 2 3 2 4 2 2" xfId="39509"/>
    <cellStyle name="40% - Accent6 3 2 3 2 4 3" xfId="27207"/>
    <cellStyle name="40% - Accent6 3 2 3 2 5" xfId="7861"/>
    <cellStyle name="40% - Accent6 3 2 3 2 5 2" xfId="20165"/>
    <cellStyle name="40% - Accent6 3 2 3 2 5 2 2" xfId="43024"/>
    <cellStyle name="40% - Accent6 3 2 3 2 5 3" xfId="30722"/>
    <cellStyle name="40% - Accent6 3 2 3 2 6" xfId="11376"/>
    <cellStyle name="40% - Accent6 3 2 3 2 6 2" xfId="34236"/>
    <cellStyle name="40% - Accent6 3 2 3 2 7" xfId="13135"/>
    <cellStyle name="40% - Accent6 3 2 3 2 7 2" xfId="35994"/>
    <cellStyle name="40% - Accent6 3 2 3 2 8" xfId="23691"/>
    <cellStyle name="40% - Accent6 3 2 3 3" xfId="1267"/>
    <cellStyle name="40% - Accent6 3 2 3 3 2" xfId="3028"/>
    <cellStyle name="40% - Accent6 3 2 3 3 2 2" xfId="6543"/>
    <cellStyle name="40% - Accent6 3 2 3 3 2 2 2" xfId="18847"/>
    <cellStyle name="40% - Accent6 3 2 3 3 2 2 2 2" xfId="41706"/>
    <cellStyle name="40% - Accent6 3 2 3 3 2 2 3" xfId="29404"/>
    <cellStyle name="40% - Accent6 3 2 3 3 2 3" xfId="10058"/>
    <cellStyle name="40% - Accent6 3 2 3 3 2 3 2" xfId="22362"/>
    <cellStyle name="40% - Accent6 3 2 3 3 2 3 2 2" xfId="45221"/>
    <cellStyle name="40% - Accent6 3 2 3 3 2 3 3" xfId="32919"/>
    <cellStyle name="40% - Accent6 3 2 3 3 2 4" xfId="15332"/>
    <cellStyle name="40% - Accent6 3 2 3 3 2 4 2" xfId="38191"/>
    <cellStyle name="40% - Accent6 3 2 3 3 2 5" xfId="25889"/>
    <cellStyle name="40% - Accent6 3 2 3 3 3" xfId="4785"/>
    <cellStyle name="40% - Accent6 3 2 3 3 3 2" xfId="17089"/>
    <cellStyle name="40% - Accent6 3 2 3 3 3 2 2" xfId="39948"/>
    <cellStyle name="40% - Accent6 3 2 3 3 3 3" xfId="27646"/>
    <cellStyle name="40% - Accent6 3 2 3 3 4" xfId="8300"/>
    <cellStyle name="40% - Accent6 3 2 3 3 4 2" xfId="20604"/>
    <cellStyle name="40% - Accent6 3 2 3 3 4 2 2" xfId="43463"/>
    <cellStyle name="40% - Accent6 3 2 3 3 4 3" xfId="31161"/>
    <cellStyle name="40% - Accent6 3 2 3 3 5" xfId="11815"/>
    <cellStyle name="40% - Accent6 3 2 3 3 5 2" xfId="34675"/>
    <cellStyle name="40% - Accent6 3 2 3 3 6" xfId="13574"/>
    <cellStyle name="40% - Accent6 3 2 3 3 6 2" xfId="36433"/>
    <cellStyle name="40% - Accent6 3 2 3 3 7" xfId="24130"/>
    <cellStyle name="40% - Accent6 3 2 3 4" xfId="2150"/>
    <cellStyle name="40% - Accent6 3 2 3 4 2" xfId="5665"/>
    <cellStyle name="40% - Accent6 3 2 3 4 2 2" xfId="17969"/>
    <cellStyle name="40% - Accent6 3 2 3 4 2 2 2" xfId="40828"/>
    <cellStyle name="40% - Accent6 3 2 3 4 2 3" xfId="28526"/>
    <cellStyle name="40% - Accent6 3 2 3 4 3" xfId="9180"/>
    <cellStyle name="40% - Accent6 3 2 3 4 3 2" xfId="21484"/>
    <cellStyle name="40% - Accent6 3 2 3 4 3 2 2" xfId="44343"/>
    <cellStyle name="40% - Accent6 3 2 3 4 3 3" xfId="32041"/>
    <cellStyle name="40% - Accent6 3 2 3 4 4" xfId="14454"/>
    <cellStyle name="40% - Accent6 3 2 3 4 4 2" xfId="37313"/>
    <cellStyle name="40% - Accent6 3 2 3 4 5" xfId="25011"/>
    <cellStyle name="40% - Accent6 3 2 3 5" xfId="3907"/>
    <cellStyle name="40% - Accent6 3 2 3 5 2" xfId="16211"/>
    <cellStyle name="40% - Accent6 3 2 3 5 2 2" xfId="39070"/>
    <cellStyle name="40% - Accent6 3 2 3 5 3" xfId="26768"/>
    <cellStyle name="40% - Accent6 3 2 3 6" xfId="7422"/>
    <cellStyle name="40% - Accent6 3 2 3 6 2" xfId="19726"/>
    <cellStyle name="40% - Accent6 3 2 3 6 2 2" xfId="42585"/>
    <cellStyle name="40% - Accent6 3 2 3 6 3" xfId="30283"/>
    <cellStyle name="40% - Accent6 3 2 3 7" xfId="10937"/>
    <cellStyle name="40% - Accent6 3 2 3 7 2" xfId="33797"/>
    <cellStyle name="40% - Accent6 3 2 3 8" xfId="12696"/>
    <cellStyle name="40% - Accent6 3 2 3 8 2" xfId="35555"/>
    <cellStyle name="40% - Accent6 3 2 3 9" xfId="23251"/>
    <cellStyle name="40% - Accent6 3 2 4" xfId="615"/>
    <cellStyle name="40% - Accent6 3 2 4 2" xfId="1494"/>
    <cellStyle name="40% - Accent6 3 2 4 2 2" xfId="3255"/>
    <cellStyle name="40% - Accent6 3 2 4 2 2 2" xfId="6770"/>
    <cellStyle name="40% - Accent6 3 2 4 2 2 2 2" xfId="19074"/>
    <cellStyle name="40% - Accent6 3 2 4 2 2 2 2 2" xfId="41933"/>
    <cellStyle name="40% - Accent6 3 2 4 2 2 2 3" xfId="29631"/>
    <cellStyle name="40% - Accent6 3 2 4 2 2 3" xfId="10285"/>
    <cellStyle name="40% - Accent6 3 2 4 2 2 3 2" xfId="22589"/>
    <cellStyle name="40% - Accent6 3 2 4 2 2 3 2 2" xfId="45448"/>
    <cellStyle name="40% - Accent6 3 2 4 2 2 3 3" xfId="33146"/>
    <cellStyle name="40% - Accent6 3 2 4 2 2 4" xfId="15559"/>
    <cellStyle name="40% - Accent6 3 2 4 2 2 4 2" xfId="38418"/>
    <cellStyle name="40% - Accent6 3 2 4 2 2 5" xfId="26116"/>
    <cellStyle name="40% - Accent6 3 2 4 2 3" xfId="5012"/>
    <cellStyle name="40% - Accent6 3 2 4 2 3 2" xfId="17316"/>
    <cellStyle name="40% - Accent6 3 2 4 2 3 2 2" xfId="40175"/>
    <cellStyle name="40% - Accent6 3 2 4 2 3 3" xfId="27873"/>
    <cellStyle name="40% - Accent6 3 2 4 2 4" xfId="8527"/>
    <cellStyle name="40% - Accent6 3 2 4 2 4 2" xfId="20831"/>
    <cellStyle name="40% - Accent6 3 2 4 2 4 2 2" xfId="43690"/>
    <cellStyle name="40% - Accent6 3 2 4 2 4 3" xfId="31388"/>
    <cellStyle name="40% - Accent6 3 2 4 2 5" xfId="12042"/>
    <cellStyle name="40% - Accent6 3 2 4 2 5 2" xfId="34902"/>
    <cellStyle name="40% - Accent6 3 2 4 2 6" xfId="13801"/>
    <cellStyle name="40% - Accent6 3 2 4 2 6 2" xfId="36660"/>
    <cellStyle name="40% - Accent6 3 2 4 2 7" xfId="24357"/>
    <cellStyle name="40% - Accent6 3 2 4 3" xfId="2377"/>
    <cellStyle name="40% - Accent6 3 2 4 3 2" xfId="5892"/>
    <cellStyle name="40% - Accent6 3 2 4 3 2 2" xfId="18196"/>
    <cellStyle name="40% - Accent6 3 2 4 3 2 2 2" xfId="41055"/>
    <cellStyle name="40% - Accent6 3 2 4 3 2 3" xfId="28753"/>
    <cellStyle name="40% - Accent6 3 2 4 3 3" xfId="9407"/>
    <cellStyle name="40% - Accent6 3 2 4 3 3 2" xfId="21711"/>
    <cellStyle name="40% - Accent6 3 2 4 3 3 2 2" xfId="44570"/>
    <cellStyle name="40% - Accent6 3 2 4 3 3 3" xfId="32268"/>
    <cellStyle name="40% - Accent6 3 2 4 3 4" xfId="14681"/>
    <cellStyle name="40% - Accent6 3 2 4 3 4 2" xfId="37540"/>
    <cellStyle name="40% - Accent6 3 2 4 3 5" xfId="25238"/>
    <cellStyle name="40% - Accent6 3 2 4 4" xfId="4134"/>
    <cellStyle name="40% - Accent6 3 2 4 4 2" xfId="16438"/>
    <cellStyle name="40% - Accent6 3 2 4 4 2 2" xfId="39297"/>
    <cellStyle name="40% - Accent6 3 2 4 4 3" xfId="26995"/>
    <cellStyle name="40% - Accent6 3 2 4 5" xfId="7649"/>
    <cellStyle name="40% - Accent6 3 2 4 5 2" xfId="19953"/>
    <cellStyle name="40% - Accent6 3 2 4 5 2 2" xfId="42812"/>
    <cellStyle name="40% - Accent6 3 2 4 5 3" xfId="30510"/>
    <cellStyle name="40% - Accent6 3 2 4 6" xfId="11164"/>
    <cellStyle name="40% - Accent6 3 2 4 6 2" xfId="34024"/>
    <cellStyle name="40% - Accent6 3 2 4 7" xfId="12923"/>
    <cellStyle name="40% - Accent6 3 2 4 7 2" xfId="35782"/>
    <cellStyle name="40% - Accent6 3 2 4 8" xfId="23479"/>
    <cellStyle name="40% - Accent6 3 2 5" xfId="1055"/>
    <cellStyle name="40% - Accent6 3 2 5 2" xfId="2816"/>
    <cellStyle name="40% - Accent6 3 2 5 2 2" xfId="6331"/>
    <cellStyle name="40% - Accent6 3 2 5 2 2 2" xfId="18635"/>
    <cellStyle name="40% - Accent6 3 2 5 2 2 2 2" xfId="41494"/>
    <cellStyle name="40% - Accent6 3 2 5 2 2 3" xfId="29192"/>
    <cellStyle name="40% - Accent6 3 2 5 2 3" xfId="9846"/>
    <cellStyle name="40% - Accent6 3 2 5 2 3 2" xfId="22150"/>
    <cellStyle name="40% - Accent6 3 2 5 2 3 2 2" xfId="45009"/>
    <cellStyle name="40% - Accent6 3 2 5 2 3 3" xfId="32707"/>
    <cellStyle name="40% - Accent6 3 2 5 2 4" xfId="15120"/>
    <cellStyle name="40% - Accent6 3 2 5 2 4 2" xfId="37979"/>
    <cellStyle name="40% - Accent6 3 2 5 2 5" xfId="25677"/>
    <cellStyle name="40% - Accent6 3 2 5 3" xfId="4573"/>
    <cellStyle name="40% - Accent6 3 2 5 3 2" xfId="16877"/>
    <cellStyle name="40% - Accent6 3 2 5 3 2 2" xfId="39736"/>
    <cellStyle name="40% - Accent6 3 2 5 3 3" xfId="27434"/>
    <cellStyle name="40% - Accent6 3 2 5 4" xfId="8088"/>
    <cellStyle name="40% - Accent6 3 2 5 4 2" xfId="20392"/>
    <cellStyle name="40% - Accent6 3 2 5 4 2 2" xfId="43251"/>
    <cellStyle name="40% - Accent6 3 2 5 4 3" xfId="30949"/>
    <cellStyle name="40% - Accent6 3 2 5 5" xfId="11603"/>
    <cellStyle name="40% - Accent6 3 2 5 5 2" xfId="34463"/>
    <cellStyle name="40% - Accent6 3 2 5 6" xfId="13362"/>
    <cellStyle name="40% - Accent6 3 2 5 6 2" xfId="36221"/>
    <cellStyle name="40% - Accent6 3 2 5 7" xfId="23918"/>
    <cellStyle name="40% - Accent6 3 2 6" xfId="1938"/>
    <cellStyle name="40% - Accent6 3 2 6 2" xfId="5453"/>
    <cellStyle name="40% - Accent6 3 2 6 2 2" xfId="17757"/>
    <cellStyle name="40% - Accent6 3 2 6 2 2 2" xfId="40616"/>
    <cellStyle name="40% - Accent6 3 2 6 2 3" xfId="28314"/>
    <cellStyle name="40% - Accent6 3 2 6 3" xfId="8968"/>
    <cellStyle name="40% - Accent6 3 2 6 3 2" xfId="21272"/>
    <cellStyle name="40% - Accent6 3 2 6 3 2 2" xfId="44131"/>
    <cellStyle name="40% - Accent6 3 2 6 3 3" xfId="31829"/>
    <cellStyle name="40% - Accent6 3 2 6 4" xfId="14242"/>
    <cellStyle name="40% - Accent6 3 2 6 4 2" xfId="37101"/>
    <cellStyle name="40% - Accent6 3 2 6 5" xfId="24799"/>
    <cellStyle name="40% - Accent6 3 2 7" xfId="3695"/>
    <cellStyle name="40% - Accent6 3 2 7 2" xfId="15999"/>
    <cellStyle name="40% - Accent6 3 2 7 2 2" xfId="38858"/>
    <cellStyle name="40% - Accent6 3 2 7 3" xfId="26556"/>
    <cellStyle name="40% - Accent6 3 2 8" xfId="7210"/>
    <cellStyle name="40% - Accent6 3 2 8 2" xfId="19514"/>
    <cellStyle name="40% - Accent6 3 2 8 2 2" xfId="42373"/>
    <cellStyle name="40% - Accent6 3 2 8 3" xfId="30071"/>
    <cellStyle name="40% - Accent6 3 2 9" xfId="10725"/>
    <cellStyle name="40% - Accent6 3 2 9 2" xfId="33585"/>
    <cellStyle name="40% - Accent6 3 3" xfId="226"/>
    <cellStyle name="40% - Accent6 3 3 10" xfId="23091"/>
    <cellStyle name="40% - Accent6 3 3 2" xfId="438"/>
    <cellStyle name="40% - Accent6 3 3 2 2" xfId="879"/>
    <cellStyle name="40% - Accent6 3 3 2 2 2" xfId="1758"/>
    <cellStyle name="40% - Accent6 3 3 2 2 2 2" xfId="3519"/>
    <cellStyle name="40% - Accent6 3 3 2 2 2 2 2" xfId="7034"/>
    <cellStyle name="40% - Accent6 3 3 2 2 2 2 2 2" xfId="19338"/>
    <cellStyle name="40% - Accent6 3 3 2 2 2 2 2 2 2" xfId="42197"/>
    <cellStyle name="40% - Accent6 3 3 2 2 2 2 2 3" xfId="29895"/>
    <cellStyle name="40% - Accent6 3 3 2 2 2 2 3" xfId="10549"/>
    <cellStyle name="40% - Accent6 3 3 2 2 2 2 3 2" xfId="22853"/>
    <cellStyle name="40% - Accent6 3 3 2 2 2 2 3 2 2" xfId="45712"/>
    <cellStyle name="40% - Accent6 3 3 2 2 2 2 3 3" xfId="33410"/>
    <cellStyle name="40% - Accent6 3 3 2 2 2 2 4" xfId="15823"/>
    <cellStyle name="40% - Accent6 3 3 2 2 2 2 4 2" xfId="38682"/>
    <cellStyle name="40% - Accent6 3 3 2 2 2 2 5" xfId="26380"/>
    <cellStyle name="40% - Accent6 3 3 2 2 2 3" xfId="5276"/>
    <cellStyle name="40% - Accent6 3 3 2 2 2 3 2" xfId="17580"/>
    <cellStyle name="40% - Accent6 3 3 2 2 2 3 2 2" xfId="40439"/>
    <cellStyle name="40% - Accent6 3 3 2 2 2 3 3" xfId="28137"/>
    <cellStyle name="40% - Accent6 3 3 2 2 2 4" xfId="8791"/>
    <cellStyle name="40% - Accent6 3 3 2 2 2 4 2" xfId="21095"/>
    <cellStyle name="40% - Accent6 3 3 2 2 2 4 2 2" xfId="43954"/>
    <cellStyle name="40% - Accent6 3 3 2 2 2 4 3" xfId="31652"/>
    <cellStyle name="40% - Accent6 3 3 2 2 2 5" xfId="12306"/>
    <cellStyle name="40% - Accent6 3 3 2 2 2 5 2" xfId="35166"/>
    <cellStyle name="40% - Accent6 3 3 2 2 2 6" xfId="14065"/>
    <cellStyle name="40% - Accent6 3 3 2 2 2 6 2" xfId="36924"/>
    <cellStyle name="40% - Accent6 3 3 2 2 2 7" xfId="24621"/>
    <cellStyle name="40% - Accent6 3 3 2 2 3" xfId="2641"/>
    <cellStyle name="40% - Accent6 3 3 2 2 3 2" xfId="6156"/>
    <cellStyle name="40% - Accent6 3 3 2 2 3 2 2" xfId="18460"/>
    <cellStyle name="40% - Accent6 3 3 2 2 3 2 2 2" xfId="41319"/>
    <cellStyle name="40% - Accent6 3 3 2 2 3 2 3" xfId="29017"/>
    <cellStyle name="40% - Accent6 3 3 2 2 3 3" xfId="9671"/>
    <cellStyle name="40% - Accent6 3 3 2 2 3 3 2" xfId="21975"/>
    <cellStyle name="40% - Accent6 3 3 2 2 3 3 2 2" xfId="44834"/>
    <cellStyle name="40% - Accent6 3 3 2 2 3 3 3" xfId="32532"/>
    <cellStyle name="40% - Accent6 3 3 2 2 3 4" xfId="14945"/>
    <cellStyle name="40% - Accent6 3 3 2 2 3 4 2" xfId="37804"/>
    <cellStyle name="40% - Accent6 3 3 2 2 3 5" xfId="25502"/>
    <cellStyle name="40% - Accent6 3 3 2 2 4" xfId="4398"/>
    <cellStyle name="40% - Accent6 3 3 2 2 4 2" xfId="16702"/>
    <cellStyle name="40% - Accent6 3 3 2 2 4 2 2" xfId="39561"/>
    <cellStyle name="40% - Accent6 3 3 2 2 4 3" xfId="27259"/>
    <cellStyle name="40% - Accent6 3 3 2 2 5" xfId="7913"/>
    <cellStyle name="40% - Accent6 3 3 2 2 5 2" xfId="20217"/>
    <cellStyle name="40% - Accent6 3 3 2 2 5 2 2" xfId="43076"/>
    <cellStyle name="40% - Accent6 3 3 2 2 5 3" xfId="30774"/>
    <cellStyle name="40% - Accent6 3 3 2 2 6" xfId="11428"/>
    <cellStyle name="40% - Accent6 3 3 2 2 6 2" xfId="34288"/>
    <cellStyle name="40% - Accent6 3 3 2 2 7" xfId="13187"/>
    <cellStyle name="40% - Accent6 3 3 2 2 7 2" xfId="36046"/>
    <cellStyle name="40% - Accent6 3 3 2 2 8" xfId="23743"/>
    <cellStyle name="40% - Accent6 3 3 2 3" xfId="1319"/>
    <cellStyle name="40% - Accent6 3 3 2 3 2" xfId="3080"/>
    <cellStyle name="40% - Accent6 3 3 2 3 2 2" xfId="6595"/>
    <cellStyle name="40% - Accent6 3 3 2 3 2 2 2" xfId="18899"/>
    <cellStyle name="40% - Accent6 3 3 2 3 2 2 2 2" xfId="41758"/>
    <cellStyle name="40% - Accent6 3 3 2 3 2 2 3" xfId="29456"/>
    <cellStyle name="40% - Accent6 3 3 2 3 2 3" xfId="10110"/>
    <cellStyle name="40% - Accent6 3 3 2 3 2 3 2" xfId="22414"/>
    <cellStyle name="40% - Accent6 3 3 2 3 2 3 2 2" xfId="45273"/>
    <cellStyle name="40% - Accent6 3 3 2 3 2 3 3" xfId="32971"/>
    <cellStyle name="40% - Accent6 3 3 2 3 2 4" xfId="15384"/>
    <cellStyle name="40% - Accent6 3 3 2 3 2 4 2" xfId="38243"/>
    <cellStyle name="40% - Accent6 3 3 2 3 2 5" xfId="25941"/>
    <cellStyle name="40% - Accent6 3 3 2 3 3" xfId="4837"/>
    <cellStyle name="40% - Accent6 3 3 2 3 3 2" xfId="17141"/>
    <cellStyle name="40% - Accent6 3 3 2 3 3 2 2" xfId="40000"/>
    <cellStyle name="40% - Accent6 3 3 2 3 3 3" xfId="27698"/>
    <cellStyle name="40% - Accent6 3 3 2 3 4" xfId="8352"/>
    <cellStyle name="40% - Accent6 3 3 2 3 4 2" xfId="20656"/>
    <cellStyle name="40% - Accent6 3 3 2 3 4 2 2" xfId="43515"/>
    <cellStyle name="40% - Accent6 3 3 2 3 4 3" xfId="31213"/>
    <cellStyle name="40% - Accent6 3 3 2 3 5" xfId="11867"/>
    <cellStyle name="40% - Accent6 3 3 2 3 5 2" xfId="34727"/>
    <cellStyle name="40% - Accent6 3 3 2 3 6" xfId="13626"/>
    <cellStyle name="40% - Accent6 3 3 2 3 6 2" xfId="36485"/>
    <cellStyle name="40% - Accent6 3 3 2 3 7" xfId="24182"/>
    <cellStyle name="40% - Accent6 3 3 2 4" xfId="2202"/>
    <cellStyle name="40% - Accent6 3 3 2 4 2" xfId="5717"/>
    <cellStyle name="40% - Accent6 3 3 2 4 2 2" xfId="18021"/>
    <cellStyle name="40% - Accent6 3 3 2 4 2 2 2" xfId="40880"/>
    <cellStyle name="40% - Accent6 3 3 2 4 2 3" xfId="28578"/>
    <cellStyle name="40% - Accent6 3 3 2 4 3" xfId="9232"/>
    <cellStyle name="40% - Accent6 3 3 2 4 3 2" xfId="21536"/>
    <cellStyle name="40% - Accent6 3 3 2 4 3 2 2" xfId="44395"/>
    <cellStyle name="40% - Accent6 3 3 2 4 3 3" xfId="32093"/>
    <cellStyle name="40% - Accent6 3 3 2 4 4" xfId="14506"/>
    <cellStyle name="40% - Accent6 3 3 2 4 4 2" xfId="37365"/>
    <cellStyle name="40% - Accent6 3 3 2 4 5" xfId="25063"/>
    <cellStyle name="40% - Accent6 3 3 2 5" xfId="3959"/>
    <cellStyle name="40% - Accent6 3 3 2 5 2" xfId="16263"/>
    <cellStyle name="40% - Accent6 3 3 2 5 2 2" xfId="39122"/>
    <cellStyle name="40% - Accent6 3 3 2 5 3" xfId="26820"/>
    <cellStyle name="40% - Accent6 3 3 2 6" xfId="7474"/>
    <cellStyle name="40% - Accent6 3 3 2 6 2" xfId="19778"/>
    <cellStyle name="40% - Accent6 3 3 2 6 2 2" xfId="42637"/>
    <cellStyle name="40% - Accent6 3 3 2 6 3" xfId="30335"/>
    <cellStyle name="40% - Accent6 3 3 2 7" xfId="10989"/>
    <cellStyle name="40% - Accent6 3 3 2 7 2" xfId="33849"/>
    <cellStyle name="40% - Accent6 3 3 2 8" xfId="12748"/>
    <cellStyle name="40% - Accent6 3 3 2 8 2" xfId="35607"/>
    <cellStyle name="40% - Accent6 3 3 2 9" xfId="23303"/>
    <cellStyle name="40% - Accent6 3 3 3" xfId="667"/>
    <cellStyle name="40% - Accent6 3 3 3 2" xfId="1546"/>
    <cellStyle name="40% - Accent6 3 3 3 2 2" xfId="3307"/>
    <cellStyle name="40% - Accent6 3 3 3 2 2 2" xfId="6822"/>
    <cellStyle name="40% - Accent6 3 3 3 2 2 2 2" xfId="19126"/>
    <cellStyle name="40% - Accent6 3 3 3 2 2 2 2 2" xfId="41985"/>
    <cellStyle name="40% - Accent6 3 3 3 2 2 2 3" xfId="29683"/>
    <cellStyle name="40% - Accent6 3 3 3 2 2 3" xfId="10337"/>
    <cellStyle name="40% - Accent6 3 3 3 2 2 3 2" xfId="22641"/>
    <cellStyle name="40% - Accent6 3 3 3 2 2 3 2 2" xfId="45500"/>
    <cellStyle name="40% - Accent6 3 3 3 2 2 3 3" xfId="33198"/>
    <cellStyle name="40% - Accent6 3 3 3 2 2 4" xfId="15611"/>
    <cellStyle name="40% - Accent6 3 3 3 2 2 4 2" xfId="38470"/>
    <cellStyle name="40% - Accent6 3 3 3 2 2 5" xfId="26168"/>
    <cellStyle name="40% - Accent6 3 3 3 2 3" xfId="5064"/>
    <cellStyle name="40% - Accent6 3 3 3 2 3 2" xfId="17368"/>
    <cellStyle name="40% - Accent6 3 3 3 2 3 2 2" xfId="40227"/>
    <cellStyle name="40% - Accent6 3 3 3 2 3 3" xfId="27925"/>
    <cellStyle name="40% - Accent6 3 3 3 2 4" xfId="8579"/>
    <cellStyle name="40% - Accent6 3 3 3 2 4 2" xfId="20883"/>
    <cellStyle name="40% - Accent6 3 3 3 2 4 2 2" xfId="43742"/>
    <cellStyle name="40% - Accent6 3 3 3 2 4 3" xfId="31440"/>
    <cellStyle name="40% - Accent6 3 3 3 2 5" xfId="12094"/>
    <cellStyle name="40% - Accent6 3 3 3 2 5 2" xfId="34954"/>
    <cellStyle name="40% - Accent6 3 3 3 2 6" xfId="13853"/>
    <cellStyle name="40% - Accent6 3 3 3 2 6 2" xfId="36712"/>
    <cellStyle name="40% - Accent6 3 3 3 2 7" xfId="24409"/>
    <cellStyle name="40% - Accent6 3 3 3 3" xfId="2429"/>
    <cellStyle name="40% - Accent6 3 3 3 3 2" xfId="5944"/>
    <cellStyle name="40% - Accent6 3 3 3 3 2 2" xfId="18248"/>
    <cellStyle name="40% - Accent6 3 3 3 3 2 2 2" xfId="41107"/>
    <cellStyle name="40% - Accent6 3 3 3 3 2 3" xfId="28805"/>
    <cellStyle name="40% - Accent6 3 3 3 3 3" xfId="9459"/>
    <cellStyle name="40% - Accent6 3 3 3 3 3 2" xfId="21763"/>
    <cellStyle name="40% - Accent6 3 3 3 3 3 2 2" xfId="44622"/>
    <cellStyle name="40% - Accent6 3 3 3 3 3 3" xfId="32320"/>
    <cellStyle name="40% - Accent6 3 3 3 3 4" xfId="14733"/>
    <cellStyle name="40% - Accent6 3 3 3 3 4 2" xfId="37592"/>
    <cellStyle name="40% - Accent6 3 3 3 3 5" xfId="25290"/>
    <cellStyle name="40% - Accent6 3 3 3 4" xfId="4186"/>
    <cellStyle name="40% - Accent6 3 3 3 4 2" xfId="16490"/>
    <cellStyle name="40% - Accent6 3 3 3 4 2 2" xfId="39349"/>
    <cellStyle name="40% - Accent6 3 3 3 4 3" xfId="27047"/>
    <cellStyle name="40% - Accent6 3 3 3 5" xfId="7701"/>
    <cellStyle name="40% - Accent6 3 3 3 5 2" xfId="20005"/>
    <cellStyle name="40% - Accent6 3 3 3 5 2 2" xfId="42864"/>
    <cellStyle name="40% - Accent6 3 3 3 5 3" xfId="30562"/>
    <cellStyle name="40% - Accent6 3 3 3 6" xfId="11216"/>
    <cellStyle name="40% - Accent6 3 3 3 6 2" xfId="34076"/>
    <cellStyle name="40% - Accent6 3 3 3 7" xfId="12975"/>
    <cellStyle name="40% - Accent6 3 3 3 7 2" xfId="35834"/>
    <cellStyle name="40% - Accent6 3 3 3 8" xfId="23531"/>
    <cellStyle name="40% - Accent6 3 3 4" xfId="1107"/>
    <cellStyle name="40% - Accent6 3 3 4 2" xfId="2868"/>
    <cellStyle name="40% - Accent6 3 3 4 2 2" xfId="6383"/>
    <cellStyle name="40% - Accent6 3 3 4 2 2 2" xfId="18687"/>
    <cellStyle name="40% - Accent6 3 3 4 2 2 2 2" xfId="41546"/>
    <cellStyle name="40% - Accent6 3 3 4 2 2 3" xfId="29244"/>
    <cellStyle name="40% - Accent6 3 3 4 2 3" xfId="9898"/>
    <cellStyle name="40% - Accent6 3 3 4 2 3 2" xfId="22202"/>
    <cellStyle name="40% - Accent6 3 3 4 2 3 2 2" xfId="45061"/>
    <cellStyle name="40% - Accent6 3 3 4 2 3 3" xfId="32759"/>
    <cellStyle name="40% - Accent6 3 3 4 2 4" xfId="15172"/>
    <cellStyle name="40% - Accent6 3 3 4 2 4 2" xfId="38031"/>
    <cellStyle name="40% - Accent6 3 3 4 2 5" xfId="25729"/>
    <cellStyle name="40% - Accent6 3 3 4 3" xfId="4625"/>
    <cellStyle name="40% - Accent6 3 3 4 3 2" xfId="16929"/>
    <cellStyle name="40% - Accent6 3 3 4 3 2 2" xfId="39788"/>
    <cellStyle name="40% - Accent6 3 3 4 3 3" xfId="27486"/>
    <cellStyle name="40% - Accent6 3 3 4 4" xfId="8140"/>
    <cellStyle name="40% - Accent6 3 3 4 4 2" xfId="20444"/>
    <cellStyle name="40% - Accent6 3 3 4 4 2 2" xfId="43303"/>
    <cellStyle name="40% - Accent6 3 3 4 4 3" xfId="31001"/>
    <cellStyle name="40% - Accent6 3 3 4 5" xfId="11655"/>
    <cellStyle name="40% - Accent6 3 3 4 5 2" xfId="34515"/>
    <cellStyle name="40% - Accent6 3 3 4 6" xfId="13414"/>
    <cellStyle name="40% - Accent6 3 3 4 6 2" xfId="36273"/>
    <cellStyle name="40% - Accent6 3 3 4 7" xfId="23970"/>
    <cellStyle name="40% - Accent6 3 3 5" xfId="1990"/>
    <cellStyle name="40% - Accent6 3 3 5 2" xfId="5505"/>
    <cellStyle name="40% - Accent6 3 3 5 2 2" xfId="17809"/>
    <cellStyle name="40% - Accent6 3 3 5 2 2 2" xfId="40668"/>
    <cellStyle name="40% - Accent6 3 3 5 2 3" xfId="28366"/>
    <cellStyle name="40% - Accent6 3 3 5 3" xfId="9020"/>
    <cellStyle name="40% - Accent6 3 3 5 3 2" xfId="21324"/>
    <cellStyle name="40% - Accent6 3 3 5 3 2 2" xfId="44183"/>
    <cellStyle name="40% - Accent6 3 3 5 3 3" xfId="31881"/>
    <cellStyle name="40% - Accent6 3 3 5 4" xfId="14294"/>
    <cellStyle name="40% - Accent6 3 3 5 4 2" xfId="37153"/>
    <cellStyle name="40% - Accent6 3 3 5 5" xfId="24851"/>
    <cellStyle name="40% - Accent6 3 3 6" xfId="3747"/>
    <cellStyle name="40% - Accent6 3 3 6 2" xfId="16051"/>
    <cellStyle name="40% - Accent6 3 3 6 2 2" xfId="38910"/>
    <cellStyle name="40% - Accent6 3 3 6 3" xfId="26608"/>
    <cellStyle name="40% - Accent6 3 3 7" xfId="7262"/>
    <cellStyle name="40% - Accent6 3 3 7 2" xfId="19566"/>
    <cellStyle name="40% - Accent6 3 3 7 2 2" xfId="42425"/>
    <cellStyle name="40% - Accent6 3 3 7 3" xfId="30123"/>
    <cellStyle name="40% - Accent6 3 3 8" xfId="10777"/>
    <cellStyle name="40% - Accent6 3 3 8 2" xfId="33637"/>
    <cellStyle name="40% - Accent6 3 3 9" xfId="12536"/>
    <cellStyle name="40% - Accent6 3 3 9 2" xfId="35395"/>
    <cellStyle name="40% - Accent6 3 4" xfId="332"/>
    <cellStyle name="40% - Accent6 3 4 2" xfId="773"/>
    <cellStyle name="40% - Accent6 3 4 2 2" xfId="1652"/>
    <cellStyle name="40% - Accent6 3 4 2 2 2" xfId="3413"/>
    <cellStyle name="40% - Accent6 3 4 2 2 2 2" xfId="6928"/>
    <cellStyle name="40% - Accent6 3 4 2 2 2 2 2" xfId="19232"/>
    <cellStyle name="40% - Accent6 3 4 2 2 2 2 2 2" xfId="42091"/>
    <cellStyle name="40% - Accent6 3 4 2 2 2 2 3" xfId="29789"/>
    <cellStyle name="40% - Accent6 3 4 2 2 2 3" xfId="10443"/>
    <cellStyle name="40% - Accent6 3 4 2 2 2 3 2" xfId="22747"/>
    <cellStyle name="40% - Accent6 3 4 2 2 2 3 2 2" xfId="45606"/>
    <cellStyle name="40% - Accent6 3 4 2 2 2 3 3" xfId="33304"/>
    <cellStyle name="40% - Accent6 3 4 2 2 2 4" xfId="15717"/>
    <cellStyle name="40% - Accent6 3 4 2 2 2 4 2" xfId="38576"/>
    <cellStyle name="40% - Accent6 3 4 2 2 2 5" xfId="26274"/>
    <cellStyle name="40% - Accent6 3 4 2 2 3" xfId="5170"/>
    <cellStyle name="40% - Accent6 3 4 2 2 3 2" xfId="17474"/>
    <cellStyle name="40% - Accent6 3 4 2 2 3 2 2" xfId="40333"/>
    <cellStyle name="40% - Accent6 3 4 2 2 3 3" xfId="28031"/>
    <cellStyle name="40% - Accent6 3 4 2 2 4" xfId="8685"/>
    <cellStyle name="40% - Accent6 3 4 2 2 4 2" xfId="20989"/>
    <cellStyle name="40% - Accent6 3 4 2 2 4 2 2" xfId="43848"/>
    <cellStyle name="40% - Accent6 3 4 2 2 4 3" xfId="31546"/>
    <cellStyle name="40% - Accent6 3 4 2 2 5" xfId="12200"/>
    <cellStyle name="40% - Accent6 3 4 2 2 5 2" xfId="35060"/>
    <cellStyle name="40% - Accent6 3 4 2 2 6" xfId="13959"/>
    <cellStyle name="40% - Accent6 3 4 2 2 6 2" xfId="36818"/>
    <cellStyle name="40% - Accent6 3 4 2 2 7" xfId="24515"/>
    <cellStyle name="40% - Accent6 3 4 2 3" xfId="2535"/>
    <cellStyle name="40% - Accent6 3 4 2 3 2" xfId="6050"/>
    <cellStyle name="40% - Accent6 3 4 2 3 2 2" xfId="18354"/>
    <cellStyle name="40% - Accent6 3 4 2 3 2 2 2" xfId="41213"/>
    <cellStyle name="40% - Accent6 3 4 2 3 2 3" xfId="28911"/>
    <cellStyle name="40% - Accent6 3 4 2 3 3" xfId="9565"/>
    <cellStyle name="40% - Accent6 3 4 2 3 3 2" xfId="21869"/>
    <cellStyle name="40% - Accent6 3 4 2 3 3 2 2" xfId="44728"/>
    <cellStyle name="40% - Accent6 3 4 2 3 3 3" xfId="32426"/>
    <cellStyle name="40% - Accent6 3 4 2 3 4" xfId="14839"/>
    <cellStyle name="40% - Accent6 3 4 2 3 4 2" xfId="37698"/>
    <cellStyle name="40% - Accent6 3 4 2 3 5" xfId="25396"/>
    <cellStyle name="40% - Accent6 3 4 2 4" xfId="4292"/>
    <cellStyle name="40% - Accent6 3 4 2 4 2" xfId="16596"/>
    <cellStyle name="40% - Accent6 3 4 2 4 2 2" xfId="39455"/>
    <cellStyle name="40% - Accent6 3 4 2 4 3" xfId="27153"/>
    <cellStyle name="40% - Accent6 3 4 2 5" xfId="7807"/>
    <cellStyle name="40% - Accent6 3 4 2 5 2" xfId="20111"/>
    <cellStyle name="40% - Accent6 3 4 2 5 2 2" xfId="42970"/>
    <cellStyle name="40% - Accent6 3 4 2 5 3" xfId="30668"/>
    <cellStyle name="40% - Accent6 3 4 2 6" xfId="11322"/>
    <cellStyle name="40% - Accent6 3 4 2 6 2" xfId="34182"/>
    <cellStyle name="40% - Accent6 3 4 2 7" xfId="13081"/>
    <cellStyle name="40% - Accent6 3 4 2 7 2" xfId="35940"/>
    <cellStyle name="40% - Accent6 3 4 2 8" xfId="23637"/>
    <cellStyle name="40% - Accent6 3 4 3" xfId="1213"/>
    <cellStyle name="40% - Accent6 3 4 3 2" xfId="2974"/>
    <cellStyle name="40% - Accent6 3 4 3 2 2" xfId="6489"/>
    <cellStyle name="40% - Accent6 3 4 3 2 2 2" xfId="18793"/>
    <cellStyle name="40% - Accent6 3 4 3 2 2 2 2" xfId="41652"/>
    <cellStyle name="40% - Accent6 3 4 3 2 2 3" xfId="29350"/>
    <cellStyle name="40% - Accent6 3 4 3 2 3" xfId="10004"/>
    <cellStyle name="40% - Accent6 3 4 3 2 3 2" xfId="22308"/>
    <cellStyle name="40% - Accent6 3 4 3 2 3 2 2" xfId="45167"/>
    <cellStyle name="40% - Accent6 3 4 3 2 3 3" xfId="32865"/>
    <cellStyle name="40% - Accent6 3 4 3 2 4" xfId="15278"/>
    <cellStyle name="40% - Accent6 3 4 3 2 4 2" xfId="38137"/>
    <cellStyle name="40% - Accent6 3 4 3 2 5" xfId="25835"/>
    <cellStyle name="40% - Accent6 3 4 3 3" xfId="4731"/>
    <cellStyle name="40% - Accent6 3 4 3 3 2" xfId="17035"/>
    <cellStyle name="40% - Accent6 3 4 3 3 2 2" xfId="39894"/>
    <cellStyle name="40% - Accent6 3 4 3 3 3" xfId="27592"/>
    <cellStyle name="40% - Accent6 3 4 3 4" xfId="8246"/>
    <cellStyle name="40% - Accent6 3 4 3 4 2" xfId="20550"/>
    <cellStyle name="40% - Accent6 3 4 3 4 2 2" xfId="43409"/>
    <cellStyle name="40% - Accent6 3 4 3 4 3" xfId="31107"/>
    <cellStyle name="40% - Accent6 3 4 3 5" xfId="11761"/>
    <cellStyle name="40% - Accent6 3 4 3 5 2" xfId="34621"/>
    <cellStyle name="40% - Accent6 3 4 3 6" xfId="13520"/>
    <cellStyle name="40% - Accent6 3 4 3 6 2" xfId="36379"/>
    <cellStyle name="40% - Accent6 3 4 3 7" xfId="24076"/>
    <cellStyle name="40% - Accent6 3 4 4" xfId="2096"/>
    <cellStyle name="40% - Accent6 3 4 4 2" xfId="5611"/>
    <cellStyle name="40% - Accent6 3 4 4 2 2" xfId="17915"/>
    <cellStyle name="40% - Accent6 3 4 4 2 2 2" xfId="40774"/>
    <cellStyle name="40% - Accent6 3 4 4 2 3" xfId="28472"/>
    <cellStyle name="40% - Accent6 3 4 4 3" xfId="9126"/>
    <cellStyle name="40% - Accent6 3 4 4 3 2" xfId="21430"/>
    <cellStyle name="40% - Accent6 3 4 4 3 2 2" xfId="44289"/>
    <cellStyle name="40% - Accent6 3 4 4 3 3" xfId="31987"/>
    <cellStyle name="40% - Accent6 3 4 4 4" xfId="14400"/>
    <cellStyle name="40% - Accent6 3 4 4 4 2" xfId="37259"/>
    <cellStyle name="40% - Accent6 3 4 4 5" xfId="24957"/>
    <cellStyle name="40% - Accent6 3 4 5" xfId="3853"/>
    <cellStyle name="40% - Accent6 3 4 5 2" xfId="16157"/>
    <cellStyle name="40% - Accent6 3 4 5 2 2" xfId="39016"/>
    <cellStyle name="40% - Accent6 3 4 5 3" xfId="26714"/>
    <cellStyle name="40% - Accent6 3 4 6" xfId="7368"/>
    <cellStyle name="40% - Accent6 3 4 6 2" xfId="19672"/>
    <cellStyle name="40% - Accent6 3 4 6 2 2" xfId="42531"/>
    <cellStyle name="40% - Accent6 3 4 6 3" xfId="30229"/>
    <cellStyle name="40% - Accent6 3 4 7" xfId="10883"/>
    <cellStyle name="40% - Accent6 3 4 7 2" xfId="33743"/>
    <cellStyle name="40% - Accent6 3 4 8" xfId="12642"/>
    <cellStyle name="40% - Accent6 3 4 8 2" xfId="35501"/>
    <cellStyle name="40% - Accent6 3 4 9" xfId="23197"/>
    <cellStyle name="40% - Accent6 3 5" xfId="561"/>
    <cellStyle name="40% - Accent6 3 5 2" xfId="1440"/>
    <cellStyle name="40% - Accent6 3 5 2 2" xfId="3201"/>
    <cellStyle name="40% - Accent6 3 5 2 2 2" xfId="6716"/>
    <cellStyle name="40% - Accent6 3 5 2 2 2 2" xfId="19020"/>
    <cellStyle name="40% - Accent6 3 5 2 2 2 2 2" xfId="41879"/>
    <cellStyle name="40% - Accent6 3 5 2 2 2 3" xfId="29577"/>
    <cellStyle name="40% - Accent6 3 5 2 2 3" xfId="10231"/>
    <cellStyle name="40% - Accent6 3 5 2 2 3 2" xfId="22535"/>
    <cellStyle name="40% - Accent6 3 5 2 2 3 2 2" xfId="45394"/>
    <cellStyle name="40% - Accent6 3 5 2 2 3 3" xfId="33092"/>
    <cellStyle name="40% - Accent6 3 5 2 2 4" xfId="15505"/>
    <cellStyle name="40% - Accent6 3 5 2 2 4 2" xfId="38364"/>
    <cellStyle name="40% - Accent6 3 5 2 2 5" xfId="26062"/>
    <cellStyle name="40% - Accent6 3 5 2 3" xfId="4958"/>
    <cellStyle name="40% - Accent6 3 5 2 3 2" xfId="17262"/>
    <cellStyle name="40% - Accent6 3 5 2 3 2 2" xfId="40121"/>
    <cellStyle name="40% - Accent6 3 5 2 3 3" xfId="27819"/>
    <cellStyle name="40% - Accent6 3 5 2 4" xfId="8473"/>
    <cellStyle name="40% - Accent6 3 5 2 4 2" xfId="20777"/>
    <cellStyle name="40% - Accent6 3 5 2 4 2 2" xfId="43636"/>
    <cellStyle name="40% - Accent6 3 5 2 4 3" xfId="31334"/>
    <cellStyle name="40% - Accent6 3 5 2 5" xfId="11988"/>
    <cellStyle name="40% - Accent6 3 5 2 5 2" xfId="34848"/>
    <cellStyle name="40% - Accent6 3 5 2 6" xfId="13747"/>
    <cellStyle name="40% - Accent6 3 5 2 6 2" xfId="36606"/>
    <cellStyle name="40% - Accent6 3 5 2 7" xfId="24303"/>
    <cellStyle name="40% - Accent6 3 5 3" xfId="2323"/>
    <cellStyle name="40% - Accent6 3 5 3 2" xfId="5838"/>
    <cellStyle name="40% - Accent6 3 5 3 2 2" xfId="18142"/>
    <cellStyle name="40% - Accent6 3 5 3 2 2 2" xfId="41001"/>
    <cellStyle name="40% - Accent6 3 5 3 2 3" xfId="28699"/>
    <cellStyle name="40% - Accent6 3 5 3 3" xfId="9353"/>
    <cellStyle name="40% - Accent6 3 5 3 3 2" xfId="21657"/>
    <cellStyle name="40% - Accent6 3 5 3 3 2 2" xfId="44516"/>
    <cellStyle name="40% - Accent6 3 5 3 3 3" xfId="32214"/>
    <cellStyle name="40% - Accent6 3 5 3 4" xfId="14627"/>
    <cellStyle name="40% - Accent6 3 5 3 4 2" xfId="37486"/>
    <cellStyle name="40% - Accent6 3 5 3 5" xfId="25184"/>
    <cellStyle name="40% - Accent6 3 5 4" xfId="4080"/>
    <cellStyle name="40% - Accent6 3 5 4 2" xfId="16384"/>
    <cellStyle name="40% - Accent6 3 5 4 2 2" xfId="39243"/>
    <cellStyle name="40% - Accent6 3 5 4 3" xfId="26941"/>
    <cellStyle name="40% - Accent6 3 5 5" xfId="7595"/>
    <cellStyle name="40% - Accent6 3 5 5 2" xfId="19899"/>
    <cellStyle name="40% - Accent6 3 5 5 2 2" xfId="42758"/>
    <cellStyle name="40% - Accent6 3 5 5 3" xfId="30456"/>
    <cellStyle name="40% - Accent6 3 5 6" xfId="11110"/>
    <cellStyle name="40% - Accent6 3 5 6 2" xfId="33970"/>
    <cellStyle name="40% - Accent6 3 5 7" xfId="12869"/>
    <cellStyle name="40% - Accent6 3 5 7 2" xfId="35728"/>
    <cellStyle name="40% - Accent6 3 5 8" xfId="23425"/>
    <cellStyle name="40% - Accent6 3 6" xfId="1001"/>
    <cellStyle name="40% - Accent6 3 6 2" xfId="2762"/>
    <cellStyle name="40% - Accent6 3 6 2 2" xfId="6277"/>
    <cellStyle name="40% - Accent6 3 6 2 2 2" xfId="18581"/>
    <cellStyle name="40% - Accent6 3 6 2 2 2 2" xfId="41440"/>
    <cellStyle name="40% - Accent6 3 6 2 2 3" xfId="29138"/>
    <cellStyle name="40% - Accent6 3 6 2 3" xfId="9792"/>
    <cellStyle name="40% - Accent6 3 6 2 3 2" xfId="22096"/>
    <cellStyle name="40% - Accent6 3 6 2 3 2 2" xfId="44955"/>
    <cellStyle name="40% - Accent6 3 6 2 3 3" xfId="32653"/>
    <cellStyle name="40% - Accent6 3 6 2 4" xfId="15066"/>
    <cellStyle name="40% - Accent6 3 6 2 4 2" xfId="37925"/>
    <cellStyle name="40% - Accent6 3 6 2 5" xfId="25623"/>
    <cellStyle name="40% - Accent6 3 6 3" xfId="4519"/>
    <cellStyle name="40% - Accent6 3 6 3 2" xfId="16823"/>
    <cellStyle name="40% - Accent6 3 6 3 2 2" xfId="39682"/>
    <cellStyle name="40% - Accent6 3 6 3 3" xfId="27380"/>
    <cellStyle name="40% - Accent6 3 6 4" xfId="8034"/>
    <cellStyle name="40% - Accent6 3 6 4 2" xfId="20338"/>
    <cellStyle name="40% - Accent6 3 6 4 2 2" xfId="43197"/>
    <cellStyle name="40% - Accent6 3 6 4 3" xfId="30895"/>
    <cellStyle name="40% - Accent6 3 6 5" xfId="11549"/>
    <cellStyle name="40% - Accent6 3 6 5 2" xfId="34409"/>
    <cellStyle name="40% - Accent6 3 6 6" xfId="13308"/>
    <cellStyle name="40% - Accent6 3 6 6 2" xfId="36167"/>
    <cellStyle name="40% - Accent6 3 6 7" xfId="23864"/>
    <cellStyle name="40% - Accent6 3 7" xfId="1884"/>
    <cellStyle name="40% - Accent6 3 7 2" xfId="5399"/>
    <cellStyle name="40% - Accent6 3 7 2 2" xfId="17703"/>
    <cellStyle name="40% - Accent6 3 7 2 2 2" xfId="40562"/>
    <cellStyle name="40% - Accent6 3 7 2 3" xfId="28260"/>
    <cellStyle name="40% - Accent6 3 7 3" xfId="8914"/>
    <cellStyle name="40% - Accent6 3 7 3 2" xfId="21218"/>
    <cellStyle name="40% - Accent6 3 7 3 2 2" xfId="44077"/>
    <cellStyle name="40% - Accent6 3 7 3 3" xfId="31775"/>
    <cellStyle name="40% - Accent6 3 7 4" xfId="14188"/>
    <cellStyle name="40% - Accent6 3 7 4 2" xfId="37047"/>
    <cellStyle name="40% - Accent6 3 7 5" xfId="24745"/>
    <cellStyle name="40% - Accent6 3 8" xfId="3641"/>
    <cellStyle name="40% - Accent6 3 8 2" xfId="15945"/>
    <cellStyle name="40% - Accent6 3 8 2 2" xfId="38804"/>
    <cellStyle name="40% - Accent6 3 8 3" xfId="26502"/>
    <cellStyle name="40% - Accent6 3 9" xfId="7156"/>
    <cellStyle name="40% - Accent6 3 9 2" xfId="19460"/>
    <cellStyle name="40% - Accent6 3 9 2 2" xfId="42319"/>
    <cellStyle name="40% - Accent6 3 9 3" xfId="30017"/>
    <cellStyle name="40% - Accent6 4" xfId="147"/>
    <cellStyle name="40% - Accent6 4 10" xfId="12459"/>
    <cellStyle name="40% - Accent6 4 10 2" xfId="35318"/>
    <cellStyle name="40% - Accent6 4 11" xfId="23013"/>
    <cellStyle name="40% - Accent6 4 2" xfId="255"/>
    <cellStyle name="40% - Accent6 4 2 10" xfId="23120"/>
    <cellStyle name="40% - Accent6 4 2 2" xfId="467"/>
    <cellStyle name="40% - Accent6 4 2 2 2" xfId="908"/>
    <cellStyle name="40% - Accent6 4 2 2 2 2" xfId="1787"/>
    <cellStyle name="40% - Accent6 4 2 2 2 2 2" xfId="3548"/>
    <cellStyle name="40% - Accent6 4 2 2 2 2 2 2" xfId="7063"/>
    <cellStyle name="40% - Accent6 4 2 2 2 2 2 2 2" xfId="19367"/>
    <cellStyle name="40% - Accent6 4 2 2 2 2 2 2 2 2" xfId="42226"/>
    <cellStyle name="40% - Accent6 4 2 2 2 2 2 2 3" xfId="29924"/>
    <cellStyle name="40% - Accent6 4 2 2 2 2 2 3" xfId="10578"/>
    <cellStyle name="40% - Accent6 4 2 2 2 2 2 3 2" xfId="22882"/>
    <cellStyle name="40% - Accent6 4 2 2 2 2 2 3 2 2" xfId="45741"/>
    <cellStyle name="40% - Accent6 4 2 2 2 2 2 3 3" xfId="33439"/>
    <cellStyle name="40% - Accent6 4 2 2 2 2 2 4" xfId="15852"/>
    <cellStyle name="40% - Accent6 4 2 2 2 2 2 4 2" xfId="38711"/>
    <cellStyle name="40% - Accent6 4 2 2 2 2 2 5" xfId="26409"/>
    <cellStyle name="40% - Accent6 4 2 2 2 2 3" xfId="5305"/>
    <cellStyle name="40% - Accent6 4 2 2 2 2 3 2" xfId="17609"/>
    <cellStyle name="40% - Accent6 4 2 2 2 2 3 2 2" xfId="40468"/>
    <cellStyle name="40% - Accent6 4 2 2 2 2 3 3" xfId="28166"/>
    <cellStyle name="40% - Accent6 4 2 2 2 2 4" xfId="8820"/>
    <cellStyle name="40% - Accent6 4 2 2 2 2 4 2" xfId="21124"/>
    <cellStyle name="40% - Accent6 4 2 2 2 2 4 2 2" xfId="43983"/>
    <cellStyle name="40% - Accent6 4 2 2 2 2 4 3" xfId="31681"/>
    <cellStyle name="40% - Accent6 4 2 2 2 2 5" xfId="12335"/>
    <cellStyle name="40% - Accent6 4 2 2 2 2 5 2" xfId="35195"/>
    <cellStyle name="40% - Accent6 4 2 2 2 2 6" xfId="14094"/>
    <cellStyle name="40% - Accent6 4 2 2 2 2 6 2" xfId="36953"/>
    <cellStyle name="40% - Accent6 4 2 2 2 2 7" xfId="24650"/>
    <cellStyle name="40% - Accent6 4 2 2 2 3" xfId="2670"/>
    <cellStyle name="40% - Accent6 4 2 2 2 3 2" xfId="6185"/>
    <cellStyle name="40% - Accent6 4 2 2 2 3 2 2" xfId="18489"/>
    <cellStyle name="40% - Accent6 4 2 2 2 3 2 2 2" xfId="41348"/>
    <cellStyle name="40% - Accent6 4 2 2 2 3 2 3" xfId="29046"/>
    <cellStyle name="40% - Accent6 4 2 2 2 3 3" xfId="9700"/>
    <cellStyle name="40% - Accent6 4 2 2 2 3 3 2" xfId="22004"/>
    <cellStyle name="40% - Accent6 4 2 2 2 3 3 2 2" xfId="44863"/>
    <cellStyle name="40% - Accent6 4 2 2 2 3 3 3" xfId="32561"/>
    <cellStyle name="40% - Accent6 4 2 2 2 3 4" xfId="14974"/>
    <cellStyle name="40% - Accent6 4 2 2 2 3 4 2" xfId="37833"/>
    <cellStyle name="40% - Accent6 4 2 2 2 3 5" xfId="25531"/>
    <cellStyle name="40% - Accent6 4 2 2 2 4" xfId="4427"/>
    <cellStyle name="40% - Accent6 4 2 2 2 4 2" xfId="16731"/>
    <cellStyle name="40% - Accent6 4 2 2 2 4 2 2" xfId="39590"/>
    <cellStyle name="40% - Accent6 4 2 2 2 4 3" xfId="27288"/>
    <cellStyle name="40% - Accent6 4 2 2 2 5" xfId="7942"/>
    <cellStyle name="40% - Accent6 4 2 2 2 5 2" xfId="20246"/>
    <cellStyle name="40% - Accent6 4 2 2 2 5 2 2" xfId="43105"/>
    <cellStyle name="40% - Accent6 4 2 2 2 5 3" xfId="30803"/>
    <cellStyle name="40% - Accent6 4 2 2 2 6" xfId="11457"/>
    <cellStyle name="40% - Accent6 4 2 2 2 6 2" xfId="34317"/>
    <cellStyle name="40% - Accent6 4 2 2 2 7" xfId="13216"/>
    <cellStyle name="40% - Accent6 4 2 2 2 7 2" xfId="36075"/>
    <cellStyle name="40% - Accent6 4 2 2 2 8" xfId="23772"/>
    <cellStyle name="40% - Accent6 4 2 2 3" xfId="1348"/>
    <cellStyle name="40% - Accent6 4 2 2 3 2" xfId="3109"/>
    <cellStyle name="40% - Accent6 4 2 2 3 2 2" xfId="6624"/>
    <cellStyle name="40% - Accent6 4 2 2 3 2 2 2" xfId="18928"/>
    <cellStyle name="40% - Accent6 4 2 2 3 2 2 2 2" xfId="41787"/>
    <cellStyle name="40% - Accent6 4 2 2 3 2 2 3" xfId="29485"/>
    <cellStyle name="40% - Accent6 4 2 2 3 2 3" xfId="10139"/>
    <cellStyle name="40% - Accent6 4 2 2 3 2 3 2" xfId="22443"/>
    <cellStyle name="40% - Accent6 4 2 2 3 2 3 2 2" xfId="45302"/>
    <cellStyle name="40% - Accent6 4 2 2 3 2 3 3" xfId="33000"/>
    <cellStyle name="40% - Accent6 4 2 2 3 2 4" xfId="15413"/>
    <cellStyle name="40% - Accent6 4 2 2 3 2 4 2" xfId="38272"/>
    <cellStyle name="40% - Accent6 4 2 2 3 2 5" xfId="25970"/>
    <cellStyle name="40% - Accent6 4 2 2 3 3" xfId="4866"/>
    <cellStyle name="40% - Accent6 4 2 2 3 3 2" xfId="17170"/>
    <cellStyle name="40% - Accent6 4 2 2 3 3 2 2" xfId="40029"/>
    <cellStyle name="40% - Accent6 4 2 2 3 3 3" xfId="27727"/>
    <cellStyle name="40% - Accent6 4 2 2 3 4" xfId="8381"/>
    <cellStyle name="40% - Accent6 4 2 2 3 4 2" xfId="20685"/>
    <cellStyle name="40% - Accent6 4 2 2 3 4 2 2" xfId="43544"/>
    <cellStyle name="40% - Accent6 4 2 2 3 4 3" xfId="31242"/>
    <cellStyle name="40% - Accent6 4 2 2 3 5" xfId="11896"/>
    <cellStyle name="40% - Accent6 4 2 2 3 5 2" xfId="34756"/>
    <cellStyle name="40% - Accent6 4 2 2 3 6" xfId="13655"/>
    <cellStyle name="40% - Accent6 4 2 2 3 6 2" xfId="36514"/>
    <cellStyle name="40% - Accent6 4 2 2 3 7" xfId="24211"/>
    <cellStyle name="40% - Accent6 4 2 2 4" xfId="2231"/>
    <cellStyle name="40% - Accent6 4 2 2 4 2" xfId="5746"/>
    <cellStyle name="40% - Accent6 4 2 2 4 2 2" xfId="18050"/>
    <cellStyle name="40% - Accent6 4 2 2 4 2 2 2" xfId="40909"/>
    <cellStyle name="40% - Accent6 4 2 2 4 2 3" xfId="28607"/>
    <cellStyle name="40% - Accent6 4 2 2 4 3" xfId="9261"/>
    <cellStyle name="40% - Accent6 4 2 2 4 3 2" xfId="21565"/>
    <cellStyle name="40% - Accent6 4 2 2 4 3 2 2" xfId="44424"/>
    <cellStyle name="40% - Accent6 4 2 2 4 3 3" xfId="32122"/>
    <cellStyle name="40% - Accent6 4 2 2 4 4" xfId="14535"/>
    <cellStyle name="40% - Accent6 4 2 2 4 4 2" xfId="37394"/>
    <cellStyle name="40% - Accent6 4 2 2 4 5" xfId="25092"/>
    <cellStyle name="40% - Accent6 4 2 2 5" xfId="3988"/>
    <cellStyle name="40% - Accent6 4 2 2 5 2" xfId="16292"/>
    <cellStyle name="40% - Accent6 4 2 2 5 2 2" xfId="39151"/>
    <cellStyle name="40% - Accent6 4 2 2 5 3" xfId="26849"/>
    <cellStyle name="40% - Accent6 4 2 2 6" xfId="7503"/>
    <cellStyle name="40% - Accent6 4 2 2 6 2" xfId="19807"/>
    <cellStyle name="40% - Accent6 4 2 2 6 2 2" xfId="42666"/>
    <cellStyle name="40% - Accent6 4 2 2 6 3" xfId="30364"/>
    <cellStyle name="40% - Accent6 4 2 2 7" xfId="11018"/>
    <cellStyle name="40% - Accent6 4 2 2 7 2" xfId="33878"/>
    <cellStyle name="40% - Accent6 4 2 2 8" xfId="12777"/>
    <cellStyle name="40% - Accent6 4 2 2 8 2" xfId="35636"/>
    <cellStyle name="40% - Accent6 4 2 2 9" xfId="23332"/>
    <cellStyle name="40% - Accent6 4 2 3" xfId="696"/>
    <cellStyle name="40% - Accent6 4 2 3 2" xfId="1575"/>
    <cellStyle name="40% - Accent6 4 2 3 2 2" xfId="3336"/>
    <cellStyle name="40% - Accent6 4 2 3 2 2 2" xfId="6851"/>
    <cellStyle name="40% - Accent6 4 2 3 2 2 2 2" xfId="19155"/>
    <cellStyle name="40% - Accent6 4 2 3 2 2 2 2 2" xfId="42014"/>
    <cellStyle name="40% - Accent6 4 2 3 2 2 2 3" xfId="29712"/>
    <cellStyle name="40% - Accent6 4 2 3 2 2 3" xfId="10366"/>
    <cellStyle name="40% - Accent6 4 2 3 2 2 3 2" xfId="22670"/>
    <cellStyle name="40% - Accent6 4 2 3 2 2 3 2 2" xfId="45529"/>
    <cellStyle name="40% - Accent6 4 2 3 2 2 3 3" xfId="33227"/>
    <cellStyle name="40% - Accent6 4 2 3 2 2 4" xfId="15640"/>
    <cellStyle name="40% - Accent6 4 2 3 2 2 4 2" xfId="38499"/>
    <cellStyle name="40% - Accent6 4 2 3 2 2 5" xfId="26197"/>
    <cellStyle name="40% - Accent6 4 2 3 2 3" xfId="5093"/>
    <cellStyle name="40% - Accent6 4 2 3 2 3 2" xfId="17397"/>
    <cellStyle name="40% - Accent6 4 2 3 2 3 2 2" xfId="40256"/>
    <cellStyle name="40% - Accent6 4 2 3 2 3 3" xfId="27954"/>
    <cellStyle name="40% - Accent6 4 2 3 2 4" xfId="8608"/>
    <cellStyle name="40% - Accent6 4 2 3 2 4 2" xfId="20912"/>
    <cellStyle name="40% - Accent6 4 2 3 2 4 2 2" xfId="43771"/>
    <cellStyle name="40% - Accent6 4 2 3 2 4 3" xfId="31469"/>
    <cellStyle name="40% - Accent6 4 2 3 2 5" xfId="12123"/>
    <cellStyle name="40% - Accent6 4 2 3 2 5 2" xfId="34983"/>
    <cellStyle name="40% - Accent6 4 2 3 2 6" xfId="13882"/>
    <cellStyle name="40% - Accent6 4 2 3 2 6 2" xfId="36741"/>
    <cellStyle name="40% - Accent6 4 2 3 2 7" xfId="24438"/>
    <cellStyle name="40% - Accent6 4 2 3 3" xfId="2458"/>
    <cellStyle name="40% - Accent6 4 2 3 3 2" xfId="5973"/>
    <cellStyle name="40% - Accent6 4 2 3 3 2 2" xfId="18277"/>
    <cellStyle name="40% - Accent6 4 2 3 3 2 2 2" xfId="41136"/>
    <cellStyle name="40% - Accent6 4 2 3 3 2 3" xfId="28834"/>
    <cellStyle name="40% - Accent6 4 2 3 3 3" xfId="9488"/>
    <cellStyle name="40% - Accent6 4 2 3 3 3 2" xfId="21792"/>
    <cellStyle name="40% - Accent6 4 2 3 3 3 2 2" xfId="44651"/>
    <cellStyle name="40% - Accent6 4 2 3 3 3 3" xfId="32349"/>
    <cellStyle name="40% - Accent6 4 2 3 3 4" xfId="14762"/>
    <cellStyle name="40% - Accent6 4 2 3 3 4 2" xfId="37621"/>
    <cellStyle name="40% - Accent6 4 2 3 3 5" xfId="25319"/>
    <cellStyle name="40% - Accent6 4 2 3 4" xfId="4215"/>
    <cellStyle name="40% - Accent6 4 2 3 4 2" xfId="16519"/>
    <cellStyle name="40% - Accent6 4 2 3 4 2 2" xfId="39378"/>
    <cellStyle name="40% - Accent6 4 2 3 4 3" xfId="27076"/>
    <cellStyle name="40% - Accent6 4 2 3 5" xfId="7730"/>
    <cellStyle name="40% - Accent6 4 2 3 5 2" xfId="20034"/>
    <cellStyle name="40% - Accent6 4 2 3 5 2 2" xfId="42893"/>
    <cellStyle name="40% - Accent6 4 2 3 5 3" xfId="30591"/>
    <cellStyle name="40% - Accent6 4 2 3 6" xfId="11245"/>
    <cellStyle name="40% - Accent6 4 2 3 6 2" xfId="34105"/>
    <cellStyle name="40% - Accent6 4 2 3 7" xfId="13004"/>
    <cellStyle name="40% - Accent6 4 2 3 7 2" xfId="35863"/>
    <cellStyle name="40% - Accent6 4 2 3 8" xfId="23560"/>
    <cellStyle name="40% - Accent6 4 2 4" xfId="1136"/>
    <cellStyle name="40% - Accent6 4 2 4 2" xfId="2897"/>
    <cellStyle name="40% - Accent6 4 2 4 2 2" xfId="6412"/>
    <cellStyle name="40% - Accent6 4 2 4 2 2 2" xfId="18716"/>
    <cellStyle name="40% - Accent6 4 2 4 2 2 2 2" xfId="41575"/>
    <cellStyle name="40% - Accent6 4 2 4 2 2 3" xfId="29273"/>
    <cellStyle name="40% - Accent6 4 2 4 2 3" xfId="9927"/>
    <cellStyle name="40% - Accent6 4 2 4 2 3 2" xfId="22231"/>
    <cellStyle name="40% - Accent6 4 2 4 2 3 2 2" xfId="45090"/>
    <cellStyle name="40% - Accent6 4 2 4 2 3 3" xfId="32788"/>
    <cellStyle name="40% - Accent6 4 2 4 2 4" xfId="15201"/>
    <cellStyle name="40% - Accent6 4 2 4 2 4 2" xfId="38060"/>
    <cellStyle name="40% - Accent6 4 2 4 2 5" xfId="25758"/>
    <cellStyle name="40% - Accent6 4 2 4 3" xfId="4654"/>
    <cellStyle name="40% - Accent6 4 2 4 3 2" xfId="16958"/>
    <cellStyle name="40% - Accent6 4 2 4 3 2 2" xfId="39817"/>
    <cellStyle name="40% - Accent6 4 2 4 3 3" xfId="27515"/>
    <cellStyle name="40% - Accent6 4 2 4 4" xfId="8169"/>
    <cellStyle name="40% - Accent6 4 2 4 4 2" xfId="20473"/>
    <cellStyle name="40% - Accent6 4 2 4 4 2 2" xfId="43332"/>
    <cellStyle name="40% - Accent6 4 2 4 4 3" xfId="31030"/>
    <cellStyle name="40% - Accent6 4 2 4 5" xfId="11684"/>
    <cellStyle name="40% - Accent6 4 2 4 5 2" xfId="34544"/>
    <cellStyle name="40% - Accent6 4 2 4 6" xfId="13443"/>
    <cellStyle name="40% - Accent6 4 2 4 6 2" xfId="36302"/>
    <cellStyle name="40% - Accent6 4 2 4 7" xfId="23999"/>
    <cellStyle name="40% - Accent6 4 2 5" xfId="2019"/>
    <cellStyle name="40% - Accent6 4 2 5 2" xfId="5534"/>
    <cellStyle name="40% - Accent6 4 2 5 2 2" xfId="17838"/>
    <cellStyle name="40% - Accent6 4 2 5 2 2 2" xfId="40697"/>
    <cellStyle name="40% - Accent6 4 2 5 2 3" xfId="28395"/>
    <cellStyle name="40% - Accent6 4 2 5 3" xfId="9049"/>
    <cellStyle name="40% - Accent6 4 2 5 3 2" xfId="21353"/>
    <cellStyle name="40% - Accent6 4 2 5 3 2 2" xfId="44212"/>
    <cellStyle name="40% - Accent6 4 2 5 3 3" xfId="31910"/>
    <cellStyle name="40% - Accent6 4 2 5 4" xfId="14323"/>
    <cellStyle name="40% - Accent6 4 2 5 4 2" xfId="37182"/>
    <cellStyle name="40% - Accent6 4 2 5 5" xfId="24880"/>
    <cellStyle name="40% - Accent6 4 2 6" xfId="3776"/>
    <cellStyle name="40% - Accent6 4 2 6 2" xfId="16080"/>
    <cellStyle name="40% - Accent6 4 2 6 2 2" xfId="38939"/>
    <cellStyle name="40% - Accent6 4 2 6 3" xfId="26637"/>
    <cellStyle name="40% - Accent6 4 2 7" xfId="7291"/>
    <cellStyle name="40% - Accent6 4 2 7 2" xfId="19595"/>
    <cellStyle name="40% - Accent6 4 2 7 2 2" xfId="42454"/>
    <cellStyle name="40% - Accent6 4 2 7 3" xfId="30152"/>
    <cellStyle name="40% - Accent6 4 2 8" xfId="10806"/>
    <cellStyle name="40% - Accent6 4 2 8 2" xfId="33666"/>
    <cellStyle name="40% - Accent6 4 2 9" xfId="12565"/>
    <cellStyle name="40% - Accent6 4 2 9 2" xfId="35424"/>
    <cellStyle name="40% - Accent6 4 3" xfId="361"/>
    <cellStyle name="40% - Accent6 4 3 2" xfId="802"/>
    <cellStyle name="40% - Accent6 4 3 2 2" xfId="1681"/>
    <cellStyle name="40% - Accent6 4 3 2 2 2" xfId="3442"/>
    <cellStyle name="40% - Accent6 4 3 2 2 2 2" xfId="6957"/>
    <cellStyle name="40% - Accent6 4 3 2 2 2 2 2" xfId="19261"/>
    <cellStyle name="40% - Accent6 4 3 2 2 2 2 2 2" xfId="42120"/>
    <cellStyle name="40% - Accent6 4 3 2 2 2 2 3" xfId="29818"/>
    <cellStyle name="40% - Accent6 4 3 2 2 2 3" xfId="10472"/>
    <cellStyle name="40% - Accent6 4 3 2 2 2 3 2" xfId="22776"/>
    <cellStyle name="40% - Accent6 4 3 2 2 2 3 2 2" xfId="45635"/>
    <cellStyle name="40% - Accent6 4 3 2 2 2 3 3" xfId="33333"/>
    <cellStyle name="40% - Accent6 4 3 2 2 2 4" xfId="15746"/>
    <cellStyle name="40% - Accent6 4 3 2 2 2 4 2" xfId="38605"/>
    <cellStyle name="40% - Accent6 4 3 2 2 2 5" xfId="26303"/>
    <cellStyle name="40% - Accent6 4 3 2 2 3" xfId="5199"/>
    <cellStyle name="40% - Accent6 4 3 2 2 3 2" xfId="17503"/>
    <cellStyle name="40% - Accent6 4 3 2 2 3 2 2" xfId="40362"/>
    <cellStyle name="40% - Accent6 4 3 2 2 3 3" xfId="28060"/>
    <cellStyle name="40% - Accent6 4 3 2 2 4" xfId="8714"/>
    <cellStyle name="40% - Accent6 4 3 2 2 4 2" xfId="21018"/>
    <cellStyle name="40% - Accent6 4 3 2 2 4 2 2" xfId="43877"/>
    <cellStyle name="40% - Accent6 4 3 2 2 4 3" xfId="31575"/>
    <cellStyle name="40% - Accent6 4 3 2 2 5" xfId="12229"/>
    <cellStyle name="40% - Accent6 4 3 2 2 5 2" xfId="35089"/>
    <cellStyle name="40% - Accent6 4 3 2 2 6" xfId="13988"/>
    <cellStyle name="40% - Accent6 4 3 2 2 6 2" xfId="36847"/>
    <cellStyle name="40% - Accent6 4 3 2 2 7" xfId="24544"/>
    <cellStyle name="40% - Accent6 4 3 2 3" xfId="2564"/>
    <cellStyle name="40% - Accent6 4 3 2 3 2" xfId="6079"/>
    <cellStyle name="40% - Accent6 4 3 2 3 2 2" xfId="18383"/>
    <cellStyle name="40% - Accent6 4 3 2 3 2 2 2" xfId="41242"/>
    <cellStyle name="40% - Accent6 4 3 2 3 2 3" xfId="28940"/>
    <cellStyle name="40% - Accent6 4 3 2 3 3" xfId="9594"/>
    <cellStyle name="40% - Accent6 4 3 2 3 3 2" xfId="21898"/>
    <cellStyle name="40% - Accent6 4 3 2 3 3 2 2" xfId="44757"/>
    <cellStyle name="40% - Accent6 4 3 2 3 3 3" xfId="32455"/>
    <cellStyle name="40% - Accent6 4 3 2 3 4" xfId="14868"/>
    <cellStyle name="40% - Accent6 4 3 2 3 4 2" xfId="37727"/>
    <cellStyle name="40% - Accent6 4 3 2 3 5" xfId="25425"/>
    <cellStyle name="40% - Accent6 4 3 2 4" xfId="4321"/>
    <cellStyle name="40% - Accent6 4 3 2 4 2" xfId="16625"/>
    <cellStyle name="40% - Accent6 4 3 2 4 2 2" xfId="39484"/>
    <cellStyle name="40% - Accent6 4 3 2 4 3" xfId="27182"/>
    <cellStyle name="40% - Accent6 4 3 2 5" xfId="7836"/>
    <cellStyle name="40% - Accent6 4 3 2 5 2" xfId="20140"/>
    <cellStyle name="40% - Accent6 4 3 2 5 2 2" xfId="42999"/>
    <cellStyle name="40% - Accent6 4 3 2 5 3" xfId="30697"/>
    <cellStyle name="40% - Accent6 4 3 2 6" xfId="11351"/>
    <cellStyle name="40% - Accent6 4 3 2 6 2" xfId="34211"/>
    <cellStyle name="40% - Accent6 4 3 2 7" xfId="13110"/>
    <cellStyle name="40% - Accent6 4 3 2 7 2" xfId="35969"/>
    <cellStyle name="40% - Accent6 4 3 2 8" xfId="23666"/>
    <cellStyle name="40% - Accent6 4 3 3" xfId="1242"/>
    <cellStyle name="40% - Accent6 4 3 3 2" xfId="3003"/>
    <cellStyle name="40% - Accent6 4 3 3 2 2" xfId="6518"/>
    <cellStyle name="40% - Accent6 4 3 3 2 2 2" xfId="18822"/>
    <cellStyle name="40% - Accent6 4 3 3 2 2 2 2" xfId="41681"/>
    <cellStyle name="40% - Accent6 4 3 3 2 2 3" xfId="29379"/>
    <cellStyle name="40% - Accent6 4 3 3 2 3" xfId="10033"/>
    <cellStyle name="40% - Accent6 4 3 3 2 3 2" xfId="22337"/>
    <cellStyle name="40% - Accent6 4 3 3 2 3 2 2" xfId="45196"/>
    <cellStyle name="40% - Accent6 4 3 3 2 3 3" xfId="32894"/>
    <cellStyle name="40% - Accent6 4 3 3 2 4" xfId="15307"/>
    <cellStyle name="40% - Accent6 4 3 3 2 4 2" xfId="38166"/>
    <cellStyle name="40% - Accent6 4 3 3 2 5" xfId="25864"/>
    <cellStyle name="40% - Accent6 4 3 3 3" xfId="4760"/>
    <cellStyle name="40% - Accent6 4 3 3 3 2" xfId="17064"/>
    <cellStyle name="40% - Accent6 4 3 3 3 2 2" xfId="39923"/>
    <cellStyle name="40% - Accent6 4 3 3 3 3" xfId="27621"/>
    <cellStyle name="40% - Accent6 4 3 3 4" xfId="8275"/>
    <cellStyle name="40% - Accent6 4 3 3 4 2" xfId="20579"/>
    <cellStyle name="40% - Accent6 4 3 3 4 2 2" xfId="43438"/>
    <cellStyle name="40% - Accent6 4 3 3 4 3" xfId="31136"/>
    <cellStyle name="40% - Accent6 4 3 3 5" xfId="11790"/>
    <cellStyle name="40% - Accent6 4 3 3 5 2" xfId="34650"/>
    <cellStyle name="40% - Accent6 4 3 3 6" xfId="13549"/>
    <cellStyle name="40% - Accent6 4 3 3 6 2" xfId="36408"/>
    <cellStyle name="40% - Accent6 4 3 3 7" xfId="24105"/>
    <cellStyle name="40% - Accent6 4 3 4" xfId="2125"/>
    <cellStyle name="40% - Accent6 4 3 4 2" xfId="5640"/>
    <cellStyle name="40% - Accent6 4 3 4 2 2" xfId="17944"/>
    <cellStyle name="40% - Accent6 4 3 4 2 2 2" xfId="40803"/>
    <cellStyle name="40% - Accent6 4 3 4 2 3" xfId="28501"/>
    <cellStyle name="40% - Accent6 4 3 4 3" xfId="9155"/>
    <cellStyle name="40% - Accent6 4 3 4 3 2" xfId="21459"/>
    <cellStyle name="40% - Accent6 4 3 4 3 2 2" xfId="44318"/>
    <cellStyle name="40% - Accent6 4 3 4 3 3" xfId="32016"/>
    <cellStyle name="40% - Accent6 4 3 4 4" xfId="14429"/>
    <cellStyle name="40% - Accent6 4 3 4 4 2" xfId="37288"/>
    <cellStyle name="40% - Accent6 4 3 4 5" xfId="24986"/>
    <cellStyle name="40% - Accent6 4 3 5" xfId="3882"/>
    <cellStyle name="40% - Accent6 4 3 5 2" xfId="16186"/>
    <cellStyle name="40% - Accent6 4 3 5 2 2" xfId="39045"/>
    <cellStyle name="40% - Accent6 4 3 5 3" xfId="26743"/>
    <cellStyle name="40% - Accent6 4 3 6" xfId="7397"/>
    <cellStyle name="40% - Accent6 4 3 6 2" xfId="19701"/>
    <cellStyle name="40% - Accent6 4 3 6 2 2" xfId="42560"/>
    <cellStyle name="40% - Accent6 4 3 6 3" xfId="30258"/>
    <cellStyle name="40% - Accent6 4 3 7" xfId="10912"/>
    <cellStyle name="40% - Accent6 4 3 7 2" xfId="33772"/>
    <cellStyle name="40% - Accent6 4 3 8" xfId="12671"/>
    <cellStyle name="40% - Accent6 4 3 8 2" xfId="35530"/>
    <cellStyle name="40% - Accent6 4 3 9" xfId="23226"/>
    <cellStyle name="40% - Accent6 4 4" xfId="590"/>
    <cellStyle name="40% - Accent6 4 4 2" xfId="1469"/>
    <cellStyle name="40% - Accent6 4 4 2 2" xfId="3230"/>
    <cellStyle name="40% - Accent6 4 4 2 2 2" xfId="6745"/>
    <cellStyle name="40% - Accent6 4 4 2 2 2 2" xfId="19049"/>
    <cellStyle name="40% - Accent6 4 4 2 2 2 2 2" xfId="41908"/>
    <cellStyle name="40% - Accent6 4 4 2 2 2 3" xfId="29606"/>
    <cellStyle name="40% - Accent6 4 4 2 2 3" xfId="10260"/>
    <cellStyle name="40% - Accent6 4 4 2 2 3 2" xfId="22564"/>
    <cellStyle name="40% - Accent6 4 4 2 2 3 2 2" xfId="45423"/>
    <cellStyle name="40% - Accent6 4 4 2 2 3 3" xfId="33121"/>
    <cellStyle name="40% - Accent6 4 4 2 2 4" xfId="15534"/>
    <cellStyle name="40% - Accent6 4 4 2 2 4 2" xfId="38393"/>
    <cellStyle name="40% - Accent6 4 4 2 2 5" xfId="26091"/>
    <cellStyle name="40% - Accent6 4 4 2 3" xfId="4987"/>
    <cellStyle name="40% - Accent6 4 4 2 3 2" xfId="17291"/>
    <cellStyle name="40% - Accent6 4 4 2 3 2 2" xfId="40150"/>
    <cellStyle name="40% - Accent6 4 4 2 3 3" xfId="27848"/>
    <cellStyle name="40% - Accent6 4 4 2 4" xfId="8502"/>
    <cellStyle name="40% - Accent6 4 4 2 4 2" xfId="20806"/>
    <cellStyle name="40% - Accent6 4 4 2 4 2 2" xfId="43665"/>
    <cellStyle name="40% - Accent6 4 4 2 4 3" xfId="31363"/>
    <cellStyle name="40% - Accent6 4 4 2 5" xfId="12017"/>
    <cellStyle name="40% - Accent6 4 4 2 5 2" xfId="34877"/>
    <cellStyle name="40% - Accent6 4 4 2 6" xfId="13776"/>
    <cellStyle name="40% - Accent6 4 4 2 6 2" xfId="36635"/>
    <cellStyle name="40% - Accent6 4 4 2 7" xfId="24332"/>
    <cellStyle name="40% - Accent6 4 4 3" xfId="2352"/>
    <cellStyle name="40% - Accent6 4 4 3 2" xfId="5867"/>
    <cellStyle name="40% - Accent6 4 4 3 2 2" xfId="18171"/>
    <cellStyle name="40% - Accent6 4 4 3 2 2 2" xfId="41030"/>
    <cellStyle name="40% - Accent6 4 4 3 2 3" xfId="28728"/>
    <cellStyle name="40% - Accent6 4 4 3 3" xfId="9382"/>
    <cellStyle name="40% - Accent6 4 4 3 3 2" xfId="21686"/>
    <cellStyle name="40% - Accent6 4 4 3 3 2 2" xfId="44545"/>
    <cellStyle name="40% - Accent6 4 4 3 3 3" xfId="32243"/>
    <cellStyle name="40% - Accent6 4 4 3 4" xfId="14656"/>
    <cellStyle name="40% - Accent6 4 4 3 4 2" xfId="37515"/>
    <cellStyle name="40% - Accent6 4 4 3 5" xfId="25213"/>
    <cellStyle name="40% - Accent6 4 4 4" xfId="4109"/>
    <cellStyle name="40% - Accent6 4 4 4 2" xfId="16413"/>
    <cellStyle name="40% - Accent6 4 4 4 2 2" xfId="39272"/>
    <cellStyle name="40% - Accent6 4 4 4 3" xfId="26970"/>
    <cellStyle name="40% - Accent6 4 4 5" xfId="7624"/>
    <cellStyle name="40% - Accent6 4 4 5 2" xfId="19928"/>
    <cellStyle name="40% - Accent6 4 4 5 2 2" xfId="42787"/>
    <cellStyle name="40% - Accent6 4 4 5 3" xfId="30485"/>
    <cellStyle name="40% - Accent6 4 4 6" xfId="11139"/>
    <cellStyle name="40% - Accent6 4 4 6 2" xfId="33999"/>
    <cellStyle name="40% - Accent6 4 4 7" xfId="12898"/>
    <cellStyle name="40% - Accent6 4 4 7 2" xfId="35757"/>
    <cellStyle name="40% - Accent6 4 4 8" xfId="23454"/>
    <cellStyle name="40% - Accent6 4 5" xfId="1030"/>
    <cellStyle name="40% - Accent6 4 5 2" xfId="2791"/>
    <cellStyle name="40% - Accent6 4 5 2 2" xfId="6306"/>
    <cellStyle name="40% - Accent6 4 5 2 2 2" xfId="18610"/>
    <cellStyle name="40% - Accent6 4 5 2 2 2 2" xfId="41469"/>
    <cellStyle name="40% - Accent6 4 5 2 2 3" xfId="29167"/>
    <cellStyle name="40% - Accent6 4 5 2 3" xfId="9821"/>
    <cellStyle name="40% - Accent6 4 5 2 3 2" xfId="22125"/>
    <cellStyle name="40% - Accent6 4 5 2 3 2 2" xfId="44984"/>
    <cellStyle name="40% - Accent6 4 5 2 3 3" xfId="32682"/>
    <cellStyle name="40% - Accent6 4 5 2 4" xfId="15095"/>
    <cellStyle name="40% - Accent6 4 5 2 4 2" xfId="37954"/>
    <cellStyle name="40% - Accent6 4 5 2 5" xfId="25652"/>
    <cellStyle name="40% - Accent6 4 5 3" xfId="4548"/>
    <cellStyle name="40% - Accent6 4 5 3 2" xfId="16852"/>
    <cellStyle name="40% - Accent6 4 5 3 2 2" xfId="39711"/>
    <cellStyle name="40% - Accent6 4 5 3 3" xfId="27409"/>
    <cellStyle name="40% - Accent6 4 5 4" xfId="8063"/>
    <cellStyle name="40% - Accent6 4 5 4 2" xfId="20367"/>
    <cellStyle name="40% - Accent6 4 5 4 2 2" xfId="43226"/>
    <cellStyle name="40% - Accent6 4 5 4 3" xfId="30924"/>
    <cellStyle name="40% - Accent6 4 5 5" xfId="11578"/>
    <cellStyle name="40% - Accent6 4 5 5 2" xfId="34438"/>
    <cellStyle name="40% - Accent6 4 5 6" xfId="13337"/>
    <cellStyle name="40% - Accent6 4 5 6 2" xfId="36196"/>
    <cellStyle name="40% - Accent6 4 5 7" xfId="23893"/>
    <cellStyle name="40% - Accent6 4 6" xfId="1913"/>
    <cellStyle name="40% - Accent6 4 6 2" xfId="5428"/>
    <cellStyle name="40% - Accent6 4 6 2 2" xfId="17732"/>
    <cellStyle name="40% - Accent6 4 6 2 2 2" xfId="40591"/>
    <cellStyle name="40% - Accent6 4 6 2 3" xfId="28289"/>
    <cellStyle name="40% - Accent6 4 6 3" xfId="8943"/>
    <cellStyle name="40% - Accent6 4 6 3 2" xfId="21247"/>
    <cellStyle name="40% - Accent6 4 6 3 2 2" xfId="44106"/>
    <cellStyle name="40% - Accent6 4 6 3 3" xfId="31804"/>
    <cellStyle name="40% - Accent6 4 6 4" xfId="14217"/>
    <cellStyle name="40% - Accent6 4 6 4 2" xfId="37076"/>
    <cellStyle name="40% - Accent6 4 6 5" xfId="24774"/>
    <cellStyle name="40% - Accent6 4 7" xfId="3670"/>
    <cellStyle name="40% - Accent6 4 7 2" xfId="15974"/>
    <cellStyle name="40% - Accent6 4 7 2 2" xfId="38833"/>
    <cellStyle name="40% - Accent6 4 7 3" xfId="26531"/>
    <cellStyle name="40% - Accent6 4 8" xfId="7185"/>
    <cellStyle name="40% - Accent6 4 8 2" xfId="19489"/>
    <cellStyle name="40% - Accent6 4 8 2 2" xfId="42348"/>
    <cellStyle name="40% - Accent6 4 8 3" xfId="30046"/>
    <cellStyle name="40% - Accent6 4 9" xfId="10700"/>
    <cellStyle name="40% - Accent6 4 9 2" xfId="33560"/>
    <cellStyle name="40% - Accent6 5" xfId="207"/>
    <cellStyle name="40% - Accent6 5 10" xfId="23072"/>
    <cellStyle name="40% - Accent6 5 2" xfId="419"/>
    <cellStyle name="40% - Accent6 5 2 2" xfId="860"/>
    <cellStyle name="40% - Accent6 5 2 2 2" xfId="1739"/>
    <cellStyle name="40% - Accent6 5 2 2 2 2" xfId="3500"/>
    <cellStyle name="40% - Accent6 5 2 2 2 2 2" xfId="7015"/>
    <cellStyle name="40% - Accent6 5 2 2 2 2 2 2" xfId="19319"/>
    <cellStyle name="40% - Accent6 5 2 2 2 2 2 2 2" xfId="42178"/>
    <cellStyle name="40% - Accent6 5 2 2 2 2 2 3" xfId="29876"/>
    <cellStyle name="40% - Accent6 5 2 2 2 2 3" xfId="10530"/>
    <cellStyle name="40% - Accent6 5 2 2 2 2 3 2" xfId="22834"/>
    <cellStyle name="40% - Accent6 5 2 2 2 2 3 2 2" xfId="45693"/>
    <cellStyle name="40% - Accent6 5 2 2 2 2 3 3" xfId="33391"/>
    <cellStyle name="40% - Accent6 5 2 2 2 2 4" xfId="15804"/>
    <cellStyle name="40% - Accent6 5 2 2 2 2 4 2" xfId="38663"/>
    <cellStyle name="40% - Accent6 5 2 2 2 2 5" xfId="26361"/>
    <cellStyle name="40% - Accent6 5 2 2 2 3" xfId="5257"/>
    <cellStyle name="40% - Accent6 5 2 2 2 3 2" xfId="17561"/>
    <cellStyle name="40% - Accent6 5 2 2 2 3 2 2" xfId="40420"/>
    <cellStyle name="40% - Accent6 5 2 2 2 3 3" xfId="28118"/>
    <cellStyle name="40% - Accent6 5 2 2 2 4" xfId="8772"/>
    <cellStyle name="40% - Accent6 5 2 2 2 4 2" xfId="21076"/>
    <cellStyle name="40% - Accent6 5 2 2 2 4 2 2" xfId="43935"/>
    <cellStyle name="40% - Accent6 5 2 2 2 4 3" xfId="31633"/>
    <cellStyle name="40% - Accent6 5 2 2 2 5" xfId="12287"/>
    <cellStyle name="40% - Accent6 5 2 2 2 5 2" xfId="35147"/>
    <cellStyle name="40% - Accent6 5 2 2 2 6" xfId="14046"/>
    <cellStyle name="40% - Accent6 5 2 2 2 6 2" xfId="36905"/>
    <cellStyle name="40% - Accent6 5 2 2 2 7" xfId="24602"/>
    <cellStyle name="40% - Accent6 5 2 2 3" xfId="2622"/>
    <cellStyle name="40% - Accent6 5 2 2 3 2" xfId="6137"/>
    <cellStyle name="40% - Accent6 5 2 2 3 2 2" xfId="18441"/>
    <cellStyle name="40% - Accent6 5 2 2 3 2 2 2" xfId="41300"/>
    <cellStyle name="40% - Accent6 5 2 2 3 2 3" xfId="28998"/>
    <cellStyle name="40% - Accent6 5 2 2 3 3" xfId="9652"/>
    <cellStyle name="40% - Accent6 5 2 2 3 3 2" xfId="21956"/>
    <cellStyle name="40% - Accent6 5 2 2 3 3 2 2" xfId="44815"/>
    <cellStyle name="40% - Accent6 5 2 2 3 3 3" xfId="32513"/>
    <cellStyle name="40% - Accent6 5 2 2 3 4" xfId="14926"/>
    <cellStyle name="40% - Accent6 5 2 2 3 4 2" xfId="37785"/>
    <cellStyle name="40% - Accent6 5 2 2 3 5" xfId="25483"/>
    <cellStyle name="40% - Accent6 5 2 2 4" xfId="4379"/>
    <cellStyle name="40% - Accent6 5 2 2 4 2" xfId="16683"/>
    <cellStyle name="40% - Accent6 5 2 2 4 2 2" xfId="39542"/>
    <cellStyle name="40% - Accent6 5 2 2 4 3" xfId="27240"/>
    <cellStyle name="40% - Accent6 5 2 2 5" xfId="7894"/>
    <cellStyle name="40% - Accent6 5 2 2 5 2" xfId="20198"/>
    <cellStyle name="40% - Accent6 5 2 2 5 2 2" xfId="43057"/>
    <cellStyle name="40% - Accent6 5 2 2 5 3" xfId="30755"/>
    <cellStyle name="40% - Accent6 5 2 2 6" xfId="11409"/>
    <cellStyle name="40% - Accent6 5 2 2 6 2" xfId="34269"/>
    <cellStyle name="40% - Accent6 5 2 2 7" xfId="13168"/>
    <cellStyle name="40% - Accent6 5 2 2 7 2" xfId="36027"/>
    <cellStyle name="40% - Accent6 5 2 2 8" xfId="23724"/>
    <cellStyle name="40% - Accent6 5 2 3" xfId="1300"/>
    <cellStyle name="40% - Accent6 5 2 3 2" xfId="3061"/>
    <cellStyle name="40% - Accent6 5 2 3 2 2" xfId="6576"/>
    <cellStyle name="40% - Accent6 5 2 3 2 2 2" xfId="18880"/>
    <cellStyle name="40% - Accent6 5 2 3 2 2 2 2" xfId="41739"/>
    <cellStyle name="40% - Accent6 5 2 3 2 2 3" xfId="29437"/>
    <cellStyle name="40% - Accent6 5 2 3 2 3" xfId="10091"/>
    <cellStyle name="40% - Accent6 5 2 3 2 3 2" xfId="22395"/>
    <cellStyle name="40% - Accent6 5 2 3 2 3 2 2" xfId="45254"/>
    <cellStyle name="40% - Accent6 5 2 3 2 3 3" xfId="32952"/>
    <cellStyle name="40% - Accent6 5 2 3 2 4" xfId="15365"/>
    <cellStyle name="40% - Accent6 5 2 3 2 4 2" xfId="38224"/>
    <cellStyle name="40% - Accent6 5 2 3 2 5" xfId="25922"/>
    <cellStyle name="40% - Accent6 5 2 3 3" xfId="4818"/>
    <cellStyle name="40% - Accent6 5 2 3 3 2" xfId="17122"/>
    <cellStyle name="40% - Accent6 5 2 3 3 2 2" xfId="39981"/>
    <cellStyle name="40% - Accent6 5 2 3 3 3" xfId="27679"/>
    <cellStyle name="40% - Accent6 5 2 3 4" xfId="8333"/>
    <cellStyle name="40% - Accent6 5 2 3 4 2" xfId="20637"/>
    <cellStyle name="40% - Accent6 5 2 3 4 2 2" xfId="43496"/>
    <cellStyle name="40% - Accent6 5 2 3 4 3" xfId="31194"/>
    <cellStyle name="40% - Accent6 5 2 3 5" xfId="11848"/>
    <cellStyle name="40% - Accent6 5 2 3 5 2" xfId="34708"/>
    <cellStyle name="40% - Accent6 5 2 3 6" xfId="13607"/>
    <cellStyle name="40% - Accent6 5 2 3 6 2" xfId="36466"/>
    <cellStyle name="40% - Accent6 5 2 3 7" xfId="24163"/>
    <cellStyle name="40% - Accent6 5 2 4" xfId="2183"/>
    <cellStyle name="40% - Accent6 5 2 4 2" xfId="5698"/>
    <cellStyle name="40% - Accent6 5 2 4 2 2" xfId="18002"/>
    <cellStyle name="40% - Accent6 5 2 4 2 2 2" xfId="40861"/>
    <cellStyle name="40% - Accent6 5 2 4 2 3" xfId="28559"/>
    <cellStyle name="40% - Accent6 5 2 4 3" xfId="9213"/>
    <cellStyle name="40% - Accent6 5 2 4 3 2" xfId="21517"/>
    <cellStyle name="40% - Accent6 5 2 4 3 2 2" xfId="44376"/>
    <cellStyle name="40% - Accent6 5 2 4 3 3" xfId="32074"/>
    <cellStyle name="40% - Accent6 5 2 4 4" xfId="14487"/>
    <cellStyle name="40% - Accent6 5 2 4 4 2" xfId="37346"/>
    <cellStyle name="40% - Accent6 5 2 4 5" xfId="25044"/>
    <cellStyle name="40% - Accent6 5 2 5" xfId="3940"/>
    <cellStyle name="40% - Accent6 5 2 5 2" xfId="16244"/>
    <cellStyle name="40% - Accent6 5 2 5 2 2" xfId="39103"/>
    <cellStyle name="40% - Accent6 5 2 5 3" xfId="26801"/>
    <cellStyle name="40% - Accent6 5 2 6" xfId="7455"/>
    <cellStyle name="40% - Accent6 5 2 6 2" xfId="19759"/>
    <cellStyle name="40% - Accent6 5 2 6 2 2" xfId="42618"/>
    <cellStyle name="40% - Accent6 5 2 6 3" xfId="30316"/>
    <cellStyle name="40% - Accent6 5 2 7" xfId="10970"/>
    <cellStyle name="40% - Accent6 5 2 7 2" xfId="33830"/>
    <cellStyle name="40% - Accent6 5 2 8" xfId="12729"/>
    <cellStyle name="40% - Accent6 5 2 8 2" xfId="35588"/>
    <cellStyle name="40% - Accent6 5 2 9" xfId="23284"/>
    <cellStyle name="40% - Accent6 5 3" xfId="648"/>
    <cellStyle name="40% - Accent6 5 3 2" xfId="1527"/>
    <cellStyle name="40% - Accent6 5 3 2 2" xfId="3288"/>
    <cellStyle name="40% - Accent6 5 3 2 2 2" xfId="6803"/>
    <cellStyle name="40% - Accent6 5 3 2 2 2 2" xfId="19107"/>
    <cellStyle name="40% - Accent6 5 3 2 2 2 2 2" xfId="41966"/>
    <cellStyle name="40% - Accent6 5 3 2 2 2 3" xfId="29664"/>
    <cellStyle name="40% - Accent6 5 3 2 2 3" xfId="10318"/>
    <cellStyle name="40% - Accent6 5 3 2 2 3 2" xfId="22622"/>
    <cellStyle name="40% - Accent6 5 3 2 2 3 2 2" xfId="45481"/>
    <cellStyle name="40% - Accent6 5 3 2 2 3 3" xfId="33179"/>
    <cellStyle name="40% - Accent6 5 3 2 2 4" xfId="15592"/>
    <cellStyle name="40% - Accent6 5 3 2 2 4 2" xfId="38451"/>
    <cellStyle name="40% - Accent6 5 3 2 2 5" xfId="26149"/>
    <cellStyle name="40% - Accent6 5 3 2 3" xfId="5045"/>
    <cellStyle name="40% - Accent6 5 3 2 3 2" xfId="17349"/>
    <cellStyle name="40% - Accent6 5 3 2 3 2 2" xfId="40208"/>
    <cellStyle name="40% - Accent6 5 3 2 3 3" xfId="27906"/>
    <cellStyle name="40% - Accent6 5 3 2 4" xfId="8560"/>
    <cellStyle name="40% - Accent6 5 3 2 4 2" xfId="20864"/>
    <cellStyle name="40% - Accent6 5 3 2 4 2 2" xfId="43723"/>
    <cellStyle name="40% - Accent6 5 3 2 4 3" xfId="31421"/>
    <cellStyle name="40% - Accent6 5 3 2 5" xfId="12075"/>
    <cellStyle name="40% - Accent6 5 3 2 5 2" xfId="34935"/>
    <cellStyle name="40% - Accent6 5 3 2 6" xfId="13834"/>
    <cellStyle name="40% - Accent6 5 3 2 6 2" xfId="36693"/>
    <cellStyle name="40% - Accent6 5 3 2 7" xfId="24390"/>
    <cellStyle name="40% - Accent6 5 3 3" xfId="2410"/>
    <cellStyle name="40% - Accent6 5 3 3 2" xfId="5925"/>
    <cellStyle name="40% - Accent6 5 3 3 2 2" xfId="18229"/>
    <cellStyle name="40% - Accent6 5 3 3 2 2 2" xfId="41088"/>
    <cellStyle name="40% - Accent6 5 3 3 2 3" xfId="28786"/>
    <cellStyle name="40% - Accent6 5 3 3 3" xfId="9440"/>
    <cellStyle name="40% - Accent6 5 3 3 3 2" xfId="21744"/>
    <cellStyle name="40% - Accent6 5 3 3 3 2 2" xfId="44603"/>
    <cellStyle name="40% - Accent6 5 3 3 3 3" xfId="32301"/>
    <cellStyle name="40% - Accent6 5 3 3 4" xfId="14714"/>
    <cellStyle name="40% - Accent6 5 3 3 4 2" xfId="37573"/>
    <cellStyle name="40% - Accent6 5 3 3 5" xfId="25271"/>
    <cellStyle name="40% - Accent6 5 3 4" xfId="4167"/>
    <cellStyle name="40% - Accent6 5 3 4 2" xfId="16471"/>
    <cellStyle name="40% - Accent6 5 3 4 2 2" xfId="39330"/>
    <cellStyle name="40% - Accent6 5 3 4 3" xfId="27028"/>
    <cellStyle name="40% - Accent6 5 3 5" xfId="7682"/>
    <cellStyle name="40% - Accent6 5 3 5 2" xfId="19986"/>
    <cellStyle name="40% - Accent6 5 3 5 2 2" xfId="42845"/>
    <cellStyle name="40% - Accent6 5 3 5 3" xfId="30543"/>
    <cellStyle name="40% - Accent6 5 3 6" xfId="11197"/>
    <cellStyle name="40% - Accent6 5 3 6 2" xfId="34057"/>
    <cellStyle name="40% - Accent6 5 3 7" xfId="12956"/>
    <cellStyle name="40% - Accent6 5 3 7 2" xfId="35815"/>
    <cellStyle name="40% - Accent6 5 3 8" xfId="23512"/>
    <cellStyle name="40% - Accent6 5 4" xfId="1088"/>
    <cellStyle name="40% - Accent6 5 4 2" xfId="2849"/>
    <cellStyle name="40% - Accent6 5 4 2 2" xfId="6364"/>
    <cellStyle name="40% - Accent6 5 4 2 2 2" xfId="18668"/>
    <cellStyle name="40% - Accent6 5 4 2 2 2 2" xfId="41527"/>
    <cellStyle name="40% - Accent6 5 4 2 2 3" xfId="29225"/>
    <cellStyle name="40% - Accent6 5 4 2 3" xfId="9879"/>
    <cellStyle name="40% - Accent6 5 4 2 3 2" xfId="22183"/>
    <cellStyle name="40% - Accent6 5 4 2 3 2 2" xfId="45042"/>
    <cellStyle name="40% - Accent6 5 4 2 3 3" xfId="32740"/>
    <cellStyle name="40% - Accent6 5 4 2 4" xfId="15153"/>
    <cellStyle name="40% - Accent6 5 4 2 4 2" xfId="38012"/>
    <cellStyle name="40% - Accent6 5 4 2 5" xfId="25710"/>
    <cellStyle name="40% - Accent6 5 4 3" xfId="4606"/>
    <cellStyle name="40% - Accent6 5 4 3 2" xfId="16910"/>
    <cellStyle name="40% - Accent6 5 4 3 2 2" xfId="39769"/>
    <cellStyle name="40% - Accent6 5 4 3 3" xfId="27467"/>
    <cellStyle name="40% - Accent6 5 4 4" xfId="8121"/>
    <cellStyle name="40% - Accent6 5 4 4 2" xfId="20425"/>
    <cellStyle name="40% - Accent6 5 4 4 2 2" xfId="43284"/>
    <cellStyle name="40% - Accent6 5 4 4 3" xfId="30982"/>
    <cellStyle name="40% - Accent6 5 4 5" xfId="11636"/>
    <cellStyle name="40% - Accent6 5 4 5 2" xfId="34496"/>
    <cellStyle name="40% - Accent6 5 4 6" xfId="13395"/>
    <cellStyle name="40% - Accent6 5 4 6 2" xfId="36254"/>
    <cellStyle name="40% - Accent6 5 4 7" xfId="23951"/>
    <cellStyle name="40% - Accent6 5 5" xfId="1971"/>
    <cellStyle name="40% - Accent6 5 5 2" xfId="5486"/>
    <cellStyle name="40% - Accent6 5 5 2 2" xfId="17790"/>
    <cellStyle name="40% - Accent6 5 5 2 2 2" xfId="40649"/>
    <cellStyle name="40% - Accent6 5 5 2 3" xfId="28347"/>
    <cellStyle name="40% - Accent6 5 5 3" xfId="9001"/>
    <cellStyle name="40% - Accent6 5 5 3 2" xfId="21305"/>
    <cellStyle name="40% - Accent6 5 5 3 2 2" xfId="44164"/>
    <cellStyle name="40% - Accent6 5 5 3 3" xfId="31862"/>
    <cellStyle name="40% - Accent6 5 5 4" xfId="14275"/>
    <cellStyle name="40% - Accent6 5 5 4 2" xfId="37134"/>
    <cellStyle name="40% - Accent6 5 5 5" xfId="24832"/>
    <cellStyle name="40% - Accent6 5 6" xfId="3728"/>
    <cellStyle name="40% - Accent6 5 6 2" xfId="16032"/>
    <cellStyle name="40% - Accent6 5 6 2 2" xfId="38891"/>
    <cellStyle name="40% - Accent6 5 6 3" xfId="26589"/>
    <cellStyle name="40% - Accent6 5 7" xfId="7243"/>
    <cellStyle name="40% - Accent6 5 7 2" xfId="19547"/>
    <cellStyle name="40% - Accent6 5 7 2 2" xfId="42406"/>
    <cellStyle name="40% - Accent6 5 7 3" xfId="30104"/>
    <cellStyle name="40% - Accent6 5 8" xfId="10758"/>
    <cellStyle name="40% - Accent6 5 8 2" xfId="33618"/>
    <cellStyle name="40% - Accent6 5 9" xfId="12517"/>
    <cellStyle name="40% - Accent6 5 9 2" xfId="35376"/>
    <cellStyle name="40% - Accent6 6" xfId="313"/>
    <cellStyle name="40% - Accent6 6 2" xfId="754"/>
    <cellStyle name="40% - Accent6 6 2 2" xfId="1633"/>
    <cellStyle name="40% - Accent6 6 2 2 2" xfId="3394"/>
    <cellStyle name="40% - Accent6 6 2 2 2 2" xfId="6909"/>
    <cellStyle name="40% - Accent6 6 2 2 2 2 2" xfId="19213"/>
    <cellStyle name="40% - Accent6 6 2 2 2 2 2 2" xfId="42072"/>
    <cellStyle name="40% - Accent6 6 2 2 2 2 3" xfId="29770"/>
    <cellStyle name="40% - Accent6 6 2 2 2 3" xfId="10424"/>
    <cellStyle name="40% - Accent6 6 2 2 2 3 2" xfId="22728"/>
    <cellStyle name="40% - Accent6 6 2 2 2 3 2 2" xfId="45587"/>
    <cellStyle name="40% - Accent6 6 2 2 2 3 3" xfId="33285"/>
    <cellStyle name="40% - Accent6 6 2 2 2 4" xfId="15698"/>
    <cellStyle name="40% - Accent6 6 2 2 2 4 2" xfId="38557"/>
    <cellStyle name="40% - Accent6 6 2 2 2 5" xfId="26255"/>
    <cellStyle name="40% - Accent6 6 2 2 3" xfId="5151"/>
    <cellStyle name="40% - Accent6 6 2 2 3 2" xfId="17455"/>
    <cellStyle name="40% - Accent6 6 2 2 3 2 2" xfId="40314"/>
    <cellStyle name="40% - Accent6 6 2 2 3 3" xfId="28012"/>
    <cellStyle name="40% - Accent6 6 2 2 4" xfId="8666"/>
    <cellStyle name="40% - Accent6 6 2 2 4 2" xfId="20970"/>
    <cellStyle name="40% - Accent6 6 2 2 4 2 2" xfId="43829"/>
    <cellStyle name="40% - Accent6 6 2 2 4 3" xfId="31527"/>
    <cellStyle name="40% - Accent6 6 2 2 5" xfId="12181"/>
    <cellStyle name="40% - Accent6 6 2 2 5 2" xfId="35041"/>
    <cellStyle name="40% - Accent6 6 2 2 6" xfId="13940"/>
    <cellStyle name="40% - Accent6 6 2 2 6 2" xfId="36799"/>
    <cellStyle name="40% - Accent6 6 2 2 7" xfId="24496"/>
    <cellStyle name="40% - Accent6 6 2 3" xfId="2516"/>
    <cellStyle name="40% - Accent6 6 2 3 2" xfId="6031"/>
    <cellStyle name="40% - Accent6 6 2 3 2 2" xfId="18335"/>
    <cellStyle name="40% - Accent6 6 2 3 2 2 2" xfId="41194"/>
    <cellStyle name="40% - Accent6 6 2 3 2 3" xfId="28892"/>
    <cellStyle name="40% - Accent6 6 2 3 3" xfId="9546"/>
    <cellStyle name="40% - Accent6 6 2 3 3 2" xfId="21850"/>
    <cellStyle name="40% - Accent6 6 2 3 3 2 2" xfId="44709"/>
    <cellStyle name="40% - Accent6 6 2 3 3 3" xfId="32407"/>
    <cellStyle name="40% - Accent6 6 2 3 4" xfId="14820"/>
    <cellStyle name="40% - Accent6 6 2 3 4 2" xfId="37679"/>
    <cellStyle name="40% - Accent6 6 2 3 5" xfId="25377"/>
    <cellStyle name="40% - Accent6 6 2 4" xfId="4273"/>
    <cellStyle name="40% - Accent6 6 2 4 2" xfId="16577"/>
    <cellStyle name="40% - Accent6 6 2 4 2 2" xfId="39436"/>
    <cellStyle name="40% - Accent6 6 2 4 3" xfId="27134"/>
    <cellStyle name="40% - Accent6 6 2 5" xfId="7788"/>
    <cellStyle name="40% - Accent6 6 2 5 2" xfId="20092"/>
    <cellStyle name="40% - Accent6 6 2 5 2 2" xfId="42951"/>
    <cellStyle name="40% - Accent6 6 2 5 3" xfId="30649"/>
    <cellStyle name="40% - Accent6 6 2 6" xfId="11303"/>
    <cellStyle name="40% - Accent6 6 2 6 2" xfId="34163"/>
    <cellStyle name="40% - Accent6 6 2 7" xfId="13062"/>
    <cellStyle name="40% - Accent6 6 2 7 2" xfId="35921"/>
    <cellStyle name="40% - Accent6 6 2 8" xfId="23618"/>
    <cellStyle name="40% - Accent6 6 3" xfId="1194"/>
    <cellStyle name="40% - Accent6 6 3 2" xfId="2955"/>
    <cellStyle name="40% - Accent6 6 3 2 2" xfId="6470"/>
    <cellStyle name="40% - Accent6 6 3 2 2 2" xfId="18774"/>
    <cellStyle name="40% - Accent6 6 3 2 2 2 2" xfId="41633"/>
    <cellStyle name="40% - Accent6 6 3 2 2 3" xfId="29331"/>
    <cellStyle name="40% - Accent6 6 3 2 3" xfId="9985"/>
    <cellStyle name="40% - Accent6 6 3 2 3 2" xfId="22289"/>
    <cellStyle name="40% - Accent6 6 3 2 3 2 2" xfId="45148"/>
    <cellStyle name="40% - Accent6 6 3 2 3 3" xfId="32846"/>
    <cellStyle name="40% - Accent6 6 3 2 4" xfId="15259"/>
    <cellStyle name="40% - Accent6 6 3 2 4 2" xfId="38118"/>
    <cellStyle name="40% - Accent6 6 3 2 5" xfId="25816"/>
    <cellStyle name="40% - Accent6 6 3 3" xfId="4712"/>
    <cellStyle name="40% - Accent6 6 3 3 2" xfId="17016"/>
    <cellStyle name="40% - Accent6 6 3 3 2 2" xfId="39875"/>
    <cellStyle name="40% - Accent6 6 3 3 3" xfId="27573"/>
    <cellStyle name="40% - Accent6 6 3 4" xfId="8227"/>
    <cellStyle name="40% - Accent6 6 3 4 2" xfId="20531"/>
    <cellStyle name="40% - Accent6 6 3 4 2 2" xfId="43390"/>
    <cellStyle name="40% - Accent6 6 3 4 3" xfId="31088"/>
    <cellStyle name="40% - Accent6 6 3 5" xfId="11742"/>
    <cellStyle name="40% - Accent6 6 3 5 2" xfId="34602"/>
    <cellStyle name="40% - Accent6 6 3 6" xfId="13501"/>
    <cellStyle name="40% - Accent6 6 3 6 2" xfId="36360"/>
    <cellStyle name="40% - Accent6 6 3 7" xfId="24057"/>
    <cellStyle name="40% - Accent6 6 4" xfId="2077"/>
    <cellStyle name="40% - Accent6 6 4 2" xfId="5592"/>
    <cellStyle name="40% - Accent6 6 4 2 2" xfId="17896"/>
    <cellStyle name="40% - Accent6 6 4 2 2 2" xfId="40755"/>
    <cellStyle name="40% - Accent6 6 4 2 3" xfId="28453"/>
    <cellStyle name="40% - Accent6 6 4 3" xfId="9107"/>
    <cellStyle name="40% - Accent6 6 4 3 2" xfId="21411"/>
    <cellStyle name="40% - Accent6 6 4 3 2 2" xfId="44270"/>
    <cellStyle name="40% - Accent6 6 4 3 3" xfId="31968"/>
    <cellStyle name="40% - Accent6 6 4 4" xfId="14381"/>
    <cellStyle name="40% - Accent6 6 4 4 2" xfId="37240"/>
    <cellStyle name="40% - Accent6 6 4 5" xfId="24938"/>
    <cellStyle name="40% - Accent6 6 5" xfId="3834"/>
    <cellStyle name="40% - Accent6 6 5 2" xfId="16138"/>
    <cellStyle name="40% - Accent6 6 5 2 2" xfId="38997"/>
    <cellStyle name="40% - Accent6 6 5 3" xfId="26695"/>
    <cellStyle name="40% - Accent6 6 6" xfId="7349"/>
    <cellStyle name="40% - Accent6 6 6 2" xfId="19653"/>
    <cellStyle name="40% - Accent6 6 6 2 2" xfId="42512"/>
    <cellStyle name="40% - Accent6 6 6 3" xfId="30210"/>
    <cellStyle name="40% - Accent6 6 7" xfId="10864"/>
    <cellStyle name="40% - Accent6 6 7 2" xfId="33724"/>
    <cellStyle name="40% - Accent6 6 8" xfId="12623"/>
    <cellStyle name="40% - Accent6 6 8 2" xfId="35482"/>
    <cellStyle name="40% - Accent6 6 9" xfId="23178"/>
    <cellStyle name="40% - Accent6 7" xfId="520"/>
    <cellStyle name="40% - Accent6 7 2" xfId="961"/>
    <cellStyle name="40% - Accent6 7 2 2" xfId="1840"/>
    <cellStyle name="40% - Accent6 7 2 2 2" xfId="3601"/>
    <cellStyle name="40% - Accent6 7 2 2 2 2" xfId="7116"/>
    <cellStyle name="40% - Accent6 7 2 2 2 2 2" xfId="19420"/>
    <cellStyle name="40% - Accent6 7 2 2 2 2 2 2" xfId="42279"/>
    <cellStyle name="40% - Accent6 7 2 2 2 2 3" xfId="29977"/>
    <cellStyle name="40% - Accent6 7 2 2 2 3" xfId="10631"/>
    <cellStyle name="40% - Accent6 7 2 2 2 3 2" xfId="22935"/>
    <cellStyle name="40% - Accent6 7 2 2 2 3 2 2" xfId="45794"/>
    <cellStyle name="40% - Accent6 7 2 2 2 3 3" xfId="33492"/>
    <cellStyle name="40% - Accent6 7 2 2 2 4" xfId="15905"/>
    <cellStyle name="40% - Accent6 7 2 2 2 4 2" xfId="38764"/>
    <cellStyle name="40% - Accent6 7 2 2 2 5" xfId="26462"/>
    <cellStyle name="40% - Accent6 7 2 2 3" xfId="5358"/>
    <cellStyle name="40% - Accent6 7 2 2 3 2" xfId="17662"/>
    <cellStyle name="40% - Accent6 7 2 2 3 2 2" xfId="40521"/>
    <cellStyle name="40% - Accent6 7 2 2 3 3" xfId="28219"/>
    <cellStyle name="40% - Accent6 7 2 2 4" xfId="8873"/>
    <cellStyle name="40% - Accent6 7 2 2 4 2" xfId="21177"/>
    <cellStyle name="40% - Accent6 7 2 2 4 2 2" xfId="44036"/>
    <cellStyle name="40% - Accent6 7 2 2 4 3" xfId="31734"/>
    <cellStyle name="40% - Accent6 7 2 2 5" xfId="12388"/>
    <cellStyle name="40% - Accent6 7 2 2 5 2" xfId="35248"/>
    <cellStyle name="40% - Accent6 7 2 2 6" xfId="14147"/>
    <cellStyle name="40% - Accent6 7 2 2 6 2" xfId="37006"/>
    <cellStyle name="40% - Accent6 7 2 2 7" xfId="24703"/>
    <cellStyle name="40% - Accent6 7 2 3" xfId="2723"/>
    <cellStyle name="40% - Accent6 7 2 3 2" xfId="6238"/>
    <cellStyle name="40% - Accent6 7 2 3 2 2" xfId="18542"/>
    <cellStyle name="40% - Accent6 7 2 3 2 2 2" xfId="41401"/>
    <cellStyle name="40% - Accent6 7 2 3 2 3" xfId="29099"/>
    <cellStyle name="40% - Accent6 7 2 3 3" xfId="9753"/>
    <cellStyle name="40% - Accent6 7 2 3 3 2" xfId="22057"/>
    <cellStyle name="40% - Accent6 7 2 3 3 2 2" xfId="44916"/>
    <cellStyle name="40% - Accent6 7 2 3 3 3" xfId="32614"/>
    <cellStyle name="40% - Accent6 7 2 3 4" xfId="15027"/>
    <cellStyle name="40% - Accent6 7 2 3 4 2" xfId="37886"/>
    <cellStyle name="40% - Accent6 7 2 3 5" xfId="25584"/>
    <cellStyle name="40% - Accent6 7 2 4" xfId="4480"/>
    <cellStyle name="40% - Accent6 7 2 4 2" xfId="16784"/>
    <cellStyle name="40% - Accent6 7 2 4 2 2" xfId="39643"/>
    <cellStyle name="40% - Accent6 7 2 4 3" xfId="27341"/>
    <cellStyle name="40% - Accent6 7 2 5" xfId="7995"/>
    <cellStyle name="40% - Accent6 7 2 5 2" xfId="20299"/>
    <cellStyle name="40% - Accent6 7 2 5 2 2" xfId="43158"/>
    <cellStyle name="40% - Accent6 7 2 5 3" xfId="30856"/>
    <cellStyle name="40% - Accent6 7 2 6" xfId="11510"/>
    <cellStyle name="40% - Accent6 7 2 6 2" xfId="34370"/>
    <cellStyle name="40% - Accent6 7 2 7" xfId="13269"/>
    <cellStyle name="40% - Accent6 7 2 7 2" xfId="36128"/>
    <cellStyle name="40% - Accent6 7 2 8" xfId="23825"/>
    <cellStyle name="40% - Accent6 7 3" xfId="1401"/>
    <cellStyle name="40% - Accent6 7 3 2" xfId="3162"/>
    <cellStyle name="40% - Accent6 7 3 2 2" xfId="6677"/>
    <cellStyle name="40% - Accent6 7 3 2 2 2" xfId="18981"/>
    <cellStyle name="40% - Accent6 7 3 2 2 2 2" xfId="41840"/>
    <cellStyle name="40% - Accent6 7 3 2 2 3" xfId="29538"/>
    <cellStyle name="40% - Accent6 7 3 2 3" xfId="10192"/>
    <cellStyle name="40% - Accent6 7 3 2 3 2" xfId="22496"/>
    <cellStyle name="40% - Accent6 7 3 2 3 2 2" xfId="45355"/>
    <cellStyle name="40% - Accent6 7 3 2 3 3" xfId="33053"/>
    <cellStyle name="40% - Accent6 7 3 2 4" xfId="15466"/>
    <cellStyle name="40% - Accent6 7 3 2 4 2" xfId="38325"/>
    <cellStyle name="40% - Accent6 7 3 2 5" xfId="26023"/>
    <cellStyle name="40% - Accent6 7 3 3" xfId="4919"/>
    <cellStyle name="40% - Accent6 7 3 3 2" xfId="17223"/>
    <cellStyle name="40% - Accent6 7 3 3 2 2" xfId="40082"/>
    <cellStyle name="40% - Accent6 7 3 3 3" xfId="27780"/>
    <cellStyle name="40% - Accent6 7 3 4" xfId="8434"/>
    <cellStyle name="40% - Accent6 7 3 4 2" xfId="20738"/>
    <cellStyle name="40% - Accent6 7 3 4 2 2" xfId="43597"/>
    <cellStyle name="40% - Accent6 7 3 4 3" xfId="31295"/>
    <cellStyle name="40% - Accent6 7 3 5" xfId="11949"/>
    <cellStyle name="40% - Accent6 7 3 5 2" xfId="34809"/>
    <cellStyle name="40% - Accent6 7 3 6" xfId="13708"/>
    <cellStyle name="40% - Accent6 7 3 6 2" xfId="36567"/>
    <cellStyle name="40% - Accent6 7 3 7" xfId="24264"/>
    <cellStyle name="40% - Accent6 7 4" xfId="2284"/>
    <cellStyle name="40% - Accent6 7 4 2" xfId="5799"/>
    <cellStyle name="40% - Accent6 7 4 2 2" xfId="18103"/>
    <cellStyle name="40% - Accent6 7 4 2 2 2" xfId="40962"/>
    <cellStyle name="40% - Accent6 7 4 2 3" xfId="28660"/>
    <cellStyle name="40% - Accent6 7 4 3" xfId="9314"/>
    <cellStyle name="40% - Accent6 7 4 3 2" xfId="21618"/>
    <cellStyle name="40% - Accent6 7 4 3 2 2" xfId="44477"/>
    <cellStyle name="40% - Accent6 7 4 3 3" xfId="32175"/>
    <cellStyle name="40% - Accent6 7 4 4" xfId="14588"/>
    <cellStyle name="40% - Accent6 7 4 4 2" xfId="37447"/>
    <cellStyle name="40% - Accent6 7 4 5" xfId="25145"/>
    <cellStyle name="40% - Accent6 7 5" xfId="4041"/>
    <cellStyle name="40% - Accent6 7 5 2" xfId="16345"/>
    <cellStyle name="40% - Accent6 7 5 2 2" xfId="39204"/>
    <cellStyle name="40% - Accent6 7 5 3" xfId="26902"/>
    <cellStyle name="40% - Accent6 7 6" xfId="7556"/>
    <cellStyle name="40% - Accent6 7 6 2" xfId="19860"/>
    <cellStyle name="40% - Accent6 7 6 2 2" xfId="42719"/>
    <cellStyle name="40% - Accent6 7 6 3" xfId="30417"/>
    <cellStyle name="40% - Accent6 7 7" xfId="11071"/>
    <cellStyle name="40% - Accent6 7 7 2" xfId="33931"/>
    <cellStyle name="40% - Accent6 7 8" xfId="12830"/>
    <cellStyle name="40% - Accent6 7 8 2" xfId="35689"/>
    <cellStyle name="40% - Accent6 7 9" xfId="23385"/>
    <cellStyle name="40% - Accent6 8" xfId="533"/>
    <cellStyle name="40% - Accent6 8 2" xfId="1414"/>
    <cellStyle name="40% - Accent6 8 2 2" xfId="3175"/>
    <cellStyle name="40% - Accent6 8 2 2 2" xfId="6690"/>
    <cellStyle name="40% - Accent6 8 2 2 2 2" xfId="18994"/>
    <cellStyle name="40% - Accent6 8 2 2 2 2 2" xfId="41853"/>
    <cellStyle name="40% - Accent6 8 2 2 2 3" xfId="29551"/>
    <cellStyle name="40% - Accent6 8 2 2 3" xfId="10205"/>
    <cellStyle name="40% - Accent6 8 2 2 3 2" xfId="22509"/>
    <cellStyle name="40% - Accent6 8 2 2 3 2 2" xfId="45368"/>
    <cellStyle name="40% - Accent6 8 2 2 3 3" xfId="33066"/>
    <cellStyle name="40% - Accent6 8 2 2 4" xfId="15479"/>
    <cellStyle name="40% - Accent6 8 2 2 4 2" xfId="38338"/>
    <cellStyle name="40% - Accent6 8 2 2 5" xfId="26036"/>
    <cellStyle name="40% - Accent6 8 2 3" xfId="4932"/>
    <cellStyle name="40% - Accent6 8 2 3 2" xfId="17236"/>
    <cellStyle name="40% - Accent6 8 2 3 2 2" xfId="40095"/>
    <cellStyle name="40% - Accent6 8 2 3 3" xfId="27793"/>
    <cellStyle name="40% - Accent6 8 2 4" xfId="8447"/>
    <cellStyle name="40% - Accent6 8 2 4 2" xfId="20751"/>
    <cellStyle name="40% - Accent6 8 2 4 2 2" xfId="43610"/>
    <cellStyle name="40% - Accent6 8 2 4 3" xfId="31308"/>
    <cellStyle name="40% - Accent6 8 2 5" xfId="11962"/>
    <cellStyle name="40% - Accent6 8 2 5 2" xfId="34822"/>
    <cellStyle name="40% - Accent6 8 2 6" xfId="13721"/>
    <cellStyle name="40% - Accent6 8 2 6 2" xfId="36580"/>
    <cellStyle name="40% - Accent6 8 2 7" xfId="24277"/>
    <cellStyle name="40% - Accent6 8 3" xfId="2297"/>
    <cellStyle name="40% - Accent6 8 3 2" xfId="5812"/>
    <cellStyle name="40% - Accent6 8 3 2 2" xfId="18116"/>
    <cellStyle name="40% - Accent6 8 3 2 2 2" xfId="40975"/>
    <cellStyle name="40% - Accent6 8 3 2 3" xfId="28673"/>
    <cellStyle name="40% - Accent6 8 3 3" xfId="9327"/>
    <cellStyle name="40% - Accent6 8 3 3 2" xfId="21631"/>
    <cellStyle name="40% - Accent6 8 3 3 2 2" xfId="44490"/>
    <cellStyle name="40% - Accent6 8 3 3 3" xfId="32188"/>
    <cellStyle name="40% - Accent6 8 3 4" xfId="14601"/>
    <cellStyle name="40% - Accent6 8 3 4 2" xfId="37460"/>
    <cellStyle name="40% - Accent6 8 3 5" xfId="25158"/>
    <cellStyle name="40% - Accent6 8 4" xfId="4054"/>
    <cellStyle name="40% - Accent6 8 4 2" xfId="16358"/>
    <cellStyle name="40% - Accent6 8 4 2 2" xfId="39217"/>
    <cellStyle name="40% - Accent6 8 4 3" xfId="26915"/>
    <cellStyle name="40% - Accent6 8 5" xfId="7569"/>
    <cellStyle name="40% - Accent6 8 5 2" xfId="19873"/>
    <cellStyle name="40% - Accent6 8 5 2 2" xfId="42732"/>
    <cellStyle name="40% - Accent6 8 5 3" xfId="30430"/>
    <cellStyle name="40% - Accent6 8 6" xfId="11084"/>
    <cellStyle name="40% - Accent6 8 6 2" xfId="33944"/>
    <cellStyle name="40% - Accent6 8 7" xfId="12843"/>
    <cellStyle name="40% - Accent6 8 7 2" xfId="35702"/>
    <cellStyle name="40% - Accent6 8 8" xfId="23398"/>
    <cellStyle name="40% - Accent6 9" xfId="982"/>
    <cellStyle name="40% - Accent6 9 2" xfId="2743"/>
    <cellStyle name="40% - Accent6 9 2 2" xfId="6258"/>
    <cellStyle name="40% - Accent6 9 2 2 2" xfId="18562"/>
    <cellStyle name="40% - Accent6 9 2 2 2 2" xfId="41421"/>
    <cellStyle name="40% - Accent6 9 2 2 3" xfId="29119"/>
    <cellStyle name="40% - Accent6 9 2 3" xfId="9773"/>
    <cellStyle name="40% - Accent6 9 2 3 2" xfId="22077"/>
    <cellStyle name="40% - Accent6 9 2 3 2 2" xfId="44936"/>
    <cellStyle name="40% - Accent6 9 2 3 3" xfId="32634"/>
    <cellStyle name="40% - Accent6 9 2 4" xfId="15047"/>
    <cellStyle name="40% - Accent6 9 2 4 2" xfId="37906"/>
    <cellStyle name="40% - Accent6 9 2 5" xfId="25604"/>
    <cellStyle name="40% - Accent6 9 3" xfId="4500"/>
    <cellStyle name="40% - Accent6 9 3 2" xfId="16804"/>
    <cellStyle name="40% - Accent6 9 3 2 2" xfId="39663"/>
    <cellStyle name="40% - Accent6 9 3 3" xfId="27361"/>
    <cellStyle name="40% - Accent6 9 4" xfId="8015"/>
    <cellStyle name="40% - Accent6 9 4 2" xfId="20319"/>
    <cellStyle name="40% - Accent6 9 4 2 2" xfId="43178"/>
    <cellStyle name="40% - Accent6 9 4 3" xfId="30876"/>
    <cellStyle name="40% - Accent6 9 5" xfId="11530"/>
    <cellStyle name="40% - Accent6 9 5 2" xfId="34390"/>
    <cellStyle name="40% - Accent6 9 6" xfId="13289"/>
    <cellStyle name="40% - Accent6 9 6 2" xfId="36148"/>
    <cellStyle name="40% - Accent6 9 7" xfId="23845"/>
    <cellStyle name="60% - Accent1" xfId="77" builtinId="32" customBuiltin="1"/>
    <cellStyle name="60% - Accent1 2" xfId="13"/>
    <cellStyle name="60% - Accent2" xfId="81" builtinId="36" customBuiltin="1"/>
    <cellStyle name="60% - Accent2 2" xfId="14"/>
    <cellStyle name="60% - Accent3" xfId="85" builtinId="40" customBuiltin="1"/>
    <cellStyle name="60% - Accent3 2" xfId="15"/>
    <cellStyle name="60% - Accent4" xfId="89" builtinId="44" customBuiltin="1"/>
    <cellStyle name="60% - Accent4 2" xfId="16"/>
    <cellStyle name="60% - Accent5" xfId="93" builtinId="48" customBuiltin="1"/>
    <cellStyle name="60% - Accent5 2" xfId="17"/>
    <cellStyle name="60% - Accent6" xfId="97" builtinId="52" customBuiltin="1"/>
    <cellStyle name="60% - Accent6 2" xfId="18"/>
    <cellStyle name="Accent1" xfId="74" builtinId="29" customBuiltin="1"/>
    <cellStyle name="Accent1 2" xfId="19"/>
    <cellStyle name="Accent2" xfId="78" builtinId="33" customBuiltin="1"/>
    <cellStyle name="Accent2 2" xfId="20"/>
    <cellStyle name="Accent3" xfId="82" builtinId="37" customBuiltin="1"/>
    <cellStyle name="Accent3 2" xfId="21"/>
    <cellStyle name="Accent4" xfId="86" builtinId="41" customBuiltin="1"/>
    <cellStyle name="Accent4 2" xfId="22"/>
    <cellStyle name="Accent5" xfId="90" builtinId="45" customBuiltin="1"/>
    <cellStyle name="Accent5 2" xfId="23"/>
    <cellStyle name="Accent6" xfId="94" builtinId="49" customBuiltin="1"/>
    <cellStyle name="Accent6 2" xfId="24"/>
    <cellStyle name="Bad" xfId="65" builtinId="27" customBuiltin="1"/>
    <cellStyle name="Bad 2" xfId="25"/>
    <cellStyle name="Calculation" xfId="68" builtinId="22" customBuiltin="1"/>
    <cellStyle name="Calculation 2" xfId="26"/>
    <cellStyle name="Check Cell" xfId="70" builtinId="23" customBuiltin="1"/>
    <cellStyle name="Check Cell 2" xfId="27"/>
    <cellStyle name="Comma" xfId="28" builtinId="3"/>
    <cellStyle name="Comma 2" xfId="57"/>
    <cellStyle name="Comma 2 10" xfId="3610"/>
    <cellStyle name="Comma 2 10 2" xfId="15914"/>
    <cellStyle name="Comma 2 10 2 2" xfId="38773"/>
    <cellStyle name="Comma 2 10 3" xfId="26471"/>
    <cellStyle name="Comma 2 11" xfId="7125"/>
    <cellStyle name="Comma 2 11 2" xfId="19429"/>
    <cellStyle name="Comma 2 11 2 2" xfId="42288"/>
    <cellStyle name="Comma 2 11 3" xfId="29986"/>
    <cellStyle name="Comma 2 12" xfId="10640"/>
    <cellStyle name="Comma 2 12 2" xfId="33500"/>
    <cellStyle name="Comma 2 13" xfId="12411"/>
    <cellStyle name="Comma 2 13 2" xfId="35270"/>
    <cellStyle name="Comma 2 14" xfId="22951"/>
    <cellStyle name="Comma 2 2" xfId="58"/>
    <cellStyle name="Comma 2 2 2" xfId="22952"/>
    <cellStyle name="Comma 2 3" xfId="125"/>
    <cellStyle name="Comma 2 3 10" xfId="10678"/>
    <cellStyle name="Comma 2 3 10 2" xfId="33538"/>
    <cellStyle name="Comma 2 3 11" xfId="12437"/>
    <cellStyle name="Comma 2 3 11 2" xfId="35296"/>
    <cellStyle name="Comma 2 3 12" xfId="22991"/>
    <cellStyle name="Comma 2 3 2" xfId="179"/>
    <cellStyle name="Comma 2 3 2 10" xfId="12491"/>
    <cellStyle name="Comma 2 3 2 10 2" xfId="35350"/>
    <cellStyle name="Comma 2 3 2 11" xfId="23045"/>
    <cellStyle name="Comma 2 3 2 2" xfId="287"/>
    <cellStyle name="Comma 2 3 2 2 10" xfId="23152"/>
    <cellStyle name="Comma 2 3 2 2 2" xfId="499"/>
    <cellStyle name="Comma 2 3 2 2 2 2" xfId="940"/>
    <cellStyle name="Comma 2 3 2 2 2 2 2" xfId="1819"/>
    <cellStyle name="Comma 2 3 2 2 2 2 2 2" xfId="3580"/>
    <cellStyle name="Comma 2 3 2 2 2 2 2 2 2" xfId="7095"/>
    <cellStyle name="Comma 2 3 2 2 2 2 2 2 2 2" xfId="19399"/>
    <cellStyle name="Comma 2 3 2 2 2 2 2 2 2 2 2" xfId="42258"/>
    <cellStyle name="Comma 2 3 2 2 2 2 2 2 2 3" xfId="29956"/>
    <cellStyle name="Comma 2 3 2 2 2 2 2 2 3" xfId="10610"/>
    <cellStyle name="Comma 2 3 2 2 2 2 2 2 3 2" xfId="22914"/>
    <cellStyle name="Comma 2 3 2 2 2 2 2 2 3 2 2" xfId="45773"/>
    <cellStyle name="Comma 2 3 2 2 2 2 2 2 3 3" xfId="33471"/>
    <cellStyle name="Comma 2 3 2 2 2 2 2 2 4" xfId="15884"/>
    <cellStyle name="Comma 2 3 2 2 2 2 2 2 4 2" xfId="38743"/>
    <cellStyle name="Comma 2 3 2 2 2 2 2 2 5" xfId="26441"/>
    <cellStyle name="Comma 2 3 2 2 2 2 2 3" xfId="5337"/>
    <cellStyle name="Comma 2 3 2 2 2 2 2 3 2" xfId="17641"/>
    <cellStyle name="Comma 2 3 2 2 2 2 2 3 2 2" xfId="40500"/>
    <cellStyle name="Comma 2 3 2 2 2 2 2 3 3" xfId="28198"/>
    <cellStyle name="Comma 2 3 2 2 2 2 2 4" xfId="8852"/>
    <cellStyle name="Comma 2 3 2 2 2 2 2 4 2" xfId="21156"/>
    <cellStyle name="Comma 2 3 2 2 2 2 2 4 2 2" xfId="44015"/>
    <cellStyle name="Comma 2 3 2 2 2 2 2 4 3" xfId="31713"/>
    <cellStyle name="Comma 2 3 2 2 2 2 2 5" xfId="12367"/>
    <cellStyle name="Comma 2 3 2 2 2 2 2 5 2" xfId="35227"/>
    <cellStyle name="Comma 2 3 2 2 2 2 2 6" xfId="14126"/>
    <cellStyle name="Comma 2 3 2 2 2 2 2 6 2" xfId="36985"/>
    <cellStyle name="Comma 2 3 2 2 2 2 2 7" xfId="24682"/>
    <cellStyle name="Comma 2 3 2 2 2 2 3" xfId="2702"/>
    <cellStyle name="Comma 2 3 2 2 2 2 3 2" xfId="6217"/>
    <cellStyle name="Comma 2 3 2 2 2 2 3 2 2" xfId="18521"/>
    <cellStyle name="Comma 2 3 2 2 2 2 3 2 2 2" xfId="41380"/>
    <cellStyle name="Comma 2 3 2 2 2 2 3 2 3" xfId="29078"/>
    <cellStyle name="Comma 2 3 2 2 2 2 3 3" xfId="9732"/>
    <cellStyle name="Comma 2 3 2 2 2 2 3 3 2" xfId="22036"/>
    <cellStyle name="Comma 2 3 2 2 2 2 3 3 2 2" xfId="44895"/>
    <cellStyle name="Comma 2 3 2 2 2 2 3 3 3" xfId="32593"/>
    <cellStyle name="Comma 2 3 2 2 2 2 3 4" xfId="15006"/>
    <cellStyle name="Comma 2 3 2 2 2 2 3 4 2" xfId="37865"/>
    <cellStyle name="Comma 2 3 2 2 2 2 3 5" xfId="25563"/>
    <cellStyle name="Comma 2 3 2 2 2 2 4" xfId="4459"/>
    <cellStyle name="Comma 2 3 2 2 2 2 4 2" xfId="16763"/>
    <cellStyle name="Comma 2 3 2 2 2 2 4 2 2" xfId="39622"/>
    <cellStyle name="Comma 2 3 2 2 2 2 4 3" xfId="27320"/>
    <cellStyle name="Comma 2 3 2 2 2 2 5" xfId="7974"/>
    <cellStyle name="Comma 2 3 2 2 2 2 5 2" xfId="20278"/>
    <cellStyle name="Comma 2 3 2 2 2 2 5 2 2" xfId="43137"/>
    <cellStyle name="Comma 2 3 2 2 2 2 5 3" xfId="30835"/>
    <cellStyle name="Comma 2 3 2 2 2 2 6" xfId="11489"/>
    <cellStyle name="Comma 2 3 2 2 2 2 6 2" xfId="34349"/>
    <cellStyle name="Comma 2 3 2 2 2 2 7" xfId="13248"/>
    <cellStyle name="Comma 2 3 2 2 2 2 7 2" xfId="36107"/>
    <cellStyle name="Comma 2 3 2 2 2 2 8" xfId="23804"/>
    <cellStyle name="Comma 2 3 2 2 2 3" xfId="1380"/>
    <cellStyle name="Comma 2 3 2 2 2 3 2" xfId="3141"/>
    <cellStyle name="Comma 2 3 2 2 2 3 2 2" xfId="6656"/>
    <cellStyle name="Comma 2 3 2 2 2 3 2 2 2" xfId="18960"/>
    <cellStyle name="Comma 2 3 2 2 2 3 2 2 2 2" xfId="41819"/>
    <cellStyle name="Comma 2 3 2 2 2 3 2 2 3" xfId="29517"/>
    <cellStyle name="Comma 2 3 2 2 2 3 2 3" xfId="10171"/>
    <cellStyle name="Comma 2 3 2 2 2 3 2 3 2" xfId="22475"/>
    <cellStyle name="Comma 2 3 2 2 2 3 2 3 2 2" xfId="45334"/>
    <cellStyle name="Comma 2 3 2 2 2 3 2 3 3" xfId="33032"/>
    <cellStyle name="Comma 2 3 2 2 2 3 2 4" xfId="15445"/>
    <cellStyle name="Comma 2 3 2 2 2 3 2 4 2" xfId="38304"/>
    <cellStyle name="Comma 2 3 2 2 2 3 2 5" xfId="26002"/>
    <cellStyle name="Comma 2 3 2 2 2 3 3" xfId="4898"/>
    <cellStyle name="Comma 2 3 2 2 2 3 3 2" xfId="17202"/>
    <cellStyle name="Comma 2 3 2 2 2 3 3 2 2" xfId="40061"/>
    <cellStyle name="Comma 2 3 2 2 2 3 3 3" xfId="27759"/>
    <cellStyle name="Comma 2 3 2 2 2 3 4" xfId="8413"/>
    <cellStyle name="Comma 2 3 2 2 2 3 4 2" xfId="20717"/>
    <cellStyle name="Comma 2 3 2 2 2 3 4 2 2" xfId="43576"/>
    <cellStyle name="Comma 2 3 2 2 2 3 4 3" xfId="31274"/>
    <cellStyle name="Comma 2 3 2 2 2 3 5" xfId="11928"/>
    <cellStyle name="Comma 2 3 2 2 2 3 5 2" xfId="34788"/>
    <cellStyle name="Comma 2 3 2 2 2 3 6" xfId="13687"/>
    <cellStyle name="Comma 2 3 2 2 2 3 6 2" xfId="36546"/>
    <cellStyle name="Comma 2 3 2 2 2 3 7" xfId="24243"/>
    <cellStyle name="Comma 2 3 2 2 2 4" xfId="2263"/>
    <cellStyle name="Comma 2 3 2 2 2 4 2" xfId="5778"/>
    <cellStyle name="Comma 2 3 2 2 2 4 2 2" xfId="18082"/>
    <cellStyle name="Comma 2 3 2 2 2 4 2 2 2" xfId="40941"/>
    <cellStyle name="Comma 2 3 2 2 2 4 2 3" xfId="28639"/>
    <cellStyle name="Comma 2 3 2 2 2 4 3" xfId="9293"/>
    <cellStyle name="Comma 2 3 2 2 2 4 3 2" xfId="21597"/>
    <cellStyle name="Comma 2 3 2 2 2 4 3 2 2" xfId="44456"/>
    <cellStyle name="Comma 2 3 2 2 2 4 3 3" xfId="32154"/>
    <cellStyle name="Comma 2 3 2 2 2 4 4" xfId="14567"/>
    <cellStyle name="Comma 2 3 2 2 2 4 4 2" xfId="37426"/>
    <cellStyle name="Comma 2 3 2 2 2 4 5" xfId="25124"/>
    <cellStyle name="Comma 2 3 2 2 2 5" xfId="4020"/>
    <cellStyle name="Comma 2 3 2 2 2 5 2" xfId="16324"/>
    <cellStyle name="Comma 2 3 2 2 2 5 2 2" xfId="39183"/>
    <cellStyle name="Comma 2 3 2 2 2 5 3" xfId="26881"/>
    <cellStyle name="Comma 2 3 2 2 2 6" xfId="7535"/>
    <cellStyle name="Comma 2 3 2 2 2 6 2" xfId="19839"/>
    <cellStyle name="Comma 2 3 2 2 2 6 2 2" xfId="42698"/>
    <cellStyle name="Comma 2 3 2 2 2 6 3" xfId="30396"/>
    <cellStyle name="Comma 2 3 2 2 2 7" xfId="11050"/>
    <cellStyle name="Comma 2 3 2 2 2 7 2" xfId="33910"/>
    <cellStyle name="Comma 2 3 2 2 2 8" xfId="12809"/>
    <cellStyle name="Comma 2 3 2 2 2 8 2" xfId="35668"/>
    <cellStyle name="Comma 2 3 2 2 2 9" xfId="23364"/>
    <cellStyle name="Comma 2 3 2 2 3" xfId="728"/>
    <cellStyle name="Comma 2 3 2 2 3 2" xfId="1607"/>
    <cellStyle name="Comma 2 3 2 2 3 2 2" xfId="3368"/>
    <cellStyle name="Comma 2 3 2 2 3 2 2 2" xfId="6883"/>
    <cellStyle name="Comma 2 3 2 2 3 2 2 2 2" xfId="19187"/>
    <cellStyle name="Comma 2 3 2 2 3 2 2 2 2 2" xfId="42046"/>
    <cellStyle name="Comma 2 3 2 2 3 2 2 2 3" xfId="29744"/>
    <cellStyle name="Comma 2 3 2 2 3 2 2 3" xfId="10398"/>
    <cellStyle name="Comma 2 3 2 2 3 2 2 3 2" xfId="22702"/>
    <cellStyle name="Comma 2 3 2 2 3 2 2 3 2 2" xfId="45561"/>
    <cellStyle name="Comma 2 3 2 2 3 2 2 3 3" xfId="33259"/>
    <cellStyle name="Comma 2 3 2 2 3 2 2 4" xfId="15672"/>
    <cellStyle name="Comma 2 3 2 2 3 2 2 4 2" xfId="38531"/>
    <cellStyle name="Comma 2 3 2 2 3 2 2 5" xfId="26229"/>
    <cellStyle name="Comma 2 3 2 2 3 2 3" xfId="5125"/>
    <cellStyle name="Comma 2 3 2 2 3 2 3 2" xfId="17429"/>
    <cellStyle name="Comma 2 3 2 2 3 2 3 2 2" xfId="40288"/>
    <cellStyle name="Comma 2 3 2 2 3 2 3 3" xfId="27986"/>
    <cellStyle name="Comma 2 3 2 2 3 2 4" xfId="8640"/>
    <cellStyle name="Comma 2 3 2 2 3 2 4 2" xfId="20944"/>
    <cellStyle name="Comma 2 3 2 2 3 2 4 2 2" xfId="43803"/>
    <cellStyle name="Comma 2 3 2 2 3 2 4 3" xfId="31501"/>
    <cellStyle name="Comma 2 3 2 2 3 2 5" xfId="12155"/>
    <cellStyle name="Comma 2 3 2 2 3 2 5 2" xfId="35015"/>
    <cellStyle name="Comma 2 3 2 2 3 2 6" xfId="13914"/>
    <cellStyle name="Comma 2 3 2 2 3 2 6 2" xfId="36773"/>
    <cellStyle name="Comma 2 3 2 2 3 2 7" xfId="24470"/>
    <cellStyle name="Comma 2 3 2 2 3 3" xfId="2490"/>
    <cellStyle name="Comma 2 3 2 2 3 3 2" xfId="6005"/>
    <cellStyle name="Comma 2 3 2 2 3 3 2 2" xfId="18309"/>
    <cellStyle name="Comma 2 3 2 2 3 3 2 2 2" xfId="41168"/>
    <cellStyle name="Comma 2 3 2 2 3 3 2 3" xfId="28866"/>
    <cellStyle name="Comma 2 3 2 2 3 3 3" xfId="9520"/>
    <cellStyle name="Comma 2 3 2 2 3 3 3 2" xfId="21824"/>
    <cellStyle name="Comma 2 3 2 2 3 3 3 2 2" xfId="44683"/>
    <cellStyle name="Comma 2 3 2 2 3 3 3 3" xfId="32381"/>
    <cellStyle name="Comma 2 3 2 2 3 3 4" xfId="14794"/>
    <cellStyle name="Comma 2 3 2 2 3 3 4 2" xfId="37653"/>
    <cellStyle name="Comma 2 3 2 2 3 3 5" xfId="25351"/>
    <cellStyle name="Comma 2 3 2 2 3 4" xfId="4247"/>
    <cellStyle name="Comma 2 3 2 2 3 4 2" xfId="16551"/>
    <cellStyle name="Comma 2 3 2 2 3 4 2 2" xfId="39410"/>
    <cellStyle name="Comma 2 3 2 2 3 4 3" xfId="27108"/>
    <cellStyle name="Comma 2 3 2 2 3 5" xfId="7762"/>
    <cellStyle name="Comma 2 3 2 2 3 5 2" xfId="20066"/>
    <cellStyle name="Comma 2 3 2 2 3 5 2 2" xfId="42925"/>
    <cellStyle name="Comma 2 3 2 2 3 5 3" xfId="30623"/>
    <cellStyle name="Comma 2 3 2 2 3 6" xfId="11277"/>
    <cellStyle name="Comma 2 3 2 2 3 6 2" xfId="34137"/>
    <cellStyle name="Comma 2 3 2 2 3 7" xfId="13036"/>
    <cellStyle name="Comma 2 3 2 2 3 7 2" xfId="35895"/>
    <cellStyle name="Comma 2 3 2 2 3 8" xfId="23592"/>
    <cellStyle name="Comma 2 3 2 2 4" xfId="1168"/>
    <cellStyle name="Comma 2 3 2 2 4 2" xfId="2929"/>
    <cellStyle name="Comma 2 3 2 2 4 2 2" xfId="6444"/>
    <cellStyle name="Comma 2 3 2 2 4 2 2 2" xfId="18748"/>
    <cellStyle name="Comma 2 3 2 2 4 2 2 2 2" xfId="41607"/>
    <cellStyle name="Comma 2 3 2 2 4 2 2 3" xfId="29305"/>
    <cellStyle name="Comma 2 3 2 2 4 2 3" xfId="9959"/>
    <cellStyle name="Comma 2 3 2 2 4 2 3 2" xfId="22263"/>
    <cellStyle name="Comma 2 3 2 2 4 2 3 2 2" xfId="45122"/>
    <cellStyle name="Comma 2 3 2 2 4 2 3 3" xfId="32820"/>
    <cellStyle name="Comma 2 3 2 2 4 2 4" xfId="15233"/>
    <cellStyle name="Comma 2 3 2 2 4 2 4 2" xfId="38092"/>
    <cellStyle name="Comma 2 3 2 2 4 2 5" xfId="25790"/>
    <cellStyle name="Comma 2 3 2 2 4 3" xfId="4686"/>
    <cellStyle name="Comma 2 3 2 2 4 3 2" xfId="16990"/>
    <cellStyle name="Comma 2 3 2 2 4 3 2 2" xfId="39849"/>
    <cellStyle name="Comma 2 3 2 2 4 3 3" xfId="27547"/>
    <cellStyle name="Comma 2 3 2 2 4 4" xfId="8201"/>
    <cellStyle name="Comma 2 3 2 2 4 4 2" xfId="20505"/>
    <cellStyle name="Comma 2 3 2 2 4 4 2 2" xfId="43364"/>
    <cellStyle name="Comma 2 3 2 2 4 4 3" xfId="31062"/>
    <cellStyle name="Comma 2 3 2 2 4 5" xfId="11716"/>
    <cellStyle name="Comma 2 3 2 2 4 5 2" xfId="34576"/>
    <cellStyle name="Comma 2 3 2 2 4 6" xfId="13475"/>
    <cellStyle name="Comma 2 3 2 2 4 6 2" xfId="36334"/>
    <cellStyle name="Comma 2 3 2 2 4 7" xfId="24031"/>
    <cellStyle name="Comma 2 3 2 2 5" xfId="2051"/>
    <cellStyle name="Comma 2 3 2 2 5 2" xfId="5566"/>
    <cellStyle name="Comma 2 3 2 2 5 2 2" xfId="17870"/>
    <cellStyle name="Comma 2 3 2 2 5 2 2 2" xfId="40729"/>
    <cellStyle name="Comma 2 3 2 2 5 2 3" xfId="28427"/>
    <cellStyle name="Comma 2 3 2 2 5 3" xfId="9081"/>
    <cellStyle name="Comma 2 3 2 2 5 3 2" xfId="21385"/>
    <cellStyle name="Comma 2 3 2 2 5 3 2 2" xfId="44244"/>
    <cellStyle name="Comma 2 3 2 2 5 3 3" xfId="31942"/>
    <cellStyle name="Comma 2 3 2 2 5 4" xfId="14355"/>
    <cellStyle name="Comma 2 3 2 2 5 4 2" xfId="37214"/>
    <cellStyle name="Comma 2 3 2 2 5 5" xfId="24912"/>
    <cellStyle name="Comma 2 3 2 2 6" xfId="3808"/>
    <cellStyle name="Comma 2 3 2 2 6 2" xfId="16112"/>
    <cellStyle name="Comma 2 3 2 2 6 2 2" xfId="38971"/>
    <cellStyle name="Comma 2 3 2 2 6 3" xfId="26669"/>
    <cellStyle name="Comma 2 3 2 2 7" xfId="7323"/>
    <cellStyle name="Comma 2 3 2 2 7 2" xfId="19627"/>
    <cellStyle name="Comma 2 3 2 2 7 2 2" xfId="42486"/>
    <cellStyle name="Comma 2 3 2 2 7 3" xfId="30184"/>
    <cellStyle name="Comma 2 3 2 2 8" xfId="10838"/>
    <cellStyle name="Comma 2 3 2 2 8 2" xfId="33698"/>
    <cellStyle name="Comma 2 3 2 2 9" xfId="12597"/>
    <cellStyle name="Comma 2 3 2 2 9 2" xfId="35456"/>
    <cellStyle name="Comma 2 3 2 3" xfId="393"/>
    <cellStyle name="Comma 2 3 2 3 2" xfId="834"/>
    <cellStyle name="Comma 2 3 2 3 2 2" xfId="1713"/>
    <cellStyle name="Comma 2 3 2 3 2 2 2" xfId="3474"/>
    <cellStyle name="Comma 2 3 2 3 2 2 2 2" xfId="6989"/>
    <cellStyle name="Comma 2 3 2 3 2 2 2 2 2" xfId="19293"/>
    <cellStyle name="Comma 2 3 2 3 2 2 2 2 2 2" xfId="42152"/>
    <cellStyle name="Comma 2 3 2 3 2 2 2 2 3" xfId="29850"/>
    <cellStyle name="Comma 2 3 2 3 2 2 2 3" xfId="10504"/>
    <cellStyle name="Comma 2 3 2 3 2 2 2 3 2" xfId="22808"/>
    <cellStyle name="Comma 2 3 2 3 2 2 2 3 2 2" xfId="45667"/>
    <cellStyle name="Comma 2 3 2 3 2 2 2 3 3" xfId="33365"/>
    <cellStyle name="Comma 2 3 2 3 2 2 2 4" xfId="15778"/>
    <cellStyle name="Comma 2 3 2 3 2 2 2 4 2" xfId="38637"/>
    <cellStyle name="Comma 2 3 2 3 2 2 2 5" xfId="26335"/>
    <cellStyle name="Comma 2 3 2 3 2 2 3" xfId="5231"/>
    <cellStyle name="Comma 2 3 2 3 2 2 3 2" xfId="17535"/>
    <cellStyle name="Comma 2 3 2 3 2 2 3 2 2" xfId="40394"/>
    <cellStyle name="Comma 2 3 2 3 2 2 3 3" xfId="28092"/>
    <cellStyle name="Comma 2 3 2 3 2 2 4" xfId="8746"/>
    <cellStyle name="Comma 2 3 2 3 2 2 4 2" xfId="21050"/>
    <cellStyle name="Comma 2 3 2 3 2 2 4 2 2" xfId="43909"/>
    <cellStyle name="Comma 2 3 2 3 2 2 4 3" xfId="31607"/>
    <cellStyle name="Comma 2 3 2 3 2 2 5" xfId="12261"/>
    <cellStyle name="Comma 2 3 2 3 2 2 5 2" xfId="35121"/>
    <cellStyle name="Comma 2 3 2 3 2 2 6" xfId="14020"/>
    <cellStyle name="Comma 2 3 2 3 2 2 6 2" xfId="36879"/>
    <cellStyle name="Comma 2 3 2 3 2 2 7" xfId="24576"/>
    <cellStyle name="Comma 2 3 2 3 2 3" xfId="2596"/>
    <cellStyle name="Comma 2 3 2 3 2 3 2" xfId="6111"/>
    <cellStyle name="Comma 2 3 2 3 2 3 2 2" xfId="18415"/>
    <cellStyle name="Comma 2 3 2 3 2 3 2 2 2" xfId="41274"/>
    <cellStyle name="Comma 2 3 2 3 2 3 2 3" xfId="28972"/>
    <cellStyle name="Comma 2 3 2 3 2 3 3" xfId="9626"/>
    <cellStyle name="Comma 2 3 2 3 2 3 3 2" xfId="21930"/>
    <cellStyle name="Comma 2 3 2 3 2 3 3 2 2" xfId="44789"/>
    <cellStyle name="Comma 2 3 2 3 2 3 3 3" xfId="32487"/>
    <cellStyle name="Comma 2 3 2 3 2 3 4" xfId="14900"/>
    <cellStyle name="Comma 2 3 2 3 2 3 4 2" xfId="37759"/>
    <cellStyle name="Comma 2 3 2 3 2 3 5" xfId="25457"/>
    <cellStyle name="Comma 2 3 2 3 2 4" xfId="4353"/>
    <cellStyle name="Comma 2 3 2 3 2 4 2" xfId="16657"/>
    <cellStyle name="Comma 2 3 2 3 2 4 2 2" xfId="39516"/>
    <cellStyle name="Comma 2 3 2 3 2 4 3" xfId="27214"/>
    <cellStyle name="Comma 2 3 2 3 2 5" xfId="7868"/>
    <cellStyle name="Comma 2 3 2 3 2 5 2" xfId="20172"/>
    <cellStyle name="Comma 2 3 2 3 2 5 2 2" xfId="43031"/>
    <cellStyle name="Comma 2 3 2 3 2 5 3" xfId="30729"/>
    <cellStyle name="Comma 2 3 2 3 2 6" xfId="11383"/>
    <cellStyle name="Comma 2 3 2 3 2 6 2" xfId="34243"/>
    <cellStyle name="Comma 2 3 2 3 2 7" xfId="13142"/>
    <cellStyle name="Comma 2 3 2 3 2 7 2" xfId="36001"/>
    <cellStyle name="Comma 2 3 2 3 2 8" xfId="23698"/>
    <cellStyle name="Comma 2 3 2 3 3" xfId="1274"/>
    <cellStyle name="Comma 2 3 2 3 3 2" xfId="3035"/>
    <cellStyle name="Comma 2 3 2 3 3 2 2" xfId="6550"/>
    <cellStyle name="Comma 2 3 2 3 3 2 2 2" xfId="18854"/>
    <cellStyle name="Comma 2 3 2 3 3 2 2 2 2" xfId="41713"/>
    <cellStyle name="Comma 2 3 2 3 3 2 2 3" xfId="29411"/>
    <cellStyle name="Comma 2 3 2 3 3 2 3" xfId="10065"/>
    <cellStyle name="Comma 2 3 2 3 3 2 3 2" xfId="22369"/>
    <cellStyle name="Comma 2 3 2 3 3 2 3 2 2" xfId="45228"/>
    <cellStyle name="Comma 2 3 2 3 3 2 3 3" xfId="32926"/>
    <cellStyle name="Comma 2 3 2 3 3 2 4" xfId="15339"/>
    <cellStyle name="Comma 2 3 2 3 3 2 4 2" xfId="38198"/>
    <cellStyle name="Comma 2 3 2 3 3 2 5" xfId="25896"/>
    <cellStyle name="Comma 2 3 2 3 3 3" xfId="4792"/>
    <cellStyle name="Comma 2 3 2 3 3 3 2" xfId="17096"/>
    <cellStyle name="Comma 2 3 2 3 3 3 2 2" xfId="39955"/>
    <cellStyle name="Comma 2 3 2 3 3 3 3" xfId="27653"/>
    <cellStyle name="Comma 2 3 2 3 3 4" xfId="8307"/>
    <cellStyle name="Comma 2 3 2 3 3 4 2" xfId="20611"/>
    <cellStyle name="Comma 2 3 2 3 3 4 2 2" xfId="43470"/>
    <cellStyle name="Comma 2 3 2 3 3 4 3" xfId="31168"/>
    <cellStyle name="Comma 2 3 2 3 3 5" xfId="11822"/>
    <cellStyle name="Comma 2 3 2 3 3 5 2" xfId="34682"/>
    <cellStyle name="Comma 2 3 2 3 3 6" xfId="13581"/>
    <cellStyle name="Comma 2 3 2 3 3 6 2" xfId="36440"/>
    <cellStyle name="Comma 2 3 2 3 3 7" xfId="24137"/>
    <cellStyle name="Comma 2 3 2 3 4" xfId="2157"/>
    <cellStyle name="Comma 2 3 2 3 4 2" xfId="5672"/>
    <cellStyle name="Comma 2 3 2 3 4 2 2" xfId="17976"/>
    <cellStyle name="Comma 2 3 2 3 4 2 2 2" xfId="40835"/>
    <cellStyle name="Comma 2 3 2 3 4 2 3" xfId="28533"/>
    <cellStyle name="Comma 2 3 2 3 4 3" xfId="9187"/>
    <cellStyle name="Comma 2 3 2 3 4 3 2" xfId="21491"/>
    <cellStyle name="Comma 2 3 2 3 4 3 2 2" xfId="44350"/>
    <cellStyle name="Comma 2 3 2 3 4 3 3" xfId="32048"/>
    <cellStyle name="Comma 2 3 2 3 4 4" xfId="14461"/>
    <cellStyle name="Comma 2 3 2 3 4 4 2" xfId="37320"/>
    <cellStyle name="Comma 2 3 2 3 4 5" xfId="25018"/>
    <cellStyle name="Comma 2 3 2 3 5" xfId="3914"/>
    <cellStyle name="Comma 2 3 2 3 5 2" xfId="16218"/>
    <cellStyle name="Comma 2 3 2 3 5 2 2" xfId="39077"/>
    <cellStyle name="Comma 2 3 2 3 5 3" xfId="26775"/>
    <cellStyle name="Comma 2 3 2 3 6" xfId="7429"/>
    <cellStyle name="Comma 2 3 2 3 6 2" xfId="19733"/>
    <cellStyle name="Comma 2 3 2 3 6 2 2" xfId="42592"/>
    <cellStyle name="Comma 2 3 2 3 6 3" xfId="30290"/>
    <cellStyle name="Comma 2 3 2 3 7" xfId="10944"/>
    <cellStyle name="Comma 2 3 2 3 7 2" xfId="33804"/>
    <cellStyle name="Comma 2 3 2 3 8" xfId="12703"/>
    <cellStyle name="Comma 2 3 2 3 8 2" xfId="35562"/>
    <cellStyle name="Comma 2 3 2 3 9" xfId="23258"/>
    <cellStyle name="Comma 2 3 2 4" xfId="622"/>
    <cellStyle name="Comma 2 3 2 4 2" xfId="1501"/>
    <cellStyle name="Comma 2 3 2 4 2 2" xfId="3262"/>
    <cellStyle name="Comma 2 3 2 4 2 2 2" xfId="6777"/>
    <cellStyle name="Comma 2 3 2 4 2 2 2 2" xfId="19081"/>
    <cellStyle name="Comma 2 3 2 4 2 2 2 2 2" xfId="41940"/>
    <cellStyle name="Comma 2 3 2 4 2 2 2 3" xfId="29638"/>
    <cellStyle name="Comma 2 3 2 4 2 2 3" xfId="10292"/>
    <cellStyle name="Comma 2 3 2 4 2 2 3 2" xfId="22596"/>
    <cellStyle name="Comma 2 3 2 4 2 2 3 2 2" xfId="45455"/>
    <cellStyle name="Comma 2 3 2 4 2 2 3 3" xfId="33153"/>
    <cellStyle name="Comma 2 3 2 4 2 2 4" xfId="15566"/>
    <cellStyle name="Comma 2 3 2 4 2 2 4 2" xfId="38425"/>
    <cellStyle name="Comma 2 3 2 4 2 2 5" xfId="26123"/>
    <cellStyle name="Comma 2 3 2 4 2 3" xfId="5019"/>
    <cellStyle name="Comma 2 3 2 4 2 3 2" xfId="17323"/>
    <cellStyle name="Comma 2 3 2 4 2 3 2 2" xfId="40182"/>
    <cellStyle name="Comma 2 3 2 4 2 3 3" xfId="27880"/>
    <cellStyle name="Comma 2 3 2 4 2 4" xfId="8534"/>
    <cellStyle name="Comma 2 3 2 4 2 4 2" xfId="20838"/>
    <cellStyle name="Comma 2 3 2 4 2 4 2 2" xfId="43697"/>
    <cellStyle name="Comma 2 3 2 4 2 4 3" xfId="31395"/>
    <cellStyle name="Comma 2 3 2 4 2 5" xfId="12049"/>
    <cellStyle name="Comma 2 3 2 4 2 5 2" xfId="34909"/>
    <cellStyle name="Comma 2 3 2 4 2 6" xfId="13808"/>
    <cellStyle name="Comma 2 3 2 4 2 6 2" xfId="36667"/>
    <cellStyle name="Comma 2 3 2 4 2 7" xfId="24364"/>
    <cellStyle name="Comma 2 3 2 4 3" xfId="2384"/>
    <cellStyle name="Comma 2 3 2 4 3 2" xfId="5899"/>
    <cellStyle name="Comma 2 3 2 4 3 2 2" xfId="18203"/>
    <cellStyle name="Comma 2 3 2 4 3 2 2 2" xfId="41062"/>
    <cellStyle name="Comma 2 3 2 4 3 2 3" xfId="28760"/>
    <cellStyle name="Comma 2 3 2 4 3 3" xfId="9414"/>
    <cellStyle name="Comma 2 3 2 4 3 3 2" xfId="21718"/>
    <cellStyle name="Comma 2 3 2 4 3 3 2 2" xfId="44577"/>
    <cellStyle name="Comma 2 3 2 4 3 3 3" xfId="32275"/>
    <cellStyle name="Comma 2 3 2 4 3 4" xfId="14688"/>
    <cellStyle name="Comma 2 3 2 4 3 4 2" xfId="37547"/>
    <cellStyle name="Comma 2 3 2 4 3 5" xfId="25245"/>
    <cellStyle name="Comma 2 3 2 4 4" xfId="4141"/>
    <cellStyle name="Comma 2 3 2 4 4 2" xfId="16445"/>
    <cellStyle name="Comma 2 3 2 4 4 2 2" xfId="39304"/>
    <cellStyle name="Comma 2 3 2 4 4 3" xfId="27002"/>
    <cellStyle name="Comma 2 3 2 4 5" xfId="7656"/>
    <cellStyle name="Comma 2 3 2 4 5 2" xfId="19960"/>
    <cellStyle name="Comma 2 3 2 4 5 2 2" xfId="42819"/>
    <cellStyle name="Comma 2 3 2 4 5 3" xfId="30517"/>
    <cellStyle name="Comma 2 3 2 4 6" xfId="11171"/>
    <cellStyle name="Comma 2 3 2 4 6 2" xfId="34031"/>
    <cellStyle name="Comma 2 3 2 4 7" xfId="12930"/>
    <cellStyle name="Comma 2 3 2 4 7 2" xfId="35789"/>
    <cellStyle name="Comma 2 3 2 4 8" xfId="23486"/>
    <cellStyle name="Comma 2 3 2 5" xfId="1062"/>
    <cellStyle name="Comma 2 3 2 5 2" xfId="2823"/>
    <cellStyle name="Comma 2 3 2 5 2 2" xfId="6338"/>
    <cellStyle name="Comma 2 3 2 5 2 2 2" xfId="18642"/>
    <cellStyle name="Comma 2 3 2 5 2 2 2 2" xfId="41501"/>
    <cellStyle name="Comma 2 3 2 5 2 2 3" xfId="29199"/>
    <cellStyle name="Comma 2 3 2 5 2 3" xfId="9853"/>
    <cellStyle name="Comma 2 3 2 5 2 3 2" xfId="22157"/>
    <cellStyle name="Comma 2 3 2 5 2 3 2 2" xfId="45016"/>
    <cellStyle name="Comma 2 3 2 5 2 3 3" xfId="32714"/>
    <cellStyle name="Comma 2 3 2 5 2 4" xfId="15127"/>
    <cellStyle name="Comma 2 3 2 5 2 4 2" xfId="37986"/>
    <cellStyle name="Comma 2 3 2 5 2 5" xfId="25684"/>
    <cellStyle name="Comma 2 3 2 5 3" xfId="4580"/>
    <cellStyle name="Comma 2 3 2 5 3 2" xfId="16884"/>
    <cellStyle name="Comma 2 3 2 5 3 2 2" xfId="39743"/>
    <cellStyle name="Comma 2 3 2 5 3 3" xfId="27441"/>
    <cellStyle name="Comma 2 3 2 5 4" xfId="8095"/>
    <cellStyle name="Comma 2 3 2 5 4 2" xfId="20399"/>
    <cellStyle name="Comma 2 3 2 5 4 2 2" xfId="43258"/>
    <cellStyle name="Comma 2 3 2 5 4 3" xfId="30956"/>
    <cellStyle name="Comma 2 3 2 5 5" xfId="11610"/>
    <cellStyle name="Comma 2 3 2 5 5 2" xfId="34470"/>
    <cellStyle name="Comma 2 3 2 5 6" xfId="13369"/>
    <cellStyle name="Comma 2 3 2 5 6 2" xfId="36228"/>
    <cellStyle name="Comma 2 3 2 5 7" xfId="23925"/>
    <cellStyle name="Comma 2 3 2 6" xfId="1945"/>
    <cellStyle name="Comma 2 3 2 6 2" xfId="5460"/>
    <cellStyle name="Comma 2 3 2 6 2 2" xfId="17764"/>
    <cellStyle name="Comma 2 3 2 6 2 2 2" xfId="40623"/>
    <cellStyle name="Comma 2 3 2 6 2 3" xfId="28321"/>
    <cellStyle name="Comma 2 3 2 6 3" xfId="8975"/>
    <cellStyle name="Comma 2 3 2 6 3 2" xfId="21279"/>
    <cellStyle name="Comma 2 3 2 6 3 2 2" xfId="44138"/>
    <cellStyle name="Comma 2 3 2 6 3 3" xfId="31836"/>
    <cellStyle name="Comma 2 3 2 6 4" xfId="14249"/>
    <cellStyle name="Comma 2 3 2 6 4 2" xfId="37108"/>
    <cellStyle name="Comma 2 3 2 6 5" xfId="24806"/>
    <cellStyle name="Comma 2 3 2 7" xfId="3702"/>
    <cellStyle name="Comma 2 3 2 7 2" xfId="16006"/>
    <cellStyle name="Comma 2 3 2 7 2 2" xfId="38865"/>
    <cellStyle name="Comma 2 3 2 7 3" xfId="26563"/>
    <cellStyle name="Comma 2 3 2 8" xfId="7217"/>
    <cellStyle name="Comma 2 3 2 8 2" xfId="19521"/>
    <cellStyle name="Comma 2 3 2 8 2 2" xfId="42380"/>
    <cellStyle name="Comma 2 3 2 8 3" xfId="30078"/>
    <cellStyle name="Comma 2 3 2 9" xfId="10732"/>
    <cellStyle name="Comma 2 3 2 9 2" xfId="33592"/>
    <cellStyle name="Comma 2 3 3" xfId="233"/>
    <cellStyle name="Comma 2 3 3 10" xfId="23098"/>
    <cellStyle name="Comma 2 3 3 2" xfId="445"/>
    <cellStyle name="Comma 2 3 3 2 2" xfId="886"/>
    <cellStyle name="Comma 2 3 3 2 2 2" xfId="1765"/>
    <cellStyle name="Comma 2 3 3 2 2 2 2" xfId="3526"/>
    <cellStyle name="Comma 2 3 3 2 2 2 2 2" xfId="7041"/>
    <cellStyle name="Comma 2 3 3 2 2 2 2 2 2" xfId="19345"/>
    <cellStyle name="Comma 2 3 3 2 2 2 2 2 2 2" xfId="42204"/>
    <cellStyle name="Comma 2 3 3 2 2 2 2 2 3" xfId="29902"/>
    <cellStyle name="Comma 2 3 3 2 2 2 2 3" xfId="10556"/>
    <cellStyle name="Comma 2 3 3 2 2 2 2 3 2" xfId="22860"/>
    <cellStyle name="Comma 2 3 3 2 2 2 2 3 2 2" xfId="45719"/>
    <cellStyle name="Comma 2 3 3 2 2 2 2 3 3" xfId="33417"/>
    <cellStyle name="Comma 2 3 3 2 2 2 2 4" xfId="15830"/>
    <cellStyle name="Comma 2 3 3 2 2 2 2 4 2" xfId="38689"/>
    <cellStyle name="Comma 2 3 3 2 2 2 2 5" xfId="26387"/>
    <cellStyle name="Comma 2 3 3 2 2 2 3" xfId="5283"/>
    <cellStyle name="Comma 2 3 3 2 2 2 3 2" xfId="17587"/>
    <cellStyle name="Comma 2 3 3 2 2 2 3 2 2" xfId="40446"/>
    <cellStyle name="Comma 2 3 3 2 2 2 3 3" xfId="28144"/>
    <cellStyle name="Comma 2 3 3 2 2 2 4" xfId="8798"/>
    <cellStyle name="Comma 2 3 3 2 2 2 4 2" xfId="21102"/>
    <cellStyle name="Comma 2 3 3 2 2 2 4 2 2" xfId="43961"/>
    <cellStyle name="Comma 2 3 3 2 2 2 4 3" xfId="31659"/>
    <cellStyle name="Comma 2 3 3 2 2 2 5" xfId="12313"/>
    <cellStyle name="Comma 2 3 3 2 2 2 5 2" xfId="35173"/>
    <cellStyle name="Comma 2 3 3 2 2 2 6" xfId="14072"/>
    <cellStyle name="Comma 2 3 3 2 2 2 6 2" xfId="36931"/>
    <cellStyle name="Comma 2 3 3 2 2 2 7" xfId="24628"/>
    <cellStyle name="Comma 2 3 3 2 2 3" xfId="2648"/>
    <cellStyle name="Comma 2 3 3 2 2 3 2" xfId="6163"/>
    <cellStyle name="Comma 2 3 3 2 2 3 2 2" xfId="18467"/>
    <cellStyle name="Comma 2 3 3 2 2 3 2 2 2" xfId="41326"/>
    <cellStyle name="Comma 2 3 3 2 2 3 2 3" xfId="29024"/>
    <cellStyle name="Comma 2 3 3 2 2 3 3" xfId="9678"/>
    <cellStyle name="Comma 2 3 3 2 2 3 3 2" xfId="21982"/>
    <cellStyle name="Comma 2 3 3 2 2 3 3 2 2" xfId="44841"/>
    <cellStyle name="Comma 2 3 3 2 2 3 3 3" xfId="32539"/>
    <cellStyle name="Comma 2 3 3 2 2 3 4" xfId="14952"/>
    <cellStyle name="Comma 2 3 3 2 2 3 4 2" xfId="37811"/>
    <cellStyle name="Comma 2 3 3 2 2 3 5" xfId="25509"/>
    <cellStyle name="Comma 2 3 3 2 2 4" xfId="4405"/>
    <cellStyle name="Comma 2 3 3 2 2 4 2" xfId="16709"/>
    <cellStyle name="Comma 2 3 3 2 2 4 2 2" xfId="39568"/>
    <cellStyle name="Comma 2 3 3 2 2 4 3" xfId="27266"/>
    <cellStyle name="Comma 2 3 3 2 2 5" xfId="7920"/>
    <cellStyle name="Comma 2 3 3 2 2 5 2" xfId="20224"/>
    <cellStyle name="Comma 2 3 3 2 2 5 2 2" xfId="43083"/>
    <cellStyle name="Comma 2 3 3 2 2 5 3" xfId="30781"/>
    <cellStyle name="Comma 2 3 3 2 2 6" xfId="11435"/>
    <cellStyle name="Comma 2 3 3 2 2 6 2" xfId="34295"/>
    <cellStyle name="Comma 2 3 3 2 2 7" xfId="13194"/>
    <cellStyle name="Comma 2 3 3 2 2 7 2" xfId="36053"/>
    <cellStyle name="Comma 2 3 3 2 2 8" xfId="23750"/>
    <cellStyle name="Comma 2 3 3 2 3" xfId="1326"/>
    <cellStyle name="Comma 2 3 3 2 3 2" xfId="3087"/>
    <cellStyle name="Comma 2 3 3 2 3 2 2" xfId="6602"/>
    <cellStyle name="Comma 2 3 3 2 3 2 2 2" xfId="18906"/>
    <cellStyle name="Comma 2 3 3 2 3 2 2 2 2" xfId="41765"/>
    <cellStyle name="Comma 2 3 3 2 3 2 2 3" xfId="29463"/>
    <cellStyle name="Comma 2 3 3 2 3 2 3" xfId="10117"/>
    <cellStyle name="Comma 2 3 3 2 3 2 3 2" xfId="22421"/>
    <cellStyle name="Comma 2 3 3 2 3 2 3 2 2" xfId="45280"/>
    <cellStyle name="Comma 2 3 3 2 3 2 3 3" xfId="32978"/>
    <cellStyle name="Comma 2 3 3 2 3 2 4" xfId="15391"/>
    <cellStyle name="Comma 2 3 3 2 3 2 4 2" xfId="38250"/>
    <cellStyle name="Comma 2 3 3 2 3 2 5" xfId="25948"/>
    <cellStyle name="Comma 2 3 3 2 3 3" xfId="4844"/>
    <cellStyle name="Comma 2 3 3 2 3 3 2" xfId="17148"/>
    <cellStyle name="Comma 2 3 3 2 3 3 2 2" xfId="40007"/>
    <cellStyle name="Comma 2 3 3 2 3 3 3" xfId="27705"/>
    <cellStyle name="Comma 2 3 3 2 3 4" xfId="8359"/>
    <cellStyle name="Comma 2 3 3 2 3 4 2" xfId="20663"/>
    <cellStyle name="Comma 2 3 3 2 3 4 2 2" xfId="43522"/>
    <cellStyle name="Comma 2 3 3 2 3 4 3" xfId="31220"/>
    <cellStyle name="Comma 2 3 3 2 3 5" xfId="11874"/>
    <cellStyle name="Comma 2 3 3 2 3 5 2" xfId="34734"/>
    <cellStyle name="Comma 2 3 3 2 3 6" xfId="13633"/>
    <cellStyle name="Comma 2 3 3 2 3 6 2" xfId="36492"/>
    <cellStyle name="Comma 2 3 3 2 3 7" xfId="24189"/>
    <cellStyle name="Comma 2 3 3 2 4" xfId="2209"/>
    <cellStyle name="Comma 2 3 3 2 4 2" xfId="5724"/>
    <cellStyle name="Comma 2 3 3 2 4 2 2" xfId="18028"/>
    <cellStyle name="Comma 2 3 3 2 4 2 2 2" xfId="40887"/>
    <cellStyle name="Comma 2 3 3 2 4 2 3" xfId="28585"/>
    <cellStyle name="Comma 2 3 3 2 4 3" xfId="9239"/>
    <cellStyle name="Comma 2 3 3 2 4 3 2" xfId="21543"/>
    <cellStyle name="Comma 2 3 3 2 4 3 2 2" xfId="44402"/>
    <cellStyle name="Comma 2 3 3 2 4 3 3" xfId="32100"/>
    <cellStyle name="Comma 2 3 3 2 4 4" xfId="14513"/>
    <cellStyle name="Comma 2 3 3 2 4 4 2" xfId="37372"/>
    <cellStyle name="Comma 2 3 3 2 4 5" xfId="25070"/>
    <cellStyle name="Comma 2 3 3 2 5" xfId="3966"/>
    <cellStyle name="Comma 2 3 3 2 5 2" xfId="16270"/>
    <cellStyle name="Comma 2 3 3 2 5 2 2" xfId="39129"/>
    <cellStyle name="Comma 2 3 3 2 5 3" xfId="26827"/>
    <cellStyle name="Comma 2 3 3 2 6" xfId="7481"/>
    <cellStyle name="Comma 2 3 3 2 6 2" xfId="19785"/>
    <cellStyle name="Comma 2 3 3 2 6 2 2" xfId="42644"/>
    <cellStyle name="Comma 2 3 3 2 6 3" xfId="30342"/>
    <cellStyle name="Comma 2 3 3 2 7" xfId="10996"/>
    <cellStyle name="Comma 2 3 3 2 7 2" xfId="33856"/>
    <cellStyle name="Comma 2 3 3 2 8" xfId="12755"/>
    <cellStyle name="Comma 2 3 3 2 8 2" xfId="35614"/>
    <cellStyle name="Comma 2 3 3 2 9" xfId="23310"/>
    <cellStyle name="Comma 2 3 3 3" xfId="674"/>
    <cellStyle name="Comma 2 3 3 3 2" xfId="1553"/>
    <cellStyle name="Comma 2 3 3 3 2 2" xfId="3314"/>
    <cellStyle name="Comma 2 3 3 3 2 2 2" xfId="6829"/>
    <cellStyle name="Comma 2 3 3 3 2 2 2 2" xfId="19133"/>
    <cellStyle name="Comma 2 3 3 3 2 2 2 2 2" xfId="41992"/>
    <cellStyle name="Comma 2 3 3 3 2 2 2 3" xfId="29690"/>
    <cellStyle name="Comma 2 3 3 3 2 2 3" xfId="10344"/>
    <cellStyle name="Comma 2 3 3 3 2 2 3 2" xfId="22648"/>
    <cellStyle name="Comma 2 3 3 3 2 2 3 2 2" xfId="45507"/>
    <cellStyle name="Comma 2 3 3 3 2 2 3 3" xfId="33205"/>
    <cellStyle name="Comma 2 3 3 3 2 2 4" xfId="15618"/>
    <cellStyle name="Comma 2 3 3 3 2 2 4 2" xfId="38477"/>
    <cellStyle name="Comma 2 3 3 3 2 2 5" xfId="26175"/>
    <cellStyle name="Comma 2 3 3 3 2 3" xfId="5071"/>
    <cellStyle name="Comma 2 3 3 3 2 3 2" xfId="17375"/>
    <cellStyle name="Comma 2 3 3 3 2 3 2 2" xfId="40234"/>
    <cellStyle name="Comma 2 3 3 3 2 3 3" xfId="27932"/>
    <cellStyle name="Comma 2 3 3 3 2 4" xfId="8586"/>
    <cellStyle name="Comma 2 3 3 3 2 4 2" xfId="20890"/>
    <cellStyle name="Comma 2 3 3 3 2 4 2 2" xfId="43749"/>
    <cellStyle name="Comma 2 3 3 3 2 4 3" xfId="31447"/>
    <cellStyle name="Comma 2 3 3 3 2 5" xfId="12101"/>
    <cellStyle name="Comma 2 3 3 3 2 5 2" xfId="34961"/>
    <cellStyle name="Comma 2 3 3 3 2 6" xfId="13860"/>
    <cellStyle name="Comma 2 3 3 3 2 6 2" xfId="36719"/>
    <cellStyle name="Comma 2 3 3 3 2 7" xfId="24416"/>
    <cellStyle name="Comma 2 3 3 3 3" xfId="2436"/>
    <cellStyle name="Comma 2 3 3 3 3 2" xfId="5951"/>
    <cellStyle name="Comma 2 3 3 3 3 2 2" xfId="18255"/>
    <cellStyle name="Comma 2 3 3 3 3 2 2 2" xfId="41114"/>
    <cellStyle name="Comma 2 3 3 3 3 2 3" xfId="28812"/>
    <cellStyle name="Comma 2 3 3 3 3 3" xfId="9466"/>
    <cellStyle name="Comma 2 3 3 3 3 3 2" xfId="21770"/>
    <cellStyle name="Comma 2 3 3 3 3 3 2 2" xfId="44629"/>
    <cellStyle name="Comma 2 3 3 3 3 3 3" xfId="32327"/>
    <cellStyle name="Comma 2 3 3 3 3 4" xfId="14740"/>
    <cellStyle name="Comma 2 3 3 3 3 4 2" xfId="37599"/>
    <cellStyle name="Comma 2 3 3 3 3 5" xfId="25297"/>
    <cellStyle name="Comma 2 3 3 3 4" xfId="4193"/>
    <cellStyle name="Comma 2 3 3 3 4 2" xfId="16497"/>
    <cellStyle name="Comma 2 3 3 3 4 2 2" xfId="39356"/>
    <cellStyle name="Comma 2 3 3 3 4 3" xfId="27054"/>
    <cellStyle name="Comma 2 3 3 3 5" xfId="7708"/>
    <cellStyle name="Comma 2 3 3 3 5 2" xfId="20012"/>
    <cellStyle name="Comma 2 3 3 3 5 2 2" xfId="42871"/>
    <cellStyle name="Comma 2 3 3 3 5 3" xfId="30569"/>
    <cellStyle name="Comma 2 3 3 3 6" xfId="11223"/>
    <cellStyle name="Comma 2 3 3 3 6 2" xfId="34083"/>
    <cellStyle name="Comma 2 3 3 3 7" xfId="12982"/>
    <cellStyle name="Comma 2 3 3 3 7 2" xfId="35841"/>
    <cellStyle name="Comma 2 3 3 3 8" xfId="23538"/>
    <cellStyle name="Comma 2 3 3 4" xfId="1114"/>
    <cellStyle name="Comma 2 3 3 4 2" xfId="2875"/>
    <cellStyle name="Comma 2 3 3 4 2 2" xfId="6390"/>
    <cellStyle name="Comma 2 3 3 4 2 2 2" xfId="18694"/>
    <cellStyle name="Comma 2 3 3 4 2 2 2 2" xfId="41553"/>
    <cellStyle name="Comma 2 3 3 4 2 2 3" xfId="29251"/>
    <cellStyle name="Comma 2 3 3 4 2 3" xfId="9905"/>
    <cellStyle name="Comma 2 3 3 4 2 3 2" xfId="22209"/>
    <cellStyle name="Comma 2 3 3 4 2 3 2 2" xfId="45068"/>
    <cellStyle name="Comma 2 3 3 4 2 3 3" xfId="32766"/>
    <cellStyle name="Comma 2 3 3 4 2 4" xfId="15179"/>
    <cellStyle name="Comma 2 3 3 4 2 4 2" xfId="38038"/>
    <cellStyle name="Comma 2 3 3 4 2 5" xfId="25736"/>
    <cellStyle name="Comma 2 3 3 4 3" xfId="4632"/>
    <cellStyle name="Comma 2 3 3 4 3 2" xfId="16936"/>
    <cellStyle name="Comma 2 3 3 4 3 2 2" xfId="39795"/>
    <cellStyle name="Comma 2 3 3 4 3 3" xfId="27493"/>
    <cellStyle name="Comma 2 3 3 4 4" xfId="8147"/>
    <cellStyle name="Comma 2 3 3 4 4 2" xfId="20451"/>
    <cellStyle name="Comma 2 3 3 4 4 2 2" xfId="43310"/>
    <cellStyle name="Comma 2 3 3 4 4 3" xfId="31008"/>
    <cellStyle name="Comma 2 3 3 4 5" xfId="11662"/>
    <cellStyle name="Comma 2 3 3 4 5 2" xfId="34522"/>
    <cellStyle name="Comma 2 3 3 4 6" xfId="13421"/>
    <cellStyle name="Comma 2 3 3 4 6 2" xfId="36280"/>
    <cellStyle name="Comma 2 3 3 4 7" xfId="23977"/>
    <cellStyle name="Comma 2 3 3 5" xfId="1997"/>
    <cellStyle name="Comma 2 3 3 5 2" xfId="5512"/>
    <cellStyle name="Comma 2 3 3 5 2 2" xfId="17816"/>
    <cellStyle name="Comma 2 3 3 5 2 2 2" xfId="40675"/>
    <cellStyle name="Comma 2 3 3 5 2 3" xfId="28373"/>
    <cellStyle name="Comma 2 3 3 5 3" xfId="9027"/>
    <cellStyle name="Comma 2 3 3 5 3 2" xfId="21331"/>
    <cellStyle name="Comma 2 3 3 5 3 2 2" xfId="44190"/>
    <cellStyle name="Comma 2 3 3 5 3 3" xfId="31888"/>
    <cellStyle name="Comma 2 3 3 5 4" xfId="14301"/>
    <cellStyle name="Comma 2 3 3 5 4 2" xfId="37160"/>
    <cellStyle name="Comma 2 3 3 5 5" xfId="24858"/>
    <cellStyle name="Comma 2 3 3 6" xfId="3754"/>
    <cellStyle name="Comma 2 3 3 6 2" xfId="16058"/>
    <cellStyle name="Comma 2 3 3 6 2 2" xfId="38917"/>
    <cellStyle name="Comma 2 3 3 6 3" xfId="26615"/>
    <cellStyle name="Comma 2 3 3 7" xfId="7269"/>
    <cellStyle name="Comma 2 3 3 7 2" xfId="19573"/>
    <cellStyle name="Comma 2 3 3 7 2 2" xfId="42432"/>
    <cellStyle name="Comma 2 3 3 7 3" xfId="30130"/>
    <cellStyle name="Comma 2 3 3 8" xfId="10784"/>
    <cellStyle name="Comma 2 3 3 8 2" xfId="33644"/>
    <cellStyle name="Comma 2 3 3 9" xfId="12543"/>
    <cellStyle name="Comma 2 3 3 9 2" xfId="35402"/>
    <cellStyle name="Comma 2 3 4" xfId="339"/>
    <cellStyle name="Comma 2 3 4 2" xfId="780"/>
    <cellStyle name="Comma 2 3 4 2 2" xfId="1659"/>
    <cellStyle name="Comma 2 3 4 2 2 2" xfId="3420"/>
    <cellStyle name="Comma 2 3 4 2 2 2 2" xfId="6935"/>
    <cellStyle name="Comma 2 3 4 2 2 2 2 2" xfId="19239"/>
    <cellStyle name="Comma 2 3 4 2 2 2 2 2 2" xfId="42098"/>
    <cellStyle name="Comma 2 3 4 2 2 2 2 3" xfId="29796"/>
    <cellStyle name="Comma 2 3 4 2 2 2 3" xfId="10450"/>
    <cellStyle name="Comma 2 3 4 2 2 2 3 2" xfId="22754"/>
    <cellStyle name="Comma 2 3 4 2 2 2 3 2 2" xfId="45613"/>
    <cellStyle name="Comma 2 3 4 2 2 2 3 3" xfId="33311"/>
    <cellStyle name="Comma 2 3 4 2 2 2 4" xfId="15724"/>
    <cellStyle name="Comma 2 3 4 2 2 2 4 2" xfId="38583"/>
    <cellStyle name="Comma 2 3 4 2 2 2 5" xfId="26281"/>
    <cellStyle name="Comma 2 3 4 2 2 3" xfId="5177"/>
    <cellStyle name="Comma 2 3 4 2 2 3 2" xfId="17481"/>
    <cellStyle name="Comma 2 3 4 2 2 3 2 2" xfId="40340"/>
    <cellStyle name="Comma 2 3 4 2 2 3 3" xfId="28038"/>
    <cellStyle name="Comma 2 3 4 2 2 4" xfId="8692"/>
    <cellStyle name="Comma 2 3 4 2 2 4 2" xfId="20996"/>
    <cellStyle name="Comma 2 3 4 2 2 4 2 2" xfId="43855"/>
    <cellStyle name="Comma 2 3 4 2 2 4 3" xfId="31553"/>
    <cellStyle name="Comma 2 3 4 2 2 5" xfId="12207"/>
    <cellStyle name="Comma 2 3 4 2 2 5 2" xfId="35067"/>
    <cellStyle name="Comma 2 3 4 2 2 6" xfId="13966"/>
    <cellStyle name="Comma 2 3 4 2 2 6 2" xfId="36825"/>
    <cellStyle name="Comma 2 3 4 2 2 7" xfId="24522"/>
    <cellStyle name="Comma 2 3 4 2 3" xfId="2542"/>
    <cellStyle name="Comma 2 3 4 2 3 2" xfId="6057"/>
    <cellStyle name="Comma 2 3 4 2 3 2 2" xfId="18361"/>
    <cellStyle name="Comma 2 3 4 2 3 2 2 2" xfId="41220"/>
    <cellStyle name="Comma 2 3 4 2 3 2 3" xfId="28918"/>
    <cellStyle name="Comma 2 3 4 2 3 3" xfId="9572"/>
    <cellStyle name="Comma 2 3 4 2 3 3 2" xfId="21876"/>
    <cellStyle name="Comma 2 3 4 2 3 3 2 2" xfId="44735"/>
    <cellStyle name="Comma 2 3 4 2 3 3 3" xfId="32433"/>
    <cellStyle name="Comma 2 3 4 2 3 4" xfId="14846"/>
    <cellStyle name="Comma 2 3 4 2 3 4 2" xfId="37705"/>
    <cellStyle name="Comma 2 3 4 2 3 5" xfId="25403"/>
    <cellStyle name="Comma 2 3 4 2 4" xfId="4299"/>
    <cellStyle name="Comma 2 3 4 2 4 2" xfId="16603"/>
    <cellStyle name="Comma 2 3 4 2 4 2 2" xfId="39462"/>
    <cellStyle name="Comma 2 3 4 2 4 3" xfId="27160"/>
    <cellStyle name="Comma 2 3 4 2 5" xfId="7814"/>
    <cellStyle name="Comma 2 3 4 2 5 2" xfId="20118"/>
    <cellStyle name="Comma 2 3 4 2 5 2 2" xfId="42977"/>
    <cellStyle name="Comma 2 3 4 2 5 3" xfId="30675"/>
    <cellStyle name="Comma 2 3 4 2 6" xfId="11329"/>
    <cellStyle name="Comma 2 3 4 2 6 2" xfId="34189"/>
    <cellStyle name="Comma 2 3 4 2 7" xfId="13088"/>
    <cellStyle name="Comma 2 3 4 2 7 2" xfId="35947"/>
    <cellStyle name="Comma 2 3 4 2 8" xfId="23644"/>
    <cellStyle name="Comma 2 3 4 3" xfId="1220"/>
    <cellStyle name="Comma 2 3 4 3 2" xfId="2981"/>
    <cellStyle name="Comma 2 3 4 3 2 2" xfId="6496"/>
    <cellStyle name="Comma 2 3 4 3 2 2 2" xfId="18800"/>
    <cellStyle name="Comma 2 3 4 3 2 2 2 2" xfId="41659"/>
    <cellStyle name="Comma 2 3 4 3 2 2 3" xfId="29357"/>
    <cellStyle name="Comma 2 3 4 3 2 3" xfId="10011"/>
    <cellStyle name="Comma 2 3 4 3 2 3 2" xfId="22315"/>
    <cellStyle name="Comma 2 3 4 3 2 3 2 2" xfId="45174"/>
    <cellStyle name="Comma 2 3 4 3 2 3 3" xfId="32872"/>
    <cellStyle name="Comma 2 3 4 3 2 4" xfId="15285"/>
    <cellStyle name="Comma 2 3 4 3 2 4 2" xfId="38144"/>
    <cellStyle name="Comma 2 3 4 3 2 5" xfId="25842"/>
    <cellStyle name="Comma 2 3 4 3 3" xfId="4738"/>
    <cellStyle name="Comma 2 3 4 3 3 2" xfId="17042"/>
    <cellStyle name="Comma 2 3 4 3 3 2 2" xfId="39901"/>
    <cellStyle name="Comma 2 3 4 3 3 3" xfId="27599"/>
    <cellStyle name="Comma 2 3 4 3 4" xfId="8253"/>
    <cellStyle name="Comma 2 3 4 3 4 2" xfId="20557"/>
    <cellStyle name="Comma 2 3 4 3 4 2 2" xfId="43416"/>
    <cellStyle name="Comma 2 3 4 3 4 3" xfId="31114"/>
    <cellStyle name="Comma 2 3 4 3 5" xfId="11768"/>
    <cellStyle name="Comma 2 3 4 3 5 2" xfId="34628"/>
    <cellStyle name="Comma 2 3 4 3 6" xfId="13527"/>
    <cellStyle name="Comma 2 3 4 3 6 2" xfId="36386"/>
    <cellStyle name="Comma 2 3 4 3 7" xfId="24083"/>
    <cellStyle name="Comma 2 3 4 4" xfId="2103"/>
    <cellStyle name="Comma 2 3 4 4 2" xfId="5618"/>
    <cellStyle name="Comma 2 3 4 4 2 2" xfId="17922"/>
    <cellStyle name="Comma 2 3 4 4 2 2 2" xfId="40781"/>
    <cellStyle name="Comma 2 3 4 4 2 3" xfId="28479"/>
    <cellStyle name="Comma 2 3 4 4 3" xfId="9133"/>
    <cellStyle name="Comma 2 3 4 4 3 2" xfId="21437"/>
    <cellStyle name="Comma 2 3 4 4 3 2 2" xfId="44296"/>
    <cellStyle name="Comma 2 3 4 4 3 3" xfId="31994"/>
    <cellStyle name="Comma 2 3 4 4 4" xfId="14407"/>
    <cellStyle name="Comma 2 3 4 4 4 2" xfId="37266"/>
    <cellStyle name="Comma 2 3 4 4 5" xfId="24964"/>
    <cellStyle name="Comma 2 3 4 5" xfId="3860"/>
    <cellStyle name="Comma 2 3 4 5 2" xfId="16164"/>
    <cellStyle name="Comma 2 3 4 5 2 2" xfId="39023"/>
    <cellStyle name="Comma 2 3 4 5 3" xfId="26721"/>
    <cellStyle name="Comma 2 3 4 6" xfId="7375"/>
    <cellStyle name="Comma 2 3 4 6 2" xfId="19679"/>
    <cellStyle name="Comma 2 3 4 6 2 2" xfId="42538"/>
    <cellStyle name="Comma 2 3 4 6 3" xfId="30236"/>
    <cellStyle name="Comma 2 3 4 7" xfId="10890"/>
    <cellStyle name="Comma 2 3 4 7 2" xfId="33750"/>
    <cellStyle name="Comma 2 3 4 8" xfId="12649"/>
    <cellStyle name="Comma 2 3 4 8 2" xfId="35508"/>
    <cellStyle name="Comma 2 3 4 9" xfId="23204"/>
    <cellStyle name="Comma 2 3 5" xfId="568"/>
    <cellStyle name="Comma 2 3 5 2" xfId="1447"/>
    <cellStyle name="Comma 2 3 5 2 2" xfId="3208"/>
    <cellStyle name="Comma 2 3 5 2 2 2" xfId="6723"/>
    <cellStyle name="Comma 2 3 5 2 2 2 2" xfId="19027"/>
    <cellStyle name="Comma 2 3 5 2 2 2 2 2" xfId="41886"/>
    <cellStyle name="Comma 2 3 5 2 2 2 3" xfId="29584"/>
    <cellStyle name="Comma 2 3 5 2 2 3" xfId="10238"/>
    <cellStyle name="Comma 2 3 5 2 2 3 2" xfId="22542"/>
    <cellStyle name="Comma 2 3 5 2 2 3 2 2" xfId="45401"/>
    <cellStyle name="Comma 2 3 5 2 2 3 3" xfId="33099"/>
    <cellStyle name="Comma 2 3 5 2 2 4" xfId="15512"/>
    <cellStyle name="Comma 2 3 5 2 2 4 2" xfId="38371"/>
    <cellStyle name="Comma 2 3 5 2 2 5" xfId="26069"/>
    <cellStyle name="Comma 2 3 5 2 3" xfId="4965"/>
    <cellStyle name="Comma 2 3 5 2 3 2" xfId="17269"/>
    <cellStyle name="Comma 2 3 5 2 3 2 2" xfId="40128"/>
    <cellStyle name="Comma 2 3 5 2 3 3" xfId="27826"/>
    <cellStyle name="Comma 2 3 5 2 4" xfId="8480"/>
    <cellStyle name="Comma 2 3 5 2 4 2" xfId="20784"/>
    <cellStyle name="Comma 2 3 5 2 4 2 2" xfId="43643"/>
    <cellStyle name="Comma 2 3 5 2 4 3" xfId="31341"/>
    <cellStyle name="Comma 2 3 5 2 5" xfId="11995"/>
    <cellStyle name="Comma 2 3 5 2 5 2" xfId="34855"/>
    <cellStyle name="Comma 2 3 5 2 6" xfId="13754"/>
    <cellStyle name="Comma 2 3 5 2 6 2" xfId="36613"/>
    <cellStyle name="Comma 2 3 5 2 7" xfId="24310"/>
    <cellStyle name="Comma 2 3 5 3" xfId="2330"/>
    <cellStyle name="Comma 2 3 5 3 2" xfId="5845"/>
    <cellStyle name="Comma 2 3 5 3 2 2" xfId="18149"/>
    <cellStyle name="Comma 2 3 5 3 2 2 2" xfId="41008"/>
    <cellStyle name="Comma 2 3 5 3 2 3" xfId="28706"/>
    <cellStyle name="Comma 2 3 5 3 3" xfId="9360"/>
    <cellStyle name="Comma 2 3 5 3 3 2" xfId="21664"/>
    <cellStyle name="Comma 2 3 5 3 3 2 2" xfId="44523"/>
    <cellStyle name="Comma 2 3 5 3 3 3" xfId="32221"/>
    <cellStyle name="Comma 2 3 5 3 4" xfId="14634"/>
    <cellStyle name="Comma 2 3 5 3 4 2" xfId="37493"/>
    <cellStyle name="Comma 2 3 5 3 5" xfId="25191"/>
    <cellStyle name="Comma 2 3 5 4" xfId="4087"/>
    <cellStyle name="Comma 2 3 5 4 2" xfId="16391"/>
    <cellStyle name="Comma 2 3 5 4 2 2" xfId="39250"/>
    <cellStyle name="Comma 2 3 5 4 3" xfId="26948"/>
    <cellStyle name="Comma 2 3 5 5" xfId="7602"/>
    <cellStyle name="Comma 2 3 5 5 2" xfId="19906"/>
    <cellStyle name="Comma 2 3 5 5 2 2" xfId="42765"/>
    <cellStyle name="Comma 2 3 5 5 3" xfId="30463"/>
    <cellStyle name="Comma 2 3 5 6" xfId="11117"/>
    <cellStyle name="Comma 2 3 5 6 2" xfId="33977"/>
    <cellStyle name="Comma 2 3 5 7" xfId="12876"/>
    <cellStyle name="Comma 2 3 5 7 2" xfId="35735"/>
    <cellStyle name="Comma 2 3 5 8" xfId="23432"/>
    <cellStyle name="Comma 2 3 6" xfId="1008"/>
    <cellStyle name="Comma 2 3 6 2" xfId="2769"/>
    <cellStyle name="Comma 2 3 6 2 2" xfId="6284"/>
    <cellStyle name="Comma 2 3 6 2 2 2" xfId="18588"/>
    <cellStyle name="Comma 2 3 6 2 2 2 2" xfId="41447"/>
    <cellStyle name="Comma 2 3 6 2 2 3" xfId="29145"/>
    <cellStyle name="Comma 2 3 6 2 3" xfId="9799"/>
    <cellStyle name="Comma 2 3 6 2 3 2" xfId="22103"/>
    <cellStyle name="Comma 2 3 6 2 3 2 2" xfId="44962"/>
    <cellStyle name="Comma 2 3 6 2 3 3" xfId="32660"/>
    <cellStyle name="Comma 2 3 6 2 4" xfId="15073"/>
    <cellStyle name="Comma 2 3 6 2 4 2" xfId="37932"/>
    <cellStyle name="Comma 2 3 6 2 5" xfId="25630"/>
    <cellStyle name="Comma 2 3 6 3" xfId="4526"/>
    <cellStyle name="Comma 2 3 6 3 2" xfId="16830"/>
    <cellStyle name="Comma 2 3 6 3 2 2" xfId="39689"/>
    <cellStyle name="Comma 2 3 6 3 3" xfId="27387"/>
    <cellStyle name="Comma 2 3 6 4" xfId="8041"/>
    <cellStyle name="Comma 2 3 6 4 2" xfId="20345"/>
    <cellStyle name="Comma 2 3 6 4 2 2" xfId="43204"/>
    <cellStyle name="Comma 2 3 6 4 3" xfId="30902"/>
    <cellStyle name="Comma 2 3 6 5" xfId="11556"/>
    <cellStyle name="Comma 2 3 6 5 2" xfId="34416"/>
    <cellStyle name="Comma 2 3 6 6" xfId="13315"/>
    <cellStyle name="Comma 2 3 6 6 2" xfId="36174"/>
    <cellStyle name="Comma 2 3 6 7" xfId="23871"/>
    <cellStyle name="Comma 2 3 7" xfId="1891"/>
    <cellStyle name="Comma 2 3 7 2" xfId="5406"/>
    <cellStyle name="Comma 2 3 7 2 2" xfId="17710"/>
    <cellStyle name="Comma 2 3 7 2 2 2" xfId="40569"/>
    <cellStyle name="Comma 2 3 7 2 3" xfId="28267"/>
    <cellStyle name="Comma 2 3 7 3" xfId="8921"/>
    <cellStyle name="Comma 2 3 7 3 2" xfId="21225"/>
    <cellStyle name="Comma 2 3 7 3 2 2" xfId="44084"/>
    <cellStyle name="Comma 2 3 7 3 3" xfId="31782"/>
    <cellStyle name="Comma 2 3 7 4" xfId="14195"/>
    <cellStyle name="Comma 2 3 7 4 2" xfId="37054"/>
    <cellStyle name="Comma 2 3 7 5" xfId="24752"/>
    <cellStyle name="Comma 2 3 8" xfId="3648"/>
    <cellStyle name="Comma 2 3 8 2" xfId="15952"/>
    <cellStyle name="Comma 2 3 8 2 2" xfId="38811"/>
    <cellStyle name="Comma 2 3 8 3" xfId="26509"/>
    <cellStyle name="Comma 2 3 9" xfId="7163"/>
    <cellStyle name="Comma 2 3 9 2" xfId="19467"/>
    <cellStyle name="Comma 2 3 9 2 2" xfId="42326"/>
    <cellStyle name="Comma 2 3 9 3" xfId="30024"/>
    <cellStyle name="Comma 2 4" xfId="153"/>
    <cellStyle name="Comma 2 4 10" xfId="12465"/>
    <cellStyle name="Comma 2 4 10 2" xfId="35324"/>
    <cellStyle name="Comma 2 4 11" xfId="23019"/>
    <cellStyle name="Comma 2 4 2" xfId="261"/>
    <cellStyle name="Comma 2 4 2 10" xfId="23126"/>
    <cellStyle name="Comma 2 4 2 2" xfId="473"/>
    <cellStyle name="Comma 2 4 2 2 2" xfId="914"/>
    <cellStyle name="Comma 2 4 2 2 2 2" xfId="1793"/>
    <cellStyle name="Comma 2 4 2 2 2 2 2" xfId="3554"/>
    <cellStyle name="Comma 2 4 2 2 2 2 2 2" xfId="7069"/>
    <cellStyle name="Comma 2 4 2 2 2 2 2 2 2" xfId="19373"/>
    <cellStyle name="Comma 2 4 2 2 2 2 2 2 2 2" xfId="42232"/>
    <cellStyle name="Comma 2 4 2 2 2 2 2 2 3" xfId="29930"/>
    <cellStyle name="Comma 2 4 2 2 2 2 2 3" xfId="10584"/>
    <cellStyle name="Comma 2 4 2 2 2 2 2 3 2" xfId="22888"/>
    <cellStyle name="Comma 2 4 2 2 2 2 2 3 2 2" xfId="45747"/>
    <cellStyle name="Comma 2 4 2 2 2 2 2 3 3" xfId="33445"/>
    <cellStyle name="Comma 2 4 2 2 2 2 2 4" xfId="15858"/>
    <cellStyle name="Comma 2 4 2 2 2 2 2 4 2" xfId="38717"/>
    <cellStyle name="Comma 2 4 2 2 2 2 2 5" xfId="26415"/>
    <cellStyle name="Comma 2 4 2 2 2 2 3" xfId="5311"/>
    <cellStyle name="Comma 2 4 2 2 2 2 3 2" xfId="17615"/>
    <cellStyle name="Comma 2 4 2 2 2 2 3 2 2" xfId="40474"/>
    <cellStyle name="Comma 2 4 2 2 2 2 3 3" xfId="28172"/>
    <cellStyle name="Comma 2 4 2 2 2 2 4" xfId="8826"/>
    <cellStyle name="Comma 2 4 2 2 2 2 4 2" xfId="21130"/>
    <cellStyle name="Comma 2 4 2 2 2 2 4 2 2" xfId="43989"/>
    <cellStyle name="Comma 2 4 2 2 2 2 4 3" xfId="31687"/>
    <cellStyle name="Comma 2 4 2 2 2 2 5" xfId="12341"/>
    <cellStyle name="Comma 2 4 2 2 2 2 5 2" xfId="35201"/>
    <cellStyle name="Comma 2 4 2 2 2 2 6" xfId="14100"/>
    <cellStyle name="Comma 2 4 2 2 2 2 6 2" xfId="36959"/>
    <cellStyle name="Comma 2 4 2 2 2 2 7" xfId="24656"/>
    <cellStyle name="Comma 2 4 2 2 2 3" xfId="2676"/>
    <cellStyle name="Comma 2 4 2 2 2 3 2" xfId="6191"/>
    <cellStyle name="Comma 2 4 2 2 2 3 2 2" xfId="18495"/>
    <cellStyle name="Comma 2 4 2 2 2 3 2 2 2" xfId="41354"/>
    <cellStyle name="Comma 2 4 2 2 2 3 2 3" xfId="29052"/>
    <cellStyle name="Comma 2 4 2 2 2 3 3" xfId="9706"/>
    <cellStyle name="Comma 2 4 2 2 2 3 3 2" xfId="22010"/>
    <cellStyle name="Comma 2 4 2 2 2 3 3 2 2" xfId="44869"/>
    <cellStyle name="Comma 2 4 2 2 2 3 3 3" xfId="32567"/>
    <cellStyle name="Comma 2 4 2 2 2 3 4" xfId="14980"/>
    <cellStyle name="Comma 2 4 2 2 2 3 4 2" xfId="37839"/>
    <cellStyle name="Comma 2 4 2 2 2 3 5" xfId="25537"/>
    <cellStyle name="Comma 2 4 2 2 2 4" xfId="4433"/>
    <cellStyle name="Comma 2 4 2 2 2 4 2" xfId="16737"/>
    <cellStyle name="Comma 2 4 2 2 2 4 2 2" xfId="39596"/>
    <cellStyle name="Comma 2 4 2 2 2 4 3" xfId="27294"/>
    <cellStyle name="Comma 2 4 2 2 2 5" xfId="7948"/>
    <cellStyle name="Comma 2 4 2 2 2 5 2" xfId="20252"/>
    <cellStyle name="Comma 2 4 2 2 2 5 2 2" xfId="43111"/>
    <cellStyle name="Comma 2 4 2 2 2 5 3" xfId="30809"/>
    <cellStyle name="Comma 2 4 2 2 2 6" xfId="11463"/>
    <cellStyle name="Comma 2 4 2 2 2 6 2" xfId="34323"/>
    <cellStyle name="Comma 2 4 2 2 2 7" xfId="13222"/>
    <cellStyle name="Comma 2 4 2 2 2 7 2" xfId="36081"/>
    <cellStyle name="Comma 2 4 2 2 2 8" xfId="23778"/>
    <cellStyle name="Comma 2 4 2 2 3" xfId="1354"/>
    <cellStyle name="Comma 2 4 2 2 3 2" xfId="3115"/>
    <cellStyle name="Comma 2 4 2 2 3 2 2" xfId="6630"/>
    <cellStyle name="Comma 2 4 2 2 3 2 2 2" xfId="18934"/>
    <cellStyle name="Comma 2 4 2 2 3 2 2 2 2" xfId="41793"/>
    <cellStyle name="Comma 2 4 2 2 3 2 2 3" xfId="29491"/>
    <cellStyle name="Comma 2 4 2 2 3 2 3" xfId="10145"/>
    <cellStyle name="Comma 2 4 2 2 3 2 3 2" xfId="22449"/>
    <cellStyle name="Comma 2 4 2 2 3 2 3 2 2" xfId="45308"/>
    <cellStyle name="Comma 2 4 2 2 3 2 3 3" xfId="33006"/>
    <cellStyle name="Comma 2 4 2 2 3 2 4" xfId="15419"/>
    <cellStyle name="Comma 2 4 2 2 3 2 4 2" xfId="38278"/>
    <cellStyle name="Comma 2 4 2 2 3 2 5" xfId="25976"/>
    <cellStyle name="Comma 2 4 2 2 3 3" xfId="4872"/>
    <cellStyle name="Comma 2 4 2 2 3 3 2" xfId="17176"/>
    <cellStyle name="Comma 2 4 2 2 3 3 2 2" xfId="40035"/>
    <cellStyle name="Comma 2 4 2 2 3 3 3" xfId="27733"/>
    <cellStyle name="Comma 2 4 2 2 3 4" xfId="8387"/>
    <cellStyle name="Comma 2 4 2 2 3 4 2" xfId="20691"/>
    <cellStyle name="Comma 2 4 2 2 3 4 2 2" xfId="43550"/>
    <cellStyle name="Comma 2 4 2 2 3 4 3" xfId="31248"/>
    <cellStyle name="Comma 2 4 2 2 3 5" xfId="11902"/>
    <cellStyle name="Comma 2 4 2 2 3 5 2" xfId="34762"/>
    <cellStyle name="Comma 2 4 2 2 3 6" xfId="13661"/>
    <cellStyle name="Comma 2 4 2 2 3 6 2" xfId="36520"/>
    <cellStyle name="Comma 2 4 2 2 3 7" xfId="24217"/>
    <cellStyle name="Comma 2 4 2 2 4" xfId="2237"/>
    <cellStyle name="Comma 2 4 2 2 4 2" xfId="5752"/>
    <cellStyle name="Comma 2 4 2 2 4 2 2" xfId="18056"/>
    <cellStyle name="Comma 2 4 2 2 4 2 2 2" xfId="40915"/>
    <cellStyle name="Comma 2 4 2 2 4 2 3" xfId="28613"/>
    <cellStyle name="Comma 2 4 2 2 4 3" xfId="9267"/>
    <cellStyle name="Comma 2 4 2 2 4 3 2" xfId="21571"/>
    <cellStyle name="Comma 2 4 2 2 4 3 2 2" xfId="44430"/>
    <cellStyle name="Comma 2 4 2 2 4 3 3" xfId="32128"/>
    <cellStyle name="Comma 2 4 2 2 4 4" xfId="14541"/>
    <cellStyle name="Comma 2 4 2 2 4 4 2" xfId="37400"/>
    <cellStyle name="Comma 2 4 2 2 4 5" xfId="25098"/>
    <cellStyle name="Comma 2 4 2 2 5" xfId="3994"/>
    <cellStyle name="Comma 2 4 2 2 5 2" xfId="16298"/>
    <cellStyle name="Comma 2 4 2 2 5 2 2" xfId="39157"/>
    <cellStyle name="Comma 2 4 2 2 5 3" xfId="26855"/>
    <cellStyle name="Comma 2 4 2 2 6" xfId="7509"/>
    <cellStyle name="Comma 2 4 2 2 6 2" xfId="19813"/>
    <cellStyle name="Comma 2 4 2 2 6 2 2" xfId="42672"/>
    <cellStyle name="Comma 2 4 2 2 6 3" xfId="30370"/>
    <cellStyle name="Comma 2 4 2 2 7" xfId="11024"/>
    <cellStyle name="Comma 2 4 2 2 7 2" xfId="33884"/>
    <cellStyle name="Comma 2 4 2 2 8" xfId="12783"/>
    <cellStyle name="Comma 2 4 2 2 8 2" xfId="35642"/>
    <cellStyle name="Comma 2 4 2 2 9" xfId="23338"/>
    <cellStyle name="Comma 2 4 2 3" xfId="702"/>
    <cellStyle name="Comma 2 4 2 3 2" xfId="1581"/>
    <cellStyle name="Comma 2 4 2 3 2 2" xfId="3342"/>
    <cellStyle name="Comma 2 4 2 3 2 2 2" xfId="6857"/>
    <cellStyle name="Comma 2 4 2 3 2 2 2 2" xfId="19161"/>
    <cellStyle name="Comma 2 4 2 3 2 2 2 2 2" xfId="42020"/>
    <cellStyle name="Comma 2 4 2 3 2 2 2 3" xfId="29718"/>
    <cellStyle name="Comma 2 4 2 3 2 2 3" xfId="10372"/>
    <cellStyle name="Comma 2 4 2 3 2 2 3 2" xfId="22676"/>
    <cellStyle name="Comma 2 4 2 3 2 2 3 2 2" xfId="45535"/>
    <cellStyle name="Comma 2 4 2 3 2 2 3 3" xfId="33233"/>
    <cellStyle name="Comma 2 4 2 3 2 2 4" xfId="15646"/>
    <cellStyle name="Comma 2 4 2 3 2 2 4 2" xfId="38505"/>
    <cellStyle name="Comma 2 4 2 3 2 2 5" xfId="26203"/>
    <cellStyle name="Comma 2 4 2 3 2 3" xfId="5099"/>
    <cellStyle name="Comma 2 4 2 3 2 3 2" xfId="17403"/>
    <cellStyle name="Comma 2 4 2 3 2 3 2 2" xfId="40262"/>
    <cellStyle name="Comma 2 4 2 3 2 3 3" xfId="27960"/>
    <cellStyle name="Comma 2 4 2 3 2 4" xfId="8614"/>
    <cellStyle name="Comma 2 4 2 3 2 4 2" xfId="20918"/>
    <cellStyle name="Comma 2 4 2 3 2 4 2 2" xfId="43777"/>
    <cellStyle name="Comma 2 4 2 3 2 4 3" xfId="31475"/>
    <cellStyle name="Comma 2 4 2 3 2 5" xfId="12129"/>
    <cellStyle name="Comma 2 4 2 3 2 5 2" xfId="34989"/>
    <cellStyle name="Comma 2 4 2 3 2 6" xfId="13888"/>
    <cellStyle name="Comma 2 4 2 3 2 6 2" xfId="36747"/>
    <cellStyle name="Comma 2 4 2 3 2 7" xfId="24444"/>
    <cellStyle name="Comma 2 4 2 3 3" xfId="2464"/>
    <cellStyle name="Comma 2 4 2 3 3 2" xfId="5979"/>
    <cellStyle name="Comma 2 4 2 3 3 2 2" xfId="18283"/>
    <cellStyle name="Comma 2 4 2 3 3 2 2 2" xfId="41142"/>
    <cellStyle name="Comma 2 4 2 3 3 2 3" xfId="28840"/>
    <cellStyle name="Comma 2 4 2 3 3 3" xfId="9494"/>
    <cellStyle name="Comma 2 4 2 3 3 3 2" xfId="21798"/>
    <cellStyle name="Comma 2 4 2 3 3 3 2 2" xfId="44657"/>
    <cellStyle name="Comma 2 4 2 3 3 3 3" xfId="32355"/>
    <cellStyle name="Comma 2 4 2 3 3 4" xfId="14768"/>
    <cellStyle name="Comma 2 4 2 3 3 4 2" xfId="37627"/>
    <cellStyle name="Comma 2 4 2 3 3 5" xfId="25325"/>
    <cellStyle name="Comma 2 4 2 3 4" xfId="4221"/>
    <cellStyle name="Comma 2 4 2 3 4 2" xfId="16525"/>
    <cellStyle name="Comma 2 4 2 3 4 2 2" xfId="39384"/>
    <cellStyle name="Comma 2 4 2 3 4 3" xfId="27082"/>
    <cellStyle name="Comma 2 4 2 3 5" xfId="7736"/>
    <cellStyle name="Comma 2 4 2 3 5 2" xfId="20040"/>
    <cellStyle name="Comma 2 4 2 3 5 2 2" xfId="42899"/>
    <cellStyle name="Comma 2 4 2 3 5 3" xfId="30597"/>
    <cellStyle name="Comma 2 4 2 3 6" xfId="11251"/>
    <cellStyle name="Comma 2 4 2 3 6 2" xfId="34111"/>
    <cellStyle name="Comma 2 4 2 3 7" xfId="13010"/>
    <cellStyle name="Comma 2 4 2 3 7 2" xfId="35869"/>
    <cellStyle name="Comma 2 4 2 3 8" xfId="23566"/>
    <cellStyle name="Comma 2 4 2 4" xfId="1142"/>
    <cellStyle name="Comma 2 4 2 4 2" xfId="2903"/>
    <cellStyle name="Comma 2 4 2 4 2 2" xfId="6418"/>
    <cellStyle name="Comma 2 4 2 4 2 2 2" xfId="18722"/>
    <cellStyle name="Comma 2 4 2 4 2 2 2 2" xfId="41581"/>
    <cellStyle name="Comma 2 4 2 4 2 2 3" xfId="29279"/>
    <cellStyle name="Comma 2 4 2 4 2 3" xfId="9933"/>
    <cellStyle name="Comma 2 4 2 4 2 3 2" xfId="22237"/>
    <cellStyle name="Comma 2 4 2 4 2 3 2 2" xfId="45096"/>
    <cellStyle name="Comma 2 4 2 4 2 3 3" xfId="32794"/>
    <cellStyle name="Comma 2 4 2 4 2 4" xfId="15207"/>
    <cellStyle name="Comma 2 4 2 4 2 4 2" xfId="38066"/>
    <cellStyle name="Comma 2 4 2 4 2 5" xfId="25764"/>
    <cellStyle name="Comma 2 4 2 4 3" xfId="4660"/>
    <cellStyle name="Comma 2 4 2 4 3 2" xfId="16964"/>
    <cellStyle name="Comma 2 4 2 4 3 2 2" xfId="39823"/>
    <cellStyle name="Comma 2 4 2 4 3 3" xfId="27521"/>
    <cellStyle name="Comma 2 4 2 4 4" xfId="8175"/>
    <cellStyle name="Comma 2 4 2 4 4 2" xfId="20479"/>
    <cellStyle name="Comma 2 4 2 4 4 2 2" xfId="43338"/>
    <cellStyle name="Comma 2 4 2 4 4 3" xfId="31036"/>
    <cellStyle name="Comma 2 4 2 4 5" xfId="11690"/>
    <cellStyle name="Comma 2 4 2 4 5 2" xfId="34550"/>
    <cellStyle name="Comma 2 4 2 4 6" xfId="13449"/>
    <cellStyle name="Comma 2 4 2 4 6 2" xfId="36308"/>
    <cellStyle name="Comma 2 4 2 4 7" xfId="24005"/>
    <cellStyle name="Comma 2 4 2 5" xfId="2025"/>
    <cellStyle name="Comma 2 4 2 5 2" xfId="5540"/>
    <cellStyle name="Comma 2 4 2 5 2 2" xfId="17844"/>
    <cellStyle name="Comma 2 4 2 5 2 2 2" xfId="40703"/>
    <cellStyle name="Comma 2 4 2 5 2 3" xfId="28401"/>
    <cellStyle name="Comma 2 4 2 5 3" xfId="9055"/>
    <cellStyle name="Comma 2 4 2 5 3 2" xfId="21359"/>
    <cellStyle name="Comma 2 4 2 5 3 2 2" xfId="44218"/>
    <cellStyle name="Comma 2 4 2 5 3 3" xfId="31916"/>
    <cellStyle name="Comma 2 4 2 5 4" xfId="14329"/>
    <cellStyle name="Comma 2 4 2 5 4 2" xfId="37188"/>
    <cellStyle name="Comma 2 4 2 5 5" xfId="24886"/>
    <cellStyle name="Comma 2 4 2 6" xfId="3782"/>
    <cellStyle name="Comma 2 4 2 6 2" xfId="16086"/>
    <cellStyle name="Comma 2 4 2 6 2 2" xfId="38945"/>
    <cellStyle name="Comma 2 4 2 6 3" xfId="26643"/>
    <cellStyle name="Comma 2 4 2 7" xfId="7297"/>
    <cellStyle name="Comma 2 4 2 7 2" xfId="19601"/>
    <cellStyle name="Comma 2 4 2 7 2 2" xfId="42460"/>
    <cellStyle name="Comma 2 4 2 7 3" xfId="30158"/>
    <cellStyle name="Comma 2 4 2 8" xfId="10812"/>
    <cellStyle name="Comma 2 4 2 8 2" xfId="33672"/>
    <cellStyle name="Comma 2 4 2 9" xfId="12571"/>
    <cellStyle name="Comma 2 4 2 9 2" xfId="35430"/>
    <cellStyle name="Comma 2 4 3" xfId="367"/>
    <cellStyle name="Comma 2 4 3 2" xfId="808"/>
    <cellStyle name="Comma 2 4 3 2 2" xfId="1687"/>
    <cellStyle name="Comma 2 4 3 2 2 2" xfId="3448"/>
    <cellStyle name="Comma 2 4 3 2 2 2 2" xfId="6963"/>
    <cellStyle name="Comma 2 4 3 2 2 2 2 2" xfId="19267"/>
    <cellStyle name="Comma 2 4 3 2 2 2 2 2 2" xfId="42126"/>
    <cellStyle name="Comma 2 4 3 2 2 2 2 3" xfId="29824"/>
    <cellStyle name="Comma 2 4 3 2 2 2 3" xfId="10478"/>
    <cellStyle name="Comma 2 4 3 2 2 2 3 2" xfId="22782"/>
    <cellStyle name="Comma 2 4 3 2 2 2 3 2 2" xfId="45641"/>
    <cellStyle name="Comma 2 4 3 2 2 2 3 3" xfId="33339"/>
    <cellStyle name="Comma 2 4 3 2 2 2 4" xfId="15752"/>
    <cellStyle name="Comma 2 4 3 2 2 2 4 2" xfId="38611"/>
    <cellStyle name="Comma 2 4 3 2 2 2 5" xfId="26309"/>
    <cellStyle name="Comma 2 4 3 2 2 3" xfId="5205"/>
    <cellStyle name="Comma 2 4 3 2 2 3 2" xfId="17509"/>
    <cellStyle name="Comma 2 4 3 2 2 3 2 2" xfId="40368"/>
    <cellStyle name="Comma 2 4 3 2 2 3 3" xfId="28066"/>
    <cellStyle name="Comma 2 4 3 2 2 4" xfId="8720"/>
    <cellStyle name="Comma 2 4 3 2 2 4 2" xfId="21024"/>
    <cellStyle name="Comma 2 4 3 2 2 4 2 2" xfId="43883"/>
    <cellStyle name="Comma 2 4 3 2 2 4 3" xfId="31581"/>
    <cellStyle name="Comma 2 4 3 2 2 5" xfId="12235"/>
    <cellStyle name="Comma 2 4 3 2 2 5 2" xfId="35095"/>
    <cellStyle name="Comma 2 4 3 2 2 6" xfId="13994"/>
    <cellStyle name="Comma 2 4 3 2 2 6 2" xfId="36853"/>
    <cellStyle name="Comma 2 4 3 2 2 7" xfId="24550"/>
    <cellStyle name="Comma 2 4 3 2 3" xfId="2570"/>
    <cellStyle name="Comma 2 4 3 2 3 2" xfId="6085"/>
    <cellStyle name="Comma 2 4 3 2 3 2 2" xfId="18389"/>
    <cellStyle name="Comma 2 4 3 2 3 2 2 2" xfId="41248"/>
    <cellStyle name="Comma 2 4 3 2 3 2 3" xfId="28946"/>
    <cellStyle name="Comma 2 4 3 2 3 3" xfId="9600"/>
    <cellStyle name="Comma 2 4 3 2 3 3 2" xfId="21904"/>
    <cellStyle name="Comma 2 4 3 2 3 3 2 2" xfId="44763"/>
    <cellStyle name="Comma 2 4 3 2 3 3 3" xfId="32461"/>
    <cellStyle name="Comma 2 4 3 2 3 4" xfId="14874"/>
    <cellStyle name="Comma 2 4 3 2 3 4 2" xfId="37733"/>
    <cellStyle name="Comma 2 4 3 2 3 5" xfId="25431"/>
    <cellStyle name="Comma 2 4 3 2 4" xfId="4327"/>
    <cellStyle name="Comma 2 4 3 2 4 2" xfId="16631"/>
    <cellStyle name="Comma 2 4 3 2 4 2 2" xfId="39490"/>
    <cellStyle name="Comma 2 4 3 2 4 3" xfId="27188"/>
    <cellStyle name="Comma 2 4 3 2 5" xfId="7842"/>
    <cellStyle name="Comma 2 4 3 2 5 2" xfId="20146"/>
    <cellStyle name="Comma 2 4 3 2 5 2 2" xfId="43005"/>
    <cellStyle name="Comma 2 4 3 2 5 3" xfId="30703"/>
    <cellStyle name="Comma 2 4 3 2 6" xfId="11357"/>
    <cellStyle name="Comma 2 4 3 2 6 2" xfId="34217"/>
    <cellStyle name="Comma 2 4 3 2 7" xfId="13116"/>
    <cellStyle name="Comma 2 4 3 2 7 2" xfId="35975"/>
    <cellStyle name="Comma 2 4 3 2 8" xfId="23672"/>
    <cellStyle name="Comma 2 4 3 3" xfId="1248"/>
    <cellStyle name="Comma 2 4 3 3 2" xfId="3009"/>
    <cellStyle name="Comma 2 4 3 3 2 2" xfId="6524"/>
    <cellStyle name="Comma 2 4 3 3 2 2 2" xfId="18828"/>
    <cellStyle name="Comma 2 4 3 3 2 2 2 2" xfId="41687"/>
    <cellStyle name="Comma 2 4 3 3 2 2 3" xfId="29385"/>
    <cellStyle name="Comma 2 4 3 3 2 3" xfId="10039"/>
    <cellStyle name="Comma 2 4 3 3 2 3 2" xfId="22343"/>
    <cellStyle name="Comma 2 4 3 3 2 3 2 2" xfId="45202"/>
    <cellStyle name="Comma 2 4 3 3 2 3 3" xfId="32900"/>
    <cellStyle name="Comma 2 4 3 3 2 4" xfId="15313"/>
    <cellStyle name="Comma 2 4 3 3 2 4 2" xfId="38172"/>
    <cellStyle name="Comma 2 4 3 3 2 5" xfId="25870"/>
    <cellStyle name="Comma 2 4 3 3 3" xfId="4766"/>
    <cellStyle name="Comma 2 4 3 3 3 2" xfId="17070"/>
    <cellStyle name="Comma 2 4 3 3 3 2 2" xfId="39929"/>
    <cellStyle name="Comma 2 4 3 3 3 3" xfId="27627"/>
    <cellStyle name="Comma 2 4 3 3 4" xfId="8281"/>
    <cellStyle name="Comma 2 4 3 3 4 2" xfId="20585"/>
    <cellStyle name="Comma 2 4 3 3 4 2 2" xfId="43444"/>
    <cellStyle name="Comma 2 4 3 3 4 3" xfId="31142"/>
    <cellStyle name="Comma 2 4 3 3 5" xfId="11796"/>
    <cellStyle name="Comma 2 4 3 3 5 2" xfId="34656"/>
    <cellStyle name="Comma 2 4 3 3 6" xfId="13555"/>
    <cellStyle name="Comma 2 4 3 3 6 2" xfId="36414"/>
    <cellStyle name="Comma 2 4 3 3 7" xfId="24111"/>
    <cellStyle name="Comma 2 4 3 4" xfId="2131"/>
    <cellStyle name="Comma 2 4 3 4 2" xfId="5646"/>
    <cellStyle name="Comma 2 4 3 4 2 2" xfId="17950"/>
    <cellStyle name="Comma 2 4 3 4 2 2 2" xfId="40809"/>
    <cellStyle name="Comma 2 4 3 4 2 3" xfId="28507"/>
    <cellStyle name="Comma 2 4 3 4 3" xfId="9161"/>
    <cellStyle name="Comma 2 4 3 4 3 2" xfId="21465"/>
    <cellStyle name="Comma 2 4 3 4 3 2 2" xfId="44324"/>
    <cellStyle name="Comma 2 4 3 4 3 3" xfId="32022"/>
    <cellStyle name="Comma 2 4 3 4 4" xfId="14435"/>
    <cellStyle name="Comma 2 4 3 4 4 2" xfId="37294"/>
    <cellStyle name="Comma 2 4 3 4 5" xfId="24992"/>
    <cellStyle name="Comma 2 4 3 5" xfId="3888"/>
    <cellStyle name="Comma 2 4 3 5 2" xfId="16192"/>
    <cellStyle name="Comma 2 4 3 5 2 2" xfId="39051"/>
    <cellStyle name="Comma 2 4 3 5 3" xfId="26749"/>
    <cellStyle name="Comma 2 4 3 6" xfId="7403"/>
    <cellStyle name="Comma 2 4 3 6 2" xfId="19707"/>
    <cellStyle name="Comma 2 4 3 6 2 2" xfId="42566"/>
    <cellStyle name="Comma 2 4 3 6 3" xfId="30264"/>
    <cellStyle name="Comma 2 4 3 7" xfId="10918"/>
    <cellStyle name="Comma 2 4 3 7 2" xfId="33778"/>
    <cellStyle name="Comma 2 4 3 8" xfId="12677"/>
    <cellStyle name="Comma 2 4 3 8 2" xfId="35536"/>
    <cellStyle name="Comma 2 4 3 9" xfId="23232"/>
    <cellStyle name="Comma 2 4 4" xfId="596"/>
    <cellStyle name="Comma 2 4 4 2" xfId="1475"/>
    <cellStyle name="Comma 2 4 4 2 2" xfId="3236"/>
    <cellStyle name="Comma 2 4 4 2 2 2" xfId="6751"/>
    <cellStyle name="Comma 2 4 4 2 2 2 2" xfId="19055"/>
    <cellStyle name="Comma 2 4 4 2 2 2 2 2" xfId="41914"/>
    <cellStyle name="Comma 2 4 4 2 2 2 3" xfId="29612"/>
    <cellStyle name="Comma 2 4 4 2 2 3" xfId="10266"/>
    <cellStyle name="Comma 2 4 4 2 2 3 2" xfId="22570"/>
    <cellStyle name="Comma 2 4 4 2 2 3 2 2" xfId="45429"/>
    <cellStyle name="Comma 2 4 4 2 2 3 3" xfId="33127"/>
    <cellStyle name="Comma 2 4 4 2 2 4" xfId="15540"/>
    <cellStyle name="Comma 2 4 4 2 2 4 2" xfId="38399"/>
    <cellStyle name="Comma 2 4 4 2 2 5" xfId="26097"/>
    <cellStyle name="Comma 2 4 4 2 3" xfId="4993"/>
    <cellStyle name="Comma 2 4 4 2 3 2" xfId="17297"/>
    <cellStyle name="Comma 2 4 4 2 3 2 2" xfId="40156"/>
    <cellStyle name="Comma 2 4 4 2 3 3" xfId="27854"/>
    <cellStyle name="Comma 2 4 4 2 4" xfId="8508"/>
    <cellStyle name="Comma 2 4 4 2 4 2" xfId="20812"/>
    <cellStyle name="Comma 2 4 4 2 4 2 2" xfId="43671"/>
    <cellStyle name="Comma 2 4 4 2 4 3" xfId="31369"/>
    <cellStyle name="Comma 2 4 4 2 5" xfId="12023"/>
    <cellStyle name="Comma 2 4 4 2 5 2" xfId="34883"/>
    <cellStyle name="Comma 2 4 4 2 6" xfId="13782"/>
    <cellStyle name="Comma 2 4 4 2 6 2" xfId="36641"/>
    <cellStyle name="Comma 2 4 4 2 7" xfId="24338"/>
    <cellStyle name="Comma 2 4 4 3" xfId="2358"/>
    <cellStyle name="Comma 2 4 4 3 2" xfId="5873"/>
    <cellStyle name="Comma 2 4 4 3 2 2" xfId="18177"/>
    <cellStyle name="Comma 2 4 4 3 2 2 2" xfId="41036"/>
    <cellStyle name="Comma 2 4 4 3 2 3" xfId="28734"/>
    <cellStyle name="Comma 2 4 4 3 3" xfId="9388"/>
    <cellStyle name="Comma 2 4 4 3 3 2" xfId="21692"/>
    <cellStyle name="Comma 2 4 4 3 3 2 2" xfId="44551"/>
    <cellStyle name="Comma 2 4 4 3 3 3" xfId="32249"/>
    <cellStyle name="Comma 2 4 4 3 4" xfId="14662"/>
    <cellStyle name="Comma 2 4 4 3 4 2" xfId="37521"/>
    <cellStyle name="Comma 2 4 4 3 5" xfId="25219"/>
    <cellStyle name="Comma 2 4 4 4" xfId="4115"/>
    <cellStyle name="Comma 2 4 4 4 2" xfId="16419"/>
    <cellStyle name="Comma 2 4 4 4 2 2" xfId="39278"/>
    <cellStyle name="Comma 2 4 4 4 3" xfId="26976"/>
    <cellStyle name="Comma 2 4 4 5" xfId="7630"/>
    <cellStyle name="Comma 2 4 4 5 2" xfId="19934"/>
    <cellStyle name="Comma 2 4 4 5 2 2" xfId="42793"/>
    <cellStyle name="Comma 2 4 4 5 3" xfId="30491"/>
    <cellStyle name="Comma 2 4 4 6" xfId="11145"/>
    <cellStyle name="Comma 2 4 4 6 2" xfId="34005"/>
    <cellStyle name="Comma 2 4 4 7" xfId="12904"/>
    <cellStyle name="Comma 2 4 4 7 2" xfId="35763"/>
    <cellStyle name="Comma 2 4 4 8" xfId="23460"/>
    <cellStyle name="Comma 2 4 5" xfId="1036"/>
    <cellStyle name="Comma 2 4 5 2" xfId="2797"/>
    <cellStyle name="Comma 2 4 5 2 2" xfId="6312"/>
    <cellStyle name="Comma 2 4 5 2 2 2" xfId="18616"/>
    <cellStyle name="Comma 2 4 5 2 2 2 2" xfId="41475"/>
    <cellStyle name="Comma 2 4 5 2 2 3" xfId="29173"/>
    <cellStyle name="Comma 2 4 5 2 3" xfId="9827"/>
    <cellStyle name="Comma 2 4 5 2 3 2" xfId="22131"/>
    <cellStyle name="Comma 2 4 5 2 3 2 2" xfId="44990"/>
    <cellStyle name="Comma 2 4 5 2 3 3" xfId="32688"/>
    <cellStyle name="Comma 2 4 5 2 4" xfId="15101"/>
    <cellStyle name="Comma 2 4 5 2 4 2" xfId="37960"/>
    <cellStyle name="Comma 2 4 5 2 5" xfId="25658"/>
    <cellStyle name="Comma 2 4 5 3" xfId="4554"/>
    <cellStyle name="Comma 2 4 5 3 2" xfId="16858"/>
    <cellStyle name="Comma 2 4 5 3 2 2" xfId="39717"/>
    <cellStyle name="Comma 2 4 5 3 3" xfId="27415"/>
    <cellStyle name="Comma 2 4 5 4" xfId="8069"/>
    <cellStyle name="Comma 2 4 5 4 2" xfId="20373"/>
    <cellStyle name="Comma 2 4 5 4 2 2" xfId="43232"/>
    <cellStyle name="Comma 2 4 5 4 3" xfId="30930"/>
    <cellStyle name="Comma 2 4 5 5" xfId="11584"/>
    <cellStyle name="Comma 2 4 5 5 2" xfId="34444"/>
    <cellStyle name="Comma 2 4 5 6" xfId="13343"/>
    <cellStyle name="Comma 2 4 5 6 2" xfId="36202"/>
    <cellStyle name="Comma 2 4 5 7" xfId="23899"/>
    <cellStyle name="Comma 2 4 6" xfId="1919"/>
    <cellStyle name="Comma 2 4 6 2" xfId="5434"/>
    <cellStyle name="Comma 2 4 6 2 2" xfId="17738"/>
    <cellStyle name="Comma 2 4 6 2 2 2" xfId="40597"/>
    <cellStyle name="Comma 2 4 6 2 3" xfId="28295"/>
    <cellStyle name="Comma 2 4 6 3" xfId="8949"/>
    <cellStyle name="Comma 2 4 6 3 2" xfId="21253"/>
    <cellStyle name="Comma 2 4 6 3 2 2" xfId="44112"/>
    <cellStyle name="Comma 2 4 6 3 3" xfId="31810"/>
    <cellStyle name="Comma 2 4 6 4" xfId="14223"/>
    <cellStyle name="Comma 2 4 6 4 2" xfId="37082"/>
    <cellStyle name="Comma 2 4 6 5" xfId="24780"/>
    <cellStyle name="Comma 2 4 7" xfId="3676"/>
    <cellStyle name="Comma 2 4 7 2" xfId="15980"/>
    <cellStyle name="Comma 2 4 7 2 2" xfId="38839"/>
    <cellStyle name="Comma 2 4 7 3" xfId="26537"/>
    <cellStyle name="Comma 2 4 8" xfId="7191"/>
    <cellStyle name="Comma 2 4 8 2" xfId="19495"/>
    <cellStyle name="Comma 2 4 8 2 2" xfId="42354"/>
    <cellStyle name="Comma 2 4 8 3" xfId="30052"/>
    <cellStyle name="Comma 2 4 9" xfId="10706"/>
    <cellStyle name="Comma 2 4 9 2" xfId="33566"/>
    <cellStyle name="Comma 2 5" xfId="195"/>
    <cellStyle name="Comma 2 5 10" xfId="23060"/>
    <cellStyle name="Comma 2 5 2" xfId="407"/>
    <cellStyle name="Comma 2 5 2 2" xfId="848"/>
    <cellStyle name="Comma 2 5 2 2 2" xfId="1727"/>
    <cellStyle name="Comma 2 5 2 2 2 2" xfId="3488"/>
    <cellStyle name="Comma 2 5 2 2 2 2 2" xfId="7003"/>
    <cellStyle name="Comma 2 5 2 2 2 2 2 2" xfId="19307"/>
    <cellStyle name="Comma 2 5 2 2 2 2 2 2 2" xfId="42166"/>
    <cellStyle name="Comma 2 5 2 2 2 2 2 3" xfId="29864"/>
    <cellStyle name="Comma 2 5 2 2 2 2 3" xfId="10518"/>
    <cellStyle name="Comma 2 5 2 2 2 2 3 2" xfId="22822"/>
    <cellStyle name="Comma 2 5 2 2 2 2 3 2 2" xfId="45681"/>
    <cellStyle name="Comma 2 5 2 2 2 2 3 3" xfId="33379"/>
    <cellStyle name="Comma 2 5 2 2 2 2 4" xfId="15792"/>
    <cellStyle name="Comma 2 5 2 2 2 2 4 2" xfId="38651"/>
    <cellStyle name="Comma 2 5 2 2 2 2 5" xfId="26349"/>
    <cellStyle name="Comma 2 5 2 2 2 3" xfId="5245"/>
    <cellStyle name="Comma 2 5 2 2 2 3 2" xfId="17549"/>
    <cellStyle name="Comma 2 5 2 2 2 3 2 2" xfId="40408"/>
    <cellStyle name="Comma 2 5 2 2 2 3 3" xfId="28106"/>
    <cellStyle name="Comma 2 5 2 2 2 4" xfId="8760"/>
    <cellStyle name="Comma 2 5 2 2 2 4 2" xfId="21064"/>
    <cellStyle name="Comma 2 5 2 2 2 4 2 2" xfId="43923"/>
    <cellStyle name="Comma 2 5 2 2 2 4 3" xfId="31621"/>
    <cellStyle name="Comma 2 5 2 2 2 5" xfId="12275"/>
    <cellStyle name="Comma 2 5 2 2 2 5 2" xfId="35135"/>
    <cellStyle name="Comma 2 5 2 2 2 6" xfId="14034"/>
    <cellStyle name="Comma 2 5 2 2 2 6 2" xfId="36893"/>
    <cellStyle name="Comma 2 5 2 2 2 7" xfId="24590"/>
    <cellStyle name="Comma 2 5 2 2 3" xfId="2610"/>
    <cellStyle name="Comma 2 5 2 2 3 2" xfId="6125"/>
    <cellStyle name="Comma 2 5 2 2 3 2 2" xfId="18429"/>
    <cellStyle name="Comma 2 5 2 2 3 2 2 2" xfId="41288"/>
    <cellStyle name="Comma 2 5 2 2 3 2 3" xfId="28986"/>
    <cellStyle name="Comma 2 5 2 2 3 3" xfId="9640"/>
    <cellStyle name="Comma 2 5 2 2 3 3 2" xfId="21944"/>
    <cellStyle name="Comma 2 5 2 2 3 3 2 2" xfId="44803"/>
    <cellStyle name="Comma 2 5 2 2 3 3 3" xfId="32501"/>
    <cellStyle name="Comma 2 5 2 2 3 4" xfId="14914"/>
    <cellStyle name="Comma 2 5 2 2 3 4 2" xfId="37773"/>
    <cellStyle name="Comma 2 5 2 2 3 5" xfId="25471"/>
    <cellStyle name="Comma 2 5 2 2 4" xfId="4367"/>
    <cellStyle name="Comma 2 5 2 2 4 2" xfId="16671"/>
    <cellStyle name="Comma 2 5 2 2 4 2 2" xfId="39530"/>
    <cellStyle name="Comma 2 5 2 2 4 3" xfId="27228"/>
    <cellStyle name="Comma 2 5 2 2 5" xfId="7882"/>
    <cellStyle name="Comma 2 5 2 2 5 2" xfId="20186"/>
    <cellStyle name="Comma 2 5 2 2 5 2 2" xfId="43045"/>
    <cellStyle name="Comma 2 5 2 2 5 3" xfId="30743"/>
    <cellStyle name="Comma 2 5 2 2 6" xfId="11397"/>
    <cellStyle name="Comma 2 5 2 2 6 2" xfId="34257"/>
    <cellStyle name="Comma 2 5 2 2 7" xfId="13156"/>
    <cellStyle name="Comma 2 5 2 2 7 2" xfId="36015"/>
    <cellStyle name="Comma 2 5 2 2 8" xfId="23712"/>
    <cellStyle name="Comma 2 5 2 3" xfId="1288"/>
    <cellStyle name="Comma 2 5 2 3 2" xfId="3049"/>
    <cellStyle name="Comma 2 5 2 3 2 2" xfId="6564"/>
    <cellStyle name="Comma 2 5 2 3 2 2 2" xfId="18868"/>
    <cellStyle name="Comma 2 5 2 3 2 2 2 2" xfId="41727"/>
    <cellStyle name="Comma 2 5 2 3 2 2 3" xfId="29425"/>
    <cellStyle name="Comma 2 5 2 3 2 3" xfId="10079"/>
    <cellStyle name="Comma 2 5 2 3 2 3 2" xfId="22383"/>
    <cellStyle name="Comma 2 5 2 3 2 3 2 2" xfId="45242"/>
    <cellStyle name="Comma 2 5 2 3 2 3 3" xfId="32940"/>
    <cellStyle name="Comma 2 5 2 3 2 4" xfId="15353"/>
    <cellStyle name="Comma 2 5 2 3 2 4 2" xfId="38212"/>
    <cellStyle name="Comma 2 5 2 3 2 5" xfId="25910"/>
    <cellStyle name="Comma 2 5 2 3 3" xfId="4806"/>
    <cellStyle name="Comma 2 5 2 3 3 2" xfId="17110"/>
    <cellStyle name="Comma 2 5 2 3 3 2 2" xfId="39969"/>
    <cellStyle name="Comma 2 5 2 3 3 3" xfId="27667"/>
    <cellStyle name="Comma 2 5 2 3 4" xfId="8321"/>
    <cellStyle name="Comma 2 5 2 3 4 2" xfId="20625"/>
    <cellStyle name="Comma 2 5 2 3 4 2 2" xfId="43484"/>
    <cellStyle name="Comma 2 5 2 3 4 3" xfId="31182"/>
    <cellStyle name="Comma 2 5 2 3 5" xfId="11836"/>
    <cellStyle name="Comma 2 5 2 3 5 2" xfId="34696"/>
    <cellStyle name="Comma 2 5 2 3 6" xfId="13595"/>
    <cellStyle name="Comma 2 5 2 3 6 2" xfId="36454"/>
    <cellStyle name="Comma 2 5 2 3 7" xfId="24151"/>
    <cellStyle name="Comma 2 5 2 4" xfId="2171"/>
    <cellStyle name="Comma 2 5 2 4 2" xfId="5686"/>
    <cellStyle name="Comma 2 5 2 4 2 2" xfId="17990"/>
    <cellStyle name="Comma 2 5 2 4 2 2 2" xfId="40849"/>
    <cellStyle name="Comma 2 5 2 4 2 3" xfId="28547"/>
    <cellStyle name="Comma 2 5 2 4 3" xfId="9201"/>
    <cellStyle name="Comma 2 5 2 4 3 2" xfId="21505"/>
    <cellStyle name="Comma 2 5 2 4 3 2 2" xfId="44364"/>
    <cellStyle name="Comma 2 5 2 4 3 3" xfId="32062"/>
    <cellStyle name="Comma 2 5 2 4 4" xfId="14475"/>
    <cellStyle name="Comma 2 5 2 4 4 2" xfId="37334"/>
    <cellStyle name="Comma 2 5 2 4 5" xfId="25032"/>
    <cellStyle name="Comma 2 5 2 5" xfId="3928"/>
    <cellStyle name="Comma 2 5 2 5 2" xfId="16232"/>
    <cellStyle name="Comma 2 5 2 5 2 2" xfId="39091"/>
    <cellStyle name="Comma 2 5 2 5 3" xfId="26789"/>
    <cellStyle name="Comma 2 5 2 6" xfId="7443"/>
    <cellStyle name="Comma 2 5 2 6 2" xfId="19747"/>
    <cellStyle name="Comma 2 5 2 6 2 2" xfId="42606"/>
    <cellStyle name="Comma 2 5 2 6 3" xfId="30304"/>
    <cellStyle name="Comma 2 5 2 7" xfId="10958"/>
    <cellStyle name="Comma 2 5 2 7 2" xfId="33818"/>
    <cellStyle name="Comma 2 5 2 8" xfId="12717"/>
    <cellStyle name="Comma 2 5 2 8 2" xfId="35576"/>
    <cellStyle name="Comma 2 5 2 9" xfId="23272"/>
    <cellStyle name="Comma 2 5 3" xfId="636"/>
    <cellStyle name="Comma 2 5 3 2" xfId="1515"/>
    <cellStyle name="Comma 2 5 3 2 2" xfId="3276"/>
    <cellStyle name="Comma 2 5 3 2 2 2" xfId="6791"/>
    <cellStyle name="Comma 2 5 3 2 2 2 2" xfId="19095"/>
    <cellStyle name="Comma 2 5 3 2 2 2 2 2" xfId="41954"/>
    <cellStyle name="Comma 2 5 3 2 2 2 3" xfId="29652"/>
    <cellStyle name="Comma 2 5 3 2 2 3" xfId="10306"/>
    <cellStyle name="Comma 2 5 3 2 2 3 2" xfId="22610"/>
    <cellStyle name="Comma 2 5 3 2 2 3 2 2" xfId="45469"/>
    <cellStyle name="Comma 2 5 3 2 2 3 3" xfId="33167"/>
    <cellStyle name="Comma 2 5 3 2 2 4" xfId="15580"/>
    <cellStyle name="Comma 2 5 3 2 2 4 2" xfId="38439"/>
    <cellStyle name="Comma 2 5 3 2 2 5" xfId="26137"/>
    <cellStyle name="Comma 2 5 3 2 3" xfId="5033"/>
    <cellStyle name="Comma 2 5 3 2 3 2" xfId="17337"/>
    <cellStyle name="Comma 2 5 3 2 3 2 2" xfId="40196"/>
    <cellStyle name="Comma 2 5 3 2 3 3" xfId="27894"/>
    <cellStyle name="Comma 2 5 3 2 4" xfId="8548"/>
    <cellStyle name="Comma 2 5 3 2 4 2" xfId="20852"/>
    <cellStyle name="Comma 2 5 3 2 4 2 2" xfId="43711"/>
    <cellStyle name="Comma 2 5 3 2 4 3" xfId="31409"/>
    <cellStyle name="Comma 2 5 3 2 5" xfId="12063"/>
    <cellStyle name="Comma 2 5 3 2 5 2" xfId="34923"/>
    <cellStyle name="Comma 2 5 3 2 6" xfId="13822"/>
    <cellStyle name="Comma 2 5 3 2 6 2" xfId="36681"/>
    <cellStyle name="Comma 2 5 3 2 7" xfId="24378"/>
    <cellStyle name="Comma 2 5 3 3" xfId="2398"/>
    <cellStyle name="Comma 2 5 3 3 2" xfId="5913"/>
    <cellStyle name="Comma 2 5 3 3 2 2" xfId="18217"/>
    <cellStyle name="Comma 2 5 3 3 2 2 2" xfId="41076"/>
    <cellStyle name="Comma 2 5 3 3 2 3" xfId="28774"/>
    <cellStyle name="Comma 2 5 3 3 3" xfId="9428"/>
    <cellStyle name="Comma 2 5 3 3 3 2" xfId="21732"/>
    <cellStyle name="Comma 2 5 3 3 3 2 2" xfId="44591"/>
    <cellStyle name="Comma 2 5 3 3 3 3" xfId="32289"/>
    <cellStyle name="Comma 2 5 3 3 4" xfId="14702"/>
    <cellStyle name="Comma 2 5 3 3 4 2" xfId="37561"/>
    <cellStyle name="Comma 2 5 3 3 5" xfId="25259"/>
    <cellStyle name="Comma 2 5 3 4" xfId="4155"/>
    <cellStyle name="Comma 2 5 3 4 2" xfId="16459"/>
    <cellStyle name="Comma 2 5 3 4 2 2" xfId="39318"/>
    <cellStyle name="Comma 2 5 3 4 3" xfId="27016"/>
    <cellStyle name="Comma 2 5 3 5" xfId="7670"/>
    <cellStyle name="Comma 2 5 3 5 2" xfId="19974"/>
    <cellStyle name="Comma 2 5 3 5 2 2" xfId="42833"/>
    <cellStyle name="Comma 2 5 3 5 3" xfId="30531"/>
    <cellStyle name="Comma 2 5 3 6" xfId="11185"/>
    <cellStyle name="Comma 2 5 3 6 2" xfId="34045"/>
    <cellStyle name="Comma 2 5 3 7" xfId="12944"/>
    <cellStyle name="Comma 2 5 3 7 2" xfId="35803"/>
    <cellStyle name="Comma 2 5 3 8" xfId="23500"/>
    <cellStyle name="Comma 2 5 4" xfId="1076"/>
    <cellStyle name="Comma 2 5 4 2" xfId="2837"/>
    <cellStyle name="Comma 2 5 4 2 2" xfId="6352"/>
    <cellStyle name="Comma 2 5 4 2 2 2" xfId="18656"/>
    <cellStyle name="Comma 2 5 4 2 2 2 2" xfId="41515"/>
    <cellStyle name="Comma 2 5 4 2 2 3" xfId="29213"/>
    <cellStyle name="Comma 2 5 4 2 3" xfId="9867"/>
    <cellStyle name="Comma 2 5 4 2 3 2" xfId="22171"/>
    <cellStyle name="Comma 2 5 4 2 3 2 2" xfId="45030"/>
    <cellStyle name="Comma 2 5 4 2 3 3" xfId="32728"/>
    <cellStyle name="Comma 2 5 4 2 4" xfId="15141"/>
    <cellStyle name="Comma 2 5 4 2 4 2" xfId="38000"/>
    <cellStyle name="Comma 2 5 4 2 5" xfId="25698"/>
    <cellStyle name="Comma 2 5 4 3" xfId="4594"/>
    <cellStyle name="Comma 2 5 4 3 2" xfId="16898"/>
    <cellStyle name="Comma 2 5 4 3 2 2" xfId="39757"/>
    <cellStyle name="Comma 2 5 4 3 3" xfId="27455"/>
    <cellStyle name="Comma 2 5 4 4" xfId="8109"/>
    <cellStyle name="Comma 2 5 4 4 2" xfId="20413"/>
    <cellStyle name="Comma 2 5 4 4 2 2" xfId="43272"/>
    <cellStyle name="Comma 2 5 4 4 3" xfId="30970"/>
    <cellStyle name="Comma 2 5 4 5" xfId="11624"/>
    <cellStyle name="Comma 2 5 4 5 2" xfId="34484"/>
    <cellStyle name="Comma 2 5 4 6" xfId="13383"/>
    <cellStyle name="Comma 2 5 4 6 2" xfId="36242"/>
    <cellStyle name="Comma 2 5 4 7" xfId="23939"/>
    <cellStyle name="Comma 2 5 5" xfId="1959"/>
    <cellStyle name="Comma 2 5 5 2" xfId="5474"/>
    <cellStyle name="Comma 2 5 5 2 2" xfId="17778"/>
    <cellStyle name="Comma 2 5 5 2 2 2" xfId="40637"/>
    <cellStyle name="Comma 2 5 5 2 3" xfId="28335"/>
    <cellStyle name="Comma 2 5 5 3" xfId="8989"/>
    <cellStyle name="Comma 2 5 5 3 2" xfId="21293"/>
    <cellStyle name="Comma 2 5 5 3 2 2" xfId="44152"/>
    <cellStyle name="Comma 2 5 5 3 3" xfId="31850"/>
    <cellStyle name="Comma 2 5 5 4" xfId="14263"/>
    <cellStyle name="Comma 2 5 5 4 2" xfId="37122"/>
    <cellStyle name="Comma 2 5 5 5" xfId="24820"/>
    <cellStyle name="Comma 2 5 6" xfId="3716"/>
    <cellStyle name="Comma 2 5 6 2" xfId="16020"/>
    <cellStyle name="Comma 2 5 6 2 2" xfId="38879"/>
    <cellStyle name="Comma 2 5 6 3" xfId="26577"/>
    <cellStyle name="Comma 2 5 7" xfId="7231"/>
    <cellStyle name="Comma 2 5 7 2" xfId="19535"/>
    <cellStyle name="Comma 2 5 7 2 2" xfId="42394"/>
    <cellStyle name="Comma 2 5 7 3" xfId="30092"/>
    <cellStyle name="Comma 2 5 8" xfId="10746"/>
    <cellStyle name="Comma 2 5 8 2" xfId="33606"/>
    <cellStyle name="Comma 2 5 9" xfId="12505"/>
    <cellStyle name="Comma 2 5 9 2" xfId="35364"/>
    <cellStyle name="Comma 2 6" xfId="301"/>
    <cellStyle name="Comma 2 6 2" xfId="742"/>
    <cellStyle name="Comma 2 6 2 2" xfId="1621"/>
    <cellStyle name="Comma 2 6 2 2 2" xfId="3382"/>
    <cellStyle name="Comma 2 6 2 2 2 2" xfId="6897"/>
    <cellStyle name="Comma 2 6 2 2 2 2 2" xfId="19201"/>
    <cellStyle name="Comma 2 6 2 2 2 2 2 2" xfId="42060"/>
    <cellStyle name="Comma 2 6 2 2 2 2 3" xfId="29758"/>
    <cellStyle name="Comma 2 6 2 2 2 3" xfId="10412"/>
    <cellStyle name="Comma 2 6 2 2 2 3 2" xfId="22716"/>
    <cellStyle name="Comma 2 6 2 2 2 3 2 2" xfId="45575"/>
    <cellStyle name="Comma 2 6 2 2 2 3 3" xfId="33273"/>
    <cellStyle name="Comma 2 6 2 2 2 4" xfId="15686"/>
    <cellStyle name="Comma 2 6 2 2 2 4 2" xfId="38545"/>
    <cellStyle name="Comma 2 6 2 2 2 5" xfId="26243"/>
    <cellStyle name="Comma 2 6 2 2 3" xfId="5139"/>
    <cellStyle name="Comma 2 6 2 2 3 2" xfId="17443"/>
    <cellStyle name="Comma 2 6 2 2 3 2 2" xfId="40302"/>
    <cellStyle name="Comma 2 6 2 2 3 3" xfId="28000"/>
    <cellStyle name="Comma 2 6 2 2 4" xfId="8654"/>
    <cellStyle name="Comma 2 6 2 2 4 2" xfId="20958"/>
    <cellStyle name="Comma 2 6 2 2 4 2 2" xfId="43817"/>
    <cellStyle name="Comma 2 6 2 2 4 3" xfId="31515"/>
    <cellStyle name="Comma 2 6 2 2 5" xfId="12169"/>
    <cellStyle name="Comma 2 6 2 2 5 2" xfId="35029"/>
    <cellStyle name="Comma 2 6 2 2 6" xfId="13928"/>
    <cellStyle name="Comma 2 6 2 2 6 2" xfId="36787"/>
    <cellStyle name="Comma 2 6 2 2 7" xfId="24484"/>
    <cellStyle name="Comma 2 6 2 3" xfId="2504"/>
    <cellStyle name="Comma 2 6 2 3 2" xfId="6019"/>
    <cellStyle name="Comma 2 6 2 3 2 2" xfId="18323"/>
    <cellStyle name="Comma 2 6 2 3 2 2 2" xfId="41182"/>
    <cellStyle name="Comma 2 6 2 3 2 3" xfId="28880"/>
    <cellStyle name="Comma 2 6 2 3 3" xfId="9534"/>
    <cellStyle name="Comma 2 6 2 3 3 2" xfId="21838"/>
    <cellStyle name="Comma 2 6 2 3 3 2 2" xfId="44697"/>
    <cellStyle name="Comma 2 6 2 3 3 3" xfId="32395"/>
    <cellStyle name="Comma 2 6 2 3 4" xfId="14808"/>
    <cellStyle name="Comma 2 6 2 3 4 2" xfId="37667"/>
    <cellStyle name="Comma 2 6 2 3 5" xfId="25365"/>
    <cellStyle name="Comma 2 6 2 4" xfId="4261"/>
    <cellStyle name="Comma 2 6 2 4 2" xfId="16565"/>
    <cellStyle name="Comma 2 6 2 4 2 2" xfId="39424"/>
    <cellStyle name="Comma 2 6 2 4 3" xfId="27122"/>
    <cellStyle name="Comma 2 6 2 5" xfId="7776"/>
    <cellStyle name="Comma 2 6 2 5 2" xfId="20080"/>
    <cellStyle name="Comma 2 6 2 5 2 2" xfId="42939"/>
    <cellStyle name="Comma 2 6 2 5 3" xfId="30637"/>
    <cellStyle name="Comma 2 6 2 6" xfId="11291"/>
    <cellStyle name="Comma 2 6 2 6 2" xfId="34151"/>
    <cellStyle name="Comma 2 6 2 7" xfId="13050"/>
    <cellStyle name="Comma 2 6 2 7 2" xfId="35909"/>
    <cellStyle name="Comma 2 6 2 8" xfId="23606"/>
    <cellStyle name="Comma 2 6 3" xfId="1182"/>
    <cellStyle name="Comma 2 6 3 2" xfId="2943"/>
    <cellStyle name="Comma 2 6 3 2 2" xfId="6458"/>
    <cellStyle name="Comma 2 6 3 2 2 2" xfId="18762"/>
    <cellStyle name="Comma 2 6 3 2 2 2 2" xfId="41621"/>
    <cellStyle name="Comma 2 6 3 2 2 3" xfId="29319"/>
    <cellStyle name="Comma 2 6 3 2 3" xfId="9973"/>
    <cellStyle name="Comma 2 6 3 2 3 2" xfId="22277"/>
    <cellStyle name="Comma 2 6 3 2 3 2 2" xfId="45136"/>
    <cellStyle name="Comma 2 6 3 2 3 3" xfId="32834"/>
    <cellStyle name="Comma 2 6 3 2 4" xfId="15247"/>
    <cellStyle name="Comma 2 6 3 2 4 2" xfId="38106"/>
    <cellStyle name="Comma 2 6 3 2 5" xfId="25804"/>
    <cellStyle name="Comma 2 6 3 3" xfId="4700"/>
    <cellStyle name="Comma 2 6 3 3 2" xfId="17004"/>
    <cellStyle name="Comma 2 6 3 3 2 2" xfId="39863"/>
    <cellStyle name="Comma 2 6 3 3 3" xfId="27561"/>
    <cellStyle name="Comma 2 6 3 4" xfId="8215"/>
    <cellStyle name="Comma 2 6 3 4 2" xfId="20519"/>
    <cellStyle name="Comma 2 6 3 4 2 2" xfId="43378"/>
    <cellStyle name="Comma 2 6 3 4 3" xfId="31076"/>
    <cellStyle name="Comma 2 6 3 5" xfId="11730"/>
    <cellStyle name="Comma 2 6 3 5 2" xfId="34590"/>
    <cellStyle name="Comma 2 6 3 6" xfId="13489"/>
    <cellStyle name="Comma 2 6 3 6 2" xfId="36348"/>
    <cellStyle name="Comma 2 6 3 7" xfId="24045"/>
    <cellStyle name="Comma 2 6 4" xfId="2065"/>
    <cellStyle name="Comma 2 6 4 2" xfId="5580"/>
    <cellStyle name="Comma 2 6 4 2 2" xfId="17884"/>
    <cellStyle name="Comma 2 6 4 2 2 2" xfId="40743"/>
    <cellStyle name="Comma 2 6 4 2 3" xfId="28441"/>
    <cellStyle name="Comma 2 6 4 3" xfId="9095"/>
    <cellStyle name="Comma 2 6 4 3 2" xfId="21399"/>
    <cellStyle name="Comma 2 6 4 3 2 2" xfId="44258"/>
    <cellStyle name="Comma 2 6 4 3 3" xfId="31956"/>
    <cellStyle name="Comma 2 6 4 4" xfId="14369"/>
    <cellStyle name="Comma 2 6 4 4 2" xfId="37228"/>
    <cellStyle name="Comma 2 6 4 5" xfId="24926"/>
    <cellStyle name="Comma 2 6 5" xfId="3822"/>
    <cellStyle name="Comma 2 6 5 2" xfId="16126"/>
    <cellStyle name="Comma 2 6 5 2 2" xfId="38985"/>
    <cellStyle name="Comma 2 6 5 3" xfId="26683"/>
    <cellStyle name="Comma 2 6 6" xfId="7337"/>
    <cellStyle name="Comma 2 6 6 2" xfId="19641"/>
    <cellStyle name="Comma 2 6 6 2 2" xfId="42500"/>
    <cellStyle name="Comma 2 6 6 3" xfId="30198"/>
    <cellStyle name="Comma 2 6 7" xfId="10852"/>
    <cellStyle name="Comma 2 6 7 2" xfId="33712"/>
    <cellStyle name="Comma 2 6 8" xfId="12611"/>
    <cellStyle name="Comma 2 6 8 2" xfId="35470"/>
    <cellStyle name="Comma 2 6 9" xfId="23166"/>
    <cellStyle name="Comma 2 7" xfId="542"/>
    <cellStyle name="Comma 2 7 2" xfId="1421"/>
    <cellStyle name="Comma 2 7 2 2" xfId="3182"/>
    <cellStyle name="Comma 2 7 2 2 2" xfId="6697"/>
    <cellStyle name="Comma 2 7 2 2 2 2" xfId="19001"/>
    <cellStyle name="Comma 2 7 2 2 2 2 2" xfId="41860"/>
    <cellStyle name="Comma 2 7 2 2 2 3" xfId="29558"/>
    <cellStyle name="Comma 2 7 2 2 3" xfId="10212"/>
    <cellStyle name="Comma 2 7 2 2 3 2" xfId="22516"/>
    <cellStyle name="Comma 2 7 2 2 3 2 2" xfId="45375"/>
    <cellStyle name="Comma 2 7 2 2 3 3" xfId="33073"/>
    <cellStyle name="Comma 2 7 2 2 4" xfId="15486"/>
    <cellStyle name="Comma 2 7 2 2 4 2" xfId="38345"/>
    <cellStyle name="Comma 2 7 2 2 5" xfId="26043"/>
    <cellStyle name="Comma 2 7 2 3" xfId="4939"/>
    <cellStyle name="Comma 2 7 2 3 2" xfId="17243"/>
    <cellStyle name="Comma 2 7 2 3 2 2" xfId="40102"/>
    <cellStyle name="Comma 2 7 2 3 3" xfId="27800"/>
    <cellStyle name="Comma 2 7 2 4" xfId="8454"/>
    <cellStyle name="Comma 2 7 2 4 2" xfId="20758"/>
    <cellStyle name="Comma 2 7 2 4 2 2" xfId="43617"/>
    <cellStyle name="Comma 2 7 2 4 3" xfId="31315"/>
    <cellStyle name="Comma 2 7 2 5" xfId="11969"/>
    <cellStyle name="Comma 2 7 2 5 2" xfId="34829"/>
    <cellStyle name="Comma 2 7 2 6" xfId="13728"/>
    <cellStyle name="Comma 2 7 2 6 2" xfId="36587"/>
    <cellStyle name="Comma 2 7 2 7" xfId="24284"/>
    <cellStyle name="Comma 2 7 3" xfId="2304"/>
    <cellStyle name="Comma 2 7 3 2" xfId="5819"/>
    <cellStyle name="Comma 2 7 3 2 2" xfId="18123"/>
    <cellStyle name="Comma 2 7 3 2 2 2" xfId="40982"/>
    <cellStyle name="Comma 2 7 3 2 3" xfId="28680"/>
    <cellStyle name="Comma 2 7 3 3" xfId="9334"/>
    <cellStyle name="Comma 2 7 3 3 2" xfId="21638"/>
    <cellStyle name="Comma 2 7 3 3 2 2" xfId="44497"/>
    <cellStyle name="Comma 2 7 3 3 3" xfId="32195"/>
    <cellStyle name="Comma 2 7 3 4" xfId="14608"/>
    <cellStyle name="Comma 2 7 3 4 2" xfId="37467"/>
    <cellStyle name="Comma 2 7 3 5" xfId="25165"/>
    <cellStyle name="Comma 2 7 4" xfId="4061"/>
    <cellStyle name="Comma 2 7 4 2" xfId="16365"/>
    <cellStyle name="Comma 2 7 4 2 2" xfId="39224"/>
    <cellStyle name="Comma 2 7 4 3" xfId="26922"/>
    <cellStyle name="Comma 2 7 5" xfId="7576"/>
    <cellStyle name="Comma 2 7 5 2" xfId="19880"/>
    <cellStyle name="Comma 2 7 5 2 2" xfId="42739"/>
    <cellStyle name="Comma 2 7 5 3" xfId="30437"/>
    <cellStyle name="Comma 2 7 6" xfId="11091"/>
    <cellStyle name="Comma 2 7 6 2" xfId="33951"/>
    <cellStyle name="Comma 2 7 7" xfId="12850"/>
    <cellStyle name="Comma 2 7 7 2" xfId="35709"/>
    <cellStyle name="Comma 2 7 8" xfId="23406"/>
    <cellStyle name="Comma 2 8" xfId="970"/>
    <cellStyle name="Comma 2 8 2" xfId="2731"/>
    <cellStyle name="Comma 2 8 2 2" xfId="6246"/>
    <cellStyle name="Comma 2 8 2 2 2" xfId="18550"/>
    <cellStyle name="Comma 2 8 2 2 2 2" xfId="41409"/>
    <cellStyle name="Comma 2 8 2 2 3" xfId="29107"/>
    <cellStyle name="Comma 2 8 2 3" xfId="9761"/>
    <cellStyle name="Comma 2 8 2 3 2" xfId="22065"/>
    <cellStyle name="Comma 2 8 2 3 2 2" xfId="44924"/>
    <cellStyle name="Comma 2 8 2 3 3" xfId="32622"/>
    <cellStyle name="Comma 2 8 2 4" xfId="15035"/>
    <cellStyle name="Comma 2 8 2 4 2" xfId="37894"/>
    <cellStyle name="Comma 2 8 2 5" xfId="25592"/>
    <cellStyle name="Comma 2 8 3" xfId="4488"/>
    <cellStyle name="Comma 2 8 3 2" xfId="16792"/>
    <cellStyle name="Comma 2 8 3 2 2" xfId="39651"/>
    <cellStyle name="Comma 2 8 3 3" xfId="27349"/>
    <cellStyle name="Comma 2 8 4" xfId="8003"/>
    <cellStyle name="Comma 2 8 4 2" xfId="20307"/>
    <cellStyle name="Comma 2 8 4 2 2" xfId="43166"/>
    <cellStyle name="Comma 2 8 4 3" xfId="30864"/>
    <cellStyle name="Comma 2 8 5" xfId="11518"/>
    <cellStyle name="Comma 2 8 5 2" xfId="34378"/>
    <cellStyle name="Comma 2 8 6" xfId="13277"/>
    <cellStyle name="Comma 2 8 6 2" xfId="36136"/>
    <cellStyle name="Comma 2 8 7" xfId="23833"/>
    <cellStyle name="Comma 2 9" xfId="1865"/>
    <cellStyle name="Comma 2 9 2" xfId="5380"/>
    <cellStyle name="Comma 2 9 2 2" xfId="17684"/>
    <cellStyle name="Comma 2 9 2 2 2" xfId="40543"/>
    <cellStyle name="Comma 2 9 2 3" xfId="28241"/>
    <cellStyle name="Comma 2 9 3" xfId="8895"/>
    <cellStyle name="Comma 2 9 3 2" xfId="21199"/>
    <cellStyle name="Comma 2 9 3 2 2" xfId="44058"/>
    <cellStyle name="Comma 2 9 3 3" xfId="31756"/>
    <cellStyle name="Comma 2 9 4" xfId="14169"/>
    <cellStyle name="Comma 2 9 4 2" xfId="37028"/>
    <cellStyle name="Comma 2 9 5" xfId="24726"/>
    <cellStyle name="Comma 3" xfId="118"/>
    <cellStyle name="Comma 3 2" xfId="22984"/>
    <cellStyle name="Comma 4" xfId="187"/>
    <cellStyle name="Comma 4 2" xfId="23053"/>
    <cellStyle name="Comma 5" xfId="535"/>
    <cellStyle name="Comma 5 2" xfId="23399"/>
    <cellStyle name="Comma 6" xfId="1858"/>
    <cellStyle name="Comma 6 2" xfId="24719"/>
    <cellStyle name="Comma 7" xfId="22945"/>
    <cellStyle name="Dezimal 2" xfId="12404"/>
    <cellStyle name="Dezimal 2 2" xfId="35263"/>
    <cellStyle name="Explanatory Text" xfId="72" builtinId="53" customBuiltin="1"/>
    <cellStyle name="Explanatory Text 2" xfId="29"/>
    <cellStyle name="Good" xfId="64" builtinId="26" customBuiltin="1"/>
    <cellStyle name="Good 2" xfId="30"/>
    <cellStyle name="Heading 1" xfId="60" builtinId="16" customBuiltin="1"/>
    <cellStyle name="Heading 1 2" xfId="31"/>
    <cellStyle name="Heading 2" xfId="61" builtinId="17" customBuiltin="1"/>
    <cellStyle name="Heading 2 2" xfId="32"/>
    <cellStyle name="Heading 3" xfId="62" builtinId="18" customBuiltin="1"/>
    <cellStyle name="Heading 3 2" xfId="33"/>
    <cellStyle name="Heading 4" xfId="63" builtinId="19" customBuiltin="1"/>
    <cellStyle name="Heading 4 2" xfId="34"/>
    <cellStyle name="Hyperlink" xfId="1842" builtinId="8"/>
    <cellStyle name="Input" xfId="66" builtinId="20" customBuiltin="1"/>
    <cellStyle name="Input 2" xfId="35"/>
    <cellStyle name="Linked Cell" xfId="69" builtinId="24" customBuiltin="1"/>
    <cellStyle name="Linked Cell 2" xfId="36"/>
    <cellStyle name="Neutral" xfId="37" builtinId="28" customBuiltin="1"/>
    <cellStyle name="Neutral 2" xfId="38"/>
    <cellStyle name="Normal" xfId="0" builtinId="0"/>
    <cellStyle name="Normal 10" xfId="55"/>
    <cellStyle name="Normal 10 10" xfId="3609"/>
    <cellStyle name="Normal 10 10 2" xfId="15913"/>
    <cellStyle name="Normal 10 10 2 2" xfId="38772"/>
    <cellStyle name="Normal 10 10 2 2 3 2" xfId="45798"/>
    <cellStyle name="Normal 10 10 2 2 3 2 2" xfId="45799"/>
    <cellStyle name="Normal 10 10 2 2 3 2 2 2" xfId="45801"/>
    <cellStyle name="Normal 10 10 3" xfId="26470"/>
    <cellStyle name="Normal 10 11" xfId="7124"/>
    <cellStyle name="Normal 10 11 2" xfId="19428"/>
    <cellStyle name="Normal 10 11 2 2" xfId="42287"/>
    <cellStyle name="Normal 10 11 3" xfId="29985"/>
    <cellStyle name="Normal 10 12" xfId="10639"/>
    <cellStyle name="Normal 10 12 2" xfId="22939"/>
    <cellStyle name="Normal 10 12 2 2 2 2" xfId="45804"/>
    <cellStyle name="Normal 10 12 2 2 3" xfId="45803"/>
    <cellStyle name="Normal 10 12 4" xfId="22943"/>
    <cellStyle name="Normal 10 12 4 2" xfId="22944"/>
    <cellStyle name="Normal 10 13" xfId="12410"/>
    <cellStyle name="Normal 10 13 2" xfId="35269"/>
    <cellStyle name="Normal 10 14" xfId="22938"/>
    <cellStyle name="Normal 10 14 3 2" xfId="45797"/>
    <cellStyle name="Normal 10 14 3 2 2" xfId="45800"/>
    <cellStyle name="Normal 10 14 3 2 2 2" xfId="45802"/>
    <cellStyle name="Normal 10 2" xfId="56"/>
    <cellStyle name="Normal 10 3" xfId="124"/>
    <cellStyle name="Normal 10 3 10" xfId="10677"/>
    <cellStyle name="Normal 10 3 10 2" xfId="33537"/>
    <cellStyle name="Normal 10 3 11" xfId="12436"/>
    <cellStyle name="Normal 10 3 11 2" xfId="35295"/>
    <cellStyle name="Normal 10 3 12" xfId="22990"/>
    <cellStyle name="Normal 10 3 2" xfId="178"/>
    <cellStyle name="Normal 10 3 2 10" xfId="12490"/>
    <cellStyle name="Normal 10 3 2 10 2" xfId="35349"/>
    <cellStyle name="Normal 10 3 2 11" xfId="22940"/>
    <cellStyle name="Normal 10 3 2 12" xfId="23044"/>
    <cellStyle name="Normal 10 3 2 2" xfId="286"/>
    <cellStyle name="Normal 10 3 2 2 10" xfId="23151"/>
    <cellStyle name="Normal 10 3 2 2 2" xfId="498"/>
    <cellStyle name="Normal 10 3 2 2 2 2" xfId="939"/>
    <cellStyle name="Normal 10 3 2 2 2 2 2" xfId="1818"/>
    <cellStyle name="Normal 10 3 2 2 2 2 2 2" xfId="3579"/>
    <cellStyle name="Normal 10 3 2 2 2 2 2 2 2" xfId="7094"/>
    <cellStyle name="Normal 10 3 2 2 2 2 2 2 2 2" xfId="19398"/>
    <cellStyle name="Normal 10 3 2 2 2 2 2 2 2 2 2" xfId="42257"/>
    <cellStyle name="Normal 10 3 2 2 2 2 2 2 2 3" xfId="29955"/>
    <cellStyle name="Normal 10 3 2 2 2 2 2 2 3" xfId="10609"/>
    <cellStyle name="Normal 10 3 2 2 2 2 2 2 3 2" xfId="22913"/>
    <cellStyle name="Normal 10 3 2 2 2 2 2 2 3 2 2" xfId="45772"/>
    <cellStyle name="Normal 10 3 2 2 2 2 2 2 3 3" xfId="33470"/>
    <cellStyle name="Normal 10 3 2 2 2 2 2 2 4" xfId="15883"/>
    <cellStyle name="Normal 10 3 2 2 2 2 2 2 4 2" xfId="38742"/>
    <cellStyle name="Normal 10 3 2 2 2 2 2 2 5" xfId="26440"/>
    <cellStyle name="Normal 10 3 2 2 2 2 2 3" xfId="5336"/>
    <cellStyle name="Normal 10 3 2 2 2 2 2 3 2" xfId="17640"/>
    <cellStyle name="Normal 10 3 2 2 2 2 2 3 2 2" xfId="40499"/>
    <cellStyle name="Normal 10 3 2 2 2 2 2 3 3" xfId="28197"/>
    <cellStyle name="Normal 10 3 2 2 2 2 2 4" xfId="8851"/>
    <cellStyle name="Normal 10 3 2 2 2 2 2 4 2" xfId="21155"/>
    <cellStyle name="Normal 10 3 2 2 2 2 2 4 2 2" xfId="44014"/>
    <cellStyle name="Normal 10 3 2 2 2 2 2 4 3" xfId="31712"/>
    <cellStyle name="Normal 10 3 2 2 2 2 2 5" xfId="12366"/>
    <cellStyle name="Normal 10 3 2 2 2 2 2 5 2" xfId="35226"/>
    <cellStyle name="Normal 10 3 2 2 2 2 2 6" xfId="14125"/>
    <cellStyle name="Normal 10 3 2 2 2 2 2 6 2" xfId="36984"/>
    <cellStyle name="Normal 10 3 2 2 2 2 2 7" xfId="24681"/>
    <cellStyle name="Normal 10 3 2 2 2 2 3" xfId="2701"/>
    <cellStyle name="Normal 10 3 2 2 2 2 3 2" xfId="6216"/>
    <cellStyle name="Normal 10 3 2 2 2 2 3 2 2" xfId="18520"/>
    <cellStyle name="Normal 10 3 2 2 2 2 3 2 2 2" xfId="41379"/>
    <cellStyle name="Normal 10 3 2 2 2 2 3 2 3" xfId="29077"/>
    <cellStyle name="Normal 10 3 2 2 2 2 3 3" xfId="9731"/>
    <cellStyle name="Normal 10 3 2 2 2 2 3 3 2" xfId="22035"/>
    <cellStyle name="Normal 10 3 2 2 2 2 3 3 2 2" xfId="44894"/>
    <cellStyle name="Normal 10 3 2 2 2 2 3 3 3" xfId="32592"/>
    <cellStyle name="Normal 10 3 2 2 2 2 3 4" xfId="15005"/>
    <cellStyle name="Normal 10 3 2 2 2 2 3 4 2" xfId="37864"/>
    <cellStyle name="Normal 10 3 2 2 2 2 3 5" xfId="25562"/>
    <cellStyle name="Normal 10 3 2 2 2 2 4" xfId="4458"/>
    <cellStyle name="Normal 10 3 2 2 2 2 4 2" xfId="16762"/>
    <cellStyle name="Normal 10 3 2 2 2 2 4 2 2" xfId="39621"/>
    <cellStyle name="Normal 10 3 2 2 2 2 4 3" xfId="27319"/>
    <cellStyle name="Normal 10 3 2 2 2 2 5" xfId="7973"/>
    <cellStyle name="Normal 10 3 2 2 2 2 5 2" xfId="20277"/>
    <cellStyle name="Normal 10 3 2 2 2 2 5 2 2" xfId="43136"/>
    <cellStyle name="Normal 10 3 2 2 2 2 5 3" xfId="30834"/>
    <cellStyle name="Normal 10 3 2 2 2 2 6" xfId="11488"/>
    <cellStyle name="Normal 10 3 2 2 2 2 6 2" xfId="34348"/>
    <cellStyle name="Normal 10 3 2 2 2 2 7" xfId="13247"/>
    <cellStyle name="Normal 10 3 2 2 2 2 7 2" xfId="36106"/>
    <cellStyle name="Normal 10 3 2 2 2 2 8" xfId="23803"/>
    <cellStyle name="Normal 10 3 2 2 2 3" xfId="1379"/>
    <cellStyle name="Normal 10 3 2 2 2 3 2" xfId="3140"/>
    <cellStyle name="Normal 10 3 2 2 2 3 2 2" xfId="6655"/>
    <cellStyle name="Normal 10 3 2 2 2 3 2 2 2" xfId="18959"/>
    <cellStyle name="Normal 10 3 2 2 2 3 2 2 2 2" xfId="41818"/>
    <cellStyle name="Normal 10 3 2 2 2 3 2 2 3" xfId="29516"/>
    <cellStyle name="Normal 10 3 2 2 2 3 2 3" xfId="10170"/>
    <cellStyle name="Normal 10 3 2 2 2 3 2 3 2" xfId="22474"/>
    <cellStyle name="Normal 10 3 2 2 2 3 2 3 2 2" xfId="45333"/>
    <cellStyle name="Normal 10 3 2 2 2 3 2 3 3" xfId="33031"/>
    <cellStyle name="Normal 10 3 2 2 2 3 2 4" xfId="15444"/>
    <cellStyle name="Normal 10 3 2 2 2 3 2 4 2" xfId="38303"/>
    <cellStyle name="Normal 10 3 2 2 2 3 2 5" xfId="26001"/>
    <cellStyle name="Normal 10 3 2 2 2 3 3" xfId="4897"/>
    <cellStyle name="Normal 10 3 2 2 2 3 3 2" xfId="17201"/>
    <cellStyle name="Normal 10 3 2 2 2 3 3 2 2" xfId="40060"/>
    <cellStyle name="Normal 10 3 2 2 2 3 3 3" xfId="27758"/>
    <cellStyle name="Normal 10 3 2 2 2 3 4" xfId="8412"/>
    <cellStyle name="Normal 10 3 2 2 2 3 4 2" xfId="20716"/>
    <cellStyle name="Normal 10 3 2 2 2 3 4 2 2" xfId="43575"/>
    <cellStyle name="Normal 10 3 2 2 2 3 4 3" xfId="31273"/>
    <cellStyle name="Normal 10 3 2 2 2 3 5" xfId="11927"/>
    <cellStyle name="Normal 10 3 2 2 2 3 5 2" xfId="34787"/>
    <cellStyle name="Normal 10 3 2 2 2 3 6" xfId="13686"/>
    <cellStyle name="Normal 10 3 2 2 2 3 6 2" xfId="36545"/>
    <cellStyle name="Normal 10 3 2 2 2 3 7" xfId="24242"/>
    <cellStyle name="Normal 10 3 2 2 2 4" xfId="2262"/>
    <cellStyle name="Normal 10 3 2 2 2 4 2" xfId="5777"/>
    <cellStyle name="Normal 10 3 2 2 2 4 2 2" xfId="18081"/>
    <cellStyle name="Normal 10 3 2 2 2 4 2 2 2" xfId="40940"/>
    <cellStyle name="Normal 10 3 2 2 2 4 2 3" xfId="28638"/>
    <cellStyle name="Normal 10 3 2 2 2 4 3" xfId="9292"/>
    <cellStyle name="Normal 10 3 2 2 2 4 3 2" xfId="21596"/>
    <cellStyle name="Normal 10 3 2 2 2 4 3 2 2" xfId="44455"/>
    <cellStyle name="Normal 10 3 2 2 2 4 3 3" xfId="32153"/>
    <cellStyle name="Normal 10 3 2 2 2 4 4" xfId="14566"/>
    <cellStyle name="Normal 10 3 2 2 2 4 4 2" xfId="37425"/>
    <cellStyle name="Normal 10 3 2 2 2 4 5" xfId="25123"/>
    <cellStyle name="Normal 10 3 2 2 2 5" xfId="4019"/>
    <cellStyle name="Normal 10 3 2 2 2 5 2" xfId="16323"/>
    <cellStyle name="Normal 10 3 2 2 2 5 2 2" xfId="39182"/>
    <cellStyle name="Normal 10 3 2 2 2 5 3" xfId="26880"/>
    <cellStyle name="Normal 10 3 2 2 2 6" xfId="7534"/>
    <cellStyle name="Normal 10 3 2 2 2 6 2" xfId="19838"/>
    <cellStyle name="Normal 10 3 2 2 2 6 2 2" xfId="42697"/>
    <cellStyle name="Normal 10 3 2 2 2 6 3" xfId="30395"/>
    <cellStyle name="Normal 10 3 2 2 2 7" xfId="11049"/>
    <cellStyle name="Normal 10 3 2 2 2 7 2" xfId="33909"/>
    <cellStyle name="Normal 10 3 2 2 2 8" xfId="12808"/>
    <cellStyle name="Normal 10 3 2 2 2 8 2" xfId="35667"/>
    <cellStyle name="Normal 10 3 2 2 2 9" xfId="23363"/>
    <cellStyle name="Normal 10 3 2 2 3" xfId="727"/>
    <cellStyle name="Normal 10 3 2 2 3 2" xfId="1606"/>
    <cellStyle name="Normal 10 3 2 2 3 2 2" xfId="3367"/>
    <cellStyle name="Normal 10 3 2 2 3 2 2 2" xfId="6882"/>
    <cellStyle name="Normal 10 3 2 2 3 2 2 2 2" xfId="19186"/>
    <cellStyle name="Normal 10 3 2 2 3 2 2 2 2 2" xfId="42045"/>
    <cellStyle name="Normal 10 3 2 2 3 2 2 2 3" xfId="29743"/>
    <cellStyle name="Normal 10 3 2 2 3 2 2 3" xfId="10397"/>
    <cellStyle name="Normal 10 3 2 2 3 2 2 3 2" xfId="22701"/>
    <cellStyle name="Normal 10 3 2 2 3 2 2 3 2 2" xfId="45560"/>
    <cellStyle name="Normal 10 3 2 2 3 2 2 3 3" xfId="33258"/>
    <cellStyle name="Normal 10 3 2 2 3 2 2 4" xfId="15671"/>
    <cellStyle name="Normal 10 3 2 2 3 2 2 4 2" xfId="38530"/>
    <cellStyle name="Normal 10 3 2 2 3 2 2 5" xfId="26228"/>
    <cellStyle name="Normal 10 3 2 2 3 2 3" xfId="5124"/>
    <cellStyle name="Normal 10 3 2 2 3 2 3 2" xfId="17428"/>
    <cellStyle name="Normal 10 3 2 2 3 2 3 2 2" xfId="40287"/>
    <cellStyle name="Normal 10 3 2 2 3 2 3 3" xfId="27985"/>
    <cellStyle name="Normal 10 3 2 2 3 2 4" xfId="8639"/>
    <cellStyle name="Normal 10 3 2 2 3 2 4 2" xfId="20943"/>
    <cellStyle name="Normal 10 3 2 2 3 2 4 2 2" xfId="43802"/>
    <cellStyle name="Normal 10 3 2 2 3 2 4 3" xfId="31500"/>
    <cellStyle name="Normal 10 3 2 2 3 2 5" xfId="12154"/>
    <cellStyle name="Normal 10 3 2 2 3 2 5 2" xfId="35014"/>
    <cellStyle name="Normal 10 3 2 2 3 2 6" xfId="13913"/>
    <cellStyle name="Normal 10 3 2 2 3 2 6 2" xfId="36772"/>
    <cellStyle name="Normal 10 3 2 2 3 2 7" xfId="24469"/>
    <cellStyle name="Normal 10 3 2 2 3 3" xfId="2489"/>
    <cellStyle name="Normal 10 3 2 2 3 3 2" xfId="6004"/>
    <cellStyle name="Normal 10 3 2 2 3 3 2 2" xfId="18308"/>
    <cellStyle name="Normal 10 3 2 2 3 3 2 2 2" xfId="41167"/>
    <cellStyle name="Normal 10 3 2 2 3 3 2 3" xfId="28865"/>
    <cellStyle name="Normal 10 3 2 2 3 3 3" xfId="9519"/>
    <cellStyle name="Normal 10 3 2 2 3 3 3 2" xfId="21823"/>
    <cellStyle name="Normal 10 3 2 2 3 3 3 2 2" xfId="44682"/>
    <cellStyle name="Normal 10 3 2 2 3 3 3 3" xfId="32380"/>
    <cellStyle name="Normal 10 3 2 2 3 3 4" xfId="14793"/>
    <cellStyle name="Normal 10 3 2 2 3 3 4 2" xfId="37652"/>
    <cellStyle name="Normal 10 3 2 2 3 3 5" xfId="25350"/>
    <cellStyle name="Normal 10 3 2 2 3 4" xfId="4246"/>
    <cellStyle name="Normal 10 3 2 2 3 4 2" xfId="16550"/>
    <cellStyle name="Normal 10 3 2 2 3 4 2 2" xfId="39409"/>
    <cellStyle name="Normal 10 3 2 2 3 4 3" xfId="27107"/>
    <cellStyle name="Normal 10 3 2 2 3 5" xfId="7761"/>
    <cellStyle name="Normal 10 3 2 2 3 5 2" xfId="20065"/>
    <cellStyle name="Normal 10 3 2 2 3 5 2 2" xfId="42924"/>
    <cellStyle name="Normal 10 3 2 2 3 5 3" xfId="30622"/>
    <cellStyle name="Normal 10 3 2 2 3 6" xfId="11276"/>
    <cellStyle name="Normal 10 3 2 2 3 6 2" xfId="34136"/>
    <cellStyle name="Normal 10 3 2 2 3 7" xfId="13035"/>
    <cellStyle name="Normal 10 3 2 2 3 7 2" xfId="35894"/>
    <cellStyle name="Normal 10 3 2 2 3 8" xfId="23591"/>
    <cellStyle name="Normal 10 3 2 2 4" xfId="1167"/>
    <cellStyle name="Normal 10 3 2 2 4 2" xfId="2928"/>
    <cellStyle name="Normal 10 3 2 2 4 2 2" xfId="6443"/>
    <cellStyle name="Normal 10 3 2 2 4 2 2 2" xfId="18747"/>
    <cellStyle name="Normal 10 3 2 2 4 2 2 2 2" xfId="41606"/>
    <cellStyle name="Normal 10 3 2 2 4 2 2 3" xfId="29304"/>
    <cellStyle name="Normal 10 3 2 2 4 2 3" xfId="9958"/>
    <cellStyle name="Normal 10 3 2 2 4 2 3 2" xfId="22262"/>
    <cellStyle name="Normal 10 3 2 2 4 2 3 2 2" xfId="45121"/>
    <cellStyle name="Normal 10 3 2 2 4 2 3 3" xfId="32819"/>
    <cellStyle name="Normal 10 3 2 2 4 2 4" xfId="15232"/>
    <cellStyle name="Normal 10 3 2 2 4 2 4 2" xfId="38091"/>
    <cellStyle name="Normal 10 3 2 2 4 2 5" xfId="25789"/>
    <cellStyle name="Normal 10 3 2 2 4 3" xfId="4685"/>
    <cellStyle name="Normal 10 3 2 2 4 3 2" xfId="16989"/>
    <cellStyle name="Normal 10 3 2 2 4 3 2 2" xfId="39848"/>
    <cellStyle name="Normal 10 3 2 2 4 3 3" xfId="27546"/>
    <cellStyle name="Normal 10 3 2 2 4 4" xfId="8200"/>
    <cellStyle name="Normal 10 3 2 2 4 4 2" xfId="20504"/>
    <cellStyle name="Normal 10 3 2 2 4 4 2 2" xfId="43363"/>
    <cellStyle name="Normal 10 3 2 2 4 4 3" xfId="31061"/>
    <cellStyle name="Normal 10 3 2 2 4 5" xfId="11715"/>
    <cellStyle name="Normal 10 3 2 2 4 5 2" xfId="34575"/>
    <cellStyle name="Normal 10 3 2 2 4 6" xfId="13474"/>
    <cellStyle name="Normal 10 3 2 2 4 6 2" xfId="36333"/>
    <cellStyle name="Normal 10 3 2 2 4 7" xfId="24030"/>
    <cellStyle name="Normal 10 3 2 2 5" xfId="2050"/>
    <cellStyle name="Normal 10 3 2 2 5 2" xfId="5565"/>
    <cellStyle name="Normal 10 3 2 2 5 2 2" xfId="17869"/>
    <cellStyle name="Normal 10 3 2 2 5 2 2 2" xfId="40728"/>
    <cellStyle name="Normal 10 3 2 2 5 2 3" xfId="28426"/>
    <cellStyle name="Normal 10 3 2 2 5 3" xfId="9080"/>
    <cellStyle name="Normal 10 3 2 2 5 3 2" xfId="21384"/>
    <cellStyle name="Normal 10 3 2 2 5 3 2 2" xfId="44243"/>
    <cellStyle name="Normal 10 3 2 2 5 3 3" xfId="31941"/>
    <cellStyle name="Normal 10 3 2 2 5 4" xfId="14354"/>
    <cellStyle name="Normal 10 3 2 2 5 4 2" xfId="37213"/>
    <cellStyle name="Normal 10 3 2 2 5 5" xfId="24911"/>
    <cellStyle name="Normal 10 3 2 2 6" xfId="3807"/>
    <cellStyle name="Normal 10 3 2 2 6 2" xfId="16111"/>
    <cellStyle name="Normal 10 3 2 2 6 2 2" xfId="38970"/>
    <cellStyle name="Normal 10 3 2 2 6 3" xfId="26668"/>
    <cellStyle name="Normal 10 3 2 2 7" xfId="7322"/>
    <cellStyle name="Normal 10 3 2 2 7 2" xfId="19626"/>
    <cellStyle name="Normal 10 3 2 2 7 2 2" xfId="42485"/>
    <cellStyle name="Normal 10 3 2 2 7 3" xfId="30183"/>
    <cellStyle name="Normal 10 3 2 2 8" xfId="10837"/>
    <cellStyle name="Normal 10 3 2 2 8 2" xfId="33697"/>
    <cellStyle name="Normal 10 3 2 2 9" xfId="12596"/>
    <cellStyle name="Normal 10 3 2 2 9 2" xfId="35455"/>
    <cellStyle name="Normal 10 3 2 3" xfId="392"/>
    <cellStyle name="Normal 10 3 2 3 2" xfId="833"/>
    <cellStyle name="Normal 10 3 2 3 2 2" xfId="1712"/>
    <cellStyle name="Normal 10 3 2 3 2 2 2" xfId="3473"/>
    <cellStyle name="Normal 10 3 2 3 2 2 2 2" xfId="6988"/>
    <cellStyle name="Normal 10 3 2 3 2 2 2 2 2" xfId="19292"/>
    <cellStyle name="Normal 10 3 2 3 2 2 2 2 2 2" xfId="42151"/>
    <cellStyle name="Normal 10 3 2 3 2 2 2 2 3" xfId="29849"/>
    <cellStyle name="Normal 10 3 2 3 2 2 2 3" xfId="10503"/>
    <cellStyle name="Normal 10 3 2 3 2 2 2 3 2" xfId="22807"/>
    <cellStyle name="Normal 10 3 2 3 2 2 2 3 2 2" xfId="45666"/>
    <cellStyle name="Normal 10 3 2 3 2 2 2 3 3" xfId="33364"/>
    <cellStyle name="Normal 10 3 2 3 2 2 2 4" xfId="15777"/>
    <cellStyle name="Normal 10 3 2 3 2 2 2 4 2" xfId="38636"/>
    <cellStyle name="Normal 10 3 2 3 2 2 2 5" xfId="26334"/>
    <cellStyle name="Normal 10 3 2 3 2 2 3" xfId="5230"/>
    <cellStyle name="Normal 10 3 2 3 2 2 3 2" xfId="17534"/>
    <cellStyle name="Normal 10 3 2 3 2 2 3 2 2" xfId="40393"/>
    <cellStyle name="Normal 10 3 2 3 2 2 3 3" xfId="28091"/>
    <cellStyle name="Normal 10 3 2 3 2 2 4" xfId="8745"/>
    <cellStyle name="Normal 10 3 2 3 2 2 4 2" xfId="21049"/>
    <cellStyle name="Normal 10 3 2 3 2 2 4 2 2" xfId="43908"/>
    <cellStyle name="Normal 10 3 2 3 2 2 4 3" xfId="31606"/>
    <cellStyle name="Normal 10 3 2 3 2 2 5" xfId="12260"/>
    <cellStyle name="Normal 10 3 2 3 2 2 5 2" xfId="35120"/>
    <cellStyle name="Normal 10 3 2 3 2 2 6" xfId="14019"/>
    <cellStyle name="Normal 10 3 2 3 2 2 6 2" xfId="36878"/>
    <cellStyle name="Normal 10 3 2 3 2 2 7" xfId="24575"/>
    <cellStyle name="Normal 10 3 2 3 2 3" xfId="2595"/>
    <cellStyle name="Normal 10 3 2 3 2 3 2" xfId="6110"/>
    <cellStyle name="Normal 10 3 2 3 2 3 2 2" xfId="18414"/>
    <cellStyle name="Normal 10 3 2 3 2 3 2 2 2" xfId="41273"/>
    <cellStyle name="Normal 10 3 2 3 2 3 2 3" xfId="28971"/>
    <cellStyle name="Normal 10 3 2 3 2 3 3" xfId="9625"/>
    <cellStyle name="Normal 10 3 2 3 2 3 3 2" xfId="21929"/>
    <cellStyle name="Normal 10 3 2 3 2 3 3 2 2" xfId="44788"/>
    <cellStyle name="Normal 10 3 2 3 2 3 3 3" xfId="32486"/>
    <cellStyle name="Normal 10 3 2 3 2 3 4" xfId="14899"/>
    <cellStyle name="Normal 10 3 2 3 2 3 4 2" xfId="37758"/>
    <cellStyle name="Normal 10 3 2 3 2 3 5" xfId="25456"/>
    <cellStyle name="Normal 10 3 2 3 2 4" xfId="4352"/>
    <cellStyle name="Normal 10 3 2 3 2 4 2" xfId="16656"/>
    <cellStyle name="Normal 10 3 2 3 2 4 2 2" xfId="39515"/>
    <cellStyle name="Normal 10 3 2 3 2 4 3" xfId="27213"/>
    <cellStyle name="Normal 10 3 2 3 2 5" xfId="7867"/>
    <cellStyle name="Normal 10 3 2 3 2 5 2" xfId="20171"/>
    <cellStyle name="Normal 10 3 2 3 2 5 2 2" xfId="43030"/>
    <cellStyle name="Normal 10 3 2 3 2 5 3" xfId="30728"/>
    <cellStyle name="Normal 10 3 2 3 2 6" xfId="11382"/>
    <cellStyle name="Normal 10 3 2 3 2 6 2" xfId="34242"/>
    <cellStyle name="Normal 10 3 2 3 2 7" xfId="13141"/>
    <cellStyle name="Normal 10 3 2 3 2 7 2" xfId="36000"/>
    <cellStyle name="Normal 10 3 2 3 2 8" xfId="23697"/>
    <cellStyle name="Normal 10 3 2 3 3" xfId="1273"/>
    <cellStyle name="Normal 10 3 2 3 3 2" xfId="3034"/>
    <cellStyle name="Normal 10 3 2 3 3 2 2" xfId="6549"/>
    <cellStyle name="Normal 10 3 2 3 3 2 2 2" xfId="18853"/>
    <cellStyle name="Normal 10 3 2 3 3 2 2 2 2" xfId="41712"/>
    <cellStyle name="Normal 10 3 2 3 3 2 2 3" xfId="29410"/>
    <cellStyle name="Normal 10 3 2 3 3 2 3" xfId="10064"/>
    <cellStyle name="Normal 10 3 2 3 3 2 3 2" xfId="22368"/>
    <cellStyle name="Normal 10 3 2 3 3 2 3 2 2" xfId="45227"/>
    <cellStyle name="Normal 10 3 2 3 3 2 3 3" xfId="32925"/>
    <cellStyle name="Normal 10 3 2 3 3 2 4" xfId="15338"/>
    <cellStyle name="Normal 10 3 2 3 3 2 4 2" xfId="38197"/>
    <cellStyle name="Normal 10 3 2 3 3 2 5" xfId="25895"/>
    <cellStyle name="Normal 10 3 2 3 3 3" xfId="4791"/>
    <cellStyle name="Normal 10 3 2 3 3 3 2" xfId="17095"/>
    <cellStyle name="Normal 10 3 2 3 3 3 2 2" xfId="39954"/>
    <cellStyle name="Normal 10 3 2 3 3 3 3" xfId="27652"/>
    <cellStyle name="Normal 10 3 2 3 3 4" xfId="8306"/>
    <cellStyle name="Normal 10 3 2 3 3 4 2" xfId="20610"/>
    <cellStyle name="Normal 10 3 2 3 3 4 2 2" xfId="43469"/>
    <cellStyle name="Normal 10 3 2 3 3 4 3" xfId="31167"/>
    <cellStyle name="Normal 10 3 2 3 3 5" xfId="11821"/>
    <cellStyle name="Normal 10 3 2 3 3 5 2" xfId="34681"/>
    <cellStyle name="Normal 10 3 2 3 3 6" xfId="13580"/>
    <cellStyle name="Normal 10 3 2 3 3 6 2" xfId="36439"/>
    <cellStyle name="Normal 10 3 2 3 3 7" xfId="24136"/>
    <cellStyle name="Normal 10 3 2 3 4" xfId="2156"/>
    <cellStyle name="Normal 10 3 2 3 4 2" xfId="5671"/>
    <cellStyle name="Normal 10 3 2 3 4 2 2" xfId="17975"/>
    <cellStyle name="Normal 10 3 2 3 4 2 2 2" xfId="40834"/>
    <cellStyle name="Normal 10 3 2 3 4 2 3" xfId="28532"/>
    <cellStyle name="Normal 10 3 2 3 4 3" xfId="9186"/>
    <cellStyle name="Normal 10 3 2 3 4 3 2" xfId="21490"/>
    <cellStyle name="Normal 10 3 2 3 4 3 2 2" xfId="44349"/>
    <cellStyle name="Normal 10 3 2 3 4 3 3" xfId="32047"/>
    <cellStyle name="Normal 10 3 2 3 4 4" xfId="14460"/>
    <cellStyle name="Normal 10 3 2 3 4 4 2" xfId="37319"/>
    <cellStyle name="Normal 10 3 2 3 4 5" xfId="25017"/>
    <cellStyle name="Normal 10 3 2 3 5" xfId="3913"/>
    <cellStyle name="Normal 10 3 2 3 5 2" xfId="16217"/>
    <cellStyle name="Normal 10 3 2 3 5 2 2" xfId="39076"/>
    <cellStyle name="Normal 10 3 2 3 5 3" xfId="26774"/>
    <cellStyle name="Normal 10 3 2 3 6" xfId="7428"/>
    <cellStyle name="Normal 10 3 2 3 6 2" xfId="19732"/>
    <cellStyle name="Normal 10 3 2 3 6 2 2" xfId="42591"/>
    <cellStyle name="Normal 10 3 2 3 6 3" xfId="30289"/>
    <cellStyle name="Normal 10 3 2 3 7" xfId="10943"/>
    <cellStyle name="Normal 10 3 2 3 7 2" xfId="33803"/>
    <cellStyle name="Normal 10 3 2 3 8" xfId="12702"/>
    <cellStyle name="Normal 10 3 2 3 8 2" xfId="35561"/>
    <cellStyle name="Normal 10 3 2 3 9" xfId="23257"/>
    <cellStyle name="Normal 10 3 2 4" xfId="621"/>
    <cellStyle name="Normal 10 3 2 4 2" xfId="1500"/>
    <cellStyle name="Normal 10 3 2 4 2 2" xfId="3261"/>
    <cellStyle name="Normal 10 3 2 4 2 2 2" xfId="6776"/>
    <cellStyle name="Normal 10 3 2 4 2 2 2 2" xfId="19080"/>
    <cellStyle name="Normal 10 3 2 4 2 2 2 2 2" xfId="41939"/>
    <cellStyle name="Normal 10 3 2 4 2 2 2 3" xfId="29637"/>
    <cellStyle name="Normal 10 3 2 4 2 2 3" xfId="10291"/>
    <cellStyle name="Normal 10 3 2 4 2 2 3 2" xfId="22595"/>
    <cellStyle name="Normal 10 3 2 4 2 2 3 2 2" xfId="45454"/>
    <cellStyle name="Normal 10 3 2 4 2 2 3 3" xfId="33152"/>
    <cellStyle name="Normal 10 3 2 4 2 2 4" xfId="15565"/>
    <cellStyle name="Normal 10 3 2 4 2 2 4 2" xfId="38424"/>
    <cellStyle name="Normal 10 3 2 4 2 2 5" xfId="26122"/>
    <cellStyle name="Normal 10 3 2 4 2 3" xfId="5018"/>
    <cellStyle name="Normal 10 3 2 4 2 3 2" xfId="17322"/>
    <cellStyle name="Normal 10 3 2 4 2 3 2 2" xfId="40181"/>
    <cellStyle name="Normal 10 3 2 4 2 3 3" xfId="27879"/>
    <cellStyle name="Normal 10 3 2 4 2 4" xfId="8533"/>
    <cellStyle name="Normal 10 3 2 4 2 4 2" xfId="20837"/>
    <cellStyle name="Normal 10 3 2 4 2 4 2 2" xfId="43696"/>
    <cellStyle name="Normal 10 3 2 4 2 4 3" xfId="31394"/>
    <cellStyle name="Normal 10 3 2 4 2 5" xfId="12048"/>
    <cellStyle name="Normal 10 3 2 4 2 5 2" xfId="34908"/>
    <cellStyle name="Normal 10 3 2 4 2 6" xfId="13807"/>
    <cellStyle name="Normal 10 3 2 4 2 6 2" xfId="36666"/>
    <cellStyle name="Normal 10 3 2 4 2 7" xfId="24363"/>
    <cellStyle name="Normal 10 3 2 4 3" xfId="2383"/>
    <cellStyle name="Normal 10 3 2 4 3 2" xfId="5898"/>
    <cellStyle name="Normal 10 3 2 4 3 2 2" xfId="18202"/>
    <cellStyle name="Normal 10 3 2 4 3 2 2 2" xfId="41061"/>
    <cellStyle name="Normal 10 3 2 4 3 2 3" xfId="28759"/>
    <cellStyle name="Normal 10 3 2 4 3 3" xfId="9413"/>
    <cellStyle name="Normal 10 3 2 4 3 3 2" xfId="21717"/>
    <cellStyle name="Normal 10 3 2 4 3 3 2 2" xfId="44576"/>
    <cellStyle name="Normal 10 3 2 4 3 3 3" xfId="32274"/>
    <cellStyle name="Normal 10 3 2 4 3 4" xfId="14687"/>
    <cellStyle name="Normal 10 3 2 4 3 4 2" xfId="37546"/>
    <cellStyle name="Normal 10 3 2 4 3 5" xfId="25244"/>
    <cellStyle name="Normal 10 3 2 4 4" xfId="4140"/>
    <cellStyle name="Normal 10 3 2 4 4 2" xfId="16444"/>
    <cellStyle name="Normal 10 3 2 4 4 2 2" xfId="39303"/>
    <cellStyle name="Normal 10 3 2 4 4 3" xfId="27001"/>
    <cellStyle name="Normal 10 3 2 4 5" xfId="7655"/>
    <cellStyle name="Normal 10 3 2 4 5 2" xfId="19959"/>
    <cellStyle name="Normal 10 3 2 4 5 2 2" xfId="42818"/>
    <cellStyle name="Normal 10 3 2 4 5 3" xfId="30516"/>
    <cellStyle name="Normal 10 3 2 4 6" xfId="11170"/>
    <cellStyle name="Normal 10 3 2 4 6 2" xfId="34030"/>
    <cellStyle name="Normal 10 3 2 4 7" xfId="12929"/>
    <cellStyle name="Normal 10 3 2 4 7 2" xfId="35788"/>
    <cellStyle name="Normal 10 3 2 4 8" xfId="23485"/>
    <cellStyle name="Normal 10 3 2 5" xfId="1061"/>
    <cellStyle name="Normal 10 3 2 5 2" xfId="2822"/>
    <cellStyle name="Normal 10 3 2 5 2 2" xfId="6337"/>
    <cellStyle name="Normal 10 3 2 5 2 2 2" xfId="18641"/>
    <cellStyle name="Normal 10 3 2 5 2 2 2 2" xfId="41500"/>
    <cellStyle name="Normal 10 3 2 5 2 2 3" xfId="29198"/>
    <cellStyle name="Normal 10 3 2 5 2 3" xfId="9852"/>
    <cellStyle name="Normal 10 3 2 5 2 3 2" xfId="22156"/>
    <cellStyle name="Normal 10 3 2 5 2 3 2 2" xfId="45015"/>
    <cellStyle name="Normal 10 3 2 5 2 3 3" xfId="32713"/>
    <cellStyle name="Normal 10 3 2 5 2 4" xfId="15126"/>
    <cellStyle name="Normal 10 3 2 5 2 4 2" xfId="37985"/>
    <cellStyle name="Normal 10 3 2 5 2 5" xfId="25683"/>
    <cellStyle name="Normal 10 3 2 5 3" xfId="4579"/>
    <cellStyle name="Normal 10 3 2 5 3 2" xfId="16883"/>
    <cellStyle name="Normal 10 3 2 5 3 2 2" xfId="39742"/>
    <cellStyle name="Normal 10 3 2 5 3 3" xfId="27440"/>
    <cellStyle name="Normal 10 3 2 5 4" xfId="8094"/>
    <cellStyle name="Normal 10 3 2 5 4 2" xfId="20398"/>
    <cellStyle name="Normal 10 3 2 5 4 2 2" xfId="43257"/>
    <cellStyle name="Normal 10 3 2 5 4 3" xfId="30955"/>
    <cellStyle name="Normal 10 3 2 5 5" xfId="11609"/>
    <cellStyle name="Normal 10 3 2 5 5 2" xfId="34469"/>
    <cellStyle name="Normal 10 3 2 5 6" xfId="13368"/>
    <cellStyle name="Normal 10 3 2 5 6 2" xfId="36227"/>
    <cellStyle name="Normal 10 3 2 5 7" xfId="23924"/>
    <cellStyle name="Normal 10 3 2 6" xfId="1944"/>
    <cellStyle name="Normal 10 3 2 6 2" xfId="5459"/>
    <cellStyle name="Normal 10 3 2 6 2 2" xfId="17763"/>
    <cellStyle name="Normal 10 3 2 6 2 2 2" xfId="40622"/>
    <cellStyle name="Normal 10 3 2 6 2 3" xfId="28320"/>
    <cellStyle name="Normal 10 3 2 6 3" xfId="8974"/>
    <cellStyle name="Normal 10 3 2 6 3 2" xfId="21278"/>
    <cellStyle name="Normal 10 3 2 6 3 2 2" xfId="44137"/>
    <cellStyle name="Normal 10 3 2 6 3 3" xfId="31835"/>
    <cellStyle name="Normal 10 3 2 6 4" xfId="14248"/>
    <cellStyle name="Normal 10 3 2 6 4 2" xfId="37107"/>
    <cellStyle name="Normal 10 3 2 6 5" xfId="24805"/>
    <cellStyle name="Normal 10 3 2 7" xfId="3701"/>
    <cellStyle name="Normal 10 3 2 7 2" xfId="16005"/>
    <cellStyle name="Normal 10 3 2 7 2 2" xfId="38864"/>
    <cellStyle name="Normal 10 3 2 7 3" xfId="26562"/>
    <cellStyle name="Normal 10 3 2 8" xfId="7216"/>
    <cellStyle name="Normal 10 3 2 8 2" xfId="19520"/>
    <cellStyle name="Normal 10 3 2 8 2 2" xfId="42379"/>
    <cellStyle name="Normal 10 3 2 8 3" xfId="30077"/>
    <cellStyle name="Normal 10 3 2 9" xfId="10731"/>
    <cellStyle name="Normal 10 3 2 9 2" xfId="33591"/>
    <cellStyle name="Normal 10 3 3" xfId="232"/>
    <cellStyle name="Normal 10 3 3 10" xfId="23097"/>
    <cellStyle name="Normal 10 3 3 2" xfId="444"/>
    <cellStyle name="Normal 10 3 3 2 2" xfId="885"/>
    <cellStyle name="Normal 10 3 3 2 2 2" xfId="1764"/>
    <cellStyle name="Normal 10 3 3 2 2 2 2" xfId="3525"/>
    <cellStyle name="Normal 10 3 3 2 2 2 2 2" xfId="7040"/>
    <cellStyle name="Normal 10 3 3 2 2 2 2 2 2" xfId="19344"/>
    <cellStyle name="Normal 10 3 3 2 2 2 2 2 2 2" xfId="42203"/>
    <cellStyle name="Normal 10 3 3 2 2 2 2 2 3" xfId="29901"/>
    <cellStyle name="Normal 10 3 3 2 2 2 2 3" xfId="10555"/>
    <cellStyle name="Normal 10 3 3 2 2 2 2 3 2" xfId="22859"/>
    <cellStyle name="Normal 10 3 3 2 2 2 2 3 2 2" xfId="45718"/>
    <cellStyle name="Normal 10 3 3 2 2 2 2 3 3" xfId="33416"/>
    <cellStyle name="Normal 10 3 3 2 2 2 2 4" xfId="15829"/>
    <cellStyle name="Normal 10 3 3 2 2 2 2 4 2" xfId="38688"/>
    <cellStyle name="Normal 10 3 3 2 2 2 2 5" xfId="26386"/>
    <cellStyle name="Normal 10 3 3 2 2 2 3" xfId="5282"/>
    <cellStyle name="Normal 10 3 3 2 2 2 3 2" xfId="17586"/>
    <cellStyle name="Normal 10 3 3 2 2 2 3 2 2" xfId="40445"/>
    <cellStyle name="Normal 10 3 3 2 2 2 3 3" xfId="28143"/>
    <cellStyle name="Normal 10 3 3 2 2 2 4" xfId="8797"/>
    <cellStyle name="Normal 10 3 3 2 2 2 4 2" xfId="21101"/>
    <cellStyle name="Normal 10 3 3 2 2 2 4 2 2" xfId="43960"/>
    <cellStyle name="Normal 10 3 3 2 2 2 4 3" xfId="31658"/>
    <cellStyle name="Normal 10 3 3 2 2 2 5" xfId="12312"/>
    <cellStyle name="Normal 10 3 3 2 2 2 5 2" xfId="35172"/>
    <cellStyle name="Normal 10 3 3 2 2 2 6" xfId="14071"/>
    <cellStyle name="Normal 10 3 3 2 2 2 6 2" xfId="36930"/>
    <cellStyle name="Normal 10 3 3 2 2 2 7" xfId="24627"/>
    <cellStyle name="Normal 10 3 3 2 2 3" xfId="2647"/>
    <cellStyle name="Normal 10 3 3 2 2 3 2" xfId="6162"/>
    <cellStyle name="Normal 10 3 3 2 2 3 2 2" xfId="18466"/>
    <cellStyle name="Normal 10 3 3 2 2 3 2 2 2" xfId="41325"/>
    <cellStyle name="Normal 10 3 3 2 2 3 2 3" xfId="29023"/>
    <cellStyle name="Normal 10 3 3 2 2 3 3" xfId="9677"/>
    <cellStyle name="Normal 10 3 3 2 2 3 3 2" xfId="21981"/>
    <cellStyle name="Normal 10 3 3 2 2 3 3 2 2" xfId="44840"/>
    <cellStyle name="Normal 10 3 3 2 2 3 3 3" xfId="32538"/>
    <cellStyle name="Normal 10 3 3 2 2 3 4" xfId="14951"/>
    <cellStyle name="Normal 10 3 3 2 2 3 4 2" xfId="37810"/>
    <cellStyle name="Normal 10 3 3 2 2 3 5" xfId="25508"/>
    <cellStyle name="Normal 10 3 3 2 2 4" xfId="4404"/>
    <cellStyle name="Normal 10 3 3 2 2 4 2" xfId="16708"/>
    <cellStyle name="Normal 10 3 3 2 2 4 2 2" xfId="39567"/>
    <cellStyle name="Normal 10 3 3 2 2 4 3" xfId="27265"/>
    <cellStyle name="Normal 10 3 3 2 2 5" xfId="7919"/>
    <cellStyle name="Normal 10 3 3 2 2 5 2" xfId="20223"/>
    <cellStyle name="Normal 10 3 3 2 2 5 2 2" xfId="43082"/>
    <cellStyle name="Normal 10 3 3 2 2 5 3" xfId="30780"/>
    <cellStyle name="Normal 10 3 3 2 2 6" xfId="11434"/>
    <cellStyle name="Normal 10 3 3 2 2 6 2" xfId="34294"/>
    <cellStyle name="Normal 10 3 3 2 2 7" xfId="13193"/>
    <cellStyle name="Normal 10 3 3 2 2 7 2" xfId="36052"/>
    <cellStyle name="Normal 10 3 3 2 2 8" xfId="23749"/>
    <cellStyle name="Normal 10 3 3 2 3" xfId="1325"/>
    <cellStyle name="Normal 10 3 3 2 3 2" xfId="3086"/>
    <cellStyle name="Normal 10 3 3 2 3 2 2" xfId="6601"/>
    <cellStyle name="Normal 10 3 3 2 3 2 2 2" xfId="18905"/>
    <cellStyle name="Normal 10 3 3 2 3 2 2 2 2" xfId="41764"/>
    <cellStyle name="Normal 10 3 3 2 3 2 2 3" xfId="29462"/>
    <cellStyle name="Normal 10 3 3 2 3 2 3" xfId="10116"/>
    <cellStyle name="Normal 10 3 3 2 3 2 3 2" xfId="22420"/>
    <cellStyle name="Normal 10 3 3 2 3 2 3 2 2" xfId="45279"/>
    <cellStyle name="Normal 10 3 3 2 3 2 3 3" xfId="32977"/>
    <cellStyle name="Normal 10 3 3 2 3 2 4" xfId="15390"/>
    <cellStyle name="Normal 10 3 3 2 3 2 4 2" xfId="38249"/>
    <cellStyle name="Normal 10 3 3 2 3 2 5" xfId="25947"/>
    <cellStyle name="Normal 10 3 3 2 3 3" xfId="4843"/>
    <cellStyle name="Normal 10 3 3 2 3 3 2" xfId="17147"/>
    <cellStyle name="Normal 10 3 3 2 3 3 2 2" xfId="40006"/>
    <cellStyle name="Normal 10 3 3 2 3 3 3" xfId="27704"/>
    <cellStyle name="Normal 10 3 3 2 3 4" xfId="8358"/>
    <cellStyle name="Normal 10 3 3 2 3 4 2" xfId="20662"/>
    <cellStyle name="Normal 10 3 3 2 3 4 2 2" xfId="43521"/>
    <cellStyle name="Normal 10 3 3 2 3 4 3" xfId="31219"/>
    <cellStyle name="Normal 10 3 3 2 3 5" xfId="11873"/>
    <cellStyle name="Normal 10 3 3 2 3 5 2" xfId="34733"/>
    <cellStyle name="Normal 10 3 3 2 3 6" xfId="13632"/>
    <cellStyle name="Normal 10 3 3 2 3 6 2" xfId="36491"/>
    <cellStyle name="Normal 10 3 3 2 3 7" xfId="24188"/>
    <cellStyle name="Normal 10 3 3 2 4" xfId="2208"/>
    <cellStyle name="Normal 10 3 3 2 4 2" xfId="5723"/>
    <cellStyle name="Normal 10 3 3 2 4 2 2" xfId="18027"/>
    <cellStyle name="Normal 10 3 3 2 4 2 2 2" xfId="40886"/>
    <cellStyle name="Normal 10 3 3 2 4 2 3" xfId="28584"/>
    <cellStyle name="Normal 10 3 3 2 4 3" xfId="9238"/>
    <cellStyle name="Normal 10 3 3 2 4 3 2" xfId="21542"/>
    <cellStyle name="Normal 10 3 3 2 4 3 2 2" xfId="44401"/>
    <cellStyle name="Normal 10 3 3 2 4 3 3" xfId="32099"/>
    <cellStyle name="Normal 10 3 3 2 4 4" xfId="14512"/>
    <cellStyle name="Normal 10 3 3 2 4 4 2" xfId="37371"/>
    <cellStyle name="Normal 10 3 3 2 4 5" xfId="25069"/>
    <cellStyle name="Normal 10 3 3 2 5" xfId="3965"/>
    <cellStyle name="Normal 10 3 3 2 5 2" xfId="16269"/>
    <cellStyle name="Normal 10 3 3 2 5 2 2" xfId="39128"/>
    <cellStyle name="Normal 10 3 3 2 5 3" xfId="26826"/>
    <cellStyle name="Normal 10 3 3 2 6" xfId="7480"/>
    <cellStyle name="Normal 10 3 3 2 6 2" xfId="19784"/>
    <cellStyle name="Normal 10 3 3 2 6 2 2" xfId="42643"/>
    <cellStyle name="Normal 10 3 3 2 6 3" xfId="30341"/>
    <cellStyle name="Normal 10 3 3 2 7" xfId="10995"/>
    <cellStyle name="Normal 10 3 3 2 7 2" xfId="33855"/>
    <cellStyle name="Normal 10 3 3 2 8" xfId="12754"/>
    <cellStyle name="Normal 10 3 3 2 8 2" xfId="35613"/>
    <cellStyle name="Normal 10 3 3 2 9" xfId="23309"/>
    <cellStyle name="Normal 10 3 3 3" xfId="673"/>
    <cellStyle name="Normal 10 3 3 3 2" xfId="1552"/>
    <cellStyle name="Normal 10 3 3 3 2 2" xfId="3313"/>
    <cellStyle name="Normal 10 3 3 3 2 2 2" xfId="6828"/>
    <cellStyle name="Normal 10 3 3 3 2 2 2 2" xfId="19132"/>
    <cellStyle name="Normal 10 3 3 3 2 2 2 2 2" xfId="41991"/>
    <cellStyle name="Normal 10 3 3 3 2 2 2 3" xfId="29689"/>
    <cellStyle name="Normal 10 3 3 3 2 2 3" xfId="10343"/>
    <cellStyle name="Normal 10 3 3 3 2 2 3 2" xfId="22647"/>
    <cellStyle name="Normal 10 3 3 3 2 2 3 2 2" xfId="45506"/>
    <cellStyle name="Normal 10 3 3 3 2 2 3 3" xfId="33204"/>
    <cellStyle name="Normal 10 3 3 3 2 2 4" xfId="15617"/>
    <cellStyle name="Normal 10 3 3 3 2 2 4 2" xfId="38476"/>
    <cellStyle name="Normal 10 3 3 3 2 2 5" xfId="26174"/>
    <cellStyle name="Normal 10 3 3 3 2 3" xfId="5070"/>
    <cellStyle name="Normal 10 3 3 3 2 3 2" xfId="17374"/>
    <cellStyle name="Normal 10 3 3 3 2 3 2 2" xfId="40233"/>
    <cellStyle name="Normal 10 3 3 3 2 3 3" xfId="27931"/>
    <cellStyle name="Normal 10 3 3 3 2 4" xfId="8585"/>
    <cellStyle name="Normal 10 3 3 3 2 4 2" xfId="20889"/>
    <cellStyle name="Normal 10 3 3 3 2 4 2 2" xfId="43748"/>
    <cellStyle name="Normal 10 3 3 3 2 4 3" xfId="31446"/>
    <cellStyle name="Normal 10 3 3 3 2 5" xfId="12100"/>
    <cellStyle name="Normal 10 3 3 3 2 5 2" xfId="34960"/>
    <cellStyle name="Normal 10 3 3 3 2 6" xfId="13859"/>
    <cellStyle name="Normal 10 3 3 3 2 6 2" xfId="36718"/>
    <cellStyle name="Normal 10 3 3 3 2 7" xfId="24415"/>
    <cellStyle name="Normal 10 3 3 3 3" xfId="2435"/>
    <cellStyle name="Normal 10 3 3 3 3 2" xfId="5950"/>
    <cellStyle name="Normal 10 3 3 3 3 2 2" xfId="18254"/>
    <cellStyle name="Normal 10 3 3 3 3 2 2 2" xfId="41113"/>
    <cellStyle name="Normal 10 3 3 3 3 2 3" xfId="28811"/>
    <cellStyle name="Normal 10 3 3 3 3 3" xfId="9465"/>
    <cellStyle name="Normal 10 3 3 3 3 3 2" xfId="21769"/>
    <cellStyle name="Normal 10 3 3 3 3 3 2 2" xfId="44628"/>
    <cellStyle name="Normal 10 3 3 3 3 3 3" xfId="32326"/>
    <cellStyle name="Normal 10 3 3 3 3 4" xfId="14739"/>
    <cellStyle name="Normal 10 3 3 3 3 4 2" xfId="37598"/>
    <cellStyle name="Normal 10 3 3 3 3 5" xfId="25296"/>
    <cellStyle name="Normal 10 3 3 3 4" xfId="4192"/>
    <cellStyle name="Normal 10 3 3 3 4 2" xfId="16496"/>
    <cellStyle name="Normal 10 3 3 3 4 2 2" xfId="39355"/>
    <cellStyle name="Normal 10 3 3 3 4 3" xfId="27053"/>
    <cellStyle name="Normal 10 3 3 3 5" xfId="7707"/>
    <cellStyle name="Normal 10 3 3 3 5 2" xfId="20011"/>
    <cellStyle name="Normal 10 3 3 3 5 2 2" xfId="42870"/>
    <cellStyle name="Normal 10 3 3 3 5 3" xfId="30568"/>
    <cellStyle name="Normal 10 3 3 3 6" xfId="11222"/>
    <cellStyle name="Normal 10 3 3 3 6 2" xfId="34082"/>
    <cellStyle name="Normal 10 3 3 3 7" xfId="12981"/>
    <cellStyle name="Normal 10 3 3 3 7 2" xfId="35840"/>
    <cellStyle name="Normal 10 3 3 3 8" xfId="23537"/>
    <cellStyle name="Normal 10 3 3 4" xfId="1113"/>
    <cellStyle name="Normal 10 3 3 4 2" xfId="2874"/>
    <cellStyle name="Normal 10 3 3 4 2 2" xfId="6389"/>
    <cellStyle name="Normal 10 3 3 4 2 2 2" xfId="18693"/>
    <cellStyle name="Normal 10 3 3 4 2 2 2 2" xfId="41552"/>
    <cellStyle name="Normal 10 3 3 4 2 2 3" xfId="29250"/>
    <cellStyle name="Normal 10 3 3 4 2 3" xfId="9904"/>
    <cellStyle name="Normal 10 3 3 4 2 3 2" xfId="22208"/>
    <cellStyle name="Normal 10 3 3 4 2 3 2 2" xfId="45067"/>
    <cellStyle name="Normal 10 3 3 4 2 3 3" xfId="32765"/>
    <cellStyle name="Normal 10 3 3 4 2 4" xfId="15178"/>
    <cellStyle name="Normal 10 3 3 4 2 4 2" xfId="38037"/>
    <cellStyle name="Normal 10 3 3 4 2 5" xfId="25735"/>
    <cellStyle name="Normal 10 3 3 4 3" xfId="4631"/>
    <cellStyle name="Normal 10 3 3 4 3 2" xfId="16935"/>
    <cellStyle name="Normal 10 3 3 4 3 2 2" xfId="39794"/>
    <cellStyle name="Normal 10 3 3 4 3 3" xfId="27492"/>
    <cellStyle name="Normal 10 3 3 4 4" xfId="8146"/>
    <cellStyle name="Normal 10 3 3 4 4 2" xfId="20450"/>
    <cellStyle name="Normal 10 3 3 4 4 2 2" xfId="43309"/>
    <cellStyle name="Normal 10 3 3 4 4 3" xfId="31007"/>
    <cellStyle name="Normal 10 3 3 4 5" xfId="11661"/>
    <cellStyle name="Normal 10 3 3 4 5 2" xfId="34521"/>
    <cellStyle name="Normal 10 3 3 4 6" xfId="13420"/>
    <cellStyle name="Normal 10 3 3 4 6 2" xfId="36279"/>
    <cellStyle name="Normal 10 3 3 4 7" xfId="23976"/>
    <cellStyle name="Normal 10 3 3 5" xfId="1996"/>
    <cellStyle name="Normal 10 3 3 5 2" xfId="5511"/>
    <cellStyle name="Normal 10 3 3 5 2 2" xfId="17815"/>
    <cellStyle name="Normal 10 3 3 5 2 2 2" xfId="40674"/>
    <cellStyle name="Normal 10 3 3 5 2 3" xfId="28372"/>
    <cellStyle name="Normal 10 3 3 5 3" xfId="9026"/>
    <cellStyle name="Normal 10 3 3 5 3 2" xfId="21330"/>
    <cellStyle name="Normal 10 3 3 5 3 2 2" xfId="44189"/>
    <cellStyle name="Normal 10 3 3 5 3 3" xfId="31887"/>
    <cellStyle name="Normal 10 3 3 5 4" xfId="14300"/>
    <cellStyle name="Normal 10 3 3 5 4 2" xfId="37159"/>
    <cellStyle name="Normal 10 3 3 5 5" xfId="24857"/>
    <cellStyle name="Normal 10 3 3 6" xfId="3753"/>
    <cellStyle name="Normal 10 3 3 6 2" xfId="16057"/>
    <cellStyle name="Normal 10 3 3 6 2 2" xfId="38916"/>
    <cellStyle name="Normal 10 3 3 6 3" xfId="26614"/>
    <cellStyle name="Normal 10 3 3 7" xfId="7268"/>
    <cellStyle name="Normal 10 3 3 7 2" xfId="19572"/>
    <cellStyle name="Normal 10 3 3 7 2 2" xfId="42431"/>
    <cellStyle name="Normal 10 3 3 7 3" xfId="30129"/>
    <cellStyle name="Normal 10 3 3 8" xfId="10783"/>
    <cellStyle name="Normal 10 3 3 8 2" xfId="33643"/>
    <cellStyle name="Normal 10 3 3 9" xfId="12542"/>
    <cellStyle name="Normal 10 3 3 9 2" xfId="35401"/>
    <cellStyle name="Normal 10 3 4" xfId="338"/>
    <cellStyle name="Normal 10 3 4 2" xfId="779"/>
    <cellStyle name="Normal 10 3 4 2 2" xfId="1658"/>
    <cellStyle name="Normal 10 3 4 2 2 2" xfId="3419"/>
    <cellStyle name="Normal 10 3 4 2 2 2 2" xfId="6934"/>
    <cellStyle name="Normal 10 3 4 2 2 2 2 2" xfId="19238"/>
    <cellStyle name="Normal 10 3 4 2 2 2 2 2 2" xfId="42097"/>
    <cellStyle name="Normal 10 3 4 2 2 2 2 3" xfId="29795"/>
    <cellStyle name="Normal 10 3 4 2 2 2 3" xfId="10449"/>
    <cellStyle name="Normal 10 3 4 2 2 2 3 2" xfId="22753"/>
    <cellStyle name="Normal 10 3 4 2 2 2 3 2 2" xfId="45612"/>
    <cellStyle name="Normal 10 3 4 2 2 2 3 3" xfId="33310"/>
    <cellStyle name="Normal 10 3 4 2 2 2 4" xfId="15723"/>
    <cellStyle name="Normal 10 3 4 2 2 2 4 2" xfId="38582"/>
    <cellStyle name="Normal 10 3 4 2 2 2 5" xfId="26280"/>
    <cellStyle name="Normal 10 3 4 2 2 3" xfId="5176"/>
    <cellStyle name="Normal 10 3 4 2 2 3 2" xfId="17480"/>
    <cellStyle name="Normal 10 3 4 2 2 3 2 2" xfId="40339"/>
    <cellStyle name="Normal 10 3 4 2 2 3 3" xfId="28037"/>
    <cellStyle name="Normal 10 3 4 2 2 4" xfId="8691"/>
    <cellStyle name="Normal 10 3 4 2 2 4 2" xfId="20995"/>
    <cellStyle name="Normal 10 3 4 2 2 4 2 2" xfId="43854"/>
    <cellStyle name="Normal 10 3 4 2 2 4 3" xfId="31552"/>
    <cellStyle name="Normal 10 3 4 2 2 5" xfId="12206"/>
    <cellStyle name="Normal 10 3 4 2 2 5 2" xfId="35066"/>
    <cellStyle name="Normal 10 3 4 2 2 6" xfId="13965"/>
    <cellStyle name="Normal 10 3 4 2 2 6 2" xfId="36824"/>
    <cellStyle name="Normal 10 3 4 2 2 7" xfId="24521"/>
    <cellStyle name="Normal 10 3 4 2 3" xfId="2541"/>
    <cellStyle name="Normal 10 3 4 2 3 2" xfId="6056"/>
    <cellStyle name="Normal 10 3 4 2 3 2 2" xfId="18360"/>
    <cellStyle name="Normal 10 3 4 2 3 2 2 2" xfId="41219"/>
    <cellStyle name="Normal 10 3 4 2 3 2 3" xfId="28917"/>
    <cellStyle name="Normal 10 3 4 2 3 3" xfId="9571"/>
    <cellStyle name="Normal 10 3 4 2 3 3 2" xfId="21875"/>
    <cellStyle name="Normal 10 3 4 2 3 3 2 2" xfId="44734"/>
    <cellStyle name="Normal 10 3 4 2 3 3 3" xfId="32432"/>
    <cellStyle name="Normal 10 3 4 2 3 4" xfId="14845"/>
    <cellStyle name="Normal 10 3 4 2 3 4 2" xfId="37704"/>
    <cellStyle name="Normal 10 3 4 2 3 5" xfId="25402"/>
    <cellStyle name="Normal 10 3 4 2 4" xfId="4298"/>
    <cellStyle name="Normal 10 3 4 2 4 2" xfId="16602"/>
    <cellStyle name="Normal 10 3 4 2 4 2 2" xfId="39461"/>
    <cellStyle name="Normal 10 3 4 2 4 3" xfId="27159"/>
    <cellStyle name="Normal 10 3 4 2 5" xfId="7813"/>
    <cellStyle name="Normal 10 3 4 2 5 2" xfId="20117"/>
    <cellStyle name="Normal 10 3 4 2 5 2 2" xfId="42976"/>
    <cellStyle name="Normal 10 3 4 2 5 3" xfId="30674"/>
    <cellStyle name="Normal 10 3 4 2 6" xfId="11328"/>
    <cellStyle name="Normal 10 3 4 2 6 2" xfId="34188"/>
    <cellStyle name="Normal 10 3 4 2 7" xfId="13087"/>
    <cellStyle name="Normal 10 3 4 2 7 2" xfId="35946"/>
    <cellStyle name="Normal 10 3 4 2 8" xfId="23643"/>
    <cellStyle name="Normal 10 3 4 3" xfId="1219"/>
    <cellStyle name="Normal 10 3 4 3 2" xfId="2980"/>
    <cellStyle name="Normal 10 3 4 3 2 2" xfId="6495"/>
    <cellStyle name="Normal 10 3 4 3 2 2 2" xfId="18799"/>
    <cellStyle name="Normal 10 3 4 3 2 2 2 2" xfId="41658"/>
    <cellStyle name="Normal 10 3 4 3 2 2 3" xfId="29356"/>
    <cellStyle name="Normal 10 3 4 3 2 3" xfId="10010"/>
    <cellStyle name="Normal 10 3 4 3 2 3 2" xfId="22314"/>
    <cellStyle name="Normal 10 3 4 3 2 3 2 2" xfId="45173"/>
    <cellStyle name="Normal 10 3 4 3 2 3 3" xfId="32871"/>
    <cellStyle name="Normal 10 3 4 3 2 4" xfId="15284"/>
    <cellStyle name="Normal 10 3 4 3 2 4 2" xfId="38143"/>
    <cellStyle name="Normal 10 3 4 3 2 5" xfId="25841"/>
    <cellStyle name="Normal 10 3 4 3 3" xfId="4737"/>
    <cellStyle name="Normal 10 3 4 3 3 2" xfId="17041"/>
    <cellStyle name="Normal 10 3 4 3 3 2 2" xfId="39900"/>
    <cellStyle name="Normal 10 3 4 3 3 3" xfId="27598"/>
    <cellStyle name="Normal 10 3 4 3 4" xfId="8252"/>
    <cellStyle name="Normal 10 3 4 3 4 2" xfId="20556"/>
    <cellStyle name="Normal 10 3 4 3 4 2 2" xfId="43415"/>
    <cellStyle name="Normal 10 3 4 3 4 3" xfId="31113"/>
    <cellStyle name="Normal 10 3 4 3 5" xfId="11767"/>
    <cellStyle name="Normal 10 3 4 3 5 2" xfId="34627"/>
    <cellStyle name="Normal 10 3 4 3 6" xfId="13526"/>
    <cellStyle name="Normal 10 3 4 3 6 2" xfId="36385"/>
    <cellStyle name="Normal 10 3 4 3 7" xfId="24082"/>
    <cellStyle name="Normal 10 3 4 4" xfId="2102"/>
    <cellStyle name="Normal 10 3 4 4 2" xfId="5617"/>
    <cellStyle name="Normal 10 3 4 4 2 2" xfId="17921"/>
    <cellStyle name="Normal 10 3 4 4 2 2 2" xfId="40780"/>
    <cellStyle name="Normal 10 3 4 4 2 3" xfId="28478"/>
    <cellStyle name="Normal 10 3 4 4 3" xfId="9132"/>
    <cellStyle name="Normal 10 3 4 4 3 2" xfId="21436"/>
    <cellStyle name="Normal 10 3 4 4 3 2 2" xfId="44295"/>
    <cellStyle name="Normal 10 3 4 4 3 3" xfId="31993"/>
    <cellStyle name="Normal 10 3 4 4 4" xfId="14406"/>
    <cellStyle name="Normal 10 3 4 4 4 2" xfId="37265"/>
    <cellStyle name="Normal 10 3 4 4 5" xfId="24963"/>
    <cellStyle name="Normal 10 3 4 5" xfId="3859"/>
    <cellStyle name="Normal 10 3 4 5 2" xfId="16163"/>
    <cellStyle name="Normal 10 3 4 5 2 2" xfId="39022"/>
    <cellStyle name="Normal 10 3 4 5 3" xfId="26720"/>
    <cellStyle name="Normal 10 3 4 6" xfId="7374"/>
    <cellStyle name="Normal 10 3 4 6 2" xfId="19678"/>
    <cellStyle name="Normal 10 3 4 6 2 2" xfId="42537"/>
    <cellStyle name="Normal 10 3 4 6 3" xfId="30235"/>
    <cellStyle name="Normal 10 3 4 7" xfId="10889"/>
    <cellStyle name="Normal 10 3 4 7 2" xfId="33749"/>
    <cellStyle name="Normal 10 3 4 8" xfId="12648"/>
    <cellStyle name="Normal 10 3 4 8 2" xfId="35507"/>
    <cellStyle name="Normal 10 3 4 9" xfId="23203"/>
    <cellStyle name="Normal 10 3 5" xfId="567"/>
    <cellStyle name="Normal 10 3 5 2" xfId="1446"/>
    <cellStyle name="Normal 10 3 5 2 2" xfId="3207"/>
    <cellStyle name="Normal 10 3 5 2 2 2" xfId="6722"/>
    <cellStyle name="Normal 10 3 5 2 2 2 2" xfId="19026"/>
    <cellStyle name="Normal 10 3 5 2 2 2 2 2" xfId="41885"/>
    <cellStyle name="Normal 10 3 5 2 2 2 3" xfId="29583"/>
    <cellStyle name="Normal 10 3 5 2 2 3" xfId="10237"/>
    <cellStyle name="Normal 10 3 5 2 2 3 2" xfId="22541"/>
    <cellStyle name="Normal 10 3 5 2 2 3 2 2" xfId="45400"/>
    <cellStyle name="Normal 10 3 5 2 2 3 3" xfId="33098"/>
    <cellStyle name="Normal 10 3 5 2 2 4" xfId="15511"/>
    <cellStyle name="Normal 10 3 5 2 2 4 2" xfId="38370"/>
    <cellStyle name="Normal 10 3 5 2 2 5" xfId="26068"/>
    <cellStyle name="Normal 10 3 5 2 3" xfId="4964"/>
    <cellStyle name="Normal 10 3 5 2 3 2" xfId="17268"/>
    <cellStyle name="Normal 10 3 5 2 3 2 2" xfId="40127"/>
    <cellStyle name="Normal 10 3 5 2 3 3" xfId="27825"/>
    <cellStyle name="Normal 10 3 5 2 4" xfId="8479"/>
    <cellStyle name="Normal 10 3 5 2 4 2" xfId="20783"/>
    <cellStyle name="Normal 10 3 5 2 4 2 2" xfId="43642"/>
    <cellStyle name="Normal 10 3 5 2 4 3" xfId="31340"/>
    <cellStyle name="Normal 10 3 5 2 5" xfId="11994"/>
    <cellStyle name="Normal 10 3 5 2 5 2" xfId="34854"/>
    <cellStyle name="Normal 10 3 5 2 6" xfId="13753"/>
    <cellStyle name="Normal 10 3 5 2 6 2" xfId="36612"/>
    <cellStyle name="Normal 10 3 5 2 7" xfId="24309"/>
    <cellStyle name="Normal 10 3 5 3" xfId="2329"/>
    <cellStyle name="Normal 10 3 5 3 2" xfId="5844"/>
    <cellStyle name="Normal 10 3 5 3 2 2" xfId="18148"/>
    <cellStyle name="Normal 10 3 5 3 2 2 2" xfId="41007"/>
    <cellStyle name="Normal 10 3 5 3 2 3" xfId="28705"/>
    <cellStyle name="Normal 10 3 5 3 3" xfId="9359"/>
    <cellStyle name="Normal 10 3 5 3 3 2" xfId="21663"/>
    <cellStyle name="Normal 10 3 5 3 3 2 2" xfId="44522"/>
    <cellStyle name="Normal 10 3 5 3 3 3" xfId="32220"/>
    <cellStyle name="Normal 10 3 5 3 4" xfId="14633"/>
    <cellStyle name="Normal 10 3 5 3 4 2" xfId="37492"/>
    <cellStyle name="Normal 10 3 5 3 5" xfId="25190"/>
    <cellStyle name="Normal 10 3 5 4" xfId="4086"/>
    <cellStyle name="Normal 10 3 5 4 2" xfId="16390"/>
    <cellStyle name="Normal 10 3 5 4 2 2" xfId="39249"/>
    <cellStyle name="Normal 10 3 5 4 3" xfId="26947"/>
    <cellStyle name="Normal 10 3 5 5" xfId="7601"/>
    <cellStyle name="Normal 10 3 5 5 2" xfId="19905"/>
    <cellStyle name="Normal 10 3 5 5 2 2" xfId="42764"/>
    <cellStyle name="Normal 10 3 5 5 3" xfId="30462"/>
    <cellStyle name="Normal 10 3 5 6" xfId="11116"/>
    <cellStyle name="Normal 10 3 5 6 2" xfId="33976"/>
    <cellStyle name="Normal 10 3 5 7" xfId="12875"/>
    <cellStyle name="Normal 10 3 5 7 2" xfId="35734"/>
    <cellStyle name="Normal 10 3 5 8" xfId="23431"/>
    <cellStyle name="Normal 10 3 6" xfId="1007"/>
    <cellStyle name="Normal 10 3 6 2" xfId="2768"/>
    <cellStyle name="Normal 10 3 6 2 2" xfId="6283"/>
    <cellStyle name="Normal 10 3 6 2 2 2" xfId="18587"/>
    <cellStyle name="Normal 10 3 6 2 2 2 2" xfId="41446"/>
    <cellStyle name="Normal 10 3 6 2 2 3" xfId="29144"/>
    <cellStyle name="Normal 10 3 6 2 3" xfId="9798"/>
    <cellStyle name="Normal 10 3 6 2 3 2" xfId="22102"/>
    <cellStyle name="Normal 10 3 6 2 3 2 2" xfId="44961"/>
    <cellStyle name="Normal 10 3 6 2 3 3" xfId="32659"/>
    <cellStyle name="Normal 10 3 6 2 4" xfId="15072"/>
    <cellStyle name="Normal 10 3 6 2 4 2" xfId="37931"/>
    <cellStyle name="Normal 10 3 6 2 5" xfId="25629"/>
    <cellStyle name="Normal 10 3 6 3" xfId="4525"/>
    <cellStyle name="Normal 10 3 6 3 2" xfId="16829"/>
    <cellStyle name="Normal 10 3 6 3 2 2" xfId="39688"/>
    <cellStyle name="Normal 10 3 6 3 3" xfId="27386"/>
    <cellStyle name="Normal 10 3 6 4" xfId="8040"/>
    <cellStyle name="Normal 10 3 6 4 2" xfId="20344"/>
    <cellStyle name="Normal 10 3 6 4 2 2" xfId="43203"/>
    <cellStyle name="Normal 10 3 6 4 3" xfId="30901"/>
    <cellStyle name="Normal 10 3 6 5" xfId="11555"/>
    <cellStyle name="Normal 10 3 6 5 2" xfId="34415"/>
    <cellStyle name="Normal 10 3 6 6" xfId="13314"/>
    <cellStyle name="Normal 10 3 6 6 2" xfId="36173"/>
    <cellStyle name="Normal 10 3 6 7" xfId="23870"/>
    <cellStyle name="Normal 10 3 7" xfId="1890"/>
    <cellStyle name="Normal 10 3 7 2" xfId="5405"/>
    <cellStyle name="Normal 10 3 7 2 2" xfId="17709"/>
    <cellStyle name="Normal 10 3 7 2 2 2" xfId="40568"/>
    <cellStyle name="Normal 10 3 7 2 3" xfId="28266"/>
    <cellStyle name="Normal 10 3 7 3" xfId="8920"/>
    <cellStyle name="Normal 10 3 7 3 2" xfId="21224"/>
    <cellStyle name="Normal 10 3 7 3 2 2" xfId="44083"/>
    <cellStyle name="Normal 10 3 7 3 3" xfId="31781"/>
    <cellStyle name="Normal 10 3 7 4" xfId="14194"/>
    <cellStyle name="Normal 10 3 7 4 2" xfId="37053"/>
    <cellStyle name="Normal 10 3 7 5" xfId="24751"/>
    <cellStyle name="Normal 10 3 8" xfId="3647"/>
    <cellStyle name="Normal 10 3 8 2" xfId="15951"/>
    <cellStyle name="Normal 10 3 8 2 2" xfId="38810"/>
    <cellStyle name="Normal 10 3 8 3" xfId="26508"/>
    <cellStyle name="Normal 10 3 9" xfId="7162"/>
    <cellStyle name="Normal 10 3 9 2" xfId="19466"/>
    <cellStyle name="Normal 10 3 9 2 2" xfId="42325"/>
    <cellStyle name="Normal 10 3 9 3" xfId="30023"/>
    <cellStyle name="Normal 10 4" xfId="134"/>
    <cellStyle name="Normal 10 4 10" xfId="12446"/>
    <cellStyle name="Normal 10 4 10 2" xfId="35305"/>
    <cellStyle name="Normal 10 4 11" xfId="23000"/>
    <cellStyle name="Normal 10 4 2" xfId="242"/>
    <cellStyle name="Normal 10 4 2 10" xfId="23107"/>
    <cellStyle name="Normal 10 4 2 2" xfId="454"/>
    <cellStyle name="Normal 10 4 2 2 2" xfId="895"/>
    <cellStyle name="Normal 10 4 2 2 2 2" xfId="1774"/>
    <cellStyle name="Normal 10 4 2 2 2 2 2" xfId="3535"/>
    <cellStyle name="Normal 10 4 2 2 2 2 2 2" xfId="7050"/>
    <cellStyle name="Normal 10 4 2 2 2 2 2 2 2" xfId="19354"/>
    <cellStyle name="Normal 10 4 2 2 2 2 2 2 2 2" xfId="42213"/>
    <cellStyle name="Normal 10 4 2 2 2 2 2 2 3" xfId="29911"/>
    <cellStyle name="Normal 10 4 2 2 2 2 2 3" xfId="10565"/>
    <cellStyle name="Normal 10 4 2 2 2 2 2 3 2" xfId="22869"/>
    <cellStyle name="Normal 10 4 2 2 2 2 2 3 2 2" xfId="45728"/>
    <cellStyle name="Normal 10 4 2 2 2 2 2 3 3" xfId="33426"/>
    <cellStyle name="Normal 10 4 2 2 2 2 2 4" xfId="15839"/>
    <cellStyle name="Normal 10 4 2 2 2 2 2 4 2" xfId="38698"/>
    <cellStyle name="Normal 10 4 2 2 2 2 2 5" xfId="26396"/>
    <cellStyle name="Normal 10 4 2 2 2 2 3" xfId="5292"/>
    <cellStyle name="Normal 10 4 2 2 2 2 3 2" xfId="17596"/>
    <cellStyle name="Normal 10 4 2 2 2 2 3 2 2" xfId="40455"/>
    <cellStyle name="Normal 10 4 2 2 2 2 3 3" xfId="28153"/>
    <cellStyle name="Normal 10 4 2 2 2 2 4" xfId="8807"/>
    <cellStyle name="Normal 10 4 2 2 2 2 4 2" xfId="21111"/>
    <cellStyle name="Normal 10 4 2 2 2 2 4 2 2" xfId="43970"/>
    <cellStyle name="Normal 10 4 2 2 2 2 4 3" xfId="31668"/>
    <cellStyle name="Normal 10 4 2 2 2 2 5" xfId="12322"/>
    <cellStyle name="Normal 10 4 2 2 2 2 5 2" xfId="35182"/>
    <cellStyle name="Normal 10 4 2 2 2 2 6" xfId="14081"/>
    <cellStyle name="Normal 10 4 2 2 2 2 6 2" xfId="36940"/>
    <cellStyle name="Normal 10 4 2 2 2 2 7" xfId="24637"/>
    <cellStyle name="Normal 10 4 2 2 2 3" xfId="2657"/>
    <cellStyle name="Normal 10 4 2 2 2 3 2" xfId="6172"/>
    <cellStyle name="Normal 10 4 2 2 2 3 2 2" xfId="18476"/>
    <cellStyle name="Normal 10 4 2 2 2 3 2 2 2" xfId="41335"/>
    <cellStyle name="Normal 10 4 2 2 2 3 2 3" xfId="29033"/>
    <cellStyle name="Normal 10 4 2 2 2 3 3" xfId="9687"/>
    <cellStyle name="Normal 10 4 2 2 2 3 3 2" xfId="21991"/>
    <cellStyle name="Normal 10 4 2 2 2 3 3 2 2" xfId="44850"/>
    <cellStyle name="Normal 10 4 2 2 2 3 3 3" xfId="32548"/>
    <cellStyle name="Normal 10 4 2 2 2 3 4" xfId="14961"/>
    <cellStyle name="Normal 10 4 2 2 2 3 4 2" xfId="37820"/>
    <cellStyle name="Normal 10 4 2 2 2 3 5" xfId="25518"/>
    <cellStyle name="Normal 10 4 2 2 2 4" xfId="4414"/>
    <cellStyle name="Normal 10 4 2 2 2 4 2" xfId="16718"/>
    <cellStyle name="Normal 10 4 2 2 2 4 2 2" xfId="39577"/>
    <cellStyle name="Normal 10 4 2 2 2 4 3" xfId="27275"/>
    <cellStyle name="Normal 10 4 2 2 2 5" xfId="7929"/>
    <cellStyle name="Normal 10 4 2 2 2 5 2" xfId="20233"/>
    <cellStyle name="Normal 10 4 2 2 2 5 2 2" xfId="43092"/>
    <cellStyle name="Normal 10 4 2 2 2 5 3" xfId="30790"/>
    <cellStyle name="Normal 10 4 2 2 2 6" xfId="11444"/>
    <cellStyle name="Normal 10 4 2 2 2 6 2" xfId="34304"/>
    <cellStyle name="Normal 10 4 2 2 2 7" xfId="13203"/>
    <cellStyle name="Normal 10 4 2 2 2 7 2" xfId="36062"/>
    <cellStyle name="Normal 10 4 2 2 2 8" xfId="23759"/>
    <cellStyle name="Normal 10 4 2 2 3" xfId="1335"/>
    <cellStyle name="Normal 10 4 2 2 3 2" xfId="3096"/>
    <cellStyle name="Normal 10 4 2 2 3 2 2" xfId="6611"/>
    <cellStyle name="Normal 10 4 2 2 3 2 2 2" xfId="18915"/>
    <cellStyle name="Normal 10 4 2 2 3 2 2 2 2" xfId="41774"/>
    <cellStyle name="Normal 10 4 2 2 3 2 2 3" xfId="29472"/>
    <cellStyle name="Normal 10 4 2 2 3 2 3" xfId="10126"/>
    <cellStyle name="Normal 10 4 2 2 3 2 3 2" xfId="22430"/>
    <cellStyle name="Normal 10 4 2 2 3 2 3 2 2" xfId="45289"/>
    <cellStyle name="Normal 10 4 2 2 3 2 3 3" xfId="32987"/>
    <cellStyle name="Normal 10 4 2 2 3 2 4" xfId="15400"/>
    <cellStyle name="Normal 10 4 2 2 3 2 4 2" xfId="38259"/>
    <cellStyle name="Normal 10 4 2 2 3 2 5" xfId="25957"/>
    <cellStyle name="Normal 10 4 2 2 3 3" xfId="4853"/>
    <cellStyle name="Normal 10 4 2 2 3 3 2" xfId="17157"/>
    <cellStyle name="Normal 10 4 2 2 3 3 2 2" xfId="40016"/>
    <cellStyle name="Normal 10 4 2 2 3 3 3" xfId="27714"/>
    <cellStyle name="Normal 10 4 2 2 3 4" xfId="8368"/>
    <cellStyle name="Normal 10 4 2 2 3 4 2" xfId="20672"/>
    <cellStyle name="Normal 10 4 2 2 3 4 2 2" xfId="43531"/>
    <cellStyle name="Normal 10 4 2 2 3 4 3" xfId="31229"/>
    <cellStyle name="Normal 10 4 2 2 3 5" xfId="11883"/>
    <cellStyle name="Normal 10 4 2 2 3 5 2" xfId="34743"/>
    <cellStyle name="Normal 10 4 2 2 3 6" xfId="13642"/>
    <cellStyle name="Normal 10 4 2 2 3 6 2" xfId="36501"/>
    <cellStyle name="Normal 10 4 2 2 3 7" xfId="24198"/>
    <cellStyle name="Normal 10 4 2 2 4" xfId="2218"/>
    <cellStyle name="Normal 10 4 2 2 4 2" xfId="5733"/>
    <cellStyle name="Normal 10 4 2 2 4 2 2" xfId="18037"/>
    <cellStyle name="Normal 10 4 2 2 4 2 2 2" xfId="40896"/>
    <cellStyle name="Normal 10 4 2 2 4 2 3" xfId="28594"/>
    <cellStyle name="Normal 10 4 2 2 4 3" xfId="9248"/>
    <cellStyle name="Normal 10 4 2 2 4 3 2" xfId="21552"/>
    <cellStyle name="Normal 10 4 2 2 4 3 2 2" xfId="44411"/>
    <cellStyle name="Normal 10 4 2 2 4 3 3" xfId="32109"/>
    <cellStyle name="Normal 10 4 2 2 4 4" xfId="14522"/>
    <cellStyle name="Normal 10 4 2 2 4 4 2" xfId="37381"/>
    <cellStyle name="Normal 10 4 2 2 4 5" xfId="25079"/>
    <cellStyle name="Normal 10 4 2 2 5" xfId="3975"/>
    <cellStyle name="Normal 10 4 2 2 5 2" xfId="16279"/>
    <cellStyle name="Normal 10 4 2 2 5 2 2" xfId="39138"/>
    <cellStyle name="Normal 10 4 2 2 5 3" xfId="26836"/>
    <cellStyle name="Normal 10 4 2 2 6" xfId="7490"/>
    <cellStyle name="Normal 10 4 2 2 6 2" xfId="19794"/>
    <cellStyle name="Normal 10 4 2 2 6 2 2" xfId="42653"/>
    <cellStyle name="Normal 10 4 2 2 6 3" xfId="30351"/>
    <cellStyle name="Normal 10 4 2 2 7" xfId="11005"/>
    <cellStyle name="Normal 10 4 2 2 7 2" xfId="33865"/>
    <cellStyle name="Normal 10 4 2 2 8" xfId="12764"/>
    <cellStyle name="Normal 10 4 2 2 8 2" xfId="35623"/>
    <cellStyle name="Normal 10 4 2 2 9" xfId="23319"/>
    <cellStyle name="Normal 10 4 2 3" xfId="683"/>
    <cellStyle name="Normal 10 4 2 3 2" xfId="1562"/>
    <cellStyle name="Normal 10 4 2 3 2 2" xfId="3323"/>
    <cellStyle name="Normal 10 4 2 3 2 2 2" xfId="6838"/>
    <cellStyle name="Normal 10 4 2 3 2 2 2 2" xfId="19142"/>
    <cellStyle name="Normal 10 4 2 3 2 2 2 2 2" xfId="42001"/>
    <cellStyle name="Normal 10 4 2 3 2 2 2 3" xfId="29699"/>
    <cellStyle name="Normal 10 4 2 3 2 2 3" xfId="10353"/>
    <cellStyle name="Normal 10 4 2 3 2 2 3 2" xfId="22657"/>
    <cellStyle name="Normal 10 4 2 3 2 2 3 2 2" xfId="45516"/>
    <cellStyle name="Normal 10 4 2 3 2 2 3 3" xfId="33214"/>
    <cellStyle name="Normal 10 4 2 3 2 2 4" xfId="15627"/>
    <cellStyle name="Normal 10 4 2 3 2 2 4 2" xfId="38486"/>
    <cellStyle name="Normal 10 4 2 3 2 2 5" xfId="26184"/>
    <cellStyle name="Normal 10 4 2 3 2 3" xfId="5080"/>
    <cellStyle name="Normal 10 4 2 3 2 3 2" xfId="17384"/>
    <cellStyle name="Normal 10 4 2 3 2 3 2 2" xfId="40243"/>
    <cellStyle name="Normal 10 4 2 3 2 3 3" xfId="27941"/>
    <cellStyle name="Normal 10 4 2 3 2 4" xfId="8595"/>
    <cellStyle name="Normal 10 4 2 3 2 4 2" xfId="20899"/>
    <cellStyle name="Normal 10 4 2 3 2 4 2 2" xfId="43758"/>
    <cellStyle name="Normal 10 4 2 3 2 4 3" xfId="31456"/>
    <cellStyle name="Normal 10 4 2 3 2 5" xfId="12110"/>
    <cellStyle name="Normal 10 4 2 3 2 5 2" xfId="34970"/>
    <cellStyle name="Normal 10 4 2 3 2 6" xfId="13869"/>
    <cellStyle name="Normal 10 4 2 3 2 6 2" xfId="36728"/>
    <cellStyle name="Normal 10 4 2 3 2 7" xfId="24425"/>
    <cellStyle name="Normal 10 4 2 3 3" xfId="2445"/>
    <cellStyle name="Normal 10 4 2 3 3 2" xfId="5960"/>
    <cellStyle name="Normal 10 4 2 3 3 2 2" xfId="18264"/>
    <cellStyle name="Normal 10 4 2 3 3 2 2 2" xfId="41123"/>
    <cellStyle name="Normal 10 4 2 3 3 2 3" xfId="28821"/>
    <cellStyle name="Normal 10 4 2 3 3 3" xfId="9475"/>
    <cellStyle name="Normal 10 4 2 3 3 3 2" xfId="21779"/>
    <cellStyle name="Normal 10 4 2 3 3 3 2 2" xfId="44638"/>
    <cellStyle name="Normal 10 4 2 3 3 3 3" xfId="32336"/>
    <cellStyle name="Normal 10 4 2 3 3 4" xfId="14749"/>
    <cellStyle name="Normal 10 4 2 3 3 4 2" xfId="37608"/>
    <cellStyle name="Normal 10 4 2 3 3 5" xfId="25306"/>
    <cellStyle name="Normal 10 4 2 3 4" xfId="4202"/>
    <cellStyle name="Normal 10 4 2 3 4 2" xfId="16506"/>
    <cellStyle name="Normal 10 4 2 3 4 2 2" xfId="39365"/>
    <cellStyle name="Normal 10 4 2 3 4 3" xfId="27063"/>
    <cellStyle name="Normal 10 4 2 3 5" xfId="7717"/>
    <cellStyle name="Normal 10 4 2 3 5 2" xfId="20021"/>
    <cellStyle name="Normal 10 4 2 3 5 2 2" xfId="42880"/>
    <cellStyle name="Normal 10 4 2 3 5 3" xfId="30578"/>
    <cellStyle name="Normal 10 4 2 3 6" xfId="11232"/>
    <cellStyle name="Normal 10 4 2 3 6 2" xfId="34092"/>
    <cellStyle name="Normal 10 4 2 3 7" xfId="12991"/>
    <cellStyle name="Normal 10 4 2 3 7 2" xfId="35850"/>
    <cellStyle name="Normal 10 4 2 3 8" xfId="23547"/>
    <cellStyle name="Normal 10 4 2 4" xfId="1123"/>
    <cellStyle name="Normal 10 4 2 4 2" xfId="2884"/>
    <cellStyle name="Normal 10 4 2 4 2 2" xfId="6399"/>
    <cellStyle name="Normal 10 4 2 4 2 2 2" xfId="18703"/>
    <cellStyle name="Normal 10 4 2 4 2 2 2 2" xfId="41562"/>
    <cellStyle name="Normal 10 4 2 4 2 2 3" xfId="29260"/>
    <cellStyle name="Normal 10 4 2 4 2 3" xfId="9914"/>
    <cellStyle name="Normal 10 4 2 4 2 3 2" xfId="22218"/>
    <cellStyle name="Normal 10 4 2 4 2 3 2 2" xfId="45077"/>
    <cellStyle name="Normal 10 4 2 4 2 3 3" xfId="32775"/>
    <cellStyle name="Normal 10 4 2 4 2 4" xfId="15188"/>
    <cellStyle name="Normal 10 4 2 4 2 4 2" xfId="38047"/>
    <cellStyle name="Normal 10 4 2 4 2 5" xfId="25745"/>
    <cellStyle name="Normal 10 4 2 4 3" xfId="4641"/>
    <cellStyle name="Normal 10 4 2 4 3 2" xfId="16945"/>
    <cellStyle name="Normal 10 4 2 4 3 2 2" xfId="39804"/>
    <cellStyle name="Normal 10 4 2 4 3 3" xfId="27502"/>
    <cellStyle name="Normal 10 4 2 4 4" xfId="8156"/>
    <cellStyle name="Normal 10 4 2 4 4 2" xfId="20460"/>
    <cellStyle name="Normal 10 4 2 4 4 2 2" xfId="43319"/>
    <cellStyle name="Normal 10 4 2 4 4 3" xfId="31017"/>
    <cellStyle name="Normal 10 4 2 4 5" xfId="11671"/>
    <cellStyle name="Normal 10 4 2 4 5 2" xfId="34531"/>
    <cellStyle name="Normal 10 4 2 4 6" xfId="13430"/>
    <cellStyle name="Normal 10 4 2 4 6 2" xfId="36289"/>
    <cellStyle name="Normal 10 4 2 4 7" xfId="23986"/>
    <cellStyle name="Normal 10 4 2 5" xfId="2006"/>
    <cellStyle name="Normal 10 4 2 5 2" xfId="5521"/>
    <cellStyle name="Normal 10 4 2 5 2 2" xfId="17825"/>
    <cellStyle name="Normal 10 4 2 5 2 2 2" xfId="40684"/>
    <cellStyle name="Normal 10 4 2 5 2 3" xfId="28382"/>
    <cellStyle name="Normal 10 4 2 5 3" xfId="9036"/>
    <cellStyle name="Normal 10 4 2 5 3 2" xfId="21340"/>
    <cellStyle name="Normal 10 4 2 5 3 2 2" xfId="44199"/>
    <cellStyle name="Normal 10 4 2 5 3 3" xfId="31897"/>
    <cellStyle name="Normal 10 4 2 5 4" xfId="14310"/>
    <cellStyle name="Normal 10 4 2 5 4 2" xfId="37169"/>
    <cellStyle name="Normal 10 4 2 5 5" xfId="24867"/>
    <cellStyle name="Normal 10 4 2 6" xfId="3763"/>
    <cellStyle name="Normal 10 4 2 6 2" xfId="16067"/>
    <cellStyle name="Normal 10 4 2 6 2 2" xfId="38926"/>
    <cellStyle name="Normal 10 4 2 6 3" xfId="26624"/>
    <cellStyle name="Normal 10 4 2 7" xfId="7278"/>
    <cellStyle name="Normal 10 4 2 7 2" xfId="19582"/>
    <cellStyle name="Normal 10 4 2 7 2 2" xfId="42441"/>
    <cellStyle name="Normal 10 4 2 7 3" xfId="30139"/>
    <cellStyle name="Normal 10 4 2 8" xfId="10793"/>
    <cellStyle name="Normal 10 4 2 8 2" xfId="33653"/>
    <cellStyle name="Normal 10 4 2 9" xfId="12552"/>
    <cellStyle name="Normal 10 4 2 9 2" xfId="35411"/>
    <cellStyle name="Normal 10 4 3" xfId="348"/>
    <cellStyle name="Normal 10 4 3 2" xfId="789"/>
    <cellStyle name="Normal 10 4 3 2 2" xfId="1668"/>
    <cellStyle name="Normal 10 4 3 2 2 2" xfId="3429"/>
    <cellStyle name="Normal 10 4 3 2 2 2 2" xfId="6944"/>
    <cellStyle name="Normal 10 4 3 2 2 2 2 2" xfId="19248"/>
    <cellStyle name="Normal 10 4 3 2 2 2 2 2 2" xfId="42107"/>
    <cellStyle name="Normal 10 4 3 2 2 2 2 3" xfId="29805"/>
    <cellStyle name="Normal 10 4 3 2 2 2 3" xfId="10459"/>
    <cellStyle name="Normal 10 4 3 2 2 2 3 2" xfId="22763"/>
    <cellStyle name="Normal 10 4 3 2 2 2 3 2 2" xfId="45622"/>
    <cellStyle name="Normal 10 4 3 2 2 2 3 3" xfId="33320"/>
    <cellStyle name="Normal 10 4 3 2 2 2 4" xfId="15733"/>
    <cellStyle name="Normal 10 4 3 2 2 2 4 2" xfId="38592"/>
    <cellStyle name="Normal 10 4 3 2 2 2 5" xfId="26290"/>
    <cellStyle name="Normal 10 4 3 2 2 3" xfId="5186"/>
    <cellStyle name="Normal 10 4 3 2 2 3 2" xfId="17490"/>
    <cellStyle name="Normal 10 4 3 2 2 3 2 2" xfId="40349"/>
    <cellStyle name="Normal 10 4 3 2 2 3 3" xfId="28047"/>
    <cellStyle name="Normal 10 4 3 2 2 4" xfId="8701"/>
    <cellStyle name="Normal 10 4 3 2 2 4 2" xfId="21005"/>
    <cellStyle name="Normal 10 4 3 2 2 4 2 2" xfId="43864"/>
    <cellStyle name="Normal 10 4 3 2 2 4 3" xfId="31562"/>
    <cellStyle name="Normal 10 4 3 2 2 5" xfId="12216"/>
    <cellStyle name="Normal 10 4 3 2 2 5 2" xfId="35076"/>
    <cellStyle name="Normal 10 4 3 2 2 6" xfId="13975"/>
    <cellStyle name="Normal 10 4 3 2 2 6 2" xfId="36834"/>
    <cellStyle name="Normal 10 4 3 2 2 7" xfId="24531"/>
    <cellStyle name="Normal 10 4 3 2 3" xfId="2551"/>
    <cellStyle name="Normal 10 4 3 2 3 2" xfId="6066"/>
    <cellStyle name="Normal 10 4 3 2 3 2 2" xfId="18370"/>
    <cellStyle name="Normal 10 4 3 2 3 2 2 2" xfId="41229"/>
    <cellStyle name="Normal 10 4 3 2 3 2 3" xfId="28927"/>
    <cellStyle name="Normal 10 4 3 2 3 3" xfId="9581"/>
    <cellStyle name="Normal 10 4 3 2 3 3 2" xfId="21885"/>
    <cellStyle name="Normal 10 4 3 2 3 3 2 2" xfId="44744"/>
    <cellStyle name="Normal 10 4 3 2 3 3 3" xfId="32442"/>
    <cellStyle name="Normal 10 4 3 2 3 4" xfId="14855"/>
    <cellStyle name="Normal 10 4 3 2 3 4 2" xfId="37714"/>
    <cellStyle name="Normal 10 4 3 2 3 5" xfId="25412"/>
    <cellStyle name="Normal 10 4 3 2 4" xfId="4308"/>
    <cellStyle name="Normal 10 4 3 2 4 2" xfId="16612"/>
    <cellStyle name="Normal 10 4 3 2 4 2 2" xfId="39471"/>
    <cellStyle name="Normal 10 4 3 2 4 3" xfId="27169"/>
    <cellStyle name="Normal 10 4 3 2 5" xfId="7823"/>
    <cellStyle name="Normal 10 4 3 2 5 2" xfId="20127"/>
    <cellStyle name="Normal 10 4 3 2 5 2 2" xfId="42986"/>
    <cellStyle name="Normal 10 4 3 2 5 3" xfId="30684"/>
    <cellStyle name="Normal 10 4 3 2 6" xfId="11338"/>
    <cellStyle name="Normal 10 4 3 2 6 2" xfId="34198"/>
    <cellStyle name="Normal 10 4 3 2 7" xfId="13097"/>
    <cellStyle name="Normal 10 4 3 2 7 2" xfId="35956"/>
    <cellStyle name="Normal 10 4 3 2 8" xfId="23653"/>
    <cellStyle name="Normal 10 4 3 3" xfId="1229"/>
    <cellStyle name="Normal 10 4 3 3 2" xfId="2990"/>
    <cellStyle name="Normal 10 4 3 3 2 2" xfId="6505"/>
    <cellStyle name="Normal 10 4 3 3 2 2 2" xfId="18809"/>
    <cellStyle name="Normal 10 4 3 3 2 2 2 2" xfId="41668"/>
    <cellStyle name="Normal 10 4 3 3 2 2 3" xfId="29366"/>
    <cellStyle name="Normal 10 4 3 3 2 3" xfId="10020"/>
    <cellStyle name="Normal 10 4 3 3 2 3 2" xfId="22324"/>
    <cellStyle name="Normal 10 4 3 3 2 3 2 2" xfId="45183"/>
    <cellStyle name="Normal 10 4 3 3 2 3 3" xfId="32881"/>
    <cellStyle name="Normal 10 4 3 3 2 4" xfId="15294"/>
    <cellStyle name="Normal 10 4 3 3 2 4 2" xfId="38153"/>
    <cellStyle name="Normal 10 4 3 3 2 5" xfId="25851"/>
    <cellStyle name="Normal 10 4 3 3 3" xfId="4747"/>
    <cellStyle name="Normal 10 4 3 3 3 2" xfId="17051"/>
    <cellStyle name="Normal 10 4 3 3 3 2 2" xfId="39910"/>
    <cellStyle name="Normal 10 4 3 3 3 3" xfId="27608"/>
    <cellStyle name="Normal 10 4 3 3 4" xfId="8262"/>
    <cellStyle name="Normal 10 4 3 3 4 2" xfId="20566"/>
    <cellStyle name="Normal 10 4 3 3 4 2 2" xfId="43425"/>
    <cellStyle name="Normal 10 4 3 3 4 3" xfId="31123"/>
    <cellStyle name="Normal 10 4 3 3 5" xfId="11777"/>
    <cellStyle name="Normal 10 4 3 3 5 2" xfId="34637"/>
    <cellStyle name="Normal 10 4 3 3 6" xfId="13536"/>
    <cellStyle name="Normal 10 4 3 3 6 2" xfId="36395"/>
    <cellStyle name="Normal 10 4 3 3 7" xfId="24092"/>
    <cellStyle name="Normal 10 4 3 4" xfId="2112"/>
    <cellStyle name="Normal 10 4 3 4 2" xfId="5627"/>
    <cellStyle name="Normal 10 4 3 4 2 2" xfId="17931"/>
    <cellStyle name="Normal 10 4 3 4 2 2 2" xfId="40790"/>
    <cellStyle name="Normal 10 4 3 4 2 3" xfId="28488"/>
    <cellStyle name="Normal 10 4 3 4 3" xfId="9142"/>
    <cellStyle name="Normal 10 4 3 4 3 2" xfId="21446"/>
    <cellStyle name="Normal 10 4 3 4 3 2 2" xfId="44305"/>
    <cellStyle name="Normal 10 4 3 4 3 3" xfId="32003"/>
    <cellStyle name="Normal 10 4 3 4 4" xfId="14416"/>
    <cellStyle name="Normal 10 4 3 4 4 2" xfId="37275"/>
    <cellStyle name="Normal 10 4 3 4 5" xfId="24973"/>
    <cellStyle name="Normal 10 4 3 5" xfId="3869"/>
    <cellStyle name="Normal 10 4 3 5 2" xfId="16173"/>
    <cellStyle name="Normal 10 4 3 5 2 2" xfId="39032"/>
    <cellStyle name="Normal 10 4 3 5 3" xfId="26730"/>
    <cellStyle name="Normal 10 4 3 6" xfId="7384"/>
    <cellStyle name="Normal 10 4 3 6 2" xfId="19688"/>
    <cellStyle name="Normal 10 4 3 6 2 2" xfId="42547"/>
    <cellStyle name="Normal 10 4 3 6 3" xfId="30245"/>
    <cellStyle name="Normal 10 4 3 7" xfId="10899"/>
    <cellStyle name="Normal 10 4 3 7 2" xfId="33759"/>
    <cellStyle name="Normal 10 4 3 8" xfId="12658"/>
    <cellStyle name="Normal 10 4 3 8 2" xfId="35517"/>
    <cellStyle name="Normal 10 4 3 9" xfId="23213"/>
    <cellStyle name="Normal 10 4 4" xfId="577"/>
    <cellStyle name="Normal 10 4 4 2" xfId="1456"/>
    <cellStyle name="Normal 10 4 4 2 2" xfId="3217"/>
    <cellStyle name="Normal 10 4 4 2 2 2" xfId="6732"/>
    <cellStyle name="Normal 10 4 4 2 2 2 2" xfId="19036"/>
    <cellStyle name="Normal 10 4 4 2 2 2 2 2" xfId="41895"/>
    <cellStyle name="Normal 10 4 4 2 2 2 3" xfId="29593"/>
    <cellStyle name="Normal 10 4 4 2 2 3" xfId="10247"/>
    <cellStyle name="Normal 10 4 4 2 2 3 2" xfId="22551"/>
    <cellStyle name="Normal 10 4 4 2 2 3 2 2" xfId="45410"/>
    <cellStyle name="Normal 10 4 4 2 2 3 3" xfId="33108"/>
    <cellStyle name="Normal 10 4 4 2 2 4" xfId="15521"/>
    <cellStyle name="Normal 10 4 4 2 2 4 2" xfId="38380"/>
    <cellStyle name="Normal 10 4 4 2 2 5" xfId="26078"/>
    <cellStyle name="Normal 10 4 4 2 3" xfId="4974"/>
    <cellStyle name="Normal 10 4 4 2 3 2" xfId="17278"/>
    <cellStyle name="Normal 10 4 4 2 3 2 2" xfId="40137"/>
    <cellStyle name="Normal 10 4 4 2 3 3" xfId="27835"/>
    <cellStyle name="Normal 10 4 4 2 4" xfId="8489"/>
    <cellStyle name="Normal 10 4 4 2 4 2" xfId="20793"/>
    <cellStyle name="Normal 10 4 4 2 4 2 2" xfId="43652"/>
    <cellStyle name="Normal 10 4 4 2 4 3" xfId="31350"/>
    <cellStyle name="Normal 10 4 4 2 5" xfId="12004"/>
    <cellStyle name="Normal 10 4 4 2 5 2" xfId="34864"/>
    <cellStyle name="Normal 10 4 4 2 6" xfId="13763"/>
    <cellStyle name="Normal 10 4 4 2 6 2" xfId="36622"/>
    <cellStyle name="Normal 10 4 4 2 7" xfId="24319"/>
    <cellStyle name="Normal 10 4 4 3" xfId="2339"/>
    <cellStyle name="Normal 10 4 4 3 2" xfId="5854"/>
    <cellStyle name="Normal 10 4 4 3 2 2" xfId="18158"/>
    <cellStyle name="Normal 10 4 4 3 2 2 2" xfId="41017"/>
    <cellStyle name="Normal 10 4 4 3 2 3" xfId="28715"/>
    <cellStyle name="Normal 10 4 4 3 3" xfId="9369"/>
    <cellStyle name="Normal 10 4 4 3 3 2" xfId="21673"/>
    <cellStyle name="Normal 10 4 4 3 3 2 2" xfId="44532"/>
    <cellStyle name="Normal 10 4 4 3 3 3" xfId="32230"/>
    <cellStyle name="Normal 10 4 4 3 4" xfId="14643"/>
    <cellStyle name="Normal 10 4 4 3 4 2" xfId="37502"/>
    <cellStyle name="Normal 10 4 4 3 5" xfId="25200"/>
    <cellStyle name="Normal 10 4 4 4" xfId="4096"/>
    <cellStyle name="Normal 10 4 4 4 2" xfId="16400"/>
    <cellStyle name="Normal 10 4 4 4 2 2" xfId="39259"/>
    <cellStyle name="Normal 10 4 4 4 3" xfId="26957"/>
    <cellStyle name="Normal 10 4 4 5" xfId="7611"/>
    <cellStyle name="Normal 10 4 4 5 2" xfId="19915"/>
    <cellStyle name="Normal 10 4 4 5 2 2" xfId="42774"/>
    <cellStyle name="Normal 10 4 4 5 3" xfId="30472"/>
    <cellStyle name="Normal 10 4 4 6" xfId="11126"/>
    <cellStyle name="Normal 10 4 4 6 2" xfId="33986"/>
    <cellStyle name="Normal 10 4 4 7" xfId="12885"/>
    <cellStyle name="Normal 10 4 4 7 2" xfId="35744"/>
    <cellStyle name="Normal 10 4 4 8" xfId="23441"/>
    <cellStyle name="Normal 10 4 5" xfId="1017"/>
    <cellStyle name="Normal 10 4 5 2" xfId="2778"/>
    <cellStyle name="Normal 10 4 5 2 2" xfId="6293"/>
    <cellStyle name="Normal 10 4 5 2 2 2" xfId="18597"/>
    <cellStyle name="Normal 10 4 5 2 2 2 2" xfId="41456"/>
    <cellStyle name="Normal 10 4 5 2 2 3" xfId="29154"/>
    <cellStyle name="Normal 10 4 5 2 3" xfId="9808"/>
    <cellStyle name="Normal 10 4 5 2 3 2" xfId="22112"/>
    <cellStyle name="Normal 10 4 5 2 3 2 2" xfId="44971"/>
    <cellStyle name="Normal 10 4 5 2 3 3" xfId="32669"/>
    <cellStyle name="Normal 10 4 5 2 4" xfId="15082"/>
    <cellStyle name="Normal 10 4 5 2 4 2" xfId="37941"/>
    <cellStyle name="Normal 10 4 5 2 5" xfId="25639"/>
    <cellStyle name="Normal 10 4 5 3" xfId="4535"/>
    <cellStyle name="Normal 10 4 5 3 2" xfId="16839"/>
    <cellStyle name="Normal 10 4 5 3 2 2" xfId="39698"/>
    <cellStyle name="Normal 10 4 5 3 3" xfId="27396"/>
    <cellStyle name="Normal 10 4 5 4" xfId="8050"/>
    <cellStyle name="Normal 10 4 5 4 2" xfId="20354"/>
    <cellStyle name="Normal 10 4 5 4 2 2" xfId="43213"/>
    <cellStyle name="Normal 10 4 5 4 3" xfId="30911"/>
    <cellStyle name="Normal 10 4 5 5" xfId="11565"/>
    <cellStyle name="Normal 10 4 5 5 2" xfId="34425"/>
    <cellStyle name="Normal 10 4 5 6" xfId="13324"/>
    <cellStyle name="Normal 10 4 5 6 2" xfId="36183"/>
    <cellStyle name="Normal 10 4 5 7" xfId="23880"/>
    <cellStyle name="Normal 10 4 6" xfId="1900"/>
    <cellStyle name="Normal 10 4 6 2" xfId="5415"/>
    <cellStyle name="Normal 10 4 6 2 2" xfId="17719"/>
    <cellStyle name="Normal 10 4 6 2 2 2" xfId="40578"/>
    <cellStyle name="Normal 10 4 6 2 3" xfId="28276"/>
    <cellStyle name="Normal 10 4 6 3" xfId="8930"/>
    <cellStyle name="Normal 10 4 6 3 2" xfId="21234"/>
    <cellStyle name="Normal 10 4 6 3 2 2" xfId="44093"/>
    <cellStyle name="Normal 10 4 6 3 3" xfId="31791"/>
    <cellStyle name="Normal 10 4 6 4" xfId="14204"/>
    <cellStyle name="Normal 10 4 6 4 2" xfId="37063"/>
    <cellStyle name="Normal 10 4 6 5" xfId="24761"/>
    <cellStyle name="Normal 10 4 7" xfId="3657"/>
    <cellStyle name="Normal 10 4 7 2" xfId="15961"/>
    <cellStyle name="Normal 10 4 7 2 2" xfId="38820"/>
    <cellStyle name="Normal 10 4 7 3" xfId="26518"/>
    <cellStyle name="Normal 10 4 8" xfId="7172"/>
    <cellStyle name="Normal 10 4 8 2" xfId="19476"/>
    <cellStyle name="Normal 10 4 8 2 2" xfId="42335"/>
    <cellStyle name="Normal 10 4 8 3" xfId="30033"/>
    <cellStyle name="Normal 10 4 9" xfId="10687"/>
    <cellStyle name="Normal 10 4 9 2" xfId="33547"/>
    <cellStyle name="Normal 10 5" xfId="194"/>
    <cellStyle name="Normal 10 5 10" xfId="23059"/>
    <cellStyle name="Normal 10 5 2" xfId="406"/>
    <cellStyle name="Normal 10 5 2 2" xfId="847"/>
    <cellStyle name="Normal 10 5 2 2 2" xfId="1726"/>
    <cellStyle name="Normal 10 5 2 2 2 2" xfId="3487"/>
    <cellStyle name="Normal 10 5 2 2 2 2 2" xfId="7002"/>
    <cellStyle name="Normal 10 5 2 2 2 2 2 2" xfId="19306"/>
    <cellStyle name="Normal 10 5 2 2 2 2 2 2 2" xfId="42165"/>
    <cellStyle name="Normal 10 5 2 2 2 2 2 3" xfId="29863"/>
    <cellStyle name="Normal 10 5 2 2 2 2 3" xfId="10517"/>
    <cellStyle name="Normal 10 5 2 2 2 2 3 2" xfId="22821"/>
    <cellStyle name="Normal 10 5 2 2 2 2 3 2 2" xfId="45680"/>
    <cellStyle name="Normal 10 5 2 2 2 2 3 3" xfId="33378"/>
    <cellStyle name="Normal 10 5 2 2 2 2 4" xfId="15791"/>
    <cellStyle name="Normal 10 5 2 2 2 2 4 2" xfId="38650"/>
    <cellStyle name="Normal 10 5 2 2 2 2 5" xfId="26348"/>
    <cellStyle name="Normal 10 5 2 2 2 3" xfId="5244"/>
    <cellStyle name="Normal 10 5 2 2 2 3 2" xfId="17548"/>
    <cellStyle name="Normal 10 5 2 2 2 3 2 2" xfId="40407"/>
    <cellStyle name="Normal 10 5 2 2 2 3 3" xfId="28105"/>
    <cellStyle name="Normal 10 5 2 2 2 4" xfId="8759"/>
    <cellStyle name="Normal 10 5 2 2 2 4 2" xfId="21063"/>
    <cellStyle name="Normal 10 5 2 2 2 4 2 2" xfId="43922"/>
    <cellStyle name="Normal 10 5 2 2 2 4 3" xfId="31620"/>
    <cellStyle name="Normal 10 5 2 2 2 5" xfId="12274"/>
    <cellStyle name="Normal 10 5 2 2 2 5 2" xfId="35134"/>
    <cellStyle name="Normal 10 5 2 2 2 6" xfId="14033"/>
    <cellStyle name="Normal 10 5 2 2 2 6 2" xfId="36892"/>
    <cellStyle name="Normal 10 5 2 2 2 7" xfId="24589"/>
    <cellStyle name="Normal 10 5 2 2 3" xfId="2609"/>
    <cellStyle name="Normal 10 5 2 2 3 2" xfId="6124"/>
    <cellStyle name="Normal 10 5 2 2 3 2 2" xfId="18428"/>
    <cellStyle name="Normal 10 5 2 2 3 2 2 2" xfId="41287"/>
    <cellStyle name="Normal 10 5 2 2 3 2 3" xfId="28985"/>
    <cellStyle name="Normal 10 5 2 2 3 3" xfId="9639"/>
    <cellStyle name="Normal 10 5 2 2 3 3 2" xfId="21943"/>
    <cellStyle name="Normal 10 5 2 2 3 3 2 2" xfId="44802"/>
    <cellStyle name="Normal 10 5 2 2 3 3 3" xfId="32500"/>
    <cellStyle name="Normal 10 5 2 2 3 4" xfId="14913"/>
    <cellStyle name="Normal 10 5 2 2 3 4 2" xfId="37772"/>
    <cellStyle name="Normal 10 5 2 2 3 5" xfId="25470"/>
    <cellStyle name="Normal 10 5 2 2 4" xfId="4366"/>
    <cellStyle name="Normal 10 5 2 2 4 2" xfId="16670"/>
    <cellStyle name="Normal 10 5 2 2 4 2 2" xfId="39529"/>
    <cellStyle name="Normal 10 5 2 2 4 3" xfId="27227"/>
    <cellStyle name="Normal 10 5 2 2 5" xfId="7881"/>
    <cellStyle name="Normal 10 5 2 2 5 2" xfId="20185"/>
    <cellStyle name="Normal 10 5 2 2 5 2 2" xfId="43044"/>
    <cellStyle name="Normal 10 5 2 2 5 3" xfId="30742"/>
    <cellStyle name="Normal 10 5 2 2 6" xfId="11396"/>
    <cellStyle name="Normal 10 5 2 2 6 2" xfId="34256"/>
    <cellStyle name="Normal 10 5 2 2 7" xfId="13155"/>
    <cellStyle name="Normal 10 5 2 2 7 2" xfId="36014"/>
    <cellStyle name="Normal 10 5 2 2 8" xfId="23711"/>
    <cellStyle name="Normal 10 5 2 3" xfId="1287"/>
    <cellStyle name="Normal 10 5 2 3 2" xfId="3048"/>
    <cellStyle name="Normal 10 5 2 3 2 2" xfId="6563"/>
    <cellStyle name="Normal 10 5 2 3 2 2 2" xfId="18867"/>
    <cellStyle name="Normal 10 5 2 3 2 2 2 2" xfId="41726"/>
    <cellStyle name="Normal 10 5 2 3 2 2 3" xfId="29424"/>
    <cellStyle name="Normal 10 5 2 3 2 3" xfId="10078"/>
    <cellStyle name="Normal 10 5 2 3 2 3 2" xfId="22382"/>
    <cellStyle name="Normal 10 5 2 3 2 3 2 2" xfId="45241"/>
    <cellStyle name="Normal 10 5 2 3 2 3 3" xfId="32939"/>
    <cellStyle name="Normal 10 5 2 3 2 4" xfId="15352"/>
    <cellStyle name="Normal 10 5 2 3 2 4 2" xfId="38211"/>
    <cellStyle name="Normal 10 5 2 3 2 5" xfId="25909"/>
    <cellStyle name="Normal 10 5 2 3 3" xfId="4805"/>
    <cellStyle name="Normal 10 5 2 3 3 2" xfId="17109"/>
    <cellStyle name="Normal 10 5 2 3 3 2 2" xfId="39968"/>
    <cellStyle name="Normal 10 5 2 3 3 3" xfId="27666"/>
    <cellStyle name="Normal 10 5 2 3 4" xfId="8320"/>
    <cellStyle name="Normal 10 5 2 3 4 2" xfId="20624"/>
    <cellStyle name="Normal 10 5 2 3 4 2 2" xfId="43483"/>
    <cellStyle name="Normal 10 5 2 3 4 3" xfId="31181"/>
    <cellStyle name="Normal 10 5 2 3 5" xfId="11835"/>
    <cellStyle name="Normal 10 5 2 3 5 2" xfId="34695"/>
    <cellStyle name="Normal 10 5 2 3 6" xfId="13594"/>
    <cellStyle name="Normal 10 5 2 3 6 2" xfId="36453"/>
    <cellStyle name="Normal 10 5 2 3 7" xfId="24150"/>
    <cellStyle name="Normal 10 5 2 4" xfId="2170"/>
    <cellStyle name="Normal 10 5 2 4 2" xfId="5685"/>
    <cellStyle name="Normal 10 5 2 4 2 2" xfId="17989"/>
    <cellStyle name="Normal 10 5 2 4 2 2 2" xfId="40848"/>
    <cellStyle name="Normal 10 5 2 4 2 3" xfId="28546"/>
    <cellStyle name="Normal 10 5 2 4 3" xfId="9200"/>
    <cellStyle name="Normal 10 5 2 4 3 2" xfId="21504"/>
    <cellStyle name="Normal 10 5 2 4 3 2 2" xfId="44363"/>
    <cellStyle name="Normal 10 5 2 4 3 3" xfId="32061"/>
    <cellStyle name="Normal 10 5 2 4 4" xfId="14474"/>
    <cellStyle name="Normal 10 5 2 4 4 2" xfId="37333"/>
    <cellStyle name="Normal 10 5 2 4 5" xfId="25031"/>
    <cellStyle name="Normal 10 5 2 5" xfId="3927"/>
    <cellStyle name="Normal 10 5 2 5 2" xfId="16231"/>
    <cellStyle name="Normal 10 5 2 5 2 2" xfId="39090"/>
    <cellStyle name="Normal 10 5 2 5 3" xfId="26788"/>
    <cellStyle name="Normal 10 5 2 6" xfId="7442"/>
    <cellStyle name="Normal 10 5 2 6 2" xfId="19746"/>
    <cellStyle name="Normal 10 5 2 6 2 2" xfId="42605"/>
    <cellStyle name="Normal 10 5 2 6 3" xfId="30303"/>
    <cellStyle name="Normal 10 5 2 7" xfId="10957"/>
    <cellStyle name="Normal 10 5 2 7 2" xfId="33817"/>
    <cellStyle name="Normal 10 5 2 8" xfId="12716"/>
    <cellStyle name="Normal 10 5 2 8 2" xfId="35575"/>
    <cellStyle name="Normal 10 5 2 9" xfId="23271"/>
    <cellStyle name="Normal 10 5 3" xfId="635"/>
    <cellStyle name="Normal 10 5 3 2" xfId="1514"/>
    <cellStyle name="Normal 10 5 3 2 2" xfId="3275"/>
    <cellStyle name="Normal 10 5 3 2 2 2" xfId="6790"/>
    <cellStyle name="Normal 10 5 3 2 2 2 2" xfId="19094"/>
    <cellStyle name="Normal 10 5 3 2 2 2 2 2" xfId="41953"/>
    <cellStyle name="Normal 10 5 3 2 2 2 3" xfId="29651"/>
    <cellStyle name="Normal 10 5 3 2 2 3" xfId="10305"/>
    <cellStyle name="Normal 10 5 3 2 2 3 2" xfId="22609"/>
    <cellStyle name="Normal 10 5 3 2 2 3 2 2" xfId="45468"/>
    <cellStyle name="Normal 10 5 3 2 2 3 3" xfId="33166"/>
    <cellStyle name="Normal 10 5 3 2 2 4" xfId="15579"/>
    <cellStyle name="Normal 10 5 3 2 2 4 2" xfId="38438"/>
    <cellStyle name="Normal 10 5 3 2 2 5" xfId="26136"/>
    <cellStyle name="Normal 10 5 3 2 3" xfId="5032"/>
    <cellStyle name="Normal 10 5 3 2 3 2" xfId="17336"/>
    <cellStyle name="Normal 10 5 3 2 3 2 2" xfId="40195"/>
    <cellStyle name="Normal 10 5 3 2 3 3" xfId="27893"/>
    <cellStyle name="Normal 10 5 3 2 4" xfId="8547"/>
    <cellStyle name="Normal 10 5 3 2 4 2" xfId="20851"/>
    <cellStyle name="Normal 10 5 3 2 4 2 2" xfId="43710"/>
    <cellStyle name="Normal 10 5 3 2 4 3" xfId="31408"/>
    <cellStyle name="Normal 10 5 3 2 5" xfId="12062"/>
    <cellStyle name="Normal 10 5 3 2 5 2" xfId="34922"/>
    <cellStyle name="Normal 10 5 3 2 6" xfId="13821"/>
    <cellStyle name="Normal 10 5 3 2 6 2" xfId="36680"/>
    <cellStyle name="Normal 10 5 3 2 7" xfId="24377"/>
    <cellStyle name="Normal 10 5 3 3" xfId="2397"/>
    <cellStyle name="Normal 10 5 3 3 2" xfId="5912"/>
    <cellStyle name="Normal 10 5 3 3 2 2" xfId="18216"/>
    <cellStyle name="Normal 10 5 3 3 2 2 2" xfId="41075"/>
    <cellStyle name="Normal 10 5 3 3 2 3" xfId="28773"/>
    <cellStyle name="Normal 10 5 3 3 3" xfId="9427"/>
    <cellStyle name="Normal 10 5 3 3 3 2" xfId="21731"/>
    <cellStyle name="Normal 10 5 3 3 3 2 2" xfId="44590"/>
    <cellStyle name="Normal 10 5 3 3 3 3" xfId="32288"/>
    <cellStyle name="Normal 10 5 3 3 4" xfId="14701"/>
    <cellStyle name="Normal 10 5 3 3 4 2" xfId="37560"/>
    <cellStyle name="Normal 10 5 3 3 5" xfId="25258"/>
    <cellStyle name="Normal 10 5 3 4" xfId="4154"/>
    <cellStyle name="Normal 10 5 3 4 2" xfId="16458"/>
    <cellStyle name="Normal 10 5 3 4 2 2" xfId="39317"/>
    <cellStyle name="Normal 10 5 3 4 3" xfId="27015"/>
    <cellStyle name="Normal 10 5 3 5" xfId="7669"/>
    <cellStyle name="Normal 10 5 3 5 2" xfId="19973"/>
    <cellStyle name="Normal 10 5 3 5 2 2" xfId="42832"/>
    <cellStyle name="Normal 10 5 3 5 3" xfId="30530"/>
    <cellStyle name="Normal 10 5 3 6" xfId="11184"/>
    <cellStyle name="Normal 10 5 3 6 2" xfId="34044"/>
    <cellStyle name="Normal 10 5 3 7" xfId="12943"/>
    <cellStyle name="Normal 10 5 3 7 2" xfId="35802"/>
    <cellStyle name="Normal 10 5 3 8" xfId="23499"/>
    <cellStyle name="Normal 10 5 4" xfId="1075"/>
    <cellStyle name="Normal 10 5 4 2" xfId="2836"/>
    <cellStyle name="Normal 10 5 4 2 2" xfId="6351"/>
    <cellStyle name="Normal 10 5 4 2 2 2" xfId="18655"/>
    <cellStyle name="Normal 10 5 4 2 2 2 2" xfId="41514"/>
    <cellStyle name="Normal 10 5 4 2 2 3" xfId="29212"/>
    <cellStyle name="Normal 10 5 4 2 3" xfId="9866"/>
    <cellStyle name="Normal 10 5 4 2 3 2" xfId="22170"/>
    <cellStyle name="Normal 10 5 4 2 3 2 2" xfId="45029"/>
    <cellStyle name="Normal 10 5 4 2 3 3" xfId="32727"/>
    <cellStyle name="Normal 10 5 4 2 4" xfId="15140"/>
    <cellStyle name="Normal 10 5 4 2 4 2" xfId="37999"/>
    <cellStyle name="Normal 10 5 4 2 5" xfId="25697"/>
    <cellStyle name="Normal 10 5 4 3" xfId="4593"/>
    <cellStyle name="Normal 10 5 4 3 2" xfId="16897"/>
    <cellStyle name="Normal 10 5 4 3 2 2" xfId="39756"/>
    <cellStyle name="Normal 10 5 4 3 3" xfId="27454"/>
    <cellStyle name="Normal 10 5 4 4" xfId="8108"/>
    <cellStyle name="Normal 10 5 4 4 2" xfId="20412"/>
    <cellStyle name="Normal 10 5 4 4 2 2" xfId="43271"/>
    <cellStyle name="Normal 10 5 4 4 3" xfId="30969"/>
    <cellStyle name="Normal 10 5 4 5" xfId="11623"/>
    <cellStyle name="Normal 10 5 4 5 2" xfId="34483"/>
    <cellStyle name="Normal 10 5 4 6" xfId="13382"/>
    <cellStyle name="Normal 10 5 4 6 2" xfId="36241"/>
    <cellStyle name="Normal 10 5 4 7" xfId="23938"/>
    <cellStyle name="Normal 10 5 5" xfId="1958"/>
    <cellStyle name="Normal 10 5 5 2" xfId="5473"/>
    <cellStyle name="Normal 10 5 5 2 2" xfId="17777"/>
    <cellStyle name="Normal 10 5 5 2 2 2" xfId="40636"/>
    <cellStyle name="Normal 10 5 5 2 3" xfId="28334"/>
    <cellStyle name="Normal 10 5 5 3" xfId="8988"/>
    <cellStyle name="Normal 10 5 5 3 2" xfId="21292"/>
    <cellStyle name="Normal 10 5 5 3 2 2" xfId="44151"/>
    <cellStyle name="Normal 10 5 5 3 3" xfId="31849"/>
    <cellStyle name="Normal 10 5 5 4" xfId="14262"/>
    <cellStyle name="Normal 10 5 5 4 2" xfId="37121"/>
    <cellStyle name="Normal 10 5 5 5" xfId="24819"/>
    <cellStyle name="Normal 10 5 6" xfId="3715"/>
    <cellStyle name="Normal 10 5 6 2" xfId="16019"/>
    <cellStyle name="Normal 10 5 6 2 2" xfId="38878"/>
    <cellStyle name="Normal 10 5 6 3" xfId="26576"/>
    <cellStyle name="Normal 10 5 7" xfId="7230"/>
    <cellStyle name="Normal 10 5 7 2" xfId="19534"/>
    <cellStyle name="Normal 10 5 7 2 2" xfId="42393"/>
    <cellStyle name="Normal 10 5 7 3" xfId="30091"/>
    <cellStyle name="Normal 10 5 8" xfId="10745"/>
    <cellStyle name="Normal 10 5 8 2" xfId="33605"/>
    <cellStyle name="Normal 10 5 9" xfId="12504"/>
    <cellStyle name="Normal 10 5 9 2" xfId="35363"/>
    <cellStyle name="Normal 10 6" xfId="300"/>
    <cellStyle name="Normal 10 6 2" xfId="741"/>
    <cellStyle name="Normal 10 6 2 2" xfId="1620"/>
    <cellStyle name="Normal 10 6 2 2 2" xfId="3381"/>
    <cellStyle name="Normal 10 6 2 2 2 2" xfId="6896"/>
    <cellStyle name="Normal 10 6 2 2 2 2 2" xfId="19200"/>
    <cellStyle name="Normal 10 6 2 2 2 2 2 2" xfId="42059"/>
    <cellStyle name="Normal 10 6 2 2 2 2 3" xfId="29757"/>
    <cellStyle name="Normal 10 6 2 2 2 3" xfId="10411"/>
    <cellStyle name="Normal 10 6 2 2 2 3 2" xfId="22715"/>
    <cellStyle name="Normal 10 6 2 2 2 3 2 2" xfId="45574"/>
    <cellStyle name="Normal 10 6 2 2 2 3 3" xfId="33272"/>
    <cellStyle name="Normal 10 6 2 2 2 4" xfId="15685"/>
    <cellStyle name="Normal 10 6 2 2 2 4 2" xfId="38544"/>
    <cellStyle name="Normal 10 6 2 2 2 5" xfId="26242"/>
    <cellStyle name="Normal 10 6 2 2 3" xfId="5138"/>
    <cellStyle name="Normal 10 6 2 2 3 2" xfId="17442"/>
    <cellStyle name="Normal 10 6 2 2 3 2 2" xfId="40301"/>
    <cellStyle name="Normal 10 6 2 2 3 3" xfId="27999"/>
    <cellStyle name="Normal 10 6 2 2 4" xfId="8653"/>
    <cellStyle name="Normal 10 6 2 2 4 2" xfId="20957"/>
    <cellStyle name="Normal 10 6 2 2 4 2 2" xfId="43816"/>
    <cellStyle name="Normal 10 6 2 2 4 3" xfId="31514"/>
    <cellStyle name="Normal 10 6 2 2 5" xfId="12168"/>
    <cellStyle name="Normal 10 6 2 2 5 2" xfId="35028"/>
    <cellStyle name="Normal 10 6 2 2 6" xfId="13927"/>
    <cellStyle name="Normal 10 6 2 2 6 2" xfId="36786"/>
    <cellStyle name="Normal 10 6 2 2 7" xfId="24483"/>
    <cellStyle name="Normal 10 6 2 3" xfId="2503"/>
    <cellStyle name="Normal 10 6 2 3 2" xfId="6018"/>
    <cellStyle name="Normal 10 6 2 3 2 2" xfId="18322"/>
    <cellStyle name="Normal 10 6 2 3 2 2 2" xfId="41181"/>
    <cellStyle name="Normal 10 6 2 3 2 3" xfId="28879"/>
    <cellStyle name="Normal 10 6 2 3 3" xfId="9533"/>
    <cellStyle name="Normal 10 6 2 3 3 2" xfId="21837"/>
    <cellStyle name="Normal 10 6 2 3 3 2 2" xfId="44696"/>
    <cellStyle name="Normal 10 6 2 3 3 3" xfId="32394"/>
    <cellStyle name="Normal 10 6 2 3 4" xfId="14807"/>
    <cellStyle name="Normal 10 6 2 3 4 2" xfId="37666"/>
    <cellStyle name="Normal 10 6 2 3 5" xfId="25364"/>
    <cellStyle name="Normal 10 6 2 4" xfId="4260"/>
    <cellStyle name="Normal 10 6 2 4 2" xfId="16564"/>
    <cellStyle name="Normal 10 6 2 4 2 2" xfId="39423"/>
    <cellStyle name="Normal 10 6 2 4 3" xfId="27121"/>
    <cellStyle name="Normal 10 6 2 5" xfId="7775"/>
    <cellStyle name="Normal 10 6 2 5 2" xfId="20079"/>
    <cellStyle name="Normal 10 6 2 5 2 2" xfId="42938"/>
    <cellStyle name="Normal 10 6 2 5 3" xfId="30636"/>
    <cellStyle name="Normal 10 6 2 6" xfId="11290"/>
    <cellStyle name="Normal 10 6 2 6 2" xfId="34150"/>
    <cellStyle name="Normal 10 6 2 7" xfId="13049"/>
    <cellStyle name="Normal 10 6 2 7 2" xfId="35908"/>
    <cellStyle name="Normal 10 6 2 8" xfId="23605"/>
    <cellStyle name="Normal 10 6 3" xfId="1181"/>
    <cellStyle name="Normal 10 6 3 2" xfId="2942"/>
    <cellStyle name="Normal 10 6 3 2 2" xfId="6457"/>
    <cellStyle name="Normal 10 6 3 2 2 2" xfId="18761"/>
    <cellStyle name="Normal 10 6 3 2 2 2 2" xfId="41620"/>
    <cellStyle name="Normal 10 6 3 2 2 3" xfId="29318"/>
    <cellStyle name="Normal 10 6 3 2 3" xfId="9972"/>
    <cellStyle name="Normal 10 6 3 2 3 2" xfId="22276"/>
    <cellStyle name="Normal 10 6 3 2 3 2 2" xfId="45135"/>
    <cellStyle name="Normal 10 6 3 2 3 3" xfId="32833"/>
    <cellStyle name="Normal 10 6 3 2 4" xfId="15246"/>
    <cellStyle name="Normal 10 6 3 2 4 2" xfId="38105"/>
    <cellStyle name="Normal 10 6 3 2 5" xfId="25803"/>
    <cellStyle name="Normal 10 6 3 3" xfId="4699"/>
    <cellStyle name="Normal 10 6 3 3 2" xfId="17003"/>
    <cellStyle name="Normal 10 6 3 3 2 2" xfId="39862"/>
    <cellStyle name="Normal 10 6 3 3 3" xfId="27560"/>
    <cellStyle name="Normal 10 6 3 4" xfId="8214"/>
    <cellStyle name="Normal 10 6 3 4 2" xfId="20518"/>
    <cellStyle name="Normal 10 6 3 4 2 2" xfId="43377"/>
    <cellStyle name="Normal 10 6 3 4 3" xfId="31075"/>
    <cellStyle name="Normal 10 6 3 5" xfId="11729"/>
    <cellStyle name="Normal 10 6 3 5 2" xfId="34589"/>
    <cellStyle name="Normal 10 6 3 6" xfId="13488"/>
    <cellStyle name="Normal 10 6 3 6 2" xfId="36347"/>
    <cellStyle name="Normal 10 6 3 7" xfId="24044"/>
    <cellStyle name="Normal 10 6 4" xfId="2064"/>
    <cellStyle name="Normal 10 6 4 2" xfId="5579"/>
    <cellStyle name="Normal 10 6 4 2 2" xfId="17883"/>
    <cellStyle name="Normal 10 6 4 2 2 2" xfId="40742"/>
    <cellStyle name="Normal 10 6 4 2 3" xfId="28440"/>
    <cellStyle name="Normal 10 6 4 3" xfId="9094"/>
    <cellStyle name="Normal 10 6 4 3 2" xfId="21398"/>
    <cellStyle name="Normal 10 6 4 3 2 2" xfId="44257"/>
    <cellStyle name="Normal 10 6 4 3 3" xfId="31955"/>
    <cellStyle name="Normal 10 6 4 4" xfId="14368"/>
    <cellStyle name="Normal 10 6 4 4 2" xfId="37227"/>
    <cellStyle name="Normal 10 6 4 5" xfId="24925"/>
    <cellStyle name="Normal 10 6 5" xfId="3821"/>
    <cellStyle name="Normal 10 6 5 2" xfId="16125"/>
    <cellStyle name="Normal 10 6 5 2 2" xfId="38984"/>
    <cellStyle name="Normal 10 6 5 3" xfId="26682"/>
    <cellStyle name="Normal 10 6 6" xfId="7336"/>
    <cellStyle name="Normal 10 6 6 2" xfId="19640"/>
    <cellStyle name="Normal 10 6 6 2 2" xfId="42499"/>
    <cellStyle name="Normal 10 6 6 3" xfId="30197"/>
    <cellStyle name="Normal 10 6 7" xfId="10851"/>
    <cellStyle name="Normal 10 6 7 2" xfId="33711"/>
    <cellStyle name="Normal 10 6 8" xfId="12610"/>
    <cellStyle name="Normal 10 6 8 2" xfId="35469"/>
    <cellStyle name="Normal 10 6 9" xfId="23165"/>
    <cellStyle name="Normal 10 7" xfId="541"/>
    <cellStyle name="Normal 10 7 2" xfId="1420"/>
    <cellStyle name="Normal 10 7 2 2" xfId="3181"/>
    <cellStyle name="Normal 10 7 2 2 2" xfId="6696"/>
    <cellStyle name="Normal 10 7 2 2 2 2" xfId="19000"/>
    <cellStyle name="Normal 10 7 2 2 2 2 2" xfId="41859"/>
    <cellStyle name="Normal 10 7 2 2 2 3" xfId="29557"/>
    <cellStyle name="Normal 10 7 2 2 3" xfId="10211"/>
    <cellStyle name="Normal 10 7 2 2 3 2" xfId="22515"/>
    <cellStyle name="Normal 10 7 2 2 3 2 2" xfId="45374"/>
    <cellStyle name="Normal 10 7 2 2 3 3" xfId="33072"/>
    <cellStyle name="Normal 10 7 2 2 4" xfId="15485"/>
    <cellStyle name="Normal 10 7 2 2 4 2" xfId="38344"/>
    <cellStyle name="Normal 10 7 2 2 5" xfId="26042"/>
    <cellStyle name="Normal 10 7 2 3" xfId="4938"/>
    <cellStyle name="Normal 10 7 2 3 2" xfId="17242"/>
    <cellStyle name="Normal 10 7 2 3 2 2" xfId="40101"/>
    <cellStyle name="Normal 10 7 2 3 3" xfId="27799"/>
    <cellStyle name="Normal 10 7 2 4" xfId="8453"/>
    <cellStyle name="Normal 10 7 2 4 2" xfId="20757"/>
    <cellStyle name="Normal 10 7 2 4 2 2" xfId="43616"/>
    <cellStyle name="Normal 10 7 2 4 3" xfId="31314"/>
    <cellStyle name="Normal 10 7 2 5" xfId="11968"/>
    <cellStyle name="Normal 10 7 2 5 2" xfId="34828"/>
    <cellStyle name="Normal 10 7 2 6" xfId="13727"/>
    <cellStyle name="Normal 10 7 2 6 2" xfId="36586"/>
    <cellStyle name="Normal 10 7 2 7" xfId="24283"/>
    <cellStyle name="Normal 10 7 3" xfId="2303"/>
    <cellStyle name="Normal 10 7 3 2" xfId="5818"/>
    <cellStyle name="Normal 10 7 3 2 2" xfId="18122"/>
    <cellStyle name="Normal 10 7 3 2 2 2" xfId="40981"/>
    <cellStyle name="Normal 10 7 3 2 3" xfId="28679"/>
    <cellStyle name="Normal 10 7 3 3" xfId="9333"/>
    <cellStyle name="Normal 10 7 3 3 2" xfId="21637"/>
    <cellStyle name="Normal 10 7 3 3 2 2" xfId="44496"/>
    <cellStyle name="Normal 10 7 3 3 3" xfId="32194"/>
    <cellStyle name="Normal 10 7 3 4" xfId="14607"/>
    <cellStyle name="Normal 10 7 3 4 2" xfId="37466"/>
    <cellStyle name="Normal 10 7 3 5" xfId="25164"/>
    <cellStyle name="Normal 10 7 4" xfId="4060"/>
    <cellStyle name="Normal 10 7 4 2" xfId="16364"/>
    <cellStyle name="Normal 10 7 4 2 2" xfId="39223"/>
    <cellStyle name="Normal 10 7 4 3" xfId="26921"/>
    <cellStyle name="Normal 10 7 5" xfId="7575"/>
    <cellStyle name="Normal 10 7 5 2" xfId="19879"/>
    <cellStyle name="Normal 10 7 5 2 2" xfId="42738"/>
    <cellStyle name="Normal 10 7 5 3" xfId="30436"/>
    <cellStyle name="Normal 10 7 6" xfId="11090"/>
    <cellStyle name="Normal 10 7 6 2" xfId="33950"/>
    <cellStyle name="Normal 10 7 7" xfId="12849"/>
    <cellStyle name="Normal 10 7 7 2" xfId="35708"/>
    <cellStyle name="Normal 10 7 8" xfId="23405"/>
    <cellStyle name="Normal 10 8" xfId="969"/>
    <cellStyle name="Normal 10 8 2" xfId="2730"/>
    <cellStyle name="Normal 10 8 2 2" xfId="6245"/>
    <cellStyle name="Normal 10 8 2 2 2" xfId="18549"/>
    <cellStyle name="Normal 10 8 2 2 2 2" xfId="41408"/>
    <cellStyle name="Normal 10 8 2 2 3" xfId="29106"/>
    <cellStyle name="Normal 10 8 2 3" xfId="9760"/>
    <cellStyle name="Normal 10 8 2 3 2" xfId="22064"/>
    <cellStyle name="Normal 10 8 2 3 2 2" xfId="44923"/>
    <cellStyle name="Normal 10 8 2 3 3" xfId="32621"/>
    <cellStyle name="Normal 10 8 2 4" xfId="15034"/>
    <cellStyle name="Normal 10 8 2 4 2" xfId="37893"/>
    <cellStyle name="Normal 10 8 2 5" xfId="25591"/>
    <cellStyle name="Normal 10 8 3" xfId="4487"/>
    <cellStyle name="Normal 10 8 3 2" xfId="16791"/>
    <cellStyle name="Normal 10 8 3 2 2" xfId="39650"/>
    <cellStyle name="Normal 10 8 3 3" xfId="27348"/>
    <cellStyle name="Normal 10 8 4" xfId="8002"/>
    <cellStyle name="Normal 10 8 4 2" xfId="20306"/>
    <cellStyle name="Normal 10 8 4 2 2" xfId="43165"/>
    <cellStyle name="Normal 10 8 4 3" xfId="30863"/>
    <cellStyle name="Normal 10 8 5" xfId="11517"/>
    <cellStyle name="Normal 10 8 5 2" xfId="34377"/>
    <cellStyle name="Normal 10 8 6" xfId="13276"/>
    <cellStyle name="Normal 10 8 6 2" xfId="36135"/>
    <cellStyle name="Normal 10 8 7" xfId="23832"/>
    <cellStyle name="Normal 10 9" xfId="1864"/>
    <cellStyle name="Normal 10 9 2" xfId="5379"/>
    <cellStyle name="Normal 10 9 2 2" xfId="17683"/>
    <cellStyle name="Normal 10 9 2 2 2" xfId="40542"/>
    <cellStyle name="Normal 10 9 2 3" xfId="28240"/>
    <cellStyle name="Normal 10 9 3" xfId="8894"/>
    <cellStyle name="Normal 10 9 3 2" xfId="21198"/>
    <cellStyle name="Normal 10 9 3 2 2" xfId="44057"/>
    <cellStyle name="Normal 10 9 3 3" xfId="31755"/>
    <cellStyle name="Normal 10 9 4" xfId="14168"/>
    <cellStyle name="Normal 10 9 4 2" xfId="37027"/>
    <cellStyle name="Normal 10 9 5" xfId="24725"/>
    <cellStyle name="Normal 11" xfId="98"/>
    <cellStyle name="Normal 11 10" xfId="7138"/>
    <cellStyle name="Normal 11 10 2" xfId="19442"/>
    <cellStyle name="Normal 11 10 2 2" xfId="42301"/>
    <cellStyle name="Normal 11 10 3" xfId="29999"/>
    <cellStyle name="Normal 11 11" xfId="10653"/>
    <cellStyle name="Normal 11 11 2" xfId="33513"/>
    <cellStyle name="Normal 11 12" xfId="12412"/>
    <cellStyle name="Normal 11 12 2" xfId="35271"/>
    <cellStyle name="Normal 11 13" xfId="22941"/>
    <cellStyle name="Normal 11 14" xfId="22965"/>
    <cellStyle name="Normal 11 2" xfId="126"/>
    <cellStyle name="Normal 11 2 10" xfId="10679"/>
    <cellStyle name="Normal 11 2 10 2" xfId="33539"/>
    <cellStyle name="Normal 11 2 11" xfId="12438"/>
    <cellStyle name="Normal 11 2 11 2" xfId="35297"/>
    <cellStyle name="Normal 11 2 12" xfId="22992"/>
    <cellStyle name="Normal 11 2 2" xfId="180"/>
    <cellStyle name="Normal 11 2 2 10" xfId="12492"/>
    <cellStyle name="Normal 11 2 2 10 2" xfId="35351"/>
    <cellStyle name="Normal 11 2 2 11" xfId="23046"/>
    <cellStyle name="Normal 11 2 2 2" xfId="288"/>
    <cellStyle name="Normal 11 2 2 2 10" xfId="23153"/>
    <cellStyle name="Normal 11 2 2 2 2" xfId="500"/>
    <cellStyle name="Normal 11 2 2 2 2 2" xfId="941"/>
    <cellStyle name="Normal 11 2 2 2 2 2 2" xfId="1820"/>
    <cellStyle name="Normal 11 2 2 2 2 2 2 2" xfId="3581"/>
    <cellStyle name="Normal 11 2 2 2 2 2 2 2 2" xfId="7096"/>
    <cellStyle name="Normal 11 2 2 2 2 2 2 2 2 2" xfId="19400"/>
    <cellStyle name="Normal 11 2 2 2 2 2 2 2 2 2 2" xfId="42259"/>
    <cellStyle name="Normal 11 2 2 2 2 2 2 2 2 3" xfId="29957"/>
    <cellStyle name="Normal 11 2 2 2 2 2 2 2 3" xfId="10611"/>
    <cellStyle name="Normal 11 2 2 2 2 2 2 2 3 2" xfId="22915"/>
    <cellStyle name="Normal 11 2 2 2 2 2 2 2 3 2 2" xfId="45774"/>
    <cellStyle name="Normal 11 2 2 2 2 2 2 2 3 3" xfId="33472"/>
    <cellStyle name="Normal 11 2 2 2 2 2 2 2 4" xfId="15885"/>
    <cellStyle name="Normal 11 2 2 2 2 2 2 2 4 2" xfId="38744"/>
    <cellStyle name="Normal 11 2 2 2 2 2 2 2 5" xfId="26442"/>
    <cellStyle name="Normal 11 2 2 2 2 2 2 3" xfId="5338"/>
    <cellStyle name="Normal 11 2 2 2 2 2 2 3 2" xfId="17642"/>
    <cellStyle name="Normal 11 2 2 2 2 2 2 3 2 2" xfId="40501"/>
    <cellStyle name="Normal 11 2 2 2 2 2 2 3 3" xfId="28199"/>
    <cellStyle name="Normal 11 2 2 2 2 2 2 4" xfId="8853"/>
    <cellStyle name="Normal 11 2 2 2 2 2 2 4 2" xfId="21157"/>
    <cellStyle name="Normal 11 2 2 2 2 2 2 4 2 2" xfId="44016"/>
    <cellStyle name="Normal 11 2 2 2 2 2 2 4 3" xfId="31714"/>
    <cellStyle name="Normal 11 2 2 2 2 2 2 5" xfId="12368"/>
    <cellStyle name="Normal 11 2 2 2 2 2 2 5 2" xfId="35228"/>
    <cellStyle name="Normal 11 2 2 2 2 2 2 6" xfId="14127"/>
    <cellStyle name="Normal 11 2 2 2 2 2 2 6 2" xfId="36986"/>
    <cellStyle name="Normal 11 2 2 2 2 2 2 7" xfId="24683"/>
    <cellStyle name="Normal 11 2 2 2 2 2 3" xfId="2703"/>
    <cellStyle name="Normal 11 2 2 2 2 2 3 2" xfId="6218"/>
    <cellStyle name="Normal 11 2 2 2 2 2 3 2 2" xfId="18522"/>
    <cellStyle name="Normal 11 2 2 2 2 2 3 2 2 2" xfId="41381"/>
    <cellStyle name="Normal 11 2 2 2 2 2 3 2 3" xfId="29079"/>
    <cellStyle name="Normal 11 2 2 2 2 2 3 3" xfId="9733"/>
    <cellStyle name="Normal 11 2 2 2 2 2 3 3 2" xfId="22037"/>
    <cellStyle name="Normal 11 2 2 2 2 2 3 3 2 2" xfId="44896"/>
    <cellStyle name="Normal 11 2 2 2 2 2 3 3 3" xfId="32594"/>
    <cellStyle name="Normal 11 2 2 2 2 2 3 4" xfId="15007"/>
    <cellStyle name="Normal 11 2 2 2 2 2 3 4 2" xfId="37866"/>
    <cellStyle name="Normal 11 2 2 2 2 2 3 5" xfId="25564"/>
    <cellStyle name="Normal 11 2 2 2 2 2 4" xfId="4460"/>
    <cellStyle name="Normal 11 2 2 2 2 2 4 2" xfId="16764"/>
    <cellStyle name="Normal 11 2 2 2 2 2 4 2 2" xfId="39623"/>
    <cellStyle name="Normal 11 2 2 2 2 2 4 3" xfId="27321"/>
    <cellStyle name="Normal 11 2 2 2 2 2 5" xfId="7975"/>
    <cellStyle name="Normal 11 2 2 2 2 2 5 2" xfId="20279"/>
    <cellStyle name="Normal 11 2 2 2 2 2 5 2 2" xfId="43138"/>
    <cellStyle name="Normal 11 2 2 2 2 2 5 3" xfId="30836"/>
    <cellStyle name="Normal 11 2 2 2 2 2 6" xfId="11490"/>
    <cellStyle name="Normal 11 2 2 2 2 2 6 2" xfId="34350"/>
    <cellStyle name="Normal 11 2 2 2 2 2 7" xfId="13249"/>
    <cellStyle name="Normal 11 2 2 2 2 2 7 2" xfId="36108"/>
    <cellStyle name="Normal 11 2 2 2 2 2 8" xfId="23805"/>
    <cellStyle name="Normal 11 2 2 2 2 3" xfId="1381"/>
    <cellStyle name="Normal 11 2 2 2 2 3 2" xfId="3142"/>
    <cellStyle name="Normal 11 2 2 2 2 3 2 2" xfId="6657"/>
    <cellStyle name="Normal 11 2 2 2 2 3 2 2 2" xfId="18961"/>
    <cellStyle name="Normal 11 2 2 2 2 3 2 2 2 2" xfId="41820"/>
    <cellStyle name="Normal 11 2 2 2 2 3 2 2 3" xfId="29518"/>
    <cellStyle name="Normal 11 2 2 2 2 3 2 3" xfId="10172"/>
    <cellStyle name="Normal 11 2 2 2 2 3 2 3 2" xfId="22476"/>
    <cellStyle name="Normal 11 2 2 2 2 3 2 3 2 2" xfId="45335"/>
    <cellStyle name="Normal 11 2 2 2 2 3 2 3 3" xfId="33033"/>
    <cellStyle name="Normal 11 2 2 2 2 3 2 4" xfId="15446"/>
    <cellStyle name="Normal 11 2 2 2 2 3 2 4 2" xfId="38305"/>
    <cellStyle name="Normal 11 2 2 2 2 3 2 5" xfId="26003"/>
    <cellStyle name="Normal 11 2 2 2 2 3 3" xfId="4899"/>
    <cellStyle name="Normal 11 2 2 2 2 3 3 2" xfId="17203"/>
    <cellStyle name="Normal 11 2 2 2 2 3 3 2 2" xfId="40062"/>
    <cellStyle name="Normal 11 2 2 2 2 3 3 3" xfId="27760"/>
    <cellStyle name="Normal 11 2 2 2 2 3 4" xfId="8414"/>
    <cellStyle name="Normal 11 2 2 2 2 3 4 2" xfId="20718"/>
    <cellStyle name="Normal 11 2 2 2 2 3 4 2 2" xfId="43577"/>
    <cellStyle name="Normal 11 2 2 2 2 3 4 3" xfId="31275"/>
    <cellStyle name="Normal 11 2 2 2 2 3 5" xfId="11929"/>
    <cellStyle name="Normal 11 2 2 2 2 3 5 2" xfId="34789"/>
    <cellStyle name="Normal 11 2 2 2 2 3 6" xfId="13688"/>
    <cellStyle name="Normal 11 2 2 2 2 3 6 2" xfId="36547"/>
    <cellStyle name="Normal 11 2 2 2 2 3 7" xfId="24244"/>
    <cellStyle name="Normal 11 2 2 2 2 4" xfId="2264"/>
    <cellStyle name="Normal 11 2 2 2 2 4 2" xfId="5779"/>
    <cellStyle name="Normal 11 2 2 2 2 4 2 2" xfId="18083"/>
    <cellStyle name="Normal 11 2 2 2 2 4 2 2 2" xfId="40942"/>
    <cellStyle name="Normal 11 2 2 2 2 4 2 3" xfId="28640"/>
    <cellStyle name="Normal 11 2 2 2 2 4 3" xfId="9294"/>
    <cellStyle name="Normal 11 2 2 2 2 4 3 2" xfId="21598"/>
    <cellStyle name="Normal 11 2 2 2 2 4 3 2 2" xfId="44457"/>
    <cellStyle name="Normal 11 2 2 2 2 4 3 3" xfId="32155"/>
    <cellStyle name="Normal 11 2 2 2 2 4 4" xfId="14568"/>
    <cellStyle name="Normal 11 2 2 2 2 4 4 2" xfId="37427"/>
    <cellStyle name="Normal 11 2 2 2 2 4 5" xfId="25125"/>
    <cellStyle name="Normal 11 2 2 2 2 5" xfId="4021"/>
    <cellStyle name="Normal 11 2 2 2 2 5 2" xfId="16325"/>
    <cellStyle name="Normal 11 2 2 2 2 5 2 2" xfId="39184"/>
    <cellStyle name="Normal 11 2 2 2 2 5 3" xfId="26882"/>
    <cellStyle name="Normal 11 2 2 2 2 6" xfId="7536"/>
    <cellStyle name="Normal 11 2 2 2 2 6 2" xfId="19840"/>
    <cellStyle name="Normal 11 2 2 2 2 6 2 2" xfId="42699"/>
    <cellStyle name="Normal 11 2 2 2 2 6 3" xfId="30397"/>
    <cellStyle name="Normal 11 2 2 2 2 7" xfId="11051"/>
    <cellStyle name="Normal 11 2 2 2 2 7 2" xfId="33911"/>
    <cellStyle name="Normal 11 2 2 2 2 8" xfId="12810"/>
    <cellStyle name="Normal 11 2 2 2 2 8 2" xfId="35669"/>
    <cellStyle name="Normal 11 2 2 2 2 9" xfId="23365"/>
    <cellStyle name="Normal 11 2 2 2 3" xfId="729"/>
    <cellStyle name="Normal 11 2 2 2 3 2" xfId="1608"/>
    <cellStyle name="Normal 11 2 2 2 3 2 2" xfId="3369"/>
    <cellStyle name="Normal 11 2 2 2 3 2 2 2" xfId="6884"/>
    <cellStyle name="Normal 11 2 2 2 3 2 2 2 2" xfId="19188"/>
    <cellStyle name="Normal 11 2 2 2 3 2 2 2 2 2" xfId="42047"/>
    <cellStyle name="Normal 11 2 2 2 3 2 2 2 3" xfId="29745"/>
    <cellStyle name="Normal 11 2 2 2 3 2 2 3" xfId="10399"/>
    <cellStyle name="Normal 11 2 2 2 3 2 2 3 2" xfId="22703"/>
    <cellStyle name="Normal 11 2 2 2 3 2 2 3 2 2" xfId="45562"/>
    <cellStyle name="Normal 11 2 2 2 3 2 2 3 3" xfId="33260"/>
    <cellStyle name="Normal 11 2 2 2 3 2 2 4" xfId="15673"/>
    <cellStyle name="Normal 11 2 2 2 3 2 2 4 2" xfId="38532"/>
    <cellStyle name="Normal 11 2 2 2 3 2 2 5" xfId="26230"/>
    <cellStyle name="Normal 11 2 2 2 3 2 3" xfId="5126"/>
    <cellStyle name="Normal 11 2 2 2 3 2 3 2" xfId="17430"/>
    <cellStyle name="Normal 11 2 2 2 3 2 3 2 2" xfId="40289"/>
    <cellStyle name="Normal 11 2 2 2 3 2 3 3" xfId="27987"/>
    <cellStyle name="Normal 11 2 2 2 3 2 4" xfId="8641"/>
    <cellStyle name="Normal 11 2 2 2 3 2 4 2" xfId="20945"/>
    <cellStyle name="Normal 11 2 2 2 3 2 4 2 2" xfId="43804"/>
    <cellStyle name="Normal 11 2 2 2 3 2 4 3" xfId="31502"/>
    <cellStyle name="Normal 11 2 2 2 3 2 5" xfId="12156"/>
    <cellStyle name="Normal 11 2 2 2 3 2 5 2" xfId="35016"/>
    <cellStyle name="Normal 11 2 2 2 3 2 6" xfId="13915"/>
    <cellStyle name="Normal 11 2 2 2 3 2 6 2" xfId="36774"/>
    <cellStyle name="Normal 11 2 2 2 3 2 7" xfId="24471"/>
    <cellStyle name="Normal 11 2 2 2 3 3" xfId="2491"/>
    <cellStyle name="Normal 11 2 2 2 3 3 2" xfId="6006"/>
    <cellStyle name="Normal 11 2 2 2 3 3 2 2" xfId="18310"/>
    <cellStyle name="Normal 11 2 2 2 3 3 2 2 2" xfId="41169"/>
    <cellStyle name="Normal 11 2 2 2 3 3 2 3" xfId="28867"/>
    <cellStyle name="Normal 11 2 2 2 3 3 3" xfId="9521"/>
    <cellStyle name="Normal 11 2 2 2 3 3 3 2" xfId="21825"/>
    <cellStyle name="Normal 11 2 2 2 3 3 3 2 2" xfId="44684"/>
    <cellStyle name="Normal 11 2 2 2 3 3 3 3" xfId="32382"/>
    <cellStyle name="Normal 11 2 2 2 3 3 4" xfId="14795"/>
    <cellStyle name="Normal 11 2 2 2 3 3 4 2" xfId="37654"/>
    <cellStyle name="Normal 11 2 2 2 3 3 5" xfId="25352"/>
    <cellStyle name="Normal 11 2 2 2 3 4" xfId="4248"/>
    <cellStyle name="Normal 11 2 2 2 3 4 2" xfId="16552"/>
    <cellStyle name="Normal 11 2 2 2 3 4 2 2" xfId="39411"/>
    <cellStyle name="Normal 11 2 2 2 3 4 3" xfId="27109"/>
    <cellStyle name="Normal 11 2 2 2 3 5" xfId="7763"/>
    <cellStyle name="Normal 11 2 2 2 3 5 2" xfId="20067"/>
    <cellStyle name="Normal 11 2 2 2 3 5 2 2" xfId="42926"/>
    <cellStyle name="Normal 11 2 2 2 3 5 3" xfId="30624"/>
    <cellStyle name="Normal 11 2 2 2 3 6" xfId="11278"/>
    <cellStyle name="Normal 11 2 2 2 3 6 2" xfId="34138"/>
    <cellStyle name="Normal 11 2 2 2 3 7" xfId="13037"/>
    <cellStyle name="Normal 11 2 2 2 3 7 2" xfId="35896"/>
    <cellStyle name="Normal 11 2 2 2 3 8" xfId="23593"/>
    <cellStyle name="Normal 11 2 2 2 4" xfId="1169"/>
    <cellStyle name="Normal 11 2 2 2 4 2" xfId="2930"/>
    <cellStyle name="Normal 11 2 2 2 4 2 2" xfId="6445"/>
    <cellStyle name="Normal 11 2 2 2 4 2 2 2" xfId="18749"/>
    <cellStyle name="Normal 11 2 2 2 4 2 2 2 2" xfId="41608"/>
    <cellStyle name="Normal 11 2 2 2 4 2 2 3" xfId="29306"/>
    <cellStyle name="Normal 11 2 2 2 4 2 3" xfId="9960"/>
    <cellStyle name="Normal 11 2 2 2 4 2 3 2" xfId="22264"/>
    <cellStyle name="Normal 11 2 2 2 4 2 3 2 2" xfId="45123"/>
    <cellStyle name="Normal 11 2 2 2 4 2 3 3" xfId="32821"/>
    <cellStyle name="Normal 11 2 2 2 4 2 4" xfId="15234"/>
    <cellStyle name="Normal 11 2 2 2 4 2 4 2" xfId="38093"/>
    <cellStyle name="Normal 11 2 2 2 4 2 5" xfId="25791"/>
    <cellStyle name="Normal 11 2 2 2 4 3" xfId="4687"/>
    <cellStyle name="Normal 11 2 2 2 4 3 2" xfId="16991"/>
    <cellStyle name="Normal 11 2 2 2 4 3 2 2" xfId="39850"/>
    <cellStyle name="Normal 11 2 2 2 4 3 3" xfId="27548"/>
    <cellStyle name="Normal 11 2 2 2 4 4" xfId="8202"/>
    <cellStyle name="Normal 11 2 2 2 4 4 2" xfId="20506"/>
    <cellStyle name="Normal 11 2 2 2 4 4 2 2" xfId="43365"/>
    <cellStyle name="Normal 11 2 2 2 4 4 3" xfId="31063"/>
    <cellStyle name="Normal 11 2 2 2 4 5" xfId="11717"/>
    <cellStyle name="Normal 11 2 2 2 4 5 2" xfId="34577"/>
    <cellStyle name="Normal 11 2 2 2 4 6" xfId="13476"/>
    <cellStyle name="Normal 11 2 2 2 4 6 2" xfId="36335"/>
    <cellStyle name="Normal 11 2 2 2 4 7" xfId="24032"/>
    <cellStyle name="Normal 11 2 2 2 5" xfId="2052"/>
    <cellStyle name="Normal 11 2 2 2 5 2" xfId="5567"/>
    <cellStyle name="Normal 11 2 2 2 5 2 2" xfId="17871"/>
    <cellStyle name="Normal 11 2 2 2 5 2 2 2" xfId="40730"/>
    <cellStyle name="Normal 11 2 2 2 5 2 3" xfId="28428"/>
    <cellStyle name="Normal 11 2 2 2 5 3" xfId="9082"/>
    <cellStyle name="Normal 11 2 2 2 5 3 2" xfId="21386"/>
    <cellStyle name="Normal 11 2 2 2 5 3 2 2" xfId="44245"/>
    <cellStyle name="Normal 11 2 2 2 5 3 3" xfId="31943"/>
    <cellStyle name="Normal 11 2 2 2 5 4" xfId="14356"/>
    <cellStyle name="Normal 11 2 2 2 5 4 2" xfId="37215"/>
    <cellStyle name="Normal 11 2 2 2 5 5" xfId="24913"/>
    <cellStyle name="Normal 11 2 2 2 6" xfId="3809"/>
    <cellStyle name="Normal 11 2 2 2 6 2" xfId="16113"/>
    <cellStyle name="Normal 11 2 2 2 6 2 2" xfId="38972"/>
    <cellStyle name="Normal 11 2 2 2 6 3" xfId="26670"/>
    <cellStyle name="Normal 11 2 2 2 7" xfId="7324"/>
    <cellStyle name="Normal 11 2 2 2 7 2" xfId="19628"/>
    <cellStyle name="Normal 11 2 2 2 7 2 2" xfId="42487"/>
    <cellStyle name="Normal 11 2 2 2 7 3" xfId="30185"/>
    <cellStyle name="Normal 11 2 2 2 8" xfId="10839"/>
    <cellStyle name="Normal 11 2 2 2 8 2" xfId="33699"/>
    <cellStyle name="Normal 11 2 2 2 9" xfId="12598"/>
    <cellStyle name="Normal 11 2 2 2 9 2" xfId="35457"/>
    <cellStyle name="Normal 11 2 2 3" xfId="394"/>
    <cellStyle name="Normal 11 2 2 3 2" xfId="835"/>
    <cellStyle name="Normal 11 2 2 3 2 2" xfId="1714"/>
    <cellStyle name="Normal 11 2 2 3 2 2 2" xfId="3475"/>
    <cellStyle name="Normal 11 2 2 3 2 2 2 2" xfId="6990"/>
    <cellStyle name="Normal 11 2 2 3 2 2 2 2 2" xfId="19294"/>
    <cellStyle name="Normal 11 2 2 3 2 2 2 2 2 2" xfId="42153"/>
    <cellStyle name="Normal 11 2 2 3 2 2 2 2 3" xfId="29851"/>
    <cellStyle name="Normal 11 2 2 3 2 2 2 3" xfId="10505"/>
    <cellStyle name="Normal 11 2 2 3 2 2 2 3 2" xfId="22809"/>
    <cellStyle name="Normal 11 2 2 3 2 2 2 3 2 2" xfId="45668"/>
    <cellStyle name="Normal 11 2 2 3 2 2 2 3 3" xfId="33366"/>
    <cellStyle name="Normal 11 2 2 3 2 2 2 4" xfId="15779"/>
    <cellStyle name="Normal 11 2 2 3 2 2 2 4 2" xfId="38638"/>
    <cellStyle name="Normal 11 2 2 3 2 2 2 5" xfId="26336"/>
    <cellStyle name="Normal 11 2 2 3 2 2 3" xfId="5232"/>
    <cellStyle name="Normal 11 2 2 3 2 2 3 2" xfId="17536"/>
    <cellStyle name="Normal 11 2 2 3 2 2 3 2 2" xfId="40395"/>
    <cellStyle name="Normal 11 2 2 3 2 2 3 3" xfId="28093"/>
    <cellStyle name="Normal 11 2 2 3 2 2 4" xfId="8747"/>
    <cellStyle name="Normal 11 2 2 3 2 2 4 2" xfId="21051"/>
    <cellStyle name="Normal 11 2 2 3 2 2 4 2 2" xfId="43910"/>
    <cellStyle name="Normal 11 2 2 3 2 2 4 3" xfId="31608"/>
    <cellStyle name="Normal 11 2 2 3 2 2 5" xfId="12262"/>
    <cellStyle name="Normal 11 2 2 3 2 2 5 2" xfId="35122"/>
    <cellStyle name="Normal 11 2 2 3 2 2 6" xfId="14021"/>
    <cellStyle name="Normal 11 2 2 3 2 2 6 2" xfId="36880"/>
    <cellStyle name="Normal 11 2 2 3 2 2 7" xfId="24577"/>
    <cellStyle name="Normal 11 2 2 3 2 3" xfId="2597"/>
    <cellStyle name="Normal 11 2 2 3 2 3 2" xfId="6112"/>
    <cellStyle name="Normal 11 2 2 3 2 3 2 2" xfId="18416"/>
    <cellStyle name="Normal 11 2 2 3 2 3 2 2 2" xfId="41275"/>
    <cellStyle name="Normal 11 2 2 3 2 3 2 3" xfId="28973"/>
    <cellStyle name="Normal 11 2 2 3 2 3 3" xfId="9627"/>
    <cellStyle name="Normal 11 2 2 3 2 3 3 2" xfId="21931"/>
    <cellStyle name="Normal 11 2 2 3 2 3 3 2 2" xfId="44790"/>
    <cellStyle name="Normal 11 2 2 3 2 3 3 3" xfId="32488"/>
    <cellStyle name="Normal 11 2 2 3 2 3 4" xfId="14901"/>
    <cellStyle name="Normal 11 2 2 3 2 3 4 2" xfId="37760"/>
    <cellStyle name="Normal 11 2 2 3 2 3 5" xfId="25458"/>
    <cellStyle name="Normal 11 2 2 3 2 4" xfId="4354"/>
    <cellStyle name="Normal 11 2 2 3 2 4 2" xfId="16658"/>
    <cellStyle name="Normal 11 2 2 3 2 4 2 2" xfId="39517"/>
    <cellStyle name="Normal 11 2 2 3 2 4 3" xfId="27215"/>
    <cellStyle name="Normal 11 2 2 3 2 5" xfId="7869"/>
    <cellStyle name="Normal 11 2 2 3 2 5 2" xfId="20173"/>
    <cellStyle name="Normal 11 2 2 3 2 5 2 2" xfId="43032"/>
    <cellStyle name="Normal 11 2 2 3 2 5 3" xfId="30730"/>
    <cellStyle name="Normal 11 2 2 3 2 6" xfId="11384"/>
    <cellStyle name="Normal 11 2 2 3 2 6 2" xfId="34244"/>
    <cellStyle name="Normal 11 2 2 3 2 7" xfId="13143"/>
    <cellStyle name="Normal 11 2 2 3 2 7 2" xfId="36002"/>
    <cellStyle name="Normal 11 2 2 3 2 8" xfId="23699"/>
    <cellStyle name="Normal 11 2 2 3 3" xfId="1275"/>
    <cellStyle name="Normal 11 2 2 3 3 2" xfId="3036"/>
    <cellStyle name="Normal 11 2 2 3 3 2 2" xfId="6551"/>
    <cellStyle name="Normal 11 2 2 3 3 2 2 2" xfId="18855"/>
    <cellStyle name="Normal 11 2 2 3 3 2 2 2 2" xfId="41714"/>
    <cellStyle name="Normal 11 2 2 3 3 2 2 3" xfId="29412"/>
    <cellStyle name="Normal 11 2 2 3 3 2 3" xfId="10066"/>
    <cellStyle name="Normal 11 2 2 3 3 2 3 2" xfId="22370"/>
    <cellStyle name="Normal 11 2 2 3 3 2 3 2 2" xfId="45229"/>
    <cellStyle name="Normal 11 2 2 3 3 2 3 3" xfId="32927"/>
    <cellStyle name="Normal 11 2 2 3 3 2 4" xfId="15340"/>
    <cellStyle name="Normal 11 2 2 3 3 2 4 2" xfId="38199"/>
    <cellStyle name="Normal 11 2 2 3 3 2 5" xfId="25897"/>
    <cellStyle name="Normal 11 2 2 3 3 3" xfId="4793"/>
    <cellStyle name="Normal 11 2 2 3 3 3 2" xfId="17097"/>
    <cellStyle name="Normal 11 2 2 3 3 3 2 2" xfId="39956"/>
    <cellStyle name="Normal 11 2 2 3 3 3 3" xfId="27654"/>
    <cellStyle name="Normal 11 2 2 3 3 4" xfId="8308"/>
    <cellStyle name="Normal 11 2 2 3 3 4 2" xfId="20612"/>
    <cellStyle name="Normal 11 2 2 3 3 4 2 2" xfId="43471"/>
    <cellStyle name="Normal 11 2 2 3 3 4 3" xfId="31169"/>
    <cellStyle name="Normal 11 2 2 3 3 5" xfId="11823"/>
    <cellStyle name="Normal 11 2 2 3 3 5 2" xfId="34683"/>
    <cellStyle name="Normal 11 2 2 3 3 6" xfId="13582"/>
    <cellStyle name="Normal 11 2 2 3 3 6 2" xfId="36441"/>
    <cellStyle name="Normal 11 2 2 3 3 7" xfId="24138"/>
    <cellStyle name="Normal 11 2 2 3 4" xfId="2158"/>
    <cellStyle name="Normal 11 2 2 3 4 2" xfId="5673"/>
    <cellStyle name="Normal 11 2 2 3 4 2 2" xfId="17977"/>
    <cellStyle name="Normal 11 2 2 3 4 2 2 2" xfId="40836"/>
    <cellStyle name="Normal 11 2 2 3 4 2 3" xfId="28534"/>
    <cellStyle name="Normal 11 2 2 3 4 3" xfId="9188"/>
    <cellStyle name="Normal 11 2 2 3 4 3 2" xfId="21492"/>
    <cellStyle name="Normal 11 2 2 3 4 3 2 2" xfId="44351"/>
    <cellStyle name="Normal 11 2 2 3 4 3 3" xfId="32049"/>
    <cellStyle name="Normal 11 2 2 3 4 4" xfId="14462"/>
    <cellStyle name="Normal 11 2 2 3 4 4 2" xfId="37321"/>
    <cellStyle name="Normal 11 2 2 3 4 5" xfId="25019"/>
    <cellStyle name="Normal 11 2 2 3 5" xfId="3915"/>
    <cellStyle name="Normal 11 2 2 3 5 2" xfId="16219"/>
    <cellStyle name="Normal 11 2 2 3 5 2 2" xfId="39078"/>
    <cellStyle name="Normal 11 2 2 3 5 3" xfId="26776"/>
    <cellStyle name="Normal 11 2 2 3 6" xfId="7430"/>
    <cellStyle name="Normal 11 2 2 3 6 2" xfId="19734"/>
    <cellStyle name="Normal 11 2 2 3 6 2 2" xfId="42593"/>
    <cellStyle name="Normal 11 2 2 3 6 3" xfId="30291"/>
    <cellStyle name="Normal 11 2 2 3 7" xfId="10945"/>
    <cellStyle name="Normal 11 2 2 3 7 2" xfId="33805"/>
    <cellStyle name="Normal 11 2 2 3 8" xfId="12704"/>
    <cellStyle name="Normal 11 2 2 3 8 2" xfId="35563"/>
    <cellStyle name="Normal 11 2 2 3 9" xfId="23259"/>
    <cellStyle name="Normal 11 2 2 4" xfId="623"/>
    <cellStyle name="Normal 11 2 2 4 2" xfId="1502"/>
    <cellStyle name="Normal 11 2 2 4 2 2" xfId="3263"/>
    <cellStyle name="Normal 11 2 2 4 2 2 2" xfId="6778"/>
    <cellStyle name="Normal 11 2 2 4 2 2 2 2" xfId="19082"/>
    <cellStyle name="Normal 11 2 2 4 2 2 2 2 2" xfId="41941"/>
    <cellStyle name="Normal 11 2 2 4 2 2 2 3" xfId="29639"/>
    <cellStyle name="Normal 11 2 2 4 2 2 3" xfId="10293"/>
    <cellStyle name="Normal 11 2 2 4 2 2 3 2" xfId="22597"/>
    <cellStyle name="Normal 11 2 2 4 2 2 3 2 2" xfId="45456"/>
    <cellStyle name="Normal 11 2 2 4 2 2 3 3" xfId="33154"/>
    <cellStyle name="Normal 11 2 2 4 2 2 4" xfId="15567"/>
    <cellStyle name="Normal 11 2 2 4 2 2 4 2" xfId="38426"/>
    <cellStyle name="Normal 11 2 2 4 2 2 5" xfId="26124"/>
    <cellStyle name="Normal 11 2 2 4 2 3" xfId="5020"/>
    <cellStyle name="Normal 11 2 2 4 2 3 2" xfId="17324"/>
    <cellStyle name="Normal 11 2 2 4 2 3 2 2" xfId="40183"/>
    <cellStyle name="Normal 11 2 2 4 2 3 3" xfId="27881"/>
    <cellStyle name="Normal 11 2 2 4 2 4" xfId="8535"/>
    <cellStyle name="Normal 11 2 2 4 2 4 2" xfId="20839"/>
    <cellStyle name="Normal 11 2 2 4 2 4 2 2" xfId="43698"/>
    <cellStyle name="Normal 11 2 2 4 2 4 3" xfId="31396"/>
    <cellStyle name="Normal 11 2 2 4 2 5" xfId="12050"/>
    <cellStyle name="Normal 11 2 2 4 2 5 2" xfId="34910"/>
    <cellStyle name="Normal 11 2 2 4 2 6" xfId="13809"/>
    <cellStyle name="Normal 11 2 2 4 2 6 2" xfId="36668"/>
    <cellStyle name="Normal 11 2 2 4 2 7" xfId="24365"/>
    <cellStyle name="Normal 11 2 2 4 3" xfId="2385"/>
    <cellStyle name="Normal 11 2 2 4 3 2" xfId="5900"/>
    <cellStyle name="Normal 11 2 2 4 3 2 2" xfId="18204"/>
    <cellStyle name="Normal 11 2 2 4 3 2 2 2" xfId="41063"/>
    <cellStyle name="Normal 11 2 2 4 3 2 3" xfId="28761"/>
    <cellStyle name="Normal 11 2 2 4 3 3" xfId="9415"/>
    <cellStyle name="Normal 11 2 2 4 3 3 2" xfId="21719"/>
    <cellStyle name="Normal 11 2 2 4 3 3 2 2" xfId="44578"/>
    <cellStyle name="Normal 11 2 2 4 3 3 3" xfId="32276"/>
    <cellStyle name="Normal 11 2 2 4 3 4" xfId="14689"/>
    <cellStyle name="Normal 11 2 2 4 3 4 2" xfId="37548"/>
    <cellStyle name="Normal 11 2 2 4 3 5" xfId="25246"/>
    <cellStyle name="Normal 11 2 2 4 4" xfId="4142"/>
    <cellStyle name="Normal 11 2 2 4 4 2" xfId="16446"/>
    <cellStyle name="Normal 11 2 2 4 4 2 2" xfId="39305"/>
    <cellStyle name="Normal 11 2 2 4 4 3" xfId="27003"/>
    <cellStyle name="Normal 11 2 2 4 5" xfId="7657"/>
    <cellStyle name="Normal 11 2 2 4 5 2" xfId="19961"/>
    <cellStyle name="Normal 11 2 2 4 5 2 2" xfId="42820"/>
    <cellStyle name="Normal 11 2 2 4 5 3" xfId="30518"/>
    <cellStyle name="Normal 11 2 2 4 6" xfId="11172"/>
    <cellStyle name="Normal 11 2 2 4 6 2" xfId="34032"/>
    <cellStyle name="Normal 11 2 2 4 7" xfId="12931"/>
    <cellStyle name="Normal 11 2 2 4 7 2" xfId="35790"/>
    <cellStyle name="Normal 11 2 2 4 8" xfId="23487"/>
    <cellStyle name="Normal 11 2 2 5" xfId="1063"/>
    <cellStyle name="Normal 11 2 2 5 2" xfId="2824"/>
    <cellStyle name="Normal 11 2 2 5 2 2" xfId="6339"/>
    <cellStyle name="Normal 11 2 2 5 2 2 2" xfId="18643"/>
    <cellStyle name="Normal 11 2 2 5 2 2 2 2" xfId="41502"/>
    <cellStyle name="Normal 11 2 2 5 2 2 3" xfId="29200"/>
    <cellStyle name="Normal 11 2 2 5 2 3" xfId="9854"/>
    <cellStyle name="Normal 11 2 2 5 2 3 2" xfId="22158"/>
    <cellStyle name="Normal 11 2 2 5 2 3 2 2" xfId="45017"/>
    <cellStyle name="Normal 11 2 2 5 2 3 3" xfId="32715"/>
    <cellStyle name="Normal 11 2 2 5 2 4" xfId="15128"/>
    <cellStyle name="Normal 11 2 2 5 2 4 2" xfId="37987"/>
    <cellStyle name="Normal 11 2 2 5 2 5" xfId="25685"/>
    <cellStyle name="Normal 11 2 2 5 3" xfId="4581"/>
    <cellStyle name="Normal 11 2 2 5 3 2" xfId="16885"/>
    <cellStyle name="Normal 11 2 2 5 3 2 2" xfId="39744"/>
    <cellStyle name="Normal 11 2 2 5 3 3" xfId="27442"/>
    <cellStyle name="Normal 11 2 2 5 4" xfId="8096"/>
    <cellStyle name="Normal 11 2 2 5 4 2" xfId="20400"/>
    <cellStyle name="Normal 11 2 2 5 4 2 2" xfId="43259"/>
    <cellStyle name="Normal 11 2 2 5 4 3" xfId="30957"/>
    <cellStyle name="Normal 11 2 2 5 5" xfId="11611"/>
    <cellStyle name="Normal 11 2 2 5 5 2" xfId="34471"/>
    <cellStyle name="Normal 11 2 2 5 6" xfId="13370"/>
    <cellStyle name="Normal 11 2 2 5 6 2" xfId="36229"/>
    <cellStyle name="Normal 11 2 2 5 7" xfId="23926"/>
    <cellStyle name="Normal 11 2 2 6" xfId="1946"/>
    <cellStyle name="Normal 11 2 2 6 2" xfId="5461"/>
    <cellStyle name="Normal 11 2 2 6 2 2" xfId="17765"/>
    <cellStyle name="Normal 11 2 2 6 2 2 2" xfId="40624"/>
    <cellStyle name="Normal 11 2 2 6 2 3" xfId="28322"/>
    <cellStyle name="Normal 11 2 2 6 3" xfId="8976"/>
    <cellStyle name="Normal 11 2 2 6 3 2" xfId="21280"/>
    <cellStyle name="Normal 11 2 2 6 3 2 2" xfId="44139"/>
    <cellStyle name="Normal 11 2 2 6 3 3" xfId="31837"/>
    <cellStyle name="Normal 11 2 2 6 4" xfId="14250"/>
    <cellStyle name="Normal 11 2 2 6 4 2" xfId="37109"/>
    <cellStyle name="Normal 11 2 2 6 5" xfId="24807"/>
    <cellStyle name="Normal 11 2 2 7" xfId="3703"/>
    <cellStyle name="Normal 11 2 2 7 2" xfId="16007"/>
    <cellStyle name="Normal 11 2 2 7 2 2" xfId="38866"/>
    <cellStyle name="Normal 11 2 2 7 3" xfId="26564"/>
    <cellStyle name="Normal 11 2 2 8" xfId="7218"/>
    <cellStyle name="Normal 11 2 2 8 2" xfId="19522"/>
    <cellStyle name="Normal 11 2 2 8 2 2" xfId="42381"/>
    <cellStyle name="Normal 11 2 2 8 3" xfId="30079"/>
    <cellStyle name="Normal 11 2 2 9" xfId="10733"/>
    <cellStyle name="Normal 11 2 2 9 2" xfId="33593"/>
    <cellStyle name="Normal 11 2 3" xfId="234"/>
    <cellStyle name="Normal 11 2 3 10" xfId="23099"/>
    <cellStyle name="Normal 11 2 3 2" xfId="446"/>
    <cellStyle name="Normal 11 2 3 2 2" xfId="887"/>
    <cellStyle name="Normal 11 2 3 2 2 2" xfId="1766"/>
    <cellStyle name="Normal 11 2 3 2 2 2 2" xfId="3527"/>
    <cellStyle name="Normal 11 2 3 2 2 2 2 2" xfId="7042"/>
    <cellStyle name="Normal 11 2 3 2 2 2 2 2 2" xfId="19346"/>
    <cellStyle name="Normal 11 2 3 2 2 2 2 2 2 2" xfId="42205"/>
    <cellStyle name="Normal 11 2 3 2 2 2 2 2 3" xfId="29903"/>
    <cellStyle name="Normal 11 2 3 2 2 2 2 3" xfId="10557"/>
    <cellStyle name="Normal 11 2 3 2 2 2 2 3 2" xfId="22861"/>
    <cellStyle name="Normal 11 2 3 2 2 2 2 3 2 2" xfId="45720"/>
    <cellStyle name="Normal 11 2 3 2 2 2 2 3 3" xfId="33418"/>
    <cellStyle name="Normal 11 2 3 2 2 2 2 4" xfId="15831"/>
    <cellStyle name="Normal 11 2 3 2 2 2 2 4 2" xfId="38690"/>
    <cellStyle name="Normal 11 2 3 2 2 2 2 5" xfId="26388"/>
    <cellStyle name="Normal 11 2 3 2 2 2 3" xfId="5284"/>
    <cellStyle name="Normal 11 2 3 2 2 2 3 2" xfId="17588"/>
    <cellStyle name="Normal 11 2 3 2 2 2 3 2 2" xfId="40447"/>
    <cellStyle name="Normal 11 2 3 2 2 2 3 3" xfId="28145"/>
    <cellStyle name="Normal 11 2 3 2 2 2 4" xfId="8799"/>
    <cellStyle name="Normal 11 2 3 2 2 2 4 2" xfId="21103"/>
    <cellStyle name="Normal 11 2 3 2 2 2 4 2 2" xfId="43962"/>
    <cellStyle name="Normal 11 2 3 2 2 2 4 3" xfId="31660"/>
    <cellStyle name="Normal 11 2 3 2 2 2 5" xfId="12314"/>
    <cellStyle name="Normal 11 2 3 2 2 2 5 2" xfId="35174"/>
    <cellStyle name="Normal 11 2 3 2 2 2 6" xfId="14073"/>
    <cellStyle name="Normal 11 2 3 2 2 2 6 2" xfId="36932"/>
    <cellStyle name="Normal 11 2 3 2 2 2 7" xfId="24629"/>
    <cellStyle name="Normal 11 2 3 2 2 3" xfId="2649"/>
    <cellStyle name="Normal 11 2 3 2 2 3 2" xfId="6164"/>
    <cellStyle name="Normal 11 2 3 2 2 3 2 2" xfId="18468"/>
    <cellStyle name="Normal 11 2 3 2 2 3 2 2 2" xfId="41327"/>
    <cellStyle name="Normal 11 2 3 2 2 3 2 3" xfId="29025"/>
    <cellStyle name="Normal 11 2 3 2 2 3 3" xfId="9679"/>
    <cellStyle name="Normal 11 2 3 2 2 3 3 2" xfId="21983"/>
    <cellStyle name="Normal 11 2 3 2 2 3 3 2 2" xfId="44842"/>
    <cellStyle name="Normal 11 2 3 2 2 3 3 3" xfId="32540"/>
    <cellStyle name="Normal 11 2 3 2 2 3 4" xfId="14953"/>
    <cellStyle name="Normal 11 2 3 2 2 3 4 2" xfId="37812"/>
    <cellStyle name="Normal 11 2 3 2 2 3 5" xfId="25510"/>
    <cellStyle name="Normal 11 2 3 2 2 4" xfId="4406"/>
    <cellStyle name="Normal 11 2 3 2 2 4 2" xfId="16710"/>
    <cellStyle name="Normal 11 2 3 2 2 4 2 2" xfId="39569"/>
    <cellStyle name="Normal 11 2 3 2 2 4 3" xfId="27267"/>
    <cellStyle name="Normal 11 2 3 2 2 5" xfId="7921"/>
    <cellStyle name="Normal 11 2 3 2 2 5 2" xfId="20225"/>
    <cellStyle name="Normal 11 2 3 2 2 5 2 2" xfId="43084"/>
    <cellStyle name="Normal 11 2 3 2 2 5 3" xfId="30782"/>
    <cellStyle name="Normal 11 2 3 2 2 6" xfId="11436"/>
    <cellStyle name="Normal 11 2 3 2 2 6 2" xfId="34296"/>
    <cellStyle name="Normal 11 2 3 2 2 7" xfId="13195"/>
    <cellStyle name="Normal 11 2 3 2 2 7 2" xfId="36054"/>
    <cellStyle name="Normal 11 2 3 2 2 8" xfId="23751"/>
    <cellStyle name="Normal 11 2 3 2 3" xfId="1327"/>
    <cellStyle name="Normal 11 2 3 2 3 2" xfId="3088"/>
    <cellStyle name="Normal 11 2 3 2 3 2 2" xfId="6603"/>
    <cellStyle name="Normal 11 2 3 2 3 2 2 2" xfId="18907"/>
    <cellStyle name="Normal 11 2 3 2 3 2 2 2 2" xfId="41766"/>
    <cellStyle name="Normal 11 2 3 2 3 2 2 3" xfId="29464"/>
    <cellStyle name="Normal 11 2 3 2 3 2 3" xfId="10118"/>
    <cellStyle name="Normal 11 2 3 2 3 2 3 2" xfId="22422"/>
    <cellStyle name="Normal 11 2 3 2 3 2 3 2 2" xfId="45281"/>
    <cellStyle name="Normal 11 2 3 2 3 2 3 3" xfId="32979"/>
    <cellStyle name="Normal 11 2 3 2 3 2 4" xfId="15392"/>
    <cellStyle name="Normal 11 2 3 2 3 2 4 2" xfId="38251"/>
    <cellStyle name="Normal 11 2 3 2 3 2 5" xfId="25949"/>
    <cellStyle name="Normal 11 2 3 2 3 3" xfId="4845"/>
    <cellStyle name="Normal 11 2 3 2 3 3 2" xfId="17149"/>
    <cellStyle name="Normal 11 2 3 2 3 3 2 2" xfId="40008"/>
    <cellStyle name="Normal 11 2 3 2 3 3 3" xfId="27706"/>
    <cellStyle name="Normal 11 2 3 2 3 4" xfId="8360"/>
    <cellStyle name="Normal 11 2 3 2 3 4 2" xfId="20664"/>
    <cellStyle name="Normal 11 2 3 2 3 4 2 2" xfId="43523"/>
    <cellStyle name="Normal 11 2 3 2 3 4 3" xfId="31221"/>
    <cellStyle name="Normal 11 2 3 2 3 5" xfId="11875"/>
    <cellStyle name="Normal 11 2 3 2 3 5 2" xfId="34735"/>
    <cellStyle name="Normal 11 2 3 2 3 6" xfId="13634"/>
    <cellStyle name="Normal 11 2 3 2 3 6 2" xfId="36493"/>
    <cellStyle name="Normal 11 2 3 2 3 7" xfId="24190"/>
    <cellStyle name="Normal 11 2 3 2 4" xfId="2210"/>
    <cellStyle name="Normal 11 2 3 2 4 2" xfId="5725"/>
    <cellStyle name="Normal 11 2 3 2 4 2 2" xfId="18029"/>
    <cellStyle name="Normal 11 2 3 2 4 2 2 2" xfId="40888"/>
    <cellStyle name="Normal 11 2 3 2 4 2 3" xfId="28586"/>
    <cellStyle name="Normal 11 2 3 2 4 3" xfId="9240"/>
    <cellStyle name="Normal 11 2 3 2 4 3 2" xfId="21544"/>
    <cellStyle name="Normal 11 2 3 2 4 3 2 2" xfId="44403"/>
    <cellStyle name="Normal 11 2 3 2 4 3 3" xfId="32101"/>
    <cellStyle name="Normal 11 2 3 2 4 4" xfId="14514"/>
    <cellStyle name="Normal 11 2 3 2 4 4 2" xfId="37373"/>
    <cellStyle name="Normal 11 2 3 2 4 5" xfId="25071"/>
    <cellStyle name="Normal 11 2 3 2 5" xfId="3967"/>
    <cellStyle name="Normal 11 2 3 2 5 2" xfId="16271"/>
    <cellStyle name="Normal 11 2 3 2 5 2 2" xfId="39130"/>
    <cellStyle name="Normal 11 2 3 2 5 3" xfId="26828"/>
    <cellStyle name="Normal 11 2 3 2 6" xfId="7482"/>
    <cellStyle name="Normal 11 2 3 2 6 2" xfId="19786"/>
    <cellStyle name="Normal 11 2 3 2 6 2 2" xfId="42645"/>
    <cellStyle name="Normal 11 2 3 2 6 3" xfId="30343"/>
    <cellStyle name="Normal 11 2 3 2 7" xfId="10997"/>
    <cellStyle name="Normal 11 2 3 2 7 2" xfId="33857"/>
    <cellStyle name="Normal 11 2 3 2 8" xfId="12756"/>
    <cellStyle name="Normal 11 2 3 2 8 2" xfId="35615"/>
    <cellStyle name="Normal 11 2 3 2 9" xfId="23311"/>
    <cellStyle name="Normal 11 2 3 3" xfId="675"/>
    <cellStyle name="Normal 11 2 3 3 2" xfId="1554"/>
    <cellStyle name="Normal 11 2 3 3 2 2" xfId="3315"/>
    <cellStyle name="Normal 11 2 3 3 2 2 2" xfId="6830"/>
    <cellStyle name="Normal 11 2 3 3 2 2 2 2" xfId="19134"/>
    <cellStyle name="Normal 11 2 3 3 2 2 2 2 2" xfId="41993"/>
    <cellStyle name="Normal 11 2 3 3 2 2 2 3" xfId="29691"/>
    <cellStyle name="Normal 11 2 3 3 2 2 3" xfId="10345"/>
    <cellStyle name="Normal 11 2 3 3 2 2 3 2" xfId="22649"/>
    <cellStyle name="Normal 11 2 3 3 2 2 3 2 2" xfId="45508"/>
    <cellStyle name="Normal 11 2 3 3 2 2 3 3" xfId="33206"/>
    <cellStyle name="Normal 11 2 3 3 2 2 4" xfId="15619"/>
    <cellStyle name="Normal 11 2 3 3 2 2 4 2" xfId="38478"/>
    <cellStyle name="Normal 11 2 3 3 2 2 5" xfId="26176"/>
    <cellStyle name="Normal 11 2 3 3 2 3" xfId="5072"/>
    <cellStyle name="Normal 11 2 3 3 2 3 2" xfId="17376"/>
    <cellStyle name="Normal 11 2 3 3 2 3 2 2" xfId="40235"/>
    <cellStyle name="Normal 11 2 3 3 2 3 3" xfId="27933"/>
    <cellStyle name="Normal 11 2 3 3 2 4" xfId="8587"/>
    <cellStyle name="Normal 11 2 3 3 2 4 2" xfId="20891"/>
    <cellStyle name="Normal 11 2 3 3 2 4 2 2" xfId="43750"/>
    <cellStyle name="Normal 11 2 3 3 2 4 3" xfId="31448"/>
    <cellStyle name="Normal 11 2 3 3 2 5" xfId="12102"/>
    <cellStyle name="Normal 11 2 3 3 2 5 2" xfId="34962"/>
    <cellStyle name="Normal 11 2 3 3 2 6" xfId="13861"/>
    <cellStyle name="Normal 11 2 3 3 2 6 2" xfId="36720"/>
    <cellStyle name="Normal 11 2 3 3 2 7" xfId="24417"/>
    <cellStyle name="Normal 11 2 3 3 3" xfId="2437"/>
    <cellStyle name="Normal 11 2 3 3 3 2" xfId="5952"/>
    <cellStyle name="Normal 11 2 3 3 3 2 2" xfId="18256"/>
    <cellStyle name="Normal 11 2 3 3 3 2 2 2" xfId="41115"/>
    <cellStyle name="Normal 11 2 3 3 3 2 3" xfId="28813"/>
    <cellStyle name="Normal 11 2 3 3 3 3" xfId="9467"/>
    <cellStyle name="Normal 11 2 3 3 3 3 2" xfId="21771"/>
    <cellStyle name="Normal 11 2 3 3 3 3 2 2" xfId="44630"/>
    <cellStyle name="Normal 11 2 3 3 3 3 3" xfId="32328"/>
    <cellStyle name="Normal 11 2 3 3 3 4" xfId="14741"/>
    <cellStyle name="Normal 11 2 3 3 3 4 2" xfId="37600"/>
    <cellStyle name="Normal 11 2 3 3 3 5" xfId="25298"/>
    <cellStyle name="Normal 11 2 3 3 4" xfId="4194"/>
    <cellStyle name="Normal 11 2 3 3 4 2" xfId="16498"/>
    <cellStyle name="Normal 11 2 3 3 4 2 2" xfId="39357"/>
    <cellStyle name="Normal 11 2 3 3 4 3" xfId="27055"/>
    <cellStyle name="Normal 11 2 3 3 5" xfId="7709"/>
    <cellStyle name="Normal 11 2 3 3 5 2" xfId="20013"/>
    <cellStyle name="Normal 11 2 3 3 5 2 2" xfId="42872"/>
    <cellStyle name="Normal 11 2 3 3 5 3" xfId="30570"/>
    <cellStyle name="Normal 11 2 3 3 6" xfId="11224"/>
    <cellStyle name="Normal 11 2 3 3 6 2" xfId="34084"/>
    <cellStyle name="Normal 11 2 3 3 7" xfId="12983"/>
    <cellStyle name="Normal 11 2 3 3 7 2" xfId="35842"/>
    <cellStyle name="Normal 11 2 3 3 8" xfId="23539"/>
    <cellStyle name="Normal 11 2 3 4" xfId="1115"/>
    <cellStyle name="Normal 11 2 3 4 2" xfId="2876"/>
    <cellStyle name="Normal 11 2 3 4 2 2" xfId="6391"/>
    <cellStyle name="Normal 11 2 3 4 2 2 2" xfId="18695"/>
    <cellStyle name="Normal 11 2 3 4 2 2 2 2" xfId="41554"/>
    <cellStyle name="Normal 11 2 3 4 2 2 3" xfId="29252"/>
    <cellStyle name="Normal 11 2 3 4 2 3" xfId="9906"/>
    <cellStyle name="Normal 11 2 3 4 2 3 2" xfId="22210"/>
    <cellStyle name="Normal 11 2 3 4 2 3 2 2" xfId="45069"/>
    <cellStyle name="Normal 11 2 3 4 2 3 3" xfId="32767"/>
    <cellStyle name="Normal 11 2 3 4 2 4" xfId="15180"/>
    <cellStyle name="Normal 11 2 3 4 2 4 2" xfId="38039"/>
    <cellStyle name="Normal 11 2 3 4 2 5" xfId="25737"/>
    <cellStyle name="Normal 11 2 3 4 3" xfId="4633"/>
    <cellStyle name="Normal 11 2 3 4 3 2" xfId="16937"/>
    <cellStyle name="Normal 11 2 3 4 3 2 2" xfId="39796"/>
    <cellStyle name="Normal 11 2 3 4 3 3" xfId="27494"/>
    <cellStyle name="Normal 11 2 3 4 4" xfId="8148"/>
    <cellStyle name="Normal 11 2 3 4 4 2" xfId="20452"/>
    <cellStyle name="Normal 11 2 3 4 4 2 2" xfId="43311"/>
    <cellStyle name="Normal 11 2 3 4 4 3" xfId="31009"/>
    <cellStyle name="Normal 11 2 3 4 5" xfId="11663"/>
    <cellStyle name="Normal 11 2 3 4 5 2" xfId="34523"/>
    <cellStyle name="Normal 11 2 3 4 6" xfId="13422"/>
    <cellStyle name="Normal 11 2 3 4 6 2" xfId="36281"/>
    <cellStyle name="Normal 11 2 3 4 7" xfId="23978"/>
    <cellStyle name="Normal 11 2 3 5" xfId="1998"/>
    <cellStyle name="Normal 11 2 3 5 2" xfId="5513"/>
    <cellStyle name="Normal 11 2 3 5 2 2" xfId="17817"/>
    <cellStyle name="Normal 11 2 3 5 2 2 2" xfId="40676"/>
    <cellStyle name="Normal 11 2 3 5 2 3" xfId="28374"/>
    <cellStyle name="Normal 11 2 3 5 3" xfId="9028"/>
    <cellStyle name="Normal 11 2 3 5 3 2" xfId="21332"/>
    <cellStyle name="Normal 11 2 3 5 3 2 2" xfId="44191"/>
    <cellStyle name="Normal 11 2 3 5 3 3" xfId="31889"/>
    <cellStyle name="Normal 11 2 3 5 4" xfId="14302"/>
    <cellStyle name="Normal 11 2 3 5 4 2" xfId="37161"/>
    <cellStyle name="Normal 11 2 3 5 5" xfId="24859"/>
    <cellStyle name="Normal 11 2 3 6" xfId="3755"/>
    <cellStyle name="Normal 11 2 3 6 2" xfId="16059"/>
    <cellStyle name="Normal 11 2 3 6 2 2" xfId="38918"/>
    <cellStyle name="Normal 11 2 3 6 3" xfId="26616"/>
    <cellStyle name="Normal 11 2 3 7" xfId="7270"/>
    <cellStyle name="Normal 11 2 3 7 2" xfId="19574"/>
    <cellStyle name="Normal 11 2 3 7 2 2" xfId="42433"/>
    <cellStyle name="Normal 11 2 3 7 3" xfId="30131"/>
    <cellStyle name="Normal 11 2 3 8" xfId="10785"/>
    <cellStyle name="Normal 11 2 3 8 2" xfId="33645"/>
    <cellStyle name="Normal 11 2 3 9" xfId="12544"/>
    <cellStyle name="Normal 11 2 3 9 2" xfId="35403"/>
    <cellStyle name="Normal 11 2 4" xfId="340"/>
    <cellStyle name="Normal 11 2 4 2" xfId="781"/>
    <cellStyle name="Normal 11 2 4 2 2" xfId="1660"/>
    <cellStyle name="Normal 11 2 4 2 2 2" xfId="3421"/>
    <cellStyle name="Normal 11 2 4 2 2 2 2" xfId="6936"/>
    <cellStyle name="Normal 11 2 4 2 2 2 2 2" xfId="19240"/>
    <cellStyle name="Normal 11 2 4 2 2 2 2 2 2" xfId="42099"/>
    <cellStyle name="Normal 11 2 4 2 2 2 2 3" xfId="29797"/>
    <cellStyle name="Normal 11 2 4 2 2 2 3" xfId="10451"/>
    <cellStyle name="Normal 11 2 4 2 2 2 3 2" xfId="22755"/>
    <cellStyle name="Normal 11 2 4 2 2 2 3 2 2" xfId="45614"/>
    <cellStyle name="Normal 11 2 4 2 2 2 3 3" xfId="33312"/>
    <cellStyle name="Normal 11 2 4 2 2 2 4" xfId="15725"/>
    <cellStyle name="Normal 11 2 4 2 2 2 4 2" xfId="38584"/>
    <cellStyle name="Normal 11 2 4 2 2 2 5" xfId="26282"/>
    <cellStyle name="Normal 11 2 4 2 2 3" xfId="5178"/>
    <cellStyle name="Normal 11 2 4 2 2 3 2" xfId="17482"/>
    <cellStyle name="Normal 11 2 4 2 2 3 2 2" xfId="40341"/>
    <cellStyle name="Normal 11 2 4 2 2 3 3" xfId="28039"/>
    <cellStyle name="Normal 11 2 4 2 2 4" xfId="8693"/>
    <cellStyle name="Normal 11 2 4 2 2 4 2" xfId="20997"/>
    <cellStyle name="Normal 11 2 4 2 2 4 2 2" xfId="43856"/>
    <cellStyle name="Normal 11 2 4 2 2 4 3" xfId="31554"/>
    <cellStyle name="Normal 11 2 4 2 2 5" xfId="12208"/>
    <cellStyle name="Normal 11 2 4 2 2 5 2" xfId="35068"/>
    <cellStyle name="Normal 11 2 4 2 2 6" xfId="13967"/>
    <cellStyle name="Normal 11 2 4 2 2 6 2" xfId="36826"/>
    <cellStyle name="Normal 11 2 4 2 2 7" xfId="24523"/>
    <cellStyle name="Normal 11 2 4 2 3" xfId="2543"/>
    <cellStyle name="Normal 11 2 4 2 3 2" xfId="6058"/>
    <cellStyle name="Normal 11 2 4 2 3 2 2" xfId="18362"/>
    <cellStyle name="Normal 11 2 4 2 3 2 2 2" xfId="41221"/>
    <cellStyle name="Normal 11 2 4 2 3 2 3" xfId="28919"/>
    <cellStyle name="Normal 11 2 4 2 3 3" xfId="9573"/>
    <cellStyle name="Normal 11 2 4 2 3 3 2" xfId="21877"/>
    <cellStyle name="Normal 11 2 4 2 3 3 2 2" xfId="44736"/>
    <cellStyle name="Normal 11 2 4 2 3 3 3" xfId="32434"/>
    <cellStyle name="Normal 11 2 4 2 3 4" xfId="14847"/>
    <cellStyle name="Normal 11 2 4 2 3 4 2" xfId="37706"/>
    <cellStyle name="Normal 11 2 4 2 3 5" xfId="25404"/>
    <cellStyle name="Normal 11 2 4 2 4" xfId="4300"/>
    <cellStyle name="Normal 11 2 4 2 4 2" xfId="16604"/>
    <cellStyle name="Normal 11 2 4 2 4 2 2" xfId="39463"/>
    <cellStyle name="Normal 11 2 4 2 4 3" xfId="27161"/>
    <cellStyle name="Normal 11 2 4 2 5" xfId="7815"/>
    <cellStyle name="Normal 11 2 4 2 5 2" xfId="20119"/>
    <cellStyle name="Normal 11 2 4 2 5 2 2" xfId="42978"/>
    <cellStyle name="Normal 11 2 4 2 5 3" xfId="30676"/>
    <cellStyle name="Normal 11 2 4 2 6" xfId="11330"/>
    <cellStyle name="Normal 11 2 4 2 6 2" xfId="34190"/>
    <cellStyle name="Normal 11 2 4 2 7" xfId="13089"/>
    <cellStyle name="Normal 11 2 4 2 7 2" xfId="35948"/>
    <cellStyle name="Normal 11 2 4 2 8" xfId="23645"/>
    <cellStyle name="Normal 11 2 4 3" xfId="1221"/>
    <cellStyle name="Normal 11 2 4 3 2" xfId="2982"/>
    <cellStyle name="Normal 11 2 4 3 2 2" xfId="6497"/>
    <cellStyle name="Normal 11 2 4 3 2 2 2" xfId="18801"/>
    <cellStyle name="Normal 11 2 4 3 2 2 2 2" xfId="41660"/>
    <cellStyle name="Normal 11 2 4 3 2 2 3" xfId="29358"/>
    <cellStyle name="Normal 11 2 4 3 2 3" xfId="10012"/>
    <cellStyle name="Normal 11 2 4 3 2 3 2" xfId="22316"/>
    <cellStyle name="Normal 11 2 4 3 2 3 2 2" xfId="45175"/>
    <cellStyle name="Normal 11 2 4 3 2 3 3" xfId="32873"/>
    <cellStyle name="Normal 11 2 4 3 2 4" xfId="15286"/>
    <cellStyle name="Normal 11 2 4 3 2 4 2" xfId="38145"/>
    <cellStyle name="Normal 11 2 4 3 2 5" xfId="25843"/>
    <cellStyle name="Normal 11 2 4 3 3" xfId="4739"/>
    <cellStyle name="Normal 11 2 4 3 3 2" xfId="17043"/>
    <cellStyle name="Normal 11 2 4 3 3 2 2" xfId="39902"/>
    <cellStyle name="Normal 11 2 4 3 3 3" xfId="27600"/>
    <cellStyle name="Normal 11 2 4 3 4" xfId="8254"/>
    <cellStyle name="Normal 11 2 4 3 4 2" xfId="20558"/>
    <cellStyle name="Normal 11 2 4 3 4 2 2" xfId="43417"/>
    <cellStyle name="Normal 11 2 4 3 4 3" xfId="31115"/>
    <cellStyle name="Normal 11 2 4 3 5" xfId="11769"/>
    <cellStyle name="Normal 11 2 4 3 5 2" xfId="34629"/>
    <cellStyle name="Normal 11 2 4 3 6" xfId="13528"/>
    <cellStyle name="Normal 11 2 4 3 6 2" xfId="36387"/>
    <cellStyle name="Normal 11 2 4 3 7" xfId="24084"/>
    <cellStyle name="Normal 11 2 4 4" xfId="2104"/>
    <cellStyle name="Normal 11 2 4 4 2" xfId="5619"/>
    <cellStyle name="Normal 11 2 4 4 2 2" xfId="17923"/>
    <cellStyle name="Normal 11 2 4 4 2 2 2" xfId="40782"/>
    <cellStyle name="Normal 11 2 4 4 2 3" xfId="28480"/>
    <cellStyle name="Normal 11 2 4 4 3" xfId="9134"/>
    <cellStyle name="Normal 11 2 4 4 3 2" xfId="21438"/>
    <cellStyle name="Normal 11 2 4 4 3 2 2" xfId="44297"/>
    <cellStyle name="Normal 11 2 4 4 3 3" xfId="31995"/>
    <cellStyle name="Normal 11 2 4 4 4" xfId="14408"/>
    <cellStyle name="Normal 11 2 4 4 4 2" xfId="37267"/>
    <cellStyle name="Normal 11 2 4 4 5" xfId="24965"/>
    <cellStyle name="Normal 11 2 4 5" xfId="3861"/>
    <cellStyle name="Normal 11 2 4 5 2" xfId="16165"/>
    <cellStyle name="Normal 11 2 4 5 2 2" xfId="39024"/>
    <cellStyle name="Normal 11 2 4 5 3" xfId="26722"/>
    <cellStyle name="Normal 11 2 4 6" xfId="7376"/>
    <cellStyle name="Normal 11 2 4 6 2" xfId="19680"/>
    <cellStyle name="Normal 11 2 4 6 2 2" xfId="42539"/>
    <cellStyle name="Normal 11 2 4 6 3" xfId="30237"/>
    <cellStyle name="Normal 11 2 4 7" xfId="10891"/>
    <cellStyle name="Normal 11 2 4 7 2" xfId="33751"/>
    <cellStyle name="Normal 11 2 4 8" xfId="12650"/>
    <cellStyle name="Normal 11 2 4 8 2" xfId="35509"/>
    <cellStyle name="Normal 11 2 4 9" xfId="23205"/>
    <cellStyle name="Normal 11 2 5" xfId="569"/>
    <cellStyle name="Normal 11 2 5 2" xfId="1448"/>
    <cellStyle name="Normal 11 2 5 2 2" xfId="3209"/>
    <cellStyle name="Normal 11 2 5 2 2 2" xfId="6724"/>
    <cellStyle name="Normal 11 2 5 2 2 2 2" xfId="19028"/>
    <cellStyle name="Normal 11 2 5 2 2 2 2 2" xfId="41887"/>
    <cellStyle name="Normal 11 2 5 2 2 2 3" xfId="29585"/>
    <cellStyle name="Normal 11 2 5 2 2 3" xfId="10239"/>
    <cellStyle name="Normal 11 2 5 2 2 3 2" xfId="22543"/>
    <cellStyle name="Normal 11 2 5 2 2 3 2 2" xfId="45402"/>
    <cellStyle name="Normal 11 2 5 2 2 3 3" xfId="33100"/>
    <cellStyle name="Normal 11 2 5 2 2 4" xfId="15513"/>
    <cellStyle name="Normal 11 2 5 2 2 4 2" xfId="38372"/>
    <cellStyle name="Normal 11 2 5 2 2 5" xfId="26070"/>
    <cellStyle name="Normal 11 2 5 2 3" xfId="4966"/>
    <cellStyle name="Normal 11 2 5 2 3 2" xfId="17270"/>
    <cellStyle name="Normal 11 2 5 2 3 2 2" xfId="40129"/>
    <cellStyle name="Normal 11 2 5 2 3 3" xfId="27827"/>
    <cellStyle name="Normal 11 2 5 2 4" xfId="8481"/>
    <cellStyle name="Normal 11 2 5 2 4 2" xfId="20785"/>
    <cellStyle name="Normal 11 2 5 2 4 2 2" xfId="43644"/>
    <cellStyle name="Normal 11 2 5 2 4 3" xfId="31342"/>
    <cellStyle name="Normal 11 2 5 2 5" xfId="11996"/>
    <cellStyle name="Normal 11 2 5 2 5 2" xfId="34856"/>
    <cellStyle name="Normal 11 2 5 2 6" xfId="13755"/>
    <cellStyle name="Normal 11 2 5 2 6 2" xfId="36614"/>
    <cellStyle name="Normal 11 2 5 2 7" xfId="24311"/>
    <cellStyle name="Normal 11 2 5 3" xfId="2331"/>
    <cellStyle name="Normal 11 2 5 3 2" xfId="5846"/>
    <cellStyle name="Normal 11 2 5 3 2 2" xfId="18150"/>
    <cellStyle name="Normal 11 2 5 3 2 2 2" xfId="41009"/>
    <cellStyle name="Normal 11 2 5 3 2 3" xfId="28707"/>
    <cellStyle name="Normal 11 2 5 3 3" xfId="9361"/>
    <cellStyle name="Normal 11 2 5 3 3 2" xfId="21665"/>
    <cellStyle name="Normal 11 2 5 3 3 2 2" xfId="44524"/>
    <cellStyle name="Normal 11 2 5 3 3 3" xfId="32222"/>
    <cellStyle name="Normal 11 2 5 3 4" xfId="14635"/>
    <cellStyle name="Normal 11 2 5 3 4 2" xfId="37494"/>
    <cellStyle name="Normal 11 2 5 3 5" xfId="25192"/>
    <cellStyle name="Normal 11 2 5 4" xfId="4088"/>
    <cellStyle name="Normal 11 2 5 4 2" xfId="16392"/>
    <cellStyle name="Normal 11 2 5 4 2 2" xfId="39251"/>
    <cellStyle name="Normal 11 2 5 4 3" xfId="26949"/>
    <cellStyle name="Normal 11 2 5 5" xfId="7603"/>
    <cellStyle name="Normal 11 2 5 5 2" xfId="19907"/>
    <cellStyle name="Normal 11 2 5 5 2 2" xfId="42766"/>
    <cellStyle name="Normal 11 2 5 5 3" xfId="30464"/>
    <cellStyle name="Normal 11 2 5 6" xfId="11118"/>
    <cellStyle name="Normal 11 2 5 6 2" xfId="33978"/>
    <cellStyle name="Normal 11 2 5 7" xfId="12877"/>
    <cellStyle name="Normal 11 2 5 7 2" xfId="35736"/>
    <cellStyle name="Normal 11 2 5 8" xfId="23433"/>
    <cellStyle name="Normal 11 2 6" xfId="1009"/>
    <cellStyle name="Normal 11 2 6 2" xfId="2770"/>
    <cellStyle name="Normal 11 2 6 2 2" xfId="6285"/>
    <cellStyle name="Normal 11 2 6 2 2 2" xfId="18589"/>
    <cellStyle name="Normal 11 2 6 2 2 2 2" xfId="41448"/>
    <cellStyle name="Normal 11 2 6 2 2 3" xfId="29146"/>
    <cellStyle name="Normal 11 2 6 2 3" xfId="9800"/>
    <cellStyle name="Normal 11 2 6 2 3 2" xfId="22104"/>
    <cellStyle name="Normal 11 2 6 2 3 2 2" xfId="44963"/>
    <cellStyle name="Normal 11 2 6 2 3 3" xfId="32661"/>
    <cellStyle name="Normal 11 2 6 2 4" xfId="15074"/>
    <cellStyle name="Normal 11 2 6 2 4 2" xfId="37933"/>
    <cellStyle name="Normal 11 2 6 2 5" xfId="25631"/>
    <cellStyle name="Normal 11 2 6 3" xfId="4527"/>
    <cellStyle name="Normal 11 2 6 3 2" xfId="16831"/>
    <cellStyle name="Normal 11 2 6 3 2 2" xfId="39690"/>
    <cellStyle name="Normal 11 2 6 3 3" xfId="27388"/>
    <cellStyle name="Normal 11 2 6 4" xfId="8042"/>
    <cellStyle name="Normal 11 2 6 4 2" xfId="20346"/>
    <cellStyle name="Normal 11 2 6 4 2 2" xfId="43205"/>
    <cellStyle name="Normal 11 2 6 4 3" xfId="30903"/>
    <cellStyle name="Normal 11 2 6 5" xfId="11557"/>
    <cellStyle name="Normal 11 2 6 5 2" xfId="34417"/>
    <cellStyle name="Normal 11 2 6 6" xfId="13316"/>
    <cellStyle name="Normal 11 2 6 6 2" xfId="36175"/>
    <cellStyle name="Normal 11 2 6 7" xfId="23872"/>
    <cellStyle name="Normal 11 2 7" xfId="1892"/>
    <cellStyle name="Normal 11 2 7 2" xfId="5407"/>
    <cellStyle name="Normal 11 2 7 2 2" xfId="17711"/>
    <cellStyle name="Normal 11 2 7 2 2 2" xfId="40570"/>
    <cellStyle name="Normal 11 2 7 2 3" xfId="28268"/>
    <cellStyle name="Normal 11 2 7 3" xfId="8922"/>
    <cellStyle name="Normal 11 2 7 3 2" xfId="21226"/>
    <cellStyle name="Normal 11 2 7 3 2 2" xfId="44085"/>
    <cellStyle name="Normal 11 2 7 3 3" xfId="31783"/>
    <cellStyle name="Normal 11 2 7 4" xfId="14196"/>
    <cellStyle name="Normal 11 2 7 4 2" xfId="37055"/>
    <cellStyle name="Normal 11 2 7 5" xfId="24753"/>
    <cellStyle name="Normal 11 2 8" xfId="3649"/>
    <cellStyle name="Normal 11 2 8 2" xfId="15953"/>
    <cellStyle name="Normal 11 2 8 2 2" xfId="38812"/>
    <cellStyle name="Normal 11 2 8 3" xfId="26510"/>
    <cellStyle name="Normal 11 2 9" xfId="7164"/>
    <cellStyle name="Normal 11 2 9 2" xfId="19468"/>
    <cellStyle name="Normal 11 2 9 2 2" xfId="42327"/>
    <cellStyle name="Normal 11 2 9 3" xfId="30025"/>
    <cellStyle name="Normal 11 3" xfId="154"/>
    <cellStyle name="Normal 11 3 10" xfId="12466"/>
    <cellStyle name="Normal 11 3 10 2" xfId="35325"/>
    <cellStyle name="Normal 11 3 11" xfId="23020"/>
    <cellStyle name="Normal 11 3 2" xfId="262"/>
    <cellStyle name="Normal 11 3 2 10" xfId="23127"/>
    <cellStyle name="Normal 11 3 2 2" xfId="474"/>
    <cellStyle name="Normal 11 3 2 2 2" xfId="915"/>
    <cellStyle name="Normal 11 3 2 2 2 2" xfId="1794"/>
    <cellStyle name="Normal 11 3 2 2 2 2 2" xfId="3555"/>
    <cellStyle name="Normal 11 3 2 2 2 2 2 2" xfId="7070"/>
    <cellStyle name="Normal 11 3 2 2 2 2 2 2 2" xfId="19374"/>
    <cellStyle name="Normal 11 3 2 2 2 2 2 2 2 2" xfId="42233"/>
    <cellStyle name="Normal 11 3 2 2 2 2 2 2 3" xfId="29931"/>
    <cellStyle name="Normal 11 3 2 2 2 2 2 3" xfId="10585"/>
    <cellStyle name="Normal 11 3 2 2 2 2 2 3 2" xfId="22889"/>
    <cellStyle name="Normal 11 3 2 2 2 2 2 3 2 2" xfId="45748"/>
    <cellStyle name="Normal 11 3 2 2 2 2 2 3 3" xfId="33446"/>
    <cellStyle name="Normal 11 3 2 2 2 2 2 4" xfId="15859"/>
    <cellStyle name="Normal 11 3 2 2 2 2 2 4 2" xfId="38718"/>
    <cellStyle name="Normal 11 3 2 2 2 2 2 5" xfId="26416"/>
    <cellStyle name="Normal 11 3 2 2 2 2 3" xfId="5312"/>
    <cellStyle name="Normal 11 3 2 2 2 2 3 2" xfId="17616"/>
    <cellStyle name="Normal 11 3 2 2 2 2 3 2 2" xfId="40475"/>
    <cellStyle name="Normal 11 3 2 2 2 2 3 3" xfId="28173"/>
    <cellStyle name="Normal 11 3 2 2 2 2 4" xfId="8827"/>
    <cellStyle name="Normal 11 3 2 2 2 2 4 2" xfId="21131"/>
    <cellStyle name="Normal 11 3 2 2 2 2 4 2 2" xfId="43990"/>
    <cellStyle name="Normal 11 3 2 2 2 2 4 3" xfId="31688"/>
    <cellStyle name="Normal 11 3 2 2 2 2 5" xfId="12342"/>
    <cellStyle name="Normal 11 3 2 2 2 2 5 2" xfId="35202"/>
    <cellStyle name="Normal 11 3 2 2 2 2 6" xfId="14101"/>
    <cellStyle name="Normal 11 3 2 2 2 2 6 2" xfId="36960"/>
    <cellStyle name="Normal 11 3 2 2 2 2 7" xfId="24657"/>
    <cellStyle name="Normal 11 3 2 2 2 3" xfId="2677"/>
    <cellStyle name="Normal 11 3 2 2 2 3 2" xfId="6192"/>
    <cellStyle name="Normal 11 3 2 2 2 3 2 2" xfId="18496"/>
    <cellStyle name="Normal 11 3 2 2 2 3 2 2 2" xfId="41355"/>
    <cellStyle name="Normal 11 3 2 2 2 3 2 3" xfId="29053"/>
    <cellStyle name="Normal 11 3 2 2 2 3 3" xfId="9707"/>
    <cellStyle name="Normal 11 3 2 2 2 3 3 2" xfId="22011"/>
    <cellStyle name="Normal 11 3 2 2 2 3 3 2 2" xfId="44870"/>
    <cellStyle name="Normal 11 3 2 2 2 3 3 3" xfId="32568"/>
    <cellStyle name="Normal 11 3 2 2 2 3 4" xfId="14981"/>
    <cellStyle name="Normal 11 3 2 2 2 3 4 2" xfId="37840"/>
    <cellStyle name="Normal 11 3 2 2 2 3 5" xfId="25538"/>
    <cellStyle name="Normal 11 3 2 2 2 4" xfId="4434"/>
    <cellStyle name="Normal 11 3 2 2 2 4 2" xfId="16738"/>
    <cellStyle name="Normal 11 3 2 2 2 4 2 2" xfId="39597"/>
    <cellStyle name="Normal 11 3 2 2 2 4 3" xfId="27295"/>
    <cellStyle name="Normal 11 3 2 2 2 5" xfId="7949"/>
    <cellStyle name="Normal 11 3 2 2 2 5 2" xfId="20253"/>
    <cellStyle name="Normal 11 3 2 2 2 5 2 2" xfId="43112"/>
    <cellStyle name="Normal 11 3 2 2 2 5 3" xfId="30810"/>
    <cellStyle name="Normal 11 3 2 2 2 6" xfId="11464"/>
    <cellStyle name="Normal 11 3 2 2 2 6 2" xfId="34324"/>
    <cellStyle name="Normal 11 3 2 2 2 7" xfId="13223"/>
    <cellStyle name="Normal 11 3 2 2 2 7 2" xfId="36082"/>
    <cellStyle name="Normal 11 3 2 2 2 8" xfId="23779"/>
    <cellStyle name="Normal 11 3 2 2 3" xfId="1355"/>
    <cellStyle name="Normal 11 3 2 2 3 2" xfId="3116"/>
    <cellStyle name="Normal 11 3 2 2 3 2 2" xfId="6631"/>
    <cellStyle name="Normal 11 3 2 2 3 2 2 2" xfId="18935"/>
    <cellStyle name="Normal 11 3 2 2 3 2 2 2 2" xfId="41794"/>
    <cellStyle name="Normal 11 3 2 2 3 2 2 3" xfId="29492"/>
    <cellStyle name="Normal 11 3 2 2 3 2 3" xfId="10146"/>
    <cellStyle name="Normal 11 3 2 2 3 2 3 2" xfId="22450"/>
    <cellStyle name="Normal 11 3 2 2 3 2 3 2 2" xfId="45309"/>
    <cellStyle name="Normal 11 3 2 2 3 2 3 3" xfId="33007"/>
    <cellStyle name="Normal 11 3 2 2 3 2 4" xfId="15420"/>
    <cellStyle name="Normal 11 3 2 2 3 2 4 2" xfId="38279"/>
    <cellStyle name="Normal 11 3 2 2 3 2 5" xfId="25977"/>
    <cellStyle name="Normal 11 3 2 2 3 3" xfId="4873"/>
    <cellStyle name="Normal 11 3 2 2 3 3 2" xfId="17177"/>
    <cellStyle name="Normal 11 3 2 2 3 3 2 2" xfId="40036"/>
    <cellStyle name="Normal 11 3 2 2 3 3 3" xfId="27734"/>
    <cellStyle name="Normal 11 3 2 2 3 4" xfId="8388"/>
    <cellStyle name="Normal 11 3 2 2 3 4 2" xfId="20692"/>
    <cellStyle name="Normal 11 3 2 2 3 4 2 2" xfId="43551"/>
    <cellStyle name="Normal 11 3 2 2 3 4 3" xfId="31249"/>
    <cellStyle name="Normal 11 3 2 2 3 5" xfId="11903"/>
    <cellStyle name="Normal 11 3 2 2 3 5 2" xfId="34763"/>
    <cellStyle name="Normal 11 3 2 2 3 6" xfId="13662"/>
    <cellStyle name="Normal 11 3 2 2 3 6 2" xfId="36521"/>
    <cellStyle name="Normal 11 3 2 2 3 7" xfId="24218"/>
    <cellStyle name="Normal 11 3 2 2 4" xfId="2238"/>
    <cellStyle name="Normal 11 3 2 2 4 2" xfId="5753"/>
    <cellStyle name="Normal 11 3 2 2 4 2 2" xfId="18057"/>
    <cellStyle name="Normal 11 3 2 2 4 2 2 2" xfId="40916"/>
    <cellStyle name="Normal 11 3 2 2 4 2 3" xfId="28614"/>
    <cellStyle name="Normal 11 3 2 2 4 3" xfId="9268"/>
    <cellStyle name="Normal 11 3 2 2 4 3 2" xfId="21572"/>
    <cellStyle name="Normal 11 3 2 2 4 3 2 2" xfId="44431"/>
    <cellStyle name="Normal 11 3 2 2 4 3 3" xfId="32129"/>
    <cellStyle name="Normal 11 3 2 2 4 4" xfId="14542"/>
    <cellStyle name="Normal 11 3 2 2 4 4 2" xfId="37401"/>
    <cellStyle name="Normal 11 3 2 2 4 5" xfId="25099"/>
    <cellStyle name="Normal 11 3 2 2 5" xfId="3995"/>
    <cellStyle name="Normal 11 3 2 2 5 2" xfId="16299"/>
    <cellStyle name="Normal 11 3 2 2 5 2 2" xfId="39158"/>
    <cellStyle name="Normal 11 3 2 2 5 3" xfId="26856"/>
    <cellStyle name="Normal 11 3 2 2 6" xfId="7510"/>
    <cellStyle name="Normal 11 3 2 2 6 2" xfId="19814"/>
    <cellStyle name="Normal 11 3 2 2 6 2 2" xfId="42673"/>
    <cellStyle name="Normal 11 3 2 2 6 3" xfId="30371"/>
    <cellStyle name="Normal 11 3 2 2 7" xfId="11025"/>
    <cellStyle name="Normal 11 3 2 2 7 2" xfId="33885"/>
    <cellStyle name="Normal 11 3 2 2 8" xfId="12784"/>
    <cellStyle name="Normal 11 3 2 2 8 2" xfId="35643"/>
    <cellStyle name="Normal 11 3 2 2 9" xfId="23339"/>
    <cellStyle name="Normal 11 3 2 3" xfId="703"/>
    <cellStyle name="Normal 11 3 2 3 2" xfId="1582"/>
    <cellStyle name="Normal 11 3 2 3 2 2" xfId="3343"/>
    <cellStyle name="Normal 11 3 2 3 2 2 2" xfId="6858"/>
    <cellStyle name="Normal 11 3 2 3 2 2 2 2" xfId="19162"/>
    <cellStyle name="Normal 11 3 2 3 2 2 2 2 2" xfId="42021"/>
    <cellStyle name="Normal 11 3 2 3 2 2 2 3" xfId="29719"/>
    <cellStyle name="Normal 11 3 2 3 2 2 3" xfId="10373"/>
    <cellStyle name="Normal 11 3 2 3 2 2 3 2" xfId="22677"/>
    <cellStyle name="Normal 11 3 2 3 2 2 3 2 2" xfId="45536"/>
    <cellStyle name="Normal 11 3 2 3 2 2 3 3" xfId="33234"/>
    <cellStyle name="Normal 11 3 2 3 2 2 4" xfId="15647"/>
    <cellStyle name="Normal 11 3 2 3 2 2 4 2" xfId="38506"/>
    <cellStyle name="Normal 11 3 2 3 2 2 5" xfId="26204"/>
    <cellStyle name="Normal 11 3 2 3 2 3" xfId="5100"/>
    <cellStyle name="Normal 11 3 2 3 2 3 2" xfId="17404"/>
    <cellStyle name="Normal 11 3 2 3 2 3 2 2" xfId="40263"/>
    <cellStyle name="Normal 11 3 2 3 2 3 3" xfId="27961"/>
    <cellStyle name="Normal 11 3 2 3 2 4" xfId="8615"/>
    <cellStyle name="Normal 11 3 2 3 2 4 2" xfId="20919"/>
    <cellStyle name="Normal 11 3 2 3 2 4 2 2" xfId="43778"/>
    <cellStyle name="Normal 11 3 2 3 2 4 3" xfId="31476"/>
    <cellStyle name="Normal 11 3 2 3 2 5" xfId="12130"/>
    <cellStyle name="Normal 11 3 2 3 2 5 2" xfId="34990"/>
    <cellStyle name="Normal 11 3 2 3 2 6" xfId="13889"/>
    <cellStyle name="Normal 11 3 2 3 2 6 2" xfId="36748"/>
    <cellStyle name="Normal 11 3 2 3 2 7" xfId="24445"/>
    <cellStyle name="Normal 11 3 2 3 3" xfId="2465"/>
    <cellStyle name="Normal 11 3 2 3 3 2" xfId="5980"/>
    <cellStyle name="Normal 11 3 2 3 3 2 2" xfId="18284"/>
    <cellStyle name="Normal 11 3 2 3 3 2 2 2" xfId="41143"/>
    <cellStyle name="Normal 11 3 2 3 3 2 3" xfId="28841"/>
    <cellStyle name="Normal 11 3 2 3 3 3" xfId="9495"/>
    <cellStyle name="Normal 11 3 2 3 3 3 2" xfId="21799"/>
    <cellStyle name="Normal 11 3 2 3 3 3 2 2" xfId="44658"/>
    <cellStyle name="Normal 11 3 2 3 3 3 3" xfId="32356"/>
    <cellStyle name="Normal 11 3 2 3 3 4" xfId="14769"/>
    <cellStyle name="Normal 11 3 2 3 3 4 2" xfId="37628"/>
    <cellStyle name="Normal 11 3 2 3 3 5" xfId="25326"/>
    <cellStyle name="Normal 11 3 2 3 4" xfId="4222"/>
    <cellStyle name="Normal 11 3 2 3 4 2" xfId="16526"/>
    <cellStyle name="Normal 11 3 2 3 4 2 2" xfId="39385"/>
    <cellStyle name="Normal 11 3 2 3 4 3" xfId="27083"/>
    <cellStyle name="Normal 11 3 2 3 5" xfId="7737"/>
    <cellStyle name="Normal 11 3 2 3 5 2" xfId="20041"/>
    <cellStyle name="Normal 11 3 2 3 5 2 2" xfId="42900"/>
    <cellStyle name="Normal 11 3 2 3 5 3" xfId="30598"/>
    <cellStyle name="Normal 11 3 2 3 6" xfId="11252"/>
    <cellStyle name="Normal 11 3 2 3 6 2" xfId="34112"/>
    <cellStyle name="Normal 11 3 2 3 7" xfId="13011"/>
    <cellStyle name="Normal 11 3 2 3 7 2" xfId="35870"/>
    <cellStyle name="Normal 11 3 2 3 8" xfId="23567"/>
    <cellStyle name="Normal 11 3 2 4" xfId="1143"/>
    <cellStyle name="Normal 11 3 2 4 2" xfId="2904"/>
    <cellStyle name="Normal 11 3 2 4 2 2" xfId="6419"/>
    <cellStyle name="Normal 11 3 2 4 2 2 2" xfId="18723"/>
    <cellStyle name="Normal 11 3 2 4 2 2 2 2" xfId="41582"/>
    <cellStyle name="Normal 11 3 2 4 2 2 3" xfId="29280"/>
    <cellStyle name="Normal 11 3 2 4 2 3" xfId="9934"/>
    <cellStyle name="Normal 11 3 2 4 2 3 2" xfId="22238"/>
    <cellStyle name="Normal 11 3 2 4 2 3 2 2" xfId="45097"/>
    <cellStyle name="Normal 11 3 2 4 2 3 3" xfId="32795"/>
    <cellStyle name="Normal 11 3 2 4 2 4" xfId="15208"/>
    <cellStyle name="Normal 11 3 2 4 2 4 2" xfId="38067"/>
    <cellStyle name="Normal 11 3 2 4 2 5" xfId="25765"/>
    <cellStyle name="Normal 11 3 2 4 3" xfId="4661"/>
    <cellStyle name="Normal 11 3 2 4 3 2" xfId="16965"/>
    <cellStyle name="Normal 11 3 2 4 3 2 2" xfId="39824"/>
    <cellStyle name="Normal 11 3 2 4 3 3" xfId="27522"/>
    <cellStyle name="Normal 11 3 2 4 4" xfId="8176"/>
    <cellStyle name="Normal 11 3 2 4 4 2" xfId="20480"/>
    <cellStyle name="Normal 11 3 2 4 4 2 2" xfId="43339"/>
    <cellStyle name="Normal 11 3 2 4 4 3" xfId="31037"/>
    <cellStyle name="Normal 11 3 2 4 5" xfId="11691"/>
    <cellStyle name="Normal 11 3 2 4 5 2" xfId="34551"/>
    <cellStyle name="Normal 11 3 2 4 6" xfId="13450"/>
    <cellStyle name="Normal 11 3 2 4 6 2" xfId="36309"/>
    <cellStyle name="Normal 11 3 2 4 7" xfId="24006"/>
    <cellStyle name="Normal 11 3 2 5" xfId="2026"/>
    <cellStyle name="Normal 11 3 2 5 2" xfId="5541"/>
    <cellStyle name="Normal 11 3 2 5 2 2" xfId="17845"/>
    <cellStyle name="Normal 11 3 2 5 2 2 2" xfId="40704"/>
    <cellStyle name="Normal 11 3 2 5 2 3" xfId="28402"/>
    <cellStyle name="Normal 11 3 2 5 3" xfId="9056"/>
    <cellStyle name="Normal 11 3 2 5 3 2" xfId="21360"/>
    <cellStyle name="Normal 11 3 2 5 3 2 2" xfId="44219"/>
    <cellStyle name="Normal 11 3 2 5 3 3" xfId="31917"/>
    <cellStyle name="Normal 11 3 2 5 4" xfId="14330"/>
    <cellStyle name="Normal 11 3 2 5 4 2" xfId="37189"/>
    <cellStyle name="Normal 11 3 2 5 5" xfId="24887"/>
    <cellStyle name="Normal 11 3 2 6" xfId="3783"/>
    <cellStyle name="Normal 11 3 2 6 2" xfId="16087"/>
    <cellStyle name="Normal 11 3 2 6 2 2" xfId="38946"/>
    <cellStyle name="Normal 11 3 2 6 3" xfId="26644"/>
    <cellStyle name="Normal 11 3 2 7" xfId="7298"/>
    <cellStyle name="Normal 11 3 2 7 2" xfId="19602"/>
    <cellStyle name="Normal 11 3 2 7 2 2" xfId="42461"/>
    <cellStyle name="Normal 11 3 2 7 3" xfId="30159"/>
    <cellStyle name="Normal 11 3 2 8" xfId="10813"/>
    <cellStyle name="Normal 11 3 2 8 2" xfId="33673"/>
    <cellStyle name="Normal 11 3 2 9" xfId="12572"/>
    <cellStyle name="Normal 11 3 2 9 2" xfId="35431"/>
    <cellStyle name="Normal 11 3 3" xfId="368"/>
    <cellStyle name="Normal 11 3 3 2" xfId="809"/>
    <cellStyle name="Normal 11 3 3 2 2" xfId="1688"/>
    <cellStyle name="Normal 11 3 3 2 2 2" xfId="3449"/>
    <cellStyle name="Normal 11 3 3 2 2 2 2" xfId="6964"/>
    <cellStyle name="Normal 11 3 3 2 2 2 2 2" xfId="19268"/>
    <cellStyle name="Normal 11 3 3 2 2 2 2 2 2" xfId="42127"/>
    <cellStyle name="Normal 11 3 3 2 2 2 2 3" xfId="29825"/>
    <cellStyle name="Normal 11 3 3 2 2 2 3" xfId="10479"/>
    <cellStyle name="Normal 11 3 3 2 2 2 3 2" xfId="22783"/>
    <cellStyle name="Normal 11 3 3 2 2 2 3 2 2" xfId="45642"/>
    <cellStyle name="Normal 11 3 3 2 2 2 3 3" xfId="33340"/>
    <cellStyle name="Normal 11 3 3 2 2 2 4" xfId="15753"/>
    <cellStyle name="Normal 11 3 3 2 2 2 4 2" xfId="38612"/>
    <cellStyle name="Normal 11 3 3 2 2 2 5" xfId="26310"/>
    <cellStyle name="Normal 11 3 3 2 2 3" xfId="5206"/>
    <cellStyle name="Normal 11 3 3 2 2 3 2" xfId="17510"/>
    <cellStyle name="Normal 11 3 3 2 2 3 2 2" xfId="40369"/>
    <cellStyle name="Normal 11 3 3 2 2 3 3" xfId="28067"/>
    <cellStyle name="Normal 11 3 3 2 2 4" xfId="8721"/>
    <cellStyle name="Normal 11 3 3 2 2 4 2" xfId="21025"/>
    <cellStyle name="Normal 11 3 3 2 2 4 2 2" xfId="43884"/>
    <cellStyle name="Normal 11 3 3 2 2 4 3" xfId="31582"/>
    <cellStyle name="Normal 11 3 3 2 2 5" xfId="12236"/>
    <cellStyle name="Normal 11 3 3 2 2 5 2" xfId="35096"/>
    <cellStyle name="Normal 11 3 3 2 2 6" xfId="13995"/>
    <cellStyle name="Normal 11 3 3 2 2 6 2" xfId="36854"/>
    <cellStyle name="Normal 11 3 3 2 2 7" xfId="24551"/>
    <cellStyle name="Normal 11 3 3 2 3" xfId="2571"/>
    <cellStyle name="Normal 11 3 3 2 3 2" xfId="6086"/>
    <cellStyle name="Normal 11 3 3 2 3 2 2" xfId="18390"/>
    <cellStyle name="Normal 11 3 3 2 3 2 2 2" xfId="41249"/>
    <cellStyle name="Normal 11 3 3 2 3 2 3" xfId="28947"/>
    <cellStyle name="Normal 11 3 3 2 3 3" xfId="9601"/>
    <cellStyle name="Normal 11 3 3 2 3 3 2" xfId="21905"/>
    <cellStyle name="Normal 11 3 3 2 3 3 2 2" xfId="44764"/>
    <cellStyle name="Normal 11 3 3 2 3 3 3" xfId="32462"/>
    <cellStyle name="Normal 11 3 3 2 3 4" xfId="14875"/>
    <cellStyle name="Normal 11 3 3 2 3 4 2" xfId="37734"/>
    <cellStyle name="Normal 11 3 3 2 3 5" xfId="25432"/>
    <cellStyle name="Normal 11 3 3 2 4" xfId="4328"/>
    <cellStyle name="Normal 11 3 3 2 4 2" xfId="16632"/>
    <cellStyle name="Normal 11 3 3 2 4 2 2" xfId="39491"/>
    <cellStyle name="Normal 11 3 3 2 4 3" xfId="27189"/>
    <cellStyle name="Normal 11 3 3 2 5" xfId="7843"/>
    <cellStyle name="Normal 11 3 3 2 5 2" xfId="20147"/>
    <cellStyle name="Normal 11 3 3 2 5 2 2" xfId="43006"/>
    <cellStyle name="Normal 11 3 3 2 5 3" xfId="30704"/>
    <cellStyle name="Normal 11 3 3 2 6" xfId="11358"/>
    <cellStyle name="Normal 11 3 3 2 6 2" xfId="34218"/>
    <cellStyle name="Normal 11 3 3 2 7" xfId="13117"/>
    <cellStyle name="Normal 11 3 3 2 7 2" xfId="35976"/>
    <cellStyle name="Normal 11 3 3 2 8" xfId="23673"/>
    <cellStyle name="Normal 11 3 3 3" xfId="1249"/>
    <cellStyle name="Normal 11 3 3 3 2" xfId="3010"/>
    <cellStyle name="Normal 11 3 3 3 2 2" xfId="6525"/>
    <cellStyle name="Normal 11 3 3 3 2 2 2" xfId="18829"/>
    <cellStyle name="Normal 11 3 3 3 2 2 2 2" xfId="41688"/>
    <cellStyle name="Normal 11 3 3 3 2 2 3" xfId="29386"/>
    <cellStyle name="Normal 11 3 3 3 2 3" xfId="10040"/>
    <cellStyle name="Normal 11 3 3 3 2 3 2" xfId="22344"/>
    <cellStyle name="Normal 11 3 3 3 2 3 2 2" xfId="45203"/>
    <cellStyle name="Normal 11 3 3 3 2 3 3" xfId="32901"/>
    <cellStyle name="Normal 11 3 3 3 2 4" xfId="15314"/>
    <cellStyle name="Normal 11 3 3 3 2 4 2" xfId="38173"/>
    <cellStyle name="Normal 11 3 3 3 2 5" xfId="25871"/>
    <cellStyle name="Normal 11 3 3 3 3" xfId="4767"/>
    <cellStyle name="Normal 11 3 3 3 3 2" xfId="17071"/>
    <cellStyle name="Normal 11 3 3 3 3 2 2" xfId="39930"/>
    <cellStyle name="Normal 11 3 3 3 3 3" xfId="27628"/>
    <cellStyle name="Normal 11 3 3 3 4" xfId="8282"/>
    <cellStyle name="Normal 11 3 3 3 4 2" xfId="20586"/>
    <cellStyle name="Normal 11 3 3 3 4 2 2" xfId="43445"/>
    <cellStyle name="Normal 11 3 3 3 4 3" xfId="31143"/>
    <cellStyle name="Normal 11 3 3 3 5" xfId="11797"/>
    <cellStyle name="Normal 11 3 3 3 5 2" xfId="34657"/>
    <cellStyle name="Normal 11 3 3 3 6" xfId="13556"/>
    <cellStyle name="Normal 11 3 3 3 6 2" xfId="36415"/>
    <cellStyle name="Normal 11 3 3 3 7" xfId="24112"/>
    <cellStyle name="Normal 11 3 3 4" xfId="2132"/>
    <cellStyle name="Normal 11 3 3 4 2" xfId="5647"/>
    <cellStyle name="Normal 11 3 3 4 2 2" xfId="17951"/>
    <cellStyle name="Normal 11 3 3 4 2 2 2" xfId="40810"/>
    <cellStyle name="Normal 11 3 3 4 2 3" xfId="28508"/>
    <cellStyle name="Normal 11 3 3 4 3" xfId="9162"/>
    <cellStyle name="Normal 11 3 3 4 3 2" xfId="21466"/>
    <cellStyle name="Normal 11 3 3 4 3 2 2" xfId="44325"/>
    <cellStyle name="Normal 11 3 3 4 3 3" xfId="32023"/>
    <cellStyle name="Normal 11 3 3 4 4" xfId="14436"/>
    <cellStyle name="Normal 11 3 3 4 4 2" xfId="37295"/>
    <cellStyle name="Normal 11 3 3 4 5" xfId="24993"/>
    <cellStyle name="Normal 11 3 3 5" xfId="3889"/>
    <cellStyle name="Normal 11 3 3 5 2" xfId="16193"/>
    <cellStyle name="Normal 11 3 3 5 2 2" xfId="39052"/>
    <cellStyle name="Normal 11 3 3 5 3" xfId="26750"/>
    <cellStyle name="Normal 11 3 3 6" xfId="7404"/>
    <cellStyle name="Normal 11 3 3 6 2" xfId="19708"/>
    <cellStyle name="Normal 11 3 3 6 2 2" xfId="42567"/>
    <cellStyle name="Normal 11 3 3 6 3" xfId="30265"/>
    <cellStyle name="Normal 11 3 3 7" xfId="10919"/>
    <cellStyle name="Normal 11 3 3 7 2" xfId="33779"/>
    <cellStyle name="Normal 11 3 3 8" xfId="12678"/>
    <cellStyle name="Normal 11 3 3 8 2" xfId="35537"/>
    <cellStyle name="Normal 11 3 3 9" xfId="23233"/>
    <cellStyle name="Normal 11 3 4" xfId="597"/>
    <cellStyle name="Normal 11 3 4 2" xfId="1476"/>
    <cellStyle name="Normal 11 3 4 2 2" xfId="3237"/>
    <cellStyle name="Normal 11 3 4 2 2 2" xfId="6752"/>
    <cellStyle name="Normal 11 3 4 2 2 2 2" xfId="19056"/>
    <cellStyle name="Normal 11 3 4 2 2 2 2 2" xfId="41915"/>
    <cellStyle name="Normal 11 3 4 2 2 2 3" xfId="29613"/>
    <cellStyle name="Normal 11 3 4 2 2 3" xfId="10267"/>
    <cellStyle name="Normal 11 3 4 2 2 3 2" xfId="22571"/>
    <cellStyle name="Normal 11 3 4 2 2 3 2 2" xfId="45430"/>
    <cellStyle name="Normal 11 3 4 2 2 3 3" xfId="33128"/>
    <cellStyle name="Normal 11 3 4 2 2 4" xfId="15541"/>
    <cellStyle name="Normal 11 3 4 2 2 4 2" xfId="38400"/>
    <cellStyle name="Normal 11 3 4 2 2 5" xfId="26098"/>
    <cellStyle name="Normal 11 3 4 2 3" xfId="4994"/>
    <cellStyle name="Normal 11 3 4 2 3 2" xfId="17298"/>
    <cellStyle name="Normal 11 3 4 2 3 2 2" xfId="40157"/>
    <cellStyle name="Normal 11 3 4 2 3 3" xfId="27855"/>
    <cellStyle name="Normal 11 3 4 2 4" xfId="8509"/>
    <cellStyle name="Normal 11 3 4 2 4 2" xfId="20813"/>
    <cellStyle name="Normal 11 3 4 2 4 2 2" xfId="43672"/>
    <cellStyle name="Normal 11 3 4 2 4 3" xfId="31370"/>
    <cellStyle name="Normal 11 3 4 2 5" xfId="12024"/>
    <cellStyle name="Normal 11 3 4 2 5 2" xfId="34884"/>
    <cellStyle name="Normal 11 3 4 2 6" xfId="13783"/>
    <cellStyle name="Normal 11 3 4 2 6 2" xfId="36642"/>
    <cellStyle name="Normal 11 3 4 2 7" xfId="24339"/>
    <cellStyle name="Normal 11 3 4 3" xfId="2359"/>
    <cellStyle name="Normal 11 3 4 3 2" xfId="5874"/>
    <cellStyle name="Normal 11 3 4 3 2 2" xfId="18178"/>
    <cellStyle name="Normal 11 3 4 3 2 2 2" xfId="41037"/>
    <cellStyle name="Normal 11 3 4 3 2 3" xfId="28735"/>
    <cellStyle name="Normal 11 3 4 3 3" xfId="9389"/>
    <cellStyle name="Normal 11 3 4 3 3 2" xfId="21693"/>
    <cellStyle name="Normal 11 3 4 3 3 2 2" xfId="44552"/>
    <cellStyle name="Normal 11 3 4 3 3 3" xfId="32250"/>
    <cellStyle name="Normal 11 3 4 3 4" xfId="14663"/>
    <cellStyle name="Normal 11 3 4 3 4 2" xfId="37522"/>
    <cellStyle name="Normal 11 3 4 3 5" xfId="25220"/>
    <cellStyle name="Normal 11 3 4 4" xfId="4116"/>
    <cellStyle name="Normal 11 3 4 4 2" xfId="16420"/>
    <cellStyle name="Normal 11 3 4 4 2 2" xfId="39279"/>
    <cellStyle name="Normal 11 3 4 4 3" xfId="26977"/>
    <cellStyle name="Normal 11 3 4 5" xfId="7631"/>
    <cellStyle name="Normal 11 3 4 5 2" xfId="19935"/>
    <cellStyle name="Normal 11 3 4 5 2 2" xfId="42794"/>
    <cellStyle name="Normal 11 3 4 5 3" xfId="30492"/>
    <cellStyle name="Normal 11 3 4 6" xfId="11146"/>
    <cellStyle name="Normal 11 3 4 6 2" xfId="34006"/>
    <cellStyle name="Normal 11 3 4 7" xfId="12905"/>
    <cellStyle name="Normal 11 3 4 7 2" xfId="35764"/>
    <cellStyle name="Normal 11 3 4 8" xfId="23461"/>
    <cellStyle name="Normal 11 3 5" xfId="1037"/>
    <cellStyle name="Normal 11 3 5 2" xfId="2798"/>
    <cellStyle name="Normal 11 3 5 2 2" xfId="6313"/>
    <cellStyle name="Normal 11 3 5 2 2 2" xfId="18617"/>
    <cellStyle name="Normal 11 3 5 2 2 2 2" xfId="41476"/>
    <cellStyle name="Normal 11 3 5 2 2 3" xfId="29174"/>
    <cellStyle name="Normal 11 3 5 2 3" xfId="9828"/>
    <cellStyle name="Normal 11 3 5 2 3 2" xfId="22132"/>
    <cellStyle name="Normal 11 3 5 2 3 2 2" xfId="44991"/>
    <cellStyle name="Normal 11 3 5 2 3 3" xfId="32689"/>
    <cellStyle name="Normal 11 3 5 2 4" xfId="15102"/>
    <cellStyle name="Normal 11 3 5 2 4 2" xfId="37961"/>
    <cellStyle name="Normal 11 3 5 2 5" xfId="25659"/>
    <cellStyle name="Normal 11 3 5 3" xfId="4555"/>
    <cellStyle name="Normal 11 3 5 3 2" xfId="16859"/>
    <cellStyle name="Normal 11 3 5 3 2 2" xfId="39718"/>
    <cellStyle name="Normal 11 3 5 3 3" xfId="27416"/>
    <cellStyle name="Normal 11 3 5 4" xfId="8070"/>
    <cellStyle name="Normal 11 3 5 4 2" xfId="20374"/>
    <cellStyle name="Normal 11 3 5 4 2 2" xfId="43233"/>
    <cellStyle name="Normal 11 3 5 4 3" xfId="30931"/>
    <cellStyle name="Normal 11 3 5 5" xfId="11585"/>
    <cellStyle name="Normal 11 3 5 5 2" xfId="34445"/>
    <cellStyle name="Normal 11 3 5 6" xfId="13344"/>
    <cellStyle name="Normal 11 3 5 6 2" xfId="36203"/>
    <cellStyle name="Normal 11 3 5 7" xfId="23900"/>
    <cellStyle name="Normal 11 3 6" xfId="1920"/>
    <cellStyle name="Normal 11 3 6 2" xfId="5435"/>
    <cellStyle name="Normal 11 3 6 2 2" xfId="17739"/>
    <cellStyle name="Normal 11 3 6 2 2 2" xfId="40598"/>
    <cellStyle name="Normal 11 3 6 2 3" xfId="28296"/>
    <cellStyle name="Normal 11 3 6 3" xfId="8950"/>
    <cellStyle name="Normal 11 3 6 3 2" xfId="21254"/>
    <cellStyle name="Normal 11 3 6 3 2 2" xfId="44113"/>
    <cellStyle name="Normal 11 3 6 3 3" xfId="31811"/>
    <cellStyle name="Normal 11 3 6 4" xfId="14224"/>
    <cellStyle name="Normal 11 3 6 4 2" xfId="37083"/>
    <cellStyle name="Normal 11 3 6 5" xfId="24781"/>
    <cellStyle name="Normal 11 3 7" xfId="3677"/>
    <cellStyle name="Normal 11 3 7 2" xfId="15981"/>
    <cellStyle name="Normal 11 3 7 2 2" xfId="38840"/>
    <cellStyle name="Normal 11 3 7 3" xfId="26538"/>
    <cellStyle name="Normal 11 3 8" xfId="7192"/>
    <cellStyle name="Normal 11 3 8 2" xfId="19496"/>
    <cellStyle name="Normal 11 3 8 2 2" xfId="42355"/>
    <cellStyle name="Normal 11 3 8 3" xfId="30053"/>
    <cellStyle name="Normal 11 3 9" xfId="10707"/>
    <cellStyle name="Normal 11 3 9 2" xfId="33567"/>
    <cellStyle name="Normal 11 4" xfId="208"/>
    <cellStyle name="Normal 11 4 10" xfId="23073"/>
    <cellStyle name="Normal 11 4 2" xfId="420"/>
    <cellStyle name="Normal 11 4 2 2" xfId="861"/>
    <cellStyle name="Normal 11 4 2 2 2" xfId="1740"/>
    <cellStyle name="Normal 11 4 2 2 2 2" xfId="3501"/>
    <cellStyle name="Normal 11 4 2 2 2 2 2" xfId="7016"/>
    <cellStyle name="Normal 11 4 2 2 2 2 2 2" xfId="19320"/>
    <cellStyle name="Normal 11 4 2 2 2 2 2 2 2" xfId="42179"/>
    <cellStyle name="Normal 11 4 2 2 2 2 2 3" xfId="29877"/>
    <cellStyle name="Normal 11 4 2 2 2 2 3" xfId="10531"/>
    <cellStyle name="Normal 11 4 2 2 2 2 3 2" xfId="22835"/>
    <cellStyle name="Normal 11 4 2 2 2 2 3 2 2" xfId="45694"/>
    <cellStyle name="Normal 11 4 2 2 2 2 3 3" xfId="33392"/>
    <cellStyle name="Normal 11 4 2 2 2 2 4" xfId="15805"/>
    <cellStyle name="Normal 11 4 2 2 2 2 4 2" xfId="38664"/>
    <cellStyle name="Normal 11 4 2 2 2 2 5" xfId="26362"/>
    <cellStyle name="Normal 11 4 2 2 2 3" xfId="5258"/>
    <cellStyle name="Normal 11 4 2 2 2 3 2" xfId="17562"/>
    <cellStyle name="Normal 11 4 2 2 2 3 2 2" xfId="40421"/>
    <cellStyle name="Normal 11 4 2 2 2 3 3" xfId="28119"/>
    <cellStyle name="Normal 11 4 2 2 2 4" xfId="8773"/>
    <cellStyle name="Normal 11 4 2 2 2 4 2" xfId="21077"/>
    <cellStyle name="Normal 11 4 2 2 2 4 2 2" xfId="43936"/>
    <cellStyle name="Normal 11 4 2 2 2 4 3" xfId="31634"/>
    <cellStyle name="Normal 11 4 2 2 2 5" xfId="12288"/>
    <cellStyle name="Normal 11 4 2 2 2 5 2" xfId="35148"/>
    <cellStyle name="Normal 11 4 2 2 2 6" xfId="14047"/>
    <cellStyle name="Normal 11 4 2 2 2 6 2" xfId="36906"/>
    <cellStyle name="Normal 11 4 2 2 2 7" xfId="24603"/>
    <cellStyle name="Normal 11 4 2 2 3" xfId="2623"/>
    <cellStyle name="Normal 11 4 2 2 3 2" xfId="6138"/>
    <cellStyle name="Normal 11 4 2 2 3 2 2" xfId="18442"/>
    <cellStyle name="Normal 11 4 2 2 3 2 2 2" xfId="41301"/>
    <cellStyle name="Normal 11 4 2 2 3 2 3" xfId="28999"/>
    <cellStyle name="Normal 11 4 2 2 3 3" xfId="9653"/>
    <cellStyle name="Normal 11 4 2 2 3 3 2" xfId="21957"/>
    <cellStyle name="Normal 11 4 2 2 3 3 2 2" xfId="44816"/>
    <cellStyle name="Normal 11 4 2 2 3 3 3" xfId="32514"/>
    <cellStyle name="Normal 11 4 2 2 3 4" xfId="14927"/>
    <cellStyle name="Normal 11 4 2 2 3 4 2" xfId="37786"/>
    <cellStyle name="Normal 11 4 2 2 3 5" xfId="25484"/>
    <cellStyle name="Normal 11 4 2 2 4" xfId="4380"/>
    <cellStyle name="Normal 11 4 2 2 4 2" xfId="16684"/>
    <cellStyle name="Normal 11 4 2 2 4 2 2" xfId="39543"/>
    <cellStyle name="Normal 11 4 2 2 4 3" xfId="27241"/>
    <cellStyle name="Normal 11 4 2 2 5" xfId="7895"/>
    <cellStyle name="Normal 11 4 2 2 5 2" xfId="20199"/>
    <cellStyle name="Normal 11 4 2 2 5 2 2" xfId="43058"/>
    <cellStyle name="Normal 11 4 2 2 5 3" xfId="30756"/>
    <cellStyle name="Normal 11 4 2 2 6" xfId="11410"/>
    <cellStyle name="Normal 11 4 2 2 6 2" xfId="34270"/>
    <cellStyle name="Normal 11 4 2 2 7" xfId="13169"/>
    <cellStyle name="Normal 11 4 2 2 7 2" xfId="36028"/>
    <cellStyle name="Normal 11 4 2 2 8" xfId="23725"/>
    <cellStyle name="Normal 11 4 2 3" xfId="1301"/>
    <cellStyle name="Normal 11 4 2 3 2" xfId="3062"/>
    <cellStyle name="Normal 11 4 2 3 2 2" xfId="6577"/>
    <cellStyle name="Normal 11 4 2 3 2 2 2" xfId="18881"/>
    <cellStyle name="Normal 11 4 2 3 2 2 2 2" xfId="41740"/>
    <cellStyle name="Normal 11 4 2 3 2 2 3" xfId="29438"/>
    <cellStyle name="Normal 11 4 2 3 2 3" xfId="10092"/>
    <cellStyle name="Normal 11 4 2 3 2 3 2" xfId="22396"/>
    <cellStyle name="Normal 11 4 2 3 2 3 2 2" xfId="45255"/>
    <cellStyle name="Normal 11 4 2 3 2 3 3" xfId="32953"/>
    <cellStyle name="Normal 11 4 2 3 2 4" xfId="15366"/>
    <cellStyle name="Normal 11 4 2 3 2 4 2" xfId="38225"/>
    <cellStyle name="Normal 11 4 2 3 2 5" xfId="25923"/>
    <cellStyle name="Normal 11 4 2 3 3" xfId="4819"/>
    <cellStyle name="Normal 11 4 2 3 3 2" xfId="17123"/>
    <cellStyle name="Normal 11 4 2 3 3 2 2" xfId="39982"/>
    <cellStyle name="Normal 11 4 2 3 3 3" xfId="27680"/>
    <cellStyle name="Normal 11 4 2 3 4" xfId="8334"/>
    <cellStyle name="Normal 11 4 2 3 4 2" xfId="20638"/>
    <cellStyle name="Normal 11 4 2 3 4 2 2" xfId="43497"/>
    <cellStyle name="Normal 11 4 2 3 4 3" xfId="31195"/>
    <cellStyle name="Normal 11 4 2 3 5" xfId="11849"/>
    <cellStyle name="Normal 11 4 2 3 5 2" xfId="34709"/>
    <cellStyle name="Normal 11 4 2 3 6" xfId="13608"/>
    <cellStyle name="Normal 11 4 2 3 6 2" xfId="36467"/>
    <cellStyle name="Normal 11 4 2 3 7" xfId="24164"/>
    <cellStyle name="Normal 11 4 2 4" xfId="2184"/>
    <cellStyle name="Normal 11 4 2 4 2" xfId="5699"/>
    <cellStyle name="Normal 11 4 2 4 2 2" xfId="18003"/>
    <cellStyle name="Normal 11 4 2 4 2 2 2" xfId="40862"/>
    <cellStyle name="Normal 11 4 2 4 2 3" xfId="28560"/>
    <cellStyle name="Normal 11 4 2 4 3" xfId="9214"/>
    <cellStyle name="Normal 11 4 2 4 3 2" xfId="21518"/>
    <cellStyle name="Normal 11 4 2 4 3 2 2" xfId="44377"/>
    <cellStyle name="Normal 11 4 2 4 3 3" xfId="32075"/>
    <cellStyle name="Normal 11 4 2 4 4" xfId="14488"/>
    <cellStyle name="Normal 11 4 2 4 4 2" xfId="37347"/>
    <cellStyle name="Normal 11 4 2 4 5" xfId="25045"/>
    <cellStyle name="Normal 11 4 2 5" xfId="3941"/>
    <cellStyle name="Normal 11 4 2 5 2" xfId="16245"/>
    <cellStyle name="Normal 11 4 2 5 2 2" xfId="39104"/>
    <cellStyle name="Normal 11 4 2 5 3" xfId="26802"/>
    <cellStyle name="Normal 11 4 2 6" xfId="7456"/>
    <cellStyle name="Normal 11 4 2 6 2" xfId="19760"/>
    <cellStyle name="Normal 11 4 2 6 2 2" xfId="42619"/>
    <cellStyle name="Normal 11 4 2 6 3" xfId="30317"/>
    <cellStyle name="Normal 11 4 2 7" xfId="10971"/>
    <cellStyle name="Normal 11 4 2 7 2" xfId="33831"/>
    <cellStyle name="Normal 11 4 2 8" xfId="12730"/>
    <cellStyle name="Normal 11 4 2 8 2" xfId="35589"/>
    <cellStyle name="Normal 11 4 2 9" xfId="23285"/>
    <cellStyle name="Normal 11 4 3" xfId="649"/>
    <cellStyle name="Normal 11 4 3 2" xfId="1528"/>
    <cellStyle name="Normal 11 4 3 2 2" xfId="3289"/>
    <cellStyle name="Normal 11 4 3 2 2 2" xfId="6804"/>
    <cellStyle name="Normal 11 4 3 2 2 2 2" xfId="19108"/>
    <cellStyle name="Normal 11 4 3 2 2 2 2 2" xfId="41967"/>
    <cellStyle name="Normal 11 4 3 2 2 2 3" xfId="29665"/>
    <cellStyle name="Normal 11 4 3 2 2 3" xfId="10319"/>
    <cellStyle name="Normal 11 4 3 2 2 3 2" xfId="22623"/>
    <cellStyle name="Normal 11 4 3 2 2 3 2 2" xfId="45482"/>
    <cellStyle name="Normal 11 4 3 2 2 3 3" xfId="33180"/>
    <cellStyle name="Normal 11 4 3 2 2 4" xfId="15593"/>
    <cellStyle name="Normal 11 4 3 2 2 4 2" xfId="38452"/>
    <cellStyle name="Normal 11 4 3 2 2 5" xfId="26150"/>
    <cellStyle name="Normal 11 4 3 2 3" xfId="5046"/>
    <cellStyle name="Normal 11 4 3 2 3 2" xfId="17350"/>
    <cellStyle name="Normal 11 4 3 2 3 2 2" xfId="40209"/>
    <cellStyle name="Normal 11 4 3 2 3 3" xfId="27907"/>
    <cellStyle name="Normal 11 4 3 2 4" xfId="8561"/>
    <cellStyle name="Normal 11 4 3 2 4 2" xfId="20865"/>
    <cellStyle name="Normal 11 4 3 2 4 2 2" xfId="43724"/>
    <cellStyle name="Normal 11 4 3 2 4 3" xfId="31422"/>
    <cellStyle name="Normal 11 4 3 2 5" xfId="12076"/>
    <cellStyle name="Normal 11 4 3 2 5 2" xfId="34936"/>
    <cellStyle name="Normal 11 4 3 2 6" xfId="13835"/>
    <cellStyle name="Normal 11 4 3 2 6 2" xfId="36694"/>
    <cellStyle name="Normal 11 4 3 2 7" xfId="24391"/>
    <cellStyle name="Normal 11 4 3 3" xfId="2411"/>
    <cellStyle name="Normal 11 4 3 3 2" xfId="5926"/>
    <cellStyle name="Normal 11 4 3 3 2 2" xfId="18230"/>
    <cellStyle name="Normal 11 4 3 3 2 2 2" xfId="41089"/>
    <cellStyle name="Normal 11 4 3 3 2 3" xfId="28787"/>
    <cellStyle name="Normal 11 4 3 3 3" xfId="9441"/>
    <cellStyle name="Normal 11 4 3 3 3 2" xfId="21745"/>
    <cellStyle name="Normal 11 4 3 3 3 2 2" xfId="44604"/>
    <cellStyle name="Normal 11 4 3 3 3 3" xfId="32302"/>
    <cellStyle name="Normal 11 4 3 3 4" xfId="14715"/>
    <cellStyle name="Normal 11 4 3 3 4 2" xfId="37574"/>
    <cellStyle name="Normal 11 4 3 3 5" xfId="25272"/>
    <cellStyle name="Normal 11 4 3 4" xfId="4168"/>
    <cellStyle name="Normal 11 4 3 4 2" xfId="16472"/>
    <cellStyle name="Normal 11 4 3 4 2 2" xfId="39331"/>
    <cellStyle name="Normal 11 4 3 4 3" xfId="27029"/>
    <cellStyle name="Normal 11 4 3 5" xfId="7683"/>
    <cellStyle name="Normal 11 4 3 5 2" xfId="19987"/>
    <cellStyle name="Normal 11 4 3 5 2 2" xfId="42846"/>
    <cellStyle name="Normal 11 4 3 5 3" xfId="30544"/>
    <cellStyle name="Normal 11 4 3 6" xfId="11198"/>
    <cellStyle name="Normal 11 4 3 6 2" xfId="34058"/>
    <cellStyle name="Normal 11 4 3 7" xfId="12957"/>
    <cellStyle name="Normal 11 4 3 7 2" xfId="35816"/>
    <cellStyle name="Normal 11 4 3 8" xfId="23513"/>
    <cellStyle name="Normal 11 4 4" xfId="1089"/>
    <cellStyle name="Normal 11 4 4 2" xfId="2850"/>
    <cellStyle name="Normal 11 4 4 2 2" xfId="6365"/>
    <cellStyle name="Normal 11 4 4 2 2 2" xfId="18669"/>
    <cellStyle name="Normal 11 4 4 2 2 2 2" xfId="41528"/>
    <cellStyle name="Normal 11 4 4 2 2 3" xfId="29226"/>
    <cellStyle name="Normal 11 4 4 2 3" xfId="9880"/>
    <cellStyle name="Normal 11 4 4 2 3 2" xfId="22184"/>
    <cellStyle name="Normal 11 4 4 2 3 2 2" xfId="45043"/>
    <cellStyle name="Normal 11 4 4 2 3 3" xfId="32741"/>
    <cellStyle name="Normal 11 4 4 2 4" xfId="15154"/>
    <cellStyle name="Normal 11 4 4 2 4 2" xfId="38013"/>
    <cellStyle name="Normal 11 4 4 2 5" xfId="25711"/>
    <cellStyle name="Normal 11 4 4 3" xfId="4607"/>
    <cellStyle name="Normal 11 4 4 3 2" xfId="16911"/>
    <cellStyle name="Normal 11 4 4 3 2 2" xfId="39770"/>
    <cellStyle name="Normal 11 4 4 3 3" xfId="27468"/>
    <cellStyle name="Normal 11 4 4 4" xfId="8122"/>
    <cellStyle name="Normal 11 4 4 4 2" xfId="20426"/>
    <cellStyle name="Normal 11 4 4 4 2 2" xfId="43285"/>
    <cellStyle name="Normal 11 4 4 4 3" xfId="30983"/>
    <cellStyle name="Normal 11 4 4 5" xfId="11637"/>
    <cellStyle name="Normal 11 4 4 5 2" xfId="34497"/>
    <cellStyle name="Normal 11 4 4 6" xfId="13396"/>
    <cellStyle name="Normal 11 4 4 6 2" xfId="36255"/>
    <cellStyle name="Normal 11 4 4 7" xfId="23952"/>
    <cellStyle name="Normal 11 4 5" xfId="1972"/>
    <cellStyle name="Normal 11 4 5 2" xfId="5487"/>
    <cellStyle name="Normal 11 4 5 2 2" xfId="17791"/>
    <cellStyle name="Normal 11 4 5 2 2 2" xfId="40650"/>
    <cellStyle name="Normal 11 4 5 2 3" xfId="28348"/>
    <cellStyle name="Normal 11 4 5 3" xfId="9002"/>
    <cellStyle name="Normal 11 4 5 3 2" xfId="21306"/>
    <cellStyle name="Normal 11 4 5 3 2 2" xfId="44165"/>
    <cellStyle name="Normal 11 4 5 3 3" xfId="31863"/>
    <cellStyle name="Normal 11 4 5 4" xfId="14276"/>
    <cellStyle name="Normal 11 4 5 4 2" xfId="37135"/>
    <cellStyle name="Normal 11 4 5 5" xfId="24833"/>
    <cellStyle name="Normal 11 4 6" xfId="3729"/>
    <cellStyle name="Normal 11 4 6 2" xfId="16033"/>
    <cellStyle name="Normal 11 4 6 2 2" xfId="38892"/>
    <cellStyle name="Normal 11 4 6 3" xfId="26590"/>
    <cellStyle name="Normal 11 4 7" xfId="7244"/>
    <cellStyle name="Normal 11 4 7 2" xfId="19548"/>
    <cellStyle name="Normal 11 4 7 2 2" xfId="42407"/>
    <cellStyle name="Normal 11 4 7 3" xfId="30105"/>
    <cellStyle name="Normal 11 4 8" xfId="10759"/>
    <cellStyle name="Normal 11 4 8 2" xfId="33619"/>
    <cellStyle name="Normal 11 4 9" xfId="12518"/>
    <cellStyle name="Normal 11 4 9 2" xfId="35377"/>
    <cellStyle name="Normal 11 5" xfId="314"/>
    <cellStyle name="Normal 11 5 2" xfId="755"/>
    <cellStyle name="Normal 11 5 2 2" xfId="1634"/>
    <cellStyle name="Normal 11 5 2 2 2" xfId="3395"/>
    <cellStyle name="Normal 11 5 2 2 2 2" xfId="6910"/>
    <cellStyle name="Normal 11 5 2 2 2 2 2" xfId="19214"/>
    <cellStyle name="Normal 11 5 2 2 2 2 2 2" xfId="42073"/>
    <cellStyle name="Normal 11 5 2 2 2 2 3" xfId="29771"/>
    <cellStyle name="Normal 11 5 2 2 2 3" xfId="10425"/>
    <cellStyle name="Normal 11 5 2 2 2 3 2" xfId="22729"/>
    <cellStyle name="Normal 11 5 2 2 2 3 2 2" xfId="45588"/>
    <cellStyle name="Normal 11 5 2 2 2 3 3" xfId="33286"/>
    <cellStyle name="Normal 11 5 2 2 2 4" xfId="15699"/>
    <cellStyle name="Normal 11 5 2 2 2 4 2" xfId="38558"/>
    <cellStyle name="Normal 11 5 2 2 2 5" xfId="26256"/>
    <cellStyle name="Normal 11 5 2 2 3" xfId="5152"/>
    <cellStyle name="Normal 11 5 2 2 3 2" xfId="17456"/>
    <cellStyle name="Normal 11 5 2 2 3 2 2" xfId="40315"/>
    <cellStyle name="Normal 11 5 2 2 3 3" xfId="28013"/>
    <cellStyle name="Normal 11 5 2 2 4" xfId="8667"/>
    <cellStyle name="Normal 11 5 2 2 4 2" xfId="20971"/>
    <cellStyle name="Normal 11 5 2 2 4 2 2" xfId="43830"/>
    <cellStyle name="Normal 11 5 2 2 4 3" xfId="31528"/>
    <cellStyle name="Normal 11 5 2 2 5" xfId="12182"/>
    <cellStyle name="Normal 11 5 2 2 5 2" xfId="35042"/>
    <cellStyle name="Normal 11 5 2 2 6" xfId="13941"/>
    <cellStyle name="Normal 11 5 2 2 6 2" xfId="36800"/>
    <cellStyle name="Normal 11 5 2 2 7" xfId="24497"/>
    <cellStyle name="Normal 11 5 2 3" xfId="2517"/>
    <cellStyle name="Normal 11 5 2 3 2" xfId="6032"/>
    <cellStyle name="Normal 11 5 2 3 2 2" xfId="18336"/>
    <cellStyle name="Normal 11 5 2 3 2 2 2" xfId="41195"/>
    <cellStyle name="Normal 11 5 2 3 2 3" xfId="28893"/>
    <cellStyle name="Normal 11 5 2 3 3" xfId="9547"/>
    <cellStyle name="Normal 11 5 2 3 3 2" xfId="21851"/>
    <cellStyle name="Normal 11 5 2 3 3 2 2" xfId="44710"/>
    <cellStyle name="Normal 11 5 2 3 3 3" xfId="32408"/>
    <cellStyle name="Normal 11 5 2 3 4" xfId="14821"/>
    <cellStyle name="Normal 11 5 2 3 4 2" xfId="37680"/>
    <cellStyle name="Normal 11 5 2 3 5" xfId="25378"/>
    <cellStyle name="Normal 11 5 2 4" xfId="4274"/>
    <cellStyle name="Normal 11 5 2 4 2" xfId="16578"/>
    <cellStyle name="Normal 11 5 2 4 2 2" xfId="39437"/>
    <cellStyle name="Normal 11 5 2 4 3" xfId="27135"/>
    <cellStyle name="Normal 11 5 2 5" xfId="7789"/>
    <cellStyle name="Normal 11 5 2 5 2" xfId="20093"/>
    <cellStyle name="Normal 11 5 2 5 2 2" xfId="42952"/>
    <cellStyle name="Normal 11 5 2 5 3" xfId="30650"/>
    <cellStyle name="Normal 11 5 2 6" xfId="11304"/>
    <cellStyle name="Normal 11 5 2 6 2" xfId="34164"/>
    <cellStyle name="Normal 11 5 2 7" xfId="13063"/>
    <cellStyle name="Normal 11 5 2 7 2" xfId="35922"/>
    <cellStyle name="Normal 11 5 2 8" xfId="23619"/>
    <cellStyle name="Normal 11 5 3" xfId="1195"/>
    <cellStyle name="Normal 11 5 3 2" xfId="2956"/>
    <cellStyle name="Normal 11 5 3 2 2" xfId="6471"/>
    <cellStyle name="Normal 11 5 3 2 2 2" xfId="18775"/>
    <cellStyle name="Normal 11 5 3 2 2 2 2" xfId="41634"/>
    <cellStyle name="Normal 11 5 3 2 2 3" xfId="29332"/>
    <cellStyle name="Normal 11 5 3 2 3" xfId="9986"/>
    <cellStyle name="Normal 11 5 3 2 3 2" xfId="22290"/>
    <cellStyle name="Normal 11 5 3 2 3 2 2" xfId="45149"/>
    <cellStyle name="Normal 11 5 3 2 3 3" xfId="32847"/>
    <cellStyle name="Normal 11 5 3 2 4" xfId="15260"/>
    <cellStyle name="Normal 11 5 3 2 4 2" xfId="38119"/>
    <cellStyle name="Normal 11 5 3 2 5" xfId="25817"/>
    <cellStyle name="Normal 11 5 3 3" xfId="4713"/>
    <cellStyle name="Normal 11 5 3 3 2" xfId="17017"/>
    <cellStyle name="Normal 11 5 3 3 2 2" xfId="39876"/>
    <cellStyle name="Normal 11 5 3 3 3" xfId="27574"/>
    <cellStyle name="Normal 11 5 3 4" xfId="8228"/>
    <cellStyle name="Normal 11 5 3 4 2" xfId="20532"/>
    <cellStyle name="Normal 11 5 3 4 2 2" xfId="43391"/>
    <cellStyle name="Normal 11 5 3 4 3" xfId="31089"/>
    <cellStyle name="Normal 11 5 3 5" xfId="11743"/>
    <cellStyle name="Normal 11 5 3 5 2" xfId="34603"/>
    <cellStyle name="Normal 11 5 3 6" xfId="13502"/>
    <cellStyle name="Normal 11 5 3 6 2" xfId="36361"/>
    <cellStyle name="Normal 11 5 3 7" xfId="24058"/>
    <cellStyle name="Normal 11 5 4" xfId="2078"/>
    <cellStyle name="Normal 11 5 4 2" xfId="5593"/>
    <cellStyle name="Normal 11 5 4 2 2" xfId="17897"/>
    <cellStyle name="Normal 11 5 4 2 2 2" xfId="40756"/>
    <cellStyle name="Normal 11 5 4 2 3" xfId="28454"/>
    <cellStyle name="Normal 11 5 4 3" xfId="9108"/>
    <cellStyle name="Normal 11 5 4 3 2" xfId="21412"/>
    <cellStyle name="Normal 11 5 4 3 2 2" xfId="44271"/>
    <cellStyle name="Normal 11 5 4 3 3" xfId="31969"/>
    <cellStyle name="Normal 11 5 4 4" xfId="14382"/>
    <cellStyle name="Normal 11 5 4 4 2" xfId="37241"/>
    <cellStyle name="Normal 11 5 4 5" xfId="24939"/>
    <cellStyle name="Normal 11 5 5" xfId="3835"/>
    <cellStyle name="Normal 11 5 5 2" xfId="16139"/>
    <cellStyle name="Normal 11 5 5 2 2" xfId="38998"/>
    <cellStyle name="Normal 11 5 5 3" xfId="26696"/>
    <cellStyle name="Normal 11 5 6" xfId="7350"/>
    <cellStyle name="Normal 11 5 6 2" xfId="19654"/>
    <cellStyle name="Normal 11 5 6 2 2" xfId="42513"/>
    <cellStyle name="Normal 11 5 6 3" xfId="30211"/>
    <cellStyle name="Normal 11 5 7" xfId="10865"/>
    <cellStyle name="Normal 11 5 7 2" xfId="33725"/>
    <cellStyle name="Normal 11 5 8" xfId="12624"/>
    <cellStyle name="Normal 11 5 8 2" xfId="35483"/>
    <cellStyle name="Normal 11 5 9" xfId="23179"/>
    <cellStyle name="Normal 11 6" xfId="543"/>
    <cellStyle name="Normal 11 6 2" xfId="1422"/>
    <cellStyle name="Normal 11 6 2 2" xfId="3183"/>
    <cellStyle name="Normal 11 6 2 2 2" xfId="6698"/>
    <cellStyle name="Normal 11 6 2 2 2 2" xfId="19002"/>
    <cellStyle name="Normal 11 6 2 2 2 2 2" xfId="41861"/>
    <cellStyle name="Normal 11 6 2 2 2 3" xfId="29559"/>
    <cellStyle name="Normal 11 6 2 2 3" xfId="10213"/>
    <cellStyle name="Normal 11 6 2 2 3 2" xfId="22517"/>
    <cellStyle name="Normal 11 6 2 2 3 2 2" xfId="45376"/>
    <cellStyle name="Normal 11 6 2 2 3 3" xfId="33074"/>
    <cellStyle name="Normal 11 6 2 2 4" xfId="15487"/>
    <cellStyle name="Normal 11 6 2 2 4 2" xfId="38346"/>
    <cellStyle name="Normal 11 6 2 2 5" xfId="26044"/>
    <cellStyle name="Normal 11 6 2 3" xfId="4940"/>
    <cellStyle name="Normal 11 6 2 3 2" xfId="17244"/>
    <cellStyle name="Normal 11 6 2 3 2 2" xfId="40103"/>
    <cellStyle name="Normal 11 6 2 3 3" xfId="27801"/>
    <cellStyle name="Normal 11 6 2 4" xfId="8455"/>
    <cellStyle name="Normal 11 6 2 4 2" xfId="20759"/>
    <cellStyle name="Normal 11 6 2 4 2 2" xfId="43618"/>
    <cellStyle name="Normal 11 6 2 4 3" xfId="31316"/>
    <cellStyle name="Normal 11 6 2 5" xfId="11970"/>
    <cellStyle name="Normal 11 6 2 5 2" xfId="34830"/>
    <cellStyle name="Normal 11 6 2 6" xfId="13729"/>
    <cellStyle name="Normal 11 6 2 6 2" xfId="36588"/>
    <cellStyle name="Normal 11 6 2 7" xfId="24285"/>
    <cellStyle name="Normal 11 6 3" xfId="2305"/>
    <cellStyle name="Normal 11 6 3 2" xfId="5820"/>
    <cellStyle name="Normal 11 6 3 2 2" xfId="18124"/>
    <cellStyle name="Normal 11 6 3 2 2 2" xfId="40983"/>
    <cellStyle name="Normal 11 6 3 2 3" xfId="28681"/>
    <cellStyle name="Normal 11 6 3 3" xfId="9335"/>
    <cellStyle name="Normal 11 6 3 3 2" xfId="21639"/>
    <cellStyle name="Normal 11 6 3 3 2 2" xfId="44498"/>
    <cellStyle name="Normal 11 6 3 3 3" xfId="32196"/>
    <cellStyle name="Normal 11 6 3 4" xfId="14609"/>
    <cellStyle name="Normal 11 6 3 4 2" xfId="37468"/>
    <cellStyle name="Normal 11 6 3 5" xfId="25166"/>
    <cellStyle name="Normal 11 6 4" xfId="4062"/>
    <cellStyle name="Normal 11 6 4 2" xfId="16366"/>
    <cellStyle name="Normal 11 6 4 2 2" xfId="39225"/>
    <cellStyle name="Normal 11 6 4 3" xfId="26923"/>
    <cellStyle name="Normal 11 6 5" xfId="7577"/>
    <cellStyle name="Normal 11 6 5 2" xfId="19881"/>
    <cellStyle name="Normal 11 6 5 2 2" xfId="42740"/>
    <cellStyle name="Normal 11 6 5 3" xfId="30438"/>
    <cellStyle name="Normal 11 6 6" xfId="11092"/>
    <cellStyle name="Normal 11 6 6 2" xfId="33952"/>
    <cellStyle name="Normal 11 6 7" xfId="12851"/>
    <cellStyle name="Normal 11 6 7 2" xfId="35710"/>
    <cellStyle name="Normal 11 6 8" xfId="23407"/>
    <cellStyle name="Normal 11 7" xfId="983"/>
    <cellStyle name="Normal 11 7 2" xfId="2744"/>
    <cellStyle name="Normal 11 7 2 2" xfId="6259"/>
    <cellStyle name="Normal 11 7 2 2 2" xfId="18563"/>
    <cellStyle name="Normal 11 7 2 2 2 2" xfId="41422"/>
    <cellStyle name="Normal 11 7 2 2 3" xfId="29120"/>
    <cellStyle name="Normal 11 7 2 3" xfId="9774"/>
    <cellStyle name="Normal 11 7 2 3 2" xfId="22078"/>
    <cellStyle name="Normal 11 7 2 3 2 2" xfId="44937"/>
    <cellStyle name="Normal 11 7 2 3 3" xfId="32635"/>
    <cellStyle name="Normal 11 7 2 4" xfId="15048"/>
    <cellStyle name="Normal 11 7 2 4 2" xfId="37907"/>
    <cellStyle name="Normal 11 7 2 5" xfId="25605"/>
    <cellStyle name="Normal 11 7 3" xfId="4501"/>
    <cellStyle name="Normal 11 7 3 2" xfId="16805"/>
    <cellStyle name="Normal 11 7 3 2 2" xfId="39664"/>
    <cellStyle name="Normal 11 7 3 3" xfId="27362"/>
    <cellStyle name="Normal 11 7 4" xfId="8016"/>
    <cellStyle name="Normal 11 7 4 2" xfId="20320"/>
    <cellStyle name="Normal 11 7 4 2 2" xfId="43179"/>
    <cellStyle name="Normal 11 7 4 3" xfId="30877"/>
    <cellStyle name="Normal 11 7 5" xfId="11531"/>
    <cellStyle name="Normal 11 7 5 2" xfId="34391"/>
    <cellStyle name="Normal 11 7 6" xfId="13290"/>
    <cellStyle name="Normal 11 7 6 2" xfId="36149"/>
    <cellStyle name="Normal 11 7 7" xfId="23846"/>
    <cellStyle name="Normal 11 8" xfId="1866"/>
    <cellStyle name="Normal 11 8 2" xfId="5381"/>
    <cellStyle name="Normal 11 8 2 2" xfId="17685"/>
    <cellStyle name="Normal 11 8 2 2 2" xfId="40544"/>
    <cellStyle name="Normal 11 8 2 3" xfId="28242"/>
    <cellStyle name="Normal 11 8 3" xfId="8896"/>
    <cellStyle name="Normal 11 8 3 2" xfId="21200"/>
    <cellStyle name="Normal 11 8 3 2 2" xfId="44059"/>
    <cellStyle name="Normal 11 8 3 3" xfId="31757"/>
    <cellStyle name="Normal 11 8 4" xfId="14170"/>
    <cellStyle name="Normal 11 8 4 2" xfId="37029"/>
    <cellStyle name="Normal 11 8 5" xfId="24727"/>
    <cellStyle name="Normal 11 9" xfId="3623"/>
    <cellStyle name="Normal 11 9 2" xfId="15927"/>
    <cellStyle name="Normal 11 9 2 2" xfId="38786"/>
    <cellStyle name="Normal 11 9 3" xfId="26484"/>
    <cellStyle name="Normal 12" xfId="117"/>
    <cellStyle name="Normal 13" xfId="104"/>
    <cellStyle name="Normal 13 10" xfId="10659"/>
    <cellStyle name="Normal 13 10 2" xfId="33519"/>
    <cellStyle name="Normal 13 11" xfId="12418"/>
    <cellStyle name="Normal 13 11 2" xfId="35277"/>
    <cellStyle name="Normal 13 12" xfId="22971"/>
    <cellStyle name="Normal 13 2" xfId="160"/>
    <cellStyle name="Normal 13 2 10" xfId="12472"/>
    <cellStyle name="Normal 13 2 10 2" xfId="35331"/>
    <cellStyle name="Normal 13 2 11" xfId="23026"/>
    <cellStyle name="Normal 13 2 2" xfId="268"/>
    <cellStyle name="Normal 13 2 2 10" xfId="23133"/>
    <cellStyle name="Normal 13 2 2 2" xfId="480"/>
    <cellStyle name="Normal 13 2 2 2 2" xfId="921"/>
    <cellStyle name="Normal 13 2 2 2 2 2" xfId="1800"/>
    <cellStyle name="Normal 13 2 2 2 2 2 2" xfId="3561"/>
    <cellStyle name="Normal 13 2 2 2 2 2 2 2" xfId="7076"/>
    <cellStyle name="Normal 13 2 2 2 2 2 2 2 2" xfId="19380"/>
    <cellStyle name="Normal 13 2 2 2 2 2 2 2 2 2" xfId="42239"/>
    <cellStyle name="Normal 13 2 2 2 2 2 2 2 3" xfId="29937"/>
    <cellStyle name="Normal 13 2 2 2 2 2 2 3" xfId="10591"/>
    <cellStyle name="Normal 13 2 2 2 2 2 2 3 2" xfId="22895"/>
    <cellStyle name="Normal 13 2 2 2 2 2 2 3 2 2" xfId="45754"/>
    <cellStyle name="Normal 13 2 2 2 2 2 2 3 3" xfId="33452"/>
    <cellStyle name="Normal 13 2 2 2 2 2 2 4" xfId="15865"/>
    <cellStyle name="Normal 13 2 2 2 2 2 2 4 2" xfId="38724"/>
    <cellStyle name="Normal 13 2 2 2 2 2 2 5" xfId="26422"/>
    <cellStyle name="Normal 13 2 2 2 2 2 3" xfId="5318"/>
    <cellStyle name="Normal 13 2 2 2 2 2 3 2" xfId="17622"/>
    <cellStyle name="Normal 13 2 2 2 2 2 3 2 2" xfId="40481"/>
    <cellStyle name="Normal 13 2 2 2 2 2 3 3" xfId="28179"/>
    <cellStyle name="Normal 13 2 2 2 2 2 4" xfId="8833"/>
    <cellStyle name="Normal 13 2 2 2 2 2 4 2" xfId="21137"/>
    <cellStyle name="Normal 13 2 2 2 2 2 4 2 2" xfId="43996"/>
    <cellStyle name="Normal 13 2 2 2 2 2 4 3" xfId="31694"/>
    <cellStyle name="Normal 13 2 2 2 2 2 5" xfId="12348"/>
    <cellStyle name="Normal 13 2 2 2 2 2 5 2" xfId="35208"/>
    <cellStyle name="Normal 13 2 2 2 2 2 6" xfId="14107"/>
    <cellStyle name="Normal 13 2 2 2 2 2 6 2" xfId="36966"/>
    <cellStyle name="Normal 13 2 2 2 2 2 7" xfId="24663"/>
    <cellStyle name="Normal 13 2 2 2 2 3" xfId="2683"/>
    <cellStyle name="Normal 13 2 2 2 2 3 2" xfId="6198"/>
    <cellStyle name="Normal 13 2 2 2 2 3 2 2" xfId="18502"/>
    <cellStyle name="Normal 13 2 2 2 2 3 2 2 2" xfId="41361"/>
    <cellStyle name="Normal 13 2 2 2 2 3 2 3" xfId="29059"/>
    <cellStyle name="Normal 13 2 2 2 2 3 3" xfId="9713"/>
    <cellStyle name="Normal 13 2 2 2 2 3 3 2" xfId="22017"/>
    <cellStyle name="Normal 13 2 2 2 2 3 3 2 2" xfId="44876"/>
    <cellStyle name="Normal 13 2 2 2 2 3 3 3" xfId="32574"/>
    <cellStyle name="Normal 13 2 2 2 2 3 4" xfId="14987"/>
    <cellStyle name="Normal 13 2 2 2 2 3 4 2" xfId="37846"/>
    <cellStyle name="Normal 13 2 2 2 2 3 5" xfId="25544"/>
    <cellStyle name="Normal 13 2 2 2 2 4" xfId="4440"/>
    <cellStyle name="Normal 13 2 2 2 2 4 2" xfId="16744"/>
    <cellStyle name="Normal 13 2 2 2 2 4 2 2" xfId="39603"/>
    <cellStyle name="Normal 13 2 2 2 2 4 3" xfId="27301"/>
    <cellStyle name="Normal 13 2 2 2 2 5" xfId="7955"/>
    <cellStyle name="Normal 13 2 2 2 2 5 2" xfId="20259"/>
    <cellStyle name="Normal 13 2 2 2 2 5 2 2" xfId="43118"/>
    <cellStyle name="Normal 13 2 2 2 2 5 3" xfId="30816"/>
    <cellStyle name="Normal 13 2 2 2 2 6" xfId="11470"/>
    <cellStyle name="Normal 13 2 2 2 2 6 2" xfId="34330"/>
    <cellStyle name="Normal 13 2 2 2 2 7" xfId="13229"/>
    <cellStyle name="Normal 13 2 2 2 2 7 2" xfId="36088"/>
    <cellStyle name="Normal 13 2 2 2 2 8" xfId="23785"/>
    <cellStyle name="Normal 13 2 2 2 3" xfId="1361"/>
    <cellStyle name="Normal 13 2 2 2 3 2" xfId="3122"/>
    <cellStyle name="Normal 13 2 2 2 3 2 2" xfId="6637"/>
    <cellStyle name="Normal 13 2 2 2 3 2 2 2" xfId="18941"/>
    <cellStyle name="Normal 13 2 2 2 3 2 2 2 2" xfId="41800"/>
    <cellStyle name="Normal 13 2 2 2 3 2 2 3" xfId="29498"/>
    <cellStyle name="Normal 13 2 2 2 3 2 3" xfId="10152"/>
    <cellStyle name="Normal 13 2 2 2 3 2 3 2" xfId="22456"/>
    <cellStyle name="Normal 13 2 2 2 3 2 3 2 2" xfId="45315"/>
    <cellStyle name="Normal 13 2 2 2 3 2 3 3" xfId="33013"/>
    <cellStyle name="Normal 13 2 2 2 3 2 4" xfId="15426"/>
    <cellStyle name="Normal 13 2 2 2 3 2 4 2" xfId="38285"/>
    <cellStyle name="Normal 13 2 2 2 3 2 5" xfId="25983"/>
    <cellStyle name="Normal 13 2 2 2 3 3" xfId="4879"/>
    <cellStyle name="Normal 13 2 2 2 3 3 2" xfId="17183"/>
    <cellStyle name="Normal 13 2 2 2 3 3 2 2" xfId="40042"/>
    <cellStyle name="Normal 13 2 2 2 3 3 3" xfId="27740"/>
    <cellStyle name="Normal 13 2 2 2 3 4" xfId="8394"/>
    <cellStyle name="Normal 13 2 2 2 3 4 2" xfId="20698"/>
    <cellStyle name="Normal 13 2 2 2 3 4 2 2" xfId="43557"/>
    <cellStyle name="Normal 13 2 2 2 3 4 3" xfId="31255"/>
    <cellStyle name="Normal 13 2 2 2 3 5" xfId="11909"/>
    <cellStyle name="Normal 13 2 2 2 3 5 2" xfId="34769"/>
    <cellStyle name="Normal 13 2 2 2 3 6" xfId="13668"/>
    <cellStyle name="Normal 13 2 2 2 3 6 2" xfId="36527"/>
    <cellStyle name="Normal 13 2 2 2 3 7" xfId="24224"/>
    <cellStyle name="Normal 13 2 2 2 4" xfId="2244"/>
    <cellStyle name="Normal 13 2 2 2 4 2" xfId="5759"/>
    <cellStyle name="Normal 13 2 2 2 4 2 2" xfId="18063"/>
    <cellStyle name="Normal 13 2 2 2 4 2 2 2" xfId="40922"/>
    <cellStyle name="Normal 13 2 2 2 4 2 3" xfId="28620"/>
    <cellStyle name="Normal 13 2 2 2 4 3" xfId="9274"/>
    <cellStyle name="Normal 13 2 2 2 4 3 2" xfId="21578"/>
    <cellStyle name="Normal 13 2 2 2 4 3 2 2" xfId="44437"/>
    <cellStyle name="Normal 13 2 2 2 4 3 3" xfId="32135"/>
    <cellStyle name="Normal 13 2 2 2 4 4" xfId="14548"/>
    <cellStyle name="Normal 13 2 2 2 4 4 2" xfId="37407"/>
    <cellStyle name="Normal 13 2 2 2 4 5" xfId="25105"/>
    <cellStyle name="Normal 13 2 2 2 5" xfId="4001"/>
    <cellStyle name="Normal 13 2 2 2 5 2" xfId="16305"/>
    <cellStyle name="Normal 13 2 2 2 5 2 2" xfId="39164"/>
    <cellStyle name="Normal 13 2 2 2 5 3" xfId="26862"/>
    <cellStyle name="Normal 13 2 2 2 6" xfId="7516"/>
    <cellStyle name="Normal 13 2 2 2 6 2" xfId="19820"/>
    <cellStyle name="Normal 13 2 2 2 6 2 2" xfId="42679"/>
    <cellStyle name="Normal 13 2 2 2 6 3" xfId="30377"/>
    <cellStyle name="Normal 13 2 2 2 7" xfId="11031"/>
    <cellStyle name="Normal 13 2 2 2 7 2" xfId="33891"/>
    <cellStyle name="Normal 13 2 2 2 8" xfId="12790"/>
    <cellStyle name="Normal 13 2 2 2 8 2" xfId="35649"/>
    <cellStyle name="Normal 13 2 2 2 9" xfId="23345"/>
    <cellStyle name="Normal 13 2 2 3" xfId="709"/>
    <cellStyle name="Normal 13 2 2 3 2" xfId="1588"/>
    <cellStyle name="Normal 13 2 2 3 2 2" xfId="3349"/>
    <cellStyle name="Normal 13 2 2 3 2 2 2" xfId="6864"/>
    <cellStyle name="Normal 13 2 2 3 2 2 2 2" xfId="19168"/>
    <cellStyle name="Normal 13 2 2 3 2 2 2 2 2" xfId="42027"/>
    <cellStyle name="Normal 13 2 2 3 2 2 2 3" xfId="29725"/>
    <cellStyle name="Normal 13 2 2 3 2 2 3" xfId="10379"/>
    <cellStyle name="Normal 13 2 2 3 2 2 3 2" xfId="22683"/>
    <cellStyle name="Normal 13 2 2 3 2 2 3 2 2" xfId="45542"/>
    <cellStyle name="Normal 13 2 2 3 2 2 3 3" xfId="33240"/>
    <cellStyle name="Normal 13 2 2 3 2 2 4" xfId="15653"/>
    <cellStyle name="Normal 13 2 2 3 2 2 4 2" xfId="38512"/>
    <cellStyle name="Normal 13 2 2 3 2 2 5" xfId="26210"/>
    <cellStyle name="Normal 13 2 2 3 2 3" xfId="5106"/>
    <cellStyle name="Normal 13 2 2 3 2 3 2" xfId="17410"/>
    <cellStyle name="Normal 13 2 2 3 2 3 2 2" xfId="40269"/>
    <cellStyle name="Normal 13 2 2 3 2 3 3" xfId="27967"/>
    <cellStyle name="Normal 13 2 2 3 2 4" xfId="8621"/>
    <cellStyle name="Normal 13 2 2 3 2 4 2" xfId="20925"/>
    <cellStyle name="Normal 13 2 2 3 2 4 2 2" xfId="43784"/>
    <cellStyle name="Normal 13 2 2 3 2 4 3" xfId="31482"/>
    <cellStyle name="Normal 13 2 2 3 2 5" xfId="12136"/>
    <cellStyle name="Normal 13 2 2 3 2 5 2" xfId="34996"/>
    <cellStyle name="Normal 13 2 2 3 2 6" xfId="13895"/>
    <cellStyle name="Normal 13 2 2 3 2 6 2" xfId="36754"/>
    <cellStyle name="Normal 13 2 2 3 2 7" xfId="24451"/>
    <cellStyle name="Normal 13 2 2 3 3" xfId="2471"/>
    <cellStyle name="Normal 13 2 2 3 3 2" xfId="5986"/>
    <cellStyle name="Normal 13 2 2 3 3 2 2" xfId="18290"/>
    <cellStyle name="Normal 13 2 2 3 3 2 2 2" xfId="41149"/>
    <cellStyle name="Normal 13 2 2 3 3 2 3" xfId="28847"/>
    <cellStyle name="Normal 13 2 2 3 3 3" xfId="9501"/>
    <cellStyle name="Normal 13 2 2 3 3 3 2" xfId="21805"/>
    <cellStyle name="Normal 13 2 2 3 3 3 2 2" xfId="44664"/>
    <cellStyle name="Normal 13 2 2 3 3 3 3" xfId="32362"/>
    <cellStyle name="Normal 13 2 2 3 3 4" xfId="14775"/>
    <cellStyle name="Normal 13 2 2 3 3 4 2" xfId="37634"/>
    <cellStyle name="Normal 13 2 2 3 3 5" xfId="25332"/>
    <cellStyle name="Normal 13 2 2 3 4" xfId="4228"/>
    <cellStyle name="Normal 13 2 2 3 4 2" xfId="16532"/>
    <cellStyle name="Normal 13 2 2 3 4 2 2" xfId="39391"/>
    <cellStyle name="Normal 13 2 2 3 4 3" xfId="27089"/>
    <cellStyle name="Normal 13 2 2 3 5" xfId="7743"/>
    <cellStyle name="Normal 13 2 2 3 5 2" xfId="20047"/>
    <cellStyle name="Normal 13 2 2 3 5 2 2" xfId="42906"/>
    <cellStyle name="Normal 13 2 2 3 5 3" xfId="30604"/>
    <cellStyle name="Normal 13 2 2 3 6" xfId="11258"/>
    <cellStyle name="Normal 13 2 2 3 6 2" xfId="34118"/>
    <cellStyle name="Normal 13 2 2 3 7" xfId="13017"/>
    <cellStyle name="Normal 13 2 2 3 7 2" xfId="35876"/>
    <cellStyle name="Normal 13 2 2 3 8" xfId="23573"/>
    <cellStyle name="Normal 13 2 2 4" xfId="1149"/>
    <cellStyle name="Normal 13 2 2 4 2" xfId="2910"/>
    <cellStyle name="Normal 13 2 2 4 2 2" xfId="6425"/>
    <cellStyle name="Normal 13 2 2 4 2 2 2" xfId="18729"/>
    <cellStyle name="Normal 13 2 2 4 2 2 2 2" xfId="41588"/>
    <cellStyle name="Normal 13 2 2 4 2 2 3" xfId="29286"/>
    <cellStyle name="Normal 13 2 2 4 2 3" xfId="9940"/>
    <cellStyle name="Normal 13 2 2 4 2 3 2" xfId="22244"/>
    <cellStyle name="Normal 13 2 2 4 2 3 2 2" xfId="45103"/>
    <cellStyle name="Normal 13 2 2 4 2 3 3" xfId="32801"/>
    <cellStyle name="Normal 13 2 2 4 2 4" xfId="15214"/>
    <cellStyle name="Normal 13 2 2 4 2 4 2" xfId="38073"/>
    <cellStyle name="Normal 13 2 2 4 2 5" xfId="25771"/>
    <cellStyle name="Normal 13 2 2 4 3" xfId="4667"/>
    <cellStyle name="Normal 13 2 2 4 3 2" xfId="16971"/>
    <cellStyle name="Normal 13 2 2 4 3 2 2" xfId="39830"/>
    <cellStyle name="Normal 13 2 2 4 3 3" xfId="27528"/>
    <cellStyle name="Normal 13 2 2 4 4" xfId="8182"/>
    <cellStyle name="Normal 13 2 2 4 4 2" xfId="20486"/>
    <cellStyle name="Normal 13 2 2 4 4 2 2" xfId="43345"/>
    <cellStyle name="Normal 13 2 2 4 4 3" xfId="31043"/>
    <cellStyle name="Normal 13 2 2 4 5" xfId="11697"/>
    <cellStyle name="Normal 13 2 2 4 5 2" xfId="34557"/>
    <cellStyle name="Normal 13 2 2 4 6" xfId="13456"/>
    <cellStyle name="Normal 13 2 2 4 6 2" xfId="36315"/>
    <cellStyle name="Normal 13 2 2 4 7" xfId="24012"/>
    <cellStyle name="Normal 13 2 2 5" xfId="2032"/>
    <cellStyle name="Normal 13 2 2 5 2" xfId="5547"/>
    <cellStyle name="Normal 13 2 2 5 2 2" xfId="17851"/>
    <cellStyle name="Normal 13 2 2 5 2 2 2" xfId="40710"/>
    <cellStyle name="Normal 13 2 2 5 2 3" xfId="28408"/>
    <cellStyle name="Normal 13 2 2 5 3" xfId="9062"/>
    <cellStyle name="Normal 13 2 2 5 3 2" xfId="21366"/>
    <cellStyle name="Normal 13 2 2 5 3 2 2" xfId="44225"/>
    <cellStyle name="Normal 13 2 2 5 3 3" xfId="31923"/>
    <cellStyle name="Normal 13 2 2 5 4" xfId="14336"/>
    <cellStyle name="Normal 13 2 2 5 4 2" xfId="37195"/>
    <cellStyle name="Normal 13 2 2 5 5" xfId="24893"/>
    <cellStyle name="Normal 13 2 2 6" xfId="3789"/>
    <cellStyle name="Normal 13 2 2 6 2" xfId="16093"/>
    <cellStyle name="Normal 13 2 2 6 2 2" xfId="38952"/>
    <cellStyle name="Normal 13 2 2 6 3" xfId="26650"/>
    <cellStyle name="Normal 13 2 2 7" xfId="7304"/>
    <cellStyle name="Normal 13 2 2 7 2" xfId="19608"/>
    <cellStyle name="Normal 13 2 2 7 2 2" xfId="42467"/>
    <cellStyle name="Normal 13 2 2 7 3" xfId="30165"/>
    <cellStyle name="Normal 13 2 2 8" xfId="10819"/>
    <cellStyle name="Normal 13 2 2 8 2" xfId="33679"/>
    <cellStyle name="Normal 13 2 2 9" xfId="12578"/>
    <cellStyle name="Normal 13 2 2 9 2" xfId="35437"/>
    <cellStyle name="Normal 13 2 3" xfId="374"/>
    <cellStyle name="Normal 13 2 3 2" xfId="815"/>
    <cellStyle name="Normal 13 2 3 2 2" xfId="1694"/>
    <cellStyle name="Normal 13 2 3 2 2 2" xfId="3455"/>
    <cellStyle name="Normal 13 2 3 2 2 2 2" xfId="6970"/>
    <cellStyle name="Normal 13 2 3 2 2 2 2 2" xfId="19274"/>
    <cellStyle name="Normal 13 2 3 2 2 2 2 2 2" xfId="42133"/>
    <cellStyle name="Normal 13 2 3 2 2 2 2 3" xfId="29831"/>
    <cellStyle name="Normal 13 2 3 2 2 2 3" xfId="10485"/>
    <cellStyle name="Normal 13 2 3 2 2 2 3 2" xfId="22789"/>
    <cellStyle name="Normal 13 2 3 2 2 2 3 2 2" xfId="45648"/>
    <cellStyle name="Normal 13 2 3 2 2 2 3 3" xfId="33346"/>
    <cellStyle name="Normal 13 2 3 2 2 2 4" xfId="15759"/>
    <cellStyle name="Normal 13 2 3 2 2 2 4 2" xfId="38618"/>
    <cellStyle name="Normal 13 2 3 2 2 2 5" xfId="26316"/>
    <cellStyle name="Normal 13 2 3 2 2 3" xfId="5212"/>
    <cellStyle name="Normal 13 2 3 2 2 3 2" xfId="17516"/>
    <cellStyle name="Normal 13 2 3 2 2 3 2 2" xfId="40375"/>
    <cellStyle name="Normal 13 2 3 2 2 3 3" xfId="28073"/>
    <cellStyle name="Normal 13 2 3 2 2 4" xfId="8727"/>
    <cellStyle name="Normal 13 2 3 2 2 4 2" xfId="21031"/>
    <cellStyle name="Normal 13 2 3 2 2 4 2 2" xfId="43890"/>
    <cellStyle name="Normal 13 2 3 2 2 4 3" xfId="31588"/>
    <cellStyle name="Normal 13 2 3 2 2 5" xfId="12242"/>
    <cellStyle name="Normal 13 2 3 2 2 5 2" xfId="35102"/>
    <cellStyle name="Normal 13 2 3 2 2 6" xfId="14001"/>
    <cellStyle name="Normal 13 2 3 2 2 6 2" xfId="36860"/>
    <cellStyle name="Normal 13 2 3 2 2 7" xfId="24557"/>
    <cellStyle name="Normal 13 2 3 2 3" xfId="2577"/>
    <cellStyle name="Normal 13 2 3 2 3 2" xfId="6092"/>
    <cellStyle name="Normal 13 2 3 2 3 2 2" xfId="18396"/>
    <cellStyle name="Normal 13 2 3 2 3 2 2 2" xfId="41255"/>
    <cellStyle name="Normal 13 2 3 2 3 2 3" xfId="28953"/>
    <cellStyle name="Normal 13 2 3 2 3 3" xfId="9607"/>
    <cellStyle name="Normal 13 2 3 2 3 3 2" xfId="21911"/>
    <cellStyle name="Normal 13 2 3 2 3 3 2 2" xfId="44770"/>
    <cellStyle name="Normal 13 2 3 2 3 3 3" xfId="32468"/>
    <cellStyle name="Normal 13 2 3 2 3 4" xfId="14881"/>
    <cellStyle name="Normal 13 2 3 2 3 4 2" xfId="37740"/>
    <cellStyle name="Normal 13 2 3 2 3 5" xfId="25438"/>
    <cellStyle name="Normal 13 2 3 2 4" xfId="4334"/>
    <cellStyle name="Normal 13 2 3 2 4 2" xfId="16638"/>
    <cellStyle name="Normal 13 2 3 2 4 2 2" xfId="39497"/>
    <cellStyle name="Normal 13 2 3 2 4 3" xfId="27195"/>
    <cellStyle name="Normal 13 2 3 2 5" xfId="7849"/>
    <cellStyle name="Normal 13 2 3 2 5 2" xfId="20153"/>
    <cellStyle name="Normal 13 2 3 2 5 2 2" xfId="43012"/>
    <cellStyle name="Normal 13 2 3 2 5 3" xfId="30710"/>
    <cellStyle name="Normal 13 2 3 2 6" xfId="11364"/>
    <cellStyle name="Normal 13 2 3 2 6 2" xfId="34224"/>
    <cellStyle name="Normal 13 2 3 2 7" xfId="13123"/>
    <cellStyle name="Normal 13 2 3 2 7 2" xfId="35982"/>
    <cellStyle name="Normal 13 2 3 2 8" xfId="23679"/>
    <cellStyle name="Normal 13 2 3 3" xfId="1255"/>
    <cellStyle name="Normal 13 2 3 3 2" xfId="3016"/>
    <cellStyle name="Normal 13 2 3 3 2 2" xfId="6531"/>
    <cellStyle name="Normal 13 2 3 3 2 2 2" xfId="18835"/>
    <cellStyle name="Normal 13 2 3 3 2 2 2 2" xfId="41694"/>
    <cellStyle name="Normal 13 2 3 3 2 2 3" xfId="29392"/>
    <cellStyle name="Normal 13 2 3 3 2 3" xfId="10046"/>
    <cellStyle name="Normal 13 2 3 3 2 3 2" xfId="22350"/>
    <cellStyle name="Normal 13 2 3 3 2 3 2 2" xfId="45209"/>
    <cellStyle name="Normal 13 2 3 3 2 3 3" xfId="32907"/>
    <cellStyle name="Normal 13 2 3 3 2 4" xfId="15320"/>
    <cellStyle name="Normal 13 2 3 3 2 4 2" xfId="38179"/>
    <cellStyle name="Normal 13 2 3 3 2 5" xfId="25877"/>
    <cellStyle name="Normal 13 2 3 3 3" xfId="4773"/>
    <cellStyle name="Normal 13 2 3 3 3 2" xfId="17077"/>
    <cellStyle name="Normal 13 2 3 3 3 2 2" xfId="39936"/>
    <cellStyle name="Normal 13 2 3 3 3 3" xfId="27634"/>
    <cellStyle name="Normal 13 2 3 3 4" xfId="8288"/>
    <cellStyle name="Normal 13 2 3 3 4 2" xfId="20592"/>
    <cellStyle name="Normal 13 2 3 3 4 2 2" xfId="43451"/>
    <cellStyle name="Normal 13 2 3 3 4 3" xfId="31149"/>
    <cellStyle name="Normal 13 2 3 3 5" xfId="11803"/>
    <cellStyle name="Normal 13 2 3 3 5 2" xfId="34663"/>
    <cellStyle name="Normal 13 2 3 3 6" xfId="13562"/>
    <cellStyle name="Normal 13 2 3 3 6 2" xfId="36421"/>
    <cellStyle name="Normal 13 2 3 3 7" xfId="24118"/>
    <cellStyle name="Normal 13 2 3 4" xfId="2138"/>
    <cellStyle name="Normal 13 2 3 4 2" xfId="5653"/>
    <cellStyle name="Normal 13 2 3 4 2 2" xfId="17957"/>
    <cellStyle name="Normal 13 2 3 4 2 2 2" xfId="40816"/>
    <cellStyle name="Normal 13 2 3 4 2 3" xfId="28514"/>
    <cellStyle name="Normal 13 2 3 4 3" xfId="9168"/>
    <cellStyle name="Normal 13 2 3 4 3 2" xfId="21472"/>
    <cellStyle name="Normal 13 2 3 4 3 2 2" xfId="44331"/>
    <cellStyle name="Normal 13 2 3 4 3 3" xfId="32029"/>
    <cellStyle name="Normal 13 2 3 4 4" xfId="14442"/>
    <cellStyle name="Normal 13 2 3 4 4 2" xfId="37301"/>
    <cellStyle name="Normal 13 2 3 4 5" xfId="24999"/>
    <cellStyle name="Normal 13 2 3 5" xfId="3895"/>
    <cellStyle name="Normal 13 2 3 5 2" xfId="16199"/>
    <cellStyle name="Normal 13 2 3 5 2 2" xfId="39058"/>
    <cellStyle name="Normal 13 2 3 5 3" xfId="26756"/>
    <cellStyle name="Normal 13 2 3 6" xfId="7410"/>
    <cellStyle name="Normal 13 2 3 6 2" xfId="19714"/>
    <cellStyle name="Normal 13 2 3 6 2 2" xfId="42573"/>
    <cellStyle name="Normal 13 2 3 6 3" xfId="30271"/>
    <cellStyle name="Normal 13 2 3 7" xfId="10925"/>
    <cellStyle name="Normal 13 2 3 7 2" xfId="33785"/>
    <cellStyle name="Normal 13 2 3 8" xfId="12684"/>
    <cellStyle name="Normal 13 2 3 8 2" xfId="35543"/>
    <cellStyle name="Normal 13 2 3 9" xfId="23239"/>
    <cellStyle name="Normal 13 2 4" xfId="603"/>
    <cellStyle name="Normal 13 2 4 2" xfId="1482"/>
    <cellStyle name="Normal 13 2 4 2 2" xfId="3243"/>
    <cellStyle name="Normal 13 2 4 2 2 2" xfId="6758"/>
    <cellStyle name="Normal 13 2 4 2 2 2 2" xfId="19062"/>
    <cellStyle name="Normal 13 2 4 2 2 2 2 2" xfId="41921"/>
    <cellStyle name="Normal 13 2 4 2 2 2 3" xfId="29619"/>
    <cellStyle name="Normal 13 2 4 2 2 3" xfId="10273"/>
    <cellStyle name="Normal 13 2 4 2 2 3 2" xfId="22577"/>
    <cellStyle name="Normal 13 2 4 2 2 3 2 2" xfId="45436"/>
    <cellStyle name="Normal 13 2 4 2 2 3 3" xfId="33134"/>
    <cellStyle name="Normal 13 2 4 2 2 4" xfId="15547"/>
    <cellStyle name="Normal 13 2 4 2 2 4 2" xfId="38406"/>
    <cellStyle name="Normal 13 2 4 2 2 5" xfId="26104"/>
    <cellStyle name="Normal 13 2 4 2 3" xfId="5000"/>
    <cellStyle name="Normal 13 2 4 2 3 2" xfId="17304"/>
    <cellStyle name="Normal 13 2 4 2 3 2 2" xfId="40163"/>
    <cellStyle name="Normal 13 2 4 2 3 3" xfId="27861"/>
    <cellStyle name="Normal 13 2 4 2 4" xfId="8515"/>
    <cellStyle name="Normal 13 2 4 2 4 2" xfId="20819"/>
    <cellStyle name="Normal 13 2 4 2 4 2 2" xfId="43678"/>
    <cellStyle name="Normal 13 2 4 2 4 3" xfId="31376"/>
    <cellStyle name="Normal 13 2 4 2 5" xfId="12030"/>
    <cellStyle name="Normal 13 2 4 2 5 2" xfId="34890"/>
    <cellStyle name="Normal 13 2 4 2 6" xfId="13789"/>
    <cellStyle name="Normal 13 2 4 2 6 2" xfId="36648"/>
    <cellStyle name="Normal 13 2 4 2 7" xfId="24345"/>
    <cellStyle name="Normal 13 2 4 3" xfId="2365"/>
    <cellStyle name="Normal 13 2 4 3 2" xfId="5880"/>
    <cellStyle name="Normal 13 2 4 3 2 2" xfId="18184"/>
    <cellStyle name="Normal 13 2 4 3 2 2 2" xfId="41043"/>
    <cellStyle name="Normal 13 2 4 3 2 3" xfId="28741"/>
    <cellStyle name="Normal 13 2 4 3 3" xfId="9395"/>
    <cellStyle name="Normal 13 2 4 3 3 2" xfId="21699"/>
    <cellStyle name="Normal 13 2 4 3 3 2 2" xfId="44558"/>
    <cellStyle name="Normal 13 2 4 3 3 3" xfId="32256"/>
    <cellStyle name="Normal 13 2 4 3 4" xfId="14669"/>
    <cellStyle name="Normal 13 2 4 3 4 2" xfId="37528"/>
    <cellStyle name="Normal 13 2 4 3 5" xfId="25226"/>
    <cellStyle name="Normal 13 2 4 4" xfId="4122"/>
    <cellStyle name="Normal 13 2 4 4 2" xfId="16426"/>
    <cellStyle name="Normal 13 2 4 4 2 2" xfId="39285"/>
    <cellStyle name="Normal 13 2 4 4 3" xfId="26983"/>
    <cellStyle name="Normal 13 2 4 5" xfId="7637"/>
    <cellStyle name="Normal 13 2 4 5 2" xfId="19941"/>
    <cellStyle name="Normal 13 2 4 5 2 2" xfId="42800"/>
    <cellStyle name="Normal 13 2 4 5 3" xfId="30498"/>
    <cellStyle name="Normal 13 2 4 6" xfId="11152"/>
    <cellStyle name="Normal 13 2 4 6 2" xfId="34012"/>
    <cellStyle name="Normal 13 2 4 7" xfId="12911"/>
    <cellStyle name="Normal 13 2 4 7 2" xfId="35770"/>
    <cellStyle name="Normal 13 2 4 8" xfId="23467"/>
    <cellStyle name="Normal 13 2 5" xfId="1043"/>
    <cellStyle name="Normal 13 2 5 2" xfId="2804"/>
    <cellStyle name="Normal 13 2 5 2 2" xfId="6319"/>
    <cellStyle name="Normal 13 2 5 2 2 2" xfId="18623"/>
    <cellStyle name="Normal 13 2 5 2 2 2 2" xfId="41482"/>
    <cellStyle name="Normal 13 2 5 2 2 3" xfId="29180"/>
    <cellStyle name="Normal 13 2 5 2 3" xfId="9834"/>
    <cellStyle name="Normal 13 2 5 2 3 2" xfId="22138"/>
    <cellStyle name="Normal 13 2 5 2 3 2 2" xfId="44997"/>
    <cellStyle name="Normal 13 2 5 2 3 3" xfId="32695"/>
    <cellStyle name="Normal 13 2 5 2 4" xfId="15108"/>
    <cellStyle name="Normal 13 2 5 2 4 2" xfId="37967"/>
    <cellStyle name="Normal 13 2 5 2 5" xfId="25665"/>
    <cellStyle name="Normal 13 2 5 3" xfId="4561"/>
    <cellStyle name="Normal 13 2 5 3 2" xfId="16865"/>
    <cellStyle name="Normal 13 2 5 3 2 2" xfId="39724"/>
    <cellStyle name="Normal 13 2 5 3 3" xfId="27422"/>
    <cellStyle name="Normal 13 2 5 4" xfId="8076"/>
    <cellStyle name="Normal 13 2 5 4 2" xfId="20380"/>
    <cellStyle name="Normal 13 2 5 4 2 2" xfId="43239"/>
    <cellStyle name="Normal 13 2 5 4 3" xfId="30937"/>
    <cellStyle name="Normal 13 2 5 5" xfId="11591"/>
    <cellStyle name="Normal 13 2 5 5 2" xfId="34451"/>
    <cellStyle name="Normal 13 2 5 6" xfId="13350"/>
    <cellStyle name="Normal 13 2 5 6 2" xfId="36209"/>
    <cellStyle name="Normal 13 2 5 7" xfId="23906"/>
    <cellStyle name="Normal 13 2 6" xfId="1926"/>
    <cellStyle name="Normal 13 2 6 2" xfId="5441"/>
    <cellStyle name="Normal 13 2 6 2 2" xfId="17745"/>
    <cellStyle name="Normal 13 2 6 2 2 2" xfId="40604"/>
    <cellStyle name="Normal 13 2 6 2 3" xfId="28302"/>
    <cellStyle name="Normal 13 2 6 3" xfId="8956"/>
    <cellStyle name="Normal 13 2 6 3 2" xfId="21260"/>
    <cellStyle name="Normal 13 2 6 3 2 2" xfId="44119"/>
    <cellStyle name="Normal 13 2 6 3 3" xfId="31817"/>
    <cellStyle name="Normal 13 2 6 4" xfId="14230"/>
    <cellStyle name="Normal 13 2 6 4 2" xfId="37089"/>
    <cellStyle name="Normal 13 2 6 5" xfId="24787"/>
    <cellStyle name="Normal 13 2 7" xfId="3683"/>
    <cellStyle name="Normal 13 2 7 2" xfId="15987"/>
    <cellStyle name="Normal 13 2 7 2 2" xfId="38846"/>
    <cellStyle name="Normal 13 2 7 3" xfId="26544"/>
    <cellStyle name="Normal 13 2 8" xfId="7198"/>
    <cellStyle name="Normal 13 2 8 2" xfId="19502"/>
    <cellStyle name="Normal 13 2 8 2 2" xfId="42361"/>
    <cellStyle name="Normal 13 2 8 3" xfId="30059"/>
    <cellStyle name="Normal 13 2 9" xfId="10713"/>
    <cellStyle name="Normal 13 2 9 2" xfId="33573"/>
    <cellStyle name="Normal 13 3" xfId="214"/>
    <cellStyle name="Normal 13 3 10" xfId="23079"/>
    <cellStyle name="Normal 13 3 2" xfId="426"/>
    <cellStyle name="Normal 13 3 2 2" xfId="867"/>
    <cellStyle name="Normal 13 3 2 2 2" xfId="1746"/>
    <cellStyle name="Normal 13 3 2 2 2 2" xfId="3507"/>
    <cellStyle name="Normal 13 3 2 2 2 2 2" xfId="7022"/>
    <cellStyle name="Normal 13 3 2 2 2 2 2 2" xfId="19326"/>
    <cellStyle name="Normal 13 3 2 2 2 2 2 2 2" xfId="42185"/>
    <cellStyle name="Normal 13 3 2 2 2 2 2 3" xfId="29883"/>
    <cellStyle name="Normal 13 3 2 2 2 2 3" xfId="10537"/>
    <cellStyle name="Normal 13 3 2 2 2 2 3 2" xfId="22841"/>
    <cellStyle name="Normal 13 3 2 2 2 2 3 2 2" xfId="45700"/>
    <cellStyle name="Normal 13 3 2 2 2 2 3 3" xfId="33398"/>
    <cellStyle name="Normal 13 3 2 2 2 2 4" xfId="15811"/>
    <cellStyle name="Normal 13 3 2 2 2 2 4 2" xfId="38670"/>
    <cellStyle name="Normal 13 3 2 2 2 2 5" xfId="26368"/>
    <cellStyle name="Normal 13 3 2 2 2 3" xfId="5264"/>
    <cellStyle name="Normal 13 3 2 2 2 3 2" xfId="17568"/>
    <cellStyle name="Normal 13 3 2 2 2 3 2 2" xfId="40427"/>
    <cellStyle name="Normal 13 3 2 2 2 3 3" xfId="28125"/>
    <cellStyle name="Normal 13 3 2 2 2 4" xfId="8779"/>
    <cellStyle name="Normal 13 3 2 2 2 4 2" xfId="21083"/>
    <cellStyle name="Normal 13 3 2 2 2 4 2 2" xfId="43942"/>
    <cellStyle name="Normal 13 3 2 2 2 4 3" xfId="31640"/>
    <cellStyle name="Normal 13 3 2 2 2 5" xfId="12294"/>
    <cellStyle name="Normal 13 3 2 2 2 5 2" xfId="35154"/>
    <cellStyle name="Normal 13 3 2 2 2 6" xfId="14053"/>
    <cellStyle name="Normal 13 3 2 2 2 6 2" xfId="36912"/>
    <cellStyle name="Normal 13 3 2 2 2 7" xfId="24609"/>
    <cellStyle name="Normal 13 3 2 2 3" xfId="2629"/>
    <cellStyle name="Normal 13 3 2 2 3 2" xfId="6144"/>
    <cellStyle name="Normal 13 3 2 2 3 2 2" xfId="18448"/>
    <cellStyle name="Normal 13 3 2 2 3 2 2 2" xfId="41307"/>
    <cellStyle name="Normal 13 3 2 2 3 2 3" xfId="29005"/>
    <cellStyle name="Normal 13 3 2 2 3 3" xfId="9659"/>
    <cellStyle name="Normal 13 3 2 2 3 3 2" xfId="21963"/>
    <cellStyle name="Normal 13 3 2 2 3 3 2 2" xfId="44822"/>
    <cellStyle name="Normal 13 3 2 2 3 3 3" xfId="32520"/>
    <cellStyle name="Normal 13 3 2 2 3 4" xfId="14933"/>
    <cellStyle name="Normal 13 3 2 2 3 4 2" xfId="37792"/>
    <cellStyle name="Normal 13 3 2 2 3 5" xfId="25490"/>
    <cellStyle name="Normal 13 3 2 2 4" xfId="4386"/>
    <cellStyle name="Normal 13 3 2 2 4 2" xfId="16690"/>
    <cellStyle name="Normal 13 3 2 2 4 2 2" xfId="39549"/>
    <cellStyle name="Normal 13 3 2 2 4 3" xfId="27247"/>
    <cellStyle name="Normal 13 3 2 2 5" xfId="7901"/>
    <cellStyle name="Normal 13 3 2 2 5 2" xfId="20205"/>
    <cellStyle name="Normal 13 3 2 2 5 2 2" xfId="43064"/>
    <cellStyle name="Normal 13 3 2 2 5 3" xfId="30762"/>
    <cellStyle name="Normal 13 3 2 2 6" xfId="11416"/>
    <cellStyle name="Normal 13 3 2 2 6 2" xfId="34276"/>
    <cellStyle name="Normal 13 3 2 2 7" xfId="13175"/>
    <cellStyle name="Normal 13 3 2 2 7 2" xfId="36034"/>
    <cellStyle name="Normal 13 3 2 2 8" xfId="23731"/>
    <cellStyle name="Normal 13 3 2 3" xfId="1307"/>
    <cellStyle name="Normal 13 3 2 3 2" xfId="3068"/>
    <cellStyle name="Normal 13 3 2 3 2 2" xfId="6583"/>
    <cellStyle name="Normal 13 3 2 3 2 2 2" xfId="18887"/>
    <cellStyle name="Normal 13 3 2 3 2 2 2 2" xfId="41746"/>
    <cellStyle name="Normal 13 3 2 3 2 2 3" xfId="29444"/>
    <cellStyle name="Normal 13 3 2 3 2 3" xfId="10098"/>
    <cellStyle name="Normal 13 3 2 3 2 3 2" xfId="22402"/>
    <cellStyle name="Normal 13 3 2 3 2 3 2 2" xfId="45261"/>
    <cellStyle name="Normal 13 3 2 3 2 3 3" xfId="32959"/>
    <cellStyle name="Normal 13 3 2 3 2 4" xfId="15372"/>
    <cellStyle name="Normal 13 3 2 3 2 4 2" xfId="38231"/>
    <cellStyle name="Normal 13 3 2 3 2 5" xfId="25929"/>
    <cellStyle name="Normal 13 3 2 3 3" xfId="4825"/>
    <cellStyle name="Normal 13 3 2 3 3 2" xfId="17129"/>
    <cellStyle name="Normal 13 3 2 3 3 2 2" xfId="39988"/>
    <cellStyle name="Normal 13 3 2 3 3 3" xfId="27686"/>
    <cellStyle name="Normal 13 3 2 3 4" xfId="8340"/>
    <cellStyle name="Normal 13 3 2 3 4 2" xfId="20644"/>
    <cellStyle name="Normal 13 3 2 3 4 2 2" xfId="43503"/>
    <cellStyle name="Normal 13 3 2 3 4 3" xfId="31201"/>
    <cellStyle name="Normal 13 3 2 3 5" xfId="11855"/>
    <cellStyle name="Normal 13 3 2 3 5 2" xfId="34715"/>
    <cellStyle name="Normal 13 3 2 3 6" xfId="13614"/>
    <cellStyle name="Normal 13 3 2 3 6 2" xfId="36473"/>
    <cellStyle name="Normal 13 3 2 3 7" xfId="24170"/>
    <cellStyle name="Normal 13 3 2 4" xfId="2190"/>
    <cellStyle name="Normal 13 3 2 4 2" xfId="5705"/>
    <cellStyle name="Normal 13 3 2 4 2 2" xfId="18009"/>
    <cellStyle name="Normal 13 3 2 4 2 2 2" xfId="40868"/>
    <cellStyle name="Normal 13 3 2 4 2 3" xfId="28566"/>
    <cellStyle name="Normal 13 3 2 4 3" xfId="9220"/>
    <cellStyle name="Normal 13 3 2 4 3 2" xfId="21524"/>
    <cellStyle name="Normal 13 3 2 4 3 2 2" xfId="44383"/>
    <cellStyle name="Normal 13 3 2 4 3 3" xfId="32081"/>
    <cellStyle name="Normal 13 3 2 4 4" xfId="14494"/>
    <cellStyle name="Normal 13 3 2 4 4 2" xfId="37353"/>
    <cellStyle name="Normal 13 3 2 4 5" xfId="25051"/>
    <cellStyle name="Normal 13 3 2 5" xfId="3947"/>
    <cellStyle name="Normal 13 3 2 5 2" xfId="16251"/>
    <cellStyle name="Normal 13 3 2 5 2 2" xfId="39110"/>
    <cellStyle name="Normal 13 3 2 5 3" xfId="26808"/>
    <cellStyle name="Normal 13 3 2 6" xfId="7462"/>
    <cellStyle name="Normal 13 3 2 6 2" xfId="19766"/>
    <cellStyle name="Normal 13 3 2 6 2 2" xfId="42625"/>
    <cellStyle name="Normal 13 3 2 6 3" xfId="30323"/>
    <cellStyle name="Normal 13 3 2 7" xfId="10977"/>
    <cellStyle name="Normal 13 3 2 7 2" xfId="33837"/>
    <cellStyle name="Normal 13 3 2 8" xfId="12736"/>
    <cellStyle name="Normal 13 3 2 8 2" xfId="35595"/>
    <cellStyle name="Normal 13 3 2 9" xfId="23291"/>
    <cellStyle name="Normal 13 3 3" xfId="655"/>
    <cellStyle name="Normal 13 3 3 2" xfId="1534"/>
    <cellStyle name="Normal 13 3 3 2 2" xfId="3295"/>
    <cellStyle name="Normal 13 3 3 2 2 2" xfId="6810"/>
    <cellStyle name="Normal 13 3 3 2 2 2 2" xfId="19114"/>
    <cellStyle name="Normal 13 3 3 2 2 2 2 2" xfId="41973"/>
    <cellStyle name="Normal 13 3 3 2 2 2 3" xfId="29671"/>
    <cellStyle name="Normal 13 3 3 2 2 3" xfId="10325"/>
    <cellStyle name="Normal 13 3 3 2 2 3 2" xfId="22629"/>
    <cellStyle name="Normal 13 3 3 2 2 3 2 2" xfId="45488"/>
    <cellStyle name="Normal 13 3 3 2 2 3 3" xfId="33186"/>
    <cellStyle name="Normal 13 3 3 2 2 4" xfId="15599"/>
    <cellStyle name="Normal 13 3 3 2 2 4 2" xfId="38458"/>
    <cellStyle name="Normal 13 3 3 2 2 5" xfId="26156"/>
    <cellStyle name="Normal 13 3 3 2 3" xfId="5052"/>
    <cellStyle name="Normal 13 3 3 2 3 2" xfId="17356"/>
    <cellStyle name="Normal 13 3 3 2 3 2 2" xfId="40215"/>
    <cellStyle name="Normal 13 3 3 2 3 3" xfId="27913"/>
    <cellStyle name="Normal 13 3 3 2 4" xfId="8567"/>
    <cellStyle name="Normal 13 3 3 2 4 2" xfId="20871"/>
    <cellStyle name="Normal 13 3 3 2 4 2 2" xfId="43730"/>
    <cellStyle name="Normal 13 3 3 2 4 3" xfId="31428"/>
    <cellStyle name="Normal 13 3 3 2 5" xfId="12082"/>
    <cellStyle name="Normal 13 3 3 2 5 2" xfId="34942"/>
    <cellStyle name="Normal 13 3 3 2 6" xfId="13841"/>
    <cellStyle name="Normal 13 3 3 2 6 2" xfId="36700"/>
    <cellStyle name="Normal 13 3 3 2 7" xfId="24397"/>
    <cellStyle name="Normal 13 3 3 3" xfId="2417"/>
    <cellStyle name="Normal 13 3 3 3 2" xfId="5932"/>
    <cellStyle name="Normal 13 3 3 3 2 2" xfId="18236"/>
    <cellStyle name="Normal 13 3 3 3 2 2 2" xfId="41095"/>
    <cellStyle name="Normal 13 3 3 3 2 3" xfId="28793"/>
    <cellStyle name="Normal 13 3 3 3 3" xfId="9447"/>
    <cellStyle name="Normal 13 3 3 3 3 2" xfId="21751"/>
    <cellStyle name="Normal 13 3 3 3 3 2 2" xfId="44610"/>
    <cellStyle name="Normal 13 3 3 3 3 3" xfId="32308"/>
    <cellStyle name="Normal 13 3 3 3 4" xfId="14721"/>
    <cellStyle name="Normal 13 3 3 3 4 2" xfId="37580"/>
    <cellStyle name="Normal 13 3 3 3 5" xfId="25278"/>
    <cellStyle name="Normal 13 3 3 4" xfId="4174"/>
    <cellStyle name="Normal 13 3 3 4 2" xfId="16478"/>
    <cellStyle name="Normal 13 3 3 4 2 2" xfId="39337"/>
    <cellStyle name="Normal 13 3 3 4 3" xfId="27035"/>
    <cellStyle name="Normal 13 3 3 5" xfId="7689"/>
    <cellStyle name="Normal 13 3 3 5 2" xfId="19993"/>
    <cellStyle name="Normal 13 3 3 5 2 2" xfId="42852"/>
    <cellStyle name="Normal 13 3 3 5 3" xfId="30550"/>
    <cellStyle name="Normal 13 3 3 6" xfId="11204"/>
    <cellStyle name="Normal 13 3 3 6 2" xfId="34064"/>
    <cellStyle name="Normal 13 3 3 7" xfId="12963"/>
    <cellStyle name="Normal 13 3 3 7 2" xfId="35822"/>
    <cellStyle name="Normal 13 3 3 8" xfId="23519"/>
    <cellStyle name="Normal 13 3 4" xfId="1095"/>
    <cellStyle name="Normal 13 3 4 2" xfId="2856"/>
    <cellStyle name="Normal 13 3 4 2 2" xfId="6371"/>
    <cellStyle name="Normal 13 3 4 2 2 2" xfId="18675"/>
    <cellStyle name="Normal 13 3 4 2 2 2 2" xfId="41534"/>
    <cellStyle name="Normal 13 3 4 2 2 3" xfId="29232"/>
    <cellStyle name="Normal 13 3 4 2 3" xfId="9886"/>
    <cellStyle name="Normal 13 3 4 2 3 2" xfId="22190"/>
    <cellStyle name="Normal 13 3 4 2 3 2 2" xfId="45049"/>
    <cellStyle name="Normal 13 3 4 2 3 3" xfId="32747"/>
    <cellStyle name="Normal 13 3 4 2 4" xfId="15160"/>
    <cellStyle name="Normal 13 3 4 2 4 2" xfId="38019"/>
    <cellStyle name="Normal 13 3 4 2 5" xfId="25717"/>
    <cellStyle name="Normal 13 3 4 3" xfId="4613"/>
    <cellStyle name="Normal 13 3 4 3 2" xfId="16917"/>
    <cellStyle name="Normal 13 3 4 3 2 2" xfId="39776"/>
    <cellStyle name="Normal 13 3 4 3 3" xfId="27474"/>
    <cellStyle name="Normal 13 3 4 4" xfId="8128"/>
    <cellStyle name="Normal 13 3 4 4 2" xfId="20432"/>
    <cellStyle name="Normal 13 3 4 4 2 2" xfId="43291"/>
    <cellStyle name="Normal 13 3 4 4 3" xfId="30989"/>
    <cellStyle name="Normal 13 3 4 5" xfId="11643"/>
    <cellStyle name="Normal 13 3 4 5 2" xfId="34503"/>
    <cellStyle name="Normal 13 3 4 6" xfId="13402"/>
    <cellStyle name="Normal 13 3 4 6 2" xfId="36261"/>
    <cellStyle name="Normal 13 3 4 7" xfId="23958"/>
    <cellStyle name="Normal 13 3 5" xfId="1978"/>
    <cellStyle name="Normal 13 3 5 2" xfId="5493"/>
    <cellStyle name="Normal 13 3 5 2 2" xfId="17797"/>
    <cellStyle name="Normal 13 3 5 2 2 2" xfId="40656"/>
    <cellStyle name="Normal 13 3 5 2 3" xfId="28354"/>
    <cellStyle name="Normal 13 3 5 3" xfId="9008"/>
    <cellStyle name="Normal 13 3 5 3 2" xfId="21312"/>
    <cellStyle name="Normal 13 3 5 3 2 2" xfId="44171"/>
    <cellStyle name="Normal 13 3 5 3 3" xfId="31869"/>
    <cellStyle name="Normal 13 3 5 4" xfId="14282"/>
    <cellStyle name="Normal 13 3 5 4 2" xfId="37141"/>
    <cellStyle name="Normal 13 3 5 5" xfId="24839"/>
    <cellStyle name="Normal 13 3 6" xfId="3735"/>
    <cellStyle name="Normal 13 3 6 2" xfId="16039"/>
    <cellStyle name="Normal 13 3 6 2 2" xfId="38898"/>
    <cellStyle name="Normal 13 3 6 3" xfId="26596"/>
    <cellStyle name="Normal 13 3 7" xfId="7250"/>
    <cellStyle name="Normal 13 3 7 2" xfId="19554"/>
    <cellStyle name="Normal 13 3 7 2 2" xfId="42413"/>
    <cellStyle name="Normal 13 3 7 3" xfId="30111"/>
    <cellStyle name="Normal 13 3 8" xfId="10765"/>
    <cellStyle name="Normal 13 3 8 2" xfId="33625"/>
    <cellStyle name="Normal 13 3 9" xfId="12524"/>
    <cellStyle name="Normal 13 3 9 2" xfId="35383"/>
    <cellStyle name="Normal 13 4" xfId="320"/>
    <cellStyle name="Normal 13 4 2" xfId="761"/>
    <cellStyle name="Normal 13 4 2 2" xfId="1640"/>
    <cellStyle name="Normal 13 4 2 2 2" xfId="3401"/>
    <cellStyle name="Normal 13 4 2 2 2 2" xfId="6916"/>
    <cellStyle name="Normal 13 4 2 2 2 2 2" xfId="19220"/>
    <cellStyle name="Normal 13 4 2 2 2 2 2 2" xfId="42079"/>
    <cellStyle name="Normal 13 4 2 2 2 2 3" xfId="29777"/>
    <cellStyle name="Normal 13 4 2 2 2 3" xfId="10431"/>
    <cellStyle name="Normal 13 4 2 2 2 3 2" xfId="22735"/>
    <cellStyle name="Normal 13 4 2 2 2 3 2 2" xfId="45594"/>
    <cellStyle name="Normal 13 4 2 2 2 3 3" xfId="33292"/>
    <cellStyle name="Normal 13 4 2 2 2 4" xfId="15705"/>
    <cellStyle name="Normal 13 4 2 2 2 4 2" xfId="38564"/>
    <cellStyle name="Normal 13 4 2 2 2 5" xfId="26262"/>
    <cellStyle name="Normal 13 4 2 2 3" xfId="5158"/>
    <cellStyle name="Normal 13 4 2 2 3 2" xfId="17462"/>
    <cellStyle name="Normal 13 4 2 2 3 2 2" xfId="40321"/>
    <cellStyle name="Normal 13 4 2 2 3 3" xfId="28019"/>
    <cellStyle name="Normal 13 4 2 2 4" xfId="8673"/>
    <cellStyle name="Normal 13 4 2 2 4 2" xfId="20977"/>
    <cellStyle name="Normal 13 4 2 2 4 2 2" xfId="43836"/>
    <cellStyle name="Normal 13 4 2 2 4 3" xfId="31534"/>
    <cellStyle name="Normal 13 4 2 2 5" xfId="12188"/>
    <cellStyle name="Normal 13 4 2 2 5 2" xfId="35048"/>
    <cellStyle name="Normal 13 4 2 2 6" xfId="13947"/>
    <cellStyle name="Normal 13 4 2 2 6 2" xfId="36806"/>
    <cellStyle name="Normal 13 4 2 2 7" xfId="24503"/>
    <cellStyle name="Normal 13 4 2 3" xfId="2523"/>
    <cellStyle name="Normal 13 4 2 3 2" xfId="6038"/>
    <cellStyle name="Normal 13 4 2 3 2 2" xfId="18342"/>
    <cellStyle name="Normal 13 4 2 3 2 2 2" xfId="41201"/>
    <cellStyle name="Normal 13 4 2 3 2 3" xfId="28899"/>
    <cellStyle name="Normal 13 4 2 3 3" xfId="9553"/>
    <cellStyle name="Normal 13 4 2 3 3 2" xfId="21857"/>
    <cellStyle name="Normal 13 4 2 3 3 2 2" xfId="44716"/>
    <cellStyle name="Normal 13 4 2 3 3 3" xfId="32414"/>
    <cellStyle name="Normal 13 4 2 3 4" xfId="14827"/>
    <cellStyle name="Normal 13 4 2 3 4 2" xfId="37686"/>
    <cellStyle name="Normal 13 4 2 3 5" xfId="25384"/>
    <cellStyle name="Normal 13 4 2 4" xfId="4280"/>
    <cellStyle name="Normal 13 4 2 4 2" xfId="16584"/>
    <cellStyle name="Normal 13 4 2 4 2 2" xfId="39443"/>
    <cellStyle name="Normal 13 4 2 4 3" xfId="27141"/>
    <cellStyle name="Normal 13 4 2 5" xfId="7795"/>
    <cellStyle name="Normal 13 4 2 5 2" xfId="20099"/>
    <cellStyle name="Normal 13 4 2 5 2 2" xfId="42958"/>
    <cellStyle name="Normal 13 4 2 5 3" xfId="30656"/>
    <cellStyle name="Normal 13 4 2 6" xfId="11310"/>
    <cellStyle name="Normal 13 4 2 6 2" xfId="34170"/>
    <cellStyle name="Normal 13 4 2 7" xfId="13069"/>
    <cellStyle name="Normal 13 4 2 7 2" xfId="35928"/>
    <cellStyle name="Normal 13 4 2 8" xfId="23625"/>
    <cellStyle name="Normal 13 4 3" xfId="1201"/>
    <cellStyle name="Normal 13 4 3 2" xfId="2962"/>
    <cellStyle name="Normal 13 4 3 2 2" xfId="6477"/>
    <cellStyle name="Normal 13 4 3 2 2 2" xfId="18781"/>
    <cellStyle name="Normal 13 4 3 2 2 2 2" xfId="41640"/>
    <cellStyle name="Normal 13 4 3 2 2 3" xfId="29338"/>
    <cellStyle name="Normal 13 4 3 2 3" xfId="9992"/>
    <cellStyle name="Normal 13 4 3 2 3 2" xfId="22296"/>
    <cellStyle name="Normal 13 4 3 2 3 2 2" xfId="45155"/>
    <cellStyle name="Normal 13 4 3 2 3 3" xfId="32853"/>
    <cellStyle name="Normal 13 4 3 2 4" xfId="15266"/>
    <cellStyle name="Normal 13 4 3 2 4 2" xfId="38125"/>
    <cellStyle name="Normal 13 4 3 2 5" xfId="25823"/>
    <cellStyle name="Normal 13 4 3 3" xfId="4719"/>
    <cellStyle name="Normal 13 4 3 3 2" xfId="17023"/>
    <cellStyle name="Normal 13 4 3 3 2 2" xfId="39882"/>
    <cellStyle name="Normal 13 4 3 3 3" xfId="27580"/>
    <cellStyle name="Normal 13 4 3 4" xfId="8234"/>
    <cellStyle name="Normal 13 4 3 4 2" xfId="20538"/>
    <cellStyle name="Normal 13 4 3 4 2 2" xfId="43397"/>
    <cellStyle name="Normal 13 4 3 4 3" xfId="31095"/>
    <cellStyle name="Normal 13 4 3 5" xfId="11749"/>
    <cellStyle name="Normal 13 4 3 5 2" xfId="34609"/>
    <cellStyle name="Normal 13 4 3 6" xfId="13508"/>
    <cellStyle name="Normal 13 4 3 6 2" xfId="36367"/>
    <cellStyle name="Normal 13 4 3 7" xfId="24064"/>
    <cellStyle name="Normal 13 4 4" xfId="2084"/>
    <cellStyle name="Normal 13 4 4 2" xfId="5599"/>
    <cellStyle name="Normal 13 4 4 2 2" xfId="17903"/>
    <cellStyle name="Normal 13 4 4 2 2 2" xfId="40762"/>
    <cellStyle name="Normal 13 4 4 2 3" xfId="28460"/>
    <cellStyle name="Normal 13 4 4 3" xfId="9114"/>
    <cellStyle name="Normal 13 4 4 3 2" xfId="21418"/>
    <cellStyle name="Normal 13 4 4 3 2 2" xfId="44277"/>
    <cellStyle name="Normal 13 4 4 3 3" xfId="31975"/>
    <cellStyle name="Normal 13 4 4 4" xfId="14388"/>
    <cellStyle name="Normal 13 4 4 4 2" xfId="37247"/>
    <cellStyle name="Normal 13 4 4 5" xfId="24945"/>
    <cellStyle name="Normal 13 4 5" xfId="3841"/>
    <cellStyle name="Normal 13 4 5 2" xfId="16145"/>
    <cellStyle name="Normal 13 4 5 2 2" xfId="39004"/>
    <cellStyle name="Normal 13 4 5 3" xfId="26702"/>
    <cellStyle name="Normal 13 4 6" xfId="7356"/>
    <cellStyle name="Normal 13 4 6 2" xfId="19660"/>
    <cellStyle name="Normal 13 4 6 2 2" xfId="42519"/>
    <cellStyle name="Normal 13 4 6 3" xfId="30217"/>
    <cellStyle name="Normal 13 4 7" xfId="10871"/>
    <cellStyle name="Normal 13 4 7 2" xfId="33731"/>
    <cellStyle name="Normal 13 4 8" xfId="12630"/>
    <cellStyle name="Normal 13 4 8 2" xfId="35489"/>
    <cellStyle name="Normal 13 4 9" xfId="23185"/>
    <cellStyle name="Normal 13 5" xfId="549"/>
    <cellStyle name="Normal 13 5 2" xfId="1428"/>
    <cellStyle name="Normal 13 5 2 2" xfId="3189"/>
    <cellStyle name="Normal 13 5 2 2 2" xfId="6704"/>
    <cellStyle name="Normal 13 5 2 2 2 2" xfId="19008"/>
    <cellStyle name="Normal 13 5 2 2 2 2 2" xfId="41867"/>
    <cellStyle name="Normal 13 5 2 2 2 3" xfId="29565"/>
    <cellStyle name="Normal 13 5 2 2 3" xfId="10219"/>
    <cellStyle name="Normal 13 5 2 2 3 2" xfId="22523"/>
    <cellStyle name="Normal 13 5 2 2 3 2 2" xfId="45382"/>
    <cellStyle name="Normal 13 5 2 2 3 3" xfId="33080"/>
    <cellStyle name="Normal 13 5 2 2 4" xfId="15493"/>
    <cellStyle name="Normal 13 5 2 2 4 2" xfId="38352"/>
    <cellStyle name="Normal 13 5 2 2 5" xfId="26050"/>
    <cellStyle name="Normal 13 5 2 3" xfId="4946"/>
    <cellStyle name="Normal 13 5 2 3 2" xfId="17250"/>
    <cellStyle name="Normal 13 5 2 3 2 2" xfId="40109"/>
    <cellStyle name="Normal 13 5 2 3 3" xfId="27807"/>
    <cellStyle name="Normal 13 5 2 4" xfId="8461"/>
    <cellStyle name="Normal 13 5 2 4 2" xfId="20765"/>
    <cellStyle name="Normal 13 5 2 4 2 2" xfId="43624"/>
    <cellStyle name="Normal 13 5 2 4 3" xfId="31322"/>
    <cellStyle name="Normal 13 5 2 5" xfId="11976"/>
    <cellStyle name="Normal 13 5 2 5 2" xfId="34836"/>
    <cellStyle name="Normal 13 5 2 6" xfId="13735"/>
    <cellStyle name="Normal 13 5 2 6 2" xfId="36594"/>
    <cellStyle name="Normal 13 5 2 7" xfId="24291"/>
    <cellStyle name="Normal 13 5 3" xfId="2311"/>
    <cellStyle name="Normal 13 5 3 2" xfId="5826"/>
    <cellStyle name="Normal 13 5 3 2 2" xfId="18130"/>
    <cellStyle name="Normal 13 5 3 2 2 2" xfId="40989"/>
    <cellStyle name="Normal 13 5 3 2 3" xfId="28687"/>
    <cellStyle name="Normal 13 5 3 3" xfId="9341"/>
    <cellStyle name="Normal 13 5 3 3 2" xfId="21645"/>
    <cellStyle name="Normal 13 5 3 3 2 2" xfId="44504"/>
    <cellStyle name="Normal 13 5 3 3 3" xfId="32202"/>
    <cellStyle name="Normal 13 5 3 4" xfId="14615"/>
    <cellStyle name="Normal 13 5 3 4 2" xfId="37474"/>
    <cellStyle name="Normal 13 5 3 5" xfId="25172"/>
    <cellStyle name="Normal 13 5 4" xfId="4068"/>
    <cellStyle name="Normal 13 5 4 2" xfId="16372"/>
    <cellStyle name="Normal 13 5 4 2 2" xfId="39231"/>
    <cellStyle name="Normal 13 5 4 3" xfId="26929"/>
    <cellStyle name="Normal 13 5 5" xfId="7583"/>
    <cellStyle name="Normal 13 5 5 2" xfId="19887"/>
    <cellStyle name="Normal 13 5 5 2 2" xfId="42746"/>
    <cellStyle name="Normal 13 5 5 3" xfId="30444"/>
    <cellStyle name="Normal 13 5 6" xfId="11098"/>
    <cellStyle name="Normal 13 5 6 2" xfId="33958"/>
    <cellStyle name="Normal 13 5 7" xfId="12857"/>
    <cellStyle name="Normal 13 5 7 2" xfId="35716"/>
    <cellStyle name="Normal 13 5 8" xfId="23413"/>
    <cellStyle name="Normal 13 6" xfId="989"/>
    <cellStyle name="Normal 13 6 2" xfId="2750"/>
    <cellStyle name="Normal 13 6 2 2" xfId="6265"/>
    <cellStyle name="Normal 13 6 2 2 2" xfId="18569"/>
    <cellStyle name="Normal 13 6 2 2 2 2" xfId="41428"/>
    <cellStyle name="Normal 13 6 2 2 3" xfId="29126"/>
    <cellStyle name="Normal 13 6 2 3" xfId="9780"/>
    <cellStyle name="Normal 13 6 2 3 2" xfId="22084"/>
    <cellStyle name="Normal 13 6 2 3 2 2" xfId="44943"/>
    <cellStyle name="Normal 13 6 2 3 3" xfId="32641"/>
    <cellStyle name="Normal 13 6 2 4" xfId="15054"/>
    <cellStyle name="Normal 13 6 2 4 2" xfId="37913"/>
    <cellStyle name="Normal 13 6 2 5" xfId="25611"/>
    <cellStyle name="Normal 13 6 3" xfId="4507"/>
    <cellStyle name="Normal 13 6 3 2" xfId="16811"/>
    <cellStyle name="Normal 13 6 3 2 2" xfId="39670"/>
    <cellStyle name="Normal 13 6 3 3" xfId="27368"/>
    <cellStyle name="Normal 13 6 4" xfId="8022"/>
    <cellStyle name="Normal 13 6 4 2" xfId="20326"/>
    <cellStyle name="Normal 13 6 4 2 2" xfId="43185"/>
    <cellStyle name="Normal 13 6 4 3" xfId="30883"/>
    <cellStyle name="Normal 13 6 5" xfId="11537"/>
    <cellStyle name="Normal 13 6 5 2" xfId="34397"/>
    <cellStyle name="Normal 13 6 6" xfId="13296"/>
    <cellStyle name="Normal 13 6 6 2" xfId="36155"/>
    <cellStyle name="Normal 13 6 7" xfId="23852"/>
    <cellStyle name="Normal 13 7" xfId="1872"/>
    <cellStyle name="Normal 13 7 2" xfId="5387"/>
    <cellStyle name="Normal 13 7 2 2" xfId="17691"/>
    <cellStyle name="Normal 13 7 2 2 2" xfId="40550"/>
    <cellStyle name="Normal 13 7 2 3" xfId="28248"/>
    <cellStyle name="Normal 13 7 3" xfId="8902"/>
    <cellStyle name="Normal 13 7 3 2" xfId="21206"/>
    <cellStyle name="Normal 13 7 3 2 2" xfId="44065"/>
    <cellStyle name="Normal 13 7 3 3" xfId="31763"/>
    <cellStyle name="Normal 13 7 4" xfId="14176"/>
    <cellStyle name="Normal 13 7 4 2" xfId="37035"/>
    <cellStyle name="Normal 13 7 5" xfId="24733"/>
    <cellStyle name="Normal 13 8" xfId="3629"/>
    <cellStyle name="Normal 13 8 2" xfId="15933"/>
    <cellStyle name="Normal 13 8 2 2" xfId="38792"/>
    <cellStyle name="Normal 13 8 3" xfId="26490"/>
    <cellStyle name="Normal 13 9" xfId="7144"/>
    <cellStyle name="Normal 13 9 2" xfId="19448"/>
    <cellStyle name="Normal 13 9 2 2" xfId="42307"/>
    <cellStyle name="Normal 13 9 3" xfId="30005"/>
    <cellStyle name="Normal 14" xfId="133"/>
    <cellStyle name="Normal 14 10" xfId="12445"/>
    <cellStyle name="Normal 14 10 2" xfId="35304"/>
    <cellStyle name="Normal 14 11" xfId="22999"/>
    <cellStyle name="Normal 14 2" xfId="241"/>
    <cellStyle name="Normal 14 2 10" xfId="23106"/>
    <cellStyle name="Normal 14 2 2" xfId="453"/>
    <cellStyle name="Normal 14 2 2 2" xfId="894"/>
    <cellStyle name="Normal 14 2 2 2 2" xfId="1773"/>
    <cellStyle name="Normal 14 2 2 2 2 2" xfId="3534"/>
    <cellStyle name="Normal 14 2 2 2 2 2 2" xfId="7049"/>
    <cellStyle name="Normal 14 2 2 2 2 2 2 2" xfId="19353"/>
    <cellStyle name="Normal 14 2 2 2 2 2 2 2 2" xfId="42212"/>
    <cellStyle name="Normal 14 2 2 2 2 2 2 3" xfId="29910"/>
    <cellStyle name="Normal 14 2 2 2 2 2 3" xfId="10564"/>
    <cellStyle name="Normal 14 2 2 2 2 2 3 2" xfId="22868"/>
    <cellStyle name="Normal 14 2 2 2 2 2 3 2 2" xfId="45727"/>
    <cellStyle name="Normal 14 2 2 2 2 2 3 3" xfId="33425"/>
    <cellStyle name="Normal 14 2 2 2 2 2 4" xfId="15838"/>
    <cellStyle name="Normal 14 2 2 2 2 2 4 2" xfId="38697"/>
    <cellStyle name="Normal 14 2 2 2 2 2 5" xfId="26395"/>
    <cellStyle name="Normal 14 2 2 2 2 3" xfId="5291"/>
    <cellStyle name="Normal 14 2 2 2 2 3 2" xfId="17595"/>
    <cellStyle name="Normal 14 2 2 2 2 3 2 2" xfId="40454"/>
    <cellStyle name="Normal 14 2 2 2 2 3 3" xfId="28152"/>
    <cellStyle name="Normal 14 2 2 2 2 4" xfId="8806"/>
    <cellStyle name="Normal 14 2 2 2 2 4 2" xfId="21110"/>
    <cellStyle name="Normal 14 2 2 2 2 4 2 2" xfId="43969"/>
    <cellStyle name="Normal 14 2 2 2 2 4 3" xfId="31667"/>
    <cellStyle name="Normal 14 2 2 2 2 5" xfId="12321"/>
    <cellStyle name="Normal 14 2 2 2 2 5 2" xfId="35181"/>
    <cellStyle name="Normal 14 2 2 2 2 6" xfId="14080"/>
    <cellStyle name="Normal 14 2 2 2 2 6 2" xfId="36939"/>
    <cellStyle name="Normal 14 2 2 2 2 7" xfId="24636"/>
    <cellStyle name="Normal 14 2 2 2 3" xfId="2656"/>
    <cellStyle name="Normal 14 2 2 2 3 2" xfId="6171"/>
    <cellStyle name="Normal 14 2 2 2 3 2 2" xfId="18475"/>
    <cellStyle name="Normal 14 2 2 2 3 2 2 2" xfId="41334"/>
    <cellStyle name="Normal 14 2 2 2 3 2 3" xfId="29032"/>
    <cellStyle name="Normal 14 2 2 2 3 3" xfId="9686"/>
    <cellStyle name="Normal 14 2 2 2 3 3 2" xfId="21990"/>
    <cellStyle name="Normal 14 2 2 2 3 3 2 2" xfId="44849"/>
    <cellStyle name="Normal 14 2 2 2 3 3 3" xfId="32547"/>
    <cellStyle name="Normal 14 2 2 2 3 4" xfId="14960"/>
    <cellStyle name="Normal 14 2 2 2 3 4 2" xfId="37819"/>
    <cellStyle name="Normal 14 2 2 2 3 5" xfId="25517"/>
    <cellStyle name="Normal 14 2 2 2 4" xfId="4413"/>
    <cellStyle name="Normal 14 2 2 2 4 2" xfId="16717"/>
    <cellStyle name="Normal 14 2 2 2 4 2 2" xfId="39576"/>
    <cellStyle name="Normal 14 2 2 2 4 3" xfId="27274"/>
    <cellStyle name="Normal 14 2 2 2 5" xfId="7928"/>
    <cellStyle name="Normal 14 2 2 2 5 2" xfId="20232"/>
    <cellStyle name="Normal 14 2 2 2 5 2 2" xfId="43091"/>
    <cellStyle name="Normal 14 2 2 2 5 3" xfId="30789"/>
    <cellStyle name="Normal 14 2 2 2 6" xfId="11443"/>
    <cellStyle name="Normal 14 2 2 2 6 2" xfId="34303"/>
    <cellStyle name="Normal 14 2 2 2 7" xfId="13202"/>
    <cellStyle name="Normal 14 2 2 2 7 2" xfId="36061"/>
    <cellStyle name="Normal 14 2 2 2 8" xfId="23758"/>
    <cellStyle name="Normal 14 2 2 3" xfId="1334"/>
    <cellStyle name="Normal 14 2 2 3 2" xfId="3095"/>
    <cellStyle name="Normal 14 2 2 3 2 2" xfId="6610"/>
    <cellStyle name="Normal 14 2 2 3 2 2 2" xfId="18914"/>
    <cellStyle name="Normal 14 2 2 3 2 2 2 2" xfId="41773"/>
    <cellStyle name="Normal 14 2 2 3 2 2 3" xfId="29471"/>
    <cellStyle name="Normal 14 2 2 3 2 3" xfId="10125"/>
    <cellStyle name="Normal 14 2 2 3 2 3 2" xfId="22429"/>
    <cellStyle name="Normal 14 2 2 3 2 3 2 2" xfId="45288"/>
    <cellStyle name="Normal 14 2 2 3 2 3 3" xfId="32986"/>
    <cellStyle name="Normal 14 2 2 3 2 4" xfId="15399"/>
    <cellStyle name="Normal 14 2 2 3 2 4 2" xfId="38258"/>
    <cellStyle name="Normal 14 2 2 3 2 5" xfId="25956"/>
    <cellStyle name="Normal 14 2 2 3 3" xfId="4852"/>
    <cellStyle name="Normal 14 2 2 3 3 2" xfId="17156"/>
    <cellStyle name="Normal 14 2 2 3 3 2 2" xfId="40015"/>
    <cellStyle name="Normal 14 2 2 3 3 3" xfId="27713"/>
    <cellStyle name="Normal 14 2 2 3 4" xfId="8367"/>
    <cellStyle name="Normal 14 2 2 3 4 2" xfId="20671"/>
    <cellStyle name="Normal 14 2 2 3 4 2 2" xfId="43530"/>
    <cellStyle name="Normal 14 2 2 3 4 3" xfId="31228"/>
    <cellStyle name="Normal 14 2 2 3 5" xfId="11882"/>
    <cellStyle name="Normal 14 2 2 3 5 2" xfId="34742"/>
    <cellStyle name="Normal 14 2 2 3 6" xfId="13641"/>
    <cellStyle name="Normal 14 2 2 3 6 2" xfId="36500"/>
    <cellStyle name="Normal 14 2 2 3 7" xfId="24197"/>
    <cellStyle name="Normal 14 2 2 4" xfId="2217"/>
    <cellStyle name="Normal 14 2 2 4 2" xfId="5732"/>
    <cellStyle name="Normal 14 2 2 4 2 2" xfId="18036"/>
    <cellStyle name="Normal 14 2 2 4 2 2 2" xfId="40895"/>
    <cellStyle name="Normal 14 2 2 4 2 3" xfId="28593"/>
    <cellStyle name="Normal 14 2 2 4 3" xfId="9247"/>
    <cellStyle name="Normal 14 2 2 4 3 2" xfId="21551"/>
    <cellStyle name="Normal 14 2 2 4 3 2 2" xfId="44410"/>
    <cellStyle name="Normal 14 2 2 4 3 3" xfId="32108"/>
    <cellStyle name="Normal 14 2 2 4 4" xfId="14521"/>
    <cellStyle name="Normal 14 2 2 4 4 2" xfId="37380"/>
    <cellStyle name="Normal 14 2 2 4 5" xfId="25078"/>
    <cellStyle name="Normal 14 2 2 5" xfId="3974"/>
    <cellStyle name="Normal 14 2 2 5 2" xfId="16278"/>
    <cellStyle name="Normal 14 2 2 5 2 2" xfId="39137"/>
    <cellStyle name="Normal 14 2 2 5 3" xfId="26835"/>
    <cellStyle name="Normal 14 2 2 6" xfId="7489"/>
    <cellStyle name="Normal 14 2 2 6 2" xfId="19793"/>
    <cellStyle name="Normal 14 2 2 6 2 2" xfId="42652"/>
    <cellStyle name="Normal 14 2 2 6 3" xfId="30350"/>
    <cellStyle name="Normal 14 2 2 7" xfId="11004"/>
    <cellStyle name="Normal 14 2 2 7 2" xfId="33864"/>
    <cellStyle name="Normal 14 2 2 8" xfId="12763"/>
    <cellStyle name="Normal 14 2 2 8 2" xfId="35622"/>
    <cellStyle name="Normal 14 2 2 9" xfId="23318"/>
    <cellStyle name="Normal 14 2 3" xfId="682"/>
    <cellStyle name="Normal 14 2 3 2" xfId="1561"/>
    <cellStyle name="Normal 14 2 3 2 2" xfId="3322"/>
    <cellStyle name="Normal 14 2 3 2 2 2" xfId="6837"/>
    <cellStyle name="Normal 14 2 3 2 2 2 2" xfId="19141"/>
    <cellStyle name="Normal 14 2 3 2 2 2 2 2" xfId="42000"/>
    <cellStyle name="Normal 14 2 3 2 2 2 3" xfId="29698"/>
    <cellStyle name="Normal 14 2 3 2 2 3" xfId="10352"/>
    <cellStyle name="Normal 14 2 3 2 2 3 2" xfId="22656"/>
    <cellStyle name="Normal 14 2 3 2 2 3 2 2" xfId="45515"/>
    <cellStyle name="Normal 14 2 3 2 2 3 3" xfId="33213"/>
    <cellStyle name="Normal 14 2 3 2 2 4" xfId="15626"/>
    <cellStyle name="Normal 14 2 3 2 2 4 2" xfId="38485"/>
    <cellStyle name="Normal 14 2 3 2 2 5" xfId="26183"/>
    <cellStyle name="Normal 14 2 3 2 3" xfId="5079"/>
    <cellStyle name="Normal 14 2 3 2 3 2" xfId="17383"/>
    <cellStyle name="Normal 14 2 3 2 3 2 2" xfId="40242"/>
    <cellStyle name="Normal 14 2 3 2 3 3" xfId="27940"/>
    <cellStyle name="Normal 14 2 3 2 4" xfId="8594"/>
    <cellStyle name="Normal 14 2 3 2 4 2" xfId="20898"/>
    <cellStyle name="Normal 14 2 3 2 4 2 2" xfId="43757"/>
    <cellStyle name="Normal 14 2 3 2 4 3" xfId="31455"/>
    <cellStyle name="Normal 14 2 3 2 5" xfId="12109"/>
    <cellStyle name="Normal 14 2 3 2 5 2" xfId="34969"/>
    <cellStyle name="Normal 14 2 3 2 6" xfId="13868"/>
    <cellStyle name="Normal 14 2 3 2 6 2" xfId="36727"/>
    <cellStyle name="Normal 14 2 3 2 7" xfId="24424"/>
    <cellStyle name="Normal 14 2 3 3" xfId="2444"/>
    <cellStyle name="Normal 14 2 3 3 2" xfId="5959"/>
    <cellStyle name="Normal 14 2 3 3 2 2" xfId="18263"/>
    <cellStyle name="Normal 14 2 3 3 2 2 2" xfId="41122"/>
    <cellStyle name="Normal 14 2 3 3 2 3" xfId="28820"/>
    <cellStyle name="Normal 14 2 3 3 3" xfId="9474"/>
    <cellStyle name="Normal 14 2 3 3 3 2" xfId="21778"/>
    <cellStyle name="Normal 14 2 3 3 3 2 2" xfId="44637"/>
    <cellStyle name="Normal 14 2 3 3 3 3" xfId="32335"/>
    <cellStyle name="Normal 14 2 3 3 4" xfId="14748"/>
    <cellStyle name="Normal 14 2 3 3 4 2" xfId="37607"/>
    <cellStyle name="Normal 14 2 3 3 5" xfId="25305"/>
    <cellStyle name="Normal 14 2 3 4" xfId="4201"/>
    <cellStyle name="Normal 14 2 3 4 2" xfId="16505"/>
    <cellStyle name="Normal 14 2 3 4 2 2" xfId="39364"/>
    <cellStyle name="Normal 14 2 3 4 3" xfId="27062"/>
    <cellStyle name="Normal 14 2 3 5" xfId="7716"/>
    <cellStyle name="Normal 14 2 3 5 2" xfId="20020"/>
    <cellStyle name="Normal 14 2 3 5 2 2" xfId="42879"/>
    <cellStyle name="Normal 14 2 3 5 3" xfId="30577"/>
    <cellStyle name="Normal 14 2 3 6" xfId="11231"/>
    <cellStyle name="Normal 14 2 3 6 2" xfId="34091"/>
    <cellStyle name="Normal 14 2 3 7" xfId="12990"/>
    <cellStyle name="Normal 14 2 3 7 2" xfId="35849"/>
    <cellStyle name="Normal 14 2 3 8" xfId="23546"/>
    <cellStyle name="Normal 14 2 4" xfId="1122"/>
    <cellStyle name="Normal 14 2 4 2" xfId="2883"/>
    <cellStyle name="Normal 14 2 4 2 2" xfId="6398"/>
    <cellStyle name="Normal 14 2 4 2 2 2" xfId="18702"/>
    <cellStyle name="Normal 14 2 4 2 2 2 2" xfId="41561"/>
    <cellStyle name="Normal 14 2 4 2 2 3" xfId="29259"/>
    <cellStyle name="Normal 14 2 4 2 3" xfId="9913"/>
    <cellStyle name="Normal 14 2 4 2 3 2" xfId="22217"/>
    <cellStyle name="Normal 14 2 4 2 3 2 2" xfId="45076"/>
    <cellStyle name="Normal 14 2 4 2 3 3" xfId="32774"/>
    <cellStyle name="Normal 14 2 4 2 4" xfId="15187"/>
    <cellStyle name="Normal 14 2 4 2 4 2" xfId="38046"/>
    <cellStyle name="Normal 14 2 4 2 5" xfId="25744"/>
    <cellStyle name="Normal 14 2 4 3" xfId="4640"/>
    <cellStyle name="Normal 14 2 4 3 2" xfId="16944"/>
    <cellStyle name="Normal 14 2 4 3 2 2" xfId="39803"/>
    <cellStyle name="Normal 14 2 4 3 3" xfId="27501"/>
    <cellStyle name="Normal 14 2 4 4" xfId="8155"/>
    <cellStyle name="Normal 14 2 4 4 2" xfId="20459"/>
    <cellStyle name="Normal 14 2 4 4 2 2" xfId="43318"/>
    <cellStyle name="Normal 14 2 4 4 3" xfId="31016"/>
    <cellStyle name="Normal 14 2 4 5" xfId="11670"/>
    <cellStyle name="Normal 14 2 4 5 2" xfId="34530"/>
    <cellStyle name="Normal 14 2 4 6" xfId="13429"/>
    <cellStyle name="Normal 14 2 4 6 2" xfId="36288"/>
    <cellStyle name="Normal 14 2 4 7" xfId="23985"/>
    <cellStyle name="Normal 14 2 5" xfId="2005"/>
    <cellStyle name="Normal 14 2 5 2" xfId="5520"/>
    <cellStyle name="Normal 14 2 5 2 2" xfId="17824"/>
    <cellStyle name="Normal 14 2 5 2 2 2" xfId="40683"/>
    <cellStyle name="Normal 14 2 5 2 3" xfId="28381"/>
    <cellStyle name="Normal 14 2 5 3" xfId="9035"/>
    <cellStyle name="Normal 14 2 5 3 2" xfId="21339"/>
    <cellStyle name="Normal 14 2 5 3 2 2" xfId="44198"/>
    <cellStyle name="Normal 14 2 5 3 3" xfId="31896"/>
    <cellStyle name="Normal 14 2 5 4" xfId="14309"/>
    <cellStyle name="Normal 14 2 5 4 2" xfId="37168"/>
    <cellStyle name="Normal 14 2 5 5" xfId="24866"/>
    <cellStyle name="Normal 14 2 6" xfId="3762"/>
    <cellStyle name="Normal 14 2 6 2" xfId="16066"/>
    <cellStyle name="Normal 14 2 6 2 2" xfId="38925"/>
    <cellStyle name="Normal 14 2 6 3" xfId="26623"/>
    <cellStyle name="Normal 14 2 7" xfId="7277"/>
    <cellStyle name="Normal 14 2 7 2" xfId="19581"/>
    <cellStyle name="Normal 14 2 7 2 2" xfId="42440"/>
    <cellStyle name="Normal 14 2 7 3" xfId="30138"/>
    <cellStyle name="Normal 14 2 8" xfId="10792"/>
    <cellStyle name="Normal 14 2 8 2" xfId="33652"/>
    <cellStyle name="Normal 14 2 9" xfId="12551"/>
    <cellStyle name="Normal 14 2 9 2" xfId="35410"/>
    <cellStyle name="Normal 14 3" xfId="347"/>
    <cellStyle name="Normal 14 3 2" xfId="788"/>
    <cellStyle name="Normal 14 3 2 2" xfId="1667"/>
    <cellStyle name="Normal 14 3 2 2 2" xfId="3428"/>
    <cellStyle name="Normal 14 3 2 2 2 2" xfId="6943"/>
    <cellStyle name="Normal 14 3 2 2 2 2 2" xfId="19247"/>
    <cellStyle name="Normal 14 3 2 2 2 2 2 2" xfId="42106"/>
    <cellStyle name="Normal 14 3 2 2 2 2 3" xfId="29804"/>
    <cellStyle name="Normal 14 3 2 2 2 3" xfId="10458"/>
    <cellStyle name="Normal 14 3 2 2 2 3 2" xfId="22762"/>
    <cellStyle name="Normal 14 3 2 2 2 3 2 2" xfId="45621"/>
    <cellStyle name="Normal 14 3 2 2 2 3 3" xfId="33319"/>
    <cellStyle name="Normal 14 3 2 2 2 4" xfId="15732"/>
    <cellStyle name="Normal 14 3 2 2 2 4 2" xfId="38591"/>
    <cellStyle name="Normal 14 3 2 2 2 5" xfId="26289"/>
    <cellStyle name="Normal 14 3 2 2 3" xfId="5185"/>
    <cellStyle name="Normal 14 3 2 2 3 2" xfId="17489"/>
    <cellStyle name="Normal 14 3 2 2 3 2 2" xfId="40348"/>
    <cellStyle name="Normal 14 3 2 2 3 3" xfId="28046"/>
    <cellStyle name="Normal 14 3 2 2 4" xfId="8700"/>
    <cellStyle name="Normal 14 3 2 2 4 2" xfId="21004"/>
    <cellStyle name="Normal 14 3 2 2 4 2 2" xfId="43863"/>
    <cellStyle name="Normal 14 3 2 2 4 3" xfId="31561"/>
    <cellStyle name="Normal 14 3 2 2 5" xfId="12215"/>
    <cellStyle name="Normal 14 3 2 2 5 2" xfId="35075"/>
    <cellStyle name="Normal 14 3 2 2 6" xfId="13974"/>
    <cellStyle name="Normal 14 3 2 2 6 2" xfId="36833"/>
    <cellStyle name="Normal 14 3 2 2 7" xfId="24530"/>
    <cellStyle name="Normal 14 3 2 3" xfId="2550"/>
    <cellStyle name="Normal 14 3 2 3 2" xfId="6065"/>
    <cellStyle name="Normal 14 3 2 3 2 2" xfId="18369"/>
    <cellStyle name="Normal 14 3 2 3 2 2 2" xfId="41228"/>
    <cellStyle name="Normal 14 3 2 3 2 3" xfId="28926"/>
    <cellStyle name="Normal 14 3 2 3 3" xfId="9580"/>
    <cellStyle name="Normal 14 3 2 3 3 2" xfId="21884"/>
    <cellStyle name="Normal 14 3 2 3 3 2 2" xfId="44743"/>
    <cellStyle name="Normal 14 3 2 3 3 3" xfId="32441"/>
    <cellStyle name="Normal 14 3 2 3 4" xfId="14854"/>
    <cellStyle name="Normal 14 3 2 3 4 2" xfId="37713"/>
    <cellStyle name="Normal 14 3 2 3 5" xfId="25411"/>
    <cellStyle name="Normal 14 3 2 4" xfId="4307"/>
    <cellStyle name="Normal 14 3 2 4 2" xfId="16611"/>
    <cellStyle name="Normal 14 3 2 4 2 2" xfId="39470"/>
    <cellStyle name="Normal 14 3 2 4 3" xfId="27168"/>
    <cellStyle name="Normal 14 3 2 5" xfId="7822"/>
    <cellStyle name="Normal 14 3 2 5 2" xfId="20126"/>
    <cellStyle name="Normal 14 3 2 5 2 2" xfId="42985"/>
    <cellStyle name="Normal 14 3 2 5 3" xfId="30683"/>
    <cellStyle name="Normal 14 3 2 6" xfId="11337"/>
    <cellStyle name="Normal 14 3 2 6 2" xfId="34197"/>
    <cellStyle name="Normal 14 3 2 7" xfId="13096"/>
    <cellStyle name="Normal 14 3 2 7 2" xfId="35955"/>
    <cellStyle name="Normal 14 3 2 8" xfId="23652"/>
    <cellStyle name="Normal 14 3 3" xfId="1228"/>
    <cellStyle name="Normal 14 3 3 2" xfId="2989"/>
    <cellStyle name="Normal 14 3 3 2 2" xfId="6504"/>
    <cellStyle name="Normal 14 3 3 2 2 2" xfId="18808"/>
    <cellStyle name="Normal 14 3 3 2 2 2 2" xfId="41667"/>
    <cellStyle name="Normal 14 3 3 2 2 3" xfId="29365"/>
    <cellStyle name="Normal 14 3 3 2 3" xfId="10019"/>
    <cellStyle name="Normal 14 3 3 2 3 2" xfId="22323"/>
    <cellStyle name="Normal 14 3 3 2 3 2 2" xfId="45182"/>
    <cellStyle name="Normal 14 3 3 2 3 3" xfId="32880"/>
    <cellStyle name="Normal 14 3 3 2 4" xfId="15293"/>
    <cellStyle name="Normal 14 3 3 2 4 2" xfId="38152"/>
    <cellStyle name="Normal 14 3 3 2 5" xfId="25850"/>
    <cellStyle name="Normal 14 3 3 3" xfId="4746"/>
    <cellStyle name="Normal 14 3 3 3 2" xfId="17050"/>
    <cellStyle name="Normal 14 3 3 3 2 2" xfId="39909"/>
    <cellStyle name="Normal 14 3 3 3 3" xfId="27607"/>
    <cellStyle name="Normal 14 3 3 4" xfId="8261"/>
    <cellStyle name="Normal 14 3 3 4 2" xfId="20565"/>
    <cellStyle name="Normal 14 3 3 4 2 2" xfId="43424"/>
    <cellStyle name="Normal 14 3 3 4 3" xfId="31122"/>
    <cellStyle name="Normal 14 3 3 5" xfId="11776"/>
    <cellStyle name="Normal 14 3 3 5 2" xfId="34636"/>
    <cellStyle name="Normal 14 3 3 6" xfId="13535"/>
    <cellStyle name="Normal 14 3 3 6 2" xfId="36394"/>
    <cellStyle name="Normal 14 3 3 7" xfId="24091"/>
    <cellStyle name="Normal 14 3 4" xfId="2111"/>
    <cellStyle name="Normal 14 3 4 2" xfId="5626"/>
    <cellStyle name="Normal 14 3 4 2 2" xfId="17930"/>
    <cellStyle name="Normal 14 3 4 2 2 2" xfId="40789"/>
    <cellStyle name="Normal 14 3 4 2 3" xfId="28487"/>
    <cellStyle name="Normal 14 3 4 3" xfId="9141"/>
    <cellStyle name="Normal 14 3 4 3 2" xfId="21445"/>
    <cellStyle name="Normal 14 3 4 3 2 2" xfId="44304"/>
    <cellStyle name="Normal 14 3 4 3 3" xfId="32002"/>
    <cellStyle name="Normal 14 3 4 4" xfId="14415"/>
    <cellStyle name="Normal 14 3 4 4 2" xfId="37274"/>
    <cellStyle name="Normal 14 3 4 5" xfId="24972"/>
    <cellStyle name="Normal 14 3 5" xfId="3868"/>
    <cellStyle name="Normal 14 3 5 2" xfId="16172"/>
    <cellStyle name="Normal 14 3 5 2 2" xfId="39031"/>
    <cellStyle name="Normal 14 3 5 3" xfId="26729"/>
    <cellStyle name="Normal 14 3 6" xfId="7383"/>
    <cellStyle name="Normal 14 3 6 2" xfId="19687"/>
    <cellStyle name="Normal 14 3 6 2 2" xfId="42546"/>
    <cellStyle name="Normal 14 3 6 3" xfId="30244"/>
    <cellStyle name="Normal 14 3 7" xfId="10898"/>
    <cellStyle name="Normal 14 3 7 2" xfId="33758"/>
    <cellStyle name="Normal 14 3 8" xfId="12657"/>
    <cellStyle name="Normal 14 3 8 2" xfId="35516"/>
    <cellStyle name="Normal 14 3 9" xfId="23212"/>
    <cellStyle name="Normal 14 4" xfId="576"/>
    <cellStyle name="Normal 14 4 2" xfId="1455"/>
    <cellStyle name="Normal 14 4 2 2" xfId="3216"/>
    <cellStyle name="Normal 14 4 2 2 2" xfId="6731"/>
    <cellStyle name="Normal 14 4 2 2 2 2" xfId="19035"/>
    <cellStyle name="Normal 14 4 2 2 2 2 2" xfId="41894"/>
    <cellStyle name="Normal 14 4 2 2 2 3" xfId="29592"/>
    <cellStyle name="Normal 14 4 2 2 3" xfId="10246"/>
    <cellStyle name="Normal 14 4 2 2 3 2" xfId="22550"/>
    <cellStyle name="Normal 14 4 2 2 3 2 2" xfId="45409"/>
    <cellStyle name="Normal 14 4 2 2 3 3" xfId="33107"/>
    <cellStyle name="Normal 14 4 2 2 4" xfId="15520"/>
    <cellStyle name="Normal 14 4 2 2 4 2" xfId="38379"/>
    <cellStyle name="Normal 14 4 2 2 5" xfId="26077"/>
    <cellStyle name="Normal 14 4 2 3" xfId="4973"/>
    <cellStyle name="Normal 14 4 2 3 2" xfId="17277"/>
    <cellStyle name="Normal 14 4 2 3 2 2" xfId="40136"/>
    <cellStyle name="Normal 14 4 2 3 3" xfId="27834"/>
    <cellStyle name="Normal 14 4 2 4" xfId="8488"/>
    <cellStyle name="Normal 14 4 2 4 2" xfId="20792"/>
    <cellStyle name="Normal 14 4 2 4 2 2" xfId="43651"/>
    <cellStyle name="Normal 14 4 2 4 3" xfId="31349"/>
    <cellStyle name="Normal 14 4 2 5" xfId="12003"/>
    <cellStyle name="Normal 14 4 2 5 2" xfId="34863"/>
    <cellStyle name="Normal 14 4 2 6" xfId="13762"/>
    <cellStyle name="Normal 14 4 2 6 2" xfId="36621"/>
    <cellStyle name="Normal 14 4 2 7" xfId="24318"/>
    <cellStyle name="Normal 14 4 3" xfId="2338"/>
    <cellStyle name="Normal 14 4 3 2" xfId="5853"/>
    <cellStyle name="Normal 14 4 3 2 2" xfId="18157"/>
    <cellStyle name="Normal 14 4 3 2 2 2" xfId="41016"/>
    <cellStyle name="Normal 14 4 3 2 3" xfId="28714"/>
    <cellStyle name="Normal 14 4 3 3" xfId="9368"/>
    <cellStyle name="Normal 14 4 3 3 2" xfId="21672"/>
    <cellStyle name="Normal 14 4 3 3 2 2" xfId="44531"/>
    <cellStyle name="Normal 14 4 3 3 3" xfId="32229"/>
    <cellStyle name="Normal 14 4 3 4" xfId="14642"/>
    <cellStyle name="Normal 14 4 3 4 2" xfId="37501"/>
    <cellStyle name="Normal 14 4 3 5" xfId="25199"/>
    <cellStyle name="Normal 14 4 4" xfId="4095"/>
    <cellStyle name="Normal 14 4 4 2" xfId="16399"/>
    <cellStyle name="Normal 14 4 4 2 2" xfId="39258"/>
    <cellStyle name="Normal 14 4 4 3" xfId="26956"/>
    <cellStyle name="Normal 14 4 5" xfId="7610"/>
    <cellStyle name="Normal 14 4 5 2" xfId="19914"/>
    <cellStyle name="Normal 14 4 5 2 2" xfId="42773"/>
    <cellStyle name="Normal 14 4 5 3" xfId="30471"/>
    <cellStyle name="Normal 14 4 6" xfId="11125"/>
    <cellStyle name="Normal 14 4 6 2" xfId="33985"/>
    <cellStyle name="Normal 14 4 7" xfId="12884"/>
    <cellStyle name="Normal 14 4 7 2" xfId="35743"/>
    <cellStyle name="Normal 14 4 8" xfId="23440"/>
    <cellStyle name="Normal 14 5" xfId="1016"/>
    <cellStyle name="Normal 14 5 2" xfId="2777"/>
    <cellStyle name="Normal 14 5 2 2" xfId="6292"/>
    <cellStyle name="Normal 14 5 2 2 2" xfId="18596"/>
    <cellStyle name="Normal 14 5 2 2 2 2" xfId="41455"/>
    <cellStyle name="Normal 14 5 2 2 3" xfId="29153"/>
    <cellStyle name="Normal 14 5 2 3" xfId="9807"/>
    <cellStyle name="Normal 14 5 2 3 2" xfId="22111"/>
    <cellStyle name="Normal 14 5 2 3 2 2" xfId="44970"/>
    <cellStyle name="Normal 14 5 2 3 3" xfId="32668"/>
    <cellStyle name="Normal 14 5 2 4" xfId="15081"/>
    <cellStyle name="Normal 14 5 2 4 2" xfId="37940"/>
    <cellStyle name="Normal 14 5 2 5" xfId="25638"/>
    <cellStyle name="Normal 14 5 3" xfId="4534"/>
    <cellStyle name="Normal 14 5 3 2" xfId="16838"/>
    <cellStyle name="Normal 14 5 3 2 2" xfId="39697"/>
    <cellStyle name="Normal 14 5 3 3" xfId="27395"/>
    <cellStyle name="Normal 14 5 4" xfId="8049"/>
    <cellStyle name="Normal 14 5 4 2" xfId="20353"/>
    <cellStyle name="Normal 14 5 4 2 2" xfId="43212"/>
    <cellStyle name="Normal 14 5 4 3" xfId="30910"/>
    <cellStyle name="Normal 14 5 5" xfId="11564"/>
    <cellStyle name="Normal 14 5 5 2" xfId="34424"/>
    <cellStyle name="Normal 14 5 6" xfId="13323"/>
    <cellStyle name="Normal 14 5 6 2" xfId="36182"/>
    <cellStyle name="Normal 14 5 7" xfId="23879"/>
    <cellStyle name="Normal 14 6" xfId="1899"/>
    <cellStyle name="Normal 14 6 2" xfId="5414"/>
    <cellStyle name="Normal 14 6 2 2" xfId="17718"/>
    <cellStyle name="Normal 14 6 2 2 2" xfId="40577"/>
    <cellStyle name="Normal 14 6 2 3" xfId="28275"/>
    <cellStyle name="Normal 14 6 3" xfId="8929"/>
    <cellStyle name="Normal 14 6 3 2" xfId="21233"/>
    <cellStyle name="Normal 14 6 3 2 2" xfId="44092"/>
    <cellStyle name="Normal 14 6 3 3" xfId="31790"/>
    <cellStyle name="Normal 14 6 4" xfId="14203"/>
    <cellStyle name="Normal 14 6 4 2" xfId="37062"/>
    <cellStyle name="Normal 14 6 5" xfId="24760"/>
    <cellStyle name="Normal 14 7" xfId="3656"/>
    <cellStyle name="Normal 14 7 2" xfId="15960"/>
    <cellStyle name="Normal 14 7 2 2" xfId="38819"/>
    <cellStyle name="Normal 14 7 3" xfId="26517"/>
    <cellStyle name="Normal 14 8" xfId="7171"/>
    <cellStyle name="Normal 14 8 2" xfId="19475"/>
    <cellStyle name="Normal 14 8 2 2" xfId="42334"/>
    <cellStyle name="Normal 14 8 3" xfId="30032"/>
    <cellStyle name="Normal 14 9" xfId="10686"/>
    <cellStyle name="Normal 14 9 2" xfId="33546"/>
    <cellStyle name="Normal 15" xfId="188"/>
    <cellStyle name="Normal 16" xfId="507"/>
    <cellStyle name="Normal 16 2" xfId="948"/>
    <cellStyle name="Normal 16 2 2" xfId="1827"/>
    <cellStyle name="Normal 16 2 2 2" xfId="3588"/>
    <cellStyle name="Normal 16 2 2 2 2" xfId="7103"/>
    <cellStyle name="Normal 16 2 2 2 2 2" xfId="19407"/>
    <cellStyle name="Normal 16 2 2 2 2 2 2" xfId="42266"/>
    <cellStyle name="Normal 16 2 2 2 2 3" xfId="29964"/>
    <cellStyle name="Normal 16 2 2 2 3" xfId="10618"/>
    <cellStyle name="Normal 16 2 2 2 3 2" xfId="22922"/>
    <cellStyle name="Normal 16 2 2 2 3 2 2" xfId="45781"/>
    <cellStyle name="Normal 16 2 2 2 3 3" xfId="33479"/>
    <cellStyle name="Normal 16 2 2 2 4" xfId="15892"/>
    <cellStyle name="Normal 16 2 2 2 4 2" xfId="38751"/>
    <cellStyle name="Normal 16 2 2 2 5" xfId="26449"/>
    <cellStyle name="Normal 16 2 2 3" xfId="5345"/>
    <cellStyle name="Normal 16 2 2 3 2" xfId="17649"/>
    <cellStyle name="Normal 16 2 2 3 2 2" xfId="40508"/>
    <cellStyle name="Normal 16 2 2 3 3" xfId="28206"/>
    <cellStyle name="Normal 16 2 2 4" xfId="8860"/>
    <cellStyle name="Normal 16 2 2 4 2" xfId="21164"/>
    <cellStyle name="Normal 16 2 2 4 2 2" xfId="44023"/>
    <cellStyle name="Normal 16 2 2 4 3" xfId="31721"/>
    <cellStyle name="Normal 16 2 2 5" xfId="12375"/>
    <cellStyle name="Normal 16 2 2 5 2" xfId="35235"/>
    <cellStyle name="Normal 16 2 2 6" xfId="14134"/>
    <cellStyle name="Normal 16 2 2 6 2" xfId="36993"/>
    <cellStyle name="Normal 16 2 2 7" xfId="24690"/>
    <cellStyle name="Normal 16 2 3" xfId="2710"/>
    <cellStyle name="Normal 16 2 3 2" xfId="6225"/>
    <cellStyle name="Normal 16 2 3 2 2" xfId="18529"/>
    <cellStyle name="Normal 16 2 3 2 2 2" xfId="41388"/>
    <cellStyle name="Normal 16 2 3 2 3" xfId="29086"/>
    <cellStyle name="Normal 16 2 3 3" xfId="9740"/>
    <cellStyle name="Normal 16 2 3 3 2" xfId="22044"/>
    <cellStyle name="Normal 16 2 3 3 2 2" xfId="44903"/>
    <cellStyle name="Normal 16 2 3 3 3" xfId="32601"/>
    <cellStyle name="Normal 16 2 3 4" xfId="15014"/>
    <cellStyle name="Normal 16 2 3 4 2" xfId="37873"/>
    <cellStyle name="Normal 16 2 3 5" xfId="25571"/>
    <cellStyle name="Normal 16 2 4" xfId="4467"/>
    <cellStyle name="Normal 16 2 4 2" xfId="16771"/>
    <cellStyle name="Normal 16 2 4 2 2" xfId="39630"/>
    <cellStyle name="Normal 16 2 4 3" xfId="27328"/>
    <cellStyle name="Normal 16 2 5" xfId="7982"/>
    <cellStyle name="Normal 16 2 5 2" xfId="20286"/>
    <cellStyle name="Normal 16 2 5 2 2" xfId="43145"/>
    <cellStyle name="Normal 16 2 5 3" xfId="30843"/>
    <cellStyle name="Normal 16 2 6" xfId="11497"/>
    <cellStyle name="Normal 16 2 6 2" xfId="34357"/>
    <cellStyle name="Normal 16 2 7" xfId="13256"/>
    <cellStyle name="Normal 16 2 7 2" xfId="36115"/>
    <cellStyle name="Normal 16 2 8" xfId="23812"/>
    <cellStyle name="Normal 16 3" xfId="1388"/>
    <cellStyle name="Normal 16 3 2" xfId="3149"/>
    <cellStyle name="Normal 16 3 2 2" xfId="6664"/>
    <cellStyle name="Normal 16 3 2 2 2" xfId="18968"/>
    <cellStyle name="Normal 16 3 2 2 2 2" xfId="41827"/>
    <cellStyle name="Normal 16 3 2 2 3" xfId="29525"/>
    <cellStyle name="Normal 16 3 2 3" xfId="10179"/>
    <cellStyle name="Normal 16 3 2 3 2" xfId="22483"/>
    <cellStyle name="Normal 16 3 2 3 2 2" xfId="45342"/>
    <cellStyle name="Normal 16 3 2 3 3" xfId="33040"/>
    <cellStyle name="Normal 16 3 2 4" xfId="15453"/>
    <cellStyle name="Normal 16 3 2 4 2" xfId="38312"/>
    <cellStyle name="Normal 16 3 2 5" xfId="26010"/>
    <cellStyle name="Normal 16 3 3" xfId="4906"/>
    <cellStyle name="Normal 16 3 3 2" xfId="17210"/>
    <cellStyle name="Normal 16 3 3 2 2" xfId="40069"/>
    <cellStyle name="Normal 16 3 3 3" xfId="27767"/>
    <cellStyle name="Normal 16 3 4" xfId="8421"/>
    <cellStyle name="Normal 16 3 4 2" xfId="20725"/>
    <cellStyle name="Normal 16 3 4 2 2" xfId="43584"/>
    <cellStyle name="Normal 16 3 4 3" xfId="31282"/>
    <cellStyle name="Normal 16 3 5" xfId="11936"/>
    <cellStyle name="Normal 16 3 5 2" xfId="34796"/>
    <cellStyle name="Normal 16 3 6" xfId="13695"/>
    <cellStyle name="Normal 16 3 6 2" xfId="36554"/>
    <cellStyle name="Normal 16 3 7" xfId="24251"/>
    <cellStyle name="Normal 16 4" xfId="2271"/>
    <cellStyle name="Normal 16 4 2" xfId="5786"/>
    <cellStyle name="Normal 16 4 2 2" xfId="18090"/>
    <cellStyle name="Normal 16 4 2 2 2" xfId="40949"/>
    <cellStyle name="Normal 16 4 2 3" xfId="28647"/>
    <cellStyle name="Normal 16 4 3" xfId="9301"/>
    <cellStyle name="Normal 16 4 3 2" xfId="21605"/>
    <cellStyle name="Normal 16 4 3 2 2" xfId="44464"/>
    <cellStyle name="Normal 16 4 3 3" xfId="32162"/>
    <cellStyle name="Normal 16 4 4" xfId="14575"/>
    <cellStyle name="Normal 16 4 4 2" xfId="37434"/>
    <cellStyle name="Normal 16 4 5" xfId="25132"/>
    <cellStyle name="Normal 16 5" xfId="4028"/>
    <cellStyle name="Normal 16 5 2" xfId="16332"/>
    <cellStyle name="Normal 16 5 2 2" xfId="39191"/>
    <cellStyle name="Normal 16 5 3" xfId="26889"/>
    <cellStyle name="Normal 16 6" xfId="7543"/>
    <cellStyle name="Normal 16 6 2" xfId="19847"/>
    <cellStyle name="Normal 16 6 2 2" xfId="42706"/>
    <cellStyle name="Normal 16 6 3" xfId="30404"/>
    <cellStyle name="Normal 16 7" xfId="11058"/>
    <cellStyle name="Normal 16 7 2" xfId="33918"/>
    <cellStyle name="Normal 16 8" xfId="12817"/>
    <cellStyle name="Normal 16 8 2" xfId="35676"/>
    <cellStyle name="Normal 16 9" xfId="23372"/>
    <cellStyle name="Normal 17" xfId="534"/>
    <cellStyle name="Normal 18" xfId="521"/>
    <cellStyle name="Normal 18 2" xfId="1402"/>
    <cellStyle name="Normal 18 2 2" xfId="3163"/>
    <cellStyle name="Normal 18 2 2 2" xfId="6678"/>
    <cellStyle name="Normal 18 2 2 2 2" xfId="18982"/>
    <cellStyle name="Normal 18 2 2 2 2 2" xfId="41841"/>
    <cellStyle name="Normal 18 2 2 2 3" xfId="29539"/>
    <cellStyle name="Normal 18 2 2 3" xfId="10193"/>
    <cellStyle name="Normal 18 2 2 3 2" xfId="22497"/>
    <cellStyle name="Normal 18 2 2 3 2 2" xfId="45356"/>
    <cellStyle name="Normal 18 2 2 3 3" xfId="33054"/>
    <cellStyle name="Normal 18 2 2 4" xfId="15467"/>
    <cellStyle name="Normal 18 2 2 4 2" xfId="38326"/>
    <cellStyle name="Normal 18 2 2 5" xfId="26024"/>
    <cellStyle name="Normal 18 2 3" xfId="4920"/>
    <cellStyle name="Normal 18 2 3 2" xfId="17224"/>
    <cellStyle name="Normal 18 2 3 2 2" xfId="40083"/>
    <cellStyle name="Normal 18 2 3 3" xfId="27781"/>
    <cellStyle name="Normal 18 2 4" xfId="8435"/>
    <cellStyle name="Normal 18 2 4 2" xfId="20739"/>
    <cellStyle name="Normal 18 2 4 2 2" xfId="43598"/>
    <cellStyle name="Normal 18 2 4 3" xfId="31296"/>
    <cellStyle name="Normal 18 2 5" xfId="11950"/>
    <cellStyle name="Normal 18 2 5 2" xfId="34810"/>
    <cellStyle name="Normal 18 2 6" xfId="13709"/>
    <cellStyle name="Normal 18 2 6 2" xfId="36568"/>
    <cellStyle name="Normal 18 2 7" xfId="24265"/>
    <cellStyle name="Normal 18 3" xfId="2285"/>
    <cellStyle name="Normal 18 3 2" xfId="5800"/>
    <cellStyle name="Normal 18 3 2 2" xfId="18104"/>
    <cellStyle name="Normal 18 3 2 2 2" xfId="40963"/>
    <cellStyle name="Normal 18 3 2 3" xfId="28661"/>
    <cellStyle name="Normal 18 3 3" xfId="9315"/>
    <cellStyle name="Normal 18 3 3 2" xfId="21619"/>
    <cellStyle name="Normal 18 3 3 2 2" xfId="44478"/>
    <cellStyle name="Normal 18 3 3 3" xfId="32176"/>
    <cellStyle name="Normal 18 3 4" xfId="14589"/>
    <cellStyle name="Normal 18 3 4 2" xfId="37448"/>
    <cellStyle name="Normal 18 3 5" xfId="25146"/>
    <cellStyle name="Normal 18 4" xfId="4042"/>
    <cellStyle name="Normal 18 4 2" xfId="16346"/>
    <cellStyle name="Normal 18 4 2 2" xfId="39205"/>
    <cellStyle name="Normal 18 4 3" xfId="26903"/>
    <cellStyle name="Normal 18 5" xfId="7557"/>
    <cellStyle name="Normal 18 5 2" xfId="19861"/>
    <cellStyle name="Normal 18 5 2 2" xfId="42720"/>
    <cellStyle name="Normal 18 5 3" xfId="30418"/>
    <cellStyle name="Normal 18 6" xfId="11072"/>
    <cellStyle name="Normal 18 6 2" xfId="33932"/>
    <cellStyle name="Normal 18 7" xfId="12831"/>
    <cellStyle name="Normal 18 7 2" xfId="35690"/>
    <cellStyle name="Normal 18 8" xfId="23386"/>
    <cellStyle name="Normal 19" xfId="962"/>
    <cellStyle name="Normal 19 2" xfId="1841"/>
    <cellStyle name="Normal 19 2 2" xfId="3602"/>
    <cellStyle name="Normal 19 2 2 2" xfId="7117"/>
    <cellStyle name="Normal 19 2 2 2 2" xfId="19421"/>
    <cellStyle name="Normal 19 2 2 2 2 2" xfId="42280"/>
    <cellStyle name="Normal 19 2 2 2 3" xfId="29978"/>
    <cellStyle name="Normal 19 2 2 3" xfId="10632"/>
    <cellStyle name="Normal 19 2 2 3 2" xfId="22936"/>
    <cellStyle name="Normal 19 2 2 3 2 2" xfId="45795"/>
    <cellStyle name="Normal 19 2 2 3 3" xfId="33493"/>
    <cellStyle name="Normal 19 2 2 4" xfId="15906"/>
    <cellStyle name="Normal 19 2 2 4 2" xfId="38765"/>
    <cellStyle name="Normal 19 2 2 5" xfId="26463"/>
    <cellStyle name="Normal 19 2 3" xfId="5359"/>
    <cellStyle name="Normal 19 2 3 2" xfId="17663"/>
    <cellStyle name="Normal 19 2 3 2 2" xfId="40522"/>
    <cellStyle name="Normal 19 2 3 3" xfId="28220"/>
    <cellStyle name="Normal 19 2 4" xfId="8874"/>
    <cellStyle name="Normal 19 2 4 2" xfId="21178"/>
    <cellStyle name="Normal 19 2 4 2 2" xfId="44037"/>
    <cellStyle name="Normal 19 2 4 3" xfId="31735"/>
    <cellStyle name="Normal 19 2 5" xfId="12389"/>
    <cellStyle name="Normal 19 2 5 2" xfId="35249"/>
    <cellStyle name="Normal 19 2 6" xfId="14148"/>
    <cellStyle name="Normal 19 2 6 2" xfId="37007"/>
    <cellStyle name="Normal 19 2 7" xfId="24704"/>
    <cellStyle name="Normal 19 3" xfId="2724"/>
    <cellStyle name="Normal 19 3 2" xfId="6239"/>
    <cellStyle name="Normal 19 3 2 2" xfId="18543"/>
    <cellStyle name="Normal 19 3 2 2 2" xfId="41402"/>
    <cellStyle name="Normal 19 3 2 3" xfId="29100"/>
    <cellStyle name="Normal 19 3 3" xfId="9754"/>
    <cellStyle name="Normal 19 3 3 2" xfId="22058"/>
    <cellStyle name="Normal 19 3 3 2 2" xfId="44917"/>
    <cellStyle name="Normal 19 3 3 3" xfId="32615"/>
    <cellStyle name="Normal 19 3 4" xfId="15028"/>
    <cellStyle name="Normal 19 3 4 2" xfId="37887"/>
    <cellStyle name="Normal 19 3 5" xfId="25585"/>
    <cellStyle name="Normal 19 4" xfId="4481"/>
    <cellStyle name="Normal 19 4 2" xfId="16785"/>
    <cellStyle name="Normal 19 4 2 2" xfId="39644"/>
    <cellStyle name="Normal 19 4 3" xfId="27342"/>
    <cellStyle name="Normal 19 5" xfId="7996"/>
    <cellStyle name="Normal 19 5 2" xfId="20300"/>
    <cellStyle name="Normal 19 5 2 2" xfId="43159"/>
    <cellStyle name="Normal 19 5 3" xfId="30857"/>
    <cellStyle name="Normal 19 6" xfId="11511"/>
    <cellStyle name="Normal 19 6 2" xfId="34371"/>
    <cellStyle name="Normal 19 7" xfId="13270"/>
    <cellStyle name="Normal 19 7 2" xfId="36129"/>
    <cellStyle name="Normal 19 8" xfId="23826"/>
    <cellStyle name="Normal 2" xfId="39"/>
    <cellStyle name="Normal 20" xfId="963"/>
    <cellStyle name="Normal 21" xfId="1843"/>
    <cellStyle name="Normal 21 2" xfId="3603"/>
    <cellStyle name="Normal 21 2 2" xfId="7118"/>
    <cellStyle name="Normal 21 2 2 2" xfId="19422"/>
    <cellStyle name="Normal 21 2 2 2 2" xfId="42281"/>
    <cellStyle name="Normal 21 2 2 3" xfId="29979"/>
    <cellStyle name="Normal 21 2 3" xfId="10633"/>
    <cellStyle name="Normal 21 2 3 2" xfId="22937"/>
    <cellStyle name="Normal 21 2 3 2 2" xfId="45796"/>
    <cellStyle name="Normal 21 2 3 3" xfId="33494"/>
    <cellStyle name="Normal 21 2 4" xfId="15907"/>
    <cellStyle name="Normal 21 2 4 2" xfId="38766"/>
    <cellStyle name="Normal 21 2 5" xfId="26464"/>
    <cellStyle name="Normal 21 3" xfId="5360"/>
    <cellStyle name="Normal 21 3 2" xfId="17664"/>
    <cellStyle name="Normal 21 3 2 2" xfId="40523"/>
    <cellStyle name="Normal 21 3 3" xfId="28221"/>
    <cellStyle name="Normal 21 4" xfId="8875"/>
    <cellStyle name="Normal 21 4 2" xfId="21179"/>
    <cellStyle name="Normal 21 4 2 2" xfId="44038"/>
    <cellStyle name="Normal 21 4 3" xfId="31736"/>
    <cellStyle name="Normal 21 5" xfId="14149"/>
    <cellStyle name="Normal 21 5 2" xfId="37008"/>
    <cellStyle name="Normal 21 6" xfId="24705"/>
    <cellStyle name="Normal 22" xfId="1857"/>
    <cellStyle name="Normal 23" xfId="1844"/>
    <cellStyle name="Normal 23 2" xfId="5361"/>
    <cellStyle name="Normal 23 2 2" xfId="17665"/>
    <cellStyle name="Normal 23 2 2 2" xfId="40524"/>
    <cellStyle name="Normal 23 2 3" xfId="28222"/>
    <cellStyle name="Normal 23 3" xfId="8876"/>
    <cellStyle name="Normal 23 3 2" xfId="21180"/>
    <cellStyle name="Normal 23 3 2 2" xfId="44039"/>
    <cellStyle name="Normal 23 3 3" xfId="31737"/>
    <cellStyle name="Normal 23 4" xfId="14150"/>
    <cellStyle name="Normal 23 4 2" xfId="37009"/>
    <cellStyle name="Normal 23 5" xfId="24706"/>
    <cellStyle name="Normal 24" xfId="12390"/>
    <cellStyle name="Normal 24 2" xfId="35250"/>
    <cellStyle name="Normal 3" xfId="40"/>
    <cellStyle name="Normal 4" xfId="41"/>
    <cellStyle name="Normal 4 10" xfId="964"/>
    <cellStyle name="Normal 4 10 2" xfId="2725"/>
    <cellStyle name="Normal 4 10 2 2" xfId="6240"/>
    <cellStyle name="Normal 4 10 2 2 2" xfId="18544"/>
    <cellStyle name="Normal 4 10 2 2 2 2" xfId="41403"/>
    <cellStyle name="Normal 4 10 2 2 3" xfId="29101"/>
    <cellStyle name="Normal 4 10 2 3" xfId="9755"/>
    <cellStyle name="Normal 4 10 2 3 2" xfId="22059"/>
    <cellStyle name="Normal 4 10 2 3 2 2" xfId="44918"/>
    <cellStyle name="Normal 4 10 2 3 3" xfId="32616"/>
    <cellStyle name="Normal 4 10 2 4" xfId="15029"/>
    <cellStyle name="Normal 4 10 2 4 2" xfId="37888"/>
    <cellStyle name="Normal 4 10 2 5" xfId="25586"/>
    <cellStyle name="Normal 4 10 3" xfId="4482"/>
    <cellStyle name="Normal 4 10 3 2" xfId="16786"/>
    <cellStyle name="Normal 4 10 3 2 2" xfId="39645"/>
    <cellStyle name="Normal 4 10 3 3" xfId="27343"/>
    <cellStyle name="Normal 4 10 4" xfId="7997"/>
    <cellStyle name="Normal 4 10 4 2" xfId="20301"/>
    <cellStyle name="Normal 4 10 4 2 2" xfId="43160"/>
    <cellStyle name="Normal 4 10 4 3" xfId="30858"/>
    <cellStyle name="Normal 4 10 5" xfId="11512"/>
    <cellStyle name="Normal 4 10 5 2" xfId="34372"/>
    <cellStyle name="Normal 4 10 6" xfId="13271"/>
    <cellStyle name="Normal 4 10 6 2" xfId="36130"/>
    <cellStyle name="Normal 4 10 7" xfId="23827"/>
    <cellStyle name="Normal 4 11" xfId="1859"/>
    <cellStyle name="Normal 4 11 2" xfId="5374"/>
    <cellStyle name="Normal 4 11 2 2" xfId="17678"/>
    <cellStyle name="Normal 4 11 2 2 2" xfId="40537"/>
    <cellStyle name="Normal 4 11 2 3" xfId="28235"/>
    <cellStyle name="Normal 4 11 3" xfId="8889"/>
    <cellStyle name="Normal 4 11 3 2" xfId="21193"/>
    <cellStyle name="Normal 4 11 3 2 2" xfId="44052"/>
    <cellStyle name="Normal 4 11 3 3" xfId="31750"/>
    <cellStyle name="Normal 4 11 4" xfId="14163"/>
    <cellStyle name="Normal 4 11 4 2" xfId="37022"/>
    <cellStyle name="Normal 4 11 5" xfId="24720"/>
    <cellStyle name="Normal 4 12" xfId="3604"/>
    <cellStyle name="Normal 4 12 2" xfId="15908"/>
    <cellStyle name="Normal 4 12 2 2" xfId="38767"/>
    <cellStyle name="Normal 4 12 3" xfId="26465"/>
    <cellStyle name="Normal 4 13" xfId="7119"/>
    <cellStyle name="Normal 4 13 2" xfId="19423"/>
    <cellStyle name="Normal 4 13 2 2" xfId="42282"/>
    <cellStyle name="Normal 4 13 3" xfId="29980"/>
    <cellStyle name="Normal 4 14" xfId="10634"/>
    <cellStyle name="Normal 4 14 2" xfId="33495"/>
    <cellStyle name="Normal 4 15" xfId="12405"/>
    <cellStyle name="Normal 4 15 2" xfId="35264"/>
    <cellStyle name="Normal 4 16" xfId="22946"/>
    <cellStyle name="Normal 4 2" xfId="42"/>
    <cellStyle name="Normal 4 2 10" xfId="3605"/>
    <cellStyle name="Normal 4 2 10 2" xfId="15909"/>
    <cellStyle name="Normal 4 2 10 2 2" xfId="38768"/>
    <cellStyle name="Normal 4 2 10 3" xfId="26466"/>
    <cellStyle name="Normal 4 2 11" xfId="7120"/>
    <cellStyle name="Normal 4 2 11 2" xfId="19424"/>
    <cellStyle name="Normal 4 2 11 2 2" xfId="42283"/>
    <cellStyle name="Normal 4 2 11 3" xfId="29981"/>
    <cellStyle name="Normal 4 2 12" xfId="10635"/>
    <cellStyle name="Normal 4 2 12 2" xfId="33496"/>
    <cellStyle name="Normal 4 2 13" xfId="12406"/>
    <cellStyle name="Normal 4 2 13 2" xfId="35265"/>
    <cellStyle name="Normal 4 2 14" xfId="22947"/>
    <cellStyle name="Normal 4 2 2" xfId="100"/>
    <cellStyle name="Normal 4 2 2 10" xfId="7140"/>
    <cellStyle name="Normal 4 2 2 10 2" xfId="19444"/>
    <cellStyle name="Normal 4 2 2 10 2 2" xfId="42303"/>
    <cellStyle name="Normal 4 2 2 10 3" xfId="30001"/>
    <cellStyle name="Normal 4 2 2 11" xfId="10655"/>
    <cellStyle name="Normal 4 2 2 11 2" xfId="33515"/>
    <cellStyle name="Normal 4 2 2 12" xfId="12414"/>
    <cellStyle name="Normal 4 2 2 12 2" xfId="35273"/>
    <cellStyle name="Normal 4 2 2 13" xfId="22967"/>
    <cellStyle name="Normal 4 2 2 2" xfId="128"/>
    <cellStyle name="Normal 4 2 2 2 10" xfId="10681"/>
    <cellStyle name="Normal 4 2 2 2 10 2" xfId="33541"/>
    <cellStyle name="Normal 4 2 2 2 11" xfId="12440"/>
    <cellStyle name="Normal 4 2 2 2 11 2" xfId="35299"/>
    <cellStyle name="Normal 4 2 2 2 12" xfId="22994"/>
    <cellStyle name="Normal 4 2 2 2 2" xfId="182"/>
    <cellStyle name="Normal 4 2 2 2 2 10" xfId="12494"/>
    <cellStyle name="Normal 4 2 2 2 2 10 2" xfId="35353"/>
    <cellStyle name="Normal 4 2 2 2 2 11" xfId="22942"/>
    <cellStyle name="Normal 4 2 2 2 2 12" xfId="23048"/>
    <cellStyle name="Normal 4 2 2 2 2 2" xfId="290"/>
    <cellStyle name="Normal 4 2 2 2 2 2 10" xfId="23155"/>
    <cellStyle name="Normal 4 2 2 2 2 2 2" xfId="502"/>
    <cellStyle name="Normal 4 2 2 2 2 2 2 2" xfId="943"/>
    <cellStyle name="Normal 4 2 2 2 2 2 2 2 2" xfId="1822"/>
    <cellStyle name="Normal 4 2 2 2 2 2 2 2 2 2" xfId="3583"/>
    <cellStyle name="Normal 4 2 2 2 2 2 2 2 2 2 2" xfId="7098"/>
    <cellStyle name="Normal 4 2 2 2 2 2 2 2 2 2 2 2" xfId="19402"/>
    <cellStyle name="Normal 4 2 2 2 2 2 2 2 2 2 2 2 2" xfId="42261"/>
    <cellStyle name="Normal 4 2 2 2 2 2 2 2 2 2 2 3" xfId="29959"/>
    <cellStyle name="Normal 4 2 2 2 2 2 2 2 2 2 3" xfId="10613"/>
    <cellStyle name="Normal 4 2 2 2 2 2 2 2 2 2 3 2" xfId="22917"/>
    <cellStyle name="Normal 4 2 2 2 2 2 2 2 2 2 3 2 2" xfId="45776"/>
    <cellStyle name="Normal 4 2 2 2 2 2 2 2 2 2 3 3" xfId="33474"/>
    <cellStyle name="Normal 4 2 2 2 2 2 2 2 2 2 4" xfId="15887"/>
    <cellStyle name="Normal 4 2 2 2 2 2 2 2 2 2 4 2" xfId="38746"/>
    <cellStyle name="Normal 4 2 2 2 2 2 2 2 2 2 5" xfId="26444"/>
    <cellStyle name="Normal 4 2 2 2 2 2 2 2 2 3" xfId="5340"/>
    <cellStyle name="Normal 4 2 2 2 2 2 2 2 2 3 2" xfId="17644"/>
    <cellStyle name="Normal 4 2 2 2 2 2 2 2 2 3 2 2" xfId="40503"/>
    <cellStyle name="Normal 4 2 2 2 2 2 2 2 2 3 3" xfId="28201"/>
    <cellStyle name="Normal 4 2 2 2 2 2 2 2 2 4" xfId="8855"/>
    <cellStyle name="Normal 4 2 2 2 2 2 2 2 2 4 2" xfId="21159"/>
    <cellStyle name="Normal 4 2 2 2 2 2 2 2 2 4 2 2" xfId="44018"/>
    <cellStyle name="Normal 4 2 2 2 2 2 2 2 2 4 3" xfId="31716"/>
    <cellStyle name="Normal 4 2 2 2 2 2 2 2 2 5" xfId="12370"/>
    <cellStyle name="Normal 4 2 2 2 2 2 2 2 2 5 2" xfId="35230"/>
    <cellStyle name="Normal 4 2 2 2 2 2 2 2 2 6" xfId="14129"/>
    <cellStyle name="Normal 4 2 2 2 2 2 2 2 2 6 2" xfId="36988"/>
    <cellStyle name="Normal 4 2 2 2 2 2 2 2 2 7" xfId="24685"/>
    <cellStyle name="Normal 4 2 2 2 2 2 2 2 3" xfId="2705"/>
    <cellStyle name="Normal 4 2 2 2 2 2 2 2 3 2" xfId="6220"/>
    <cellStyle name="Normal 4 2 2 2 2 2 2 2 3 2 2" xfId="18524"/>
    <cellStyle name="Normal 4 2 2 2 2 2 2 2 3 2 2 2" xfId="41383"/>
    <cellStyle name="Normal 4 2 2 2 2 2 2 2 3 2 3" xfId="29081"/>
    <cellStyle name="Normal 4 2 2 2 2 2 2 2 3 3" xfId="9735"/>
    <cellStyle name="Normal 4 2 2 2 2 2 2 2 3 3 2" xfId="22039"/>
    <cellStyle name="Normal 4 2 2 2 2 2 2 2 3 3 2 2" xfId="44898"/>
    <cellStyle name="Normal 4 2 2 2 2 2 2 2 3 3 3" xfId="32596"/>
    <cellStyle name="Normal 4 2 2 2 2 2 2 2 3 4" xfId="15009"/>
    <cellStyle name="Normal 4 2 2 2 2 2 2 2 3 4 2" xfId="37868"/>
    <cellStyle name="Normal 4 2 2 2 2 2 2 2 3 5" xfId="25566"/>
    <cellStyle name="Normal 4 2 2 2 2 2 2 2 4" xfId="4462"/>
    <cellStyle name="Normal 4 2 2 2 2 2 2 2 4 2" xfId="16766"/>
    <cellStyle name="Normal 4 2 2 2 2 2 2 2 4 2 2" xfId="39625"/>
    <cellStyle name="Normal 4 2 2 2 2 2 2 2 4 3" xfId="27323"/>
    <cellStyle name="Normal 4 2 2 2 2 2 2 2 5" xfId="7977"/>
    <cellStyle name="Normal 4 2 2 2 2 2 2 2 5 2" xfId="20281"/>
    <cellStyle name="Normal 4 2 2 2 2 2 2 2 5 2 2" xfId="43140"/>
    <cellStyle name="Normal 4 2 2 2 2 2 2 2 5 3" xfId="30838"/>
    <cellStyle name="Normal 4 2 2 2 2 2 2 2 6" xfId="11492"/>
    <cellStyle name="Normal 4 2 2 2 2 2 2 2 6 2" xfId="34352"/>
    <cellStyle name="Normal 4 2 2 2 2 2 2 2 7" xfId="13251"/>
    <cellStyle name="Normal 4 2 2 2 2 2 2 2 7 2" xfId="36110"/>
    <cellStyle name="Normal 4 2 2 2 2 2 2 2 8" xfId="23807"/>
    <cellStyle name="Normal 4 2 2 2 2 2 2 3" xfId="1383"/>
    <cellStyle name="Normal 4 2 2 2 2 2 2 3 2" xfId="3144"/>
    <cellStyle name="Normal 4 2 2 2 2 2 2 3 2 2" xfId="6659"/>
    <cellStyle name="Normal 4 2 2 2 2 2 2 3 2 2 2" xfId="18963"/>
    <cellStyle name="Normal 4 2 2 2 2 2 2 3 2 2 2 2" xfId="41822"/>
    <cellStyle name="Normal 4 2 2 2 2 2 2 3 2 2 3" xfId="29520"/>
    <cellStyle name="Normal 4 2 2 2 2 2 2 3 2 3" xfId="10174"/>
    <cellStyle name="Normal 4 2 2 2 2 2 2 3 2 3 2" xfId="22478"/>
    <cellStyle name="Normal 4 2 2 2 2 2 2 3 2 3 2 2" xfId="45337"/>
    <cellStyle name="Normal 4 2 2 2 2 2 2 3 2 3 3" xfId="33035"/>
    <cellStyle name="Normal 4 2 2 2 2 2 2 3 2 4" xfId="15448"/>
    <cellStyle name="Normal 4 2 2 2 2 2 2 3 2 4 2" xfId="38307"/>
    <cellStyle name="Normal 4 2 2 2 2 2 2 3 2 5" xfId="26005"/>
    <cellStyle name="Normal 4 2 2 2 2 2 2 3 3" xfId="4901"/>
    <cellStyle name="Normal 4 2 2 2 2 2 2 3 3 2" xfId="17205"/>
    <cellStyle name="Normal 4 2 2 2 2 2 2 3 3 2 2" xfId="40064"/>
    <cellStyle name="Normal 4 2 2 2 2 2 2 3 3 3" xfId="27762"/>
    <cellStyle name="Normal 4 2 2 2 2 2 2 3 4" xfId="8416"/>
    <cellStyle name="Normal 4 2 2 2 2 2 2 3 4 2" xfId="20720"/>
    <cellStyle name="Normal 4 2 2 2 2 2 2 3 4 2 2" xfId="43579"/>
    <cellStyle name="Normal 4 2 2 2 2 2 2 3 4 3" xfId="31277"/>
    <cellStyle name="Normal 4 2 2 2 2 2 2 3 5" xfId="11931"/>
    <cellStyle name="Normal 4 2 2 2 2 2 2 3 5 2" xfId="34791"/>
    <cellStyle name="Normal 4 2 2 2 2 2 2 3 6" xfId="13690"/>
    <cellStyle name="Normal 4 2 2 2 2 2 2 3 6 2" xfId="36549"/>
    <cellStyle name="Normal 4 2 2 2 2 2 2 3 7" xfId="24246"/>
    <cellStyle name="Normal 4 2 2 2 2 2 2 4" xfId="2266"/>
    <cellStyle name="Normal 4 2 2 2 2 2 2 4 2" xfId="5781"/>
    <cellStyle name="Normal 4 2 2 2 2 2 2 4 2 2" xfId="18085"/>
    <cellStyle name="Normal 4 2 2 2 2 2 2 4 2 2 2" xfId="40944"/>
    <cellStyle name="Normal 4 2 2 2 2 2 2 4 2 3" xfId="28642"/>
    <cellStyle name="Normal 4 2 2 2 2 2 2 4 3" xfId="9296"/>
    <cellStyle name="Normal 4 2 2 2 2 2 2 4 3 2" xfId="21600"/>
    <cellStyle name="Normal 4 2 2 2 2 2 2 4 3 2 2" xfId="44459"/>
    <cellStyle name="Normal 4 2 2 2 2 2 2 4 3 3" xfId="32157"/>
    <cellStyle name="Normal 4 2 2 2 2 2 2 4 4" xfId="14570"/>
    <cellStyle name="Normal 4 2 2 2 2 2 2 4 4 2" xfId="37429"/>
    <cellStyle name="Normal 4 2 2 2 2 2 2 4 5" xfId="25127"/>
    <cellStyle name="Normal 4 2 2 2 2 2 2 5" xfId="4023"/>
    <cellStyle name="Normal 4 2 2 2 2 2 2 5 2" xfId="16327"/>
    <cellStyle name="Normal 4 2 2 2 2 2 2 5 2 2" xfId="39186"/>
    <cellStyle name="Normal 4 2 2 2 2 2 2 5 3" xfId="26884"/>
    <cellStyle name="Normal 4 2 2 2 2 2 2 6" xfId="7538"/>
    <cellStyle name="Normal 4 2 2 2 2 2 2 6 2" xfId="19842"/>
    <cellStyle name="Normal 4 2 2 2 2 2 2 6 2 2" xfId="42701"/>
    <cellStyle name="Normal 4 2 2 2 2 2 2 6 3" xfId="30399"/>
    <cellStyle name="Normal 4 2 2 2 2 2 2 7" xfId="11053"/>
    <cellStyle name="Normal 4 2 2 2 2 2 2 7 2" xfId="33913"/>
    <cellStyle name="Normal 4 2 2 2 2 2 2 8" xfId="12812"/>
    <cellStyle name="Normal 4 2 2 2 2 2 2 8 2" xfId="35671"/>
    <cellStyle name="Normal 4 2 2 2 2 2 2 9" xfId="23367"/>
    <cellStyle name="Normal 4 2 2 2 2 2 3" xfId="731"/>
    <cellStyle name="Normal 4 2 2 2 2 2 3 2" xfId="1610"/>
    <cellStyle name="Normal 4 2 2 2 2 2 3 2 2" xfId="3371"/>
    <cellStyle name="Normal 4 2 2 2 2 2 3 2 2 2" xfId="6886"/>
    <cellStyle name="Normal 4 2 2 2 2 2 3 2 2 2 2" xfId="19190"/>
    <cellStyle name="Normal 4 2 2 2 2 2 3 2 2 2 2 2" xfId="42049"/>
    <cellStyle name="Normal 4 2 2 2 2 2 3 2 2 2 3" xfId="29747"/>
    <cellStyle name="Normal 4 2 2 2 2 2 3 2 2 3" xfId="10401"/>
    <cellStyle name="Normal 4 2 2 2 2 2 3 2 2 3 2" xfId="22705"/>
    <cellStyle name="Normal 4 2 2 2 2 2 3 2 2 3 2 2" xfId="45564"/>
    <cellStyle name="Normal 4 2 2 2 2 2 3 2 2 3 3" xfId="33262"/>
    <cellStyle name="Normal 4 2 2 2 2 2 3 2 2 4" xfId="15675"/>
    <cellStyle name="Normal 4 2 2 2 2 2 3 2 2 4 2" xfId="38534"/>
    <cellStyle name="Normal 4 2 2 2 2 2 3 2 2 5" xfId="26232"/>
    <cellStyle name="Normal 4 2 2 2 2 2 3 2 3" xfId="5128"/>
    <cellStyle name="Normal 4 2 2 2 2 2 3 2 3 2" xfId="17432"/>
    <cellStyle name="Normal 4 2 2 2 2 2 3 2 3 2 2" xfId="40291"/>
    <cellStyle name="Normal 4 2 2 2 2 2 3 2 3 3" xfId="27989"/>
    <cellStyle name="Normal 4 2 2 2 2 2 3 2 4" xfId="8643"/>
    <cellStyle name="Normal 4 2 2 2 2 2 3 2 4 2" xfId="20947"/>
    <cellStyle name="Normal 4 2 2 2 2 2 3 2 4 2 2" xfId="43806"/>
    <cellStyle name="Normal 4 2 2 2 2 2 3 2 4 3" xfId="31504"/>
    <cellStyle name="Normal 4 2 2 2 2 2 3 2 5" xfId="12158"/>
    <cellStyle name="Normal 4 2 2 2 2 2 3 2 5 2" xfId="35018"/>
    <cellStyle name="Normal 4 2 2 2 2 2 3 2 6" xfId="13917"/>
    <cellStyle name="Normal 4 2 2 2 2 2 3 2 6 2" xfId="36776"/>
    <cellStyle name="Normal 4 2 2 2 2 2 3 2 7" xfId="24473"/>
    <cellStyle name="Normal 4 2 2 2 2 2 3 3" xfId="2493"/>
    <cellStyle name="Normal 4 2 2 2 2 2 3 3 2" xfId="6008"/>
    <cellStyle name="Normal 4 2 2 2 2 2 3 3 2 2" xfId="18312"/>
    <cellStyle name="Normal 4 2 2 2 2 2 3 3 2 2 2" xfId="41171"/>
    <cellStyle name="Normal 4 2 2 2 2 2 3 3 2 3" xfId="28869"/>
    <cellStyle name="Normal 4 2 2 2 2 2 3 3 3" xfId="9523"/>
    <cellStyle name="Normal 4 2 2 2 2 2 3 3 3 2" xfId="21827"/>
    <cellStyle name="Normal 4 2 2 2 2 2 3 3 3 2 2" xfId="44686"/>
    <cellStyle name="Normal 4 2 2 2 2 2 3 3 3 3" xfId="32384"/>
    <cellStyle name="Normal 4 2 2 2 2 2 3 3 4" xfId="14797"/>
    <cellStyle name="Normal 4 2 2 2 2 2 3 3 4 2" xfId="37656"/>
    <cellStyle name="Normal 4 2 2 2 2 2 3 3 5" xfId="25354"/>
    <cellStyle name="Normal 4 2 2 2 2 2 3 4" xfId="4250"/>
    <cellStyle name="Normal 4 2 2 2 2 2 3 4 2" xfId="16554"/>
    <cellStyle name="Normal 4 2 2 2 2 2 3 4 2 2" xfId="39413"/>
    <cellStyle name="Normal 4 2 2 2 2 2 3 4 3" xfId="27111"/>
    <cellStyle name="Normal 4 2 2 2 2 2 3 5" xfId="7765"/>
    <cellStyle name="Normal 4 2 2 2 2 2 3 5 2" xfId="20069"/>
    <cellStyle name="Normal 4 2 2 2 2 2 3 5 2 2" xfId="42928"/>
    <cellStyle name="Normal 4 2 2 2 2 2 3 5 3" xfId="30626"/>
    <cellStyle name="Normal 4 2 2 2 2 2 3 6" xfId="11280"/>
    <cellStyle name="Normal 4 2 2 2 2 2 3 6 2" xfId="34140"/>
    <cellStyle name="Normal 4 2 2 2 2 2 3 7" xfId="13039"/>
    <cellStyle name="Normal 4 2 2 2 2 2 3 7 2" xfId="35898"/>
    <cellStyle name="Normal 4 2 2 2 2 2 3 8" xfId="23595"/>
    <cellStyle name="Normal 4 2 2 2 2 2 4" xfId="1171"/>
    <cellStyle name="Normal 4 2 2 2 2 2 4 2" xfId="2932"/>
    <cellStyle name="Normal 4 2 2 2 2 2 4 2 2" xfId="6447"/>
    <cellStyle name="Normal 4 2 2 2 2 2 4 2 2 2" xfId="18751"/>
    <cellStyle name="Normal 4 2 2 2 2 2 4 2 2 2 2" xfId="41610"/>
    <cellStyle name="Normal 4 2 2 2 2 2 4 2 2 3" xfId="29308"/>
    <cellStyle name="Normal 4 2 2 2 2 2 4 2 3" xfId="9962"/>
    <cellStyle name="Normal 4 2 2 2 2 2 4 2 3 2" xfId="22266"/>
    <cellStyle name="Normal 4 2 2 2 2 2 4 2 3 2 2" xfId="45125"/>
    <cellStyle name="Normal 4 2 2 2 2 2 4 2 3 3" xfId="32823"/>
    <cellStyle name="Normal 4 2 2 2 2 2 4 2 4" xfId="15236"/>
    <cellStyle name="Normal 4 2 2 2 2 2 4 2 4 2" xfId="38095"/>
    <cellStyle name="Normal 4 2 2 2 2 2 4 2 5" xfId="25793"/>
    <cellStyle name="Normal 4 2 2 2 2 2 4 3" xfId="4689"/>
    <cellStyle name="Normal 4 2 2 2 2 2 4 3 2" xfId="16993"/>
    <cellStyle name="Normal 4 2 2 2 2 2 4 3 2 2" xfId="39852"/>
    <cellStyle name="Normal 4 2 2 2 2 2 4 3 3" xfId="27550"/>
    <cellStyle name="Normal 4 2 2 2 2 2 4 4" xfId="8204"/>
    <cellStyle name="Normal 4 2 2 2 2 2 4 4 2" xfId="20508"/>
    <cellStyle name="Normal 4 2 2 2 2 2 4 4 2 2" xfId="43367"/>
    <cellStyle name="Normal 4 2 2 2 2 2 4 4 3" xfId="31065"/>
    <cellStyle name="Normal 4 2 2 2 2 2 4 5" xfId="11719"/>
    <cellStyle name="Normal 4 2 2 2 2 2 4 5 2" xfId="34579"/>
    <cellStyle name="Normal 4 2 2 2 2 2 4 6" xfId="13478"/>
    <cellStyle name="Normal 4 2 2 2 2 2 4 6 2" xfId="36337"/>
    <cellStyle name="Normal 4 2 2 2 2 2 4 7" xfId="24034"/>
    <cellStyle name="Normal 4 2 2 2 2 2 5" xfId="2054"/>
    <cellStyle name="Normal 4 2 2 2 2 2 5 2" xfId="5569"/>
    <cellStyle name="Normal 4 2 2 2 2 2 5 2 2" xfId="17873"/>
    <cellStyle name="Normal 4 2 2 2 2 2 5 2 2 2" xfId="40732"/>
    <cellStyle name="Normal 4 2 2 2 2 2 5 2 3" xfId="28430"/>
    <cellStyle name="Normal 4 2 2 2 2 2 5 3" xfId="9084"/>
    <cellStyle name="Normal 4 2 2 2 2 2 5 3 2" xfId="21388"/>
    <cellStyle name="Normal 4 2 2 2 2 2 5 3 2 2" xfId="44247"/>
    <cellStyle name="Normal 4 2 2 2 2 2 5 3 3" xfId="31945"/>
    <cellStyle name="Normal 4 2 2 2 2 2 5 4" xfId="14358"/>
    <cellStyle name="Normal 4 2 2 2 2 2 5 4 2" xfId="37217"/>
    <cellStyle name="Normal 4 2 2 2 2 2 5 5" xfId="24915"/>
    <cellStyle name="Normal 4 2 2 2 2 2 6" xfId="3811"/>
    <cellStyle name="Normal 4 2 2 2 2 2 6 2" xfId="16115"/>
    <cellStyle name="Normal 4 2 2 2 2 2 6 2 2" xfId="38974"/>
    <cellStyle name="Normal 4 2 2 2 2 2 6 3" xfId="26672"/>
    <cellStyle name="Normal 4 2 2 2 2 2 7" xfId="7326"/>
    <cellStyle name="Normal 4 2 2 2 2 2 7 2" xfId="19630"/>
    <cellStyle name="Normal 4 2 2 2 2 2 7 2 2" xfId="42489"/>
    <cellStyle name="Normal 4 2 2 2 2 2 7 3" xfId="30187"/>
    <cellStyle name="Normal 4 2 2 2 2 2 8" xfId="10841"/>
    <cellStyle name="Normal 4 2 2 2 2 2 8 2" xfId="33701"/>
    <cellStyle name="Normal 4 2 2 2 2 2 9" xfId="12600"/>
    <cellStyle name="Normal 4 2 2 2 2 2 9 2" xfId="35459"/>
    <cellStyle name="Normal 4 2 2 2 2 3" xfId="396"/>
    <cellStyle name="Normal 4 2 2 2 2 3 2" xfId="837"/>
    <cellStyle name="Normal 4 2 2 2 2 3 2 2" xfId="1716"/>
    <cellStyle name="Normal 4 2 2 2 2 3 2 2 2" xfId="3477"/>
    <cellStyle name="Normal 4 2 2 2 2 3 2 2 2 2" xfId="6992"/>
    <cellStyle name="Normal 4 2 2 2 2 3 2 2 2 2 2" xfId="19296"/>
    <cellStyle name="Normal 4 2 2 2 2 3 2 2 2 2 2 2" xfId="42155"/>
    <cellStyle name="Normal 4 2 2 2 2 3 2 2 2 2 3" xfId="29853"/>
    <cellStyle name="Normal 4 2 2 2 2 3 2 2 2 3" xfId="10507"/>
    <cellStyle name="Normal 4 2 2 2 2 3 2 2 2 3 2" xfId="22811"/>
    <cellStyle name="Normal 4 2 2 2 2 3 2 2 2 3 2 2" xfId="45670"/>
    <cellStyle name="Normal 4 2 2 2 2 3 2 2 2 3 3" xfId="33368"/>
    <cellStyle name="Normal 4 2 2 2 2 3 2 2 2 4" xfId="15781"/>
    <cellStyle name="Normal 4 2 2 2 2 3 2 2 2 4 2" xfId="38640"/>
    <cellStyle name="Normal 4 2 2 2 2 3 2 2 2 5" xfId="26338"/>
    <cellStyle name="Normal 4 2 2 2 2 3 2 2 3" xfId="5234"/>
    <cellStyle name="Normal 4 2 2 2 2 3 2 2 3 2" xfId="17538"/>
    <cellStyle name="Normal 4 2 2 2 2 3 2 2 3 2 2" xfId="40397"/>
    <cellStyle name="Normal 4 2 2 2 2 3 2 2 3 3" xfId="28095"/>
    <cellStyle name="Normal 4 2 2 2 2 3 2 2 4" xfId="8749"/>
    <cellStyle name="Normal 4 2 2 2 2 3 2 2 4 2" xfId="21053"/>
    <cellStyle name="Normal 4 2 2 2 2 3 2 2 4 2 2" xfId="43912"/>
    <cellStyle name="Normal 4 2 2 2 2 3 2 2 4 3" xfId="31610"/>
    <cellStyle name="Normal 4 2 2 2 2 3 2 2 5" xfId="12264"/>
    <cellStyle name="Normal 4 2 2 2 2 3 2 2 5 2" xfId="35124"/>
    <cellStyle name="Normal 4 2 2 2 2 3 2 2 6" xfId="14023"/>
    <cellStyle name="Normal 4 2 2 2 2 3 2 2 6 2" xfId="36882"/>
    <cellStyle name="Normal 4 2 2 2 2 3 2 2 7" xfId="24579"/>
    <cellStyle name="Normal 4 2 2 2 2 3 2 3" xfId="2599"/>
    <cellStyle name="Normal 4 2 2 2 2 3 2 3 2" xfId="6114"/>
    <cellStyle name="Normal 4 2 2 2 2 3 2 3 2 2" xfId="18418"/>
    <cellStyle name="Normal 4 2 2 2 2 3 2 3 2 2 2" xfId="41277"/>
    <cellStyle name="Normal 4 2 2 2 2 3 2 3 2 3" xfId="28975"/>
    <cellStyle name="Normal 4 2 2 2 2 3 2 3 3" xfId="9629"/>
    <cellStyle name="Normal 4 2 2 2 2 3 2 3 3 2" xfId="21933"/>
    <cellStyle name="Normal 4 2 2 2 2 3 2 3 3 2 2" xfId="44792"/>
    <cellStyle name="Normal 4 2 2 2 2 3 2 3 3 3" xfId="32490"/>
    <cellStyle name="Normal 4 2 2 2 2 3 2 3 4" xfId="14903"/>
    <cellStyle name="Normal 4 2 2 2 2 3 2 3 4 2" xfId="37762"/>
    <cellStyle name="Normal 4 2 2 2 2 3 2 3 5" xfId="25460"/>
    <cellStyle name="Normal 4 2 2 2 2 3 2 4" xfId="4356"/>
    <cellStyle name="Normal 4 2 2 2 2 3 2 4 2" xfId="16660"/>
    <cellStyle name="Normal 4 2 2 2 2 3 2 4 2 2" xfId="39519"/>
    <cellStyle name="Normal 4 2 2 2 2 3 2 4 3" xfId="27217"/>
    <cellStyle name="Normal 4 2 2 2 2 3 2 5" xfId="7871"/>
    <cellStyle name="Normal 4 2 2 2 2 3 2 5 2" xfId="20175"/>
    <cellStyle name="Normal 4 2 2 2 2 3 2 5 2 2" xfId="43034"/>
    <cellStyle name="Normal 4 2 2 2 2 3 2 5 3" xfId="30732"/>
    <cellStyle name="Normal 4 2 2 2 2 3 2 6" xfId="11386"/>
    <cellStyle name="Normal 4 2 2 2 2 3 2 6 2" xfId="34246"/>
    <cellStyle name="Normal 4 2 2 2 2 3 2 7" xfId="13145"/>
    <cellStyle name="Normal 4 2 2 2 2 3 2 7 2" xfId="36004"/>
    <cellStyle name="Normal 4 2 2 2 2 3 2 8" xfId="23701"/>
    <cellStyle name="Normal 4 2 2 2 2 3 3" xfId="1277"/>
    <cellStyle name="Normal 4 2 2 2 2 3 3 2" xfId="3038"/>
    <cellStyle name="Normal 4 2 2 2 2 3 3 2 2" xfId="6553"/>
    <cellStyle name="Normal 4 2 2 2 2 3 3 2 2 2" xfId="18857"/>
    <cellStyle name="Normal 4 2 2 2 2 3 3 2 2 2 2" xfId="41716"/>
    <cellStyle name="Normal 4 2 2 2 2 3 3 2 2 3" xfId="29414"/>
    <cellStyle name="Normal 4 2 2 2 2 3 3 2 3" xfId="10068"/>
    <cellStyle name="Normal 4 2 2 2 2 3 3 2 3 2" xfId="22372"/>
    <cellStyle name="Normal 4 2 2 2 2 3 3 2 3 2 2" xfId="45231"/>
    <cellStyle name="Normal 4 2 2 2 2 3 3 2 3 3" xfId="32929"/>
    <cellStyle name="Normal 4 2 2 2 2 3 3 2 4" xfId="15342"/>
    <cellStyle name="Normal 4 2 2 2 2 3 3 2 4 2" xfId="38201"/>
    <cellStyle name="Normal 4 2 2 2 2 3 3 2 5" xfId="25899"/>
    <cellStyle name="Normal 4 2 2 2 2 3 3 3" xfId="4795"/>
    <cellStyle name="Normal 4 2 2 2 2 3 3 3 2" xfId="17099"/>
    <cellStyle name="Normal 4 2 2 2 2 3 3 3 2 2" xfId="39958"/>
    <cellStyle name="Normal 4 2 2 2 2 3 3 3 3" xfId="27656"/>
    <cellStyle name="Normal 4 2 2 2 2 3 3 4" xfId="8310"/>
    <cellStyle name="Normal 4 2 2 2 2 3 3 4 2" xfId="20614"/>
    <cellStyle name="Normal 4 2 2 2 2 3 3 4 2 2" xfId="43473"/>
    <cellStyle name="Normal 4 2 2 2 2 3 3 4 3" xfId="31171"/>
    <cellStyle name="Normal 4 2 2 2 2 3 3 5" xfId="11825"/>
    <cellStyle name="Normal 4 2 2 2 2 3 3 5 2" xfId="34685"/>
    <cellStyle name="Normal 4 2 2 2 2 3 3 6" xfId="13584"/>
    <cellStyle name="Normal 4 2 2 2 2 3 3 6 2" xfId="36443"/>
    <cellStyle name="Normal 4 2 2 2 2 3 3 7" xfId="24140"/>
    <cellStyle name="Normal 4 2 2 2 2 3 4" xfId="2160"/>
    <cellStyle name="Normal 4 2 2 2 2 3 4 2" xfId="5675"/>
    <cellStyle name="Normal 4 2 2 2 2 3 4 2 2" xfId="17979"/>
    <cellStyle name="Normal 4 2 2 2 2 3 4 2 2 2" xfId="40838"/>
    <cellStyle name="Normal 4 2 2 2 2 3 4 2 3" xfId="28536"/>
    <cellStyle name="Normal 4 2 2 2 2 3 4 3" xfId="9190"/>
    <cellStyle name="Normal 4 2 2 2 2 3 4 3 2" xfId="21494"/>
    <cellStyle name="Normal 4 2 2 2 2 3 4 3 2 2" xfId="44353"/>
    <cellStyle name="Normal 4 2 2 2 2 3 4 3 3" xfId="32051"/>
    <cellStyle name="Normal 4 2 2 2 2 3 4 4" xfId="14464"/>
    <cellStyle name="Normal 4 2 2 2 2 3 4 4 2" xfId="37323"/>
    <cellStyle name="Normal 4 2 2 2 2 3 4 5" xfId="25021"/>
    <cellStyle name="Normal 4 2 2 2 2 3 5" xfId="3917"/>
    <cellStyle name="Normal 4 2 2 2 2 3 5 2" xfId="16221"/>
    <cellStyle name="Normal 4 2 2 2 2 3 5 2 2" xfId="39080"/>
    <cellStyle name="Normal 4 2 2 2 2 3 5 3" xfId="26778"/>
    <cellStyle name="Normal 4 2 2 2 2 3 6" xfId="7432"/>
    <cellStyle name="Normal 4 2 2 2 2 3 6 2" xfId="19736"/>
    <cellStyle name="Normal 4 2 2 2 2 3 6 2 2" xfId="42595"/>
    <cellStyle name="Normal 4 2 2 2 2 3 6 3" xfId="30293"/>
    <cellStyle name="Normal 4 2 2 2 2 3 7" xfId="10947"/>
    <cellStyle name="Normal 4 2 2 2 2 3 7 2" xfId="33807"/>
    <cellStyle name="Normal 4 2 2 2 2 3 8" xfId="12706"/>
    <cellStyle name="Normal 4 2 2 2 2 3 8 2" xfId="35565"/>
    <cellStyle name="Normal 4 2 2 2 2 3 9" xfId="23261"/>
    <cellStyle name="Normal 4 2 2 2 2 4" xfId="625"/>
    <cellStyle name="Normal 4 2 2 2 2 4 2" xfId="1504"/>
    <cellStyle name="Normal 4 2 2 2 2 4 2 2" xfId="3265"/>
    <cellStyle name="Normal 4 2 2 2 2 4 2 2 2" xfId="6780"/>
    <cellStyle name="Normal 4 2 2 2 2 4 2 2 2 2" xfId="19084"/>
    <cellStyle name="Normal 4 2 2 2 2 4 2 2 2 2 2" xfId="41943"/>
    <cellStyle name="Normal 4 2 2 2 2 4 2 2 2 3" xfId="29641"/>
    <cellStyle name="Normal 4 2 2 2 2 4 2 2 3" xfId="10295"/>
    <cellStyle name="Normal 4 2 2 2 2 4 2 2 3 2" xfId="22599"/>
    <cellStyle name="Normal 4 2 2 2 2 4 2 2 3 2 2" xfId="45458"/>
    <cellStyle name="Normal 4 2 2 2 2 4 2 2 3 3" xfId="33156"/>
    <cellStyle name="Normal 4 2 2 2 2 4 2 2 4" xfId="15569"/>
    <cellStyle name="Normal 4 2 2 2 2 4 2 2 4 2" xfId="38428"/>
    <cellStyle name="Normal 4 2 2 2 2 4 2 2 5" xfId="26126"/>
    <cellStyle name="Normal 4 2 2 2 2 4 2 3" xfId="5022"/>
    <cellStyle name="Normal 4 2 2 2 2 4 2 3 2" xfId="17326"/>
    <cellStyle name="Normal 4 2 2 2 2 4 2 3 2 2" xfId="40185"/>
    <cellStyle name="Normal 4 2 2 2 2 4 2 3 3" xfId="27883"/>
    <cellStyle name="Normal 4 2 2 2 2 4 2 4" xfId="8537"/>
    <cellStyle name="Normal 4 2 2 2 2 4 2 4 2" xfId="20841"/>
    <cellStyle name="Normal 4 2 2 2 2 4 2 4 2 2" xfId="43700"/>
    <cellStyle name="Normal 4 2 2 2 2 4 2 4 3" xfId="31398"/>
    <cellStyle name="Normal 4 2 2 2 2 4 2 5" xfId="12052"/>
    <cellStyle name="Normal 4 2 2 2 2 4 2 5 2" xfId="34912"/>
    <cellStyle name="Normal 4 2 2 2 2 4 2 6" xfId="13811"/>
    <cellStyle name="Normal 4 2 2 2 2 4 2 6 2" xfId="36670"/>
    <cellStyle name="Normal 4 2 2 2 2 4 2 7" xfId="24367"/>
    <cellStyle name="Normal 4 2 2 2 2 4 3" xfId="2387"/>
    <cellStyle name="Normal 4 2 2 2 2 4 3 2" xfId="5902"/>
    <cellStyle name="Normal 4 2 2 2 2 4 3 2 2" xfId="18206"/>
    <cellStyle name="Normal 4 2 2 2 2 4 3 2 2 2" xfId="41065"/>
    <cellStyle name="Normal 4 2 2 2 2 4 3 2 3" xfId="28763"/>
    <cellStyle name="Normal 4 2 2 2 2 4 3 3" xfId="9417"/>
    <cellStyle name="Normal 4 2 2 2 2 4 3 3 2" xfId="21721"/>
    <cellStyle name="Normal 4 2 2 2 2 4 3 3 2 2" xfId="44580"/>
    <cellStyle name="Normal 4 2 2 2 2 4 3 3 3" xfId="32278"/>
    <cellStyle name="Normal 4 2 2 2 2 4 3 4" xfId="14691"/>
    <cellStyle name="Normal 4 2 2 2 2 4 3 4 2" xfId="37550"/>
    <cellStyle name="Normal 4 2 2 2 2 4 3 5" xfId="25248"/>
    <cellStyle name="Normal 4 2 2 2 2 4 4" xfId="4144"/>
    <cellStyle name="Normal 4 2 2 2 2 4 4 2" xfId="16448"/>
    <cellStyle name="Normal 4 2 2 2 2 4 4 2 2" xfId="39307"/>
    <cellStyle name="Normal 4 2 2 2 2 4 4 3" xfId="27005"/>
    <cellStyle name="Normal 4 2 2 2 2 4 5" xfId="7659"/>
    <cellStyle name="Normal 4 2 2 2 2 4 5 2" xfId="19963"/>
    <cellStyle name="Normal 4 2 2 2 2 4 5 2 2" xfId="42822"/>
    <cellStyle name="Normal 4 2 2 2 2 4 5 3" xfId="30520"/>
    <cellStyle name="Normal 4 2 2 2 2 4 6" xfId="11174"/>
    <cellStyle name="Normal 4 2 2 2 2 4 6 2" xfId="34034"/>
    <cellStyle name="Normal 4 2 2 2 2 4 7" xfId="12933"/>
    <cellStyle name="Normal 4 2 2 2 2 4 7 2" xfId="35792"/>
    <cellStyle name="Normal 4 2 2 2 2 4 8" xfId="23489"/>
    <cellStyle name="Normal 4 2 2 2 2 5" xfId="1065"/>
    <cellStyle name="Normal 4 2 2 2 2 5 2" xfId="2826"/>
    <cellStyle name="Normal 4 2 2 2 2 5 2 2" xfId="6341"/>
    <cellStyle name="Normal 4 2 2 2 2 5 2 2 2" xfId="18645"/>
    <cellStyle name="Normal 4 2 2 2 2 5 2 2 2 2" xfId="41504"/>
    <cellStyle name="Normal 4 2 2 2 2 5 2 2 3" xfId="29202"/>
    <cellStyle name="Normal 4 2 2 2 2 5 2 3" xfId="9856"/>
    <cellStyle name="Normal 4 2 2 2 2 5 2 3 2" xfId="22160"/>
    <cellStyle name="Normal 4 2 2 2 2 5 2 3 2 2" xfId="45019"/>
    <cellStyle name="Normal 4 2 2 2 2 5 2 3 3" xfId="32717"/>
    <cellStyle name="Normal 4 2 2 2 2 5 2 4" xfId="15130"/>
    <cellStyle name="Normal 4 2 2 2 2 5 2 4 2" xfId="37989"/>
    <cellStyle name="Normal 4 2 2 2 2 5 2 5" xfId="25687"/>
    <cellStyle name="Normal 4 2 2 2 2 5 3" xfId="4583"/>
    <cellStyle name="Normal 4 2 2 2 2 5 3 2" xfId="16887"/>
    <cellStyle name="Normal 4 2 2 2 2 5 3 2 2" xfId="39746"/>
    <cellStyle name="Normal 4 2 2 2 2 5 3 3" xfId="27444"/>
    <cellStyle name="Normal 4 2 2 2 2 5 4" xfId="8098"/>
    <cellStyle name="Normal 4 2 2 2 2 5 4 2" xfId="20402"/>
    <cellStyle name="Normal 4 2 2 2 2 5 4 2 2" xfId="43261"/>
    <cellStyle name="Normal 4 2 2 2 2 5 4 3" xfId="30959"/>
    <cellStyle name="Normal 4 2 2 2 2 5 5" xfId="11613"/>
    <cellStyle name="Normal 4 2 2 2 2 5 5 2" xfId="34473"/>
    <cellStyle name="Normal 4 2 2 2 2 5 6" xfId="13372"/>
    <cellStyle name="Normal 4 2 2 2 2 5 6 2" xfId="36231"/>
    <cellStyle name="Normal 4 2 2 2 2 5 7" xfId="23928"/>
    <cellStyle name="Normal 4 2 2 2 2 6" xfId="1948"/>
    <cellStyle name="Normal 4 2 2 2 2 6 2" xfId="5463"/>
    <cellStyle name="Normal 4 2 2 2 2 6 2 2" xfId="17767"/>
    <cellStyle name="Normal 4 2 2 2 2 6 2 2 2" xfId="40626"/>
    <cellStyle name="Normal 4 2 2 2 2 6 2 3" xfId="28324"/>
    <cellStyle name="Normal 4 2 2 2 2 6 3" xfId="8978"/>
    <cellStyle name="Normal 4 2 2 2 2 6 3 2" xfId="21282"/>
    <cellStyle name="Normal 4 2 2 2 2 6 3 2 2" xfId="44141"/>
    <cellStyle name="Normal 4 2 2 2 2 6 3 3" xfId="31839"/>
    <cellStyle name="Normal 4 2 2 2 2 6 4" xfId="14252"/>
    <cellStyle name="Normal 4 2 2 2 2 6 4 2" xfId="37111"/>
    <cellStyle name="Normal 4 2 2 2 2 6 5" xfId="24809"/>
    <cellStyle name="Normal 4 2 2 2 2 7" xfId="3705"/>
    <cellStyle name="Normal 4 2 2 2 2 7 2" xfId="16009"/>
    <cellStyle name="Normal 4 2 2 2 2 7 2 2" xfId="38868"/>
    <cellStyle name="Normal 4 2 2 2 2 7 3" xfId="26566"/>
    <cellStyle name="Normal 4 2 2 2 2 8" xfId="7220"/>
    <cellStyle name="Normal 4 2 2 2 2 8 2" xfId="19524"/>
    <cellStyle name="Normal 4 2 2 2 2 8 2 2" xfId="42383"/>
    <cellStyle name="Normal 4 2 2 2 2 8 3" xfId="30081"/>
    <cellStyle name="Normal 4 2 2 2 2 9" xfId="10735"/>
    <cellStyle name="Normal 4 2 2 2 2 9 2" xfId="33595"/>
    <cellStyle name="Normal 4 2 2 2 3" xfId="236"/>
    <cellStyle name="Normal 4 2 2 2 3 10" xfId="23101"/>
    <cellStyle name="Normal 4 2 2 2 3 2" xfId="448"/>
    <cellStyle name="Normal 4 2 2 2 3 2 2" xfId="889"/>
    <cellStyle name="Normal 4 2 2 2 3 2 2 2" xfId="1768"/>
    <cellStyle name="Normal 4 2 2 2 3 2 2 2 2" xfId="3529"/>
    <cellStyle name="Normal 4 2 2 2 3 2 2 2 2 2" xfId="7044"/>
    <cellStyle name="Normal 4 2 2 2 3 2 2 2 2 2 2" xfId="19348"/>
    <cellStyle name="Normal 4 2 2 2 3 2 2 2 2 2 2 2" xfId="42207"/>
    <cellStyle name="Normal 4 2 2 2 3 2 2 2 2 2 3" xfId="29905"/>
    <cellStyle name="Normal 4 2 2 2 3 2 2 2 2 3" xfId="10559"/>
    <cellStyle name="Normal 4 2 2 2 3 2 2 2 2 3 2" xfId="22863"/>
    <cellStyle name="Normal 4 2 2 2 3 2 2 2 2 3 2 2" xfId="45722"/>
    <cellStyle name="Normal 4 2 2 2 3 2 2 2 2 3 3" xfId="33420"/>
    <cellStyle name="Normal 4 2 2 2 3 2 2 2 2 4" xfId="15833"/>
    <cellStyle name="Normal 4 2 2 2 3 2 2 2 2 4 2" xfId="38692"/>
    <cellStyle name="Normal 4 2 2 2 3 2 2 2 2 5" xfId="26390"/>
    <cellStyle name="Normal 4 2 2 2 3 2 2 2 3" xfId="5286"/>
    <cellStyle name="Normal 4 2 2 2 3 2 2 2 3 2" xfId="17590"/>
    <cellStyle name="Normal 4 2 2 2 3 2 2 2 3 2 2" xfId="40449"/>
    <cellStyle name="Normal 4 2 2 2 3 2 2 2 3 3" xfId="28147"/>
    <cellStyle name="Normal 4 2 2 2 3 2 2 2 4" xfId="8801"/>
    <cellStyle name="Normal 4 2 2 2 3 2 2 2 4 2" xfId="21105"/>
    <cellStyle name="Normal 4 2 2 2 3 2 2 2 4 2 2" xfId="43964"/>
    <cellStyle name="Normal 4 2 2 2 3 2 2 2 4 3" xfId="31662"/>
    <cellStyle name="Normal 4 2 2 2 3 2 2 2 5" xfId="12316"/>
    <cellStyle name="Normal 4 2 2 2 3 2 2 2 5 2" xfId="35176"/>
    <cellStyle name="Normal 4 2 2 2 3 2 2 2 6" xfId="14075"/>
    <cellStyle name="Normal 4 2 2 2 3 2 2 2 6 2" xfId="36934"/>
    <cellStyle name="Normal 4 2 2 2 3 2 2 2 7" xfId="24631"/>
    <cellStyle name="Normal 4 2 2 2 3 2 2 3" xfId="2651"/>
    <cellStyle name="Normal 4 2 2 2 3 2 2 3 2" xfId="6166"/>
    <cellStyle name="Normal 4 2 2 2 3 2 2 3 2 2" xfId="18470"/>
    <cellStyle name="Normal 4 2 2 2 3 2 2 3 2 2 2" xfId="41329"/>
    <cellStyle name="Normal 4 2 2 2 3 2 2 3 2 3" xfId="29027"/>
    <cellStyle name="Normal 4 2 2 2 3 2 2 3 3" xfId="9681"/>
    <cellStyle name="Normal 4 2 2 2 3 2 2 3 3 2" xfId="21985"/>
    <cellStyle name="Normal 4 2 2 2 3 2 2 3 3 2 2" xfId="44844"/>
    <cellStyle name="Normal 4 2 2 2 3 2 2 3 3 3" xfId="32542"/>
    <cellStyle name="Normal 4 2 2 2 3 2 2 3 4" xfId="14955"/>
    <cellStyle name="Normal 4 2 2 2 3 2 2 3 4 2" xfId="37814"/>
    <cellStyle name="Normal 4 2 2 2 3 2 2 3 5" xfId="25512"/>
    <cellStyle name="Normal 4 2 2 2 3 2 2 4" xfId="4408"/>
    <cellStyle name="Normal 4 2 2 2 3 2 2 4 2" xfId="16712"/>
    <cellStyle name="Normal 4 2 2 2 3 2 2 4 2 2" xfId="39571"/>
    <cellStyle name="Normal 4 2 2 2 3 2 2 4 3" xfId="27269"/>
    <cellStyle name="Normal 4 2 2 2 3 2 2 5" xfId="7923"/>
    <cellStyle name="Normal 4 2 2 2 3 2 2 5 2" xfId="20227"/>
    <cellStyle name="Normal 4 2 2 2 3 2 2 5 2 2" xfId="43086"/>
    <cellStyle name="Normal 4 2 2 2 3 2 2 5 3" xfId="30784"/>
    <cellStyle name="Normal 4 2 2 2 3 2 2 6" xfId="11438"/>
    <cellStyle name="Normal 4 2 2 2 3 2 2 6 2" xfId="34298"/>
    <cellStyle name="Normal 4 2 2 2 3 2 2 7" xfId="13197"/>
    <cellStyle name="Normal 4 2 2 2 3 2 2 7 2" xfId="36056"/>
    <cellStyle name="Normal 4 2 2 2 3 2 2 8" xfId="23753"/>
    <cellStyle name="Normal 4 2 2 2 3 2 3" xfId="1329"/>
    <cellStyle name="Normal 4 2 2 2 3 2 3 2" xfId="3090"/>
    <cellStyle name="Normal 4 2 2 2 3 2 3 2 2" xfId="6605"/>
    <cellStyle name="Normal 4 2 2 2 3 2 3 2 2 2" xfId="18909"/>
    <cellStyle name="Normal 4 2 2 2 3 2 3 2 2 2 2" xfId="41768"/>
    <cellStyle name="Normal 4 2 2 2 3 2 3 2 2 3" xfId="29466"/>
    <cellStyle name="Normal 4 2 2 2 3 2 3 2 3" xfId="10120"/>
    <cellStyle name="Normal 4 2 2 2 3 2 3 2 3 2" xfId="22424"/>
    <cellStyle name="Normal 4 2 2 2 3 2 3 2 3 2 2" xfId="45283"/>
    <cellStyle name="Normal 4 2 2 2 3 2 3 2 3 3" xfId="32981"/>
    <cellStyle name="Normal 4 2 2 2 3 2 3 2 4" xfId="15394"/>
    <cellStyle name="Normal 4 2 2 2 3 2 3 2 4 2" xfId="38253"/>
    <cellStyle name="Normal 4 2 2 2 3 2 3 2 5" xfId="25951"/>
    <cellStyle name="Normal 4 2 2 2 3 2 3 3" xfId="4847"/>
    <cellStyle name="Normal 4 2 2 2 3 2 3 3 2" xfId="17151"/>
    <cellStyle name="Normal 4 2 2 2 3 2 3 3 2 2" xfId="40010"/>
    <cellStyle name="Normal 4 2 2 2 3 2 3 3 3" xfId="27708"/>
    <cellStyle name="Normal 4 2 2 2 3 2 3 4" xfId="8362"/>
    <cellStyle name="Normal 4 2 2 2 3 2 3 4 2" xfId="20666"/>
    <cellStyle name="Normal 4 2 2 2 3 2 3 4 2 2" xfId="43525"/>
    <cellStyle name="Normal 4 2 2 2 3 2 3 4 3" xfId="31223"/>
    <cellStyle name="Normal 4 2 2 2 3 2 3 5" xfId="11877"/>
    <cellStyle name="Normal 4 2 2 2 3 2 3 5 2" xfId="34737"/>
    <cellStyle name="Normal 4 2 2 2 3 2 3 6" xfId="13636"/>
    <cellStyle name="Normal 4 2 2 2 3 2 3 6 2" xfId="36495"/>
    <cellStyle name="Normal 4 2 2 2 3 2 3 7" xfId="24192"/>
    <cellStyle name="Normal 4 2 2 2 3 2 4" xfId="2212"/>
    <cellStyle name="Normal 4 2 2 2 3 2 4 2" xfId="5727"/>
    <cellStyle name="Normal 4 2 2 2 3 2 4 2 2" xfId="18031"/>
    <cellStyle name="Normal 4 2 2 2 3 2 4 2 2 2" xfId="40890"/>
    <cellStyle name="Normal 4 2 2 2 3 2 4 2 3" xfId="28588"/>
    <cellStyle name="Normal 4 2 2 2 3 2 4 3" xfId="9242"/>
    <cellStyle name="Normal 4 2 2 2 3 2 4 3 2" xfId="21546"/>
    <cellStyle name="Normal 4 2 2 2 3 2 4 3 2 2" xfId="44405"/>
    <cellStyle name="Normal 4 2 2 2 3 2 4 3 3" xfId="32103"/>
    <cellStyle name="Normal 4 2 2 2 3 2 4 4" xfId="14516"/>
    <cellStyle name="Normal 4 2 2 2 3 2 4 4 2" xfId="37375"/>
    <cellStyle name="Normal 4 2 2 2 3 2 4 5" xfId="25073"/>
    <cellStyle name="Normal 4 2 2 2 3 2 5" xfId="3969"/>
    <cellStyle name="Normal 4 2 2 2 3 2 5 2" xfId="16273"/>
    <cellStyle name="Normal 4 2 2 2 3 2 5 2 2" xfId="39132"/>
    <cellStyle name="Normal 4 2 2 2 3 2 5 3" xfId="26830"/>
    <cellStyle name="Normal 4 2 2 2 3 2 6" xfId="7484"/>
    <cellStyle name="Normal 4 2 2 2 3 2 6 2" xfId="19788"/>
    <cellStyle name="Normal 4 2 2 2 3 2 6 2 2" xfId="42647"/>
    <cellStyle name="Normal 4 2 2 2 3 2 6 3" xfId="30345"/>
    <cellStyle name="Normal 4 2 2 2 3 2 7" xfId="10999"/>
    <cellStyle name="Normal 4 2 2 2 3 2 7 2" xfId="33859"/>
    <cellStyle name="Normal 4 2 2 2 3 2 8" xfId="12758"/>
    <cellStyle name="Normal 4 2 2 2 3 2 8 2" xfId="35617"/>
    <cellStyle name="Normal 4 2 2 2 3 2 9" xfId="23313"/>
    <cellStyle name="Normal 4 2 2 2 3 3" xfId="677"/>
    <cellStyle name="Normal 4 2 2 2 3 3 2" xfId="1556"/>
    <cellStyle name="Normal 4 2 2 2 3 3 2 2" xfId="3317"/>
    <cellStyle name="Normal 4 2 2 2 3 3 2 2 2" xfId="6832"/>
    <cellStyle name="Normal 4 2 2 2 3 3 2 2 2 2" xfId="19136"/>
    <cellStyle name="Normal 4 2 2 2 3 3 2 2 2 2 2" xfId="41995"/>
    <cellStyle name="Normal 4 2 2 2 3 3 2 2 2 3" xfId="29693"/>
    <cellStyle name="Normal 4 2 2 2 3 3 2 2 3" xfId="10347"/>
    <cellStyle name="Normal 4 2 2 2 3 3 2 2 3 2" xfId="22651"/>
    <cellStyle name="Normal 4 2 2 2 3 3 2 2 3 2 2" xfId="45510"/>
    <cellStyle name="Normal 4 2 2 2 3 3 2 2 3 3" xfId="33208"/>
    <cellStyle name="Normal 4 2 2 2 3 3 2 2 4" xfId="15621"/>
    <cellStyle name="Normal 4 2 2 2 3 3 2 2 4 2" xfId="38480"/>
    <cellStyle name="Normal 4 2 2 2 3 3 2 2 5" xfId="26178"/>
    <cellStyle name="Normal 4 2 2 2 3 3 2 3" xfId="5074"/>
    <cellStyle name="Normal 4 2 2 2 3 3 2 3 2" xfId="17378"/>
    <cellStyle name="Normal 4 2 2 2 3 3 2 3 2 2" xfId="40237"/>
    <cellStyle name="Normal 4 2 2 2 3 3 2 3 3" xfId="27935"/>
    <cellStyle name="Normal 4 2 2 2 3 3 2 4" xfId="8589"/>
    <cellStyle name="Normal 4 2 2 2 3 3 2 4 2" xfId="20893"/>
    <cellStyle name="Normal 4 2 2 2 3 3 2 4 2 2" xfId="43752"/>
    <cellStyle name="Normal 4 2 2 2 3 3 2 4 3" xfId="31450"/>
    <cellStyle name="Normal 4 2 2 2 3 3 2 5" xfId="12104"/>
    <cellStyle name="Normal 4 2 2 2 3 3 2 5 2" xfId="34964"/>
    <cellStyle name="Normal 4 2 2 2 3 3 2 6" xfId="13863"/>
    <cellStyle name="Normal 4 2 2 2 3 3 2 6 2" xfId="36722"/>
    <cellStyle name="Normal 4 2 2 2 3 3 2 7" xfId="24419"/>
    <cellStyle name="Normal 4 2 2 2 3 3 3" xfId="2439"/>
    <cellStyle name="Normal 4 2 2 2 3 3 3 2" xfId="5954"/>
    <cellStyle name="Normal 4 2 2 2 3 3 3 2 2" xfId="18258"/>
    <cellStyle name="Normal 4 2 2 2 3 3 3 2 2 2" xfId="41117"/>
    <cellStyle name="Normal 4 2 2 2 3 3 3 2 3" xfId="28815"/>
    <cellStyle name="Normal 4 2 2 2 3 3 3 3" xfId="9469"/>
    <cellStyle name="Normal 4 2 2 2 3 3 3 3 2" xfId="21773"/>
    <cellStyle name="Normal 4 2 2 2 3 3 3 3 2 2" xfId="44632"/>
    <cellStyle name="Normal 4 2 2 2 3 3 3 3 3" xfId="32330"/>
    <cellStyle name="Normal 4 2 2 2 3 3 3 4" xfId="14743"/>
    <cellStyle name="Normal 4 2 2 2 3 3 3 4 2" xfId="37602"/>
    <cellStyle name="Normal 4 2 2 2 3 3 3 5" xfId="25300"/>
    <cellStyle name="Normal 4 2 2 2 3 3 4" xfId="4196"/>
    <cellStyle name="Normal 4 2 2 2 3 3 4 2" xfId="16500"/>
    <cellStyle name="Normal 4 2 2 2 3 3 4 2 2" xfId="39359"/>
    <cellStyle name="Normal 4 2 2 2 3 3 4 3" xfId="27057"/>
    <cellStyle name="Normal 4 2 2 2 3 3 5" xfId="7711"/>
    <cellStyle name="Normal 4 2 2 2 3 3 5 2" xfId="20015"/>
    <cellStyle name="Normal 4 2 2 2 3 3 5 2 2" xfId="42874"/>
    <cellStyle name="Normal 4 2 2 2 3 3 5 3" xfId="30572"/>
    <cellStyle name="Normal 4 2 2 2 3 3 6" xfId="11226"/>
    <cellStyle name="Normal 4 2 2 2 3 3 6 2" xfId="34086"/>
    <cellStyle name="Normal 4 2 2 2 3 3 7" xfId="12985"/>
    <cellStyle name="Normal 4 2 2 2 3 3 7 2" xfId="35844"/>
    <cellStyle name="Normal 4 2 2 2 3 3 8" xfId="23541"/>
    <cellStyle name="Normal 4 2 2 2 3 4" xfId="1117"/>
    <cellStyle name="Normal 4 2 2 2 3 4 2" xfId="2878"/>
    <cellStyle name="Normal 4 2 2 2 3 4 2 2" xfId="6393"/>
    <cellStyle name="Normal 4 2 2 2 3 4 2 2 2" xfId="18697"/>
    <cellStyle name="Normal 4 2 2 2 3 4 2 2 2 2" xfId="41556"/>
    <cellStyle name="Normal 4 2 2 2 3 4 2 2 3" xfId="29254"/>
    <cellStyle name="Normal 4 2 2 2 3 4 2 3" xfId="9908"/>
    <cellStyle name="Normal 4 2 2 2 3 4 2 3 2" xfId="22212"/>
    <cellStyle name="Normal 4 2 2 2 3 4 2 3 2 2" xfId="45071"/>
    <cellStyle name="Normal 4 2 2 2 3 4 2 3 3" xfId="32769"/>
    <cellStyle name="Normal 4 2 2 2 3 4 2 4" xfId="15182"/>
    <cellStyle name="Normal 4 2 2 2 3 4 2 4 2" xfId="38041"/>
    <cellStyle name="Normal 4 2 2 2 3 4 2 5" xfId="25739"/>
    <cellStyle name="Normal 4 2 2 2 3 4 3" xfId="4635"/>
    <cellStyle name="Normal 4 2 2 2 3 4 3 2" xfId="16939"/>
    <cellStyle name="Normal 4 2 2 2 3 4 3 2 2" xfId="39798"/>
    <cellStyle name="Normal 4 2 2 2 3 4 3 3" xfId="27496"/>
    <cellStyle name="Normal 4 2 2 2 3 4 4" xfId="8150"/>
    <cellStyle name="Normal 4 2 2 2 3 4 4 2" xfId="20454"/>
    <cellStyle name="Normal 4 2 2 2 3 4 4 2 2" xfId="43313"/>
    <cellStyle name="Normal 4 2 2 2 3 4 4 3" xfId="31011"/>
    <cellStyle name="Normal 4 2 2 2 3 4 5" xfId="11665"/>
    <cellStyle name="Normal 4 2 2 2 3 4 5 2" xfId="34525"/>
    <cellStyle name="Normal 4 2 2 2 3 4 6" xfId="13424"/>
    <cellStyle name="Normal 4 2 2 2 3 4 6 2" xfId="36283"/>
    <cellStyle name="Normal 4 2 2 2 3 4 7" xfId="23980"/>
    <cellStyle name="Normal 4 2 2 2 3 5" xfId="2000"/>
    <cellStyle name="Normal 4 2 2 2 3 5 2" xfId="5515"/>
    <cellStyle name="Normal 4 2 2 2 3 5 2 2" xfId="17819"/>
    <cellStyle name="Normal 4 2 2 2 3 5 2 2 2" xfId="40678"/>
    <cellStyle name="Normal 4 2 2 2 3 5 2 3" xfId="28376"/>
    <cellStyle name="Normal 4 2 2 2 3 5 3" xfId="9030"/>
    <cellStyle name="Normal 4 2 2 2 3 5 3 2" xfId="21334"/>
    <cellStyle name="Normal 4 2 2 2 3 5 3 2 2" xfId="44193"/>
    <cellStyle name="Normal 4 2 2 2 3 5 3 3" xfId="31891"/>
    <cellStyle name="Normal 4 2 2 2 3 5 4" xfId="14304"/>
    <cellStyle name="Normal 4 2 2 2 3 5 4 2" xfId="37163"/>
    <cellStyle name="Normal 4 2 2 2 3 5 5" xfId="24861"/>
    <cellStyle name="Normal 4 2 2 2 3 6" xfId="3757"/>
    <cellStyle name="Normal 4 2 2 2 3 6 2" xfId="16061"/>
    <cellStyle name="Normal 4 2 2 2 3 6 2 2" xfId="38920"/>
    <cellStyle name="Normal 4 2 2 2 3 6 3" xfId="26618"/>
    <cellStyle name="Normal 4 2 2 2 3 7" xfId="7272"/>
    <cellStyle name="Normal 4 2 2 2 3 7 2" xfId="19576"/>
    <cellStyle name="Normal 4 2 2 2 3 7 2 2" xfId="42435"/>
    <cellStyle name="Normal 4 2 2 2 3 7 3" xfId="30133"/>
    <cellStyle name="Normal 4 2 2 2 3 8" xfId="10787"/>
    <cellStyle name="Normal 4 2 2 2 3 8 2" xfId="33647"/>
    <cellStyle name="Normal 4 2 2 2 3 9" xfId="12546"/>
    <cellStyle name="Normal 4 2 2 2 3 9 2" xfId="35405"/>
    <cellStyle name="Normal 4 2 2 2 4" xfId="342"/>
    <cellStyle name="Normal 4 2 2 2 4 2" xfId="783"/>
    <cellStyle name="Normal 4 2 2 2 4 2 2" xfId="1662"/>
    <cellStyle name="Normal 4 2 2 2 4 2 2 2" xfId="3423"/>
    <cellStyle name="Normal 4 2 2 2 4 2 2 2 2" xfId="6938"/>
    <cellStyle name="Normal 4 2 2 2 4 2 2 2 2 2" xfId="19242"/>
    <cellStyle name="Normal 4 2 2 2 4 2 2 2 2 2 2" xfId="42101"/>
    <cellStyle name="Normal 4 2 2 2 4 2 2 2 2 3" xfId="29799"/>
    <cellStyle name="Normal 4 2 2 2 4 2 2 2 3" xfId="10453"/>
    <cellStyle name="Normal 4 2 2 2 4 2 2 2 3 2" xfId="22757"/>
    <cellStyle name="Normal 4 2 2 2 4 2 2 2 3 2 2" xfId="45616"/>
    <cellStyle name="Normal 4 2 2 2 4 2 2 2 3 3" xfId="33314"/>
    <cellStyle name="Normal 4 2 2 2 4 2 2 2 4" xfId="15727"/>
    <cellStyle name="Normal 4 2 2 2 4 2 2 2 4 2" xfId="38586"/>
    <cellStyle name="Normal 4 2 2 2 4 2 2 2 5" xfId="26284"/>
    <cellStyle name="Normal 4 2 2 2 4 2 2 3" xfId="5180"/>
    <cellStyle name="Normal 4 2 2 2 4 2 2 3 2" xfId="17484"/>
    <cellStyle name="Normal 4 2 2 2 4 2 2 3 2 2" xfId="40343"/>
    <cellStyle name="Normal 4 2 2 2 4 2 2 3 3" xfId="28041"/>
    <cellStyle name="Normal 4 2 2 2 4 2 2 4" xfId="8695"/>
    <cellStyle name="Normal 4 2 2 2 4 2 2 4 2" xfId="20999"/>
    <cellStyle name="Normal 4 2 2 2 4 2 2 4 2 2" xfId="43858"/>
    <cellStyle name="Normal 4 2 2 2 4 2 2 4 3" xfId="31556"/>
    <cellStyle name="Normal 4 2 2 2 4 2 2 5" xfId="12210"/>
    <cellStyle name="Normal 4 2 2 2 4 2 2 5 2" xfId="35070"/>
    <cellStyle name="Normal 4 2 2 2 4 2 2 6" xfId="13969"/>
    <cellStyle name="Normal 4 2 2 2 4 2 2 6 2" xfId="36828"/>
    <cellStyle name="Normal 4 2 2 2 4 2 2 7" xfId="24525"/>
    <cellStyle name="Normal 4 2 2 2 4 2 3" xfId="2545"/>
    <cellStyle name="Normal 4 2 2 2 4 2 3 2" xfId="6060"/>
    <cellStyle name="Normal 4 2 2 2 4 2 3 2 2" xfId="18364"/>
    <cellStyle name="Normal 4 2 2 2 4 2 3 2 2 2" xfId="41223"/>
    <cellStyle name="Normal 4 2 2 2 4 2 3 2 3" xfId="28921"/>
    <cellStyle name="Normal 4 2 2 2 4 2 3 3" xfId="9575"/>
    <cellStyle name="Normal 4 2 2 2 4 2 3 3 2" xfId="21879"/>
    <cellStyle name="Normal 4 2 2 2 4 2 3 3 2 2" xfId="44738"/>
    <cellStyle name="Normal 4 2 2 2 4 2 3 3 3" xfId="32436"/>
    <cellStyle name="Normal 4 2 2 2 4 2 3 4" xfId="14849"/>
    <cellStyle name="Normal 4 2 2 2 4 2 3 4 2" xfId="37708"/>
    <cellStyle name="Normal 4 2 2 2 4 2 3 5" xfId="25406"/>
    <cellStyle name="Normal 4 2 2 2 4 2 4" xfId="4302"/>
    <cellStyle name="Normal 4 2 2 2 4 2 4 2" xfId="16606"/>
    <cellStyle name="Normal 4 2 2 2 4 2 4 2 2" xfId="39465"/>
    <cellStyle name="Normal 4 2 2 2 4 2 4 3" xfId="27163"/>
    <cellStyle name="Normal 4 2 2 2 4 2 5" xfId="7817"/>
    <cellStyle name="Normal 4 2 2 2 4 2 5 2" xfId="20121"/>
    <cellStyle name="Normal 4 2 2 2 4 2 5 2 2" xfId="42980"/>
    <cellStyle name="Normal 4 2 2 2 4 2 5 3" xfId="30678"/>
    <cellStyle name="Normal 4 2 2 2 4 2 6" xfId="11332"/>
    <cellStyle name="Normal 4 2 2 2 4 2 6 2" xfId="34192"/>
    <cellStyle name="Normal 4 2 2 2 4 2 7" xfId="13091"/>
    <cellStyle name="Normal 4 2 2 2 4 2 7 2" xfId="35950"/>
    <cellStyle name="Normal 4 2 2 2 4 2 8" xfId="23647"/>
    <cellStyle name="Normal 4 2 2 2 4 3" xfId="1223"/>
    <cellStyle name="Normal 4 2 2 2 4 3 2" xfId="2984"/>
    <cellStyle name="Normal 4 2 2 2 4 3 2 2" xfId="6499"/>
    <cellStyle name="Normal 4 2 2 2 4 3 2 2 2" xfId="18803"/>
    <cellStyle name="Normal 4 2 2 2 4 3 2 2 2 2" xfId="41662"/>
    <cellStyle name="Normal 4 2 2 2 4 3 2 2 3" xfId="29360"/>
    <cellStyle name="Normal 4 2 2 2 4 3 2 3" xfId="10014"/>
    <cellStyle name="Normal 4 2 2 2 4 3 2 3 2" xfId="22318"/>
    <cellStyle name="Normal 4 2 2 2 4 3 2 3 2 2" xfId="45177"/>
    <cellStyle name="Normal 4 2 2 2 4 3 2 3 3" xfId="32875"/>
    <cellStyle name="Normal 4 2 2 2 4 3 2 4" xfId="15288"/>
    <cellStyle name="Normal 4 2 2 2 4 3 2 4 2" xfId="38147"/>
    <cellStyle name="Normal 4 2 2 2 4 3 2 5" xfId="25845"/>
    <cellStyle name="Normal 4 2 2 2 4 3 3" xfId="4741"/>
    <cellStyle name="Normal 4 2 2 2 4 3 3 2" xfId="17045"/>
    <cellStyle name="Normal 4 2 2 2 4 3 3 2 2" xfId="39904"/>
    <cellStyle name="Normal 4 2 2 2 4 3 3 3" xfId="27602"/>
    <cellStyle name="Normal 4 2 2 2 4 3 4" xfId="8256"/>
    <cellStyle name="Normal 4 2 2 2 4 3 4 2" xfId="20560"/>
    <cellStyle name="Normal 4 2 2 2 4 3 4 2 2" xfId="43419"/>
    <cellStyle name="Normal 4 2 2 2 4 3 4 3" xfId="31117"/>
    <cellStyle name="Normal 4 2 2 2 4 3 5" xfId="11771"/>
    <cellStyle name="Normal 4 2 2 2 4 3 5 2" xfId="34631"/>
    <cellStyle name="Normal 4 2 2 2 4 3 6" xfId="13530"/>
    <cellStyle name="Normal 4 2 2 2 4 3 6 2" xfId="36389"/>
    <cellStyle name="Normal 4 2 2 2 4 3 7" xfId="24086"/>
    <cellStyle name="Normal 4 2 2 2 4 4" xfId="2106"/>
    <cellStyle name="Normal 4 2 2 2 4 4 2" xfId="5621"/>
    <cellStyle name="Normal 4 2 2 2 4 4 2 2" xfId="17925"/>
    <cellStyle name="Normal 4 2 2 2 4 4 2 2 2" xfId="40784"/>
    <cellStyle name="Normal 4 2 2 2 4 4 2 3" xfId="28482"/>
    <cellStyle name="Normal 4 2 2 2 4 4 3" xfId="9136"/>
    <cellStyle name="Normal 4 2 2 2 4 4 3 2" xfId="21440"/>
    <cellStyle name="Normal 4 2 2 2 4 4 3 2 2" xfId="44299"/>
    <cellStyle name="Normal 4 2 2 2 4 4 3 3" xfId="31997"/>
    <cellStyle name="Normal 4 2 2 2 4 4 4" xfId="14410"/>
    <cellStyle name="Normal 4 2 2 2 4 4 4 2" xfId="37269"/>
    <cellStyle name="Normal 4 2 2 2 4 4 5" xfId="24967"/>
    <cellStyle name="Normal 4 2 2 2 4 5" xfId="3863"/>
    <cellStyle name="Normal 4 2 2 2 4 5 2" xfId="16167"/>
    <cellStyle name="Normal 4 2 2 2 4 5 2 2" xfId="39026"/>
    <cellStyle name="Normal 4 2 2 2 4 5 3" xfId="26724"/>
    <cellStyle name="Normal 4 2 2 2 4 6" xfId="7378"/>
    <cellStyle name="Normal 4 2 2 2 4 6 2" xfId="19682"/>
    <cellStyle name="Normal 4 2 2 2 4 6 2 2" xfId="42541"/>
    <cellStyle name="Normal 4 2 2 2 4 6 3" xfId="30239"/>
    <cellStyle name="Normal 4 2 2 2 4 7" xfId="10893"/>
    <cellStyle name="Normal 4 2 2 2 4 7 2" xfId="33753"/>
    <cellStyle name="Normal 4 2 2 2 4 8" xfId="12652"/>
    <cellStyle name="Normal 4 2 2 2 4 8 2" xfId="35511"/>
    <cellStyle name="Normal 4 2 2 2 4 9" xfId="23207"/>
    <cellStyle name="Normal 4 2 2 2 5" xfId="571"/>
    <cellStyle name="Normal 4 2 2 2 5 2" xfId="1450"/>
    <cellStyle name="Normal 4 2 2 2 5 2 2" xfId="3211"/>
    <cellStyle name="Normal 4 2 2 2 5 2 2 2" xfId="6726"/>
    <cellStyle name="Normal 4 2 2 2 5 2 2 2 2" xfId="19030"/>
    <cellStyle name="Normal 4 2 2 2 5 2 2 2 2 2" xfId="41889"/>
    <cellStyle name="Normal 4 2 2 2 5 2 2 2 3" xfId="29587"/>
    <cellStyle name="Normal 4 2 2 2 5 2 2 3" xfId="10241"/>
    <cellStyle name="Normal 4 2 2 2 5 2 2 3 2" xfId="22545"/>
    <cellStyle name="Normal 4 2 2 2 5 2 2 3 2 2" xfId="45404"/>
    <cellStyle name="Normal 4 2 2 2 5 2 2 3 3" xfId="33102"/>
    <cellStyle name="Normal 4 2 2 2 5 2 2 4" xfId="15515"/>
    <cellStyle name="Normal 4 2 2 2 5 2 2 4 2" xfId="38374"/>
    <cellStyle name="Normal 4 2 2 2 5 2 2 5" xfId="26072"/>
    <cellStyle name="Normal 4 2 2 2 5 2 3" xfId="4968"/>
    <cellStyle name="Normal 4 2 2 2 5 2 3 2" xfId="17272"/>
    <cellStyle name="Normal 4 2 2 2 5 2 3 2 2" xfId="40131"/>
    <cellStyle name="Normal 4 2 2 2 5 2 3 3" xfId="27829"/>
    <cellStyle name="Normal 4 2 2 2 5 2 4" xfId="8483"/>
    <cellStyle name="Normal 4 2 2 2 5 2 4 2" xfId="20787"/>
    <cellStyle name="Normal 4 2 2 2 5 2 4 2 2" xfId="43646"/>
    <cellStyle name="Normal 4 2 2 2 5 2 4 3" xfId="31344"/>
    <cellStyle name="Normal 4 2 2 2 5 2 5" xfId="11998"/>
    <cellStyle name="Normal 4 2 2 2 5 2 5 2" xfId="34858"/>
    <cellStyle name="Normal 4 2 2 2 5 2 6" xfId="13757"/>
    <cellStyle name="Normal 4 2 2 2 5 2 6 2" xfId="36616"/>
    <cellStyle name="Normal 4 2 2 2 5 2 7" xfId="24313"/>
    <cellStyle name="Normal 4 2 2 2 5 3" xfId="2333"/>
    <cellStyle name="Normal 4 2 2 2 5 3 2" xfId="5848"/>
    <cellStyle name="Normal 4 2 2 2 5 3 2 2" xfId="18152"/>
    <cellStyle name="Normal 4 2 2 2 5 3 2 2 2" xfId="41011"/>
    <cellStyle name="Normal 4 2 2 2 5 3 2 3" xfId="28709"/>
    <cellStyle name="Normal 4 2 2 2 5 3 3" xfId="9363"/>
    <cellStyle name="Normal 4 2 2 2 5 3 3 2" xfId="21667"/>
    <cellStyle name="Normal 4 2 2 2 5 3 3 2 2" xfId="44526"/>
    <cellStyle name="Normal 4 2 2 2 5 3 3 3" xfId="32224"/>
    <cellStyle name="Normal 4 2 2 2 5 3 4" xfId="14637"/>
    <cellStyle name="Normal 4 2 2 2 5 3 4 2" xfId="37496"/>
    <cellStyle name="Normal 4 2 2 2 5 3 5" xfId="25194"/>
    <cellStyle name="Normal 4 2 2 2 5 4" xfId="4090"/>
    <cellStyle name="Normal 4 2 2 2 5 4 2" xfId="16394"/>
    <cellStyle name="Normal 4 2 2 2 5 4 2 2" xfId="39253"/>
    <cellStyle name="Normal 4 2 2 2 5 4 3" xfId="26951"/>
    <cellStyle name="Normal 4 2 2 2 5 5" xfId="7605"/>
    <cellStyle name="Normal 4 2 2 2 5 5 2" xfId="19909"/>
    <cellStyle name="Normal 4 2 2 2 5 5 2 2" xfId="42768"/>
    <cellStyle name="Normal 4 2 2 2 5 5 3" xfId="30466"/>
    <cellStyle name="Normal 4 2 2 2 5 6" xfId="11120"/>
    <cellStyle name="Normal 4 2 2 2 5 6 2" xfId="33980"/>
    <cellStyle name="Normal 4 2 2 2 5 7" xfId="12879"/>
    <cellStyle name="Normal 4 2 2 2 5 7 2" xfId="35738"/>
    <cellStyle name="Normal 4 2 2 2 5 8" xfId="23435"/>
    <cellStyle name="Normal 4 2 2 2 6" xfId="1011"/>
    <cellStyle name="Normal 4 2 2 2 6 2" xfId="2772"/>
    <cellStyle name="Normal 4 2 2 2 6 2 2" xfId="6287"/>
    <cellStyle name="Normal 4 2 2 2 6 2 2 2" xfId="18591"/>
    <cellStyle name="Normal 4 2 2 2 6 2 2 2 2" xfId="41450"/>
    <cellStyle name="Normal 4 2 2 2 6 2 2 3" xfId="29148"/>
    <cellStyle name="Normal 4 2 2 2 6 2 3" xfId="9802"/>
    <cellStyle name="Normal 4 2 2 2 6 2 3 2" xfId="22106"/>
    <cellStyle name="Normal 4 2 2 2 6 2 3 2 2" xfId="44965"/>
    <cellStyle name="Normal 4 2 2 2 6 2 3 3" xfId="32663"/>
    <cellStyle name="Normal 4 2 2 2 6 2 4" xfId="15076"/>
    <cellStyle name="Normal 4 2 2 2 6 2 4 2" xfId="37935"/>
    <cellStyle name="Normal 4 2 2 2 6 2 5" xfId="25633"/>
    <cellStyle name="Normal 4 2 2 2 6 3" xfId="4529"/>
    <cellStyle name="Normal 4 2 2 2 6 3 2" xfId="16833"/>
    <cellStyle name="Normal 4 2 2 2 6 3 2 2" xfId="39692"/>
    <cellStyle name="Normal 4 2 2 2 6 3 3" xfId="27390"/>
    <cellStyle name="Normal 4 2 2 2 6 4" xfId="8044"/>
    <cellStyle name="Normal 4 2 2 2 6 4 2" xfId="20348"/>
    <cellStyle name="Normal 4 2 2 2 6 4 2 2" xfId="43207"/>
    <cellStyle name="Normal 4 2 2 2 6 4 3" xfId="30905"/>
    <cellStyle name="Normal 4 2 2 2 6 5" xfId="11559"/>
    <cellStyle name="Normal 4 2 2 2 6 5 2" xfId="34419"/>
    <cellStyle name="Normal 4 2 2 2 6 6" xfId="13318"/>
    <cellStyle name="Normal 4 2 2 2 6 6 2" xfId="36177"/>
    <cellStyle name="Normal 4 2 2 2 6 7" xfId="23874"/>
    <cellStyle name="Normal 4 2 2 2 7" xfId="1894"/>
    <cellStyle name="Normal 4 2 2 2 7 2" xfId="5409"/>
    <cellStyle name="Normal 4 2 2 2 7 2 2" xfId="17713"/>
    <cellStyle name="Normal 4 2 2 2 7 2 2 2" xfId="40572"/>
    <cellStyle name="Normal 4 2 2 2 7 2 3" xfId="28270"/>
    <cellStyle name="Normal 4 2 2 2 7 3" xfId="8924"/>
    <cellStyle name="Normal 4 2 2 2 7 3 2" xfId="21228"/>
    <cellStyle name="Normal 4 2 2 2 7 3 2 2" xfId="44087"/>
    <cellStyle name="Normal 4 2 2 2 7 3 3" xfId="31785"/>
    <cellStyle name="Normal 4 2 2 2 7 4" xfId="14198"/>
    <cellStyle name="Normal 4 2 2 2 7 4 2" xfId="37057"/>
    <cellStyle name="Normal 4 2 2 2 7 5" xfId="24755"/>
    <cellStyle name="Normal 4 2 2 2 8" xfId="3651"/>
    <cellStyle name="Normal 4 2 2 2 8 2" xfId="15955"/>
    <cellStyle name="Normal 4 2 2 2 8 2 2" xfId="38814"/>
    <cellStyle name="Normal 4 2 2 2 8 3" xfId="26512"/>
    <cellStyle name="Normal 4 2 2 2 9" xfId="7166"/>
    <cellStyle name="Normal 4 2 2 2 9 2" xfId="19470"/>
    <cellStyle name="Normal 4 2 2 2 9 2 2" xfId="42329"/>
    <cellStyle name="Normal 4 2 2 2 9 3" xfId="30027"/>
    <cellStyle name="Normal 4 2 2 3" xfId="156"/>
    <cellStyle name="Normal 4 2 2 3 10" xfId="12468"/>
    <cellStyle name="Normal 4 2 2 3 10 2" xfId="35327"/>
    <cellStyle name="Normal 4 2 2 3 11" xfId="23022"/>
    <cellStyle name="Normal 4 2 2 3 2" xfId="264"/>
    <cellStyle name="Normal 4 2 2 3 2 10" xfId="23129"/>
    <cellStyle name="Normal 4 2 2 3 2 2" xfId="476"/>
    <cellStyle name="Normal 4 2 2 3 2 2 2" xfId="917"/>
    <cellStyle name="Normal 4 2 2 3 2 2 2 2" xfId="1796"/>
    <cellStyle name="Normal 4 2 2 3 2 2 2 2 2" xfId="3557"/>
    <cellStyle name="Normal 4 2 2 3 2 2 2 2 2 2" xfId="7072"/>
    <cellStyle name="Normal 4 2 2 3 2 2 2 2 2 2 2" xfId="19376"/>
    <cellStyle name="Normal 4 2 2 3 2 2 2 2 2 2 2 2" xfId="42235"/>
    <cellStyle name="Normal 4 2 2 3 2 2 2 2 2 2 3" xfId="29933"/>
    <cellStyle name="Normal 4 2 2 3 2 2 2 2 2 3" xfId="10587"/>
    <cellStyle name="Normal 4 2 2 3 2 2 2 2 2 3 2" xfId="22891"/>
    <cellStyle name="Normal 4 2 2 3 2 2 2 2 2 3 2 2" xfId="45750"/>
    <cellStyle name="Normal 4 2 2 3 2 2 2 2 2 3 3" xfId="33448"/>
    <cellStyle name="Normal 4 2 2 3 2 2 2 2 2 4" xfId="15861"/>
    <cellStyle name="Normal 4 2 2 3 2 2 2 2 2 4 2" xfId="38720"/>
    <cellStyle name="Normal 4 2 2 3 2 2 2 2 2 5" xfId="26418"/>
    <cellStyle name="Normal 4 2 2 3 2 2 2 2 3" xfId="5314"/>
    <cellStyle name="Normal 4 2 2 3 2 2 2 2 3 2" xfId="17618"/>
    <cellStyle name="Normal 4 2 2 3 2 2 2 2 3 2 2" xfId="40477"/>
    <cellStyle name="Normal 4 2 2 3 2 2 2 2 3 3" xfId="28175"/>
    <cellStyle name="Normal 4 2 2 3 2 2 2 2 4" xfId="8829"/>
    <cellStyle name="Normal 4 2 2 3 2 2 2 2 4 2" xfId="21133"/>
    <cellStyle name="Normal 4 2 2 3 2 2 2 2 4 2 2" xfId="43992"/>
    <cellStyle name="Normal 4 2 2 3 2 2 2 2 4 3" xfId="31690"/>
    <cellStyle name="Normal 4 2 2 3 2 2 2 2 5" xfId="12344"/>
    <cellStyle name="Normal 4 2 2 3 2 2 2 2 5 2" xfId="35204"/>
    <cellStyle name="Normal 4 2 2 3 2 2 2 2 6" xfId="14103"/>
    <cellStyle name="Normal 4 2 2 3 2 2 2 2 6 2" xfId="36962"/>
    <cellStyle name="Normal 4 2 2 3 2 2 2 2 7" xfId="24659"/>
    <cellStyle name="Normal 4 2 2 3 2 2 2 3" xfId="2679"/>
    <cellStyle name="Normal 4 2 2 3 2 2 2 3 2" xfId="6194"/>
    <cellStyle name="Normal 4 2 2 3 2 2 2 3 2 2" xfId="18498"/>
    <cellStyle name="Normal 4 2 2 3 2 2 2 3 2 2 2" xfId="41357"/>
    <cellStyle name="Normal 4 2 2 3 2 2 2 3 2 3" xfId="29055"/>
    <cellStyle name="Normal 4 2 2 3 2 2 2 3 3" xfId="9709"/>
    <cellStyle name="Normal 4 2 2 3 2 2 2 3 3 2" xfId="22013"/>
    <cellStyle name="Normal 4 2 2 3 2 2 2 3 3 2 2" xfId="44872"/>
    <cellStyle name="Normal 4 2 2 3 2 2 2 3 3 3" xfId="32570"/>
    <cellStyle name="Normal 4 2 2 3 2 2 2 3 4" xfId="14983"/>
    <cellStyle name="Normal 4 2 2 3 2 2 2 3 4 2" xfId="37842"/>
    <cellStyle name="Normal 4 2 2 3 2 2 2 3 5" xfId="25540"/>
    <cellStyle name="Normal 4 2 2 3 2 2 2 4" xfId="4436"/>
    <cellStyle name="Normal 4 2 2 3 2 2 2 4 2" xfId="16740"/>
    <cellStyle name="Normal 4 2 2 3 2 2 2 4 2 2" xfId="39599"/>
    <cellStyle name="Normal 4 2 2 3 2 2 2 4 3" xfId="27297"/>
    <cellStyle name="Normal 4 2 2 3 2 2 2 5" xfId="7951"/>
    <cellStyle name="Normal 4 2 2 3 2 2 2 5 2" xfId="20255"/>
    <cellStyle name="Normal 4 2 2 3 2 2 2 5 2 2" xfId="43114"/>
    <cellStyle name="Normal 4 2 2 3 2 2 2 5 3" xfId="30812"/>
    <cellStyle name="Normal 4 2 2 3 2 2 2 6" xfId="11466"/>
    <cellStyle name="Normal 4 2 2 3 2 2 2 6 2" xfId="34326"/>
    <cellStyle name="Normal 4 2 2 3 2 2 2 7" xfId="13225"/>
    <cellStyle name="Normal 4 2 2 3 2 2 2 7 2" xfId="36084"/>
    <cellStyle name="Normal 4 2 2 3 2 2 2 8" xfId="23781"/>
    <cellStyle name="Normal 4 2 2 3 2 2 3" xfId="1357"/>
    <cellStyle name="Normal 4 2 2 3 2 2 3 2" xfId="3118"/>
    <cellStyle name="Normal 4 2 2 3 2 2 3 2 2" xfId="6633"/>
    <cellStyle name="Normal 4 2 2 3 2 2 3 2 2 2" xfId="18937"/>
    <cellStyle name="Normal 4 2 2 3 2 2 3 2 2 2 2" xfId="41796"/>
    <cellStyle name="Normal 4 2 2 3 2 2 3 2 2 3" xfId="29494"/>
    <cellStyle name="Normal 4 2 2 3 2 2 3 2 3" xfId="10148"/>
    <cellStyle name="Normal 4 2 2 3 2 2 3 2 3 2" xfId="22452"/>
    <cellStyle name="Normal 4 2 2 3 2 2 3 2 3 2 2" xfId="45311"/>
    <cellStyle name="Normal 4 2 2 3 2 2 3 2 3 3" xfId="33009"/>
    <cellStyle name="Normal 4 2 2 3 2 2 3 2 4" xfId="15422"/>
    <cellStyle name="Normal 4 2 2 3 2 2 3 2 4 2" xfId="38281"/>
    <cellStyle name="Normal 4 2 2 3 2 2 3 2 5" xfId="25979"/>
    <cellStyle name="Normal 4 2 2 3 2 2 3 3" xfId="4875"/>
    <cellStyle name="Normal 4 2 2 3 2 2 3 3 2" xfId="17179"/>
    <cellStyle name="Normal 4 2 2 3 2 2 3 3 2 2" xfId="40038"/>
    <cellStyle name="Normal 4 2 2 3 2 2 3 3 3" xfId="27736"/>
    <cellStyle name="Normal 4 2 2 3 2 2 3 4" xfId="8390"/>
    <cellStyle name="Normal 4 2 2 3 2 2 3 4 2" xfId="20694"/>
    <cellStyle name="Normal 4 2 2 3 2 2 3 4 2 2" xfId="43553"/>
    <cellStyle name="Normal 4 2 2 3 2 2 3 4 3" xfId="31251"/>
    <cellStyle name="Normal 4 2 2 3 2 2 3 5" xfId="11905"/>
    <cellStyle name="Normal 4 2 2 3 2 2 3 5 2" xfId="34765"/>
    <cellStyle name="Normal 4 2 2 3 2 2 3 6" xfId="13664"/>
    <cellStyle name="Normal 4 2 2 3 2 2 3 6 2" xfId="36523"/>
    <cellStyle name="Normal 4 2 2 3 2 2 3 7" xfId="24220"/>
    <cellStyle name="Normal 4 2 2 3 2 2 4" xfId="2240"/>
    <cellStyle name="Normal 4 2 2 3 2 2 4 2" xfId="5755"/>
    <cellStyle name="Normal 4 2 2 3 2 2 4 2 2" xfId="18059"/>
    <cellStyle name="Normal 4 2 2 3 2 2 4 2 2 2" xfId="40918"/>
    <cellStyle name="Normal 4 2 2 3 2 2 4 2 3" xfId="28616"/>
    <cellStyle name="Normal 4 2 2 3 2 2 4 3" xfId="9270"/>
    <cellStyle name="Normal 4 2 2 3 2 2 4 3 2" xfId="21574"/>
    <cellStyle name="Normal 4 2 2 3 2 2 4 3 2 2" xfId="44433"/>
    <cellStyle name="Normal 4 2 2 3 2 2 4 3 3" xfId="32131"/>
    <cellStyle name="Normal 4 2 2 3 2 2 4 4" xfId="14544"/>
    <cellStyle name="Normal 4 2 2 3 2 2 4 4 2" xfId="37403"/>
    <cellStyle name="Normal 4 2 2 3 2 2 4 5" xfId="25101"/>
    <cellStyle name="Normal 4 2 2 3 2 2 5" xfId="3997"/>
    <cellStyle name="Normal 4 2 2 3 2 2 5 2" xfId="16301"/>
    <cellStyle name="Normal 4 2 2 3 2 2 5 2 2" xfId="39160"/>
    <cellStyle name="Normal 4 2 2 3 2 2 5 3" xfId="26858"/>
    <cellStyle name="Normal 4 2 2 3 2 2 6" xfId="7512"/>
    <cellStyle name="Normal 4 2 2 3 2 2 6 2" xfId="19816"/>
    <cellStyle name="Normal 4 2 2 3 2 2 6 2 2" xfId="42675"/>
    <cellStyle name="Normal 4 2 2 3 2 2 6 3" xfId="30373"/>
    <cellStyle name="Normal 4 2 2 3 2 2 7" xfId="11027"/>
    <cellStyle name="Normal 4 2 2 3 2 2 7 2" xfId="33887"/>
    <cellStyle name="Normal 4 2 2 3 2 2 8" xfId="12786"/>
    <cellStyle name="Normal 4 2 2 3 2 2 8 2" xfId="35645"/>
    <cellStyle name="Normal 4 2 2 3 2 2 9" xfId="23341"/>
    <cellStyle name="Normal 4 2 2 3 2 3" xfId="705"/>
    <cellStyle name="Normal 4 2 2 3 2 3 2" xfId="1584"/>
    <cellStyle name="Normal 4 2 2 3 2 3 2 2" xfId="3345"/>
    <cellStyle name="Normal 4 2 2 3 2 3 2 2 2" xfId="6860"/>
    <cellStyle name="Normal 4 2 2 3 2 3 2 2 2 2" xfId="19164"/>
    <cellStyle name="Normal 4 2 2 3 2 3 2 2 2 2 2" xfId="42023"/>
    <cellStyle name="Normal 4 2 2 3 2 3 2 2 2 3" xfId="29721"/>
    <cellStyle name="Normal 4 2 2 3 2 3 2 2 3" xfId="10375"/>
    <cellStyle name="Normal 4 2 2 3 2 3 2 2 3 2" xfId="22679"/>
    <cellStyle name="Normal 4 2 2 3 2 3 2 2 3 2 2" xfId="45538"/>
    <cellStyle name="Normal 4 2 2 3 2 3 2 2 3 3" xfId="33236"/>
    <cellStyle name="Normal 4 2 2 3 2 3 2 2 4" xfId="15649"/>
    <cellStyle name="Normal 4 2 2 3 2 3 2 2 4 2" xfId="38508"/>
    <cellStyle name="Normal 4 2 2 3 2 3 2 2 5" xfId="26206"/>
    <cellStyle name="Normal 4 2 2 3 2 3 2 3" xfId="5102"/>
    <cellStyle name="Normal 4 2 2 3 2 3 2 3 2" xfId="17406"/>
    <cellStyle name="Normal 4 2 2 3 2 3 2 3 2 2" xfId="40265"/>
    <cellStyle name="Normal 4 2 2 3 2 3 2 3 3" xfId="27963"/>
    <cellStyle name="Normal 4 2 2 3 2 3 2 4" xfId="8617"/>
    <cellStyle name="Normal 4 2 2 3 2 3 2 4 2" xfId="20921"/>
    <cellStyle name="Normal 4 2 2 3 2 3 2 4 2 2" xfId="43780"/>
    <cellStyle name="Normal 4 2 2 3 2 3 2 4 3" xfId="31478"/>
    <cellStyle name="Normal 4 2 2 3 2 3 2 5" xfId="12132"/>
    <cellStyle name="Normal 4 2 2 3 2 3 2 5 2" xfId="34992"/>
    <cellStyle name="Normal 4 2 2 3 2 3 2 6" xfId="13891"/>
    <cellStyle name="Normal 4 2 2 3 2 3 2 6 2" xfId="36750"/>
    <cellStyle name="Normal 4 2 2 3 2 3 2 7" xfId="24447"/>
    <cellStyle name="Normal 4 2 2 3 2 3 3" xfId="2467"/>
    <cellStyle name="Normal 4 2 2 3 2 3 3 2" xfId="5982"/>
    <cellStyle name="Normal 4 2 2 3 2 3 3 2 2" xfId="18286"/>
    <cellStyle name="Normal 4 2 2 3 2 3 3 2 2 2" xfId="41145"/>
    <cellStyle name="Normal 4 2 2 3 2 3 3 2 3" xfId="28843"/>
    <cellStyle name="Normal 4 2 2 3 2 3 3 3" xfId="9497"/>
    <cellStyle name="Normal 4 2 2 3 2 3 3 3 2" xfId="21801"/>
    <cellStyle name="Normal 4 2 2 3 2 3 3 3 2 2" xfId="44660"/>
    <cellStyle name="Normal 4 2 2 3 2 3 3 3 3" xfId="32358"/>
    <cellStyle name="Normal 4 2 2 3 2 3 3 4" xfId="14771"/>
    <cellStyle name="Normal 4 2 2 3 2 3 3 4 2" xfId="37630"/>
    <cellStyle name="Normal 4 2 2 3 2 3 3 5" xfId="25328"/>
    <cellStyle name="Normal 4 2 2 3 2 3 4" xfId="4224"/>
    <cellStyle name="Normal 4 2 2 3 2 3 4 2" xfId="16528"/>
    <cellStyle name="Normal 4 2 2 3 2 3 4 2 2" xfId="39387"/>
    <cellStyle name="Normal 4 2 2 3 2 3 4 3" xfId="27085"/>
    <cellStyle name="Normal 4 2 2 3 2 3 5" xfId="7739"/>
    <cellStyle name="Normal 4 2 2 3 2 3 5 2" xfId="20043"/>
    <cellStyle name="Normal 4 2 2 3 2 3 5 2 2" xfId="42902"/>
    <cellStyle name="Normal 4 2 2 3 2 3 5 3" xfId="30600"/>
    <cellStyle name="Normal 4 2 2 3 2 3 6" xfId="11254"/>
    <cellStyle name="Normal 4 2 2 3 2 3 6 2" xfId="34114"/>
    <cellStyle name="Normal 4 2 2 3 2 3 7" xfId="13013"/>
    <cellStyle name="Normal 4 2 2 3 2 3 7 2" xfId="35872"/>
    <cellStyle name="Normal 4 2 2 3 2 3 8" xfId="23569"/>
    <cellStyle name="Normal 4 2 2 3 2 4" xfId="1145"/>
    <cellStyle name="Normal 4 2 2 3 2 4 2" xfId="2906"/>
    <cellStyle name="Normal 4 2 2 3 2 4 2 2" xfId="6421"/>
    <cellStyle name="Normal 4 2 2 3 2 4 2 2 2" xfId="18725"/>
    <cellStyle name="Normal 4 2 2 3 2 4 2 2 2 2" xfId="41584"/>
    <cellStyle name="Normal 4 2 2 3 2 4 2 2 3" xfId="29282"/>
    <cellStyle name="Normal 4 2 2 3 2 4 2 3" xfId="9936"/>
    <cellStyle name="Normal 4 2 2 3 2 4 2 3 2" xfId="22240"/>
    <cellStyle name="Normal 4 2 2 3 2 4 2 3 2 2" xfId="45099"/>
    <cellStyle name="Normal 4 2 2 3 2 4 2 3 3" xfId="32797"/>
    <cellStyle name="Normal 4 2 2 3 2 4 2 4" xfId="15210"/>
    <cellStyle name="Normal 4 2 2 3 2 4 2 4 2" xfId="38069"/>
    <cellStyle name="Normal 4 2 2 3 2 4 2 5" xfId="25767"/>
    <cellStyle name="Normal 4 2 2 3 2 4 3" xfId="4663"/>
    <cellStyle name="Normal 4 2 2 3 2 4 3 2" xfId="16967"/>
    <cellStyle name="Normal 4 2 2 3 2 4 3 2 2" xfId="39826"/>
    <cellStyle name="Normal 4 2 2 3 2 4 3 3" xfId="27524"/>
    <cellStyle name="Normal 4 2 2 3 2 4 4" xfId="8178"/>
    <cellStyle name="Normal 4 2 2 3 2 4 4 2" xfId="20482"/>
    <cellStyle name="Normal 4 2 2 3 2 4 4 2 2" xfId="43341"/>
    <cellStyle name="Normal 4 2 2 3 2 4 4 3" xfId="31039"/>
    <cellStyle name="Normal 4 2 2 3 2 4 5" xfId="11693"/>
    <cellStyle name="Normal 4 2 2 3 2 4 5 2" xfId="34553"/>
    <cellStyle name="Normal 4 2 2 3 2 4 6" xfId="13452"/>
    <cellStyle name="Normal 4 2 2 3 2 4 6 2" xfId="36311"/>
    <cellStyle name="Normal 4 2 2 3 2 4 7" xfId="24008"/>
    <cellStyle name="Normal 4 2 2 3 2 5" xfId="2028"/>
    <cellStyle name="Normal 4 2 2 3 2 5 2" xfId="5543"/>
    <cellStyle name="Normal 4 2 2 3 2 5 2 2" xfId="17847"/>
    <cellStyle name="Normal 4 2 2 3 2 5 2 2 2" xfId="40706"/>
    <cellStyle name="Normal 4 2 2 3 2 5 2 3" xfId="28404"/>
    <cellStyle name="Normal 4 2 2 3 2 5 3" xfId="9058"/>
    <cellStyle name="Normal 4 2 2 3 2 5 3 2" xfId="21362"/>
    <cellStyle name="Normal 4 2 2 3 2 5 3 2 2" xfId="44221"/>
    <cellStyle name="Normal 4 2 2 3 2 5 3 3" xfId="31919"/>
    <cellStyle name="Normal 4 2 2 3 2 5 4" xfId="14332"/>
    <cellStyle name="Normal 4 2 2 3 2 5 4 2" xfId="37191"/>
    <cellStyle name="Normal 4 2 2 3 2 5 5" xfId="24889"/>
    <cellStyle name="Normal 4 2 2 3 2 6" xfId="3785"/>
    <cellStyle name="Normal 4 2 2 3 2 6 2" xfId="16089"/>
    <cellStyle name="Normal 4 2 2 3 2 6 2 2" xfId="38948"/>
    <cellStyle name="Normal 4 2 2 3 2 6 3" xfId="26646"/>
    <cellStyle name="Normal 4 2 2 3 2 7" xfId="7300"/>
    <cellStyle name="Normal 4 2 2 3 2 7 2" xfId="19604"/>
    <cellStyle name="Normal 4 2 2 3 2 7 2 2" xfId="42463"/>
    <cellStyle name="Normal 4 2 2 3 2 7 3" xfId="30161"/>
    <cellStyle name="Normal 4 2 2 3 2 8" xfId="10815"/>
    <cellStyle name="Normal 4 2 2 3 2 8 2" xfId="33675"/>
    <cellStyle name="Normal 4 2 2 3 2 9" xfId="12574"/>
    <cellStyle name="Normal 4 2 2 3 2 9 2" xfId="35433"/>
    <cellStyle name="Normal 4 2 2 3 3" xfId="370"/>
    <cellStyle name="Normal 4 2 2 3 3 2" xfId="811"/>
    <cellStyle name="Normal 4 2 2 3 3 2 2" xfId="1690"/>
    <cellStyle name="Normal 4 2 2 3 3 2 2 2" xfId="3451"/>
    <cellStyle name="Normal 4 2 2 3 3 2 2 2 2" xfId="6966"/>
    <cellStyle name="Normal 4 2 2 3 3 2 2 2 2 2" xfId="19270"/>
    <cellStyle name="Normal 4 2 2 3 3 2 2 2 2 2 2" xfId="42129"/>
    <cellStyle name="Normal 4 2 2 3 3 2 2 2 2 3" xfId="29827"/>
    <cellStyle name="Normal 4 2 2 3 3 2 2 2 3" xfId="10481"/>
    <cellStyle name="Normal 4 2 2 3 3 2 2 2 3 2" xfId="22785"/>
    <cellStyle name="Normal 4 2 2 3 3 2 2 2 3 2 2" xfId="45644"/>
    <cellStyle name="Normal 4 2 2 3 3 2 2 2 3 3" xfId="33342"/>
    <cellStyle name="Normal 4 2 2 3 3 2 2 2 4" xfId="15755"/>
    <cellStyle name="Normal 4 2 2 3 3 2 2 2 4 2" xfId="38614"/>
    <cellStyle name="Normal 4 2 2 3 3 2 2 2 5" xfId="26312"/>
    <cellStyle name="Normal 4 2 2 3 3 2 2 3" xfId="5208"/>
    <cellStyle name="Normal 4 2 2 3 3 2 2 3 2" xfId="17512"/>
    <cellStyle name="Normal 4 2 2 3 3 2 2 3 2 2" xfId="40371"/>
    <cellStyle name="Normal 4 2 2 3 3 2 2 3 3" xfId="28069"/>
    <cellStyle name="Normal 4 2 2 3 3 2 2 4" xfId="8723"/>
    <cellStyle name="Normal 4 2 2 3 3 2 2 4 2" xfId="21027"/>
    <cellStyle name="Normal 4 2 2 3 3 2 2 4 2 2" xfId="43886"/>
    <cellStyle name="Normal 4 2 2 3 3 2 2 4 3" xfId="31584"/>
    <cellStyle name="Normal 4 2 2 3 3 2 2 5" xfId="12238"/>
    <cellStyle name="Normal 4 2 2 3 3 2 2 5 2" xfId="35098"/>
    <cellStyle name="Normal 4 2 2 3 3 2 2 6" xfId="13997"/>
    <cellStyle name="Normal 4 2 2 3 3 2 2 6 2" xfId="36856"/>
    <cellStyle name="Normal 4 2 2 3 3 2 2 7" xfId="24553"/>
    <cellStyle name="Normal 4 2 2 3 3 2 3" xfId="2573"/>
    <cellStyle name="Normal 4 2 2 3 3 2 3 2" xfId="6088"/>
    <cellStyle name="Normal 4 2 2 3 3 2 3 2 2" xfId="18392"/>
    <cellStyle name="Normal 4 2 2 3 3 2 3 2 2 2" xfId="41251"/>
    <cellStyle name="Normal 4 2 2 3 3 2 3 2 3" xfId="28949"/>
    <cellStyle name="Normal 4 2 2 3 3 2 3 3" xfId="9603"/>
    <cellStyle name="Normal 4 2 2 3 3 2 3 3 2" xfId="21907"/>
    <cellStyle name="Normal 4 2 2 3 3 2 3 3 2 2" xfId="44766"/>
    <cellStyle name="Normal 4 2 2 3 3 2 3 3 3" xfId="32464"/>
    <cellStyle name="Normal 4 2 2 3 3 2 3 4" xfId="14877"/>
    <cellStyle name="Normal 4 2 2 3 3 2 3 4 2" xfId="37736"/>
    <cellStyle name="Normal 4 2 2 3 3 2 3 5" xfId="25434"/>
    <cellStyle name="Normal 4 2 2 3 3 2 4" xfId="4330"/>
    <cellStyle name="Normal 4 2 2 3 3 2 4 2" xfId="16634"/>
    <cellStyle name="Normal 4 2 2 3 3 2 4 2 2" xfId="39493"/>
    <cellStyle name="Normal 4 2 2 3 3 2 4 3" xfId="27191"/>
    <cellStyle name="Normal 4 2 2 3 3 2 5" xfId="7845"/>
    <cellStyle name="Normal 4 2 2 3 3 2 5 2" xfId="20149"/>
    <cellStyle name="Normal 4 2 2 3 3 2 5 2 2" xfId="43008"/>
    <cellStyle name="Normal 4 2 2 3 3 2 5 3" xfId="30706"/>
    <cellStyle name="Normal 4 2 2 3 3 2 6" xfId="11360"/>
    <cellStyle name="Normal 4 2 2 3 3 2 6 2" xfId="34220"/>
    <cellStyle name="Normal 4 2 2 3 3 2 7" xfId="13119"/>
    <cellStyle name="Normal 4 2 2 3 3 2 7 2" xfId="35978"/>
    <cellStyle name="Normal 4 2 2 3 3 2 8" xfId="23675"/>
    <cellStyle name="Normal 4 2 2 3 3 3" xfId="1251"/>
    <cellStyle name="Normal 4 2 2 3 3 3 2" xfId="3012"/>
    <cellStyle name="Normal 4 2 2 3 3 3 2 2" xfId="6527"/>
    <cellStyle name="Normal 4 2 2 3 3 3 2 2 2" xfId="18831"/>
    <cellStyle name="Normal 4 2 2 3 3 3 2 2 2 2" xfId="41690"/>
    <cellStyle name="Normal 4 2 2 3 3 3 2 2 3" xfId="29388"/>
    <cellStyle name="Normal 4 2 2 3 3 3 2 3" xfId="10042"/>
    <cellStyle name="Normal 4 2 2 3 3 3 2 3 2" xfId="22346"/>
    <cellStyle name="Normal 4 2 2 3 3 3 2 3 2 2" xfId="45205"/>
    <cellStyle name="Normal 4 2 2 3 3 3 2 3 3" xfId="32903"/>
    <cellStyle name="Normal 4 2 2 3 3 3 2 4" xfId="15316"/>
    <cellStyle name="Normal 4 2 2 3 3 3 2 4 2" xfId="38175"/>
    <cellStyle name="Normal 4 2 2 3 3 3 2 5" xfId="25873"/>
    <cellStyle name="Normal 4 2 2 3 3 3 3" xfId="4769"/>
    <cellStyle name="Normal 4 2 2 3 3 3 3 2" xfId="17073"/>
    <cellStyle name="Normal 4 2 2 3 3 3 3 2 2" xfId="39932"/>
    <cellStyle name="Normal 4 2 2 3 3 3 3 3" xfId="27630"/>
    <cellStyle name="Normal 4 2 2 3 3 3 4" xfId="8284"/>
    <cellStyle name="Normal 4 2 2 3 3 3 4 2" xfId="20588"/>
    <cellStyle name="Normal 4 2 2 3 3 3 4 2 2" xfId="43447"/>
    <cellStyle name="Normal 4 2 2 3 3 3 4 3" xfId="31145"/>
    <cellStyle name="Normal 4 2 2 3 3 3 5" xfId="11799"/>
    <cellStyle name="Normal 4 2 2 3 3 3 5 2" xfId="34659"/>
    <cellStyle name="Normal 4 2 2 3 3 3 6" xfId="13558"/>
    <cellStyle name="Normal 4 2 2 3 3 3 6 2" xfId="36417"/>
    <cellStyle name="Normal 4 2 2 3 3 3 7" xfId="24114"/>
    <cellStyle name="Normal 4 2 2 3 3 4" xfId="2134"/>
    <cellStyle name="Normal 4 2 2 3 3 4 2" xfId="5649"/>
    <cellStyle name="Normal 4 2 2 3 3 4 2 2" xfId="17953"/>
    <cellStyle name="Normal 4 2 2 3 3 4 2 2 2" xfId="40812"/>
    <cellStyle name="Normal 4 2 2 3 3 4 2 3" xfId="28510"/>
    <cellStyle name="Normal 4 2 2 3 3 4 3" xfId="9164"/>
    <cellStyle name="Normal 4 2 2 3 3 4 3 2" xfId="21468"/>
    <cellStyle name="Normal 4 2 2 3 3 4 3 2 2" xfId="44327"/>
    <cellStyle name="Normal 4 2 2 3 3 4 3 3" xfId="32025"/>
    <cellStyle name="Normal 4 2 2 3 3 4 4" xfId="14438"/>
    <cellStyle name="Normal 4 2 2 3 3 4 4 2" xfId="37297"/>
    <cellStyle name="Normal 4 2 2 3 3 4 5" xfId="24995"/>
    <cellStyle name="Normal 4 2 2 3 3 5" xfId="3891"/>
    <cellStyle name="Normal 4 2 2 3 3 5 2" xfId="16195"/>
    <cellStyle name="Normal 4 2 2 3 3 5 2 2" xfId="39054"/>
    <cellStyle name="Normal 4 2 2 3 3 5 3" xfId="26752"/>
    <cellStyle name="Normal 4 2 2 3 3 6" xfId="7406"/>
    <cellStyle name="Normal 4 2 2 3 3 6 2" xfId="19710"/>
    <cellStyle name="Normal 4 2 2 3 3 6 2 2" xfId="42569"/>
    <cellStyle name="Normal 4 2 2 3 3 6 3" xfId="30267"/>
    <cellStyle name="Normal 4 2 2 3 3 7" xfId="10921"/>
    <cellStyle name="Normal 4 2 2 3 3 7 2" xfId="33781"/>
    <cellStyle name="Normal 4 2 2 3 3 8" xfId="12680"/>
    <cellStyle name="Normal 4 2 2 3 3 8 2" xfId="35539"/>
    <cellStyle name="Normal 4 2 2 3 3 9" xfId="23235"/>
    <cellStyle name="Normal 4 2 2 3 4" xfId="599"/>
    <cellStyle name="Normal 4 2 2 3 4 2" xfId="1478"/>
    <cellStyle name="Normal 4 2 2 3 4 2 2" xfId="3239"/>
    <cellStyle name="Normal 4 2 2 3 4 2 2 2" xfId="6754"/>
    <cellStyle name="Normal 4 2 2 3 4 2 2 2 2" xfId="19058"/>
    <cellStyle name="Normal 4 2 2 3 4 2 2 2 2 2" xfId="41917"/>
    <cellStyle name="Normal 4 2 2 3 4 2 2 2 3" xfId="29615"/>
    <cellStyle name="Normal 4 2 2 3 4 2 2 3" xfId="10269"/>
    <cellStyle name="Normal 4 2 2 3 4 2 2 3 2" xfId="22573"/>
    <cellStyle name="Normal 4 2 2 3 4 2 2 3 2 2" xfId="45432"/>
    <cellStyle name="Normal 4 2 2 3 4 2 2 3 3" xfId="33130"/>
    <cellStyle name="Normal 4 2 2 3 4 2 2 4" xfId="15543"/>
    <cellStyle name="Normal 4 2 2 3 4 2 2 4 2" xfId="38402"/>
    <cellStyle name="Normal 4 2 2 3 4 2 2 5" xfId="26100"/>
    <cellStyle name="Normal 4 2 2 3 4 2 3" xfId="4996"/>
    <cellStyle name="Normal 4 2 2 3 4 2 3 2" xfId="17300"/>
    <cellStyle name="Normal 4 2 2 3 4 2 3 2 2" xfId="40159"/>
    <cellStyle name="Normal 4 2 2 3 4 2 3 3" xfId="27857"/>
    <cellStyle name="Normal 4 2 2 3 4 2 4" xfId="8511"/>
    <cellStyle name="Normal 4 2 2 3 4 2 4 2" xfId="20815"/>
    <cellStyle name="Normal 4 2 2 3 4 2 4 2 2" xfId="43674"/>
    <cellStyle name="Normal 4 2 2 3 4 2 4 3" xfId="31372"/>
    <cellStyle name="Normal 4 2 2 3 4 2 5" xfId="12026"/>
    <cellStyle name="Normal 4 2 2 3 4 2 5 2" xfId="34886"/>
    <cellStyle name="Normal 4 2 2 3 4 2 6" xfId="13785"/>
    <cellStyle name="Normal 4 2 2 3 4 2 6 2" xfId="36644"/>
    <cellStyle name="Normal 4 2 2 3 4 2 7" xfId="24341"/>
    <cellStyle name="Normal 4 2 2 3 4 3" xfId="2361"/>
    <cellStyle name="Normal 4 2 2 3 4 3 2" xfId="5876"/>
    <cellStyle name="Normal 4 2 2 3 4 3 2 2" xfId="18180"/>
    <cellStyle name="Normal 4 2 2 3 4 3 2 2 2" xfId="41039"/>
    <cellStyle name="Normal 4 2 2 3 4 3 2 3" xfId="28737"/>
    <cellStyle name="Normal 4 2 2 3 4 3 3" xfId="9391"/>
    <cellStyle name="Normal 4 2 2 3 4 3 3 2" xfId="21695"/>
    <cellStyle name="Normal 4 2 2 3 4 3 3 2 2" xfId="44554"/>
    <cellStyle name="Normal 4 2 2 3 4 3 3 3" xfId="32252"/>
    <cellStyle name="Normal 4 2 2 3 4 3 4" xfId="14665"/>
    <cellStyle name="Normal 4 2 2 3 4 3 4 2" xfId="37524"/>
    <cellStyle name="Normal 4 2 2 3 4 3 5" xfId="25222"/>
    <cellStyle name="Normal 4 2 2 3 4 4" xfId="4118"/>
    <cellStyle name="Normal 4 2 2 3 4 4 2" xfId="16422"/>
    <cellStyle name="Normal 4 2 2 3 4 4 2 2" xfId="39281"/>
    <cellStyle name="Normal 4 2 2 3 4 4 3" xfId="26979"/>
    <cellStyle name="Normal 4 2 2 3 4 5" xfId="7633"/>
    <cellStyle name="Normal 4 2 2 3 4 5 2" xfId="19937"/>
    <cellStyle name="Normal 4 2 2 3 4 5 2 2" xfId="42796"/>
    <cellStyle name="Normal 4 2 2 3 4 5 3" xfId="30494"/>
    <cellStyle name="Normal 4 2 2 3 4 6" xfId="11148"/>
    <cellStyle name="Normal 4 2 2 3 4 6 2" xfId="34008"/>
    <cellStyle name="Normal 4 2 2 3 4 7" xfId="12907"/>
    <cellStyle name="Normal 4 2 2 3 4 7 2" xfId="35766"/>
    <cellStyle name="Normal 4 2 2 3 4 8" xfId="23463"/>
    <cellStyle name="Normal 4 2 2 3 5" xfId="1039"/>
    <cellStyle name="Normal 4 2 2 3 5 2" xfId="2800"/>
    <cellStyle name="Normal 4 2 2 3 5 2 2" xfId="6315"/>
    <cellStyle name="Normal 4 2 2 3 5 2 2 2" xfId="18619"/>
    <cellStyle name="Normal 4 2 2 3 5 2 2 2 2" xfId="41478"/>
    <cellStyle name="Normal 4 2 2 3 5 2 2 3" xfId="29176"/>
    <cellStyle name="Normal 4 2 2 3 5 2 3" xfId="9830"/>
    <cellStyle name="Normal 4 2 2 3 5 2 3 2" xfId="22134"/>
    <cellStyle name="Normal 4 2 2 3 5 2 3 2 2" xfId="44993"/>
    <cellStyle name="Normal 4 2 2 3 5 2 3 3" xfId="32691"/>
    <cellStyle name="Normal 4 2 2 3 5 2 4" xfId="15104"/>
    <cellStyle name="Normal 4 2 2 3 5 2 4 2" xfId="37963"/>
    <cellStyle name="Normal 4 2 2 3 5 2 5" xfId="25661"/>
    <cellStyle name="Normal 4 2 2 3 5 3" xfId="4557"/>
    <cellStyle name="Normal 4 2 2 3 5 3 2" xfId="16861"/>
    <cellStyle name="Normal 4 2 2 3 5 3 2 2" xfId="39720"/>
    <cellStyle name="Normal 4 2 2 3 5 3 3" xfId="27418"/>
    <cellStyle name="Normal 4 2 2 3 5 4" xfId="8072"/>
    <cellStyle name="Normal 4 2 2 3 5 4 2" xfId="20376"/>
    <cellStyle name="Normal 4 2 2 3 5 4 2 2" xfId="43235"/>
    <cellStyle name="Normal 4 2 2 3 5 4 3" xfId="30933"/>
    <cellStyle name="Normal 4 2 2 3 5 5" xfId="11587"/>
    <cellStyle name="Normal 4 2 2 3 5 5 2" xfId="34447"/>
    <cellStyle name="Normal 4 2 2 3 5 6" xfId="13346"/>
    <cellStyle name="Normal 4 2 2 3 5 6 2" xfId="36205"/>
    <cellStyle name="Normal 4 2 2 3 5 7" xfId="23902"/>
    <cellStyle name="Normal 4 2 2 3 6" xfId="1922"/>
    <cellStyle name="Normal 4 2 2 3 6 2" xfId="5437"/>
    <cellStyle name="Normal 4 2 2 3 6 2 2" xfId="17741"/>
    <cellStyle name="Normal 4 2 2 3 6 2 2 2" xfId="40600"/>
    <cellStyle name="Normal 4 2 2 3 6 2 3" xfId="28298"/>
    <cellStyle name="Normal 4 2 2 3 6 3" xfId="8952"/>
    <cellStyle name="Normal 4 2 2 3 6 3 2" xfId="21256"/>
    <cellStyle name="Normal 4 2 2 3 6 3 2 2" xfId="44115"/>
    <cellStyle name="Normal 4 2 2 3 6 3 3" xfId="31813"/>
    <cellStyle name="Normal 4 2 2 3 6 4" xfId="14226"/>
    <cellStyle name="Normal 4 2 2 3 6 4 2" xfId="37085"/>
    <cellStyle name="Normal 4 2 2 3 6 5" xfId="24783"/>
    <cellStyle name="Normal 4 2 2 3 7" xfId="3679"/>
    <cellStyle name="Normal 4 2 2 3 7 2" xfId="15983"/>
    <cellStyle name="Normal 4 2 2 3 7 2 2" xfId="38842"/>
    <cellStyle name="Normal 4 2 2 3 7 3" xfId="26540"/>
    <cellStyle name="Normal 4 2 2 3 8" xfId="7194"/>
    <cellStyle name="Normal 4 2 2 3 8 2" xfId="19498"/>
    <cellStyle name="Normal 4 2 2 3 8 2 2" xfId="42357"/>
    <cellStyle name="Normal 4 2 2 3 8 3" xfId="30055"/>
    <cellStyle name="Normal 4 2 2 3 9" xfId="10709"/>
    <cellStyle name="Normal 4 2 2 3 9 2" xfId="33569"/>
    <cellStyle name="Normal 4 2 2 4" xfId="210"/>
    <cellStyle name="Normal 4 2 2 4 10" xfId="23075"/>
    <cellStyle name="Normal 4 2 2 4 2" xfId="422"/>
    <cellStyle name="Normal 4 2 2 4 2 2" xfId="863"/>
    <cellStyle name="Normal 4 2 2 4 2 2 2" xfId="1742"/>
    <cellStyle name="Normal 4 2 2 4 2 2 2 2" xfId="3503"/>
    <cellStyle name="Normal 4 2 2 4 2 2 2 2 2" xfId="7018"/>
    <cellStyle name="Normal 4 2 2 4 2 2 2 2 2 2" xfId="19322"/>
    <cellStyle name="Normal 4 2 2 4 2 2 2 2 2 2 2" xfId="42181"/>
    <cellStyle name="Normal 4 2 2 4 2 2 2 2 2 3" xfId="29879"/>
    <cellStyle name="Normal 4 2 2 4 2 2 2 2 3" xfId="10533"/>
    <cellStyle name="Normal 4 2 2 4 2 2 2 2 3 2" xfId="22837"/>
    <cellStyle name="Normal 4 2 2 4 2 2 2 2 3 2 2" xfId="45696"/>
    <cellStyle name="Normal 4 2 2 4 2 2 2 2 3 3" xfId="33394"/>
    <cellStyle name="Normal 4 2 2 4 2 2 2 2 4" xfId="15807"/>
    <cellStyle name="Normal 4 2 2 4 2 2 2 2 4 2" xfId="38666"/>
    <cellStyle name="Normal 4 2 2 4 2 2 2 2 5" xfId="26364"/>
    <cellStyle name="Normal 4 2 2 4 2 2 2 3" xfId="5260"/>
    <cellStyle name="Normal 4 2 2 4 2 2 2 3 2" xfId="17564"/>
    <cellStyle name="Normal 4 2 2 4 2 2 2 3 2 2" xfId="40423"/>
    <cellStyle name="Normal 4 2 2 4 2 2 2 3 3" xfId="28121"/>
    <cellStyle name="Normal 4 2 2 4 2 2 2 4" xfId="8775"/>
    <cellStyle name="Normal 4 2 2 4 2 2 2 4 2" xfId="21079"/>
    <cellStyle name="Normal 4 2 2 4 2 2 2 4 2 2" xfId="43938"/>
    <cellStyle name="Normal 4 2 2 4 2 2 2 4 3" xfId="31636"/>
    <cellStyle name="Normal 4 2 2 4 2 2 2 5" xfId="12290"/>
    <cellStyle name="Normal 4 2 2 4 2 2 2 5 2" xfId="35150"/>
    <cellStyle name="Normal 4 2 2 4 2 2 2 6" xfId="14049"/>
    <cellStyle name="Normal 4 2 2 4 2 2 2 6 2" xfId="36908"/>
    <cellStyle name="Normal 4 2 2 4 2 2 2 7" xfId="24605"/>
    <cellStyle name="Normal 4 2 2 4 2 2 3" xfId="2625"/>
    <cellStyle name="Normal 4 2 2 4 2 2 3 2" xfId="6140"/>
    <cellStyle name="Normal 4 2 2 4 2 2 3 2 2" xfId="18444"/>
    <cellStyle name="Normal 4 2 2 4 2 2 3 2 2 2" xfId="41303"/>
    <cellStyle name="Normal 4 2 2 4 2 2 3 2 3" xfId="29001"/>
    <cellStyle name="Normal 4 2 2 4 2 2 3 3" xfId="9655"/>
    <cellStyle name="Normal 4 2 2 4 2 2 3 3 2" xfId="21959"/>
    <cellStyle name="Normal 4 2 2 4 2 2 3 3 2 2" xfId="44818"/>
    <cellStyle name="Normal 4 2 2 4 2 2 3 3 3" xfId="32516"/>
    <cellStyle name="Normal 4 2 2 4 2 2 3 4" xfId="14929"/>
    <cellStyle name="Normal 4 2 2 4 2 2 3 4 2" xfId="37788"/>
    <cellStyle name="Normal 4 2 2 4 2 2 3 5" xfId="25486"/>
    <cellStyle name="Normal 4 2 2 4 2 2 4" xfId="4382"/>
    <cellStyle name="Normal 4 2 2 4 2 2 4 2" xfId="16686"/>
    <cellStyle name="Normal 4 2 2 4 2 2 4 2 2" xfId="39545"/>
    <cellStyle name="Normal 4 2 2 4 2 2 4 3" xfId="27243"/>
    <cellStyle name="Normal 4 2 2 4 2 2 5" xfId="7897"/>
    <cellStyle name="Normal 4 2 2 4 2 2 5 2" xfId="20201"/>
    <cellStyle name="Normal 4 2 2 4 2 2 5 2 2" xfId="43060"/>
    <cellStyle name="Normal 4 2 2 4 2 2 5 3" xfId="30758"/>
    <cellStyle name="Normal 4 2 2 4 2 2 6" xfId="11412"/>
    <cellStyle name="Normal 4 2 2 4 2 2 6 2" xfId="34272"/>
    <cellStyle name="Normal 4 2 2 4 2 2 7" xfId="13171"/>
    <cellStyle name="Normal 4 2 2 4 2 2 7 2" xfId="36030"/>
    <cellStyle name="Normal 4 2 2 4 2 2 8" xfId="23727"/>
    <cellStyle name="Normal 4 2 2 4 2 3" xfId="1303"/>
    <cellStyle name="Normal 4 2 2 4 2 3 2" xfId="3064"/>
    <cellStyle name="Normal 4 2 2 4 2 3 2 2" xfId="6579"/>
    <cellStyle name="Normal 4 2 2 4 2 3 2 2 2" xfId="18883"/>
    <cellStyle name="Normal 4 2 2 4 2 3 2 2 2 2" xfId="41742"/>
    <cellStyle name="Normal 4 2 2 4 2 3 2 2 3" xfId="29440"/>
    <cellStyle name="Normal 4 2 2 4 2 3 2 3" xfId="10094"/>
    <cellStyle name="Normal 4 2 2 4 2 3 2 3 2" xfId="22398"/>
    <cellStyle name="Normal 4 2 2 4 2 3 2 3 2 2" xfId="45257"/>
    <cellStyle name="Normal 4 2 2 4 2 3 2 3 3" xfId="32955"/>
    <cellStyle name="Normal 4 2 2 4 2 3 2 4" xfId="15368"/>
    <cellStyle name="Normal 4 2 2 4 2 3 2 4 2" xfId="38227"/>
    <cellStyle name="Normal 4 2 2 4 2 3 2 5" xfId="25925"/>
    <cellStyle name="Normal 4 2 2 4 2 3 3" xfId="4821"/>
    <cellStyle name="Normal 4 2 2 4 2 3 3 2" xfId="17125"/>
    <cellStyle name="Normal 4 2 2 4 2 3 3 2 2" xfId="39984"/>
    <cellStyle name="Normal 4 2 2 4 2 3 3 3" xfId="27682"/>
    <cellStyle name="Normal 4 2 2 4 2 3 4" xfId="8336"/>
    <cellStyle name="Normal 4 2 2 4 2 3 4 2" xfId="20640"/>
    <cellStyle name="Normal 4 2 2 4 2 3 4 2 2" xfId="43499"/>
    <cellStyle name="Normal 4 2 2 4 2 3 4 3" xfId="31197"/>
    <cellStyle name="Normal 4 2 2 4 2 3 5" xfId="11851"/>
    <cellStyle name="Normal 4 2 2 4 2 3 5 2" xfId="34711"/>
    <cellStyle name="Normal 4 2 2 4 2 3 6" xfId="13610"/>
    <cellStyle name="Normal 4 2 2 4 2 3 6 2" xfId="36469"/>
    <cellStyle name="Normal 4 2 2 4 2 3 7" xfId="24166"/>
    <cellStyle name="Normal 4 2 2 4 2 4" xfId="2186"/>
    <cellStyle name="Normal 4 2 2 4 2 4 2" xfId="5701"/>
    <cellStyle name="Normal 4 2 2 4 2 4 2 2" xfId="18005"/>
    <cellStyle name="Normal 4 2 2 4 2 4 2 2 2" xfId="40864"/>
    <cellStyle name="Normal 4 2 2 4 2 4 2 3" xfId="28562"/>
    <cellStyle name="Normal 4 2 2 4 2 4 3" xfId="9216"/>
    <cellStyle name="Normal 4 2 2 4 2 4 3 2" xfId="21520"/>
    <cellStyle name="Normal 4 2 2 4 2 4 3 2 2" xfId="44379"/>
    <cellStyle name="Normal 4 2 2 4 2 4 3 3" xfId="32077"/>
    <cellStyle name="Normal 4 2 2 4 2 4 4" xfId="14490"/>
    <cellStyle name="Normal 4 2 2 4 2 4 4 2" xfId="37349"/>
    <cellStyle name="Normal 4 2 2 4 2 4 5" xfId="25047"/>
    <cellStyle name="Normal 4 2 2 4 2 5" xfId="3943"/>
    <cellStyle name="Normal 4 2 2 4 2 5 2" xfId="16247"/>
    <cellStyle name="Normal 4 2 2 4 2 5 2 2" xfId="39106"/>
    <cellStyle name="Normal 4 2 2 4 2 5 3" xfId="26804"/>
    <cellStyle name="Normal 4 2 2 4 2 6" xfId="7458"/>
    <cellStyle name="Normal 4 2 2 4 2 6 2" xfId="19762"/>
    <cellStyle name="Normal 4 2 2 4 2 6 2 2" xfId="42621"/>
    <cellStyle name="Normal 4 2 2 4 2 6 3" xfId="30319"/>
    <cellStyle name="Normal 4 2 2 4 2 7" xfId="10973"/>
    <cellStyle name="Normal 4 2 2 4 2 7 2" xfId="33833"/>
    <cellStyle name="Normal 4 2 2 4 2 8" xfId="12732"/>
    <cellStyle name="Normal 4 2 2 4 2 8 2" xfId="35591"/>
    <cellStyle name="Normal 4 2 2 4 2 9" xfId="23287"/>
    <cellStyle name="Normal 4 2 2 4 3" xfId="651"/>
    <cellStyle name="Normal 4 2 2 4 3 2" xfId="1530"/>
    <cellStyle name="Normal 4 2 2 4 3 2 2" xfId="3291"/>
    <cellStyle name="Normal 4 2 2 4 3 2 2 2" xfId="6806"/>
    <cellStyle name="Normal 4 2 2 4 3 2 2 2 2" xfId="19110"/>
    <cellStyle name="Normal 4 2 2 4 3 2 2 2 2 2" xfId="41969"/>
    <cellStyle name="Normal 4 2 2 4 3 2 2 2 3" xfId="29667"/>
    <cellStyle name="Normal 4 2 2 4 3 2 2 3" xfId="10321"/>
    <cellStyle name="Normal 4 2 2 4 3 2 2 3 2" xfId="22625"/>
    <cellStyle name="Normal 4 2 2 4 3 2 2 3 2 2" xfId="45484"/>
    <cellStyle name="Normal 4 2 2 4 3 2 2 3 3" xfId="33182"/>
    <cellStyle name="Normal 4 2 2 4 3 2 2 4" xfId="15595"/>
    <cellStyle name="Normal 4 2 2 4 3 2 2 4 2" xfId="38454"/>
    <cellStyle name="Normal 4 2 2 4 3 2 2 5" xfId="26152"/>
    <cellStyle name="Normal 4 2 2 4 3 2 3" xfId="5048"/>
    <cellStyle name="Normal 4 2 2 4 3 2 3 2" xfId="17352"/>
    <cellStyle name="Normal 4 2 2 4 3 2 3 2 2" xfId="40211"/>
    <cellStyle name="Normal 4 2 2 4 3 2 3 3" xfId="27909"/>
    <cellStyle name="Normal 4 2 2 4 3 2 4" xfId="8563"/>
    <cellStyle name="Normal 4 2 2 4 3 2 4 2" xfId="20867"/>
    <cellStyle name="Normal 4 2 2 4 3 2 4 2 2" xfId="43726"/>
    <cellStyle name="Normal 4 2 2 4 3 2 4 3" xfId="31424"/>
    <cellStyle name="Normal 4 2 2 4 3 2 5" xfId="12078"/>
    <cellStyle name="Normal 4 2 2 4 3 2 5 2" xfId="34938"/>
    <cellStyle name="Normal 4 2 2 4 3 2 6" xfId="13837"/>
    <cellStyle name="Normal 4 2 2 4 3 2 6 2" xfId="36696"/>
    <cellStyle name="Normal 4 2 2 4 3 2 7" xfId="24393"/>
    <cellStyle name="Normal 4 2 2 4 3 3" xfId="2413"/>
    <cellStyle name="Normal 4 2 2 4 3 3 2" xfId="5928"/>
    <cellStyle name="Normal 4 2 2 4 3 3 2 2" xfId="18232"/>
    <cellStyle name="Normal 4 2 2 4 3 3 2 2 2" xfId="41091"/>
    <cellStyle name="Normal 4 2 2 4 3 3 2 3" xfId="28789"/>
    <cellStyle name="Normal 4 2 2 4 3 3 3" xfId="9443"/>
    <cellStyle name="Normal 4 2 2 4 3 3 3 2" xfId="21747"/>
    <cellStyle name="Normal 4 2 2 4 3 3 3 2 2" xfId="44606"/>
    <cellStyle name="Normal 4 2 2 4 3 3 3 3" xfId="32304"/>
    <cellStyle name="Normal 4 2 2 4 3 3 4" xfId="14717"/>
    <cellStyle name="Normal 4 2 2 4 3 3 4 2" xfId="37576"/>
    <cellStyle name="Normal 4 2 2 4 3 3 5" xfId="25274"/>
    <cellStyle name="Normal 4 2 2 4 3 4" xfId="4170"/>
    <cellStyle name="Normal 4 2 2 4 3 4 2" xfId="16474"/>
    <cellStyle name="Normal 4 2 2 4 3 4 2 2" xfId="39333"/>
    <cellStyle name="Normal 4 2 2 4 3 4 3" xfId="27031"/>
    <cellStyle name="Normal 4 2 2 4 3 5" xfId="7685"/>
    <cellStyle name="Normal 4 2 2 4 3 5 2" xfId="19989"/>
    <cellStyle name="Normal 4 2 2 4 3 5 2 2" xfId="42848"/>
    <cellStyle name="Normal 4 2 2 4 3 5 3" xfId="30546"/>
    <cellStyle name="Normal 4 2 2 4 3 6" xfId="11200"/>
    <cellStyle name="Normal 4 2 2 4 3 6 2" xfId="34060"/>
    <cellStyle name="Normal 4 2 2 4 3 7" xfId="12959"/>
    <cellStyle name="Normal 4 2 2 4 3 7 2" xfId="35818"/>
    <cellStyle name="Normal 4 2 2 4 3 8" xfId="23515"/>
    <cellStyle name="Normal 4 2 2 4 4" xfId="1091"/>
    <cellStyle name="Normal 4 2 2 4 4 2" xfId="2852"/>
    <cellStyle name="Normal 4 2 2 4 4 2 2" xfId="6367"/>
    <cellStyle name="Normal 4 2 2 4 4 2 2 2" xfId="18671"/>
    <cellStyle name="Normal 4 2 2 4 4 2 2 2 2" xfId="41530"/>
    <cellStyle name="Normal 4 2 2 4 4 2 2 3" xfId="29228"/>
    <cellStyle name="Normal 4 2 2 4 4 2 3" xfId="9882"/>
    <cellStyle name="Normal 4 2 2 4 4 2 3 2" xfId="22186"/>
    <cellStyle name="Normal 4 2 2 4 4 2 3 2 2" xfId="45045"/>
    <cellStyle name="Normal 4 2 2 4 4 2 3 3" xfId="32743"/>
    <cellStyle name="Normal 4 2 2 4 4 2 4" xfId="15156"/>
    <cellStyle name="Normal 4 2 2 4 4 2 4 2" xfId="38015"/>
    <cellStyle name="Normal 4 2 2 4 4 2 5" xfId="25713"/>
    <cellStyle name="Normal 4 2 2 4 4 3" xfId="4609"/>
    <cellStyle name="Normal 4 2 2 4 4 3 2" xfId="16913"/>
    <cellStyle name="Normal 4 2 2 4 4 3 2 2" xfId="39772"/>
    <cellStyle name="Normal 4 2 2 4 4 3 3" xfId="27470"/>
    <cellStyle name="Normal 4 2 2 4 4 4" xfId="8124"/>
    <cellStyle name="Normal 4 2 2 4 4 4 2" xfId="20428"/>
    <cellStyle name="Normal 4 2 2 4 4 4 2 2" xfId="43287"/>
    <cellStyle name="Normal 4 2 2 4 4 4 3" xfId="30985"/>
    <cellStyle name="Normal 4 2 2 4 4 5" xfId="11639"/>
    <cellStyle name="Normal 4 2 2 4 4 5 2" xfId="34499"/>
    <cellStyle name="Normal 4 2 2 4 4 6" xfId="13398"/>
    <cellStyle name="Normal 4 2 2 4 4 6 2" xfId="36257"/>
    <cellStyle name="Normal 4 2 2 4 4 7" xfId="23954"/>
    <cellStyle name="Normal 4 2 2 4 5" xfId="1974"/>
    <cellStyle name="Normal 4 2 2 4 5 2" xfId="5489"/>
    <cellStyle name="Normal 4 2 2 4 5 2 2" xfId="17793"/>
    <cellStyle name="Normal 4 2 2 4 5 2 2 2" xfId="40652"/>
    <cellStyle name="Normal 4 2 2 4 5 2 3" xfId="28350"/>
    <cellStyle name="Normal 4 2 2 4 5 3" xfId="9004"/>
    <cellStyle name="Normal 4 2 2 4 5 3 2" xfId="21308"/>
    <cellStyle name="Normal 4 2 2 4 5 3 2 2" xfId="44167"/>
    <cellStyle name="Normal 4 2 2 4 5 3 3" xfId="31865"/>
    <cellStyle name="Normal 4 2 2 4 5 4" xfId="14278"/>
    <cellStyle name="Normal 4 2 2 4 5 4 2" xfId="37137"/>
    <cellStyle name="Normal 4 2 2 4 5 5" xfId="24835"/>
    <cellStyle name="Normal 4 2 2 4 6" xfId="3731"/>
    <cellStyle name="Normal 4 2 2 4 6 2" xfId="16035"/>
    <cellStyle name="Normal 4 2 2 4 6 2 2" xfId="38894"/>
    <cellStyle name="Normal 4 2 2 4 6 3" xfId="26592"/>
    <cellStyle name="Normal 4 2 2 4 7" xfId="7246"/>
    <cellStyle name="Normal 4 2 2 4 7 2" xfId="19550"/>
    <cellStyle name="Normal 4 2 2 4 7 2 2" xfId="42409"/>
    <cellStyle name="Normal 4 2 2 4 7 3" xfId="30107"/>
    <cellStyle name="Normal 4 2 2 4 8" xfId="10761"/>
    <cellStyle name="Normal 4 2 2 4 8 2" xfId="33621"/>
    <cellStyle name="Normal 4 2 2 4 9" xfId="12520"/>
    <cellStyle name="Normal 4 2 2 4 9 2" xfId="35379"/>
    <cellStyle name="Normal 4 2 2 5" xfId="316"/>
    <cellStyle name="Normal 4 2 2 5 2" xfId="757"/>
    <cellStyle name="Normal 4 2 2 5 2 2" xfId="1636"/>
    <cellStyle name="Normal 4 2 2 5 2 2 2" xfId="3397"/>
    <cellStyle name="Normal 4 2 2 5 2 2 2 2" xfId="6912"/>
    <cellStyle name="Normal 4 2 2 5 2 2 2 2 2" xfId="19216"/>
    <cellStyle name="Normal 4 2 2 5 2 2 2 2 2 2" xfId="42075"/>
    <cellStyle name="Normal 4 2 2 5 2 2 2 2 3" xfId="29773"/>
    <cellStyle name="Normal 4 2 2 5 2 2 2 3" xfId="10427"/>
    <cellStyle name="Normal 4 2 2 5 2 2 2 3 2" xfId="22731"/>
    <cellStyle name="Normal 4 2 2 5 2 2 2 3 2 2" xfId="45590"/>
    <cellStyle name="Normal 4 2 2 5 2 2 2 3 3" xfId="33288"/>
    <cellStyle name="Normal 4 2 2 5 2 2 2 4" xfId="15701"/>
    <cellStyle name="Normal 4 2 2 5 2 2 2 4 2" xfId="38560"/>
    <cellStyle name="Normal 4 2 2 5 2 2 2 5" xfId="26258"/>
    <cellStyle name="Normal 4 2 2 5 2 2 3" xfId="5154"/>
    <cellStyle name="Normal 4 2 2 5 2 2 3 2" xfId="17458"/>
    <cellStyle name="Normal 4 2 2 5 2 2 3 2 2" xfId="40317"/>
    <cellStyle name="Normal 4 2 2 5 2 2 3 3" xfId="28015"/>
    <cellStyle name="Normal 4 2 2 5 2 2 4" xfId="8669"/>
    <cellStyle name="Normal 4 2 2 5 2 2 4 2" xfId="20973"/>
    <cellStyle name="Normal 4 2 2 5 2 2 4 2 2" xfId="43832"/>
    <cellStyle name="Normal 4 2 2 5 2 2 4 3" xfId="31530"/>
    <cellStyle name="Normal 4 2 2 5 2 2 5" xfId="12184"/>
    <cellStyle name="Normal 4 2 2 5 2 2 5 2" xfId="35044"/>
    <cellStyle name="Normal 4 2 2 5 2 2 6" xfId="13943"/>
    <cellStyle name="Normal 4 2 2 5 2 2 6 2" xfId="36802"/>
    <cellStyle name="Normal 4 2 2 5 2 2 7" xfId="24499"/>
    <cellStyle name="Normal 4 2 2 5 2 3" xfId="2519"/>
    <cellStyle name="Normal 4 2 2 5 2 3 2" xfId="6034"/>
    <cellStyle name="Normal 4 2 2 5 2 3 2 2" xfId="18338"/>
    <cellStyle name="Normal 4 2 2 5 2 3 2 2 2" xfId="41197"/>
    <cellStyle name="Normal 4 2 2 5 2 3 2 3" xfId="28895"/>
    <cellStyle name="Normal 4 2 2 5 2 3 3" xfId="9549"/>
    <cellStyle name="Normal 4 2 2 5 2 3 3 2" xfId="21853"/>
    <cellStyle name="Normal 4 2 2 5 2 3 3 2 2" xfId="44712"/>
    <cellStyle name="Normal 4 2 2 5 2 3 3 3" xfId="32410"/>
    <cellStyle name="Normal 4 2 2 5 2 3 4" xfId="14823"/>
    <cellStyle name="Normal 4 2 2 5 2 3 4 2" xfId="37682"/>
    <cellStyle name="Normal 4 2 2 5 2 3 5" xfId="25380"/>
    <cellStyle name="Normal 4 2 2 5 2 4" xfId="4276"/>
    <cellStyle name="Normal 4 2 2 5 2 4 2" xfId="16580"/>
    <cellStyle name="Normal 4 2 2 5 2 4 2 2" xfId="39439"/>
    <cellStyle name="Normal 4 2 2 5 2 4 3" xfId="27137"/>
    <cellStyle name="Normal 4 2 2 5 2 5" xfId="7791"/>
    <cellStyle name="Normal 4 2 2 5 2 5 2" xfId="20095"/>
    <cellStyle name="Normal 4 2 2 5 2 5 2 2" xfId="42954"/>
    <cellStyle name="Normal 4 2 2 5 2 5 3" xfId="30652"/>
    <cellStyle name="Normal 4 2 2 5 2 6" xfId="11306"/>
    <cellStyle name="Normal 4 2 2 5 2 6 2" xfId="34166"/>
    <cellStyle name="Normal 4 2 2 5 2 7" xfId="13065"/>
    <cellStyle name="Normal 4 2 2 5 2 7 2" xfId="35924"/>
    <cellStyle name="Normal 4 2 2 5 2 8" xfId="23621"/>
    <cellStyle name="Normal 4 2 2 5 3" xfId="1197"/>
    <cellStyle name="Normal 4 2 2 5 3 2" xfId="2958"/>
    <cellStyle name="Normal 4 2 2 5 3 2 2" xfId="6473"/>
    <cellStyle name="Normal 4 2 2 5 3 2 2 2" xfId="18777"/>
    <cellStyle name="Normal 4 2 2 5 3 2 2 2 2" xfId="41636"/>
    <cellStyle name="Normal 4 2 2 5 3 2 2 3" xfId="29334"/>
    <cellStyle name="Normal 4 2 2 5 3 2 3" xfId="9988"/>
    <cellStyle name="Normal 4 2 2 5 3 2 3 2" xfId="22292"/>
    <cellStyle name="Normal 4 2 2 5 3 2 3 2 2" xfId="45151"/>
    <cellStyle name="Normal 4 2 2 5 3 2 3 3" xfId="32849"/>
    <cellStyle name="Normal 4 2 2 5 3 2 4" xfId="15262"/>
    <cellStyle name="Normal 4 2 2 5 3 2 4 2" xfId="38121"/>
    <cellStyle name="Normal 4 2 2 5 3 2 5" xfId="25819"/>
    <cellStyle name="Normal 4 2 2 5 3 3" xfId="4715"/>
    <cellStyle name="Normal 4 2 2 5 3 3 2" xfId="17019"/>
    <cellStyle name="Normal 4 2 2 5 3 3 2 2" xfId="39878"/>
    <cellStyle name="Normal 4 2 2 5 3 3 3" xfId="27576"/>
    <cellStyle name="Normal 4 2 2 5 3 4" xfId="8230"/>
    <cellStyle name="Normal 4 2 2 5 3 4 2" xfId="20534"/>
    <cellStyle name="Normal 4 2 2 5 3 4 2 2" xfId="43393"/>
    <cellStyle name="Normal 4 2 2 5 3 4 3" xfId="31091"/>
    <cellStyle name="Normal 4 2 2 5 3 5" xfId="11745"/>
    <cellStyle name="Normal 4 2 2 5 3 5 2" xfId="34605"/>
    <cellStyle name="Normal 4 2 2 5 3 6" xfId="13504"/>
    <cellStyle name="Normal 4 2 2 5 3 6 2" xfId="36363"/>
    <cellStyle name="Normal 4 2 2 5 3 7" xfId="24060"/>
    <cellStyle name="Normal 4 2 2 5 4" xfId="2080"/>
    <cellStyle name="Normal 4 2 2 5 4 2" xfId="5595"/>
    <cellStyle name="Normal 4 2 2 5 4 2 2" xfId="17899"/>
    <cellStyle name="Normal 4 2 2 5 4 2 2 2" xfId="40758"/>
    <cellStyle name="Normal 4 2 2 5 4 2 3" xfId="28456"/>
    <cellStyle name="Normal 4 2 2 5 4 3" xfId="9110"/>
    <cellStyle name="Normal 4 2 2 5 4 3 2" xfId="21414"/>
    <cellStyle name="Normal 4 2 2 5 4 3 2 2" xfId="44273"/>
    <cellStyle name="Normal 4 2 2 5 4 3 3" xfId="31971"/>
    <cellStyle name="Normal 4 2 2 5 4 4" xfId="14384"/>
    <cellStyle name="Normal 4 2 2 5 4 4 2" xfId="37243"/>
    <cellStyle name="Normal 4 2 2 5 4 5" xfId="24941"/>
    <cellStyle name="Normal 4 2 2 5 5" xfId="3837"/>
    <cellStyle name="Normal 4 2 2 5 5 2" xfId="16141"/>
    <cellStyle name="Normal 4 2 2 5 5 2 2" xfId="39000"/>
    <cellStyle name="Normal 4 2 2 5 5 3" xfId="26698"/>
    <cellStyle name="Normal 4 2 2 5 6" xfId="7352"/>
    <cellStyle name="Normal 4 2 2 5 6 2" xfId="19656"/>
    <cellStyle name="Normal 4 2 2 5 6 2 2" xfId="42515"/>
    <cellStyle name="Normal 4 2 2 5 6 3" xfId="30213"/>
    <cellStyle name="Normal 4 2 2 5 7" xfId="10867"/>
    <cellStyle name="Normal 4 2 2 5 7 2" xfId="33727"/>
    <cellStyle name="Normal 4 2 2 5 8" xfId="12626"/>
    <cellStyle name="Normal 4 2 2 5 8 2" xfId="35485"/>
    <cellStyle name="Normal 4 2 2 5 9" xfId="23181"/>
    <cellStyle name="Normal 4 2 2 6" xfId="545"/>
    <cellStyle name="Normal 4 2 2 6 2" xfId="1424"/>
    <cellStyle name="Normal 4 2 2 6 2 2" xfId="3185"/>
    <cellStyle name="Normal 4 2 2 6 2 2 2" xfId="6700"/>
    <cellStyle name="Normal 4 2 2 6 2 2 2 2" xfId="19004"/>
    <cellStyle name="Normal 4 2 2 6 2 2 2 2 2" xfId="41863"/>
    <cellStyle name="Normal 4 2 2 6 2 2 2 3" xfId="29561"/>
    <cellStyle name="Normal 4 2 2 6 2 2 3" xfId="10215"/>
    <cellStyle name="Normal 4 2 2 6 2 2 3 2" xfId="22519"/>
    <cellStyle name="Normal 4 2 2 6 2 2 3 2 2" xfId="45378"/>
    <cellStyle name="Normal 4 2 2 6 2 2 3 3" xfId="33076"/>
    <cellStyle name="Normal 4 2 2 6 2 2 4" xfId="15489"/>
    <cellStyle name="Normal 4 2 2 6 2 2 4 2" xfId="38348"/>
    <cellStyle name="Normal 4 2 2 6 2 2 5" xfId="26046"/>
    <cellStyle name="Normal 4 2 2 6 2 3" xfId="4942"/>
    <cellStyle name="Normal 4 2 2 6 2 3 2" xfId="17246"/>
    <cellStyle name="Normal 4 2 2 6 2 3 2 2" xfId="40105"/>
    <cellStyle name="Normal 4 2 2 6 2 3 3" xfId="27803"/>
    <cellStyle name="Normal 4 2 2 6 2 4" xfId="8457"/>
    <cellStyle name="Normal 4 2 2 6 2 4 2" xfId="20761"/>
    <cellStyle name="Normal 4 2 2 6 2 4 2 2" xfId="43620"/>
    <cellStyle name="Normal 4 2 2 6 2 4 3" xfId="31318"/>
    <cellStyle name="Normal 4 2 2 6 2 5" xfId="11972"/>
    <cellStyle name="Normal 4 2 2 6 2 5 2" xfId="34832"/>
    <cellStyle name="Normal 4 2 2 6 2 6" xfId="13731"/>
    <cellStyle name="Normal 4 2 2 6 2 6 2" xfId="36590"/>
    <cellStyle name="Normal 4 2 2 6 2 7" xfId="24287"/>
    <cellStyle name="Normal 4 2 2 6 3" xfId="2307"/>
    <cellStyle name="Normal 4 2 2 6 3 2" xfId="5822"/>
    <cellStyle name="Normal 4 2 2 6 3 2 2" xfId="18126"/>
    <cellStyle name="Normal 4 2 2 6 3 2 2 2" xfId="40985"/>
    <cellStyle name="Normal 4 2 2 6 3 2 3" xfId="28683"/>
    <cellStyle name="Normal 4 2 2 6 3 3" xfId="9337"/>
    <cellStyle name="Normal 4 2 2 6 3 3 2" xfId="21641"/>
    <cellStyle name="Normal 4 2 2 6 3 3 2 2" xfId="44500"/>
    <cellStyle name="Normal 4 2 2 6 3 3 3" xfId="32198"/>
    <cellStyle name="Normal 4 2 2 6 3 4" xfId="14611"/>
    <cellStyle name="Normal 4 2 2 6 3 4 2" xfId="37470"/>
    <cellStyle name="Normal 4 2 2 6 3 5" xfId="25168"/>
    <cellStyle name="Normal 4 2 2 6 4" xfId="4064"/>
    <cellStyle name="Normal 4 2 2 6 4 2" xfId="16368"/>
    <cellStyle name="Normal 4 2 2 6 4 2 2" xfId="39227"/>
    <cellStyle name="Normal 4 2 2 6 4 3" xfId="26925"/>
    <cellStyle name="Normal 4 2 2 6 5" xfId="7579"/>
    <cellStyle name="Normal 4 2 2 6 5 2" xfId="19883"/>
    <cellStyle name="Normal 4 2 2 6 5 2 2" xfId="42742"/>
    <cellStyle name="Normal 4 2 2 6 5 3" xfId="30440"/>
    <cellStyle name="Normal 4 2 2 6 6" xfId="11094"/>
    <cellStyle name="Normal 4 2 2 6 6 2" xfId="33954"/>
    <cellStyle name="Normal 4 2 2 6 7" xfId="12853"/>
    <cellStyle name="Normal 4 2 2 6 7 2" xfId="35712"/>
    <cellStyle name="Normal 4 2 2 6 8" xfId="23409"/>
    <cellStyle name="Normal 4 2 2 7" xfId="985"/>
    <cellStyle name="Normal 4 2 2 7 2" xfId="2746"/>
    <cellStyle name="Normal 4 2 2 7 2 2" xfId="6261"/>
    <cellStyle name="Normal 4 2 2 7 2 2 2" xfId="18565"/>
    <cellStyle name="Normal 4 2 2 7 2 2 2 2" xfId="41424"/>
    <cellStyle name="Normal 4 2 2 7 2 2 3" xfId="29122"/>
    <cellStyle name="Normal 4 2 2 7 2 3" xfId="9776"/>
    <cellStyle name="Normal 4 2 2 7 2 3 2" xfId="22080"/>
    <cellStyle name="Normal 4 2 2 7 2 3 2 2" xfId="44939"/>
    <cellStyle name="Normal 4 2 2 7 2 3 3" xfId="32637"/>
    <cellStyle name="Normal 4 2 2 7 2 4" xfId="15050"/>
    <cellStyle name="Normal 4 2 2 7 2 4 2" xfId="37909"/>
    <cellStyle name="Normal 4 2 2 7 2 5" xfId="25607"/>
    <cellStyle name="Normal 4 2 2 7 3" xfId="4503"/>
    <cellStyle name="Normal 4 2 2 7 3 2" xfId="16807"/>
    <cellStyle name="Normal 4 2 2 7 3 2 2" xfId="39666"/>
    <cellStyle name="Normal 4 2 2 7 3 3" xfId="27364"/>
    <cellStyle name="Normal 4 2 2 7 4" xfId="8018"/>
    <cellStyle name="Normal 4 2 2 7 4 2" xfId="20322"/>
    <cellStyle name="Normal 4 2 2 7 4 2 2" xfId="43181"/>
    <cellStyle name="Normal 4 2 2 7 4 3" xfId="30879"/>
    <cellStyle name="Normal 4 2 2 7 5" xfId="11533"/>
    <cellStyle name="Normal 4 2 2 7 5 2" xfId="34393"/>
    <cellStyle name="Normal 4 2 2 7 6" xfId="13292"/>
    <cellStyle name="Normal 4 2 2 7 6 2" xfId="36151"/>
    <cellStyle name="Normal 4 2 2 7 7" xfId="23848"/>
    <cellStyle name="Normal 4 2 2 8" xfId="1868"/>
    <cellStyle name="Normal 4 2 2 8 2" xfId="5383"/>
    <cellStyle name="Normal 4 2 2 8 2 2" xfId="17687"/>
    <cellStyle name="Normal 4 2 2 8 2 2 2" xfId="40546"/>
    <cellStyle name="Normal 4 2 2 8 2 3" xfId="28244"/>
    <cellStyle name="Normal 4 2 2 8 3" xfId="8898"/>
    <cellStyle name="Normal 4 2 2 8 3 2" xfId="21202"/>
    <cellStyle name="Normal 4 2 2 8 3 2 2" xfId="44061"/>
    <cellStyle name="Normal 4 2 2 8 3 3" xfId="31759"/>
    <cellStyle name="Normal 4 2 2 8 4" xfId="14172"/>
    <cellStyle name="Normal 4 2 2 8 4 2" xfId="37031"/>
    <cellStyle name="Normal 4 2 2 8 5" xfId="24729"/>
    <cellStyle name="Normal 4 2 2 9" xfId="3625"/>
    <cellStyle name="Normal 4 2 2 9 2" xfId="15929"/>
    <cellStyle name="Normal 4 2 2 9 2 2" xfId="38788"/>
    <cellStyle name="Normal 4 2 2 9 3" xfId="26486"/>
    <cellStyle name="Normal 4 2 3" xfId="120"/>
    <cellStyle name="Normal 4 2 3 10" xfId="10673"/>
    <cellStyle name="Normal 4 2 3 10 2" xfId="33533"/>
    <cellStyle name="Normal 4 2 3 11" xfId="12432"/>
    <cellStyle name="Normal 4 2 3 11 2" xfId="35291"/>
    <cellStyle name="Normal 4 2 3 12" xfId="22986"/>
    <cellStyle name="Normal 4 2 3 2" xfId="174"/>
    <cellStyle name="Normal 4 2 3 2 10" xfId="12486"/>
    <cellStyle name="Normal 4 2 3 2 10 2" xfId="35345"/>
    <cellStyle name="Normal 4 2 3 2 11" xfId="23040"/>
    <cellStyle name="Normal 4 2 3 2 2" xfId="282"/>
    <cellStyle name="Normal 4 2 3 2 2 10" xfId="23147"/>
    <cellStyle name="Normal 4 2 3 2 2 2" xfId="494"/>
    <cellStyle name="Normal 4 2 3 2 2 2 2" xfId="935"/>
    <cellStyle name="Normal 4 2 3 2 2 2 2 2" xfId="1814"/>
    <cellStyle name="Normal 4 2 3 2 2 2 2 2 2" xfId="3575"/>
    <cellStyle name="Normal 4 2 3 2 2 2 2 2 2 2" xfId="7090"/>
    <cellStyle name="Normal 4 2 3 2 2 2 2 2 2 2 2" xfId="19394"/>
    <cellStyle name="Normal 4 2 3 2 2 2 2 2 2 2 2 2" xfId="42253"/>
    <cellStyle name="Normal 4 2 3 2 2 2 2 2 2 2 3" xfId="29951"/>
    <cellStyle name="Normal 4 2 3 2 2 2 2 2 2 3" xfId="10605"/>
    <cellStyle name="Normal 4 2 3 2 2 2 2 2 2 3 2" xfId="22909"/>
    <cellStyle name="Normal 4 2 3 2 2 2 2 2 2 3 2 2" xfId="45768"/>
    <cellStyle name="Normal 4 2 3 2 2 2 2 2 2 3 3" xfId="33466"/>
    <cellStyle name="Normal 4 2 3 2 2 2 2 2 2 4" xfId="15879"/>
    <cellStyle name="Normal 4 2 3 2 2 2 2 2 2 4 2" xfId="38738"/>
    <cellStyle name="Normal 4 2 3 2 2 2 2 2 2 5" xfId="26436"/>
    <cellStyle name="Normal 4 2 3 2 2 2 2 2 3" xfId="5332"/>
    <cellStyle name="Normal 4 2 3 2 2 2 2 2 3 2" xfId="17636"/>
    <cellStyle name="Normal 4 2 3 2 2 2 2 2 3 2 2" xfId="40495"/>
    <cellStyle name="Normal 4 2 3 2 2 2 2 2 3 3" xfId="28193"/>
    <cellStyle name="Normal 4 2 3 2 2 2 2 2 4" xfId="8847"/>
    <cellStyle name="Normal 4 2 3 2 2 2 2 2 4 2" xfId="21151"/>
    <cellStyle name="Normal 4 2 3 2 2 2 2 2 4 2 2" xfId="44010"/>
    <cellStyle name="Normal 4 2 3 2 2 2 2 2 4 3" xfId="31708"/>
    <cellStyle name="Normal 4 2 3 2 2 2 2 2 5" xfId="12362"/>
    <cellStyle name="Normal 4 2 3 2 2 2 2 2 5 2" xfId="35222"/>
    <cellStyle name="Normal 4 2 3 2 2 2 2 2 6" xfId="14121"/>
    <cellStyle name="Normal 4 2 3 2 2 2 2 2 6 2" xfId="36980"/>
    <cellStyle name="Normal 4 2 3 2 2 2 2 2 7" xfId="24677"/>
    <cellStyle name="Normal 4 2 3 2 2 2 2 3" xfId="2697"/>
    <cellStyle name="Normal 4 2 3 2 2 2 2 3 2" xfId="6212"/>
    <cellStyle name="Normal 4 2 3 2 2 2 2 3 2 2" xfId="18516"/>
    <cellStyle name="Normal 4 2 3 2 2 2 2 3 2 2 2" xfId="41375"/>
    <cellStyle name="Normal 4 2 3 2 2 2 2 3 2 3" xfId="29073"/>
    <cellStyle name="Normal 4 2 3 2 2 2 2 3 3" xfId="9727"/>
    <cellStyle name="Normal 4 2 3 2 2 2 2 3 3 2" xfId="22031"/>
    <cellStyle name="Normal 4 2 3 2 2 2 2 3 3 2 2" xfId="44890"/>
    <cellStyle name="Normal 4 2 3 2 2 2 2 3 3 3" xfId="32588"/>
    <cellStyle name="Normal 4 2 3 2 2 2 2 3 4" xfId="15001"/>
    <cellStyle name="Normal 4 2 3 2 2 2 2 3 4 2" xfId="37860"/>
    <cellStyle name="Normal 4 2 3 2 2 2 2 3 5" xfId="25558"/>
    <cellStyle name="Normal 4 2 3 2 2 2 2 4" xfId="4454"/>
    <cellStyle name="Normal 4 2 3 2 2 2 2 4 2" xfId="16758"/>
    <cellStyle name="Normal 4 2 3 2 2 2 2 4 2 2" xfId="39617"/>
    <cellStyle name="Normal 4 2 3 2 2 2 2 4 3" xfId="27315"/>
    <cellStyle name="Normal 4 2 3 2 2 2 2 5" xfId="7969"/>
    <cellStyle name="Normal 4 2 3 2 2 2 2 5 2" xfId="20273"/>
    <cellStyle name="Normal 4 2 3 2 2 2 2 5 2 2" xfId="43132"/>
    <cellStyle name="Normal 4 2 3 2 2 2 2 5 3" xfId="30830"/>
    <cellStyle name="Normal 4 2 3 2 2 2 2 6" xfId="11484"/>
    <cellStyle name="Normal 4 2 3 2 2 2 2 6 2" xfId="34344"/>
    <cellStyle name="Normal 4 2 3 2 2 2 2 7" xfId="13243"/>
    <cellStyle name="Normal 4 2 3 2 2 2 2 7 2" xfId="36102"/>
    <cellStyle name="Normal 4 2 3 2 2 2 2 8" xfId="23799"/>
    <cellStyle name="Normal 4 2 3 2 2 2 3" xfId="1375"/>
    <cellStyle name="Normal 4 2 3 2 2 2 3 2" xfId="3136"/>
    <cellStyle name="Normal 4 2 3 2 2 2 3 2 2" xfId="6651"/>
    <cellStyle name="Normal 4 2 3 2 2 2 3 2 2 2" xfId="18955"/>
    <cellStyle name="Normal 4 2 3 2 2 2 3 2 2 2 2" xfId="41814"/>
    <cellStyle name="Normal 4 2 3 2 2 2 3 2 2 3" xfId="29512"/>
    <cellStyle name="Normal 4 2 3 2 2 2 3 2 3" xfId="10166"/>
    <cellStyle name="Normal 4 2 3 2 2 2 3 2 3 2" xfId="22470"/>
    <cellStyle name="Normal 4 2 3 2 2 2 3 2 3 2 2" xfId="45329"/>
    <cellStyle name="Normal 4 2 3 2 2 2 3 2 3 3" xfId="33027"/>
    <cellStyle name="Normal 4 2 3 2 2 2 3 2 4" xfId="15440"/>
    <cellStyle name="Normal 4 2 3 2 2 2 3 2 4 2" xfId="38299"/>
    <cellStyle name="Normal 4 2 3 2 2 2 3 2 5" xfId="25997"/>
    <cellStyle name="Normal 4 2 3 2 2 2 3 3" xfId="4893"/>
    <cellStyle name="Normal 4 2 3 2 2 2 3 3 2" xfId="17197"/>
    <cellStyle name="Normal 4 2 3 2 2 2 3 3 2 2" xfId="40056"/>
    <cellStyle name="Normal 4 2 3 2 2 2 3 3 3" xfId="27754"/>
    <cellStyle name="Normal 4 2 3 2 2 2 3 4" xfId="8408"/>
    <cellStyle name="Normal 4 2 3 2 2 2 3 4 2" xfId="20712"/>
    <cellStyle name="Normal 4 2 3 2 2 2 3 4 2 2" xfId="43571"/>
    <cellStyle name="Normal 4 2 3 2 2 2 3 4 3" xfId="31269"/>
    <cellStyle name="Normal 4 2 3 2 2 2 3 5" xfId="11923"/>
    <cellStyle name="Normal 4 2 3 2 2 2 3 5 2" xfId="34783"/>
    <cellStyle name="Normal 4 2 3 2 2 2 3 6" xfId="13682"/>
    <cellStyle name="Normal 4 2 3 2 2 2 3 6 2" xfId="36541"/>
    <cellStyle name="Normal 4 2 3 2 2 2 3 7" xfId="24238"/>
    <cellStyle name="Normal 4 2 3 2 2 2 4" xfId="2258"/>
    <cellStyle name="Normal 4 2 3 2 2 2 4 2" xfId="5773"/>
    <cellStyle name="Normal 4 2 3 2 2 2 4 2 2" xfId="18077"/>
    <cellStyle name="Normal 4 2 3 2 2 2 4 2 2 2" xfId="40936"/>
    <cellStyle name="Normal 4 2 3 2 2 2 4 2 3" xfId="28634"/>
    <cellStyle name="Normal 4 2 3 2 2 2 4 3" xfId="9288"/>
    <cellStyle name="Normal 4 2 3 2 2 2 4 3 2" xfId="21592"/>
    <cellStyle name="Normal 4 2 3 2 2 2 4 3 2 2" xfId="44451"/>
    <cellStyle name="Normal 4 2 3 2 2 2 4 3 3" xfId="32149"/>
    <cellStyle name="Normal 4 2 3 2 2 2 4 4" xfId="14562"/>
    <cellStyle name="Normal 4 2 3 2 2 2 4 4 2" xfId="37421"/>
    <cellStyle name="Normal 4 2 3 2 2 2 4 5" xfId="25119"/>
    <cellStyle name="Normal 4 2 3 2 2 2 5" xfId="4015"/>
    <cellStyle name="Normal 4 2 3 2 2 2 5 2" xfId="16319"/>
    <cellStyle name="Normal 4 2 3 2 2 2 5 2 2" xfId="39178"/>
    <cellStyle name="Normal 4 2 3 2 2 2 5 3" xfId="26876"/>
    <cellStyle name="Normal 4 2 3 2 2 2 6" xfId="7530"/>
    <cellStyle name="Normal 4 2 3 2 2 2 6 2" xfId="19834"/>
    <cellStyle name="Normal 4 2 3 2 2 2 6 2 2" xfId="42693"/>
    <cellStyle name="Normal 4 2 3 2 2 2 6 3" xfId="30391"/>
    <cellStyle name="Normal 4 2 3 2 2 2 7" xfId="11045"/>
    <cellStyle name="Normal 4 2 3 2 2 2 7 2" xfId="33905"/>
    <cellStyle name="Normal 4 2 3 2 2 2 8" xfId="12804"/>
    <cellStyle name="Normal 4 2 3 2 2 2 8 2" xfId="35663"/>
    <cellStyle name="Normal 4 2 3 2 2 2 9" xfId="23359"/>
    <cellStyle name="Normal 4 2 3 2 2 3" xfId="723"/>
    <cellStyle name="Normal 4 2 3 2 2 3 2" xfId="1602"/>
    <cellStyle name="Normal 4 2 3 2 2 3 2 2" xfId="3363"/>
    <cellStyle name="Normal 4 2 3 2 2 3 2 2 2" xfId="6878"/>
    <cellStyle name="Normal 4 2 3 2 2 3 2 2 2 2" xfId="19182"/>
    <cellStyle name="Normal 4 2 3 2 2 3 2 2 2 2 2" xfId="42041"/>
    <cellStyle name="Normal 4 2 3 2 2 3 2 2 2 3" xfId="29739"/>
    <cellStyle name="Normal 4 2 3 2 2 3 2 2 3" xfId="10393"/>
    <cellStyle name="Normal 4 2 3 2 2 3 2 2 3 2" xfId="22697"/>
    <cellStyle name="Normal 4 2 3 2 2 3 2 2 3 2 2" xfId="45556"/>
    <cellStyle name="Normal 4 2 3 2 2 3 2 2 3 3" xfId="33254"/>
    <cellStyle name="Normal 4 2 3 2 2 3 2 2 4" xfId="15667"/>
    <cellStyle name="Normal 4 2 3 2 2 3 2 2 4 2" xfId="38526"/>
    <cellStyle name="Normal 4 2 3 2 2 3 2 2 5" xfId="26224"/>
    <cellStyle name="Normal 4 2 3 2 2 3 2 3" xfId="5120"/>
    <cellStyle name="Normal 4 2 3 2 2 3 2 3 2" xfId="17424"/>
    <cellStyle name="Normal 4 2 3 2 2 3 2 3 2 2" xfId="40283"/>
    <cellStyle name="Normal 4 2 3 2 2 3 2 3 3" xfId="27981"/>
    <cellStyle name="Normal 4 2 3 2 2 3 2 4" xfId="8635"/>
    <cellStyle name="Normal 4 2 3 2 2 3 2 4 2" xfId="20939"/>
    <cellStyle name="Normal 4 2 3 2 2 3 2 4 2 2" xfId="43798"/>
    <cellStyle name="Normal 4 2 3 2 2 3 2 4 3" xfId="31496"/>
    <cellStyle name="Normal 4 2 3 2 2 3 2 5" xfId="12150"/>
    <cellStyle name="Normal 4 2 3 2 2 3 2 5 2" xfId="35010"/>
    <cellStyle name="Normal 4 2 3 2 2 3 2 6" xfId="13909"/>
    <cellStyle name="Normal 4 2 3 2 2 3 2 6 2" xfId="36768"/>
    <cellStyle name="Normal 4 2 3 2 2 3 2 7" xfId="24465"/>
    <cellStyle name="Normal 4 2 3 2 2 3 3" xfId="2485"/>
    <cellStyle name="Normal 4 2 3 2 2 3 3 2" xfId="6000"/>
    <cellStyle name="Normal 4 2 3 2 2 3 3 2 2" xfId="18304"/>
    <cellStyle name="Normal 4 2 3 2 2 3 3 2 2 2" xfId="41163"/>
    <cellStyle name="Normal 4 2 3 2 2 3 3 2 3" xfId="28861"/>
    <cellStyle name="Normal 4 2 3 2 2 3 3 3" xfId="9515"/>
    <cellStyle name="Normal 4 2 3 2 2 3 3 3 2" xfId="21819"/>
    <cellStyle name="Normal 4 2 3 2 2 3 3 3 2 2" xfId="44678"/>
    <cellStyle name="Normal 4 2 3 2 2 3 3 3 3" xfId="32376"/>
    <cellStyle name="Normal 4 2 3 2 2 3 3 4" xfId="14789"/>
    <cellStyle name="Normal 4 2 3 2 2 3 3 4 2" xfId="37648"/>
    <cellStyle name="Normal 4 2 3 2 2 3 3 5" xfId="25346"/>
    <cellStyle name="Normal 4 2 3 2 2 3 4" xfId="4242"/>
    <cellStyle name="Normal 4 2 3 2 2 3 4 2" xfId="16546"/>
    <cellStyle name="Normal 4 2 3 2 2 3 4 2 2" xfId="39405"/>
    <cellStyle name="Normal 4 2 3 2 2 3 4 3" xfId="27103"/>
    <cellStyle name="Normal 4 2 3 2 2 3 5" xfId="7757"/>
    <cellStyle name="Normal 4 2 3 2 2 3 5 2" xfId="20061"/>
    <cellStyle name="Normal 4 2 3 2 2 3 5 2 2" xfId="42920"/>
    <cellStyle name="Normal 4 2 3 2 2 3 5 3" xfId="30618"/>
    <cellStyle name="Normal 4 2 3 2 2 3 6" xfId="11272"/>
    <cellStyle name="Normal 4 2 3 2 2 3 6 2" xfId="34132"/>
    <cellStyle name="Normal 4 2 3 2 2 3 7" xfId="13031"/>
    <cellStyle name="Normal 4 2 3 2 2 3 7 2" xfId="35890"/>
    <cellStyle name="Normal 4 2 3 2 2 3 8" xfId="23587"/>
    <cellStyle name="Normal 4 2 3 2 2 4" xfId="1163"/>
    <cellStyle name="Normal 4 2 3 2 2 4 2" xfId="2924"/>
    <cellStyle name="Normal 4 2 3 2 2 4 2 2" xfId="6439"/>
    <cellStyle name="Normal 4 2 3 2 2 4 2 2 2" xfId="18743"/>
    <cellStyle name="Normal 4 2 3 2 2 4 2 2 2 2" xfId="41602"/>
    <cellStyle name="Normal 4 2 3 2 2 4 2 2 3" xfId="29300"/>
    <cellStyle name="Normal 4 2 3 2 2 4 2 3" xfId="9954"/>
    <cellStyle name="Normal 4 2 3 2 2 4 2 3 2" xfId="22258"/>
    <cellStyle name="Normal 4 2 3 2 2 4 2 3 2 2" xfId="45117"/>
    <cellStyle name="Normal 4 2 3 2 2 4 2 3 3" xfId="32815"/>
    <cellStyle name="Normal 4 2 3 2 2 4 2 4" xfId="15228"/>
    <cellStyle name="Normal 4 2 3 2 2 4 2 4 2" xfId="38087"/>
    <cellStyle name="Normal 4 2 3 2 2 4 2 5" xfId="25785"/>
    <cellStyle name="Normal 4 2 3 2 2 4 3" xfId="4681"/>
    <cellStyle name="Normal 4 2 3 2 2 4 3 2" xfId="16985"/>
    <cellStyle name="Normal 4 2 3 2 2 4 3 2 2" xfId="39844"/>
    <cellStyle name="Normal 4 2 3 2 2 4 3 3" xfId="27542"/>
    <cellStyle name="Normal 4 2 3 2 2 4 4" xfId="8196"/>
    <cellStyle name="Normal 4 2 3 2 2 4 4 2" xfId="20500"/>
    <cellStyle name="Normal 4 2 3 2 2 4 4 2 2" xfId="43359"/>
    <cellStyle name="Normal 4 2 3 2 2 4 4 3" xfId="31057"/>
    <cellStyle name="Normal 4 2 3 2 2 4 5" xfId="11711"/>
    <cellStyle name="Normal 4 2 3 2 2 4 5 2" xfId="34571"/>
    <cellStyle name="Normal 4 2 3 2 2 4 6" xfId="13470"/>
    <cellStyle name="Normal 4 2 3 2 2 4 6 2" xfId="36329"/>
    <cellStyle name="Normal 4 2 3 2 2 4 7" xfId="24026"/>
    <cellStyle name="Normal 4 2 3 2 2 5" xfId="2046"/>
    <cellStyle name="Normal 4 2 3 2 2 5 2" xfId="5561"/>
    <cellStyle name="Normal 4 2 3 2 2 5 2 2" xfId="17865"/>
    <cellStyle name="Normal 4 2 3 2 2 5 2 2 2" xfId="40724"/>
    <cellStyle name="Normal 4 2 3 2 2 5 2 3" xfId="28422"/>
    <cellStyle name="Normal 4 2 3 2 2 5 3" xfId="9076"/>
    <cellStyle name="Normal 4 2 3 2 2 5 3 2" xfId="21380"/>
    <cellStyle name="Normal 4 2 3 2 2 5 3 2 2" xfId="44239"/>
    <cellStyle name="Normal 4 2 3 2 2 5 3 3" xfId="31937"/>
    <cellStyle name="Normal 4 2 3 2 2 5 4" xfId="14350"/>
    <cellStyle name="Normal 4 2 3 2 2 5 4 2" xfId="37209"/>
    <cellStyle name="Normal 4 2 3 2 2 5 5" xfId="24907"/>
    <cellStyle name="Normal 4 2 3 2 2 6" xfId="3803"/>
    <cellStyle name="Normal 4 2 3 2 2 6 2" xfId="16107"/>
    <cellStyle name="Normal 4 2 3 2 2 6 2 2" xfId="38966"/>
    <cellStyle name="Normal 4 2 3 2 2 6 3" xfId="26664"/>
    <cellStyle name="Normal 4 2 3 2 2 7" xfId="7318"/>
    <cellStyle name="Normal 4 2 3 2 2 7 2" xfId="19622"/>
    <cellStyle name="Normal 4 2 3 2 2 7 2 2" xfId="42481"/>
    <cellStyle name="Normal 4 2 3 2 2 7 3" xfId="30179"/>
    <cellStyle name="Normal 4 2 3 2 2 8" xfId="10833"/>
    <cellStyle name="Normal 4 2 3 2 2 8 2" xfId="33693"/>
    <cellStyle name="Normal 4 2 3 2 2 9" xfId="12592"/>
    <cellStyle name="Normal 4 2 3 2 2 9 2" xfId="35451"/>
    <cellStyle name="Normal 4 2 3 2 3" xfId="388"/>
    <cellStyle name="Normal 4 2 3 2 3 2" xfId="829"/>
    <cellStyle name="Normal 4 2 3 2 3 2 2" xfId="1708"/>
    <cellStyle name="Normal 4 2 3 2 3 2 2 2" xfId="3469"/>
    <cellStyle name="Normal 4 2 3 2 3 2 2 2 2" xfId="6984"/>
    <cellStyle name="Normal 4 2 3 2 3 2 2 2 2 2" xfId="19288"/>
    <cellStyle name="Normal 4 2 3 2 3 2 2 2 2 2 2" xfId="42147"/>
    <cellStyle name="Normal 4 2 3 2 3 2 2 2 2 3" xfId="29845"/>
    <cellStyle name="Normal 4 2 3 2 3 2 2 2 3" xfId="10499"/>
    <cellStyle name="Normal 4 2 3 2 3 2 2 2 3 2" xfId="22803"/>
    <cellStyle name="Normal 4 2 3 2 3 2 2 2 3 2 2" xfId="45662"/>
    <cellStyle name="Normal 4 2 3 2 3 2 2 2 3 3" xfId="33360"/>
    <cellStyle name="Normal 4 2 3 2 3 2 2 2 4" xfId="15773"/>
    <cellStyle name="Normal 4 2 3 2 3 2 2 2 4 2" xfId="38632"/>
    <cellStyle name="Normal 4 2 3 2 3 2 2 2 5" xfId="26330"/>
    <cellStyle name="Normal 4 2 3 2 3 2 2 3" xfId="5226"/>
    <cellStyle name="Normal 4 2 3 2 3 2 2 3 2" xfId="17530"/>
    <cellStyle name="Normal 4 2 3 2 3 2 2 3 2 2" xfId="40389"/>
    <cellStyle name="Normal 4 2 3 2 3 2 2 3 3" xfId="28087"/>
    <cellStyle name="Normal 4 2 3 2 3 2 2 4" xfId="8741"/>
    <cellStyle name="Normal 4 2 3 2 3 2 2 4 2" xfId="21045"/>
    <cellStyle name="Normal 4 2 3 2 3 2 2 4 2 2" xfId="43904"/>
    <cellStyle name="Normal 4 2 3 2 3 2 2 4 3" xfId="31602"/>
    <cellStyle name="Normal 4 2 3 2 3 2 2 5" xfId="12256"/>
    <cellStyle name="Normal 4 2 3 2 3 2 2 5 2" xfId="35116"/>
    <cellStyle name="Normal 4 2 3 2 3 2 2 6" xfId="14015"/>
    <cellStyle name="Normal 4 2 3 2 3 2 2 6 2" xfId="36874"/>
    <cellStyle name="Normal 4 2 3 2 3 2 2 7" xfId="24571"/>
    <cellStyle name="Normal 4 2 3 2 3 2 3" xfId="2591"/>
    <cellStyle name="Normal 4 2 3 2 3 2 3 2" xfId="6106"/>
    <cellStyle name="Normal 4 2 3 2 3 2 3 2 2" xfId="18410"/>
    <cellStyle name="Normal 4 2 3 2 3 2 3 2 2 2" xfId="41269"/>
    <cellStyle name="Normal 4 2 3 2 3 2 3 2 3" xfId="28967"/>
    <cellStyle name="Normal 4 2 3 2 3 2 3 3" xfId="9621"/>
    <cellStyle name="Normal 4 2 3 2 3 2 3 3 2" xfId="21925"/>
    <cellStyle name="Normal 4 2 3 2 3 2 3 3 2 2" xfId="44784"/>
    <cellStyle name="Normal 4 2 3 2 3 2 3 3 3" xfId="32482"/>
    <cellStyle name="Normal 4 2 3 2 3 2 3 4" xfId="14895"/>
    <cellStyle name="Normal 4 2 3 2 3 2 3 4 2" xfId="37754"/>
    <cellStyle name="Normal 4 2 3 2 3 2 3 5" xfId="25452"/>
    <cellStyle name="Normal 4 2 3 2 3 2 4" xfId="4348"/>
    <cellStyle name="Normal 4 2 3 2 3 2 4 2" xfId="16652"/>
    <cellStyle name="Normal 4 2 3 2 3 2 4 2 2" xfId="39511"/>
    <cellStyle name="Normal 4 2 3 2 3 2 4 3" xfId="27209"/>
    <cellStyle name="Normal 4 2 3 2 3 2 5" xfId="7863"/>
    <cellStyle name="Normal 4 2 3 2 3 2 5 2" xfId="20167"/>
    <cellStyle name="Normal 4 2 3 2 3 2 5 2 2" xfId="43026"/>
    <cellStyle name="Normal 4 2 3 2 3 2 5 3" xfId="30724"/>
    <cellStyle name="Normal 4 2 3 2 3 2 6" xfId="11378"/>
    <cellStyle name="Normal 4 2 3 2 3 2 6 2" xfId="34238"/>
    <cellStyle name="Normal 4 2 3 2 3 2 7" xfId="13137"/>
    <cellStyle name="Normal 4 2 3 2 3 2 7 2" xfId="35996"/>
    <cellStyle name="Normal 4 2 3 2 3 2 8" xfId="23693"/>
    <cellStyle name="Normal 4 2 3 2 3 3" xfId="1269"/>
    <cellStyle name="Normal 4 2 3 2 3 3 2" xfId="3030"/>
    <cellStyle name="Normal 4 2 3 2 3 3 2 2" xfId="6545"/>
    <cellStyle name="Normal 4 2 3 2 3 3 2 2 2" xfId="18849"/>
    <cellStyle name="Normal 4 2 3 2 3 3 2 2 2 2" xfId="41708"/>
    <cellStyle name="Normal 4 2 3 2 3 3 2 2 3" xfId="29406"/>
    <cellStyle name="Normal 4 2 3 2 3 3 2 3" xfId="10060"/>
    <cellStyle name="Normal 4 2 3 2 3 3 2 3 2" xfId="22364"/>
    <cellStyle name="Normal 4 2 3 2 3 3 2 3 2 2" xfId="45223"/>
    <cellStyle name="Normal 4 2 3 2 3 3 2 3 3" xfId="32921"/>
    <cellStyle name="Normal 4 2 3 2 3 3 2 4" xfId="15334"/>
    <cellStyle name="Normal 4 2 3 2 3 3 2 4 2" xfId="38193"/>
    <cellStyle name="Normal 4 2 3 2 3 3 2 5" xfId="25891"/>
    <cellStyle name="Normal 4 2 3 2 3 3 3" xfId="4787"/>
    <cellStyle name="Normal 4 2 3 2 3 3 3 2" xfId="17091"/>
    <cellStyle name="Normal 4 2 3 2 3 3 3 2 2" xfId="39950"/>
    <cellStyle name="Normal 4 2 3 2 3 3 3 3" xfId="27648"/>
    <cellStyle name="Normal 4 2 3 2 3 3 4" xfId="8302"/>
    <cellStyle name="Normal 4 2 3 2 3 3 4 2" xfId="20606"/>
    <cellStyle name="Normal 4 2 3 2 3 3 4 2 2" xfId="43465"/>
    <cellStyle name="Normal 4 2 3 2 3 3 4 3" xfId="31163"/>
    <cellStyle name="Normal 4 2 3 2 3 3 5" xfId="11817"/>
    <cellStyle name="Normal 4 2 3 2 3 3 5 2" xfId="34677"/>
    <cellStyle name="Normal 4 2 3 2 3 3 6" xfId="13576"/>
    <cellStyle name="Normal 4 2 3 2 3 3 6 2" xfId="36435"/>
    <cellStyle name="Normal 4 2 3 2 3 3 7" xfId="24132"/>
    <cellStyle name="Normal 4 2 3 2 3 4" xfId="2152"/>
    <cellStyle name="Normal 4 2 3 2 3 4 2" xfId="5667"/>
    <cellStyle name="Normal 4 2 3 2 3 4 2 2" xfId="17971"/>
    <cellStyle name="Normal 4 2 3 2 3 4 2 2 2" xfId="40830"/>
    <cellStyle name="Normal 4 2 3 2 3 4 2 3" xfId="28528"/>
    <cellStyle name="Normal 4 2 3 2 3 4 3" xfId="9182"/>
    <cellStyle name="Normal 4 2 3 2 3 4 3 2" xfId="21486"/>
    <cellStyle name="Normal 4 2 3 2 3 4 3 2 2" xfId="44345"/>
    <cellStyle name="Normal 4 2 3 2 3 4 3 3" xfId="32043"/>
    <cellStyle name="Normal 4 2 3 2 3 4 4" xfId="14456"/>
    <cellStyle name="Normal 4 2 3 2 3 4 4 2" xfId="37315"/>
    <cellStyle name="Normal 4 2 3 2 3 4 5" xfId="25013"/>
    <cellStyle name="Normal 4 2 3 2 3 5" xfId="3909"/>
    <cellStyle name="Normal 4 2 3 2 3 5 2" xfId="16213"/>
    <cellStyle name="Normal 4 2 3 2 3 5 2 2" xfId="39072"/>
    <cellStyle name="Normal 4 2 3 2 3 5 3" xfId="26770"/>
    <cellStyle name="Normal 4 2 3 2 3 6" xfId="7424"/>
    <cellStyle name="Normal 4 2 3 2 3 6 2" xfId="19728"/>
    <cellStyle name="Normal 4 2 3 2 3 6 2 2" xfId="42587"/>
    <cellStyle name="Normal 4 2 3 2 3 6 3" xfId="30285"/>
    <cellStyle name="Normal 4 2 3 2 3 7" xfId="10939"/>
    <cellStyle name="Normal 4 2 3 2 3 7 2" xfId="33799"/>
    <cellStyle name="Normal 4 2 3 2 3 8" xfId="12698"/>
    <cellStyle name="Normal 4 2 3 2 3 8 2" xfId="35557"/>
    <cellStyle name="Normal 4 2 3 2 3 9" xfId="23253"/>
    <cellStyle name="Normal 4 2 3 2 4" xfId="617"/>
    <cellStyle name="Normal 4 2 3 2 4 2" xfId="1496"/>
    <cellStyle name="Normal 4 2 3 2 4 2 2" xfId="3257"/>
    <cellStyle name="Normal 4 2 3 2 4 2 2 2" xfId="6772"/>
    <cellStyle name="Normal 4 2 3 2 4 2 2 2 2" xfId="19076"/>
    <cellStyle name="Normal 4 2 3 2 4 2 2 2 2 2" xfId="41935"/>
    <cellStyle name="Normal 4 2 3 2 4 2 2 2 3" xfId="29633"/>
    <cellStyle name="Normal 4 2 3 2 4 2 2 3" xfId="10287"/>
    <cellStyle name="Normal 4 2 3 2 4 2 2 3 2" xfId="22591"/>
    <cellStyle name="Normal 4 2 3 2 4 2 2 3 2 2" xfId="45450"/>
    <cellStyle name="Normal 4 2 3 2 4 2 2 3 3" xfId="33148"/>
    <cellStyle name="Normal 4 2 3 2 4 2 2 4" xfId="15561"/>
    <cellStyle name="Normal 4 2 3 2 4 2 2 4 2" xfId="38420"/>
    <cellStyle name="Normal 4 2 3 2 4 2 2 5" xfId="26118"/>
    <cellStyle name="Normal 4 2 3 2 4 2 3" xfId="5014"/>
    <cellStyle name="Normal 4 2 3 2 4 2 3 2" xfId="17318"/>
    <cellStyle name="Normal 4 2 3 2 4 2 3 2 2" xfId="40177"/>
    <cellStyle name="Normal 4 2 3 2 4 2 3 3" xfId="27875"/>
    <cellStyle name="Normal 4 2 3 2 4 2 4" xfId="8529"/>
    <cellStyle name="Normal 4 2 3 2 4 2 4 2" xfId="20833"/>
    <cellStyle name="Normal 4 2 3 2 4 2 4 2 2" xfId="43692"/>
    <cellStyle name="Normal 4 2 3 2 4 2 4 3" xfId="31390"/>
    <cellStyle name="Normal 4 2 3 2 4 2 5" xfId="12044"/>
    <cellStyle name="Normal 4 2 3 2 4 2 5 2" xfId="34904"/>
    <cellStyle name="Normal 4 2 3 2 4 2 6" xfId="13803"/>
    <cellStyle name="Normal 4 2 3 2 4 2 6 2" xfId="36662"/>
    <cellStyle name="Normal 4 2 3 2 4 2 7" xfId="24359"/>
    <cellStyle name="Normal 4 2 3 2 4 3" xfId="2379"/>
    <cellStyle name="Normal 4 2 3 2 4 3 2" xfId="5894"/>
    <cellStyle name="Normal 4 2 3 2 4 3 2 2" xfId="18198"/>
    <cellStyle name="Normal 4 2 3 2 4 3 2 2 2" xfId="41057"/>
    <cellStyle name="Normal 4 2 3 2 4 3 2 3" xfId="28755"/>
    <cellStyle name="Normal 4 2 3 2 4 3 3" xfId="9409"/>
    <cellStyle name="Normal 4 2 3 2 4 3 3 2" xfId="21713"/>
    <cellStyle name="Normal 4 2 3 2 4 3 3 2 2" xfId="44572"/>
    <cellStyle name="Normal 4 2 3 2 4 3 3 3" xfId="32270"/>
    <cellStyle name="Normal 4 2 3 2 4 3 4" xfId="14683"/>
    <cellStyle name="Normal 4 2 3 2 4 3 4 2" xfId="37542"/>
    <cellStyle name="Normal 4 2 3 2 4 3 5" xfId="25240"/>
    <cellStyle name="Normal 4 2 3 2 4 4" xfId="4136"/>
    <cellStyle name="Normal 4 2 3 2 4 4 2" xfId="16440"/>
    <cellStyle name="Normal 4 2 3 2 4 4 2 2" xfId="39299"/>
    <cellStyle name="Normal 4 2 3 2 4 4 3" xfId="26997"/>
    <cellStyle name="Normal 4 2 3 2 4 5" xfId="7651"/>
    <cellStyle name="Normal 4 2 3 2 4 5 2" xfId="19955"/>
    <cellStyle name="Normal 4 2 3 2 4 5 2 2" xfId="42814"/>
    <cellStyle name="Normal 4 2 3 2 4 5 3" xfId="30512"/>
    <cellStyle name="Normal 4 2 3 2 4 6" xfId="11166"/>
    <cellStyle name="Normal 4 2 3 2 4 6 2" xfId="34026"/>
    <cellStyle name="Normal 4 2 3 2 4 7" xfId="12925"/>
    <cellStyle name="Normal 4 2 3 2 4 7 2" xfId="35784"/>
    <cellStyle name="Normal 4 2 3 2 4 8" xfId="23481"/>
    <cellStyle name="Normal 4 2 3 2 5" xfId="1057"/>
    <cellStyle name="Normal 4 2 3 2 5 2" xfId="2818"/>
    <cellStyle name="Normal 4 2 3 2 5 2 2" xfId="6333"/>
    <cellStyle name="Normal 4 2 3 2 5 2 2 2" xfId="18637"/>
    <cellStyle name="Normal 4 2 3 2 5 2 2 2 2" xfId="41496"/>
    <cellStyle name="Normal 4 2 3 2 5 2 2 3" xfId="29194"/>
    <cellStyle name="Normal 4 2 3 2 5 2 3" xfId="9848"/>
    <cellStyle name="Normal 4 2 3 2 5 2 3 2" xfId="22152"/>
    <cellStyle name="Normal 4 2 3 2 5 2 3 2 2" xfId="45011"/>
    <cellStyle name="Normal 4 2 3 2 5 2 3 3" xfId="32709"/>
    <cellStyle name="Normal 4 2 3 2 5 2 4" xfId="15122"/>
    <cellStyle name="Normal 4 2 3 2 5 2 4 2" xfId="37981"/>
    <cellStyle name="Normal 4 2 3 2 5 2 5" xfId="25679"/>
    <cellStyle name="Normal 4 2 3 2 5 3" xfId="4575"/>
    <cellStyle name="Normal 4 2 3 2 5 3 2" xfId="16879"/>
    <cellStyle name="Normal 4 2 3 2 5 3 2 2" xfId="39738"/>
    <cellStyle name="Normal 4 2 3 2 5 3 3" xfId="27436"/>
    <cellStyle name="Normal 4 2 3 2 5 4" xfId="8090"/>
    <cellStyle name="Normal 4 2 3 2 5 4 2" xfId="20394"/>
    <cellStyle name="Normal 4 2 3 2 5 4 2 2" xfId="43253"/>
    <cellStyle name="Normal 4 2 3 2 5 4 3" xfId="30951"/>
    <cellStyle name="Normal 4 2 3 2 5 5" xfId="11605"/>
    <cellStyle name="Normal 4 2 3 2 5 5 2" xfId="34465"/>
    <cellStyle name="Normal 4 2 3 2 5 6" xfId="13364"/>
    <cellStyle name="Normal 4 2 3 2 5 6 2" xfId="36223"/>
    <cellStyle name="Normal 4 2 3 2 5 7" xfId="23920"/>
    <cellStyle name="Normal 4 2 3 2 6" xfId="1940"/>
    <cellStyle name="Normal 4 2 3 2 6 2" xfId="5455"/>
    <cellStyle name="Normal 4 2 3 2 6 2 2" xfId="17759"/>
    <cellStyle name="Normal 4 2 3 2 6 2 2 2" xfId="40618"/>
    <cellStyle name="Normal 4 2 3 2 6 2 3" xfId="28316"/>
    <cellStyle name="Normal 4 2 3 2 6 3" xfId="8970"/>
    <cellStyle name="Normal 4 2 3 2 6 3 2" xfId="21274"/>
    <cellStyle name="Normal 4 2 3 2 6 3 2 2" xfId="44133"/>
    <cellStyle name="Normal 4 2 3 2 6 3 3" xfId="31831"/>
    <cellStyle name="Normal 4 2 3 2 6 4" xfId="14244"/>
    <cellStyle name="Normal 4 2 3 2 6 4 2" xfId="37103"/>
    <cellStyle name="Normal 4 2 3 2 6 5" xfId="24801"/>
    <cellStyle name="Normal 4 2 3 2 7" xfId="3697"/>
    <cellStyle name="Normal 4 2 3 2 7 2" xfId="16001"/>
    <cellStyle name="Normal 4 2 3 2 7 2 2" xfId="38860"/>
    <cellStyle name="Normal 4 2 3 2 7 3" xfId="26558"/>
    <cellStyle name="Normal 4 2 3 2 8" xfId="7212"/>
    <cellStyle name="Normal 4 2 3 2 8 2" xfId="19516"/>
    <cellStyle name="Normal 4 2 3 2 8 2 2" xfId="42375"/>
    <cellStyle name="Normal 4 2 3 2 8 3" xfId="30073"/>
    <cellStyle name="Normal 4 2 3 2 9" xfId="10727"/>
    <cellStyle name="Normal 4 2 3 2 9 2" xfId="33587"/>
    <cellStyle name="Normal 4 2 3 3" xfId="228"/>
    <cellStyle name="Normal 4 2 3 3 10" xfId="23093"/>
    <cellStyle name="Normal 4 2 3 3 2" xfId="440"/>
    <cellStyle name="Normal 4 2 3 3 2 2" xfId="881"/>
    <cellStyle name="Normal 4 2 3 3 2 2 2" xfId="1760"/>
    <cellStyle name="Normal 4 2 3 3 2 2 2 2" xfId="3521"/>
    <cellStyle name="Normal 4 2 3 3 2 2 2 2 2" xfId="7036"/>
    <cellStyle name="Normal 4 2 3 3 2 2 2 2 2 2" xfId="19340"/>
    <cellStyle name="Normal 4 2 3 3 2 2 2 2 2 2 2" xfId="42199"/>
    <cellStyle name="Normal 4 2 3 3 2 2 2 2 2 3" xfId="29897"/>
    <cellStyle name="Normal 4 2 3 3 2 2 2 2 3" xfId="10551"/>
    <cellStyle name="Normal 4 2 3 3 2 2 2 2 3 2" xfId="22855"/>
    <cellStyle name="Normal 4 2 3 3 2 2 2 2 3 2 2" xfId="45714"/>
    <cellStyle name="Normal 4 2 3 3 2 2 2 2 3 3" xfId="33412"/>
    <cellStyle name="Normal 4 2 3 3 2 2 2 2 4" xfId="15825"/>
    <cellStyle name="Normal 4 2 3 3 2 2 2 2 4 2" xfId="38684"/>
    <cellStyle name="Normal 4 2 3 3 2 2 2 2 5" xfId="26382"/>
    <cellStyle name="Normal 4 2 3 3 2 2 2 3" xfId="5278"/>
    <cellStyle name="Normal 4 2 3 3 2 2 2 3 2" xfId="17582"/>
    <cellStyle name="Normal 4 2 3 3 2 2 2 3 2 2" xfId="40441"/>
    <cellStyle name="Normal 4 2 3 3 2 2 2 3 3" xfId="28139"/>
    <cellStyle name="Normal 4 2 3 3 2 2 2 4" xfId="8793"/>
    <cellStyle name="Normal 4 2 3 3 2 2 2 4 2" xfId="21097"/>
    <cellStyle name="Normal 4 2 3 3 2 2 2 4 2 2" xfId="43956"/>
    <cellStyle name="Normal 4 2 3 3 2 2 2 4 3" xfId="31654"/>
    <cellStyle name="Normal 4 2 3 3 2 2 2 5" xfId="12308"/>
    <cellStyle name="Normal 4 2 3 3 2 2 2 5 2" xfId="35168"/>
    <cellStyle name="Normal 4 2 3 3 2 2 2 6" xfId="14067"/>
    <cellStyle name="Normal 4 2 3 3 2 2 2 6 2" xfId="36926"/>
    <cellStyle name="Normal 4 2 3 3 2 2 2 7" xfId="24623"/>
    <cellStyle name="Normal 4 2 3 3 2 2 3" xfId="2643"/>
    <cellStyle name="Normal 4 2 3 3 2 2 3 2" xfId="6158"/>
    <cellStyle name="Normal 4 2 3 3 2 2 3 2 2" xfId="18462"/>
    <cellStyle name="Normal 4 2 3 3 2 2 3 2 2 2" xfId="41321"/>
    <cellStyle name="Normal 4 2 3 3 2 2 3 2 3" xfId="29019"/>
    <cellStyle name="Normal 4 2 3 3 2 2 3 3" xfId="9673"/>
    <cellStyle name="Normal 4 2 3 3 2 2 3 3 2" xfId="21977"/>
    <cellStyle name="Normal 4 2 3 3 2 2 3 3 2 2" xfId="44836"/>
    <cellStyle name="Normal 4 2 3 3 2 2 3 3 3" xfId="32534"/>
    <cellStyle name="Normal 4 2 3 3 2 2 3 4" xfId="14947"/>
    <cellStyle name="Normal 4 2 3 3 2 2 3 4 2" xfId="37806"/>
    <cellStyle name="Normal 4 2 3 3 2 2 3 5" xfId="25504"/>
    <cellStyle name="Normal 4 2 3 3 2 2 4" xfId="4400"/>
    <cellStyle name="Normal 4 2 3 3 2 2 4 2" xfId="16704"/>
    <cellStyle name="Normal 4 2 3 3 2 2 4 2 2" xfId="39563"/>
    <cellStyle name="Normal 4 2 3 3 2 2 4 3" xfId="27261"/>
    <cellStyle name="Normal 4 2 3 3 2 2 5" xfId="7915"/>
    <cellStyle name="Normal 4 2 3 3 2 2 5 2" xfId="20219"/>
    <cellStyle name="Normal 4 2 3 3 2 2 5 2 2" xfId="43078"/>
    <cellStyle name="Normal 4 2 3 3 2 2 5 3" xfId="30776"/>
    <cellStyle name="Normal 4 2 3 3 2 2 6" xfId="11430"/>
    <cellStyle name="Normal 4 2 3 3 2 2 6 2" xfId="34290"/>
    <cellStyle name="Normal 4 2 3 3 2 2 7" xfId="13189"/>
    <cellStyle name="Normal 4 2 3 3 2 2 7 2" xfId="36048"/>
    <cellStyle name="Normal 4 2 3 3 2 2 8" xfId="23745"/>
    <cellStyle name="Normal 4 2 3 3 2 3" xfId="1321"/>
    <cellStyle name="Normal 4 2 3 3 2 3 2" xfId="3082"/>
    <cellStyle name="Normal 4 2 3 3 2 3 2 2" xfId="6597"/>
    <cellStyle name="Normal 4 2 3 3 2 3 2 2 2" xfId="18901"/>
    <cellStyle name="Normal 4 2 3 3 2 3 2 2 2 2" xfId="41760"/>
    <cellStyle name="Normal 4 2 3 3 2 3 2 2 3" xfId="29458"/>
    <cellStyle name="Normal 4 2 3 3 2 3 2 3" xfId="10112"/>
    <cellStyle name="Normal 4 2 3 3 2 3 2 3 2" xfId="22416"/>
    <cellStyle name="Normal 4 2 3 3 2 3 2 3 2 2" xfId="45275"/>
    <cellStyle name="Normal 4 2 3 3 2 3 2 3 3" xfId="32973"/>
    <cellStyle name="Normal 4 2 3 3 2 3 2 4" xfId="15386"/>
    <cellStyle name="Normal 4 2 3 3 2 3 2 4 2" xfId="38245"/>
    <cellStyle name="Normal 4 2 3 3 2 3 2 5" xfId="25943"/>
    <cellStyle name="Normal 4 2 3 3 2 3 3" xfId="4839"/>
    <cellStyle name="Normal 4 2 3 3 2 3 3 2" xfId="17143"/>
    <cellStyle name="Normal 4 2 3 3 2 3 3 2 2" xfId="40002"/>
    <cellStyle name="Normal 4 2 3 3 2 3 3 3" xfId="27700"/>
    <cellStyle name="Normal 4 2 3 3 2 3 4" xfId="8354"/>
    <cellStyle name="Normal 4 2 3 3 2 3 4 2" xfId="20658"/>
    <cellStyle name="Normal 4 2 3 3 2 3 4 2 2" xfId="43517"/>
    <cellStyle name="Normal 4 2 3 3 2 3 4 3" xfId="31215"/>
    <cellStyle name="Normal 4 2 3 3 2 3 5" xfId="11869"/>
    <cellStyle name="Normal 4 2 3 3 2 3 5 2" xfId="34729"/>
    <cellStyle name="Normal 4 2 3 3 2 3 6" xfId="13628"/>
    <cellStyle name="Normal 4 2 3 3 2 3 6 2" xfId="36487"/>
    <cellStyle name="Normal 4 2 3 3 2 3 7" xfId="24184"/>
    <cellStyle name="Normal 4 2 3 3 2 4" xfId="2204"/>
    <cellStyle name="Normal 4 2 3 3 2 4 2" xfId="5719"/>
    <cellStyle name="Normal 4 2 3 3 2 4 2 2" xfId="18023"/>
    <cellStyle name="Normal 4 2 3 3 2 4 2 2 2" xfId="40882"/>
    <cellStyle name="Normal 4 2 3 3 2 4 2 3" xfId="28580"/>
    <cellStyle name="Normal 4 2 3 3 2 4 3" xfId="9234"/>
    <cellStyle name="Normal 4 2 3 3 2 4 3 2" xfId="21538"/>
    <cellStyle name="Normal 4 2 3 3 2 4 3 2 2" xfId="44397"/>
    <cellStyle name="Normal 4 2 3 3 2 4 3 3" xfId="32095"/>
    <cellStyle name="Normal 4 2 3 3 2 4 4" xfId="14508"/>
    <cellStyle name="Normal 4 2 3 3 2 4 4 2" xfId="37367"/>
    <cellStyle name="Normal 4 2 3 3 2 4 5" xfId="25065"/>
    <cellStyle name="Normal 4 2 3 3 2 5" xfId="3961"/>
    <cellStyle name="Normal 4 2 3 3 2 5 2" xfId="16265"/>
    <cellStyle name="Normal 4 2 3 3 2 5 2 2" xfId="39124"/>
    <cellStyle name="Normal 4 2 3 3 2 5 3" xfId="26822"/>
    <cellStyle name="Normal 4 2 3 3 2 6" xfId="7476"/>
    <cellStyle name="Normal 4 2 3 3 2 6 2" xfId="19780"/>
    <cellStyle name="Normal 4 2 3 3 2 6 2 2" xfId="42639"/>
    <cellStyle name="Normal 4 2 3 3 2 6 3" xfId="30337"/>
    <cellStyle name="Normal 4 2 3 3 2 7" xfId="10991"/>
    <cellStyle name="Normal 4 2 3 3 2 7 2" xfId="33851"/>
    <cellStyle name="Normal 4 2 3 3 2 8" xfId="12750"/>
    <cellStyle name="Normal 4 2 3 3 2 8 2" xfId="35609"/>
    <cellStyle name="Normal 4 2 3 3 2 9" xfId="23305"/>
    <cellStyle name="Normal 4 2 3 3 3" xfId="669"/>
    <cellStyle name="Normal 4 2 3 3 3 2" xfId="1548"/>
    <cellStyle name="Normal 4 2 3 3 3 2 2" xfId="3309"/>
    <cellStyle name="Normal 4 2 3 3 3 2 2 2" xfId="6824"/>
    <cellStyle name="Normal 4 2 3 3 3 2 2 2 2" xfId="19128"/>
    <cellStyle name="Normal 4 2 3 3 3 2 2 2 2 2" xfId="41987"/>
    <cellStyle name="Normal 4 2 3 3 3 2 2 2 3" xfId="29685"/>
    <cellStyle name="Normal 4 2 3 3 3 2 2 3" xfId="10339"/>
    <cellStyle name="Normal 4 2 3 3 3 2 2 3 2" xfId="22643"/>
    <cellStyle name="Normal 4 2 3 3 3 2 2 3 2 2" xfId="45502"/>
    <cellStyle name="Normal 4 2 3 3 3 2 2 3 3" xfId="33200"/>
    <cellStyle name="Normal 4 2 3 3 3 2 2 4" xfId="15613"/>
    <cellStyle name="Normal 4 2 3 3 3 2 2 4 2" xfId="38472"/>
    <cellStyle name="Normal 4 2 3 3 3 2 2 5" xfId="26170"/>
    <cellStyle name="Normal 4 2 3 3 3 2 3" xfId="5066"/>
    <cellStyle name="Normal 4 2 3 3 3 2 3 2" xfId="17370"/>
    <cellStyle name="Normal 4 2 3 3 3 2 3 2 2" xfId="40229"/>
    <cellStyle name="Normal 4 2 3 3 3 2 3 3" xfId="27927"/>
    <cellStyle name="Normal 4 2 3 3 3 2 4" xfId="8581"/>
    <cellStyle name="Normal 4 2 3 3 3 2 4 2" xfId="20885"/>
    <cellStyle name="Normal 4 2 3 3 3 2 4 2 2" xfId="43744"/>
    <cellStyle name="Normal 4 2 3 3 3 2 4 3" xfId="31442"/>
    <cellStyle name="Normal 4 2 3 3 3 2 5" xfId="12096"/>
    <cellStyle name="Normal 4 2 3 3 3 2 5 2" xfId="34956"/>
    <cellStyle name="Normal 4 2 3 3 3 2 6" xfId="13855"/>
    <cellStyle name="Normal 4 2 3 3 3 2 6 2" xfId="36714"/>
    <cellStyle name="Normal 4 2 3 3 3 2 7" xfId="24411"/>
    <cellStyle name="Normal 4 2 3 3 3 3" xfId="2431"/>
    <cellStyle name="Normal 4 2 3 3 3 3 2" xfId="5946"/>
    <cellStyle name="Normal 4 2 3 3 3 3 2 2" xfId="18250"/>
    <cellStyle name="Normal 4 2 3 3 3 3 2 2 2" xfId="41109"/>
    <cellStyle name="Normal 4 2 3 3 3 3 2 3" xfId="28807"/>
    <cellStyle name="Normal 4 2 3 3 3 3 3" xfId="9461"/>
    <cellStyle name="Normal 4 2 3 3 3 3 3 2" xfId="21765"/>
    <cellStyle name="Normal 4 2 3 3 3 3 3 2 2" xfId="44624"/>
    <cellStyle name="Normal 4 2 3 3 3 3 3 3" xfId="32322"/>
    <cellStyle name="Normal 4 2 3 3 3 3 4" xfId="14735"/>
    <cellStyle name="Normal 4 2 3 3 3 3 4 2" xfId="37594"/>
    <cellStyle name="Normal 4 2 3 3 3 3 5" xfId="25292"/>
    <cellStyle name="Normal 4 2 3 3 3 4" xfId="4188"/>
    <cellStyle name="Normal 4 2 3 3 3 4 2" xfId="16492"/>
    <cellStyle name="Normal 4 2 3 3 3 4 2 2" xfId="39351"/>
    <cellStyle name="Normal 4 2 3 3 3 4 3" xfId="27049"/>
    <cellStyle name="Normal 4 2 3 3 3 5" xfId="7703"/>
    <cellStyle name="Normal 4 2 3 3 3 5 2" xfId="20007"/>
    <cellStyle name="Normal 4 2 3 3 3 5 2 2" xfId="42866"/>
    <cellStyle name="Normal 4 2 3 3 3 5 3" xfId="30564"/>
    <cellStyle name="Normal 4 2 3 3 3 6" xfId="11218"/>
    <cellStyle name="Normal 4 2 3 3 3 6 2" xfId="34078"/>
    <cellStyle name="Normal 4 2 3 3 3 7" xfId="12977"/>
    <cellStyle name="Normal 4 2 3 3 3 7 2" xfId="35836"/>
    <cellStyle name="Normal 4 2 3 3 3 8" xfId="23533"/>
    <cellStyle name="Normal 4 2 3 3 4" xfId="1109"/>
    <cellStyle name="Normal 4 2 3 3 4 2" xfId="2870"/>
    <cellStyle name="Normal 4 2 3 3 4 2 2" xfId="6385"/>
    <cellStyle name="Normal 4 2 3 3 4 2 2 2" xfId="18689"/>
    <cellStyle name="Normal 4 2 3 3 4 2 2 2 2" xfId="41548"/>
    <cellStyle name="Normal 4 2 3 3 4 2 2 3" xfId="29246"/>
    <cellStyle name="Normal 4 2 3 3 4 2 3" xfId="9900"/>
    <cellStyle name="Normal 4 2 3 3 4 2 3 2" xfId="22204"/>
    <cellStyle name="Normal 4 2 3 3 4 2 3 2 2" xfId="45063"/>
    <cellStyle name="Normal 4 2 3 3 4 2 3 3" xfId="32761"/>
    <cellStyle name="Normal 4 2 3 3 4 2 4" xfId="15174"/>
    <cellStyle name="Normal 4 2 3 3 4 2 4 2" xfId="38033"/>
    <cellStyle name="Normal 4 2 3 3 4 2 5" xfId="25731"/>
    <cellStyle name="Normal 4 2 3 3 4 3" xfId="4627"/>
    <cellStyle name="Normal 4 2 3 3 4 3 2" xfId="16931"/>
    <cellStyle name="Normal 4 2 3 3 4 3 2 2" xfId="39790"/>
    <cellStyle name="Normal 4 2 3 3 4 3 3" xfId="27488"/>
    <cellStyle name="Normal 4 2 3 3 4 4" xfId="8142"/>
    <cellStyle name="Normal 4 2 3 3 4 4 2" xfId="20446"/>
    <cellStyle name="Normal 4 2 3 3 4 4 2 2" xfId="43305"/>
    <cellStyle name="Normal 4 2 3 3 4 4 3" xfId="31003"/>
    <cellStyle name="Normal 4 2 3 3 4 5" xfId="11657"/>
    <cellStyle name="Normal 4 2 3 3 4 5 2" xfId="34517"/>
    <cellStyle name="Normal 4 2 3 3 4 6" xfId="13416"/>
    <cellStyle name="Normal 4 2 3 3 4 6 2" xfId="36275"/>
    <cellStyle name="Normal 4 2 3 3 4 7" xfId="23972"/>
    <cellStyle name="Normal 4 2 3 3 5" xfId="1992"/>
    <cellStyle name="Normal 4 2 3 3 5 2" xfId="5507"/>
    <cellStyle name="Normal 4 2 3 3 5 2 2" xfId="17811"/>
    <cellStyle name="Normal 4 2 3 3 5 2 2 2" xfId="40670"/>
    <cellStyle name="Normal 4 2 3 3 5 2 3" xfId="28368"/>
    <cellStyle name="Normal 4 2 3 3 5 3" xfId="9022"/>
    <cellStyle name="Normal 4 2 3 3 5 3 2" xfId="21326"/>
    <cellStyle name="Normal 4 2 3 3 5 3 2 2" xfId="44185"/>
    <cellStyle name="Normal 4 2 3 3 5 3 3" xfId="31883"/>
    <cellStyle name="Normal 4 2 3 3 5 4" xfId="14296"/>
    <cellStyle name="Normal 4 2 3 3 5 4 2" xfId="37155"/>
    <cellStyle name="Normal 4 2 3 3 5 5" xfId="24853"/>
    <cellStyle name="Normal 4 2 3 3 6" xfId="3749"/>
    <cellStyle name="Normal 4 2 3 3 6 2" xfId="16053"/>
    <cellStyle name="Normal 4 2 3 3 6 2 2" xfId="38912"/>
    <cellStyle name="Normal 4 2 3 3 6 3" xfId="26610"/>
    <cellStyle name="Normal 4 2 3 3 7" xfId="7264"/>
    <cellStyle name="Normal 4 2 3 3 7 2" xfId="19568"/>
    <cellStyle name="Normal 4 2 3 3 7 2 2" xfId="42427"/>
    <cellStyle name="Normal 4 2 3 3 7 3" xfId="30125"/>
    <cellStyle name="Normal 4 2 3 3 8" xfId="10779"/>
    <cellStyle name="Normal 4 2 3 3 8 2" xfId="33639"/>
    <cellStyle name="Normal 4 2 3 3 9" xfId="12538"/>
    <cellStyle name="Normal 4 2 3 3 9 2" xfId="35397"/>
    <cellStyle name="Normal 4 2 3 4" xfId="334"/>
    <cellStyle name="Normal 4 2 3 4 2" xfId="775"/>
    <cellStyle name="Normal 4 2 3 4 2 2" xfId="1654"/>
    <cellStyle name="Normal 4 2 3 4 2 2 2" xfId="3415"/>
    <cellStyle name="Normal 4 2 3 4 2 2 2 2" xfId="6930"/>
    <cellStyle name="Normal 4 2 3 4 2 2 2 2 2" xfId="19234"/>
    <cellStyle name="Normal 4 2 3 4 2 2 2 2 2 2" xfId="42093"/>
    <cellStyle name="Normal 4 2 3 4 2 2 2 2 3" xfId="29791"/>
    <cellStyle name="Normal 4 2 3 4 2 2 2 3" xfId="10445"/>
    <cellStyle name="Normal 4 2 3 4 2 2 2 3 2" xfId="22749"/>
    <cellStyle name="Normal 4 2 3 4 2 2 2 3 2 2" xfId="45608"/>
    <cellStyle name="Normal 4 2 3 4 2 2 2 3 3" xfId="33306"/>
    <cellStyle name="Normal 4 2 3 4 2 2 2 4" xfId="15719"/>
    <cellStyle name="Normal 4 2 3 4 2 2 2 4 2" xfId="38578"/>
    <cellStyle name="Normal 4 2 3 4 2 2 2 5" xfId="26276"/>
    <cellStyle name="Normal 4 2 3 4 2 2 3" xfId="5172"/>
    <cellStyle name="Normal 4 2 3 4 2 2 3 2" xfId="17476"/>
    <cellStyle name="Normal 4 2 3 4 2 2 3 2 2" xfId="40335"/>
    <cellStyle name="Normal 4 2 3 4 2 2 3 3" xfId="28033"/>
    <cellStyle name="Normal 4 2 3 4 2 2 4" xfId="8687"/>
    <cellStyle name="Normal 4 2 3 4 2 2 4 2" xfId="20991"/>
    <cellStyle name="Normal 4 2 3 4 2 2 4 2 2" xfId="43850"/>
    <cellStyle name="Normal 4 2 3 4 2 2 4 3" xfId="31548"/>
    <cellStyle name="Normal 4 2 3 4 2 2 5" xfId="12202"/>
    <cellStyle name="Normal 4 2 3 4 2 2 5 2" xfId="35062"/>
    <cellStyle name="Normal 4 2 3 4 2 2 6" xfId="13961"/>
    <cellStyle name="Normal 4 2 3 4 2 2 6 2" xfId="36820"/>
    <cellStyle name="Normal 4 2 3 4 2 2 7" xfId="24517"/>
    <cellStyle name="Normal 4 2 3 4 2 3" xfId="2537"/>
    <cellStyle name="Normal 4 2 3 4 2 3 2" xfId="6052"/>
    <cellStyle name="Normal 4 2 3 4 2 3 2 2" xfId="18356"/>
    <cellStyle name="Normal 4 2 3 4 2 3 2 2 2" xfId="41215"/>
    <cellStyle name="Normal 4 2 3 4 2 3 2 3" xfId="28913"/>
    <cellStyle name="Normal 4 2 3 4 2 3 3" xfId="9567"/>
    <cellStyle name="Normal 4 2 3 4 2 3 3 2" xfId="21871"/>
    <cellStyle name="Normal 4 2 3 4 2 3 3 2 2" xfId="44730"/>
    <cellStyle name="Normal 4 2 3 4 2 3 3 3" xfId="32428"/>
    <cellStyle name="Normal 4 2 3 4 2 3 4" xfId="14841"/>
    <cellStyle name="Normal 4 2 3 4 2 3 4 2" xfId="37700"/>
    <cellStyle name="Normal 4 2 3 4 2 3 5" xfId="25398"/>
    <cellStyle name="Normal 4 2 3 4 2 4" xfId="4294"/>
    <cellStyle name="Normal 4 2 3 4 2 4 2" xfId="16598"/>
    <cellStyle name="Normal 4 2 3 4 2 4 2 2" xfId="39457"/>
    <cellStyle name="Normal 4 2 3 4 2 4 3" xfId="27155"/>
    <cellStyle name="Normal 4 2 3 4 2 5" xfId="7809"/>
    <cellStyle name="Normal 4 2 3 4 2 5 2" xfId="20113"/>
    <cellStyle name="Normal 4 2 3 4 2 5 2 2" xfId="42972"/>
    <cellStyle name="Normal 4 2 3 4 2 5 3" xfId="30670"/>
    <cellStyle name="Normal 4 2 3 4 2 6" xfId="11324"/>
    <cellStyle name="Normal 4 2 3 4 2 6 2" xfId="34184"/>
    <cellStyle name="Normal 4 2 3 4 2 7" xfId="13083"/>
    <cellStyle name="Normal 4 2 3 4 2 7 2" xfId="35942"/>
    <cellStyle name="Normal 4 2 3 4 2 8" xfId="23639"/>
    <cellStyle name="Normal 4 2 3 4 3" xfId="1215"/>
    <cellStyle name="Normal 4 2 3 4 3 2" xfId="2976"/>
    <cellStyle name="Normal 4 2 3 4 3 2 2" xfId="6491"/>
    <cellStyle name="Normal 4 2 3 4 3 2 2 2" xfId="18795"/>
    <cellStyle name="Normal 4 2 3 4 3 2 2 2 2" xfId="41654"/>
    <cellStyle name="Normal 4 2 3 4 3 2 2 3" xfId="29352"/>
    <cellStyle name="Normal 4 2 3 4 3 2 3" xfId="10006"/>
    <cellStyle name="Normal 4 2 3 4 3 2 3 2" xfId="22310"/>
    <cellStyle name="Normal 4 2 3 4 3 2 3 2 2" xfId="45169"/>
    <cellStyle name="Normal 4 2 3 4 3 2 3 3" xfId="32867"/>
    <cellStyle name="Normal 4 2 3 4 3 2 4" xfId="15280"/>
    <cellStyle name="Normal 4 2 3 4 3 2 4 2" xfId="38139"/>
    <cellStyle name="Normal 4 2 3 4 3 2 5" xfId="25837"/>
    <cellStyle name="Normal 4 2 3 4 3 3" xfId="4733"/>
    <cellStyle name="Normal 4 2 3 4 3 3 2" xfId="17037"/>
    <cellStyle name="Normal 4 2 3 4 3 3 2 2" xfId="39896"/>
    <cellStyle name="Normal 4 2 3 4 3 3 3" xfId="27594"/>
    <cellStyle name="Normal 4 2 3 4 3 4" xfId="8248"/>
    <cellStyle name="Normal 4 2 3 4 3 4 2" xfId="20552"/>
    <cellStyle name="Normal 4 2 3 4 3 4 2 2" xfId="43411"/>
    <cellStyle name="Normal 4 2 3 4 3 4 3" xfId="31109"/>
    <cellStyle name="Normal 4 2 3 4 3 5" xfId="11763"/>
    <cellStyle name="Normal 4 2 3 4 3 5 2" xfId="34623"/>
    <cellStyle name="Normal 4 2 3 4 3 6" xfId="13522"/>
    <cellStyle name="Normal 4 2 3 4 3 6 2" xfId="36381"/>
    <cellStyle name="Normal 4 2 3 4 3 7" xfId="24078"/>
    <cellStyle name="Normal 4 2 3 4 4" xfId="2098"/>
    <cellStyle name="Normal 4 2 3 4 4 2" xfId="5613"/>
    <cellStyle name="Normal 4 2 3 4 4 2 2" xfId="17917"/>
    <cellStyle name="Normal 4 2 3 4 4 2 2 2" xfId="40776"/>
    <cellStyle name="Normal 4 2 3 4 4 2 3" xfId="28474"/>
    <cellStyle name="Normal 4 2 3 4 4 3" xfId="9128"/>
    <cellStyle name="Normal 4 2 3 4 4 3 2" xfId="21432"/>
    <cellStyle name="Normal 4 2 3 4 4 3 2 2" xfId="44291"/>
    <cellStyle name="Normal 4 2 3 4 4 3 3" xfId="31989"/>
    <cellStyle name="Normal 4 2 3 4 4 4" xfId="14402"/>
    <cellStyle name="Normal 4 2 3 4 4 4 2" xfId="37261"/>
    <cellStyle name="Normal 4 2 3 4 4 5" xfId="24959"/>
    <cellStyle name="Normal 4 2 3 4 5" xfId="3855"/>
    <cellStyle name="Normal 4 2 3 4 5 2" xfId="16159"/>
    <cellStyle name="Normal 4 2 3 4 5 2 2" xfId="39018"/>
    <cellStyle name="Normal 4 2 3 4 5 3" xfId="26716"/>
    <cellStyle name="Normal 4 2 3 4 6" xfId="7370"/>
    <cellStyle name="Normal 4 2 3 4 6 2" xfId="19674"/>
    <cellStyle name="Normal 4 2 3 4 6 2 2" xfId="42533"/>
    <cellStyle name="Normal 4 2 3 4 6 3" xfId="30231"/>
    <cellStyle name="Normal 4 2 3 4 7" xfId="10885"/>
    <cellStyle name="Normal 4 2 3 4 7 2" xfId="33745"/>
    <cellStyle name="Normal 4 2 3 4 8" xfId="12644"/>
    <cellStyle name="Normal 4 2 3 4 8 2" xfId="35503"/>
    <cellStyle name="Normal 4 2 3 4 9" xfId="23199"/>
    <cellStyle name="Normal 4 2 3 5" xfId="563"/>
    <cellStyle name="Normal 4 2 3 5 2" xfId="1442"/>
    <cellStyle name="Normal 4 2 3 5 2 2" xfId="3203"/>
    <cellStyle name="Normal 4 2 3 5 2 2 2" xfId="6718"/>
    <cellStyle name="Normal 4 2 3 5 2 2 2 2" xfId="19022"/>
    <cellStyle name="Normal 4 2 3 5 2 2 2 2 2" xfId="41881"/>
    <cellStyle name="Normal 4 2 3 5 2 2 2 3" xfId="29579"/>
    <cellStyle name="Normal 4 2 3 5 2 2 3" xfId="10233"/>
    <cellStyle name="Normal 4 2 3 5 2 2 3 2" xfId="22537"/>
    <cellStyle name="Normal 4 2 3 5 2 2 3 2 2" xfId="45396"/>
    <cellStyle name="Normal 4 2 3 5 2 2 3 3" xfId="33094"/>
    <cellStyle name="Normal 4 2 3 5 2 2 4" xfId="15507"/>
    <cellStyle name="Normal 4 2 3 5 2 2 4 2" xfId="38366"/>
    <cellStyle name="Normal 4 2 3 5 2 2 5" xfId="26064"/>
    <cellStyle name="Normal 4 2 3 5 2 3" xfId="4960"/>
    <cellStyle name="Normal 4 2 3 5 2 3 2" xfId="17264"/>
    <cellStyle name="Normal 4 2 3 5 2 3 2 2" xfId="40123"/>
    <cellStyle name="Normal 4 2 3 5 2 3 3" xfId="27821"/>
    <cellStyle name="Normal 4 2 3 5 2 4" xfId="8475"/>
    <cellStyle name="Normal 4 2 3 5 2 4 2" xfId="20779"/>
    <cellStyle name="Normal 4 2 3 5 2 4 2 2" xfId="43638"/>
    <cellStyle name="Normal 4 2 3 5 2 4 3" xfId="31336"/>
    <cellStyle name="Normal 4 2 3 5 2 5" xfId="11990"/>
    <cellStyle name="Normal 4 2 3 5 2 5 2" xfId="34850"/>
    <cellStyle name="Normal 4 2 3 5 2 6" xfId="13749"/>
    <cellStyle name="Normal 4 2 3 5 2 6 2" xfId="36608"/>
    <cellStyle name="Normal 4 2 3 5 2 7" xfId="24305"/>
    <cellStyle name="Normal 4 2 3 5 3" xfId="2325"/>
    <cellStyle name="Normal 4 2 3 5 3 2" xfId="5840"/>
    <cellStyle name="Normal 4 2 3 5 3 2 2" xfId="18144"/>
    <cellStyle name="Normal 4 2 3 5 3 2 2 2" xfId="41003"/>
    <cellStyle name="Normal 4 2 3 5 3 2 3" xfId="28701"/>
    <cellStyle name="Normal 4 2 3 5 3 3" xfId="9355"/>
    <cellStyle name="Normal 4 2 3 5 3 3 2" xfId="21659"/>
    <cellStyle name="Normal 4 2 3 5 3 3 2 2" xfId="44518"/>
    <cellStyle name="Normal 4 2 3 5 3 3 3" xfId="32216"/>
    <cellStyle name="Normal 4 2 3 5 3 4" xfId="14629"/>
    <cellStyle name="Normal 4 2 3 5 3 4 2" xfId="37488"/>
    <cellStyle name="Normal 4 2 3 5 3 5" xfId="25186"/>
    <cellStyle name="Normal 4 2 3 5 4" xfId="4082"/>
    <cellStyle name="Normal 4 2 3 5 4 2" xfId="16386"/>
    <cellStyle name="Normal 4 2 3 5 4 2 2" xfId="39245"/>
    <cellStyle name="Normal 4 2 3 5 4 3" xfId="26943"/>
    <cellStyle name="Normal 4 2 3 5 5" xfId="7597"/>
    <cellStyle name="Normal 4 2 3 5 5 2" xfId="19901"/>
    <cellStyle name="Normal 4 2 3 5 5 2 2" xfId="42760"/>
    <cellStyle name="Normal 4 2 3 5 5 3" xfId="30458"/>
    <cellStyle name="Normal 4 2 3 5 6" xfId="11112"/>
    <cellStyle name="Normal 4 2 3 5 6 2" xfId="33972"/>
    <cellStyle name="Normal 4 2 3 5 7" xfId="12871"/>
    <cellStyle name="Normal 4 2 3 5 7 2" xfId="35730"/>
    <cellStyle name="Normal 4 2 3 5 8" xfId="23427"/>
    <cellStyle name="Normal 4 2 3 6" xfId="1003"/>
    <cellStyle name="Normal 4 2 3 6 2" xfId="2764"/>
    <cellStyle name="Normal 4 2 3 6 2 2" xfId="6279"/>
    <cellStyle name="Normal 4 2 3 6 2 2 2" xfId="18583"/>
    <cellStyle name="Normal 4 2 3 6 2 2 2 2" xfId="41442"/>
    <cellStyle name="Normal 4 2 3 6 2 2 3" xfId="29140"/>
    <cellStyle name="Normal 4 2 3 6 2 3" xfId="9794"/>
    <cellStyle name="Normal 4 2 3 6 2 3 2" xfId="22098"/>
    <cellStyle name="Normal 4 2 3 6 2 3 2 2" xfId="44957"/>
    <cellStyle name="Normal 4 2 3 6 2 3 3" xfId="32655"/>
    <cellStyle name="Normal 4 2 3 6 2 4" xfId="15068"/>
    <cellStyle name="Normal 4 2 3 6 2 4 2" xfId="37927"/>
    <cellStyle name="Normal 4 2 3 6 2 5" xfId="25625"/>
    <cellStyle name="Normal 4 2 3 6 3" xfId="4521"/>
    <cellStyle name="Normal 4 2 3 6 3 2" xfId="16825"/>
    <cellStyle name="Normal 4 2 3 6 3 2 2" xfId="39684"/>
    <cellStyle name="Normal 4 2 3 6 3 3" xfId="27382"/>
    <cellStyle name="Normal 4 2 3 6 4" xfId="8036"/>
    <cellStyle name="Normal 4 2 3 6 4 2" xfId="20340"/>
    <cellStyle name="Normal 4 2 3 6 4 2 2" xfId="43199"/>
    <cellStyle name="Normal 4 2 3 6 4 3" xfId="30897"/>
    <cellStyle name="Normal 4 2 3 6 5" xfId="11551"/>
    <cellStyle name="Normal 4 2 3 6 5 2" xfId="34411"/>
    <cellStyle name="Normal 4 2 3 6 6" xfId="13310"/>
    <cellStyle name="Normal 4 2 3 6 6 2" xfId="36169"/>
    <cellStyle name="Normal 4 2 3 6 7" xfId="23866"/>
    <cellStyle name="Normal 4 2 3 7" xfId="1886"/>
    <cellStyle name="Normal 4 2 3 7 2" xfId="5401"/>
    <cellStyle name="Normal 4 2 3 7 2 2" xfId="17705"/>
    <cellStyle name="Normal 4 2 3 7 2 2 2" xfId="40564"/>
    <cellStyle name="Normal 4 2 3 7 2 3" xfId="28262"/>
    <cellStyle name="Normal 4 2 3 7 3" xfId="8916"/>
    <cellStyle name="Normal 4 2 3 7 3 2" xfId="21220"/>
    <cellStyle name="Normal 4 2 3 7 3 2 2" xfId="44079"/>
    <cellStyle name="Normal 4 2 3 7 3 3" xfId="31777"/>
    <cellStyle name="Normal 4 2 3 7 4" xfId="14190"/>
    <cellStyle name="Normal 4 2 3 7 4 2" xfId="37049"/>
    <cellStyle name="Normal 4 2 3 7 5" xfId="24747"/>
    <cellStyle name="Normal 4 2 3 8" xfId="3643"/>
    <cellStyle name="Normal 4 2 3 8 2" xfId="15947"/>
    <cellStyle name="Normal 4 2 3 8 2 2" xfId="38806"/>
    <cellStyle name="Normal 4 2 3 8 3" xfId="26504"/>
    <cellStyle name="Normal 4 2 3 9" xfId="7158"/>
    <cellStyle name="Normal 4 2 3 9 2" xfId="19462"/>
    <cellStyle name="Normal 4 2 3 9 2 2" xfId="42321"/>
    <cellStyle name="Normal 4 2 3 9 3" xfId="30019"/>
    <cellStyle name="Normal 4 2 4" xfId="149"/>
    <cellStyle name="Normal 4 2 4 10" xfId="12461"/>
    <cellStyle name="Normal 4 2 4 10 2" xfId="35320"/>
    <cellStyle name="Normal 4 2 4 11" xfId="23015"/>
    <cellStyle name="Normal 4 2 4 2" xfId="257"/>
    <cellStyle name="Normal 4 2 4 2 10" xfId="23122"/>
    <cellStyle name="Normal 4 2 4 2 2" xfId="469"/>
    <cellStyle name="Normal 4 2 4 2 2 2" xfId="910"/>
    <cellStyle name="Normal 4 2 4 2 2 2 2" xfId="1789"/>
    <cellStyle name="Normal 4 2 4 2 2 2 2 2" xfId="3550"/>
    <cellStyle name="Normal 4 2 4 2 2 2 2 2 2" xfId="7065"/>
    <cellStyle name="Normal 4 2 4 2 2 2 2 2 2 2" xfId="19369"/>
    <cellStyle name="Normal 4 2 4 2 2 2 2 2 2 2 2" xfId="42228"/>
    <cellStyle name="Normal 4 2 4 2 2 2 2 2 2 3" xfId="29926"/>
    <cellStyle name="Normal 4 2 4 2 2 2 2 2 3" xfId="10580"/>
    <cellStyle name="Normal 4 2 4 2 2 2 2 2 3 2" xfId="22884"/>
    <cellStyle name="Normal 4 2 4 2 2 2 2 2 3 2 2" xfId="45743"/>
    <cellStyle name="Normal 4 2 4 2 2 2 2 2 3 3" xfId="33441"/>
    <cellStyle name="Normal 4 2 4 2 2 2 2 2 4" xfId="15854"/>
    <cellStyle name="Normal 4 2 4 2 2 2 2 2 4 2" xfId="38713"/>
    <cellStyle name="Normal 4 2 4 2 2 2 2 2 5" xfId="26411"/>
    <cellStyle name="Normal 4 2 4 2 2 2 2 3" xfId="5307"/>
    <cellStyle name="Normal 4 2 4 2 2 2 2 3 2" xfId="17611"/>
    <cellStyle name="Normal 4 2 4 2 2 2 2 3 2 2" xfId="40470"/>
    <cellStyle name="Normal 4 2 4 2 2 2 2 3 3" xfId="28168"/>
    <cellStyle name="Normal 4 2 4 2 2 2 2 4" xfId="8822"/>
    <cellStyle name="Normal 4 2 4 2 2 2 2 4 2" xfId="21126"/>
    <cellStyle name="Normal 4 2 4 2 2 2 2 4 2 2" xfId="43985"/>
    <cellStyle name="Normal 4 2 4 2 2 2 2 4 3" xfId="31683"/>
    <cellStyle name="Normal 4 2 4 2 2 2 2 5" xfId="12337"/>
    <cellStyle name="Normal 4 2 4 2 2 2 2 5 2" xfId="35197"/>
    <cellStyle name="Normal 4 2 4 2 2 2 2 6" xfId="14096"/>
    <cellStyle name="Normal 4 2 4 2 2 2 2 6 2" xfId="36955"/>
    <cellStyle name="Normal 4 2 4 2 2 2 2 7" xfId="24652"/>
    <cellStyle name="Normal 4 2 4 2 2 2 3" xfId="2672"/>
    <cellStyle name="Normal 4 2 4 2 2 2 3 2" xfId="6187"/>
    <cellStyle name="Normal 4 2 4 2 2 2 3 2 2" xfId="18491"/>
    <cellStyle name="Normal 4 2 4 2 2 2 3 2 2 2" xfId="41350"/>
    <cellStyle name="Normal 4 2 4 2 2 2 3 2 3" xfId="29048"/>
    <cellStyle name="Normal 4 2 4 2 2 2 3 3" xfId="9702"/>
    <cellStyle name="Normal 4 2 4 2 2 2 3 3 2" xfId="22006"/>
    <cellStyle name="Normal 4 2 4 2 2 2 3 3 2 2" xfId="44865"/>
    <cellStyle name="Normal 4 2 4 2 2 2 3 3 3" xfId="32563"/>
    <cellStyle name="Normal 4 2 4 2 2 2 3 4" xfId="14976"/>
    <cellStyle name="Normal 4 2 4 2 2 2 3 4 2" xfId="37835"/>
    <cellStyle name="Normal 4 2 4 2 2 2 3 5" xfId="25533"/>
    <cellStyle name="Normal 4 2 4 2 2 2 4" xfId="4429"/>
    <cellStyle name="Normal 4 2 4 2 2 2 4 2" xfId="16733"/>
    <cellStyle name="Normal 4 2 4 2 2 2 4 2 2" xfId="39592"/>
    <cellStyle name="Normal 4 2 4 2 2 2 4 3" xfId="27290"/>
    <cellStyle name="Normal 4 2 4 2 2 2 5" xfId="7944"/>
    <cellStyle name="Normal 4 2 4 2 2 2 5 2" xfId="20248"/>
    <cellStyle name="Normal 4 2 4 2 2 2 5 2 2" xfId="43107"/>
    <cellStyle name="Normal 4 2 4 2 2 2 5 3" xfId="30805"/>
    <cellStyle name="Normal 4 2 4 2 2 2 6" xfId="11459"/>
    <cellStyle name="Normal 4 2 4 2 2 2 6 2" xfId="34319"/>
    <cellStyle name="Normal 4 2 4 2 2 2 7" xfId="13218"/>
    <cellStyle name="Normal 4 2 4 2 2 2 7 2" xfId="36077"/>
    <cellStyle name="Normal 4 2 4 2 2 2 8" xfId="23774"/>
    <cellStyle name="Normal 4 2 4 2 2 3" xfId="1350"/>
    <cellStyle name="Normal 4 2 4 2 2 3 2" xfId="3111"/>
    <cellStyle name="Normal 4 2 4 2 2 3 2 2" xfId="6626"/>
    <cellStyle name="Normal 4 2 4 2 2 3 2 2 2" xfId="18930"/>
    <cellStyle name="Normal 4 2 4 2 2 3 2 2 2 2" xfId="41789"/>
    <cellStyle name="Normal 4 2 4 2 2 3 2 2 3" xfId="29487"/>
    <cellStyle name="Normal 4 2 4 2 2 3 2 3" xfId="10141"/>
    <cellStyle name="Normal 4 2 4 2 2 3 2 3 2" xfId="22445"/>
    <cellStyle name="Normal 4 2 4 2 2 3 2 3 2 2" xfId="45304"/>
    <cellStyle name="Normal 4 2 4 2 2 3 2 3 3" xfId="33002"/>
    <cellStyle name="Normal 4 2 4 2 2 3 2 4" xfId="15415"/>
    <cellStyle name="Normal 4 2 4 2 2 3 2 4 2" xfId="38274"/>
    <cellStyle name="Normal 4 2 4 2 2 3 2 5" xfId="25972"/>
    <cellStyle name="Normal 4 2 4 2 2 3 3" xfId="4868"/>
    <cellStyle name="Normal 4 2 4 2 2 3 3 2" xfId="17172"/>
    <cellStyle name="Normal 4 2 4 2 2 3 3 2 2" xfId="40031"/>
    <cellStyle name="Normal 4 2 4 2 2 3 3 3" xfId="27729"/>
    <cellStyle name="Normal 4 2 4 2 2 3 4" xfId="8383"/>
    <cellStyle name="Normal 4 2 4 2 2 3 4 2" xfId="20687"/>
    <cellStyle name="Normal 4 2 4 2 2 3 4 2 2" xfId="43546"/>
    <cellStyle name="Normal 4 2 4 2 2 3 4 3" xfId="31244"/>
    <cellStyle name="Normal 4 2 4 2 2 3 5" xfId="11898"/>
    <cellStyle name="Normal 4 2 4 2 2 3 5 2" xfId="34758"/>
    <cellStyle name="Normal 4 2 4 2 2 3 6" xfId="13657"/>
    <cellStyle name="Normal 4 2 4 2 2 3 6 2" xfId="36516"/>
    <cellStyle name="Normal 4 2 4 2 2 3 7" xfId="24213"/>
    <cellStyle name="Normal 4 2 4 2 2 4" xfId="2233"/>
    <cellStyle name="Normal 4 2 4 2 2 4 2" xfId="5748"/>
    <cellStyle name="Normal 4 2 4 2 2 4 2 2" xfId="18052"/>
    <cellStyle name="Normal 4 2 4 2 2 4 2 2 2" xfId="40911"/>
    <cellStyle name="Normal 4 2 4 2 2 4 2 3" xfId="28609"/>
    <cellStyle name="Normal 4 2 4 2 2 4 3" xfId="9263"/>
    <cellStyle name="Normal 4 2 4 2 2 4 3 2" xfId="21567"/>
    <cellStyle name="Normal 4 2 4 2 2 4 3 2 2" xfId="44426"/>
    <cellStyle name="Normal 4 2 4 2 2 4 3 3" xfId="32124"/>
    <cellStyle name="Normal 4 2 4 2 2 4 4" xfId="14537"/>
    <cellStyle name="Normal 4 2 4 2 2 4 4 2" xfId="37396"/>
    <cellStyle name="Normal 4 2 4 2 2 4 5" xfId="25094"/>
    <cellStyle name="Normal 4 2 4 2 2 5" xfId="3990"/>
    <cellStyle name="Normal 4 2 4 2 2 5 2" xfId="16294"/>
    <cellStyle name="Normal 4 2 4 2 2 5 2 2" xfId="39153"/>
    <cellStyle name="Normal 4 2 4 2 2 5 3" xfId="26851"/>
    <cellStyle name="Normal 4 2 4 2 2 6" xfId="7505"/>
    <cellStyle name="Normal 4 2 4 2 2 6 2" xfId="19809"/>
    <cellStyle name="Normal 4 2 4 2 2 6 2 2" xfId="42668"/>
    <cellStyle name="Normal 4 2 4 2 2 6 3" xfId="30366"/>
    <cellStyle name="Normal 4 2 4 2 2 7" xfId="11020"/>
    <cellStyle name="Normal 4 2 4 2 2 7 2" xfId="33880"/>
    <cellStyle name="Normal 4 2 4 2 2 8" xfId="12779"/>
    <cellStyle name="Normal 4 2 4 2 2 8 2" xfId="35638"/>
    <cellStyle name="Normal 4 2 4 2 2 9" xfId="23334"/>
    <cellStyle name="Normal 4 2 4 2 3" xfId="698"/>
    <cellStyle name="Normal 4 2 4 2 3 2" xfId="1577"/>
    <cellStyle name="Normal 4 2 4 2 3 2 2" xfId="3338"/>
    <cellStyle name="Normal 4 2 4 2 3 2 2 2" xfId="6853"/>
    <cellStyle name="Normal 4 2 4 2 3 2 2 2 2" xfId="19157"/>
    <cellStyle name="Normal 4 2 4 2 3 2 2 2 2 2" xfId="42016"/>
    <cellStyle name="Normal 4 2 4 2 3 2 2 2 3" xfId="29714"/>
    <cellStyle name="Normal 4 2 4 2 3 2 2 3" xfId="10368"/>
    <cellStyle name="Normal 4 2 4 2 3 2 2 3 2" xfId="22672"/>
    <cellStyle name="Normal 4 2 4 2 3 2 2 3 2 2" xfId="45531"/>
    <cellStyle name="Normal 4 2 4 2 3 2 2 3 3" xfId="33229"/>
    <cellStyle name="Normal 4 2 4 2 3 2 2 4" xfId="15642"/>
    <cellStyle name="Normal 4 2 4 2 3 2 2 4 2" xfId="38501"/>
    <cellStyle name="Normal 4 2 4 2 3 2 2 5" xfId="26199"/>
    <cellStyle name="Normal 4 2 4 2 3 2 3" xfId="5095"/>
    <cellStyle name="Normal 4 2 4 2 3 2 3 2" xfId="17399"/>
    <cellStyle name="Normal 4 2 4 2 3 2 3 2 2" xfId="40258"/>
    <cellStyle name="Normal 4 2 4 2 3 2 3 3" xfId="27956"/>
    <cellStyle name="Normal 4 2 4 2 3 2 4" xfId="8610"/>
    <cellStyle name="Normal 4 2 4 2 3 2 4 2" xfId="20914"/>
    <cellStyle name="Normal 4 2 4 2 3 2 4 2 2" xfId="43773"/>
    <cellStyle name="Normal 4 2 4 2 3 2 4 3" xfId="31471"/>
    <cellStyle name="Normal 4 2 4 2 3 2 5" xfId="12125"/>
    <cellStyle name="Normal 4 2 4 2 3 2 5 2" xfId="34985"/>
    <cellStyle name="Normal 4 2 4 2 3 2 6" xfId="13884"/>
    <cellStyle name="Normal 4 2 4 2 3 2 6 2" xfId="36743"/>
    <cellStyle name="Normal 4 2 4 2 3 2 7" xfId="24440"/>
    <cellStyle name="Normal 4 2 4 2 3 3" xfId="2460"/>
    <cellStyle name="Normal 4 2 4 2 3 3 2" xfId="5975"/>
    <cellStyle name="Normal 4 2 4 2 3 3 2 2" xfId="18279"/>
    <cellStyle name="Normal 4 2 4 2 3 3 2 2 2" xfId="41138"/>
    <cellStyle name="Normal 4 2 4 2 3 3 2 3" xfId="28836"/>
    <cellStyle name="Normal 4 2 4 2 3 3 3" xfId="9490"/>
    <cellStyle name="Normal 4 2 4 2 3 3 3 2" xfId="21794"/>
    <cellStyle name="Normal 4 2 4 2 3 3 3 2 2" xfId="44653"/>
    <cellStyle name="Normal 4 2 4 2 3 3 3 3" xfId="32351"/>
    <cellStyle name="Normal 4 2 4 2 3 3 4" xfId="14764"/>
    <cellStyle name="Normal 4 2 4 2 3 3 4 2" xfId="37623"/>
    <cellStyle name="Normal 4 2 4 2 3 3 5" xfId="25321"/>
    <cellStyle name="Normal 4 2 4 2 3 4" xfId="4217"/>
    <cellStyle name="Normal 4 2 4 2 3 4 2" xfId="16521"/>
    <cellStyle name="Normal 4 2 4 2 3 4 2 2" xfId="39380"/>
    <cellStyle name="Normal 4 2 4 2 3 4 3" xfId="27078"/>
    <cellStyle name="Normal 4 2 4 2 3 5" xfId="7732"/>
    <cellStyle name="Normal 4 2 4 2 3 5 2" xfId="20036"/>
    <cellStyle name="Normal 4 2 4 2 3 5 2 2" xfId="42895"/>
    <cellStyle name="Normal 4 2 4 2 3 5 3" xfId="30593"/>
    <cellStyle name="Normal 4 2 4 2 3 6" xfId="11247"/>
    <cellStyle name="Normal 4 2 4 2 3 6 2" xfId="34107"/>
    <cellStyle name="Normal 4 2 4 2 3 7" xfId="13006"/>
    <cellStyle name="Normal 4 2 4 2 3 7 2" xfId="35865"/>
    <cellStyle name="Normal 4 2 4 2 3 8" xfId="23562"/>
    <cellStyle name="Normal 4 2 4 2 4" xfId="1138"/>
    <cellStyle name="Normal 4 2 4 2 4 2" xfId="2899"/>
    <cellStyle name="Normal 4 2 4 2 4 2 2" xfId="6414"/>
    <cellStyle name="Normal 4 2 4 2 4 2 2 2" xfId="18718"/>
    <cellStyle name="Normal 4 2 4 2 4 2 2 2 2" xfId="41577"/>
    <cellStyle name="Normal 4 2 4 2 4 2 2 3" xfId="29275"/>
    <cellStyle name="Normal 4 2 4 2 4 2 3" xfId="9929"/>
    <cellStyle name="Normal 4 2 4 2 4 2 3 2" xfId="22233"/>
    <cellStyle name="Normal 4 2 4 2 4 2 3 2 2" xfId="45092"/>
    <cellStyle name="Normal 4 2 4 2 4 2 3 3" xfId="32790"/>
    <cellStyle name="Normal 4 2 4 2 4 2 4" xfId="15203"/>
    <cellStyle name="Normal 4 2 4 2 4 2 4 2" xfId="38062"/>
    <cellStyle name="Normal 4 2 4 2 4 2 5" xfId="25760"/>
    <cellStyle name="Normal 4 2 4 2 4 3" xfId="4656"/>
    <cellStyle name="Normal 4 2 4 2 4 3 2" xfId="16960"/>
    <cellStyle name="Normal 4 2 4 2 4 3 2 2" xfId="39819"/>
    <cellStyle name="Normal 4 2 4 2 4 3 3" xfId="27517"/>
    <cellStyle name="Normal 4 2 4 2 4 4" xfId="8171"/>
    <cellStyle name="Normal 4 2 4 2 4 4 2" xfId="20475"/>
    <cellStyle name="Normal 4 2 4 2 4 4 2 2" xfId="43334"/>
    <cellStyle name="Normal 4 2 4 2 4 4 3" xfId="31032"/>
    <cellStyle name="Normal 4 2 4 2 4 5" xfId="11686"/>
    <cellStyle name="Normal 4 2 4 2 4 5 2" xfId="34546"/>
    <cellStyle name="Normal 4 2 4 2 4 6" xfId="13445"/>
    <cellStyle name="Normal 4 2 4 2 4 6 2" xfId="36304"/>
    <cellStyle name="Normal 4 2 4 2 4 7" xfId="24001"/>
    <cellStyle name="Normal 4 2 4 2 5" xfId="2021"/>
    <cellStyle name="Normal 4 2 4 2 5 2" xfId="5536"/>
    <cellStyle name="Normal 4 2 4 2 5 2 2" xfId="17840"/>
    <cellStyle name="Normal 4 2 4 2 5 2 2 2" xfId="40699"/>
    <cellStyle name="Normal 4 2 4 2 5 2 3" xfId="28397"/>
    <cellStyle name="Normal 4 2 4 2 5 3" xfId="9051"/>
    <cellStyle name="Normal 4 2 4 2 5 3 2" xfId="21355"/>
    <cellStyle name="Normal 4 2 4 2 5 3 2 2" xfId="44214"/>
    <cellStyle name="Normal 4 2 4 2 5 3 3" xfId="31912"/>
    <cellStyle name="Normal 4 2 4 2 5 4" xfId="14325"/>
    <cellStyle name="Normal 4 2 4 2 5 4 2" xfId="37184"/>
    <cellStyle name="Normal 4 2 4 2 5 5" xfId="24882"/>
    <cellStyle name="Normal 4 2 4 2 6" xfId="3778"/>
    <cellStyle name="Normal 4 2 4 2 6 2" xfId="16082"/>
    <cellStyle name="Normal 4 2 4 2 6 2 2" xfId="38941"/>
    <cellStyle name="Normal 4 2 4 2 6 3" xfId="26639"/>
    <cellStyle name="Normal 4 2 4 2 7" xfId="7293"/>
    <cellStyle name="Normal 4 2 4 2 7 2" xfId="19597"/>
    <cellStyle name="Normal 4 2 4 2 7 2 2" xfId="42456"/>
    <cellStyle name="Normal 4 2 4 2 7 3" xfId="30154"/>
    <cellStyle name="Normal 4 2 4 2 8" xfId="10808"/>
    <cellStyle name="Normal 4 2 4 2 8 2" xfId="33668"/>
    <cellStyle name="Normal 4 2 4 2 9" xfId="12567"/>
    <cellStyle name="Normal 4 2 4 2 9 2" xfId="35426"/>
    <cellStyle name="Normal 4 2 4 3" xfId="363"/>
    <cellStyle name="Normal 4 2 4 3 2" xfId="804"/>
    <cellStyle name="Normal 4 2 4 3 2 2" xfId="1683"/>
    <cellStyle name="Normal 4 2 4 3 2 2 2" xfId="3444"/>
    <cellStyle name="Normal 4 2 4 3 2 2 2 2" xfId="6959"/>
    <cellStyle name="Normal 4 2 4 3 2 2 2 2 2" xfId="19263"/>
    <cellStyle name="Normal 4 2 4 3 2 2 2 2 2 2" xfId="42122"/>
    <cellStyle name="Normal 4 2 4 3 2 2 2 2 3" xfId="29820"/>
    <cellStyle name="Normal 4 2 4 3 2 2 2 3" xfId="10474"/>
    <cellStyle name="Normal 4 2 4 3 2 2 2 3 2" xfId="22778"/>
    <cellStyle name="Normal 4 2 4 3 2 2 2 3 2 2" xfId="45637"/>
    <cellStyle name="Normal 4 2 4 3 2 2 2 3 3" xfId="33335"/>
    <cellStyle name="Normal 4 2 4 3 2 2 2 4" xfId="15748"/>
    <cellStyle name="Normal 4 2 4 3 2 2 2 4 2" xfId="38607"/>
    <cellStyle name="Normal 4 2 4 3 2 2 2 5" xfId="26305"/>
    <cellStyle name="Normal 4 2 4 3 2 2 3" xfId="5201"/>
    <cellStyle name="Normal 4 2 4 3 2 2 3 2" xfId="17505"/>
    <cellStyle name="Normal 4 2 4 3 2 2 3 2 2" xfId="40364"/>
    <cellStyle name="Normal 4 2 4 3 2 2 3 3" xfId="28062"/>
    <cellStyle name="Normal 4 2 4 3 2 2 4" xfId="8716"/>
    <cellStyle name="Normal 4 2 4 3 2 2 4 2" xfId="21020"/>
    <cellStyle name="Normal 4 2 4 3 2 2 4 2 2" xfId="43879"/>
    <cellStyle name="Normal 4 2 4 3 2 2 4 3" xfId="31577"/>
    <cellStyle name="Normal 4 2 4 3 2 2 5" xfId="12231"/>
    <cellStyle name="Normal 4 2 4 3 2 2 5 2" xfId="35091"/>
    <cellStyle name="Normal 4 2 4 3 2 2 6" xfId="13990"/>
    <cellStyle name="Normal 4 2 4 3 2 2 6 2" xfId="36849"/>
    <cellStyle name="Normal 4 2 4 3 2 2 7" xfId="24546"/>
    <cellStyle name="Normal 4 2 4 3 2 3" xfId="2566"/>
    <cellStyle name="Normal 4 2 4 3 2 3 2" xfId="6081"/>
    <cellStyle name="Normal 4 2 4 3 2 3 2 2" xfId="18385"/>
    <cellStyle name="Normal 4 2 4 3 2 3 2 2 2" xfId="41244"/>
    <cellStyle name="Normal 4 2 4 3 2 3 2 3" xfId="28942"/>
    <cellStyle name="Normal 4 2 4 3 2 3 3" xfId="9596"/>
    <cellStyle name="Normal 4 2 4 3 2 3 3 2" xfId="21900"/>
    <cellStyle name="Normal 4 2 4 3 2 3 3 2 2" xfId="44759"/>
    <cellStyle name="Normal 4 2 4 3 2 3 3 3" xfId="32457"/>
    <cellStyle name="Normal 4 2 4 3 2 3 4" xfId="14870"/>
    <cellStyle name="Normal 4 2 4 3 2 3 4 2" xfId="37729"/>
    <cellStyle name="Normal 4 2 4 3 2 3 5" xfId="25427"/>
    <cellStyle name="Normal 4 2 4 3 2 4" xfId="4323"/>
    <cellStyle name="Normal 4 2 4 3 2 4 2" xfId="16627"/>
    <cellStyle name="Normal 4 2 4 3 2 4 2 2" xfId="39486"/>
    <cellStyle name="Normal 4 2 4 3 2 4 3" xfId="27184"/>
    <cellStyle name="Normal 4 2 4 3 2 5" xfId="7838"/>
    <cellStyle name="Normal 4 2 4 3 2 5 2" xfId="20142"/>
    <cellStyle name="Normal 4 2 4 3 2 5 2 2" xfId="43001"/>
    <cellStyle name="Normal 4 2 4 3 2 5 3" xfId="30699"/>
    <cellStyle name="Normal 4 2 4 3 2 6" xfId="11353"/>
    <cellStyle name="Normal 4 2 4 3 2 6 2" xfId="34213"/>
    <cellStyle name="Normal 4 2 4 3 2 7" xfId="13112"/>
    <cellStyle name="Normal 4 2 4 3 2 7 2" xfId="35971"/>
    <cellStyle name="Normal 4 2 4 3 2 8" xfId="23668"/>
    <cellStyle name="Normal 4 2 4 3 3" xfId="1244"/>
    <cellStyle name="Normal 4 2 4 3 3 2" xfId="3005"/>
    <cellStyle name="Normal 4 2 4 3 3 2 2" xfId="6520"/>
    <cellStyle name="Normal 4 2 4 3 3 2 2 2" xfId="18824"/>
    <cellStyle name="Normal 4 2 4 3 3 2 2 2 2" xfId="41683"/>
    <cellStyle name="Normal 4 2 4 3 3 2 2 3" xfId="29381"/>
    <cellStyle name="Normal 4 2 4 3 3 2 3" xfId="10035"/>
    <cellStyle name="Normal 4 2 4 3 3 2 3 2" xfId="22339"/>
    <cellStyle name="Normal 4 2 4 3 3 2 3 2 2" xfId="45198"/>
    <cellStyle name="Normal 4 2 4 3 3 2 3 3" xfId="32896"/>
    <cellStyle name="Normal 4 2 4 3 3 2 4" xfId="15309"/>
    <cellStyle name="Normal 4 2 4 3 3 2 4 2" xfId="38168"/>
    <cellStyle name="Normal 4 2 4 3 3 2 5" xfId="25866"/>
    <cellStyle name="Normal 4 2 4 3 3 3" xfId="4762"/>
    <cellStyle name="Normal 4 2 4 3 3 3 2" xfId="17066"/>
    <cellStyle name="Normal 4 2 4 3 3 3 2 2" xfId="39925"/>
    <cellStyle name="Normal 4 2 4 3 3 3 3" xfId="27623"/>
    <cellStyle name="Normal 4 2 4 3 3 4" xfId="8277"/>
    <cellStyle name="Normal 4 2 4 3 3 4 2" xfId="20581"/>
    <cellStyle name="Normal 4 2 4 3 3 4 2 2" xfId="43440"/>
    <cellStyle name="Normal 4 2 4 3 3 4 3" xfId="31138"/>
    <cellStyle name="Normal 4 2 4 3 3 5" xfId="11792"/>
    <cellStyle name="Normal 4 2 4 3 3 5 2" xfId="34652"/>
    <cellStyle name="Normal 4 2 4 3 3 6" xfId="13551"/>
    <cellStyle name="Normal 4 2 4 3 3 6 2" xfId="36410"/>
    <cellStyle name="Normal 4 2 4 3 3 7" xfId="24107"/>
    <cellStyle name="Normal 4 2 4 3 4" xfId="2127"/>
    <cellStyle name="Normal 4 2 4 3 4 2" xfId="5642"/>
    <cellStyle name="Normal 4 2 4 3 4 2 2" xfId="17946"/>
    <cellStyle name="Normal 4 2 4 3 4 2 2 2" xfId="40805"/>
    <cellStyle name="Normal 4 2 4 3 4 2 3" xfId="28503"/>
    <cellStyle name="Normal 4 2 4 3 4 3" xfId="9157"/>
    <cellStyle name="Normal 4 2 4 3 4 3 2" xfId="21461"/>
    <cellStyle name="Normal 4 2 4 3 4 3 2 2" xfId="44320"/>
    <cellStyle name="Normal 4 2 4 3 4 3 3" xfId="32018"/>
    <cellStyle name="Normal 4 2 4 3 4 4" xfId="14431"/>
    <cellStyle name="Normal 4 2 4 3 4 4 2" xfId="37290"/>
    <cellStyle name="Normal 4 2 4 3 4 5" xfId="24988"/>
    <cellStyle name="Normal 4 2 4 3 5" xfId="3884"/>
    <cellStyle name="Normal 4 2 4 3 5 2" xfId="16188"/>
    <cellStyle name="Normal 4 2 4 3 5 2 2" xfId="39047"/>
    <cellStyle name="Normal 4 2 4 3 5 3" xfId="26745"/>
    <cellStyle name="Normal 4 2 4 3 6" xfId="7399"/>
    <cellStyle name="Normal 4 2 4 3 6 2" xfId="19703"/>
    <cellStyle name="Normal 4 2 4 3 6 2 2" xfId="42562"/>
    <cellStyle name="Normal 4 2 4 3 6 3" xfId="30260"/>
    <cellStyle name="Normal 4 2 4 3 7" xfId="10914"/>
    <cellStyle name="Normal 4 2 4 3 7 2" xfId="33774"/>
    <cellStyle name="Normal 4 2 4 3 8" xfId="12673"/>
    <cellStyle name="Normal 4 2 4 3 8 2" xfId="35532"/>
    <cellStyle name="Normal 4 2 4 3 9" xfId="23228"/>
    <cellStyle name="Normal 4 2 4 4" xfId="592"/>
    <cellStyle name="Normal 4 2 4 4 2" xfId="1471"/>
    <cellStyle name="Normal 4 2 4 4 2 2" xfId="3232"/>
    <cellStyle name="Normal 4 2 4 4 2 2 2" xfId="6747"/>
    <cellStyle name="Normal 4 2 4 4 2 2 2 2" xfId="19051"/>
    <cellStyle name="Normal 4 2 4 4 2 2 2 2 2" xfId="41910"/>
    <cellStyle name="Normal 4 2 4 4 2 2 2 3" xfId="29608"/>
    <cellStyle name="Normal 4 2 4 4 2 2 3" xfId="10262"/>
    <cellStyle name="Normal 4 2 4 4 2 2 3 2" xfId="22566"/>
    <cellStyle name="Normal 4 2 4 4 2 2 3 2 2" xfId="45425"/>
    <cellStyle name="Normal 4 2 4 4 2 2 3 3" xfId="33123"/>
    <cellStyle name="Normal 4 2 4 4 2 2 4" xfId="15536"/>
    <cellStyle name="Normal 4 2 4 4 2 2 4 2" xfId="38395"/>
    <cellStyle name="Normal 4 2 4 4 2 2 5" xfId="26093"/>
    <cellStyle name="Normal 4 2 4 4 2 3" xfId="4989"/>
    <cellStyle name="Normal 4 2 4 4 2 3 2" xfId="17293"/>
    <cellStyle name="Normal 4 2 4 4 2 3 2 2" xfId="40152"/>
    <cellStyle name="Normal 4 2 4 4 2 3 3" xfId="27850"/>
    <cellStyle name="Normal 4 2 4 4 2 4" xfId="8504"/>
    <cellStyle name="Normal 4 2 4 4 2 4 2" xfId="20808"/>
    <cellStyle name="Normal 4 2 4 4 2 4 2 2" xfId="43667"/>
    <cellStyle name="Normal 4 2 4 4 2 4 3" xfId="31365"/>
    <cellStyle name="Normal 4 2 4 4 2 5" xfId="12019"/>
    <cellStyle name="Normal 4 2 4 4 2 5 2" xfId="34879"/>
    <cellStyle name="Normal 4 2 4 4 2 6" xfId="13778"/>
    <cellStyle name="Normal 4 2 4 4 2 6 2" xfId="36637"/>
    <cellStyle name="Normal 4 2 4 4 2 7" xfId="24334"/>
    <cellStyle name="Normal 4 2 4 4 3" xfId="2354"/>
    <cellStyle name="Normal 4 2 4 4 3 2" xfId="5869"/>
    <cellStyle name="Normal 4 2 4 4 3 2 2" xfId="18173"/>
    <cellStyle name="Normal 4 2 4 4 3 2 2 2" xfId="41032"/>
    <cellStyle name="Normal 4 2 4 4 3 2 3" xfId="28730"/>
    <cellStyle name="Normal 4 2 4 4 3 3" xfId="9384"/>
    <cellStyle name="Normal 4 2 4 4 3 3 2" xfId="21688"/>
    <cellStyle name="Normal 4 2 4 4 3 3 2 2" xfId="44547"/>
    <cellStyle name="Normal 4 2 4 4 3 3 3" xfId="32245"/>
    <cellStyle name="Normal 4 2 4 4 3 4" xfId="14658"/>
    <cellStyle name="Normal 4 2 4 4 3 4 2" xfId="37517"/>
    <cellStyle name="Normal 4 2 4 4 3 5" xfId="25215"/>
    <cellStyle name="Normal 4 2 4 4 4" xfId="4111"/>
    <cellStyle name="Normal 4 2 4 4 4 2" xfId="16415"/>
    <cellStyle name="Normal 4 2 4 4 4 2 2" xfId="39274"/>
    <cellStyle name="Normal 4 2 4 4 4 3" xfId="26972"/>
    <cellStyle name="Normal 4 2 4 4 5" xfId="7626"/>
    <cellStyle name="Normal 4 2 4 4 5 2" xfId="19930"/>
    <cellStyle name="Normal 4 2 4 4 5 2 2" xfId="42789"/>
    <cellStyle name="Normal 4 2 4 4 5 3" xfId="30487"/>
    <cellStyle name="Normal 4 2 4 4 6" xfId="11141"/>
    <cellStyle name="Normal 4 2 4 4 6 2" xfId="34001"/>
    <cellStyle name="Normal 4 2 4 4 7" xfId="12900"/>
    <cellStyle name="Normal 4 2 4 4 7 2" xfId="35759"/>
    <cellStyle name="Normal 4 2 4 4 8" xfId="23456"/>
    <cellStyle name="Normal 4 2 4 5" xfId="1032"/>
    <cellStyle name="Normal 4 2 4 5 2" xfId="2793"/>
    <cellStyle name="Normal 4 2 4 5 2 2" xfId="6308"/>
    <cellStyle name="Normal 4 2 4 5 2 2 2" xfId="18612"/>
    <cellStyle name="Normal 4 2 4 5 2 2 2 2" xfId="41471"/>
    <cellStyle name="Normal 4 2 4 5 2 2 3" xfId="29169"/>
    <cellStyle name="Normal 4 2 4 5 2 3" xfId="9823"/>
    <cellStyle name="Normal 4 2 4 5 2 3 2" xfId="22127"/>
    <cellStyle name="Normal 4 2 4 5 2 3 2 2" xfId="44986"/>
    <cellStyle name="Normal 4 2 4 5 2 3 3" xfId="32684"/>
    <cellStyle name="Normal 4 2 4 5 2 4" xfId="15097"/>
    <cellStyle name="Normal 4 2 4 5 2 4 2" xfId="37956"/>
    <cellStyle name="Normal 4 2 4 5 2 5" xfId="25654"/>
    <cellStyle name="Normal 4 2 4 5 3" xfId="4550"/>
    <cellStyle name="Normal 4 2 4 5 3 2" xfId="16854"/>
    <cellStyle name="Normal 4 2 4 5 3 2 2" xfId="39713"/>
    <cellStyle name="Normal 4 2 4 5 3 3" xfId="27411"/>
    <cellStyle name="Normal 4 2 4 5 4" xfId="8065"/>
    <cellStyle name="Normal 4 2 4 5 4 2" xfId="20369"/>
    <cellStyle name="Normal 4 2 4 5 4 2 2" xfId="43228"/>
    <cellStyle name="Normal 4 2 4 5 4 3" xfId="30926"/>
    <cellStyle name="Normal 4 2 4 5 5" xfId="11580"/>
    <cellStyle name="Normal 4 2 4 5 5 2" xfId="34440"/>
    <cellStyle name="Normal 4 2 4 5 6" xfId="13339"/>
    <cellStyle name="Normal 4 2 4 5 6 2" xfId="36198"/>
    <cellStyle name="Normal 4 2 4 5 7" xfId="23895"/>
    <cellStyle name="Normal 4 2 4 6" xfId="1915"/>
    <cellStyle name="Normal 4 2 4 6 2" xfId="5430"/>
    <cellStyle name="Normal 4 2 4 6 2 2" xfId="17734"/>
    <cellStyle name="Normal 4 2 4 6 2 2 2" xfId="40593"/>
    <cellStyle name="Normal 4 2 4 6 2 3" xfId="28291"/>
    <cellStyle name="Normal 4 2 4 6 3" xfId="8945"/>
    <cellStyle name="Normal 4 2 4 6 3 2" xfId="21249"/>
    <cellStyle name="Normal 4 2 4 6 3 2 2" xfId="44108"/>
    <cellStyle name="Normal 4 2 4 6 3 3" xfId="31806"/>
    <cellStyle name="Normal 4 2 4 6 4" xfId="14219"/>
    <cellStyle name="Normal 4 2 4 6 4 2" xfId="37078"/>
    <cellStyle name="Normal 4 2 4 6 5" xfId="24776"/>
    <cellStyle name="Normal 4 2 4 7" xfId="3672"/>
    <cellStyle name="Normal 4 2 4 7 2" xfId="15976"/>
    <cellStyle name="Normal 4 2 4 7 2 2" xfId="38835"/>
    <cellStyle name="Normal 4 2 4 7 3" xfId="26533"/>
    <cellStyle name="Normal 4 2 4 8" xfId="7187"/>
    <cellStyle name="Normal 4 2 4 8 2" xfId="19491"/>
    <cellStyle name="Normal 4 2 4 8 2 2" xfId="42350"/>
    <cellStyle name="Normal 4 2 4 8 3" xfId="30048"/>
    <cellStyle name="Normal 4 2 4 9" xfId="10702"/>
    <cellStyle name="Normal 4 2 4 9 2" xfId="33562"/>
    <cellStyle name="Normal 4 2 5" xfId="190"/>
    <cellStyle name="Normal 4 2 5 10" xfId="23055"/>
    <cellStyle name="Normal 4 2 5 2" xfId="402"/>
    <cellStyle name="Normal 4 2 5 2 2" xfId="843"/>
    <cellStyle name="Normal 4 2 5 2 2 2" xfId="1722"/>
    <cellStyle name="Normal 4 2 5 2 2 2 2" xfId="3483"/>
    <cellStyle name="Normal 4 2 5 2 2 2 2 2" xfId="6998"/>
    <cellStyle name="Normal 4 2 5 2 2 2 2 2 2" xfId="19302"/>
    <cellStyle name="Normal 4 2 5 2 2 2 2 2 2 2" xfId="42161"/>
    <cellStyle name="Normal 4 2 5 2 2 2 2 2 3" xfId="29859"/>
    <cellStyle name="Normal 4 2 5 2 2 2 2 3" xfId="10513"/>
    <cellStyle name="Normal 4 2 5 2 2 2 2 3 2" xfId="22817"/>
    <cellStyle name="Normal 4 2 5 2 2 2 2 3 2 2" xfId="45676"/>
    <cellStyle name="Normal 4 2 5 2 2 2 2 3 3" xfId="33374"/>
    <cellStyle name="Normal 4 2 5 2 2 2 2 4" xfId="15787"/>
    <cellStyle name="Normal 4 2 5 2 2 2 2 4 2" xfId="38646"/>
    <cellStyle name="Normal 4 2 5 2 2 2 2 5" xfId="26344"/>
    <cellStyle name="Normal 4 2 5 2 2 2 3" xfId="5240"/>
    <cellStyle name="Normal 4 2 5 2 2 2 3 2" xfId="17544"/>
    <cellStyle name="Normal 4 2 5 2 2 2 3 2 2" xfId="40403"/>
    <cellStyle name="Normal 4 2 5 2 2 2 3 3" xfId="28101"/>
    <cellStyle name="Normal 4 2 5 2 2 2 4" xfId="8755"/>
    <cellStyle name="Normal 4 2 5 2 2 2 4 2" xfId="21059"/>
    <cellStyle name="Normal 4 2 5 2 2 2 4 2 2" xfId="43918"/>
    <cellStyle name="Normal 4 2 5 2 2 2 4 3" xfId="31616"/>
    <cellStyle name="Normal 4 2 5 2 2 2 5" xfId="12270"/>
    <cellStyle name="Normal 4 2 5 2 2 2 5 2" xfId="35130"/>
    <cellStyle name="Normal 4 2 5 2 2 2 6" xfId="14029"/>
    <cellStyle name="Normal 4 2 5 2 2 2 6 2" xfId="36888"/>
    <cellStyle name="Normal 4 2 5 2 2 2 7" xfId="24585"/>
    <cellStyle name="Normal 4 2 5 2 2 3" xfId="2605"/>
    <cellStyle name="Normal 4 2 5 2 2 3 2" xfId="6120"/>
    <cellStyle name="Normal 4 2 5 2 2 3 2 2" xfId="18424"/>
    <cellStyle name="Normal 4 2 5 2 2 3 2 2 2" xfId="41283"/>
    <cellStyle name="Normal 4 2 5 2 2 3 2 3" xfId="28981"/>
    <cellStyle name="Normal 4 2 5 2 2 3 3" xfId="9635"/>
    <cellStyle name="Normal 4 2 5 2 2 3 3 2" xfId="21939"/>
    <cellStyle name="Normal 4 2 5 2 2 3 3 2 2" xfId="44798"/>
    <cellStyle name="Normal 4 2 5 2 2 3 3 3" xfId="32496"/>
    <cellStyle name="Normal 4 2 5 2 2 3 4" xfId="14909"/>
    <cellStyle name="Normal 4 2 5 2 2 3 4 2" xfId="37768"/>
    <cellStyle name="Normal 4 2 5 2 2 3 5" xfId="25466"/>
    <cellStyle name="Normal 4 2 5 2 2 4" xfId="4362"/>
    <cellStyle name="Normal 4 2 5 2 2 4 2" xfId="16666"/>
    <cellStyle name="Normal 4 2 5 2 2 4 2 2" xfId="39525"/>
    <cellStyle name="Normal 4 2 5 2 2 4 3" xfId="27223"/>
    <cellStyle name="Normal 4 2 5 2 2 5" xfId="7877"/>
    <cellStyle name="Normal 4 2 5 2 2 5 2" xfId="20181"/>
    <cellStyle name="Normal 4 2 5 2 2 5 2 2" xfId="43040"/>
    <cellStyle name="Normal 4 2 5 2 2 5 3" xfId="30738"/>
    <cellStyle name="Normal 4 2 5 2 2 6" xfId="11392"/>
    <cellStyle name="Normal 4 2 5 2 2 6 2" xfId="34252"/>
    <cellStyle name="Normal 4 2 5 2 2 7" xfId="13151"/>
    <cellStyle name="Normal 4 2 5 2 2 7 2" xfId="36010"/>
    <cellStyle name="Normal 4 2 5 2 2 8" xfId="23707"/>
    <cellStyle name="Normal 4 2 5 2 3" xfId="1283"/>
    <cellStyle name="Normal 4 2 5 2 3 2" xfId="3044"/>
    <cellStyle name="Normal 4 2 5 2 3 2 2" xfId="6559"/>
    <cellStyle name="Normal 4 2 5 2 3 2 2 2" xfId="18863"/>
    <cellStyle name="Normal 4 2 5 2 3 2 2 2 2" xfId="41722"/>
    <cellStyle name="Normal 4 2 5 2 3 2 2 3" xfId="29420"/>
    <cellStyle name="Normal 4 2 5 2 3 2 3" xfId="10074"/>
    <cellStyle name="Normal 4 2 5 2 3 2 3 2" xfId="22378"/>
    <cellStyle name="Normal 4 2 5 2 3 2 3 2 2" xfId="45237"/>
    <cellStyle name="Normal 4 2 5 2 3 2 3 3" xfId="32935"/>
    <cellStyle name="Normal 4 2 5 2 3 2 4" xfId="15348"/>
    <cellStyle name="Normal 4 2 5 2 3 2 4 2" xfId="38207"/>
    <cellStyle name="Normal 4 2 5 2 3 2 5" xfId="25905"/>
    <cellStyle name="Normal 4 2 5 2 3 3" xfId="4801"/>
    <cellStyle name="Normal 4 2 5 2 3 3 2" xfId="17105"/>
    <cellStyle name="Normal 4 2 5 2 3 3 2 2" xfId="39964"/>
    <cellStyle name="Normal 4 2 5 2 3 3 3" xfId="27662"/>
    <cellStyle name="Normal 4 2 5 2 3 4" xfId="8316"/>
    <cellStyle name="Normal 4 2 5 2 3 4 2" xfId="20620"/>
    <cellStyle name="Normal 4 2 5 2 3 4 2 2" xfId="43479"/>
    <cellStyle name="Normal 4 2 5 2 3 4 3" xfId="31177"/>
    <cellStyle name="Normal 4 2 5 2 3 5" xfId="11831"/>
    <cellStyle name="Normal 4 2 5 2 3 5 2" xfId="34691"/>
    <cellStyle name="Normal 4 2 5 2 3 6" xfId="13590"/>
    <cellStyle name="Normal 4 2 5 2 3 6 2" xfId="36449"/>
    <cellStyle name="Normal 4 2 5 2 3 7" xfId="24146"/>
    <cellStyle name="Normal 4 2 5 2 4" xfId="2166"/>
    <cellStyle name="Normal 4 2 5 2 4 2" xfId="5681"/>
    <cellStyle name="Normal 4 2 5 2 4 2 2" xfId="17985"/>
    <cellStyle name="Normal 4 2 5 2 4 2 2 2" xfId="40844"/>
    <cellStyle name="Normal 4 2 5 2 4 2 3" xfId="28542"/>
    <cellStyle name="Normal 4 2 5 2 4 3" xfId="9196"/>
    <cellStyle name="Normal 4 2 5 2 4 3 2" xfId="21500"/>
    <cellStyle name="Normal 4 2 5 2 4 3 2 2" xfId="44359"/>
    <cellStyle name="Normal 4 2 5 2 4 3 3" xfId="32057"/>
    <cellStyle name="Normal 4 2 5 2 4 4" xfId="14470"/>
    <cellStyle name="Normal 4 2 5 2 4 4 2" xfId="37329"/>
    <cellStyle name="Normal 4 2 5 2 4 5" xfId="25027"/>
    <cellStyle name="Normal 4 2 5 2 5" xfId="3923"/>
    <cellStyle name="Normal 4 2 5 2 5 2" xfId="16227"/>
    <cellStyle name="Normal 4 2 5 2 5 2 2" xfId="39086"/>
    <cellStyle name="Normal 4 2 5 2 5 3" xfId="26784"/>
    <cellStyle name="Normal 4 2 5 2 6" xfId="7438"/>
    <cellStyle name="Normal 4 2 5 2 6 2" xfId="19742"/>
    <cellStyle name="Normal 4 2 5 2 6 2 2" xfId="42601"/>
    <cellStyle name="Normal 4 2 5 2 6 3" xfId="30299"/>
    <cellStyle name="Normal 4 2 5 2 7" xfId="10953"/>
    <cellStyle name="Normal 4 2 5 2 7 2" xfId="33813"/>
    <cellStyle name="Normal 4 2 5 2 8" xfId="12712"/>
    <cellStyle name="Normal 4 2 5 2 8 2" xfId="35571"/>
    <cellStyle name="Normal 4 2 5 2 9" xfId="23267"/>
    <cellStyle name="Normal 4 2 5 3" xfId="631"/>
    <cellStyle name="Normal 4 2 5 3 2" xfId="1510"/>
    <cellStyle name="Normal 4 2 5 3 2 2" xfId="3271"/>
    <cellStyle name="Normal 4 2 5 3 2 2 2" xfId="6786"/>
    <cellStyle name="Normal 4 2 5 3 2 2 2 2" xfId="19090"/>
    <cellStyle name="Normal 4 2 5 3 2 2 2 2 2" xfId="41949"/>
    <cellStyle name="Normal 4 2 5 3 2 2 2 3" xfId="29647"/>
    <cellStyle name="Normal 4 2 5 3 2 2 3" xfId="10301"/>
    <cellStyle name="Normal 4 2 5 3 2 2 3 2" xfId="22605"/>
    <cellStyle name="Normal 4 2 5 3 2 2 3 2 2" xfId="45464"/>
    <cellStyle name="Normal 4 2 5 3 2 2 3 3" xfId="33162"/>
    <cellStyle name="Normal 4 2 5 3 2 2 4" xfId="15575"/>
    <cellStyle name="Normal 4 2 5 3 2 2 4 2" xfId="38434"/>
    <cellStyle name="Normal 4 2 5 3 2 2 5" xfId="26132"/>
    <cellStyle name="Normal 4 2 5 3 2 3" xfId="5028"/>
    <cellStyle name="Normal 4 2 5 3 2 3 2" xfId="17332"/>
    <cellStyle name="Normal 4 2 5 3 2 3 2 2" xfId="40191"/>
    <cellStyle name="Normal 4 2 5 3 2 3 3" xfId="27889"/>
    <cellStyle name="Normal 4 2 5 3 2 4" xfId="8543"/>
    <cellStyle name="Normal 4 2 5 3 2 4 2" xfId="20847"/>
    <cellStyle name="Normal 4 2 5 3 2 4 2 2" xfId="43706"/>
    <cellStyle name="Normal 4 2 5 3 2 4 3" xfId="31404"/>
    <cellStyle name="Normal 4 2 5 3 2 5" xfId="12058"/>
    <cellStyle name="Normal 4 2 5 3 2 5 2" xfId="34918"/>
    <cellStyle name="Normal 4 2 5 3 2 6" xfId="13817"/>
    <cellStyle name="Normal 4 2 5 3 2 6 2" xfId="36676"/>
    <cellStyle name="Normal 4 2 5 3 2 7" xfId="24373"/>
    <cellStyle name="Normal 4 2 5 3 3" xfId="2393"/>
    <cellStyle name="Normal 4 2 5 3 3 2" xfId="5908"/>
    <cellStyle name="Normal 4 2 5 3 3 2 2" xfId="18212"/>
    <cellStyle name="Normal 4 2 5 3 3 2 2 2" xfId="41071"/>
    <cellStyle name="Normal 4 2 5 3 3 2 3" xfId="28769"/>
    <cellStyle name="Normal 4 2 5 3 3 3" xfId="9423"/>
    <cellStyle name="Normal 4 2 5 3 3 3 2" xfId="21727"/>
    <cellStyle name="Normal 4 2 5 3 3 3 2 2" xfId="44586"/>
    <cellStyle name="Normal 4 2 5 3 3 3 3" xfId="32284"/>
    <cellStyle name="Normal 4 2 5 3 3 4" xfId="14697"/>
    <cellStyle name="Normal 4 2 5 3 3 4 2" xfId="37556"/>
    <cellStyle name="Normal 4 2 5 3 3 5" xfId="25254"/>
    <cellStyle name="Normal 4 2 5 3 4" xfId="4150"/>
    <cellStyle name="Normal 4 2 5 3 4 2" xfId="16454"/>
    <cellStyle name="Normal 4 2 5 3 4 2 2" xfId="39313"/>
    <cellStyle name="Normal 4 2 5 3 4 3" xfId="27011"/>
    <cellStyle name="Normal 4 2 5 3 5" xfId="7665"/>
    <cellStyle name="Normal 4 2 5 3 5 2" xfId="19969"/>
    <cellStyle name="Normal 4 2 5 3 5 2 2" xfId="42828"/>
    <cellStyle name="Normal 4 2 5 3 5 3" xfId="30526"/>
    <cellStyle name="Normal 4 2 5 3 6" xfId="11180"/>
    <cellStyle name="Normal 4 2 5 3 6 2" xfId="34040"/>
    <cellStyle name="Normal 4 2 5 3 7" xfId="12939"/>
    <cellStyle name="Normal 4 2 5 3 7 2" xfId="35798"/>
    <cellStyle name="Normal 4 2 5 3 8" xfId="23495"/>
    <cellStyle name="Normal 4 2 5 4" xfId="1071"/>
    <cellStyle name="Normal 4 2 5 4 2" xfId="2832"/>
    <cellStyle name="Normal 4 2 5 4 2 2" xfId="6347"/>
    <cellStyle name="Normal 4 2 5 4 2 2 2" xfId="18651"/>
    <cellStyle name="Normal 4 2 5 4 2 2 2 2" xfId="41510"/>
    <cellStyle name="Normal 4 2 5 4 2 2 3" xfId="29208"/>
    <cellStyle name="Normal 4 2 5 4 2 3" xfId="9862"/>
    <cellStyle name="Normal 4 2 5 4 2 3 2" xfId="22166"/>
    <cellStyle name="Normal 4 2 5 4 2 3 2 2" xfId="45025"/>
    <cellStyle name="Normal 4 2 5 4 2 3 3" xfId="32723"/>
    <cellStyle name="Normal 4 2 5 4 2 4" xfId="15136"/>
    <cellStyle name="Normal 4 2 5 4 2 4 2" xfId="37995"/>
    <cellStyle name="Normal 4 2 5 4 2 5" xfId="25693"/>
    <cellStyle name="Normal 4 2 5 4 3" xfId="4589"/>
    <cellStyle name="Normal 4 2 5 4 3 2" xfId="16893"/>
    <cellStyle name="Normal 4 2 5 4 3 2 2" xfId="39752"/>
    <cellStyle name="Normal 4 2 5 4 3 3" xfId="27450"/>
    <cellStyle name="Normal 4 2 5 4 4" xfId="8104"/>
    <cellStyle name="Normal 4 2 5 4 4 2" xfId="20408"/>
    <cellStyle name="Normal 4 2 5 4 4 2 2" xfId="43267"/>
    <cellStyle name="Normal 4 2 5 4 4 3" xfId="30965"/>
    <cellStyle name="Normal 4 2 5 4 5" xfId="11619"/>
    <cellStyle name="Normal 4 2 5 4 5 2" xfId="34479"/>
    <cellStyle name="Normal 4 2 5 4 6" xfId="13378"/>
    <cellStyle name="Normal 4 2 5 4 6 2" xfId="36237"/>
    <cellStyle name="Normal 4 2 5 4 7" xfId="23934"/>
    <cellStyle name="Normal 4 2 5 5" xfId="1954"/>
    <cellStyle name="Normal 4 2 5 5 2" xfId="5469"/>
    <cellStyle name="Normal 4 2 5 5 2 2" xfId="17773"/>
    <cellStyle name="Normal 4 2 5 5 2 2 2" xfId="40632"/>
    <cellStyle name="Normal 4 2 5 5 2 3" xfId="28330"/>
    <cellStyle name="Normal 4 2 5 5 3" xfId="8984"/>
    <cellStyle name="Normal 4 2 5 5 3 2" xfId="21288"/>
    <cellStyle name="Normal 4 2 5 5 3 2 2" xfId="44147"/>
    <cellStyle name="Normal 4 2 5 5 3 3" xfId="31845"/>
    <cellStyle name="Normal 4 2 5 5 4" xfId="14258"/>
    <cellStyle name="Normal 4 2 5 5 4 2" xfId="37117"/>
    <cellStyle name="Normal 4 2 5 5 5" xfId="24815"/>
    <cellStyle name="Normal 4 2 5 6" xfId="3711"/>
    <cellStyle name="Normal 4 2 5 6 2" xfId="16015"/>
    <cellStyle name="Normal 4 2 5 6 2 2" xfId="38874"/>
    <cellStyle name="Normal 4 2 5 6 3" xfId="26572"/>
    <cellStyle name="Normal 4 2 5 7" xfId="7226"/>
    <cellStyle name="Normal 4 2 5 7 2" xfId="19530"/>
    <cellStyle name="Normal 4 2 5 7 2 2" xfId="42389"/>
    <cellStyle name="Normal 4 2 5 7 3" xfId="30087"/>
    <cellStyle name="Normal 4 2 5 8" xfId="10741"/>
    <cellStyle name="Normal 4 2 5 8 2" xfId="33601"/>
    <cellStyle name="Normal 4 2 5 9" xfId="12500"/>
    <cellStyle name="Normal 4 2 5 9 2" xfId="35359"/>
    <cellStyle name="Normal 4 2 6" xfId="296"/>
    <cellStyle name="Normal 4 2 6 2" xfId="737"/>
    <cellStyle name="Normal 4 2 6 2 2" xfId="1616"/>
    <cellStyle name="Normal 4 2 6 2 2 2" xfId="3377"/>
    <cellStyle name="Normal 4 2 6 2 2 2 2" xfId="6892"/>
    <cellStyle name="Normal 4 2 6 2 2 2 2 2" xfId="19196"/>
    <cellStyle name="Normal 4 2 6 2 2 2 2 2 2" xfId="42055"/>
    <cellStyle name="Normal 4 2 6 2 2 2 2 3" xfId="29753"/>
    <cellStyle name="Normal 4 2 6 2 2 2 3" xfId="10407"/>
    <cellStyle name="Normal 4 2 6 2 2 2 3 2" xfId="22711"/>
    <cellStyle name="Normal 4 2 6 2 2 2 3 2 2" xfId="45570"/>
    <cellStyle name="Normal 4 2 6 2 2 2 3 3" xfId="33268"/>
    <cellStyle name="Normal 4 2 6 2 2 2 4" xfId="15681"/>
    <cellStyle name="Normal 4 2 6 2 2 2 4 2" xfId="38540"/>
    <cellStyle name="Normal 4 2 6 2 2 2 5" xfId="26238"/>
    <cellStyle name="Normal 4 2 6 2 2 3" xfId="5134"/>
    <cellStyle name="Normal 4 2 6 2 2 3 2" xfId="17438"/>
    <cellStyle name="Normal 4 2 6 2 2 3 2 2" xfId="40297"/>
    <cellStyle name="Normal 4 2 6 2 2 3 3" xfId="27995"/>
    <cellStyle name="Normal 4 2 6 2 2 4" xfId="8649"/>
    <cellStyle name="Normal 4 2 6 2 2 4 2" xfId="20953"/>
    <cellStyle name="Normal 4 2 6 2 2 4 2 2" xfId="43812"/>
    <cellStyle name="Normal 4 2 6 2 2 4 3" xfId="31510"/>
    <cellStyle name="Normal 4 2 6 2 2 5" xfId="12164"/>
    <cellStyle name="Normal 4 2 6 2 2 5 2" xfId="35024"/>
    <cellStyle name="Normal 4 2 6 2 2 6" xfId="13923"/>
    <cellStyle name="Normal 4 2 6 2 2 6 2" xfId="36782"/>
    <cellStyle name="Normal 4 2 6 2 2 7" xfId="24479"/>
    <cellStyle name="Normal 4 2 6 2 3" xfId="2499"/>
    <cellStyle name="Normal 4 2 6 2 3 2" xfId="6014"/>
    <cellStyle name="Normal 4 2 6 2 3 2 2" xfId="18318"/>
    <cellStyle name="Normal 4 2 6 2 3 2 2 2" xfId="41177"/>
    <cellStyle name="Normal 4 2 6 2 3 2 3" xfId="28875"/>
    <cellStyle name="Normal 4 2 6 2 3 3" xfId="9529"/>
    <cellStyle name="Normal 4 2 6 2 3 3 2" xfId="21833"/>
    <cellStyle name="Normal 4 2 6 2 3 3 2 2" xfId="44692"/>
    <cellStyle name="Normal 4 2 6 2 3 3 3" xfId="32390"/>
    <cellStyle name="Normal 4 2 6 2 3 4" xfId="14803"/>
    <cellStyle name="Normal 4 2 6 2 3 4 2" xfId="37662"/>
    <cellStyle name="Normal 4 2 6 2 3 5" xfId="25360"/>
    <cellStyle name="Normal 4 2 6 2 4" xfId="4256"/>
    <cellStyle name="Normal 4 2 6 2 4 2" xfId="16560"/>
    <cellStyle name="Normal 4 2 6 2 4 2 2" xfId="39419"/>
    <cellStyle name="Normal 4 2 6 2 4 3" xfId="27117"/>
    <cellStyle name="Normal 4 2 6 2 5" xfId="7771"/>
    <cellStyle name="Normal 4 2 6 2 5 2" xfId="20075"/>
    <cellStyle name="Normal 4 2 6 2 5 2 2" xfId="42934"/>
    <cellStyle name="Normal 4 2 6 2 5 3" xfId="30632"/>
    <cellStyle name="Normal 4 2 6 2 6" xfId="11286"/>
    <cellStyle name="Normal 4 2 6 2 6 2" xfId="34146"/>
    <cellStyle name="Normal 4 2 6 2 7" xfId="13045"/>
    <cellStyle name="Normal 4 2 6 2 7 2" xfId="35904"/>
    <cellStyle name="Normal 4 2 6 2 8" xfId="23601"/>
    <cellStyle name="Normal 4 2 6 3" xfId="1177"/>
    <cellStyle name="Normal 4 2 6 3 2" xfId="2938"/>
    <cellStyle name="Normal 4 2 6 3 2 2" xfId="6453"/>
    <cellStyle name="Normal 4 2 6 3 2 2 2" xfId="18757"/>
    <cellStyle name="Normal 4 2 6 3 2 2 2 2" xfId="41616"/>
    <cellStyle name="Normal 4 2 6 3 2 2 3" xfId="29314"/>
    <cellStyle name="Normal 4 2 6 3 2 3" xfId="9968"/>
    <cellStyle name="Normal 4 2 6 3 2 3 2" xfId="22272"/>
    <cellStyle name="Normal 4 2 6 3 2 3 2 2" xfId="45131"/>
    <cellStyle name="Normal 4 2 6 3 2 3 3" xfId="32829"/>
    <cellStyle name="Normal 4 2 6 3 2 4" xfId="15242"/>
    <cellStyle name="Normal 4 2 6 3 2 4 2" xfId="38101"/>
    <cellStyle name="Normal 4 2 6 3 2 5" xfId="25799"/>
    <cellStyle name="Normal 4 2 6 3 3" xfId="4695"/>
    <cellStyle name="Normal 4 2 6 3 3 2" xfId="16999"/>
    <cellStyle name="Normal 4 2 6 3 3 2 2" xfId="39858"/>
    <cellStyle name="Normal 4 2 6 3 3 3" xfId="27556"/>
    <cellStyle name="Normal 4 2 6 3 4" xfId="8210"/>
    <cellStyle name="Normal 4 2 6 3 4 2" xfId="20514"/>
    <cellStyle name="Normal 4 2 6 3 4 2 2" xfId="43373"/>
    <cellStyle name="Normal 4 2 6 3 4 3" xfId="31071"/>
    <cellStyle name="Normal 4 2 6 3 5" xfId="11725"/>
    <cellStyle name="Normal 4 2 6 3 5 2" xfId="34585"/>
    <cellStyle name="Normal 4 2 6 3 6" xfId="13484"/>
    <cellStyle name="Normal 4 2 6 3 6 2" xfId="36343"/>
    <cellStyle name="Normal 4 2 6 3 7" xfId="24040"/>
    <cellStyle name="Normal 4 2 6 4" xfId="2060"/>
    <cellStyle name="Normal 4 2 6 4 2" xfId="5575"/>
    <cellStyle name="Normal 4 2 6 4 2 2" xfId="17879"/>
    <cellStyle name="Normal 4 2 6 4 2 2 2" xfId="40738"/>
    <cellStyle name="Normal 4 2 6 4 2 3" xfId="28436"/>
    <cellStyle name="Normal 4 2 6 4 3" xfId="9090"/>
    <cellStyle name="Normal 4 2 6 4 3 2" xfId="21394"/>
    <cellStyle name="Normal 4 2 6 4 3 2 2" xfId="44253"/>
    <cellStyle name="Normal 4 2 6 4 3 3" xfId="31951"/>
    <cellStyle name="Normal 4 2 6 4 4" xfId="14364"/>
    <cellStyle name="Normal 4 2 6 4 4 2" xfId="37223"/>
    <cellStyle name="Normal 4 2 6 4 5" xfId="24921"/>
    <cellStyle name="Normal 4 2 6 5" xfId="3817"/>
    <cellStyle name="Normal 4 2 6 5 2" xfId="16121"/>
    <cellStyle name="Normal 4 2 6 5 2 2" xfId="38980"/>
    <cellStyle name="Normal 4 2 6 5 3" xfId="26678"/>
    <cellStyle name="Normal 4 2 6 6" xfId="7332"/>
    <cellStyle name="Normal 4 2 6 6 2" xfId="19636"/>
    <cellStyle name="Normal 4 2 6 6 2 2" xfId="42495"/>
    <cellStyle name="Normal 4 2 6 6 3" xfId="30193"/>
    <cellStyle name="Normal 4 2 6 7" xfId="10847"/>
    <cellStyle name="Normal 4 2 6 7 2" xfId="33707"/>
    <cellStyle name="Normal 4 2 6 8" xfId="12606"/>
    <cellStyle name="Normal 4 2 6 8 2" xfId="35465"/>
    <cellStyle name="Normal 4 2 6 9" xfId="23161"/>
    <cellStyle name="Normal 4 2 7" xfId="537"/>
    <cellStyle name="Normal 4 2 7 2" xfId="1416"/>
    <cellStyle name="Normal 4 2 7 2 2" xfId="3177"/>
    <cellStyle name="Normal 4 2 7 2 2 2" xfId="6692"/>
    <cellStyle name="Normal 4 2 7 2 2 2 2" xfId="18996"/>
    <cellStyle name="Normal 4 2 7 2 2 2 2 2" xfId="41855"/>
    <cellStyle name="Normal 4 2 7 2 2 2 3" xfId="29553"/>
    <cellStyle name="Normal 4 2 7 2 2 3" xfId="10207"/>
    <cellStyle name="Normal 4 2 7 2 2 3 2" xfId="22511"/>
    <cellStyle name="Normal 4 2 7 2 2 3 2 2" xfId="45370"/>
    <cellStyle name="Normal 4 2 7 2 2 3 3" xfId="33068"/>
    <cellStyle name="Normal 4 2 7 2 2 4" xfId="15481"/>
    <cellStyle name="Normal 4 2 7 2 2 4 2" xfId="38340"/>
    <cellStyle name="Normal 4 2 7 2 2 5" xfId="26038"/>
    <cellStyle name="Normal 4 2 7 2 3" xfId="4934"/>
    <cellStyle name="Normal 4 2 7 2 3 2" xfId="17238"/>
    <cellStyle name="Normal 4 2 7 2 3 2 2" xfId="40097"/>
    <cellStyle name="Normal 4 2 7 2 3 3" xfId="27795"/>
    <cellStyle name="Normal 4 2 7 2 4" xfId="8449"/>
    <cellStyle name="Normal 4 2 7 2 4 2" xfId="20753"/>
    <cellStyle name="Normal 4 2 7 2 4 2 2" xfId="43612"/>
    <cellStyle name="Normal 4 2 7 2 4 3" xfId="31310"/>
    <cellStyle name="Normal 4 2 7 2 5" xfId="11964"/>
    <cellStyle name="Normal 4 2 7 2 5 2" xfId="34824"/>
    <cellStyle name="Normal 4 2 7 2 6" xfId="13723"/>
    <cellStyle name="Normal 4 2 7 2 6 2" xfId="36582"/>
    <cellStyle name="Normal 4 2 7 2 7" xfId="24279"/>
    <cellStyle name="Normal 4 2 7 3" xfId="2299"/>
    <cellStyle name="Normal 4 2 7 3 2" xfId="5814"/>
    <cellStyle name="Normal 4 2 7 3 2 2" xfId="18118"/>
    <cellStyle name="Normal 4 2 7 3 2 2 2" xfId="40977"/>
    <cellStyle name="Normal 4 2 7 3 2 3" xfId="28675"/>
    <cellStyle name="Normal 4 2 7 3 3" xfId="9329"/>
    <cellStyle name="Normal 4 2 7 3 3 2" xfId="21633"/>
    <cellStyle name="Normal 4 2 7 3 3 2 2" xfId="44492"/>
    <cellStyle name="Normal 4 2 7 3 3 3" xfId="32190"/>
    <cellStyle name="Normal 4 2 7 3 4" xfId="14603"/>
    <cellStyle name="Normal 4 2 7 3 4 2" xfId="37462"/>
    <cellStyle name="Normal 4 2 7 3 5" xfId="25160"/>
    <cellStyle name="Normal 4 2 7 4" xfId="4056"/>
    <cellStyle name="Normal 4 2 7 4 2" xfId="16360"/>
    <cellStyle name="Normal 4 2 7 4 2 2" xfId="39219"/>
    <cellStyle name="Normal 4 2 7 4 3" xfId="26917"/>
    <cellStyle name="Normal 4 2 7 5" xfId="7571"/>
    <cellStyle name="Normal 4 2 7 5 2" xfId="19875"/>
    <cellStyle name="Normal 4 2 7 5 2 2" xfId="42734"/>
    <cellStyle name="Normal 4 2 7 5 3" xfId="30432"/>
    <cellStyle name="Normal 4 2 7 6" xfId="11086"/>
    <cellStyle name="Normal 4 2 7 6 2" xfId="33946"/>
    <cellStyle name="Normal 4 2 7 7" xfId="12845"/>
    <cellStyle name="Normal 4 2 7 7 2" xfId="35704"/>
    <cellStyle name="Normal 4 2 7 8" xfId="23401"/>
    <cellStyle name="Normal 4 2 8" xfId="965"/>
    <cellStyle name="Normal 4 2 8 2" xfId="2726"/>
    <cellStyle name="Normal 4 2 8 2 2" xfId="6241"/>
    <cellStyle name="Normal 4 2 8 2 2 2" xfId="18545"/>
    <cellStyle name="Normal 4 2 8 2 2 2 2" xfId="41404"/>
    <cellStyle name="Normal 4 2 8 2 2 3" xfId="29102"/>
    <cellStyle name="Normal 4 2 8 2 3" xfId="9756"/>
    <cellStyle name="Normal 4 2 8 2 3 2" xfId="22060"/>
    <cellStyle name="Normal 4 2 8 2 3 2 2" xfId="44919"/>
    <cellStyle name="Normal 4 2 8 2 3 3" xfId="32617"/>
    <cellStyle name="Normal 4 2 8 2 4" xfId="15030"/>
    <cellStyle name="Normal 4 2 8 2 4 2" xfId="37889"/>
    <cellStyle name="Normal 4 2 8 2 5" xfId="25587"/>
    <cellStyle name="Normal 4 2 8 3" xfId="4483"/>
    <cellStyle name="Normal 4 2 8 3 2" xfId="16787"/>
    <cellStyle name="Normal 4 2 8 3 2 2" xfId="39646"/>
    <cellStyle name="Normal 4 2 8 3 3" xfId="27344"/>
    <cellStyle name="Normal 4 2 8 4" xfId="7998"/>
    <cellStyle name="Normal 4 2 8 4 2" xfId="20302"/>
    <cellStyle name="Normal 4 2 8 4 2 2" xfId="43161"/>
    <cellStyle name="Normal 4 2 8 4 3" xfId="30859"/>
    <cellStyle name="Normal 4 2 8 5" xfId="11513"/>
    <cellStyle name="Normal 4 2 8 5 2" xfId="34373"/>
    <cellStyle name="Normal 4 2 8 6" xfId="13272"/>
    <cellStyle name="Normal 4 2 8 6 2" xfId="36131"/>
    <cellStyle name="Normal 4 2 8 7" xfId="23828"/>
    <cellStyle name="Normal 4 2 9" xfId="1860"/>
    <cellStyle name="Normal 4 2 9 2" xfId="5375"/>
    <cellStyle name="Normal 4 2 9 2 2" xfId="17679"/>
    <cellStyle name="Normal 4 2 9 2 2 2" xfId="40538"/>
    <cellStyle name="Normal 4 2 9 2 3" xfId="28236"/>
    <cellStyle name="Normal 4 2 9 3" xfId="8890"/>
    <cellStyle name="Normal 4 2 9 3 2" xfId="21194"/>
    <cellStyle name="Normal 4 2 9 3 2 2" xfId="44053"/>
    <cellStyle name="Normal 4 2 9 3 3" xfId="31751"/>
    <cellStyle name="Normal 4 2 9 4" xfId="14164"/>
    <cellStyle name="Normal 4 2 9 4 2" xfId="37023"/>
    <cellStyle name="Normal 4 2 9 5" xfId="24721"/>
    <cellStyle name="Normal 4 3" xfId="43"/>
    <cellStyle name="Normal 4 3 10" xfId="3606"/>
    <cellStyle name="Normal 4 3 10 2" xfId="15910"/>
    <cellStyle name="Normal 4 3 10 2 2" xfId="38769"/>
    <cellStyle name="Normal 4 3 10 3" xfId="26467"/>
    <cellStyle name="Normal 4 3 11" xfId="7121"/>
    <cellStyle name="Normal 4 3 11 2" xfId="19425"/>
    <cellStyle name="Normal 4 3 11 2 2" xfId="42284"/>
    <cellStyle name="Normal 4 3 11 3" xfId="29982"/>
    <cellStyle name="Normal 4 3 12" xfId="10636"/>
    <cellStyle name="Normal 4 3 12 2" xfId="33497"/>
    <cellStyle name="Normal 4 3 13" xfId="12407"/>
    <cellStyle name="Normal 4 3 13 2" xfId="35266"/>
    <cellStyle name="Normal 4 3 14" xfId="22948"/>
    <cellStyle name="Normal 4 3 2" xfId="101"/>
    <cellStyle name="Normal 4 3 2 10" xfId="7141"/>
    <cellStyle name="Normal 4 3 2 10 2" xfId="19445"/>
    <cellStyle name="Normal 4 3 2 10 2 2" xfId="42304"/>
    <cellStyle name="Normal 4 3 2 10 3" xfId="30002"/>
    <cellStyle name="Normal 4 3 2 11" xfId="10656"/>
    <cellStyle name="Normal 4 3 2 11 2" xfId="33516"/>
    <cellStyle name="Normal 4 3 2 12" xfId="12415"/>
    <cellStyle name="Normal 4 3 2 12 2" xfId="35274"/>
    <cellStyle name="Normal 4 3 2 13" xfId="22968"/>
    <cellStyle name="Normal 4 3 2 2" xfId="129"/>
    <cellStyle name="Normal 4 3 2 2 10" xfId="10682"/>
    <cellStyle name="Normal 4 3 2 2 10 2" xfId="33542"/>
    <cellStyle name="Normal 4 3 2 2 11" xfId="12441"/>
    <cellStyle name="Normal 4 3 2 2 11 2" xfId="35300"/>
    <cellStyle name="Normal 4 3 2 2 12" xfId="22995"/>
    <cellStyle name="Normal 4 3 2 2 2" xfId="183"/>
    <cellStyle name="Normal 4 3 2 2 2 10" xfId="12495"/>
    <cellStyle name="Normal 4 3 2 2 2 10 2" xfId="35354"/>
    <cellStyle name="Normal 4 3 2 2 2 11" xfId="23049"/>
    <cellStyle name="Normal 4 3 2 2 2 2" xfId="291"/>
    <cellStyle name="Normal 4 3 2 2 2 2 10" xfId="23156"/>
    <cellStyle name="Normal 4 3 2 2 2 2 2" xfId="503"/>
    <cellStyle name="Normal 4 3 2 2 2 2 2 2" xfId="944"/>
    <cellStyle name="Normal 4 3 2 2 2 2 2 2 2" xfId="1823"/>
    <cellStyle name="Normal 4 3 2 2 2 2 2 2 2 2" xfId="3584"/>
    <cellStyle name="Normal 4 3 2 2 2 2 2 2 2 2 2" xfId="7099"/>
    <cellStyle name="Normal 4 3 2 2 2 2 2 2 2 2 2 2" xfId="19403"/>
    <cellStyle name="Normal 4 3 2 2 2 2 2 2 2 2 2 2 2" xfId="42262"/>
    <cellStyle name="Normal 4 3 2 2 2 2 2 2 2 2 2 3" xfId="29960"/>
    <cellStyle name="Normal 4 3 2 2 2 2 2 2 2 2 3" xfId="10614"/>
    <cellStyle name="Normal 4 3 2 2 2 2 2 2 2 2 3 2" xfId="22918"/>
    <cellStyle name="Normal 4 3 2 2 2 2 2 2 2 2 3 2 2" xfId="45777"/>
    <cellStyle name="Normal 4 3 2 2 2 2 2 2 2 2 3 3" xfId="33475"/>
    <cellStyle name="Normal 4 3 2 2 2 2 2 2 2 2 4" xfId="15888"/>
    <cellStyle name="Normal 4 3 2 2 2 2 2 2 2 2 4 2" xfId="38747"/>
    <cellStyle name="Normal 4 3 2 2 2 2 2 2 2 2 5" xfId="26445"/>
    <cellStyle name="Normal 4 3 2 2 2 2 2 2 2 3" xfId="5341"/>
    <cellStyle name="Normal 4 3 2 2 2 2 2 2 2 3 2" xfId="17645"/>
    <cellStyle name="Normal 4 3 2 2 2 2 2 2 2 3 2 2" xfId="40504"/>
    <cellStyle name="Normal 4 3 2 2 2 2 2 2 2 3 3" xfId="28202"/>
    <cellStyle name="Normal 4 3 2 2 2 2 2 2 2 4" xfId="8856"/>
    <cellStyle name="Normal 4 3 2 2 2 2 2 2 2 4 2" xfId="21160"/>
    <cellStyle name="Normal 4 3 2 2 2 2 2 2 2 4 2 2" xfId="44019"/>
    <cellStyle name="Normal 4 3 2 2 2 2 2 2 2 4 3" xfId="31717"/>
    <cellStyle name="Normal 4 3 2 2 2 2 2 2 2 5" xfId="12371"/>
    <cellStyle name="Normal 4 3 2 2 2 2 2 2 2 5 2" xfId="35231"/>
    <cellStyle name="Normal 4 3 2 2 2 2 2 2 2 6" xfId="14130"/>
    <cellStyle name="Normal 4 3 2 2 2 2 2 2 2 6 2" xfId="36989"/>
    <cellStyle name="Normal 4 3 2 2 2 2 2 2 2 7" xfId="24686"/>
    <cellStyle name="Normal 4 3 2 2 2 2 2 2 3" xfId="2706"/>
    <cellStyle name="Normal 4 3 2 2 2 2 2 2 3 2" xfId="6221"/>
    <cellStyle name="Normal 4 3 2 2 2 2 2 2 3 2 2" xfId="18525"/>
    <cellStyle name="Normal 4 3 2 2 2 2 2 2 3 2 2 2" xfId="41384"/>
    <cellStyle name="Normal 4 3 2 2 2 2 2 2 3 2 3" xfId="29082"/>
    <cellStyle name="Normal 4 3 2 2 2 2 2 2 3 3" xfId="9736"/>
    <cellStyle name="Normal 4 3 2 2 2 2 2 2 3 3 2" xfId="22040"/>
    <cellStyle name="Normal 4 3 2 2 2 2 2 2 3 3 2 2" xfId="44899"/>
    <cellStyle name="Normal 4 3 2 2 2 2 2 2 3 3 3" xfId="32597"/>
    <cellStyle name="Normal 4 3 2 2 2 2 2 2 3 4" xfId="15010"/>
    <cellStyle name="Normal 4 3 2 2 2 2 2 2 3 4 2" xfId="37869"/>
    <cellStyle name="Normal 4 3 2 2 2 2 2 2 3 5" xfId="25567"/>
    <cellStyle name="Normal 4 3 2 2 2 2 2 2 4" xfId="4463"/>
    <cellStyle name="Normal 4 3 2 2 2 2 2 2 4 2" xfId="16767"/>
    <cellStyle name="Normal 4 3 2 2 2 2 2 2 4 2 2" xfId="39626"/>
    <cellStyle name="Normal 4 3 2 2 2 2 2 2 4 3" xfId="27324"/>
    <cellStyle name="Normal 4 3 2 2 2 2 2 2 5" xfId="7978"/>
    <cellStyle name="Normal 4 3 2 2 2 2 2 2 5 2" xfId="20282"/>
    <cellStyle name="Normal 4 3 2 2 2 2 2 2 5 2 2" xfId="43141"/>
    <cellStyle name="Normal 4 3 2 2 2 2 2 2 5 3" xfId="30839"/>
    <cellStyle name="Normal 4 3 2 2 2 2 2 2 6" xfId="11493"/>
    <cellStyle name="Normal 4 3 2 2 2 2 2 2 6 2" xfId="34353"/>
    <cellStyle name="Normal 4 3 2 2 2 2 2 2 7" xfId="13252"/>
    <cellStyle name="Normal 4 3 2 2 2 2 2 2 7 2" xfId="36111"/>
    <cellStyle name="Normal 4 3 2 2 2 2 2 2 8" xfId="23808"/>
    <cellStyle name="Normal 4 3 2 2 2 2 2 3" xfId="1384"/>
    <cellStyle name="Normal 4 3 2 2 2 2 2 3 2" xfId="3145"/>
    <cellStyle name="Normal 4 3 2 2 2 2 2 3 2 2" xfId="6660"/>
    <cellStyle name="Normal 4 3 2 2 2 2 2 3 2 2 2" xfId="18964"/>
    <cellStyle name="Normal 4 3 2 2 2 2 2 3 2 2 2 2" xfId="41823"/>
    <cellStyle name="Normal 4 3 2 2 2 2 2 3 2 2 3" xfId="29521"/>
    <cellStyle name="Normal 4 3 2 2 2 2 2 3 2 3" xfId="10175"/>
    <cellStyle name="Normal 4 3 2 2 2 2 2 3 2 3 2" xfId="22479"/>
    <cellStyle name="Normal 4 3 2 2 2 2 2 3 2 3 2 2" xfId="45338"/>
    <cellStyle name="Normal 4 3 2 2 2 2 2 3 2 3 3" xfId="33036"/>
    <cellStyle name="Normal 4 3 2 2 2 2 2 3 2 4" xfId="15449"/>
    <cellStyle name="Normal 4 3 2 2 2 2 2 3 2 4 2" xfId="38308"/>
    <cellStyle name="Normal 4 3 2 2 2 2 2 3 2 5" xfId="26006"/>
    <cellStyle name="Normal 4 3 2 2 2 2 2 3 3" xfId="4902"/>
    <cellStyle name="Normal 4 3 2 2 2 2 2 3 3 2" xfId="17206"/>
    <cellStyle name="Normal 4 3 2 2 2 2 2 3 3 2 2" xfId="40065"/>
    <cellStyle name="Normal 4 3 2 2 2 2 2 3 3 3" xfId="27763"/>
    <cellStyle name="Normal 4 3 2 2 2 2 2 3 4" xfId="8417"/>
    <cellStyle name="Normal 4 3 2 2 2 2 2 3 4 2" xfId="20721"/>
    <cellStyle name="Normal 4 3 2 2 2 2 2 3 4 2 2" xfId="43580"/>
    <cellStyle name="Normal 4 3 2 2 2 2 2 3 4 3" xfId="31278"/>
    <cellStyle name="Normal 4 3 2 2 2 2 2 3 5" xfId="11932"/>
    <cellStyle name="Normal 4 3 2 2 2 2 2 3 5 2" xfId="34792"/>
    <cellStyle name="Normal 4 3 2 2 2 2 2 3 6" xfId="13691"/>
    <cellStyle name="Normal 4 3 2 2 2 2 2 3 6 2" xfId="36550"/>
    <cellStyle name="Normal 4 3 2 2 2 2 2 3 7" xfId="24247"/>
    <cellStyle name="Normal 4 3 2 2 2 2 2 4" xfId="2267"/>
    <cellStyle name="Normal 4 3 2 2 2 2 2 4 2" xfId="5782"/>
    <cellStyle name="Normal 4 3 2 2 2 2 2 4 2 2" xfId="18086"/>
    <cellStyle name="Normal 4 3 2 2 2 2 2 4 2 2 2" xfId="40945"/>
    <cellStyle name="Normal 4 3 2 2 2 2 2 4 2 3" xfId="28643"/>
    <cellStyle name="Normal 4 3 2 2 2 2 2 4 3" xfId="9297"/>
    <cellStyle name="Normal 4 3 2 2 2 2 2 4 3 2" xfId="21601"/>
    <cellStyle name="Normal 4 3 2 2 2 2 2 4 3 2 2" xfId="44460"/>
    <cellStyle name="Normal 4 3 2 2 2 2 2 4 3 3" xfId="32158"/>
    <cellStyle name="Normal 4 3 2 2 2 2 2 4 4" xfId="14571"/>
    <cellStyle name="Normal 4 3 2 2 2 2 2 4 4 2" xfId="37430"/>
    <cellStyle name="Normal 4 3 2 2 2 2 2 4 5" xfId="25128"/>
    <cellStyle name="Normal 4 3 2 2 2 2 2 5" xfId="4024"/>
    <cellStyle name="Normal 4 3 2 2 2 2 2 5 2" xfId="16328"/>
    <cellStyle name="Normal 4 3 2 2 2 2 2 5 2 2" xfId="39187"/>
    <cellStyle name="Normal 4 3 2 2 2 2 2 5 3" xfId="26885"/>
    <cellStyle name="Normal 4 3 2 2 2 2 2 6" xfId="7539"/>
    <cellStyle name="Normal 4 3 2 2 2 2 2 6 2" xfId="19843"/>
    <cellStyle name="Normal 4 3 2 2 2 2 2 6 2 2" xfId="42702"/>
    <cellStyle name="Normal 4 3 2 2 2 2 2 6 3" xfId="30400"/>
    <cellStyle name="Normal 4 3 2 2 2 2 2 7" xfId="11054"/>
    <cellStyle name="Normal 4 3 2 2 2 2 2 7 2" xfId="33914"/>
    <cellStyle name="Normal 4 3 2 2 2 2 2 8" xfId="12813"/>
    <cellStyle name="Normal 4 3 2 2 2 2 2 8 2" xfId="35672"/>
    <cellStyle name="Normal 4 3 2 2 2 2 2 9" xfId="23368"/>
    <cellStyle name="Normal 4 3 2 2 2 2 3" xfId="732"/>
    <cellStyle name="Normal 4 3 2 2 2 2 3 2" xfId="1611"/>
    <cellStyle name="Normal 4 3 2 2 2 2 3 2 2" xfId="3372"/>
    <cellStyle name="Normal 4 3 2 2 2 2 3 2 2 2" xfId="6887"/>
    <cellStyle name="Normal 4 3 2 2 2 2 3 2 2 2 2" xfId="19191"/>
    <cellStyle name="Normal 4 3 2 2 2 2 3 2 2 2 2 2" xfId="42050"/>
    <cellStyle name="Normal 4 3 2 2 2 2 3 2 2 2 3" xfId="29748"/>
    <cellStyle name="Normal 4 3 2 2 2 2 3 2 2 3" xfId="10402"/>
    <cellStyle name="Normal 4 3 2 2 2 2 3 2 2 3 2" xfId="22706"/>
    <cellStyle name="Normal 4 3 2 2 2 2 3 2 2 3 2 2" xfId="45565"/>
    <cellStyle name="Normal 4 3 2 2 2 2 3 2 2 3 3" xfId="33263"/>
    <cellStyle name="Normal 4 3 2 2 2 2 3 2 2 4" xfId="15676"/>
    <cellStyle name="Normal 4 3 2 2 2 2 3 2 2 4 2" xfId="38535"/>
    <cellStyle name="Normal 4 3 2 2 2 2 3 2 2 5" xfId="26233"/>
    <cellStyle name="Normal 4 3 2 2 2 2 3 2 3" xfId="5129"/>
    <cellStyle name="Normal 4 3 2 2 2 2 3 2 3 2" xfId="17433"/>
    <cellStyle name="Normal 4 3 2 2 2 2 3 2 3 2 2" xfId="40292"/>
    <cellStyle name="Normal 4 3 2 2 2 2 3 2 3 3" xfId="27990"/>
    <cellStyle name="Normal 4 3 2 2 2 2 3 2 4" xfId="8644"/>
    <cellStyle name="Normal 4 3 2 2 2 2 3 2 4 2" xfId="20948"/>
    <cellStyle name="Normal 4 3 2 2 2 2 3 2 4 2 2" xfId="43807"/>
    <cellStyle name="Normal 4 3 2 2 2 2 3 2 4 3" xfId="31505"/>
    <cellStyle name="Normal 4 3 2 2 2 2 3 2 5" xfId="12159"/>
    <cellStyle name="Normal 4 3 2 2 2 2 3 2 5 2" xfId="35019"/>
    <cellStyle name="Normal 4 3 2 2 2 2 3 2 6" xfId="13918"/>
    <cellStyle name="Normal 4 3 2 2 2 2 3 2 6 2" xfId="36777"/>
    <cellStyle name="Normal 4 3 2 2 2 2 3 2 7" xfId="24474"/>
    <cellStyle name="Normal 4 3 2 2 2 2 3 3" xfId="2494"/>
    <cellStyle name="Normal 4 3 2 2 2 2 3 3 2" xfId="6009"/>
    <cellStyle name="Normal 4 3 2 2 2 2 3 3 2 2" xfId="18313"/>
    <cellStyle name="Normal 4 3 2 2 2 2 3 3 2 2 2" xfId="41172"/>
    <cellStyle name="Normal 4 3 2 2 2 2 3 3 2 3" xfId="28870"/>
    <cellStyle name="Normal 4 3 2 2 2 2 3 3 3" xfId="9524"/>
    <cellStyle name="Normal 4 3 2 2 2 2 3 3 3 2" xfId="21828"/>
    <cellStyle name="Normal 4 3 2 2 2 2 3 3 3 2 2" xfId="44687"/>
    <cellStyle name="Normal 4 3 2 2 2 2 3 3 3 3" xfId="32385"/>
    <cellStyle name="Normal 4 3 2 2 2 2 3 3 4" xfId="14798"/>
    <cellStyle name="Normal 4 3 2 2 2 2 3 3 4 2" xfId="37657"/>
    <cellStyle name="Normal 4 3 2 2 2 2 3 3 5" xfId="25355"/>
    <cellStyle name="Normal 4 3 2 2 2 2 3 4" xfId="4251"/>
    <cellStyle name="Normal 4 3 2 2 2 2 3 4 2" xfId="16555"/>
    <cellStyle name="Normal 4 3 2 2 2 2 3 4 2 2" xfId="39414"/>
    <cellStyle name="Normal 4 3 2 2 2 2 3 4 3" xfId="27112"/>
    <cellStyle name="Normal 4 3 2 2 2 2 3 5" xfId="7766"/>
    <cellStyle name="Normal 4 3 2 2 2 2 3 5 2" xfId="20070"/>
    <cellStyle name="Normal 4 3 2 2 2 2 3 5 2 2" xfId="42929"/>
    <cellStyle name="Normal 4 3 2 2 2 2 3 5 3" xfId="30627"/>
    <cellStyle name="Normal 4 3 2 2 2 2 3 6" xfId="11281"/>
    <cellStyle name="Normal 4 3 2 2 2 2 3 6 2" xfId="34141"/>
    <cellStyle name="Normal 4 3 2 2 2 2 3 7" xfId="13040"/>
    <cellStyle name="Normal 4 3 2 2 2 2 3 7 2" xfId="35899"/>
    <cellStyle name="Normal 4 3 2 2 2 2 3 8" xfId="23596"/>
    <cellStyle name="Normal 4 3 2 2 2 2 4" xfId="1172"/>
    <cellStyle name="Normal 4 3 2 2 2 2 4 2" xfId="2933"/>
    <cellStyle name="Normal 4 3 2 2 2 2 4 2 2" xfId="6448"/>
    <cellStyle name="Normal 4 3 2 2 2 2 4 2 2 2" xfId="18752"/>
    <cellStyle name="Normal 4 3 2 2 2 2 4 2 2 2 2" xfId="41611"/>
    <cellStyle name="Normal 4 3 2 2 2 2 4 2 2 3" xfId="29309"/>
    <cellStyle name="Normal 4 3 2 2 2 2 4 2 3" xfId="9963"/>
    <cellStyle name="Normal 4 3 2 2 2 2 4 2 3 2" xfId="22267"/>
    <cellStyle name="Normal 4 3 2 2 2 2 4 2 3 2 2" xfId="45126"/>
    <cellStyle name="Normal 4 3 2 2 2 2 4 2 3 3" xfId="32824"/>
    <cellStyle name="Normal 4 3 2 2 2 2 4 2 4" xfId="15237"/>
    <cellStyle name="Normal 4 3 2 2 2 2 4 2 4 2" xfId="38096"/>
    <cellStyle name="Normal 4 3 2 2 2 2 4 2 5" xfId="25794"/>
    <cellStyle name="Normal 4 3 2 2 2 2 4 3" xfId="4690"/>
    <cellStyle name="Normal 4 3 2 2 2 2 4 3 2" xfId="16994"/>
    <cellStyle name="Normal 4 3 2 2 2 2 4 3 2 2" xfId="39853"/>
    <cellStyle name="Normal 4 3 2 2 2 2 4 3 3" xfId="27551"/>
    <cellStyle name="Normal 4 3 2 2 2 2 4 4" xfId="8205"/>
    <cellStyle name="Normal 4 3 2 2 2 2 4 4 2" xfId="20509"/>
    <cellStyle name="Normal 4 3 2 2 2 2 4 4 2 2" xfId="43368"/>
    <cellStyle name="Normal 4 3 2 2 2 2 4 4 3" xfId="31066"/>
    <cellStyle name="Normal 4 3 2 2 2 2 4 5" xfId="11720"/>
    <cellStyle name="Normal 4 3 2 2 2 2 4 5 2" xfId="34580"/>
    <cellStyle name="Normal 4 3 2 2 2 2 4 6" xfId="13479"/>
    <cellStyle name="Normal 4 3 2 2 2 2 4 6 2" xfId="36338"/>
    <cellStyle name="Normal 4 3 2 2 2 2 4 7" xfId="24035"/>
    <cellStyle name="Normal 4 3 2 2 2 2 5" xfId="2055"/>
    <cellStyle name="Normal 4 3 2 2 2 2 5 2" xfId="5570"/>
    <cellStyle name="Normal 4 3 2 2 2 2 5 2 2" xfId="17874"/>
    <cellStyle name="Normal 4 3 2 2 2 2 5 2 2 2" xfId="40733"/>
    <cellStyle name="Normal 4 3 2 2 2 2 5 2 3" xfId="28431"/>
    <cellStyle name="Normal 4 3 2 2 2 2 5 3" xfId="9085"/>
    <cellStyle name="Normal 4 3 2 2 2 2 5 3 2" xfId="21389"/>
    <cellStyle name="Normal 4 3 2 2 2 2 5 3 2 2" xfId="44248"/>
    <cellStyle name="Normal 4 3 2 2 2 2 5 3 3" xfId="31946"/>
    <cellStyle name="Normal 4 3 2 2 2 2 5 4" xfId="14359"/>
    <cellStyle name="Normal 4 3 2 2 2 2 5 4 2" xfId="37218"/>
    <cellStyle name="Normal 4 3 2 2 2 2 5 5" xfId="24916"/>
    <cellStyle name="Normal 4 3 2 2 2 2 6" xfId="3812"/>
    <cellStyle name="Normal 4 3 2 2 2 2 6 2" xfId="16116"/>
    <cellStyle name="Normal 4 3 2 2 2 2 6 2 2" xfId="38975"/>
    <cellStyle name="Normal 4 3 2 2 2 2 6 3" xfId="26673"/>
    <cellStyle name="Normal 4 3 2 2 2 2 7" xfId="7327"/>
    <cellStyle name="Normal 4 3 2 2 2 2 7 2" xfId="19631"/>
    <cellStyle name="Normal 4 3 2 2 2 2 7 2 2" xfId="42490"/>
    <cellStyle name="Normal 4 3 2 2 2 2 7 3" xfId="30188"/>
    <cellStyle name="Normal 4 3 2 2 2 2 8" xfId="10842"/>
    <cellStyle name="Normal 4 3 2 2 2 2 8 2" xfId="33702"/>
    <cellStyle name="Normal 4 3 2 2 2 2 9" xfId="12601"/>
    <cellStyle name="Normal 4 3 2 2 2 2 9 2" xfId="35460"/>
    <cellStyle name="Normal 4 3 2 2 2 3" xfId="397"/>
    <cellStyle name="Normal 4 3 2 2 2 3 2" xfId="838"/>
    <cellStyle name="Normal 4 3 2 2 2 3 2 2" xfId="1717"/>
    <cellStyle name="Normal 4 3 2 2 2 3 2 2 2" xfId="3478"/>
    <cellStyle name="Normal 4 3 2 2 2 3 2 2 2 2" xfId="6993"/>
    <cellStyle name="Normal 4 3 2 2 2 3 2 2 2 2 2" xfId="19297"/>
    <cellStyle name="Normal 4 3 2 2 2 3 2 2 2 2 2 2" xfId="42156"/>
    <cellStyle name="Normal 4 3 2 2 2 3 2 2 2 2 3" xfId="29854"/>
    <cellStyle name="Normal 4 3 2 2 2 3 2 2 2 3" xfId="10508"/>
    <cellStyle name="Normal 4 3 2 2 2 3 2 2 2 3 2" xfId="22812"/>
    <cellStyle name="Normal 4 3 2 2 2 3 2 2 2 3 2 2" xfId="45671"/>
    <cellStyle name="Normal 4 3 2 2 2 3 2 2 2 3 3" xfId="33369"/>
    <cellStyle name="Normal 4 3 2 2 2 3 2 2 2 4" xfId="15782"/>
    <cellStyle name="Normal 4 3 2 2 2 3 2 2 2 4 2" xfId="38641"/>
    <cellStyle name="Normal 4 3 2 2 2 3 2 2 2 5" xfId="26339"/>
    <cellStyle name="Normal 4 3 2 2 2 3 2 2 3" xfId="5235"/>
    <cellStyle name="Normal 4 3 2 2 2 3 2 2 3 2" xfId="17539"/>
    <cellStyle name="Normal 4 3 2 2 2 3 2 2 3 2 2" xfId="40398"/>
    <cellStyle name="Normal 4 3 2 2 2 3 2 2 3 3" xfId="28096"/>
    <cellStyle name="Normal 4 3 2 2 2 3 2 2 4" xfId="8750"/>
    <cellStyle name="Normal 4 3 2 2 2 3 2 2 4 2" xfId="21054"/>
    <cellStyle name="Normal 4 3 2 2 2 3 2 2 4 2 2" xfId="43913"/>
    <cellStyle name="Normal 4 3 2 2 2 3 2 2 4 3" xfId="31611"/>
    <cellStyle name="Normal 4 3 2 2 2 3 2 2 5" xfId="12265"/>
    <cellStyle name="Normal 4 3 2 2 2 3 2 2 5 2" xfId="35125"/>
    <cellStyle name="Normal 4 3 2 2 2 3 2 2 6" xfId="14024"/>
    <cellStyle name="Normal 4 3 2 2 2 3 2 2 6 2" xfId="36883"/>
    <cellStyle name="Normal 4 3 2 2 2 3 2 2 7" xfId="24580"/>
    <cellStyle name="Normal 4 3 2 2 2 3 2 3" xfId="2600"/>
    <cellStyle name="Normal 4 3 2 2 2 3 2 3 2" xfId="6115"/>
    <cellStyle name="Normal 4 3 2 2 2 3 2 3 2 2" xfId="18419"/>
    <cellStyle name="Normal 4 3 2 2 2 3 2 3 2 2 2" xfId="41278"/>
    <cellStyle name="Normal 4 3 2 2 2 3 2 3 2 3" xfId="28976"/>
    <cellStyle name="Normal 4 3 2 2 2 3 2 3 3" xfId="9630"/>
    <cellStyle name="Normal 4 3 2 2 2 3 2 3 3 2" xfId="21934"/>
    <cellStyle name="Normal 4 3 2 2 2 3 2 3 3 2 2" xfId="44793"/>
    <cellStyle name="Normal 4 3 2 2 2 3 2 3 3 3" xfId="32491"/>
    <cellStyle name="Normal 4 3 2 2 2 3 2 3 4" xfId="14904"/>
    <cellStyle name="Normal 4 3 2 2 2 3 2 3 4 2" xfId="37763"/>
    <cellStyle name="Normal 4 3 2 2 2 3 2 3 5" xfId="25461"/>
    <cellStyle name="Normal 4 3 2 2 2 3 2 4" xfId="4357"/>
    <cellStyle name="Normal 4 3 2 2 2 3 2 4 2" xfId="16661"/>
    <cellStyle name="Normal 4 3 2 2 2 3 2 4 2 2" xfId="39520"/>
    <cellStyle name="Normal 4 3 2 2 2 3 2 4 3" xfId="27218"/>
    <cellStyle name="Normal 4 3 2 2 2 3 2 5" xfId="7872"/>
    <cellStyle name="Normal 4 3 2 2 2 3 2 5 2" xfId="20176"/>
    <cellStyle name="Normal 4 3 2 2 2 3 2 5 2 2" xfId="43035"/>
    <cellStyle name="Normal 4 3 2 2 2 3 2 5 3" xfId="30733"/>
    <cellStyle name="Normal 4 3 2 2 2 3 2 6" xfId="11387"/>
    <cellStyle name="Normal 4 3 2 2 2 3 2 6 2" xfId="34247"/>
    <cellStyle name="Normal 4 3 2 2 2 3 2 7" xfId="13146"/>
    <cellStyle name="Normal 4 3 2 2 2 3 2 7 2" xfId="36005"/>
    <cellStyle name="Normal 4 3 2 2 2 3 2 8" xfId="23702"/>
    <cellStyle name="Normal 4 3 2 2 2 3 3" xfId="1278"/>
    <cellStyle name="Normal 4 3 2 2 2 3 3 2" xfId="3039"/>
    <cellStyle name="Normal 4 3 2 2 2 3 3 2 2" xfId="6554"/>
    <cellStyle name="Normal 4 3 2 2 2 3 3 2 2 2" xfId="18858"/>
    <cellStyle name="Normal 4 3 2 2 2 3 3 2 2 2 2" xfId="41717"/>
    <cellStyle name="Normal 4 3 2 2 2 3 3 2 2 3" xfId="29415"/>
    <cellStyle name="Normal 4 3 2 2 2 3 3 2 3" xfId="10069"/>
    <cellStyle name="Normal 4 3 2 2 2 3 3 2 3 2" xfId="22373"/>
    <cellStyle name="Normal 4 3 2 2 2 3 3 2 3 2 2" xfId="45232"/>
    <cellStyle name="Normal 4 3 2 2 2 3 3 2 3 3" xfId="32930"/>
    <cellStyle name="Normal 4 3 2 2 2 3 3 2 4" xfId="15343"/>
    <cellStyle name="Normal 4 3 2 2 2 3 3 2 4 2" xfId="38202"/>
    <cellStyle name="Normal 4 3 2 2 2 3 3 2 5" xfId="25900"/>
    <cellStyle name="Normal 4 3 2 2 2 3 3 3" xfId="4796"/>
    <cellStyle name="Normal 4 3 2 2 2 3 3 3 2" xfId="17100"/>
    <cellStyle name="Normal 4 3 2 2 2 3 3 3 2 2" xfId="39959"/>
    <cellStyle name="Normal 4 3 2 2 2 3 3 3 3" xfId="27657"/>
    <cellStyle name="Normal 4 3 2 2 2 3 3 4" xfId="8311"/>
    <cellStyle name="Normal 4 3 2 2 2 3 3 4 2" xfId="20615"/>
    <cellStyle name="Normal 4 3 2 2 2 3 3 4 2 2" xfId="43474"/>
    <cellStyle name="Normal 4 3 2 2 2 3 3 4 3" xfId="31172"/>
    <cellStyle name="Normal 4 3 2 2 2 3 3 5" xfId="11826"/>
    <cellStyle name="Normal 4 3 2 2 2 3 3 5 2" xfId="34686"/>
    <cellStyle name="Normal 4 3 2 2 2 3 3 6" xfId="13585"/>
    <cellStyle name="Normal 4 3 2 2 2 3 3 6 2" xfId="36444"/>
    <cellStyle name="Normal 4 3 2 2 2 3 3 7" xfId="24141"/>
    <cellStyle name="Normal 4 3 2 2 2 3 4" xfId="2161"/>
    <cellStyle name="Normal 4 3 2 2 2 3 4 2" xfId="5676"/>
    <cellStyle name="Normal 4 3 2 2 2 3 4 2 2" xfId="17980"/>
    <cellStyle name="Normal 4 3 2 2 2 3 4 2 2 2" xfId="40839"/>
    <cellStyle name="Normal 4 3 2 2 2 3 4 2 3" xfId="28537"/>
    <cellStyle name="Normal 4 3 2 2 2 3 4 3" xfId="9191"/>
    <cellStyle name="Normal 4 3 2 2 2 3 4 3 2" xfId="21495"/>
    <cellStyle name="Normal 4 3 2 2 2 3 4 3 2 2" xfId="44354"/>
    <cellStyle name="Normal 4 3 2 2 2 3 4 3 3" xfId="32052"/>
    <cellStyle name="Normal 4 3 2 2 2 3 4 4" xfId="14465"/>
    <cellStyle name="Normal 4 3 2 2 2 3 4 4 2" xfId="37324"/>
    <cellStyle name="Normal 4 3 2 2 2 3 4 5" xfId="25022"/>
    <cellStyle name="Normal 4 3 2 2 2 3 5" xfId="3918"/>
    <cellStyle name="Normal 4 3 2 2 2 3 5 2" xfId="16222"/>
    <cellStyle name="Normal 4 3 2 2 2 3 5 2 2" xfId="39081"/>
    <cellStyle name="Normal 4 3 2 2 2 3 5 3" xfId="26779"/>
    <cellStyle name="Normal 4 3 2 2 2 3 6" xfId="7433"/>
    <cellStyle name="Normal 4 3 2 2 2 3 6 2" xfId="19737"/>
    <cellStyle name="Normal 4 3 2 2 2 3 6 2 2" xfId="42596"/>
    <cellStyle name="Normal 4 3 2 2 2 3 6 3" xfId="30294"/>
    <cellStyle name="Normal 4 3 2 2 2 3 7" xfId="10948"/>
    <cellStyle name="Normal 4 3 2 2 2 3 7 2" xfId="33808"/>
    <cellStyle name="Normal 4 3 2 2 2 3 8" xfId="12707"/>
    <cellStyle name="Normal 4 3 2 2 2 3 8 2" xfId="35566"/>
    <cellStyle name="Normal 4 3 2 2 2 3 9" xfId="23262"/>
    <cellStyle name="Normal 4 3 2 2 2 4" xfId="626"/>
    <cellStyle name="Normal 4 3 2 2 2 4 2" xfId="1505"/>
    <cellStyle name="Normal 4 3 2 2 2 4 2 2" xfId="3266"/>
    <cellStyle name="Normal 4 3 2 2 2 4 2 2 2" xfId="6781"/>
    <cellStyle name="Normal 4 3 2 2 2 4 2 2 2 2" xfId="19085"/>
    <cellStyle name="Normal 4 3 2 2 2 4 2 2 2 2 2" xfId="41944"/>
    <cellStyle name="Normal 4 3 2 2 2 4 2 2 2 3" xfId="29642"/>
    <cellStyle name="Normal 4 3 2 2 2 4 2 2 3" xfId="10296"/>
    <cellStyle name="Normal 4 3 2 2 2 4 2 2 3 2" xfId="22600"/>
    <cellStyle name="Normal 4 3 2 2 2 4 2 2 3 2 2" xfId="45459"/>
    <cellStyle name="Normal 4 3 2 2 2 4 2 2 3 3" xfId="33157"/>
    <cellStyle name="Normal 4 3 2 2 2 4 2 2 4" xfId="15570"/>
    <cellStyle name="Normal 4 3 2 2 2 4 2 2 4 2" xfId="38429"/>
    <cellStyle name="Normal 4 3 2 2 2 4 2 2 5" xfId="26127"/>
    <cellStyle name="Normal 4 3 2 2 2 4 2 3" xfId="5023"/>
    <cellStyle name="Normal 4 3 2 2 2 4 2 3 2" xfId="17327"/>
    <cellStyle name="Normal 4 3 2 2 2 4 2 3 2 2" xfId="40186"/>
    <cellStyle name="Normal 4 3 2 2 2 4 2 3 3" xfId="27884"/>
    <cellStyle name="Normal 4 3 2 2 2 4 2 4" xfId="8538"/>
    <cellStyle name="Normal 4 3 2 2 2 4 2 4 2" xfId="20842"/>
    <cellStyle name="Normal 4 3 2 2 2 4 2 4 2 2" xfId="43701"/>
    <cellStyle name="Normal 4 3 2 2 2 4 2 4 3" xfId="31399"/>
    <cellStyle name="Normal 4 3 2 2 2 4 2 5" xfId="12053"/>
    <cellStyle name="Normal 4 3 2 2 2 4 2 5 2" xfId="34913"/>
    <cellStyle name="Normal 4 3 2 2 2 4 2 6" xfId="13812"/>
    <cellStyle name="Normal 4 3 2 2 2 4 2 6 2" xfId="36671"/>
    <cellStyle name="Normal 4 3 2 2 2 4 2 7" xfId="24368"/>
    <cellStyle name="Normal 4 3 2 2 2 4 3" xfId="2388"/>
    <cellStyle name="Normal 4 3 2 2 2 4 3 2" xfId="5903"/>
    <cellStyle name="Normal 4 3 2 2 2 4 3 2 2" xfId="18207"/>
    <cellStyle name="Normal 4 3 2 2 2 4 3 2 2 2" xfId="41066"/>
    <cellStyle name="Normal 4 3 2 2 2 4 3 2 3" xfId="28764"/>
    <cellStyle name="Normal 4 3 2 2 2 4 3 3" xfId="9418"/>
    <cellStyle name="Normal 4 3 2 2 2 4 3 3 2" xfId="21722"/>
    <cellStyle name="Normal 4 3 2 2 2 4 3 3 2 2" xfId="44581"/>
    <cellStyle name="Normal 4 3 2 2 2 4 3 3 3" xfId="32279"/>
    <cellStyle name="Normal 4 3 2 2 2 4 3 4" xfId="14692"/>
    <cellStyle name="Normal 4 3 2 2 2 4 3 4 2" xfId="37551"/>
    <cellStyle name="Normal 4 3 2 2 2 4 3 5" xfId="25249"/>
    <cellStyle name="Normal 4 3 2 2 2 4 4" xfId="4145"/>
    <cellStyle name="Normal 4 3 2 2 2 4 4 2" xfId="16449"/>
    <cellStyle name="Normal 4 3 2 2 2 4 4 2 2" xfId="39308"/>
    <cellStyle name="Normal 4 3 2 2 2 4 4 3" xfId="27006"/>
    <cellStyle name="Normal 4 3 2 2 2 4 5" xfId="7660"/>
    <cellStyle name="Normal 4 3 2 2 2 4 5 2" xfId="19964"/>
    <cellStyle name="Normal 4 3 2 2 2 4 5 2 2" xfId="42823"/>
    <cellStyle name="Normal 4 3 2 2 2 4 5 3" xfId="30521"/>
    <cellStyle name="Normal 4 3 2 2 2 4 6" xfId="11175"/>
    <cellStyle name="Normal 4 3 2 2 2 4 6 2" xfId="34035"/>
    <cellStyle name="Normal 4 3 2 2 2 4 7" xfId="12934"/>
    <cellStyle name="Normal 4 3 2 2 2 4 7 2" xfId="35793"/>
    <cellStyle name="Normal 4 3 2 2 2 4 8" xfId="23490"/>
    <cellStyle name="Normal 4 3 2 2 2 5" xfId="1066"/>
    <cellStyle name="Normal 4 3 2 2 2 5 2" xfId="2827"/>
    <cellStyle name="Normal 4 3 2 2 2 5 2 2" xfId="6342"/>
    <cellStyle name="Normal 4 3 2 2 2 5 2 2 2" xfId="18646"/>
    <cellStyle name="Normal 4 3 2 2 2 5 2 2 2 2" xfId="41505"/>
    <cellStyle name="Normal 4 3 2 2 2 5 2 2 3" xfId="29203"/>
    <cellStyle name="Normal 4 3 2 2 2 5 2 3" xfId="9857"/>
    <cellStyle name="Normal 4 3 2 2 2 5 2 3 2" xfId="22161"/>
    <cellStyle name="Normal 4 3 2 2 2 5 2 3 2 2" xfId="45020"/>
    <cellStyle name="Normal 4 3 2 2 2 5 2 3 3" xfId="32718"/>
    <cellStyle name="Normal 4 3 2 2 2 5 2 4" xfId="15131"/>
    <cellStyle name="Normal 4 3 2 2 2 5 2 4 2" xfId="37990"/>
    <cellStyle name="Normal 4 3 2 2 2 5 2 5" xfId="25688"/>
    <cellStyle name="Normal 4 3 2 2 2 5 3" xfId="4584"/>
    <cellStyle name="Normal 4 3 2 2 2 5 3 2" xfId="16888"/>
    <cellStyle name="Normal 4 3 2 2 2 5 3 2 2" xfId="39747"/>
    <cellStyle name="Normal 4 3 2 2 2 5 3 3" xfId="27445"/>
    <cellStyle name="Normal 4 3 2 2 2 5 4" xfId="8099"/>
    <cellStyle name="Normal 4 3 2 2 2 5 4 2" xfId="20403"/>
    <cellStyle name="Normal 4 3 2 2 2 5 4 2 2" xfId="43262"/>
    <cellStyle name="Normal 4 3 2 2 2 5 4 3" xfId="30960"/>
    <cellStyle name="Normal 4 3 2 2 2 5 5" xfId="11614"/>
    <cellStyle name="Normal 4 3 2 2 2 5 5 2" xfId="34474"/>
    <cellStyle name="Normal 4 3 2 2 2 5 6" xfId="13373"/>
    <cellStyle name="Normal 4 3 2 2 2 5 6 2" xfId="36232"/>
    <cellStyle name="Normal 4 3 2 2 2 5 7" xfId="23929"/>
    <cellStyle name="Normal 4 3 2 2 2 6" xfId="1949"/>
    <cellStyle name="Normal 4 3 2 2 2 6 2" xfId="5464"/>
    <cellStyle name="Normal 4 3 2 2 2 6 2 2" xfId="17768"/>
    <cellStyle name="Normal 4 3 2 2 2 6 2 2 2" xfId="40627"/>
    <cellStyle name="Normal 4 3 2 2 2 6 2 3" xfId="28325"/>
    <cellStyle name="Normal 4 3 2 2 2 6 3" xfId="8979"/>
    <cellStyle name="Normal 4 3 2 2 2 6 3 2" xfId="21283"/>
    <cellStyle name="Normal 4 3 2 2 2 6 3 2 2" xfId="44142"/>
    <cellStyle name="Normal 4 3 2 2 2 6 3 3" xfId="31840"/>
    <cellStyle name="Normal 4 3 2 2 2 6 4" xfId="14253"/>
    <cellStyle name="Normal 4 3 2 2 2 6 4 2" xfId="37112"/>
    <cellStyle name="Normal 4 3 2 2 2 6 5" xfId="24810"/>
    <cellStyle name="Normal 4 3 2 2 2 7" xfId="3706"/>
    <cellStyle name="Normal 4 3 2 2 2 7 2" xfId="16010"/>
    <cellStyle name="Normal 4 3 2 2 2 7 2 2" xfId="38869"/>
    <cellStyle name="Normal 4 3 2 2 2 7 3" xfId="26567"/>
    <cellStyle name="Normal 4 3 2 2 2 8" xfId="7221"/>
    <cellStyle name="Normal 4 3 2 2 2 8 2" xfId="19525"/>
    <cellStyle name="Normal 4 3 2 2 2 8 2 2" xfId="42384"/>
    <cellStyle name="Normal 4 3 2 2 2 8 3" xfId="30082"/>
    <cellStyle name="Normal 4 3 2 2 2 9" xfId="10736"/>
    <cellStyle name="Normal 4 3 2 2 2 9 2" xfId="33596"/>
    <cellStyle name="Normal 4 3 2 2 3" xfId="237"/>
    <cellStyle name="Normal 4 3 2 2 3 10" xfId="23102"/>
    <cellStyle name="Normal 4 3 2 2 3 2" xfId="449"/>
    <cellStyle name="Normal 4 3 2 2 3 2 2" xfId="890"/>
    <cellStyle name="Normal 4 3 2 2 3 2 2 2" xfId="1769"/>
    <cellStyle name="Normal 4 3 2 2 3 2 2 2 2" xfId="3530"/>
    <cellStyle name="Normal 4 3 2 2 3 2 2 2 2 2" xfId="7045"/>
    <cellStyle name="Normal 4 3 2 2 3 2 2 2 2 2 2" xfId="19349"/>
    <cellStyle name="Normal 4 3 2 2 3 2 2 2 2 2 2 2" xfId="42208"/>
    <cellStyle name="Normal 4 3 2 2 3 2 2 2 2 2 3" xfId="29906"/>
    <cellStyle name="Normal 4 3 2 2 3 2 2 2 2 3" xfId="10560"/>
    <cellStyle name="Normal 4 3 2 2 3 2 2 2 2 3 2" xfId="22864"/>
    <cellStyle name="Normal 4 3 2 2 3 2 2 2 2 3 2 2" xfId="45723"/>
    <cellStyle name="Normal 4 3 2 2 3 2 2 2 2 3 3" xfId="33421"/>
    <cellStyle name="Normal 4 3 2 2 3 2 2 2 2 4" xfId="15834"/>
    <cellStyle name="Normal 4 3 2 2 3 2 2 2 2 4 2" xfId="38693"/>
    <cellStyle name="Normal 4 3 2 2 3 2 2 2 2 5" xfId="26391"/>
    <cellStyle name="Normal 4 3 2 2 3 2 2 2 3" xfId="5287"/>
    <cellStyle name="Normal 4 3 2 2 3 2 2 2 3 2" xfId="17591"/>
    <cellStyle name="Normal 4 3 2 2 3 2 2 2 3 2 2" xfId="40450"/>
    <cellStyle name="Normal 4 3 2 2 3 2 2 2 3 3" xfId="28148"/>
    <cellStyle name="Normal 4 3 2 2 3 2 2 2 4" xfId="8802"/>
    <cellStyle name="Normal 4 3 2 2 3 2 2 2 4 2" xfId="21106"/>
    <cellStyle name="Normal 4 3 2 2 3 2 2 2 4 2 2" xfId="43965"/>
    <cellStyle name="Normal 4 3 2 2 3 2 2 2 4 3" xfId="31663"/>
    <cellStyle name="Normal 4 3 2 2 3 2 2 2 5" xfId="12317"/>
    <cellStyle name="Normal 4 3 2 2 3 2 2 2 5 2" xfId="35177"/>
    <cellStyle name="Normal 4 3 2 2 3 2 2 2 6" xfId="14076"/>
    <cellStyle name="Normal 4 3 2 2 3 2 2 2 6 2" xfId="36935"/>
    <cellStyle name="Normal 4 3 2 2 3 2 2 2 7" xfId="24632"/>
    <cellStyle name="Normal 4 3 2 2 3 2 2 3" xfId="2652"/>
    <cellStyle name="Normal 4 3 2 2 3 2 2 3 2" xfId="6167"/>
    <cellStyle name="Normal 4 3 2 2 3 2 2 3 2 2" xfId="18471"/>
    <cellStyle name="Normal 4 3 2 2 3 2 2 3 2 2 2" xfId="41330"/>
    <cellStyle name="Normal 4 3 2 2 3 2 2 3 2 3" xfId="29028"/>
    <cellStyle name="Normal 4 3 2 2 3 2 2 3 3" xfId="9682"/>
    <cellStyle name="Normal 4 3 2 2 3 2 2 3 3 2" xfId="21986"/>
    <cellStyle name="Normal 4 3 2 2 3 2 2 3 3 2 2" xfId="44845"/>
    <cellStyle name="Normal 4 3 2 2 3 2 2 3 3 3" xfId="32543"/>
    <cellStyle name="Normal 4 3 2 2 3 2 2 3 4" xfId="14956"/>
    <cellStyle name="Normal 4 3 2 2 3 2 2 3 4 2" xfId="37815"/>
    <cellStyle name="Normal 4 3 2 2 3 2 2 3 5" xfId="25513"/>
    <cellStyle name="Normal 4 3 2 2 3 2 2 4" xfId="4409"/>
    <cellStyle name="Normal 4 3 2 2 3 2 2 4 2" xfId="16713"/>
    <cellStyle name="Normal 4 3 2 2 3 2 2 4 2 2" xfId="39572"/>
    <cellStyle name="Normal 4 3 2 2 3 2 2 4 3" xfId="27270"/>
    <cellStyle name="Normal 4 3 2 2 3 2 2 5" xfId="7924"/>
    <cellStyle name="Normal 4 3 2 2 3 2 2 5 2" xfId="20228"/>
    <cellStyle name="Normal 4 3 2 2 3 2 2 5 2 2" xfId="43087"/>
    <cellStyle name="Normal 4 3 2 2 3 2 2 5 3" xfId="30785"/>
    <cellStyle name="Normal 4 3 2 2 3 2 2 6" xfId="11439"/>
    <cellStyle name="Normal 4 3 2 2 3 2 2 6 2" xfId="34299"/>
    <cellStyle name="Normal 4 3 2 2 3 2 2 7" xfId="13198"/>
    <cellStyle name="Normal 4 3 2 2 3 2 2 7 2" xfId="36057"/>
    <cellStyle name="Normal 4 3 2 2 3 2 2 8" xfId="23754"/>
    <cellStyle name="Normal 4 3 2 2 3 2 3" xfId="1330"/>
    <cellStyle name="Normal 4 3 2 2 3 2 3 2" xfId="3091"/>
    <cellStyle name="Normal 4 3 2 2 3 2 3 2 2" xfId="6606"/>
    <cellStyle name="Normal 4 3 2 2 3 2 3 2 2 2" xfId="18910"/>
    <cellStyle name="Normal 4 3 2 2 3 2 3 2 2 2 2" xfId="41769"/>
    <cellStyle name="Normal 4 3 2 2 3 2 3 2 2 3" xfId="29467"/>
    <cellStyle name="Normal 4 3 2 2 3 2 3 2 3" xfId="10121"/>
    <cellStyle name="Normal 4 3 2 2 3 2 3 2 3 2" xfId="22425"/>
    <cellStyle name="Normal 4 3 2 2 3 2 3 2 3 2 2" xfId="45284"/>
    <cellStyle name="Normal 4 3 2 2 3 2 3 2 3 3" xfId="32982"/>
    <cellStyle name="Normal 4 3 2 2 3 2 3 2 4" xfId="15395"/>
    <cellStyle name="Normal 4 3 2 2 3 2 3 2 4 2" xfId="38254"/>
    <cellStyle name="Normal 4 3 2 2 3 2 3 2 5" xfId="25952"/>
    <cellStyle name="Normal 4 3 2 2 3 2 3 3" xfId="4848"/>
    <cellStyle name="Normal 4 3 2 2 3 2 3 3 2" xfId="17152"/>
    <cellStyle name="Normal 4 3 2 2 3 2 3 3 2 2" xfId="40011"/>
    <cellStyle name="Normal 4 3 2 2 3 2 3 3 3" xfId="27709"/>
    <cellStyle name="Normal 4 3 2 2 3 2 3 4" xfId="8363"/>
    <cellStyle name="Normal 4 3 2 2 3 2 3 4 2" xfId="20667"/>
    <cellStyle name="Normal 4 3 2 2 3 2 3 4 2 2" xfId="43526"/>
    <cellStyle name="Normal 4 3 2 2 3 2 3 4 3" xfId="31224"/>
    <cellStyle name="Normal 4 3 2 2 3 2 3 5" xfId="11878"/>
    <cellStyle name="Normal 4 3 2 2 3 2 3 5 2" xfId="34738"/>
    <cellStyle name="Normal 4 3 2 2 3 2 3 6" xfId="13637"/>
    <cellStyle name="Normal 4 3 2 2 3 2 3 6 2" xfId="36496"/>
    <cellStyle name="Normal 4 3 2 2 3 2 3 7" xfId="24193"/>
    <cellStyle name="Normal 4 3 2 2 3 2 4" xfId="2213"/>
    <cellStyle name="Normal 4 3 2 2 3 2 4 2" xfId="5728"/>
    <cellStyle name="Normal 4 3 2 2 3 2 4 2 2" xfId="18032"/>
    <cellStyle name="Normal 4 3 2 2 3 2 4 2 2 2" xfId="40891"/>
    <cellStyle name="Normal 4 3 2 2 3 2 4 2 3" xfId="28589"/>
    <cellStyle name="Normal 4 3 2 2 3 2 4 3" xfId="9243"/>
    <cellStyle name="Normal 4 3 2 2 3 2 4 3 2" xfId="21547"/>
    <cellStyle name="Normal 4 3 2 2 3 2 4 3 2 2" xfId="44406"/>
    <cellStyle name="Normal 4 3 2 2 3 2 4 3 3" xfId="32104"/>
    <cellStyle name="Normal 4 3 2 2 3 2 4 4" xfId="14517"/>
    <cellStyle name="Normal 4 3 2 2 3 2 4 4 2" xfId="37376"/>
    <cellStyle name="Normal 4 3 2 2 3 2 4 5" xfId="25074"/>
    <cellStyle name="Normal 4 3 2 2 3 2 5" xfId="3970"/>
    <cellStyle name="Normal 4 3 2 2 3 2 5 2" xfId="16274"/>
    <cellStyle name="Normal 4 3 2 2 3 2 5 2 2" xfId="39133"/>
    <cellStyle name="Normal 4 3 2 2 3 2 5 3" xfId="26831"/>
    <cellStyle name="Normal 4 3 2 2 3 2 6" xfId="7485"/>
    <cellStyle name="Normal 4 3 2 2 3 2 6 2" xfId="19789"/>
    <cellStyle name="Normal 4 3 2 2 3 2 6 2 2" xfId="42648"/>
    <cellStyle name="Normal 4 3 2 2 3 2 6 3" xfId="30346"/>
    <cellStyle name="Normal 4 3 2 2 3 2 7" xfId="11000"/>
    <cellStyle name="Normal 4 3 2 2 3 2 7 2" xfId="33860"/>
    <cellStyle name="Normal 4 3 2 2 3 2 8" xfId="12759"/>
    <cellStyle name="Normal 4 3 2 2 3 2 8 2" xfId="35618"/>
    <cellStyle name="Normal 4 3 2 2 3 2 9" xfId="23314"/>
    <cellStyle name="Normal 4 3 2 2 3 3" xfId="678"/>
    <cellStyle name="Normal 4 3 2 2 3 3 2" xfId="1557"/>
    <cellStyle name="Normal 4 3 2 2 3 3 2 2" xfId="3318"/>
    <cellStyle name="Normal 4 3 2 2 3 3 2 2 2" xfId="6833"/>
    <cellStyle name="Normal 4 3 2 2 3 3 2 2 2 2" xfId="19137"/>
    <cellStyle name="Normal 4 3 2 2 3 3 2 2 2 2 2" xfId="41996"/>
    <cellStyle name="Normal 4 3 2 2 3 3 2 2 2 3" xfId="29694"/>
    <cellStyle name="Normal 4 3 2 2 3 3 2 2 3" xfId="10348"/>
    <cellStyle name="Normal 4 3 2 2 3 3 2 2 3 2" xfId="22652"/>
    <cellStyle name="Normal 4 3 2 2 3 3 2 2 3 2 2" xfId="45511"/>
    <cellStyle name="Normal 4 3 2 2 3 3 2 2 3 3" xfId="33209"/>
    <cellStyle name="Normal 4 3 2 2 3 3 2 2 4" xfId="15622"/>
    <cellStyle name="Normal 4 3 2 2 3 3 2 2 4 2" xfId="38481"/>
    <cellStyle name="Normal 4 3 2 2 3 3 2 2 5" xfId="26179"/>
    <cellStyle name="Normal 4 3 2 2 3 3 2 3" xfId="5075"/>
    <cellStyle name="Normal 4 3 2 2 3 3 2 3 2" xfId="17379"/>
    <cellStyle name="Normal 4 3 2 2 3 3 2 3 2 2" xfId="40238"/>
    <cellStyle name="Normal 4 3 2 2 3 3 2 3 3" xfId="27936"/>
    <cellStyle name="Normal 4 3 2 2 3 3 2 4" xfId="8590"/>
    <cellStyle name="Normal 4 3 2 2 3 3 2 4 2" xfId="20894"/>
    <cellStyle name="Normal 4 3 2 2 3 3 2 4 2 2" xfId="43753"/>
    <cellStyle name="Normal 4 3 2 2 3 3 2 4 3" xfId="31451"/>
    <cellStyle name="Normal 4 3 2 2 3 3 2 5" xfId="12105"/>
    <cellStyle name="Normal 4 3 2 2 3 3 2 5 2" xfId="34965"/>
    <cellStyle name="Normal 4 3 2 2 3 3 2 6" xfId="13864"/>
    <cellStyle name="Normal 4 3 2 2 3 3 2 6 2" xfId="36723"/>
    <cellStyle name="Normal 4 3 2 2 3 3 2 7" xfId="24420"/>
    <cellStyle name="Normal 4 3 2 2 3 3 3" xfId="2440"/>
    <cellStyle name="Normal 4 3 2 2 3 3 3 2" xfId="5955"/>
    <cellStyle name="Normal 4 3 2 2 3 3 3 2 2" xfId="18259"/>
    <cellStyle name="Normal 4 3 2 2 3 3 3 2 2 2" xfId="41118"/>
    <cellStyle name="Normal 4 3 2 2 3 3 3 2 3" xfId="28816"/>
    <cellStyle name="Normal 4 3 2 2 3 3 3 3" xfId="9470"/>
    <cellStyle name="Normal 4 3 2 2 3 3 3 3 2" xfId="21774"/>
    <cellStyle name="Normal 4 3 2 2 3 3 3 3 2 2" xfId="44633"/>
    <cellStyle name="Normal 4 3 2 2 3 3 3 3 3" xfId="32331"/>
    <cellStyle name="Normal 4 3 2 2 3 3 3 4" xfId="14744"/>
    <cellStyle name="Normal 4 3 2 2 3 3 3 4 2" xfId="37603"/>
    <cellStyle name="Normal 4 3 2 2 3 3 3 5" xfId="25301"/>
    <cellStyle name="Normal 4 3 2 2 3 3 4" xfId="4197"/>
    <cellStyle name="Normal 4 3 2 2 3 3 4 2" xfId="16501"/>
    <cellStyle name="Normal 4 3 2 2 3 3 4 2 2" xfId="39360"/>
    <cellStyle name="Normal 4 3 2 2 3 3 4 3" xfId="27058"/>
    <cellStyle name="Normal 4 3 2 2 3 3 5" xfId="7712"/>
    <cellStyle name="Normal 4 3 2 2 3 3 5 2" xfId="20016"/>
    <cellStyle name="Normal 4 3 2 2 3 3 5 2 2" xfId="42875"/>
    <cellStyle name="Normal 4 3 2 2 3 3 5 3" xfId="30573"/>
    <cellStyle name="Normal 4 3 2 2 3 3 6" xfId="11227"/>
    <cellStyle name="Normal 4 3 2 2 3 3 6 2" xfId="34087"/>
    <cellStyle name="Normal 4 3 2 2 3 3 7" xfId="12986"/>
    <cellStyle name="Normal 4 3 2 2 3 3 7 2" xfId="35845"/>
    <cellStyle name="Normal 4 3 2 2 3 3 8" xfId="23542"/>
    <cellStyle name="Normal 4 3 2 2 3 4" xfId="1118"/>
    <cellStyle name="Normal 4 3 2 2 3 4 2" xfId="2879"/>
    <cellStyle name="Normal 4 3 2 2 3 4 2 2" xfId="6394"/>
    <cellStyle name="Normal 4 3 2 2 3 4 2 2 2" xfId="18698"/>
    <cellStyle name="Normal 4 3 2 2 3 4 2 2 2 2" xfId="41557"/>
    <cellStyle name="Normal 4 3 2 2 3 4 2 2 3" xfId="29255"/>
    <cellStyle name="Normal 4 3 2 2 3 4 2 3" xfId="9909"/>
    <cellStyle name="Normal 4 3 2 2 3 4 2 3 2" xfId="22213"/>
    <cellStyle name="Normal 4 3 2 2 3 4 2 3 2 2" xfId="45072"/>
    <cellStyle name="Normal 4 3 2 2 3 4 2 3 3" xfId="32770"/>
    <cellStyle name="Normal 4 3 2 2 3 4 2 4" xfId="15183"/>
    <cellStyle name="Normal 4 3 2 2 3 4 2 4 2" xfId="38042"/>
    <cellStyle name="Normal 4 3 2 2 3 4 2 5" xfId="25740"/>
    <cellStyle name="Normal 4 3 2 2 3 4 3" xfId="4636"/>
    <cellStyle name="Normal 4 3 2 2 3 4 3 2" xfId="16940"/>
    <cellStyle name="Normal 4 3 2 2 3 4 3 2 2" xfId="39799"/>
    <cellStyle name="Normal 4 3 2 2 3 4 3 3" xfId="27497"/>
    <cellStyle name="Normal 4 3 2 2 3 4 4" xfId="8151"/>
    <cellStyle name="Normal 4 3 2 2 3 4 4 2" xfId="20455"/>
    <cellStyle name="Normal 4 3 2 2 3 4 4 2 2" xfId="43314"/>
    <cellStyle name="Normal 4 3 2 2 3 4 4 3" xfId="31012"/>
    <cellStyle name="Normal 4 3 2 2 3 4 5" xfId="11666"/>
    <cellStyle name="Normal 4 3 2 2 3 4 5 2" xfId="34526"/>
    <cellStyle name="Normal 4 3 2 2 3 4 6" xfId="13425"/>
    <cellStyle name="Normal 4 3 2 2 3 4 6 2" xfId="36284"/>
    <cellStyle name="Normal 4 3 2 2 3 4 7" xfId="23981"/>
    <cellStyle name="Normal 4 3 2 2 3 5" xfId="2001"/>
    <cellStyle name="Normal 4 3 2 2 3 5 2" xfId="5516"/>
    <cellStyle name="Normal 4 3 2 2 3 5 2 2" xfId="17820"/>
    <cellStyle name="Normal 4 3 2 2 3 5 2 2 2" xfId="40679"/>
    <cellStyle name="Normal 4 3 2 2 3 5 2 3" xfId="28377"/>
    <cellStyle name="Normal 4 3 2 2 3 5 3" xfId="9031"/>
    <cellStyle name="Normal 4 3 2 2 3 5 3 2" xfId="21335"/>
    <cellStyle name="Normal 4 3 2 2 3 5 3 2 2" xfId="44194"/>
    <cellStyle name="Normal 4 3 2 2 3 5 3 3" xfId="31892"/>
    <cellStyle name="Normal 4 3 2 2 3 5 4" xfId="14305"/>
    <cellStyle name="Normal 4 3 2 2 3 5 4 2" xfId="37164"/>
    <cellStyle name="Normal 4 3 2 2 3 5 5" xfId="24862"/>
    <cellStyle name="Normal 4 3 2 2 3 6" xfId="3758"/>
    <cellStyle name="Normal 4 3 2 2 3 6 2" xfId="16062"/>
    <cellStyle name="Normal 4 3 2 2 3 6 2 2" xfId="38921"/>
    <cellStyle name="Normal 4 3 2 2 3 6 3" xfId="26619"/>
    <cellStyle name="Normal 4 3 2 2 3 7" xfId="7273"/>
    <cellStyle name="Normal 4 3 2 2 3 7 2" xfId="19577"/>
    <cellStyle name="Normal 4 3 2 2 3 7 2 2" xfId="42436"/>
    <cellStyle name="Normal 4 3 2 2 3 7 3" xfId="30134"/>
    <cellStyle name="Normal 4 3 2 2 3 8" xfId="10788"/>
    <cellStyle name="Normal 4 3 2 2 3 8 2" xfId="33648"/>
    <cellStyle name="Normal 4 3 2 2 3 9" xfId="12547"/>
    <cellStyle name="Normal 4 3 2 2 3 9 2" xfId="35406"/>
    <cellStyle name="Normal 4 3 2 2 4" xfId="343"/>
    <cellStyle name="Normal 4 3 2 2 4 2" xfId="784"/>
    <cellStyle name="Normal 4 3 2 2 4 2 2" xfId="1663"/>
    <cellStyle name="Normal 4 3 2 2 4 2 2 2" xfId="3424"/>
    <cellStyle name="Normal 4 3 2 2 4 2 2 2 2" xfId="6939"/>
    <cellStyle name="Normal 4 3 2 2 4 2 2 2 2 2" xfId="19243"/>
    <cellStyle name="Normal 4 3 2 2 4 2 2 2 2 2 2" xfId="42102"/>
    <cellStyle name="Normal 4 3 2 2 4 2 2 2 2 3" xfId="29800"/>
    <cellStyle name="Normal 4 3 2 2 4 2 2 2 3" xfId="10454"/>
    <cellStyle name="Normal 4 3 2 2 4 2 2 2 3 2" xfId="22758"/>
    <cellStyle name="Normal 4 3 2 2 4 2 2 2 3 2 2" xfId="45617"/>
    <cellStyle name="Normal 4 3 2 2 4 2 2 2 3 3" xfId="33315"/>
    <cellStyle name="Normal 4 3 2 2 4 2 2 2 4" xfId="15728"/>
    <cellStyle name="Normal 4 3 2 2 4 2 2 2 4 2" xfId="38587"/>
    <cellStyle name="Normal 4 3 2 2 4 2 2 2 5" xfId="26285"/>
    <cellStyle name="Normal 4 3 2 2 4 2 2 3" xfId="5181"/>
    <cellStyle name="Normal 4 3 2 2 4 2 2 3 2" xfId="17485"/>
    <cellStyle name="Normal 4 3 2 2 4 2 2 3 2 2" xfId="40344"/>
    <cellStyle name="Normal 4 3 2 2 4 2 2 3 3" xfId="28042"/>
    <cellStyle name="Normal 4 3 2 2 4 2 2 4" xfId="8696"/>
    <cellStyle name="Normal 4 3 2 2 4 2 2 4 2" xfId="21000"/>
    <cellStyle name="Normal 4 3 2 2 4 2 2 4 2 2" xfId="43859"/>
    <cellStyle name="Normal 4 3 2 2 4 2 2 4 3" xfId="31557"/>
    <cellStyle name="Normal 4 3 2 2 4 2 2 5" xfId="12211"/>
    <cellStyle name="Normal 4 3 2 2 4 2 2 5 2" xfId="35071"/>
    <cellStyle name="Normal 4 3 2 2 4 2 2 6" xfId="13970"/>
    <cellStyle name="Normal 4 3 2 2 4 2 2 6 2" xfId="36829"/>
    <cellStyle name="Normal 4 3 2 2 4 2 2 7" xfId="24526"/>
    <cellStyle name="Normal 4 3 2 2 4 2 3" xfId="2546"/>
    <cellStyle name="Normal 4 3 2 2 4 2 3 2" xfId="6061"/>
    <cellStyle name="Normal 4 3 2 2 4 2 3 2 2" xfId="18365"/>
    <cellStyle name="Normal 4 3 2 2 4 2 3 2 2 2" xfId="41224"/>
    <cellStyle name="Normal 4 3 2 2 4 2 3 2 3" xfId="28922"/>
    <cellStyle name="Normal 4 3 2 2 4 2 3 3" xfId="9576"/>
    <cellStyle name="Normal 4 3 2 2 4 2 3 3 2" xfId="21880"/>
    <cellStyle name="Normal 4 3 2 2 4 2 3 3 2 2" xfId="44739"/>
    <cellStyle name="Normal 4 3 2 2 4 2 3 3 3" xfId="32437"/>
    <cellStyle name="Normal 4 3 2 2 4 2 3 4" xfId="14850"/>
    <cellStyle name="Normal 4 3 2 2 4 2 3 4 2" xfId="37709"/>
    <cellStyle name="Normal 4 3 2 2 4 2 3 5" xfId="25407"/>
    <cellStyle name="Normal 4 3 2 2 4 2 4" xfId="4303"/>
    <cellStyle name="Normal 4 3 2 2 4 2 4 2" xfId="16607"/>
    <cellStyle name="Normal 4 3 2 2 4 2 4 2 2" xfId="39466"/>
    <cellStyle name="Normal 4 3 2 2 4 2 4 3" xfId="27164"/>
    <cellStyle name="Normal 4 3 2 2 4 2 5" xfId="7818"/>
    <cellStyle name="Normal 4 3 2 2 4 2 5 2" xfId="20122"/>
    <cellStyle name="Normal 4 3 2 2 4 2 5 2 2" xfId="42981"/>
    <cellStyle name="Normal 4 3 2 2 4 2 5 3" xfId="30679"/>
    <cellStyle name="Normal 4 3 2 2 4 2 6" xfId="11333"/>
    <cellStyle name="Normal 4 3 2 2 4 2 6 2" xfId="34193"/>
    <cellStyle name="Normal 4 3 2 2 4 2 7" xfId="13092"/>
    <cellStyle name="Normal 4 3 2 2 4 2 7 2" xfId="35951"/>
    <cellStyle name="Normal 4 3 2 2 4 2 8" xfId="23648"/>
    <cellStyle name="Normal 4 3 2 2 4 3" xfId="1224"/>
    <cellStyle name="Normal 4 3 2 2 4 3 2" xfId="2985"/>
    <cellStyle name="Normal 4 3 2 2 4 3 2 2" xfId="6500"/>
    <cellStyle name="Normal 4 3 2 2 4 3 2 2 2" xfId="18804"/>
    <cellStyle name="Normal 4 3 2 2 4 3 2 2 2 2" xfId="41663"/>
    <cellStyle name="Normal 4 3 2 2 4 3 2 2 3" xfId="29361"/>
    <cellStyle name="Normal 4 3 2 2 4 3 2 3" xfId="10015"/>
    <cellStyle name="Normal 4 3 2 2 4 3 2 3 2" xfId="22319"/>
    <cellStyle name="Normal 4 3 2 2 4 3 2 3 2 2" xfId="45178"/>
    <cellStyle name="Normal 4 3 2 2 4 3 2 3 3" xfId="32876"/>
    <cellStyle name="Normal 4 3 2 2 4 3 2 4" xfId="15289"/>
    <cellStyle name="Normal 4 3 2 2 4 3 2 4 2" xfId="38148"/>
    <cellStyle name="Normal 4 3 2 2 4 3 2 5" xfId="25846"/>
    <cellStyle name="Normal 4 3 2 2 4 3 3" xfId="4742"/>
    <cellStyle name="Normal 4 3 2 2 4 3 3 2" xfId="17046"/>
    <cellStyle name="Normal 4 3 2 2 4 3 3 2 2" xfId="39905"/>
    <cellStyle name="Normal 4 3 2 2 4 3 3 3" xfId="27603"/>
    <cellStyle name="Normal 4 3 2 2 4 3 4" xfId="8257"/>
    <cellStyle name="Normal 4 3 2 2 4 3 4 2" xfId="20561"/>
    <cellStyle name="Normal 4 3 2 2 4 3 4 2 2" xfId="43420"/>
    <cellStyle name="Normal 4 3 2 2 4 3 4 3" xfId="31118"/>
    <cellStyle name="Normal 4 3 2 2 4 3 5" xfId="11772"/>
    <cellStyle name="Normal 4 3 2 2 4 3 5 2" xfId="34632"/>
    <cellStyle name="Normal 4 3 2 2 4 3 6" xfId="13531"/>
    <cellStyle name="Normal 4 3 2 2 4 3 6 2" xfId="36390"/>
    <cellStyle name="Normal 4 3 2 2 4 3 7" xfId="24087"/>
    <cellStyle name="Normal 4 3 2 2 4 4" xfId="2107"/>
    <cellStyle name="Normal 4 3 2 2 4 4 2" xfId="5622"/>
    <cellStyle name="Normal 4 3 2 2 4 4 2 2" xfId="17926"/>
    <cellStyle name="Normal 4 3 2 2 4 4 2 2 2" xfId="40785"/>
    <cellStyle name="Normal 4 3 2 2 4 4 2 3" xfId="28483"/>
    <cellStyle name="Normal 4 3 2 2 4 4 3" xfId="9137"/>
    <cellStyle name="Normal 4 3 2 2 4 4 3 2" xfId="21441"/>
    <cellStyle name="Normal 4 3 2 2 4 4 3 2 2" xfId="44300"/>
    <cellStyle name="Normal 4 3 2 2 4 4 3 3" xfId="31998"/>
    <cellStyle name="Normal 4 3 2 2 4 4 4" xfId="14411"/>
    <cellStyle name="Normal 4 3 2 2 4 4 4 2" xfId="37270"/>
    <cellStyle name="Normal 4 3 2 2 4 4 5" xfId="24968"/>
    <cellStyle name="Normal 4 3 2 2 4 5" xfId="3864"/>
    <cellStyle name="Normal 4 3 2 2 4 5 2" xfId="16168"/>
    <cellStyle name="Normal 4 3 2 2 4 5 2 2" xfId="39027"/>
    <cellStyle name="Normal 4 3 2 2 4 5 3" xfId="26725"/>
    <cellStyle name="Normal 4 3 2 2 4 6" xfId="7379"/>
    <cellStyle name="Normal 4 3 2 2 4 6 2" xfId="19683"/>
    <cellStyle name="Normal 4 3 2 2 4 6 2 2" xfId="42542"/>
    <cellStyle name="Normal 4 3 2 2 4 6 3" xfId="30240"/>
    <cellStyle name="Normal 4 3 2 2 4 7" xfId="10894"/>
    <cellStyle name="Normal 4 3 2 2 4 7 2" xfId="33754"/>
    <cellStyle name="Normal 4 3 2 2 4 8" xfId="12653"/>
    <cellStyle name="Normal 4 3 2 2 4 8 2" xfId="35512"/>
    <cellStyle name="Normal 4 3 2 2 4 9" xfId="23208"/>
    <cellStyle name="Normal 4 3 2 2 5" xfId="572"/>
    <cellStyle name="Normal 4 3 2 2 5 2" xfId="1451"/>
    <cellStyle name="Normal 4 3 2 2 5 2 2" xfId="3212"/>
    <cellStyle name="Normal 4 3 2 2 5 2 2 2" xfId="6727"/>
    <cellStyle name="Normal 4 3 2 2 5 2 2 2 2" xfId="19031"/>
    <cellStyle name="Normal 4 3 2 2 5 2 2 2 2 2" xfId="41890"/>
    <cellStyle name="Normal 4 3 2 2 5 2 2 2 3" xfId="29588"/>
    <cellStyle name="Normal 4 3 2 2 5 2 2 3" xfId="10242"/>
    <cellStyle name="Normal 4 3 2 2 5 2 2 3 2" xfId="22546"/>
    <cellStyle name="Normal 4 3 2 2 5 2 2 3 2 2" xfId="45405"/>
    <cellStyle name="Normal 4 3 2 2 5 2 2 3 3" xfId="33103"/>
    <cellStyle name="Normal 4 3 2 2 5 2 2 4" xfId="15516"/>
    <cellStyle name="Normal 4 3 2 2 5 2 2 4 2" xfId="38375"/>
    <cellStyle name="Normal 4 3 2 2 5 2 2 5" xfId="26073"/>
    <cellStyle name="Normal 4 3 2 2 5 2 3" xfId="4969"/>
    <cellStyle name="Normal 4 3 2 2 5 2 3 2" xfId="17273"/>
    <cellStyle name="Normal 4 3 2 2 5 2 3 2 2" xfId="40132"/>
    <cellStyle name="Normal 4 3 2 2 5 2 3 3" xfId="27830"/>
    <cellStyle name="Normal 4 3 2 2 5 2 4" xfId="8484"/>
    <cellStyle name="Normal 4 3 2 2 5 2 4 2" xfId="20788"/>
    <cellStyle name="Normal 4 3 2 2 5 2 4 2 2" xfId="43647"/>
    <cellStyle name="Normal 4 3 2 2 5 2 4 3" xfId="31345"/>
    <cellStyle name="Normal 4 3 2 2 5 2 5" xfId="11999"/>
    <cellStyle name="Normal 4 3 2 2 5 2 5 2" xfId="34859"/>
    <cellStyle name="Normal 4 3 2 2 5 2 6" xfId="13758"/>
    <cellStyle name="Normal 4 3 2 2 5 2 6 2" xfId="36617"/>
    <cellStyle name="Normal 4 3 2 2 5 2 7" xfId="24314"/>
    <cellStyle name="Normal 4 3 2 2 5 3" xfId="2334"/>
    <cellStyle name="Normal 4 3 2 2 5 3 2" xfId="5849"/>
    <cellStyle name="Normal 4 3 2 2 5 3 2 2" xfId="18153"/>
    <cellStyle name="Normal 4 3 2 2 5 3 2 2 2" xfId="41012"/>
    <cellStyle name="Normal 4 3 2 2 5 3 2 3" xfId="28710"/>
    <cellStyle name="Normal 4 3 2 2 5 3 3" xfId="9364"/>
    <cellStyle name="Normal 4 3 2 2 5 3 3 2" xfId="21668"/>
    <cellStyle name="Normal 4 3 2 2 5 3 3 2 2" xfId="44527"/>
    <cellStyle name="Normal 4 3 2 2 5 3 3 3" xfId="32225"/>
    <cellStyle name="Normal 4 3 2 2 5 3 4" xfId="14638"/>
    <cellStyle name="Normal 4 3 2 2 5 3 4 2" xfId="37497"/>
    <cellStyle name="Normal 4 3 2 2 5 3 5" xfId="25195"/>
    <cellStyle name="Normal 4 3 2 2 5 4" xfId="4091"/>
    <cellStyle name="Normal 4 3 2 2 5 4 2" xfId="16395"/>
    <cellStyle name="Normal 4 3 2 2 5 4 2 2" xfId="39254"/>
    <cellStyle name="Normal 4 3 2 2 5 4 3" xfId="26952"/>
    <cellStyle name="Normal 4 3 2 2 5 5" xfId="7606"/>
    <cellStyle name="Normal 4 3 2 2 5 5 2" xfId="19910"/>
    <cellStyle name="Normal 4 3 2 2 5 5 2 2" xfId="42769"/>
    <cellStyle name="Normal 4 3 2 2 5 5 3" xfId="30467"/>
    <cellStyle name="Normal 4 3 2 2 5 6" xfId="11121"/>
    <cellStyle name="Normal 4 3 2 2 5 6 2" xfId="33981"/>
    <cellStyle name="Normal 4 3 2 2 5 7" xfId="12880"/>
    <cellStyle name="Normal 4 3 2 2 5 7 2" xfId="35739"/>
    <cellStyle name="Normal 4 3 2 2 5 8" xfId="23436"/>
    <cellStyle name="Normal 4 3 2 2 6" xfId="1012"/>
    <cellStyle name="Normal 4 3 2 2 6 2" xfId="2773"/>
    <cellStyle name="Normal 4 3 2 2 6 2 2" xfId="6288"/>
    <cellStyle name="Normal 4 3 2 2 6 2 2 2" xfId="18592"/>
    <cellStyle name="Normal 4 3 2 2 6 2 2 2 2" xfId="41451"/>
    <cellStyle name="Normal 4 3 2 2 6 2 2 3" xfId="29149"/>
    <cellStyle name="Normal 4 3 2 2 6 2 3" xfId="9803"/>
    <cellStyle name="Normal 4 3 2 2 6 2 3 2" xfId="22107"/>
    <cellStyle name="Normal 4 3 2 2 6 2 3 2 2" xfId="44966"/>
    <cellStyle name="Normal 4 3 2 2 6 2 3 3" xfId="32664"/>
    <cellStyle name="Normal 4 3 2 2 6 2 4" xfId="15077"/>
    <cellStyle name="Normal 4 3 2 2 6 2 4 2" xfId="37936"/>
    <cellStyle name="Normal 4 3 2 2 6 2 5" xfId="25634"/>
    <cellStyle name="Normal 4 3 2 2 6 3" xfId="4530"/>
    <cellStyle name="Normal 4 3 2 2 6 3 2" xfId="16834"/>
    <cellStyle name="Normal 4 3 2 2 6 3 2 2" xfId="39693"/>
    <cellStyle name="Normal 4 3 2 2 6 3 3" xfId="27391"/>
    <cellStyle name="Normal 4 3 2 2 6 4" xfId="8045"/>
    <cellStyle name="Normal 4 3 2 2 6 4 2" xfId="20349"/>
    <cellStyle name="Normal 4 3 2 2 6 4 2 2" xfId="43208"/>
    <cellStyle name="Normal 4 3 2 2 6 4 3" xfId="30906"/>
    <cellStyle name="Normal 4 3 2 2 6 5" xfId="11560"/>
    <cellStyle name="Normal 4 3 2 2 6 5 2" xfId="34420"/>
    <cellStyle name="Normal 4 3 2 2 6 6" xfId="13319"/>
    <cellStyle name="Normal 4 3 2 2 6 6 2" xfId="36178"/>
    <cellStyle name="Normal 4 3 2 2 6 7" xfId="23875"/>
    <cellStyle name="Normal 4 3 2 2 7" xfId="1895"/>
    <cellStyle name="Normal 4 3 2 2 7 2" xfId="5410"/>
    <cellStyle name="Normal 4 3 2 2 7 2 2" xfId="17714"/>
    <cellStyle name="Normal 4 3 2 2 7 2 2 2" xfId="40573"/>
    <cellStyle name="Normal 4 3 2 2 7 2 3" xfId="28271"/>
    <cellStyle name="Normal 4 3 2 2 7 3" xfId="8925"/>
    <cellStyle name="Normal 4 3 2 2 7 3 2" xfId="21229"/>
    <cellStyle name="Normal 4 3 2 2 7 3 2 2" xfId="44088"/>
    <cellStyle name="Normal 4 3 2 2 7 3 3" xfId="31786"/>
    <cellStyle name="Normal 4 3 2 2 7 4" xfId="14199"/>
    <cellStyle name="Normal 4 3 2 2 7 4 2" xfId="37058"/>
    <cellStyle name="Normal 4 3 2 2 7 5" xfId="24756"/>
    <cellStyle name="Normal 4 3 2 2 8" xfId="3652"/>
    <cellStyle name="Normal 4 3 2 2 8 2" xfId="15956"/>
    <cellStyle name="Normal 4 3 2 2 8 2 2" xfId="38815"/>
    <cellStyle name="Normal 4 3 2 2 8 3" xfId="26513"/>
    <cellStyle name="Normal 4 3 2 2 9" xfId="7167"/>
    <cellStyle name="Normal 4 3 2 2 9 2" xfId="19471"/>
    <cellStyle name="Normal 4 3 2 2 9 2 2" xfId="42330"/>
    <cellStyle name="Normal 4 3 2 2 9 3" xfId="30028"/>
    <cellStyle name="Normal 4 3 2 3" xfId="157"/>
    <cellStyle name="Normal 4 3 2 3 10" xfId="12469"/>
    <cellStyle name="Normal 4 3 2 3 10 2" xfId="35328"/>
    <cellStyle name="Normal 4 3 2 3 11" xfId="23023"/>
    <cellStyle name="Normal 4 3 2 3 2" xfId="265"/>
    <cellStyle name="Normal 4 3 2 3 2 10" xfId="23130"/>
    <cellStyle name="Normal 4 3 2 3 2 2" xfId="477"/>
    <cellStyle name="Normal 4 3 2 3 2 2 2" xfId="918"/>
    <cellStyle name="Normal 4 3 2 3 2 2 2 2" xfId="1797"/>
    <cellStyle name="Normal 4 3 2 3 2 2 2 2 2" xfId="3558"/>
    <cellStyle name="Normal 4 3 2 3 2 2 2 2 2 2" xfId="7073"/>
    <cellStyle name="Normal 4 3 2 3 2 2 2 2 2 2 2" xfId="19377"/>
    <cellStyle name="Normal 4 3 2 3 2 2 2 2 2 2 2 2" xfId="42236"/>
    <cellStyle name="Normal 4 3 2 3 2 2 2 2 2 2 3" xfId="29934"/>
    <cellStyle name="Normal 4 3 2 3 2 2 2 2 2 3" xfId="10588"/>
    <cellStyle name="Normal 4 3 2 3 2 2 2 2 2 3 2" xfId="22892"/>
    <cellStyle name="Normal 4 3 2 3 2 2 2 2 2 3 2 2" xfId="45751"/>
    <cellStyle name="Normal 4 3 2 3 2 2 2 2 2 3 3" xfId="33449"/>
    <cellStyle name="Normal 4 3 2 3 2 2 2 2 2 4" xfId="15862"/>
    <cellStyle name="Normal 4 3 2 3 2 2 2 2 2 4 2" xfId="38721"/>
    <cellStyle name="Normal 4 3 2 3 2 2 2 2 2 5" xfId="26419"/>
    <cellStyle name="Normal 4 3 2 3 2 2 2 2 3" xfId="5315"/>
    <cellStyle name="Normal 4 3 2 3 2 2 2 2 3 2" xfId="17619"/>
    <cellStyle name="Normal 4 3 2 3 2 2 2 2 3 2 2" xfId="40478"/>
    <cellStyle name="Normal 4 3 2 3 2 2 2 2 3 3" xfId="28176"/>
    <cellStyle name="Normal 4 3 2 3 2 2 2 2 4" xfId="8830"/>
    <cellStyle name="Normal 4 3 2 3 2 2 2 2 4 2" xfId="21134"/>
    <cellStyle name="Normal 4 3 2 3 2 2 2 2 4 2 2" xfId="43993"/>
    <cellStyle name="Normal 4 3 2 3 2 2 2 2 4 3" xfId="31691"/>
    <cellStyle name="Normal 4 3 2 3 2 2 2 2 5" xfId="12345"/>
    <cellStyle name="Normal 4 3 2 3 2 2 2 2 5 2" xfId="35205"/>
    <cellStyle name="Normal 4 3 2 3 2 2 2 2 6" xfId="14104"/>
    <cellStyle name="Normal 4 3 2 3 2 2 2 2 6 2" xfId="36963"/>
    <cellStyle name="Normal 4 3 2 3 2 2 2 2 7" xfId="24660"/>
    <cellStyle name="Normal 4 3 2 3 2 2 2 3" xfId="2680"/>
    <cellStyle name="Normal 4 3 2 3 2 2 2 3 2" xfId="6195"/>
    <cellStyle name="Normal 4 3 2 3 2 2 2 3 2 2" xfId="18499"/>
    <cellStyle name="Normal 4 3 2 3 2 2 2 3 2 2 2" xfId="41358"/>
    <cellStyle name="Normal 4 3 2 3 2 2 2 3 2 3" xfId="29056"/>
    <cellStyle name="Normal 4 3 2 3 2 2 2 3 3" xfId="9710"/>
    <cellStyle name="Normal 4 3 2 3 2 2 2 3 3 2" xfId="22014"/>
    <cellStyle name="Normal 4 3 2 3 2 2 2 3 3 2 2" xfId="44873"/>
    <cellStyle name="Normal 4 3 2 3 2 2 2 3 3 3" xfId="32571"/>
    <cellStyle name="Normal 4 3 2 3 2 2 2 3 4" xfId="14984"/>
    <cellStyle name="Normal 4 3 2 3 2 2 2 3 4 2" xfId="37843"/>
    <cellStyle name="Normal 4 3 2 3 2 2 2 3 5" xfId="25541"/>
    <cellStyle name="Normal 4 3 2 3 2 2 2 4" xfId="4437"/>
    <cellStyle name="Normal 4 3 2 3 2 2 2 4 2" xfId="16741"/>
    <cellStyle name="Normal 4 3 2 3 2 2 2 4 2 2" xfId="39600"/>
    <cellStyle name="Normal 4 3 2 3 2 2 2 4 3" xfId="27298"/>
    <cellStyle name="Normal 4 3 2 3 2 2 2 5" xfId="7952"/>
    <cellStyle name="Normal 4 3 2 3 2 2 2 5 2" xfId="20256"/>
    <cellStyle name="Normal 4 3 2 3 2 2 2 5 2 2" xfId="43115"/>
    <cellStyle name="Normal 4 3 2 3 2 2 2 5 3" xfId="30813"/>
    <cellStyle name="Normal 4 3 2 3 2 2 2 6" xfId="11467"/>
    <cellStyle name="Normal 4 3 2 3 2 2 2 6 2" xfId="34327"/>
    <cellStyle name="Normal 4 3 2 3 2 2 2 7" xfId="13226"/>
    <cellStyle name="Normal 4 3 2 3 2 2 2 7 2" xfId="36085"/>
    <cellStyle name="Normal 4 3 2 3 2 2 2 8" xfId="23782"/>
    <cellStyle name="Normal 4 3 2 3 2 2 3" xfId="1358"/>
    <cellStyle name="Normal 4 3 2 3 2 2 3 2" xfId="3119"/>
    <cellStyle name="Normal 4 3 2 3 2 2 3 2 2" xfId="6634"/>
    <cellStyle name="Normal 4 3 2 3 2 2 3 2 2 2" xfId="18938"/>
    <cellStyle name="Normal 4 3 2 3 2 2 3 2 2 2 2" xfId="41797"/>
    <cellStyle name="Normal 4 3 2 3 2 2 3 2 2 3" xfId="29495"/>
    <cellStyle name="Normal 4 3 2 3 2 2 3 2 3" xfId="10149"/>
    <cellStyle name="Normal 4 3 2 3 2 2 3 2 3 2" xfId="22453"/>
    <cellStyle name="Normal 4 3 2 3 2 2 3 2 3 2 2" xfId="45312"/>
    <cellStyle name="Normal 4 3 2 3 2 2 3 2 3 3" xfId="33010"/>
    <cellStyle name="Normal 4 3 2 3 2 2 3 2 4" xfId="15423"/>
    <cellStyle name="Normal 4 3 2 3 2 2 3 2 4 2" xfId="38282"/>
    <cellStyle name="Normal 4 3 2 3 2 2 3 2 5" xfId="25980"/>
    <cellStyle name="Normal 4 3 2 3 2 2 3 3" xfId="4876"/>
    <cellStyle name="Normal 4 3 2 3 2 2 3 3 2" xfId="17180"/>
    <cellStyle name="Normal 4 3 2 3 2 2 3 3 2 2" xfId="40039"/>
    <cellStyle name="Normal 4 3 2 3 2 2 3 3 3" xfId="27737"/>
    <cellStyle name="Normal 4 3 2 3 2 2 3 4" xfId="8391"/>
    <cellStyle name="Normal 4 3 2 3 2 2 3 4 2" xfId="20695"/>
    <cellStyle name="Normal 4 3 2 3 2 2 3 4 2 2" xfId="43554"/>
    <cellStyle name="Normal 4 3 2 3 2 2 3 4 3" xfId="31252"/>
    <cellStyle name="Normal 4 3 2 3 2 2 3 5" xfId="11906"/>
    <cellStyle name="Normal 4 3 2 3 2 2 3 5 2" xfId="34766"/>
    <cellStyle name="Normal 4 3 2 3 2 2 3 6" xfId="13665"/>
    <cellStyle name="Normal 4 3 2 3 2 2 3 6 2" xfId="36524"/>
    <cellStyle name="Normal 4 3 2 3 2 2 3 7" xfId="24221"/>
    <cellStyle name="Normal 4 3 2 3 2 2 4" xfId="2241"/>
    <cellStyle name="Normal 4 3 2 3 2 2 4 2" xfId="5756"/>
    <cellStyle name="Normal 4 3 2 3 2 2 4 2 2" xfId="18060"/>
    <cellStyle name="Normal 4 3 2 3 2 2 4 2 2 2" xfId="40919"/>
    <cellStyle name="Normal 4 3 2 3 2 2 4 2 3" xfId="28617"/>
    <cellStyle name="Normal 4 3 2 3 2 2 4 3" xfId="9271"/>
    <cellStyle name="Normal 4 3 2 3 2 2 4 3 2" xfId="21575"/>
    <cellStyle name="Normal 4 3 2 3 2 2 4 3 2 2" xfId="44434"/>
    <cellStyle name="Normal 4 3 2 3 2 2 4 3 3" xfId="32132"/>
    <cellStyle name="Normal 4 3 2 3 2 2 4 4" xfId="14545"/>
    <cellStyle name="Normal 4 3 2 3 2 2 4 4 2" xfId="37404"/>
    <cellStyle name="Normal 4 3 2 3 2 2 4 5" xfId="25102"/>
    <cellStyle name="Normal 4 3 2 3 2 2 5" xfId="3998"/>
    <cellStyle name="Normal 4 3 2 3 2 2 5 2" xfId="16302"/>
    <cellStyle name="Normal 4 3 2 3 2 2 5 2 2" xfId="39161"/>
    <cellStyle name="Normal 4 3 2 3 2 2 5 3" xfId="26859"/>
    <cellStyle name="Normal 4 3 2 3 2 2 6" xfId="7513"/>
    <cellStyle name="Normal 4 3 2 3 2 2 6 2" xfId="19817"/>
    <cellStyle name="Normal 4 3 2 3 2 2 6 2 2" xfId="42676"/>
    <cellStyle name="Normal 4 3 2 3 2 2 6 3" xfId="30374"/>
    <cellStyle name="Normal 4 3 2 3 2 2 7" xfId="11028"/>
    <cellStyle name="Normal 4 3 2 3 2 2 7 2" xfId="33888"/>
    <cellStyle name="Normal 4 3 2 3 2 2 8" xfId="12787"/>
    <cellStyle name="Normal 4 3 2 3 2 2 8 2" xfId="35646"/>
    <cellStyle name="Normal 4 3 2 3 2 2 9" xfId="23342"/>
    <cellStyle name="Normal 4 3 2 3 2 3" xfId="706"/>
    <cellStyle name="Normal 4 3 2 3 2 3 2" xfId="1585"/>
    <cellStyle name="Normal 4 3 2 3 2 3 2 2" xfId="3346"/>
    <cellStyle name="Normal 4 3 2 3 2 3 2 2 2" xfId="6861"/>
    <cellStyle name="Normal 4 3 2 3 2 3 2 2 2 2" xfId="19165"/>
    <cellStyle name="Normal 4 3 2 3 2 3 2 2 2 2 2" xfId="42024"/>
    <cellStyle name="Normal 4 3 2 3 2 3 2 2 2 3" xfId="29722"/>
    <cellStyle name="Normal 4 3 2 3 2 3 2 2 3" xfId="10376"/>
    <cellStyle name="Normal 4 3 2 3 2 3 2 2 3 2" xfId="22680"/>
    <cellStyle name="Normal 4 3 2 3 2 3 2 2 3 2 2" xfId="45539"/>
    <cellStyle name="Normal 4 3 2 3 2 3 2 2 3 3" xfId="33237"/>
    <cellStyle name="Normal 4 3 2 3 2 3 2 2 4" xfId="15650"/>
    <cellStyle name="Normal 4 3 2 3 2 3 2 2 4 2" xfId="38509"/>
    <cellStyle name="Normal 4 3 2 3 2 3 2 2 5" xfId="26207"/>
    <cellStyle name="Normal 4 3 2 3 2 3 2 3" xfId="5103"/>
    <cellStyle name="Normal 4 3 2 3 2 3 2 3 2" xfId="17407"/>
    <cellStyle name="Normal 4 3 2 3 2 3 2 3 2 2" xfId="40266"/>
    <cellStyle name="Normal 4 3 2 3 2 3 2 3 3" xfId="27964"/>
    <cellStyle name="Normal 4 3 2 3 2 3 2 4" xfId="8618"/>
    <cellStyle name="Normal 4 3 2 3 2 3 2 4 2" xfId="20922"/>
    <cellStyle name="Normal 4 3 2 3 2 3 2 4 2 2" xfId="43781"/>
    <cellStyle name="Normal 4 3 2 3 2 3 2 4 3" xfId="31479"/>
    <cellStyle name="Normal 4 3 2 3 2 3 2 5" xfId="12133"/>
    <cellStyle name="Normal 4 3 2 3 2 3 2 5 2" xfId="34993"/>
    <cellStyle name="Normal 4 3 2 3 2 3 2 6" xfId="13892"/>
    <cellStyle name="Normal 4 3 2 3 2 3 2 6 2" xfId="36751"/>
    <cellStyle name="Normal 4 3 2 3 2 3 2 7" xfId="24448"/>
    <cellStyle name="Normal 4 3 2 3 2 3 3" xfId="2468"/>
    <cellStyle name="Normal 4 3 2 3 2 3 3 2" xfId="5983"/>
    <cellStyle name="Normal 4 3 2 3 2 3 3 2 2" xfId="18287"/>
    <cellStyle name="Normal 4 3 2 3 2 3 3 2 2 2" xfId="41146"/>
    <cellStyle name="Normal 4 3 2 3 2 3 3 2 3" xfId="28844"/>
    <cellStyle name="Normal 4 3 2 3 2 3 3 3" xfId="9498"/>
    <cellStyle name="Normal 4 3 2 3 2 3 3 3 2" xfId="21802"/>
    <cellStyle name="Normal 4 3 2 3 2 3 3 3 2 2" xfId="44661"/>
    <cellStyle name="Normal 4 3 2 3 2 3 3 3 3" xfId="32359"/>
    <cellStyle name="Normal 4 3 2 3 2 3 3 4" xfId="14772"/>
    <cellStyle name="Normal 4 3 2 3 2 3 3 4 2" xfId="37631"/>
    <cellStyle name="Normal 4 3 2 3 2 3 3 5" xfId="25329"/>
    <cellStyle name="Normal 4 3 2 3 2 3 4" xfId="4225"/>
    <cellStyle name="Normal 4 3 2 3 2 3 4 2" xfId="16529"/>
    <cellStyle name="Normal 4 3 2 3 2 3 4 2 2" xfId="39388"/>
    <cellStyle name="Normal 4 3 2 3 2 3 4 3" xfId="27086"/>
    <cellStyle name="Normal 4 3 2 3 2 3 5" xfId="7740"/>
    <cellStyle name="Normal 4 3 2 3 2 3 5 2" xfId="20044"/>
    <cellStyle name="Normal 4 3 2 3 2 3 5 2 2" xfId="42903"/>
    <cellStyle name="Normal 4 3 2 3 2 3 5 3" xfId="30601"/>
    <cellStyle name="Normal 4 3 2 3 2 3 6" xfId="11255"/>
    <cellStyle name="Normal 4 3 2 3 2 3 6 2" xfId="34115"/>
    <cellStyle name="Normal 4 3 2 3 2 3 7" xfId="13014"/>
    <cellStyle name="Normal 4 3 2 3 2 3 7 2" xfId="35873"/>
    <cellStyle name="Normal 4 3 2 3 2 3 8" xfId="23570"/>
    <cellStyle name="Normal 4 3 2 3 2 4" xfId="1146"/>
    <cellStyle name="Normal 4 3 2 3 2 4 2" xfId="2907"/>
    <cellStyle name="Normal 4 3 2 3 2 4 2 2" xfId="6422"/>
    <cellStyle name="Normal 4 3 2 3 2 4 2 2 2" xfId="18726"/>
    <cellStyle name="Normal 4 3 2 3 2 4 2 2 2 2" xfId="41585"/>
    <cellStyle name="Normal 4 3 2 3 2 4 2 2 3" xfId="29283"/>
    <cellStyle name="Normal 4 3 2 3 2 4 2 3" xfId="9937"/>
    <cellStyle name="Normal 4 3 2 3 2 4 2 3 2" xfId="22241"/>
    <cellStyle name="Normal 4 3 2 3 2 4 2 3 2 2" xfId="45100"/>
    <cellStyle name="Normal 4 3 2 3 2 4 2 3 3" xfId="32798"/>
    <cellStyle name="Normal 4 3 2 3 2 4 2 4" xfId="15211"/>
    <cellStyle name="Normal 4 3 2 3 2 4 2 4 2" xfId="38070"/>
    <cellStyle name="Normal 4 3 2 3 2 4 2 5" xfId="25768"/>
    <cellStyle name="Normal 4 3 2 3 2 4 3" xfId="4664"/>
    <cellStyle name="Normal 4 3 2 3 2 4 3 2" xfId="16968"/>
    <cellStyle name="Normal 4 3 2 3 2 4 3 2 2" xfId="39827"/>
    <cellStyle name="Normal 4 3 2 3 2 4 3 3" xfId="27525"/>
    <cellStyle name="Normal 4 3 2 3 2 4 4" xfId="8179"/>
    <cellStyle name="Normal 4 3 2 3 2 4 4 2" xfId="20483"/>
    <cellStyle name="Normal 4 3 2 3 2 4 4 2 2" xfId="43342"/>
    <cellStyle name="Normal 4 3 2 3 2 4 4 3" xfId="31040"/>
    <cellStyle name="Normal 4 3 2 3 2 4 5" xfId="11694"/>
    <cellStyle name="Normal 4 3 2 3 2 4 5 2" xfId="34554"/>
    <cellStyle name="Normal 4 3 2 3 2 4 6" xfId="13453"/>
    <cellStyle name="Normal 4 3 2 3 2 4 6 2" xfId="36312"/>
    <cellStyle name="Normal 4 3 2 3 2 4 7" xfId="24009"/>
    <cellStyle name="Normal 4 3 2 3 2 5" xfId="2029"/>
    <cellStyle name="Normal 4 3 2 3 2 5 2" xfId="5544"/>
    <cellStyle name="Normal 4 3 2 3 2 5 2 2" xfId="17848"/>
    <cellStyle name="Normal 4 3 2 3 2 5 2 2 2" xfId="40707"/>
    <cellStyle name="Normal 4 3 2 3 2 5 2 3" xfId="28405"/>
    <cellStyle name="Normal 4 3 2 3 2 5 3" xfId="9059"/>
    <cellStyle name="Normal 4 3 2 3 2 5 3 2" xfId="21363"/>
    <cellStyle name="Normal 4 3 2 3 2 5 3 2 2" xfId="44222"/>
    <cellStyle name="Normal 4 3 2 3 2 5 3 3" xfId="31920"/>
    <cellStyle name="Normal 4 3 2 3 2 5 4" xfId="14333"/>
    <cellStyle name="Normal 4 3 2 3 2 5 4 2" xfId="37192"/>
    <cellStyle name="Normal 4 3 2 3 2 5 5" xfId="24890"/>
    <cellStyle name="Normal 4 3 2 3 2 6" xfId="3786"/>
    <cellStyle name="Normal 4 3 2 3 2 6 2" xfId="16090"/>
    <cellStyle name="Normal 4 3 2 3 2 6 2 2" xfId="38949"/>
    <cellStyle name="Normal 4 3 2 3 2 6 3" xfId="26647"/>
    <cellStyle name="Normal 4 3 2 3 2 7" xfId="7301"/>
    <cellStyle name="Normal 4 3 2 3 2 7 2" xfId="19605"/>
    <cellStyle name="Normal 4 3 2 3 2 7 2 2" xfId="42464"/>
    <cellStyle name="Normal 4 3 2 3 2 7 3" xfId="30162"/>
    <cellStyle name="Normal 4 3 2 3 2 8" xfId="10816"/>
    <cellStyle name="Normal 4 3 2 3 2 8 2" xfId="33676"/>
    <cellStyle name="Normal 4 3 2 3 2 9" xfId="12575"/>
    <cellStyle name="Normal 4 3 2 3 2 9 2" xfId="35434"/>
    <cellStyle name="Normal 4 3 2 3 3" xfId="371"/>
    <cellStyle name="Normal 4 3 2 3 3 2" xfId="812"/>
    <cellStyle name="Normal 4 3 2 3 3 2 2" xfId="1691"/>
    <cellStyle name="Normal 4 3 2 3 3 2 2 2" xfId="3452"/>
    <cellStyle name="Normal 4 3 2 3 3 2 2 2 2" xfId="6967"/>
    <cellStyle name="Normal 4 3 2 3 3 2 2 2 2 2" xfId="19271"/>
    <cellStyle name="Normal 4 3 2 3 3 2 2 2 2 2 2" xfId="42130"/>
    <cellStyle name="Normal 4 3 2 3 3 2 2 2 2 3" xfId="29828"/>
    <cellStyle name="Normal 4 3 2 3 3 2 2 2 3" xfId="10482"/>
    <cellStyle name="Normal 4 3 2 3 3 2 2 2 3 2" xfId="22786"/>
    <cellStyle name="Normal 4 3 2 3 3 2 2 2 3 2 2" xfId="45645"/>
    <cellStyle name="Normal 4 3 2 3 3 2 2 2 3 3" xfId="33343"/>
    <cellStyle name="Normal 4 3 2 3 3 2 2 2 4" xfId="15756"/>
    <cellStyle name="Normal 4 3 2 3 3 2 2 2 4 2" xfId="38615"/>
    <cellStyle name="Normal 4 3 2 3 3 2 2 2 5" xfId="26313"/>
    <cellStyle name="Normal 4 3 2 3 3 2 2 3" xfId="5209"/>
    <cellStyle name="Normal 4 3 2 3 3 2 2 3 2" xfId="17513"/>
    <cellStyle name="Normal 4 3 2 3 3 2 2 3 2 2" xfId="40372"/>
    <cellStyle name="Normal 4 3 2 3 3 2 2 3 3" xfId="28070"/>
    <cellStyle name="Normal 4 3 2 3 3 2 2 4" xfId="8724"/>
    <cellStyle name="Normal 4 3 2 3 3 2 2 4 2" xfId="21028"/>
    <cellStyle name="Normal 4 3 2 3 3 2 2 4 2 2" xfId="43887"/>
    <cellStyle name="Normal 4 3 2 3 3 2 2 4 3" xfId="31585"/>
    <cellStyle name="Normal 4 3 2 3 3 2 2 5" xfId="12239"/>
    <cellStyle name="Normal 4 3 2 3 3 2 2 5 2" xfId="35099"/>
    <cellStyle name="Normal 4 3 2 3 3 2 2 6" xfId="13998"/>
    <cellStyle name="Normal 4 3 2 3 3 2 2 6 2" xfId="36857"/>
    <cellStyle name="Normal 4 3 2 3 3 2 2 7" xfId="24554"/>
    <cellStyle name="Normal 4 3 2 3 3 2 3" xfId="2574"/>
    <cellStyle name="Normal 4 3 2 3 3 2 3 2" xfId="6089"/>
    <cellStyle name="Normal 4 3 2 3 3 2 3 2 2" xfId="18393"/>
    <cellStyle name="Normal 4 3 2 3 3 2 3 2 2 2" xfId="41252"/>
    <cellStyle name="Normal 4 3 2 3 3 2 3 2 3" xfId="28950"/>
    <cellStyle name="Normal 4 3 2 3 3 2 3 3" xfId="9604"/>
    <cellStyle name="Normal 4 3 2 3 3 2 3 3 2" xfId="21908"/>
    <cellStyle name="Normal 4 3 2 3 3 2 3 3 2 2" xfId="44767"/>
    <cellStyle name="Normal 4 3 2 3 3 2 3 3 3" xfId="32465"/>
    <cellStyle name="Normal 4 3 2 3 3 2 3 4" xfId="14878"/>
    <cellStyle name="Normal 4 3 2 3 3 2 3 4 2" xfId="37737"/>
    <cellStyle name="Normal 4 3 2 3 3 2 3 5" xfId="25435"/>
    <cellStyle name="Normal 4 3 2 3 3 2 4" xfId="4331"/>
    <cellStyle name="Normal 4 3 2 3 3 2 4 2" xfId="16635"/>
    <cellStyle name="Normal 4 3 2 3 3 2 4 2 2" xfId="39494"/>
    <cellStyle name="Normal 4 3 2 3 3 2 4 3" xfId="27192"/>
    <cellStyle name="Normal 4 3 2 3 3 2 5" xfId="7846"/>
    <cellStyle name="Normal 4 3 2 3 3 2 5 2" xfId="20150"/>
    <cellStyle name="Normal 4 3 2 3 3 2 5 2 2" xfId="43009"/>
    <cellStyle name="Normal 4 3 2 3 3 2 5 3" xfId="30707"/>
    <cellStyle name="Normal 4 3 2 3 3 2 6" xfId="11361"/>
    <cellStyle name="Normal 4 3 2 3 3 2 6 2" xfId="34221"/>
    <cellStyle name="Normal 4 3 2 3 3 2 7" xfId="13120"/>
    <cellStyle name="Normal 4 3 2 3 3 2 7 2" xfId="35979"/>
    <cellStyle name="Normal 4 3 2 3 3 2 8" xfId="23676"/>
    <cellStyle name="Normal 4 3 2 3 3 3" xfId="1252"/>
    <cellStyle name="Normal 4 3 2 3 3 3 2" xfId="3013"/>
    <cellStyle name="Normal 4 3 2 3 3 3 2 2" xfId="6528"/>
    <cellStyle name="Normal 4 3 2 3 3 3 2 2 2" xfId="18832"/>
    <cellStyle name="Normal 4 3 2 3 3 3 2 2 2 2" xfId="41691"/>
    <cellStyle name="Normal 4 3 2 3 3 3 2 2 3" xfId="29389"/>
    <cellStyle name="Normal 4 3 2 3 3 3 2 3" xfId="10043"/>
    <cellStyle name="Normal 4 3 2 3 3 3 2 3 2" xfId="22347"/>
    <cellStyle name="Normal 4 3 2 3 3 3 2 3 2 2" xfId="45206"/>
    <cellStyle name="Normal 4 3 2 3 3 3 2 3 3" xfId="32904"/>
    <cellStyle name="Normal 4 3 2 3 3 3 2 4" xfId="15317"/>
    <cellStyle name="Normal 4 3 2 3 3 3 2 4 2" xfId="38176"/>
    <cellStyle name="Normal 4 3 2 3 3 3 2 5" xfId="25874"/>
    <cellStyle name="Normal 4 3 2 3 3 3 3" xfId="4770"/>
    <cellStyle name="Normal 4 3 2 3 3 3 3 2" xfId="17074"/>
    <cellStyle name="Normal 4 3 2 3 3 3 3 2 2" xfId="39933"/>
    <cellStyle name="Normal 4 3 2 3 3 3 3 3" xfId="27631"/>
    <cellStyle name="Normal 4 3 2 3 3 3 4" xfId="8285"/>
    <cellStyle name="Normal 4 3 2 3 3 3 4 2" xfId="20589"/>
    <cellStyle name="Normal 4 3 2 3 3 3 4 2 2" xfId="43448"/>
    <cellStyle name="Normal 4 3 2 3 3 3 4 3" xfId="31146"/>
    <cellStyle name="Normal 4 3 2 3 3 3 5" xfId="11800"/>
    <cellStyle name="Normal 4 3 2 3 3 3 5 2" xfId="34660"/>
    <cellStyle name="Normal 4 3 2 3 3 3 6" xfId="13559"/>
    <cellStyle name="Normal 4 3 2 3 3 3 6 2" xfId="36418"/>
    <cellStyle name="Normal 4 3 2 3 3 3 7" xfId="24115"/>
    <cellStyle name="Normal 4 3 2 3 3 4" xfId="2135"/>
    <cellStyle name="Normal 4 3 2 3 3 4 2" xfId="5650"/>
    <cellStyle name="Normal 4 3 2 3 3 4 2 2" xfId="17954"/>
    <cellStyle name="Normal 4 3 2 3 3 4 2 2 2" xfId="40813"/>
    <cellStyle name="Normal 4 3 2 3 3 4 2 3" xfId="28511"/>
    <cellStyle name="Normal 4 3 2 3 3 4 3" xfId="9165"/>
    <cellStyle name="Normal 4 3 2 3 3 4 3 2" xfId="21469"/>
    <cellStyle name="Normal 4 3 2 3 3 4 3 2 2" xfId="44328"/>
    <cellStyle name="Normal 4 3 2 3 3 4 3 3" xfId="32026"/>
    <cellStyle name="Normal 4 3 2 3 3 4 4" xfId="14439"/>
    <cellStyle name="Normal 4 3 2 3 3 4 4 2" xfId="37298"/>
    <cellStyle name="Normal 4 3 2 3 3 4 5" xfId="24996"/>
    <cellStyle name="Normal 4 3 2 3 3 5" xfId="3892"/>
    <cellStyle name="Normal 4 3 2 3 3 5 2" xfId="16196"/>
    <cellStyle name="Normal 4 3 2 3 3 5 2 2" xfId="39055"/>
    <cellStyle name="Normal 4 3 2 3 3 5 3" xfId="26753"/>
    <cellStyle name="Normal 4 3 2 3 3 6" xfId="7407"/>
    <cellStyle name="Normal 4 3 2 3 3 6 2" xfId="19711"/>
    <cellStyle name="Normal 4 3 2 3 3 6 2 2" xfId="42570"/>
    <cellStyle name="Normal 4 3 2 3 3 6 3" xfId="30268"/>
    <cellStyle name="Normal 4 3 2 3 3 7" xfId="10922"/>
    <cellStyle name="Normal 4 3 2 3 3 7 2" xfId="33782"/>
    <cellStyle name="Normal 4 3 2 3 3 8" xfId="12681"/>
    <cellStyle name="Normal 4 3 2 3 3 8 2" xfId="35540"/>
    <cellStyle name="Normal 4 3 2 3 3 9" xfId="23236"/>
    <cellStyle name="Normal 4 3 2 3 4" xfId="600"/>
    <cellStyle name="Normal 4 3 2 3 4 2" xfId="1479"/>
    <cellStyle name="Normal 4 3 2 3 4 2 2" xfId="3240"/>
    <cellStyle name="Normal 4 3 2 3 4 2 2 2" xfId="6755"/>
    <cellStyle name="Normal 4 3 2 3 4 2 2 2 2" xfId="19059"/>
    <cellStyle name="Normal 4 3 2 3 4 2 2 2 2 2" xfId="41918"/>
    <cellStyle name="Normal 4 3 2 3 4 2 2 2 3" xfId="29616"/>
    <cellStyle name="Normal 4 3 2 3 4 2 2 3" xfId="10270"/>
    <cellStyle name="Normal 4 3 2 3 4 2 2 3 2" xfId="22574"/>
    <cellStyle name="Normal 4 3 2 3 4 2 2 3 2 2" xfId="45433"/>
    <cellStyle name="Normal 4 3 2 3 4 2 2 3 3" xfId="33131"/>
    <cellStyle name="Normal 4 3 2 3 4 2 2 4" xfId="15544"/>
    <cellStyle name="Normal 4 3 2 3 4 2 2 4 2" xfId="38403"/>
    <cellStyle name="Normal 4 3 2 3 4 2 2 5" xfId="26101"/>
    <cellStyle name="Normal 4 3 2 3 4 2 3" xfId="4997"/>
    <cellStyle name="Normal 4 3 2 3 4 2 3 2" xfId="17301"/>
    <cellStyle name="Normal 4 3 2 3 4 2 3 2 2" xfId="40160"/>
    <cellStyle name="Normal 4 3 2 3 4 2 3 3" xfId="27858"/>
    <cellStyle name="Normal 4 3 2 3 4 2 4" xfId="8512"/>
    <cellStyle name="Normal 4 3 2 3 4 2 4 2" xfId="20816"/>
    <cellStyle name="Normal 4 3 2 3 4 2 4 2 2" xfId="43675"/>
    <cellStyle name="Normal 4 3 2 3 4 2 4 3" xfId="31373"/>
    <cellStyle name="Normal 4 3 2 3 4 2 5" xfId="12027"/>
    <cellStyle name="Normal 4 3 2 3 4 2 5 2" xfId="34887"/>
    <cellStyle name="Normal 4 3 2 3 4 2 6" xfId="13786"/>
    <cellStyle name="Normal 4 3 2 3 4 2 6 2" xfId="36645"/>
    <cellStyle name="Normal 4 3 2 3 4 2 7" xfId="24342"/>
    <cellStyle name="Normal 4 3 2 3 4 3" xfId="2362"/>
    <cellStyle name="Normal 4 3 2 3 4 3 2" xfId="5877"/>
    <cellStyle name="Normal 4 3 2 3 4 3 2 2" xfId="18181"/>
    <cellStyle name="Normal 4 3 2 3 4 3 2 2 2" xfId="41040"/>
    <cellStyle name="Normal 4 3 2 3 4 3 2 3" xfId="28738"/>
    <cellStyle name="Normal 4 3 2 3 4 3 3" xfId="9392"/>
    <cellStyle name="Normal 4 3 2 3 4 3 3 2" xfId="21696"/>
    <cellStyle name="Normal 4 3 2 3 4 3 3 2 2" xfId="44555"/>
    <cellStyle name="Normal 4 3 2 3 4 3 3 3" xfId="32253"/>
    <cellStyle name="Normal 4 3 2 3 4 3 4" xfId="14666"/>
    <cellStyle name="Normal 4 3 2 3 4 3 4 2" xfId="37525"/>
    <cellStyle name="Normal 4 3 2 3 4 3 5" xfId="25223"/>
    <cellStyle name="Normal 4 3 2 3 4 4" xfId="4119"/>
    <cellStyle name="Normal 4 3 2 3 4 4 2" xfId="16423"/>
    <cellStyle name="Normal 4 3 2 3 4 4 2 2" xfId="39282"/>
    <cellStyle name="Normal 4 3 2 3 4 4 3" xfId="26980"/>
    <cellStyle name="Normal 4 3 2 3 4 5" xfId="7634"/>
    <cellStyle name="Normal 4 3 2 3 4 5 2" xfId="19938"/>
    <cellStyle name="Normal 4 3 2 3 4 5 2 2" xfId="42797"/>
    <cellStyle name="Normal 4 3 2 3 4 5 3" xfId="30495"/>
    <cellStyle name="Normal 4 3 2 3 4 6" xfId="11149"/>
    <cellStyle name="Normal 4 3 2 3 4 6 2" xfId="34009"/>
    <cellStyle name="Normal 4 3 2 3 4 7" xfId="12908"/>
    <cellStyle name="Normal 4 3 2 3 4 7 2" xfId="35767"/>
    <cellStyle name="Normal 4 3 2 3 4 8" xfId="23464"/>
    <cellStyle name="Normal 4 3 2 3 5" xfId="1040"/>
    <cellStyle name="Normal 4 3 2 3 5 2" xfId="2801"/>
    <cellStyle name="Normal 4 3 2 3 5 2 2" xfId="6316"/>
    <cellStyle name="Normal 4 3 2 3 5 2 2 2" xfId="18620"/>
    <cellStyle name="Normal 4 3 2 3 5 2 2 2 2" xfId="41479"/>
    <cellStyle name="Normal 4 3 2 3 5 2 2 3" xfId="29177"/>
    <cellStyle name="Normal 4 3 2 3 5 2 3" xfId="9831"/>
    <cellStyle name="Normal 4 3 2 3 5 2 3 2" xfId="22135"/>
    <cellStyle name="Normal 4 3 2 3 5 2 3 2 2" xfId="44994"/>
    <cellStyle name="Normal 4 3 2 3 5 2 3 3" xfId="32692"/>
    <cellStyle name="Normal 4 3 2 3 5 2 4" xfId="15105"/>
    <cellStyle name="Normal 4 3 2 3 5 2 4 2" xfId="37964"/>
    <cellStyle name="Normal 4 3 2 3 5 2 5" xfId="25662"/>
    <cellStyle name="Normal 4 3 2 3 5 3" xfId="4558"/>
    <cellStyle name="Normal 4 3 2 3 5 3 2" xfId="16862"/>
    <cellStyle name="Normal 4 3 2 3 5 3 2 2" xfId="39721"/>
    <cellStyle name="Normal 4 3 2 3 5 3 3" xfId="27419"/>
    <cellStyle name="Normal 4 3 2 3 5 4" xfId="8073"/>
    <cellStyle name="Normal 4 3 2 3 5 4 2" xfId="20377"/>
    <cellStyle name="Normal 4 3 2 3 5 4 2 2" xfId="43236"/>
    <cellStyle name="Normal 4 3 2 3 5 4 3" xfId="30934"/>
    <cellStyle name="Normal 4 3 2 3 5 5" xfId="11588"/>
    <cellStyle name="Normal 4 3 2 3 5 5 2" xfId="34448"/>
    <cellStyle name="Normal 4 3 2 3 5 6" xfId="13347"/>
    <cellStyle name="Normal 4 3 2 3 5 6 2" xfId="36206"/>
    <cellStyle name="Normal 4 3 2 3 5 7" xfId="23903"/>
    <cellStyle name="Normal 4 3 2 3 6" xfId="1923"/>
    <cellStyle name="Normal 4 3 2 3 6 2" xfId="5438"/>
    <cellStyle name="Normal 4 3 2 3 6 2 2" xfId="17742"/>
    <cellStyle name="Normal 4 3 2 3 6 2 2 2" xfId="40601"/>
    <cellStyle name="Normal 4 3 2 3 6 2 3" xfId="28299"/>
    <cellStyle name="Normal 4 3 2 3 6 3" xfId="8953"/>
    <cellStyle name="Normal 4 3 2 3 6 3 2" xfId="21257"/>
    <cellStyle name="Normal 4 3 2 3 6 3 2 2" xfId="44116"/>
    <cellStyle name="Normal 4 3 2 3 6 3 3" xfId="31814"/>
    <cellStyle name="Normal 4 3 2 3 6 4" xfId="14227"/>
    <cellStyle name="Normal 4 3 2 3 6 4 2" xfId="37086"/>
    <cellStyle name="Normal 4 3 2 3 6 5" xfId="24784"/>
    <cellStyle name="Normal 4 3 2 3 7" xfId="3680"/>
    <cellStyle name="Normal 4 3 2 3 7 2" xfId="15984"/>
    <cellStyle name="Normal 4 3 2 3 7 2 2" xfId="38843"/>
    <cellStyle name="Normal 4 3 2 3 7 3" xfId="26541"/>
    <cellStyle name="Normal 4 3 2 3 8" xfId="7195"/>
    <cellStyle name="Normal 4 3 2 3 8 2" xfId="19499"/>
    <cellStyle name="Normal 4 3 2 3 8 2 2" xfId="42358"/>
    <cellStyle name="Normal 4 3 2 3 8 3" xfId="30056"/>
    <cellStyle name="Normal 4 3 2 3 9" xfId="10710"/>
    <cellStyle name="Normal 4 3 2 3 9 2" xfId="33570"/>
    <cellStyle name="Normal 4 3 2 4" xfId="211"/>
    <cellStyle name="Normal 4 3 2 4 10" xfId="23076"/>
    <cellStyle name="Normal 4 3 2 4 2" xfId="423"/>
    <cellStyle name="Normal 4 3 2 4 2 2" xfId="864"/>
    <cellStyle name="Normal 4 3 2 4 2 2 2" xfId="1743"/>
    <cellStyle name="Normal 4 3 2 4 2 2 2 2" xfId="3504"/>
    <cellStyle name="Normal 4 3 2 4 2 2 2 2 2" xfId="7019"/>
    <cellStyle name="Normal 4 3 2 4 2 2 2 2 2 2" xfId="19323"/>
    <cellStyle name="Normal 4 3 2 4 2 2 2 2 2 2 2" xfId="42182"/>
    <cellStyle name="Normal 4 3 2 4 2 2 2 2 2 3" xfId="29880"/>
    <cellStyle name="Normal 4 3 2 4 2 2 2 2 3" xfId="10534"/>
    <cellStyle name="Normal 4 3 2 4 2 2 2 2 3 2" xfId="22838"/>
    <cellStyle name="Normal 4 3 2 4 2 2 2 2 3 2 2" xfId="45697"/>
    <cellStyle name="Normal 4 3 2 4 2 2 2 2 3 3" xfId="33395"/>
    <cellStyle name="Normal 4 3 2 4 2 2 2 2 4" xfId="15808"/>
    <cellStyle name="Normal 4 3 2 4 2 2 2 2 4 2" xfId="38667"/>
    <cellStyle name="Normal 4 3 2 4 2 2 2 2 5" xfId="26365"/>
    <cellStyle name="Normal 4 3 2 4 2 2 2 3" xfId="5261"/>
    <cellStyle name="Normal 4 3 2 4 2 2 2 3 2" xfId="17565"/>
    <cellStyle name="Normal 4 3 2 4 2 2 2 3 2 2" xfId="40424"/>
    <cellStyle name="Normal 4 3 2 4 2 2 2 3 3" xfId="28122"/>
    <cellStyle name="Normal 4 3 2 4 2 2 2 4" xfId="8776"/>
    <cellStyle name="Normal 4 3 2 4 2 2 2 4 2" xfId="21080"/>
    <cellStyle name="Normal 4 3 2 4 2 2 2 4 2 2" xfId="43939"/>
    <cellStyle name="Normal 4 3 2 4 2 2 2 4 3" xfId="31637"/>
    <cellStyle name="Normal 4 3 2 4 2 2 2 5" xfId="12291"/>
    <cellStyle name="Normal 4 3 2 4 2 2 2 5 2" xfId="35151"/>
    <cellStyle name="Normal 4 3 2 4 2 2 2 6" xfId="14050"/>
    <cellStyle name="Normal 4 3 2 4 2 2 2 6 2" xfId="36909"/>
    <cellStyle name="Normal 4 3 2 4 2 2 2 7" xfId="24606"/>
    <cellStyle name="Normal 4 3 2 4 2 2 3" xfId="2626"/>
    <cellStyle name="Normal 4 3 2 4 2 2 3 2" xfId="6141"/>
    <cellStyle name="Normal 4 3 2 4 2 2 3 2 2" xfId="18445"/>
    <cellStyle name="Normal 4 3 2 4 2 2 3 2 2 2" xfId="41304"/>
    <cellStyle name="Normal 4 3 2 4 2 2 3 2 3" xfId="29002"/>
    <cellStyle name="Normal 4 3 2 4 2 2 3 3" xfId="9656"/>
    <cellStyle name="Normal 4 3 2 4 2 2 3 3 2" xfId="21960"/>
    <cellStyle name="Normal 4 3 2 4 2 2 3 3 2 2" xfId="44819"/>
    <cellStyle name="Normal 4 3 2 4 2 2 3 3 3" xfId="32517"/>
    <cellStyle name="Normal 4 3 2 4 2 2 3 4" xfId="14930"/>
    <cellStyle name="Normal 4 3 2 4 2 2 3 4 2" xfId="37789"/>
    <cellStyle name="Normal 4 3 2 4 2 2 3 5" xfId="25487"/>
    <cellStyle name="Normal 4 3 2 4 2 2 4" xfId="4383"/>
    <cellStyle name="Normal 4 3 2 4 2 2 4 2" xfId="16687"/>
    <cellStyle name="Normal 4 3 2 4 2 2 4 2 2" xfId="39546"/>
    <cellStyle name="Normal 4 3 2 4 2 2 4 3" xfId="27244"/>
    <cellStyle name="Normal 4 3 2 4 2 2 5" xfId="7898"/>
    <cellStyle name="Normal 4 3 2 4 2 2 5 2" xfId="20202"/>
    <cellStyle name="Normal 4 3 2 4 2 2 5 2 2" xfId="43061"/>
    <cellStyle name="Normal 4 3 2 4 2 2 5 3" xfId="30759"/>
    <cellStyle name="Normal 4 3 2 4 2 2 6" xfId="11413"/>
    <cellStyle name="Normal 4 3 2 4 2 2 6 2" xfId="34273"/>
    <cellStyle name="Normal 4 3 2 4 2 2 7" xfId="13172"/>
    <cellStyle name="Normal 4 3 2 4 2 2 7 2" xfId="36031"/>
    <cellStyle name="Normal 4 3 2 4 2 2 8" xfId="23728"/>
    <cellStyle name="Normal 4 3 2 4 2 3" xfId="1304"/>
    <cellStyle name="Normal 4 3 2 4 2 3 2" xfId="3065"/>
    <cellStyle name="Normal 4 3 2 4 2 3 2 2" xfId="6580"/>
    <cellStyle name="Normal 4 3 2 4 2 3 2 2 2" xfId="18884"/>
    <cellStyle name="Normal 4 3 2 4 2 3 2 2 2 2" xfId="41743"/>
    <cellStyle name="Normal 4 3 2 4 2 3 2 2 3" xfId="29441"/>
    <cellStyle name="Normal 4 3 2 4 2 3 2 3" xfId="10095"/>
    <cellStyle name="Normal 4 3 2 4 2 3 2 3 2" xfId="22399"/>
    <cellStyle name="Normal 4 3 2 4 2 3 2 3 2 2" xfId="45258"/>
    <cellStyle name="Normal 4 3 2 4 2 3 2 3 3" xfId="32956"/>
    <cellStyle name="Normal 4 3 2 4 2 3 2 4" xfId="15369"/>
    <cellStyle name="Normal 4 3 2 4 2 3 2 4 2" xfId="38228"/>
    <cellStyle name="Normal 4 3 2 4 2 3 2 5" xfId="25926"/>
    <cellStyle name="Normal 4 3 2 4 2 3 3" xfId="4822"/>
    <cellStyle name="Normal 4 3 2 4 2 3 3 2" xfId="17126"/>
    <cellStyle name="Normal 4 3 2 4 2 3 3 2 2" xfId="39985"/>
    <cellStyle name="Normal 4 3 2 4 2 3 3 3" xfId="27683"/>
    <cellStyle name="Normal 4 3 2 4 2 3 4" xfId="8337"/>
    <cellStyle name="Normal 4 3 2 4 2 3 4 2" xfId="20641"/>
    <cellStyle name="Normal 4 3 2 4 2 3 4 2 2" xfId="43500"/>
    <cellStyle name="Normal 4 3 2 4 2 3 4 3" xfId="31198"/>
    <cellStyle name="Normal 4 3 2 4 2 3 5" xfId="11852"/>
    <cellStyle name="Normal 4 3 2 4 2 3 5 2" xfId="34712"/>
    <cellStyle name="Normal 4 3 2 4 2 3 6" xfId="13611"/>
    <cellStyle name="Normal 4 3 2 4 2 3 6 2" xfId="36470"/>
    <cellStyle name="Normal 4 3 2 4 2 3 7" xfId="24167"/>
    <cellStyle name="Normal 4 3 2 4 2 4" xfId="2187"/>
    <cellStyle name="Normal 4 3 2 4 2 4 2" xfId="5702"/>
    <cellStyle name="Normal 4 3 2 4 2 4 2 2" xfId="18006"/>
    <cellStyle name="Normal 4 3 2 4 2 4 2 2 2" xfId="40865"/>
    <cellStyle name="Normal 4 3 2 4 2 4 2 3" xfId="28563"/>
    <cellStyle name="Normal 4 3 2 4 2 4 3" xfId="9217"/>
    <cellStyle name="Normal 4 3 2 4 2 4 3 2" xfId="21521"/>
    <cellStyle name="Normal 4 3 2 4 2 4 3 2 2" xfId="44380"/>
    <cellStyle name="Normal 4 3 2 4 2 4 3 3" xfId="32078"/>
    <cellStyle name="Normal 4 3 2 4 2 4 4" xfId="14491"/>
    <cellStyle name="Normal 4 3 2 4 2 4 4 2" xfId="37350"/>
    <cellStyle name="Normal 4 3 2 4 2 4 5" xfId="25048"/>
    <cellStyle name="Normal 4 3 2 4 2 5" xfId="3944"/>
    <cellStyle name="Normal 4 3 2 4 2 5 2" xfId="16248"/>
    <cellStyle name="Normal 4 3 2 4 2 5 2 2" xfId="39107"/>
    <cellStyle name="Normal 4 3 2 4 2 5 3" xfId="26805"/>
    <cellStyle name="Normal 4 3 2 4 2 6" xfId="7459"/>
    <cellStyle name="Normal 4 3 2 4 2 6 2" xfId="19763"/>
    <cellStyle name="Normal 4 3 2 4 2 6 2 2" xfId="42622"/>
    <cellStyle name="Normal 4 3 2 4 2 6 3" xfId="30320"/>
    <cellStyle name="Normal 4 3 2 4 2 7" xfId="10974"/>
    <cellStyle name="Normal 4 3 2 4 2 7 2" xfId="33834"/>
    <cellStyle name="Normal 4 3 2 4 2 8" xfId="12733"/>
    <cellStyle name="Normal 4 3 2 4 2 8 2" xfId="35592"/>
    <cellStyle name="Normal 4 3 2 4 2 9" xfId="23288"/>
    <cellStyle name="Normal 4 3 2 4 3" xfId="652"/>
    <cellStyle name="Normal 4 3 2 4 3 2" xfId="1531"/>
    <cellStyle name="Normal 4 3 2 4 3 2 2" xfId="3292"/>
    <cellStyle name="Normal 4 3 2 4 3 2 2 2" xfId="6807"/>
    <cellStyle name="Normal 4 3 2 4 3 2 2 2 2" xfId="19111"/>
    <cellStyle name="Normal 4 3 2 4 3 2 2 2 2 2" xfId="41970"/>
    <cellStyle name="Normal 4 3 2 4 3 2 2 2 3" xfId="29668"/>
    <cellStyle name="Normal 4 3 2 4 3 2 2 3" xfId="10322"/>
    <cellStyle name="Normal 4 3 2 4 3 2 2 3 2" xfId="22626"/>
    <cellStyle name="Normal 4 3 2 4 3 2 2 3 2 2" xfId="45485"/>
    <cellStyle name="Normal 4 3 2 4 3 2 2 3 3" xfId="33183"/>
    <cellStyle name="Normal 4 3 2 4 3 2 2 4" xfId="15596"/>
    <cellStyle name="Normal 4 3 2 4 3 2 2 4 2" xfId="38455"/>
    <cellStyle name="Normal 4 3 2 4 3 2 2 5" xfId="26153"/>
    <cellStyle name="Normal 4 3 2 4 3 2 3" xfId="5049"/>
    <cellStyle name="Normal 4 3 2 4 3 2 3 2" xfId="17353"/>
    <cellStyle name="Normal 4 3 2 4 3 2 3 2 2" xfId="40212"/>
    <cellStyle name="Normal 4 3 2 4 3 2 3 3" xfId="27910"/>
    <cellStyle name="Normal 4 3 2 4 3 2 4" xfId="8564"/>
    <cellStyle name="Normal 4 3 2 4 3 2 4 2" xfId="20868"/>
    <cellStyle name="Normal 4 3 2 4 3 2 4 2 2" xfId="43727"/>
    <cellStyle name="Normal 4 3 2 4 3 2 4 3" xfId="31425"/>
    <cellStyle name="Normal 4 3 2 4 3 2 5" xfId="12079"/>
    <cellStyle name="Normal 4 3 2 4 3 2 5 2" xfId="34939"/>
    <cellStyle name="Normal 4 3 2 4 3 2 6" xfId="13838"/>
    <cellStyle name="Normal 4 3 2 4 3 2 6 2" xfId="36697"/>
    <cellStyle name="Normal 4 3 2 4 3 2 7" xfId="24394"/>
    <cellStyle name="Normal 4 3 2 4 3 3" xfId="2414"/>
    <cellStyle name="Normal 4 3 2 4 3 3 2" xfId="5929"/>
    <cellStyle name="Normal 4 3 2 4 3 3 2 2" xfId="18233"/>
    <cellStyle name="Normal 4 3 2 4 3 3 2 2 2" xfId="41092"/>
    <cellStyle name="Normal 4 3 2 4 3 3 2 3" xfId="28790"/>
    <cellStyle name="Normal 4 3 2 4 3 3 3" xfId="9444"/>
    <cellStyle name="Normal 4 3 2 4 3 3 3 2" xfId="21748"/>
    <cellStyle name="Normal 4 3 2 4 3 3 3 2 2" xfId="44607"/>
    <cellStyle name="Normal 4 3 2 4 3 3 3 3" xfId="32305"/>
    <cellStyle name="Normal 4 3 2 4 3 3 4" xfId="14718"/>
    <cellStyle name="Normal 4 3 2 4 3 3 4 2" xfId="37577"/>
    <cellStyle name="Normal 4 3 2 4 3 3 5" xfId="25275"/>
    <cellStyle name="Normal 4 3 2 4 3 4" xfId="4171"/>
    <cellStyle name="Normal 4 3 2 4 3 4 2" xfId="16475"/>
    <cellStyle name="Normal 4 3 2 4 3 4 2 2" xfId="39334"/>
    <cellStyle name="Normal 4 3 2 4 3 4 3" xfId="27032"/>
    <cellStyle name="Normal 4 3 2 4 3 5" xfId="7686"/>
    <cellStyle name="Normal 4 3 2 4 3 5 2" xfId="19990"/>
    <cellStyle name="Normal 4 3 2 4 3 5 2 2" xfId="42849"/>
    <cellStyle name="Normal 4 3 2 4 3 5 3" xfId="30547"/>
    <cellStyle name="Normal 4 3 2 4 3 6" xfId="11201"/>
    <cellStyle name="Normal 4 3 2 4 3 6 2" xfId="34061"/>
    <cellStyle name="Normal 4 3 2 4 3 7" xfId="12960"/>
    <cellStyle name="Normal 4 3 2 4 3 7 2" xfId="35819"/>
    <cellStyle name="Normal 4 3 2 4 3 8" xfId="23516"/>
    <cellStyle name="Normal 4 3 2 4 4" xfId="1092"/>
    <cellStyle name="Normal 4 3 2 4 4 2" xfId="2853"/>
    <cellStyle name="Normal 4 3 2 4 4 2 2" xfId="6368"/>
    <cellStyle name="Normal 4 3 2 4 4 2 2 2" xfId="18672"/>
    <cellStyle name="Normal 4 3 2 4 4 2 2 2 2" xfId="41531"/>
    <cellStyle name="Normal 4 3 2 4 4 2 2 3" xfId="29229"/>
    <cellStyle name="Normal 4 3 2 4 4 2 3" xfId="9883"/>
    <cellStyle name="Normal 4 3 2 4 4 2 3 2" xfId="22187"/>
    <cellStyle name="Normal 4 3 2 4 4 2 3 2 2" xfId="45046"/>
    <cellStyle name="Normal 4 3 2 4 4 2 3 3" xfId="32744"/>
    <cellStyle name="Normal 4 3 2 4 4 2 4" xfId="15157"/>
    <cellStyle name="Normal 4 3 2 4 4 2 4 2" xfId="38016"/>
    <cellStyle name="Normal 4 3 2 4 4 2 5" xfId="25714"/>
    <cellStyle name="Normal 4 3 2 4 4 3" xfId="4610"/>
    <cellStyle name="Normal 4 3 2 4 4 3 2" xfId="16914"/>
    <cellStyle name="Normal 4 3 2 4 4 3 2 2" xfId="39773"/>
    <cellStyle name="Normal 4 3 2 4 4 3 3" xfId="27471"/>
    <cellStyle name="Normal 4 3 2 4 4 4" xfId="8125"/>
    <cellStyle name="Normal 4 3 2 4 4 4 2" xfId="20429"/>
    <cellStyle name="Normal 4 3 2 4 4 4 2 2" xfId="43288"/>
    <cellStyle name="Normal 4 3 2 4 4 4 3" xfId="30986"/>
    <cellStyle name="Normal 4 3 2 4 4 5" xfId="11640"/>
    <cellStyle name="Normal 4 3 2 4 4 5 2" xfId="34500"/>
    <cellStyle name="Normal 4 3 2 4 4 6" xfId="13399"/>
    <cellStyle name="Normal 4 3 2 4 4 6 2" xfId="36258"/>
    <cellStyle name="Normal 4 3 2 4 4 7" xfId="23955"/>
    <cellStyle name="Normal 4 3 2 4 5" xfId="1975"/>
    <cellStyle name="Normal 4 3 2 4 5 2" xfId="5490"/>
    <cellStyle name="Normal 4 3 2 4 5 2 2" xfId="17794"/>
    <cellStyle name="Normal 4 3 2 4 5 2 2 2" xfId="40653"/>
    <cellStyle name="Normal 4 3 2 4 5 2 3" xfId="28351"/>
    <cellStyle name="Normal 4 3 2 4 5 3" xfId="9005"/>
    <cellStyle name="Normal 4 3 2 4 5 3 2" xfId="21309"/>
    <cellStyle name="Normal 4 3 2 4 5 3 2 2" xfId="44168"/>
    <cellStyle name="Normal 4 3 2 4 5 3 3" xfId="31866"/>
    <cellStyle name="Normal 4 3 2 4 5 4" xfId="14279"/>
    <cellStyle name="Normal 4 3 2 4 5 4 2" xfId="37138"/>
    <cellStyle name="Normal 4 3 2 4 5 5" xfId="24836"/>
    <cellStyle name="Normal 4 3 2 4 6" xfId="3732"/>
    <cellStyle name="Normal 4 3 2 4 6 2" xfId="16036"/>
    <cellStyle name="Normal 4 3 2 4 6 2 2" xfId="38895"/>
    <cellStyle name="Normal 4 3 2 4 6 3" xfId="26593"/>
    <cellStyle name="Normal 4 3 2 4 7" xfId="7247"/>
    <cellStyle name="Normal 4 3 2 4 7 2" xfId="19551"/>
    <cellStyle name="Normal 4 3 2 4 7 2 2" xfId="42410"/>
    <cellStyle name="Normal 4 3 2 4 7 3" xfId="30108"/>
    <cellStyle name="Normal 4 3 2 4 8" xfId="10762"/>
    <cellStyle name="Normal 4 3 2 4 8 2" xfId="33622"/>
    <cellStyle name="Normal 4 3 2 4 9" xfId="12521"/>
    <cellStyle name="Normal 4 3 2 4 9 2" xfId="35380"/>
    <cellStyle name="Normal 4 3 2 5" xfId="317"/>
    <cellStyle name="Normal 4 3 2 5 2" xfId="758"/>
    <cellStyle name="Normal 4 3 2 5 2 2" xfId="1637"/>
    <cellStyle name="Normal 4 3 2 5 2 2 2" xfId="3398"/>
    <cellStyle name="Normal 4 3 2 5 2 2 2 2" xfId="6913"/>
    <cellStyle name="Normal 4 3 2 5 2 2 2 2 2" xfId="19217"/>
    <cellStyle name="Normal 4 3 2 5 2 2 2 2 2 2" xfId="42076"/>
    <cellStyle name="Normal 4 3 2 5 2 2 2 2 3" xfId="29774"/>
    <cellStyle name="Normal 4 3 2 5 2 2 2 3" xfId="10428"/>
    <cellStyle name="Normal 4 3 2 5 2 2 2 3 2" xfId="22732"/>
    <cellStyle name="Normal 4 3 2 5 2 2 2 3 2 2" xfId="45591"/>
    <cellStyle name="Normal 4 3 2 5 2 2 2 3 3" xfId="33289"/>
    <cellStyle name="Normal 4 3 2 5 2 2 2 4" xfId="15702"/>
    <cellStyle name="Normal 4 3 2 5 2 2 2 4 2" xfId="38561"/>
    <cellStyle name="Normal 4 3 2 5 2 2 2 5" xfId="26259"/>
    <cellStyle name="Normal 4 3 2 5 2 2 3" xfId="5155"/>
    <cellStyle name="Normal 4 3 2 5 2 2 3 2" xfId="17459"/>
    <cellStyle name="Normal 4 3 2 5 2 2 3 2 2" xfId="40318"/>
    <cellStyle name="Normal 4 3 2 5 2 2 3 3" xfId="28016"/>
    <cellStyle name="Normal 4 3 2 5 2 2 4" xfId="8670"/>
    <cellStyle name="Normal 4 3 2 5 2 2 4 2" xfId="20974"/>
    <cellStyle name="Normal 4 3 2 5 2 2 4 2 2" xfId="43833"/>
    <cellStyle name="Normal 4 3 2 5 2 2 4 3" xfId="31531"/>
    <cellStyle name="Normal 4 3 2 5 2 2 5" xfId="12185"/>
    <cellStyle name="Normal 4 3 2 5 2 2 5 2" xfId="35045"/>
    <cellStyle name="Normal 4 3 2 5 2 2 6" xfId="13944"/>
    <cellStyle name="Normal 4 3 2 5 2 2 6 2" xfId="36803"/>
    <cellStyle name="Normal 4 3 2 5 2 2 7" xfId="24500"/>
    <cellStyle name="Normal 4 3 2 5 2 3" xfId="2520"/>
    <cellStyle name="Normal 4 3 2 5 2 3 2" xfId="6035"/>
    <cellStyle name="Normal 4 3 2 5 2 3 2 2" xfId="18339"/>
    <cellStyle name="Normal 4 3 2 5 2 3 2 2 2" xfId="41198"/>
    <cellStyle name="Normal 4 3 2 5 2 3 2 3" xfId="28896"/>
    <cellStyle name="Normal 4 3 2 5 2 3 3" xfId="9550"/>
    <cellStyle name="Normal 4 3 2 5 2 3 3 2" xfId="21854"/>
    <cellStyle name="Normal 4 3 2 5 2 3 3 2 2" xfId="44713"/>
    <cellStyle name="Normal 4 3 2 5 2 3 3 3" xfId="32411"/>
    <cellStyle name="Normal 4 3 2 5 2 3 4" xfId="14824"/>
    <cellStyle name="Normal 4 3 2 5 2 3 4 2" xfId="37683"/>
    <cellStyle name="Normal 4 3 2 5 2 3 5" xfId="25381"/>
    <cellStyle name="Normal 4 3 2 5 2 4" xfId="4277"/>
    <cellStyle name="Normal 4 3 2 5 2 4 2" xfId="16581"/>
    <cellStyle name="Normal 4 3 2 5 2 4 2 2" xfId="39440"/>
    <cellStyle name="Normal 4 3 2 5 2 4 3" xfId="27138"/>
    <cellStyle name="Normal 4 3 2 5 2 5" xfId="7792"/>
    <cellStyle name="Normal 4 3 2 5 2 5 2" xfId="20096"/>
    <cellStyle name="Normal 4 3 2 5 2 5 2 2" xfId="42955"/>
    <cellStyle name="Normal 4 3 2 5 2 5 3" xfId="30653"/>
    <cellStyle name="Normal 4 3 2 5 2 6" xfId="11307"/>
    <cellStyle name="Normal 4 3 2 5 2 6 2" xfId="34167"/>
    <cellStyle name="Normal 4 3 2 5 2 7" xfId="13066"/>
    <cellStyle name="Normal 4 3 2 5 2 7 2" xfId="35925"/>
    <cellStyle name="Normal 4 3 2 5 2 8" xfId="23622"/>
    <cellStyle name="Normal 4 3 2 5 3" xfId="1198"/>
    <cellStyle name="Normal 4 3 2 5 3 2" xfId="2959"/>
    <cellStyle name="Normal 4 3 2 5 3 2 2" xfId="6474"/>
    <cellStyle name="Normal 4 3 2 5 3 2 2 2" xfId="18778"/>
    <cellStyle name="Normal 4 3 2 5 3 2 2 2 2" xfId="41637"/>
    <cellStyle name="Normal 4 3 2 5 3 2 2 3" xfId="29335"/>
    <cellStyle name="Normal 4 3 2 5 3 2 3" xfId="9989"/>
    <cellStyle name="Normal 4 3 2 5 3 2 3 2" xfId="22293"/>
    <cellStyle name="Normal 4 3 2 5 3 2 3 2 2" xfId="45152"/>
    <cellStyle name="Normal 4 3 2 5 3 2 3 3" xfId="32850"/>
    <cellStyle name="Normal 4 3 2 5 3 2 4" xfId="15263"/>
    <cellStyle name="Normal 4 3 2 5 3 2 4 2" xfId="38122"/>
    <cellStyle name="Normal 4 3 2 5 3 2 5" xfId="25820"/>
    <cellStyle name="Normal 4 3 2 5 3 3" xfId="4716"/>
    <cellStyle name="Normal 4 3 2 5 3 3 2" xfId="17020"/>
    <cellStyle name="Normal 4 3 2 5 3 3 2 2" xfId="39879"/>
    <cellStyle name="Normal 4 3 2 5 3 3 3" xfId="27577"/>
    <cellStyle name="Normal 4 3 2 5 3 4" xfId="8231"/>
    <cellStyle name="Normal 4 3 2 5 3 4 2" xfId="20535"/>
    <cellStyle name="Normal 4 3 2 5 3 4 2 2" xfId="43394"/>
    <cellStyle name="Normal 4 3 2 5 3 4 3" xfId="31092"/>
    <cellStyle name="Normal 4 3 2 5 3 5" xfId="11746"/>
    <cellStyle name="Normal 4 3 2 5 3 5 2" xfId="34606"/>
    <cellStyle name="Normal 4 3 2 5 3 6" xfId="13505"/>
    <cellStyle name="Normal 4 3 2 5 3 6 2" xfId="36364"/>
    <cellStyle name="Normal 4 3 2 5 3 7" xfId="24061"/>
    <cellStyle name="Normal 4 3 2 5 4" xfId="2081"/>
    <cellStyle name="Normal 4 3 2 5 4 2" xfId="5596"/>
    <cellStyle name="Normal 4 3 2 5 4 2 2" xfId="17900"/>
    <cellStyle name="Normal 4 3 2 5 4 2 2 2" xfId="40759"/>
    <cellStyle name="Normal 4 3 2 5 4 2 3" xfId="28457"/>
    <cellStyle name="Normal 4 3 2 5 4 3" xfId="9111"/>
    <cellStyle name="Normal 4 3 2 5 4 3 2" xfId="21415"/>
    <cellStyle name="Normal 4 3 2 5 4 3 2 2" xfId="44274"/>
    <cellStyle name="Normal 4 3 2 5 4 3 3" xfId="31972"/>
    <cellStyle name="Normal 4 3 2 5 4 4" xfId="14385"/>
    <cellStyle name="Normal 4 3 2 5 4 4 2" xfId="37244"/>
    <cellStyle name="Normal 4 3 2 5 4 5" xfId="24942"/>
    <cellStyle name="Normal 4 3 2 5 5" xfId="3838"/>
    <cellStyle name="Normal 4 3 2 5 5 2" xfId="16142"/>
    <cellStyle name="Normal 4 3 2 5 5 2 2" xfId="39001"/>
    <cellStyle name="Normal 4 3 2 5 5 3" xfId="26699"/>
    <cellStyle name="Normal 4 3 2 5 6" xfId="7353"/>
    <cellStyle name="Normal 4 3 2 5 6 2" xfId="19657"/>
    <cellStyle name="Normal 4 3 2 5 6 2 2" xfId="42516"/>
    <cellStyle name="Normal 4 3 2 5 6 3" xfId="30214"/>
    <cellStyle name="Normal 4 3 2 5 7" xfId="10868"/>
    <cellStyle name="Normal 4 3 2 5 7 2" xfId="33728"/>
    <cellStyle name="Normal 4 3 2 5 8" xfId="12627"/>
    <cellStyle name="Normal 4 3 2 5 8 2" xfId="35486"/>
    <cellStyle name="Normal 4 3 2 5 9" xfId="23182"/>
    <cellStyle name="Normal 4 3 2 6" xfId="546"/>
    <cellStyle name="Normal 4 3 2 6 2" xfId="1425"/>
    <cellStyle name="Normal 4 3 2 6 2 2" xfId="3186"/>
    <cellStyle name="Normal 4 3 2 6 2 2 2" xfId="6701"/>
    <cellStyle name="Normal 4 3 2 6 2 2 2 2" xfId="19005"/>
    <cellStyle name="Normal 4 3 2 6 2 2 2 2 2" xfId="41864"/>
    <cellStyle name="Normal 4 3 2 6 2 2 2 3" xfId="29562"/>
    <cellStyle name="Normal 4 3 2 6 2 2 3" xfId="10216"/>
    <cellStyle name="Normal 4 3 2 6 2 2 3 2" xfId="22520"/>
    <cellStyle name="Normal 4 3 2 6 2 2 3 2 2" xfId="45379"/>
    <cellStyle name="Normal 4 3 2 6 2 2 3 3" xfId="33077"/>
    <cellStyle name="Normal 4 3 2 6 2 2 4" xfId="15490"/>
    <cellStyle name="Normal 4 3 2 6 2 2 4 2" xfId="38349"/>
    <cellStyle name="Normal 4 3 2 6 2 2 5" xfId="26047"/>
    <cellStyle name="Normal 4 3 2 6 2 3" xfId="4943"/>
    <cellStyle name="Normal 4 3 2 6 2 3 2" xfId="17247"/>
    <cellStyle name="Normal 4 3 2 6 2 3 2 2" xfId="40106"/>
    <cellStyle name="Normal 4 3 2 6 2 3 3" xfId="27804"/>
    <cellStyle name="Normal 4 3 2 6 2 4" xfId="8458"/>
    <cellStyle name="Normal 4 3 2 6 2 4 2" xfId="20762"/>
    <cellStyle name="Normal 4 3 2 6 2 4 2 2" xfId="43621"/>
    <cellStyle name="Normal 4 3 2 6 2 4 3" xfId="31319"/>
    <cellStyle name="Normal 4 3 2 6 2 5" xfId="11973"/>
    <cellStyle name="Normal 4 3 2 6 2 5 2" xfId="34833"/>
    <cellStyle name="Normal 4 3 2 6 2 6" xfId="13732"/>
    <cellStyle name="Normal 4 3 2 6 2 6 2" xfId="36591"/>
    <cellStyle name="Normal 4 3 2 6 2 7" xfId="24288"/>
    <cellStyle name="Normal 4 3 2 6 3" xfId="2308"/>
    <cellStyle name="Normal 4 3 2 6 3 2" xfId="5823"/>
    <cellStyle name="Normal 4 3 2 6 3 2 2" xfId="18127"/>
    <cellStyle name="Normal 4 3 2 6 3 2 2 2" xfId="40986"/>
    <cellStyle name="Normal 4 3 2 6 3 2 3" xfId="28684"/>
    <cellStyle name="Normal 4 3 2 6 3 3" xfId="9338"/>
    <cellStyle name="Normal 4 3 2 6 3 3 2" xfId="21642"/>
    <cellStyle name="Normal 4 3 2 6 3 3 2 2" xfId="44501"/>
    <cellStyle name="Normal 4 3 2 6 3 3 3" xfId="32199"/>
    <cellStyle name="Normal 4 3 2 6 3 4" xfId="14612"/>
    <cellStyle name="Normal 4 3 2 6 3 4 2" xfId="37471"/>
    <cellStyle name="Normal 4 3 2 6 3 5" xfId="25169"/>
    <cellStyle name="Normal 4 3 2 6 4" xfId="4065"/>
    <cellStyle name="Normal 4 3 2 6 4 2" xfId="16369"/>
    <cellStyle name="Normal 4 3 2 6 4 2 2" xfId="39228"/>
    <cellStyle name="Normal 4 3 2 6 4 3" xfId="26926"/>
    <cellStyle name="Normal 4 3 2 6 5" xfId="7580"/>
    <cellStyle name="Normal 4 3 2 6 5 2" xfId="19884"/>
    <cellStyle name="Normal 4 3 2 6 5 2 2" xfId="42743"/>
    <cellStyle name="Normal 4 3 2 6 5 3" xfId="30441"/>
    <cellStyle name="Normal 4 3 2 6 6" xfId="11095"/>
    <cellStyle name="Normal 4 3 2 6 6 2" xfId="33955"/>
    <cellStyle name="Normal 4 3 2 6 7" xfId="12854"/>
    <cellStyle name="Normal 4 3 2 6 7 2" xfId="35713"/>
    <cellStyle name="Normal 4 3 2 6 8" xfId="23410"/>
    <cellStyle name="Normal 4 3 2 7" xfId="986"/>
    <cellStyle name="Normal 4 3 2 7 2" xfId="2747"/>
    <cellStyle name="Normal 4 3 2 7 2 2" xfId="6262"/>
    <cellStyle name="Normal 4 3 2 7 2 2 2" xfId="18566"/>
    <cellStyle name="Normal 4 3 2 7 2 2 2 2" xfId="41425"/>
    <cellStyle name="Normal 4 3 2 7 2 2 3" xfId="29123"/>
    <cellStyle name="Normal 4 3 2 7 2 3" xfId="9777"/>
    <cellStyle name="Normal 4 3 2 7 2 3 2" xfId="22081"/>
    <cellStyle name="Normal 4 3 2 7 2 3 2 2" xfId="44940"/>
    <cellStyle name="Normal 4 3 2 7 2 3 3" xfId="32638"/>
    <cellStyle name="Normal 4 3 2 7 2 4" xfId="15051"/>
    <cellStyle name="Normal 4 3 2 7 2 4 2" xfId="37910"/>
    <cellStyle name="Normal 4 3 2 7 2 5" xfId="25608"/>
    <cellStyle name="Normal 4 3 2 7 3" xfId="4504"/>
    <cellStyle name="Normal 4 3 2 7 3 2" xfId="16808"/>
    <cellStyle name="Normal 4 3 2 7 3 2 2" xfId="39667"/>
    <cellStyle name="Normal 4 3 2 7 3 3" xfId="27365"/>
    <cellStyle name="Normal 4 3 2 7 4" xfId="8019"/>
    <cellStyle name="Normal 4 3 2 7 4 2" xfId="20323"/>
    <cellStyle name="Normal 4 3 2 7 4 2 2" xfId="43182"/>
    <cellStyle name="Normal 4 3 2 7 4 3" xfId="30880"/>
    <cellStyle name="Normal 4 3 2 7 5" xfId="11534"/>
    <cellStyle name="Normal 4 3 2 7 5 2" xfId="34394"/>
    <cellStyle name="Normal 4 3 2 7 6" xfId="13293"/>
    <cellStyle name="Normal 4 3 2 7 6 2" xfId="36152"/>
    <cellStyle name="Normal 4 3 2 7 7" xfId="23849"/>
    <cellStyle name="Normal 4 3 2 8" xfId="1869"/>
    <cellStyle name="Normal 4 3 2 8 2" xfId="5384"/>
    <cellStyle name="Normal 4 3 2 8 2 2" xfId="17688"/>
    <cellStyle name="Normal 4 3 2 8 2 2 2" xfId="40547"/>
    <cellStyle name="Normal 4 3 2 8 2 3" xfId="28245"/>
    <cellStyle name="Normal 4 3 2 8 3" xfId="8899"/>
    <cellStyle name="Normal 4 3 2 8 3 2" xfId="21203"/>
    <cellStyle name="Normal 4 3 2 8 3 2 2" xfId="44062"/>
    <cellStyle name="Normal 4 3 2 8 3 3" xfId="31760"/>
    <cellStyle name="Normal 4 3 2 8 4" xfId="14173"/>
    <cellStyle name="Normal 4 3 2 8 4 2" xfId="37032"/>
    <cellStyle name="Normal 4 3 2 8 5" xfId="24730"/>
    <cellStyle name="Normal 4 3 2 9" xfId="3626"/>
    <cellStyle name="Normal 4 3 2 9 2" xfId="15930"/>
    <cellStyle name="Normal 4 3 2 9 2 2" xfId="38789"/>
    <cellStyle name="Normal 4 3 2 9 3" xfId="26487"/>
    <cellStyle name="Normal 4 3 3" xfId="121"/>
    <cellStyle name="Normal 4 3 3 10" xfId="10674"/>
    <cellStyle name="Normal 4 3 3 10 2" xfId="33534"/>
    <cellStyle name="Normal 4 3 3 11" xfId="12433"/>
    <cellStyle name="Normal 4 3 3 11 2" xfId="35292"/>
    <cellStyle name="Normal 4 3 3 12" xfId="22987"/>
    <cellStyle name="Normal 4 3 3 2" xfId="175"/>
    <cellStyle name="Normal 4 3 3 2 10" xfId="12487"/>
    <cellStyle name="Normal 4 3 3 2 10 2" xfId="35346"/>
    <cellStyle name="Normal 4 3 3 2 11" xfId="23041"/>
    <cellStyle name="Normal 4 3 3 2 2" xfId="283"/>
    <cellStyle name="Normal 4 3 3 2 2 10" xfId="23148"/>
    <cellStyle name="Normal 4 3 3 2 2 2" xfId="495"/>
    <cellStyle name="Normal 4 3 3 2 2 2 2" xfId="936"/>
    <cellStyle name="Normal 4 3 3 2 2 2 2 2" xfId="1815"/>
    <cellStyle name="Normal 4 3 3 2 2 2 2 2 2" xfId="3576"/>
    <cellStyle name="Normal 4 3 3 2 2 2 2 2 2 2" xfId="7091"/>
    <cellStyle name="Normal 4 3 3 2 2 2 2 2 2 2 2" xfId="19395"/>
    <cellStyle name="Normal 4 3 3 2 2 2 2 2 2 2 2 2" xfId="42254"/>
    <cellStyle name="Normal 4 3 3 2 2 2 2 2 2 2 3" xfId="29952"/>
    <cellStyle name="Normal 4 3 3 2 2 2 2 2 2 3" xfId="10606"/>
    <cellStyle name="Normal 4 3 3 2 2 2 2 2 2 3 2" xfId="22910"/>
    <cellStyle name="Normal 4 3 3 2 2 2 2 2 2 3 2 2" xfId="45769"/>
    <cellStyle name="Normal 4 3 3 2 2 2 2 2 2 3 3" xfId="33467"/>
    <cellStyle name="Normal 4 3 3 2 2 2 2 2 2 4" xfId="15880"/>
    <cellStyle name="Normal 4 3 3 2 2 2 2 2 2 4 2" xfId="38739"/>
    <cellStyle name="Normal 4 3 3 2 2 2 2 2 2 5" xfId="26437"/>
    <cellStyle name="Normal 4 3 3 2 2 2 2 2 3" xfId="5333"/>
    <cellStyle name="Normal 4 3 3 2 2 2 2 2 3 2" xfId="17637"/>
    <cellStyle name="Normal 4 3 3 2 2 2 2 2 3 2 2" xfId="40496"/>
    <cellStyle name="Normal 4 3 3 2 2 2 2 2 3 3" xfId="28194"/>
    <cellStyle name="Normal 4 3 3 2 2 2 2 2 4" xfId="8848"/>
    <cellStyle name="Normal 4 3 3 2 2 2 2 2 4 2" xfId="21152"/>
    <cellStyle name="Normal 4 3 3 2 2 2 2 2 4 2 2" xfId="44011"/>
    <cellStyle name="Normal 4 3 3 2 2 2 2 2 4 3" xfId="31709"/>
    <cellStyle name="Normal 4 3 3 2 2 2 2 2 5" xfId="12363"/>
    <cellStyle name="Normal 4 3 3 2 2 2 2 2 5 2" xfId="35223"/>
    <cellStyle name="Normal 4 3 3 2 2 2 2 2 6" xfId="14122"/>
    <cellStyle name="Normal 4 3 3 2 2 2 2 2 6 2" xfId="36981"/>
    <cellStyle name="Normal 4 3 3 2 2 2 2 2 7" xfId="24678"/>
    <cellStyle name="Normal 4 3 3 2 2 2 2 3" xfId="2698"/>
    <cellStyle name="Normal 4 3 3 2 2 2 2 3 2" xfId="6213"/>
    <cellStyle name="Normal 4 3 3 2 2 2 2 3 2 2" xfId="18517"/>
    <cellStyle name="Normal 4 3 3 2 2 2 2 3 2 2 2" xfId="41376"/>
    <cellStyle name="Normal 4 3 3 2 2 2 2 3 2 3" xfId="29074"/>
    <cellStyle name="Normal 4 3 3 2 2 2 2 3 3" xfId="9728"/>
    <cellStyle name="Normal 4 3 3 2 2 2 2 3 3 2" xfId="22032"/>
    <cellStyle name="Normal 4 3 3 2 2 2 2 3 3 2 2" xfId="44891"/>
    <cellStyle name="Normal 4 3 3 2 2 2 2 3 3 3" xfId="32589"/>
    <cellStyle name="Normal 4 3 3 2 2 2 2 3 4" xfId="15002"/>
    <cellStyle name="Normal 4 3 3 2 2 2 2 3 4 2" xfId="37861"/>
    <cellStyle name="Normal 4 3 3 2 2 2 2 3 5" xfId="25559"/>
    <cellStyle name="Normal 4 3 3 2 2 2 2 4" xfId="4455"/>
    <cellStyle name="Normal 4 3 3 2 2 2 2 4 2" xfId="16759"/>
    <cellStyle name="Normal 4 3 3 2 2 2 2 4 2 2" xfId="39618"/>
    <cellStyle name="Normal 4 3 3 2 2 2 2 4 3" xfId="27316"/>
    <cellStyle name="Normal 4 3 3 2 2 2 2 5" xfId="7970"/>
    <cellStyle name="Normal 4 3 3 2 2 2 2 5 2" xfId="20274"/>
    <cellStyle name="Normal 4 3 3 2 2 2 2 5 2 2" xfId="43133"/>
    <cellStyle name="Normal 4 3 3 2 2 2 2 5 3" xfId="30831"/>
    <cellStyle name="Normal 4 3 3 2 2 2 2 6" xfId="11485"/>
    <cellStyle name="Normal 4 3 3 2 2 2 2 6 2" xfId="34345"/>
    <cellStyle name="Normal 4 3 3 2 2 2 2 7" xfId="13244"/>
    <cellStyle name="Normal 4 3 3 2 2 2 2 7 2" xfId="36103"/>
    <cellStyle name="Normal 4 3 3 2 2 2 2 8" xfId="23800"/>
    <cellStyle name="Normal 4 3 3 2 2 2 3" xfId="1376"/>
    <cellStyle name="Normal 4 3 3 2 2 2 3 2" xfId="3137"/>
    <cellStyle name="Normal 4 3 3 2 2 2 3 2 2" xfId="6652"/>
    <cellStyle name="Normal 4 3 3 2 2 2 3 2 2 2" xfId="18956"/>
    <cellStyle name="Normal 4 3 3 2 2 2 3 2 2 2 2" xfId="41815"/>
    <cellStyle name="Normal 4 3 3 2 2 2 3 2 2 3" xfId="29513"/>
    <cellStyle name="Normal 4 3 3 2 2 2 3 2 3" xfId="10167"/>
    <cellStyle name="Normal 4 3 3 2 2 2 3 2 3 2" xfId="22471"/>
    <cellStyle name="Normal 4 3 3 2 2 2 3 2 3 2 2" xfId="45330"/>
    <cellStyle name="Normal 4 3 3 2 2 2 3 2 3 3" xfId="33028"/>
    <cellStyle name="Normal 4 3 3 2 2 2 3 2 4" xfId="15441"/>
    <cellStyle name="Normal 4 3 3 2 2 2 3 2 4 2" xfId="38300"/>
    <cellStyle name="Normal 4 3 3 2 2 2 3 2 5" xfId="25998"/>
    <cellStyle name="Normal 4 3 3 2 2 2 3 3" xfId="4894"/>
    <cellStyle name="Normal 4 3 3 2 2 2 3 3 2" xfId="17198"/>
    <cellStyle name="Normal 4 3 3 2 2 2 3 3 2 2" xfId="40057"/>
    <cellStyle name="Normal 4 3 3 2 2 2 3 3 3" xfId="27755"/>
    <cellStyle name="Normal 4 3 3 2 2 2 3 4" xfId="8409"/>
    <cellStyle name="Normal 4 3 3 2 2 2 3 4 2" xfId="20713"/>
    <cellStyle name="Normal 4 3 3 2 2 2 3 4 2 2" xfId="43572"/>
    <cellStyle name="Normal 4 3 3 2 2 2 3 4 3" xfId="31270"/>
    <cellStyle name="Normal 4 3 3 2 2 2 3 5" xfId="11924"/>
    <cellStyle name="Normal 4 3 3 2 2 2 3 5 2" xfId="34784"/>
    <cellStyle name="Normal 4 3 3 2 2 2 3 6" xfId="13683"/>
    <cellStyle name="Normal 4 3 3 2 2 2 3 6 2" xfId="36542"/>
    <cellStyle name="Normal 4 3 3 2 2 2 3 7" xfId="24239"/>
    <cellStyle name="Normal 4 3 3 2 2 2 4" xfId="2259"/>
    <cellStyle name="Normal 4 3 3 2 2 2 4 2" xfId="5774"/>
    <cellStyle name="Normal 4 3 3 2 2 2 4 2 2" xfId="18078"/>
    <cellStyle name="Normal 4 3 3 2 2 2 4 2 2 2" xfId="40937"/>
    <cellStyle name="Normal 4 3 3 2 2 2 4 2 3" xfId="28635"/>
    <cellStyle name="Normal 4 3 3 2 2 2 4 3" xfId="9289"/>
    <cellStyle name="Normal 4 3 3 2 2 2 4 3 2" xfId="21593"/>
    <cellStyle name="Normal 4 3 3 2 2 2 4 3 2 2" xfId="44452"/>
    <cellStyle name="Normal 4 3 3 2 2 2 4 3 3" xfId="32150"/>
    <cellStyle name="Normal 4 3 3 2 2 2 4 4" xfId="14563"/>
    <cellStyle name="Normal 4 3 3 2 2 2 4 4 2" xfId="37422"/>
    <cellStyle name="Normal 4 3 3 2 2 2 4 5" xfId="25120"/>
    <cellStyle name="Normal 4 3 3 2 2 2 5" xfId="4016"/>
    <cellStyle name="Normal 4 3 3 2 2 2 5 2" xfId="16320"/>
    <cellStyle name="Normal 4 3 3 2 2 2 5 2 2" xfId="39179"/>
    <cellStyle name="Normal 4 3 3 2 2 2 5 3" xfId="26877"/>
    <cellStyle name="Normal 4 3 3 2 2 2 6" xfId="7531"/>
    <cellStyle name="Normal 4 3 3 2 2 2 6 2" xfId="19835"/>
    <cellStyle name="Normal 4 3 3 2 2 2 6 2 2" xfId="42694"/>
    <cellStyle name="Normal 4 3 3 2 2 2 6 3" xfId="30392"/>
    <cellStyle name="Normal 4 3 3 2 2 2 7" xfId="11046"/>
    <cellStyle name="Normal 4 3 3 2 2 2 7 2" xfId="33906"/>
    <cellStyle name="Normal 4 3 3 2 2 2 8" xfId="12805"/>
    <cellStyle name="Normal 4 3 3 2 2 2 8 2" xfId="35664"/>
    <cellStyle name="Normal 4 3 3 2 2 2 9" xfId="23360"/>
    <cellStyle name="Normal 4 3 3 2 2 3" xfId="724"/>
    <cellStyle name="Normal 4 3 3 2 2 3 2" xfId="1603"/>
    <cellStyle name="Normal 4 3 3 2 2 3 2 2" xfId="3364"/>
    <cellStyle name="Normal 4 3 3 2 2 3 2 2 2" xfId="6879"/>
    <cellStyle name="Normal 4 3 3 2 2 3 2 2 2 2" xfId="19183"/>
    <cellStyle name="Normal 4 3 3 2 2 3 2 2 2 2 2" xfId="42042"/>
    <cellStyle name="Normal 4 3 3 2 2 3 2 2 2 3" xfId="29740"/>
    <cellStyle name="Normal 4 3 3 2 2 3 2 2 3" xfId="10394"/>
    <cellStyle name="Normal 4 3 3 2 2 3 2 2 3 2" xfId="22698"/>
    <cellStyle name="Normal 4 3 3 2 2 3 2 2 3 2 2" xfId="45557"/>
    <cellStyle name="Normal 4 3 3 2 2 3 2 2 3 3" xfId="33255"/>
    <cellStyle name="Normal 4 3 3 2 2 3 2 2 4" xfId="15668"/>
    <cellStyle name="Normal 4 3 3 2 2 3 2 2 4 2" xfId="38527"/>
    <cellStyle name="Normal 4 3 3 2 2 3 2 2 5" xfId="26225"/>
    <cellStyle name="Normal 4 3 3 2 2 3 2 3" xfId="5121"/>
    <cellStyle name="Normal 4 3 3 2 2 3 2 3 2" xfId="17425"/>
    <cellStyle name="Normal 4 3 3 2 2 3 2 3 2 2" xfId="40284"/>
    <cellStyle name="Normal 4 3 3 2 2 3 2 3 3" xfId="27982"/>
    <cellStyle name="Normal 4 3 3 2 2 3 2 4" xfId="8636"/>
    <cellStyle name="Normal 4 3 3 2 2 3 2 4 2" xfId="20940"/>
    <cellStyle name="Normal 4 3 3 2 2 3 2 4 2 2" xfId="43799"/>
    <cellStyle name="Normal 4 3 3 2 2 3 2 4 3" xfId="31497"/>
    <cellStyle name="Normal 4 3 3 2 2 3 2 5" xfId="12151"/>
    <cellStyle name="Normal 4 3 3 2 2 3 2 5 2" xfId="35011"/>
    <cellStyle name="Normal 4 3 3 2 2 3 2 6" xfId="13910"/>
    <cellStyle name="Normal 4 3 3 2 2 3 2 6 2" xfId="36769"/>
    <cellStyle name="Normal 4 3 3 2 2 3 2 7" xfId="24466"/>
    <cellStyle name="Normal 4 3 3 2 2 3 3" xfId="2486"/>
    <cellStyle name="Normal 4 3 3 2 2 3 3 2" xfId="6001"/>
    <cellStyle name="Normal 4 3 3 2 2 3 3 2 2" xfId="18305"/>
    <cellStyle name="Normal 4 3 3 2 2 3 3 2 2 2" xfId="41164"/>
    <cellStyle name="Normal 4 3 3 2 2 3 3 2 3" xfId="28862"/>
    <cellStyle name="Normal 4 3 3 2 2 3 3 3" xfId="9516"/>
    <cellStyle name="Normal 4 3 3 2 2 3 3 3 2" xfId="21820"/>
    <cellStyle name="Normal 4 3 3 2 2 3 3 3 2 2" xfId="44679"/>
    <cellStyle name="Normal 4 3 3 2 2 3 3 3 3" xfId="32377"/>
    <cellStyle name="Normal 4 3 3 2 2 3 3 4" xfId="14790"/>
    <cellStyle name="Normal 4 3 3 2 2 3 3 4 2" xfId="37649"/>
    <cellStyle name="Normal 4 3 3 2 2 3 3 5" xfId="25347"/>
    <cellStyle name="Normal 4 3 3 2 2 3 4" xfId="4243"/>
    <cellStyle name="Normal 4 3 3 2 2 3 4 2" xfId="16547"/>
    <cellStyle name="Normal 4 3 3 2 2 3 4 2 2" xfId="39406"/>
    <cellStyle name="Normal 4 3 3 2 2 3 4 3" xfId="27104"/>
    <cellStyle name="Normal 4 3 3 2 2 3 5" xfId="7758"/>
    <cellStyle name="Normal 4 3 3 2 2 3 5 2" xfId="20062"/>
    <cellStyle name="Normal 4 3 3 2 2 3 5 2 2" xfId="42921"/>
    <cellStyle name="Normal 4 3 3 2 2 3 5 3" xfId="30619"/>
    <cellStyle name="Normal 4 3 3 2 2 3 6" xfId="11273"/>
    <cellStyle name="Normal 4 3 3 2 2 3 6 2" xfId="34133"/>
    <cellStyle name="Normal 4 3 3 2 2 3 7" xfId="13032"/>
    <cellStyle name="Normal 4 3 3 2 2 3 7 2" xfId="35891"/>
    <cellStyle name="Normal 4 3 3 2 2 3 8" xfId="23588"/>
    <cellStyle name="Normal 4 3 3 2 2 4" xfId="1164"/>
    <cellStyle name="Normal 4 3 3 2 2 4 2" xfId="2925"/>
    <cellStyle name="Normal 4 3 3 2 2 4 2 2" xfId="6440"/>
    <cellStyle name="Normal 4 3 3 2 2 4 2 2 2" xfId="18744"/>
    <cellStyle name="Normal 4 3 3 2 2 4 2 2 2 2" xfId="41603"/>
    <cellStyle name="Normal 4 3 3 2 2 4 2 2 3" xfId="29301"/>
    <cellStyle name="Normal 4 3 3 2 2 4 2 3" xfId="9955"/>
    <cellStyle name="Normal 4 3 3 2 2 4 2 3 2" xfId="22259"/>
    <cellStyle name="Normal 4 3 3 2 2 4 2 3 2 2" xfId="45118"/>
    <cellStyle name="Normal 4 3 3 2 2 4 2 3 3" xfId="32816"/>
    <cellStyle name="Normal 4 3 3 2 2 4 2 4" xfId="15229"/>
    <cellStyle name="Normal 4 3 3 2 2 4 2 4 2" xfId="38088"/>
    <cellStyle name="Normal 4 3 3 2 2 4 2 5" xfId="25786"/>
    <cellStyle name="Normal 4 3 3 2 2 4 3" xfId="4682"/>
    <cellStyle name="Normal 4 3 3 2 2 4 3 2" xfId="16986"/>
    <cellStyle name="Normal 4 3 3 2 2 4 3 2 2" xfId="39845"/>
    <cellStyle name="Normal 4 3 3 2 2 4 3 3" xfId="27543"/>
    <cellStyle name="Normal 4 3 3 2 2 4 4" xfId="8197"/>
    <cellStyle name="Normal 4 3 3 2 2 4 4 2" xfId="20501"/>
    <cellStyle name="Normal 4 3 3 2 2 4 4 2 2" xfId="43360"/>
    <cellStyle name="Normal 4 3 3 2 2 4 4 3" xfId="31058"/>
    <cellStyle name="Normal 4 3 3 2 2 4 5" xfId="11712"/>
    <cellStyle name="Normal 4 3 3 2 2 4 5 2" xfId="34572"/>
    <cellStyle name="Normal 4 3 3 2 2 4 6" xfId="13471"/>
    <cellStyle name="Normal 4 3 3 2 2 4 6 2" xfId="36330"/>
    <cellStyle name="Normal 4 3 3 2 2 4 7" xfId="24027"/>
    <cellStyle name="Normal 4 3 3 2 2 5" xfId="2047"/>
    <cellStyle name="Normal 4 3 3 2 2 5 2" xfId="5562"/>
    <cellStyle name="Normal 4 3 3 2 2 5 2 2" xfId="17866"/>
    <cellStyle name="Normal 4 3 3 2 2 5 2 2 2" xfId="40725"/>
    <cellStyle name="Normal 4 3 3 2 2 5 2 3" xfId="28423"/>
    <cellStyle name="Normal 4 3 3 2 2 5 3" xfId="9077"/>
    <cellStyle name="Normal 4 3 3 2 2 5 3 2" xfId="21381"/>
    <cellStyle name="Normal 4 3 3 2 2 5 3 2 2" xfId="44240"/>
    <cellStyle name="Normal 4 3 3 2 2 5 3 3" xfId="31938"/>
    <cellStyle name="Normal 4 3 3 2 2 5 4" xfId="14351"/>
    <cellStyle name="Normal 4 3 3 2 2 5 4 2" xfId="37210"/>
    <cellStyle name="Normal 4 3 3 2 2 5 5" xfId="24908"/>
    <cellStyle name="Normal 4 3 3 2 2 6" xfId="3804"/>
    <cellStyle name="Normal 4 3 3 2 2 6 2" xfId="16108"/>
    <cellStyle name="Normal 4 3 3 2 2 6 2 2" xfId="38967"/>
    <cellStyle name="Normal 4 3 3 2 2 6 3" xfId="26665"/>
    <cellStyle name="Normal 4 3 3 2 2 7" xfId="7319"/>
    <cellStyle name="Normal 4 3 3 2 2 7 2" xfId="19623"/>
    <cellStyle name="Normal 4 3 3 2 2 7 2 2" xfId="42482"/>
    <cellStyle name="Normal 4 3 3 2 2 7 3" xfId="30180"/>
    <cellStyle name="Normal 4 3 3 2 2 8" xfId="10834"/>
    <cellStyle name="Normal 4 3 3 2 2 8 2" xfId="33694"/>
    <cellStyle name="Normal 4 3 3 2 2 9" xfId="12593"/>
    <cellStyle name="Normal 4 3 3 2 2 9 2" xfId="35452"/>
    <cellStyle name="Normal 4 3 3 2 3" xfId="389"/>
    <cellStyle name="Normal 4 3 3 2 3 2" xfId="830"/>
    <cellStyle name="Normal 4 3 3 2 3 2 2" xfId="1709"/>
    <cellStyle name="Normal 4 3 3 2 3 2 2 2" xfId="3470"/>
    <cellStyle name="Normal 4 3 3 2 3 2 2 2 2" xfId="6985"/>
    <cellStyle name="Normal 4 3 3 2 3 2 2 2 2 2" xfId="19289"/>
    <cellStyle name="Normal 4 3 3 2 3 2 2 2 2 2 2" xfId="42148"/>
    <cellStyle name="Normal 4 3 3 2 3 2 2 2 2 3" xfId="29846"/>
    <cellStyle name="Normal 4 3 3 2 3 2 2 2 3" xfId="10500"/>
    <cellStyle name="Normal 4 3 3 2 3 2 2 2 3 2" xfId="22804"/>
    <cellStyle name="Normal 4 3 3 2 3 2 2 2 3 2 2" xfId="45663"/>
    <cellStyle name="Normal 4 3 3 2 3 2 2 2 3 3" xfId="33361"/>
    <cellStyle name="Normal 4 3 3 2 3 2 2 2 4" xfId="15774"/>
    <cellStyle name="Normal 4 3 3 2 3 2 2 2 4 2" xfId="38633"/>
    <cellStyle name="Normal 4 3 3 2 3 2 2 2 5" xfId="26331"/>
    <cellStyle name="Normal 4 3 3 2 3 2 2 3" xfId="5227"/>
    <cellStyle name="Normal 4 3 3 2 3 2 2 3 2" xfId="17531"/>
    <cellStyle name="Normal 4 3 3 2 3 2 2 3 2 2" xfId="40390"/>
    <cellStyle name="Normal 4 3 3 2 3 2 2 3 3" xfId="28088"/>
    <cellStyle name="Normal 4 3 3 2 3 2 2 4" xfId="8742"/>
    <cellStyle name="Normal 4 3 3 2 3 2 2 4 2" xfId="21046"/>
    <cellStyle name="Normal 4 3 3 2 3 2 2 4 2 2" xfId="43905"/>
    <cellStyle name="Normal 4 3 3 2 3 2 2 4 3" xfId="31603"/>
    <cellStyle name="Normal 4 3 3 2 3 2 2 5" xfId="12257"/>
    <cellStyle name="Normal 4 3 3 2 3 2 2 5 2" xfId="35117"/>
    <cellStyle name="Normal 4 3 3 2 3 2 2 6" xfId="14016"/>
    <cellStyle name="Normal 4 3 3 2 3 2 2 6 2" xfId="36875"/>
    <cellStyle name="Normal 4 3 3 2 3 2 2 7" xfId="24572"/>
    <cellStyle name="Normal 4 3 3 2 3 2 3" xfId="2592"/>
    <cellStyle name="Normal 4 3 3 2 3 2 3 2" xfId="6107"/>
    <cellStyle name="Normal 4 3 3 2 3 2 3 2 2" xfId="18411"/>
    <cellStyle name="Normal 4 3 3 2 3 2 3 2 2 2" xfId="41270"/>
    <cellStyle name="Normal 4 3 3 2 3 2 3 2 3" xfId="28968"/>
    <cellStyle name="Normal 4 3 3 2 3 2 3 3" xfId="9622"/>
    <cellStyle name="Normal 4 3 3 2 3 2 3 3 2" xfId="21926"/>
    <cellStyle name="Normal 4 3 3 2 3 2 3 3 2 2" xfId="44785"/>
    <cellStyle name="Normal 4 3 3 2 3 2 3 3 3" xfId="32483"/>
    <cellStyle name="Normal 4 3 3 2 3 2 3 4" xfId="14896"/>
    <cellStyle name="Normal 4 3 3 2 3 2 3 4 2" xfId="37755"/>
    <cellStyle name="Normal 4 3 3 2 3 2 3 5" xfId="25453"/>
    <cellStyle name="Normal 4 3 3 2 3 2 4" xfId="4349"/>
    <cellStyle name="Normal 4 3 3 2 3 2 4 2" xfId="16653"/>
    <cellStyle name="Normal 4 3 3 2 3 2 4 2 2" xfId="39512"/>
    <cellStyle name="Normal 4 3 3 2 3 2 4 3" xfId="27210"/>
    <cellStyle name="Normal 4 3 3 2 3 2 5" xfId="7864"/>
    <cellStyle name="Normal 4 3 3 2 3 2 5 2" xfId="20168"/>
    <cellStyle name="Normal 4 3 3 2 3 2 5 2 2" xfId="43027"/>
    <cellStyle name="Normal 4 3 3 2 3 2 5 3" xfId="30725"/>
    <cellStyle name="Normal 4 3 3 2 3 2 6" xfId="11379"/>
    <cellStyle name="Normal 4 3 3 2 3 2 6 2" xfId="34239"/>
    <cellStyle name="Normal 4 3 3 2 3 2 7" xfId="13138"/>
    <cellStyle name="Normal 4 3 3 2 3 2 7 2" xfId="35997"/>
    <cellStyle name="Normal 4 3 3 2 3 2 8" xfId="23694"/>
    <cellStyle name="Normal 4 3 3 2 3 3" xfId="1270"/>
    <cellStyle name="Normal 4 3 3 2 3 3 2" xfId="3031"/>
    <cellStyle name="Normal 4 3 3 2 3 3 2 2" xfId="6546"/>
    <cellStyle name="Normal 4 3 3 2 3 3 2 2 2" xfId="18850"/>
    <cellStyle name="Normal 4 3 3 2 3 3 2 2 2 2" xfId="41709"/>
    <cellStyle name="Normal 4 3 3 2 3 3 2 2 3" xfId="29407"/>
    <cellStyle name="Normal 4 3 3 2 3 3 2 3" xfId="10061"/>
    <cellStyle name="Normal 4 3 3 2 3 3 2 3 2" xfId="22365"/>
    <cellStyle name="Normal 4 3 3 2 3 3 2 3 2 2" xfId="45224"/>
    <cellStyle name="Normal 4 3 3 2 3 3 2 3 3" xfId="32922"/>
    <cellStyle name="Normal 4 3 3 2 3 3 2 4" xfId="15335"/>
    <cellStyle name="Normal 4 3 3 2 3 3 2 4 2" xfId="38194"/>
    <cellStyle name="Normal 4 3 3 2 3 3 2 5" xfId="25892"/>
    <cellStyle name="Normal 4 3 3 2 3 3 3" xfId="4788"/>
    <cellStyle name="Normal 4 3 3 2 3 3 3 2" xfId="17092"/>
    <cellStyle name="Normal 4 3 3 2 3 3 3 2 2" xfId="39951"/>
    <cellStyle name="Normal 4 3 3 2 3 3 3 3" xfId="27649"/>
    <cellStyle name="Normal 4 3 3 2 3 3 4" xfId="8303"/>
    <cellStyle name="Normal 4 3 3 2 3 3 4 2" xfId="20607"/>
    <cellStyle name="Normal 4 3 3 2 3 3 4 2 2" xfId="43466"/>
    <cellStyle name="Normal 4 3 3 2 3 3 4 3" xfId="31164"/>
    <cellStyle name="Normal 4 3 3 2 3 3 5" xfId="11818"/>
    <cellStyle name="Normal 4 3 3 2 3 3 5 2" xfId="34678"/>
    <cellStyle name="Normal 4 3 3 2 3 3 6" xfId="13577"/>
    <cellStyle name="Normal 4 3 3 2 3 3 6 2" xfId="36436"/>
    <cellStyle name="Normal 4 3 3 2 3 3 7" xfId="24133"/>
    <cellStyle name="Normal 4 3 3 2 3 4" xfId="2153"/>
    <cellStyle name="Normal 4 3 3 2 3 4 2" xfId="5668"/>
    <cellStyle name="Normal 4 3 3 2 3 4 2 2" xfId="17972"/>
    <cellStyle name="Normal 4 3 3 2 3 4 2 2 2" xfId="40831"/>
    <cellStyle name="Normal 4 3 3 2 3 4 2 3" xfId="28529"/>
    <cellStyle name="Normal 4 3 3 2 3 4 3" xfId="9183"/>
    <cellStyle name="Normal 4 3 3 2 3 4 3 2" xfId="21487"/>
    <cellStyle name="Normal 4 3 3 2 3 4 3 2 2" xfId="44346"/>
    <cellStyle name="Normal 4 3 3 2 3 4 3 3" xfId="32044"/>
    <cellStyle name="Normal 4 3 3 2 3 4 4" xfId="14457"/>
    <cellStyle name="Normal 4 3 3 2 3 4 4 2" xfId="37316"/>
    <cellStyle name="Normal 4 3 3 2 3 4 5" xfId="25014"/>
    <cellStyle name="Normal 4 3 3 2 3 5" xfId="3910"/>
    <cellStyle name="Normal 4 3 3 2 3 5 2" xfId="16214"/>
    <cellStyle name="Normal 4 3 3 2 3 5 2 2" xfId="39073"/>
    <cellStyle name="Normal 4 3 3 2 3 5 3" xfId="26771"/>
    <cellStyle name="Normal 4 3 3 2 3 6" xfId="7425"/>
    <cellStyle name="Normal 4 3 3 2 3 6 2" xfId="19729"/>
    <cellStyle name="Normal 4 3 3 2 3 6 2 2" xfId="42588"/>
    <cellStyle name="Normal 4 3 3 2 3 6 3" xfId="30286"/>
    <cellStyle name="Normal 4 3 3 2 3 7" xfId="10940"/>
    <cellStyle name="Normal 4 3 3 2 3 7 2" xfId="33800"/>
    <cellStyle name="Normal 4 3 3 2 3 8" xfId="12699"/>
    <cellStyle name="Normal 4 3 3 2 3 8 2" xfId="35558"/>
    <cellStyle name="Normal 4 3 3 2 3 9" xfId="23254"/>
    <cellStyle name="Normal 4 3 3 2 4" xfId="618"/>
    <cellStyle name="Normal 4 3 3 2 4 2" xfId="1497"/>
    <cellStyle name="Normal 4 3 3 2 4 2 2" xfId="3258"/>
    <cellStyle name="Normal 4 3 3 2 4 2 2 2" xfId="6773"/>
    <cellStyle name="Normal 4 3 3 2 4 2 2 2 2" xfId="19077"/>
    <cellStyle name="Normal 4 3 3 2 4 2 2 2 2 2" xfId="41936"/>
    <cellStyle name="Normal 4 3 3 2 4 2 2 2 3" xfId="29634"/>
    <cellStyle name="Normal 4 3 3 2 4 2 2 3" xfId="10288"/>
    <cellStyle name="Normal 4 3 3 2 4 2 2 3 2" xfId="22592"/>
    <cellStyle name="Normal 4 3 3 2 4 2 2 3 2 2" xfId="45451"/>
    <cellStyle name="Normal 4 3 3 2 4 2 2 3 3" xfId="33149"/>
    <cellStyle name="Normal 4 3 3 2 4 2 2 4" xfId="15562"/>
    <cellStyle name="Normal 4 3 3 2 4 2 2 4 2" xfId="38421"/>
    <cellStyle name="Normal 4 3 3 2 4 2 2 5" xfId="26119"/>
    <cellStyle name="Normal 4 3 3 2 4 2 3" xfId="5015"/>
    <cellStyle name="Normal 4 3 3 2 4 2 3 2" xfId="17319"/>
    <cellStyle name="Normal 4 3 3 2 4 2 3 2 2" xfId="40178"/>
    <cellStyle name="Normal 4 3 3 2 4 2 3 3" xfId="27876"/>
    <cellStyle name="Normal 4 3 3 2 4 2 4" xfId="8530"/>
    <cellStyle name="Normal 4 3 3 2 4 2 4 2" xfId="20834"/>
    <cellStyle name="Normal 4 3 3 2 4 2 4 2 2" xfId="43693"/>
    <cellStyle name="Normal 4 3 3 2 4 2 4 3" xfId="31391"/>
    <cellStyle name="Normal 4 3 3 2 4 2 5" xfId="12045"/>
    <cellStyle name="Normal 4 3 3 2 4 2 5 2" xfId="34905"/>
    <cellStyle name="Normal 4 3 3 2 4 2 6" xfId="13804"/>
    <cellStyle name="Normal 4 3 3 2 4 2 6 2" xfId="36663"/>
    <cellStyle name="Normal 4 3 3 2 4 2 7" xfId="24360"/>
    <cellStyle name="Normal 4 3 3 2 4 3" xfId="2380"/>
    <cellStyle name="Normal 4 3 3 2 4 3 2" xfId="5895"/>
    <cellStyle name="Normal 4 3 3 2 4 3 2 2" xfId="18199"/>
    <cellStyle name="Normal 4 3 3 2 4 3 2 2 2" xfId="41058"/>
    <cellStyle name="Normal 4 3 3 2 4 3 2 3" xfId="28756"/>
    <cellStyle name="Normal 4 3 3 2 4 3 3" xfId="9410"/>
    <cellStyle name="Normal 4 3 3 2 4 3 3 2" xfId="21714"/>
    <cellStyle name="Normal 4 3 3 2 4 3 3 2 2" xfId="44573"/>
    <cellStyle name="Normal 4 3 3 2 4 3 3 3" xfId="32271"/>
    <cellStyle name="Normal 4 3 3 2 4 3 4" xfId="14684"/>
    <cellStyle name="Normal 4 3 3 2 4 3 4 2" xfId="37543"/>
    <cellStyle name="Normal 4 3 3 2 4 3 5" xfId="25241"/>
    <cellStyle name="Normal 4 3 3 2 4 4" xfId="4137"/>
    <cellStyle name="Normal 4 3 3 2 4 4 2" xfId="16441"/>
    <cellStyle name="Normal 4 3 3 2 4 4 2 2" xfId="39300"/>
    <cellStyle name="Normal 4 3 3 2 4 4 3" xfId="26998"/>
    <cellStyle name="Normal 4 3 3 2 4 5" xfId="7652"/>
    <cellStyle name="Normal 4 3 3 2 4 5 2" xfId="19956"/>
    <cellStyle name="Normal 4 3 3 2 4 5 2 2" xfId="42815"/>
    <cellStyle name="Normal 4 3 3 2 4 5 3" xfId="30513"/>
    <cellStyle name="Normal 4 3 3 2 4 6" xfId="11167"/>
    <cellStyle name="Normal 4 3 3 2 4 6 2" xfId="34027"/>
    <cellStyle name="Normal 4 3 3 2 4 7" xfId="12926"/>
    <cellStyle name="Normal 4 3 3 2 4 7 2" xfId="35785"/>
    <cellStyle name="Normal 4 3 3 2 4 8" xfId="23482"/>
    <cellStyle name="Normal 4 3 3 2 5" xfId="1058"/>
    <cellStyle name="Normal 4 3 3 2 5 2" xfId="2819"/>
    <cellStyle name="Normal 4 3 3 2 5 2 2" xfId="6334"/>
    <cellStyle name="Normal 4 3 3 2 5 2 2 2" xfId="18638"/>
    <cellStyle name="Normal 4 3 3 2 5 2 2 2 2" xfId="41497"/>
    <cellStyle name="Normal 4 3 3 2 5 2 2 3" xfId="29195"/>
    <cellStyle name="Normal 4 3 3 2 5 2 3" xfId="9849"/>
    <cellStyle name="Normal 4 3 3 2 5 2 3 2" xfId="22153"/>
    <cellStyle name="Normal 4 3 3 2 5 2 3 2 2" xfId="45012"/>
    <cellStyle name="Normal 4 3 3 2 5 2 3 3" xfId="32710"/>
    <cellStyle name="Normal 4 3 3 2 5 2 4" xfId="15123"/>
    <cellStyle name="Normal 4 3 3 2 5 2 4 2" xfId="37982"/>
    <cellStyle name="Normal 4 3 3 2 5 2 5" xfId="25680"/>
    <cellStyle name="Normal 4 3 3 2 5 3" xfId="4576"/>
    <cellStyle name="Normal 4 3 3 2 5 3 2" xfId="16880"/>
    <cellStyle name="Normal 4 3 3 2 5 3 2 2" xfId="39739"/>
    <cellStyle name="Normal 4 3 3 2 5 3 3" xfId="27437"/>
    <cellStyle name="Normal 4 3 3 2 5 4" xfId="8091"/>
    <cellStyle name="Normal 4 3 3 2 5 4 2" xfId="20395"/>
    <cellStyle name="Normal 4 3 3 2 5 4 2 2" xfId="43254"/>
    <cellStyle name="Normal 4 3 3 2 5 4 3" xfId="30952"/>
    <cellStyle name="Normal 4 3 3 2 5 5" xfId="11606"/>
    <cellStyle name="Normal 4 3 3 2 5 5 2" xfId="34466"/>
    <cellStyle name="Normal 4 3 3 2 5 6" xfId="13365"/>
    <cellStyle name="Normal 4 3 3 2 5 6 2" xfId="36224"/>
    <cellStyle name="Normal 4 3 3 2 5 7" xfId="23921"/>
    <cellStyle name="Normal 4 3 3 2 6" xfId="1941"/>
    <cellStyle name="Normal 4 3 3 2 6 2" xfId="5456"/>
    <cellStyle name="Normal 4 3 3 2 6 2 2" xfId="17760"/>
    <cellStyle name="Normal 4 3 3 2 6 2 2 2" xfId="40619"/>
    <cellStyle name="Normal 4 3 3 2 6 2 3" xfId="28317"/>
    <cellStyle name="Normal 4 3 3 2 6 3" xfId="8971"/>
    <cellStyle name="Normal 4 3 3 2 6 3 2" xfId="21275"/>
    <cellStyle name="Normal 4 3 3 2 6 3 2 2" xfId="44134"/>
    <cellStyle name="Normal 4 3 3 2 6 3 3" xfId="31832"/>
    <cellStyle name="Normal 4 3 3 2 6 4" xfId="14245"/>
    <cellStyle name="Normal 4 3 3 2 6 4 2" xfId="37104"/>
    <cellStyle name="Normal 4 3 3 2 6 5" xfId="24802"/>
    <cellStyle name="Normal 4 3 3 2 7" xfId="3698"/>
    <cellStyle name="Normal 4 3 3 2 7 2" xfId="16002"/>
    <cellStyle name="Normal 4 3 3 2 7 2 2" xfId="38861"/>
    <cellStyle name="Normal 4 3 3 2 7 3" xfId="26559"/>
    <cellStyle name="Normal 4 3 3 2 8" xfId="7213"/>
    <cellStyle name="Normal 4 3 3 2 8 2" xfId="19517"/>
    <cellStyle name="Normal 4 3 3 2 8 2 2" xfId="42376"/>
    <cellStyle name="Normal 4 3 3 2 8 3" xfId="30074"/>
    <cellStyle name="Normal 4 3 3 2 9" xfId="10728"/>
    <cellStyle name="Normal 4 3 3 2 9 2" xfId="33588"/>
    <cellStyle name="Normal 4 3 3 3" xfId="229"/>
    <cellStyle name="Normal 4 3 3 3 10" xfId="23094"/>
    <cellStyle name="Normal 4 3 3 3 2" xfId="441"/>
    <cellStyle name="Normal 4 3 3 3 2 2" xfId="882"/>
    <cellStyle name="Normal 4 3 3 3 2 2 2" xfId="1761"/>
    <cellStyle name="Normal 4 3 3 3 2 2 2 2" xfId="3522"/>
    <cellStyle name="Normal 4 3 3 3 2 2 2 2 2" xfId="7037"/>
    <cellStyle name="Normal 4 3 3 3 2 2 2 2 2 2" xfId="19341"/>
    <cellStyle name="Normal 4 3 3 3 2 2 2 2 2 2 2" xfId="42200"/>
    <cellStyle name="Normal 4 3 3 3 2 2 2 2 2 3" xfId="29898"/>
    <cellStyle name="Normal 4 3 3 3 2 2 2 2 3" xfId="10552"/>
    <cellStyle name="Normal 4 3 3 3 2 2 2 2 3 2" xfId="22856"/>
    <cellStyle name="Normal 4 3 3 3 2 2 2 2 3 2 2" xfId="45715"/>
    <cellStyle name="Normal 4 3 3 3 2 2 2 2 3 3" xfId="33413"/>
    <cellStyle name="Normal 4 3 3 3 2 2 2 2 4" xfId="15826"/>
    <cellStyle name="Normal 4 3 3 3 2 2 2 2 4 2" xfId="38685"/>
    <cellStyle name="Normal 4 3 3 3 2 2 2 2 5" xfId="26383"/>
    <cellStyle name="Normal 4 3 3 3 2 2 2 3" xfId="5279"/>
    <cellStyle name="Normal 4 3 3 3 2 2 2 3 2" xfId="17583"/>
    <cellStyle name="Normal 4 3 3 3 2 2 2 3 2 2" xfId="40442"/>
    <cellStyle name="Normal 4 3 3 3 2 2 2 3 3" xfId="28140"/>
    <cellStyle name="Normal 4 3 3 3 2 2 2 4" xfId="8794"/>
    <cellStyle name="Normal 4 3 3 3 2 2 2 4 2" xfId="21098"/>
    <cellStyle name="Normal 4 3 3 3 2 2 2 4 2 2" xfId="43957"/>
    <cellStyle name="Normal 4 3 3 3 2 2 2 4 3" xfId="31655"/>
    <cellStyle name="Normal 4 3 3 3 2 2 2 5" xfId="12309"/>
    <cellStyle name="Normal 4 3 3 3 2 2 2 5 2" xfId="35169"/>
    <cellStyle name="Normal 4 3 3 3 2 2 2 6" xfId="14068"/>
    <cellStyle name="Normal 4 3 3 3 2 2 2 6 2" xfId="36927"/>
    <cellStyle name="Normal 4 3 3 3 2 2 2 7" xfId="24624"/>
    <cellStyle name="Normal 4 3 3 3 2 2 3" xfId="2644"/>
    <cellStyle name="Normal 4 3 3 3 2 2 3 2" xfId="6159"/>
    <cellStyle name="Normal 4 3 3 3 2 2 3 2 2" xfId="18463"/>
    <cellStyle name="Normal 4 3 3 3 2 2 3 2 2 2" xfId="41322"/>
    <cellStyle name="Normal 4 3 3 3 2 2 3 2 3" xfId="29020"/>
    <cellStyle name="Normal 4 3 3 3 2 2 3 3" xfId="9674"/>
    <cellStyle name="Normal 4 3 3 3 2 2 3 3 2" xfId="21978"/>
    <cellStyle name="Normal 4 3 3 3 2 2 3 3 2 2" xfId="44837"/>
    <cellStyle name="Normal 4 3 3 3 2 2 3 3 3" xfId="32535"/>
    <cellStyle name="Normal 4 3 3 3 2 2 3 4" xfId="14948"/>
    <cellStyle name="Normal 4 3 3 3 2 2 3 4 2" xfId="37807"/>
    <cellStyle name="Normal 4 3 3 3 2 2 3 5" xfId="25505"/>
    <cellStyle name="Normal 4 3 3 3 2 2 4" xfId="4401"/>
    <cellStyle name="Normal 4 3 3 3 2 2 4 2" xfId="16705"/>
    <cellStyle name="Normal 4 3 3 3 2 2 4 2 2" xfId="39564"/>
    <cellStyle name="Normal 4 3 3 3 2 2 4 3" xfId="27262"/>
    <cellStyle name="Normal 4 3 3 3 2 2 5" xfId="7916"/>
    <cellStyle name="Normal 4 3 3 3 2 2 5 2" xfId="20220"/>
    <cellStyle name="Normal 4 3 3 3 2 2 5 2 2" xfId="43079"/>
    <cellStyle name="Normal 4 3 3 3 2 2 5 3" xfId="30777"/>
    <cellStyle name="Normal 4 3 3 3 2 2 6" xfId="11431"/>
    <cellStyle name="Normal 4 3 3 3 2 2 6 2" xfId="34291"/>
    <cellStyle name="Normal 4 3 3 3 2 2 7" xfId="13190"/>
    <cellStyle name="Normal 4 3 3 3 2 2 7 2" xfId="36049"/>
    <cellStyle name="Normal 4 3 3 3 2 2 8" xfId="23746"/>
    <cellStyle name="Normal 4 3 3 3 2 3" xfId="1322"/>
    <cellStyle name="Normal 4 3 3 3 2 3 2" xfId="3083"/>
    <cellStyle name="Normal 4 3 3 3 2 3 2 2" xfId="6598"/>
    <cellStyle name="Normal 4 3 3 3 2 3 2 2 2" xfId="18902"/>
    <cellStyle name="Normal 4 3 3 3 2 3 2 2 2 2" xfId="41761"/>
    <cellStyle name="Normal 4 3 3 3 2 3 2 2 3" xfId="29459"/>
    <cellStyle name="Normal 4 3 3 3 2 3 2 3" xfId="10113"/>
    <cellStyle name="Normal 4 3 3 3 2 3 2 3 2" xfId="22417"/>
    <cellStyle name="Normal 4 3 3 3 2 3 2 3 2 2" xfId="45276"/>
    <cellStyle name="Normal 4 3 3 3 2 3 2 3 3" xfId="32974"/>
    <cellStyle name="Normal 4 3 3 3 2 3 2 4" xfId="15387"/>
    <cellStyle name="Normal 4 3 3 3 2 3 2 4 2" xfId="38246"/>
    <cellStyle name="Normal 4 3 3 3 2 3 2 5" xfId="25944"/>
    <cellStyle name="Normal 4 3 3 3 2 3 3" xfId="4840"/>
    <cellStyle name="Normal 4 3 3 3 2 3 3 2" xfId="17144"/>
    <cellStyle name="Normal 4 3 3 3 2 3 3 2 2" xfId="40003"/>
    <cellStyle name="Normal 4 3 3 3 2 3 3 3" xfId="27701"/>
    <cellStyle name="Normal 4 3 3 3 2 3 4" xfId="8355"/>
    <cellStyle name="Normal 4 3 3 3 2 3 4 2" xfId="20659"/>
    <cellStyle name="Normal 4 3 3 3 2 3 4 2 2" xfId="43518"/>
    <cellStyle name="Normal 4 3 3 3 2 3 4 3" xfId="31216"/>
    <cellStyle name="Normal 4 3 3 3 2 3 5" xfId="11870"/>
    <cellStyle name="Normal 4 3 3 3 2 3 5 2" xfId="34730"/>
    <cellStyle name="Normal 4 3 3 3 2 3 6" xfId="13629"/>
    <cellStyle name="Normal 4 3 3 3 2 3 6 2" xfId="36488"/>
    <cellStyle name="Normal 4 3 3 3 2 3 7" xfId="24185"/>
    <cellStyle name="Normal 4 3 3 3 2 4" xfId="2205"/>
    <cellStyle name="Normal 4 3 3 3 2 4 2" xfId="5720"/>
    <cellStyle name="Normal 4 3 3 3 2 4 2 2" xfId="18024"/>
    <cellStyle name="Normal 4 3 3 3 2 4 2 2 2" xfId="40883"/>
    <cellStyle name="Normal 4 3 3 3 2 4 2 3" xfId="28581"/>
    <cellStyle name="Normal 4 3 3 3 2 4 3" xfId="9235"/>
    <cellStyle name="Normal 4 3 3 3 2 4 3 2" xfId="21539"/>
    <cellStyle name="Normal 4 3 3 3 2 4 3 2 2" xfId="44398"/>
    <cellStyle name="Normal 4 3 3 3 2 4 3 3" xfId="32096"/>
    <cellStyle name="Normal 4 3 3 3 2 4 4" xfId="14509"/>
    <cellStyle name="Normal 4 3 3 3 2 4 4 2" xfId="37368"/>
    <cellStyle name="Normal 4 3 3 3 2 4 5" xfId="25066"/>
    <cellStyle name="Normal 4 3 3 3 2 5" xfId="3962"/>
    <cellStyle name="Normal 4 3 3 3 2 5 2" xfId="16266"/>
    <cellStyle name="Normal 4 3 3 3 2 5 2 2" xfId="39125"/>
    <cellStyle name="Normal 4 3 3 3 2 5 3" xfId="26823"/>
    <cellStyle name="Normal 4 3 3 3 2 6" xfId="7477"/>
    <cellStyle name="Normal 4 3 3 3 2 6 2" xfId="19781"/>
    <cellStyle name="Normal 4 3 3 3 2 6 2 2" xfId="42640"/>
    <cellStyle name="Normal 4 3 3 3 2 6 3" xfId="30338"/>
    <cellStyle name="Normal 4 3 3 3 2 7" xfId="10992"/>
    <cellStyle name="Normal 4 3 3 3 2 7 2" xfId="33852"/>
    <cellStyle name="Normal 4 3 3 3 2 8" xfId="12751"/>
    <cellStyle name="Normal 4 3 3 3 2 8 2" xfId="35610"/>
    <cellStyle name="Normal 4 3 3 3 2 9" xfId="23306"/>
    <cellStyle name="Normal 4 3 3 3 3" xfId="670"/>
    <cellStyle name="Normal 4 3 3 3 3 2" xfId="1549"/>
    <cellStyle name="Normal 4 3 3 3 3 2 2" xfId="3310"/>
    <cellStyle name="Normal 4 3 3 3 3 2 2 2" xfId="6825"/>
    <cellStyle name="Normal 4 3 3 3 3 2 2 2 2" xfId="19129"/>
    <cellStyle name="Normal 4 3 3 3 3 2 2 2 2 2" xfId="41988"/>
    <cellStyle name="Normal 4 3 3 3 3 2 2 2 3" xfId="29686"/>
    <cellStyle name="Normal 4 3 3 3 3 2 2 3" xfId="10340"/>
    <cellStyle name="Normal 4 3 3 3 3 2 2 3 2" xfId="22644"/>
    <cellStyle name="Normal 4 3 3 3 3 2 2 3 2 2" xfId="45503"/>
    <cellStyle name="Normal 4 3 3 3 3 2 2 3 3" xfId="33201"/>
    <cellStyle name="Normal 4 3 3 3 3 2 2 4" xfId="15614"/>
    <cellStyle name="Normal 4 3 3 3 3 2 2 4 2" xfId="38473"/>
    <cellStyle name="Normal 4 3 3 3 3 2 2 5" xfId="26171"/>
    <cellStyle name="Normal 4 3 3 3 3 2 3" xfId="5067"/>
    <cellStyle name="Normal 4 3 3 3 3 2 3 2" xfId="17371"/>
    <cellStyle name="Normal 4 3 3 3 3 2 3 2 2" xfId="40230"/>
    <cellStyle name="Normal 4 3 3 3 3 2 3 3" xfId="27928"/>
    <cellStyle name="Normal 4 3 3 3 3 2 4" xfId="8582"/>
    <cellStyle name="Normal 4 3 3 3 3 2 4 2" xfId="20886"/>
    <cellStyle name="Normal 4 3 3 3 3 2 4 2 2" xfId="43745"/>
    <cellStyle name="Normal 4 3 3 3 3 2 4 3" xfId="31443"/>
    <cellStyle name="Normal 4 3 3 3 3 2 5" xfId="12097"/>
    <cellStyle name="Normal 4 3 3 3 3 2 5 2" xfId="34957"/>
    <cellStyle name="Normal 4 3 3 3 3 2 6" xfId="13856"/>
    <cellStyle name="Normal 4 3 3 3 3 2 6 2" xfId="36715"/>
    <cellStyle name="Normal 4 3 3 3 3 2 7" xfId="24412"/>
    <cellStyle name="Normal 4 3 3 3 3 3" xfId="2432"/>
    <cellStyle name="Normal 4 3 3 3 3 3 2" xfId="5947"/>
    <cellStyle name="Normal 4 3 3 3 3 3 2 2" xfId="18251"/>
    <cellStyle name="Normal 4 3 3 3 3 3 2 2 2" xfId="41110"/>
    <cellStyle name="Normal 4 3 3 3 3 3 2 3" xfId="28808"/>
    <cellStyle name="Normal 4 3 3 3 3 3 3" xfId="9462"/>
    <cellStyle name="Normal 4 3 3 3 3 3 3 2" xfId="21766"/>
    <cellStyle name="Normal 4 3 3 3 3 3 3 2 2" xfId="44625"/>
    <cellStyle name="Normal 4 3 3 3 3 3 3 3" xfId="32323"/>
    <cellStyle name="Normal 4 3 3 3 3 3 4" xfId="14736"/>
    <cellStyle name="Normal 4 3 3 3 3 3 4 2" xfId="37595"/>
    <cellStyle name="Normal 4 3 3 3 3 3 5" xfId="25293"/>
    <cellStyle name="Normal 4 3 3 3 3 4" xfId="4189"/>
    <cellStyle name="Normal 4 3 3 3 3 4 2" xfId="16493"/>
    <cellStyle name="Normal 4 3 3 3 3 4 2 2" xfId="39352"/>
    <cellStyle name="Normal 4 3 3 3 3 4 3" xfId="27050"/>
    <cellStyle name="Normal 4 3 3 3 3 5" xfId="7704"/>
    <cellStyle name="Normal 4 3 3 3 3 5 2" xfId="20008"/>
    <cellStyle name="Normal 4 3 3 3 3 5 2 2" xfId="42867"/>
    <cellStyle name="Normal 4 3 3 3 3 5 3" xfId="30565"/>
    <cellStyle name="Normal 4 3 3 3 3 6" xfId="11219"/>
    <cellStyle name="Normal 4 3 3 3 3 6 2" xfId="34079"/>
    <cellStyle name="Normal 4 3 3 3 3 7" xfId="12978"/>
    <cellStyle name="Normal 4 3 3 3 3 7 2" xfId="35837"/>
    <cellStyle name="Normal 4 3 3 3 3 8" xfId="23534"/>
    <cellStyle name="Normal 4 3 3 3 4" xfId="1110"/>
    <cellStyle name="Normal 4 3 3 3 4 2" xfId="2871"/>
    <cellStyle name="Normal 4 3 3 3 4 2 2" xfId="6386"/>
    <cellStyle name="Normal 4 3 3 3 4 2 2 2" xfId="18690"/>
    <cellStyle name="Normal 4 3 3 3 4 2 2 2 2" xfId="41549"/>
    <cellStyle name="Normal 4 3 3 3 4 2 2 3" xfId="29247"/>
    <cellStyle name="Normal 4 3 3 3 4 2 3" xfId="9901"/>
    <cellStyle name="Normal 4 3 3 3 4 2 3 2" xfId="22205"/>
    <cellStyle name="Normal 4 3 3 3 4 2 3 2 2" xfId="45064"/>
    <cellStyle name="Normal 4 3 3 3 4 2 3 3" xfId="32762"/>
    <cellStyle name="Normal 4 3 3 3 4 2 4" xfId="15175"/>
    <cellStyle name="Normal 4 3 3 3 4 2 4 2" xfId="38034"/>
    <cellStyle name="Normal 4 3 3 3 4 2 5" xfId="25732"/>
    <cellStyle name="Normal 4 3 3 3 4 3" xfId="4628"/>
    <cellStyle name="Normal 4 3 3 3 4 3 2" xfId="16932"/>
    <cellStyle name="Normal 4 3 3 3 4 3 2 2" xfId="39791"/>
    <cellStyle name="Normal 4 3 3 3 4 3 3" xfId="27489"/>
    <cellStyle name="Normal 4 3 3 3 4 4" xfId="8143"/>
    <cellStyle name="Normal 4 3 3 3 4 4 2" xfId="20447"/>
    <cellStyle name="Normal 4 3 3 3 4 4 2 2" xfId="43306"/>
    <cellStyle name="Normal 4 3 3 3 4 4 3" xfId="31004"/>
    <cellStyle name="Normal 4 3 3 3 4 5" xfId="11658"/>
    <cellStyle name="Normal 4 3 3 3 4 5 2" xfId="34518"/>
    <cellStyle name="Normal 4 3 3 3 4 6" xfId="13417"/>
    <cellStyle name="Normal 4 3 3 3 4 6 2" xfId="36276"/>
    <cellStyle name="Normal 4 3 3 3 4 7" xfId="23973"/>
    <cellStyle name="Normal 4 3 3 3 5" xfId="1993"/>
    <cellStyle name="Normal 4 3 3 3 5 2" xfId="5508"/>
    <cellStyle name="Normal 4 3 3 3 5 2 2" xfId="17812"/>
    <cellStyle name="Normal 4 3 3 3 5 2 2 2" xfId="40671"/>
    <cellStyle name="Normal 4 3 3 3 5 2 3" xfId="28369"/>
    <cellStyle name="Normal 4 3 3 3 5 3" xfId="9023"/>
    <cellStyle name="Normal 4 3 3 3 5 3 2" xfId="21327"/>
    <cellStyle name="Normal 4 3 3 3 5 3 2 2" xfId="44186"/>
    <cellStyle name="Normal 4 3 3 3 5 3 3" xfId="31884"/>
    <cellStyle name="Normal 4 3 3 3 5 4" xfId="14297"/>
    <cellStyle name="Normal 4 3 3 3 5 4 2" xfId="37156"/>
    <cellStyle name="Normal 4 3 3 3 5 5" xfId="24854"/>
    <cellStyle name="Normal 4 3 3 3 6" xfId="3750"/>
    <cellStyle name="Normal 4 3 3 3 6 2" xfId="16054"/>
    <cellStyle name="Normal 4 3 3 3 6 2 2" xfId="38913"/>
    <cellStyle name="Normal 4 3 3 3 6 3" xfId="26611"/>
    <cellStyle name="Normal 4 3 3 3 7" xfId="7265"/>
    <cellStyle name="Normal 4 3 3 3 7 2" xfId="19569"/>
    <cellStyle name="Normal 4 3 3 3 7 2 2" xfId="42428"/>
    <cellStyle name="Normal 4 3 3 3 7 3" xfId="30126"/>
    <cellStyle name="Normal 4 3 3 3 8" xfId="10780"/>
    <cellStyle name="Normal 4 3 3 3 8 2" xfId="33640"/>
    <cellStyle name="Normal 4 3 3 3 9" xfId="12539"/>
    <cellStyle name="Normal 4 3 3 3 9 2" xfId="35398"/>
    <cellStyle name="Normal 4 3 3 4" xfId="335"/>
    <cellStyle name="Normal 4 3 3 4 2" xfId="776"/>
    <cellStyle name="Normal 4 3 3 4 2 2" xfId="1655"/>
    <cellStyle name="Normal 4 3 3 4 2 2 2" xfId="3416"/>
    <cellStyle name="Normal 4 3 3 4 2 2 2 2" xfId="6931"/>
    <cellStyle name="Normal 4 3 3 4 2 2 2 2 2" xfId="19235"/>
    <cellStyle name="Normal 4 3 3 4 2 2 2 2 2 2" xfId="42094"/>
    <cellStyle name="Normal 4 3 3 4 2 2 2 2 3" xfId="29792"/>
    <cellStyle name="Normal 4 3 3 4 2 2 2 3" xfId="10446"/>
    <cellStyle name="Normal 4 3 3 4 2 2 2 3 2" xfId="22750"/>
    <cellStyle name="Normal 4 3 3 4 2 2 2 3 2 2" xfId="45609"/>
    <cellStyle name="Normal 4 3 3 4 2 2 2 3 3" xfId="33307"/>
    <cellStyle name="Normal 4 3 3 4 2 2 2 4" xfId="15720"/>
    <cellStyle name="Normal 4 3 3 4 2 2 2 4 2" xfId="38579"/>
    <cellStyle name="Normal 4 3 3 4 2 2 2 5" xfId="26277"/>
    <cellStyle name="Normal 4 3 3 4 2 2 3" xfId="5173"/>
    <cellStyle name="Normal 4 3 3 4 2 2 3 2" xfId="17477"/>
    <cellStyle name="Normal 4 3 3 4 2 2 3 2 2" xfId="40336"/>
    <cellStyle name="Normal 4 3 3 4 2 2 3 3" xfId="28034"/>
    <cellStyle name="Normal 4 3 3 4 2 2 4" xfId="8688"/>
    <cellStyle name="Normal 4 3 3 4 2 2 4 2" xfId="20992"/>
    <cellStyle name="Normal 4 3 3 4 2 2 4 2 2" xfId="43851"/>
    <cellStyle name="Normal 4 3 3 4 2 2 4 3" xfId="31549"/>
    <cellStyle name="Normal 4 3 3 4 2 2 5" xfId="12203"/>
    <cellStyle name="Normal 4 3 3 4 2 2 5 2" xfId="35063"/>
    <cellStyle name="Normal 4 3 3 4 2 2 6" xfId="13962"/>
    <cellStyle name="Normal 4 3 3 4 2 2 6 2" xfId="36821"/>
    <cellStyle name="Normal 4 3 3 4 2 2 7" xfId="24518"/>
    <cellStyle name="Normal 4 3 3 4 2 3" xfId="2538"/>
    <cellStyle name="Normal 4 3 3 4 2 3 2" xfId="6053"/>
    <cellStyle name="Normal 4 3 3 4 2 3 2 2" xfId="18357"/>
    <cellStyle name="Normal 4 3 3 4 2 3 2 2 2" xfId="41216"/>
    <cellStyle name="Normal 4 3 3 4 2 3 2 3" xfId="28914"/>
    <cellStyle name="Normal 4 3 3 4 2 3 3" xfId="9568"/>
    <cellStyle name="Normal 4 3 3 4 2 3 3 2" xfId="21872"/>
    <cellStyle name="Normal 4 3 3 4 2 3 3 2 2" xfId="44731"/>
    <cellStyle name="Normal 4 3 3 4 2 3 3 3" xfId="32429"/>
    <cellStyle name="Normal 4 3 3 4 2 3 4" xfId="14842"/>
    <cellStyle name="Normal 4 3 3 4 2 3 4 2" xfId="37701"/>
    <cellStyle name="Normal 4 3 3 4 2 3 5" xfId="25399"/>
    <cellStyle name="Normal 4 3 3 4 2 4" xfId="4295"/>
    <cellStyle name="Normal 4 3 3 4 2 4 2" xfId="16599"/>
    <cellStyle name="Normal 4 3 3 4 2 4 2 2" xfId="39458"/>
    <cellStyle name="Normal 4 3 3 4 2 4 3" xfId="27156"/>
    <cellStyle name="Normal 4 3 3 4 2 5" xfId="7810"/>
    <cellStyle name="Normal 4 3 3 4 2 5 2" xfId="20114"/>
    <cellStyle name="Normal 4 3 3 4 2 5 2 2" xfId="42973"/>
    <cellStyle name="Normal 4 3 3 4 2 5 3" xfId="30671"/>
    <cellStyle name="Normal 4 3 3 4 2 6" xfId="11325"/>
    <cellStyle name="Normal 4 3 3 4 2 6 2" xfId="34185"/>
    <cellStyle name="Normal 4 3 3 4 2 7" xfId="13084"/>
    <cellStyle name="Normal 4 3 3 4 2 7 2" xfId="35943"/>
    <cellStyle name="Normal 4 3 3 4 2 8" xfId="23640"/>
    <cellStyle name="Normal 4 3 3 4 3" xfId="1216"/>
    <cellStyle name="Normal 4 3 3 4 3 2" xfId="2977"/>
    <cellStyle name="Normal 4 3 3 4 3 2 2" xfId="6492"/>
    <cellStyle name="Normal 4 3 3 4 3 2 2 2" xfId="18796"/>
    <cellStyle name="Normal 4 3 3 4 3 2 2 2 2" xfId="41655"/>
    <cellStyle name="Normal 4 3 3 4 3 2 2 3" xfId="29353"/>
    <cellStyle name="Normal 4 3 3 4 3 2 3" xfId="10007"/>
    <cellStyle name="Normal 4 3 3 4 3 2 3 2" xfId="22311"/>
    <cellStyle name="Normal 4 3 3 4 3 2 3 2 2" xfId="45170"/>
    <cellStyle name="Normal 4 3 3 4 3 2 3 3" xfId="32868"/>
    <cellStyle name="Normal 4 3 3 4 3 2 4" xfId="15281"/>
    <cellStyle name="Normal 4 3 3 4 3 2 4 2" xfId="38140"/>
    <cellStyle name="Normal 4 3 3 4 3 2 5" xfId="25838"/>
    <cellStyle name="Normal 4 3 3 4 3 3" xfId="4734"/>
    <cellStyle name="Normal 4 3 3 4 3 3 2" xfId="17038"/>
    <cellStyle name="Normal 4 3 3 4 3 3 2 2" xfId="39897"/>
    <cellStyle name="Normal 4 3 3 4 3 3 3" xfId="27595"/>
    <cellStyle name="Normal 4 3 3 4 3 4" xfId="8249"/>
    <cellStyle name="Normal 4 3 3 4 3 4 2" xfId="20553"/>
    <cellStyle name="Normal 4 3 3 4 3 4 2 2" xfId="43412"/>
    <cellStyle name="Normal 4 3 3 4 3 4 3" xfId="31110"/>
    <cellStyle name="Normal 4 3 3 4 3 5" xfId="11764"/>
    <cellStyle name="Normal 4 3 3 4 3 5 2" xfId="34624"/>
    <cellStyle name="Normal 4 3 3 4 3 6" xfId="13523"/>
    <cellStyle name="Normal 4 3 3 4 3 6 2" xfId="36382"/>
    <cellStyle name="Normal 4 3 3 4 3 7" xfId="24079"/>
    <cellStyle name="Normal 4 3 3 4 4" xfId="2099"/>
    <cellStyle name="Normal 4 3 3 4 4 2" xfId="5614"/>
    <cellStyle name="Normal 4 3 3 4 4 2 2" xfId="17918"/>
    <cellStyle name="Normal 4 3 3 4 4 2 2 2" xfId="40777"/>
    <cellStyle name="Normal 4 3 3 4 4 2 3" xfId="28475"/>
    <cellStyle name="Normal 4 3 3 4 4 3" xfId="9129"/>
    <cellStyle name="Normal 4 3 3 4 4 3 2" xfId="21433"/>
    <cellStyle name="Normal 4 3 3 4 4 3 2 2" xfId="44292"/>
    <cellStyle name="Normal 4 3 3 4 4 3 3" xfId="31990"/>
    <cellStyle name="Normal 4 3 3 4 4 4" xfId="14403"/>
    <cellStyle name="Normal 4 3 3 4 4 4 2" xfId="37262"/>
    <cellStyle name="Normal 4 3 3 4 4 5" xfId="24960"/>
    <cellStyle name="Normal 4 3 3 4 5" xfId="3856"/>
    <cellStyle name="Normal 4 3 3 4 5 2" xfId="16160"/>
    <cellStyle name="Normal 4 3 3 4 5 2 2" xfId="39019"/>
    <cellStyle name="Normal 4 3 3 4 5 3" xfId="26717"/>
    <cellStyle name="Normal 4 3 3 4 6" xfId="7371"/>
    <cellStyle name="Normal 4 3 3 4 6 2" xfId="19675"/>
    <cellStyle name="Normal 4 3 3 4 6 2 2" xfId="42534"/>
    <cellStyle name="Normal 4 3 3 4 6 3" xfId="30232"/>
    <cellStyle name="Normal 4 3 3 4 7" xfId="10886"/>
    <cellStyle name="Normal 4 3 3 4 7 2" xfId="33746"/>
    <cellStyle name="Normal 4 3 3 4 8" xfId="12645"/>
    <cellStyle name="Normal 4 3 3 4 8 2" xfId="35504"/>
    <cellStyle name="Normal 4 3 3 4 9" xfId="23200"/>
    <cellStyle name="Normal 4 3 3 5" xfId="564"/>
    <cellStyle name="Normal 4 3 3 5 2" xfId="1443"/>
    <cellStyle name="Normal 4 3 3 5 2 2" xfId="3204"/>
    <cellStyle name="Normal 4 3 3 5 2 2 2" xfId="6719"/>
    <cellStyle name="Normal 4 3 3 5 2 2 2 2" xfId="19023"/>
    <cellStyle name="Normal 4 3 3 5 2 2 2 2 2" xfId="41882"/>
    <cellStyle name="Normal 4 3 3 5 2 2 2 3" xfId="29580"/>
    <cellStyle name="Normal 4 3 3 5 2 2 3" xfId="10234"/>
    <cellStyle name="Normal 4 3 3 5 2 2 3 2" xfId="22538"/>
    <cellStyle name="Normal 4 3 3 5 2 2 3 2 2" xfId="45397"/>
    <cellStyle name="Normal 4 3 3 5 2 2 3 3" xfId="33095"/>
    <cellStyle name="Normal 4 3 3 5 2 2 4" xfId="15508"/>
    <cellStyle name="Normal 4 3 3 5 2 2 4 2" xfId="38367"/>
    <cellStyle name="Normal 4 3 3 5 2 2 5" xfId="26065"/>
    <cellStyle name="Normal 4 3 3 5 2 3" xfId="4961"/>
    <cellStyle name="Normal 4 3 3 5 2 3 2" xfId="17265"/>
    <cellStyle name="Normal 4 3 3 5 2 3 2 2" xfId="40124"/>
    <cellStyle name="Normal 4 3 3 5 2 3 3" xfId="27822"/>
    <cellStyle name="Normal 4 3 3 5 2 4" xfId="8476"/>
    <cellStyle name="Normal 4 3 3 5 2 4 2" xfId="20780"/>
    <cellStyle name="Normal 4 3 3 5 2 4 2 2" xfId="43639"/>
    <cellStyle name="Normal 4 3 3 5 2 4 3" xfId="31337"/>
    <cellStyle name="Normal 4 3 3 5 2 5" xfId="11991"/>
    <cellStyle name="Normal 4 3 3 5 2 5 2" xfId="34851"/>
    <cellStyle name="Normal 4 3 3 5 2 6" xfId="13750"/>
    <cellStyle name="Normal 4 3 3 5 2 6 2" xfId="36609"/>
    <cellStyle name="Normal 4 3 3 5 2 7" xfId="24306"/>
    <cellStyle name="Normal 4 3 3 5 3" xfId="2326"/>
    <cellStyle name="Normal 4 3 3 5 3 2" xfId="5841"/>
    <cellStyle name="Normal 4 3 3 5 3 2 2" xfId="18145"/>
    <cellStyle name="Normal 4 3 3 5 3 2 2 2" xfId="41004"/>
    <cellStyle name="Normal 4 3 3 5 3 2 3" xfId="28702"/>
    <cellStyle name="Normal 4 3 3 5 3 3" xfId="9356"/>
    <cellStyle name="Normal 4 3 3 5 3 3 2" xfId="21660"/>
    <cellStyle name="Normal 4 3 3 5 3 3 2 2" xfId="44519"/>
    <cellStyle name="Normal 4 3 3 5 3 3 3" xfId="32217"/>
    <cellStyle name="Normal 4 3 3 5 3 4" xfId="14630"/>
    <cellStyle name="Normal 4 3 3 5 3 4 2" xfId="37489"/>
    <cellStyle name="Normal 4 3 3 5 3 5" xfId="25187"/>
    <cellStyle name="Normal 4 3 3 5 4" xfId="4083"/>
    <cellStyle name="Normal 4 3 3 5 4 2" xfId="16387"/>
    <cellStyle name="Normal 4 3 3 5 4 2 2" xfId="39246"/>
    <cellStyle name="Normal 4 3 3 5 4 3" xfId="26944"/>
    <cellStyle name="Normal 4 3 3 5 5" xfId="7598"/>
    <cellStyle name="Normal 4 3 3 5 5 2" xfId="19902"/>
    <cellStyle name="Normal 4 3 3 5 5 2 2" xfId="42761"/>
    <cellStyle name="Normal 4 3 3 5 5 3" xfId="30459"/>
    <cellStyle name="Normal 4 3 3 5 6" xfId="11113"/>
    <cellStyle name="Normal 4 3 3 5 6 2" xfId="33973"/>
    <cellStyle name="Normal 4 3 3 5 7" xfId="12872"/>
    <cellStyle name="Normal 4 3 3 5 7 2" xfId="35731"/>
    <cellStyle name="Normal 4 3 3 5 8" xfId="23428"/>
    <cellStyle name="Normal 4 3 3 6" xfId="1004"/>
    <cellStyle name="Normal 4 3 3 6 2" xfId="2765"/>
    <cellStyle name="Normal 4 3 3 6 2 2" xfId="6280"/>
    <cellStyle name="Normal 4 3 3 6 2 2 2" xfId="18584"/>
    <cellStyle name="Normal 4 3 3 6 2 2 2 2" xfId="41443"/>
    <cellStyle name="Normal 4 3 3 6 2 2 3" xfId="29141"/>
    <cellStyle name="Normal 4 3 3 6 2 3" xfId="9795"/>
    <cellStyle name="Normal 4 3 3 6 2 3 2" xfId="22099"/>
    <cellStyle name="Normal 4 3 3 6 2 3 2 2" xfId="44958"/>
    <cellStyle name="Normal 4 3 3 6 2 3 3" xfId="32656"/>
    <cellStyle name="Normal 4 3 3 6 2 4" xfId="15069"/>
    <cellStyle name="Normal 4 3 3 6 2 4 2" xfId="37928"/>
    <cellStyle name="Normal 4 3 3 6 2 5" xfId="25626"/>
    <cellStyle name="Normal 4 3 3 6 3" xfId="4522"/>
    <cellStyle name="Normal 4 3 3 6 3 2" xfId="16826"/>
    <cellStyle name="Normal 4 3 3 6 3 2 2" xfId="39685"/>
    <cellStyle name="Normal 4 3 3 6 3 3" xfId="27383"/>
    <cellStyle name="Normal 4 3 3 6 4" xfId="8037"/>
    <cellStyle name="Normal 4 3 3 6 4 2" xfId="20341"/>
    <cellStyle name="Normal 4 3 3 6 4 2 2" xfId="43200"/>
    <cellStyle name="Normal 4 3 3 6 4 3" xfId="30898"/>
    <cellStyle name="Normal 4 3 3 6 5" xfId="11552"/>
    <cellStyle name="Normal 4 3 3 6 5 2" xfId="34412"/>
    <cellStyle name="Normal 4 3 3 6 6" xfId="13311"/>
    <cellStyle name="Normal 4 3 3 6 6 2" xfId="36170"/>
    <cellStyle name="Normal 4 3 3 6 7" xfId="23867"/>
    <cellStyle name="Normal 4 3 3 7" xfId="1887"/>
    <cellStyle name="Normal 4 3 3 7 2" xfId="5402"/>
    <cellStyle name="Normal 4 3 3 7 2 2" xfId="17706"/>
    <cellStyle name="Normal 4 3 3 7 2 2 2" xfId="40565"/>
    <cellStyle name="Normal 4 3 3 7 2 3" xfId="28263"/>
    <cellStyle name="Normal 4 3 3 7 3" xfId="8917"/>
    <cellStyle name="Normal 4 3 3 7 3 2" xfId="21221"/>
    <cellStyle name="Normal 4 3 3 7 3 2 2" xfId="44080"/>
    <cellStyle name="Normal 4 3 3 7 3 3" xfId="31778"/>
    <cellStyle name="Normal 4 3 3 7 4" xfId="14191"/>
    <cellStyle name="Normal 4 3 3 7 4 2" xfId="37050"/>
    <cellStyle name="Normal 4 3 3 7 5" xfId="24748"/>
    <cellStyle name="Normal 4 3 3 8" xfId="3644"/>
    <cellStyle name="Normal 4 3 3 8 2" xfId="15948"/>
    <cellStyle name="Normal 4 3 3 8 2 2" xfId="38807"/>
    <cellStyle name="Normal 4 3 3 8 3" xfId="26505"/>
    <cellStyle name="Normal 4 3 3 9" xfId="7159"/>
    <cellStyle name="Normal 4 3 3 9 2" xfId="19463"/>
    <cellStyle name="Normal 4 3 3 9 2 2" xfId="42322"/>
    <cellStyle name="Normal 4 3 3 9 3" xfId="30020"/>
    <cellStyle name="Normal 4 3 4" xfId="150"/>
    <cellStyle name="Normal 4 3 4 10" xfId="12462"/>
    <cellStyle name="Normal 4 3 4 10 2" xfId="35321"/>
    <cellStyle name="Normal 4 3 4 11" xfId="23016"/>
    <cellStyle name="Normal 4 3 4 2" xfId="258"/>
    <cellStyle name="Normal 4 3 4 2 10" xfId="23123"/>
    <cellStyle name="Normal 4 3 4 2 2" xfId="470"/>
    <cellStyle name="Normal 4 3 4 2 2 2" xfId="911"/>
    <cellStyle name="Normal 4 3 4 2 2 2 2" xfId="1790"/>
    <cellStyle name="Normal 4 3 4 2 2 2 2 2" xfId="3551"/>
    <cellStyle name="Normal 4 3 4 2 2 2 2 2 2" xfId="7066"/>
    <cellStyle name="Normal 4 3 4 2 2 2 2 2 2 2" xfId="19370"/>
    <cellStyle name="Normal 4 3 4 2 2 2 2 2 2 2 2" xfId="42229"/>
    <cellStyle name="Normal 4 3 4 2 2 2 2 2 2 3" xfId="29927"/>
    <cellStyle name="Normal 4 3 4 2 2 2 2 2 3" xfId="10581"/>
    <cellStyle name="Normal 4 3 4 2 2 2 2 2 3 2" xfId="22885"/>
    <cellStyle name="Normal 4 3 4 2 2 2 2 2 3 2 2" xfId="45744"/>
    <cellStyle name="Normal 4 3 4 2 2 2 2 2 3 3" xfId="33442"/>
    <cellStyle name="Normal 4 3 4 2 2 2 2 2 4" xfId="15855"/>
    <cellStyle name="Normal 4 3 4 2 2 2 2 2 4 2" xfId="38714"/>
    <cellStyle name="Normal 4 3 4 2 2 2 2 2 5" xfId="26412"/>
    <cellStyle name="Normal 4 3 4 2 2 2 2 3" xfId="5308"/>
    <cellStyle name="Normal 4 3 4 2 2 2 2 3 2" xfId="17612"/>
    <cellStyle name="Normal 4 3 4 2 2 2 2 3 2 2" xfId="40471"/>
    <cellStyle name="Normal 4 3 4 2 2 2 2 3 3" xfId="28169"/>
    <cellStyle name="Normal 4 3 4 2 2 2 2 4" xfId="8823"/>
    <cellStyle name="Normal 4 3 4 2 2 2 2 4 2" xfId="21127"/>
    <cellStyle name="Normal 4 3 4 2 2 2 2 4 2 2" xfId="43986"/>
    <cellStyle name="Normal 4 3 4 2 2 2 2 4 3" xfId="31684"/>
    <cellStyle name="Normal 4 3 4 2 2 2 2 5" xfId="12338"/>
    <cellStyle name="Normal 4 3 4 2 2 2 2 5 2" xfId="35198"/>
    <cellStyle name="Normal 4 3 4 2 2 2 2 6" xfId="14097"/>
    <cellStyle name="Normal 4 3 4 2 2 2 2 6 2" xfId="36956"/>
    <cellStyle name="Normal 4 3 4 2 2 2 2 7" xfId="24653"/>
    <cellStyle name="Normal 4 3 4 2 2 2 3" xfId="2673"/>
    <cellStyle name="Normal 4 3 4 2 2 2 3 2" xfId="6188"/>
    <cellStyle name="Normal 4 3 4 2 2 2 3 2 2" xfId="18492"/>
    <cellStyle name="Normal 4 3 4 2 2 2 3 2 2 2" xfId="41351"/>
    <cellStyle name="Normal 4 3 4 2 2 2 3 2 3" xfId="29049"/>
    <cellStyle name="Normal 4 3 4 2 2 2 3 3" xfId="9703"/>
    <cellStyle name="Normal 4 3 4 2 2 2 3 3 2" xfId="22007"/>
    <cellStyle name="Normal 4 3 4 2 2 2 3 3 2 2" xfId="44866"/>
    <cellStyle name="Normal 4 3 4 2 2 2 3 3 3" xfId="32564"/>
    <cellStyle name="Normal 4 3 4 2 2 2 3 4" xfId="14977"/>
    <cellStyle name="Normal 4 3 4 2 2 2 3 4 2" xfId="37836"/>
    <cellStyle name="Normal 4 3 4 2 2 2 3 5" xfId="25534"/>
    <cellStyle name="Normal 4 3 4 2 2 2 4" xfId="4430"/>
    <cellStyle name="Normal 4 3 4 2 2 2 4 2" xfId="16734"/>
    <cellStyle name="Normal 4 3 4 2 2 2 4 2 2" xfId="39593"/>
    <cellStyle name="Normal 4 3 4 2 2 2 4 3" xfId="27291"/>
    <cellStyle name="Normal 4 3 4 2 2 2 5" xfId="7945"/>
    <cellStyle name="Normal 4 3 4 2 2 2 5 2" xfId="20249"/>
    <cellStyle name="Normal 4 3 4 2 2 2 5 2 2" xfId="43108"/>
    <cellStyle name="Normal 4 3 4 2 2 2 5 3" xfId="30806"/>
    <cellStyle name="Normal 4 3 4 2 2 2 6" xfId="11460"/>
    <cellStyle name="Normal 4 3 4 2 2 2 6 2" xfId="34320"/>
    <cellStyle name="Normal 4 3 4 2 2 2 7" xfId="13219"/>
    <cellStyle name="Normal 4 3 4 2 2 2 7 2" xfId="36078"/>
    <cellStyle name="Normal 4 3 4 2 2 2 8" xfId="23775"/>
    <cellStyle name="Normal 4 3 4 2 2 3" xfId="1351"/>
    <cellStyle name="Normal 4 3 4 2 2 3 2" xfId="3112"/>
    <cellStyle name="Normal 4 3 4 2 2 3 2 2" xfId="6627"/>
    <cellStyle name="Normal 4 3 4 2 2 3 2 2 2" xfId="18931"/>
    <cellStyle name="Normal 4 3 4 2 2 3 2 2 2 2" xfId="41790"/>
    <cellStyle name="Normal 4 3 4 2 2 3 2 2 3" xfId="29488"/>
    <cellStyle name="Normal 4 3 4 2 2 3 2 3" xfId="10142"/>
    <cellStyle name="Normal 4 3 4 2 2 3 2 3 2" xfId="22446"/>
    <cellStyle name="Normal 4 3 4 2 2 3 2 3 2 2" xfId="45305"/>
    <cellStyle name="Normal 4 3 4 2 2 3 2 3 3" xfId="33003"/>
    <cellStyle name="Normal 4 3 4 2 2 3 2 4" xfId="15416"/>
    <cellStyle name="Normal 4 3 4 2 2 3 2 4 2" xfId="38275"/>
    <cellStyle name="Normal 4 3 4 2 2 3 2 5" xfId="25973"/>
    <cellStyle name="Normal 4 3 4 2 2 3 3" xfId="4869"/>
    <cellStyle name="Normal 4 3 4 2 2 3 3 2" xfId="17173"/>
    <cellStyle name="Normal 4 3 4 2 2 3 3 2 2" xfId="40032"/>
    <cellStyle name="Normal 4 3 4 2 2 3 3 3" xfId="27730"/>
    <cellStyle name="Normal 4 3 4 2 2 3 4" xfId="8384"/>
    <cellStyle name="Normal 4 3 4 2 2 3 4 2" xfId="20688"/>
    <cellStyle name="Normal 4 3 4 2 2 3 4 2 2" xfId="43547"/>
    <cellStyle name="Normal 4 3 4 2 2 3 4 3" xfId="31245"/>
    <cellStyle name="Normal 4 3 4 2 2 3 5" xfId="11899"/>
    <cellStyle name="Normal 4 3 4 2 2 3 5 2" xfId="34759"/>
    <cellStyle name="Normal 4 3 4 2 2 3 6" xfId="13658"/>
    <cellStyle name="Normal 4 3 4 2 2 3 6 2" xfId="36517"/>
    <cellStyle name="Normal 4 3 4 2 2 3 7" xfId="24214"/>
    <cellStyle name="Normal 4 3 4 2 2 4" xfId="2234"/>
    <cellStyle name="Normal 4 3 4 2 2 4 2" xfId="5749"/>
    <cellStyle name="Normal 4 3 4 2 2 4 2 2" xfId="18053"/>
    <cellStyle name="Normal 4 3 4 2 2 4 2 2 2" xfId="40912"/>
    <cellStyle name="Normal 4 3 4 2 2 4 2 3" xfId="28610"/>
    <cellStyle name="Normal 4 3 4 2 2 4 3" xfId="9264"/>
    <cellStyle name="Normal 4 3 4 2 2 4 3 2" xfId="21568"/>
    <cellStyle name="Normal 4 3 4 2 2 4 3 2 2" xfId="44427"/>
    <cellStyle name="Normal 4 3 4 2 2 4 3 3" xfId="32125"/>
    <cellStyle name="Normal 4 3 4 2 2 4 4" xfId="14538"/>
    <cellStyle name="Normal 4 3 4 2 2 4 4 2" xfId="37397"/>
    <cellStyle name="Normal 4 3 4 2 2 4 5" xfId="25095"/>
    <cellStyle name="Normal 4 3 4 2 2 5" xfId="3991"/>
    <cellStyle name="Normal 4 3 4 2 2 5 2" xfId="16295"/>
    <cellStyle name="Normal 4 3 4 2 2 5 2 2" xfId="39154"/>
    <cellStyle name="Normal 4 3 4 2 2 5 3" xfId="26852"/>
    <cellStyle name="Normal 4 3 4 2 2 6" xfId="7506"/>
    <cellStyle name="Normal 4 3 4 2 2 6 2" xfId="19810"/>
    <cellStyle name="Normal 4 3 4 2 2 6 2 2" xfId="42669"/>
    <cellStyle name="Normal 4 3 4 2 2 6 3" xfId="30367"/>
    <cellStyle name="Normal 4 3 4 2 2 7" xfId="11021"/>
    <cellStyle name="Normal 4 3 4 2 2 7 2" xfId="33881"/>
    <cellStyle name="Normal 4 3 4 2 2 8" xfId="12780"/>
    <cellStyle name="Normal 4 3 4 2 2 8 2" xfId="35639"/>
    <cellStyle name="Normal 4 3 4 2 2 9" xfId="23335"/>
    <cellStyle name="Normal 4 3 4 2 3" xfId="699"/>
    <cellStyle name="Normal 4 3 4 2 3 2" xfId="1578"/>
    <cellStyle name="Normal 4 3 4 2 3 2 2" xfId="3339"/>
    <cellStyle name="Normal 4 3 4 2 3 2 2 2" xfId="6854"/>
    <cellStyle name="Normal 4 3 4 2 3 2 2 2 2" xfId="19158"/>
    <cellStyle name="Normal 4 3 4 2 3 2 2 2 2 2" xfId="42017"/>
    <cellStyle name="Normal 4 3 4 2 3 2 2 2 3" xfId="29715"/>
    <cellStyle name="Normal 4 3 4 2 3 2 2 3" xfId="10369"/>
    <cellStyle name="Normal 4 3 4 2 3 2 2 3 2" xfId="22673"/>
    <cellStyle name="Normal 4 3 4 2 3 2 2 3 2 2" xfId="45532"/>
    <cellStyle name="Normal 4 3 4 2 3 2 2 3 3" xfId="33230"/>
    <cellStyle name="Normal 4 3 4 2 3 2 2 4" xfId="15643"/>
    <cellStyle name="Normal 4 3 4 2 3 2 2 4 2" xfId="38502"/>
    <cellStyle name="Normal 4 3 4 2 3 2 2 5" xfId="26200"/>
    <cellStyle name="Normal 4 3 4 2 3 2 3" xfId="5096"/>
    <cellStyle name="Normal 4 3 4 2 3 2 3 2" xfId="17400"/>
    <cellStyle name="Normal 4 3 4 2 3 2 3 2 2" xfId="40259"/>
    <cellStyle name="Normal 4 3 4 2 3 2 3 3" xfId="27957"/>
    <cellStyle name="Normal 4 3 4 2 3 2 4" xfId="8611"/>
    <cellStyle name="Normal 4 3 4 2 3 2 4 2" xfId="20915"/>
    <cellStyle name="Normal 4 3 4 2 3 2 4 2 2" xfId="43774"/>
    <cellStyle name="Normal 4 3 4 2 3 2 4 3" xfId="31472"/>
    <cellStyle name="Normal 4 3 4 2 3 2 5" xfId="12126"/>
    <cellStyle name="Normal 4 3 4 2 3 2 5 2" xfId="34986"/>
    <cellStyle name="Normal 4 3 4 2 3 2 6" xfId="13885"/>
    <cellStyle name="Normal 4 3 4 2 3 2 6 2" xfId="36744"/>
    <cellStyle name="Normal 4 3 4 2 3 2 7" xfId="24441"/>
    <cellStyle name="Normal 4 3 4 2 3 3" xfId="2461"/>
    <cellStyle name="Normal 4 3 4 2 3 3 2" xfId="5976"/>
    <cellStyle name="Normal 4 3 4 2 3 3 2 2" xfId="18280"/>
    <cellStyle name="Normal 4 3 4 2 3 3 2 2 2" xfId="41139"/>
    <cellStyle name="Normal 4 3 4 2 3 3 2 3" xfId="28837"/>
    <cellStyle name="Normal 4 3 4 2 3 3 3" xfId="9491"/>
    <cellStyle name="Normal 4 3 4 2 3 3 3 2" xfId="21795"/>
    <cellStyle name="Normal 4 3 4 2 3 3 3 2 2" xfId="44654"/>
    <cellStyle name="Normal 4 3 4 2 3 3 3 3" xfId="32352"/>
    <cellStyle name="Normal 4 3 4 2 3 3 4" xfId="14765"/>
    <cellStyle name="Normal 4 3 4 2 3 3 4 2" xfId="37624"/>
    <cellStyle name="Normal 4 3 4 2 3 3 5" xfId="25322"/>
    <cellStyle name="Normal 4 3 4 2 3 4" xfId="4218"/>
    <cellStyle name="Normal 4 3 4 2 3 4 2" xfId="16522"/>
    <cellStyle name="Normal 4 3 4 2 3 4 2 2" xfId="39381"/>
    <cellStyle name="Normal 4 3 4 2 3 4 3" xfId="27079"/>
    <cellStyle name="Normal 4 3 4 2 3 5" xfId="7733"/>
    <cellStyle name="Normal 4 3 4 2 3 5 2" xfId="20037"/>
    <cellStyle name="Normal 4 3 4 2 3 5 2 2" xfId="42896"/>
    <cellStyle name="Normal 4 3 4 2 3 5 3" xfId="30594"/>
    <cellStyle name="Normal 4 3 4 2 3 6" xfId="11248"/>
    <cellStyle name="Normal 4 3 4 2 3 6 2" xfId="34108"/>
    <cellStyle name="Normal 4 3 4 2 3 7" xfId="13007"/>
    <cellStyle name="Normal 4 3 4 2 3 7 2" xfId="35866"/>
    <cellStyle name="Normal 4 3 4 2 3 8" xfId="23563"/>
    <cellStyle name="Normal 4 3 4 2 4" xfId="1139"/>
    <cellStyle name="Normal 4 3 4 2 4 2" xfId="2900"/>
    <cellStyle name="Normal 4 3 4 2 4 2 2" xfId="6415"/>
    <cellStyle name="Normal 4 3 4 2 4 2 2 2" xfId="18719"/>
    <cellStyle name="Normal 4 3 4 2 4 2 2 2 2" xfId="41578"/>
    <cellStyle name="Normal 4 3 4 2 4 2 2 3" xfId="29276"/>
    <cellStyle name="Normal 4 3 4 2 4 2 3" xfId="9930"/>
    <cellStyle name="Normal 4 3 4 2 4 2 3 2" xfId="22234"/>
    <cellStyle name="Normal 4 3 4 2 4 2 3 2 2" xfId="45093"/>
    <cellStyle name="Normal 4 3 4 2 4 2 3 3" xfId="32791"/>
    <cellStyle name="Normal 4 3 4 2 4 2 4" xfId="15204"/>
    <cellStyle name="Normal 4 3 4 2 4 2 4 2" xfId="38063"/>
    <cellStyle name="Normal 4 3 4 2 4 2 5" xfId="25761"/>
    <cellStyle name="Normal 4 3 4 2 4 3" xfId="4657"/>
    <cellStyle name="Normal 4 3 4 2 4 3 2" xfId="16961"/>
    <cellStyle name="Normal 4 3 4 2 4 3 2 2" xfId="39820"/>
    <cellStyle name="Normal 4 3 4 2 4 3 3" xfId="27518"/>
    <cellStyle name="Normal 4 3 4 2 4 4" xfId="8172"/>
    <cellStyle name="Normal 4 3 4 2 4 4 2" xfId="20476"/>
    <cellStyle name="Normal 4 3 4 2 4 4 2 2" xfId="43335"/>
    <cellStyle name="Normal 4 3 4 2 4 4 3" xfId="31033"/>
    <cellStyle name="Normal 4 3 4 2 4 5" xfId="11687"/>
    <cellStyle name="Normal 4 3 4 2 4 5 2" xfId="34547"/>
    <cellStyle name="Normal 4 3 4 2 4 6" xfId="13446"/>
    <cellStyle name="Normal 4 3 4 2 4 6 2" xfId="36305"/>
    <cellStyle name="Normal 4 3 4 2 4 7" xfId="24002"/>
    <cellStyle name="Normal 4 3 4 2 5" xfId="2022"/>
    <cellStyle name="Normal 4 3 4 2 5 2" xfId="5537"/>
    <cellStyle name="Normal 4 3 4 2 5 2 2" xfId="17841"/>
    <cellStyle name="Normal 4 3 4 2 5 2 2 2" xfId="40700"/>
    <cellStyle name="Normal 4 3 4 2 5 2 3" xfId="28398"/>
    <cellStyle name="Normal 4 3 4 2 5 3" xfId="9052"/>
    <cellStyle name="Normal 4 3 4 2 5 3 2" xfId="21356"/>
    <cellStyle name="Normal 4 3 4 2 5 3 2 2" xfId="44215"/>
    <cellStyle name="Normal 4 3 4 2 5 3 3" xfId="31913"/>
    <cellStyle name="Normal 4 3 4 2 5 4" xfId="14326"/>
    <cellStyle name="Normal 4 3 4 2 5 4 2" xfId="37185"/>
    <cellStyle name="Normal 4 3 4 2 5 5" xfId="24883"/>
    <cellStyle name="Normal 4 3 4 2 6" xfId="3779"/>
    <cellStyle name="Normal 4 3 4 2 6 2" xfId="16083"/>
    <cellStyle name="Normal 4 3 4 2 6 2 2" xfId="38942"/>
    <cellStyle name="Normal 4 3 4 2 6 3" xfId="26640"/>
    <cellStyle name="Normal 4 3 4 2 7" xfId="7294"/>
    <cellStyle name="Normal 4 3 4 2 7 2" xfId="19598"/>
    <cellStyle name="Normal 4 3 4 2 7 2 2" xfId="42457"/>
    <cellStyle name="Normal 4 3 4 2 7 3" xfId="30155"/>
    <cellStyle name="Normal 4 3 4 2 8" xfId="10809"/>
    <cellStyle name="Normal 4 3 4 2 8 2" xfId="33669"/>
    <cellStyle name="Normal 4 3 4 2 9" xfId="12568"/>
    <cellStyle name="Normal 4 3 4 2 9 2" xfId="35427"/>
    <cellStyle name="Normal 4 3 4 3" xfId="364"/>
    <cellStyle name="Normal 4 3 4 3 2" xfId="805"/>
    <cellStyle name="Normal 4 3 4 3 2 2" xfId="1684"/>
    <cellStyle name="Normal 4 3 4 3 2 2 2" xfId="3445"/>
    <cellStyle name="Normal 4 3 4 3 2 2 2 2" xfId="6960"/>
    <cellStyle name="Normal 4 3 4 3 2 2 2 2 2" xfId="19264"/>
    <cellStyle name="Normal 4 3 4 3 2 2 2 2 2 2" xfId="42123"/>
    <cellStyle name="Normal 4 3 4 3 2 2 2 2 3" xfId="29821"/>
    <cellStyle name="Normal 4 3 4 3 2 2 2 3" xfId="10475"/>
    <cellStyle name="Normal 4 3 4 3 2 2 2 3 2" xfId="22779"/>
    <cellStyle name="Normal 4 3 4 3 2 2 2 3 2 2" xfId="45638"/>
    <cellStyle name="Normal 4 3 4 3 2 2 2 3 3" xfId="33336"/>
    <cellStyle name="Normal 4 3 4 3 2 2 2 4" xfId="15749"/>
    <cellStyle name="Normal 4 3 4 3 2 2 2 4 2" xfId="38608"/>
    <cellStyle name="Normal 4 3 4 3 2 2 2 5" xfId="26306"/>
    <cellStyle name="Normal 4 3 4 3 2 2 3" xfId="5202"/>
    <cellStyle name="Normal 4 3 4 3 2 2 3 2" xfId="17506"/>
    <cellStyle name="Normal 4 3 4 3 2 2 3 2 2" xfId="40365"/>
    <cellStyle name="Normal 4 3 4 3 2 2 3 3" xfId="28063"/>
    <cellStyle name="Normal 4 3 4 3 2 2 4" xfId="8717"/>
    <cellStyle name="Normal 4 3 4 3 2 2 4 2" xfId="21021"/>
    <cellStyle name="Normal 4 3 4 3 2 2 4 2 2" xfId="43880"/>
    <cellStyle name="Normal 4 3 4 3 2 2 4 3" xfId="31578"/>
    <cellStyle name="Normal 4 3 4 3 2 2 5" xfId="12232"/>
    <cellStyle name="Normal 4 3 4 3 2 2 5 2" xfId="35092"/>
    <cellStyle name="Normal 4 3 4 3 2 2 6" xfId="13991"/>
    <cellStyle name="Normal 4 3 4 3 2 2 6 2" xfId="36850"/>
    <cellStyle name="Normal 4 3 4 3 2 2 7" xfId="24547"/>
    <cellStyle name="Normal 4 3 4 3 2 3" xfId="2567"/>
    <cellStyle name="Normal 4 3 4 3 2 3 2" xfId="6082"/>
    <cellStyle name="Normal 4 3 4 3 2 3 2 2" xfId="18386"/>
    <cellStyle name="Normal 4 3 4 3 2 3 2 2 2" xfId="41245"/>
    <cellStyle name="Normal 4 3 4 3 2 3 2 3" xfId="28943"/>
    <cellStyle name="Normal 4 3 4 3 2 3 3" xfId="9597"/>
    <cellStyle name="Normal 4 3 4 3 2 3 3 2" xfId="21901"/>
    <cellStyle name="Normal 4 3 4 3 2 3 3 2 2" xfId="44760"/>
    <cellStyle name="Normal 4 3 4 3 2 3 3 3" xfId="32458"/>
    <cellStyle name="Normal 4 3 4 3 2 3 4" xfId="14871"/>
    <cellStyle name="Normal 4 3 4 3 2 3 4 2" xfId="37730"/>
    <cellStyle name="Normal 4 3 4 3 2 3 5" xfId="25428"/>
    <cellStyle name="Normal 4 3 4 3 2 4" xfId="4324"/>
    <cellStyle name="Normal 4 3 4 3 2 4 2" xfId="16628"/>
    <cellStyle name="Normal 4 3 4 3 2 4 2 2" xfId="39487"/>
    <cellStyle name="Normal 4 3 4 3 2 4 3" xfId="27185"/>
    <cellStyle name="Normal 4 3 4 3 2 5" xfId="7839"/>
    <cellStyle name="Normal 4 3 4 3 2 5 2" xfId="20143"/>
    <cellStyle name="Normal 4 3 4 3 2 5 2 2" xfId="43002"/>
    <cellStyle name="Normal 4 3 4 3 2 5 3" xfId="30700"/>
    <cellStyle name="Normal 4 3 4 3 2 6" xfId="11354"/>
    <cellStyle name="Normal 4 3 4 3 2 6 2" xfId="34214"/>
    <cellStyle name="Normal 4 3 4 3 2 7" xfId="13113"/>
    <cellStyle name="Normal 4 3 4 3 2 7 2" xfId="35972"/>
    <cellStyle name="Normal 4 3 4 3 2 8" xfId="23669"/>
    <cellStyle name="Normal 4 3 4 3 3" xfId="1245"/>
    <cellStyle name="Normal 4 3 4 3 3 2" xfId="3006"/>
    <cellStyle name="Normal 4 3 4 3 3 2 2" xfId="6521"/>
    <cellStyle name="Normal 4 3 4 3 3 2 2 2" xfId="18825"/>
    <cellStyle name="Normal 4 3 4 3 3 2 2 2 2" xfId="41684"/>
    <cellStyle name="Normal 4 3 4 3 3 2 2 3" xfId="29382"/>
    <cellStyle name="Normal 4 3 4 3 3 2 3" xfId="10036"/>
    <cellStyle name="Normal 4 3 4 3 3 2 3 2" xfId="22340"/>
    <cellStyle name="Normal 4 3 4 3 3 2 3 2 2" xfId="45199"/>
    <cellStyle name="Normal 4 3 4 3 3 2 3 3" xfId="32897"/>
    <cellStyle name="Normal 4 3 4 3 3 2 4" xfId="15310"/>
    <cellStyle name="Normal 4 3 4 3 3 2 4 2" xfId="38169"/>
    <cellStyle name="Normal 4 3 4 3 3 2 5" xfId="25867"/>
    <cellStyle name="Normal 4 3 4 3 3 3" xfId="4763"/>
    <cellStyle name="Normal 4 3 4 3 3 3 2" xfId="17067"/>
    <cellStyle name="Normal 4 3 4 3 3 3 2 2" xfId="39926"/>
    <cellStyle name="Normal 4 3 4 3 3 3 3" xfId="27624"/>
    <cellStyle name="Normal 4 3 4 3 3 4" xfId="8278"/>
    <cellStyle name="Normal 4 3 4 3 3 4 2" xfId="20582"/>
    <cellStyle name="Normal 4 3 4 3 3 4 2 2" xfId="43441"/>
    <cellStyle name="Normal 4 3 4 3 3 4 3" xfId="31139"/>
    <cellStyle name="Normal 4 3 4 3 3 5" xfId="11793"/>
    <cellStyle name="Normal 4 3 4 3 3 5 2" xfId="34653"/>
    <cellStyle name="Normal 4 3 4 3 3 6" xfId="13552"/>
    <cellStyle name="Normal 4 3 4 3 3 6 2" xfId="36411"/>
    <cellStyle name="Normal 4 3 4 3 3 7" xfId="24108"/>
    <cellStyle name="Normal 4 3 4 3 4" xfId="2128"/>
    <cellStyle name="Normal 4 3 4 3 4 2" xfId="5643"/>
    <cellStyle name="Normal 4 3 4 3 4 2 2" xfId="17947"/>
    <cellStyle name="Normal 4 3 4 3 4 2 2 2" xfId="40806"/>
    <cellStyle name="Normal 4 3 4 3 4 2 3" xfId="28504"/>
    <cellStyle name="Normal 4 3 4 3 4 3" xfId="9158"/>
    <cellStyle name="Normal 4 3 4 3 4 3 2" xfId="21462"/>
    <cellStyle name="Normal 4 3 4 3 4 3 2 2" xfId="44321"/>
    <cellStyle name="Normal 4 3 4 3 4 3 3" xfId="32019"/>
    <cellStyle name="Normal 4 3 4 3 4 4" xfId="14432"/>
    <cellStyle name="Normal 4 3 4 3 4 4 2" xfId="37291"/>
    <cellStyle name="Normal 4 3 4 3 4 5" xfId="24989"/>
    <cellStyle name="Normal 4 3 4 3 5" xfId="3885"/>
    <cellStyle name="Normal 4 3 4 3 5 2" xfId="16189"/>
    <cellStyle name="Normal 4 3 4 3 5 2 2" xfId="39048"/>
    <cellStyle name="Normal 4 3 4 3 5 3" xfId="26746"/>
    <cellStyle name="Normal 4 3 4 3 6" xfId="7400"/>
    <cellStyle name="Normal 4 3 4 3 6 2" xfId="19704"/>
    <cellStyle name="Normal 4 3 4 3 6 2 2" xfId="42563"/>
    <cellStyle name="Normal 4 3 4 3 6 3" xfId="30261"/>
    <cellStyle name="Normal 4 3 4 3 7" xfId="10915"/>
    <cellStyle name="Normal 4 3 4 3 7 2" xfId="33775"/>
    <cellStyle name="Normal 4 3 4 3 8" xfId="12674"/>
    <cellStyle name="Normal 4 3 4 3 8 2" xfId="35533"/>
    <cellStyle name="Normal 4 3 4 3 9" xfId="23229"/>
    <cellStyle name="Normal 4 3 4 4" xfId="593"/>
    <cellStyle name="Normal 4 3 4 4 2" xfId="1472"/>
    <cellStyle name="Normal 4 3 4 4 2 2" xfId="3233"/>
    <cellStyle name="Normal 4 3 4 4 2 2 2" xfId="6748"/>
    <cellStyle name="Normal 4 3 4 4 2 2 2 2" xfId="19052"/>
    <cellStyle name="Normal 4 3 4 4 2 2 2 2 2" xfId="41911"/>
    <cellStyle name="Normal 4 3 4 4 2 2 2 3" xfId="29609"/>
    <cellStyle name="Normal 4 3 4 4 2 2 3" xfId="10263"/>
    <cellStyle name="Normal 4 3 4 4 2 2 3 2" xfId="22567"/>
    <cellStyle name="Normal 4 3 4 4 2 2 3 2 2" xfId="45426"/>
    <cellStyle name="Normal 4 3 4 4 2 2 3 3" xfId="33124"/>
    <cellStyle name="Normal 4 3 4 4 2 2 4" xfId="15537"/>
    <cellStyle name="Normal 4 3 4 4 2 2 4 2" xfId="38396"/>
    <cellStyle name="Normal 4 3 4 4 2 2 5" xfId="26094"/>
    <cellStyle name="Normal 4 3 4 4 2 3" xfId="4990"/>
    <cellStyle name="Normal 4 3 4 4 2 3 2" xfId="17294"/>
    <cellStyle name="Normal 4 3 4 4 2 3 2 2" xfId="40153"/>
    <cellStyle name="Normal 4 3 4 4 2 3 3" xfId="27851"/>
    <cellStyle name="Normal 4 3 4 4 2 4" xfId="8505"/>
    <cellStyle name="Normal 4 3 4 4 2 4 2" xfId="20809"/>
    <cellStyle name="Normal 4 3 4 4 2 4 2 2" xfId="43668"/>
    <cellStyle name="Normal 4 3 4 4 2 4 3" xfId="31366"/>
    <cellStyle name="Normal 4 3 4 4 2 5" xfId="12020"/>
    <cellStyle name="Normal 4 3 4 4 2 5 2" xfId="34880"/>
    <cellStyle name="Normal 4 3 4 4 2 6" xfId="13779"/>
    <cellStyle name="Normal 4 3 4 4 2 6 2" xfId="36638"/>
    <cellStyle name="Normal 4 3 4 4 2 7" xfId="24335"/>
    <cellStyle name="Normal 4 3 4 4 3" xfId="2355"/>
    <cellStyle name="Normal 4 3 4 4 3 2" xfId="5870"/>
    <cellStyle name="Normal 4 3 4 4 3 2 2" xfId="18174"/>
    <cellStyle name="Normal 4 3 4 4 3 2 2 2" xfId="41033"/>
    <cellStyle name="Normal 4 3 4 4 3 2 3" xfId="28731"/>
    <cellStyle name="Normal 4 3 4 4 3 3" xfId="9385"/>
    <cellStyle name="Normal 4 3 4 4 3 3 2" xfId="21689"/>
    <cellStyle name="Normal 4 3 4 4 3 3 2 2" xfId="44548"/>
    <cellStyle name="Normal 4 3 4 4 3 3 3" xfId="32246"/>
    <cellStyle name="Normal 4 3 4 4 3 4" xfId="14659"/>
    <cellStyle name="Normal 4 3 4 4 3 4 2" xfId="37518"/>
    <cellStyle name="Normal 4 3 4 4 3 5" xfId="25216"/>
    <cellStyle name="Normal 4 3 4 4 4" xfId="4112"/>
    <cellStyle name="Normal 4 3 4 4 4 2" xfId="16416"/>
    <cellStyle name="Normal 4 3 4 4 4 2 2" xfId="39275"/>
    <cellStyle name="Normal 4 3 4 4 4 3" xfId="26973"/>
    <cellStyle name="Normal 4 3 4 4 5" xfId="7627"/>
    <cellStyle name="Normal 4 3 4 4 5 2" xfId="19931"/>
    <cellStyle name="Normal 4 3 4 4 5 2 2" xfId="42790"/>
    <cellStyle name="Normal 4 3 4 4 5 3" xfId="30488"/>
    <cellStyle name="Normal 4 3 4 4 6" xfId="11142"/>
    <cellStyle name="Normal 4 3 4 4 6 2" xfId="34002"/>
    <cellStyle name="Normal 4 3 4 4 7" xfId="12901"/>
    <cellStyle name="Normal 4 3 4 4 7 2" xfId="35760"/>
    <cellStyle name="Normal 4 3 4 4 8" xfId="23457"/>
    <cellStyle name="Normal 4 3 4 5" xfId="1033"/>
    <cellStyle name="Normal 4 3 4 5 2" xfId="2794"/>
    <cellStyle name="Normal 4 3 4 5 2 2" xfId="6309"/>
    <cellStyle name="Normal 4 3 4 5 2 2 2" xfId="18613"/>
    <cellStyle name="Normal 4 3 4 5 2 2 2 2" xfId="41472"/>
    <cellStyle name="Normal 4 3 4 5 2 2 3" xfId="29170"/>
    <cellStyle name="Normal 4 3 4 5 2 3" xfId="9824"/>
    <cellStyle name="Normal 4 3 4 5 2 3 2" xfId="22128"/>
    <cellStyle name="Normal 4 3 4 5 2 3 2 2" xfId="44987"/>
    <cellStyle name="Normal 4 3 4 5 2 3 3" xfId="32685"/>
    <cellStyle name="Normal 4 3 4 5 2 4" xfId="15098"/>
    <cellStyle name="Normal 4 3 4 5 2 4 2" xfId="37957"/>
    <cellStyle name="Normal 4 3 4 5 2 5" xfId="25655"/>
    <cellStyle name="Normal 4 3 4 5 3" xfId="4551"/>
    <cellStyle name="Normal 4 3 4 5 3 2" xfId="16855"/>
    <cellStyle name="Normal 4 3 4 5 3 2 2" xfId="39714"/>
    <cellStyle name="Normal 4 3 4 5 3 3" xfId="27412"/>
    <cellStyle name="Normal 4 3 4 5 4" xfId="8066"/>
    <cellStyle name="Normal 4 3 4 5 4 2" xfId="20370"/>
    <cellStyle name="Normal 4 3 4 5 4 2 2" xfId="43229"/>
    <cellStyle name="Normal 4 3 4 5 4 3" xfId="30927"/>
    <cellStyle name="Normal 4 3 4 5 5" xfId="11581"/>
    <cellStyle name="Normal 4 3 4 5 5 2" xfId="34441"/>
    <cellStyle name="Normal 4 3 4 5 6" xfId="13340"/>
    <cellStyle name="Normal 4 3 4 5 6 2" xfId="36199"/>
    <cellStyle name="Normal 4 3 4 5 7" xfId="23896"/>
    <cellStyle name="Normal 4 3 4 6" xfId="1916"/>
    <cellStyle name="Normal 4 3 4 6 2" xfId="5431"/>
    <cellStyle name="Normal 4 3 4 6 2 2" xfId="17735"/>
    <cellStyle name="Normal 4 3 4 6 2 2 2" xfId="40594"/>
    <cellStyle name="Normal 4 3 4 6 2 3" xfId="28292"/>
    <cellStyle name="Normal 4 3 4 6 3" xfId="8946"/>
    <cellStyle name="Normal 4 3 4 6 3 2" xfId="21250"/>
    <cellStyle name="Normal 4 3 4 6 3 2 2" xfId="44109"/>
    <cellStyle name="Normal 4 3 4 6 3 3" xfId="31807"/>
    <cellStyle name="Normal 4 3 4 6 4" xfId="14220"/>
    <cellStyle name="Normal 4 3 4 6 4 2" xfId="37079"/>
    <cellStyle name="Normal 4 3 4 6 5" xfId="24777"/>
    <cellStyle name="Normal 4 3 4 7" xfId="3673"/>
    <cellStyle name="Normal 4 3 4 7 2" xfId="15977"/>
    <cellStyle name="Normal 4 3 4 7 2 2" xfId="38836"/>
    <cellStyle name="Normal 4 3 4 7 3" xfId="26534"/>
    <cellStyle name="Normal 4 3 4 8" xfId="7188"/>
    <cellStyle name="Normal 4 3 4 8 2" xfId="19492"/>
    <cellStyle name="Normal 4 3 4 8 2 2" xfId="42351"/>
    <cellStyle name="Normal 4 3 4 8 3" xfId="30049"/>
    <cellStyle name="Normal 4 3 4 9" xfId="10703"/>
    <cellStyle name="Normal 4 3 4 9 2" xfId="33563"/>
    <cellStyle name="Normal 4 3 5" xfId="191"/>
    <cellStyle name="Normal 4 3 5 10" xfId="23056"/>
    <cellStyle name="Normal 4 3 5 2" xfId="403"/>
    <cellStyle name="Normal 4 3 5 2 2" xfId="844"/>
    <cellStyle name="Normal 4 3 5 2 2 2" xfId="1723"/>
    <cellStyle name="Normal 4 3 5 2 2 2 2" xfId="3484"/>
    <cellStyle name="Normal 4 3 5 2 2 2 2 2" xfId="6999"/>
    <cellStyle name="Normal 4 3 5 2 2 2 2 2 2" xfId="19303"/>
    <cellStyle name="Normal 4 3 5 2 2 2 2 2 2 2" xfId="42162"/>
    <cellStyle name="Normal 4 3 5 2 2 2 2 2 3" xfId="29860"/>
    <cellStyle name="Normal 4 3 5 2 2 2 2 3" xfId="10514"/>
    <cellStyle name="Normal 4 3 5 2 2 2 2 3 2" xfId="22818"/>
    <cellStyle name="Normal 4 3 5 2 2 2 2 3 2 2" xfId="45677"/>
    <cellStyle name="Normal 4 3 5 2 2 2 2 3 3" xfId="33375"/>
    <cellStyle name="Normal 4 3 5 2 2 2 2 4" xfId="15788"/>
    <cellStyle name="Normal 4 3 5 2 2 2 2 4 2" xfId="38647"/>
    <cellStyle name="Normal 4 3 5 2 2 2 2 5" xfId="26345"/>
    <cellStyle name="Normal 4 3 5 2 2 2 3" xfId="5241"/>
    <cellStyle name="Normal 4 3 5 2 2 2 3 2" xfId="17545"/>
    <cellStyle name="Normal 4 3 5 2 2 2 3 2 2" xfId="40404"/>
    <cellStyle name="Normal 4 3 5 2 2 2 3 3" xfId="28102"/>
    <cellStyle name="Normal 4 3 5 2 2 2 4" xfId="8756"/>
    <cellStyle name="Normal 4 3 5 2 2 2 4 2" xfId="21060"/>
    <cellStyle name="Normal 4 3 5 2 2 2 4 2 2" xfId="43919"/>
    <cellStyle name="Normal 4 3 5 2 2 2 4 3" xfId="31617"/>
    <cellStyle name="Normal 4 3 5 2 2 2 5" xfId="12271"/>
    <cellStyle name="Normal 4 3 5 2 2 2 5 2" xfId="35131"/>
    <cellStyle name="Normal 4 3 5 2 2 2 6" xfId="14030"/>
    <cellStyle name="Normal 4 3 5 2 2 2 6 2" xfId="36889"/>
    <cellStyle name="Normal 4 3 5 2 2 2 7" xfId="24586"/>
    <cellStyle name="Normal 4 3 5 2 2 3" xfId="2606"/>
    <cellStyle name="Normal 4 3 5 2 2 3 2" xfId="6121"/>
    <cellStyle name="Normal 4 3 5 2 2 3 2 2" xfId="18425"/>
    <cellStyle name="Normal 4 3 5 2 2 3 2 2 2" xfId="41284"/>
    <cellStyle name="Normal 4 3 5 2 2 3 2 3" xfId="28982"/>
    <cellStyle name="Normal 4 3 5 2 2 3 3" xfId="9636"/>
    <cellStyle name="Normal 4 3 5 2 2 3 3 2" xfId="21940"/>
    <cellStyle name="Normal 4 3 5 2 2 3 3 2 2" xfId="44799"/>
    <cellStyle name="Normal 4 3 5 2 2 3 3 3" xfId="32497"/>
    <cellStyle name="Normal 4 3 5 2 2 3 4" xfId="14910"/>
    <cellStyle name="Normal 4 3 5 2 2 3 4 2" xfId="37769"/>
    <cellStyle name="Normal 4 3 5 2 2 3 5" xfId="25467"/>
    <cellStyle name="Normal 4 3 5 2 2 4" xfId="4363"/>
    <cellStyle name="Normal 4 3 5 2 2 4 2" xfId="16667"/>
    <cellStyle name="Normal 4 3 5 2 2 4 2 2" xfId="39526"/>
    <cellStyle name="Normal 4 3 5 2 2 4 3" xfId="27224"/>
    <cellStyle name="Normal 4 3 5 2 2 5" xfId="7878"/>
    <cellStyle name="Normal 4 3 5 2 2 5 2" xfId="20182"/>
    <cellStyle name="Normal 4 3 5 2 2 5 2 2" xfId="43041"/>
    <cellStyle name="Normal 4 3 5 2 2 5 3" xfId="30739"/>
    <cellStyle name="Normal 4 3 5 2 2 6" xfId="11393"/>
    <cellStyle name="Normal 4 3 5 2 2 6 2" xfId="34253"/>
    <cellStyle name="Normal 4 3 5 2 2 7" xfId="13152"/>
    <cellStyle name="Normal 4 3 5 2 2 7 2" xfId="36011"/>
    <cellStyle name="Normal 4 3 5 2 2 8" xfId="23708"/>
    <cellStyle name="Normal 4 3 5 2 3" xfId="1284"/>
    <cellStyle name="Normal 4 3 5 2 3 2" xfId="3045"/>
    <cellStyle name="Normal 4 3 5 2 3 2 2" xfId="6560"/>
    <cellStyle name="Normal 4 3 5 2 3 2 2 2" xfId="18864"/>
    <cellStyle name="Normal 4 3 5 2 3 2 2 2 2" xfId="41723"/>
    <cellStyle name="Normal 4 3 5 2 3 2 2 3" xfId="29421"/>
    <cellStyle name="Normal 4 3 5 2 3 2 3" xfId="10075"/>
    <cellStyle name="Normal 4 3 5 2 3 2 3 2" xfId="22379"/>
    <cellStyle name="Normal 4 3 5 2 3 2 3 2 2" xfId="45238"/>
    <cellStyle name="Normal 4 3 5 2 3 2 3 3" xfId="32936"/>
    <cellStyle name="Normal 4 3 5 2 3 2 4" xfId="15349"/>
    <cellStyle name="Normal 4 3 5 2 3 2 4 2" xfId="38208"/>
    <cellStyle name="Normal 4 3 5 2 3 2 5" xfId="25906"/>
    <cellStyle name="Normal 4 3 5 2 3 3" xfId="4802"/>
    <cellStyle name="Normal 4 3 5 2 3 3 2" xfId="17106"/>
    <cellStyle name="Normal 4 3 5 2 3 3 2 2" xfId="39965"/>
    <cellStyle name="Normal 4 3 5 2 3 3 3" xfId="27663"/>
    <cellStyle name="Normal 4 3 5 2 3 4" xfId="8317"/>
    <cellStyle name="Normal 4 3 5 2 3 4 2" xfId="20621"/>
    <cellStyle name="Normal 4 3 5 2 3 4 2 2" xfId="43480"/>
    <cellStyle name="Normal 4 3 5 2 3 4 3" xfId="31178"/>
    <cellStyle name="Normal 4 3 5 2 3 5" xfId="11832"/>
    <cellStyle name="Normal 4 3 5 2 3 5 2" xfId="34692"/>
    <cellStyle name="Normal 4 3 5 2 3 6" xfId="13591"/>
    <cellStyle name="Normal 4 3 5 2 3 6 2" xfId="36450"/>
    <cellStyle name="Normal 4 3 5 2 3 7" xfId="24147"/>
    <cellStyle name="Normal 4 3 5 2 4" xfId="2167"/>
    <cellStyle name="Normal 4 3 5 2 4 2" xfId="5682"/>
    <cellStyle name="Normal 4 3 5 2 4 2 2" xfId="17986"/>
    <cellStyle name="Normal 4 3 5 2 4 2 2 2" xfId="40845"/>
    <cellStyle name="Normal 4 3 5 2 4 2 3" xfId="28543"/>
    <cellStyle name="Normal 4 3 5 2 4 3" xfId="9197"/>
    <cellStyle name="Normal 4 3 5 2 4 3 2" xfId="21501"/>
    <cellStyle name="Normal 4 3 5 2 4 3 2 2" xfId="44360"/>
    <cellStyle name="Normal 4 3 5 2 4 3 3" xfId="32058"/>
    <cellStyle name="Normal 4 3 5 2 4 4" xfId="14471"/>
    <cellStyle name="Normal 4 3 5 2 4 4 2" xfId="37330"/>
    <cellStyle name="Normal 4 3 5 2 4 5" xfId="25028"/>
    <cellStyle name="Normal 4 3 5 2 5" xfId="3924"/>
    <cellStyle name="Normal 4 3 5 2 5 2" xfId="16228"/>
    <cellStyle name="Normal 4 3 5 2 5 2 2" xfId="39087"/>
    <cellStyle name="Normal 4 3 5 2 5 3" xfId="26785"/>
    <cellStyle name="Normal 4 3 5 2 6" xfId="7439"/>
    <cellStyle name="Normal 4 3 5 2 6 2" xfId="19743"/>
    <cellStyle name="Normal 4 3 5 2 6 2 2" xfId="42602"/>
    <cellStyle name="Normal 4 3 5 2 6 3" xfId="30300"/>
    <cellStyle name="Normal 4 3 5 2 7" xfId="10954"/>
    <cellStyle name="Normal 4 3 5 2 7 2" xfId="33814"/>
    <cellStyle name="Normal 4 3 5 2 8" xfId="12713"/>
    <cellStyle name="Normal 4 3 5 2 8 2" xfId="35572"/>
    <cellStyle name="Normal 4 3 5 2 9" xfId="23268"/>
    <cellStyle name="Normal 4 3 5 3" xfId="632"/>
    <cellStyle name="Normal 4 3 5 3 2" xfId="1511"/>
    <cellStyle name="Normal 4 3 5 3 2 2" xfId="3272"/>
    <cellStyle name="Normal 4 3 5 3 2 2 2" xfId="6787"/>
    <cellStyle name="Normal 4 3 5 3 2 2 2 2" xfId="19091"/>
    <cellStyle name="Normal 4 3 5 3 2 2 2 2 2" xfId="41950"/>
    <cellStyle name="Normal 4 3 5 3 2 2 2 3" xfId="29648"/>
    <cellStyle name="Normal 4 3 5 3 2 2 3" xfId="10302"/>
    <cellStyle name="Normal 4 3 5 3 2 2 3 2" xfId="22606"/>
    <cellStyle name="Normal 4 3 5 3 2 2 3 2 2" xfId="45465"/>
    <cellStyle name="Normal 4 3 5 3 2 2 3 3" xfId="33163"/>
    <cellStyle name="Normal 4 3 5 3 2 2 4" xfId="15576"/>
    <cellStyle name="Normal 4 3 5 3 2 2 4 2" xfId="38435"/>
    <cellStyle name="Normal 4 3 5 3 2 2 5" xfId="26133"/>
    <cellStyle name="Normal 4 3 5 3 2 3" xfId="5029"/>
    <cellStyle name="Normal 4 3 5 3 2 3 2" xfId="17333"/>
    <cellStyle name="Normal 4 3 5 3 2 3 2 2" xfId="40192"/>
    <cellStyle name="Normal 4 3 5 3 2 3 3" xfId="27890"/>
    <cellStyle name="Normal 4 3 5 3 2 4" xfId="8544"/>
    <cellStyle name="Normal 4 3 5 3 2 4 2" xfId="20848"/>
    <cellStyle name="Normal 4 3 5 3 2 4 2 2" xfId="43707"/>
    <cellStyle name="Normal 4 3 5 3 2 4 3" xfId="31405"/>
    <cellStyle name="Normal 4 3 5 3 2 5" xfId="12059"/>
    <cellStyle name="Normal 4 3 5 3 2 5 2" xfId="34919"/>
    <cellStyle name="Normal 4 3 5 3 2 6" xfId="13818"/>
    <cellStyle name="Normal 4 3 5 3 2 6 2" xfId="36677"/>
    <cellStyle name="Normal 4 3 5 3 2 7" xfId="24374"/>
    <cellStyle name="Normal 4 3 5 3 3" xfId="2394"/>
    <cellStyle name="Normal 4 3 5 3 3 2" xfId="5909"/>
    <cellStyle name="Normal 4 3 5 3 3 2 2" xfId="18213"/>
    <cellStyle name="Normal 4 3 5 3 3 2 2 2" xfId="41072"/>
    <cellStyle name="Normal 4 3 5 3 3 2 3" xfId="28770"/>
    <cellStyle name="Normal 4 3 5 3 3 3" xfId="9424"/>
    <cellStyle name="Normal 4 3 5 3 3 3 2" xfId="21728"/>
    <cellStyle name="Normal 4 3 5 3 3 3 2 2" xfId="44587"/>
    <cellStyle name="Normal 4 3 5 3 3 3 3" xfId="32285"/>
    <cellStyle name="Normal 4 3 5 3 3 4" xfId="14698"/>
    <cellStyle name="Normal 4 3 5 3 3 4 2" xfId="37557"/>
    <cellStyle name="Normal 4 3 5 3 3 5" xfId="25255"/>
    <cellStyle name="Normal 4 3 5 3 4" xfId="4151"/>
    <cellStyle name="Normal 4 3 5 3 4 2" xfId="16455"/>
    <cellStyle name="Normal 4 3 5 3 4 2 2" xfId="39314"/>
    <cellStyle name="Normal 4 3 5 3 4 3" xfId="27012"/>
    <cellStyle name="Normal 4 3 5 3 5" xfId="7666"/>
    <cellStyle name="Normal 4 3 5 3 5 2" xfId="19970"/>
    <cellStyle name="Normal 4 3 5 3 5 2 2" xfId="42829"/>
    <cellStyle name="Normal 4 3 5 3 5 3" xfId="30527"/>
    <cellStyle name="Normal 4 3 5 3 6" xfId="11181"/>
    <cellStyle name="Normal 4 3 5 3 6 2" xfId="34041"/>
    <cellStyle name="Normal 4 3 5 3 7" xfId="12940"/>
    <cellStyle name="Normal 4 3 5 3 7 2" xfId="35799"/>
    <cellStyle name="Normal 4 3 5 3 8" xfId="23496"/>
    <cellStyle name="Normal 4 3 5 4" xfId="1072"/>
    <cellStyle name="Normal 4 3 5 4 2" xfId="2833"/>
    <cellStyle name="Normal 4 3 5 4 2 2" xfId="6348"/>
    <cellStyle name="Normal 4 3 5 4 2 2 2" xfId="18652"/>
    <cellStyle name="Normal 4 3 5 4 2 2 2 2" xfId="41511"/>
    <cellStyle name="Normal 4 3 5 4 2 2 3" xfId="29209"/>
    <cellStyle name="Normal 4 3 5 4 2 3" xfId="9863"/>
    <cellStyle name="Normal 4 3 5 4 2 3 2" xfId="22167"/>
    <cellStyle name="Normal 4 3 5 4 2 3 2 2" xfId="45026"/>
    <cellStyle name="Normal 4 3 5 4 2 3 3" xfId="32724"/>
    <cellStyle name="Normal 4 3 5 4 2 4" xfId="15137"/>
    <cellStyle name="Normal 4 3 5 4 2 4 2" xfId="37996"/>
    <cellStyle name="Normal 4 3 5 4 2 5" xfId="25694"/>
    <cellStyle name="Normal 4 3 5 4 3" xfId="4590"/>
    <cellStyle name="Normal 4 3 5 4 3 2" xfId="16894"/>
    <cellStyle name="Normal 4 3 5 4 3 2 2" xfId="39753"/>
    <cellStyle name="Normal 4 3 5 4 3 3" xfId="27451"/>
    <cellStyle name="Normal 4 3 5 4 4" xfId="8105"/>
    <cellStyle name="Normal 4 3 5 4 4 2" xfId="20409"/>
    <cellStyle name="Normal 4 3 5 4 4 2 2" xfId="43268"/>
    <cellStyle name="Normal 4 3 5 4 4 3" xfId="30966"/>
    <cellStyle name="Normal 4 3 5 4 5" xfId="11620"/>
    <cellStyle name="Normal 4 3 5 4 5 2" xfId="34480"/>
    <cellStyle name="Normal 4 3 5 4 6" xfId="13379"/>
    <cellStyle name="Normal 4 3 5 4 6 2" xfId="36238"/>
    <cellStyle name="Normal 4 3 5 4 7" xfId="23935"/>
    <cellStyle name="Normal 4 3 5 5" xfId="1955"/>
    <cellStyle name="Normal 4 3 5 5 2" xfId="5470"/>
    <cellStyle name="Normal 4 3 5 5 2 2" xfId="17774"/>
    <cellStyle name="Normal 4 3 5 5 2 2 2" xfId="40633"/>
    <cellStyle name="Normal 4 3 5 5 2 3" xfId="28331"/>
    <cellStyle name="Normal 4 3 5 5 3" xfId="8985"/>
    <cellStyle name="Normal 4 3 5 5 3 2" xfId="21289"/>
    <cellStyle name="Normal 4 3 5 5 3 2 2" xfId="44148"/>
    <cellStyle name="Normal 4 3 5 5 3 3" xfId="31846"/>
    <cellStyle name="Normal 4 3 5 5 4" xfId="14259"/>
    <cellStyle name="Normal 4 3 5 5 4 2" xfId="37118"/>
    <cellStyle name="Normal 4 3 5 5 5" xfId="24816"/>
    <cellStyle name="Normal 4 3 5 6" xfId="3712"/>
    <cellStyle name="Normal 4 3 5 6 2" xfId="16016"/>
    <cellStyle name="Normal 4 3 5 6 2 2" xfId="38875"/>
    <cellStyle name="Normal 4 3 5 6 3" xfId="26573"/>
    <cellStyle name="Normal 4 3 5 7" xfId="7227"/>
    <cellStyle name="Normal 4 3 5 7 2" xfId="19531"/>
    <cellStyle name="Normal 4 3 5 7 2 2" xfId="42390"/>
    <cellStyle name="Normal 4 3 5 7 3" xfId="30088"/>
    <cellStyle name="Normal 4 3 5 8" xfId="10742"/>
    <cellStyle name="Normal 4 3 5 8 2" xfId="33602"/>
    <cellStyle name="Normal 4 3 5 9" xfId="12501"/>
    <cellStyle name="Normal 4 3 5 9 2" xfId="35360"/>
    <cellStyle name="Normal 4 3 6" xfId="297"/>
    <cellStyle name="Normal 4 3 6 2" xfId="738"/>
    <cellStyle name="Normal 4 3 6 2 2" xfId="1617"/>
    <cellStyle name="Normal 4 3 6 2 2 2" xfId="3378"/>
    <cellStyle name="Normal 4 3 6 2 2 2 2" xfId="6893"/>
    <cellStyle name="Normal 4 3 6 2 2 2 2 2" xfId="19197"/>
    <cellStyle name="Normal 4 3 6 2 2 2 2 2 2" xfId="42056"/>
    <cellStyle name="Normal 4 3 6 2 2 2 2 3" xfId="29754"/>
    <cellStyle name="Normal 4 3 6 2 2 2 3" xfId="10408"/>
    <cellStyle name="Normal 4 3 6 2 2 2 3 2" xfId="22712"/>
    <cellStyle name="Normal 4 3 6 2 2 2 3 2 2" xfId="45571"/>
    <cellStyle name="Normal 4 3 6 2 2 2 3 3" xfId="33269"/>
    <cellStyle name="Normal 4 3 6 2 2 2 4" xfId="15682"/>
    <cellStyle name="Normal 4 3 6 2 2 2 4 2" xfId="38541"/>
    <cellStyle name="Normal 4 3 6 2 2 2 5" xfId="26239"/>
    <cellStyle name="Normal 4 3 6 2 2 3" xfId="5135"/>
    <cellStyle name="Normal 4 3 6 2 2 3 2" xfId="17439"/>
    <cellStyle name="Normal 4 3 6 2 2 3 2 2" xfId="40298"/>
    <cellStyle name="Normal 4 3 6 2 2 3 3" xfId="27996"/>
    <cellStyle name="Normal 4 3 6 2 2 4" xfId="8650"/>
    <cellStyle name="Normal 4 3 6 2 2 4 2" xfId="20954"/>
    <cellStyle name="Normal 4 3 6 2 2 4 2 2" xfId="43813"/>
    <cellStyle name="Normal 4 3 6 2 2 4 3" xfId="31511"/>
    <cellStyle name="Normal 4 3 6 2 2 5" xfId="12165"/>
    <cellStyle name="Normal 4 3 6 2 2 5 2" xfId="35025"/>
    <cellStyle name="Normal 4 3 6 2 2 6" xfId="13924"/>
    <cellStyle name="Normal 4 3 6 2 2 6 2" xfId="36783"/>
    <cellStyle name="Normal 4 3 6 2 2 7" xfId="24480"/>
    <cellStyle name="Normal 4 3 6 2 3" xfId="2500"/>
    <cellStyle name="Normal 4 3 6 2 3 2" xfId="6015"/>
    <cellStyle name="Normal 4 3 6 2 3 2 2" xfId="18319"/>
    <cellStyle name="Normal 4 3 6 2 3 2 2 2" xfId="41178"/>
    <cellStyle name="Normal 4 3 6 2 3 2 3" xfId="28876"/>
    <cellStyle name="Normal 4 3 6 2 3 3" xfId="9530"/>
    <cellStyle name="Normal 4 3 6 2 3 3 2" xfId="21834"/>
    <cellStyle name="Normal 4 3 6 2 3 3 2 2" xfId="44693"/>
    <cellStyle name="Normal 4 3 6 2 3 3 3" xfId="32391"/>
    <cellStyle name="Normal 4 3 6 2 3 4" xfId="14804"/>
    <cellStyle name="Normal 4 3 6 2 3 4 2" xfId="37663"/>
    <cellStyle name="Normal 4 3 6 2 3 5" xfId="25361"/>
    <cellStyle name="Normal 4 3 6 2 4" xfId="4257"/>
    <cellStyle name="Normal 4 3 6 2 4 2" xfId="16561"/>
    <cellStyle name="Normal 4 3 6 2 4 2 2" xfId="39420"/>
    <cellStyle name="Normal 4 3 6 2 4 3" xfId="27118"/>
    <cellStyle name="Normal 4 3 6 2 5" xfId="7772"/>
    <cellStyle name="Normal 4 3 6 2 5 2" xfId="20076"/>
    <cellStyle name="Normal 4 3 6 2 5 2 2" xfId="42935"/>
    <cellStyle name="Normal 4 3 6 2 5 3" xfId="30633"/>
    <cellStyle name="Normal 4 3 6 2 6" xfId="11287"/>
    <cellStyle name="Normal 4 3 6 2 6 2" xfId="34147"/>
    <cellStyle name="Normal 4 3 6 2 7" xfId="13046"/>
    <cellStyle name="Normal 4 3 6 2 7 2" xfId="35905"/>
    <cellStyle name="Normal 4 3 6 2 8" xfId="23602"/>
    <cellStyle name="Normal 4 3 6 3" xfId="1178"/>
    <cellStyle name="Normal 4 3 6 3 2" xfId="2939"/>
    <cellStyle name="Normal 4 3 6 3 2 2" xfId="6454"/>
    <cellStyle name="Normal 4 3 6 3 2 2 2" xfId="18758"/>
    <cellStyle name="Normal 4 3 6 3 2 2 2 2" xfId="41617"/>
    <cellStyle name="Normal 4 3 6 3 2 2 3" xfId="29315"/>
    <cellStyle name="Normal 4 3 6 3 2 3" xfId="9969"/>
    <cellStyle name="Normal 4 3 6 3 2 3 2" xfId="22273"/>
    <cellStyle name="Normal 4 3 6 3 2 3 2 2" xfId="45132"/>
    <cellStyle name="Normal 4 3 6 3 2 3 3" xfId="32830"/>
    <cellStyle name="Normal 4 3 6 3 2 4" xfId="15243"/>
    <cellStyle name="Normal 4 3 6 3 2 4 2" xfId="38102"/>
    <cellStyle name="Normal 4 3 6 3 2 5" xfId="25800"/>
    <cellStyle name="Normal 4 3 6 3 3" xfId="4696"/>
    <cellStyle name="Normal 4 3 6 3 3 2" xfId="17000"/>
    <cellStyle name="Normal 4 3 6 3 3 2 2" xfId="39859"/>
    <cellStyle name="Normal 4 3 6 3 3 3" xfId="27557"/>
    <cellStyle name="Normal 4 3 6 3 4" xfId="8211"/>
    <cellStyle name="Normal 4 3 6 3 4 2" xfId="20515"/>
    <cellStyle name="Normal 4 3 6 3 4 2 2" xfId="43374"/>
    <cellStyle name="Normal 4 3 6 3 4 3" xfId="31072"/>
    <cellStyle name="Normal 4 3 6 3 5" xfId="11726"/>
    <cellStyle name="Normal 4 3 6 3 5 2" xfId="34586"/>
    <cellStyle name="Normal 4 3 6 3 6" xfId="13485"/>
    <cellStyle name="Normal 4 3 6 3 6 2" xfId="36344"/>
    <cellStyle name="Normal 4 3 6 3 7" xfId="24041"/>
    <cellStyle name="Normal 4 3 6 4" xfId="2061"/>
    <cellStyle name="Normal 4 3 6 4 2" xfId="5576"/>
    <cellStyle name="Normal 4 3 6 4 2 2" xfId="17880"/>
    <cellStyle name="Normal 4 3 6 4 2 2 2" xfId="40739"/>
    <cellStyle name="Normal 4 3 6 4 2 3" xfId="28437"/>
    <cellStyle name="Normal 4 3 6 4 3" xfId="9091"/>
    <cellStyle name="Normal 4 3 6 4 3 2" xfId="21395"/>
    <cellStyle name="Normal 4 3 6 4 3 2 2" xfId="44254"/>
    <cellStyle name="Normal 4 3 6 4 3 3" xfId="31952"/>
    <cellStyle name="Normal 4 3 6 4 4" xfId="14365"/>
    <cellStyle name="Normal 4 3 6 4 4 2" xfId="37224"/>
    <cellStyle name="Normal 4 3 6 4 5" xfId="24922"/>
    <cellStyle name="Normal 4 3 6 5" xfId="3818"/>
    <cellStyle name="Normal 4 3 6 5 2" xfId="16122"/>
    <cellStyle name="Normal 4 3 6 5 2 2" xfId="38981"/>
    <cellStyle name="Normal 4 3 6 5 3" xfId="26679"/>
    <cellStyle name="Normal 4 3 6 6" xfId="7333"/>
    <cellStyle name="Normal 4 3 6 6 2" xfId="19637"/>
    <cellStyle name="Normal 4 3 6 6 2 2" xfId="42496"/>
    <cellStyle name="Normal 4 3 6 6 3" xfId="30194"/>
    <cellStyle name="Normal 4 3 6 7" xfId="10848"/>
    <cellStyle name="Normal 4 3 6 7 2" xfId="33708"/>
    <cellStyle name="Normal 4 3 6 8" xfId="12607"/>
    <cellStyle name="Normal 4 3 6 8 2" xfId="35466"/>
    <cellStyle name="Normal 4 3 6 9" xfId="23162"/>
    <cellStyle name="Normal 4 3 7" xfId="538"/>
    <cellStyle name="Normal 4 3 7 2" xfId="1417"/>
    <cellStyle name="Normal 4 3 7 2 2" xfId="3178"/>
    <cellStyle name="Normal 4 3 7 2 2 2" xfId="6693"/>
    <cellStyle name="Normal 4 3 7 2 2 2 2" xfId="18997"/>
    <cellStyle name="Normal 4 3 7 2 2 2 2 2" xfId="41856"/>
    <cellStyle name="Normal 4 3 7 2 2 2 3" xfId="29554"/>
    <cellStyle name="Normal 4 3 7 2 2 3" xfId="10208"/>
    <cellStyle name="Normal 4 3 7 2 2 3 2" xfId="22512"/>
    <cellStyle name="Normal 4 3 7 2 2 3 2 2" xfId="45371"/>
    <cellStyle name="Normal 4 3 7 2 2 3 3" xfId="33069"/>
    <cellStyle name="Normal 4 3 7 2 2 4" xfId="15482"/>
    <cellStyle name="Normal 4 3 7 2 2 4 2" xfId="38341"/>
    <cellStyle name="Normal 4 3 7 2 2 5" xfId="26039"/>
    <cellStyle name="Normal 4 3 7 2 3" xfId="4935"/>
    <cellStyle name="Normal 4 3 7 2 3 2" xfId="17239"/>
    <cellStyle name="Normal 4 3 7 2 3 2 2" xfId="40098"/>
    <cellStyle name="Normal 4 3 7 2 3 3" xfId="27796"/>
    <cellStyle name="Normal 4 3 7 2 4" xfId="8450"/>
    <cellStyle name="Normal 4 3 7 2 4 2" xfId="20754"/>
    <cellStyle name="Normal 4 3 7 2 4 2 2" xfId="43613"/>
    <cellStyle name="Normal 4 3 7 2 4 3" xfId="31311"/>
    <cellStyle name="Normal 4 3 7 2 5" xfId="11965"/>
    <cellStyle name="Normal 4 3 7 2 5 2" xfId="34825"/>
    <cellStyle name="Normal 4 3 7 2 6" xfId="13724"/>
    <cellStyle name="Normal 4 3 7 2 6 2" xfId="36583"/>
    <cellStyle name="Normal 4 3 7 2 7" xfId="24280"/>
    <cellStyle name="Normal 4 3 7 3" xfId="2300"/>
    <cellStyle name="Normal 4 3 7 3 2" xfId="5815"/>
    <cellStyle name="Normal 4 3 7 3 2 2" xfId="18119"/>
    <cellStyle name="Normal 4 3 7 3 2 2 2" xfId="40978"/>
    <cellStyle name="Normal 4 3 7 3 2 3" xfId="28676"/>
    <cellStyle name="Normal 4 3 7 3 3" xfId="9330"/>
    <cellStyle name="Normal 4 3 7 3 3 2" xfId="21634"/>
    <cellStyle name="Normal 4 3 7 3 3 2 2" xfId="44493"/>
    <cellStyle name="Normal 4 3 7 3 3 3" xfId="32191"/>
    <cellStyle name="Normal 4 3 7 3 4" xfId="14604"/>
    <cellStyle name="Normal 4 3 7 3 4 2" xfId="37463"/>
    <cellStyle name="Normal 4 3 7 3 5" xfId="25161"/>
    <cellStyle name="Normal 4 3 7 4" xfId="4057"/>
    <cellStyle name="Normal 4 3 7 4 2" xfId="16361"/>
    <cellStyle name="Normal 4 3 7 4 2 2" xfId="39220"/>
    <cellStyle name="Normal 4 3 7 4 3" xfId="26918"/>
    <cellStyle name="Normal 4 3 7 5" xfId="7572"/>
    <cellStyle name="Normal 4 3 7 5 2" xfId="19876"/>
    <cellStyle name="Normal 4 3 7 5 2 2" xfId="42735"/>
    <cellStyle name="Normal 4 3 7 5 3" xfId="30433"/>
    <cellStyle name="Normal 4 3 7 6" xfId="11087"/>
    <cellStyle name="Normal 4 3 7 6 2" xfId="33947"/>
    <cellStyle name="Normal 4 3 7 7" xfId="12846"/>
    <cellStyle name="Normal 4 3 7 7 2" xfId="35705"/>
    <cellStyle name="Normal 4 3 7 8" xfId="23402"/>
    <cellStyle name="Normal 4 3 8" xfId="966"/>
    <cellStyle name="Normal 4 3 8 2" xfId="2727"/>
    <cellStyle name="Normal 4 3 8 2 2" xfId="6242"/>
    <cellStyle name="Normal 4 3 8 2 2 2" xfId="18546"/>
    <cellStyle name="Normal 4 3 8 2 2 2 2" xfId="41405"/>
    <cellStyle name="Normal 4 3 8 2 2 3" xfId="29103"/>
    <cellStyle name="Normal 4 3 8 2 3" xfId="9757"/>
    <cellStyle name="Normal 4 3 8 2 3 2" xfId="22061"/>
    <cellStyle name="Normal 4 3 8 2 3 2 2" xfId="44920"/>
    <cellStyle name="Normal 4 3 8 2 3 3" xfId="32618"/>
    <cellStyle name="Normal 4 3 8 2 4" xfId="15031"/>
    <cellStyle name="Normal 4 3 8 2 4 2" xfId="37890"/>
    <cellStyle name="Normal 4 3 8 2 5" xfId="25588"/>
    <cellStyle name="Normal 4 3 8 3" xfId="4484"/>
    <cellStyle name="Normal 4 3 8 3 2" xfId="16788"/>
    <cellStyle name="Normal 4 3 8 3 2 2" xfId="39647"/>
    <cellStyle name="Normal 4 3 8 3 3" xfId="27345"/>
    <cellStyle name="Normal 4 3 8 4" xfId="7999"/>
    <cellStyle name="Normal 4 3 8 4 2" xfId="20303"/>
    <cellStyle name="Normal 4 3 8 4 2 2" xfId="43162"/>
    <cellStyle name="Normal 4 3 8 4 3" xfId="30860"/>
    <cellStyle name="Normal 4 3 8 5" xfId="11514"/>
    <cellStyle name="Normal 4 3 8 5 2" xfId="34374"/>
    <cellStyle name="Normal 4 3 8 6" xfId="13273"/>
    <cellStyle name="Normal 4 3 8 6 2" xfId="36132"/>
    <cellStyle name="Normal 4 3 8 7" xfId="23829"/>
    <cellStyle name="Normal 4 3 9" xfId="1861"/>
    <cellStyle name="Normal 4 3 9 2" xfId="5376"/>
    <cellStyle name="Normal 4 3 9 2 2" xfId="17680"/>
    <cellStyle name="Normal 4 3 9 2 2 2" xfId="40539"/>
    <cellStyle name="Normal 4 3 9 2 3" xfId="28237"/>
    <cellStyle name="Normal 4 3 9 3" xfId="8891"/>
    <cellStyle name="Normal 4 3 9 3 2" xfId="21195"/>
    <cellStyle name="Normal 4 3 9 3 2 2" xfId="44054"/>
    <cellStyle name="Normal 4 3 9 3 3" xfId="31752"/>
    <cellStyle name="Normal 4 3 9 4" xfId="14165"/>
    <cellStyle name="Normal 4 3 9 4 2" xfId="37024"/>
    <cellStyle name="Normal 4 3 9 5" xfId="24722"/>
    <cellStyle name="Normal 4 4" xfId="99"/>
    <cellStyle name="Normal 4 4 10" xfId="7139"/>
    <cellStyle name="Normal 4 4 10 2" xfId="19443"/>
    <cellStyle name="Normal 4 4 10 2 2" xfId="42302"/>
    <cellStyle name="Normal 4 4 10 3" xfId="30000"/>
    <cellStyle name="Normal 4 4 11" xfId="10654"/>
    <cellStyle name="Normal 4 4 11 2" xfId="33514"/>
    <cellStyle name="Normal 4 4 12" xfId="12413"/>
    <cellStyle name="Normal 4 4 12 2" xfId="35272"/>
    <cellStyle name="Normal 4 4 13" xfId="22966"/>
    <cellStyle name="Normal 4 4 2" xfId="127"/>
    <cellStyle name="Normal 4 4 2 10" xfId="10680"/>
    <cellStyle name="Normal 4 4 2 10 2" xfId="33540"/>
    <cellStyle name="Normal 4 4 2 11" xfId="12439"/>
    <cellStyle name="Normal 4 4 2 11 2" xfId="35298"/>
    <cellStyle name="Normal 4 4 2 12" xfId="22993"/>
    <cellStyle name="Normal 4 4 2 2" xfId="181"/>
    <cellStyle name="Normal 4 4 2 2 10" xfId="12493"/>
    <cellStyle name="Normal 4 4 2 2 10 2" xfId="35352"/>
    <cellStyle name="Normal 4 4 2 2 11" xfId="23047"/>
    <cellStyle name="Normal 4 4 2 2 2" xfId="289"/>
    <cellStyle name="Normal 4 4 2 2 2 10" xfId="23154"/>
    <cellStyle name="Normal 4 4 2 2 2 2" xfId="501"/>
    <cellStyle name="Normal 4 4 2 2 2 2 2" xfId="942"/>
    <cellStyle name="Normal 4 4 2 2 2 2 2 2" xfId="1821"/>
    <cellStyle name="Normal 4 4 2 2 2 2 2 2 2" xfId="3582"/>
    <cellStyle name="Normal 4 4 2 2 2 2 2 2 2 2" xfId="7097"/>
    <cellStyle name="Normal 4 4 2 2 2 2 2 2 2 2 2" xfId="19401"/>
    <cellStyle name="Normal 4 4 2 2 2 2 2 2 2 2 2 2" xfId="42260"/>
    <cellStyle name="Normal 4 4 2 2 2 2 2 2 2 2 3" xfId="29958"/>
    <cellStyle name="Normal 4 4 2 2 2 2 2 2 2 3" xfId="10612"/>
    <cellStyle name="Normal 4 4 2 2 2 2 2 2 2 3 2" xfId="22916"/>
    <cellStyle name="Normal 4 4 2 2 2 2 2 2 2 3 2 2" xfId="45775"/>
    <cellStyle name="Normal 4 4 2 2 2 2 2 2 2 3 3" xfId="33473"/>
    <cellStyle name="Normal 4 4 2 2 2 2 2 2 2 4" xfId="15886"/>
    <cellStyle name="Normal 4 4 2 2 2 2 2 2 2 4 2" xfId="38745"/>
    <cellStyle name="Normal 4 4 2 2 2 2 2 2 2 5" xfId="26443"/>
    <cellStyle name="Normal 4 4 2 2 2 2 2 2 3" xfId="5339"/>
    <cellStyle name="Normal 4 4 2 2 2 2 2 2 3 2" xfId="17643"/>
    <cellStyle name="Normal 4 4 2 2 2 2 2 2 3 2 2" xfId="40502"/>
    <cellStyle name="Normal 4 4 2 2 2 2 2 2 3 3" xfId="28200"/>
    <cellStyle name="Normal 4 4 2 2 2 2 2 2 4" xfId="8854"/>
    <cellStyle name="Normal 4 4 2 2 2 2 2 2 4 2" xfId="21158"/>
    <cellStyle name="Normal 4 4 2 2 2 2 2 2 4 2 2" xfId="44017"/>
    <cellStyle name="Normal 4 4 2 2 2 2 2 2 4 3" xfId="31715"/>
    <cellStyle name="Normal 4 4 2 2 2 2 2 2 5" xfId="12369"/>
    <cellStyle name="Normal 4 4 2 2 2 2 2 2 5 2" xfId="35229"/>
    <cellStyle name="Normal 4 4 2 2 2 2 2 2 6" xfId="14128"/>
    <cellStyle name="Normal 4 4 2 2 2 2 2 2 6 2" xfId="36987"/>
    <cellStyle name="Normal 4 4 2 2 2 2 2 2 7" xfId="24684"/>
    <cellStyle name="Normal 4 4 2 2 2 2 2 3" xfId="2704"/>
    <cellStyle name="Normal 4 4 2 2 2 2 2 3 2" xfId="6219"/>
    <cellStyle name="Normal 4 4 2 2 2 2 2 3 2 2" xfId="18523"/>
    <cellStyle name="Normal 4 4 2 2 2 2 2 3 2 2 2" xfId="41382"/>
    <cellStyle name="Normal 4 4 2 2 2 2 2 3 2 3" xfId="29080"/>
    <cellStyle name="Normal 4 4 2 2 2 2 2 3 3" xfId="9734"/>
    <cellStyle name="Normal 4 4 2 2 2 2 2 3 3 2" xfId="22038"/>
    <cellStyle name="Normal 4 4 2 2 2 2 2 3 3 2 2" xfId="44897"/>
    <cellStyle name="Normal 4 4 2 2 2 2 2 3 3 3" xfId="32595"/>
    <cellStyle name="Normal 4 4 2 2 2 2 2 3 4" xfId="15008"/>
    <cellStyle name="Normal 4 4 2 2 2 2 2 3 4 2" xfId="37867"/>
    <cellStyle name="Normal 4 4 2 2 2 2 2 3 5" xfId="25565"/>
    <cellStyle name="Normal 4 4 2 2 2 2 2 4" xfId="4461"/>
    <cellStyle name="Normal 4 4 2 2 2 2 2 4 2" xfId="16765"/>
    <cellStyle name="Normal 4 4 2 2 2 2 2 4 2 2" xfId="39624"/>
    <cellStyle name="Normal 4 4 2 2 2 2 2 4 3" xfId="27322"/>
    <cellStyle name="Normal 4 4 2 2 2 2 2 5" xfId="7976"/>
    <cellStyle name="Normal 4 4 2 2 2 2 2 5 2" xfId="20280"/>
    <cellStyle name="Normal 4 4 2 2 2 2 2 5 2 2" xfId="43139"/>
    <cellStyle name="Normal 4 4 2 2 2 2 2 5 3" xfId="30837"/>
    <cellStyle name="Normal 4 4 2 2 2 2 2 6" xfId="11491"/>
    <cellStyle name="Normal 4 4 2 2 2 2 2 6 2" xfId="34351"/>
    <cellStyle name="Normal 4 4 2 2 2 2 2 7" xfId="13250"/>
    <cellStyle name="Normal 4 4 2 2 2 2 2 7 2" xfId="36109"/>
    <cellStyle name="Normal 4 4 2 2 2 2 2 8" xfId="23806"/>
    <cellStyle name="Normal 4 4 2 2 2 2 3" xfId="1382"/>
    <cellStyle name="Normal 4 4 2 2 2 2 3 2" xfId="3143"/>
    <cellStyle name="Normal 4 4 2 2 2 2 3 2 2" xfId="6658"/>
    <cellStyle name="Normal 4 4 2 2 2 2 3 2 2 2" xfId="18962"/>
    <cellStyle name="Normal 4 4 2 2 2 2 3 2 2 2 2" xfId="41821"/>
    <cellStyle name="Normal 4 4 2 2 2 2 3 2 2 3" xfId="29519"/>
    <cellStyle name="Normal 4 4 2 2 2 2 3 2 3" xfId="10173"/>
    <cellStyle name="Normal 4 4 2 2 2 2 3 2 3 2" xfId="22477"/>
    <cellStyle name="Normal 4 4 2 2 2 2 3 2 3 2 2" xfId="45336"/>
    <cellStyle name="Normal 4 4 2 2 2 2 3 2 3 3" xfId="33034"/>
    <cellStyle name="Normal 4 4 2 2 2 2 3 2 4" xfId="15447"/>
    <cellStyle name="Normal 4 4 2 2 2 2 3 2 4 2" xfId="38306"/>
    <cellStyle name="Normal 4 4 2 2 2 2 3 2 5" xfId="26004"/>
    <cellStyle name="Normal 4 4 2 2 2 2 3 3" xfId="4900"/>
    <cellStyle name="Normal 4 4 2 2 2 2 3 3 2" xfId="17204"/>
    <cellStyle name="Normal 4 4 2 2 2 2 3 3 2 2" xfId="40063"/>
    <cellStyle name="Normal 4 4 2 2 2 2 3 3 3" xfId="27761"/>
    <cellStyle name="Normal 4 4 2 2 2 2 3 4" xfId="8415"/>
    <cellStyle name="Normal 4 4 2 2 2 2 3 4 2" xfId="20719"/>
    <cellStyle name="Normal 4 4 2 2 2 2 3 4 2 2" xfId="43578"/>
    <cellStyle name="Normal 4 4 2 2 2 2 3 4 3" xfId="31276"/>
    <cellStyle name="Normal 4 4 2 2 2 2 3 5" xfId="11930"/>
    <cellStyle name="Normal 4 4 2 2 2 2 3 5 2" xfId="34790"/>
    <cellStyle name="Normal 4 4 2 2 2 2 3 6" xfId="13689"/>
    <cellStyle name="Normal 4 4 2 2 2 2 3 6 2" xfId="36548"/>
    <cellStyle name="Normal 4 4 2 2 2 2 3 7" xfId="24245"/>
    <cellStyle name="Normal 4 4 2 2 2 2 4" xfId="2265"/>
    <cellStyle name="Normal 4 4 2 2 2 2 4 2" xfId="5780"/>
    <cellStyle name="Normal 4 4 2 2 2 2 4 2 2" xfId="18084"/>
    <cellStyle name="Normal 4 4 2 2 2 2 4 2 2 2" xfId="40943"/>
    <cellStyle name="Normal 4 4 2 2 2 2 4 2 3" xfId="28641"/>
    <cellStyle name="Normal 4 4 2 2 2 2 4 3" xfId="9295"/>
    <cellStyle name="Normal 4 4 2 2 2 2 4 3 2" xfId="21599"/>
    <cellStyle name="Normal 4 4 2 2 2 2 4 3 2 2" xfId="44458"/>
    <cellStyle name="Normal 4 4 2 2 2 2 4 3 3" xfId="32156"/>
    <cellStyle name="Normal 4 4 2 2 2 2 4 4" xfId="14569"/>
    <cellStyle name="Normal 4 4 2 2 2 2 4 4 2" xfId="37428"/>
    <cellStyle name="Normal 4 4 2 2 2 2 4 5" xfId="25126"/>
    <cellStyle name="Normal 4 4 2 2 2 2 5" xfId="4022"/>
    <cellStyle name="Normal 4 4 2 2 2 2 5 2" xfId="16326"/>
    <cellStyle name="Normal 4 4 2 2 2 2 5 2 2" xfId="39185"/>
    <cellStyle name="Normal 4 4 2 2 2 2 5 3" xfId="26883"/>
    <cellStyle name="Normal 4 4 2 2 2 2 6" xfId="7537"/>
    <cellStyle name="Normal 4 4 2 2 2 2 6 2" xfId="19841"/>
    <cellStyle name="Normal 4 4 2 2 2 2 6 2 2" xfId="42700"/>
    <cellStyle name="Normal 4 4 2 2 2 2 6 3" xfId="30398"/>
    <cellStyle name="Normal 4 4 2 2 2 2 7" xfId="11052"/>
    <cellStyle name="Normal 4 4 2 2 2 2 7 2" xfId="33912"/>
    <cellStyle name="Normal 4 4 2 2 2 2 8" xfId="12811"/>
    <cellStyle name="Normal 4 4 2 2 2 2 8 2" xfId="35670"/>
    <cellStyle name="Normal 4 4 2 2 2 2 9" xfId="23366"/>
    <cellStyle name="Normal 4 4 2 2 2 3" xfId="730"/>
    <cellStyle name="Normal 4 4 2 2 2 3 2" xfId="1609"/>
    <cellStyle name="Normal 4 4 2 2 2 3 2 2" xfId="3370"/>
    <cellStyle name="Normal 4 4 2 2 2 3 2 2 2" xfId="6885"/>
    <cellStyle name="Normal 4 4 2 2 2 3 2 2 2 2" xfId="19189"/>
    <cellStyle name="Normal 4 4 2 2 2 3 2 2 2 2 2" xfId="42048"/>
    <cellStyle name="Normal 4 4 2 2 2 3 2 2 2 3" xfId="29746"/>
    <cellStyle name="Normal 4 4 2 2 2 3 2 2 3" xfId="10400"/>
    <cellStyle name="Normal 4 4 2 2 2 3 2 2 3 2" xfId="22704"/>
    <cellStyle name="Normal 4 4 2 2 2 3 2 2 3 2 2" xfId="45563"/>
    <cellStyle name="Normal 4 4 2 2 2 3 2 2 3 3" xfId="33261"/>
    <cellStyle name="Normal 4 4 2 2 2 3 2 2 4" xfId="15674"/>
    <cellStyle name="Normal 4 4 2 2 2 3 2 2 4 2" xfId="38533"/>
    <cellStyle name="Normal 4 4 2 2 2 3 2 2 5" xfId="26231"/>
    <cellStyle name="Normal 4 4 2 2 2 3 2 3" xfId="5127"/>
    <cellStyle name="Normal 4 4 2 2 2 3 2 3 2" xfId="17431"/>
    <cellStyle name="Normal 4 4 2 2 2 3 2 3 2 2" xfId="40290"/>
    <cellStyle name="Normal 4 4 2 2 2 3 2 3 3" xfId="27988"/>
    <cellStyle name="Normal 4 4 2 2 2 3 2 4" xfId="8642"/>
    <cellStyle name="Normal 4 4 2 2 2 3 2 4 2" xfId="20946"/>
    <cellStyle name="Normal 4 4 2 2 2 3 2 4 2 2" xfId="43805"/>
    <cellStyle name="Normal 4 4 2 2 2 3 2 4 3" xfId="31503"/>
    <cellStyle name="Normal 4 4 2 2 2 3 2 5" xfId="12157"/>
    <cellStyle name="Normal 4 4 2 2 2 3 2 5 2" xfId="35017"/>
    <cellStyle name="Normal 4 4 2 2 2 3 2 6" xfId="13916"/>
    <cellStyle name="Normal 4 4 2 2 2 3 2 6 2" xfId="36775"/>
    <cellStyle name="Normal 4 4 2 2 2 3 2 7" xfId="24472"/>
    <cellStyle name="Normal 4 4 2 2 2 3 3" xfId="2492"/>
    <cellStyle name="Normal 4 4 2 2 2 3 3 2" xfId="6007"/>
    <cellStyle name="Normal 4 4 2 2 2 3 3 2 2" xfId="18311"/>
    <cellStyle name="Normal 4 4 2 2 2 3 3 2 2 2" xfId="41170"/>
    <cellStyle name="Normal 4 4 2 2 2 3 3 2 3" xfId="28868"/>
    <cellStyle name="Normal 4 4 2 2 2 3 3 3" xfId="9522"/>
    <cellStyle name="Normal 4 4 2 2 2 3 3 3 2" xfId="21826"/>
    <cellStyle name="Normal 4 4 2 2 2 3 3 3 2 2" xfId="44685"/>
    <cellStyle name="Normal 4 4 2 2 2 3 3 3 3" xfId="32383"/>
    <cellStyle name="Normal 4 4 2 2 2 3 3 4" xfId="14796"/>
    <cellStyle name="Normal 4 4 2 2 2 3 3 4 2" xfId="37655"/>
    <cellStyle name="Normal 4 4 2 2 2 3 3 5" xfId="25353"/>
    <cellStyle name="Normal 4 4 2 2 2 3 4" xfId="4249"/>
    <cellStyle name="Normal 4 4 2 2 2 3 4 2" xfId="16553"/>
    <cellStyle name="Normal 4 4 2 2 2 3 4 2 2" xfId="39412"/>
    <cellStyle name="Normal 4 4 2 2 2 3 4 3" xfId="27110"/>
    <cellStyle name="Normal 4 4 2 2 2 3 5" xfId="7764"/>
    <cellStyle name="Normal 4 4 2 2 2 3 5 2" xfId="20068"/>
    <cellStyle name="Normal 4 4 2 2 2 3 5 2 2" xfId="42927"/>
    <cellStyle name="Normal 4 4 2 2 2 3 5 3" xfId="30625"/>
    <cellStyle name="Normal 4 4 2 2 2 3 6" xfId="11279"/>
    <cellStyle name="Normal 4 4 2 2 2 3 6 2" xfId="34139"/>
    <cellStyle name="Normal 4 4 2 2 2 3 7" xfId="13038"/>
    <cellStyle name="Normal 4 4 2 2 2 3 7 2" xfId="35897"/>
    <cellStyle name="Normal 4 4 2 2 2 3 8" xfId="23594"/>
    <cellStyle name="Normal 4 4 2 2 2 4" xfId="1170"/>
    <cellStyle name="Normal 4 4 2 2 2 4 2" xfId="2931"/>
    <cellStyle name="Normal 4 4 2 2 2 4 2 2" xfId="6446"/>
    <cellStyle name="Normal 4 4 2 2 2 4 2 2 2" xfId="18750"/>
    <cellStyle name="Normal 4 4 2 2 2 4 2 2 2 2" xfId="41609"/>
    <cellStyle name="Normal 4 4 2 2 2 4 2 2 3" xfId="29307"/>
    <cellStyle name="Normal 4 4 2 2 2 4 2 3" xfId="9961"/>
    <cellStyle name="Normal 4 4 2 2 2 4 2 3 2" xfId="22265"/>
    <cellStyle name="Normal 4 4 2 2 2 4 2 3 2 2" xfId="45124"/>
    <cellStyle name="Normal 4 4 2 2 2 4 2 3 3" xfId="32822"/>
    <cellStyle name="Normal 4 4 2 2 2 4 2 4" xfId="15235"/>
    <cellStyle name="Normal 4 4 2 2 2 4 2 4 2" xfId="38094"/>
    <cellStyle name="Normal 4 4 2 2 2 4 2 5" xfId="25792"/>
    <cellStyle name="Normal 4 4 2 2 2 4 3" xfId="4688"/>
    <cellStyle name="Normal 4 4 2 2 2 4 3 2" xfId="16992"/>
    <cellStyle name="Normal 4 4 2 2 2 4 3 2 2" xfId="39851"/>
    <cellStyle name="Normal 4 4 2 2 2 4 3 3" xfId="27549"/>
    <cellStyle name="Normal 4 4 2 2 2 4 4" xfId="8203"/>
    <cellStyle name="Normal 4 4 2 2 2 4 4 2" xfId="20507"/>
    <cellStyle name="Normal 4 4 2 2 2 4 4 2 2" xfId="43366"/>
    <cellStyle name="Normal 4 4 2 2 2 4 4 3" xfId="31064"/>
    <cellStyle name="Normal 4 4 2 2 2 4 5" xfId="11718"/>
    <cellStyle name="Normal 4 4 2 2 2 4 5 2" xfId="34578"/>
    <cellStyle name="Normal 4 4 2 2 2 4 6" xfId="13477"/>
    <cellStyle name="Normal 4 4 2 2 2 4 6 2" xfId="36336"/>
    <cellStyle name="Normal 4 4 2 2 2 4 7" xfId="24033"/>
    <cellStyle name="Normal 4 4 2 2 2 5" xfId="2053"/>
    <cellStyle name="Normal 4 4 2 2 2 5 2" xfId="5568"/>
    <cellStyle name="Normal 4 4 2 2 2 5 2 2" xfId="17872"/>
    <cellStyle name="Normal 4 4 2 2 2 5 2 2 2" xfId="40731"/>
    <cellStyle name="Normal 4 4 2 2 2 5 2 3" xfId="28429"/>
    <cellStyle name="Normal 4 4 2 2 2 5 3" xfId="9083"/>
    <cellStyle name="Normal 4 4 2 2 2 5 3 2" xfId="21387"/>
    <cellStyle name="Normal 4 4 2 2 2 5 3 2 2" xfId="44246"/>
    <cellStyle name="Normal 4 4 2 2 2 5 3 3" xfId="31944"/>
    <cellStyle name="Normal 4 4 2 2 2 5 4" xfId="14357"/>
    <cellStyle name="Normal 4 4 2 2 2 5 4 2" xfId="37216"/>
    <cellStyle name="Normal 4 4 2 2 2 5 5" xfId="24914"/>
    <cellStyle name="Normal 4 4 2 2 2 6" xfId="3810"/>
    <cellStyle name="Normal 4 4 2 2 2 6 2" xfId="16114"/>
    <cellStyle name="Normal 4 4 2 2 2 6 2 2" xfId="38973"/>
    <cellStyle name="Normal 4 4 2 2 2 6 3" xfId="26671"/>
    <cellStyle name="Normal 4 4 2 2 2 7" xfId="7325"/>
    <cellStyle name="Normal 4 4 2 2 2 7 2" xfId="19629"/>
    <cellStyle name="Normal 4 4 2 2 2 7 2 2" xfId="42488"/>
    <cellStyle name="Normal 4 4 2 2 2 7 3" xfId="30186"/>
    <cellStyle name="Normal 4 4 2 2 2 8" xfId="10840"/>
    <cellStyle name="Normal 4 4 2 2 2 8 2" xfId="33700"/>
    <cellStyle name="Normal 4 4 2 2 2 9" xfId="12599"/>
    <cellStyle name="Normal 4 4 2 2 2 9 2" xfId="35458"/>
    <cellStyle name="Normal 4 4 2 2 3" xfId="395"/>
    <cellStyle name="Normal 4 4 2 2 3 2" xfId="836"/>
    <cellStyle name="Normal 4 4 2 2 3 2 2" xfId="1715"/>
    <cellStyle name="Normal 4 4 2 2 3 2 2 2" xfId="3476"/>
    <cellStyle name="Normal 4 4 2 2 3 2 2 2 2" xfId="6991"/>
    <cellStyle name="Normal 4 4 2 2 3 2 2 2 2 2" xfId="19295"/>
    <cellStyle name="Normal 4 4 2 2 3 2 2 2 2 2 2" xfId="42154"/>
    <cellStyle name="Normal 4 4 2 2 3 2 2 2 2 3" xfId="29852"/>
    <cellStyle name="Normal 4 4 2 2 3 2 2 2 3" xfId="10506"/>
    <cellStyle name="Normal 4 4 2 2 3 2 2 2 3 2" xfId="22810"/>
    <cellStyle name="Normal 4 4 2 2 3 2 2 2 3 2 2" xfId="45669"/>
    <cellStyle name="Normal 4 4 2 2 3 2 2 2 3 3" xfId="33367"/>
    <cellStyle name="Normal 4 4 2 2 3 2 2 2 4" xfId="15780"/>
    <cellStyle name="Normal 4 4 2 2 3 2 2 2 4 2" xfId="38639"/>
    <cellStyle name="Normal 4 4 2 2 3 2 2 2 5" xfId="26337"/>
    <cellStyle name="Normal 4 4 2 2 3 2 2 3" xfId="5233"/>
    <cellStyle name="Normal 4 4 2 2 3 2 2 3 2" xfId="17537"/>
    <cellStyle name="Normal 4 4 2 2 3 2 2 3 2 2" xfId="40396"/>
    <cellStyle name="Normal 4 4 2 2 3 2 2 3 3" xfId="28094"/>
    <cellStyle name="Normal 4 4 2 2 3 2 2 4" xfId="8748"/>
    <cellStyle name="Normal 4 4 2 2 3 2 2 4 2" xfId="21052"/>
    <cellStyle name="Normal 4 4 2 2 3 2 2 4 2 2" xfId="43911"/>
    <cellStyle name="Normal 4 4 2 2 3 2 2 4 3" xfId="31609"/>
    <cellStyle name="Normal 4 4 2 2 3 2 2 5" xfId="12263"/>
    <cellStyle name="Normal 4 4 2 2 3 2 2 5 2" xfId="35123"/>
    <cellStyle name="Normal 4 4 2 2 3 2 2 6" xfId="14022"/>
    <cellStyle name="Normal 4 4 2 2 3 2 2 6 2" xfId="36881"/>
    <cellStyle name="Normal 4 4 2 2 3 2 2 7" xfId="24578"/>
    <cellStyle name="Normal 4 4 2 2 3 2 3" xfId="2598"/>
    <cellStyle name="Normal 4 4 2 2 3 2 3 2" xfId="6113"/>
    <cellStyle name="Normal 4 4 2 2 3 2 3 2 2" xfId="18417"/>
    <cellStyle name="Normal 4 4 2 2 3 2 3 2 2 2" xfId="41276"/>
    <cellStyle name="Normal 4 4 2 2 3 2 3 2 3" xfId="28974"/>
    <cellStyle name="Normal 4 4 2 2 3 2 3 3" xfId="9628"/>
    <cellStyle name="Normal 4 4 2 2 3 2 3 3 2" xfId="21932"/>
    <cellStyle name="Normal 4 4 2 2 3 2 3 3 2 2" xfId="44791"/>
    <cellStyle name="Normal 4 4 2 2 3 2 3 3 3" xfId="32489"/>
    <cellStyle name="Normal 4 4 2 2 3 2 3 4" xfId="14902"/>
    <cellStyle name="Normal 4 4 2 2 3 2 3 4 2" xfId="37761"/>
    <cellStyle name="Normal 4 4 2 2 3 2 3 5" xfId="25459"/>
    <cellStyle name="Normal 4 4 2 2 3 2 4" xfId="4355"/>
    <cellStyle name="Normal 4 4 2 2 3 2 4 2" xfId="16659"/>
    <cellStyle name="Normal 4 4 2 2 3 2 4 2 2" xfId="39518"/>
    <cellStyle name="Normal 4 4 2 2 3 2 4 3" xfId="27216"/>
    <cellStyle name="Normal 4 4 2 2 3 2 5" xfId="7870"/>
    <cellStyle name="Normal 4 4 2 2 3 2 5 2" xfId="20174"/>
    <cellStyle name="Normal 4 4 2 2 3 2 5 2 2" xfId="43033"/>
    <cellStyle name="Normal 4 4 2 2 3 2 5 3" xfId="30731"/>
    <cellStyle name="Normal 4 4 2 2 3 2 6" xfId="11385"/>
    <cellStyle name="Normal 4 4 2 2 3 2 6 2" xfId="34245"/>
    <cellStyle name="Normal 4 4 2 2 3 2 7" xfId="13144"/>
    <cellStyle name="Normal 4 4 2 2 3 2 7 2" xfId="36003"/>
    <cellStyle name="Normal 4 4 2 2 3 2 8" xfId="23700"/>
    <cellStyle name="Normal 4 4 2 2 3 3" xfId="1276"/>
    <cellStyle name="Normal 4 4 2 2 3 3 2" xfId="3037"/>
    <cellStyle name="Normal 4 4 2 2 3 3 2 2" xfId="6552"/>
    <cellStyle name="Normal 4 4 2 2 3 3 2 2 2" xfId="18856"/>
    <cellStyle name="Normal 4 4 2 2 3 3 2 2 2 2" xfId="41715"/>
    <cellStyle name="Normal 4 4 2 2 3 3 2 2 3" xfId="29413"/>
    <cellStyle name="Normal 4 4 2 2 3 3 2 3" xfId="10067"/>
    <cellStyle name="Normal 4 4 2 2 3 3 2 3 2" xfId="22371"/>
    <cellStyle name="Normal 4 4 2 2 3 3 2 3 2 2" xfId="45230"/>
    <cellStyle name="Normal 4 4 2 2 3 3 2 3 3" xfId="32928"/>
    <cellStyle name="Normal 4 4 2 2 3 3 2 4" xfId="15341"/>
    <cellStyle name="Normal 4 4 2 2 3 3 2 4 2" xfId="38200"/>
    <cellStyle name="Normal 4 4 2 2 3 3 2 5" xfId="25898"/>
    <cellStyle name="Normal 4 4 2 2 3 3 3" xfId="4794"/>
    <cellStyle name="Normal 4 4 2 2 3 3 3 2" xfId="17098"/>
    <cellStyle name="Normal 4 4 2 2 3 3 3 2 2" xfId="39957"/>
    <cellStyle name="Normal 4 4 2 2 3 3 3 3" xfId="27655"/>
    <cellStyle name="Normal 4 4 2 2 3 3 4" xfId="8309"/>
    <cellStyle name="Normal 4 4 2 2 3 3 4 2" xfId="20613"/>
    <cellStyle name="Normal 4 4 2 2 3 3 4 2 2" xfId="43472"/>
    <cellStyle name="Normal 4 4 2 2 3 3 4 3" xfId="31170"/>
    <cellStyle name="Normal 4 4 2 2 3 3 5" xfId="11824"/>
    <cellStyle name="Normal 4 4 2 2 3 3 5 2" xfId="34684"/>
    <cellStyle name="Normal 4 4 2 2 3 3 6" xfId="13583"/>
    <cellStyle name="Normal 4 4 2 2 3 3 6 2" xfId="36442"/>
    <cellStyle name="Normal 4 4 2 2 3 3 7" xfId="24139"/>
    <cellStyle name="Normal 4 4 2 2 3 4" xfId="2159"/>
    <cellStyle name="Normal 4 4 2 2 3 4 2" xfId="5674"/>
    <cellStyle name="Normal 4 4 2 2 3 4 2 2" xfId="17978"/>
    <cellStyle name="Normal 4 4 2 2 3 4 2 2 2" xfId="40837"/>
    <cellStyle name="Normal 4 4 2 2 3 4 2 3" xfId="28535"/>
    <cellStyle name="Normal 4 4 2 2 3 4 3" xfId="9189"/>
    <cellStyle name="Normal 4 4 2 2 3 4 3 2" xfId="21493"/>
    <cellStyle name="Normal 4 4 2 2 3 4 3 2 2" xfId="44352"/>
    <cellStyle name="Normal 4 4 2 2 3 4 3 3" xfId="32050"/>
    <cellStyle name="Normal 4 4 2 2 3 4 4" xfId="14463"/>
    <cellStyle name="Normal 4 4 2 2 3 4 4 2" xfId="37322"/>
    <cellStyle name="Normal 4 4 2 2 3 4 5" xfId="25020"/>
    <cellStyle name="Normal 4 4 2 2 3 5" xfId="3916"/>
    <cellStyle name="Normal 4 4 2 2 3 5 2" xfId="16220"/>
    <cellStyle name="Normal 4 4 2 2 3 5 2 2" xfId="39079"/>
    <cellStyle name="Normal 4 4 2 2 3 5 3" xfId="26777"/>
    <cellStyle name="Normal 4 4 2 2 3 6" xfId="7431"/>
    <cellStyle name="Normal 4 4 2 2 3 6 2" xfId="19735"/>
    <cellStyle name="Normal 4 4 2 2 3 6 2 2" xfId="42594"/>
    <cellStyle name="Normal 4 4 2 2 3 6 3" xfId="30292"/>
    <cellStyle name="Normal 4 4 2 2 3 7" xfId="10946"/>
    <cellStyle name="Normal 4 4 2 2 3 7 2" xfId="33806"/>
    <cellStyle name="Normal 4 4 2 2 3 8" xfId="12705"/>
    <cellStyle name="Normal 4 4 2 2 3 8 2" xfId="35564"/>
    <cellStyle name="Normal 4 4 2 2 3 9" xfId="23260"/>
    <cellStyle name="Normal 4 4 2 2 4" xfId="624"/>
    <cellStyle name="Normal 4 4 2 2 4 2" xfId="1503"/>
    <cellStyle name="Normal 4 4 2 2 4 2 2" xfId="3264"/>
    <cellStyle name="Normal 4 4 2 2 4 2 2 2" xfId="6779"/>
    <cellStyle name="Normal 4 4 2 2 4 2 2 2 2" xfId="19083"/>
    <cellStyle name="Normal 4 4 2 2 4 2 2 2 2 2" xfId="41942"/>
    <cellStyle name="Normal 4 4 2 2 4 2 2 2 3" xfId="29640"/>
    <cellStyle name="Normal 4 4 2 2 4 2 2 3" xfId="10294"/>
    <cellStyle name="Normal 4 4 2 2 4 2 2 3 2" xfId="22598"/>
    <cellStyle name="Normal 4 4 2 2 4 2 2 3 2 2" xfId="45457"/>
    <cellStyle name="Normal 4 4 2 2 4 2 2 3 3" xfId="33155"/>
    <cellStyle name="Normal 4 4 2 2 4 2 2 4" xfId="15568"/>
    <cellStyle name="Normal 4 4 2 2 4 2 2 4 2" xfId="38427"/>
    <cellStyle name="Normal 4 4 2 2 4 2 2 5" xfId="26125"/>
    <cellStyle name="Normal 4 4 2 2 4 2 3" xfId="5021"/>
    <cellStyle name="Normal 4 4 2 2 4 2 3 2" xfId="17325"/>
    <cellStyle name="Normal 4 4 2 2 4 2 3 2 2" xfId="40184"/>
    <cellStyle name="Normal 4 4 2 2 4 2 3 3" xfId="27882"/>
    <cellStyle name="Normal 4 4 2 2 4 2 4" xfId="8536"/>
    <cellStyle name="Normal 4 4 2 2 4 2 4 2" xfId="20840"/>
    <cellStyle name="Normal 4 4 2 2 4 2 4 2 2" xfId="43699"/>
    <cellStyle name="Normal 4 4 2 2 4 2 4 3" xfId="31397"/>
    <cellStyle name="Normal 4 4 2 2 4 2 5" xfId="12051"/>
    <cellStyle name="Normal 4 4 2 2 4 2 5 2" xfId="34911"/>
    <cellStyle name="Normal 4 4 2 2 4 2 6" xfId="13810"/>
    <cellStyle name="Normal 4 4 2 2 4 2 6 2" xfId="36669"/>
    <cellStyle name="Normal 4 4 2 2 4 2 7" xfId="24366"/>
    <cellStyle name="Normal 4 4 2 2 4 3" xfId="2386"/>
    <cellStyle name="Normal 4 4 2 2 4 3 2" xfId="5901"/>
    <cellStyle name="Normal 4 4 2 2 4 3 2 2" xfId="18205"/>
    <cellStyle name="Normal 4 4 2 2 4 3 2 2 2" xfId="41064"/>
    <cellStyle name="Normal 4 4 2 2 4 3 2 3" xfId="28762"/>
    <cellStyle name="Normal 4 4 2 2 4 3 3" xfId="9416"/>
    <cellStyle name="Normal 4 4 2 2 4 3 3 2" xfId="21720"/>
    <cellStyle name="Normal 4 4 2 2 4 3 3 2 2" xfId="44579"/>
    <cellStyle name="Normal 4 4 2 2 4 3 3 3" xfId="32277"/>
    <cellStyle name="Normal 4 4 2 2 4 3 4" xfId="14690"/>
    <cellStyle name="Normal 4 4 2 2 4 3 4 2" xfId="37549"/>
    <cellStyle name="Normal 4 4 2 2 4 3 5" xfId="25247"/>
    <cellStyle name="Normal 4 4 2 2 4 4" xfId="4143"/>
    <cellStyle name="Normal 4 4 2 2 4 4 2" xfId="16447"/>
    <cellStyle name="Normal 4 4 2 2 4 4 2 2" xfId="39306"/>
    <cellStyle name="Normal 4 4 2 2 4 4 3" xfId="27004"/>
    <cellStyle name="Normal 4 4 2 2 4 5" xfId="7658"/>
    <cellStyle name="Normal 4 4 2 2 4 5 2" xfId="19962"/>
    <cellStyle name="Normal 4 4 2 2 4 5 2 2" xfId="42821"/>
    <cellStyle name="Normal 4 4 2 2 4 5 3" xfId="30519"/>
    <cellStyle name="Normal 4 4 2 2 4 6" xfId="11173"/>
    <cellStyle name="Normal 4 4 2 2 4 6 2" xfId="34033"/>
    <cellStyle name="Normal 4 4 2 2 4 7" xfId="12932"/>
    <cellStyle name="Normal 4 4 2 2 4 7 2" xfId="35791"/>
    <cellStyle name="Normal 4 4 2 2 4 8" xfId="23488"/>
    <cellStyle name="Normal 4 4 2 2 5" xfId="1064"/>
    <cellStyle name="Normal 4 4 2 2 5 2" xfId="2825"/>
    <cellStyle name="Normal 4 4 2 2 5 2 2" xfId="6340"/>
    <cellStyle name="Normal 4 4 2 2 5 2 2 2" xfId="18644"/>
    <cellStyle name="Normal 4 4 2 2 5 2 2 2 2" xfId="41503"/>
    <cellStyle name="Normal 4 4 2 2 5 2 2 3" xfId="29201"/>
    <cellStyle name="Normal 4 4 2 2 5 2 3" xfId="9855"/>
    <cellStyle name="Normal 4 4 2 2 5 2 3 2" xfId="22159"/>
    <cellStyle name="Normal 4 4 2 2 5 2 3 2 2" xfId="45018"/>
    <cellStyle name="Normal 4 4 2 2 5 2 3 3" xfId="32716"/>
    <cellStyle name="Normal 4 4 2 2 5 2 4" xfId="15129"/>
    <cellStyle name="Normal 4 4 2 2 5 2 4 2" xfId="37988"/>
    <cellStyle name="Normal 4 4 2 2 5 2 5" xfId="25686"/>
    <cellStyle name="Normal 4 4 2 2 5 3" xfId="4582"/>
    <cellStyle name="Normal 4 4 2 2 5 3 2" xfId="16886"/>
    <cellStyle name="Normal 4 4 2 2 5 3 2 2" xfId="39745"/>
    <cellStyle name="Normal 4 4 2 2 5 3 3" xfId="27443"/>
    <cellStyle name="Normal 4 4 2 2 5 4" xfId="8097"/>
    <cellStyle name="Normal 4 4 2 2 5 4 2" xfId="20401"/>
    <cellStyle name="Normal 4 4 2 2 5 4 2 2" xfId="43260"/>
    <cellStyle name="Normal 4 4 2 2 5 4 3" xfId="30958"/>
    <cellStyle name="Normal 4 4 2 2 5 5" xfId="11612"/>
    <cellStyle name="Normal 4 4 2 2 5 5 2" xfId="34472"/>
    <cellStyle name="Normal 4 4 2 2 5 6" xfId="13371"/>
    <cellStyle name="Normal 4 4 2 2 5 6 2" xfId="36230"/>
    <cellStyle name="Normal 4 4 2 2 5 7" xfId="23927"/>
    <cellStyle name="Normal 4 4 2 2 6" xfId="1947"/>
    <cellStyle name="Normal 4 4 2 2 6 2" xfId="5462"/>
    <cellStyle name="Normal 4 4 2 2 6 2 2" xfId="17766"/>
    <cellStyle name="Normal 4 4 2 2 6 2 2 2" xfId="40625"/>
    <cellStyle name="Normal 4 4 2 2 6 2 3" xfId="28323"/>
    <cellStyle name="Normal 4 4 2 2 6 3" xfId="8977"/>
    <cellStyle name="Normal 4 4 2 2 6 3 2" xfId="21281"/>
    <cellStyle name="Normal 4 4 2 2 6 3 2 2" xfId="44140"/>
    <cellStyle name="Normal 4 4 2 2 6 3 3" xfId="31838"/>
    <cellStyle name="Normal 4 4 2 2 6 4" xfId="14251"/>
    <cellStyle name="Normal 4 4 2 2 6 4 2" xfId="37110"/>
    <cellStyle name="Normal 4 4 2 2 6 5" xfId="24808"/>
    <cellStyle name="Normal 4 4 2 2 7" xfId="3704"/>
    <cellStyle name="Normal 4 4 2 2 7 2" xfId="16008"/>
    <cellStyle name="Normal 4 4 2 2 7 2 2" xfId="38867"/>
    <cellStyle name="Normal 4 4 2 2 7 3" xfId="26565"/>
    <cellStyle name="Normal 4 4 2 2 8" xfId="7219"/>
    <cellStyle name="Normal 4 4 2 2 8 2" xfId="19523"/>
    <cellStyle name="Normal 4 4 2 2 8 2 2" xfId="42382"/>
    <cellStyle name="Normal 4 4 2 2 8 3" xfId="30080"/>
    <cellStyle name="Normal 4 4 2 2 9" xfId="10734"/>
    <cellStyle name="Normal 4 4 2 2 9 2" xfId="33594"/>
    <cellStyle name="Normal 4 4 2 3" xfId="235"/>
    <cellStyle name="Normal 4 4 2 3 10" xfId="23100"/>
    <cellStyle name="Normal 4 4 2 3 2" xfId="447"/>
    <cellStyle name="Normal 4 4 2 3 2 2" xfId="888"/>
    <cellStyle name="Normal 4 4 2 3 2 2 2" xfId="1767"/>
    <cellStyle name="Normal 4 4 2 3 2 2 2 2" xfId="3528"/>
    <cellStyle name="Normal 4 4 2 3 2 2 2 2 2" xfId="7043"/>
    <cellStyle name="Normal 4 4 2 3 2 2 2 2 2 2" xfId="19347"/>
    <cellStyle name="Normal 4 4 2 3 2 2 2 2 2 2 2" xfId="42206"/>
    <cellStyle name="Normal 4 4 2 3 2 2 2 2 2 3" xfId="29904"/>
    <cellStyle name="Normal 4 4 2 3 2 2 2 2 3" xfId="10558"/>
    <cellStyle name="Normal 4 4 2 3 2 2 2 2 3 2" xfId="22862"/>
    <cellStyle name="Normal 4 4 2 3 2 2 2 2 3 2 2" xfId="45721"/>
    <cellStyle name="Normal 4 4 2 3 2 2 2 2 3 3" xfId="33419"/>
    <cellStyle name="Normal 4 4 2 3 2 2 2 2 4" xfId="15832"/>
    <cellStyle name="Normal 4 4 2 3 2 2 2 2 4 2" xfId="38691"/>
    <cellStyle name="Normal 4 4 2 3 2 2 2 2 5" xfId="26389"/>
    <cellStyle name="Normal 4 4 2 3 2 2 2 3" xfId="5285"/>
    <cellStyle name="Normal 4 4 2 3 2 2 2 3 2" xfId="17589"/>
    <cellStyle name="Normal 4 4 2 3 2 2 2 3 2 2" xfId="40448"/>
    <cellStyle name="Normal 4 4 2 3 2 2 2 3 3" xfId="28146"/>
    <cellStyle name="Normal 4 4 2 3 2 2 2 4" xfId="8800"/>
    <cellStyle name="Normal 4 4 2 3 2 2 2 4 2" xfId="21104"/>
    <cellStyle name="Normal 4 4 2 3 2 2 2 4 2 2" xfId="43963"/>
    <cellStyle name="Normal 4 4 2 3 2 2 2 4 3" xfId="31661"/>
    <cellStyle name="Normal 4 4 2 3 2 2 2 5" xfId="12315"/>
    <cellStyle name="Normal 4 4 2 3 2 2 2 5 2" xfId="35175"/>
    <cellStyle name="Normal 4 4 2 3 2 2 2 6" xfId="14074"/>
    <cellStyle name="Normal 4 4 2 3 2 2 2 6 2" xfId="36933"/>
    <cellStyle name="Normal 4 4 2 3 2 2 2 7" xfId="24630"/>
    <cellStyle name="Normal 4 4 2 3 2 2 3" xfId="2650"/>
    <cellStyle name="Normal 4 4 2 3 2 2 3 2" xfId="6165"/>
    <cellStyle name="Normal 4 4 2 3 2 2 3 2 2" xfId="18469"/>
    <cellStyle name="Normal 4 4 2 3 2 2 3 2 2 2" xfId="41328"/>
    <cellStyle name="Normal 4 4 2 3 2 2 3 2 3" xfId="29026"/>
    <cellStyle name="Normal 4 4 2 3 2 2 3 3" xfId="9680"/>
    <cellStyle name="Normal 4 4 2 3 2 2 3 3 2" xfId="21984"/>
    <cellStyle name="Normal 4 4 2 3 2 2 3 3 2 2" xfId="44843"/>
    <cellStyle name="Normal 4 4 2 3 2 2 3 3 3" xfId="32541"/>
    <cellStyle name="Normal 4 4 2 3 2 2 3 4" xfId="14954"/>
    <cellStyle name="Normal 4 4 2 3 2 2 3 4 2" xfId="37813"/>
    <cellStyle name="Normal 4 4 2 3 2 2 3 5" xfId="25511"/>
    <cellStyle name="Normal 4 4 2 3 2 2 4" xfId="4407"/>
    <cellStyle name="Normal 4 4 2 3 2 2 4 2" xfId="16711"/>
    <cellStyle name="Normal 4 4 2 3 2 2 4 2 2" xfId="39570"/>
    <cellStyle name="Normal 4 4 2 3 2 2 4 3" xfId="27268"/>
    <cellStyle name="Normal 4 4 2 3 2 2 5" xfId="7922"/>
    <cellStyle name="Normal 4 4 2 3 2 2 5 2" xfId="20226"/>
    <cellStyle name="Normal 4 4 2 3 2 2 5 2 2" xfId="43085"/>
    <cellStyle name="Normal 4 4 2 3 2 2 5 3" xfId="30783"/>
    <cellStyle name="Normal 4 4 2 3 2 2 6" xfId="11437"/>
    <cellStyle name="Normal 4 4 2 3 2 2 6 2" xfId="34297"/>
    <cellStyle name="Normal 4 4 2 3 2 2 7" xfId="13196"/>
    <cellStyle name="Normal 4 4 2 3 2 2 7 2" xfId="36055"/>
    <cellStyle name="Normal 4 4 2 3 2 2 8" xfId="23752"/>
    <cellStyle name="Normal 4 4 2 3 2 3" xfId="1328"/>
    <cellStyle name="Normal 4 4 2 3 2 3 2" xfId="3089"/>
    <cellStyle name="Normal 4 4 2 3 2 3 2 2" xfId="6604"/>
    <cellStyle name="Normal 4 4 2 3 2 3 2 2 2" xfId="18908"/>
    <cellStyle name="Normal 4 4 2 3 2 3 2 2 2 2" xfId="41767"/>
    <cellStyle name="Normal 4 4 2 3 2 3 2 2 3" xfId="29465"/>
    <cellStyle name="Normal 4 4 2 3 2 3 2 3" xfId="10119"/>
    <cellStyle name="Normal 4 4 2 3 2 3 2 3 2" xfId="22423"/>
    <cellStyle name="Normal 4 4 2 3 2 3 2 3 2 2" xfId="45282"/>
    <cellStyle name="Normal 4 4 2 3 2 3 2 3 3" xfId="32980"/>
    <cellStyle name="Normal 4 4 2 3 2 3 2 4" xfId="15393"/>
    <cellStyle name="Normal 4 4 2 3 2 3 2 4 2" xfId="38252"/>
    <cellStyle name="Normal 4 4 2 3 2 3 2 5" xfId="25950"/>
    <cellStyle name="Normal 4 4 2 3 2 3 3" xfId="4846"/>
    <cellStyle name="Normal 4 4 2 3 2 3 3 2" xfId="17150"/>
    <cellStyle name="Normal 4 4 2 3 2 3 3 2 2" xfId="40009"/>
    <cellStyle name="Normal 4 4 2 3 2 3 3 3" xfId="27707"/>
    <cellStyle name="Normal 4 4 2 3 2 3 4" xfId="8361"/>
    <cellStyle name="Normal 4 4 2 3 2 3 4 2" xfId="20665"/>
    <cellStyle name="Normal 4 4 2 3 2 3 4 2 2" xfId="43524"/>
    <cellStyle name="Normal 4 4 2 3 2 3 4 3" xfId="31222"/>
    <cellStyle name="Normal 4 4 2 3 2 3 5" xfId="11876"/>
    <cellStyle name="Normal 4 4 2 3 2 3 5 2" xfId="34736"/>
    <cellStyle name="Normal 4 4 2 3 2 3 6" xfId="13635"/>
    <cellStyle name="Normal 4 4 2 3 2 3 6 2" xfId="36494"/>
    <cellStyle name="Normal 4 4 2 3 2 3 7" xfId="24191"/>
    <cellStyle name="Normal 4 4 2 3 2 4" xfId="2211"/>
    <cellStyle name="Normal 4 4 2 3 2 4 2" xfId="5726"/>
    <cellStyle name="Normal 4 4 2 3 2 4 2 2" xfId="18030"/>
    <cellStyle name="Normal 4 4 2 3 2 4 2 2 2" xfId="40889"/>
    <cellStyle name="Normal 4 4 2 3 2 4 2 3" xfId="28587"/>
    <cellStyle name="Normal 4 4 2 3 2 4 3" xfId="9241"/>
    <cellStyle name="Normal 4 4 2 3 2 4 3 2" xfId="21545"/>
    <cellStyle name="Normal 4 4 2 3 2 4 3 2 2" xfId="44404"/>
    <cellStyle name="Normal 4 4 2 3 2 4 3 3" xfId="32102"/>
    <cellStyle name="Normal 4 4 2 3 2 4 4" xfId="14515"/>
    <cellStyle name="Normal 4 4 2 3 2 4 4 2" xfId="37374"/>
    <cellStyle name="Normal 4 4 2 3 2 4 5" xfId="25072"/>
    <cellStyle name="Normal 4 4 2 3 2 5" xfId="3968"/>
    <cellStyle name="Normal 4 4 2 3 2 5 2" xfId="16272"/>
    <cellStyle name="Normal 4 4 2 3 2 5 2 2" xfId="39131"/>
    <cellStyle name="Normal 4 4 2 3 2 5 3" xfId="26829"/>
    <cellStyle name="Normal 4 4 2 3 2 6" xfId="7483"/>
    <cellStyle name="Normal 4 4 2 3 2 6 2" xfId="19787"/>
    <cellStyle name="Normal 4 4 2 3 2 6 2 2" xfId="42646"/>
    <cellStyle name="Normal 4 4 2 3 2 6 3" xfId="30344"/>
    <cellStyle name="Normal 4 4 2 3 2 7" xfId="10998"/>
    <cellStyle name="Normal 4 4 2 3 2 7 2" xfId="33858"/>
    <cellStyle name="Normal 4 4 2 3 2 8" xfId="12757"/>
    <cellStyle name="Normal 4 4 2 3 2 8 2" xfId="35616"/>
    <cellStyle name="Normal 4 4 2 3 2 9" xfId="23312"/>
    <cellStyle name="Normal 4 4 2 3 3" xfId="676"/>
    <cellStyle name="Normal 4 4 2 3 3 2" xfId="1555"/>
    <cellStyle name="Normal 4 4 2 3 3 2 2" xfId="3316"/>
    <cellStyle name="Normal 4 4 2 3 3 2 2 2" xfId="6831"/>
    <cellStyle name="Normal 4 4 2 3 3 2 2 2 2" xfId="19135"/>
    <cellStyle name="Normal 4 4 2 3 3 2 2 2 2 2" xfId="41994"/>
    <cellStyle name="Normal 4 4 2 3 3 2 2 2 3" xfId="29692"/>
    <cellStyle name="Normal 4 4 2 3 3 2 2 3" xfId="10346"/>
    <cellStyle name="Normal 4 4 2 3 3 2 2 3 2" xfId="22650"/>
    <cellStyle name="Normal 4 4 2 3 3 2 2 3 2 2" xfId="45509"/>
    <cellStyle name="Normal 4 4 2 3 3 2 2 3 3" xfId="33207"/>
    <cellStyle name="Normal 4 4 2 3 3 2 2 4" xfId="15620"/>
    <cellStyle name="Normal 4 4 2 3 3 2 2 4 2" xfId="38479"/>
    <cellStyle name="Normal 4 4 2 3 3 2 2 5" xfId="26177"/>
    <cellStyle name="Normal 4 4 2 3 3 2 3" xfId="5073"/>
    <cellStyle name="Normal 4 4 2 3 3 2 3 2" xfId="17377"/>
    <cellStyle name="Normal 4 4 2 3 3 2 3 2 2" xfId="40236"/>
    <cellStyle name="Normal 4 4 2 3 3 2 3 3" xfId="27934"/>
    <cellStyle name="Normal 4 4 2 3 3 2 4" xfId="8588"/>
    <cellStyle name="Normal 4 4 2 3 3 2 4 2" xfId="20892"/>
    <cellStyle name="Normal 4 4 2 3 3 2 4 2 2" xfId="43751"/>
    <cellStyle name="Normal 4 4 2 3 3 2 4 3" xfId="31449"/>
    <cellStyle name="Normal 4 4 2 3 3 2 5" xfId="12103"/>
    <cellStyle name="Normal 4 4 2 3 3 2 5 2" xfId="34963"/>
    <cellStyle name="Normal 4 4 2 3 3 2 6" xfId="13862"/>
    <cellStyle name="Normal 4 4 2 3 3 2 6 2" xfId="36721"/>
    <cellStyle name="Normal 4 4 2 3 3 2 7" xfId="24418"/>
    <cellStyle name="Normal 4 4 2 3 3 3" xfId="2438"/>
    <cellStyle name="Normal 4 4 2 3 3 3 2" xfId="5953"/>
    <cellStyle name="Normal 4 4 2 3 3 3 2 2" xfId="18257"/>
    <cellStyle name="Normal 4 4 2 3 3 3 2 2 2" xfId="41116"/>
    <cellStyle name="Normal 4 4 2 3 3 3 2 3" xfId="28814"/>
    <cellStyle name="Normal 4 4 2 3 3 3 3" xfId="9468"/>
    <cellStyle name="Normal 4 4 2 3 3 3 3 2" xfId="21772"/>
    <cellStyle name="Normal 4 4 2 3 3 3 3 2 2" xfId="44631"/>
    <cellStyle name="Normal 4 4 2 3 3 3 3 3" xfId="32329"/>
    <cellStyle name="Normal 4 4 2 3 3 3 4" xfId="14742"/>
    <cellStyle name="Normal 4 4 2 3 3 3 4 2" xfId="37601"/>
    <cellStyle name="Normal 4 4 2 3 3 3 5" xfId="25299"/>
    <cellStyle name="Normal 4 4 2 3 3 4" xfId="4195"/>
    <cellStyle name="Normal 4 4 2 3 3 4 2" xfId="16499"/>
    <cellStyle name="Normal 4 4 2 3 3 4 2 2" xfId="39358"/>
    <cellStyle name="Normal 4 4 2 3 3 4 3" xfId="27056"/>
    <cellStyle name="Normal 4 4 2 3 3 5" xfId="7710"/>
    <cellStyle name="Normal 4 4 2 3 3 5 2" xfId="20014"/>
    <cellStyle name="Normal 4 4 2 3 3 5 2 2" xfId="42873"/>
    <cellStyle name="Normal 4 4 2 3 3 5 3" xfId="30571"/>
    <cellStyle name="Normal 4 4 2 3 3 6" xfId="11225"/>
    <cellStyle name="Normal 4 4 2 3 3 6 2" xfId="34085"/>
    <cellStyle name="Normal 4 4 2 3 3 7" xfId="12984"/>
    <cellStyle name="Normal 4 4 2 3 3 7 2" xfId="35843"/>
    <cellStyle name="Normal 4 4 2 3 3 8" xfId="23540"/>
    <cellStyle name="Normal 4 4 2 3 4" xfId="1116"/>
    <cellStyle name="Normal 4 4 2 3 4 2" xfId="2877"/>
    <cellStyle name="Normal 4 4 2 3 4 2 2" xfId="6392"/>
    <cellStyle name="Normal 4 4 2 3 4 2 2 2" xfId="18696"/>
    <cellStyle name="Normal 4 4 2 3 4 2 2 2 2" xfId="41555"/>
    <cellStyle name="Normal 4 4 2 3 4 2 2 3" xfId="29253"/>
    <cellStyle name="Normal 4 4 2 3 4 2 3" xfId="9907"/>
    <cellStyle name="Normal 4 4 2 3 4 2 3 2" xfId="22211"/>
    <cellStyle name="Normal 4 4 2 3 4 2 3 2 2" xfId="45070"/>
    <cellStyle name="Normal 4 4 2 3 4 2 3 3" xfId="32768"/>
    <cellStyle name="Normal 4 4 2 3 4 2 4" xfId="15181"/>
    <cellStyle name="Normal 4 4 2 3 4 2 4 2" xfId="38040"/>
    <cellStyle name="Normal 4 4 2 3 4 2 5" xfId="25738"/>
    <cellStyle name="Normal 4 4 2 3 4 3" xfId="4634"/>
    <cellStyle name="Normal 4 4 2 3 4 3 2" xfId="16938"/>
    <cellStyle name="Normal 4 4 2 3 4 3 2 2" xfId="39797"/>
    <cellStyle name="Normal 4 4 2 3 4 3 3" xfId="27495"/>
    <cellStyle name="Normal 4 4 2 3 4 4" xfId="8149"/>
    <cellStyle name="Normal 4 4 2 3 4 4 2" xfId="20453"/>
    <cellStyle name="Normal 4 4 2 3 4 4 2 2" xfId="43312"/>
    <cellStyle name="Normal 4 4 2 3 4 4 3" xfId="31010"/>
    <cellStyle name="Normal 4 4 2 3 4 5" xfId="11664"/>
    <cellStyle name="Normal 4 4 2 3 4 5 2" xfId="34524"/>
    <cellStyle name="Normal 4 4 2 3 4 6" xfId="13423"/>
    <cellStyle name="Normal 4 4 2 3 4 6 2" xfId="36282"/>
    <cellStyle name="Normal 4 4 2 3 4 7" xfId="23979"/>
    <cellStyle name="Normal 4 4 2 3 5" xfId="1999"/>
    <cellStyle name="Normal 4 4 2 3 5 2" xfId="5514"/>
    <cellStyle name="Normal 4 4 2 3 5 2 2" xfId="17818"/>
    <cellStyle name="Normal 4 4 2 3 5 2 2 2" xfId="40677"/>
    <cellStyle name="Normal 4 4 2 3 5 2 3" xfId="28375"/>
    <cellStyle name="Normal 4 4 2 3 5 3" xfId="9029"/>
    <cellStyle name="Normal 4 4 2 3 5 3 2" xfId="21333"/>
    <cellStyle name="Normal 4 4 2 3 5 3 2 2" xfId="44192"/>
    <cellStyle name="Normal 4 4 2 3 5 3 3" xfId="31890"/>
    <cellStyle name="Normal 4 4 2 3 5 4" xfId="14303"/>
    <cellStyle name="Normal 4 4 2 3 5 4 2" xfId="37162"/>
    <cellStyle name="Normal 4 4 2 3 5 5" xfId="24860"/>
    <cellStyle name="Normal 4 4 2 3 6" xfId="3756"/>
    <cellStyle name="Normal 4 4 2 3 6 2" xfId="16060"/>
    <cellStyle name="Normal 4 4 2 3 6 2 2" xfId="38919"/>
    <cellStyle name="Normal 4 4 2 3 6 3" xfId="26617"/>
    <cellStyle name="Normal 4 4 2 3 7" xfId="7271"/>
    <cellStyle name="Normal 4 4 2 3 7 2" xfId="19575"/>
    <cellStyle name="Normal 4 4 2 3 7 2 2" xfId="42434"/>
    <cellStyle name="Normal 4 4 2 3 7 3" xfId="30132"/>
    <cellStyle name="Normal 4 4 2 3 8" xfId="10786"/>
    <cellStyle name="Normal 4 4 2 3 8 2" xfId="33646"/>
    <cellStyle name="Normal 4 4 2 3 9" xfId="12545"/>
    <cellStyle name="Normal 4 4 2 3 9 2" xfId="35404"/>
    <cellStyle name="Normal 4 4 2 4" xfId="341"/>
    <cellStyle name="Normal 4 4 2 4 2" xfId="782"/>
    <cellStyle name="Normal 4 4 2 4 2 2" xfId="1661"/>
    <cellStyle name="Normal 4 4 2 4 2 2 2" xfId="3422"/>
    <cellStyle name="Normal 4 4 2 4 2 2 2 2" xfId="6937"/>
    <cellStyle name="Normal 4 4 2 4 2 2 2 2 2" xfId="19241"/>
    <cellStyle name="Normal 4 4 2 4 2 2 2 2 2 2" xfId="42100"/>
    <cellStyle name="Normal 4 4 2 4 2 2 2 2 3" xfId="29798"/>
    <cellStyle name="Normal 4 4 2 4 2 2 2 3" xfId="10452"/>
    <cellStyle name="Normal 4 4 2 4 2 2 2 3 2" xfId="22756"/>
    <cellStyle name="Normal 4 4 2 4 2 2 2 3 2 2" xfId="45615"/>
    <cellStyle name="Normal 4 4 2 4 2 2 2 3 3" xfId="33313"/>
    <cellStyle name="Normal 4 4 2 4 2 2 2 4" xfId="15726"/>
    <cellStyle name="Normal 4 4 2 4 2 2 2 4 2" xfId="38585"/>
    <cellStyle name="Normal 4 4 2 4 2 2 2 5" xfId="26283"/>
    <cellStyle name="Normal 4 4 2 4 2 2 3" xfId="5179"/>
    <cellStyle name="Normal 4 4 2 4 2 2 3 2" xfId="17483"/>
    <cellStyle name="Normal 4 4 2 4 2 2 3 2 2" xfId="40342"/>
    <cellStyle name="Normal 4 4 2 4 2 2 3 3" xfId="28040"/>
    <cellStyle name="Normal 4 4 2 4 2 2 4" xfId="8694"/>
    <cellStyle name="Normal 4 4 2 4 2 2 4 2" xfId="20998"/>
    <cellStyle name="Normal 4 4 2 4 2 2 4 2 2" xfId="43857"/>
    <cellStyle name="Normal 4 4 2 4 2 2 4 3" xfId="31555"/>
    <cellStyle name="Normal 4 4 2 4 2 2 5" xfId="12209"/>
    <cellStyle name="Normal 4 4 2 4 2 2 5 2" xfId="35069"/>
    <cellStyle name="Normal 4 4 2 4 2 2 6" xfId="13968"/>
    <cellStyle name="Normal 4 4 2 4 2 2 6 2" xfId="36827"/>
    <cellStyle name="Normal 4 4 2 4 2 2 7" xfId="24524"/>
    <cellStyle name="Normal 4 4 2 4 2 3" xfId="2544"/>
    <cellStyle name="Normal 4 4 2 4 2 3 2" xfId="6059"/>
    <cellStyle name="Normal 4 4 2 4 2 3 2 2" xfId="18363"/>
    <cellStyle name="Normal 4 4 2 4 2 3 2 2 2" xfId="41222"/>
    <cellStyle name="Normal 4 4 2 4 2 3 2 3" xfId="28920"/>
    <cellStyle name="Normal 4 4 2 4 2 3 3" xfId="9574"/>
    <cellStyle name="Normal 4 4 2 4 2 3 3 2" xfId="21878"/>
    <cellStyle name="Normal 4 4 2 4 2 3 3 2 2" xfId="44737"/>
    <cellStyle name="Normal 4 4 2 4 2 3 3 3" xfId="32435"/>
    <cellStyle name="Normal 4 4 2 4 2 3 4" xfId="14848"/>
    <cellStyle name="Normal 4 4 2 4 2 3 4 2" xfId="37707"/>
    <cellStyle name="Normal 4 4 2 4 2 3 5" xfId="25405"/>
    <cellStyle name="Normal 4 4 2 4 2 4" xfId="4301"/>
    <cellStyle name="Normal 4 4 2 4 2 4 2" xfId="16605"/>
    <cellStyle name="Normal 4 4 2 4 2 4 2 2" xfId="39464"/>
    <cellStyle name="Normal 4 4 2 4 2 4 3" xfId="27162"/>
    <cellStyle name="Normal 4 4 2 4 2 5" xfId="7816"/>
    <cellStyle name="Normal 4 4 2 4 2 5 2" xfId="20120"/>
    <cellStyle name="Normal 4 4 2 4 2 5 2 2" xfId="42979"/>
    <cellStyle name="Normal 4 4 2 4 2 5 3" xfId="30677"/>
    <cellStyle name="Normal 4 4 2 4 2 6" xfId="11331"/>
    <cellStyle name="Normal 4 4 2 4 2 6 2" xfId="34191"/>
    <cellStyle name="Normal 4 4 2 4 2 7" xfId="13090"/>
    <cellStyle name="Normal 4 4 2 4 2 7 2" xfId="35949"/>
    <cellStyle name="Normal 4 4 2 4 2 8" xfId="23646"/>
    <cellStyle name="Normal 4 4 2 4 3" xfId="1222"/>
    <cellStyle name="Normal 4 4 2 4 3 2" xfId="2983"/>
    <cellStyle name="Normal 4 4 2 4 3 2 2" xfId="6498"/>
    <cellStyle name="Normal 4 4 2 4 3 2 2 2" xfId="18802"/>
    <cellStyle name="Normal 4 4 2 4 3 2 2 2 2" xfId="41661"/>
    <cellStyle name="Normal 4 4 2 4 3 2 2 3" xfId="29359"/>
    <cellStyle name="Normal 4 4 2 4 3 2 3" xfId="10013"/>
    <cellStyle name="Normal 4 4 2 4 3 2 3 2" xfId="22317"/>
    <cellStyle name="Normal 4 4 2 4 3 2 3 2 2" xfId="45176"/>
    <cellStyle name="Normal 4 4 2 4 3 2 3 3" xfId="32874"/>
    <cellStyle name="Normal 4 4 2 4 3 2 4" xfId="15287"/>
    <cellStyle name="Normal 4 4 2 4 3 2 4 2" xfId="38146"/>
    <cellStyle name="Normal 4 4 2 4 3 2 5" xfId="25844"/>
    <cellStyle name="Normal 4 4 2 4 3 3" xfId="4740"/>
    <cellStyle name="Normal 4 4 2 4 3 3 2" xfId="17044"/>
    <cellStyle name="Normal 4 4 2 4 3 3 2 2" xfId="39903"/>
    <cellStyle name="Normal 4 4 2 4 3 3 3" xfId="27601"/>
    <cellStyle name="Normal 4 4 2 4 3 4" xfId="8255"/>
    <cellStyle name="Normal 4 4 2 4 3 4 2" xfId="20559"/>
    <cellStyle name="Normal 4 4 2 4 3 4 2 2" xfId="43418"/>
    <cellStyle name="Normal 4 4 2 4 3 4 3" xfId="31116"/>
    <cellStyle name="Normal 4 4 2 4 3 5" xfId="11770"/>
    <cellStyle name="Normal 4 4 2 4 3 5 2" xfId="34630"/>
    <cellStyle name="Normal 4 4 2 4 3 6" xfId="13529"/>
    <cellStyle name="Normal 4 4 2 4 3 6 2" xfId="36388"/>
    <cellStyle name="Normal 4 4 2 4 3 7" xfId="24085"/>
    <cellStyle name="Normal 4 4 2 4 4" xfId="2105"/>
    <cellStyle name="Normal 4 4 2 4 4 2" xfId="5620"/>
    <cellStyle name="Normal 4 4 2 4 4 2 2" xfId="17924"/>
    <cellStyle name="Normal 4 4 2 4 4 2 2 2" xfId="40783"/>
    <cellStyle name="Normal 4 4 2 4 4 2 3" xfId="28481"/>
    <cellStyle name="Normal 4 4 2 4 4 3" xfId="9135"/>
    <cellStyle name="Normal 4 4 2 4 4 3 2" xfId="21439"/>
    <cellStyle name="Normal 4 4 2 4 4 3 2 2" xfId="44298"/>
    <cellStyle name="Normal 4 4 2 4 4 3 3" xfId="31996"/>
    <cellStyle name="Normal 4 4 2 4 4 4" xfId="14409"/>
    <cellStyle name="Normal 4 4 2 4 4 4 2" xfId="37268"/>
    <cellStyle name="Normal 4 4 2 4 4 5" xfId="24966"/>
    <cellStyle name="Normal 4 4 2 4 5" xfId="3862"/>
    <cellStyle name="Normal 4 4 2 4 5 2" xfId="16166"/>
    <cellStyle name="Normal 4 4 2 4 5 2 2" xfId="39025"/>
    <cellStyle name="Normal 4 4 2 4 5 3" xfId="26723"/>
    <cellStyle name="Normal 4 4 2 4 6" xfId="7377"/>
    <cellStyle name="Normal 4 4 2 4 6 2" xfId="19681"/>
    <cellStyle name="Normal 4 4 2 4 6 2 2" xfId="42540"/>
    <cellStyle name="Normal 4 4 2 4 6 3" xfId="30238"/>
    <cellStyle name="Normal 4 4 2 4 7" xfId="10892"/>
    <cellStyle name="Normal 4 4 2 4 7 2" xfId="33752"/>
    <cellStyle name="Normal 4 4 2 4 8" xfId="12651"/>
    <cellStyle name="Normal 4 4 2 4 8 2" xfId="35510"/>
    <cellStyle name="Normal 4 4 2 4 9" xfId="23206"/>
    <cellStyle name="Normal 4 4 2 5" xfId="570"/>
    <cellStyle name="Normal 4 4 2 5 2" xfId="1449"/>
    <cellStyle name="Normal 4 4 2 5 2 2" xfId="3210"/>
    <cellStyle name="Normal 4 4 2 5 2 2 2" xfId="6725"/>
    <cellStyle name="Normal 4 4 2 5 2 2 2 2" xfId="19029"/>
    <cellStyle name="Normal 4 4 2 5 2 2 2 2 2" xfId="41888"/>
    <cellStyle name="Normal 4 4 2 5 2 2 2 3" xfId="29586"/>
    <cellStyle name="Normal 4 4 2 5 2 2 3" xfId="10240"/>
    <cellStyle name="Normal 4 4 2 5 2 2 3 2" xfId="22544"/>
    <cellStyle name="Normal 4 4 2 5 2 2 3 2 2" xfId="45403"/>
    <cellStyle name="Normal 4 4 2 5 2 2 3 3" xfId="33101"/>
    <cellStyle name="Normal 4 4 2 5 2 2 4" xfId="15514"/>
    <cellStyle name="Normal 4 4 2 5 2 2 4 2" xfId="38373"/>
    <cellStyle name="Normal 4 4 2 5 2 2 5" xfId="26071"/>
    <cellStyle name="Normal 4 4 2 5 2 3" xfId="4967"/>
    <cellStyle name="Normal 4 4 2 5 2 3 2" xfId="17271"/>
    <cellStyle name="Normal 4 4 2 5 2 3 2 2" xfId="40130"/>
    <cellStyle name="Normal 4 4 2 5 2 3 3" xfId="27828"/>
    <cellStyle name="Normal 4 4 2 5 2 4" xfId="8482"/>
    <cellStyle name="Normal 4 4 2 5 2 4 2" xfId="20786"/>
    <cellStyle name="Normal 4 4 2 5 2 4 2 2" xfId="43645"/>
    <cellStyle name="Normal 4 4 2 5 2 4 3" xfId="31343"/>
    <cellStyle name="Normal 4 4 2 5 2 5" xfId="11997"/>
    <cellStyle name="Normal 4 4 2 5 2 5 2" xfId="34857"/>
    <cellStyle name="Normal 4 4 2 5 2 6" xfId="13756"/>
    <cellStyle name="Normal 4 4 2 5 2 6 2" xfId="36615"/>
    <cellStyle name="Normal 4 4 2 5 2 7" xfId="24312"/>
    <cellStyle name="Normal 4 4 2 5 3" xfId="2332"/>
    <cellStyle name="Normal 4 4 2 5 3 2" xfId="5847"/>
    <cellStyle name="Normal 4 4 2 5 3 2 2" xfId="18151"/>
    <cellStyle name="Normal 4 4 2 5 3 2 2 2" xfId="41010"/>
    <cellStyle name="Normal 4 4 2 5 3 2 3" xfId="28708"/>
    <cellStyle name="Normal 4 4 2 5 3 3" xfId="9362"/>
    <cellStyle name="Normal 4 4 2 5 3 3 2" xfId="21666"/>
    <cellStyle name="Normal 4 4 2 5 3 3 2 2" xfId="44525"/>
    <cellStyle name="Normal 4 4 2 5 3 3 3" xfId="32223"/>
    <cellStyle name="Normal 4 4 2 5 3 4" xfId="14636"/>
    <cellStyle name="Normal 4 4 2 5 3 4 2" xfId="37495"/>
    <cellStyle name="Normal 4 4 2 5 3 5" xfId="25193"/>
    <cellStyle name="Normal 4 4 2 5 4" xfId="4089"/>
    <cellStyle name="Normal 4 4 2 5 4 2" xfId="16393"/>
    <cellStyle name="Normal 4 4 2 5 4 2 2" xfId="39252"/>
    <cellStyle name="Normal 4 4 2 5 4 3" xfId="26950"/>
    <cellStyle name="Normal 4 4 2 5 5" xfId="7604"/>
    <cellStyle name="Normal 4 4 2 5 5 2" xfId="19908"/>
    <cellStyle name="Normal 4 4 2 5 5 2 2" xfId="42767"/>
    <cellStyle name="Normal 4 4 2 5 5 3" xfId="30465"/>
    <cellStyle name="Normal 4 4 2 5 6" xfId="11119"/>
    <cellStyle name="Normal 4 4 2 5 6 2" xfId="33979"/>
    <cellStyle name="Normal 4 4 2 5 7" xfId="12878"/>
    <cellStyle name="Normal 4 4 2 5 7 2" xfId="35737"/>
    <cellStyle name="Normal 4 4 2 5 8" xfId="23434"/>
    <cellStyle name="Normal 4 4 2 6" xfId="1010"/>
    <cellStyle name="Normal 4 4 2 6 2" xfId="2771"/>
    <cellStyle name="Normal 4 4 2 6 2 2" xfId="6286"/>
    <cellStyle name="Normal 4 4 2 6 2 2 2" xfId="18590"/>
    <cellStyle name="Normal 4 4 2 6 2 2 2 2" xfId="41449"/>
    <cellStyle name="Normal 4 4 2 6 2 2 3" xfId="29147"/>
    <cellStyle name="Normal 4 4 2 6 2 3" xfId="9801"/>
    <cellStyle name="Normal 4 4 2 6 2 3 2" xfId="22105"/>
    <cellStyle name="Normal 4 4 2 6 2 3 2 2" xfId="44964"/>
    <cellStyle name="Normal 4 4 2 6 2 3 3" xfId="32662"/>
    <cellStyle name="Normal 4 4 2 6 2 4" xfId="15075"/>
    <cellStyle name="Normal 4 4 2 6 2 4 2" xfId="37934"/>
    <cellStyle name="Normal 4 4 2 6 2 5" xfId="25632"/>
    <cellStyle name="Normal 4 4 2 6 3" xfId="4528"/>
    <cellStyle name="Normal 4 4 2 6 3 2" xfId="16832"/>
    <cellStyle name="Normal 4 4 2 6 3 2 2" xfId="39691"/>
    <cellStyle name="Normal 4 4 2 6 3 3" xfId="27389"/>
    <cellStyle name="Normal 4 4 2 6 4" xfId="8043"/>
    <cellStyle name="Normal 4 4 2 6 4 2" xfId="20347"/>
    <cellStyle name="Normal 4 4 2 6 4 2 2" xfId="43206"/>
    <cellStyle name="Normal 4 4 2 6 4 3" xfId="30904"/>
    <cellStyle name="Normal 4 4 2 6 5" xfId="11558"/>
    <cellStyle name="Normal 4 4 2 6 5 2" xfId="34418"/>
    <cellStyle name="Normal 4 4 2 6 6" xfId="13317"/>
    <cellStyle name="Normal 4 4 2 6 6 2" xfId="36176"/>
    <cellStyle name="Normal 4 4 2 6 7" xfId="23873"/>
    <cellStyle name="Normal 4 4 2 7" xfId="1893"/>
    <cellStyle name="Normal 4 4 2 7 2" xfId="5408"/>
    <cellStyle name="Normal 4 4 2 7 2 2" xfId="17712"/>
    <cellStyle name="Normal 4 4 2 7 2 2 2" xfId="40571"/>
    <cellStyle name="Normal 4 4 2 7 2 3" xfId="28269"/>
    <cellStyle name="Normal 4 4 2 7 3" xfId="8923"/>
    <cellStyle name="Normal 4 4 2 7 3 2" xfId="21227"/>
    <cellStyle name="Normal 4 4 2 7 3 2 2" xfId="44086"/>
    <cellStyle name="Normal 4 4 2 7 3 3" xfId="31784"/>
    <cellStyle name="Normal 4 4 2 7 4" xfId="14197"/>
    <cellStyle name="Normal 4 4 2 7 4 2" xfId="37056"/>
    <cellStyle name="Normal 4 4 2 7 5" xfId="24754"/>
    <cellStyle name="Normal 4 4 2 8" xfId="3650"/>
    <cellStyle name="Normal 4 4 2 8 2" xfId="15954"/>
    <cellStyle name="Normal 4 4 2 8 2 2" xfId="38813"/>
    <cellStyle name="Normal 4 4 2 8 3" xfId="26511"/>
    <cellStyle name="Normal 4 4 2 9" xfId="7165"/>
    <cellStyle name="Normal 4 4 2 9 2" xfId="19469"/>
    <cellStyle name="Normal 4 4 2 9 2 2" xfId="42328"/>
    <cellStyle name="Normal 4 4 2 9 3" xfId="30026"/>
    <cellStyle name="Normal 4 4 3" xfId="155"/>
    <cellStyle name="Normal 4 4 3 10" xfId="12467"/>
    <cellStyle name="Normal 4 4 3 10 2" xfId="35326"/>
    <cellStyle name="Normal 4 4 3 11" xfId="23021"/>
    <cellStyle name="Normal 4 4 3 2" xfId="263"/>
    <cellStyle name="Normal 4 4 3 2 10" xfId="23128"/>
    <cellStyle name="Normal 4 4 3 2 2" xfId="475"/>
    <cellStyle name="Normal 4 4 3 2 2 2" xfId="916"/>
    <cellStyle name="Normal 4 4 3 2 2 2 2" xfId="1795"/>
    <cellStyle name="Normal 4 4 3 2 2 2 2 2" xfId="3556"/>
    <cellStyle name="Normal 4 4 3 2 2 2 2 2 2" xfId="7071"/>
    <cellStyle name="Normal 4 4 3 2 2 2 2 2 2 2" xfId="19375"/>
    <cellStyle name="Normal 4 4 3 2 2 2 2 2 2 2 2" xfId="42234"/>
    <cellStyle name="Normal 4 4 3 2 2 2 2 2 2 3" xfId="29932"/>
    <cellStyle name="Normal 4 4 3 2 2 2 2 2 3" xfId="10586"/>
    <cellStyle name="Normal 4 4 3 2 2 2 2 2 3 2" xfId="22890"/>
    <cellStyle name="Normal 4 4 3 2 2 2 2 2 3 2 2" xfId="45749"/>
    <cellStyle name="Normal 4 4 3 2 2 2 2 2 3 3" xfId="33447"/>
    <cellStyle name="Normal 4 4 3 2 2 2 2 2 4" xfId="15860"/>
    <cellStyle name="Normal 4 4 3 2 2 2 2 2 4 2" xfId="38719"/>
    <cellStyle name="Normal 4 4 3 2 2 2 2 2 5" xfId="26417"/>
    <cellStyle name="Normal 4 4 3 2 2 2 2 3" xfId="5313"/>
    <cellStyle name="Normal 4 4 3 2 2 2 2 3 2" xfId="17617"/>
    <cellStyle name="Normal 4 4 3 2 2 2 2 3 2 2" xfId="40476"/>
    <cellStyle name="Normal 4 4 3 2 2 2 2 3 3" xfId="28174"/>
    <cellStyle name="Normal 4 4 3 2 2 2 2 4" xfId="8828"/>
    <cellStyle name="Normal 4 4 3 2 2 2 2 4 2" xfId="21132"/>
    <cellStyle name="Normal 4 4 3 2 2 2 2 4 2 2" xfId="43991"/>
    <cellStyle name="Normal 4 4 3 2 2 2 2 4 3" xfId="31689"/>
    <cellStyle name="Normal 4 4 3 2 2 2 2 5" xfId="12343"/>
    <cellStyle name="Normal 4 4 3 2 2 2 2 5 2" xfId="35203"/>
    <cellStyle name="Normal 4 4 3 2 2 2 2 6" xfId="14102"/>
    <cellStyle name="Normal 4 4 3 2 2 2 2 6 2" xfId="36961"/>
    <cellStyle name="Normal 4 4 3 2 2 2 2 7" xfId="24658"/>
    <cellStyle name="Normal 4 4 3 2 2 2 3" xfId="2678"/>
    <cellStyle name="Normal 4 4 3 2 2 2 3 2" xfId="6193"/>
    <cellStyle name="Normal 4 4 3 2 2 2 3 2 2" xfId="18497"/>
    <cellStyle name="Normal 4 4 3 2 2 2 3 2 2 2" xfId="41356"/>
    <cellStyle name="Normal 4 4 3 2 2 2 3 2 3" xfId="29054"/>
    <cellStyle name="Normal 4 4 3 2 2 2 3 3" xfId="9708"/>
    <cellStyle name="Normal 4 4 3 2 2 2 3 3 2" xfId="22012"/>
    <cellStyle name="Normal 4 4 3 2 2 2 3 3 2 2" xfId="44871"/>
    <cellStyle name="Normal 4 4 3 2 2 2 3 3 3" xfId="32569"/>
    <cellStyle name="Normal 4 4 3 2 2 2 3 4" xfId="14982"/>
    <cellStyle name="Normal 4 4 3 2 2 2 3 4 2" xfId="37841"/>
    <cellStyle name="Normal 4 4 3 2 2 2 3 5" xfId="25539"/>
    <cellStyle name="Normal 4 4 3 2 2 2 4" xfId="4435"/>
    <cellStyle name="Normal 4 4 3 2 2 2 4 2" xfId="16739"/>
    <cellStyle name="Normal 4 4 3 2 2 2 4 2 2" xfId="39598"/>
    <cellStyle name="Normal 4 4 3 2 2 2 4 3" xfId="27296"/>
    <cellStyle name="Normal 4 4 3 2 2 2 5" xfId="7950"/>
    <cellStyle name="Normal 4 4 3 2 2 2 5 2" xfId="20254"/>
    <cellStyle name="Normal 4 4 3 2 2 2 5 2 2" xfId="43113"/>
    <cellStyle name="Normal 4 4 3 2 2 2 5 3" xfId="30811"/>
    <cellStyle name="Normal 4 4 3 2 2 2 6" xfId="11465"/>
    <cellStyle name="Normal 4 4 3 2 2 2 6 2" xfId="34325"/>
    <cellStyle name="Normal 4 4 3 2 2 2 7" xfId="13224"/>
    <cellStyle name="Normal 4 4 3 2 2 2 7 2" xfId="36083"/>
    <cellStyle name="Normal 4 4 3 2 2 2 8" xfId="23780"/>
    <cellStyle name="Normal 4 4 3 2 2 3" xfId="1356"/>
    <cellStyle name="Normal 4 4 3 2 2 3 2" xfId="3117"/>
    <cellStyle name="Normal 4 4 3 2 2 3 2 2" xfId="6632"/>
    <cellStyle name="Normal 4 4 3 2 2 3 2 2 2" xfId="18936"/>
    <cellStyle name="Normal 4 4 3 2 2 3 2 2 2 2" xfId="41795"/>
    <cellStyle name="Normal 4 4 3 2 2 3 2 2 3" xfId="29493"/>
    <cellStyle name="Normal 4 4 3 2 2 3 2 3" xfId="10147"/>
    <cellStyle name="Normal 4 4 3 2 2 3 2 3 2" xfId="22451"/>
    <cellStyle name="Normal 4 4 3 2 2 3 2 3 2 2" xfId="45310"/>
    <cellStyle name="Normal 4 4 3 2 2 3 2 3 3" xfId="33008"/>
    <cellStyle name="Normal 4 4 3 2 2 3 2 4" xfId="15421"/>
    <cellStyle name="Normal 4 4 3 2 2 3 2 4 2" xfId="38280"/>
    <cellStyle name="Normal 4 4 3 2 2 3 2 5" xfId="25978"/>
    <cellStyle name="Normal 4 4 3 2 2 3 3" xfId="4874"/>
    <cellStyle name="Normal 4 4 3 2 2 3 3 2" xfId="17178"/>
    <cellStyle name="Normal 4 4 3 2 2 3 3 2 2" xfId="40037"/>
    <cellStyle name="Normal 4 4 3 2 2 3 3 3" xfId="27735"/>
    <cellStyle name="Normal 4 4 3 2 2 3 4" xfId="8389"/>
    <cellStyle name="Normal 4 4 3 2 2 3 4 2" xfId="20693"/>
    <cellStyle name="Normal 4 4 3 2 2 3 4 2 2" xfId="43552"/>
    <cellStyle name="Normal 4 4 3 2 2 3 4 3" xfId="31250"/>
    <cellStyle name="Normal 4 4 3 2 2 3 5" xfId="11904"/>
    <cellStyle name="Normal 4 4 3 2 2 3 5 2" xfId="34764"/>
    <cellStyle name="Normal 4 4 3 2 2 3 6" xfId="13663"/>
    <cellStyle name="Normal 4 4 3 2 2 3 6 2" xfId="36522"/>
    <cellStyle name="Normal 4 4 3 2 2 3 7" xfId="24219"/>
    <cellStyle name="Normal 4 4 3 2 2 4" xfId="2239"/>
    <cellStyle name="Normal 4 4 3 2 2 4 2" xfId="5754"/>
    <cellStyle name="Normal 4 4 3 2 2 4 2 2" xfId="18058"/>
    <cellStyle name="Normal 4 4 3 2 2 4 2 2 2" xfId="40917"/>
    <cellStyle name="Normal 4 4 3 2 2 4 2 3" xfId="28615"/>
    <cellStyle name="Normal 4 4 3 2 2 4 3" xfId="9269"/>
    <cellStyle name="Normal 4 4 3 2 2 4 3 2" xfId="21573"/>
    <cellStyle name="Normal 4 4 3 2 2 4 3 2 2" xfId="44432"/>
    <cellStyle name="Normal 4 4 3 2 2 4 3 3" xfId="32130"/>
    <cellStyle name="Normal 4 4 3 2 2 4 4" xfId="14543"/>
    <cellStyle name="Normal 4 4 3 2 2 4 4 2" xfId="37402"/>
    <cellStyle name="Normal 4 4 3 2 2 4 5" xfId="25100"/>
    <cellStyle name="Normal 4 4 3 2 2 5" xfId="3996"/>
    <cellStyle name="Normal 4 4 3 2 2 5 2" xfId="16300"/>
    <cellStyle name="Normal 4 4 3 2 2 5 2 2" xfId="39159"/>
    <cellStyle name="Normal 4 4 3 2 2 5 3" xfId="26857"/>
    <cellStyle name="Normal 4 4 3 2 2 6" xfId="7511"/>
    <cellStyle name="Normal 4 4 3 2 2 6 2" xfId="19815"/>
    <cellStyle name="Normal 4 4 3 2 2 6 2 2" xfId="42674"/>
    <cellStyle name="Normal 4 4 3 2 2 6 3" xfId="30372"/>
    <cellStyle name="Normal 4 4 3 2 2 7" xfId="11026"/>
    <cellStyle name="Normal 4 4 3 2 2 7 2" xfId="33886"/>
    <cellStyle name="Normal 4 4 3 2 2 8" xfId="12785"/>
    <cellStyle name="Normal 4 4 3 2 2 8 2" xfId="35644"/>
    <cellStyle name="Normal 4 4 3 2 2 9" xfId="23340"/>
    <cellStyle name="Normal 4 4 3 2 3" xfId="704"/>
    <cellStyle name="Normal 4 4 3 2 3 2" xfId="1583"/>
    <cellStyle name="Normal 4 4 3 2 3 2 2" xfId="3344"/>
    <cellStyle name="Normal 4 4 3 2 3 2 2 2" xfId="6859"/>
    <cellStyle name="Normal 4 4 3 2 3 2 2 2 2" xfId="19163"/>
    <cellStyle name="Normal 4 4 3 2 3 2 2 2 2 2" xfId="42022"/>
    <cellStyle name="Normal 4 4 3 2 3 2 2 2 3" xfId="29720"/>
    <cellStyle name="Normal 4 4 3 2 3 2 2 3" xfId="10374"/>
    <cellStyle name="Normal 4 4 3 2 3 2 2 3 2" xfId="22678"/>
    <cellStyle name="Normal 4 4 3 2 3 2 2 3 2 2" xfId="45537"/>
    <cellStyle name="Normal 4 4 3 2 3 2 2 3 3" xfId="33235"/>
    <cellStyle name="Normal 4 4 3 2 3 2 2 4" xfId="15648"/>
    <cellStyle name="Normal 4 4 3 2 3 2 2 4 2" xfId="38507"/>
    <cellStyle name="Normal 4 4 3 2 3 2 2 5" xfId="26205"/>
    <cellStyle name="Normal 4 4 3 2 3 2 3" xfId="5101"/>
    <cellStyle name="Normal 4 4 3 2 3 2 3 2" xfId="17405"/>
    <cellStyle name="Normal 4 4 3 2 3 2 3 2 2" xfId="40264"/>
    <cellStyle name="Normal 4 4 3 2 3 2 3 3" xfId="27962"/>
    <cellStyle name="Normal 4 4 3 2 3 2 4" xfId="8616"/>
    <cellStyle name="Normal 4 4 3 2 3 2 4 2" xfId="20920"/>
    <cellStyle name="Normal 4 4 3 2 3 2 4 2 2" xfId="43779"/>
    <cellStyle name="Normal 4 4 3 2 3 2 4 3" xfId="31477"/>
    <cellStyle name="Normal 4 4 3 2 3 2 5" xfId="12131"/>
    <cellStyle name="Normal 4 4 3 2 3 2 5 2" xfId="34991"/>
    <cellStyle name="Normal 4 4 3 2 3 2 6" xfId="13890"/>
    <cellStyle name="Normal 4 4 3 2 3 2 6 2" xfId="36749"/>
    <cellStyle name="Normal 4 4 3 2 3 2 7" xfId="24446"/>
    <cellStyle name="Normal 4 4 3 2 3 3" xfId="2466"/>
    <cellStyle name="Normal 4 4 3 2 3 3 2" xfId="5981"/>
    <cellStyle name="Normal 4 4 3 2 3 3 2 2" xfId="18285"/>
    <cellStyle name="Normal 4 4 3 2 3 3 2 2 2" xfId="41144"/>
    <cellStyle name="Normal 4 4 3 2 3 3 2 3" xfId="28842"/>
    <cellStyle name="Normal 4 4 3 2 3 3 3" xfId="9496"/>
    <cellStyle name="Normal 4 4 3 2 3 3 3 2" xfId="21800"/>
    <cellStyle name="Normal 4 4 3 2 3 3 3 2 2" xfId="44659"/>
    <cellStyle name="Normal 4 4 3 2 3 3 3 3" xfId="32357"/>
    <cellStyle name="Normal 4 4 3 2 3 3 4" xfId="14770"/>
    <cellStyle name="Normal 4 4 3 2 3 3 4 2" xfId="37629"/>
    <cellStyle name="Normal 4 4 3 2 3 3 5" xfId="25327"/>
    <cellStyle name="Normal 4 4 3 2 3 4" xfId="4223"/>
    <cellStyle name="Normal 4 4 3 2 3 4 2" xfId="16527"/>
    <cellStyle name="Normal 4 4 3 2 3 4 2 2" xfId="39386"/>
    <cellStyle name="Normal 4 4 3 2 3 4 3" xfId="27084"/>
    <cellStyle name="Normal 4 4 3 2 3 5" xfId="7738"/>
    <cellStyle name="Normal 4 4 3 2 3 5 2" xfId="20042"/>
    <cellStyle name="Normal 4 4 3 2 3 5 2 2" xfId="42901"/>
    <cellStyle name="Normal 4 4 3 2 3 5 3" xfId="30599"/>
    <cellStyle name="Normal 4 4 3 2 3 6" xfId="11253"/>
    <cellStyle name="Normal 4 4 3 2 3 6 2" xfId="34113"/>
    <cellStyle name="Normal 4 4 3 2 3 7" xfId="13012"/>
    <cellStyle name="Normal 4 4 3 2 3 7 2" xfId="35871"/>
    <cellStyle name="Normal 4 4 3 2 3 8" xfId="23568"/>
    <cellStyle name="Normal 4 4 3 2 4" xfId="1144"/>
    <cellStyle name="Normal 4 4 3 2 4 2" xfId="2905"/>
    <cellStyle name="Normal 4 4 3 2 4 2 2" xfId="6420"/>
    <cellStyle name="Normal 4 4 3 2 4 2 2 2" xfId="18724"/>
    <cellStyle name="Normal 4 4 3 2 4 2 2 2 2" xfId="41583"/>
    <cellStyle name="Normal 4 4 3 2 4 2 2 3" xfId="29281"/>
    <cellStyle name="Normal 4 4 3 2 4 2 3" xfId="9935"/>
    <cellStyle name="Normal 4 4 3 2 4 2 3 2" xfId="22239"/>
    <cellStyle name="Normal 4 4 3 2 4 2 3 2 2" xfId="45098"/>
    <cellStyle name="Normal 4 4 3 2 4 2 3 3" xfId="32796"/>
    <cellStyle name="Normal 4 4 3 2 4 2 4" xfId="15209"/>
    <cellStyle name="Normal 4 4 3 2 4 2 4 2" xfId="38068"/>
    <cellStyle name="Normal 4 4 3 2 4 2 5" xfId="25766"/>
    <cellStyle name="Normal 4 4 3 2 4 3" xfId="4662"/>
    <cellStyle name="Normal 4 4 3 2 4 3 2" xfId="16966"/>
    <cellStyle name="Normal 4 4 3 2 4 3 2 2" xfId="39825"/>
    <cellStyle name="Normal 4 4 3 2 4 3 3" xfId="27523"/>
    <cellStyle name="Normal 4 4 3 2 4 4" xfId="8177"/>
    <cellStyle name="Normal 4 4 3 2 4 4 2" xfId="20481"/>
    <cellStyle name="Normal 4 4 3 2 4 4 2 2" xfId="43340"/>
    <cellStyle name="Normal 4 4 3 2 4 4 3" xfId="31038"/>
    <cellStyle name="Normal 4 4 3 2 4 5" xfId="11692"/>
    <cellStyle name="Normal 4 4 3 2 4 5 2" xfId="34552"/>
    <cellStyle name="Normal 4 4 3 2 4 6" xfId="13451"/>
    <cellStyle name="Normal 4 4 3 2 4 6 2" xfId="36310"/>
    <cellStyle name="Normal 4 4 3 2 4 7" xfId="24007"/>
    <cellStyle name="Normal 4 4 3 2 5" xfId="2027"/>
    <cellStyle name="Normal 4 4 3 2 5 2" xfId="5542"/>
    <cellStyle name="Normal 4 4 3 2 5 2 2" xfId="17846"/>
    <cellStyle name="Normal 4 4 3 2 5 2 2 2" xfId="40705"/>
    <cellStyle name="Normal 4 4 3 2 5 2 3" xfId="28403"/>
    <cellStyle name="Normal 4 4 3 2 5 3" xfId="9057"/>
    <cellStyle name="Normal 4 4 3 2 5 3 2" xfId="21361"/>
    <cellStyle name="Normal 4 4 3 2 5 3 2 2" xfId="44220"/>
    <cellStyle name="Normal 4 4 3 2 5 3 3" xfId="31918"/>
    <cellStyle name="Normal 4 4 3 2 5 4" xfId="14331"/>
    <cellStyle name="Normal 4 4 3 2 5 4 2" xfId="37190"/>
    <cellStyle name="Normal 4 4 3 2 5 5" xfId="24888"/>
    <cellStyle name="Normal 4 4 3 2 6" xfId="3784"/>
    <cellStyle name="Normal 4 4 3 2 6 2" xfId="16088"/>
    <cellStyle name="Normal 4 4 3 2 6 2 2" xfId="38947"/>
    <cellStyle name="Normal 4 4 3 2 6 3" xfId="26645"/>
    <cellStyle name="Normal 4 4 3 2 7" xfId="7299"/>
    <cellStyle name="Normal 4 4 3 2 7 2" xfId="19603"/>
    <cellStyle name="Normal 4 4 3 2 7 2 2" xfId="42462"/>
    <cellStyle name="Normal 4 4 3 2 7 3" xfId="30160"/>
    <cellStyle name="Normal 4 4 3 2 8" xfId="10814"/>
    <cellStyle name="Normal 4 4 3 2 8 2" xfId="33674"/>
    <cellStyle name="Normal 4 4 3 2 9" xfId="12573"/>
    <cellStyle name="Normal 4 4 3 2 9 2" xfId="35432"/>
    <cellStyle name="Normal 4 4 3 3" xfId="369"/>
    <cellStyle name="Normal 4 4 3 3 2" xfId="810"/>
    <cellStyle name="Normal 4 4 3 3 2 2" xfId="1689"/>
    <cellStyle name="Normal 4 4 3 3 2 2 2" xfId="3450"/>
    <cellStyle name="Normal 4 4 3 3 2 2 2 2" xfId="6965"/>
    <cellStyle name="Normal 4 4 3 3 2 2 2 2 2" xfId="19269"/>
    <cellStyle name="Normal 4 4 3 3 2 2 2 2 2 2" xfId="42128"/>
    <cellStyle name="Normal 4 4 3 3 2 2 2 2 3" xfId="29826"/>
    <cellStyle name="Normal 4 4 3 3 2 2 2 3" xfId="10480"/>
    <cellStyle name="Normal 4 4 3 3 2 2 2 3 2" xfId="22784"/>
    <cellStyle name="Normal 4 4 3 3 2 2 2 3 2 2" xfId="45643"/>
    <cellStyle name="Normal 4 4 3 3 2 2 2 3 3" xfId="33341"/>
    <cellStyle name="Normal 4 4 3 3 2 2 2 4" xfId="15754"/>
    <cellStyle name="Normal 4 4 3 3 2 2 2 4 2" xfId="38613"/>
    <cellStyle name="Normal 4 4 3 3 2 2 2 5" xfId="26311"/>
    <cellStyle name="Normal 4 4 3 3 2 2 3" xfId="5207"/>
    <cellStyle name="Normal 4 4 3 3 2 2 3 2" xfId="17511"/>
    <cellStyle name="Normal 4 4 3 3 2 2 3 2 2" xfId="40370"/>
    <cellStyle name="Normal 4 4 3 3 2 2 3 3" xfId="28068"/>
    <cellStyle name="Normal 4 4 3 3 2 2 4" xfId="8722"/>
    <cellStyle name="Normal 4 4 3 3 2 2 4 2" xfId="21026"/>
    <cellStyle name="Normal 4 4 3 3 2 2 4 2 2" xfId="43885"/>
    <cellStyle name="Normal 4 4 3 3 2 2 4 3" xfId="31583"/>
    <cellStyle name="Normal 4 4 3 3 2 2 5" xfId="12237"/>
    <cellStyle name="Normal 4 4 3 3 2 2 5 2" xfId="35097"/>
    <cellStyle name="Normal 4 4 3 3 2 2 6" xfId="13996"/>
    <cellStyle name="Normal 4 4 3 3 2 2 6 2" xfId="36855"/>
    <cellStyle name="Normal 4 4 3 3 2 2 7" xfId="24552"/>
    <cellStyle name="Normal 4 4 3 3 2 3" xfId="2572"/>
    <cellStyle name="Normal 4 4 3 3 2 3 2" xfId="6087"/>
    <cellStyle name="Normal 4 4 3 3 2 3 2 2" xfId="18391"/>
    <cellStyle name="Normal 4 4 3 3 2 3 2 2 2" xfId="41250"/>
    <cellStyle name="Normal 4 4 3 3 2 3 2 3" xfId="28948"/>
    <cellStyle name="Normal 4 4 3 3 2 3 3" xfId="9602"/>
    <cellStyle name="Normal 4 4 3 3 2 3 3 2" xfId="21906"/>
    <cellStyle name="Normal 4 4 3 3 2 3 3 2 2" xfId="44765"/>
    <cellStyle name="Normal 4 4 3 3 2 3 3 3" xfId="32463"/>
    <cellStyle name="Normal 4 4 3 3 2 3 4" xfId="14876"/>
    <cellStyle name="Normal 4 4 3 3 2 3 4 2" xfId="37735"/>
    <cellStyle name="Normal 4 4 3 3 2 3 5" xfId="25433"/>
    <cellStyle name="Normal 4 4 3 3 2 4" xfId="4329"/>
    <cellStyle name="Normal 4 4 3 3 2 4 2" xfId="16633"/>
    <cellStyle name="Normal 4 4 3 3 2 4 2 2" xfId="39492"/>
    <cellStyle name="Normal 4 4 3 3 2 4 3" xfId="27190"/>
    <cellStyle name="Normal 4 4 3 3 2 5" xfId="7844"/>
    <cellStyle name="Normal 4 4 3 3 2 5 2" xfId="20148"/>
    <cellStyle name="Normal 4 4 3 3 2 5 2 2" xfId="43007"/>
    <cellStyle name="Normal 4 4 3 3 2 5 3" xfId="30705"/>
    <cellStyle name="Normal 4 4 3 3 2 6" xfId="11359"/>
    <cellStyle name="Normal 4 4 3 3 2 6 2" xfId="34219"/>
    <cellStyle name="Normal 4 4 3 3 2 7" xfId="13118"/>
    <cellStyle name="Normal 4 4 3 3 2 7 2" xfId="35977"/>
    <cellStyle name="Normal 4 4 3 3 2 8" xfId="23674"/>
    <cellStyle name="Normal 4 4 3 3 3" xfId="1250"/>
    <cellStyle name="Normal 4 4 3 3 3 2" xfId="3011"/>
    <cellStyle name="Normal 4 4 3 3 3 2 2" xfId="6526"/>
    <cellStyle name="Normal 4 4 3 3 3 2 2 2" xfId="18830"/>
    <cellStyle name="Normal 4 4 3 3 3 2 2 2 2" xfId="41689"/>
    <cellStyle name="Normal 4 4 3 3 3 2 2 3" xfId="29387"/>
    <cellStyle name="Normal 4 4 3 3 3 2 3" xfId="10041"/>
    <cellStyle name="Normal 4 4 3 3 3 2 3 2" xfId="22345"/>
    <cellStyle name="Normal 4 4 3 3 3 2 3 2 2" xfId="45204"/>
    <cellStyle name="Normal 4 4 3 3 3 2 3 3" xfId="32902"/>
    <cellStyle name="Normal 4 4 3 3 3 2 4" xfId="15315"/>
    <cellStyle name="Normal 4 4 3 3 3 2 4 2" xfId="38174"/>
    <cellStyle name="Normal 4 4 3 3 3 2 5" xfId="25872"/>
    <cellStyle name="Normal 4 4 3 3 3 3" xfId="4768"/>
    <cellStyle name="Normal 4 4 3 3 3 3 2" xfId="17072"/>
    <cellStyle name="Normal 4 4 3 3 3 3 2 2" xfId="39931"/>
    <cellStyle name="Normal 4 4 3 3 3 3 3" xfId="27629"/>
    <cellStyle name="Normal 4 4 3 3 3 4" xfId="8283"/>
    <cellStyle name="Normal 4 4 3 3 3 4 2" xfId="20587"/>
    <cellStyle name="Normal 4 4 3 3 3 4 2 2" xfId="43446"/>
    <cellStyle name="Normal 4 4 3 3 3 4 3" xfId="31144"/>
    <cellStyle name="Normal 4 4 3 3 3 5" xfId="11798"/>
    <cellStyle name="Normal 4 4 3 3 3 5 2" xfId="34658"/>
    <cellStyle name="Normal 4 4 3 3 3 6" xfId="13557"/>
    <cellStyle name="Normal 4 4 3 3 3 6 2" xfId="36416"/>
    <cellStyle name="Normal 4 4 3 3 3 7" xfId="24113"/>
    <cellStyle name="Normal 4 4 3 3 4" xfId="2133"/>
    <cellStyle name="Normal 4 4 3 3 4 2" xfId="5648"/>
    <cellStyle name="Normal 4 4 3 3 4 2 2" xfId="17952"/>
    <cellStyle name="Normal 4 4 3 3 4 2 2 2" xfId="40811"/>
    <cellStyle name="Normal 4 4 3 3 4 2 3" xfId="28509"/>
    <cellStyle name="Normal 4 4 3 3 4 3" xfId="9163"/>
    <cellStyle name="Normal 4 4 3 3 4 3 2" xfId="21467"/>
    <cellStyle name="Normal 4 4 3 3 4 3 2 2" xfId="44326"/>
    <cellStyle name="Normal 4 4 3 3 4 3 3" xfId="32024"/>
    <cellStyle name="Normal 4 4 3 3 4 4" xfId="14437"/>
    <cellStyle name="Normal 4 4 3 3 4 4 2" xfId="37296"/>
    <cellStyle name="Normal 4 4 3 3 4 5" xfId="24994"/>
    <cellStyle name="Normal 4 4 3 3 5" xfId="3890"/>
    <cellStyle name="Normal 4 4 3 3 5 2" xfId="16194"/>
    <cellStyle name="Normal 4 4 3 3 5 2 2" xfId="39053"/>
    <cellStyle name="Normal 4 4 3 3 5 3" xfId="26751"/>
    <cellStyle name="Normal 4 4 3 3 6" xfId="7405"/>
    <cellStyle name="Normal 4 4 3 3 6 2" xfId="19709"/>
    <cellStyle name="Normal 4 4 3 3 6 2 2" xfId="42568"/>
    <cellStyle name="Normal 4 4 3 3 6 3" xfId="30266"/>
    <cellStyle name="Normal 4 4 3 3 7" xfId="10920"/>
    <cellStyle name="Normal 4 4 3 3 7 2" xfId="33780"/>
    <cellStyle name="Normal 4 4 3 3 8" xfId="12679"/>
    <cellStyle name="Normal 4 4 3 3 8 2" xfId="35538"/>
    <cellStyle name="Normal 4 4 3 3 9" xfId="23234"/>
    <cellStyle name="Normal 4 4 3 4" xfId="598"/>
    <cellStyle name="Normal 4 4 3 4 2" xfId="1477"/>
    <cellStyle name="Normal 4 4 3 4 2 2" xfId="3238"/>
    <cellStyle name="Normal 4 4 3 4 2 2 2" xfId="6753"/>
    <cellStyle name="Normal 4 4 3 4 2 2 2 2" xfId="19057"/>
    <cellStyle name="Normal 4 4 3 4 2 2 2 2 2" xfId="41916"/>
    <cellStyle name="Normal 4 4 3 4 2 2 2 3" xfId="29614"/>
    <cellStyle name="Normal 4 4 3 4 2 2 3" xfId="10268"/>
    <cellStyle name="Normal 4 4 3 4 2 2 3 2" xfId="22572"/>
    <cellStyle name="Normal 4 4 3 4 2 2 3 2 2" xfId="45431"/>
    <cellStyle name="Normal 4 4 3 4 2 2 3 3" xfId="33129"/>
    <cellStyle name="Normal 4 4 3 4 2 2 4" xfId="15542"/>
    <cellStyle name="Normal 4 4 3 4 2 2 4 2" xfId="38401"/>
    <cellStyle name="Normal 4 4 3 4 2 2 5" xfId="26099"/>
    <cellStyle name="Normal 4 4 3 4 2 3" xfId="4995"/>
    <cellStyle name="Normal 4 4 3 4 2 3 2" xfId="17299"/>
    <cellStyle name="Normal 4 4 3 4 2 3 2 2" xfId="40158"/>
    <cellStyle name="Normal 4 4 3 4 2 3 3" xfId="27856"/>
    <cellStyle name="Normal 4 4 3 4 2 4" xfId="8510"/>
    <cellStyle name="Normal 4 4 3 4 2 4 2" xfId="20814"/>
    <cellStyle name="Normal 4 4 3 4 2 4 2 2" xfId="43673"/>
    <cellStyle name="Normal 4 4 3 4 2 4 3" xfId="31371"/>
    <cellStyle name="Normal 4 4 3 4 2 5" xfId="12025"/>
    <cellStyle name="Normal 4 4 3 4 2 5 2" xfId="34885"/>
    <cellStyle name="Normal 4 4 3 4 2 6" xfId="13784"/>
    <cellStyle name="Normal 4 4 3 4 2 6 2" xfId="36643"/>
    <cellStyle name="Normal 4 4 3 4 2 7" xfId="24340"/>
    <cellStyle name="Normal 4 4 3 4 3" xfId="2360"/>
    <cellStyle name="Normal 4 4 3 4 3 2" xfId="5875"/>
    <cellStyle name="Normal 4 4 3 4 3 2 2" xfId="18179"/>
    <cellStyle name="Normal 4 4 3 4 3 2 2 2" xfId="41038"/>
    <cellStyle name="Normal 4 4 3 4 3 2 3" xfId="28736"/>
    <cellStyle name="Normal 4 4 3 4 3 3" xfId="9390"/>
    <cellStyle name="Normal 4 4 3 4 3 3 2" xfId="21694"/>
    <cellStyle name="Normal 4 4 3 4 3 3 2 2" xfId="44553"/>
    <cellStyle name="Normal 4 4 3 4 3 3 3" xfId="32251"/>
    <cellStyle name="Normal 4 4 3 4 3 4" xfId="14664"/>
    <cellStyle name="Normal 4 4 3 4 3 4 2" xfId="37523"/>
    <cellStyle name="Normal 4 4 3 4 3 5" xfId="25221"/>
    <cellStyle name="Normal 4 4 3 4 4" xfId="4117"/>
    <cellStyle name="Normal 4 4 3 4 4 2" xfId="16421"/>
    <cellStyle name="Normal 4 4 3 4 4 2 2" xfId="39280"/>
    <cellStyle name="Normal 4 4 3 4 4 3" xfId="26978"/>
    <cellStyle name="Normal 4 4 3 4 5" xfId="7632"/>
    <cellStyle name="Normal 4 4 3 4 5 2" xfId="19936"/>
    <cellStyle name="Normal 4 4 3 4 5 2 2" xfId="42795"/>
    <cellStyle name="Normal 4 4 3 4 5 3" xfId="30493"/>
    <cellStyle name="Normal 4 4 3 4 6" xfId="11147"/>
    <cellStyle name="Normal 4 4 3 4 6 2" xfId="34007"/>
    <cellStyle name="Normal 4 4 3 4 7" xfId="12906"/>
    <cellStyle name="Normal 4 4 3 4 7 2" xfId="35765"/>
    <cellStyle name="Normal 4 4 3 4 8" xfId="23462"/>
    <cellStyle name="Normal 4 4 3 5" xfId="1038"/>
    <cellStyle name="Normal 4 4 3 5 2" xfId="2799"/>
    <cellStyle name="Normal 4 4 3 5 2 2" xfId="6314"/>
    <cellStyle name="Normal 4 4 3 5 2 2 2" xfId="18618"/>
    <cellStyle name="Normal 4 4 3 5 2 2 2 2" xfId="41477"/>
    <cellStyle name="Normal 4 4 3 5 2 2 3" xfId="29175"/>
    <cellStyle name="Normal 4 4 3 5 2 3" xfId="9829"/>
    <cellStyle name="Normal 4 4 3 5 2 3 2" xfId="22133"/>
    <cellStyle name="Normal 4 4 3 5 2 3 2 2" xfId="44992"/>
    <cellStyle name="Normal 4 4 3 5 2 3 3" xfId="32690"/>
    <cellStyle name="Normal 4 4 3 5 2 4" xfId="15103"/>
    <cellStyle name="Normal 4 4 3 5 2 4 2" xfId="37962"/>
    <cellStyle name="Normal 4 4 3 5 2 5" xfId="25660"/>
    <cellStyle name="Normal 4 4 3 5 3" xfId="4556"/>
    <cellStyle name="Normal 4 4 3 5 3 2" xfId="16860"/>
    <cellStyle name="Normal 4 4 3 5 3 2 2" xfId="39719"/>
    <cellStyle name="Normal 4 4 3 5 3 3" xfId="27417"/>
    <cellStyle name="Normal 4 4 3 5 4" xfId="8071"/>
    <cellStyle name="Normal 4 4 3 5 4 2" xfId="20375"/>
    <cellStyle name="Normal 4 4 3 5 4 2 2" xfId="43234"/>
    <cellStyle name="Normal 4 4 3 5 4 3" xfId="30932"/>
    <cellStyle name="Normal 4 4 3 5 5" xfId="11586"/>
    <cellStyle name="Normal 4 4 3 5 5 2" xfId="34446"/>
    <cellStyle name="Normal 4 4 3 5 6" xfId="13345"/>
    <cellStyle name="Normal 4 4 3 5 6 2" xfId="36204"/>
    <cellStyle name="Normal 4 4 3 5 7" xfId="23901"/>
    <cellStyle name="Normal 4 4 3 6" xfId="1921"/>
    <cellStyle name="Normal 4 4 3 6 2" xfId="5436"/>
    <cellStyle name="Normal 4 4 3 6 2 2" xfId="17740"/>
    <cellStyle name="Normal 4 4 3 6 2 2 2" xfId="40599"/>
    <cellStyle name="Normal 4 4 3 6 2 3" xfId="28297"/>
    <cellStyle name="Normal 4 4 3 6 3" xfId="8951"/>
    <cellStyle name="Normal 4 4 3 6 3 2" xfId="21255"/>
    <cellStyle name="Normal 4 4 3 6 3 2 2" xfId="44114"/>
    <cellStyle name="Normal 4 4 3 6 3 3" xfId="31812"/>
    <cellStyle name="Normal 4 4 3 6 4" xfId="14225"/>
    <cellStyle name="Normal 4 4 3 6 4 2" xfId="37084"/>
    <cellStyle name="Normal 4 4 3 6 5" xfId="24782"/>
    <cellStyle name="Normal 4 4 3 7" xfId="3678"/>
    <cellStyle name="Normal 4 4 3 7 2" xfId="15982"/>
    <cellStyle name="Normal 4 4 3 7 2 2" xfId="38841"/>
    <cellStyle name="Normal 4 4 3 7 3" xfId="26539"/>
    <cellStyle name="Normal 4 4 3 8" xfId="7193"/>
    <cellStyle name="Normal 4 4 3 8 2" xfId="19497"/>
    <cellStyle name="Normal 4 4 3 8 2 2" xfId="42356"/>
    <cellStyle name="Normal 4 4 3 8 3" xfId="30054"/>
    <cellStyle name="Normal 4 4 3 9" xfId="10708"/>
    <cellStyle name="Normal 4 4 3 9 2" xfId="33568"/>
    <cellStyle name="Normal 4 4 4" xfId="209"/>
    <cellStyle name="Normal 4 4 4 10" xfId="23074"/>
    <cellStyle name="Normal 4 4 4 2" xfId="421"/>
    <cellStyle name="Normal 4 4 4 2 2" xfId="862"/>
    <cellStyle name="Normal 4 4 4 2 2 2" xfId="1741"/>
    <cellStyle name="Normal 4 4 4 2 2 2 2" xfId="3502"/>
    <cellStyle name="Normal 4 4 4 2 2 2 2 2" xfId="7017"/>
    <cellStyle name="Normal 4 4 4 2 2 2 2 2 2" xfId="19321"/>
    <cellStyle name="Normal 4 4 4 2 2 2 2 2 2 2" xfId="42180"/>
    <cellStyle name="Normal 4 4 4 2 2 2 2 2 3" xfId="29878"/>
    <cellStyle name="Normal 4 4 4 2 2 2 2 3" xfId="10532"/>
    <cellStyle name="Normal 4 4 4 2 2 2 2 3 2" xfId="22836"/>
    <cellStyle name="Normal 4 4 4 2 2 2 2 3 2 2" xfId="45695"/>
    <cellStyle name="Normal 4 4 4 2 2 2 2 3 3" xfId="33393"/>
    <cellStyle name="Normal 4 4 4 2 2 2 2 4" xfId="15806"/>
    <cellStyle name="Normal 4 4 4 2 2 2 2 4 2" xfId="38665"/>
    <cellStyle name="Normal 4 4 4 2 2 2 2 5" xfId="26363"/>
    <cellStyle name="Normal 4 4 4 2 2 2 3" xfId="5259"/>
    <cellStyle name="Normal 4 4 4 2 2 2 3 2" xfId="17563"/>
    <cellStyle name="Normal 4 4 4 2 2 2 3 2 2" xfId="40422"/>
    <cellStyle name="Normal 4 4 4 2 2 2 3 3" xfId="28120"/>
    <cellStyle name="Normal 4 4 4 2 2 2 4" xfId="8774"/>
    <cellStyle name="Normal 4 4 4 2 2 2 4 2" xfId="21078"/>
    <cellStyle name="Normal 4 4 4 2 2 2 4 2 2" xfId="43937"/>
    <cellStyle name="Normal 4 4 4 2 2 2 4 3" xfId="31635"/>
    <cellStyle name="Normal 4 4 4 2 2 2 5" xfId="12289"/>
    <cellStyle name="Normal 4 4 4 2 2 2 5 2" xfId="35149"/>
    <cellStyle name="Normal 4 4 4 2 2 2 6" xfId="14048"/>
    <cellStyle name="Normal 4 4 4 2 2 2 6 2" xfId="36907"/>
    <cellStyle name="Normal 4 4 4 2 2 2 7" xfId="24604"/>
    <cellStyle name="Normal 4 4 4 2 2 3" xfId="2624"/>
    <cellStyle name="Normal 4 4 4 2 2 3 2" xfId="6139"/>
    <cellStyle name="Normal 4 4 4 2 2 3 2 2" xfId="18443"/>
    <cellStyle name="Normal 4 4 4 2 2 3 2 2 2" xfId="41302"/>
    <cellStyle name="Normal 4 4 4 2 2 3 2 3" xfId="29000"/>
    <cellStyle name="Normal 4 4 4 2 2 3 3" xfId="9654"/>
    <cellStyle name="Normal 4 4 4 2 2 3 3 2" xfId="21958"/>
    <cellStyle name="Normal 4 4 4 2 2 3 3 2 2" xfId="44817"/>
    <cellStyle name="Normal 4 4 4 2 2 3 3 3" xfId="32515"/>
    <cellStyle name="Normal 4 4 4 2 2 3 4" xfId="14928"/>
    <cellStyle name="Normal 4 4 4 2 2 3 4 2" xfId="37787"/>
    <cellStyle name="Normal 4 4 4 2 2 3 5" xfId="25485"/>
    <cellStyle name="Normal 4 4 4 2 2 4" xfId="4381"/>
    <cellStyle name="Normal 4 4 4 2 2 4 2" xfId="16685"/>
    <cellStyle name="Normal 4 4 4 2 2 4 2 2" xfId="39544"/>
    <cellStyle name="Normal 4 4 4 2 2 4 3" xfId="27242"/>
    <cellStyle name="Normal 4 4 4 2 2 5" xfId="7896"/>
    <cellStyle name="Normal 4 4 4 2 2 5 2" xfId="20200"/>
    <cellStyle name="Normal 4 4 4 2 2 5 2 2" xfId="43059"/>
    <cellStyle name="Normal 4 4 4 2 2 5 3" xfId="30757"/>
    <cellStyle name="Normal 4 4 4 2 2 6" xfId="11411"/>
    <cellStyle name="Normal 4 4 4 2 2 6 2" xfId="34271"/>
    <cellStyle name="Normal 4 4 4 2 2 7" xfId="13170"/>
    <cellStyle name="Normal 4 4 4 2 2 7 2" xfId="36029"/>
    <cellStyle name="Normal 4 4 4 2 2 8" xfId="23726"/>
    <cellStyle name="Normal 4 4 4 2 3" xfId="1302"/>
    <cellStyle name="Normal 4 4 4 2 3 2" xfId="3063"/>
    <cellStyle name="Normal 4 4 4 2 3 2 2" xfId="6578"/>
    <cellStyle name="Normal 4 4 4 2 3 2 2 2" xfId="18882"/>
    <cellStyle name="Normal 4 4 4 2 3 2 2 2 2" xfId="41741"/>
    <cellStyle name="Normal 4 4 4 2 3 2 2 3" xfId="29439"/>
    <cellStyle name="Normal 4 4 4 2 3 2 3" xfId="10093"/>
    <cellStyle name="Normal 4 4 4 2 3 2 3 2" xfId="22397"/>
    <cellStyle name="Normal 4 4 4 2 3 2 3 2 2" xfId="45256"/>
    <cellStyle name="Normal 4 4 4 2 3 2 3 3" xfId="32954"/>
    <cellStyle name="Normal 4 4 4 2 3 2 4" xfId="15367"/>
    <cellStyle name="Normal 4 4 4 2 3 2 4 2" xfId="38226"/>
    <cellStyle name="Normal 4 4 4 2 3 2 5" xfId="25924"/>
    <cellStyle name="Normal 4 4 4 2 3 3" xfId="4820"/>
    <cellStyle name="Normal 4 4 4 2 3 3 2" xfId="17124"/>
    <cellStyle name="Normal 4 4 4 2 3 3 2 2" xfId="39983"/>
    <cellStyle name="Normal 4 4 4 2 3 3 3" xfId="27681"/>
    <cellStyle name="Normal 4 4 4 2 3 4" xfId="8335"/>
    <cellStyle name="Normal 4 4 4 2 3 4 2" xfId="20639"/>
    <cellStyle name="Normal 4 4 4 2 3 4 2 2" xfId="43498"/>
    <cellStyle name="Normal 4 4 4 2 3 4 3" xfId="31196"/>
    <cellStyle name="Normal 4 4 4 2 3 5" xfId="11850"/>
    <cellStyle name="Normal 4 4 4 2 3 5 2" xfId="34710"/>
    <cellStyle name="Normal 4 4 4 2 3 6" xfId="13609"/>
    <cellStyle name="Normal 4 4 4 2 3 6 2" xfId="36468"/>
    <cellStyle name="Normal 4 4 4 2 3 7" xfId="24165"/>
    <cellStyle name="Normal 4 4 4 2 4" xfId="2185"/>
    <cellStyle name="Normal 4 4 4 2 4 2" xfId="5700"/>
    <cellStyle name="Normal 4 4 4 2 4 2 2" xfId="18004"/>
    <cellStyle name="Normal 4 4 4 2 4 2 2 2" xfId="40863"/>
    <cellStyle name="Normal 4 4 4 2 4 2 3" xfId="28561"/>
    <cellStyle name="Normal 4 4 4 2 4 3" xfId="9215"/>
    <cellStyle name="Normal 4 4 4 2 4 3 2" xfId="21519"/>
    <cellStyle name="Normal 4 4 4 2 4 3 2 2" xfId="44378"/>
    <cellStyle name="Normal 4 4 4 2 4 3 3" xfId="32076"/>
    <cellStyle name="Normal 4 4 4 2 4 4" xfId="14489"/>
    <cellStyle name="Normal 4 4 4 2 4 4 2" xfId="37348"/>
    <cellStyle name="Normal 4 4 4 2 4 5" xfId="25046"/>
    <cellStyle name="Normal 4 4 4 2 5" xfId="3942"/>
    <cellStyle name="Normal 4 4 4 2 5 2" xfId="16246"/>
    <cellStyle name="Normal 4 4 4 2 5 2 2" xfId="39105"/>
    <cellStyle name="Normal 4 4 4 2 5 3" xfId="26803"/>
    <cellStyle name="Normal 4 4 4 2 6" xfId="7457"/>
    <cellStyle name="Normal 4 4 4 2 6 2" xfId="19761"/>
    <cellStyle name="Normal 4 4 4 2 6 2 2" xfId="42620"/>
    <cellStyle name="Normal 4 4 4 2 6 3" xfId="30318"/>
    <cellStyle name="Normal 4 4 4 2 7" xfId="10972"/>
    <cellStyle name="Normal 4 4 4 2 7 2" xfId="33832"/>
    <cellStyle name="Normal 4 4 4 2 8" xfId="12731"/>
    <cellStyle name="Normal 4 4 4 2 8 2" xfId="35590"/>
    <cellStyle name="Normal 4 4 4 2 9" xfId="23286"/>
    <cellStyle name="Normal 4 4 4 3" xfId="650"/>
    <cellStyle name="Normal 4 4 4 3 2" xfId="1529"/>
    <cellStyle name="Normal 4 4 4 3 2 2" xfId="3290"/>
    <cellStyle name="Normal 4 4 4 3 2 2 2" xfId="6805"/>
    <cellStyle name="Normal 4 4 4 3 2 2 2 2" xfId="19109"/>
    <cellStyle name="Normal 4 4 4 3 2 2 2 2 2" xfId="41968"/>
    <cellStyle name="Normal 4 4 4 3 2 2 2 3" xfId="29666"/>
    <cellStyle name="Normal 4 4 4 3 2 2 3" xfId="10320"/>
    <cellStyle name="Normal 4 4 4 3 2 2 3 2" xfId="22624"/>
    <cellStyle name="Normal 4 4 4 3 2 2 3 2 2" xfId="45483"/>
    <cellStyle name="Normal 4 4 4 3 2 2 3 3" xfId="33181"/>
    <cellStyle name="Normal 4 4 4 3 2 2 4" xfId="15594"/>
    <cellStyle name="Normal 4 4 4 3 2 2 4 2" xfId="38453"/>
    <cellStyle name="Normal 4 4 4 3 2 2 5" xfId="26151"/>
    <cellStyle name="Normal 4 4 4 3 2 3" xfId="5047"/>
    <cellStyle name="Normal 4 4 4 3 2 3 2" xfId="17351"/>
    <cellStyle name="Normal 4 4 4 3 2 3 2 2" xfId="40210"/>
    <cellStyle name="Normal 4 4 4 3 2 3 3" xfId="27908"/>
    <cellStyle name="Normal 4 4 4 3 2 4" xfId="8562"/>
    <cellStyle name="Normal 4 4 4 3 2 4 2" xfId="20866"/>
    <cellStyle name="Normal 4 4 4 3 2 4 2 2" xfId="43725"/>
    <cellStyle name="Normal 4 4 4 3 2 4 3" xfId="31423"/>
    <cellStyle name="Normal 4 4 4 3 2 5" xfId="12077"/>
    <cellStyle name="Normal 4 4 4 3 2 5 2" xfId="34937"/>
    <cellStyle name="Normal 4 4 4 3 2 6" xfId="13836"/>
    <cellStyle name="Normal 4 4 4 3 2 6 2" xfId="36695"/>
    <cellStyle name="Normal 4 4 4 3 2 7" xfId="24392"/>
    <cellStyle name="Normal 4 4 4 3 3" xfId="2412"/>
    <cellStyle name="Normal 4 4 4 3 3 2" xfId="5927"/>
    <cellStyle name="Normal 4 4 4 3 3 2 2" xfId="18231"/>
    <cellStyle name="Normal 4 4 4 3 3 2 2 2" xfId="41090"/>
    <cellStyle name="Normal 4 4 4 3 3 2 3" xfId="28788"/>
    <cellStyle name="Normal 4 4 4 3 3 3" xfId="9442"/>
    <cellStyle name="Normal 4 4 4 3 3 3 2" xfId="21746"/>
    <cellStyle name="Normal 4 4 4 3 3 3 2 2" xfId="44605"/>
    <cellStyle name="Normal 4 4 4 3 3 3 3" xfId="32303"/>
    <cellStyle name="Normal 4 4 4 3 3 4" xfId="14716"/>
    <cellStyle name="Normal 4 4 4 3 3 4 2" xfId="37575"/>
    <cellStyle name="Normal 4 4 4 3 3 5" xfId="25273"/>
    <cellStyle name="Normal 4 4 4 3 4" xfId="4169"/>
    <cellStyle name="Normal 4 4 4 3 4 2" xfId="16473"/>
    <cellStyle name="Normal 4 4 4 3 4 2 2" xfId="39332"/>
    <cellStyle name="Normal 4 4 4 3 4 3" xfId="27030"/>
    <cellStyle name="Normal 4 4 4 3 5" xfId="7684"/>
    <cellStyle name="Normal 4 4 4 3 5 2" xfId="19988"/>
    <cellStyle name="Normal 4 4 4 3 5 2 2" xfId="42847"/>
    <cellStyle name="Normal 4 4 4 3 5 3" xfId="30545"/>
    <cellStyle name="Normal 4 4 4 3 6" xfId="11199"/>
    <cellStyle name="Normal 4 4 4 3 6 2" xfId="34059"/>
    <cellStyle name="Normal 4 4 4 3 7" xfId="12958"/>
    <cellStyle name="Normal 4 4 4 3 7 2" xfId="35817"/>
    <cellStyle name="Normal 4 4 4 3 8" xfId="23514"/>
    <cellStyle name="Normal 4 4 4 4" xfId="1090"/>
    <cellStyle name="Normal 4 4 4 4 2" xfId="2851"/>
    <cellStyle name="Normal 4 4 4 4 2 2" xfId="6366"/>
    <cellStyle name="Normal 4 4 4 4 2 2 2" xfId="18670"/>
    <cellStyle name="Normal 4 4 4 4 2 2 2 2" xfId="41529"/>
    <cellStyle name="Normal 4 4 4 4 2 2 3" xfId="29227"/>
    <cellStyle name="Normal 4 4 4 4 2 3" xfId="9881"/>
    <cellStyle name="Normal 4 4 4 4 2 3 2" xfId="22185"/>
    <cellStyle name="Normal 4 4 4 4 2 3 2 2" xfId="45044"/>
    <cellStyle name="Normal 4 4 4 4 2 3 3" xfId="32742"/>
    <cellStyle name="Normal 4 4 4 4 2 4" xfId="15155"/>
    <cellStyle name="Normal 4 4 4 4 2 4 2" xfId="38014"/>
    <cellStyle name="Normal 4 4 4 4 2 5" xfId="25712"/>
    <cellStyle name="Normal 4 4 4 4 3" xfId="4608"/>
    <cellStyle name="Normal 4 4 4 4 3 2" xfId="16912"/>
    <cellStyle name="Normal 4 4 4 4 3 2 2" xfId="39771"/>
    <cellStyle name="Normal 4 4 4 4 3 3" xfId="27469"/>
    <cellStyle name="Normal 4 4 4 4 4" xfId="8123"/>
    <cellStyle name="Normal 4 4 4 4 4 2" xfId="20427"/>
    <cellStyle name="Normal 4 4 4 4 4 2 2" xfId="43286"/>
    <cellStyle name="Normal 4 4 4 4 4 3" xfId="30984"/>
    <cellStyle name="Normal 4 4 4 4 5" xfId="11638"/>
    <cellStyle name="Normal 4 4 4 4 5 2" xfId="34498"/>
    <cellStyle name="Normal 4 4 4 4 6" xfId="13397"/>
    <cellStyle name="Normal 4 4 4 4 6 2" xfId="36256"/>
    <cellStyle name="Normal 4 4 4 4 7" xfId="23953"/>
    <cellStyle name="Normal 4 4 4 5" xfId="1973"/>
    <cellStyle name="Normal 4 4 4 5 2" xfId="5488"/>
    <cellStyle name="Normal 4 4 4 5 2 2" xfId="17792"/>
    <cellStyle name="Normal 4 4 4 5 2 2 2" xfId="40651"/>
    <cellStyle name="Normal 4 4 4 5 2 3" xfId="28349"/>
    <cellStyle name="Normal 4 4 4 5 3" xfId="9003"/>
    <cellStyle name="Normal 4 4 4 5 3 2" xfId="21307"/>
    <cellStyle name="Normal 4 4 4 5 3 2 2" xfId="44166"/>
    <cellStyle name="Normal 4 4 4 5 3 3" xfId="31864"/>
    <cellStyle name="Normal 4 4 4 5 4" xfId="14277"/>
    <cellStyle name="Normal 4 4 4 5 4 2" xfId="37136"/>
    <cellStyle name="Normal 4 4 4 5 5" xfId="24834"/>
    <cellStyle name="Normal 4 4 4 6" xfId="3730"/>
    <cellStyle name="Normal 4 4 4 6 2" xfId="16034"/>
    <cellStyle name="Normal 4 4 4 6 2 2" xfId="38893"/>
    <cellStyle name="Normal 4 4 4 6 3" xfId="26591"/>
    <cellStyle name="Normal 4 4 4 7" xfId="7245"/>
    <cellStyle name="Normal 4 4 4 7 2" xfId="19549"/>
    <cellStyle name="Normal 4 4 4 7 2 2" xfId="42408"/>
    <cellStyle name="Normal 4 4 4 7 3" xfId="30106"/>
    <cellStyle name="Normal 4 4 4 8" xfId="10760"/>
    <cellStyle name="Normal 4 4 4 8 2" xfId="33620"/>
    <cellStyle name="Normal 4 4 4 9" xfId="12519"/>
    <cellStyle name="Normal 4 4 4 9 2" xfId="35378"/>
    <cellStyle name="Normal 4 4 5" xfId="315"/>
    <cellStyle name="Normal 4 4 5 2" xfId="756"/>
    <cellStyle name="Normal 4 4 5 2 2" xfId="1635"/>
    <cellStyle name="Normal 4 4 5 2 2 2" xfId="3396"/>
    <cellStyle name="Normal 4 4 5 2 2 2 2" xfId="6911"/>
    <cellStyle name="Normal 4 4 5 2 2 2 2 2" xfId="19215"/>
    <cellStyle name="Normal 4 4 5 2 2 2 2 2 2" xfId="42074"/>
    <cellStyle name="Normal 4 4 5 2 2 2 2 3" xfId="29772"/>
    <cellStyle name="Normal 4 4 5 2 2 2 3" xfId="10426"/>
    <cellStyle name="Normal 4 4 5 2 2 2 3 2" xfId="22730"/>
    <cellStyle name="Normal 4 4 5 2 2 2 3 2 2" xfId="45589"/>
    <cellStyle name="Normal 4 4 5 2 2 2 3 3" xfId="33287"/>
    <cellStyle name="Normal 4 4 5 2 2 2 4" xfId="15700"/>
    <cellStyle name="Normal 4 4 5 2 2 2 4 2" xfId="38559"/>
    <cellStyle name="Normal 4 4 5 2 2 2 5" xfId="26257"/>
    <cellStyle name="Normal 4 4 5 2 2 3" xfId="5153"/>
    <cellStyle name="Normal 4 4 5 2 2 3 2" xfId="17457"/>
    <cellStyle name="Normal 4 4 5 2 2 3 2 2" xfId="40316"/>
    <cellStyle name="Normal 4 4 5 2 2 3 3" xfId="28014"/>
    <cellStyle name="Normal 4 4 5 2 2 4" xfId="8668"/>
    <cellStyle name="Normal 4 4 5 2 2 4 2" xfId="20972"/>
    <cellStyle name="Normal 4 4 5 2 2 4 2 2" xfId="43831"/>
    <cellStyle name="Normal 4 4 5 2 2 4 3" xfId="31529"/>
    <cellStyle name="Normal 4 4 5 2 2 5" xfId="12183"/>
    <cellStyle name="Normal 4 4 5 2 2 5 2" xfId="35043"/>
    <cellStyle name="Normal 4 4 5 2 2 6" xfId="13942"/>
    <cellStyle name="Normal 4 4 5 2 2 6 2" xfId="36801"/>
    <cellStyle name="Normal 4 4 5 2 2 7" xfId="24498"/>
    <cellStyle name="Normal 4 4 5 2 3" xfId="2518"/>
    <cellStyle name="Normal 4 4 5 2 3 2" xfId="6033"/>
    <cellStyle name="Normal 4 4 5 2 3 2 2" xfId="18337"/>
    <cellStyle name="Normal 4 4 5 2 3 2 2 2" xfId="41196"/>
    <cellStyle name="Normal 4 4 5 2 3 2 3" xfId="28894"/>
    <cellStyle name="Normal 4 4 5 2 3 3" xfId="9548"/>
    <cellStyle name="Normal 4 4 5 2 3 3 2" xfId="21852"/>
    <cellStyle name="Normal 4 4 5 2 3 3 2 2" xfId="44711"/>
    <cellStyle name="Normal 4 4 5 2 3 3 3" xfId="32409"/>
    <cellStyle name="Normal 4 4 5 2 3 4" xfId="14822"/>
    <cellStyle name="Normal 4 4 5 2 3 4 2" xfId="37681"/>
    <cellStyle name="Normal 4 4 5 2 3 5" xfId="25379"/>
    <cellStyle name="Normal 4 4 5 2 4" xfId="4275"/>
    <cellStyle name="Normal 4 4 5 2 4 2" xfId="16579"/>
    <cellStyle name="Normal 4 4 5 2 4 2 2" xfId="39438"/>
    <cellStyle name="Normal 4 4 5 2 4 3" xfId="27136"/>
    <cellStyle name="Normal 4 4 5 2 5" xfId="7790"/>
    <cellStyle name="Normal 4 4 5 2 5 2" xfId="20094"/>
    <cellStyle name="Normal 4 4 5 2 5 2 2" xfId="42953"/>
    <cellStyle name="Normal 4 4 5 2 5 3" xfId="30651"/>
    <cellStyle name="Normal 4 4 5 2 6" xfId="11305"/>
    <cellStyle name="Normal 4 4 5 2 6 2" xfId="34165"/>
    <cellStyle name="Normal 4 4 5 2 7" xfId="13064"/>
    <cellStyle name="Normal 4 4 5 2 7 2" xfId="35923"/>
    <cellStyle name="Normal 4 4 5 2 8" xfId="23620"/>
    <cellStyle name="Normal 4 4 5 3" xfId="1196"/>
    <cellStyle name="Normal 4 4 5 3 2" xfId="2957"/>
    <cellStyle name="Normal 4 4 5 3 2 2" xfId="6472"/>
    <cellStyle name="Normal 4 4 5 3 2 2 2" xfId="18776"/>
    <cellStyle name="Normal 4 4 5 3 2 2 2 2" xfId="41635"/>
    <cellStyle name="Normal 4 4 5 3 2 2 3" xfId="29333"/>
    <cellStyle name="Normal 4 4 5 3 2 3" xfId="9987"/>
    <cellStyle name="Normal 4 4 5 3 2 3 2" xfId="22291"/>
    <cellStyle name="Normal 4 4 5 3 2 3 2 2" xfId="45150"/>
    <cellStyle name="Normal 4 4 5 3 2 3 3" xfId="32848"/>
    <cellStyle name="Normal 4 4 5 3 2 4" xfId="15261"/>
    <cellStyle name="Normal 4 4 5 3 2 4 2" xfId="38120"/>
    <cellStyle name="Normal 4 4 5 3 2 5" xfId="25818"/>
    <cellStyle name="Normal 4 4 5 3 3" xfId="4714"/>
    <cellStyle name="Normal 4 4 5 3 3 2" xfId="17018"/>
    <cellStyle name="Normal 4 4 5 3 3 2 2" xfId="39877"/>
    <cellStyle name="Normal 4 4 5 3 3 3" xfId="27575"/>
    <cellStyle name="Normal 4 4 5 3 4" xfId="8229"/>
    <cellStyle name="Normal 4 4 5 3 4 2" xfId="20533"/>
    <cellStyle name="Normal 4 4 5 3 4 2 2" xfId="43392"/>
    <cellStyle name="Normal 4 4 5 3 4 3" xfId="31090"/>
    <cellStyle name="Normal 4 4 5 3 5" xfId="11744"/>
    <cellStyle name="Normal 4 4 5 3 5 2" xfId="34604"/>
    <cellStyle name="Normal 4 4 5 3 6" xfId="13503"/>
    <cellStyle name="Normal 4 4 5 3 6 2" xfId="36362"/>
    <cellStyle name="Normal 4 4 5 3 7" xfId="24059"/>
    <cellStyle name="Normal 4 4 5 4" xfId="2079"/>
    <cellStyle name="Normal 4 4 5 4 2" xfId="5594"/>
    <cellStyle name="Normal 4 4 5 4 2 2" xfId="17898"/>
    <cellStyle name="Normal 4 4 5 4 2 2 2" xfId="40757"/>
    <cellStyle name="Normal 4 4 5 4 2 3" xfId="28455"/>
    <cellStyle name="Normal 4 4 5 4 3" xfId="9109"/>
    <cellStyle name="Normal 4 4 5 4 3 2" xfId="21413"/>
    <cellStyle name="Normal 4 4 5 4 3 2 2" xfId="44272"/>
    <cellStyle name="Normal 4 4 5 4 3 3" xfId="31970"/>
    <cellStyle name="Normal 4 4 5 4 4" xfId="14383"/>
    <cellStyle name="Normal 4 4 5 4 4 2" xfId="37242"/>
    <cellStyle name="Normal 4 4 5 4 5" xfId="24940"/>
    <cellStyle name="Normal 4 4 5 5" xfId="3836"/>
    <cellStyle name="Normal 4 4 5 5 2" xfId="16140"/>
    <cellStyle name="Normal 4 4 5 5 2 2" xfId="38999"/>
    <cellStyle name="Normal 4 4 5 5 3" xfId="26697"/>
    <cellStyle name="Normal 4 4 5 6" xfId="7351"/>
    <cellStyle name="Normal 4 4 5 6 2" xfId="19655"/>
    <cellStyle name="Normal 4 4 5 6 2 2" xfId="42514"/>
    <cellStyle name="Normal 4 4 5 6 3" xfId="30212"/>
    <cellStyle name="Normal 4 4 5 7" xfId="10866"/>
    <cellStyle name="Normal 4 4 5 7 2" xfId="33726"/>
    <cellStyle name="Normal 4 4 5 8" xfId="12625"/>
    <cellStyle name="Normal 4 4 5 8 2" xfId="35484"/>
    <cellStyle name="Normal 4 4 5 9" xfId="23180"/>
    <cellStyle name="Normal 4 4 6" xfId="544"/>
    <cellStyle name="Normal 4 4 6 2" xfId="1423"/>
    <cellStyle name="Normal 4 4 6 2 2" xfId="3184"/>
    <cellStyle name="Normal 4 4 6 2 2 2" xfId="6699"/>
    <cellStyle name="Normal 4 4 6 2 2 2 2" xfId="19003"/>
    <cellStyle name="Normal 4 4 6 2 2 2 2 2" xfId="41862"/>
    <cellStyle name="Normal 4 4 6 2 2 2 3" xfId="29560"/>
    <cellStyle name="Normal 4 4 6 2 2 3" xfId="10214"/>
    <cellStyle name="Normal 4 4 6 2 2 3 2" xfId="22518"/>
    <cellStyle name="Normal 4 4 6 2 2 3 2 2" xfId="45377"/>
    <cellStyle name="Normal 4 4 6 2 2 3 3" xfId="33075"/>
    <cellStyle name="Normal 4 4 6 2 2 4" xfId="15488"/>
    <cellStyle name="Normal 4 4 6 2 2 4 2" xfId="38347"/>
    <cellStyle name="Normal 4 4 6 2 2 5" xfId="26045"/>
    <cellStyle name="Normal 4 4 6 2 3" xfId="4941"/>
    <cellStyle name="Normal 4 4 6 2 3 2" xfId="17245"/>
    <cellStyle name="Normal 4 4 6 2 3 2 2" xfId="40104"/>
    <cellStyle name="Normal 4 4 6 2 3 3" xfId="27802"/>
    <cellStyle name="Normal 4 4 6 2 4" xfId="8456"/>
    <cellStyle name="Normal 4 4 6 2 4 2" xfId="20760"/>
    <cellStyle name="Normal 4 4 6 2 4 2 2" xfId="43619"/>
    <cellStyle name="Normal 4 4 6 2 4 3" xfId="31317"/>
    <cellStyle name="Normal 4 4 6 2 5" xfId="11971"/>
    <cellStyle name="Normal 4 4 6 2 5 2" xfId="34831"/>
    <cellStyle name="Normal 4 4 6 2 6" xfId="13730"/>
    <cellStyle name="Normal 4 4 6 2 6 2" xfId="36589"/>
    <cellStyle name="Normal 4 4 6 2 7" xfId="24286"/>
    <cellStyle name="Normal 4 4 6 3" xfId="2306"/>
    <cellStyle name="Normal 4 4 6 3 2" xfId="5821"/>
    <cellStyle name="Normal 4 4 6 3 2 2" xfId="18125"/>
    <cellStyle name="Normal 4 4 6 3 2 2 2" xfId="40984"/>
    <cellStyle name="Normal 4 4 6 3 2 3" xfId="28682"/>
    <cellStyle name="Normal 4 4 6 3 3" xfId="9336"/>
    <cellStyle name="Normal 4 4 6 3 3 2" xfId="21640"/>
    <cellStyle name="Normal 4 4 6 3 3 2 2" xfId="44499"/>
    <cellStyle name="Normal 4 4 6 3 3 3" xfId="32197"/>
    <cellStyle name="Normal 4 4 6 3 4" xfId="14610"/>
    <cellStyle name="Normal 4 4 6 3 4 2" xfId="37469"/>
    <cellStyle name="Normal 4 4 6 3 5" xfId="25167"/>
    <cellStyle name="Normal 4 4 6 4" xfId="4063"/>
    <cellStyle name="Normal 4 4 6 4 2" xfId="16367"/>
    <cellStyle name="Normal 4 4 6 4 2 2" xfId="39226"/>
    <cellStyle name="Normal 4 4 6 4 3" xfId="26924"/>
    <cellStyle name="Normal 4 4 6 5" xfId="7578"/>
    <cellStyle name="Normal 4 4 6 5 2" xfId="19882"/>
    <cellStyle name="Normal 4 4 6 5 2 2" xfId="42741"/>
    <cellStyle name="Normal 4 4 6 5 3" xfId="30439"/>
    <cellStyle name="Normal 4 4 6 6" xfId="11093"/>
    <cellStyle name="Normal 4 4 6 6 2" xfId="33953"/>
    <cellStyle name="Normal 4 4 6 7" xfId="12852"/>
    <cellStyle name="Normal 4 4 6 7 2" xfId="35711"/>
    <cellStyle name="Normal 4 4 6 8" xfId="23408"/>
    <cellStyle name="Normal 4 4 7" xfId="984"/>
    <cellStyle name="Normal 4 4 7 2" xfId="2745"/>
    <cellStyle name="Normal 4 4 7 2 2" xfId="6260"/>
    <cellStyle name="Normal 4 4 7 2 2 2" xfId="18564"/>
    <cellStyle name="Normal 4 4 7 2 2 2 2" xfId="41423"/>
    <cellStyle name="Normal 4 4 7 2 2 3" xfId="29121"/>
    <cellStyle name="Normal 4 4 7 2 3" xfId="9775"/>
    <cellStyle name="Normal 4 4 7 2 3 2" xfId="22079"/>
    <cellStyle name="Normal 4 4 7 2 3 2 2" xfId="44938"/>
    <cellStyle name="Normal 4 4 7 2 3 3" xfId="32636"/>
    <cellStyle name="Normal 4 4 7 2 4" xfId="15049"/>
    <cellStyle name="Normal 4 4 7 2 4 2" xfId="37908"/>
    <cellStyle name="Normal 4 4 7 2 5" xfId="25606"/>
    <cellStyle name="Normal 4 4 7 3" xfId="4502"/>
    <cellStyle name="Normal 4 4 7 3 2" xfId="16806"/>
    <cellStyle name="Normal 4 4 7 3 2 2" xfId="39665"/>
    <cellStyle name="Normal 4 4 7 3 3" xfId="27363"/>
    <cellStyle name="Normal 4 4 7 4" xfId="8017"/>
    <cellStyle name="Normal 4 4 7 4 2" xfId="20321"/>
    <cellStyle name="Normal 4 4 7 4 2 2" xfId="43180"/>
    <cellStyle name="Normal 4 4 7 4 3" xfId="30878"/>
    <cellStyle name="Normal 4 4 7 5" xfId="11532"/>
    <cellStyle name="Normal 4 4 7 5 2" xfId="34392"/>
    <cellStyle name="Normal 4 4 7 6" xfId="13291"/>
    <cellStyle name="Normal 4 4 7 6 2" xfId="36150"/>
    <cellStyle name="Normal 4 4 7 7" xfId="23847"/>
    <cellStyle name="Normal 4 4 8" xfId="1867"/>
    <cellStyle name="Normal 4 4 8 2" xfId="5382"/>
    <cellStyle name="Normal 4 4 8 2 2" xfId="17686"/>
    <cellStyle name="Normal 4 4 8 2 2 2" xfId="40545"/>
    <cellStyle name="Normal 4 4 8 2 3" xfId="28243"/>
    <cellStyle name="Normal 4 4 8 3" xfId="8897"/>
    <cellStyle name="Normal 4 4 8 3 2" xfId="21201"/>
    <cellStyle name="Normal 4 4 8 3 2 2" xfId="44060"/>
    <cellStyle name="Normal 4 4 8 3 3" xfId="31758"/>
    <cellStyle name="Normal 4 4 8 4" xfId="14171"/>
    <cellStyle name="Normal 4 4 8 4 2" xfId="37030"/>
    <cellStyle name="Normal 4 4 8 5" xfId="24728"/>
    <cellStyle name="Normal 4 4 9" xfId="3624"/>
    <cellStyle name="Normal 4 4 9 2" xfId="15928"/>
    <cellStyle name="Normal 4 4 9 2 2" xfId="38787"/>
    <cellStyle name="Normal 4 4 9 3" xfId="26485"/>
    <cellStyle name="Normal 4 5" xfId="119"/>
    <cellStyle name="Normal 4 5 10" xfId="10672"/>
    <cellStyle name="Normal 4 5 10 2" xfId="33532"/>
    <cellStyle name="Normal 4 5 11" xfId="12431"/>
    <cellStyle name="Normal 4 5 11 2" xfId="35290"/>
    <cellStyle name="Normal 4 5 12" xfId="22985"/>
    <cellStyle name="Normal 4 5 2" xfId="173"/>
    <cellStyle name="Normal 4 5 2 10" xfId="12485"/>
    <cellStyle name="Normal 4 5 2 10 2" xfId="35344"/>
    <cellStyle name="Normal 4 5 2 11" xfId="23039"/>
    <cellStyle name="Normal 4 5 2 2" xfId="281"/>
    <cellStyle name="Normal 4 5 2 2 10" xfId="23146"/>
    <cellStyle name="Normal 4 5 2 2 2" xfId="493"/>
    <cellStyle name="Normal 4 5 2 2 2 2" xfId="934"/>
    <cellStyle name="Normal 4 5 2 2 2 2 2" xfId="1813"/>
    <cellStyle name="Normal 4 5 2 2 2 2 2 2" xfId="3574"/>
    <cellStyle name="Normal 4 5 2 2 2 2 2 2 2" xfId="7089"/>
    <cellStyle name="Normal 4 5 2 2 2 2 2 2 2 2" xfId="19393"/>
    <cellStyle name="Normal 4 5 2 2 2 2 2 2 2 2 2" xfId="42252"/>
    <cellStyle name="Normal 4 5 2 2 2 2 2 2 2 3" xfId="29950"/>
    <cellStyle name="Normal 4 5 2 2 2 2 2 2 3" xfId="10604"/>
    <cellStyle name="Normal 4 5 2 2 2 2 2 2 3 2" xfId="22908"/>
    <cellStyle name="Normal 4 5 2 2 2 2 2 2 3 2 2" xfId="45767"/>
    <cellStyle name="Normal 4 5 2 2 2 2 2 2 3 3" xfId="33465"/>
    <cellStyle name="Normal 4 5 2 2 2 2 2 2 4" xfId="15878"/>
    <cellStyle name="Normal 4 5 2 2 2 2 2 2 4 2" xfId="38737"/>
    <cellStyle name="Normal 4 5 2 2 2 2 2 2 5" xfId="26435"/>
    <cellStyle name="Normal 4 5 2 2 2 2 2 3" xfId="5331"/>
    <cellStyle name="Normal 4 5 2 2 2 2 2 3 2" xfId="17635"/>
    <cellStyle name="Normal 4 5 2 2 2 2 2 3 2 2" xfId="40494"/>
    <cellStyle name="Normal 4 5 2 2 2 2 2 3 3" xfId="28192"/>
    <cellStyle name="Normal 4 5 2 2 2 2 2 4" xfId="8846"/>
    <cellStyle name="Normal 4 5 2 2 2 2 2 4 2" xfId="21150"/>
    <cellStyle name="Normal 4 5 2 2 2 2 2 4 2 2" xfId="44009"/>
    <cellStyle name="Normal 4 5 2 2 2 2 2 4 3" xfId="31707"/>
    <cellStyle name="Normal 4 5 2 2 2 2 2 5" xfId="12361"/>
    <cellStyle name="Normal 4 5 2 2 2 2 2 5 2" xfId="35221"/>
    <cellStyle name="Normal 4 5 2 2 2 2 2 6" xfId="14120"/>
    <cellStyle name="Normal 4 5 2 2 2 2 2 6 2" xfId="36979"/>
    <cellStyle name="Normal 4 5 2 2 2 2 2 7" xfId="24676"/>
    <cellStyle name="Normal 4 5 2 2 2 2 3" xfId="2696"/>
    <cellStyle name="Normal 4 5 2 2 2 2 3 2" xfId="6211"/>
    <cellStyle name="Normal 4 5 2 2 2 2 3 2 2" xfId="18515"/>
    <cellStyle name="Normal 4 5 2 2 2 2 3 2 2 2" xfId="41374"/>
    <cellStyle name="Normal 4 5 2 2 2 2 3 2 3" xfId="29072"/>
    <cellStyle name="Normal 4 5 2 2 2 2 3 3" xfId="9726"/>
    <cellStyle name="Normal 4 5 2 2 2 2 3 3 2" xfId="22030"/>
    <cellStyle name="Normal 4 5 2 2 2 2 3 3 2 2" xfId="44889"/>
    <cellStyle name="Normal 4 5 2 2 2 2 3 3 3" xfId="32587"/>
    <cellStyle name="Normal 4 5 2 2 2 2 3 4" xfId="15000"/>
    <cellStyle name="Normal 4 5 2 2 2 2 3 4 2" xfId="37859"/>
    <cellStyle name="Normal 4 5 2 2 2 2 3 5" xfId="25557"/>
    <cellStyle name="Normal 4 5 2 2 2 2 4" xfId="4453"/>
    <cellStyle name="Normal 4 5 2 2 2 2 4 2" xfId="16757"/>
    <cellStyle name="Normal 4 5 2 2 2 2 4 2 2" xfId="39616"/>
    <cellStyle name="Normal 4 5 2 2 2 2 4 3" xfId="27314"/>
    <cellStyle name="Normal 4 5 2 2 2 2 5" xfId="7968"/>
    <cellStyle name="Normal 4 5 2 2 2 2 5 2" xfId="20272"/>
    <cellStyle name="Normal 4 5 2 2 2 2 5 2 2" xfId="43131"/>
    <cellStyle name="Normal 4 5 2 2 2 2 5 3" xfId="30829"/>
    <cellStyle name="Normal 4 5 2 2 2 2 6" xfId="11483"/>
    <cellStyle name="Normal 4 5 2 2 2 2 6 2" xfId="34343"/>
    <cellStyle name="Normal 4 5 2 2 2 2 7" xfId="13242"/>
    <cellStyle name="Normal 4 5 2 2 2 2 7 2" xfId="36101"/>
    <cellStyle name="Normal 4 5 2 2 2 2 8" xfId="23798"/>
    <cellStyle name="Normal 4 5 2 2 2 3" xfId="1374"/>
    <cellStyle name="Normal 4 5 2 2 2 3 2" xfId="3135"/>
    <cellStyle name="Normal 4 5 2 2 2 3 2 2" xfId="6650"/>
    <cellStyle name="Normal 4 5 2 2 2 3 2 2 2" xfId="18954"/>
    <cellStyle name="Normal 4 5 2 2 2 3 2 2 2 2" xfId="41813"/>
    <cellStyle name="Normal 4 5 2 2 2 3 2 2 3" xfId="29511"/>
    <cellStyle name="Normal 4 5 2 2 2 3 2 3" xfId="10165"/>
    <cellStyle name="Normal 4 5 2 2 2 3 2 3 2" xfId="22469"/>
    <cellStyle name="Normal 4 5 2 2 2 3 2 3 2 2" xfId="45328"/>
    <cellStyle name="Normal 4 5 2 2 2 3 2 3 3" xfId="33026"/>
    <cellStyle name="Normal 4 5 2 2 2 3 2 4" xfId="15439"/>
    <cellStyle name="Normal 4 5 2 2 2 3 2 4 2" xfId="38298"/>
    <cellStyle name="Normal 4 5 2 2 2 3 2 5" xfId="25996"/>
    <cellStyle name="Normal 4 5 2 2 2 3 3" xfId="4892"/>
    <cellStyle name="Normal 4 5 2 2 2 3 3 2" xfId="17196"/>
    <cellStyle name="Normal 4 5 2 2 2 3 3 2 2" xfId="40055"/>
    <cellStyle name="Normal 4 5 2 2 2 3 3 3" xfId="27753"/>
    <cellStyle name="Normal 4 5 2 2 2 3 4" xfId="8407"/>
    <cellStyle name="Normal 4 5 2 2 2 3 4 2" xfId="20711"/>
    <cellStyle name="Normal 4 5 2 2 2 3 4 2 2" xfId="43570"/>
    <cellStyle name="Normal 4 5 2 2 2 3 4 3" xfId="31268"/>
    <cellStyle name="Normal 4 5 2 2 2 3 5" xfId="11922"/>
    <cellStyle name="Normal 4 5 2 2 2 3 5 2" xfId="34782"/>
    <cellStyle name="Normal 4 5 2 2 2 3 6" xfId="13681"/>
    <cellStyle name="Normal 4 5 2 2 2 3 6 2" xfId="36540"/>
    <cellStyle name="Normal 4 5 2 2 2 3 7" xfId="24237"/>
    <cellStyle name="Normal 4 5 2 2 2 4" xfId="2257"/>
    <cellStyle name="Normal 4 5 2 2 2 4 2" xfId="5772"/>
    <cellStyle name="Normal 4 5 2 2 2 4 2 2" xfId="18076"/>
    <cellStyle name="Normal 4 5 2 2 2 4 2 2 2" xfId="40935"/>
    <cellStyle name="Normal 4 5 2 2 2 4 2 3" xfId="28633"/>
    <cellStyle name="Normal 4 5 2 2 2 4 3" xfId="9287"/>
    <cellStyle name="Normal 4 5 2 2 2 4 3 2" xfId="21591"/>
    <cellStyle name="Normal 4 5 2 2 2 4 3 2 2" xfId="44450"/>
    <cellStyle name="Normal 4 5 2 2 2 4 3 3" xfId="32148"/>
    <cellStyle name="Normal 4 5 2 2 2 4 4" xfId="14561"/>
    <cellStyle name="Normal 4 5 2 2 2 4 4 2" xfId="37420"/>
    <cellStyle name="Normal 4 5 2 2 2 4 5" xfId="25118"/>
    <cellStyle name="Normal 4 5 2 2 2 5" xfId="4014"/>
    <cellStyle name="Normal 4 5 2 2 2 5 2" xfId="16318"/>
    <cellStyle name="Normal 4 5 2 2 2 5 2 2" xfId="39177"/>
    <cellStyle name="Normal 4 5 2 2 2 5 3" xfId="26875"/>
    <cellStyle name="Normal 4 5 2 2 2 6" xfId="7529"/>
    <cellStyle name="Normal 4 5 2 2 2 6 2" xfId="19833"/>
    <cellStyle name="Normal 4 5 2 2 2 6 2 2" xfId="42692"/>
    <cellStyle name="Normal 4 5 2 2 2 6 3" xfId="30390"/>
    <cellStyle name="Normal 4 5 2 2 2 7" xfId="11044"/>
    <cellStyle name="Normal 4 5 2 2 2 7 2" xfId="33904"/>
    <cellStyle name="Normal 4 5 2 2 2 8" xfId="12803"/>
    <cellStyle name="Normal 4 5 2 2 2 8 2" xfId="35662"/>
    <cellStyle name="Normal 4 5 2 2 2 9" xfId="23358"/>
    <cellStyle name="Normal 4 5 2 2 3" xfId="722"/>
    <cellStyle name="Normal 4 5 2 2 3 2" xfId="1601"/>
    <cellStyle name="Normal 4 5 2 2 3 2 2" xfId="3362"/>
    <cellStyle name="Normal 4 5 2 2 3 2 2 2" xfId="6877"/>
    <cellStyle name="Normal 4 5 2 2 3 2 2 2 2" xfId="19181"/>
    <cellStyle name="Normal 4 5 2 2 3 2 2 2 2 2" xfId="42040"/>
    <cellStyle name="Normal 4 5 2 2 3 2 2 2 3" xfId="29738"/>
    <cellStyle name="Normal 4 5 2 2 3 2 2 3" xfId="10392"/>
    <cellStyle name="Normal 4 5 2 2 3 2 2 3 2" xfId="22696"/>
    <cellStyle name="Normal 4 5 2 2 3 2 2 3 2 2" xfId="45555"/>
    <cellStyle name="Normal 4 5 2 2 3 2 2 3 3" xfId="33253"/>
    <cellStyle name="Normal 4 5 2 2 3 2 2 4" xfId="15666"/>
    <cellStyle name="Normal 4 5 2 2 3 2 2 4 2" xfId="38525"/>
    <cellStyle name="Normal 4 5 2 2 3 2 2 5" xfId="26223"/>
    <cellStyle name="Normal 4 5 2 2 3 2 3" xfId="5119"/>
    <cellStyle name="Normal 4 5 2 2 3 2 3 2" xfId="17423"/>
    <cellStyle name="Normal 4 5 2 2 3 2 3 2 2" xfId="40282"/>
    <cellStyle name="Normal 4 5 2 2 3 2 3 3" xfId="27980"/>
    <cellStyle name="Normal 4 5 2 2 3 2 4" xfId="8634"/>
    <cellStyle name="Normal 4 5 2 2 3 2 4 2" xfId="20938"/>
    <cellStyle name="Normal 4 5 2 2 3 2 4 2 2" xfId="43797"/>
    <cellStyle name="Normal 4 5 2 2 3 2 4 3" xfId="31495"/>
    <cellStyle name="Normal 4 5 2 2 3 2 5" xfId="12149"/>
    <cellStyle name="Normal 4 5 2 2 3 2 5 2" xfId="35009"/>
    <cellStyle name="Normal 4 5 2 2 3 2 6" xfId="13908"/>
    <cellStyle name="Normal 4 5 2 2 3 2 6 2" xfId="36767"/>
    <cellStyle name="Normal 4 5 2 2 3 2 7" xfId="24464"/>
    <cellStyle name="Normal 4 5 2 2 3 3" xfId="2484"/>
    <cellStyle name="Normal 4 5 2 2 3 3 2" xfId="5999"/>
    <cellStyle name="Normal 4 5 2 2 3 3 2 2" xfId="18303"/>
    <cellStyle name="Normal 4 5 2 2 3 3 2 2 2" xfId="41162"/>
    <cellStyle name="Normal 4 5 2 2 3 3 2 3" xfId="28860"/>
    <cellStyle name="Normal 4 5 2 2 3 3 3" xfId="9514"/>
    <cellStyle name="Normal 4 5 2 2 3 3 3 2" xfId="21818"/>
    <cellStyle name="Normal 4 5 2 2 3 3 3 2 2" xfId="44677"/>
    <cellStyle name="Normal 4 5 2 2 3 3 3 3" xfId="32375"/>
    <cellStyle name="Normal 4 5 2 2 3 3 4" xfId="14788"/>
    <cellStyle name="Normal 4 5 2 2 3 3 4 2" xfId="37647"/>
    <cellStyle name="Normal 4 5 2 2 3 3 5" xfId="25345"/>
    <cellStyle name="Normal 4 5 2 2 3 4" xfId="4241"/>
    <cellStyle name="Normal 4 5 2 2 3 4 2" xfId="16545"/>
    <cellStyle name="Normal 4 5 2 2 3 4 2 2" xfId="39404"/>
    <cellStyle name="Normal 4 5 2 2 3 4 3" xfId="27102"/>
    <cellStyle name="Normal 4 5 2 2 3 5" xfId="7756"/>
    <cellStyle name="Normal 4 5 2 2 3 5 2" xfId="20060"/>
    <cellStyle name="Normal 4 5 2 2 3 5 2 2" xfId="42919"/>
    <cellStyle name="Normal 4 5 2 2 3 5 3" xfId="30617"/>
    <cellStyle name="Normal 4 5 2 2 3 6" xfId="11271"/>
    <cellStyle name="Normal 4 5 2 2 3 6 2" xfId="34131"/>
    <cellStyle name="Normal 4 5 2 2 3 7" xfId="13030"/>
    <cellStyle name="Normal 4 5 2 2 3 7 2" xfId="35889"/>
    <cellStyle name="Normal 4 5 2 2 3 8" xfId="23586"/>
    <cellStyle name="Normal 4 5 2 2 4" xfId="1162"/>
    <cellStyle name="Normal 4 5 2 2 4 2" xfId="2923"/>
    <cellStyle name="Normal 4 5 2 2 4 2 2" xfId="6438"/>
    <cellStyle name="Normal 4 5 2 2 4 2 2 2" xfId="18742"/>
    <cellStyle name="Normal 4 5 2 2 4 2 2 2 2" xfId="41601"/>
    <cellStyle name="Normal 4 5 2 2 4 2 2 3" xfId="29299"/>
    <cellStyle name="Normal 4 5 2 2 4 2 3" xfId="9953"/>
    <cellStyle name="Normal 4 5 2 2 4 2 3 2" xfId="22257"/>
    <cellStyle name="Normal 4 5 2 2 4 2 3 2 2" xfId="45116"/>
    <cellStyle name="Normal 4 5 2 2 4 2 3 3" xfId="32814"/>
    <cellStyle name="Normal 4 5 2 2 4 2 4" xfId="15227"/>
    <cellStyle name="Normal 4 5 2 2 4 2 4 2" xfId="38086"/>
    <cellStyle name="Normal 4 5 2 2 4 2 5" xfId="25784"/>
    <cellStyle name="Normal 4 5 2 2 4 3" xfId="4680"/>
    <cellStyle name="Normal 4 5 2 2 4 3 2" xfId="16984"/>
    <cellStyle name="Normal 4 5 2 2 4 3 2 2" xfId="39843"/>
    <cellStyle name="Normal 4 5 2 2 4 3 3" xfId="27541"/>
    <cellStyle name="Normal 4 5 2 2 4 4" xfId="8195"/>
    <cellStyle name="Normal 4 5 2 2 4 4 2" xfId="20499"/>
    <cellStyle name="Normal 4 5 2 2 4 4 2 2" xfId="43358"/>
    <cellStyle name="Normal 4 5 2 2 4 4 3" xfId="31056"/>
    <cellStyle name="Normal 4 5 2 2 4 5" xfId="11710"/>
    <cellStyle name="Normal 4 5 2 2 4 5 2" xfId="34570"/>
    <cellStyle name="Normal 4 5 2 2 4 6" xfId="13469"/>
    <cellStyle name="Normal 4 5 2 2 4 6 2" xfId="36328"/>
    <cellStyle name="Normal 4 5 2 2 4 7" xfId="24025"/>
    <cellStyle name="Normal 4 5 2 2 5" xfId="2045"/>
    <cellStyle name="Normal 4 5 2 2 5 2" xfId="5560"/>
    <cellStyle name="Normal 4 5 2 2 5 2 2" xfId="17864"/>
    <cellStyle name="Normal 4 5 2 2 5 2 2 2" xfId="40723"/>
    <cellStyle name="Normal 4 5 2 2 5 2 3" xfId="28421"/>
    <cellStyle name="Normal 4 5 2 2 5 3" xfId="9075"/>
    <cellStyle name="Normal 4 5 2 2 5 3 2" xfId="21379"/>
    <cellStyle name="Normal 4 5 2 2 5 3 2 2" xfId="44238"/>
    <cellStyle name="Normal 4 5 2 2 5 3 3" xfId="31936"/>
    <cellStyle name="Normal 4 5 2 2 5 4" xfId="14349"/>
    <cellStyle name="Normal 4 5 2 2 5 4 2" xfId="37208"/>
    <cellStyle name="Normal 4 5 2 2 5 5" xfId="24906"/>
    <cellStyle name="Normal 4 5 2 2 6" xfId="3802"/>
    <cellStyle name="Normal 4 5 2 2 6 2" xfId="16106"/>
    <cellStyle name="Normal 4 5 2 2 6 2 2" xfId="38965"/>
    <cellStyle name="Normal 4 5 2 2 6 3" xfId="26663"/>
    <cellStyle name="Normal 4 5 2 2 7" xfId="7317"/>
    <cellStyle name="Normal 4 5 2 2 7 2" xfId="19621"/>
    <cellStyle name="Normal 4 5 2 2 7 2 2" xfId="42480"/>
    <cellStyle name="Normal 4 5 2 2 7 3" xfId="30178"/>
    <cellStyle name="Normal 4 5 2 2 8" xfId="10832"/>
    <cellStyle name="Normal 4 5 2 2 8 2" xfId="33692"/>
    <cellStyle name="Normal 4 5 2 2 9" xfId="12591"/>
    <cellStyle name="Normal 4 5 2 2 9 2" xfId="35450"/>
    <cellStyle name="Normal 4 5 2 3" xfId="387"/>
    <cellStyle name="Normal 4 5 2 3 2" xfId="828"/>
    <cellStyle name="Normal 4 5 2 3 2 2" xfId="1707"/>
    <cellStyle name="Normal 4 5 2 3 2 2 2" xfId="3468"/>
    <cellStyle name="Normal 4 5 2 3 2 2 2 2" xfId="6983"/>
    <cellStyle name="Normal 4 5 2 3 2 2 2 2 2" xfId="19287"/>
    <cellStyle name="Normal 4 5 2 3 2 2 2 2 2 2" xfId="42146"/>
    <cellStyle name="Normal 4 5 2 3 2 2 2 2 3" xfId="29844"/>
    <cellStyle name="Normal 4 5 2 3 2 2 2 3" xfId="10498"/>
    <cellStyle name="Normal 4 5 2 3 2 2 2 3 2" xfId="22802"/>
    <cellStyle name="Normal 4 5 2 3 2 2 2 3 2 2" xfId="45661"/>
    <cellStyle name="Normal 4 5 2 3 2 2 2 3 3" xfId="33359"/>
    <cellStyle name="Normal 4 5 2 3 2 2 2 4" xfId="15772"/>
    <cellStyle name="Normal 4 5 2 3 2 2 2 4 2" xfId="38631"/>
    <cellStyle name="Normal 4 5 2 3 2 2 2 5" xfId="26329"/>
    <cellStyle name="Normal 4 5 2 3 2 2 3" xfId="5225"/>
    <cellStyle name="Normal 4 5 2 3 2 2 3 2" xfId="17529"/>
    <cellStyle name="Normal 4 5 2 3 2 2 3 2 2" xfId="40388"/>
    <cellStyle name="Normal 4 5 2 3 2 2 3 3" xfId="28086"/>
    <cellStyle name="Normal 4 5 2 3 2 2 4" xfId="8740"/>
    <cellStyle name="Normal 4 5 2 3 2 2 4 2" xfId="21044"/>
    <cellStyle name="Normal 4 5 2 3 2 2 4 2 2" xfId="43903"/>
    <cellStyle name="Normal 4 5 2 3 2 2 4 3" xfId="31601"/>
    <cellStyle name="Normal 4 5 2 3 2 2 5" xfId="12255"/>
    <cellStyle name="Normal 4 5 2 3 2 2 5 2" xfId="35115"/>
    <cellStyle name="Normal 4 5 2 3 2 2 6" xfId="14014"/>
    <cellStyle name="Normal 4 5 2 3 2 2 6 2" xfId="36873"/>
    <cellStyle name="Normal 4 5 2 3 2 2 7" xfId="24570"/>
    <cellStyle name="Normal 4 5 2 3 2 3" xfId="2590"/>
    <cellStyle name="Normal 4 5 2 3 2 3 2" xfId="6105"/>
    <cellStyle name="Normal 4 5 2 3 2 3 2 2" xfId="18409"/>
    <cellStyle name="Normal 4 5 2 3 2 3 2 2 2" xfId="41268"/>
    <cellStyle name="Normal 4 5 2 3 2 3 2 3" xfId="28966"/>
    <cellStyle name="Normal 4 5 2 3 2 3 3" xfId="9620"/>
    <cellStyle name="Normal 4 5 2 3 2 3 3 2" xfId="21924"/>
    <cellStyle name="Normal 4 5 2 3 2 3 3 2 2" xfId="44783"/>
    <cellStyle name="Normal 4 5 2 3 2 3 3 3" xfId="32481"/>
    <cellStyle name="Normal 4 5 2 3 2 3 4" xfId="14894"/>
    <cellStyle name="Normal 4 5 2 3 2 3 4 2" xfId="37753"/>
    <cellStyle name="Normal 4 5 2 3 2 3 5" xfId="25451"/>
    <cellStyle name="Normal 4 5 2 3 2 4" xfId="4347"/>
    <cellStyle name="Normal 4 5 2 3 2 4 2" xfId="16651"/>
    <cellStyle name="Normal 4 5 2 3 2 4 2 2" xfId="39510"/>
    <cellStyle name="Normal 4 5 2 3 2 4 3" xfId="27208"/>
    <cellStyle name="Normal 4 5 2 3 2 5" xfId="7862"/>
    <cellStyle name="Normal 4 5 2 3 2 5 2" xfId="20166"/>
    <cellStyle name="Normal 4 5 2 3 2 5 2 2" xfId="43025"/>
    <cellStyle name="Normal 4 5 2 3 2 5 3" xfId="30723"/>
    <cellStyle name="Normal 4 5 2 3 2 6" xfId="11377"/>
    <cellStyle name="Normal 4 5 2 3 2 6 2" xfId="34237"/>
    <cellStyle name="Normal 4 5 2 3 2 7" xfId="13136"/>
    <cellStyle name="Normal 4 5 2 3 2 7 2" xfId="35995"/>
    <cellStyle name="Normal 4 5 2 3 2 8" xfId="23692"/>
    <cellStyle name="Normal 4 5 2 3 3" xfId="1268"/>
    <cellStyle name="Normal 4 5 2 3 3 2" xfId="3029"/>
    <cellStyle name="Normal 4 5 2 3 3 2 2" xfId="6544"/>
    <cellStyle name="Normal 4 5 2 3 3 2 2 2" xfId="18848"/>
    <cellStyle name="Normal 4 5 2 3 3 2 2 2 2" xfId="41707"/>
    <cellStyle name="Normal 4 5 2 3 3 2 2 3" xfId="29405"/>
    <cellStyle name="Normal 4 5 2 3 3 2 3" xfId="10059"/>
    <cellStyle name="Normal 4 5 2 3 3 2 3 2" xfId="22363"/>
    <cellStyle name="Normal 4 5 2 3 3 2 3 2 2" xfId="45222"/>
    <cellStyle name="Normal 4 5 2 3 3 2 3 3" xfId="32920"/>
    <cellStyle name="Normal 4 5 2 3 3 2 4" xfId="15333"/>
    <cellStyle name="Normal 4 5 2 3 3 2 4 2" xfId="38192"/>
    <cellStyle name="Normal 4 5 2 3 3 2 5" xfId="25890"/>
    <cellStyle name="Normal 4 5 2 3 3 3" xfId="4786"/>
    <cellStyle name="Normal 4 5 2 3 3 3 2" xfId="17090"/>
    <cellStyle name="Normal 4 5 2 3 3 3 2 2" xfId="39949"/>
    <cellStyle name="Normal 4 5 2 3 3 3 3" xfId="27647"/>
    <cellStyle name="Normal 4 5 2 3 3 4" xfId="8301"/>
    <cellStyle name="Normal 4 5 2 3 3 4 2" xfId="20605"/>
    <cellStyle name="Normal 4 5 2 3 3 4 2 2" xfId="43464"/>
    <cellStyle name="Normal 4 5 2 3 3 4 3" xfId="31162"/>
    <cellStyle name="Normal 4 5 2 3 3 5" xfId="11816"/>
    <cellStyle name="Normal 4 5 2 3 3 5 2" xfId="34676"/>
    <cellStyle name="Normal 4 5 2 3 3 6" xfId="13575"/>
    <cellStyle name="Normal 4 5 2 3 3 6 2" xfId="36434"/>
    <cellStyle name="Normal 4 5 2 3 3 7" xfId="24131"/>
    <cellStyle name="Normal 4 5 2 3 4" xfId="2151"/>
    <cellStyle name="Normal 4 5 2 3 4 2" xfId="5666"/>
    <cellStyle name="Normal 4 5 2 3 4 2 2" xfId="17970"/>
    <cellStyle name="Normal 4 5 2 3 4 2 2 2" xfId="40829"/>
    <cellStyle name="Normal 4 5 2 3 4 2 3" xfId="28527"/>
    <cellStyle name="Normal 4 5 2 3 4 3" xfId="9181"/>
    <cellStyle name="Normal 4 5 2 3 4 3 2" xfId="21485"/>
    <cellStyle name="Normal 4 5 2 3 4 3 2 2" xfId="44344"/>
    <cellStyle name="Normal 4 5 2 3 4 3 3" xfId="32042"/>
    <cellStyle name="Normal 4 5 2 3 4 4" xfId="14455"/>
    <cellStyle name="Normal 4 5 2 3 4 4 2" xfId="37314"/>
    <cellStyle name="Normal 4 5 2 3 4 5" xfId="25012"/>
    <cellStyle name="Normal 4 5 2 3 5" xfId="3908"/>
    <cellStyle name="Normal 4 5 2 3 5 2" xfId="16212"/>
    <cellStyle name="Normal 4 5 2 3 5 2 2" xfId="39071"/>
    <cellStyle name="Normal 4 5 2 3 5 3" xfId="26769"/>
    <cellStyle name="Normal 4 5 2 3 6" xfId="7423"/>
    <cellStyle name="Normal 4 5 2 3 6 2" xfId="19727"/>
    <cellStyle name="Normal 4 5 2 3 6 2 2" xfId="42586"/>
    <cellStyle name="Normal 4 5 2 3 6 3" xfId="30284"/>
    <cellStyle name="Normal 4 5 2 3 7" xfId="10938"/>
    <cellStyle name="Normal 4 5 2 3 7 2" xfId="33798"/>
    <cellStyle name="Normal 4 5 2 3 8" xfId="12697"/>
    <cellStyle name="Normal 4 5 2 3 8 2" xfId="35556"/>
    <cellStyle name="Normal 4 5 2 3 9" xfId="23252"/>
    <cellStyle name="Normal 4 5 2 4" xfId="616"/>
    <cellStyle name="Normal 4 5 2 4 2" xfId="1495"/>
    <cellStyle name="Normal 4 5 2 4 2 2" xfId="3256"/>
    <cellStyle name="Normal 4 5 2 4 2 2 2" xfId="6771"/>
    <cellStyle name="Normal 4 5 2 4 2 2 2 2" xfId="19075"/>
    <cellStyle name="Normal 4 5 2 4 2 2 2 2 2" xfId="41934"/>
    <cellStyle name="Normal 4 5 2 4 2 2 2 3" xfId="29632"/>
    <cellStyle name="Normal 4 5 2 4 2 2 3" xfId="10286"/>
    <cellStyle name="Normal 4 5 2 4 2 2 3 2" xfId="22590"/>
    <cellStyle name="Normal 4 5 2 4 2 2 3 2 2" xfId="45449"/>
    <cellStyle name="Normal 4 5 2 4 2 2 3 3" xfId="33147"/>
    <cellStyle name="Normal 4 5 2 4 2 2 4" xfId="15560"/>
    <cellStyle name="Normal 4 5 2 4 2 2 4 2" xfId="38419"/>
    <cellStyle name="Normal 4 5 2 4 2 2 5" xfId="26117"/>
    <cellStyle name="Normal 4 5 2 4 2 3" xfId="5013"/>
    <cellStyle name="Normal 4 5 2 4 2 3 2" xfId="17317"/>
    <cellStyle name="Normal 4 5 2 4 2 3 2 2" xfId="40176"/>
    <cellStyle name="Normal 4 5 2 4 2 3 3" xfId="27874"/>
    <cellStyle name="Normal 4 5 2 4 2 4" xfId="8528"/>
    <cellStyle name="Normal 4 5 2 4 2 4 2" xfId="20832"/>
    <cellStyle name="Normal 4 5 2 4 2 4 2 2" xfId="43691"/>
    <cellStyle name="Normal 4 5 2 4 2 4 3" xfId="31389"/>
    <cellStyle name="Normal 4 5 2 4 2 5" xfId="12043"/>
    <cellStyle name="Normal 4 5 2 4 2 5 2" xfId="34903"/>
    <cellStyle name="Normal 4 5 2 4 2 6" xfId="13802"/>
    <cellStyle name="Normal 4 5 2 4 2 6 2" xfId="36661"/>
    <cellStyle name="Normal 4 5 2 4 2 7" xfId="24358"/>
    <cellStyle name="Normal 4 5 2 4 3" xfId="2378"/>
    <cellStyle name="Normal 4 5 2 4 3 2" xfId="5893"/>
    <cellStyle name="Normal 4 5 2 4 3 2 2" xfId="18197"/>
    <cellStyle name="Normal 4 5 2 4 3 2 2 2" xfId="41056"/>
    <cellStyle name="Normal 4 5 2 4 3 2 3" xfId="28754"/>
    <cellStyle name="Normal 4 5 2 4 3 3" xfId="9408"/>
    <cellStyle name="Normal 4 5 2 4 3 3 2" xfId="21712"/>
    <cellStyle name="Normal 4 5 2 4 3 3 2 2" xfId="44571"/>
    <cellStyle name="Normal 4 5 2 4 3 3 3" xfId="32269"/>
    <cellStyle name="Normal 4 5 2 4 3 4" xfId="14682"/>
    <cellStyle name="Normal 4 5 2 4 3 4 2" xfId="37541"/>
    <cellStyle name="Normal 4 5 2 4 3 5" xfId="25239"/>
    <cellStyle name="Normal 4 5 2 4 4" xfId="4135"/>
    <cellStyle name="Normal 4 5 2 4 4 2" xfId="16439"/>
    <cellStyle name="Normal 4 5 2 4 4 2 2" xfId="39298"/>
    <cellStyle name="Normal 4 5 2 4 4 3" xfId="26996"/>
    <cellStyle name="Normal 4 5 2 4 5" xfId="7650"/>
    <cellStyle name="Normal 4 5 2 4 5 2" xfId="19954"/>
    <cellStyle name="Normal 4 5 2 4 5 2 2" xfId="42813"/>
    <cellStyle name="Normal 4 5 2 4 5 3" xfId="30511"/>
    <cellStyle name="Normal 4 5 2 4 6" xfId="11165"/>
    <cellStyle name="Normal 4 5 2 4 6 2" xfId="34025"/>
    <cellStyle name="Normal 4 5 2 4 7" xfId="12924"/>
    <cellStyle name="Normal 4 5 2 4 7 2" xfId="35783"/>
    <cellStyle name="Normal 4 5 2 4 8" xfId="23480"/>
    <cellStyle name="Normal 4 5 2 5" xfId="1056"/>
    <cellStyle name="Normal 4 5 2 5 2" xfId="2817"/>
    <cellStyle name="Normal 4 5 2 5 2 2" xfId="6332"/>
    <cellStyle name="Normal 4 5 2 5 2 2 2" xfId="18636"/>
    <cellStyle name="Normal 4 5 2 5 2 2 2 2" xfId="41495"/>
    <cellStyle name="Normal 4 5 2 5 2 2 3" xfId="29193"/>
    <cellStyle name="Normal 4 5 2 5 2 3" xfId="9847"/>
    <cellStyle name="Normal 4 5 2 5 2 3 2" xfId="22151"/>
    <cellStyle name="Normal 4 5 2 5 2 3 2 2" xfId="45010"/>
    <cellStyle name="Normal 4 5 2 5 2 3 3" xfId="32708"/>
    <cellStyle name="Normal 4 5 2 5 2 4" xfId="15121"/>
    <cellStyle name="Normal 4 5 2 5 2 4 2" xfId="37980"/>
    <cellStyle name="Normal 4 5 2 5 2 5" xfId="25678"/>
    <cellStyle name="Normal 4 5 2 5 3" xfId="4574"/>
    <cellStyle name="Normal 4 5 2 5 3 2" xfId="16878"/>
    <cellStyle name="Normal 4 5 2 5 3 2 2" xfId="39737"/>
    <cellStyle name="Normal 4 5 2 5 3 3" xfId="27435"/>
    <cellStyle name="Normal 4 5 2 5 4" xfId="8089"/>
    <cellStyle name="Normal 4 5 2 5 4 2" xfId="20393"/>
    <cellStyle name="Normal 4 5 2 5 4 2 2" xfId="43252"/>
    <cellStyle name="Normal 4 5 2 5 4 3" xfId="30950"/>
    <cellStyle name="Normal 4 5 2 5 5" xfId="11604"/>
    <cellStyle name="Normal 4 5 2 5 5 2" xfId="34464"/>
    <cellStyle name="Normal 4 5 2 5 6" xfId="13363"/>
    <cellStyle name="Normal 4 5 2 5 6 2" xfId="36222"/>
    <cellStyle name="Normal 4 5 2 5 7" xfId="23919"/>
    <cellStyle name="Normal 4 5 2 6" xfId="1939"/>
    <cellStyle name="Normal 4 5 2 6 2" xfId="5454"/>
    <cellStyle name="Normal 4 5 2 6 2 2" xfId="17758"/>
    <cellStyle name="Normal 4 5 2 6 2 2 2" xfId="40617"/>
    <cellStyle name="Normal 4 5 2 6 2 3" xfId="28315"/>
    <cellStyle name="Normal 4 5 2 6 3" xfId="8969"/>
    <cellStyle name="Normal 4 5 2 6 3 2" xfId="21273"/>
    <cellStyle name="Normal 4 5 2 6 3 2 2" xfId="44132"/>
    <cellStyle name="Normal 4 5 2 6 3 3" xfId="31830"/>
    <cellStyle name="Normal 4 5 2 6 4" xfId="14243"/>
    <cellStyle name="Normal 4 5 2 6 4 2" xfId="37102"/>
    <cellStyle name="Normal 4 5 2 6 5" xfId="24800"/>
    <cellStyle name="Normal 4 5 2 7" xfId="3696"/>
    <cellStyle name="Normal 4 5 2 7 2" xfId="16000"/>
    <cellStyle name="Normal 4 5 2 7 2 2" xfId="38859"/>
    <cellStyle name="Normal 4 5 2 7 3" xfId="26557"/>
    <cellStyle name="Normal 4 5 2 8" xfId="7211"/>
    <cellStyle name="Normal 4 5 2 8 2" xfId="19515"/>
    <cellStyle name="Normal 4 5 2 8 2 2" xfId="42374"/>
    <cellStyle name="Normal 4 5 2 8 3" xfId="30072"/>
    <cellStyle name="Normal 4 5 2 9" xfId="10726"/>
    <cellStyle name="Normal 4 5 2 9 2" xfId="33586"/>
    <cellStyle name="Normal 4 5 3" xfId="227"/>
    <cellStyle name="Normal 4 5 3 10" xfId="23092"/>
    <cellStyle name="Normal 4 5 3 2" xfId="439"/>
    <cellStyle name="Normal 4 5 3 2 2" xfId="880"/>
    <cellStyle name="Normal 4 5 3 2 2 2" xfId="1759"/>
    <cellStyle name="Normal 4 5 3 2 2 2 2" xfId="3520"/>
    <cellStyle name="Normal 4 5 3 2 2 2 2 2" xfId="7035"/>
    <cellStyle name="Normal 4 5 3 2 2 2 2 2 2" xfId="19339"/>
    <cellStyle name="Normal 4 5 3 2 2 2 2 2 2 2" xfId="42198"/>
    <cellStyle name="Normal 4 5 3 2 2 2 2 2 3" xfId="29896"/>
    <cellStyle name="Normal 4 5 3 2 2 2 2 3" xfId="10550"/>
    <cellStyle name="Normal 4 5 3 2 2 2 2 3 2" xfId="22854"/>
    <cellStyle name="Normal 4 5 3 2 2 2 2 3 2 2" xfId="45713"/>
    <cellStyle name="Normal 4 5 3 2 2 2 2 3 3" xfId="33411"/>
    <cellStyle name="Normal 4 5 3 2 2 2 2 4" xfId="15824"/>
    <cellStyle name="Normal 4 5 3 2 2 2 2 4 2" xfId="38683"/>
    <cellStyle name="Normal 4 5 3 2 2 2 2 5" xfId="26381"/>
    <cellStyle name="Normal 4 5 3 2 2 2 3" xfId="5277"/>
    <cellStyle name="Normal 4 5 3 2 2 2 3 2" xfId="17581"/>
    <cellStyle name="Normal 4 5 3 2 2 2 3 2 2" xfId="40440"/>
    <cellStyle name="Normal 4 5 3 2 2 2 3 3" xfId="28138"/>
    <cellStyle name="Normal 4 5 3 2 2 2 4" xfId="8792"/>
    <cellStyle name="Normal 4 5 3 2 2 2 4 2" xfId="21096"/>
    <cellStyle name="Normal 4 5 3 2 2 2 4 2 2" xfId="43955"/>
    <cellStyle name="Normal 4 5 3 2 2 2 4 3" xfId="31653"/>
    <cellStyle name="Normal 4 5 3 2 2 2 5" xfId="12307"/>
    <cellStyle name="Normal 4 5 3 2 2 2 5 2" xfId="35167"/>
    <cellStyle name="Normal 4 5 3 2 2 2 6" xfId="14066"/>
    <cellStyle name="Normal 4 5 3 2 2 2 6 2" xfId="36925"/>
    <cellStyle name="Normal 4 5 3 2 2 2 7" xfId="24622"/>
    <cellStyle name="Normal 4 5 3 2 2 3" xfId="2642"/>
    <cellStyle name="Normal 4 5 3 2 2 3 2" xfId="6157"/>
    <cellStyle name="Normal 4 5 3 2 2 3 2 2" xfId="18461"/>
    <cellStyle name="Normal 4 5 3 2 2 3 2 2 2" xfId="41320"/>
    <cellStyle name="Normal 4 5 3 2 2 3 2 3" xfId="29018"/>
    <cellStyle name="Normal 4 5 3 2 2 3 3" xfId="9672"/>
    <cellStyle name="Normal 4 5 3 2 2 3 3 2" xfId="21976"/>
    <cellStyle name="Normal 4 5 3 2 2 3 3 2 2" xfId="44835"/>
    <cellStyle name="Normal 4 5 3 2 2 3 3 3" xfId="32533"/>
    <cellStyle name="Normal 4 5 3 2 2 3 4" xfId="14946"/>
    <cellStyle name="Normal 4 5 3 2 2 3 4 2" xfId="37805"/>
    <cellStyle name="Normal 4 5 3 2 2 3 5" xfId="25503"/>
    <cellStyle name="Normal 4 5 3 2 2 4" xfId="4399"/>
    <cellStyle name="Normal 4 5 3 2 2 4 2" xfId="16703"/>
    <cellStyle name="Normal 4 5 3 2 2 4 2 2" xfId="39562"/>
    <cellStyle name="Normal 4 5 3 2 2 4 3" xfId="27260"/>
    <cellStyle name="Normal 4 5 3 2 2 5" xfId="7914"/>
    <cellStyle name="Normal 4 5 3 2 2 5 2" xfId="20218"/>
    <cellStyle name="Normal 4 5 3 2 2 5 2 2" xfId="43077"/>
    <cellStyle name="Normal 4 5 3 2 2 5 3" xfId="30775"/>
    <cellStyle name="Normal 4 5 3 2 2 6" xfId="11429"/>
    <cellStyle name="Normal 4 5 3 2 2 6 2" xfId="34289"/>
    <cellStyle name="Normal 4 5 3 2 2 7" xfId="13188"/>
    <cellStyle name="Normal 4 5 3 2 2 7 2" xfId="36047"/>
    <cellStyle name="Normal 4 5 3 2 2 8" xfId="23744"/>
    <cellStyle name="Normal 4 5 3 2 3" xfId="1320"/>
    <cellStyle name="Normal 4 5 3 2 3 2" xfId="3081"/>
    <cellStyle name="Normal 4 5 3 2 3 2 2" xfId="6596"/>
    <cellStyle name="Normal 4 5 3 2 3 2 2 2" xfId="18900"/>
    <cellStyle name="Normal 4 5 3 2 3 2 2 2 2" xfId="41759"/>
    <cellStyle name="Normal 4 5 3 2 3 2 2 3" xfId="29457"/>
    <cellStyle name="Normal 4 5 3 2 3 2 3" xfId="10111"/>
    <cellStyle name="Normal 4 5 3 2 3 2 3 2" xfId="22415"/>
    <cellStyle name="Normal 4 5 3 2 3 2 3 2 2" xfId="45274"/>
    <cellStyle name="Normal 4 5 3 2 3 2 3 3" xfId="32972"/>
    <cellStyle name="Normal 4 5 3 2 3 2 4" xfId="15385"/>
    <cellStyle name="Normal 4 5 3 2 3 2 4 2" xfId="38244"/>
    <cellStyle name="Normal 4 5 3 2 3 2 5" xfId="25942"/>
    <cellStyle name="Normal 4 5 3 2 3 3" xfId="4838"/>
    <cellStyle name="Normal 4 5 3 2 3 3 2" xfId="17142"/>
    <cellStyle name="Normal 4 5 3 2 3 3 2 2" xfId="40001"/>
    <cellStyle name="Normal 4 5 3 2 3 3 3" xfId="27699"/>
    <cellStyle name="Normal 4 5 3 2 3 4" xfId="8353"/>
    <cellStyle name="Normal 4 5 3 2 3 4 2" xfId="20657"/>
    <cellStyle name="Normal 4 5 3 2 3 4 2 2" xfId="43516"/>
    <cellStyle name="Normal 4 5 3 2 3 4 3" xfId="31214"/>
    <cellStyle name="Normal 4 5 3 2 3 5" xfId="11868"/>
    <cellStyle name="Normal 4 5 3 2 3 5 2" xfId="34728"/>
    <cellStyle name="Normal 4 5 3 2 3 6" xfId="13627"/>
    <cellStyle name="Normal 4 5 3 2 3 6 2" xfId="36486"/>
    <cellStyle name="Normal 4 5 3 2 3 7" xfId="24183"/>
    <cellStyle name="Normal 4 5 3 2 4" xfId="2203"/>
    <cellStyle name="Normal 4 5 3 2 4 2" xfId="5718"/>
    <cellStyle name="Normal 4 5 3 2 4 2 2" xfId="18022"/>
    <cellStyle name="Normal 4 5 3 2 4 2 2 2" xfId="40881"/>
    <cellStyle name="Normal 4 5 3 2 4 2 3" xfId="28579"/>
    <cellStyle name="Normal 4 5 3 2 4 3" xfId="9233"/>
    <cellStyle name="Normal 4 5 3 2 4 3 2" xfId="21537"/>
    <cellStyle name="Normal 4 5 3 2 4 3 2 2" xfId="44396"/>
    <cellStyle name="Normal 4 5 3 2 4 3 3" xfId="32094"/>
    <cellStyle name="Normal 4 5 3 2 4 4" xfId="14507"/>
    <cellStyle name="Normal 4 5 3 2 4 4 2" xfId="37366"/>
    <cellStyle name="Normal 4 5 3 2 4 5" xfId="25064"/>
    <cellStyle name="Normal 4 5 3 2 5" xfId="3960"/>
    <cellStyle name="Normal 4 5 3 2 5 2" xfId="16264"/>
    <cellStyle name="Normal 4 5 3 2 5 2 2" xfId="39123"/>
    <cellStyle name="Normal 4 5 3 2 5 3" xfId="26821"/>
    <cellStyle name="Normal 4 5 3 2 6" xfId="7475"/>
    <cellStyle name="Normal 4 5 3 2 6 2" xfId="19779"/>
    <cellStyle name="Normal 4 5 3 2 6 2 2" xfId="42638"/>
    <cellStyle name="Normal 4 5 3 2 6 3" xfId="30336"/>
    <cellStyle name="Normal 4 5 3 2 7" xfId="10990"/>
    <cellStyle name="Normal 4 5 3 2 7 2" xfId="33850"/>
    <cellStyle name="Normal 4 5 3 2 8" xfId="12749"/>
    <cellStyle name="Normal 4 5 3 2 8 2" xfId="35608"/>
    <cellStyle name="Normal 4 5 3 2 9" xfId="23304"/>
    <cellStyle name="Normal 4 5 3 3" xfId="668"/>
    <cellStyle name="Normal 4 5 3 3 2" xfId="1547"/>
    <cellStyle name="Normal 4 5 3 3 2 2" xfId="3308"/>
    <cellStyle name="Normal 4 5 3 3 2 2 2" xfId="6823"/>
    <cellStyle name="Normal 4 5 3 3 2 2 2 2" xfId="19127"/>
    <cellStyle name="Normal 4 5 3 3 2 2 2 2 2" xfId="41986"/>
    <cellStyle name="Normal 4 5 3 3 2 2 2 3" xfId="29684"/>
    <cellStyle name="Normal 4 5 3 3 2 2 3" xfId="10338"/>
    <cellStyle name="Normal 4 5 3 3 2 2 3 2" xfId="22642"/>
    <cellStyle name="Normal 4 5 3 3 2 2 3 2 2" xfId="45501"/>
    <cellStyle name="Normal 4 5 3 3 2 2 3 3" xfId="33199"/>
    <cellStyle name="Normal 4 5 3 3 2 2 4" xfId="15612"/>
    <cellStyle name="Normal 4 5 3 3 2 2 4 2" xfId="38471"/>
    <cellStyle name="Normal 4 5 3 3 2 2 5" xfId="26169"/>
    <cellStyle name="Normal 4 5 3 3 2 3" xfId="5065"/>
    <cellStyle name="Normal 4 5 3 3 2 3 2" xfId="17369"/>
    <cellStyle name="Normal 4 5 3 3 2 3 2 2" xfId="40228"/>
    <cellStyle name="Normal 4 5 3 3 2 3 3" xfId="27926"/>
    <cellStyle name="Normal 4 5 3 3 2 4" xfId="8580"/>
    <cellStyle name="Normal 4 5 3 3 2 4 2" xfId="20884"/>
    <cellStyle name="Normal 4 5 3 3 2 4 2 2" xfId="43743"/>
    <cellStyle name="Normal 4 5 3 3 2 4 3" xfId="31441"/>
    <cellStyle name="Normal 4 5 3 3 2 5" xfId="12095"/>
    <cellStyle name="Normal 4 5 3 3 2 5 2" xfId="34955"/>
    <cellStyle name="Normal 4 5 3 3 2 6" xfId="13854"/>
    <cellStyle name="Normal 4 5 3 3 2 6 2" xfId="36713"/>
    <cellStyle name="Normal 4 5 3 3 2 7" xfId="24410"/>
    <cellStyle name="Normal 4 5 3 3 3" xfId="2430"/>
    <cellStyle name="Normal 4 5 3 3 3 2" xfId="5945"/>
    <cellStyle name="Normal 4 5 3 3 3 2 2" xfId="18249"/>
    <cellStyle name="Normal 4 5 3 3 3 2 2 2" xfId="41108"/>
    <cellStyle name="Normal 4 5 3 3 3 2 3" xfId="28806"/>
    <cellStyle name="Normal 4 5 3 3 3 3" xfId="9460"/>
    <cellStyle name="Normal 4 5 3 3 3 3 2" xfId="21764"/>
    <cellStyle name="Normal 4 5 3 3 3 3 2 2" xfId="44623"/>
    <cellStyle name="Normal 4 5 3 3 3 3 3" xfId="32321"/>
    <cellStyle name="Normal 4 5 3 3 3 4" xfId="14734"/>
    <cellStyle name="Normal 4 5 3 3 3 4 2" xfId="37593"/>
    <cellStyle name="Normal 4 5 3 3 3 5" xfId="25291"/>
    <cellStyle name="Normal 4 5 3 3 4" xfId="4187"/>
    <cellStyle name="Normal 4 5 3 3 4 2" xfId="16491"/>
    <cellStyle name="Normal 4 5 3 3 4 2 2" xfId="39350"/>
    <cellStyle name="Normal 4 5 3 3 4 3" xfId="27048"/>
    <cellStyle name="Normal 4 5 3 3 5" xfId="7702"/>
    <cellStyle name="Normal 4 5 3 3 5 2" xfId="20006"/>
    <cellStyle name="Normal 4 5 3 3 5 2 2" xfId="42865"/>
    <cellStyle name="Normal 4 5 3 3 5 3" xfId="30563"/>
    <cellStyle name="Normal 4 5 3 3 6" xfId="11217"/>
    <cellStyle name="Normal 4 5 3 3 6 2" xfId="34077"/>
    <cellStyle name="Normal 4 5 3 3 7" xfId="12976"/>
    <cellStyle name="Normal 4 5 3 3 7 2" xfId="35835"/>
    <cellStyle name="Normal 4 5 3 3 8" xfId="23532"/>
    <cellStyle name="Normal 4 5 3 4" xfId="1108"/>
    <cellStyle name="Normal 4 5 3 4 2" xfId="2869"/>
    <cellStyle name="Normal 4 5 3 4 2 2" xfId="6384"/>
    <cellStyle name="Normal 4 5 3 4 2 2 2" xfId="18688"/>
    <cellStyle name="Normal 4 5 3 4 2 2 2 2" xfId="41547"/>
    <cellStyle name="Normal 4 5 3 4 2 2 3" xfId="29245"/>
    <cellStyle name="Normal 4 5 3 4 2 3" xfId="9899"/>
    <cellStyle name="Normal 4 5 3 4 2 3 2" xfId="22203"/>
    <cellStyle name="Normal 4 5 3 4 2 3 2 2" xfId="45062"/>
    <cellStyle name="Normal 4 5 3 4 2 3 3" xfId="32760"/>
    <cellStyle name="Normal 4 5 3 4 2 4" xfId="15173"/>
    <cellStyle name="Normal 4 5 3 4 2 4 2" xfId="38032"/>
    <cellStyle name="Normal 4 5 3 4 2 5" xfId="25730"/>
    <cellStyle name="Normal 4 5 3 4 3" xfId="4626"/>
    <cellStyle name="Normal 4 5 3 4 3 2" xfId="16930"/>
    <cellStyle name="Normal 4 5 3 4 3 2 2" xfId="39789"/>
    <cellStyle name="Normal 4 5 3 4 3 3" xfId="27487"/>
    <cellStyle name="Normal 4 5 3 4 4" xfId="8141"/>
    <cellStyle name="Normal 4 5 3 4 4 2" xfId="20445"/>
    <cellStyle name="Normal 4 5 3 4 4 2 2" xfId="43304"/>
    <cellStyle name="Normal 4 5 3 4 4 3" xfId="31002"/>
    <cellStyle name="Normal 4 5 3 4 5" xfId="11656"/>
    <cellStyle name="Normal 4 5 3 4 5 2" xfId="34516"/>
    <cellStyle name="Normal 4 5 3 4 6" xfId="13415"/>
    <cellStyle name="Normal 4 5 3 4 6 2" xfId="36274"/>
    <cellStyle name="Normal 4 5 3 4 7" xfId="23971"/>
    <cellStyle name="Normal 4 5 3 5" xfId="1991"/>
    <cellStyle name="Normal 4 5 3 5 2" xfId="5506"/>
    <cellStyle name="Normal 4 5 3 5 2 2" xfId="17810"/>
    <cellStyle name="Normal 4 5 3 5 2 2 2" xfId="40669"/>
    <cellStyle name="Normal 4 5 3 5 2 3" xfId="28367"/>
    <cellStyle name="Normal 4 5 3 5 3" xfId="9021"/>
    <cellStyle name="Normal 4 5 3 5 3 2" xfId="21325"/>
    <cellStyle name="Normal 4 5 3 5 3 2 2" xfId="44184"/>
    <cellStyle name="Normal 4 5 3 5 3 3" xfId="31882"/>
    <cellStyle name="Normal 4 5 3 5 4" xfId="14295"/>
    <cellStyle name="Normal 4 5 3 5 4 2" xfId="37154"/>
    <cellStyle name="Normal 4 5 3 5 5" xfId="24852"/>
    <cellStyle name="Normal 4 5 3 6" xfId="3748"/>
    <cellStyle name="Normal 4 5 3 6 2" xfId="16052"/>
    <cellStyle name="Normal 4 5 3 6 2 2" xfId="38911"/>
    <cellStyle name="Normal 4 5 3 6 3" xfId="26609"/>
    <cellStyle name="Normal 4 5 3 7" xfId="7263"/>
    <cellStyle name="Normal 4 5 3 7 2" xfId="19567"/>
    <cellStyle name="Normal 4 5 3 7 2 2" xfId="42426"/>
    <cellStyle name="Normal 4 5 3 7 3" xfId="30124"/>
    <cellStyle name="Normal 4 5 3 8" xfId="10778"/>
    <cellStyle name="Normal 4 5 3 8 2" xfId="33638"/>
    <cellStyle name="Normal 4 5 3 9" xfId="12537"/>
    <cellStyle name="Normal 4 5 3 9 2" xfId="35396"/>
    <cellStyle name="Normal 4 5 4" xfId="333"/>
    <cellStyle name="Normal 4 5 4 2" xfId="774"/>
    <cellStyle name="Normal 4 5 4 2 2" xfId="1653"/>
    <cellStyle name="Normal 4 5 4 2 2 2" xfId="3414"/>
    <cellStyle name="Normal 4 5 4 2 2 2 2" xfId="6929"/>
    <cellStyle name="Normal 4 5 4 2 2 2 2 2" xfId="19233"/>
    <cellStyle name="Normal 4 5 4 2 2 2 2 2 2" xfId="42092"/>
    <cellStyle name="Normal 4 5 4 2 2 2 2 3" xfId="29790"/>
    <cellStyle name="Normal 4 5 4 2 2 2 3" xfId="10444"/>
    <cellStyle name="Normal 4 5 4 2 2 2 3 2" xfId="22748"/>
    <cellStyle name="Normal 4 5 4 2 2 2 3 2 2" xfId="45607"/>
    <cellStyle name="Normal 4 5 4 2 2 2 3 3" xfId="33305"/>
    <cellStyle name="Normal 4 5 4 2 2 2 4" xfId="15718"/>
    <cellStyle name="Normal 4 5 4 2 2 2 4 2" xfId="38577"/>
    <cellStyle name="Normal 4 5 4 2 2 2 5" xfId="26275"/>
    <cellStyle name="Normal 4 5 4 2 2 3" xfId="5171"/>
    <cellStyle name="Normal 4 5 4 2 2 3 2" xfId="17475"/>
    <cellStyle name="Normal 4 5 4 2 2 3 2 2" xfId="40334"/>
    <cellStyle name="Normal 4 5 4 2 2 3 3" xfId="28032"/>
    <cellStyle name="Normal 4 5 4 2 2 4" xfId="8686"/>
    <cellStyle name="Normal 4 5 4 2 2 4 2" xfId="20990"/>
    <cellStyle name="Normal 4 5 4 2 2 4 2 2" xfId="43849"/>
    <cellStyle name="Normal 4 5 4 2 2 4 3" xfId="31547"/>
    <cellStyle name="Normal 4 5 4 2 2 5" xfId="12201"/>
    <cellStyle name="Normal 4 5 4 2 2 5 2" xfId="35061"/>
    <cellStyle name="Normal 4 5 4 2 2 6" xfId="13960"/>
    <cellStyle name="Normal 4 5 4 2 2 6 2" xfId="36819"/>
    <cellStyle name="Normal 4 5 4 2 2 7" xfId="24516"/>
    <cellStyle name="Normal 4 5 4 2 3" xfId="2536"/>
    <cellStyle name="Normal 4 5 4 2 3 2" xfId="6051"/>
    <cellStyle name="Normal 4 5 4 2 3 2 2" xfId="18355"/>
    <cellStyle name="Normal 4 5 4 2 3 2 2 2" xfId="41214"/>
    <cellStyle name="Normal 4 5 4 2 3 2 3" xfId="28912"/>
    <cellStyle name="Normal 4 5 4 2 3 3" xfId="9566"/>
    <cellStyle name="Normal 4 5 4 2 3 3 2" xfId="21870"/>
    <cellStyle name="Normal 4 5 4 2 3 3 2 2" xfId="44729"/>
    <cellStyle name="Normal 4 5 4 2 3 3 3" xfId="32427"/>
    <cellStyle name="Normal 4 5 4 2 3 4" xfId="14840"/>
    <cellStyle name="Normal 4 5 4 2 3 4 2" xfId="37699"/>
    <cellStyle name="Normal 4 5 4 2 3 5" xfId="25397"/>
    <cellStyle name="Normal 4 5 4 2 4" xfId="4293"/>
    <cellStyle name="Normal 4 5 4 2 4 2" xfId="16597"/>
    <cellStyle name="Normal 4 5 4 2 4 2 2" xfId="39456"/>
    <cellStyle name="Normal 4 5 4 2 4 3" xfId="27154"/>
    <cellStyle name="Normal 4 5 4 2 5" xfId="7808"/>
    <cellStyle name="Normal 4 5 4 2 5 2" xfId="20112"/>
    <cellStyle name="Normal 4 5 4 2 5 2 2" xfId="42971"/>
    <cellStyle name="Normal 4 5 4 2 5 3" xfId="30669"/>
    <cellStyle name="Normal 4 5 4 2 6" xfId="11323"/>
    <cellStyle name="Normal 4 5 4 2 6 2" xfId="34183"/>
    <cellStyle name="Normal 4 5 4 2 7" xfId="13082"/>
    <cellStyle name="Normal 4 5 4 2 7 2" xfId="35941"/>
    <cellStyle name="Normal 4 5 4 2 8" xfId="23638"/>
    <cellStyle name="Normal 4 5 4 3" xfId="1214"/>
    <cellStyle name="Normal 4 5 4 3 2" xfId="2975"/>
    <cellStyle name="Normal 4 5 4 3 2 2" xfId="6490"/>
    <cellStyle name="Normal 4 5 4 3 2 2 2" xfId="18794"/>
    <cellStyle name="Normal 4 5 4 3 2 2 2 2" xfId="41653"/>
    <cellStyle name="Normal 4 5 4 3 2 2 3" xfId="29351"/>
    <cellStyle name="Normal 4 5 4 3 2 3" xfId="10005"/>
    <cellStyle name="Normal 4 5 4 3 2 3 2" xfId="22309"/>
    <cellStyle name="Normal 4 5 4 3 2 3 2 2" xfId="45168"/>
    <cellStyle name="Normal 4 5 4 3 2 3 3" xfId="32866"/>
    <cellStyle name="Normal 4 5 4 3 2 4" xfId="15279"/>
    <cellStyle name="Normal 4 5 4 3 2 4 2" xfId="38138"/>
    <cellStyle name="Normal 4 5 4 3 2 5" xfId="25836"/>
    <cellStyle name="Normal 4 5 4 3 3" xfId="4732"/>
    <cellStyle name="Normal 4 5 4 3 3 2" xfId="17036"/>
    <cellStyle name="Normal 4 5 4 3 3 2 2" xfId="39895"/>
    <cellStyle name="Normal 4 5 4 3 3 3" xfId="27593"/>
    <cellStyle name="Normal 4 5 4 3 4" xfId="8247"/>
    <cellStyle name="Normal 4 5 4 3 4 2" xfId="20551"/>
    <cellStyle name="Normal 4 5 4 3 4 2 2" xfId="43410"/>
    <cellStyle name="Normal 4 5 4 3 4 3" xfId="31108"/>
    <cellStyle name="Normal 4 5 4 3 5" xfId="11762"/>
    <cellStyle name="Normal 4 5 4 3 5 2" xfId="34622"/>
    <cellStyle name="Normal 4 5 4 3 6" xfId="13521"/>
    <cellStyle name="Normal 4 5 4 3 6 2" xfId="36380"/>
    <cellStyle name="Normal 4 5 4 3 7" xfId="24077"/>
    <cellStyle name="Normal 4 5 4 4" xfId="2097"/>
    <cellStyle name="Normal 4 5 4 4 2" xfId="5612"/>
    <cellStyle name="Normal 4 5 4 4 2 2" xfId="17916"/>
    <cellStyle name="Normal 4 5 4 4 2 2 2" xfId="40775"/>
    <cellStyle name="Normal 4 5 4 4 2 3" xfId="28473"/>
    <cellStyle name="Normal 4 5 4 4 3" xfId="9127"/>
    <cellStyle name="Normal 4 5 4 4 3 2" xfId="21431"/>
    <cellStyle name="Normal 4 5 4 4 3 2 2" xfId="44290"/>
    <cellStyle name="Normal 4 5 4 4 3 3" xfId="31988"/>
    <cellStyle name="Normal 4 5 4 4 4" xfId="14401"/>
    <cellStyle name="Normal 4 5 4 4 4 2" xfId="37260"/>
    <cellStyle name="Normal 4 5 4 4 5" xfId="24958"/>
    <cellStyle name="Normal 4 5 4 5" xfId="3854"/>
    <cellStyle name="Normal 4 5 4 5 2" xfId="16158"/>
    <cellStyle name="Normal 4 5 4 5 2 2" xfId="39017"/>
    <cellStyle name="Normal 4 5 4 5 3" xfId="26715"/>
    <cellStyle name="Normal 4 5 4 6" xfId="7369"/>
    <cellStyle name="Normal 4 5 4 6 2" xfId="19673"/>
    <cellStyle name="Normal 4 5 4 6 2 2" xfId="42532"/>
    <cellStyle name="Normal 4 5 4 6 3" xfId="30230"/>
    <cellStyle name="Normal 4 5 4 7" xfId="10884"/>
    <cellStyle name="Normal 4 5 4 7 2" xfId="33744"/>
    <cellStyle name="Normal 4 5 4 8" xfId="12643"/>
    <cellStyle name="Normal 4 5 4 8 2" xfId="35502"/>
    <cellStyle name="Normal 4 5 4 9" xfId="23198"/>
    <cellStyle name="Normal 4 5 5" xfId="562"/>
    <cellStyle name="Normal 4 5 5 2" xfId="1441"/>
    <cellStyle name="Normal 4 5 5 2 2" xfId="3202"/>
    <cellStyle name="Normal 4 5 5 2 2 2" xfId="6717"/>
    <cellStyle name="Normal 4 5 5 2 2 2 2" xfId="19021"/>
    <cellStyle name="Normal 4 5 5 2 2 2 2 2" xfId="41880"/>
    <cellStyle name="Normal 4 5 5 2 2 2 3" xfId="29578"/>
    <cellStyle name="Normal 4 5 5 2 2 3" xfId="10232"/>
    <cellStyle name="Normal 4 5 5 2 2 3 2" xfId="22536"/>
    <cellStyle name="Normal 4 5 5 2 2 3 2 2" xfId="45395"/>
    <cellStyle name="Normal 4 5 5 2 2 3 3" xfId="33093"/>
    <cellStyle name="Normal 4 5 5 2 2 4" xfId="15506"/>
    <cellStyle name="Normal 4 5 5 2 2 4 2" xfId="38365"/>
    <cellStyle name="Normal 4 5 5 2 2 5" xfId="26063"/>
    <cellStyle name="Normal 4 5 5 2 3" xfId="4959"/>
    <cellStyle name="Normal 4 5 5 2 3 2" xfId="17263"/>
    <cellStyle name="Normal 4 5 5 2 3 2 2" xfId="40122"/>
    <cellStyle name="Normal 4 5 5 2 3 3" xfId="27820"/>
    <cellStyle name="Normal 4 5 5 2 4" xfId="8474"/>
    <cellStyle name="Normal 4 5 5 2 4 2" xfId="20778"/>
    <cellStyle name="Normal 4 5 5 2 4 2 2" xfId="43637"/>
    <cellStyle name="Normal 4 5 5 2 4 3" xfId="31335"/>
    <cellStyle name="Normal 4 5 5 2 5" xfId="11989"/>
    <cellStyle name="Normal 4 5 5 2 5 2" xfId="34849"/>
    <cellStyle name="Normal 4 5 5 2 6" xfId="13748"/>
    <cellStyle name="Normal 4 5 5 2 6 2" xfId="36607"/>
    <cellStyle name="Normal 4 5 5 2 7" xfId="24304"/>
    <cellStyle name="Normal 4 5 5 3" xfId="2324"/>
    <cellStyle name="Normal 4 5 5 3 2" xfId="5839"/>
    <cellStyle name="Normal 4 5 5 3 2 2" xfId="18143"/>
    <cellStyle name="Normal 4 5 5 3 2 2 2" xfId="41002"/>
    <cellStyle name="Normal 4 5 5 3 2 3" xfId="28700"/>
    <cellStyle name="Normal 4 5 5 3 3" xfId="9354"/>
    <cellStyle name="Normal 4 5 5 3 3 2" xfId="21658"/>
    <cellStyle name="Normal 4 5 5 3 3 2 2" xfId="44517"/>
    <cellStyle name="Normal 4 5 5 3 3 3" xfId="32215"/>
    <cellStyle name="Normal 4 5 5 3 4" xfId="14628"/>
    <cellStyle name="Normal 4 5 5 3 4 2" xfId="37487"/>
    <cellStyle name="Normal 4 5 5 3 5" xfId="25185"/>
    <cellStyle name="Normal 4 5 5 4" xfId="4081"/>
    <cellStyle name="Normal 4 5 5 4 2" xfId="16385"/>
    <cellStyle name="Normal 4 5 5 4 2 2" xfId="39244"/>
    <cellStyle name="Normal 4 5 5 4 3" xfId="26942"/>
    <cellStyle name="Normal 4 5 5 5" xfId="7596"/>
    <cellStyle name="Normal 4 5 5 5 2" xfId="19900"/>
    <cellStyle name="Normal 4 5 5 5 2 2" xfId="42759"/>
    <cellStyle name="Normal 4 5 5 5 3" xfId="30457"/>
    <cellStyle name="Normal 4 5 5 6" xfId="11111"/>
    <cellStyle name="Normal 4 5 5 6 2" xfId="33971"/>
    <cellStyle name="Normal 4 5 5 7" xfId="12870"/>
    <cellStyle name="Normal 4 5 5 7 2" xfId="35729"/>
    <cellStyle name="Normal 4 5 5 8" xfId="23426"/>
    <cellStyle name="Normal 4 5 6" xfId="1002"/>
    <cellStyle name="Normal 4 5 6 2" xfId="2763"/>
    <cellStyle name="Normal 4 5 6 2 2" xfId="6278"/>
    <cellStyle name="Normal 4 5 6 2 2 2" xfId="18582"/>
    <cellStyle name="Normal 4 5 6 2 2 2 2" xfId="41441"/>
    <cellStyle name="Normal 4 5 6 2 2 3" xfId="29139"/>
    <cellStyle name="Normal 4 5 6 2 3" xfId="9793"/>
    <cellStyle name="Normal 4 5 6 2 3 2" xfId="22097"/>
    <cellStyle name="Normal 4 5 6 2 3 2 2" xfId="44956"/>
    <cellStyle name="Normal 4 5 6 2 3 3" xfId="32654"/>
    <cellStyle name="Normal 4 5 6 2 4" xfId="15067"/>
    <cellStyle name="Normal 4 5 6 2 4 2" xfId="37926"/>
    <cellStyle name="Normal 4 5 6 2 5" xfId="25624"/>
    <cellStyle name="Normal 4 5 6 3" xfId="4520"/>
    <cellStyle name="Normal 4 5 6 3 2" xfId="16824"/>
    <cellStyle name="Normal 4 5 6 3 2 2" xfId="39683"/>
    <cellStyle name="Normal 4 5 6 3 3" xfId="27381"/>
    <cellStyle name="Normal 4 5 6 4" xfId="8035"/>
    <cellStyle name="Normal 4 5 6 4 2" xfId="20339"/>
    <cellStyle name="Normal 4 5 6 4 2 2" xfId="43198"/>
    <cellStyle name="Normal 4 5 6 4 3" xfId="30896"/>
    <cellStyle name="Normal 4 5 6 5" xfId="11550"/>
    <cellStyle name="Normal 4 5 6 5 2" xfId="34410"/>
    <cellStyle name="Normal 4 5 6 6" xfId="13309"/>
    <cellStyle name="Normal 4 5 6 6 2" xfId="36168"/>
    <cellStyle name="Normal 4 5 6 7" xfId="23865"/>
    <cellStyle name="Normal 4 5 7" xfId="1885"/>
    <cellStyle name="Normal 4 5 7 2" xfId="5400"/>
    <cellStyle name="Normal 4 5 7 2 2" xfId="17704"/>
    <cellStyle name="Normal 4 5 7 2 2 2" xfId="40563"/>
    <cellStyle name="Normal 4 5 7 2 3" xfId="28261"/>
    <cellStyle name="Normal 4 5 7 3" xfId="8915"/>
    <cellStyle name="Normal 4 5 7 3 2" xfId="21219"/>
    <cellStyle name="Normal 4 5 7 3 2 2" xfId="44078"/>
    <cellStyle name="Normal 4 5 7 3 3" xfId="31776"/>
    <cellStyle name="Normal 4 5 7 4" xfId="14189"/>
    <cellStyle name="Normal 4 5 7 4 2" xfId="37048"/>
    <cellStyle name="Normal 4 5 7 5" xfId="24746"/>
    <cellStyle name="Normal 4 5 8" xfId="3642"/>
    <cellStyle name="Normal 4 5 8 2" xfId="15946"/>
    <cellStyle name="Normal 4 5 8 2 2" xfId="38805"/>
    <cellStyle name="Normal 4 5 8 3" xfId="26503"/>
    <cellStyle name="Normal 4 5 9" xfId="7157"/>
    <cellStyle name="Normal 4 5 9 2" xfId="19461"/>
    <cellStyle name="Normal 4 5 9 2 2" xfId="42320"/>
    <cellStyle name="Normal 4 5 9 3" xfId="30018"/>
    <cellStyle name="Normal 4 6" xfId="148"/>
    <cellStyle name="Normal 4 6 10" xfId="12460"/>
    <cellStyle name="Normal 4 6 10 2" xfId="35319"/>
    <cellStyle name="Normal 4 6 11" xfId="23014"/>
    <cellStyle name="Normal 4 6 2" xfId="256"/>
    <cellStyle name="Normal 4 6 2 10" xfId="23121"/>
    <cellStyle name="Normal 4 6 2 2" xfId="468"/>
    <cellStyle name="Normal 4 6 2 2 2" xfId="909"/>
    <cellStyle name="Normal 4 6 2 2 2 2" xfId="1788"/>
    <cellStyle name="Normal 4 6 2 2 2 2 2" xfId="3549"/>
    <cellStyle name="Normal 4 6 2 2 2 2 2 2" xfId="7064"/>
    <cellStyle name="Normal 4 6 2 2 2 2 2 2 2" xfId="19368"/>
    <cellStyle name="Normal 4 6 2 2 2 2 2 2 2 2" xfId="42227"/>
    <cellStyle name="Normal 4 6 2 2 2 2 2 2 3" xfId="29925"/>
    <cellStyle name="Normal 4 6 2 2 2 2 2 3" xfId="10579"/>
    <cellStyle name="Normal 4 6 2 2 2 2 2 3 2" xfId="22883"/>
    <cellStyle name="Normal 4 6 2 2 2 2 2 3 2 2" xfId="45742"/>
    <cellStyle name="Normal 4 6 2 2 2 2 2 3 3" xfId="33440"/>
    <cellStyle name="Normal 4 6 2 2 2 2 2 4" xfId="15853"/>
    <cellStyle name="Normal 4 6 2 2 2 2 2 4 2" xfId="38712"/>
    <cellStyle name="Normal 4 6 2 2 2 2 2 5" xfId="26410"/>
    <cellStyle name="Normal 4 6 2 2 2 2 3" xfId="5306"/>
    <cellStyle name="Normal 4 6 2 2 2 2 3 2" xfId="17610"/>
    <cellStyle name="Normal 4 6 2 2 2 2 3 2 2" xfId="40469"/>
    <cellStyle name="Normal 4 6 2 2 2 2 3 3" xfId="28167"/>
    <cellStyle name="Normal 4 6 2 2 2 2 4" xfId="8821"/>
    <cellStyle name="Normal 4 6 2 2 2 2 4 2" xfId="21125"/>
    <cellStyle name="Normal 4 6 2 2 2 2 4 2 2" xfId="43984"/>
    <cellStyle name="Normal 4 6 2 2 2 2 4 3" xfId="31682"/>
    <cellStyle name="Normal 4 6 2 2 2 2 5" xfId="12336"/>
    <cellStyle name="Normal 4 6 2 2 2 2 5 2" xfId="35196"/>
    <cellStyle name="Normal 4 6 2 2 2 2 6" xfId="14095"/>
    <cellStyle name="Normal 4 6 2 2 2 2 6 2" xfId="36954"/>
    <cellStyle name="Normal 4 6 2 2 2 2 7" xfId="24651"/>
    <cellStyle name="Normal 4 6 2 2 2 3" xfId="2671"/>
    <cellStyle name="Normal 4 6 2 2 2 3 2" xfId="6186"/>
    <cellStyle name="Normal 4 6 2 2 2 3 2 2" xfId="18490"/>
    <cellStyle name="Normal 4 6 2 2 2 3 2 2 2" xfId="41349"/>
    <cellStyle name="Normal 4 6 2 2 2 3 2 3" xfId="29047"/>
    <cellStyle name="Normal 4 6 2 2 2 3 3" xfId="9701"/>
    <cellStyle name="Normal 4 6 2 2 2 3 3 2" xfId="22005"/>
    <cellStyle name="Normal 4 6 2 2 2 3 3 2 2" xfId="44864"/>
    <cellStyle name="Normal 4 6 2 2 2 3 3 3" xfId="32562"/>
    <cellStyle name="Normal 4 6 2 2 2 3 4" xfId="14975"/>
    <cellStyle name="Normal 4 6 2 2 2 3 4 2" xfId="37834"/>
    <cellStyle name="Normal 4 6 2 2 2 3 5" xfId="25532"/>
    <cellStyle name="Normal 4 6 2 2 2 4" xfId="4428"/>
    <cellStyle name="Normal 4 6 2 2 2 4 2" xfId="16732"/>
    <cellStyle name="Normal 4 6 2 2 2 4 2 2" xfId="39591"/>
    <cellStyle name="Normal 4 6 2 2 2 4 3" xfId="27289"/>
    <cellStyle name="Normal 4 6 2 2 2 5" xfId="7943"/>
    <cellStyle name="Normal 4 6 2 2 2 5 2" xfId="20247"/>
    <cellStyle name="Normal 4 6 2 2 2 5 2 2" xfId="43106"/>
    <cellStyle name="Normal 4 6 2 2 2 5 3" xfId="30804"/>
    <cellStyle name="Normal 4 6 2 2 2 6" xfId="11458"/>
    <cellStyle name="Normal 4 6 2 2 2 6 2" xfId="34318"/>
    <cellStyle name="Normal 4 6 2 2 2 7" xfId="13217"/>
    <cellStyle name="Normal 4 6 2 2 2 7 2" xfId="36076"/>
    <cellStyle name="Normal 4 6 2 2 2 8" xfId="23773"/>
    <cellStyle name="Normal 4 6 2 2 3" xfId="1349"/>
    <cellStyle name="Normal 4 6 2 2 3 2" xfId="3110"/>
    <cellStyle name="Normal 4 6 2 2 3 2 2" xfId="6625"/>
    <cellStyle name="Normal 4 6 2 2 3 2 2 2" xfId="18929"/>
    <cellStyle name="Normal 4 6 2 2 3 2 2 2 2" xfId="41788"/>
    <cellStyle name="Normal 4 6 2 2 3 2 2 3" xfId="29486"/>
    <cellStyle name="Normal 4 6 2 2 3 2 3" xfId="10140"/>
    <cellStyle name="Normal 4 6 2 2 3 2 3 2" xfId="22444"/>
    <cellStyle name="Normal 4 6 2 2 3 2 3 2 2" xfId="45303"/>
    <cellStyle name="Normal 4 6 2 2 3 2 3 3" xfId="33001"/>
    <cellStyle name="Normal 4 6 2 2 3 2 4" xfId="15414"/>
    <cellStyle name="Normal 4 6 2 2 3 2 4 2" xfId="38273"/>
    <cellStyle name="Normal 4 6 2 2 3 2 5" xfId="25971"/>
    <cellStyle name="Normal 4 6 2 2 3 3" xfId="4867"/>
    <cellStyle name="Normal 4 6 2 2 3 3 2" xfId="17171"/>
    <cellStyle name="Normal 4 6 2 2 3 3 2 2" xfId="40030"/>
    <cellStyle name="Normal 4 6 2 2 3 3 3" xfId="27728"/>
    <cellStyle name="Normal 4 6 2 2 3 4" xfId="8382"/>
    <cellStyle name="Normal 4 6 2 2 3 4 2" xfId="20686"/>
    <cellStyle name="Normal 4 6 2 2 3 4 2 2" xfId="43545"/>
    <cellStyle name="Normal 4 6 2 2 3 4 3" xfId="31243"/>
    <cellStyle name="Normal 4 6 2 2 3 5" xfId="11897"/>
    <cellStyle name="Normal 4 6 2 2 3 5 2" xfId="34757"/>
    <cellStyle name="Normal 4 6 2 2 3 6" xfId="13656"/>
    <cellStyle name="Normal 4 6 2 2 3 6 2" xfId="36515"/>
    <cellStyle name="Normal 4 6 2 2 3 7" xfId="24212"/>
    <cellStyle name="Normal 4 6 2 2 4" xfId="2232"/>
    <cellStyle name="Normal 4 6 2 2 4 2" xfId="5747"/>
    <cellStyle name="Normal 4 6 2 2 4 2 2" xfId="18051"/>
    <cellStyle name="Normal 4 6 2 2 4 2 2 2" xfId="40910"/>
    <cellStyle name="Normal 4 6 2 2 4 2 3" xfId="28608"/>
    <cellStyle name="Normal 4 6 2 2 4 3" xfId="9262"/>
    <cellStyle name="Normal 4 6 2 2 4 3 2" xfId="21566"/>
    <cellStyle name="Normal 4 6 2 2 4 3 2 2" xfId="44425"/>
    <cellStyle name="Normal 4 6 2 2 4 3 3" xfId="32123"/>
    <cellStyle name="Normal 4 6 2 2 4 4" xfId="14536"/>
    <cellStyle name="Normal 4 6 2 2 4 4 2" xfId="37395"/>
    <cellStyle name="Normal 4 6 2 2 4 5" xfId="25093"/>
    <cellStyle name="Normal 4 6 2 2 5" xfId="3989"/>
    <cellStyle name="Normal 4 6 2 2 5 2" xfId="16293"/>
    <cellStyle name="Normal 4 6 2 2 5 2 2" xfId="39152"/>
    <cellStyle name="Normal 4 6 2 2 5 3" xfId="26850"/>
    <cellStyle name="Normal 4 6 2 2 6" xfId="7504"/>
    <cellStyle name="Normal 4 6 2 2 6 2" xfId="19808"/>
    <cellStyle name="Normal 4 6 2 2 6 2 2" xfId="42667"/>
    <cellStyle name="Normal 4 6 2 2 6 3" xfId="30365"/>
    <cellStyle name="Normal 4 6 2 2 7" xfId="11019"/>
    <cellStyle name="Normal 4 6 2 2 7 2" xfId="33879"/>
    <cellStyle name="Normal 4 6 2 2 8" xfId="12778"/>
    <cellStyle name="Normal 4 6 2 2 8 2" xfId="35637"/>
    <cellStyle name="Normal 4 6 2 2 9" xfId="23333"/>
    <cellStyle name="Normal 4 6 2 3" xfId="697"/>
    <cellStyle name="Normal 4 6 2 3 2" xfId="1576"/>
    <cellStyle name="Normal 4 6 2 3 2 2" xfId="3337"/>
    <cellStyle name="Normal 4 6 2 3 2 2 2" xfId="6852"/>
    <cellStyle name="Normal 4 6 2 3 2 2 2 2" xfId="19156"/>
    <cellStyle name="Normal 4 6 2 3 2 2 2 2 2" xfId="42015"/>
    <cellStyle name="Normal 4 6 2 3 2 2 2 3" xfId="29713"/>
    <cellStyle name="Normal 4 6 2 3 2 2 3" xfId="10367"/>
    <cellStyle name="Normal 4 6 2 3 2 2 3 2" xfId="22671"/>
    <cellStyle name="Normal 4 6 2 3 2 2 3 2 2" xfId="45530"/>
    <cellStyle name="Normal 4 6 2 3 2 2 3 3" xfId="33228"/>
    <cellStyle name="Normal 4 6 2 3 2 2 4" xfId="15641"/>
    <cellStyle name="Normal 4 6 2 3 2 2 4 2" xfId="38500"/>
    <cellStyle name="Normal 4 6 2 3 2 2 5" xfId="26198"/>
    <cellStyle name="Normal 4 6 2 3 2 3" xfId="5094"/>
    <cellStyle name="Normal 4 6 2 3 2 3 2" xfId="17398"/>
    <cellStyle name="Normal 4 6 2 3 2 3 2 2" xfId="40257"/>
    <cellStyle name="Normal 4 6 2 3 2 3 3" xfId="27955"/>
    <cellStyle name="Normal 4 6 2 3 2 4" xfId="8609"/>
    <cellStyle name="Normal 4 6 2 3 2 4 2" xfId="20913"/>
    <cellStyle name="Normal 4 6 2 3 2 4 2 2" xfId="43772"/>
    <cellStyle name="Normal 4 6 2 3 2 4 3" xfId="31470"/>
    <cellStyle name="Normal 4 6 2 3 2 5" xfId="12124"/>
    <cellStyle name="Normal 4 6 2 3 2 5 2" xfId="34984"/>
    <cellStyle name="Normal 4 6 2 3 2 6" xfId="13883"/>
    <cellStyle name="Normal 4 6 2 3 2 6 2" xfId="36742"/>
    <cellStyle name="Normal 4 6 2 3 2 7" xfId="24439"/>
    <cellStyle name="Normal 4 6 2 3 3" xfId="2459"/>
    <cellStyle name="Normal 4 6 2 3 3 2" xfId="5974"/>
    <cellStyle name="Normal 4 6 2 3 3 2 2" xfId="18278"/>
    <cellStyle name="Normal 4 6 2 3 3 2 2 2" xfId="41137"/>
    <cellStyle name="Normal 4 6 2 3 3 2 3" xfId="28835"/>
    <cellStyle name="Normal 4 6 2 3 3 3" xfId="9489"/>
    <cellStyle name="Normal 4 6 2 3 3 3 2" xfId="21793"/>
    <cellStyle name="Normal 4 6 2 3 3 3 2 2" xfId="44652"/>
    <cellStyle name="Normal 4 6 2 3 3 3 3" xfId="32350"/>
    <cellStyle name="Normal 4 6 2 3 3 4" xfId="14763"/>
    <cellStyle name="Normal 4 6 2 3 3 4 2" xfId="37622"/>
    <cellStyle name="Normal 4 6 2 3 3 5" xfId="25320"/>
    <cellStyle name="Normal 4 6 2 3 4" xfId="4216"/>
    <cellStyle name="Normal 4 6 2 3 4 2" xfId="16520"/>
    <cellStyle name="Normal 4 6 2 3 4 2 2" xfId="39379"/>
    <cellStyle name="Normal 4 6 2 3 4 3" xfId="27077"/>
    <cellStyle name="Normal 4 6 2 3 5" xfId="7731"/>
    <cellStyle name="Normal 4 6 2 3 5 2" xfId="20035"/>
    <cellStyle name="Normal 4 6 2 3 5 2 2" xfId="42894"/>
    <cellStyle name="Normal 4 6 2 3 5 3" xfId="30592"/>
    <cellStyle name="Normal 4 6 2 3 6" xfId="11246"/>
    <cellStyle name="Normal 4 6 2 3 6 2" xfId="34106"/>
    <cellStyle name="Normal 4 6 2 3 7" xfId="13005"/>
    <cellStyle name="Normal 4 6 2 3 7 2" xfId="35864"/>
    <cellStyle name="Normal 4 6 2 3 8" xfId="23561"/>
    <cellStyle name="Normal 4 6 2 4" xfId="1137"/>
    <cellStyle name="Normal 4 6 2 4 2" xfId="2898"/>
    <cellStyle name="Normal 4 6 2 4 2 2" xfId="6413"/>
    <cellStyle name="Normal 4 6 2 4 2 2 2" xfId="18717"/>
    <cellStyle name="Normal 4 6 2 4 2 2 2 2" xfId="41576"/>
    <cellStyle name="Normal 4 6 2 4 2 2 3" xfId="29274"/>
    <cellStyle name="Normal 4 6 2 4 2 3" xfId="9928"/>
    <cellStyle name="Normal 4 6 2 4 2 3 2" xfId="22232"/>
    <cellStyle name="Normal 4 6 2 4 2 3 2 2" xfId="45091"/>
    <cellStyle name="Normal 4 6 2 4 2 3 3" xfId="32789"/>
    <cellStyle name="Normal 4 6 2 4 2 4" xfId="15202"/>
    <cellStyle name="Normal 4 6 2 4 2 4 2" xfId="38061"/>
    <cellStyle name="Normal 4 6 2 4 2 5" xfId="25759"/>
    <cellStyle name="Normal 4 6 2 4 3" xfId="4655"/>
    <cellStyle name="Normal 4 6 2 4 3 2" xfId="16959"/>
    <cellStyle name="Normal 4 6 2 4 3 2 2" xfId="39818"/>
    <cellStyle name="Normal 4 6 2 4 3 3" xfId="27516"/>
    <cellStyle name="Normal 4 6 2 4 4" xfId="8170"/>
    <cellStyle name="Normal 4 6 2 4 4 2" xfId="20474"/>
    <cellStyle name="Normal 4 6 2 4 4 2 2" xfId="43333"/>
    <cellStyle name="Normal 4 6 2 4 4 3" xfId="31031"/>
    <cellStyle name="Normal 4 6 2 4 5" xfId="11685"/>
    <cellStyle name="Normal 4 6 2 4 5 2" xfId="34545"/>
    <cellStyle name="Normal 4 6 2 4 6" xfId="13444"/>
    <cellStyle name="Normal 4 6 2 4 6 2" xfId="36303"/>
    <cellStyle name="Normal 4 6 2 4 7" xfId="24000"/>
    <cellStyle name="Normal 4 6 2 5" xfId="2020"/>
    <cellStyle name="Normal 4 6 2 5 2" xfId="5535"/>
    <cellStyle name="Normal 4 6 2 5 2 2" xfId="17839"/>
    <cellStyle name="Normal 4 6 2 5 2 2 2" xfId="40698"/>
    <cellStyle name="Normal 4 6 2 5 2 3" xfId="28396"/>
    <cellStyle name="Normal 4 6 2 5 3" xfId="9050"/>
    <cellStyle name="Normal 4 6 2 5 3 2" xfId="21354"/>
    <cellStyle name="Normal 4 6 2 5 3 2 2" xfId="44213"/>
    <cellStyle name="Normal 4 6 2 5 3 3" xfId="31911"/>
    <cellStyle name="Normal 4 6 2 5 4" xfId="14324"/>
    <cellStyle name="Normal 4 6 2 5 4 2" xfId="37183"/>
    <cellStyle name="Normal 4 6 2 5 5" xfId="24881"/>
    <cellStyle name="Normal 4 6 2 6" xfId="3777"/>
    <cellStyle name="Normal 4 6 2 6 2" xfId="16081"/>
    <cellStyle name="Normal 4 6 2 6 2 2" xfId="38940"/>
    <cellStyle name="Normal 4 6 2 6 3" xfId="26638"/>
    <cellStyle name="Normal 4 6 2 7" xfId="7292"/>
    <cellStyle name="Normal 4 6 2 7 2" xfId="19596"/>
    <cellStyle name="Normal 4 6 2 7 2 2" xfId="42455"/>
    <cellStyle name="Normal 4 6 2 7 3" xfId="30153"/>
    <cellStyle name="Normal 4 6 2 8" xfId="10807"/>
    <cellStyle name="Normal 4 6 2 8 2" xfId="33667"/>
    <cellStyle name="Normal 4 6 2 9" xfId="12566"/>
    <cellStyle name="Normal 4 6 2 9 2" xfId="35425"/>
    <cellStyle name="Normal 4 6 3" xfId="362"/>
    <cellStyle name="Normal 4 6 3 2" xfId="803"/>
    <cellStyle name="Normal 4 6 3 2 2" xfId="1682"/>
    <cellStyle name="Normal 4 6 3 2 2 2" xfId="3443"/>
    <cellStyle name="Normal 4 6 3 2 2 2 2" xfId="6958"/>
    <cellStyle name="Normal 4 6 3 2 2 2 2 2" xfId="19262"/>
    <cellStyle name="Normal 4 6 3 2 2 2 2 2 2" xfId="42121"/>
    <cellStyle name="Normal 4 6 3 2 2 2 2 3" xfId="29819"/>
    <cellStyle name="Normal 4 6 3 2 2 2 3" xfId="10473"/>
    <cellStyle name="Normal 4 6 3 2 2 2 3 2" xfId="22777"/>
    <cellStyle name="Normal 4 6 3 2 2 2 3 2 2" xfId="45636"/>
    <cellStyle name="Normal 4 6 3 2 2 2 3 3" xfId="33334"/>
    <cellStyle name="Normal 4 6 3 2 2 2 4" xfId="15747"/>
    <cellStyle name="Normal 4 6 3 2 2 2 4 2" xfId="38606"/>
    <cellStyle name="Normal 4 6 3 2 2 2 5" xfId="26304"/>
    <cellStyle name="Normal 4 6 3 2 2 3" xfId="5200"/>
    <cellStyle name="Normal 4 6 3 2 2 3 2" xfId="17504"/>
    <cellStyle name="Normal 4 6 3 2 2 3 2 2" xfId="40363"/>
    <cellStyle name="Normal 4 6 3 2 2 3 3" xfId="28061"/>
    <cellStyle name="Normal 4 6 3 2 2 4" xfId="8715"/>
    <cellStyle name="Normal 4 6 3 2 2 4 2" xfId="21019"/>
    <cellStyle name="Normal 4 6 3 2 2 4 2 2" xfId="43878"/>
    <cellStyle name="Normal 4 6 3 2 2 4 3" xfId="31576"/>
    <cellStyle name="Normal 4 6 3 2 2 5" xfId="12230"/>
    <cellStyle name="Normal 4 6 3 2 2 5 2" xfId="35090"/>
    <cellStyle name="Normal 4 6 3 2 2 6" xfId="13989"/>
    <cellStyle name="Normal 4 6 3 2 2 6 2" xfId="36848"/>
    <cellStyle name="Normal 4 6 3 2 2 7" xfId="24545"/>
    <cellStyle name="Normal 4 6 3 2 3" xfId="2565"/>
    <cellStyle name="Normal 4 6 3 2 3 2" xfId="6080"/>
    <cellStyle name="Normal 4 6 3 2 3 2 2" xfId="18384"/>
    <cellStyle name="Normal 4 6 3 2 3 2 2 2" xfId="41243"/>
    <cellStyle name="Normal 4 6 3 2 3 2 3" xfId="28941"/>
    <cellStyle name="Normal 4 6 3 2 3 3" xfId="9595"/>
    <cellStyle name="Normal 4 6 3 2 3 3 2" xfId="21899"/>
    <cellStyle name="Normal 4 6 3 2 3 3 2 2" xfId="44758"/>
    <cellStyle name="Normal 4 6 3 2 3 3 3" xfId="32456"/>
    <cellStyle name="Normal 4 6 3 2 3 4" xfId="14869"/>
    <cellStyle name="Normal 4 6 3 2 3 4 2" xfId="37728"/>
    <cellStyle name="Normal 4 6 3 2 3 5" xfId="25426"/>
    <cellStyle name="Normal 4 6 3 2 4" xfId="4322"/>
    <cellStyle name="Normal 4 6 3 2 4 2" xfId="16626"/>
    <cellStyle name="Normal 4 6 3 2 4 2 2" xfId="39485"/>
    <cellStyle name="Normal 4 6 3 2 4 3" xfId="27183"/>
    <cellStyle name="Normal 4 6 3 2 5" xfId="7837"/>
    <cellStyle name="Normal 4 6 3 2 5 2" xfId="20141"/>
    <cellStyle name="Normal 4 6 3 2 5 2 2" xfId="43000"/>
    <cellStyle name="Normal 4 6 3 2 5 3" xfId="30698"/>
    <cellStyle name="Normal 4 6 3 2 6" xfId="11352"/>
    <cellStyle name="Normal 4 6 3 2 6 2" xfId="34212"/>
    <cellStyle name="Normal 4 6 3 2 7" xfId="13111"/>
    <cellStyle name="Normal 4 6 3 2 7 2" xfId="35970"/>
    <cellStyle name="Normal 4 6 3 2 8" xfId="23667"/>
    <cellStyle name="Normal 4 6 3 3" xfId="1243"/>
    <cellStyle name="Normal 4 6 3 3 2" xfId="3004"/>
    <cellStyle name="Normal 4 6 3 3 2 2" xfId="6519"/>
    <cellStyle name="Normal 4 6 3 3 2 2 2" xfId="18823"/>
    <cellStyle name="Normal 4 6 3 3 2 2 2 2" xfId="41682"/>
    <cellStyle name="Normal 4 6 3 3 2 2 3" xfId="29380"/>
    <cellStyle name="Normal 4 6 3 3 2 3" xfId="10034"/>
    <cellStyle name="Normal 4 6 3 3 2 3 2" xfId="22338"/>
    <cellStyle name="Normal 4 6 3 3 2 3 2 2" xfId="45197"/>
    <cellStyle name="Normal 4 6 3 3 2 3 3" xfId="32895"/>
    <cellStyle name="Normal 4 6 3 3 2 4" xfId="15308"/>
    <cellStyle name="Normal 4 6 3 3 2 4 2" xfId="38167"/>
    <cellStyle name="Normal 4 6 3 3 2 5" xfId="25865"/>
    <cellStyle name="Normal 4 6 3 3 3" xfId="4761"/>
    <cellStyle name="Normal 4 6 3 3 3 2" xfId="17065"/>
    <cellStyle name="Normal 4 6 3 3 3 2 2" xfId="39924"/>
    <cellStyle name="Normal 4 6 3 3 3 3" xfId="27622"/>
    <cellStyle name="Normal 4 6 3 3 4" xfId="8276"/>
    <cellStyle name="Normal 4 6 3 3 4 2" xfId="20580"/>
    <cellStyle name="Normal 4 6 3 3 4 2 2" xfId="43439"/>
    <cellStyle name="Normal 4 6 3 3 4 3" xfId="31137"/>
    <cellStyle name="Normal 4 6 3 3 5" xfId="11791"/>
    <cellStyle name="Normal 4 6 3 3 5 2" xfId="34651"/>
    <cellStyle name="Normal 4 6 3 3 6" xfId="13550"/>
    <cellStyle name="Normal 4 6 3 3 6 2" xfId="36409"/>
    <cellStyle name="Normal 4 6 3 3 7" xfId="24106"/>
    <cellStyle name="Normal 4 6 3 4" xfId="2126"/>
    <cellStyle name="Normal 4 6 3 4 2" xfId="5641"/>
    <cellStyle name="Normal 4 6 3 4 2 2" xfId="17945"/>
    <cellStyle name="Normal 4 6 3 4 2 2 2" xfId="40804"/>
    <cellStyle name="Normal 4 6 3 4 2 3" xfId="28502"/>
    <cellStyle name="Normal 4 6 3 4 3" xfId="9156"/>
    <cellStyle name="Normal 4 6 3 4 3 2" xfId="21460"/>
    <cellStyle name="Normal 4 6 3 4 3 2 2" xfId="44319"/>
    <cellStyle name="Normal 4 6 3 4 3 3" xfId="32017"/>
    <cellStyle name="Normal 4 6 3 4 4" xfId="14430"/>
    <cellStyle name="Normal 4 6 3 4 4 2" xfId="37289"/>
    <cellStyle name="Normal 4 6 3 4 5" xfId="24987"/>
    <cellStyle name="Normal 4 6 3 5" xfId="3883"/>
    <cellStyle name="Normal 4 6 3 5 2" xfId="16187"/>
    <cellStyle name="Normal 4 6 3 5 2 2" xfId="39046"/>
    <cellStyle name="Normal 4 6 3 5 3" xfId="26744"/>
    <cellStyle name="Normal 4 6 3 6" xfId="7398"/>
    <cellStyle name="Normal 4 6 3 6 2" xfId="19702"/>
    <cellStyle name="Normal 4 6 3 6 2 2" xfId="42561"/>
    <cellStyle name="Normal 4 6 3 6 3" xfId="30259"/>
    <cellStyle name="Normal 4 6 3 7" xfId="10913"/>
    <cellStyle name="Normal 4 6 3 7 2" xfId="33773"/>
    <cellStyle name="Normal 4 6 3 8" xfId="12672"/>
    <cellStyle name="Normal 4 6 3 8 2" xfId="35531"/>
    <cellStyle name="Normal 4 6 3 9" xfId="23227"/>
    <cellStyle name="Normal 4 6 4" xfId="591"/>
    <cellStyle name="Normal 4 6 4 2" xfId="1470"/>
    <cellStyle name="Normal 4 6 4 2 2" xfId="3231"/>
    <cellStyle name="Normal 4 6 4 2 2 2" xfId="6746"/>
    <cellStyle name="Normal 4 6 4 2 2 2 2" xfId="19050"/>
    <cellStyle name="Normal 4 6 4 2 2 2 2 2" xfId="41909"/>
    <cellStyle name="Normal 4 6 4 2 2 2 3" xfId="29607"/>
    <cellStyle name="Normal 4 6 4 2 2 3" xfId="10261"/>
    <cellStyle name="Normal 4 6 4 2 2 3 2" xfId="22565"/>
    <cellStyle name="Normal 4 6 4 2 2 3 2 2" xfId="45424"/>
    <cellStyle name="Normal 4 6 4 2 2 3 3" xfId="33122"/>
    <cellStyle name="Normal 4 6 4 2 2 4" xfId="15535"/>
    <cellStyle name="Normal 4 6 4 2 2 4 2" xfId="38394"/>
    <cellStyle name="Normal 4 6 4 2 2 5" xfId="26092"/>
    <cellStyle name="Normal 4 6 4 2 3" xfId="4988"/>
    <cellStyle name="Normal 4 6 4 2 3 2" xfId="17292"/>
    <cellStyle name="Normal 4 6 4 2 3 2 2" xfId="40151"/>
    <cellStyle name="Normal 4 6 4 2 3 3" xfId="27849"/>
    <cellStyle name="Normal 4 6 4 2 4" xfId="8503"/>
    <cellStyle name="Normal 4 6 4 2 4 2" xfId="20807"/>
    <cellStyle name="Normal 4 6 4 2 4 2 2" xfId="43666"/>
    <cellStyle name="Normal 4 6 4 2 4 3" xfId="31364"/>
    <cellStyle name="Normal 4 6 4 2 5" xfId="12018"/>
    <cellStyle name="Normal 4 6 4 2 5 2" xfId="34878"/>
    <cellStyle name="Normal 4 6 4 2 6" xfId="13777"/>
    <cellStyle name="Normal 4 6 4 2 6 2" xfId="36636"/>
    <cellStyle name="Normal 4 6 4 2 7" xfId="24333"/>
    <cellStyle name="Normal 4 6 4 3" xfId="2353"/>
    <cellStyle name="Normal 4 6 4 3 2" xfId="5868"/>
    <cellStyle name="Normal 4 6 4 3 2 2" xfId="18172"/>
    <cellStyle name="Normal 4 6 4 3 2 2 2" xfId="41031"/>
    <cellStyle name="Normal 4 6 4 3 2 3" xfId="28729"/>
    <cellStyle name="Normal 4 6 4 3 3" xfId="9383"/>
    <cellStyle name="Normal 4 6 4 3 3 2" xfId="21687"/>
    <cellStyle name="Normal 4 6 4 3 3 2 2" xfId="44546"/>
    <cellStyle name="Normal 4 6 4 3 3 3" xfId="32244"/>
    <cellStyle name="Normal 4 6 4 3 4" xfId="14657"/>
    <cellStyle name="Normal 4 6 4 3 4 2" xfId="37516"/>
    <cellStyle name="Normal 4 6 4 3 5" xfId="25214"/>
    <cellStyle name="Normal 4 6 4 4" xfId="4110"/>
    <cellStyle name="Normal 4 6 4 4 2" xfId="16414"/>
    <cellStyle name="Normal 4 6 4 4 2 2" xfId="39273"/>
    <cellStyle name="Normal 4 6 4 4 3" xfId="26971"/>
    <cellStyle name="Normal 4 6 4 5" xfId="7625"/>
    <cellStyle name="Normal 4 6 4 5 2" xfId="19929"/>
    <cellStyle name="Normal 4 6 4 5 2 2" xfId="42788"/>
    <cellStyle name="Normal 4 6 4 5 3" xfId="30486"/>
    <cellStyle name="Normal 4 6 4 6" xfId="11140"/>
    <cellStyle name="Normal 4 6 4 6 2" xfId="34000"/>
    <cellStyle name="Normal 4 6 4 7" xfId="12899"/>
    <cellStyle name="Normal 4 6 4 7 2" xfId="35758"/>
    <cellStyle name="Normal 4 6 4 8" xfId="23455"/>
    <cellStyle name="Normal 4 6 5" xfId="1031"/>
    <cellStyle name="Normal 4 6 5 2" xfId="2792"/>
    <cellStyle name="Normal 4 6 5 2 2" xfId="6307"/>
    <cellStyle name="Normal 4 6 5 2 2 2" xfId="18611"/>
    <cellStyle name="Normal 4 6 5 2 2 2 2" xfId="41470"/>
    <cellStyle name="Normal 4 6 5 2 2 3" xfId="29168"/>
    <cellStyle name="Normal 4 6 5 2 3" xfId="9822"/>
    <cellStyle name="Normal 4 6 5 2 3 2" xfId="22126"/>
    <cellStyle name="Normal 4 6 5 2 3 2 2" xfId="44985"/>
    <cellStyle name="Normal 4 6 5 2 3 3" xfId="32683"/>
    <cellStyle name="Normal 4 6 5 2 4" xfId="15096"/>
    <cellStyle name="Normal 4 6 5 2 4 2" xfId="37955"/>
    <cellStyle name="Normal 4 6 5 2 5" xfId="25653"/>
    <cellStyle name="Normal 4 6 5 3" xfId="4549"/>
    <cellStyle name="Normal 4 6 5 3 2" xfId="16853"/>
    <cellStyle name="Normal 4 6 5 3 2 2" xfId="39712"/>
    <cellStyle name="Normal 4 6 5 3 3" xfId="27410"/>
    <cellStyle name="Normal 4 6 5 4" xfId="8064"/>
    <cellStyle name="Normal 4 6 5 4 2" xfId="20368"/>
    <cellStyle name="Normal 4 6 5 4 2 2" xfId="43227"/>
    <cellStyle name="Normal 4 6 5 4 3" xfId="30925"/>
    <cellStyle name="Normal 4 6 5 5" xfId="11579"/>
    <cellStyle name="Normal 4 6 5 5 2" xfId="34439"/>
    <cellStyle name="Normal 4 6 5 6" xfId="13338"/>
    <cellStyle name="Normal 4 6 5 6 2" xfId="36197"/>
    <cellStyle name="Normal 4 6 5 7" xfId="23894"/>
    <cellStyle name="Normal 4 6 6" xfId="1914"/>
    <cellStyle name="Normal 4 6 6 2" xfId="5429"/>
    <cellStyle name="Normal 4 6 6 2 2" xfId="17733"/>
    <cellStyle name="Normal 4 6 6 2 2 2" xfId="40592"/>
    <cellStyle name="Normal 4 6 6 2 3" xfId="28290"/>
    <cellStyle name="Normal 4 6 6 3" xfId="8944"/>
    <cellStyle name="Normal 4 6 6 3 2" xfId="21248"/>
    <cellStyle name="Normal 4 6 6 3 2 2" xfId="44107"/>
    <cellStyle name="Normal 4 6 6 3 3" xfId="31805"/>
    <cellStyle name="Normal 4 6 6 4" xfId="14218"/>
    <cellStyle name="Normal 4 6 6 4 2" xfId="37077"/>
    <cellStyle name="Normal 4 6 6 5" xfId="24775"/>
    <cellStyle name="Normal 4 6 7" xfId="3671"/>
    <cellStyle name="Normal 4 6 7 2" xfId="15975"/>
    <cellStyle name="Normal 4 6 7 2 2" xfId="38834"/>
    <cellStyle name="Normal 4 6 7 3" xfId="26532"/>
    <cellStyle name="Normal 4 6 8" xfId="7186"/>
    <cellStyle name="Normal 4 6 8 2" xfId="19490"/>
    <cellStyle name="Normal 4 6 8 2 2" xfId="42349"/>
    <cellStyle name="Normal 4 6 8 3" xfId="30047"/>
    <cellStyle name="Normal 4 6 9" xfId="10701"/>
    <cellStyle name="Normal 4 6 9 2" xfId="33561"/>
    <cellStyle name="Normal 4 7" xfId="189"/>
    <cellStyle name="Normal 4 7 10" xfId="23054"/>
    <cellStyle name="Normal 4 7 2" xfId="401"/>
    <cellStyle name="Normal 4 7 2 2" xfId="842"/>
    <cellStyle name="Normal 4 7 2 2 2" xfId="1721"/>
    <cellStyle name="Normal 4 7 2 2 2 2" xfId="3482"/>
    <cellStyle name="Normal 4 7 2 2 2 2 2" xfId="6997"/>
    <cellStyle name="Normal 4 7 2 2 2 2 2 2" xfId="19301"/>
    <cellStyle name="Normal 4 7 2 2 2 2 2 2 2" xfId="42160"/>
    <cellStyle name="Normal 4 7 2 2 2 2 2 3" xfId="29858"/>
    <cellStyle name="Normal 4 7 2 2 2 2 3" xfId="10512"/>
    <cellStyle name="Normal 4 7 2 2 2 2 3 2" xfId="22816"/>
    <cellStyle name="Normal 4 7 2 2 2 2 3 2 2" xfId="45675"/>
    <cellStyle name="Normal 4 7 2 2 2 2 3 3" xfId="33373"/>
    <cellStyle name="Normal 4 7 2 2 2 2 4" xfId="15786"/>
    <cellStyle name="Normal 4 7 2 2 2 2 4 2" xfId="38645"/>
    <cellStyle name="Normal 4 7 2 2 2 2 5" xfId="26343"/>
    <cellStyle name="Normal 4 7 2 2 2 3" xfId="5239"/>
    <cellStyle name="Normal 4 7 2 2 2 3 2" xfId="17543"/>
    <cellStyle name="Normal 4 7 2 2 2 3 2 2" xfId="40402"/>
    <cellStyle name="Normal 4 7 2 2 2 3 3" xfId="28100"/>
    <cellStyle name="Normal 4 7 2 2 2 4" xfId="8754"/>
    <cellStyle name="Normal 4 7 2 2 2 4 2" xfId="21058"/>
    <cellStyle name="Normal 4 7 2 2 2 4 2 2" xfId="43917"/>
    <cellStyle name="Normal 4 7 2 2 2 4 3" xfId="31615"/>
    <cellStyle name="Normal 4 7 2 2 2 5" xfId="12269"/>
    <cellStyle name="Normal 4 7 2 2 2 5 2" xfId="35129"/>
    <cellStyle name="Normal 4 7 2 2 2 6" xfId="14028"/>
    <cellStyle name="Normal 4 7 2 2 2 6 2" xfId="36887"/>
    <cellStyle name="Normal 4 7 2 2 2 7" xfId="24584"/>
    <cellStyle name="Normal 4 7 2 2 3" xfId="2604"/>
    <cellStyle name="Normal 4 7 2 2 3 2" xfId="6119"/>
    <cellStyle name="Normal 4 7 2 2 3 2 2" xfId="18423"/>
    <cellStyle name="Normal 4 7 2 2 3 2 2 2" xfId="41282"/>
    <cellStyle name="Normal 4 7 2 2 3 2 3" xfId="28980"/>
    <cellStyle name="Normal 4 7 2 2 3 3" xfId="9634"/>
    <cellStyle name="Normal 4 7 2 2 3 3 2" xfId="21938"/>
    <cellStyle name="Normal 4 7 2 2 3 3 2 2" xfId="44797"/>
    <cellStyle name="Normal 4 7 2 2 3 3 3" xfId="32495"/>
    <cellStyle name="Normal 4 7 2 2 3 4" xfId="14908"/>
    <cellStyle name="Normal 4 7 2 2 3 4 2" xfId="37767"/>
    <cellStyle name="Normal 4 7 2 2 3 5" xfId="25465"/>
    <cellStyle name="Normal 4 7 2 2 4" xfId="4361"/>
    <cellStyle name="Normal 4 7 2 2 4 2" xfId="16665"/>
    <cellStyle name="Normal 4 7 2 2 4 2 2" xfId="39524"/>
    <cellStyle name="Normal 4 7 2 2 4 3" xfId="27222"/>
    <cellStyle name="Normal 4 7 2 2 5" xfId="7876"/>
    <cellStyle name="Normal 4 7 2 2 5 2" xfId="20180"/>
    <cellStyle name="Normal 4 7 2 2 5 2 2" xfId="43039"/>
    <cellStyle name="Normal 4 7 2 2 5 3" xfId="30737"/>
    <cellStyle name="Normal 4 7 2 2 6" xfId="11391"/>
    <cellStyle name="Normal 4 7 2 2 6 2" xfId="34251"/>
    <cellStyle name="Normal 4 7 2 2 7" xfId="13150"/>
    <cellStyle name="Normal 4 7 2 2 7 2" xfId="36009"/>
    <cellStyle name="Normal 4 7 2 2 8" xfId="23706"/>
    <cellStyle name="Normal 4 7 2 3" xfId="1282"/>
    <cellStyle name="Normal 4 7 2 3 2" xfId="3043"/>
    <cellStyle name="Normal 4 7 2 3 2 2" xfId="6558"/>
    <cellStyle name="Normal 4 7 2 3 2 2 2" xfId="18862"/>
    <cellStyle name="Normal 4 7 2 3 2 2 2 2" xfId="41721"/>
    <cellStyle name="Normal 4 7 2 3 2 2 3" xfId="29419"/>
    <cellStyle name="Normal 4 7 2 3 2 3" xfId="10073"/>
    <cellStyle name="Normal 4 7 2 3 2 3 2" xfId="22377"/>
    <cellStyle name="Normal 4 7 2 3 2 3 2 2" xfId="45236"/>
    <cellStyle name="Normal 4 7 2 3 2 3 3" xfId="32934"/>
    <cellStyle name="Normal 4 7 2 3 2 4" xfId="15347"/>
    <cellStyle name="Normal 4 7 2 3 2 4 2" xfId="38206"/>
    <cellStyle name="Normal 4 7 2 3 2 5" xfId="25904"/>
    <cellStyle name="Normal 4 7 2 3 3" xfId="4800"/>
    <cellStyle name="Normal 4 7 2 3 3 2" xfId="17104"/>
    <cellStyle name="Normal 4 7 2 3 3 2 2" xfId="39963"/>
    <cellStyle name="Normal 4 7 2 3 3 3" xfId="27661"/>
    <cellStyle name="Normal 4 7 2 3 4" xfId="8315"/>
    <cellStyle name="Normal 4 7 2 3 4 2" xfId="20619"/>
    <cellStyle name="Normal 4 7 2 3 4 2 2" xfId="43478"/>
    <cellStyle name="Normal 4 7 2 3 4 3" xfId="31176"/>
    <cellStyle name="Normal 4 7 2 3 5" xfId="11830"/>
    <cellStyle name="Normal 4 7 2 3 5 2" xfId="34690"/>
    <cellStyle name="Normal 4 7 2 3 6" xfId="13589"/>
    <cellStyle name="Normal 4 7 2 3 6 2" xfId="36448"/>
    <cellStyle name="Normal 4 7 2 3 7" xfId="24145"/>
    <cellStyle name="Normal 4 7 2 4" xfId="2165"/>
    <cellStyle name="Normal 4 7 2 4 2" xfId="5680"/>
    <cellStyle name="Normal 4 7 2 4 2 2" xfId="17984"/>
    <cellStyle name="Normal 4 7 2 4 2 2 2" xfId="40843"/>
    <cellStyle name="Normal 4 7 2 4 2 3" xfId="28541"/>
    <cellStyle name="Normal 4 7 2 4 3" xfId="9195"/>
    <cellStyle name="Normal 4 7 2 4 3 2" xfId="21499"/>
    <cellStyle name="Normal 4 7 2 4 3 2 2" xfId="44358"/>
    <cellStyle name="Normal 4 7 2 4 3 3" xfId="32056"/>
    <cellStyle name="Normal 4 7 2 4 4" xfId="14469"/>
    <cellStyle name="Normal 4 7 2 4 4 2" xfId="37328"/>
    <cellStyle name="Normal 4 7 2 4 5" xfId="25026"/>
    <cellStyle name="Normal 4 7 2 5" xfId="3922"/>
    <cellStyle name="Normal 4 7 2 5 2" xfId="16226"/>
    <cellStyle name="Normal 4 7 2 5 2 2" xfId="39085"/>
    <cellStyle name="Normal 4 7 2 5 3" xfId="26783"/>
    <cellStyle name="Normal 4 7 2 6" xfId="7437"/>
    <cellStyle name="Normal 4 7 2 6 2" xfId="19741"/>
    <cellStyle name="Normal 4 7 2 6 2 2" xfId="42600"/>
    <cellStyle name="Normal 4 7 2 6 3" xfId="30298"/>
    <cellStyle name="Normal 4 7 2 7" xfId="10952"/>
    <cellStyle name="Normal 4 7 2 7 2" xfId="33812"/>
    <cellStyle name="Normal 4 7 2 8" xfId="12711"/>
    <cellStyle name="Normal 4 7 2 8 2" xfId="35570"/>
    <cellStyle name="Normal 4 7 2 9" xfId="23266"/>
    <cellStyle name="Normal 4 7 3" xfId="630"/>
    <cellStyle name="Normal 4 7 3 2" xfId="1509"/>
    <cellStyle name="Normal 4 7 3 2 2" xfId="3270"/>
    <cellStyle name="Normal 4 7 3 2 2 2" xfId="6785"/>
    <cellStyle name="Normal 4 7 3 2 2 2 2" xfId="19089"/>
    <cellStyle name="Normal 4 7 3 2 2 2 2 2" xfId="41948"/>
    <cellStyle name="Normal 4 7 3 2 2 2 3" xfId="29646"/>
    <cellStyle name="Normal 4 7 3 2 2 3" xfId="10300"/>
    <cellStyle name="Normal 4 7 3 2 2 3 2" xfId="22604"/>
    <cellStyle name="Normal 4 7 3 2 2 3 2 2" xfId="45463"/>
    <cellStyle name="Normal 4 7 3 2 2 3 3" xfId="33161"/>
    <cellStyle name="Normal 4 7 3 2 2 4" xfId="15574"/>
    <cellStyle name="Normal 4 7 3 2 2 4 2" xfId="38433"/>
    <cellStyle name="Normal 4 7 3 2 2 5" xfId="26131"/>
    <cellStyle name="Normal 4 7 3 2 3" xfId="5027"/>
    <cellStyle name="Normal 4 7 3 2 3 2" xfId="17331"/>
    <cellStyle name="Normal 4 7 3 2 3 2 2" xfId="40190"/>
    <cellStyle name="Normal 4 7 3 2 3 3" xfId="27888"/>
    <cellStyle name="Normal 4 7 3 2 4" xfId="8542"/>
    <cellStyle name="Normal 4 7 3 2 4 2" xfId="20846"/>
    <cellStyle name="Normal 4 7 3 2 4 2 2" xfId="43705"/>
    <cellStyle name="Normal 4 7 3 2 4 3" xfId="31403"/>
    <cellStyle name="Normal 4 7 3 2 5" xfId="12057"/>
    <cellStyle name="Normal 4 7 3 2 5 2" xfId="34917"/>
    <cellStyle name="Normal 4 7 3 2 6" xfId="13816"/>
    <cellStyle name="Normal 4 7 3 2 6 2" xfId="36675"/>
    <cellStyle name="Normal 4 7 3 2 7" xfId="24372"/>
    <cellStyle name="Normal 4 7 3 3" xfId="2392"/>
    <cellStyle name="Normal 4 7 3 3 2" xfId="5907"/>
    <cellStyle name="Normal 4 7 3 3 2 2" xfId="18211"/>
    <cellStyle name="Normal 4 7 3 3 2 2 2" xfId="41070"/>
    <cellStyle name="Normal 4 7 3 3 2 3" xfId="28768"/>
    <cellStyle name="Normal 4 7 3 3 3" xfId="9422"/>
    <cellStyle name="Normal 4 7 3 3 3 2" xfId="21726"/>
    <cellStyle name="Normal 4 7 3 3 3 2 2" xfId="44585"/>
    <cellStyle name="Normal 4 7 3 3 3 3" xfId="32283"/>
    <cellStyle name="Normal 4 7 3 3 4" xfId="14696"/>
    <cellStyle name="Normal 4 7 3 3 4 2" xfId="37555"/>
    <cellStyle name="Normal 4 7 3 3 5" xfId="25253"/>
    <cellStyle name="Normal 4 7 3 4" xfId="4149"/>
    <cellStyle name="Normal 4 7 3 4 2" xfId="16453"/>
    <cellStyle name="Normal 4 7 3 4 2 2" xfId="39312"/>
    <cellStyle name="Normal 4 7 3 4 3" xfId="27010"/>
    <cellStyle name="Normal 4 7 3 5" xfId="7664"/>
    <cellStyle name="Normal 4 7 3 5 2" xfId="19968"/>
    <cellStyle name="Normal 4 7 3 5 2 2" xfId="42827"/>
    <cellStyle name="Normal 4 7 3 5 3" xfId="30525"/>
    <cellStyle name="Normal 4 7 3 6" xfId="11179"/>
    <cellStyle name="Normal 4 7 3 6 2" xfId="34039"/>
    <cellStyle name="Normal 4 7 3 7" xfId="12938"/>
    <cellStyle name="Normal 4 7 3 7 2" xfId="35797"/>
    <cellStyle name="Normal 4 7 3 8" xfId="23494"/>
    <cellStyle name="Normal 4 7 4" xfId="1070"/>
    <cellStyle name="Normal 4 7 4 2" xfId="2831"/>
    <cellStyle name="Normal 4 7 4 2 2" xfId="6346"/>
    <cellStyle name="Normal 4 7 4 2 2 2" xfId="18650"/>
    <cellStyle name="Normal 4 7 4 2 2 2 2" xfId="41509"/>
    <cellStyle name="Normal 4 7 4 2 2 3" xfId="29207"/>
    <cellStyle name="Normal 4 7 4 2 3" xfId="9861"/>
    <cellStyle name="Normal 4 7 4 2 3 2" xfId="22165"/>
    <cellStyle name="Normal 4 7 4 2 3 2 2" xfId="45024"/>
    <cellStyle name="Normal 4 7 4 2 3 3" xfId="32722"/>
    <cellStyle name="Normal 4 7 4 2 4" xfId="15135"/>
    <cellStyle name="Normal 4 7 4 2 4 2" xfId="37994"/>
    <cellStyle name="Normal 4 7 4 2 5" xfId="25692"/>
    <cellStyle name="Normal 4 7 4 3" xfId="4588"/>
    <cellStyle name="Normal 4 7 4 3 2" xfId="16892"/>
    <cellStyle name="Normal 4 7 4 3 2 2" xfId="39751"/>
    <cellStyle name="Normal 4 7 4 3 3" xfId="27449"/>
    <cellStyle name="Normal 4 7 4 4" xfId="8103"/>
    <cellStyle name="Normal 4 7 4 4 2" xfId="20407"/>
    <cellStyle name="Normal 4 7 4 4 2 2" xfId="43266"/>
    <cellStyle name="Normal 4 7 4 4 3" xfId="30964"/>
    <cellStyle name="Normal 4 7 4 5" xfId="11618"/>
    <cellStyle name="Normal 4 7 4 5 2" xfId="34478"/>
    <cellStyle name="Normal 4 7 4 6" xfId="13377"/>
    <cellStyle name="Normal 4 7 4 6 2" xfId="36236"/>
    <cellStyle name="Normal 4 7 4 7" xfId="23933"/>
    <cellStyle name="Normal 4 7 5" xfId="1953"/>
    <cellStyle name="Normal 4 7 5 2" xfId="5468"/>
    <cellStyle name="Normal 4 7 5 2 2" xfId="17772"/>
    <cellStyle name="Normal 4 7 5 2 2 2" xfId="40631"/>
    <cellStyle name="Normal 4 7 5 2 3" xfId="28329"/>
    <cellStyle name="Normal 4 7 5 3" xfId="8983"/>
    <cellStyle name="Normal 4 7 5 3 2" xfId="21287"/>
    <cellStyle name="Normal 4 7 5 3 2 2" xfId="44146"/>
    <cellStyle name="Normal 4 7 5 3 3" xfId="31844"/>
    <cellStyle name="Normal 4 7 5 4" xfId="14257"/>
    <cellStyle name="Normal 4 7 5 4 2" xfId="37116"/>
    <cellStyle name="Normal 4 7 5 5" xfId="24814"/>
    <cellStyle name="Normal 4 7 6" xfId="3710"/>
    <cellStyle name="Normal 4 7 6 2" xfId="16014"/>
    <cellStyle name="Normal 4 7 6 2 2" xfId="38873"/>
    <cellStyle name="Normal 4 7 6 3" xfId="26571"/>
    <cellStyle name="Normal 4 7 7" xfId="7225"/>
    <cellStyle name="Normal 4 7 7 2" xfId="19529"/>
    <cellStyle name="Normal 4 7 7 2 2" xfId="42388"/>
    <cellStyle name="Normal 4 7 7 3" xfId="30086"/>
    <cellStyle name="Normal 4 7 8" xfId="10740"/>
    <cellStyle name="Normal 4 7 8 2" xfId="33600"/>
    <cellStyle name="Normal 4 7 9" xfId="12499"/>
    <cellStyle name="Normal 4 7 9 2" xfId="35358"/>
    <cellStyle name="Normal 4 8" xfId="295"/>
    <cellStyle name="Normal 4 8 2" xfId="736"/>
    <cellStyle name="Normal 4 8 2 2" xfId="1615"/>
    <cellStyle name="Normal 4 8 2 2 2" xfId="3376"/>
    <cellStyle name="Normal 4 8 2 2 2 2" xfId="6891"/>
    <cellStyle name="Normal 4 8 2 2 2 2 2" xfId="19195"/>
    <cellStyle name="Normal 4 8 2 2 2 2 2 2" xfId="42054"/>
    <cellStyle name="Normal 4 8 2 2 2 2 3" xfId="29752"/>
    <cellStyle name="Normal 4 8 2 2 2 3" xfId="10406"/>
    <cellStyle name="Normal 4 8 2 2 2 3 2" xfId="22710"/>
    <cellStyle name="Normal 4 8 2 2 2 3 2 2" xfId="45569"/>
    <cellStyle name="Normal 4 8 2 2 2 3 3" xfId="33267"/>
    <cellStyle name="Normal 4 8 2 2 2 4" xfId="15680"/>
    <cellStyle name="Normal 4 8 2 2 2 4 2" xfId="38539"/>
    <cellStyle name="Normal 4 8 2 2 2 5" xfId="26237"/>
    <cellStyle name="Normal 4 8 2 2 3" xfId="5133"/>
    <cellStyle name="Normal 4 8 2 2 3 2" xfId="17437"/>
    <cellStyle name="Normal 4 8 2 2 3 2 2" xfId="40296"/>
    <cellStyle name="Normal 4 8 2 2 3 3" xfId="27994"/>
    <cellStyle name="Normal 4 8 2 2 4" xfId="8648"/>
    <cellStyle name="Normal 4 8 2 2 4 2" xfId="20952"/>
    <cellStyle name="Normal 4 8 2 2 4 2 2" xfId="43811"/>
    <cellStyle name="Normal 4 8 2 2 4 3" xfId="31509"/>
    <cellStyle name="Normal 4 8 2 2 5" xfId="12163"/>
    <cellStyle name="Normal 4 8 2 2 5 2" xfId="35023"/>
    <cellStyle name="Normal 4 8 2 2 6" xfId="13922"/>
    <cellStyle name="Normal 4 8 2 2 6 2" xfId="36781"/>
    <cellStyle name="Normal 4 8 2 2 7" xfId="24478"/>
    <cellStyle name="Normal 4 8 2 3" xfId="2498"/>
    <cellStyle name="Normal 4 8 2 3 2" xfId="6013"/>
    <cellStyle name="Normal 4 8 2 3 2 2" xfId="18317"/>
    <cellStyle name="Normal 4 8 2 3 2 2 2" xfId="41176"/>
    <cellStyle name="Normal 4 8 2 3 2 3" xfId="28874"/>
    <cellStyle name="Normal 4 8 2 3 3" xfId="9528"/>
    <cellStyle name="Normal 4 8 2 3 3 2" xfId="21832"/>
    <cellStyle name="Normal 4 8 2 3 3 2 2" xfId="44691"/>
    <cellStyle name="Normal 4 8 2 3 3 3" xfId="32389"/>
    <cellStyle name="Normal 4 8 2 3 4" xfId="14802"/>
    <cellStyle name="Normal 4 8 2 3 4 2" xfId="37661"/>
    <cellStyle name="Normal 4 8 2 3 5" xfId="25359"/>
    <cellStyle name="Normal 4 8 2 4" xfId="4255"/>
    <cellStyle name="Normal 4 8 2 4 2" xfId="16559"/>
    <cellStyle name="Normal 4 8 2 4 2 2" xfId="39418"/>
    <cellStyle name="Normal 4 8 2 4 3" xfId="27116"/>
    <cellStyle name="Normal 4 8 2 5" xfId="7770"/>
    <cellStyle name="Normal 4 8 2 5 2" xfId="20074"/>
    <cellStyle name="Normal 4 8 2 5 2 2" xfId="42933"/>
    <cellStyle name="Normal 4 8 2 5 3" xfId="30631"/>
    <cellStyle name="Normal 4 8 2 6" xfId="11285"/>
    <cellStyle name="Normal 4 8 2 6 2" xfId="34145"/>
    <cellStyle name="Normal 4 8 2 7" xfId="13044"/>
    <cellStyle name="Normal 4 8 2 7 2" xfId="35903"/>
    <cellStyle name="Normal 4 8 2 8" xfId="23600"/>
    <cellStyle name="Normal 4 8 3" xfId="1176"/>
    <cellStyle name="Normal 4 8 3 2" xfId="2937"/>
    <cellStyle name="Normal 4 8 3 2 2" xfId="6452"/>
    <cellStyle name="Normal 4 8 3 2 2 2" xfId="18756"/>
    <cellStyle name="Normal 4 8 3 2 2 2 2" xfId="41615"/>
    <cellStyle name="Normal 4 8 3 2 2 3" xfId="29313"/>
    <cellStyle name="Normal 4 8 3 2 3" xfId="9967"/>
    <cellStyle name="Normal 4 8 3 2 3 2" xfId="22271"/>
    <cellStyle name="Normal 4 8 3 2 3 2 2" xfId="45130"/>
    <cellStyle name="Normal 4 8 3 2 3 3" xfId="32828"/>
    <cellStyle name="Normal 4 8 3 2 4" xfId="15241"/>
    <cellStyle name="Normal 4 8 3 2 4 2" xfId="38100"/>
    <cellStyle name="Normal 4 8 3 2 5" xfId="25798"/>
    <cellStyle name="Normal 4 8 3 3" xfId="4694"/>
    <cellStyle name="Normal 4 8 3 3 2" xfId="16998"/>
    <cellStyle name="Normal 4 8 3 3 2 2" xfId="39857"/>
    <cellStyle name="Normal 4 8 3 3 3" xfId="27555"/>
    <cellStyle name="Normal 4 8 3 4" xfId="8209"/>
    <cellStyle name="Normal 4 8 3 4 2" xfId="20513"/>
    <cellStyle name="Normal 4 8 3 4 2 2" xfId="43372"/>
    <cellStyle name="Normal 4 8 3 4 3" xfId="31070"/>
    <cellStyle name="Normal 4 8 3 5" xfId="11724"/>
    <cellStyle name="Normal 4 8 3 5 2" xfId="34584"/>
    <cellStyle name="Normal 4 8 3 6" xfId="13483"/>
    <cellStyle name="Normal 4 8 3 6 2" xfId="36342"/>
    <cellStyle name="Normal 4 8 3 7" xfId="24039"/>
    <cellStyle name="Normal 4 8 4" xfId="2059"/>
    <cellStyle name="Normal 4 8 4 2" xfId="5574"/>
    <cellStyle name="Normal 4 8 4 2 2" xfId="17878"/>
    <cellStyle name="Normal 4 8 4 2 2 2" xfId="40737"/>
    <cellStyle name="Normal 4 8 4 2 3" xfId="28435"/>
    <cellStyle name="Normal 4 8 4 3" xfId="9089"/>
    <cellStyle name="Normal 4 8 4 3 2" xfId="21393"/>
    <cellStyle name="Normal 4 8 4 3 2 2" xfId="44252"/>
    <cellStyle name="Normal 4 8 4 3 3" xfId="31950"/>
    <cellStyle name="Normal 4 8 4 4" xfId="14363"/>
    <cellStyle name="Normal 4 8 4 4 2" xfId="37222"/>
    <cellStyle name="Normal 4 8 4 5" xfId="24920"/>
    <cellStyle name="Normal 4 8 5" xfId="3816"/>
    <cellStyle name="Normal 4 8 5 2" xfId="16120"/>
    <cellStyle name="Normal 4 8 5 2 2" xfId="38979"/>
    <cellStyle name="Normal 4 8 5 3" xfId="26677"/>
    <cellStyle name="Normal 4 8 6" xfId="7331"/>
    <cellStyle name="Normal 4 8 6 2" xfId="19635"/>
    <cellStyle name="Normal 4 8 6 2 2" xfId="42494"/>
    <cellStyle name="Normal 4 8 6 3" xfId="30192"/>
    <cellStyle name="Normal 4 8 7" xfId="10846"/>
    <cellStyle name="Normal 4 8 7 2" xfId="33706"/>
    <cellStyle name="Normal 4 8 8" xfId="12605"/>
    <cellStyle name="Normal 4 8 8 2" xfId="35464"/>
    <cellStyle name="Normal 4 8 9" xfId="23160"/>
    <cellStyle name="Normal 4 9" xfId="536"/>
    <cellStyle name="Normal 4 9 2" xfId="1415"/>
    <cellStyle name="Normal 4 9 2 2" xfId="3176"/>
    <cellStyle name="Normal 4 9 2 2 2" xfId="6691"/>
    <cellStyle name="Normal 4 9 2 2 2 2" xfId="18995"/>
    <cellStyle name="Normal 4 9 2 2 2 2 2" xfId="41854"/>
    <cellStyle name="Normal 4 9 2 2 2 3" xfId="29552"/>
    <cellStyle name="Normal 4 9 2 2 3" xfId="10206"/>
    <cellStyle name="Normal 4 9 2 2 3 2" xfId="22510"/>
    <cellStyle name="Normal 4 9 2 2 3 2 2" xfId="45369"/>
    <cellStyle name="Normal 4 9 2 2 3 3" xfId="33067"/>
    <cellStyle name="Normal 4 9 2 2 4" xfId="15480"/>
    <cellStyle name="Normal 4 9 2 2 4 2" xfId="38339"/>
    <cellStyle name="Normal 4 9 2 2 5" xfId="26037"/>
    <cellStyle name="Normal 4 9 2 3" xfId="4933"/>
    <cellStyle name="Normal 4 9 2 3 2" xfId="17237"/>
    <cellStyle name="Normal 4 9 2 3 2 2" xfId="40096"/>
    <cellStyle name="Normal 4 9 2 3 3" xfId="27794"/>
    <cellStyle name="Normal 4 9 2 4" xfId="8448"/>
    <cellStyle name="Normal 4 9 2 4 2" xfId="20752"/>
    <cellStyle name="Normal 4 9 2 4 2 2" xfId="43611"/>
    <cellStyle name="Normal 4 9 2 4 3" xfId="31309"/>
    <cellStyle name="Normal 4 9 2 5" xfId="11963"/>
    <cellStyle name="Normal 4 9 2 5 2" xfId="34823"/>
    <cellStyle name="Normal 4 9 2 6" xfId="13722"/>
    <cellStyle name="Normal 4 9 2 6 2" xfId="36581"/>
    <cellStyle name="Normal 4 9 2 7" xfId="24278"/>
    <cellStyle name="Normal 4 9 3" xfId="2298"/>
    <cellStyle name="Normal 4 9 3 2" xfId="5813"/>
    <cellStyle name="Normal 4 9 3 2 2" xfId="18117"/>
    <cellStyle name="Normal 4 9 3 2 2 2" xfId="40976"/>
    <cellStyle name="Normal 4 9 3 2 3" xfId="28674"/>
    <cellStyle name="Normal 4 9 3 3" xfId="9328"/>
    <cellStyle name="Normal 4 9 3 3 2" xfId="21632"/>
    <cellStyle name="Normal 4 9 3 3 2 2" xfId="44491"/>
    <cellStyle name="Normal 4 9 3 3 3" xfId="32189"/>
    <cellStyle name="Normal 4 9 3 4" xfId="14602"/>
    <cellStyle name="Normal 4 9 3 4 2" xfId="37461"/>
    <cellStyle name="Normal 4 9 3 5" xfId="25159"/>
    <cellStyle name="Normal 4 9 4" xfId="4055"/>
    <cellStyle name="Normal 4 9 4 2" xfId="16359"/>
    <cellStyle name="Normal 4 9 4 2 2" xfId="39218"/>
    <cellStyle name="Normal 4 9 4 3" xfId="26916"/>
    <cellStyle name="Normal 4 9 5" xfId="7570"/>
    <cellStyle name="Normal 4 9 5 2" xfId="19874"/>
    <cellStyle name="Normal 4 9 5 2 2" xfId="42733"/>
    <cellStyle name="Normal 4 9 5 3" xfId="30431"/>
    <cellStyle name="Normal 4 9 6" xfId="11085"/>
    <cellStyle name="Normal 4 9 6 2" xfId="33945"/>
    <cellStyle name="Normal 4 9 7" xfId="12844"/>
    <cellStyle name="Normal 4 9 7 2" xfId="35703"/>
    <cellStyle name="Normal 4 9 8" xfId="23400"/>
    <cellStyle name="Normal 5" xfId="44"/>
    <cellStyle name="Normal 6" xfId="45"/>
    <cellStyle name="Normal 6 10" xfId="3607"/>
    <cellStyle name="Normal 6 10 2" xfId="15911"/>
    <cellStyle name="Normal 6 10 2 2" xfId="38770"/>
    <cellStyle name="Normal 6 10 3" xfId="26468"/>
    <cellStyle name="Normal 6 11" xfId="7122"/>
    <cellStyle name="Normal 6 11 2" xfId="19426"/>
    <cellStyle name="Normal 6 11 2 2" xfId="42285"/>
    <cellStyle name="Normal 6 11 3" xfId="29983"/>
    <cellStyle name="Normal 6 12" xfId="10637"/>
    <cellStyle name="Normal 6 12 2" xfId="33498"/>
    <cellStyle name="Normal 6 13" xfId="12408"/>
    <cellStyle name="Normal 6 13 2" xfId="35267"/>
    <cellStyle name="Normal 6 14" xfId="22949"/>
    <cellStyle name="Normal 6 2" xfId="102"/>
    <cellStyle name="Normal 6 2 10" xfId="7142"/>
    <cellStyle name="Normal 6 2 10 2" xfId="19446"/>
    <cellStyle name="Normal 6 2 10 2 2" xfId="42305"/>
    <cellStyle name="Normal 6 2 10 3" xfId="30003"/>
    <cellStyle name="Normal 6 2 11" xfId="10657"/>
    <cellStyle name="Normal 6 2 11 2" xfId="33517"/>
    <cellStyle name="Normal 6 2 12" xfId="12416"/>
    <cellStyle name="Normal 6 2 12 2" xfId="35275"/>
    <cellStyle name="Normal 6 2 13" xfId="22969"/>
    <cellStyle name="Normal 6 2 2" xfId="130"/>
    <cellStyle name="Normal 6 2 2 10" xfId="10683"/>
    <cellStyle name="Normal 6 2 2 10 2" xfId="33543"/>
    <cellStyle name="Normal 6 2 2 11" xfId="12442"/>
    <cellStyle name="Normal 6 2 2 11 2" xfId="35301"/>
    <cellStyle name="Normal 6 2 2 12" xfId="22996"/>
    <cellStyle name="Normal 6 2 2 2" xfId="184"/>
    <cellStyle name="Normal 6 2 2 2 10" xfId="12496"/>
    <cellStyle name="Normal 6 2 2 2 10 2" xfId="35355"/>
    <cellStyle name="Normal 6 2 2 2 11" xfId="23050"/>
    <cellStyle name="Normal 6 2 2 2 2" xfId="292"/>
    <cellStyle name="Normal 6 2 2 2 2 10" xfId="23157"/>
    <cellStyle name="Normal 6 2 2 2 2 2" xfId="504"/>
    <cellStyle name="Normal 6 2 2 2 2 2 2" xfId="945"/>
    <cellStyle name="Normal 6 2 2 2 2 2 2 2" xfId="1824"/>
    <cellStyle name="Normal 6 2 2 2 2 2 2 2 2" xfId="3585"/>
    <cellStyle name="Normal 6 2 2 2 2 2 2 2 2 2" xfId="7100"/>
    <cellStyle name="Normal 6 2 2 2 2 2 2 2 2 2 2" xfId="19404"/>
    <cellStyle name="Normal 6 2 2 2 2 2 2 2 2 2 2 2" xfId="42263"/>
    <cellStyle name="Normal 6 2 2 2 2 2 2 2 2 2 3" xfId="29961"/>
    <cellStyle name="Normal 6 2 2 2 2 2 2 2 2 3" xfId="10615"/>
    <cellStyle name="Normal 6 2 2 2 2 2 2 2 2 3 2" xfId="22919"/>
    <cellStyle name="Normal 6 2 2 2 2 2 2 2 2 3 2 2" xfId="45778"/>
    <cellStyle name="Normal 6 2 2 2 2 2 2 2 2 3 3" xfId="33476"/>
    <cellStyle name="Normal 6 2 2 2 2 2 2 2 2 4" xfId="15889"/>
    <cellStyle name="Normal 6 2 2 2 2 2 2 2 2 4 2" xfId="38748"/>
    <cellStyle name="Normal 6 2 2 2 2 2 2 2 2 5" xfId="26446"/>
    <cellStyle name="Normal 6 2 2 2 2 2 2 2 3" xfId="5342"/>
    <cellStyle name="Normal 6 2 2 2 2 2 2 2 3 2" xfId="17646"/>
    <cellStyle name="Normal 6 2 2 2 2 2 2 2 3 2 2" xfId="40505"/>
    <cellStyle name="Normal 6 2 2 2 2 2 2 2 3 3" xfId="28203"/>
    <cellStyle name="Normal 6 2 2 2 2 2 2 2 4" xfId="8857"/>
    <cellStyle name="Normal 6 2 2 2 2 2 2 2 4 2" xfId="21161"/>
    <cellStyle name="Normal 6 2 2 2 2 2 2 2 4 2 2" xfId="44020"/>
    <cellStyle name="Normal 6 2 2 2 2 2 2 2 4 3" xfId="31718"/>
    <cellStyle name="Normal 6 2 2 2 2 2 2 2 5" xfId="12372"/>
    <cellStyle name="Normal 6 2 2 2 2 2 2 2 5 2" xfId="35232"/>
    <cellStyle name="Normal 6 2 2 2 2 2 2 2 6" xfId="14131"/>
    <cellStyle name="Normal 6 2 2 2 2 2 2 2 6 2" xfId="36990"/>
    <cellStyle name="Normal 6 2 2 2 2 2 2 2 7" xfId="24687"/>
    <cellStyle name="Normal 6 2 2 2 2 2 2 3" xfId="2707"/>
    <cellStyle name="Normal 6 2 2 2 2 2 2 3 2" xfId="6222"/>
    <cellStyle name="Normal 6 2 2 2 2 2 2 3 2 2" xfId="18526"/>
    <cellStyle name="Normal 6 2 2 2 2 2 2 3 2 2 2" xfId="41385"/>
    <cellStyle name="Normal 6 2 2 2 2 2 2 3 2 3" xfId="29083"/>
    <cellStyle name="Normal 6 2 2 2 2 2 2 3 3" xfId="9737"/>
    <cellStyle name="Normal 6 2 2 2 2 2 2 3 3 2" xfId="22041"/>
    <cellStyle name="Normal 6 2 2 2 2 2 2 3 3 2 2" xfId="44900"/>
    <cellStyle name="Normal 6 2 2 2 2 2 2 3 3 3" xfId="32598"/>
    <cellStyle name="Normal 6 2 2 2 2 2 2 3 4" xfId="15011"/>
    <cellStyle name="Normal 6 2 2 2 2 2 2 3 4 2" xfId="37870"/>
    <cellStyle name="Normal 6 2 2 2 2 2 2 3 5" xfId="25568"/>
    <cellStyle name="Normal 6 2 2 2 2 2 2 4" xfId="4464"/>
    <cellStyle name="Normal 6 2 2 2 2 2 2 4 2" xfId="16768"/>
    <cellStyle name="Normal 6 2 2 2 2 2 2 4 2 2" xfId="39627"/>
    <cellStyle name="Normal 6 2 2 2 2 2 2 4 3" xfId="27325"/>
    <cellStyle name="Normal 6 2 2 2 2 2 2 5" xfId="7979"/>
    <cellStyle name="Normal 6 2 2 2 2 2 2 5 2" xfId="20283"/>
    <cellStyle name="Normal 6 2 2 2 2 2 2 5 2 2" xfId="43142"/>
    <cellStyle name="Normal 6 2 2 2 2 2 2 5 3" xfId="30840"/>
    <cellStyle name="Normal 6 2 2 2 2 2 2 6" xfId="11494"/>
    <cellStyle name="Normal 6 2 2 2 2 2 2 6 2" xfId="34354"/>
    <cellStyle name="Normal 6 2 2 2 2 2 2 7" xfId="13253"/>
    <cellStyle name="Normal 6 2 2 2 2 2 2 7 2" xfId="36112"/>
    <cellStyle name="Normal 6 2 2 2 2 2 2 8" xfId="23809"/>
    <cellStyle name="Normal 6 2 2 2 2 2 3" xfId="1385"/>
    <cellStyle name="Normal 6 2 2 2 2 2 3 2" xfId="3146"/>
    <cellStyle name="Normal 6 2 2 2 2 2 3 2 2" xfId="6661"/>
    <cellStyle name="Normal 6 2 2 2 2 2 3 2 2 2" xfId="18965"/>
    <cellStyle name="Normal 6 2 2 2 2 2 3 2 2 2 2" xfId="41824"/>
    <cellStyle name="Normal 6 2 2 2 2 2 3 2 2 3" xfId="29522"/>
    <cellStyle name="Normal 6 2 2 2 2 2 3 2 3" xfId="10176"/>
    <cellStyle name="Normal 6 2 2 2 2 2 3 2 3 2" xfId="22480"/>
    <cellStyle name="Normal 6 2 2 2 2 2 3 2 3 2 2" xfId="45339"/>
    <cellStyle name="Normal 6 2 2 2 2 2 3 2 3 3" xfId="33037"/>
    <cellStyle name="Normal 6 2 2 2 2 2 3 2 4" xfId="15450"/>
    <cellStyle name="Normal 6 2 2 2 2 2 3 2 4 2" xfId="38309"/>
    <cellStyle name="Normal 6 2 2 2 2 2 3 2 5" xfId="26007"/>
    <cellStyle name="Normal 6 2 2 2 2 2 3 3" xfId="4903"/>
    <cellStyle name="Normal 6 2 2 2 2 2 3 3 2" xfId="17207"/>
    <cellStyle name="Normal 6 2 2 2 2 2 3 3 2 2" xfId="40066"/>
    <cellStyle name="Normal 6 2 2 2 2 2 3 3 3" xfId="27764"/>
    <cellStyle name="Normal 6 2 2 2 2 2 3 4" xfId="8418"/>
    <cellStyle name="Normal 6 2 2 2 2 2 3 4 2" xfId="20722"/>
    <cellStyle name="Normal 6 2 2 2 2 2 3 4 2 2" xfId="43581"/>
    <cellStyle name="Normal 6 2 2 2 2 2 3 4 3" xfId="31279"/>
    <cellStyle name="Normal 6 2 2 2 2 2 3 5" xfId="11933"/>
    <cellStyle name="Normal 6 2 2 2 2 2 3 5 2" xfId="34793"/>
    <cellStyle name="Normal 6 2 2 2 2 2 3 6" xfId="13692"/>
    <cellStyle name="Normal 6 2 2 2 2 2 3 6 2" xfId="36551"/>
    <cellStyle name="Normal 6 2 2 2 2 2 3 7" xfId="24248"/>
    <cellStyle name="Normal 6 2 2 2 2 2 4" xfId="2268"/>
    <cellStyle name="Normal 6 2 2 2 2 2 4 2" xfId="5783"/>
    <cellStyle name="Normal 6 2 2 2 2 2 4 2 2" xfId="18087"/>
    <cellStyle name="Normal 6 2 2 2 2 2 4 2 2 2" xfId="40946"/>
    <cellStyle name="Normal 6 2 2 2 2 2 4 2 3" xfId="28644"/>
    <cellStyle name="Normal 6 2 2 2 2 2 4 3" xfId="9298"/>
    <cellStyle name="Normal 6 2 2 2 2 2 4 3 2" xfId="21602"/>
    <cellStyle name="Normal 6 2 2 2 2 2 4 3 2 2" xfId="44461"/>
    <cellStyle name="Normal 6 2 2 2 2 2 4 3 3" xfId="32159"/>
    <cellStyle name="Normal 6 2 2 2 2 2 4 4" xfId="14572"/>
    <cellStyle name="Normal 6 2 2 2 2 2 4 4 2" xfId="37431"/>
    <cellStyle name="Normal 6 2 2 2 2 2 4 5" xfId="25129"/>
    <cellStyle name="Normal 6 2 2 2 2 2 5" xfId="4025"/>
    <cellStyle name="Normal 6 2 2 2 2 2 5 2" xfId="16329"/>
    <cellStyle name="Normal 6 2 2 2 2 2 5 2 2" xfId="39188"/>
    <cellStyle name="Normal 6 2 2 2 2 2 5 3" xfId="26886"/>
    <cellStyle name="Normal 6 2 2 2 2 2 6" xfId="7540"/>
    <cellStyle name="Normal 6 2 2 2 2 2 6 2" xfId="19844"/>
    <cellStyle name="Normal 6 2 2 2 2 2 6 2 2" xfId="42703"/>
    <cellStyle name="Normal 6 2 2 2 2 2 6 3" xfId="30401"/>
    <cellStyle name="Normal 6 2 2 2 2 2 7" xfId="11055"/>
    <cellStyle name="Normal 6 2 2 2 2 2 7 2" xfId="33915"/>
    <cellStyle name="Normal 6 2 2 2 2 2 8" xfId="12814"/>
    <cellStyle name="Normal 6 2 2 2 2 2 8 2" xfId="35673"/>
    <cellStyle name="Normal 6 2 2 2 2 2 9" xfId="23369"/>
    <cellStyle name="Normal 6 2 2 2 2 3" xfId="733"/>
    <cellStyle name="Normal 6 2 2 2 2 3 2" xfId="1612"/>
    <cellStyle name="Normal 6 2 2 2 2 3 2 2" xfId="3373"/>
    <cellStyle name="Normal 6 2 2 2 2 3 2 2 2" xfId="6888"/>
    <cellStyle name="Normal 6 2 2 2 2 3 2 2 2 2" xfId="19192"/>
    <cellStyle name="Normal 6 2 2 2 2 3 2 2 2 2 2" xfId="42051"/>
    <cellStyle name="Normal 6 2 2 2 2 3 2 2 2 3" xfId="29749"/>
    <cellStyle name="Normal 6 2 2 2 2 3 2 2 3" xfId="10403"/>
    <cellStyle name="Normal 6 2 2 2 2 3 2 2 3 2" xfId="22707"/>
    <cellStyle name="Normal 6 2 2 2 2 3 2 2 3 2 2" xfId="45566"/>
    <cellStyle name="Normal 6 2 2 2 2 3 2 2 3 3" xfId="33264"/>
    <cellStyle name="Normal 6 2 2 2 2 3 2 2 4" xfId="15677"/>
    <cellStyle name="Normal 6 2 2 2 2 3 2 2 4 2" xfId="38536"/>
    <cellStyle name="Normal 6 2 2 2 2 3 2 2 5" xfId="26234"/>
    <cellStyle name="Normal 6 2 2 2 2 3 2 3" xfId="5130"/>
    <cellStyle name="Normal 6 2 2 2 2 3 2 3 2" xfId="17434"/>
    <cellStyle name="Normal 6 2 2 2 2 3 2 3 2 2" xfId="40293"/>
    <cellStyle name="Normal 6 2 2 2 2 3 2 3 3" xfId="27991"/>
    <cellStyle name="Normal 6 2 2 2 2 3 2 4" xfId="8645"/>
    <cellStyle name="Normal 6 2 2 2 2 3 2 4 2" xfId="20949"/>
    <cellStyle name="Normal 6 2 2 2 2 3 2 4 2 2" xfId="43808"/>
    <cellStyle name="Normal 6 2 2 2 2 3 2 4 3" xfId="31506"/>
    <cellStyle name="Normal 6 2 2 2 2 3 2 5" xfId="12160"/>
    <cellStyle name="Normal 6 2 2 2 2 3 2 5 2" xfId="35020"/>
    <cellStyle name="Normal 6 2 2 2 2 3 2 6" xfId="13919"/>
    <cellStyle name="Normal 6 2 2 2 2 3 2 6 2" xfId="36778"/>
    <cellStyle name="Normal 6 2 2 2 2 3 2 7" xfId="24475"/>
    <cellStyle name="Normal 6 2 2 2 2 3 3" xfId="2495"/>
    <cellStyle name="Normal 6 2 2 2 2 3 3 2" xfId="6010"/>
    <cellStyle name="Normal 6 2 2 2 2 3 3 2 2" xfId="18314"/>
    <cellStyle name="Normal 6 2 2 2 2 3 3 2 2 2" xfId="41173"/>
    <cellStyle name="Normal 6 2 2 2 2 3 3 2 3" xfId="28871"/>
    <cellStyle name="Normal 6 2 2 2 2 3 3 3" xfId="9525"/>
    <cellStyle name="Normal 6 2 2 2 2 3 3 3 2" xfId="21829"/>
    <cellStyle name="Normal 6 2 2 2 2 3 3 3 2 2" xfId="44688"/>
    <cellStyle name="Normal 6 2 2 2 2 3 3 3 3" xfId="32386"/>
    <cellStyle name="Normal 6 2 2 2 2 3 3 4" xfId="14799"/>
    <cellStyle name="Normal 6 2 2 2 2 3 3 4 2" xfId="37658"/>
    <cellStyle name="Normal 6 2 2 2 2 3 3 5" xfId="25356"/>
    <cellStyle name="Normal 6 2 2 2 2 3 4" xfId="4252"/>
    <cellStyle name="Normal 6 2 2 2 2 3 4 2" xfId="16556"/>
    <cellStyle name="Normal 6 2 2 2 2 3 4 2 2" xfId="39415"/>
    <cellStyle name="Normal 6 2 2 2 2 3 4 3" xfId="27113"/>
    <cellStyle name="Normal 6 2 2 2 2 3 5" xfId="7767"/>
    <cellStyle name="Normal 6 2 2 2 2 3 5 2" xfId="20071"/>
    <cellStyle name="Normal 6 2 2 2 2 3 5 2 2" xfId="42930"/>
    <cellStyle name="Normal 6 2 2 2 2 3 5 3" xfId="30628"/>
    <cellStyle name="Normal 6 2 2 2 2 3 6" xfId="11282"/>
    <cellStyle name="Normal 6 2 2 2 2 3 6 2" xfId="34142"/>
    <cellStyle name="Normal 6 2 2 2 2 3 7" xfId="13041"/>
    <cellStyle name="Normal 6 2 2 2 2 3 7 2" xfId="35900"/>
    <cellStyle name="Normal 6 2 2 2 2 3 8" xfId="23597"/>
    <cellStyle name="Normal 6 2 2 2 2 4" xfId="1173"/>
    <cellStyle name="Normal 6 2 2 2 2 4 2" xfId="2934"/>
    <cellStyle name="Normal 6 2 2 2 2 4 2 2" xfId="6449"/>
    <cellStyle name="Normal 6 2 2 2 2 4 2 2 2" xfId="18753"/>
    <cellStyle name="Normal 6 2 2 2 2 4 2 2 2 2" xfId="41612"/>
    <cellStyle name="Normal 6 2 2 2 2 4 2 2 3" xfId="29310"/>
    <cellStyle name="Normal 6 2 2 2 2 4 2 3" xfId="9964"/>
    <cellStyle name="Normal 6 2 2 2 2 4 2 3 2" xfId="22268"/>
    <cellStyle name="Normal 6 2 2 2 2 4 2 3 2 2" xfId="45127"/>
    <cellStyle name="Normal 6 2 2 2 2 4 2 3 3" xfId="32825"/>
    <cellStyle name="Normal 6 2 2 2 2 4 2 4" xfId="15238"/>
    <cellStyle name="Normal 6 2 2 2 2 4 2 4 2" xfId="38097"/>
    <cellStyle name="Normal 6 2 2 2 2 4 2 5" xfId="25795"/>
    <cellStyle name="Normal 6 2 2 2 2 4 3" xfId="4691"/>
    <cellStyle name="Normal 6 2 2 2 2 4 3 2" xfId="16995"/>
    <cellStyle name="Normal 6 2 2 2 2 4 3 2 2" xfId="39854"/>
    <cellStyle name="Normal 6 2 2 2 2 4 3 3" xfId="27552"/>
    <cellStyle name="Normal 6 2 2 2 2 4 4" xfId="8206"/>
    <cellStyle name="Normal 6 2 2 2 2 4 4 2" xfId="20510"/>
    <cellStyle name="Normal 6 2 2 2 2 4 4 2 2" xfId="43369"/>
    <cellStyle name="Normal 6 2 2 2 2 4 4 3" xfId="31067"/>
    <cellStyle name="Normal 6 2 2 2 2 4 5" xfId="11721"/>
    <cellStyle name="Normal 6 2 2 2 2 4 5 2" xfId="34581"/>
    <cellStyle name="Normal 6 2 2 2 2 4 6" xfId="13480"/>
    <cellStyle name="Normal 6 2 2 2 2 4 6 2" xfId="36339"/>
    <cellStyle name="Normal 6 2 2 2 2 4 7" xfId="24036"/>
    <cellStyle name="Normal 6 2 2 2 2 5" xfId="2056"/>
    <cellStyle name="Normal 6 2 2 2 2 5 2" xfId="5571"/>
    <cellStyle name="Normal 6 2 2 2 2 5 2 2" xfId="17875"/>
    <cellStyle name="Normal 6 2 2 2 2 5 2 2 2" xfId="40734"/>
    <cellStyle name="Normal 6 2 2 2 2 5 2 3" xfId="28432"/>
    <cellStyle name="Normal 6 2 2 2 2 5 3" xfId="9086"/>
    <cellStyle name="Normal 6 2 2 2 2 5 3 2" xfId="21390"/>
    <cellStyle name="Normal 6 2 2 2 2 5 3 2 2" xfId="44249"/>
    <cellStyle name="Normal 6 2 2 2 2 5 3 3" xfId="31947"/>
    <cellStyle name="Normal 6 2 2 2 2 5 4" xfId="14360"/>
    <cellStyle name="Normal 6 2 2 2 2 5 4 2" xfId="37219"/>
    <cellStyle name="Normal 6 2 2 2 2 5 5" xfId="24917"/>
    <cellStyle name="Normal 6 2 2 2 2 6" xfId="3813"/>
    <cellStyle name="Normal 6 2 2 2 2 6 2" xfId="16117"/>
    <cellStyle name="Normal 6 2 2 2 2 6 2 2" xfId="38976"/>
    <cellStyle name="Normal 6 2 2 2 2 6 3" xfId="26674"/>
    <cellStyle name="Normal 6 2 2 2 2 7" xfId="7328"/>
    <cellStyle name="Normal 6 2 2 2 2 7 2" xfId="19632"/>
    <cellStyle name="Normal 6 2 2 2 2 7 2 2" xfId="42491"/>
    <cellStyle name="Normal 6 2 2 2 2 7 3" xfId="30189"/>
    <cellStyle name="Normal 6 2 2 2 2 8" xfId="10843"/>
    <cellStyle name="Normal 6 2 2 2 2 8 2" xfId="33703"/>
    <cellStyle name="Normal 6 2 2 2 2 9" xfId="12602"/>
    <cellStyle name="Normal 6 2 2 2 2 9 2" xfId="35461"/>
    <cellStyle name="Normal 6 2 2 2 3" xfId="398"/>
    <cellStyle name="Normal 6 2 2 2 3 2" xfId="839"/>
    <cellStyle name="Normal 6 2 2 2 3 2 2" xfId="1718"/>
    <cellStyle name="Normal 6 2 2 2 3 2 2 2" xfId="3479"/>
    <cellStyle name="Normal 6 2 2 2 3 2 2 2 2" xfId="6994"/>
    <cellStyle name="Normal 6 2 2 2 3 2 2 2 2 2" xfId="19298"/>
    <cellStyle name="Normal 6 2 2 2 3 2 2 2 2 2 2" xfId="42157"/>
    <cellStyle name="Normal 6 2 2 2 3 2 2 2 2 3" xfId="29855"/>
    <cellStyle name="Normal 6 2 2 2 3 2 2 2 3" xfId="10509"/>
    <cellStyle name="Normal 6 2 2 2 3 2 2 2 3 2" xfId="22813"/>
    <cellStyle name="Normal 6 2 2 2 3 2 2 2 3 2 2" xfId="45672"/>
    <cellStyle name="Normal 6 2 2 2 3 2 2 2 3 3" xfId="33370"/>
    <cellStyle name="Normal 6 2 2 2 3 2 2 2 4" xfId="15783"/>
    <cellStyle name="Normal 6 2 2 2 3 2 2 2 4 2" xfId="38642"/>
    <cellStyle name="Normal 6 2 2 2 3 2 2 2 5" xfId="26340"/>
    <cellStyle name="Normal 6 2 2 2 3 2 2 3" xfId="5236"/>
    <cellStyle name="Normal 6 2 2 2 3 2 2 3 2" xfId="17540"/>
    <cellStyle name="Normal 6 2 2 2 3 2 2 3 2 2" xfId="40399"/>
    <cellStyle name="Normal 6 2 2 2 3 2 2 3 3" xfId="28097"/>
    <cellStyle name="Normal 6 2 2 2 3 2 2 4" xfId="8751"/>
    <cellStyle name="Normal 6 2 2 2 3 2 2 4 2" xfId="21055"/>
    <cellStyle name="Normal 6 2 2 2 3 2 2 4 2 2" xfId="43914"/>
    <cellStyle name="Normal 6 2 2 2 3 2 2 4 3" xfId="31612"/>
    <cellStyle name="Normal 6 2 2 2 3 2 2 5" xfId="12266"/>
    <cellStyle name="Normal 6 2 2 2 3 2 2 5 2" xfId="35126"/>
    <cellStyle name="Normal 6 2 2 2 3 2 2 6" xfId="14025"/>
    <cellStyle name="Normal 6 2 2 2 3 2 2 6 2" xfId="36884"/>
    <cellStyle name="Normal 6 2 2 2 3 2 2 7" xfId="24581"/>
    <cellStyle name="Normal 6 2 2 2 3 2 3" xfId="2601"/>
    <cellStyle name="Normal 6 2 2 2 3 2 3 2" xfId="6116"/>
    <cellStyle name="Normal 6 2 2 2 3 2 3 2 2" xfId="18420"/>
    <cellStyle name="Normal 6 2 2 2 3 2 3 2 2 2" xfId="41279"/>
    <cellStyle name="Normal 6 2 2 2 3 2 3 2 3" xfId="28977"/>
    <cellStyle name="Normal 6 2 2 2 3 2 3 3" xfId="9631"/>
    <cellStyle name="Normal 6 2 2 2 3 2 3 3 2" xfId="21935"/>
    <cellStyle name="Normal 6 2 2 2 3 2 3 3 2 2" xfId="44794"/>
    <cellStyle name="Normal 6 2 2 2 3 2 3 3 3" xfId="32492"/>
    <cellStyle name="Normal 6 2 2 2 3 2 3 4" xfId="14905"/>
    <cellStyle name="Normal 6 2 2 2 3 2 3 4 2" xfId="37764"/>
    <cellStyle name="Normal 6 2 2 2 3 2 3 5" xfId="25462"/>
    <cellStyle name="Normal 6 2 2 2 3 2 4" xfId="4358"/>
    <cellStyle name="Normal 6 2 2 2 3 2 4 2" xfId="16662"/>
    <cellStyle name="Normal 6 2 2 2 3 2 4 2 2" xfId="39521"/>
    <cellStyle name="Normal 6 2 2 2 3 2 4 3" xfId="27219"/>
    <cellStyle name="Normal 6 2 2 2 3 2 5" xfId="7873"/>
    <cellStyle name="Normal 6 2 2 2 3 2 5 2" xfId="20177"/>
    <cellStyle name="Normal 6 2 2 2 3 2 5 2 2" xfId="43036"/>
    <cellStyle name="Normal 6 2 2 2 3 2 5 3" xfId="30734"/>
    <cellStyle name="Normal 6 2 2 2 3 2 6" xfId="11388"/>
    <cellStyle name="Normal 6 2 2 2 3 2 6 2" xfId="34248"/>
    <cellStyle name="Normal 6 2 2 2 3 2 7" xfId="13147"/>
    <cellStyle name="Normal 6 2 2 2 3 2 7 2" xfId="36006"/>
    <cellStyle name="Normal 6 2 2 2 3 2 8" xfId="23703"/>
    <cellStyle name="Normal 6 2 2 2 3 3" xfId="1279"/>
    <cellStyle name="Normal 6 2 2 2 3 3 2" xfId="3040"/>
    <cellStyle name="Normal 6 2 2 2 3 3 2 2" xfId="6555"/>
    <cellStyle name="Normal 6 2 2 2 3 3 2 2 2" xfId="18859"/>
    <cellStyle name="Normal 6 2 2 2 3 3 2 2 2 2" xfId="41718"/>
    <cellStyle name="Normal 6 2 2 2 3 3 2 2 3" xfId="29416"/>
    <cellStyle name="Normal 6 2 2 2 3 3 2 3" xfId="10070"/>
    <cellStyle name="Normal 6 2 2 2 3 3 2 3 2" xfId="22374"/>
    <cellStyle name="Normal 6 2 2 2 3 3 2 3 2 2" xfId="45233"/>
    <cellStyle name="Normal 6 2 2 2 3 3 2 3 3" xfId="32931"/>
    <cellStyle name="Normal 6 2 2 2 3 3 2 4" xfId="15344"/>
    <cellStyle name="Normal 6 2 2 2 3 3 2 4 2" xfId="38203"/>
    <cellStyle name="Normal 6 2 2 2 3 3 2 5" xfId="25901"/>
    <cellStyle name="Normal 6 2 2 2 3 3 3" xfId="4797"/>
    <cellStyle name="Normal 6 2 2 2 3 3 3 2" xfId="17101"/>
    <cellStyle name="Normal 6 2 2 2 3 3 3 2 2" xfId="39960"/>
    <cellStyle name="Normal 6 2 2 2 3 3 3 3" xfId="27658"/>
    <cellStyle name="Normal 6 2 2 2 3 3 4" xfId="8312"/>
    <cellStyle name="Normal 6 2 2 2 3 3 4 2" xfId="20616"/>
    <cellStyle name="Normal 6 2 2 2 3 3 4 2 2" xfId="43475"/>
    <cellStyle name="Normal 6 2 2 2 3 3 4 3" xfId="31173"/>
    <cellStyle name="Normal 6 2 2 2 3 3 5" xfId="11827"/>
    <cellStyle name="Normal 6 2 2 2 3 3 5 2" xfId="34687"/>
    <cellStyle name="Normal 6 2 2 2 3 3 6" xfId="13586"/>
    <cellStyle name="Normal 6 2 2 2 3 3 6 2" xfId="36445"/>
    <cellStyle name="Normal 6 2 2 2 3 3 7" xfId="24142"/>
    <cellStyle name="Normal 6 2 2 2 3 4" xfId="2162"/>
    <cellStyle name="Normal 6 2 2 2 3 4 2" xfId="5677"/>
    <cellStyle name="Normal 6 2 2 2 3 4 2 2" xfId="17981"/>
    <cellStyle name="Normal 6 2 2 2 3 4 2 2 2" xfId="40840"/>
    <cellStyle name="Normal 6 2 2 2 3 4 2 3" xfId="28538"/>
    <cellStyle name="Normal 6 2 2 2 3 4 3" xfId="9192"/>
    <cellStyle name="Normal 6 2 2 2 3 4 3 2" xfId="21496"/>
    <cellStyle name="Normal 6 2 2 2 3 4 3 2 2" xfId="44355"/>
    <cellStyle name="Normal 6 2 2 2 3 4 3 3" xfId="32053"/>
    <cellStyle name="Normal 6 2 2 2 3 4 4" xfId="14466"/>
    <cellStyle name="Normal 6 2 2 2 3 4 4 2" xfId="37325"/>
    <cellStyle name="Normal 6 2 2 2 3 4 5" xfId="25023"/>
    <cellStyle name="Normal 6 2 2 2 3 5" xfId="3919"/>
    <cellStyle name="Normal 6 2 2 2 3 5 2" xfId="16223"/>
    <cellStyle name="Normal 6 2 2 2 3 5 2 2" xfId="39082"/>
    <cellStyle name="Normal 6 2 2 2 3 5 3" xfId="26780"/>
    <cellStyle name="Normal 6 2 2 2 3 6" xfId="7434"/>
    <cellStyle name="Normal 6 2 2 2 3 6 2" xfId="19738"/>
    <cellStyle name="Normal 6 2 2 2 3 6 2 2" xfId="42597"/>
    <cellStyle name="Normal 6 2 2 2 3 6 3" xfId="30295"/>
    <cellStyle name="Normal 6 2 2 2 3 7" xfId="10949"/>
    <cellStyle name="Normal 6 2 2 2 3 7 2" xfId="33809"/>
    <cellStyle name="Normal 6 2 2 2 3 8" xfId="12708"/>
    <cellStyle name="Normal 6 2 2 2 3 8 2" xfId="35567"/>
    <cellStyle name="Normal 6 2 2 2 3 9" xfId="23263"/>
    <cellStyle name="Normal 6 2 2 2 4" xfId="627"/>
    <cellStyle name="Normal 6 2 2 2 4 2" xfId="1506"/>
    <cellStyle name="Normal 6 2 2 2 4 2 2" xfId="3267"/>
    <cellStyle name="Normal 6 2 2 2 4 2 2 2" xfId="6782"/>
    <cellStyle name="Normal 6 2 2 2 4 2 2 2 2" xfId="19086"/>
    <cellStyle name="Normal 6 2 2 2 4 2 2 2 2 2" xfId="41945"/>
    <cellStyle name="Normal 6 2 2 2 4 2 2 2 3" xfId="29643"/>
    <cellStyle name="Normal 6 2 2 2 4 2 2 3" xfId="10297"/>
    <cellStyle name="Normal 6 2 2 2 4 2 2 3 2" xfId="22601"/>
    <cellStyle name="Normal 6 2 2 2 4 2 2 3 2 2" xfId="45460"/>
    <cellStyle name="Normal 6 2 2 2 4 2 2 3 3" xfId="33158"/>
    <cellStyle name="Normal 6 2 2 2 4 2 2 4" xfId="15571"/>
    <cellStyle name="Normal 6 2 2 2 4 2 2 4 2" xfId="38430"/>
    <cellStyle name="Normal 6 2 2 2 4 2 2 5" xfId="26128"/>
    <cellStyle name="Normal 6 2 2 2 4 2 3" xfId="5024"/>
    <cellStyle name="Normal 6 2 2 2 4 2 3 2" xfId="17328"/>
    <cellStyle name="Normal 6 2 2 2 4 2 3 2 2" xfId="40187"/>
    <cellStyle name="Normal 6 2 2 2 4 2 3 3" xfId="27885"/>
    <cellStyle name="Normal 6 2 2 2 4 2 4" xfId="8539"/>
    <cellStyle name="Normal 6 2 2 2 4 2 4 2" xfId="20843"/>
    <cellStyle name="Normal 6 2 2 2 4 2 4 2 2" xfId="43702"/>
    <cellStyle name="Normal 6 2 2 2 4 2 4 3" xfId="31400"/>
    <cellStyle name="Normal 6 2 2 2 4 2 5" xfId="12054"/>
    <cellStyle name="Normal 6 2 2 2 4 2 5 2" xfId="34914"/>
    <cellStyle name="Normal 6 2 2 2 4 2 6" xfId="13813"/>
    <cellStyle name="Normal 6 2 2 2 4 2 6 2" xfId="36672"/>
    <cellStyle name="Normal 6 2 2 2 4 2 7" xfId="24369"/>
    <cellStyle name="Normal 6 2 2 2 4 3" xfId="2389"/>
    <cellStyle name="Normal 6 2 2 2 4 3 2" xfId="5904"/>
    <cellStyle name="Normal 6 2 2 2 4 3 2 2" xfId="18208"/>
    <cellStyle name="Normal 6 2 2 2 4 3 2 2 2" xfId="41067"/>
    <cellStyle name="Normal 6 2 2 2 4 3 2 3" xfId="28765"/>
    <cellStyle name="Normal 6 2 2 2 4 3 3" xfId="9419"/>
    <cellStyle name="Normal 6 2 2 2 4 3 3 2" xfId="21723"/>
    <cellStyle name="Normal 6 2 2 2 4 3 3 2 2" xfId="44582"/>
    <cellStyle name="Normal 6 2 2 2 4 3 3 3" xfId="32280"/>
    <cellStyle name="Normal 6 2 2 2 4 3 4" xfId="14693"/>
    <cellStyle name="Normal 6 2 2 2 4 3 4 2" xfId="37552"/>
    <cellStyle name="Normal 6 2 2 2 4 3 5" xfId="25250"/>
    <cellStyle name="Normal 6 2 2 2 4 4" xfId="4146"/>
    <cellStyle name="Normal 6 2 2 2 4 4 2" xfId="16450"/>
    <cellStyle name="Normal 6 2 2 2 4 4 2 2" xfId="39309"/>
    <cellStyle name="Normal 6 2 2 2 4 4 3" xfId="27007"/>
    <cellStyle name="Normal 6 2 2 2 4 5" xfId="7661"/>
    <cellStyle name="Normal 6 2 2 2 4 5 2" xfId="19965"/>
    <cellStyle name="Normal 6 2 2 2 4 5 2 2" xfId="42824"/>
    <cellStyle name="Normal 6 2 2 2 4 5 3" xfId="30522"/>
    <cellStyle name="Normal 6 2 2 2 4 6" xfId="11176"/>
    <cellStyle name="Normal 6 2 2 2 4 6 2" xfId="34036"/>
    <cellStyle name="Normal 6 2 2 2 4 7" xfId="12935"/>
    <cellStyle name="Normal 6 2 2 2 4 7 2" xfId="35794"/>
    <cellStyle name="Normal 6 2 2 2 4 8" xfId="23491"/>
    <cellStyle name="Normal 6 2 2 2 5" xfId="1067"/>
    <cellStyle name="Normal 6 2 2 2 5 2" xfId="2828"/>
    <cellStyle name="Normal 6 2 2 2 5 2 2" xfId="6343"/>
    <cellStyle name="Normal 6 2 2 2 5 2 2 2" xfId="18647"/>
    <cellStyle name="Normal 6 2 2 2 5 2 2 2 2" xfId="41506"/>
    <cellStyle name="Normal 6 2 2 2 5 2 2 3" xfId="29204"/>
    <cellStyle name="Normal 6 2 2 2 5 2 3" xfId="9858"/>
    <cellStyle name="Normal 6 2 2 2 5 2 3 2" xfId="22162"/>
    <cellStyle name="Normal 6 2 2 2 5 2 3 2 2" xfId="45021"/>
    <cellStyle name="Normal 6 2 2 2 5 2 3 3" xfId="32719"/>
    <cellStyle name="Normal 6 2 2 2 5 2 4" xfId="15132"/>
    <cellStyle name="Normal 6 2 2 2 5 2 4 2" xfId="37991"/>
    <cellStyle name="Normal 6 2 2 2 5 2 5" xfId="25689"/>
    <cellStyle name="Normal 6 2 2 2 5 3" xfId="4585"/>
    <cellStyle name="Normal 6 2 2 2 5 3 2" xfId="16889"/>
    <cellStyle name="Normal 6 2 2 2 5 3 2 2" xfId="39748"/>
    <cellStyle name="Normal 6 2 2 2 5 3 3" xfId="27446"/>
    <cellStyle name="Normal 6 2 2 2 5 4" xfId="8100"/>
    <cellStyle name="Normal 6 2 2 2 5 4 2" xfId="20404"/>
    <cellStyle name="Normal 6 2 2 2 5 4 2 2" xfId="43263"/>
    <cellStyle name="Normal 6 2 2 2 5 4 3" xfId="30961"/>
    <cellStyle name="Normal 6 2 2 2 5 5" xfId="11615"/>
    <cellStyle name="Normal 6 2 2 2 5 5 2" xfId="34475"/>
    <cellStyle name="Normal 6 2 2 2 5 6" xfId="13374"/>
    <cellStyle name="Normal 6 2 2 2 5 6 2" xfId="36233"/>
    <cellStyle name="Normal 6 2 2 2 5 7" xfId="23930"/>
    <cellStyle name="Normal 6 2 2 2 6" xfId="1950"/>
    <cellStyle name="Normal 6 2 2 2 6 2" xfId="5465"/>
    <cellStyle name="Normal 6 2 2 2 6 2 2" xfId="17769"/>
    <cellStyle name="Normal 6 2 2 2 6 2 2 2" xfId="40628"/>
    <cellStyle name="Normal 6 2 2 2 6 2 3" xfId="28326"/>
    <cellStyle name="Normal 6 2 2 2 6 3" xfId="8980"/>
    <cellStyle name="Normal 6 2 2 2 6 3 2" xfId="21284"/>
    <cellStyle name="Normal 6 2 2 2 6 3 2 2" xfId="44143"/>
    <cellStyle name="Normal 6 2 2 2 6 3 3" xfId="31841"/>
    <cellStyle name="Normal 6 2 2 2 6 4" xfId="14254"/>
    <cellStyle name="Normal 6 2 2 2 6 4 2" xfId="37113"/>
    <cellStyle name="Normal 6 2 2 2 6 5" xfId="24811"/>
    <cellStyle name="Normal 6 2 2 2 7" xfId="3707"/>
    <cellStyle name="Normal 6 2 2 2 7 2" xfId="16011"/>
    <cellStyle name="Normal 6 2 2 2 7 2 2" xfId="38870"/>
    <cellStyle name="Normal 6 2 2 2 7 3" xfId="26568"/>
    <cellStyle name="Normal 6 2 2 2 8" xfId="7222"/>
    <cellStyle name="Normal 6 2 2 2 8 2" xfId="19526"/>
    <cellStyle name="Normal 6 2 2 2 8 2 2" xfId="42385"/>
    <cellStyle name="Normal 6 2 2 2 8 3" xfId="30083"/>
    <cellStyle name="Normal 6 2 2 2 9" xfId="10737"/>
    <cellStyle name="Normal 6 2 2 2 9 2" xfId="33597"/>
    <cellStyle name="Normal 6 2 2 3" xfId="238"/>
    <cellStyle name="Normal 6 2 2 3 10" xfId="23103"/>
    <cellStyle name="Normal 6 2 2 3 2" xfId="450"/>
    <cellStyle name="Normal 6 2 2 3 2 2" xfId="891"/>
    <cellStyle name="Normal 6 2 2 3 2 2 2" xfId="1770"/>
    <cellStyle name="Normal 6 2 2 3 2 2 2 2" xfId="3531"/>
    <cellStyle name="Normal 6 2 2 3 2 2 2 2 2" xfId="7046"/>
    <cellStyle name="Normal 6 2 2 3 2 2 2 2 2 2" xfId="19350"/>
    <cellStyle name="Normal 6 2 2 3 2 2 2 2 2 2 2" xfId="42209"/>
    <cellStyle name="Normal 6 2 2 3 2 2 2 2 2 3" xfId="29907"/>
    <cellStyle name="Normal 6 2 2 3 2 2 2 2 3" xfId="10561"/>
    <cellStyle name="Normal 6 2 2 3 2 2 2 2 3 2" xfId="22865"/>
    <cellStyle name="Normal 6 2 2 3 2 2 2 2 3 2 2" xfId="45724"/>
    <cellStyle name="Normal 6 2 2 3 2 2 2 2 3 3" xfId="33422"/>
    <cellStyle name="Normal 6 2 2 3 2 2 2 2 4" xfId="15835"/>
    <cellStyle name="Normal 6 2 2 3 2 2 2 2 4 2" xfId="38694"/>
    <cellStyle name="Normal 6 2 2 3 2 2 2 2 5" xfId="26392"/>
    <cellStyle name="Normal 6 2 2 3 2 2 2 3" xfId="5288"/>
    <cellStyle name="Normal 6 2 2 3 2 2 2 3 2" xfId="17592"/>
    <cellStyle name="Normal 6 2 2 3 2 2 2 3 2 2" xfId="40451"/>
    <cellStyle name="Normal 6 2 2 3 2 2 2 3 3" xfId="28149"/>
    <cellStyle name="Normal 6 2 2 3 2 2 2 4" xfId="8803"/>
    <cellStyle name="Normal 6 2 2 3 2 2 2 4 2" xfId="21107"/>
    <cellStyle name="Normal 6 2 2 3 2 2 2 4 2 2" xfId="43966"/>
    <cellStyle name="Normal 6 2 2 3 2 2 2 4 3" xfId="31664"/>
    <cellStyle name="Normal 6 2 2 3 2 2 2 5" xfId="12318"/>
    <cellStyle name="Normal 6 2 2 3 2 2 2 5 2" xfId="35178"/>
    <cellStyle name="Normal 6 2 2 3 2 2 2 6" xfId="14077"/>
    <cellStyle name="Normal 6 2 2 3 2 2 2 6 2" xfId="36936"/>
    <cellStyle name="Normal 6 2 2 3 2 2 2 7" xfId="24633"/>
    <cellStyle name="Normal 6 2 2 3 2 2 3" xfId="2653"/>
    <cellStyle name="Normal 6 2 2 3 2 2 3 2" xfId="6168"/>
    <cellStyle name="Normal 6 2 2 3 2 2 3 2 2" xfId="18472"/>
    <cellStyle name="Normal 6 2 2 3 2 2 3 2 2 2" xfId="41331"/>
    <cellStyle name="Normal 6 2 2 3 2 2 3 2 3" xfId="29029"/>
    <cellStyle name="Normal 6 2 2 3 2 2 3 3" xfId="9683"/>
    <cellStyle name="Normal 6 2 2 3 2 2 3 3 2" xfId="21987"/>
    <cellStyle name="Normal 6 2 2 3 2 2 3 3 2 2" xfId="44846"/>
    <cellStyle name="Normal 6 2 2 3 2 2 3 3 3" xfId="32544"/>
    <cellStyle name="Normal 6 2 2 3 2 2 3 4" xfId="14957"/>
    <cellStyle name="Normal 6 2 2 3 2 2 3 4 2" xfId="37816"/>
    <cellStyle name="Normal 6 2 2 3 2 2 3 5" xfId="25514"/>
    <cellStyle name="Normal 6 2 2 3 2 2 4" xfId="4410"/>
    <cellStyle name="Normal 6 2 2 3 2 2 4 2" xfId="16714"/>
    <cellStyle name="Normal 6 2 2 3 2 2 4 2 2" xfId="39573"/>
    <cellStyle name="Normal 6 2 2 3 2 2 4 3" xfId="27271"/>
    <cellStyle name="Normal 6 2 2 3 2 2 5" xfId="7925"/>
    <cellStyle name="Normal 6 2 2 3 2 2 5 2" xfId="20229"/>
    <cellStyle name="Normal 6 2 2 3 2 2 5 2 2" xfId="43088"/>
    <cellStyle name="Normal 6 2 2 3 2 2 5 3" xfId="30786"/>
    <cellStyle name="Normal 6 2 2 3 2 2 6" xfId="11440"/>
    <cellStyle name="Normal 6 2 2 3 2 2 6 2" xfId="34300"/>
    <cellStyle name="Normal 6 2 2 3 2 2 7" xfId="13199"/>
    <cellStyle name="Normal 6 2 2 3 2 2 7 2" xfId="36058"/>
    <cellStyle name="Normal 6 2 2 3 2 2 8" xfId="23755"/>
    <cellStyle name="Normal 6 2 2 3 2 3" xfId="1331"/>
    <cellStyle name="Normal 6 2 2 3 2 3 2" xfId="3092"/>
    <cellStyle name="Normal 6 2 2 3 2 3 2 2" xfId="6607"/>
    <cellStyle name="Normal 6 2 2 3 2 3 2 2 2" xfId="18911"/>
    <cellStyle name="Normal 6 2 2 3 2 3 2 2 2 2" xfId="41770"/>
    <cellStyle name="Normal 6 2 2 3 2 3 2 2 3" xfId="29468"/>
    <cellStyle name="Normal 6 2 2 3 2 3 2 3" xfId="10122"/>
    <cellStyle name="Normal 6 2 2 3 2 3 2 3 2" xfId="22426"/>
    <cellStyle name="Normal 6 2 2 3 2 3 2 3 2 2" xfId="45285"/>
    <cellStyle name="Normal 6 2 2 3 2 3 2 3 3" xfId="32983"/>
    <cellStyle name="Normal 6 2 2 3 2 3 2 4" xfId="15396"/>
    <cellStyle name="Normal 6 2 2 3 2 3 2 4 2" xfId="38255"/>
    <cellStyle name="Normal 6 2 2 3 2 3 2 5" xfId="25953"/>
    <cellStyle name="Normal 6 2 2 3 2 3 3" xfId="4849"/>
    <cellStyle name="Normal 6 2 2 3 2 3 3 2" xfId="17153"/>
    <cellStyle name="Normal 6 2 2 3 2 3 3 2 2" xfId="40012"/>
    <cellStyle name="Normal 6 2 2 3 2 3 3 3" xfId="27710"/>
    <cellStyle name="Normal 6 2 2 3 2 3 4" xfId="8364"/>
    <cellStyle name="Normal 6 2 2 3 2 3 4 2" xfId="20668"/>
    <cellStyle name="Normal 6 2 2 3 2 3 4 2 2" xfId="43527"/>
    <cellStyle name="Normal 6 2 2 3 2 3 4 3" xfId="31225"/>
    <cellStyle name="Normal 6 2 2 3 2 3 5" xfId="11879"/>
    <cellStyle name="Normal 6 2 2 3 2 3 5 2" xfId="34739"/>
    <cellStyle name="Normal 6 2 2 3 2 3 6" xfId="13638"/>
    <cellStyle name="Normal 6 2 2 3 2 3 6 2" xfId="36497"/>
    <cellStyle name="Normal 6 2 2 3 2 3 7" xfId="24194"/>
    <cellStyle name="Normal 6 2 2 3 2 4" xfId="2214"/>
    <cellStyle name="Normal 6 2 2 3 2 4 2" xfId="5729"/>
    <cellStyle name="Normal 6 2 2 3 2 4 2 2" xfId="18033"/>
    <cellStyle name="Normal 6 2 2 3 2 4 2 2 2" xfId="40892"/>
    <cellStyle name="Normal 6 2 2 3 2 4 2 3" xfId="28590"/>
    <cellStyle name="Normal 6 2 2 3 2 4 3" xfId="9244"/>
    <cellStyle name="Normal 6 2 2 3 2 4 3 2" xfId="21548"/>
    <cellStyle name="Normal 6 2 2 3 2 4 3 2 2" xfId="44407"/>
    <cellStyle name="Normal 6 2 2 3 2 4 3 3" xfId="32105"/>
    <cellStyle name="Normal 6 2 2 3 2 4 4" xfId="14518"/>
    <cellStyle name="Normal 6 2 2 3 2 4 4 2" xfId="37377"/>
    <cellStyle name="Normal 6 2 2 3 2 4 5" xfId="25075"/>
    <cellStyle name="Normal 6 2 2 3 2 5" xfId="3971"/>
    <cellStyle name="Normal 6 2 2 3 2 5 2" xfId="16275"/>
    <cellStyle name="Normal 6 2 2 3 2 5 2 2" xfId="39134"/>
    <cellStyle name="Normal 6 2 2 3 2 5 3" xfId="26832"/>
    <cellStyle name="Normal 6 2 2 3 2 6" xfId="7486"/>
    <cellStyle name="Normal 6 2 2 3 2 6 2" xfId="19790"/>
    <cellStyle name="Normal 6 2 2 3 2 6 2 2" xfId="42649"/>
    <cellStyle name="Normal 6 2 2 3 2 6 3" xfId="30347"/>
    <cellStyle name="Normal 6 2 2 3 2 7" xfId="11001"/>
    <cellStyle name="Normal 6 2 2 3 2 7 2" xfId="33861"/>
    <cellStyle name="Normal 6 2 2 3 2 8" xfId="12760"/>
    <cellStyle name="Normal 6 2 2 3 2 8 2" xfId="35619"/>
    <cellStyle name="Normal 6 2 2 3 2 9" xfId="23315"/>
    <cellStyle name="Normal 6 2 2 3 3" xfId="679"/>
    <cellStyle name="Normal 6 2 2 3 3 2" xfId="1558"/>
    <cellStyle name="Normal 6 2 2 3 3 2 2" xfId="3319"/>
    <cellStyle name="Normal 6 2 2 3 3 2 2 2" xfId="6834"/>
    <cellStyle name="Normal 6 2 2 3 3 2 2 2 2" xfId="19138"/>
    <cellStyle name="Normal 6 2 2 3 3 2 2 2 2 2" xfId="41997"/>
    <cellStyle name="Normal 6 2 2 3 3 2 2 2 3" xfId="29695"/>
    <cellStyle name="Normal 6 2 2 3 3 2 2 3" xfId="10349"/>
    <cellStyle name="Normal 6 2 2 3 3 2 2 3 2" xfId="22653"/>
    <cellStyle name="Normal 6 2 2 3 3 2 2 3 2 2" xfId="45512"/>
    <cellStyle name="Normal 6 2 2 3 3 2 2 3 3" xfId="33210"/>
    <cellStyle name="Normal 6 2 2 3 3 2 2 4" xfId="15623"/>
    <cellStyle name="Normal 6 2 2 3 3 2 2 4 2" xfId="38482"/>
    <cellStyle name="Normal 6 2 2 3 3 2 2 5" xfId="26180"/>
    <cellStyle name="Normal 6 2 2 3 3 2 3" xfId="5076"/>
    <cellStyle name="Normal 6 2 2 3 3 2 3 2" xfId="17380"/>
    <cellStyle name="Normal 6 2 2 3 3 2 3 2 2" xfId="40239"/>
    <cellStyle name="Normal 6 2 2 3 3 2 3 3" xfId="27937"/>
    <cellStyle name="Normal 6 2 2 3 3 2 4" xfId="8591"/>
    <cellStyle name="Normal 6 2 2 3 3 2 4 2" xfId="20895"/>
    <cellStyle name="Normal 6 2 2 3 3 2 4 2 2" xfId="43754"/>
    <cellStyle name="Normal 6 2 2 3 3 2 4 3" xfId="31452"/>
    <cellStyle name="Normal 6 2 2 3 3 2 5" xfId="12106"/>
    <cellStyle name="Normal 6 2 2 3 3 2 5 2" xfId="34966"/>
    <cellStyle name="Normal 6 2 2 3 3 2 6" xfId="13865"/>
    <cellStyle name="Normal 6 2 2 3 3 2 6 2" xfId="36724"/>
    <cellStyle name="Normal 6 2 2 3 3 2 7" xfId="24421"/>
    <cellStyle name="Normal 6 2 2 3 3 3" xfId="2441"/>
    <cellStyle name="Normal 6 2 2 3 3 3 2" xfId="5956"/>
    <cellStyle name="Normal 6 2 2 3 3 3 2 2" xfId="18260"/>
    <cellStyle name="Normal 6 2 2 3 3 3 2 2 2" xfId="41119"/>
    <cellStyle name="Normal 6 2 2 3 3 3 2 3" xfId="28817"/>
    <cellStyle name="Normal 6 2 2 3 3 3 3" xfId="9471"/>
    <cellStyle name="Normal 6 2 2 3 3 3 3 2" xfId="21775"/>
    <cellStyle name="Normal 6 2 2 3 3 3 3 2 2" xfId="44634"/>
    <cellStyle name="Normal 6 2 2 3 3 3 3 3" xfId="32332"/>
    <cellStyle name="Normal 6 2 2 3 3 3 4" xfId="14745"/>
    <cellStyle name="Normal 6 2 2 3 3 3 4 2" xfId="37604"/>
    <cellStyle name="Normal 6 2 2 3 3 3 5" xfId="25302"/>
    <cellStyle name="Normal 6 2 2 3 3 4" xfId="4198"/>
    <cellStyle name="Normal 6 2 2 3 3 4 2" xfId="16502"/>
    <cellStyle name="Normal 6 2 2 3 3 4 2 2" xfId="39361"/>
    <cellStyle name="Normal 6 2 2 3 3 4 3" xfId="27059"/>
    <cellStyle name="Normal 6 2 2 3 3 5" xfId="7713"/>
    <cellStyle name="Normal 6 2 2 3 3 5 2" xfId="20017"/>
    <cellStyle name="Normal 6 2 2 3 3 5 2 2" xfId="42876"/>
    <cellStyle name="Normal 6 2 2 3 3 5 3" xfId="30574"/>
    <cellStyle name="Normal 6 2 2 3 3 6" xfId="11228"/>
    <cellStyle name="Normal 6 2 2 3 3 6 2" xfId="34088"/>
    <cellStyle name="Normal 6 2 2 3 3 7" xfId="12987"/>
    <cellStyle name="Normal 6 2 2 3 3 7 2" xfId="35846"/>
    <cellStyle name="Normal 6 2 2 3 3 8" xfId="23543"/>
    <cellStyle name="Normal 6 2 2 3 4" xfId="1119"/>
    <cellStyle name="Normal 6 2 2 3 4 2" xfId="2880"/>
    <cellStyle name="Normal 6 2 2 3 4 2 2" xfId="6395"/>
    <cellStyle name="Normal 6 2 2 3 4 2 2 2" xfId="18699"/>
    <cellStyle name="Normal 6 2 2 3 4 2 2 2 2" xfId="41558"/>
    <cellStyle name="Normal 6 2 2 3 4 2 2 3" xfId="29256"/>
    <cellStyle name="Normal 6 2 2 3 4 2 3" xfId="9910"/>
    <cellStyle name="Normal 6 2 2 3 4 2 3 2" xfId="22214"/>
    <cellStyle name="Normal 6 2 2 3 4 2 3 2 2" xfId="45073"/>
    <cellStyle name="Normal 6 2 2 3 4 2 3 3" xfId="32771"/>
    <cellStyle name="Normal 6 2 2 3 4 2 4" xfId="15184"/>
    <cellStyle name="Normal 6 2 2 3 4 2 4 2" xfId="38043"/>
    <cellStyle name="Normal 6 2 2 3 4 2 5" xfId="25741"/>
    <cellStyle name="Normal 6 2 2 3 4 3" xfId="4637"/>
    <cellStyle name="Normal 6 2 2 3 4 3 2" xfId="16941"/>
    <cellStyle name="Normal 6 2 2 3 4 3 2 2" xfId="39800"/>
    <cellStyle name="Normal 6 2 2 3 4 3 3" xfId="27498"/>
    <cellStyle name="Normal 6 2 2 3 4 4" xfId="8152"/>
    <cellStyle name="Normal 6 2 2 3 4 4 2" xfId="20456"/>
    <cellStyle name="Normal 6 2 2 3 4 4 2 2" xfId="43315"/>
    <cellStyle name="Normal 6 2 2 3 4 4 3" xfId="31013"/>
    <cellStyle name="Normal 6 2 2 3 4 5" xfId="11667"/>
    <cellStyle name="Normal 6 2 2 3 4 5 2" xfId="34527"/>
    <cellStyle name="Normal 6 2 2 3 4 6" xfId="13426"/>
    <cellStyle name="Normal 6 2 2 3 4 6 2" xfId="36285"/>
    <cellStyle name="Normal 6 2 2 3 4 7" xfId="23982"/>
    <cellStyle name="Normal 6 2 2 3 5" xfId="2002"/>
    <cellStyle name="Normal 6 2 2 3 5 2" xfId="5517"/>
    <cellStyle name="Normal 6 2 2 3 5 2 2" xfId="17821"/>
    <cellStyle name="Normal 6 2 2 3 5 2 2 2" xfId="40680"/>
    <cellStyle name="Normal 6 2 2 3 5 2 3" xfId="28378"/>
    <cellStyle name="Normal 6 2 2 3 5 3" xfId="9032"/>
    <cellStyle name="Normal 6 2 2 3 5 3 2" xfId="21336"/>
    <cellStyle name="Normal 6 2 2 3 5 3 2 2" xfId="44195"/>
    <cellStyle name="Normal 6 2 2 3 5 3 3" xfId="31893"/>
    <cellStyle name="Normal 6 2 2 3 5 4" xfId="14306"/>
    <cellStyle name="Normal 6 2 2 3 5 4 2" xfId="37165"/>
    <cellStyle name="Normal 6 2 2 3 5 5" xfId="24863"/>
    <cellStyle name="Normal 6 2 2 3 6" xfId="3759"/>
    <cellStyle name="Normal 6 2 2 3 6 2" xfId="16063"/>
    <cellStyle name="Normal 6 2 2 3 6 2 2" xfId="38922"/>
    <cellStyle name="Normal 6 2 2 3 6 3" xfId="26620"/>
    <cellStyle name="Normal 6 2 2 3 7" xfId="7274"/>
    <cellStyle name="Normal 6 2 2 3 7 2" xfId="19578"/>
    <cellStyle name="Normal 6 2 2 3 7 2 2" xfId="42437"/>
    <cellStyle name="Normal 6 2 2 3 7 3" xfId="30135"/>
    <cellStyle name="Normal 6 2 2 3 8" xfId="10789"/>
    <cellStyle name="Normal 6 2 2 3 8 2" xfId="33649"/>
    <cellStyle name="Normal 6 2 2 3 9" xfId="12548"/>
    <cellStyle name="Normal 6 2 2 3 9 2" xfId="35407"/>
    <cellStyle name="Normal 6 2 2 4" xfId="344"/>
    <cellStyle name="Normal 6 2 2 4 2" xfId="785"/>
    <cellStyle name="Normal 6 2 2 4 2 2" xfId="1664"/>
    <cellStyle name="Normal 6 2 2 4 2 2 2" xfId="3425"/>
    <cellStyle name="Normal 6 2 2 4 2 2 2 2" xfId="6940"/>
    <cellStyle name="Normal 6 2 2 4 2 2 2 2 2" xfId="19244"/>
    <cellStyle name="Normal 6 2 2 4 2 2 2 2 2 2" xfId="42103"/>
    <cellStyle name="Normal 6 2 2 4 2 2 2 2 3" xfId="29801"/>
    <cellStyle name="Normal 6 2 2 4 2 2 2 3" xfId="10455"/>
    <cellStyle name="Normal 6 2 2 4 2 2 2 3 2" xfId="22759"/>
    <cellStyle name="Normal 6 2 2 4 2 2 2 3 2 2" xfId="45618"/>
    <cellStyle name="Normal 6 2 2 4 2 2 2 3 3" xfId="33316"/>
    <cellStyle name="Normal 6 2 2 4 2 2 2 4" xfId="15729"/>
    <cellStyle name="Normal 6 2 2 4 2 2 2 4 2" xfId="38588"/>
    <cellStyle name="Normal 6 2 2 4 2 2 2 5" xfId="26286"/>
    <cellStyle name="Normal 6 2 2 4 2 2 3" xfId="5182"/>
    <cellStyle name="Normal 6 2 2 4 2 2 3 2" xfId="17486"/>
    <cellStyle name="Normal 6 2 2 4 2 2 3 2 2" xfId="40345"/>
    <cellStyle name="Normal 6 2 2 4 2 2 3 3" xfId="28043"/>
    <cellStyle name="Normal 6 2 2 4 2 2 4" xfId="8697"/>
    <cellStyle name="Normal 6 2 2 4 2 2 4 2" xfId="21001"/>
    <cellStyle name="Normal 6 2 2 4 2 2 4 2 2" xfId="43860"/>
    <cellStyle name="Normal 6 2 2 4 2 2 4 3" xfId="31558"/>
    <cellStyle name="Normal 6 2 2 4 2 2 5" xfId="12212"/>
    <cellStyle name="Normal 6 2 2 4 2 2 5 2" xfId="35072"/>
    <cellStyle name="Normal 6 2 2 4 2 2 6" xfId="13971"/>
    <cellStyle name="Normal 6 2 2 4 2 2 6 2" xfId="36830"/>
    <cellStyle name="Normal 6 2 2 4 2 2 7" xfId="24527"/>
    <cellStyle name="Normal 6 2 2 4 2 3" xfId="2547"/>
    <cellStyle name="Normal 6 2 2 4 2 3 2" xfId="6062"/>
    <cellStyle name="Normal 6 2 2 4 2 3 2 2" xfId="18366"/>
    <cellStyle name="Normal 6 2 2 4 2 3 2 2 2" xfId="41225"/>
    <cellStyle name="Normal 6 2 2 4 2 3 2 3" xfId="28923"/>
    <cellStyle name="Normal 6 2 2 4 2 3 3" xfId="9577"/>
    <cellStyle name="Normal 6 2 2 4 2 3 3 2" xfId="21881"/>
    <cellStyle name="Normal 6 2 2 4 2 3 3 2 2" xfId="44740"/>
    <cellStyle name="Normal 6 2 2 4 2 3 3 3" xfId="32438"/>
    <cellStyle name="Normal 6 2 2 4 2 3 4" xfId="14851"/>
    <cellStyle name="Normal 6 2 2 4 2 3 4 2" xfId="37710"/>
    <cellStyle name="Normal 6 2 2 4 2 3 5" xfId="25408"/>
    <cellStyle name="Normal 6 2 2 4 2 4" xfId="4304"/>
    <cellStyle name="Normal 6 2 2 4 2 4 2" xfId="16608"/>
    <cellStyle name="Normal 6 2 2 4 2 4 2 2" xfId="39467"/>
    <cellStyle name="Normal 6 2 2 4 2 4 3" xfId="27165"/>
    <cellStyle name="Normal 6 2 2 4 2 5" xfId="7819"/>
    <cellStyle name="Normal 6 2 2 4 2 5 2" xfId="20123"/>
    <cellStyle name="Normal 6 2 2 4 2 5 2 2" xfId="42982"/>
    <cellStyle name="Normal 6 2 2 4 2 5 3" xfId="30680"/>
    <cellStyle name="Normal 6 2 2 4 2 6" xfId="11334"/>
    <cellStyle name="Normal 6 2 2 4 2 6 2" xfId="34194"/>
    <cellStyle name="Normal 6 2 2 4 2 7" xfId="13093"/>
    <cellStyle name="Normal 6 2 2 4 2 7 2" xfId="35952"/>
    <cellStyle name="Normal 6 2 2 4 2 8" xfId="23649"/>
    <cellStyle name="Normal 6 2 2 4 3" xfId="1225"/>
    <cellStyle name="Normal 6 2 2 4 3 2" xfId="2986"/>
    <cellStyle name="Normal 6 2 2 4 3 2 2" xfId="6501"/>
    <cellStyle name="Normal 6 2 2 4 3 2 2 2" xfId="18805"/>
    <cellStyle name="Normal 6 2 2 4 3 2 2 2 2" xfId="41664"/>
    <cellStyle name="Normal 6 2 2 4 3 2 2 3" xfId="29362"/>
    <cellStyle name="Normal 6 2 2 4 3 2 3" xfId="10016"/>
    <cellStyle name="Normal 6 2 2 4 3 2 3 2" xfId="22320"/>
    <cellStyle name="Normal 6 2 2 4 3 2 3 2 2" xfId="45179"/>
    <cellStyle name="Normal 6 2 2 4 3 2 3 3" xfId="32877"/>
    <cellStyle name="Normal 6 2 2 4 3 2 4" xfId="15290"/>
    <cellStyle name="Normal 6 2 2 4 3 2 4 2" xfId="38149"/>
    <cellStyle name="Normal 6 2 2 4 3 2 5" xfId="25847"/>
    <cellStyle name="Normal 6 2 2 4 3 3" xfId="4743"/>
    <cellStyle name="Normal 6 2 2 4 3 3 2" xfId="17047"/>
    <cellStyle name="Normal 6 2 2 4 3 3 2 2" xfId="39906"/>
    <cellStyle name="Normal 6 2 2 4 3 3 3" xfId="27604"/>
    <cellStyle name="Normal 6 2 2 4 3 4" xfId="8258"/>
    <cellStyle name="Normal 6 2 2 4 3 4 2" xfId="20562"/>
    <cellStyle name="Normal 6 2 2 4 3 4 2 2" xfId="43421"/>
    <cellStyle name="Normal 6 2 2 4 3 4 3" xfId="31119"/>
    <cellStyle name="Normal 6 2 2 4 3 5" xfId="11773"/>
    <cellStyle name="Normal 6 2 2 4 3 5 2" xfId="34633"/>
    <cellStyle name="Normal 6 2 2 4 3 6" xfId="13532"/>
    <cellStyle name="Normal 6 2 2 4 3 6 2" xfId="36391"/>
    <cellStyle name="Normal 6 2 2 4 3 7" xfId="24088"/>
    <cellStyle name="Normal 6 2 2 4 4" xfId="2108"/>
    <cellStyle name="Normal 6 2 2 4 4 2" xfId="5623"/>
    <cellStyle name="Normal 6 2 2 4 4 2 2" xfId="17927"/>
    <cellStyle name="Normal 6 2 2 4 4 2 2 2" xfId="40786"/>
    <cellStyle name="Normal 6 2 2 4 4 2 3" xfId="28484"/>
    <cellStyle name="Normal 6 2 2 4 4 3" xfId="9138"/>
    <cellStyle name="Normal 6 2 2 4 4 3 2" xfId="21442"/>
    <cellStyle name="Normal 6 2 2 4 4 3 2 2" xfId="44301"/>
    <cellStyle name="Normal 6 2 2 4 4 3 3" xfId="31999"/>
    <cellStyle name="Normal 6 2 2 4 4 4" xfId="14412"/>
    <cellStyle name="Normal 6 2 2 4 4 4 2" xfId="37271"/>
    <cellStyle name="Normal 6 2 2 4 4 5" xfId="24969"/>
    <cellStyle name="Normal 6 2 2 4 5" xfId="3865"/>
    <cellStyle name="Normal 6 2 2 4 5 2" xfId="16169"/>
    <cellStyle name="Normal 6 2 2 4 5 2 2" xfId="39028"/>
    <cellStyle name="Normal 6 2 2 4 5 3" xfId="26726"/>
    <cellStyle name="Normal 6 2 2 4 6" xfId="7380"/>
    <cellStyle name="Normal 6 2 2 4 6 2" xfId="19684"/>
    <cellStyle name="Normal 6 2 2 4 6 2 2" xfId="42543"/>
    <cellStyle name="Normal 6 2 2 4 6 3" xfId="30241"/>
    <cellStyle name="Normal 6 2 2 4 7" xfId="10895"/>
    <cellStyle name="Normal 6 2 2 4 7 2" xfId="33755"/>
    <cellStyle name="Normal 6 2 2 4 8" xfId="12654"/>
    <cellStyle name="Normal 6 2 2 4 8 2" xfId="35513"/>
    <cellStyle name="Normal 6 2 2 4 9" xfId="23209"/>
    <cellStyle name="Normal 6 2 2 5" xfId="573"/>
    <cellStyle name="Normal 6 2 2 5 2" xfId="1452"/>
    <cellStyle name="Normal 6 2 2 5 2 2" xfId="3213"/>
    <cellStyle name="Normal 6 2 2 5 2 2 2" xfId="6728"/>
    <cellStyle name="Normal 6 2 2 5 2 2 2 2" xfId="19032"/>
    <cellStyle name="Normal 6 2 2 5 2 2 2 2 2" xfId="41891"/>
    <cellStyle name="Normal 6 2 2 5 2 2 2 3" xfId="29589"/>
    <cellStyle name="Normal 6 2 2 5 2 2 3" xfId="10243"/>
    <cellStyle name="Normal 6 2 2 5 2 2 3 2" xfId="22547"/>
    <cellStyle name="Normal 6 2 2 5 2 2 3 2 2" xfId="45406"/>
    <cellStyle name="Normal 6 2 2 5 2 2 3 3" xfId="33104"/>
    <cellStyle name="Normal 6 2 2 5 2 2 4" xfId="15517"/>
    <cellStyle name="Normal 6 2 2 5 2 2 4 2" xfId="38376"/>
    <cellStyle name="Normal 6 2 2 5 2 2 5" xfId="26074"/>
    <cellStyle name="Normal 6 2 2 5 2 3" xfId="4970"/>
    <cellStyle name="Normal 6 2 2 5 2 3 2" xfId="17274"/>
    <cellStyle name="Normal 6 2 2 5 2 3 2 2" xfId="40133"/>
    <cellStyle name="Normal 6 2 2 5 2 3 3" xfId="27831"/>
    <cellStyle name="Normal 6 2 2 5 2 4" xfId="8485"/>
    <cellStyle name="Normal 6 2 2 5 2 4 2" xfId="20789"/>
    <cellStyle name="Normal 6 2 2 5 2 4 2 2" xfId="43648"/>
    <cellStyle name="Normal 6 2 2 5 2 4 3" xfId="31346"/>
    <cellStyle name="Normal 6 2 2 5 2 5" xfId="12000"/>
    <cellStyle name="Normal 6 2 2 5 2 5 2" xfId="34860"/>
    <cellStyle name="Normal 6 2 2 5 2 6" xfId="13759"/>
    <cellStyle name="Normal 6 2 2 5 2 6 2" xfId="36618"/>
    <cellStyle name="Normal 6 2 2 5 2 7" xfId="24315"/>
    <cellStyle name="Normal 6 2 2 5 3" xfId="2335"/>
    <cellStyle name="Normal 6 2 2 5 3 2" xfId="5850"/>
    <cellStyle name="Normal 6 2 2 5 3 2 2" xfId="18154"/>
    <cellStyle name="Normal 6 2 2 5 3 2 2 2" xfId="41013"/>
    <cellStyle name="Normal 6 2 2 5 3 2 3" xfId="28711"/>
    <cellStyle name="Normal 6 2 2 5 3 3" xfId="9365"/>
    <cellStyle name="Normal 6 2 2 5 3 3 2" xfId="21669"/>
    <cellStyle name="Normal 6 2 2 5 3 3 2 2" xfId="44528"/>
    <cellStyle name="Normal 6 2 2 5 3 3 3" xfId="32226"/>
    <cellStyle name="Normal 6 2 2 5 3 4" xfId="14639"/>
    <cellStyle name="Normal 6 2 2 5 3 4 2" xfId="37498"/>
    <cellStyle name="Normal 6 2 2 5 3 5" xfId="25196"/>
    <cellStyle name="Normal 6 2 2 5 4" xfId="4092"/>
    <cellStyle name="Normal 6 2 2 5 4 2" xfId="16396"/>
    <cellStyle name="Normal 6 2 2 5 4 2 2" xfId="39255"/>
    <cellStyle name="Normal 6 2 2 5 4 3" xfId="26953"/>
    <cellStyle name="Normal 6 2 2 5 5" xfId="7607"/>
    <cellStyle name="Normal 6 2 2 5 5 2" xfId="19911"/>
    <cellStyle name="Normal 6 2 2 5 5 2 2" xfId="42770"/>
    <cellStyle name="Normal 6 2 2 5 5 3" xfId="30468"/>
    <cellStyle name="Normal 6 2 2 5 6" xfId="11122"/>
    <cellStyle name="Normal 6 2 2 5 6 2" xfId="33982"/>
    <cellStyle name="Normal 6 2 2 5 7" xfId="12881"/>
    <cellStyle name="Normal 6 2 2 5 7 2" xfId="35740"/>
    <cellStyle name="Normal 6 2 2 5 8" xfId="23437"/>
    <cellStyle name="Normal 6 2 2 6" xfId="1013"/>
    <cellStyle name="Normal 6 2 2 6 2" xfId="2774"/>
    <cellStyle name="Normal 6 2 2 6 2 2" xfId="6289"/>
    <cellStyle name="Normal 6 2 2 6 2 2 2" xfId="18593"/>
    <cellStyle name="Normal 6 2 2 6 2 2 2 2" xfId="41452"/>
    <cellStyle name="Normal 6 2 2 6 2 2 3" xfId="29150"/>
    <cellStyle name="Normal 6 2 2 6 2 3" xfId="9804"/>
    <cellStyle name="Normal 6 2 2 6 2 3 2" xfId="22108"/>
    <cellStyle name="Normal 6 2 2 6 2 3 2 2" xfId="44967"/>
    <cellStyle name="Normal 6 2 2 6 2 3 3" xfId="32665"/>
    <cellStyle name="Normal 6 2 2 6 2 4" xfId="15078"/>
    <cellStyle name="Normal 6 2 2 6 2 4 2" xfId="37937"/>
    <cellStyle name="Normal 6 2 2 6 2 5" xfId="25635"/>
    <cellStyle name="Normal 6 2 2 6 3" xfId="4531"/>
    <cellStyle name="Normal 6 2 2 6 3 2" xfId="16835"/>
    <cellStyle name="Normal 6 2 2 6 3 2 2" xfId="39694"/>
    <cellStyle name="Normal 6 2 2 6 3 3" xfId="27392"/>
    <cellStyle name="Normal 6 2 2 6 4" xfId="8046"/>
    <cellStyle name="Normal 6 2 2 6 4 2" xfId="20350"/>
    <cellStyle name="Normal 6 2 2 6 4 2 2" xfId="43209"/>
    <cellStyle name="Normal 6 2 2 6 4 3" xfId="30907"/>
    <cellStyle name="Normal 6 2 2 6 5" xfId="11561"/>
    <cellStyle name="Normal 6 2 2 6 5 2" xfId="34421"/>
    <cellStyle name="Normal 6 2 2 6 6" xfId="13320"/>
    <cellStyle name="Normal 6 2 2 6 6 2" xfId="36179"/>
    <cellStyle name="Normal 6 2 2 6 7" xfId="23876"/>
    <cellStyle name="Normal 6 2 2 7" xfId="1896"/>
    <cellStyle name="Normal 6 2 2 7 2" xfId="5411"/>
    <cellStyle name="Normal 6 2 2 7 2 2" xfId="17715"/>
    <cellStyle name="Normal 6 2 2 7 2 2 2" xfId="40574"/>
    <cellStyle name="Normal 6 2 2 7 2 3" xfId="28272"/>
    <cellStyle name="Normal 6 2 2 7 3" xfId="8926"/>
    <cellStyle name="Normal 6 2 2 7 3 2" xfId="21230"/>
    <cellStyle name="Normal 6 2 2 7 3 2 2" xfId="44089"/>
    <cellStyle name="Normal 6 2 2 7 3 3" xfId="31787"/>
    <cellStyle name="Normal 6 2 2 7 4" xfId="14200"/>
    <cellStyle name="Normal 6 2 2 7 4 2" xfId="37059"/>
    <cellStyle name="Normal 6 2 2 7 5" xfId="24757"/>
    <cellStyle name="Normal 6 2 2 8" xfId="3653"/>
    <cellStyle name="Normal 6 2 2 8 2" xfId="15957"/>
    <cellStyle name="Normal 6 2 2 8 2 2" xfId="38816"/>
    <cellStyle name="Normal 6 2 2 8 3" xfId="26514"/>
    <cellStyle name="Normal 6 2 2 9" xfId="7168"/>
    <cellStyle name="Normal 6 2 2 9 2" xfId="19472"/>
    <cellStyle name="Normal 6 2 2 9 2 2" xfId="42331"/>
    <cellStyle name="Normal 6 2 2 9 3" xfId="30029"/>
    <cellStyle name="Normal 6 2 3" xfId="158"/>
    <cellStyle name="Normal 6 2 3 10" xfId="12470"/>
    <cellStyle name="Normal 6 2 3 10 2" xfId="35329"/>
    <cellStyle name="Normal 6 2 3 11" xfId="23024"/>
    <cellStyle name="Normal 6 2 3 2" xfId="266"/>
    <cellStyle name="Normal 6 2 3 2 10" xfId="23131"/>
    <cellStyle name="Normal 6 2 3 2 2" xfId="478"/>
    <cellStyle name="Normal 6 2 3 2 2 2" xfId="919"/>
    <cellStyle name="Normal 6 2 3 2 2 2 2" xfId="1798"/>
    <cellStyle name="Normal 6 2 3 2 2 2 2 2" xfId="3559"/>
    <cellStyle name="Normal 6 2 3 2 2 2 2 2 2" xfId="7074"/>
    <cellStyle name="Normal 6 2 3 2 2 2 2 2 2 2" xfId="19378"/>
    <cellStyle name="Normal 6 2 3 2 2 2 2 2 2 2 2" xfId="42237"/>
    <cellStyle name="Normal 6 2 3 2 2 2 2 2 2 3" xfId="29935"/>
    <cellStyle name="Normal 6 2 3 2 2 2 2 2 3" xfId="10589"/>
    <cellStyle name="Normal 6 2 3 2 2 2 2 2 3 2" xfId="22893"/>
    <cellStyle name="Normal 6 2 3 2 2 2 2 2 3 2 2" xfId="45752"/>
    <cellStyle name="Normal 6 2 3 2 2 2 2 2 3 3" xfId="33450"/>
    <cellStyle name="Normal 6 2 3 2 2 2 2 2 4" xfId="15863"/>
    <cellStyle name="Normal 6 2 3 2 2 2 2 2 4 2" xfId="38722"/>
    <cellStyle name="Normal 6 2 3 2 2 2 2 2 5" xfId="26420"/>
    <cellStyle name="Normal 6 2 3 2 2 2 2 3" xfId="5316"/>
    <cellStyle name="Normal 6 2 3 2 2 2 2 3 2" xfId="17620"/>
    <cellStyle name="Normal 6 2 3 2 2 2 2 3 2 2" xfId="40479"/>
    <cellStyle name="Normal 6 2 3 2 2 2 2 3 3" xfId="28177"/>
    <cellStyle name="Normal 6 2 3 2 2 2 2 4" xfId="8831"/>
    <cellStyle name="Normal 6 2 3 2 2 2 2 4 2" xfId="21135"/>
    <cellStyle name="Normal 6 2 3 2 2 2 2 4 2 2" xfId="43994"/>
    <cellStyle name="Normal 6 2 3 2 2 2 2 4 3" xfId="31692"/>
    <cellStyle name="Normal 6 2 3 2 2 2 2 5" xfId="12346"/>
    <cellStyle name="Normal 6 2 3 2 2 2 2 5 2" xfId="35206"/>
    <cellStyle name="Normal 6 2 3 2 2 2 2 6" xfId="14105"/>
    <cellStyle name="Normal 6 2 3 2 2 2 2 6 2" xfId="36964"/>
    <cellStyle name="Normal 6 2 3 2 2 2 2 7" xfId="24661"/>
    <cellStyle name="Normal 6 2 3 2 2 2 3" xfId="2681"/>
    <cellStyle name="Normal 6 2 3 2 2 2 3 2" xfId="6196"/>
    <cellStyle name="Normal 6 2 3 2 2 2 3 2 2" xfId="18500"/>
    <cellStyle name="Normal 6 2 3 2 2 2 3 2 2 2" xfId="41359"/>
    <cellStyle name="Normal 6 2 3 2 2 2 3 2 3" xfId="29057"/>
    <cellStyle name="Normal 6 2 3 2 2 2 3 3" xfId="9711"/>
    <cellStyle name="Normal 6 2 3 2 2 2 3 3 2" xfId="22015"/>
    <cellStyle name="Normal 6 2 3 2 2 2 3 3 2 2" xfId="44874"/>
    <cellStyle name="Normal 6 2 3 2 2 2 3 3 3" xfId="32572"/>
    <cellStyle name="Normal 6 2 3 2 2 2 3 4" xfId="14985"/>
    <cellStyle name="Normal 6 2 3 2 2 2 3 4 2" xfId="37844"/>
    <cellStyle name="Normal 6 2 3 2 2 2 3 5" xfId="25542"/>
    <cellStyle name="Normal 6 2 3 2 2 2 4" xfId="4438"/>
    <cellStyle name="Normal 6 2 3 2 2 2 4 2" xfId="16742"/>
    <cellStyle name="Normal 6 2 3 2 2 2 4 2 2" xfId="39601"/>
    <cellStyle name="Normal 6 2 3 2 2 2 4 3" xfId="27299"/>
    <cellStyle name="Normal 6 2 3 2 2 2 5" xfId="7953"/>
    <cellStyle name="Normal 6 2 3 2 2 2 5 2" xfId="20257"/>
    <cellStyle name="Normal 6 2 3 2 2 2 5 2 2" xfId="43116"/>
    <cellStyle name="Normal 6 2 3 2 2 2 5 3" xfId="30814"/>
    <cellStyle name="Normal 6 2 3 2 2 2 6" xfId="11468"/>
    <cellStyle name="Normal 6 2 3 2 2 2 6 2" xfId="34328"/>
    <cellStyle name="Normal 6 2 3 2 2 2 7" xfId="13227"/>
    <cellStyle name="Normal 6 2 3 2 2 2 7 2" xfId="36086"/>
    <cellStyle name="Normal 6 2 3 2 2 2 8" xfId="23783"/>
    <cellStyle name="Normal 6 2 3 2 2 3" xfId="1359"/>
    <cellStyle name="Normal 6 2 3 2 2 3 2" xfId="3120"/>
    <cellStyle name="Normal 6 2 3 2 2 3 2 2" xfId="6635"/>
    <cellStyle name="Normal 6 2 3 2 2 3 2 2 2" xfId="18939"/>
    <cellStyle name="Normal 6 2 3 2 2 3 2 2 2 2" xfId="41798"/>
    <cellStyle name="Normal 6 2 3 2 2 3 2 2 3" xfId="29496"/>
    <cellStyle name="Normal 6 2 3 2 2 3 2 3" xfId="10150"/>
    <cellStyle name="Normal 6 2 3 2 2 3 2 3 2" xfId="22454"/>
    <cellStyle name="Normal 6 2 3 2 2 3 2 3 2 2" xfId="45313"/>
    <cellStyle name="Normal 6 2 3 2 2 3 2 3 3" xfId="33011"/>
    <cellStyle name="Normal 6 2 3 2 2 3 2 4" xfId="15424"/>
    <cellStyle name="Normal 6 2 3 2 2 3 2 4 2" xfId="38283"/>
    <cellStyle name="Normal 6 2 3 2 2 3 2 5" xfId="25981"/>
    <cellStyle name="Normal 6 2 3 2 2 3 3" xfId="4877"/>
    <cellStyle name="Normal 6 2 3 2 2 3 3 2" xfId="17181"/>
    <cellStyle name="Normal 6 2 3 2 2 3 3 2 2" xfId="40040"/>
    <cellStyle name="Normal 6 2 3 2 2 3 3 3" xfId="27738"/>
    <cellStyle name="Normal 6 2 3 2 2 3 4" xfId="8392"/>
    <cellStyle name="Normal 6 2 3 2 2 3 4 2" xfId="20696"/>
    <cellStyle name="Normal 6 2 3 2 2 3 4 2 2" xfId="43555"/>
    <cellStyle name="Normal 6 2 3 2 2 3 4 3" xfId="31253"/>
    <cellStyle name="Normal 6 2 3 2 2 3 5" xfId="11907"/>
    <cellStyle name="Normal 6 2 3 2 2 3 5 2" xfId="34767"/>
    <cellStyle name="Normal 6 2 3 2 2 3 6" xfId="13666"/>
    <cellStyle name="Normal 6 2 3 2 2 3 6 2" xfId="36525"/>
    <cellStyle name="Normal 6 2 3 2 2 3 7" xfId="24222"/>
    <cellStyle name="Normal 6 2 3 2 2 4" xfId="2242"/>
    <cellStyle name="Normal 6 2 3 2 2 4 2" xfId="5757"/>
    <cellStyle name="Normal 6 2 3 2 2 4 2 2" xfId="18061"/>
    <cellStyle name="Normal 6 2 3 2 2 4 2 2 2" xfId="40920"/>
    <cellStyle name="Normal 6 2 3 2 2 4 2 3" xfId="28618"/>
    <cellStyle name="Normal 6 2 3 2 2 4 3" xfId="9272"/>
    <cellStyle name="Normal 6 2 3 2 2 4 3 2" xfId="21576"/>
    <cellStyle name="Normal 6 2 3 2 2 4 3 2 2" xfId="44435"/>
    <cellStyle name="Normal 6 2 3 2 2 4 3 3" xfId="32133"/>
    <cellStyle name="Normal 6 2 3 2 2 4 4" xfId="14546"/>
    <cellStyle name="Normal 6 2 3 2 2 4 4 2" xfId="37405"/>
    <cellStyle name="Normal 6 2 3 2 2 4 5" xfId="25103"/>
    <cellStyle name="Normal 6 2 3 2 2 5" xfId="3999"/>
    <cellStyle name="Normal 6 2 3 2 2 5 2" xfId="16303"/>
    <cellStyle name="Normal 6 2 3 2 2 5 2 2" xfId="39162"/>
    <cellStyle name="Normal 6 2 3 2 2 5 3" xfId="26860"/>
    <cellStyle name="Normal 6 2 3 2 2 6" xfId="7514"/>
    <cellStyle name="Normal 6 2 3 2 2 6 2" xfId="19818"/>
    <cellStyle name="Normal 6 2 3 2 2 6 2 2" xfId="42677"/>
    <cellStyle name="Normal 6 2 3 2 2 6 3" xfId="30375"/>
    <cellStyle name="Normal 6 2 3 2 2 7" xfId="11029"/>
    <cellStyle name="Normal 6 2 3 2 2 7 2" xfId="33889"/>
    <cellStyle name="Normal 6 2 3 2 2 8" xfId="12788"/>
    <cellStyle name="Normal 6 2 3 2 2 8 2" xfId="35647"/>
    <cellStyle name="Normal 6 2 3 2 2 9" xfId="23343"/>
    <cellStyle name="Normal 6 2 3 2 3" xfId="707"/>
    <cellStyle name="Normal 6 2 3 2 3 2" xfId="1586"/>
    <cellStyle name="Normal 6 2 3 2 3 2 2" xfId="3347"/>
    <cellStyle name="Normal 6 2 3 2 3 2 2 2" xfId="6862"/>
    <cellStyle name="Normal 6 2 3 2 3 2 2 2 2" xfId="19166"/>
    <cellStyle name="Normal 6 2 3 2 3 2 2 2 2 2" xfId="42025"/>
    <cellStyle name="Normal 6 2 3 2 3 2 2 2 3" xfId="29723"/>
    <cellStyle name="Normal 6 2 3 2 3 2 2 3" xfId="10377"/>
    <cellStyle name="Normal 6 2 3 2 3 2 2 3 2" xfId="22681"/>
    <cellStyle name="Normal 6 2 3 2 3 2 2 3 2 2" xfId="45540"/>
    <cellStyle name="Normal 6 2 3 2 3 2 2 3 3" xfId="33238"/>
    <cellStyle name="Normal 6 2 3 2 3 2 2 4" xfId="15651"/>
    <cellStyle name="Normal 6 2 3 2 3 2 2 4 2" xfId="38510"/>
    <cellStyle name="Normal 6 2 3 2 3 2 2 5" xfId="26208"/>
    <cellStyle name="Normal 6 2 3 2 3 2 3" xfId="5104"/>
    <cellStyle name="Normal 6 2 3 2 3 2 3 2" xfId="17408"/>
    <cellStyle name="Normal 6 2 3 2 3 2 3 2 2" xfId="40267"/>
    <cellStyle name="Normal 6 2 3 2 3 2 3 3" xfId="27965"/>
    <cellStyle name="Normal 6 2 3 2 3 2 4" xfId="8619"/>
    <cellStyle name="Normal 6 2 3 2 3 2 4 2" xfId="20923"/>
    <cellStyle name="Normal 6 2 3 2 3 2 4 2 2" xfId="43782"/>
    <cellStyle name="Normal 6 2 3 2 3 2 4 3" xfId="31480"/>
    <cellStyle name="Normal 6 2 3 2 3 2 5" xfId="12134"/>
    <cellStyle name="Normal 6 2 3 2 3 2 5 2" xfId="34994"/>
    <cellStyle name="Normal 6 2 3 2 3 2 6" xfId="13893"/>
    <cellStyle name="Normal 6 2 3 2 3 2 6 2" xfId="36752"/>
    <cellStyle name="Normal 6 2 3 2 3 2 7" xfId="24449"/>
    <cellStyle name="Normal 6 2 3 2 3 3" xfId="2469"/>
    <cellStyle name="Normal 6 2 3 2 3 3 2" xfId="5984"/>
    <cellStyle name="Normal 6 2 3 2 3 3 2 2" xfId="18288"/>
    <cellStyle name="Normal 6 2 3 2 3 3 2 2 2" xfId="41147"/>
    <cellStyle name="Normal 6 2 3 2 3 3 2 3" xfId="28845"/>
    <cellStyle name="Normal 6 2 3 2 3 3 3" xfId="9499"/>
    <cellStyle name="Normal 6 2 3 2 3 3 3 2" xfId="21803"/>
    <cellStyle name="Normal 6 2 3 2 3 3 3 2 2" xfId="44662"/>
    <cellStyle name="Normal 6 2 3 2 3 3 3 3" xfId="32360"/>
    <cellStyle name="Normal 6 2 3 2 3 3 4" xfId="14773"/>
    <cellStyle name="Normal 6 2 3 2 3 3 4 2" xfId="37632"/>
    <cellStyle name="Normal 6 2 3 2 3 3 5" xfId="25330"/>
    <cellStyle name="Normal 6 2 3 2 3 4" xfId="4226"/>
    <cellStyle name="Normal 6 2 3 2 3 4 2" xfId="16530"/>
    <cellStyle name="Normal 6 2 3 2 3 4 2 2" xfId="39389"/>
    <cellStyle name="Normal 6 2 3 2 3 4 3" xfId="27087"/>
    <cellStyle name="Normal 6 2 3 2 3 5" xfId="7741"/>
    <cellStyle name="Normal 6 2 3 2 3 5 2" xfId="20045"/>
    <cellStyle name="Normal 6 2 3 2 3 5 2 2" xfId="42904"/>
    <cellStyle name="Normal 6 2 3 2 3 5 3" xfId="30602"/>
    <cellStyle name="Normal 6 2 3 2 3 6" xfId="11256"/>
    <cellStyle name="Normal 6 2 3 2 3 6 2" xfId="34116"/>
    <cellStyle name="Normal 6 2 3 2 3 7" xfId="13015"/>
    <cellStyle name="Normal 6 2 3 2 3 7 2" xfId="35874"/>
    <cellStyle name="Normal 6 2 3 2 3 8" xfId="23571"/>
    <cellStyle name="Normal 6 2 3 2 4" xfId="1147"/>
    <cellStyle name="Normal 6 2 3 2 4 2" xfId="2908"/>
    <cellStyle name="Normal 6 2 3 2 4 2 2" xfId="6423"/>
    <cellStyle name="Normal 6 2 3 2 4 2 2 2" xfId="18727"/>
    <cellStyle name="Normal 6 2 3 2 4 2 2 2 2" xfId="41586"/>
    <cellStyle name="Normal 6 2 3 2 4 2 2 3" xfId="29284"/>
    <cellStyle name="Normal 6 2 3 2 4 2 3" xfId="9938"/>
    <cellStyle name="Normal 6 2 3 2 4 2 3 2" xfId="22242"/>
    <cellStyle name="Normal 6 2 3 2 4 2 3 2 2" xfId="45101"/>
    <cellStyle name="Normal 6 2 3 2 4 2 3 3" xfId="32799"/>
    <cellStyle name="Normal 6 2 3 2 4 2 4" xfId="15212"/>
    <cellStyle name="Normal 6 2 3 2 4 2 4 2" xfId="38071"/>
    <cellStyle name="Normal 6 2 3 2 4 2 5" xfId="25769"/>
    <cellStyle name="Normal 6 2 3 2 4 3" xfId="4665"/>
    <cellStyle name="Normal 6 2 3 2 4 3 2" xfId="16969"/>
    <cellStyle name="Normal 6 2 3 2 4 3 2 2" xfId="39828"/>
    <cellStyle name="Normal 6 2 3 2 4 3 3" xfId="27526"/>
    <cellStyle name="Normal 6 2 3 2 4 4" xfId="8180"/>
    <cellStyle name="Normal 6 2 3 2 4 4 2" xfId="20484"/>
    <cellStyle name="Normal 6 2 3 2 4 4 2 2" xfId="43343"/>
    <cellStyle name="Normal 6 2 3 2 4 4 3" xfId="31041"/>
    <cellStyle name="Normal 6 2 3 2 4 5" xfId="11695"/>
    <cellStyle name="Normal 6 2 3 2 4 5 2" xfId="34555"/>
    <cellStyle name="Normal 6 2 3 2 4 6" xfId="13454"/>
    <cellStyle name="Normal 6 2 3 2 4 6 2" xfId="36313"/>
    <cellStyle name="Normal 6 2 3 2 4 7" xfId="24010"/>
    <cellStyle name="Normal 6 2 3 2 5" xfId="2030"/>
    <cellStyle name="Normal 6 2 3 2 5 2" xfId="5545"/>
    <cellStyle name="Normal 6 2 3 2 5 2 2" xfId="17849"/>
    <cellStyle name="Normal 6 2 3 2 5 2 2 2" xfId="40708"/>
    <cellStyle name="Normal 6 2 3 2 5 2 3" xfId="28406"/>
    <cellStyle name="Normal 6 2 3 2 5 3" xfId="9060"/>
    <cellStyle name="Normal 6 2 3 2 5 3 2" xfId="21364"/>
    <cellStyle name="Normal 6 2 3 2 5 3 2 2" xfId="44223"/>
    <cellStyle name="Normal 6 2 3 2 5 3 3" xfId="31921"/>
    <cellStyle name="Normal 6 2 3 2 5 4" xfId="14334"/>
    <cellStyle name="Normal 6 2 3 2 5 4 2" xfId="37193"/>
    <cellStyle name="Normal 6 2 3 2 5 5" xfId="24891"/>
    <cellStyle name="Normal 6 2 3 2 6" xfId="3787"/>
    <cellStyle name="Normal 6 2 3 2 6 2" xfId="16091"/>
    <cellStyle name="Normal 6 2 3 2 6 2 2" xfId="38950"/>
    <cellStyle name="Normal 6 2 3 2 6 3" xfId="26648"/>
    <cellStyle name="Normal 6 2 3 2 7" xfId="7302"/>
    <cellStyle name="Normal 6 2 3 2 7 2" xfId="19606"/>
    <cellStyle name="Normal 6 2 3 2 7 2 2" xfId="42465"/>
    <cellStyle name="Normal 6 2 3 2 7 3" xfId="30163"/>
    <cellStyle name="Normal 6 2 3 2 8" xfId="10817"/>
    <cellStyle name="Normal 6 2 3 2 8 2" xfId="33677"/>
    <cellStyle name="Normal 6 2 3 2 9" xfId="12576"/>
    <cellStyle name="Normal 6 2 3 2 9 2" xfId="35435"/>
    <cellStyle name="Normal 6 2 3 3" xfId="372"/>
    <cellStyle name="Normal 6 2 3 3 2" xfId="813"/>
    <cellStyle name="Normal 6 2 3 3 2 2" xfId="1692"/>
    <cellStyle name="Normal 6 2 3 3 2 2 2" xfId="3453"/>
    <cellStyle name="Normal 6 2 3 3 2 2 2 2" xfId="6968"/>
    <cellStyle name="Normal 6 2 3 3 2 2 2 2 2" xfId="19272"/>
    <cellStyle name="Normal 6 2 3 3 2 2 2 2 2 2" xfId="42131"/>
    <cellStyle name="Normal 6 2 3 3 2 2 2 2 3" xfId="29829"/>
    <cellStyle name="Normal 6 2 3 3 2 2 2 3" xfId="10483"/>
    <cellStyle name="Normal 6 2 3 3 2 2 2 3 2" xfId="22787"/>
    <cellStyle name="Normal 6 2 3 3 2 2 2 3 2 2" xfId="45646"/>
    <cellStyle name="Normal 6 2 3 3 2 2 2 3 3" xfId="33344"/>
    <cellStyle name="Normal 6 2 3 3 2 2 2 4" xfId="15757"/>
    <cellStyle name="Normal 6 2 3 3 2 2 2 4 2" xfId="38616"/>
    <cellStyle name="Normal 6 2 3 3 2 2 2 5" xfId="26314"/>
    <cellStyle name="Normal 6 2 3 3 2 2 3" xfId="5210"/>
    <cellStyle name="Normal 6 2 3 3 2 2 3 2" xfId="17514"/>
    <cellStyle name="Normal 6 2 3 3 2 2 3 2 2" xfId="40373"/>
    <cellStyle name="Normal 6 2 3 3 2 2 3 3" xfId="28071"/>
    <cellStyle name="Normal 6 2 3 3 2 2 4" xfId="8725"/>
    <cellStyle name="Normal 6 2 3 3 2 2 4 2" xfId="21029"/>
    <cellStyle name="Normal 6 2 3 3 2 2 4 2 2" xfId="43888"/>
    <cellStyle name="Normal 6 2 3 3 2 2 4 3" xfId="31586"/>
    <cellStyle name="Normal 6 2 3 3 2 2 5" xfId="12240"/>
    <cellStyle name="Normal 6 2 3 3 2 2 5 2" xfId="35100"/>
    <cellStyle name="Normal 6 2 3 3 2 2 6" xfId="13999"/>
    <cellStyle name="Normal 6 2 3 3 2 2 6 2" xfId="36858"/>
    <cellStyle name="Normal 6 2 3 3 2 2 7" xfId="24555"/>
    <cellStyle name="Normal 6 2 3 3 2 3" xfId="2575"/>
    <cellStyle name="Normal 6 2 3 3 2 3 2" xfId="6090"/>
    <cellStyle name="Normal 6 2 3 3 2 3 2 2" xfId="18394"/>
    <cellStyle name="Normal 6 2 3 3 2 3 2 2 2" xfId="41253"/>
    <cellStyle name="Normal 6 2 3 3 2 3 2 3" xfId="28951"/>
    <cellStyle name="Normal 6 2 3 3 2 3 3" xfId="9605"/>
    <cellStyle name="Normal 6 2 3 3 2 3 3 2" xfId="21909"/>
    <cellStyle name="Normal 6 2 3 3 2 3 3 2 2" xfId="44768"/>
    <cellStyle name="Normal 6 2 3 3 2 3 3 3" xfId="32466"/>
    <cellStyle name="Normal 6 2 3 3 2 3 4" xfId="14879"/>
    <cellStyle name="Normal 6 2 3 3 2 3 4 2" xfId="37738"/>
    <cellStyle name="Normal 6 2 3 3 2 3 5" xfId="25436"/>
    <cellStyle name="Normal 6 2 3 3 2 4" xfId="4332"/>
    <cellStyle name="Normal 6 2 3 3 2 4 2" xfId="16636"/>
    <cellStyle name="Normal 6 2 3 3 2 4 2 2" xfId="39495"/>
    <cellStyle name="Normal 6 2 3 3 2 4 3" xfId="27193"/>
    <cellStyle name="Normal 6 2 3 3 2 5" xfId="7847"/>
    <cellStyle name="Normal 6 2 3 3 2 5 2" xfId="20151"/>
    <cellStyle name="Normal 6 2 3 3 2 5 2 2" xfId="43010"/>
    <cellStyle name="Normal 6 2 3 3 2 5 3" xfId="30708"/>
    <cellStyle name="Normal 6 2 3 3 2 6" xfId="11362"/>
    <cellStyle name="Normal 6 2 3 3 2 6 2" xfId="34222"/>
    <cellStyle name="Normal 6 2 3 3 2 7" xfId="13121"/>
    <cellStyle name="Normal 6 2 3 3 2 7 2" xfId="35980"/>
    <cellStyle name="Normal 6 2 3 3 2 8" xfId="23677"/>
    <cellStyle name="Normal 6 2 3 3 3" xfId="1253"/>
    <cellStyle name="Normal 6 2 3 3 3 2" xfId="3014"/>
    <cellStyle name="Normal 6 2 3 3 3 2 2" xfId="6529"/>
    <cellStyle name="Normal 6 2 3 3 3 2 2 2" xfId="18833"/>
    <cellStyle name="Normal 6 2 3 3 3 2 2 2 2" xfId="41692"/>
    <cellStyle name="Normal 6 2 3 3 3 2 2 3" xfId="29390"/>
    <cellStyle name="Normal 6 2 3 3 3 2 3" xfId="10044"/>
    <cellStyle name="Normal 6 2 3 3 3 2 3 2" xfId="22348"/>
    <cellStyle name="Normal 6 2 3 3 3 2 3 2 2" xfId="45207"/>
    <cellStyle name="Normal 6 2 3 3 3 2 3 3" xfId="32905"/>
    <cellStyle name="Normal 6 2 3 3 3 2 4" xfId="15318"/>
    <cellStyle name="Normal 6 2 3 3 3 2 4 2" xfId="38177"/>
    <cellStyle name="Normal 6 2 3 3 3 2 5" xfId="25875"/>
    <cellStyle name="Normal 6 2 3 3 3 3" xfId="4771"/>
    <cellStyle name="Normal 6 2 3 3 3 3 2" xfId="17075"/>
    <cellStyle name="Normal 6 2 3 3 3 3 2 2" xfId="39934"/>
    <cellStyle name="Normal 6 2 3 3 3 3 3" xfId="27632"/>
    <cellStyle name="Normal 6 2 3 3 3 4" xfId="8286"/>
    <cellStyle name="Normal 6 2 3 3 3 4 2" xfId="20590"/>
    <cellStyle name="Normal 6 2 3 3 3 4 2 2" xfId="43449"/>
    <cellStyle name="Normal 6 2 3 3 3 4 3" xfId="31147"/>
    <cellStyle name="Normal 6 2 3 3 3 5" xfId="11801"/>
    <cellStyle name="Normal 6 2 3 3 3 5 2" xfId="34661"/>
    <cellStyle name="Normal 6 2 3 3 3 6" xfId="13560"/>
    <cellStyle name="Normal 6 2 3 3 3 6 2" xfId="36419"/>
    <cellStyle name="Normal 6 2 3 3 3 7" xfId="24116"/>
    <cellStyle name="Normal 6 2 3 3 4" xfId="2136"/>
    <cellStyle name="Normal 6 2 3 3 4 2" xfId="5651"/>
    <cellStyle name="Normal 6 2 3 3 4 2 2" xfId="17955"/>
    <cellStyle name="Normal 6 2 3 3 4 2 2 2" xfId="40814"/>
    <cellStyle name="Normal 6 2 3 3 4 2 3" xfId="28512"/>
    <cellStyle name="Normal 6 2 3 3 4 3" xfId="9166"/>
    <cellStyle name="Normal 6 2 3 3 4 3 2" xfId="21470"/>
    <cellStyle name="Normal 6 2 3 3 4 3 2 2" xfId="44329"/>
    <cellStyle name="Normal 6 2 3 3 4 3 3" xfId="32027"/>
    <cellStyle name="Normal 6 2 3 3 4 4" xfId="14440"/>
    <cellStyle name="Normal 6 2 3 3 4 4 2" xfId="37299"/>
    <cellStyle name="Normal 6 2 3 3 4 5" xfId="24997"/>
    <cellStyle name="Normal 6 2 3 3 5" xfId="3893"/>
    <cellStyle name="Normal 6 2 3 3 5 2" xfId="16197"/>
    <cellStyle name="Normal 6 2 3 3 5 2 2" xfId="39056"/>
    <cellStyle name="Normal 6 2 3 3 5 3" xfId="26754"/>
    <cellStyle name="Normal 6 2 3 3 6" xfId="7408"/>
    <cellStyle name="Normal 6 2 3 3 6 2" xfId="19712"/>
    <cellStyle name="Normal 6 2 3 3 6 2 2" xfId="42571"/>
    <cellStyle name="Normal 6 2 3 3 6 3" xfId="30269"/>
    <cellStyle name="Normal 6 2 3 3 7" xfId="10923"/>
    <cellStyle name="Normal 6 2 3 3 7 2" xfId="33783"/>
    <cellStyle name="Normal 6 2 3 3 8" xfId="12682"/>
    <cellStyle name="Normal 6 2 3 3 8 2" xfId="35541"/>
    <cellStyle name="Normal 6 2 3 3 9" xfId="23237"/>
    <cellStyle name="Normal 6 2 3 4" xfId="601"/>
    <cellStyle name="Normal 6 2 3 4 2" xfId="1480"/>
    <cellStyle name="Normal 6 2 3 4 2 2" xfId="3241"/>
    <cellStyle name="Normal 6 2 3 4 2 2 2" xfId="6756"/>
    <cellStyle name="Normal 6 2 3 4 2 2 2 2" xfId="19060"/>
    <cellStyle name="Normal 6 2 3 4 2 2 2 2 2" xfId="41919"/>
    <cellStyle name="Normal 6 2 3 4 2 2 2 3" xfId="29617"/>
    <cellStyle name="Normal 6 2 3 4 2 2 3" xfId="10271"/>
    <cellStyle name="Normal 6 2 3 4 2 2 3 2" xfId="22575"/>
    <cellStyle name="Normal 6 2 3 4 2 2 3 2 2" xfId="45434"/>
    <cellStyle name="Normal 6 2 3 4 2 2 3 3" xfId="33132"/>
    <cellStyle name="Normal 6 2 3 4 2 2 4" xfId="15545"/>
    <cellStyle name="Normal 6 2 3 4 2 2 4 2" xfId="38404"/>
    <cellStyle name="Normal 6 2 3 4 2 2 5" xfId="26102"/>
    <cellStyle name="Normal 6 2 3 4 2 3" xfId="4998"/>
    <cellStyle name="Normal 6 2 3 4 2 3 2" xfId="17302"/>
    <cellStyle name="Normal 6 2 3 4 2 3 2 2" xfId="40161"/>
    <cellStyle name="Normal 6 2 3 4 2 3 3" xfId="27859"/>
    <cellStyle name="Normal 6 2 3 4 2 4" xfId="8513"/>
    <cellStyle name="Normal 6 2 3 4 2 4 2" xfId="20817"/>
    <cellStyle name="Normal 6 2 3 4 2 4 2 2" xfId="43676"/>
    <cellStyle name="Normal 6 2 3 4 2 4 3" xfId="31374"/>
    <cellStyle name="Normal 6 2 3 4 2 5" xfId="12028"/>
    <cellStyle name="Normal 6 2 3 4 2 5 2" xfId="34888"/>
    <cellStyle name="Normal 6 2 3 4 2 6" xfId="13787"/>
    <cellStyle name="Normal 6 2 3 4 2 6 2" xfId="36646"/>
    <cellStyle name="Normal 6 2 3 4 2 7" xfId="24343"/>
    <cellStyle name="Normal 6 2 3 4 3" xfId="2363"/>
    <cellStyle name="Normal 6 2 3 4 3 2" xfId="5878"/>
    <cellStyle name="Normal 6 2 3 4 3 2 2" xfId="18182"/>
    <cellStyle name="Normal 6 2 3 4 3 2 2 2" xfId="41041"/>
    <cellStyle name="Normal 6 2 3 4 3 2 3" xfId="28739"/>
    <cellStyle name="Normal 6 2 3 4 3 3" xfId="9393"/>
    <cellStyle name="Normal 6 2 3 4 3 3 2" xfId="21697"/>
    <cellStyle name="Normal 6 2 3 4 3 3 2 2" xfId="44556"/>
    <cellStyle name="Normal 6 2 3 4 3 3 3" xfId="32254"/>
    <cellStyle name="Normal 6 2 3 4 3 4" xfId="14667"/>
    <cellStyle name="Normal 6 2 3 4 3 4 2" xfId="37526"/>
    <cellStyle name="Normal 6 2 3 4 3 5" xfId="25224"/>
    <cellStyle name="Normal 6 2 3 4 4" xfId="4120"/>
    <cellStyle name="Normal 6 2 3 4 4 2" xfId="16424"/>
    <cellStyle name="Normal 6 2 3 4 4 2 2" xfId="39283"/>
    <cellStyle name="Normal 6 2 3 4 4 3" xfId="26981"/>
    <cellStyle name="Normal 6 2 3 4 5" xfId="7635"/>
    <cellStyle name="Normal 6 2 3 4 5 2" xfId="19939"/>
    <cellStyle name="Normal 6 2 3 4 5 2 2" xfId="42798"/>
    <cellStyle name="Normal 6 2 3 4 5 3" xfId="30496"/>
    <cellStyle name="Normal 6 2 3 4 6" xfId="11150"/>
    <cellStyle name="Normal 6 2 3 4 6 2" xfId="34010"/>
    <cellStyle name="Normal 6 2 3 4 7" xfId="12909"/>
    <cellStyle name="Normal 6 2 3 4 7 2" xfId="35768"/>
    <cellStyle name="Normal 6 2 3 4 8" xfId="23465"/>
    <cellStyle name="Normal 6 2 3 5" xfId="1041"/>
    <cellStyle name="Normal 6 2 3 5 2" xfId="2802"/>
    <cellStyle name="Normal 6 2 3 5 2 2" xfId="6317"/>
    <cellStyle name="Normal 6 2 3 5 2 2 2" xfId="18621"/>
    <cellStyle name="Normal 6 2 3 5 2 2 2 2" xfId="41480"/>
    <cellStyle name="Normal 6 2 3 5 2 2 3" xfId="29178"/>
    <cellStyle name="Normal 6 2 3 5 2 3" xfId="9832"/>
    <cellStyle name="Normal 6 2 3 5 2 3 2" xfId="22136"/>
    <cellStyle name="Normal 6 2 3 5 2 3 2 2" xfId="44995"/>
    <cellStyle name="Normal 6 2 3 5 2 3 3" xfId="32693"/>
    <cellStyle name="Normal 6 2 3 5 2 4" xfId="15106"/>
    <cellStyle name="Normal 6 2 3 5 2 4 2" xfId="37965"/>
    <cellStyle name="Normal 6 2 3 5 2 5" xfId="25663"/>
    <cellStyle name="Normal 6 2 3 5 3" xfId="4559"/>
    <cellStyle name="Normal 6 2 3 5 3 2" xfId="16863"/>
    <cellStyle name="Normal 6 2 3 5 3 2 2" xfId="39722"/>
    <cellStyle name="Normal 6 2 3 5 3 3" xfId="27420"/>
    <cellStyle name="Normal 6 2 3 5 4" xfId="8074"/>
    <cellStyle name="Normal 6 2 3 5 4 2" xfId="20378"/>
    <cellStyle name="Normal 6 2 3 5 4 2 2" xfId="43237"/>
    <cellStyle name="Normal 6 2 3 5 4 3" xfId="30935"/>
    <cellStyle name="Normal 6 2 3 5 5" xfId="11589"/>
    <cellStyle name="Normal 6 2 3 5 5 2" xfId="34449"/>
    <cellStyle name="Normal 6 2 3 5 6" xfId="13348"/>
    <cellStyle name="Normal 6 2 3 5 6 2" xfId="36207"/>
    <cellStyle name="Normal 6 2 3 5 7" xfId="23904"/>
    <cellStyle name="Normal 6 2 3 6" xfId="1924"/>
    <cellStyle name="Normal 6 2 3 6 2" xfId="5439"/>
    <cellStyle name="Normal 6 2 3 6 2 2" xfId="17743"/>
    <cellStyle name="Normal 6 2 3 6 2 2 2" xfId="40602"/>
    <cellStyle name="Normal 6 2 3 6 2 3" xfId="28300"/>
    <cellStyle name="Normal 6 2 3 6 3" xfId="8954"/>
    <cellStyle name="Normal 6 2 3 6 3 2" xfId="21258"/>
    <cellStyle name="Normal 6 2 3 6 3 2 2" xfId="44117"/>
    <cellStyle name="Normal 6 2 3 6 3 3" xfId="31815"/>
    <cellStyle name="Normal 6 2 3 6 4" xfId="14228"/>
    <cellStyle name="Normal 6 2 3 6 4 2" xfId="37087"/>
    <cellStyle name="Normal 6 2 3 6 5" xfId="24785"/>
    <cellStyle name="Normal 6 2 3 7" xfId="3681"/>
    <cellStyle name="Normal 6 2 3 7 2" xfId="15985"/>
    <cellStyle name="Normal 6 2 3 7 2 2" xfId="38844"/>
    <cellStyle name="Normal 6 2 3 7 3" xfId="26542"/>
    <cellStyle name="Normal 6 2 3 8" xfId="7196"/>
    <cellStyle name="Normal 6 2 3 8 2" xfId="19500"/>
    <cellStyle name="Normal 6 2 3 8 2 2" xfId="42359"/>
    <cellStyle name="Normal 6 2 3 8 3" xfId="30057"/>
    <cellStyle name="Normal 6 2 3 9" xfId="10711"/>
    <cellStyle name="Normal 6 2 3 9 2" xfId="33571"/>
    <cellStyle name="Normal 6 2 4" xfId="212"/>
    <cellStyle name="Normal 6 2 4 10" xfId="23077"/>
    <cellStyle name="Normal 6 2 4 2" xfId="424"/>
    <cellStyle name="Normal 6 2 4 2 2" xfId="865"/>
    <cellStyle name="Normal 6 2 4 2 2 2" xfId="1744"/>
    <cellStyle name="Normal 6 2 4 2 2 2 2" xfId="3505"/>
    <cellStyle name="Normal 6 2 4 2 2 2 2 2" xfId="7020"/>
    <cellStyle name="Normal 6 2 4 2 2 2 2 2 2" xfId="19324"/>
    <cellStyle name="Normal 6 2 4 2 2 2 2 2 2 2" xfId="42183"/>
    <cellStyle name="Normal 6 2 4 2 2 2 2 2 3" xfId="29881"/>
    <cellStyle name="Normal 6 2 4 2 2 2 2 3" xfId="10535"/>
    <cellStyle name="Normal 6 2 4 2 2 2 2 3 2" xfId="22839"/>
    <cellStyle name="Normal 6 2 4 2 2 2 2 3 2 2" xfId="45698"/>
    <cellStyle name="Normal 6 2 4 2 2 2 2 3 3" xfId="33396"/>
    <cellStyle name="Normal 6 2 4 2 2 2 2 4" xfId="15809"/>
    <cellStyle name="Normal 6 2 4 2 2 2 2 4 2" xfId="38668"/>
    <cellStyle name="Normal 6 2 4 2 2 2 2 5" xfId="26366"/>
    <cellStyle name="Normal 6 2 4 2 2 2 3" xfId="5262"/>
    <cellStyle name="Normal 6 2 4 2 2 2 3 2" xfId="17566"/>
    <cellStyle name="Normal 6 2 4 2 2 2 3 2 2" xfId="40425"/>
    <cellStyle name="Normal 6 2 4 2 2 2 3 3" xfId="28123"/>
    <cellStyle name="Normal 6 2 4 2 2 2 4" xfId="8777"/>
    <cellStyle name="Normal 6 2 4 2 2 2 4 2" xfId="21081"/>
    <cellStyle name="Normal 6 2 4 2 2 2 4 2 2" xfId="43940"/>
    <cellStyle name="Normal 6 2 4 2 2 2 4 3" xfId="31638"/>
    <cellStyle name="Normal 6 2 4 2 2 2 5" xfId="12292"/>
    <cellStyle name="Normal 6 2 4 2 2 2 5 2" xfId="35152"/>
    <cellStyle name="Normal 6 2 4 2 2 2 6" xfId="14051"/>
    <cellStyle name="Normal 6 2 4 2 2 2 6 2" xfId="36910"/>
    <cellStyle name="Normal 6 2 4 2 2 2 7" xfId="24607"/>
    <cellStyle name="Normal 6 2 4 2 2 3" xfId="2627"/>
    <cellStyle name="Normal 6 2 4 2 2 3 2" xfId="6142"/>
    <cellStyle name="Normal 6 2 4 2 2 3 2 2" xfId="18446"/>
    <cellStyle name="Normal 6 2 4 2 2 3 2 2 2" xfId="41305"/>
    <cellStyle name="Normal 6 2 4 2 2 3 2 3" xfId="29003"/>
    <cellStyle name="Normal 6 2 4 2 2 3 3" xfId="9657"/>
    <cellStyle name="Normal 6 2 4 2 2 3 3 2" xfId="21961"/>
    <cellStyle name="Normal 6 2 4 2 2 3 3 2 2" xfId="44820"/>
    <cellStyle name="Normal 6 2 4 2 2 3 3 3" xfId="32518"/>
    <cellStyle name="Normal 6 2 4 2 2 3 4" xfId="14931"/>
    <cellStyle name="Normal 6 2 4 2 2 3 4 2" xfId="37790"/>
    <cellStyle name="Normal 6 2 4 2 2 3 5" xfId="25488"/>
    <cellStyle name="Normal 6 2 4 2 2 4" xfId="4384"/>
    <cellStyle name="Normal 6 2 4 2 2 4 2" xfId="16688"/>
    <cellStyle name="Normal 6 2 4 2 2 4 2 2" xfId="39547"/>
    <cellStyle name="Normal 6 2 4 2 2 4 3" xfId="27245"/>
    <cellStyle name="Normal 6 2 4 2 2 5" xfId="7899"/>
    <cellStyle name="Normal 6 2 4 2 2 5 2" xfId="20203"/>
    <cellStyle name="Normal 6 2 4 2 2 5 2 2" xfId="43062"/>
    <cellStyle name="Normal 6 2 4 2 2 5 3" xfId="30760"/>
    <cellStyle name="Normal 6 2 4 2 2 6" xfId="11414"/>
    <cellStyle name="Normal 6 2 4 2 2 6 2" xfId="34274"/>
    <cellStyle name="Normal 6 2 4 2 2 7" xfId="13173"/>
    <cellStyle name="Normal 6 2 4 2 2 7 2" xfId="36032"/>
    <cellStyle name="Normal 6 2 4 2 2 8" xfId="23729"/>
    <cellStyle name="Normal 6 2 4 2 3" xfId="1305"/>
    <cellStyle name="Normal 6 2 4 2 3 2" xfId="3066"/>
    <cellStyle name="Normal 6 2 4 2 3 2 2" xfId="6581"/>
    <cellStyle name="Normal 6 2 4 2 3 2 2 2" xfId="18885"/>
    <cellStyle name="Normal 6 2 4 2 3 2 2 2 2" xfId="41744"/>
    <cellStyle name="Normal 6 2 4 2 3 2 2 3" xfId="29442"/>
    <cellStyle name="Normal 6 2 4 2 3 2 3" xfId="10096"/>
    <cellStyle name="Normal 6 2 4 2 3 2 3 2" xfId="22400"/>
    <cellStyle name="Normal 6 2 4 2 3 2 3 2 2" xfId="45259"/>
    <cellStyle name="Normal 6 2 4 2 3 2 3 3" xfId="32957"/>
    <cellStyle name="Normal 6 2 4 2 3 2 4" xfId="15370"/>
    <cellStyle name="Normal 6 2 4 2 3 2 4 2" xfId="38229"/>
    <cellStyle name="Normal 6 2 4 2 3 2 5" xfId="25927"/>
    <cellStyle name="Normal 6 2 4 2 3 3" xfId="4823"/>
    <cellStyle name="Normal 6 2 4 2 3 3 2" xfId="17127"/>
    <cellStyle name="Normal 6 2 4 2 3 3 2 2" xfId="39986"/>
    <cellStyle name="Normal 6 2 4 2 3 3 3" xfId="27684"/>
    <cellStyle name="Normal 6 2 4 2 3 4" xfId="8338"/>
    <cellStyle name="Normal 6 2 4 2 3 4 2" xfId="20642"/>
    <cellStyle name="Normal 6 2 4 2 3 4 2 2" xfId="43501"/>
    <cellStyle name="Normal 6 2 4 2 3 4 3" xfId="31199"/>
    <cellStyle name="Normal 6 2 4 2 3 5" xfId="11853"/>
    <cellStyle name="Normal 6 2 4 2 3 5 2" xfId="34713"/>
    <cellStyle name="Normal 6 2 4 2 3 6" xfId="13612"/>
    <cellStyle name="Normal 6 2 4 2 3 6 2" xfId="36471"/>
    <cellStyle name="Normal 6 2 4 2 3 7" xfId="24168"/>
    <cellStyle name="Normal 6 2 4 2 4" xfId="2188"/>
    <cellStyle name="Normal 6 2 4 2 4 2" xfId="5703"/>
    <cellStyle name="Normal 6 2 4 2 4 2 2" xfId="18007"/>
    <cellStyle name="Normal 6 2 4 2 4 2 2 2" xfId="40866"/>
    <cellStyle name="Normal 6 2 4 2 4 2 3" xfId="28564"/>
    <cellStyle name="Normal 6 2 4 2 4 3" xfId="9218"/>
    <cellStyle name="Normal 6 2 4 2 4 3 2" xfId="21522"/>
    <cellStyle name="Normal 6 2 4 2 4 3 2 2" xfId="44381"/>
    <cellStyle name="Normal 6 2 4 2 4 3 3" xfId="32079"/>
    <cellStyle name="Normal 6 2 4 2 4 4" xfId="14492"/>
    <cellStyle name="Normal 6 2 4 2 4 4 2" xfId="37351"/>
    <cellStyle name="Normal 6 2 4 2 4 5" xfId="25049"/>
    <cellStyle name="Normal 6 2 4 2 5" xfId="3945"/>
    <cellStyle name="Normal 6 2 4 2 5 2" xfId="16249"/>
    <cellStyle name="Normal 6 2 4 2 5 2 2" xfId="39108"/>
    <cellStyle name="Normal 6 2 4 2 5 3" xfId="26806"/>
    <cellStyle name="Normal 6 2 4 2 6" xfId="7460"/>
    <cellStyle name="Normal 6 2 4 2 6 2" xfId="19764"/>
    <cellStyle name="Normal 6 2 4 2 6 2 2" xfId="42623"/>
    <cellStyle name="Normal 6 2 4 2 6 3" xfId="30321"/>
    <cellStyle name="Normal 6 2 4 2 7" xfId="10975"/>
    <cellStyle name="Normal 6 2 4 2 7 2" xfId="33835"/>
    <cellStyle name="Normal 6 2 4 2 8" xfId="12734"/>
    <cellStyle name="Normal 6 2 4 2 8 2" xfId="35593"/>
    <cellStyle name="Normal 6 2 4 2 9" xfId="23289"/>
    <cellStyle name="Normal 6 2 4 3" xfId="653"/>
    <cellStyle name="Normal 6 2 4 3 2" xfId="1532"/>
    <cellStyle name="Normal 6 2 4 3 2 2" xfId="3293"/>
    <cellStyle name="Normal 6 2 4 3 2 2 2" xfId="6808"/>
    <cellStyle name="Normal 6 2 4 3 2 2 2 2" xfId="19112"/>
    <cellStyle name="Normal 6 2 4 3 2 2 2 2 2" xfId="41971"/>
    <cellStyle name="Normal 6 2 4 3 2 2 2 3" xfId="29669"/>
    <cellStyle name="Normal 6 2 4 3 2 2 3" xfId="10323"/>
    <cellStyle name="Normal 6 2 4 3 2 2 3 2" xfId="22627"/>
    <cellStyle name="Normal 6 2 4 3 2 2 3 2 2" xfId="45486"/>
    <cellStyle name="Normal 6 2 4 3 2 2 3 3" xfId="33184"/>
    <cellStyle name="Normal 6 2 4 3 2 2 4" xfId="15597"/>
    <cellStyle name="Normal 6 2 4 3 2 2 4 2" xfId="38456"/>
    <cellStyle name="Normal 6 2 4 3 2 2 5" xfId="26154"/>
    <cellStyle name="Normal 6 2 4 3 2 3" xfId="5050"/>
    <cellStyle name="Normal 6 2 4 3 2 3 2" xfId="17354"/>
    <cellStyle name="Normal 6 2 4 3 2 3 2 2" xfId="40213"/>
    <cellStyle name="Normal 6 2 4 3 2 3 3" xfId="27911"/>
    <cellStyle name="Normal 6 2 4 3 2 4" xfId="8565"/>
    <cellStyle name="Normal 6 2 4 3 2 4 2" xfId="20869"/>
    <cellStyle name="Normal 6 2 4 3 2 4 2 2" xfId="43728"/>
    <cellStyle name="Normal 6 2 4 3 2 4 3" xfId="31426"/>
    <cellStyle name="Normal 6 2 4 3 2 5" xfId="12080"/>
    <cellStyle name="Normal 6 2 4 3 2 5 2" xfId="34940"/>
    <cellStyle name="Normal 6 2 4 3 2 6" xfId="13839"/>
    <cellStyle name="Normal 6 2 4 3 2 6 2" xfId="36698"/>
    <cellStyle name="Normal 6 2 4 3 2 7" xfId="24395"/>
    <cellStyle name="Normal 6 2 4 3 3" xfId="2415"/>
    <cellStyle name="Normal 6 2 4 3 3 2" xfId="5930"/>
    <cellStyle name="Normal 6 2 4 3 3 2 2" xfId="18234"/>
    <cellStyle name="Normal 6 2 4 3 3 2 2 2" xfId="41093"/>
    <cellStyle name="Normal 6 2 4 3 3 2 3" xfId="28791"/>
    <cellStyle name="Normal 6 2 4 3 3 3" xfId="9445"/>
    <cellStyle name="Normal 6 2 4 3 3 3 2" xfId="21749"/>
    <cellStyle name="Normal 6 2 4 3 3 3 2 2" xfId="44608"/>
    <cellStyle name="Normal 6 2 4 3 3 3 3" xfId="32306"/>
    <cellStyle name="Normal 6 2 4 3 3 4" xfId="14719"/>
    <cellStyle name="Normal 6 2 4 3 3 4 2" xfId="37578"/>
    <cellStyle name="Normal 6 2 4 3 3 5" xfId="25276"/>
    <cellStyle name="Normal 6 2 4 3 4" xfId="4172"/>
    <cellStyle name="Normal 6 2 4 3 4 2" xfId="16476"/>
    <cellStyle name="Normal 6 2 4 3 4 2 2" xfId="39335"/>
    <cellStyle name="Normal 6 2 4 3 4 3" xfId="27033"/>
    <cellStyle name="Normal 6 2 4 3 5" xfId="7687"/>
    <cellStyle name="Normal 6 2 4 3 5 2" xfId="19991"/>
    <cellStyle name="Normal 6 2 4 3 5 2 2" xfId="42850"/>
    <cellStyle name="Normal 6 2 4 3 5 3" xfId="30548"/>
    <cellStyle name="Normal 6 2 4 3 6" xfId="11202"/>
    <cellStyle name="Normal 6 2 4 3 6 2" xfId="34062"/>
    <cellStyle name="Normal 6 2 4 3 7" xfId="12961"/>
    <cellStyle name="Normal 6 2 4 3 7 2" xfId="35820"/>
    <cellStyle name="Normal 6 2 4 3 8" xfId="23517"/>
    <cellStyle name="Normal 6 2 4 4" xfId="1093"/>
    <cellStyle name="Normal 6 2 4 4 2" xfId="2854"/>
    <cellStyle name="Normal 6 2 4 4 2 2" xfId="6369"/>
    <cellStyle name="Normal 6 2 4 4 2 2 2" xfId="18673"/>
    <cellStyle name="Normal 6 2 4 4 2 2 2 2" xfId="41532"/>
    <cellStyle name="Normal 6 2 4 4 2 2 3" xfId="29230"/>
    <cellStyle name="Normal 6 2 4 4 2 3" xfId="9884"/>
    <cellStyle name="Normal 6 2 4 4 2 3 2" xfId="22188"/>
    <cellStyle name="Normal 6 2 4 4 2 3 2 2" xfId="45047"/>
    <cellStyle name="Normal 6 2 4 4 2 3 3" xfId="32745"/>
    <cellStyle name="Normal 6 2 4 4 2 4" xfId="15158"/>
    <cellStyle name="Normal 6 2 4 4 2 4 2" xfId="38017"/>
    <cellStyle name="Normal 6 2 4 4 2 5" xfId="25715"/>
    <cellStyle name="Normal 6 2 4 4 3" xfId="4611"/>
    <cellStyle name="Normal 6 2 4 4 3 2" xfId="16915"/>
    <cellStyle name="Normal 6 2 4 4 3 2 2" xfId="39774"/>
    <cellStyle name="Normal 6 2 4 4 3 3" xfId="27472"/>
    <cellStyle name="Normal 6 2 4 4 4" xfId="8126"/>
    <cellStyle name="Normal 6 2 4 4 4 2" xfId="20430"/>
    <cellStyle name="Normal 6 2 4 4 4 2 2" xfId="43289"/>
    <cellStyle name="Normal 6 2 4 4 4 3" xfId="30987"/>
    <cellStyle name="Normal 6 2 4 4 5" xfId="11641"/>
    <cellStyle name="Normal 6 2 4 4 5 2" xfId="34501"/>
    <cellStyle name="Normal 6 2 4 4 6" xfId="13400"/>
    <cellStyle name="Normal 6 2 4 4 6 2" xfId="36259"/>
    <cellStyle name="Normal 6 2 4 4 7" xfId="23956"/>
    <cellStyle name="Normal 6 2 4 5" xfId="1976"/>
    <cellStyle name="Normal 6 2 4 5 2" xfId="5491"/>
    <cellStyle name="Normal 6 2 4 5 2 2" xfId="17795"/>
    <cellStyle name="Normal 6 2 4 5 2 2 2" xfId="40654"/>
    <cellStyle name="Normal 6 2 4 5 2 3" xfId="28352"/>
    <cellStyle name="Normal 6 2 4 5 3" xfId="9006"/>
    <cellStyle name="Normal 6 2 4 5 3 2" xfId="21310"/>
    <cellStyle name="Normal 6 2 4 5 3 2 2" xfId="44169"/>
    <cellStyle name="Normal 6 2 4 5 3 3" xfId="31867"/>
    <cellStyle name="Normal 6 2 4 5 4" xfId="14280"/>
    <cellStyle name="Normal 6 2 4 5 4 2" xfId="37139"/>
    <cellStyle name="Normal 6 2 4 5 5" xfId="24837"/>
    <cellStyle name="Normal 6 2 4 6" xfId="3733"/>
    <cellStyle name="Normal 6 2 4 6 2" xfId="16037"/>
    <cellStyle name="Normal 6 2 4 6 2 2" xfId="38896"/>
    <cellStyle name="Normal 6 2 4 6 3" xfId="26594"/>
    <cellStyle name="Normal 6 2 4 7" xfId="7248"/>
    <cellStyle name="Normal 6 2 4 7 2" xfId="19552"/>
    <cellStyle name="Normal 6 2 4 7 2 2" xfId="42411"/>
    <cellStyle name="Normal 6 2 4 7 3" xfId="30109"/>
    <cellStyle name="Normal 6 2 4 8" xfId="10763"/>
    <cellStyle name="Normal 6 2 4 8 2" xfId="33623"/>
    <cellStyle name="Normal 6 2 4 9" xfId="12522"/>
    <cellStyle name="Normal 6 2 4 9 2" xfId="35381"/>
    <cellStyle name="Normal 6 2 5" xfId="318"/>
    <cellStyle name="Normal 6 2 5 2" xfId="759"/>
    <cellStyle name="Normal 6 2 5 2 2" xfId="1638"/>
    <cellStyle name="Normal 6 2 5 2 2 2" xfId="3399"/>
    <cellStyle name="Normal 6 2 5 2 2 2 2" xfId="6914"/>
    <cellStyle name="Normal 6 2 5 2 2 2 2 2" xfId="19218"/>
    <cellStyle name="Normal 6 2 5 2 2 2 2 2 2" xfId="42077"/>
    <cellStyle name="Normal 6 2 5 2 2 2 2 3" xfId="29775"/>
    <cellStyle name="Normal 6 2 5 2 2 2 3" xfId="10429"/>
    <cellStyle name="Normal 6 2 5 2 2 2 3 2" xfId="22733"/>
    <cellStyle name="Normal 6 2 5 2 2 2 3 2 2" xfId="45592"/>
    <cellStyle name="Normal 6 2 5 2 2 2 3 3" xfId="33290"/>
    <cellStyle name="Normal 6 2 5 2 2 2 4" xfId="15703"/>
    <cellStyle name="Normal 6 2 5 2 2 2 4 2" xfId="38562"/>
    <cellStyle name="Normal 6 2 5 2 2 2 5" xfId="26260"/>
    <cellStyle name="Normal 6 2 5 2 2 3" xfId="5156"/>
    <cellStyle name="Normal 6 2 5 2 2 3 2" xfId="17460"/>
    <cellStyle name="Normal 6 2 5 2 2 3 2 2" xfId="40319"/>
    <cellStyle name="Normal 6 2 5 2 2 3 3" xfId="28017"/>
    <cellStyle name="Normal 6 2 5 2 2 4" xfId="8671"/>
    <cellStyle name="Normal 6 2 5 2 2 4 2" xfId="20975"/>
    <cellStyle name="Normal 6 2 5 2 2 4 2 2" xfId="43834"/>
    <cellStyle name="Normal 6 2 5 2 2 4 3" xfId="31532"/>
    <cellStyle name="Normal 6 2 5 2 2 5" xfId="12186"/>
    <cellStyle name="Normal 6 2 5 2 2 5 2" xfId="35046"/>
    <cellStyle name="Normal 6 2 5 2 2 6" xfId="13945"/>
    <cellStyle name="Normal 6 2 5 2 2 6 2" xfId="36804"/>
    <cellStyle name="Normal 6 2 5 2 2 7" xfId="24501"/>
    <cellStyle name="Normal 6 2 5 2 3" xfId="2521"/>
    <cellStyle name="Normal 6 2 5 2 3 2" xfId="6036"/>
    <cellStyle name="Normal 6 2 5 2 3 2 2" xfId="18340"/>
    <cellStyle name="Normal 6 2 5 2 3 2 2 2" xfId="41199"/>
    <cellStyle name="Normal 6 2 5 2 3 2 3" xfId="28897"/>
    <cellStyle name="Normal 6 2 5 2 3 3" xfId="9551"/>
    <cellStyle name="Normal 6 2 5 2 3 3 2" xfId="21855"/>
    <cellStyle name="Normal 6 2 5 2 3 3 2 2" xfId="44714"/>
    <cellStyle name="Normal 6 2 5 2 3 3 3" xfId="32412"/>
    <cellStyle name="Normal 6 2 5 2 3 4" xfId="14825"/>
    <cellStyle name="Normal 6 2 5 2 3 4 2" xfId="37684"/>
    <cellStyle name="Normal 6 2 5 2 3 5" xfId="25382"/>
    <cellStyle name="Normal 6 2 5 2 4" xfId="4278"/>
    <cellStyle name="Normal 6 2 5 2 4 2" xfId="16582"/>
    <cellStyle name="Normal 6 2 5 2 4 2 2" xfId="39441"/>
    <cellStyle name="Normal 6 2 5 2 4 3" xfId="27139"/>
    <cellStyle name="Normal 6 2 5 2 5" xfId="7793"/>
    <cellStyle name="Normal 6 2 5 2 5 2" xfId="20097"/>
    <cellStyle name="Normal 6 2 5 2 5 2 2" xfId="42956"/>
    <cellStyle name="Normal 6 2 5 2 5 3" xfId="30654"/>
    <cellStyle name="Normal 6 2 5 2 6" xfId="11308"/>
    <cellStyle name="Normal 6 2 5 2 6 2" xfId="34168"/>
    <cellStyle name="Normal 6 2 5 2 7" xfId="13067"/>
    <cellStyle name="Normal 6 2 5 2 7 2" xfId="35926"/>
    <cellStyle name="Normal 6 2 5 2 8" xfId="23623"/>
    <cellStyle name="Normal 6 2 5 3" xfId="1199"/>
    <cellStyle name="Normal 6 2 5 3 2" xfId="2960"/>
    <cellStyle name="Normal 6 2 5 3 2 2" xfId="6475"/>
    <cellStyle name="Normal 6 2 5 3 2 2 2" xfId="18779"/>
    <cellStyle name="Normal 6 2 5 3 2 2 2 2" xfId="41638"/>
    <cellStyle name="Normal 6 2 5 3 2 2 3" xfId="29336"/>
    <cellStyle name="Normal 6 2 5 3 2 3" xfId="9990"/>
    <cellStyle name="Normal 6 2 5 3 2 3 2" xfId="22294"/>
    <cellStyle name="Normal 6 2 5 3 2 3 2 2" xfId="45153"/>
    <cellStyle name="Normal 6 2 5 3 2 3 3" xfId="32851"/>
    <cellStyle name="Normal 6 2 5 3 2 4" xfId="15264"/>
    <cellStyle name="Normal 6 2 5 3 2 4 2" xfId="38123"/>
    <cellStyle name="Normal 6 2 5 3 2 5" xfId="25821"/>
    <cellStyle name="Normal 6 2 5 3 3" xfId="4717"/>
    <cellStyle name="Normal 6 2 5 3 3 2" xfId="17021"/>
    <cellStyle name="Normal 6 2 5 3 3 2 2" xfId="39880"/>
    <cellStyle name="Normal 6 2 5 3 3 3" xfId="27578"/>
    <cellStyle name="Normal 6 2 5 3 4" xfId="8232"/>
    <cellStyle name="Normal 6 2 5 3 4 2" xfId="20536"/>
    <cellStyle name="Normal 6 2 5 3 4 2 2" xfId="43395"/>
    <cellStyle name="Normal 6 2 5 3 4 3" xfId="31093"/>
    <cellStyle name="Normal 6 2 5 3 5" xfId="11747"/>
    <cellStyle name="Normal 6 2 5 3 5 2" xfId="34607"/>
    <cellStyle name="Normal 6 2 5 3 6" xfId="13506"/>
    <cellStyle name="Normal 6 2 5 3 6 2" xfId="36365"/>
    <cellStyle name="Normal 6 2 5 3 7" xfId="24062"/>
    <cellStyle name="Normal 6 2 5 4" xfId="2082"/>
    <cellStyle name="Normal 6 2 5 4 2" xfId="5597"/>
    <cellStyle name="Normal 6 2 5 4 2 2" xfId="17901"/>
    <cellStyle name="Normal 6 2 5 4 2 2 2" xfId="40760"/>
    <cellStyle name="Normal 6 2 5 4 2 3" xfId="28458"/>
    <cellStyle name="Normal 6 2 5 4 3" xfId="9112"/>
    <cellStyle name="Normal 6 2 5 4 3 2" xfId="21416"/>
    <cellStyle name="Normal 6 2 5 4 3 2 2" xfId="44275"/>
    <cellStyle name="Normal 6 2 5 4 3 3" xfId="31973"/>
    <cellStyle name="Normal 6 2 5 4 4" xfId="14386"/>
    <cellStyle name="Normal 6 2 5 4 4 2" xfId="37245"/>
    <cellStyle name="Normal 6 2 5 4 5" xfId="24943"/>
    <cellStyle name="Normal 6 2 5 5" xfId="3839"/>
    <cellStyle name="Normal 6 2 5 5 2" xfId="16143"/>
    <cellStyle name="Normal 6 2 5 5 2 2" xfId="39002"/>
    <cellStyle name="Normal 6 2 5 5 3" xfId="26700"/>
    <cellStyle name="Normal 6 2 5 6" xfId="7354"/>
    <cellStyle name="Normal 6 2 5 6 2" xfId="19658"/>
    <cellStyle name="Normal 6 2 5 6 2 2" xfId="42517"/>
    <cellStyle name="Normal 6 2 5 6 3" xfId="30215"/>
    <cellStyle name="Normal 6 2 5 7" xfId="10869"/>
    <cellStyle name="Normal 6 2 5 7 2" xfId="33729"/>
    <cellStyle name="Normal 6 2 5 8" xfId="12628"/>
    <cellStyle name="Normal 6 2 5 8 2" xfId="35487"/>
    <cellStyle name="Normal 6 2 5 9" xfId="23183"/>
    <cellStyle name="Normal 6 2 6" xfId="547"/>
    <cellStyle name="Normal 6 2 6 2" xfId="1426"/>
    <cellStyle name="Normal 6 2 6 2 2" xfId="3187"/>
    <cellStyle name="Normal 6 2 6 2 2 2" xfId="6702"/>
    <cellStyle name="Normal 6 2 6 2 2 2 2" xfId="19006"/>
    <cellStyle name="Normal 6 2 6 2 2 2 2 2" xfId="41865"/>
    <cellStyle name="Normal 6 2 6 2 2 2 3" xfId="29563"/>
    <cellStyle name="Normal 6 2 6 2 2 3" xfId="10217"/>
    <cellStyle name="Normal 6 2 6 2 2 3 2" xfId="22521"/>
    <cellStyle name="Normal 6 2 6 2 2 3 2 2" xfId="45380"/>
    <cellStyle name="Normal 6 2 6 2 2 3 3" xfId="33078"/>
    <cellStyle name="Normal 6 2 6 2 2 4" xfId="15491"/>
    <cellStyle name="Normal 6 2 6 2 2 4 2" xfId="38350"/>
    <cellStyle name="Normal 6 2 6 2 2 5" xfId="26048"/>
    <cellStyle name="Normal 6 2 6 2 3" xfId="4944"/>
    <cellStyle name="Normal 6 2 6 2 3 2" xfId="17248"/>
    <cellStyle name="Normal 6 2 6 2 3 2 2" xfId="40107"/>
    <cellStyle name="Normal 6 2 6 2 3 3" xfId="27805"/>
    <cellStyle name="Normal 6 2 6 2 4" xfId="8459"/>
    <cellStyle name="Normal 6 2 6 2 4 2" xfId="20763"/>
    <cellStyle name="Normal 6 2 6 2 4 2 2" xfId="43622"/>
    <cellStyle name="Normal 6 2 6 2 4 3" xfId="31320"/>
    <cellStyle name="Normal 6 2 6 2 5" xfId="11974"/>
    <cellStyle name="Normal 6 2 6 2 5 2" xfId="34834"/>
    <cellStyle name="Normal 6 2 6 2 6" xfId="13733"/>
    <cellStyle name="Normal 6 2 6 2 6 2" xfId="36592"/>
    <cellStyle name="Normal 6 2 6 2 7" xfId="24289"/>
    <cellStyle name="Normal 6 2 6 3" xfId="2309"/>
    <cellStyle name="Normal 6 2 6 3 2" xfId="5824"/>
    <cellStyle name="Normal 6 2 6 3 2 2" xfId="18128"/>
    <cellStyle name="Normal 6 2 6 3 2 2 2" xfId="40987"/>
    <cellStyle name="Normal 6 2 6 3 2 3" xfId="28685"/>
    <cellStyle name="Normal 6 2 6 3 3" xfId="9339"/>
    <cellStyle name="Normal 6 2 6 3 3 2" xfId="21643"/>
    <cellStyle name="Normal 6 2 6 3 3 2 2" xfId="44502"/>
    <cellStyle name="Normal 6 2 6 3 3 3" xfId="32200"/>
    <cellStyle name="Normal 6 2 6 3 4" xfId="14613"/>
    <cellStyle name="Normal 6 2 6 3 4 2" xfId="37472"/>
    <cellStyle name="Normal 6 2 6 3 5" xfId="25170"/>
    <cellStyle name="Normal 6 2 6 4" xfId="4066"/>
    <cellStyle name="Normal 6 2 6 4 2" xfId="16370"/>
    <cellStyle name="Normal 6 2 6 4 2 2" xfId="39229"/>
    <cellStyle name="Normal 6 2 6 4 3" xfId="26927"/>
    <cellStyle name="Normal 6 2 6 5" xfId="7581"/>
    <cellStyle name="Normal 6 2 6 5 2" xfId="19885"/>
    <cellStyle name="Normal 6 2 6 5 2 2" xfId="42744"/>
    <cellStyle name="Normal 6 2 6 5 3" xfId="30442"/>
    <cellStyle name="Normal 6 2 6 6" xfId="11096"/>
    <cellStyle name="Normal 6 2 6 6 2" xfId="33956"/>
    <cellStyle name="Normal 6 2 6 7" xfId="12855"/>
    <cellStyle name="Normal 6 2 6 7 2" xfId="35714"/>
    <cellStyle name="Normal 6 2 6 8" xfId="23411"/>
    <cellStyle name="Normal 6 2 7" xfId="987"/>
    <cellStyle name="Normal 6 2 7 2" xfId="2748"/>
    <cellStyle name="Normal 6 2 7 2 2" xfId="6263"/>
    <cellStyle name="Normal 6 2 7 2 2 2" xfId="18567"/>
    <cellStyle name="Normal 6 2 7 2 2 2 2" xfId="41426"/>
    <cellStyle name="Normal 6 2 7 2 2 3" xfId="29124"/>
    <cellStyle name="Normal 6 2 7 2 3" xfId="9778"/>
    <cellStyle name="Normal 6 2 7 2 3 2" xfId="22082"/>
    <cellStyle name="Normal 6 2 7 2 3 2 2" xfId="44941"/>
    <cellStyle name="Normal 6 2 7 2 3 3" xfId="32639"/>
    <cellStyle name="Normal 6 2 7 2 4" xfId="15052"/>
    <cellStyle name="Normal 6 2 7 2 4 2" xfId="37911"/>
    <cellStyle name="Normal 6 2 7 2 5" xfId="25609"/>
    <cellStyle name="Normal 6 2 7 3" xfId="4505"/>
    <cellStyle name="Normal 6 2 7 3 2" xfId="16809"/>
    <cellStyle name="Normal 6 2 7 3 2 2" xfId="39668"/>
    <cellStyle name="Normal 6 2 7 3 3" xfId="27366"/>
    <cellStyle name="Normal 6 2 7 4" xfId="8020"/>
    <cellStyle name="Normal 6 2 7 4 2" xfId="20324"/>
    <cellStyle name="Normal 6 2 7 4 2 2" xfId="43183"/>
    <cellStyle name="Normal 6 2 7 4 3" xfId="30881"/>
    <cellStyle name="Normal 6 2 7 5" xfId="11535"/>
    <cellStyle name="Normal 6 2 7 5 2" xfId="34395"/>
    <cellStyle name="Normal 6 2 7 6" xfId="13294"/>
    <cellStyle name="Normal 6 2 7 6 2" xfId="36153"/>
    <cellStyle name="Normal 6 2 7 7" xfId="23850"/>
    <cellStyle name="Normal 6 2 8" xfId="1870"/>
    <cellStyle name="Normal 6 2 8 2" xfId="5385"/>
    <cellStyle name="Normal 6 2 8 2 2" xfId="17689"/>
    <cellStyle name="Normal 6 2 8 2 2 2" xfId="40548"/>
    <cellStyle name="Normal 6 2 8 2 3" xfId="28246"/>
    <cellStyle name="Normal 6 2 8 3" xfId="8900"/>
    <cellStyle name="Normal 6 2 8 3 2" xfId="21204"/>
    <cellStyle name="Normal 6 2 8 3 2 2" xfId="44063"/>
    <cellStyle name="Normal 6 2 8 3 3" xfId="31761"/>
    <cellStyle name="Normal 6 2 8 4" xfId="14174"/>
    <cellStyle name="Normal 6 2 8 4 2" xfId="37033"/>
    <cellStyle name="Normal 6 2 8 5" xfId="24731"/>
    <cellStyle name="Normal 6 2 9" xfId="3627"/>
    <cellStyle name="Normal 6 2 9 2" xfId="15931"/>
    <cellStyle name="Normal 6 2 9 2 2" xfId="38790"/>
    <cellStyle name="Normal 6 2 9 3" xfId="26488"/>
    <cellStyle name="Normal 6 3" xfId="122"/>
    <cellStyle name="Normal 6 3 10" xfId="10675"/>
    <cellStyle name="Normal 6 3 10 2" xfId="33535"/>
    <cellStyle name="Normal 6 3 11" xfId="12434"/>
    <cellStyle name="Normal 6 3 11 2" xfId="35293"/>
    <cellStyle name="Normal 6 3 12" xfId="22988"/>
    <cellStyle name="Normal 6 3 2" xfId="176"/>
    <cellStyle name="Normal 6 3 2 10" xfId="12488"/>
    <cellStyle name="Normal 6 3 2 10 2" xfId="35347"/>
    <cellStyle name="Normal 6 3 2 11" xfId="23042"/>
    <cellStyle name="Normal 6 3 2 2" xfId="284"/>
    <cellStyle name="Normal 6 3 2 2 10" xfId="23149"/>
    <cellStyle name="Normal 6 3 2 2 2" xfId="496"/>
    <cellStyle name="Normal 6 3 2 2 2 2" xfId="937"/>
    <cellStyle name="Normal 6 3 2 2 2 2 2" xfId="1816"/>
    <cellStyle name="Normal 6 3 2 2 2 2 2 2" xfId="3577"/>
    <cellStyle name="Normal 6 3 2 2 2 2 2 2 2" xfId="7092"/>
    <cellStyle name="Normal 6 3 2 2 2 2 2 2 2 2" xfId="19396"/>
    <cellStyle name="Normal 6 3 2 2 2 2 2 2 2 2 2" xfId="42255"/>
    <cellStyle name="Normal 6 3 2 2 2 2 2 2 2 3" xfId="29953"/>
    <cellStyle name="Normal 6 3 2 2 2 2 2 2 3" xfId="10607"/>
    <cellStyle name="Normal 6 3 2 2 2 2 2 2 3 2" xfId="22911"/>
    <cellStyle name="Normal 6 3 2 2 2 2 2 2 3 2 2" xfId="45770"/>
    <cellStyle name="Normal 6 3 2 2 2 2 2 2 3 3" xfId="33468"/>
    <cellStyle name="Normal 6 3 2 2 2 2 2 2 4" xfId="15881"/>
    <cellStyle name="Normal 6 3 2 2 2 2 2 2 4 2" xfId="38740"/>
    <cellStyle name="Normal 6 3 2 2 2 2 2 2 5" xfId="26438"/>
    <cellStyle name="Normal 6 3 2 2 2 2 2 3" xfId="5334"/>
    <cellStyle name="Normal 6 3 2 2 2 2 2 3 2" xfId="17638"/>
    <cellStyle name="Normal 6 3 2 2 2 2 2 3 2 2" xfId="40497"/>
    <cellStyle name="Normal 6 3 2 2 2 2 2 3 3" xfId="28195"/>
    <cellStyle name="Normal 6 3 2 2 2 2 2 4" xfId="8849"/>
    <cellStyle name="Normal 6 3 2 2 2 2 2 4 2" xfId="21153"/>
    <cellStyle name="Normal 6 3 2 2 2 2 2 4 2 2" xfId="44012"/>
    <cellStyle name="Normal 6 3 2 2 2 2 2 4 3" xfId="31710"/>
    <cellStyle name="Normal 6 3 2 2 2 2 2 5" xfId="12364"/>
    <cellStyle name="Normal 6 3 2 2 2 2 2 5 2" xfId="35224"/>
    <cellStyle name="Normal 6 3 2 2 2 2 2 6" xfId="14123"/>
    <cellStyle name="Normal 6 3 2 2 2 2 2 6 2" xfId="36982"/>
    <cellStyle name="Normal 6 3 2 2 2 2 2 7" xfId="24679"/>
    <cellStyle name="Normal 6 3 2 2 2 2 3" xfId="2699"/>
    <cellStyle name="Normal 6 3 2 2 2 2 3 2" xfId="6214"/>
    <cellStyle name="Normal 6 3 2 2 2 2 3 2 2" xfId="18518"/>
    <cellStyle name="Normal 6 3 2 2 2 2 3 2 2 2" xfId="41377"/>
    <cellStyle name="Normal 6 3 2 2 2 2 3 2 3" xfId="29075"/>
    <cellStyle name="Normal 6 3 2 2 2 2 3 3" xfId="9729"/>
    <cellStyle name="Normal 6 3 2 2 2 2 3 3 2" xfId="22033"/>
    <cellStyle name="Normal 6 3 2 2 2 2 3 3 2 2" xfId="44892"/>
    <cellStyle name="Normal 6 3 2 2 2 2 3 3 3" xfId="32590"/>
    <cellStyle name="Normal 6 3 2 2 2 2 3 4" xfId="15003"/>
    <cellStyle name="Normal 6 3 2 2 2 2 3 4 2" xfId="37862"/>
    <cellStyle name="Normal 6 3 2 2 2 2 3 5" xfId="25560"/>
    <cellStyle name="Normal 6 3 2 2 2 2 4" xfId="4456"/>
    <cellStyle name="Normal 6 3 2 2 2 2 4 2" xfId="16760"/>
    <cellStyle name="Normal 6 3 2 2 2 2 4 2 2" xfId="39619"/>
    <cellStyle name="Normal 6 3 2 2 2 2 4 3" xfId="27317"/>
    <cellStyle name="Normal 6 3 2 2 2 2 5" xfId="7971"/>
    <cellStyle name="Normal 6 3 2 2 2 2 5 2" xfId="20275"/>
    <cellStyle name="Normal 6 3 2 2 2 2 5 2 2" xfId="43134"/>
    <cellStyle name="Normal 6 3 2 2 2 2 5 3" xfId="30832"/>
    <cellStyle name="Normal 6 3 2 2 2 2 6" xfId="11486"/>
    <cellStyle name="Normal 6 3 2 2 2 2 6 2" xfId="34346"/>
    <cellStyle name="Normal 6 3 2 2 2 2 7" xfId="13245"/>
    <cellStyle name="Normal 6 3 2 2 2 2 7 2" xfId="36104"/>
    <cellStyle name="Normal 6 3 2 2 2 2 8" xfId="23801"/>
    <cellStyle name="Normal 6 3 2 2 2 3" xfId="1377"/>
    <cellStyle name="Normal 6 3 2 2 2 3 2" xfId="3138"/>
    <cellStyle name="Normal 6 3 2 2 2 3 2 2" xfId="6653"/>
    <cellStyle name="Normal 6 3 2 2 2 3 2 2 2" xfId="18957"/>
    <cellStyle name="Normal 6 3 2 2 2 3 2 2 2 2" xfId="41816"/>
    <cellStyle name="Normal 6 3 2 2 2 3 2 2 3" xfId="29514"/>
    <cellStyle name="Normal 6 3 2 2 2 3 2 3" xfId="10168"/>
    <cellStyle name="Normal 6 3 2 2 2 3 2 3 2" xfId="22472"/>
    <cellStyle name="Normal 6 3 2 2 2 3 2 3 2 2" xfId="45331"/>
    <cellStyle name="Normal 6 3 2 2 2 3 2 3 3" xfId="33029"/>
    <cellStyle name="Normal 6 3 2 2 2 3 2 4" xfId="15442"/>
    <cellStyle name="Normal 6 3 2 2 2 3 2 4 2" xfId="38301"/>
    <cellStyle name="Normal 6 3 2 2 2 3 2 5" xfId="25999"/>
    <cellStyle name="Normal 6 3 2 2 2 3 3" xfId="4895"/>
    <cellStyle name="Normal 6 3 2 2 2 3 3 2" xfId="17199"/>
    <cellStyle name="Normal 6 3 2 2 2 3 3 2 2" xfId="40058"/>
    <cellStyle name="Normal 6 3 2 2 2 3 3 3" xfId="27756"/>
    <cellStyle name="Normal 6 3 2 2 2 3 4" xfId="8410"/>
    <cellStyle name="Normal 6 3 2 2 2 3 4 2" xfId="20714"/>
    <cellStyle name="Normal 6 3 2 2 2 3 4 2 2" xfId="43573"/>
    <cellStyle name="Normal 6 3 2 2 2 3 4 3" xfId="31271"/>
    <cellStyle name="Normal 6 3 2 2 2 3 5" xfId="11925"/>
    <cellStyle name="Normal 6 3 2 2 2 3 5 2" xfId="34785"/>
    <cellStyle name="Normal 6 3 2 2 2 3 6" xfId="13684"/>
    <cellStyle name="Normal 6 3 2 2 2 3 6 2" xfId="36543"/>
    <cellStyle name="Normal 6 3 2 2 2 3 7" xfId="24240"/>
    <cellStyle name="Normal 6 3 2 2 2 4" xfId="2260"/>
    <cellStyle name="Normal 6 3 2 2 2 4 2" xfId="5775"/>
    <cellStyle name="Normal 6 3 2 2 2 4 2 2" xfId="18079"/>
    <cellStyle name="Normal 6 3 2 2 2 4 2 2 2" xfId="40938"/>
    <cellStyle name="Normal 6 3 2 2 2 4 2 3" xfId="28636"/>
    <cellStyle name="Normal 6 3 2 2 2 4 3" xfId="9290"/>
    <cellStyle name="Normal 6 3 2 2 2 4 3 2" xfId="21594"/>
    <cellStyle name="Normal 6 3 2 2 2 4 3 2 2" xfId="44453"/>
    <cellStyle name="Normal 6 3 2 2 2 4 3 3" xfId="32151"/>
    <cellStyle name="Normal 6 3 2 2 2 4 4" xfId="14564"/>
    <cellStyle name="Normal 6 3 2 2 2 4 4 2" xfId="37423"/>
    <cellStyle name="Normal 6 3 2 2 2 4 5" xfId="25121"/>
    <cellStyle name="Normal 6 3 2 2 2 5" xfId="4017"/>
    <cellStyle name="Normal 6 3 2 2 2 5 2" xfId="16321"/>
    <cellStyle name="Normal 6 3 2 2 2 5 2 2" xfId="39180"/>
    <cellStyle name="Normal 6 3 2 2 2 5 3" xfId="26878"/>
    <cellStyle name="Normal 6 3 2 2 2 6" xfId="7532"/>
    <cellStyle name="Normal 6 3 2 2 2 6 2" xfId="19836"/>
    <cellStyle name="Normal 6 3 2 2 2 6 2 2" xfId="42695"/>
    <cellStyle name="Normal 6 3 2 2 2 6 3" xfId="30393"/>
    <cellStyle name="Normal 6 3 2 2 2 7" xfId="11047"/>
    <cellStyle name="Normal 6 3 2 2 2 7 2" xfId="33907"/>
    <cellStyle name="Normal 6 3 2 2 2 8" xfId="12806"/>
    <cellStyle name="Normal 6 3 2 2 2 8 2" xfId="35665"/>
    <cellStyle name="Normal 6 3 2 2 2 9" xfId="23361"/>
    <cellStyle name="Normal 6 3 2 2 3" xfId="725"/>
    <cellStyle name="Normal 6 3 2 2 3 2" xfId="1604"/>
    <cellStyle name="Normal 6 3 2 2 3 2 2" xfId="3365"/>
    <cellStyle name="Normal 6 3 2 2 3 2 2 2" xfId="6880"/>
    <cellStyle name="Normal 6 3 2 2 3 2 2 2 2" xfId="19184"/>
    <cellStyle name="Normal 6 3 2 2 3 2 2 2 2 2" xfId="42043"/>
    <cellStyle name="Normal 6 3 2 2 3 2 2 2 3" xfId="29741"/>
    <cellStyle name="Normal 6 3 2 2 3 2 2 3" xfId="10395"/>
    <cellStyle name="Normal 6 3 2 2 3 2 2 3 2" xfId="22699"/>
    <cellStyle name="Normal 6 3 2 2 3 2 2 3 2 2" xfId="45558"/>
    <cellStyle name="Normal 6 3 2 2 3 2 2 3 3" xfId="33256"/>
    <cellStyle name="Normal 6 3 2 2 3 2 2 4" xfId="15669"/>
    <cellStyle name="Normal 6 3 2 2 3 2 2 4 2" xfId="38528"/>
    <cellStyle name="Normal 6 3 2 2 3 2 2 5" xfId="26226"/>
    <cellStyle name="Normal 6 3 2 2 3 2 3" xfId="5122"/>
    <cellStyle name="Normal 6 3 2 2 3 2 3 2" xfId="17426"/>
    <cellStyle name="Normal 6 3 2 2 3 2 3 2 2" xfId="40285"/>
    <cellStyle name="Normal 6 3 2 2 3 2 3 3" xfId="27983"/>
    <cellStyle name="Normal 6 3 2 2 3 2 4" xfId="8637"/>
    <cellStyle name="Normal 6 3 2 2 3 2 4 2" xfId="20941"/>
    <cellStyle name="Normal 6 3 2 2 3 2 4 2 2" xfId="43800"/>
    <cellStyle name="Normal 6 3 2 2 3 2 4 3" xfId="31498"/>
    <cellStyle name="Normal 6 3 2 2 3 2 5" xfId="12152"/>
    <cellStyle name="Normal 6 3 2 2 3 2 5 2" xfId="35012"/>
    <cellStyle name="Normal 6 3 2 2 3 2 6" xfId="13911"/>
    <cellStyle name="Normal 6 3 2 2 3 2 6 2" xfId="36770"/>
    <cellStyle name="Normal 6 3 2 2 3 2 7" xfId="24467"/>
    <cellStyle name="Normal 6 3 2 2 3 3" xfId="2487"/>
    <cellStyle name="Normal 6 3 2 2 3 3 2" xfId="6002"/>
    <cellStyle name="Normal 6 3 2 2 3 3 2 2" xfId="18306"/>
    <cellStyle name="Normal 6 3 2 2 3 3 2 2 2" xfId="41165"/>
    <cellStyle name="Normal 6 3 2 2 3 3 2 3" xfId="28863"/>
    <cellStyle name="Normal 6 3 2 2 3 3 3" xfId="9517"/>
    <cellStyle name="Normal 6 3 2 2 3 3 3 2" xfId="21821"/>
    <cellStyle name="Normal 6 3 2 2 3 3 3 2 2" xfId="44680"/>
    <cellStyle name="Normal 6 3 2 2 3 3 3 3" xfId="32378"/>
    <cellStyle name="Normal 6 3 2 2 3 3 4" xfId="14791"/>
    <cellStyle name="Normal 6 3 2 2 3 3 4 2" xfId="37650"/>
    <cellStyle name="Normal 6 3 2 2 3 3 5" xfId="25348"/>
    <cellStyle name="Normal 6 3 2 2 3 4" xfId="4244"/>
    <cellStyle name="Normal 6 3 2 2 3 4 2" xfId="16548"/>
    <cellStyle name="Normal 6 3 2 2 3 4 2 2" xfId="39407"/>
    <cellStyle name="Normal 6 3 2 2 3 4 3" xfId="27105"/>
    <cellStyle name="Normal 6 3 2 2 3 5" xfId="7759"/>
    <cellStyle name="Normal 6 3 2 2 3 5 2" xfId="20063"/>
    <cellStyle name="Normal 6 3 2 2 3 5 2 2" xfId="42922"/>
    <cellStyle name="Normal 6 3 2 2 3 5 3" xfId="30620"/>
    <cellStyle name="Normal 6 3 2 2 3 6" xfId="11274"/>
    <cellStyle name="Normal 6 3 2 2 3 6 2" xfId="34134"/>
    <cellStyle name="Normal 6 3 2 2 3 7" xfId="13033"/>
    <cellStyle name="Normal 6 3 2 2 3 7 2" xfId="35892"/>
    <cellStyle name="Normal 6 3 2 2 3 8" xfId="23589"/>
    <cellStyle name="Normal 6 3 2 2 4" xfId="1165"/>
    <cellStyle name="Normal 6 3 2 2 4 2" xfId="2926"/>
    <cellStyle name="Normal 6 3 2 2 4 2 2" xfId="6441"/>
    <cellStyle name="Normal 6 3 2 2 4 2 2 2" xfId="18745"/>
    <cellStyle name="Normal 6 3 2 2 4 2 2 2 2" xfId="41604"/>
    <cellStyle name="Normal 6 3 2 2 4 2 2 3" xfId="29302"/>
    <cellStyle name="Normal 6 3 2 2 4 2 3" xfId="9956"/>
    <cellStyle name="Normal 6 3 2 2 4 2 3 2" xfId="22260"/>
    <cellStyle name="Normal 6 3 2 2 4 2 3 2 2" xfId="45119"/>
    <cellStyle name="Normal 6 3 2 2 4 2 3 3" xfId="32817"/>
    <cellStyle name="Normal 6 3 2 2 4 2 4" xfId="15230"/>
    <cellStyle name="Normal 6 3 2 2 4 2 4 2" xfId="38089"/>
    <cellStyle name="Normal 6 3 2 2 4 2 5" xfId="25787"/>
    <cellStyle name="Normal 6 3 2 2 4 3" xfId="4683"/>
    <cellStyle name="Normal 6 3 2 2 4 3 2" xfId="16987"/>
    <cellStyle name="Normal 6 3 2 2 4 3 2 2" xfId="39846"/>
    <cellStyle name="Normal 6 3 2 2 4 3 3" xfId="27544"/>
    <cellStyle name="Normal 6 3 2 2 4 4" xfId="8198"/>
    <cellStyle name="Normal 6 3 2 2 4 4 2" xfId="20502"/>
    <cellStyle name="Normal 6 3 2 2 4 4 2 2" xfId="43361"/>
    <cellStyle name="Normal 6 3 2 2 4 4 3" xfId="31059"/>
    <cellStyle name="Normal 6 3 2 2 4 5" xfId="11713"/>
    <cellStyle name="Normal 6 3 2 2 4 5 2" xfId="34573"/>
    <cellStyle name="Normal 6 3 2 2 4 6" xfId="13472"/>
    <cellStyle name="Normal 6 3 2 2 4 6 2" xfId="36331"/>
    <cellStyle name="Normal 6 3 2 2 4 7" xfId="24028"/>
    <cellStyle name="Normal 6 3 2 2 5" xfId="2048"/>
    <cellStyle name="Normal 6 3 2 2 5 2" xfId="5563"/>
    <cellStyle name="Normal 6 3 2 2 5 2 2" xfId="17867"/>
    <cellStyle name="Normal 6 3 2 2 5 2 2 2" xfId="40726"/>
    <cellStyle name="Normal 6 3 2 2 5 2 3" xfId="28424"/>
    <cellStyle name="Normal 6 3 2 2 5 3" xfId="9078"/>
    <cellStyle name="Normal 6 3 2 2 5 3 2" xfId="21382"/>
    <cellStyle name="Normal 6 3 2 2 5 3 2 2" xfId="44241"/>
    <cellStyle name="Normal 6 3 2 2 5 3 3" xfId="31939"/>
    <cellStyle name="Normal 6 3 2 2 5 4" xfId="14352"/>
    <cellStyle name="Normal 6 3 2 2 5 4 2" xfId="37211"/>
    <cellStyle name="Normal 6 3 2 2 5 5" xfId="24909"/>
    <cellStyle name="Normal 6 3 2 2 6" xfId="3805"/>
    <cellStyle name="Normal 6 3 2 2 6 2" xfId="16109"/>
    <cellStyle name="Normal 6 3 2 2 6 2 2" xfId="38968"/>
    <cellStyle name="Normal 6 3 2 2 6 3" xfId="26666"/>
    <cellStyle name="Normal 6 3 2 2 7" xfId="7320"/>
    <cellStyle name="Normal 6 3 2 2 7 2" xfId="19624"/>
    <cellStyle name="Normal 6 3 2 2 7 2 2" xfId="42483"/>
    <cellStyle name="Normal 6 3 2 2 7 3" xfId="30181"/>
    <cellStyle name="Normal 6 3 2 2 8" xfId="10835"/>
    <cellStyle name="Normal 6 3 2 2 8 2" xfId="33695"/>
    <cellStyle name="Normal 6 3 2 2 9" xfId="12594"/>
    <cellStyle name="Normal 6 3 2 2 9 2" xfId="35453"/>
    <cellStyle name="Normal 6 3 2 3" xfId="390"/>
    <cellStyle name="Normal 6 3 2 3 2" xfId="831"/>
    <cellStyle name="Normal 6 3 2 3 2 2" xfId="1710"/>
    <cellStyle name="Normal 6 3 2 3 2 2 2" xfId="3471"/>
    <cellStyle name="Normal 6 3 2 3 2 2 2 2" xfId="6986"/>
    <cellStyle name="Normal 6 3 2 3 2 2 2 2 2" xfId="19290"/>
    <cellStyle name="Normal 6 3 2 3 2 2 2 2 2 2" xfId="42149"/>
    <cellStyle name="Normal 6 3 2 3 2 2 2 2 3" xfId="29847"/>
    <cellStyle name="Normal 6 3 2 3 2 2 2 3" xfId="10501"/>
    <cellStyle name="Normal 6 3 2 3 2 2 2 3 2" xfId="22805"/>
    <cellStyle name="Normal 6 3 2 3 2 2 2 3 2 2" xfId="45664"/>
    <cellStyle name="Normal 6 3 2 3 2 2 2 3 3" xfId="33362"/>
    <cellStyle name="Normal 6 3 2 3 2 2 2 4" xfId="15775"/>
    <cellStyle name="Normal 6 3 2 3 2 2 2 4 2" xfId="38634"/>
    <cellStyle name="Normal 6 3 2 3 2 2 2 5" xfId="26332"/>
    <cellStyle name="Normal 6 3 2 3 2 2 3" xfId="5228"/>
    <cellStyle name="Normal 6 3 2 3 2 2 3 2" xfId="17532"/>
    <cellStyle name="Normal 6 3 2 3 2 2 3 2 2" xfId="40391"/>
    <cellStyle name="Normal 6 3 2 3 2 2 3 3" xfId="28089"/>
    <cellStyle name="Normal 6 3 2 3 2 2 4" xfId="8743"/>
    <cellStyle name="Normal 6 3 2 3 2 2 4 2" xfId="21047"/>
    <cellStyle name="Normal 6 3 2 3 2 2 4 2 2" xfId="43906"/>
    <cellStyle name="Normal 6 3 2 3 2 2 4 3" xfId="31604"/>
    <cellStyle name="Normal 6 3 2 3 2 2 5" xfId="12258"/>
    <cellStyle name="Normal 6 3 2 3 2 2 5 2" xfId="35118"/>
    <cellStyle name="Normal 6 3 2 3 2 2 6" xfId="14017"/>
    <cellStyle name="Normal 6 3 2 3 2 2 6 2" xfId="36876"/>
    <cellStyle name="Normal 6 3 2 3 2 2 7" xfId="24573"/>
    <cellStyle name="Normal 6 3 2 3 2 3" xfId="2593"/>
    <cellStyle name="Normal 6 3 2 3 2 3 2" xfId="6108"/>
    <cellStyle name="Normal 6 3 2 3 2 3 2 2" xfId="18412"/>
    <cellStyle name="Normal 6 3 2 3 2 3 2 2 2" xfId="41271"/>
    <cellStyle name="Normal 6 3 2 3 2 3 2 3" xfId="28969"/>
    <cellStyle name="Normal 6 3 2 3 2 3 3" xfId="9623"/>
    <cellStyle name="Normal 6 3 2 3 2 3 3 2" xfId="21927"/>
    <cellStyle name="Normal 6 3 2 3 2 3 3 2 2" xfId="44786"/>
    <cellStyle name="Normal 6 3 2 3 2 3 3 3" xfId="32484"/>
    <cellStyle name="Normal 6 3 2 3 2 3 4" xfId="14897"/>
    <cellStyle name="Normal 6 3 2 3 2 3 4 2" xfId="37756"/>
    <cellStyle name="Normal 6 3 2 3 2 3 5" xfId="25454"/>
    <cellStyle name="Normal 6 3 2 3 2 4" xfId="4350"/>
    <cellStyle name="Normal 6 3 2 3 2 4 2" xfId="16654"/>
    <cellStyle name="Normal 6 3 2 3 2 4 2 2" xfId="39513"/>
    <cellStyle name="Normal 6 3 2 3 2 4 3" xfId="27211"/>
    <cellStyle name="Normal 6 3 2 3 2 5" xfId="7865"/>
    <cellStyle name="Normal 6 3 2 3 2 5 2" xfId="20169"/>
    <cellStyle name="Normal 6 3 2 3 2 5 2 2" xfId="43028"/>
    <cellStyle name="Normal 6 3 2 3 2 5 3" xfId="30726"/>
    <cellStyle name="Normal 6 3 2 3 2 6" xfId="11380"/>
    <cellStyle name="Normal 6 3 2 3 2 6 2" xfId="34240"/>
    <cellStyle name="Normal 6 3 2 3 2 7" xfId="13139"/>
    <cellStyle name="Normal 6 3 2 3 2 7 2" xfId="35998"/>
    <cellStyle name="Normal 6 3 2 3 2 8" xfId="23695"/>
    <cellStyle name="Normal 6 3 2 3 3" xfId="1271"/>
    <cellStyle name="Normal 6 3 2 3 3 2" xfId="3032"/>
    <cellStyle name="Normal 6 3 2 3 3 2 2" xfId="6547"/>
    <cellStyle name="Normal 6 3 2 3 3 2 2 2" xfId="18851"/>
    <cellStyle name="Normal 6 3 2 3 3 2 2 2 2" xfId="41710"/>
    <cellStyle name="Normal 6 3 2 3 3 2 2 3" xfId="29408"/>
    <cellStyle name="Normal 6 3 2 3 3 2 3" xfId="10062"/>
    <cellStyle name="Normal 6 3 2 3 3 2 3 2" xfId="22366"/>
    <cellStyle name="Normal 6 3 2 3 3 2 3 2 2" xfId="45225"/>
    <cellStyle name="Normal 6 3 2 3 3 2 3 3" xfId="32923"/>
    <cellStyle name="Normal 6 3 2 3 3 2 4" xfId="15336"/>
    <cellStyle name="Normal 6 3 2 3 3 2 4 2" xfId="38195"/>
    <cellStyle name="Normal 6 3 2 3 3 2 5" xfId="25893"/>
    <cellStyle name="Normal 6 3 2 3 3 3" xfId="4789"/>
    <cellStyle name="Normal 6 3 2 3 3 3 2" xfId="17093"/>
    <cellStyle name="Normal 6 3 2 3 3 3 2 2" xfId="39952"/>
    <cellStyle name="Normal 6 3 2 3 3 3 3" xfId="27650"/>
    <cellStyle name="Normal 6 3 2 3 3 4" xfId="8304"/>
    <cellStyle name="Normal 6 3 2 3 3 4 2" xfId="20608"/>
    <cellStyle name="Normal 6 3 2 3 3 4 2 2" xfId="43467"/>
    <cellStyle name="Normal 6 3 2 3 3 4 3" xfId="31165"/>
    <cellStyle name="Normal 6 3 2 3 3 5" xfId="11819"/>
    <cellStyle name="Normal 6 3 2 3 3 5 2" xfId="34679"/>
    <cellStyle name="Normal 6 3 2 3 3 6" xfId="13578"/>
    <cellStyle name="Normal 6 3 2 3 3 6 2" xfId="36437"/>
    <cellStyle name="Normal 6 3 2 3 3 7" xfId="24134"/>
    <cellStyle name="Normal 6 3 2 3 4" xfId="2154"/>
    <cellStyle name="Normal 6 3 2 3 4 2" xfId="5669"/>
    <cellStyle name="Normal 6 3 2 3 4 2 2" xfId="17973"/>
    <cellStyle name="Normal 6 3 2 3 4 2 2 2" xfId="40832"/>
    <cellStyle name="Normal 6 3 2 3 4 2 3" xfId="28530"/>
    <cellStyle name="Normal 6 3 2 3 4 3" xfId="9184"/>
    <cellStyle name="Normal 6 3 2 3 4 3 2" xfId="21488"/>
    <cellStyle name="Normal 6 3 2 3 4 3 2 2" xfId="44347"/>
    <cellStyle name="Normal 6 3 2 3 4 3 3" xfId="32045"/>
    <cellStyle name="Normal 6 3 2 3 4 4" xfId="14458"/>
    <cellStyle name="Normal 6 3 2 3 4 4 2" xfId="37317"/>
    <cellStyle name="Normal 6 3 2 3 4 5" xfId="25015"/>
    <cellStyle name="Normal 6 3 2 3 5" xfId="3911"/>
    <cellStyle name="Normal 6 3 2 3 5 2" xfId="16215"/>
    <cellStyle name="Normal 6 3 2 3 5 2 2" xfId="39074"/>
    <cellStyle name="Normal 6 3 2 3 5 3" xfId="26772"/>
    <cellStyle name="Normal 6 3 2 3 6" xfId="7426"/>
    <cellStyle name="Normal 6 3 2 3 6 2" xfId="19730"/>
    <cellStyle name="Normal 6 3 2 3 6 2 2" xfId="42589"/>
    <cellStyle name="Normal 6 3 2 3 6 3" xfId="30287"/>
    <cellStyle name="Normal 6 3 2 3 7" xfId="10941"/>
    <cellStyle name="Normal 6 3 2 3 7 2" xfId="33801"/>
    <cellStyle name="Normal 6 3 2 3 8" xfId="12700"/>
    <cellStyle name="Normal 6 3 2 3 8 2" xfId="35559"/>
    <cellStyle name="Normal 6 3 2 3 9" xfId="23255"/>
    <cellStyle name="Normal 6 3 2 4" xfId="619"/>
    <cellStyle name="Normal 6 3 2 4 2" xfId="1498"/>
    <cellStyle name="Normal 6 3 2 4 2 2" xfId="3259"/>
    <cellStyle name="Normal 6 3 2 4 2 2 2" xfId="6774"/>
    <cellStyle name="Normal 6 3 2 4 2 2 2 2" xfId="19078"/>
    <cellStyle name="Normal 6 3 2 4 2 2 2 2 2" xfId="41937"/>
    <cellStyle name="Normal 6 3 2 4 2 2 2 3" xfId="29635"/>
    <cellStyle name="Normal 6 3 2 4 2 2 3" xfId="10289"/>
    <cellStyle name="Normal 6 3 2 4 2 2 3 2" xfId="22593"/>
    <cellStyle name="Normal 6 3 2 4 2 2 3 2 2" xfId="45452"/>
    <cellStyle name="Normal 6 3 2 4 2 2 3 3" xfId="33150"/>
    <cellStyle name="Normal 6 3 2 4 2 2 4" xfId="15563"/>
    <cellStyle name="Normal 6 3 2 4 2 2 4 2" xfId="38422"/>
    <cellStyle name="Normal 6 3 2 4 2 2 5" xfId="26120"/>
    <cellStyle name="Normal 6 3 2 4 2 3" xfId="5016"/>
    <cellStyle name="Normal 6 3 2 4 2 3 2" xfId="17320"/>
    <cellStyle name="Normal 6 3 2 4 2 3 2 2" xfId="40179"/>
    <cellStyle name="Normal 6 3 2 4 2 3 3" xfId="27877"/>
    <cellStyle name="Normal 6 3 2 4 2 4" xfId="8531"/>
    <cellStyle name="Normal 6 3 2 4 2 4 2" xfId="20835"/>
    <cellStyle name="Normal 6 3 2 4 2 4 2 2" xfId="43694"/>
    <cellStyle name="Normal 6 3 2 4 2 4 3" xfId="31392"/>
    <cellStyle name="Normal 6 3 2 4 2 5" xfId="12046"/>
    <cellStyle name="Normal 6 3 2 4 2 5 2" xfId="34906"/>
    <cellStyle name="Normal 6 3 2 4 2 6" xfId="13805"/>
    <cellStyle name="Normal 6 3 2 4 2 6 2" xfId="36664"/>
    <cellStyle name="Normal 6 3 2 4 2 7" xfId="24361"/>
    <cellStyle name="Normal 6 3 2 4 3" xfId="2381"/>
    <cellStyle name="Normal 6 3 2 4 3 2" xfId="5896"/>
    <cellStyle name="Normal 6 3 2 4 3 2 2" xfId="18200"/>
    <cellStyle name="Normal 6 3 2 4 3 2 2 2" xfId="41059"/>
    <cellStyle name="Normal 6 3 2 4 3 2 3" xfId="28757"/>
    <cellStyle name="Normal 6 3 2 4 3 3" xfId="9411"/>
    <cellStyle name="Normal 6 3 2 4 3 3 2" xfId="21715"/>
    <cellStyle name="Normal 6 3 2 4 3 3 2 2" xfId="44574"/>
    <cellStyle name="Normal 6 3 2 4 3 3 3" xfId="32272"/>
    <cellStyle name="Normal 6 3 2 4 3 4" xfId="14685"/>
    <cellStyle name="Normal 6 3 2 4 3 4 2" xfId="37544"/>
    <cellStyle name="Normal 6 3 2 4 3 5" xfId="25242"/>
    <cellStyle name="Normal 6 3 2 4 4" xfId="4138"/>
    <cellStyle name="Normal 6 3 2 4 4 2" xfId="16442"/>
    <cellStyle name="Normal 6 3 2 4 4 2 2" xfId="39301"/>
    <cellStyle name="Normal 6 3 2 4 4 3" xfId="26999"/>
    <cellStyle name="Normal 6 3 2 4 5" xfId="7653"/>
    <cellStyle name="Normal 6 3 2 4 5 2" xfId="19957"/>
    <cellStyle name="Normal 6 3 2 4 5 2 2" xfId="42816"/>
    <cellStyle name="Normal 6 3 2 4 5 3" xfId="30514"/>
    <cellStyle name="Normal 6 3 2 4 6" xfId="11168"/>
    <cellStyle name="Normal 6 3 2 4 6 2" xfId="34028"/>
    <cellStyle name="Normal 6 3 2 4 7" xfId="12927"/>
    <cellStyle name="Normal 6 3 2 4 7 2" xfId="35786"/>
    <cellStyle name="Normal 6 3 2 4 8" xfId="23483"/>
    <cellStyle name="Normal 6 3 2 5" xfId="1059"/>
    <cellStyle name="Normal 6 3 2 5 2" xfId="2820"/>
    <cellStyle name="Normal 6 3 2 5 2 2" xfId="6335"/>
    <cellStyle name="Normal 6 3 2 5 2 2 2" xfId="18639"/>
    <cellStyle name="Normal 6 3 2 5 2 2 2 2" xfId="41498"/>
    <cellStyle name="Normal 6 3 2 5 2 2 3" xfId="29196"/>
    <cellStyle name="Normal 6 3 2 5 2 3" xfId="9850"/>
    <cellStyle name="Normal 6 3 2 5 2 3 2" xfId="22154"/>
    <cellStyle name="Normal 6 3 2 5 2 3 2 2" xfId="45013"/>
    <cellStyle name="Normal 6 3 2 5 2 3 3" xfId="32711"/>
    <cellStyle name="Normal 6 3 2 5 2 4" xfId="15124"/>
    <cellStyle name="Normal 6 3 2 5 2 4 2" xfId="37983"/>
    <cellStyle name="Normal 6 3 2 5 2 5" xfId="25681"/>
    <cellStyle name="Normal 6 3 2 5 3" xfId="4577"/>
    <cellStyle name="Normal 6 3 2 5 3 2" xfId="16881"/>
    <cellStyle name="Normal 6 3 2 5 3 2 2" xfId="39740"/>
    <cellStyle name="Normal 6 3 2 5 3 3" xfId="27438"/>
    <cellStyle name="Normal 6 3 2 5 4" xfId="8092"/>
    <cellStyle name="Normal 6 3 2 5 4 2" xfId="20396"/>
    <cellStyle name="Normal 6 3 2 5 4 2 2" xfId="43255"/>
    <cellStyle name="Normal 6 3 2 5 4 3" xfId="30953"/>
    <cellStyle name="Normal 6 3 2 5 5" xfId="11607"/>
    <cellStyle name="Normal 6 3 2 5 5 2" xfId="34467"/>
    <cellStyle name="Normal 6 3 2 5 6" xfId="13366"/>
    <cellStyle name="Normal 6 3 2 5 6 2" xfId="36225"/>
    <cellStyle name="Normal 6 3 2 5 7" xfId="23922"/>
    <cellStyle name="Normal 6 3 2 6" xfId="1942"/>
    <cellStyle name="Normal 6 3 2 6 2" xfId="5457"/>
    <cellStyle name="Normal 6 3 2 6 2 2" xfId="17761"/>
    <cellStyle name="Normal 6 3 2 6 2 2 2" xfId="40620"/>
    <cellStyle name="Normal 6 3 2 6 2 3" xfId="28318"/>
    <cellStyle name="Normal 6 3 2 6 3" xfId="8972"/>
    <cellStyle name="Normal 6 3 2 6 3 2" xfId="21276"/>
    <cellStyle name="Normal 6 3 2 6 3 2 2" xfId="44135"/>
    <cellStyle name="Normal 6 3 2 6 3 3" xfId="31833"/>
    <cellStyle name="Normal 6 3 2 6 4" xfId="14246"/>
    <cellStyle name="Normal 6 3 2 6 4 2" xfId="37105"/>
    <cellStyle name="Normal 6 3 2 6 5" xfId="24803"/>
    <cellStyle name="Normal 6 3 2 7" xfId="3699"/>
    <cellStyle name="Normal 6 3 2 7 2" xfId="16003"/>
    <cellStyle name="Normal 6 3 2 7 2 2" xfId="38862"/>
    <cellStyle name="Normal 6 3 2 7 3" xfId="26560"/>
    <cellStyle name="Normal 6 3 2 8" xfId="7214"/>
    <cellStyle name="Normal 6 3 2 8 2" xfId="19518"/>
    <cellStyle name="Normal 6 3 2 8 2 2" xfId="42377"/>
    <cellStyle name="Normal 6 3 2 8 3" xfId="30075"/>
    <cellStyle name="Normal 6 3 2 9" xfId="10729"/>
    <cellStyle name="Normal 6 3 2 9 2" xfId="33589"/>
    <cellStyle name="Normal 6 3 3" xfId="230"/>
    <cellStyle name="Normal 6 3 3 10" xfId="23095"/>
    <cellStyle name="Normal 6 3 3 2" xfId="442"/>
    <cellStyle name="Normal 6 3 3 2 2" xfId="883"/>
    <cellStyle name="Normal 6 3 3 2 2 2" xfId="1762"/>
    <cellStyle name="Normal 6 3 3 2 2 2 2" xfId="3523"/>
    <cellStyle name="Normal 6 3 3 2 2 2 2 2" xfId="7038"/>
    <cellStyle name="Normal 6 3 3 2 2 2 2 2 2" xfId="19342"/>
    <cellStyle name="Normal 6 3 3 2 2 2 2 2 2 2" xfId="42201"/>
    <cellStyle name="Normal 6 3 3 2 2 2 2 2 3" xfId="29899"/>
    <cellStyle name="Normal 6 3 3 2 2 2 2 3" xfId="10553"/>
    <cellStyle name="Normal 6 3 3 2 2 2 2 3 2" xfId="22857"/>
    <cellStyle name="Normal 6 3 3 2 2 2 2 3 2 2" xfId="45716"/>
    <cellStyle name="Normal 6 3 3 2 2 2 2 3 3" xfId="33414"/>
    <cellStyle name="Normal 6 3 3 2 2 2 2 4" xfId="15827"/>
    <cellStyle name="Normal 6 3 3 2 2 2 2 4 2" xfId="38686"/>
    <cellStyle name="Normal 6 3 3 2 2 2 2 5" xfId="26384"/>
    <cellStyle name="Normal 6 3 3 2 2 2 3" xfId="5280"/>
    <cellStyle name="Normal 6 3 3 2 2 2 3 2" xfId="17584"/>
    <cellStyle name="Normal 6 3 3 2 2 2 3 2 2" xfId="40443"/>
    <cellStyle name="Normal 6 3 3 2 2 2 3 3" xfId="28141"/>
    <cellStyle name="Normal 6 3 3 2 2 2 4" xfId="8795"/>
    <cellStyle name="Normal 6 3 3 2 2 2 4 2" xfId="21099"/>
    <cellStyle name="Normal 6 3 3 2 2 2 4 2 2" xfId="43958"/>
    <cellStyle name="Normal 6 3 3 2 2 2 4 3" xfId="31656"/>
    <cellStyle name="Normal 6 3 3 2 2 2 5" xfId="12310"/>
    <cellStyle name="Normal 6 3 3 2 2 2 5 2" xfId="35170"/>
    <cellStyle name="Normal 6 3 3 2 2 2 6" xfId="14069"/>
    <cellStyle name="Normal 6 3 3 2 2 2 6 2" xfId="36928"/>
    <cellStyle name="Normal 6 3 3 2 2 2 7" xfId="24625"/>
    <cellStyle name="Normal 6 3 3 2 2 3" xfId="2645"/>
    <cellStyle name="Normal 6 3 3 2 2 3 2" xfId="6160"/>
    <cellStyle name="Normal 6 3 3 2 2 3 2 2" xfId="18464"/>
    <cellStyle name="Normal 6 3 3 2 2 3 2 2 2" xfId="41323"/>
    <cellStyle name="Normal 6 3 3 2 2 3 2 3" xfId="29021"/>
    <cellStyle name="Normal 6 3 3 2 2 3 3" xfId="9675"/>
    <cellStyle name="Normal 6 3 3 2 2 3 3 2" xfId="21979"/>
    <cellStyle name="Normal 6 3 3 2 2 3 3 2 2" xfId="44838"/>
    <cellStyle name="Normal 6 3 3 2 2 3 3 3" xfId="32536"/>
    <cellStyle name="Normal 6 3 3 2 2 3 4" xfId="14949"/>
    <cellStyle name="Normal 6 3 3 2 2 3 4 2" xfId="37808"/>
    <cellStyle name="Normal 6 3 3 2 2 3 5" xfId="25506"/>
    <cellStyle name="Normal 6 3 3 2 2 4" xfId="4402"/>
    <cellStyle name="Normal 6 3 3 2 2 4 2" xfId="16706"/>
    <cellStyle name="Normal 6 3 3 2 2 4 2 2" xfId="39565"/>
    <cellStyle name="Normal 6 3 3 2 2 4 3" xfId="27263"/>
    <cellStyle name="Normal 6 3 3 2 2 5" xfId="7917"/>
    <cellStyle name="Normal 6 3 3 2 2 5 2" xfId="20221"/>
    <cellStyle name="Normal 6 3 3 2 2 5 2 2" xfId="43080"/>
    <cellStyle name="Normal 6 3 3 2 2 5 3" xfId="30778"/>
    <cellStyle name="Normal 6 3 3 2 2 6" xfId="11432"/>
    <cellStyle name="Normal 6 3 3 2 2 6 2" xfId="34292"/>
    <cellStyle name="Normal 6 3 3 2 2 7" xfId="13191"/>
    <cellStyle name="Normal 6 3 3 2 2 7 2" xfId="36050"/>
    <cellStyle name="Normal 6 3 3 2 2 8" xfId="23747"/>
    <cellStyle name="Normal 6 3 3 2 3" xfId="1323"/>
    <cellStyle name="Normal 6 3 3 2 3 2" xfId="3084"/>
    <cellStyle name="Normal 6 3 3 2 3 2 2" xfId="6599"/>
    <cellStyle name="Normal 6 3 3 2 3 2 2 2" xfId="18903"/>
    <cellStyle name="Normal 6 3 3 2 3 2 2 2 2" xfId="41762"/>
    <cellStyle name="Normal 6 3 3 2 3 2 2 3" xfId="29460"/>
    <cellStyle name="Normal 6 3 3 2 3 2 3" xfId="10114"/>
    <cellStyle name="Normal 6 3 3 2 3 2 3 2" xfId="22418"/>
    <cellStyle name="Normal 6 3 3 2 3 2 3 2 2" xfId="45277"/>
    <cellStyle name="Normal 6 3 3 2 3 2 3 3" xfId="32975"/>
    <cellStyle name="Normal 6 3 3 2 3 2 4" xfId="15388"/>
    <cellStyle name="Normal 6 3 3 2 3 2 4 2" xfId="38247"/>
    <cellStyle name="Normal 6 3 3 2 3 2 5" xfId="25945"/>
    <cellStyle name="Normal 6 3 3 2 3 3" xfId="4841"/>
    <cellStyle name="Normal 6 3 3 2 3 3 2" xfId="17145"/>
    <cellStyle name="Normal 6 3 3 2 3 3 2 2" xfId="40004"/>
    <cellStyle name="Normal 6 3 3 2 3 3 3" xfId="27702"/>
    <cellStyle name="Normal 6 3 3 2 3 4" xfId="8356"/>
    <cellStyle name="Normal 6 3 3 2 3 4 2" xfId="20660"/>
    <cellStyle name="Normal 6 3 3 2 3 4 2 2" xfId="43519"/>
    <cellStyle name="Normal 6 3 3 2 3 4 3" xfId="31217"/>
    <cellStyle name="Normal 6 3 3 2 3 5" xfId="11871"/>
    <cellStyle name="Normal 6 3 3 2 3 5 2" xfId="34731"/>
    <cellStyle name="Normal 6 3 3 2 3 6" xfId="13630"/>
    <cellStyle name="Normal 6 3 3 2 3 6 2" xfId="36489"/>
    <cellStyle name="Normal 6 3 3 2 3 7" xfId="24186"/>
    <cellStyle name="Normal 6 3 3 2 4" xfId="2206"/>
    <cellStyle name="Normal 6 3 3 2 4 2" xfId="5721"/>
    <cellStyle name="Normal 6 3 3 2 4 2 2" xfId="18025"/>
    <cellStyle name="Normal 6 3 3 2 4 2 2 2" xfId="40884"/>
    <cellStyle name="Normal 6 3 3 2 4 2 3" xfId="28582"/>
    <cellStyle name="Normal 6 3 3 2 4 3" xfId="9236"/>
    <cellStyle name="Normal 6 3 3 2 4 3 2" xfId="21540"/>
    <cellStyle name="Normal 6 3 3 2 4 3 2 2" xfId="44399"/>
    <cellStyle name="Normal 6 3 3 2 4 3 3" xfId="32097"/>
    <cellStyle name="Normal 6 3 3 2 4 4" xfId="14510"/>
    <cellStyle name="Normal 6 3 3 2 4 4 2" xfId="37369"/>
    <cellStyle name="Normal 6 3 3 2 4 5" xfId="25067"/>
    <cellStyle name="Normal 6 3 3 2 5" xfId="3963"/>
    <cellStyle name="Normal 6 3 3 2 5 2" xfId="16267"/>
    <cellStyle name="Normal 6 3 3 2 5 2 2" xfId="39126"/>
    <cellStyle name="Normal 6 3 3 2 5 3" xfId="26824"/>
    <cellStyle name="Normal 6 3 3 2 6" xfId="7478"/>
    <cellStyle name="Normal 6 3 3 2 6 2" xfId="19782"/>
    <cellStyle name="Normal 6 3 3 2 6 2 2" xfId="42641"/>
    <cellStyle name="Normal 6 3 3 2 6 3" xfId="30339"/>
    <cellStyle name="Normal 6 3 3 2 7" xfId="10993"/>
    <cellStyle name="Normal 6 3 3 2 7 2" xfId="33853"/>
    <cellStyle name="Normal 6 3 3 2 8" xfId="12752"/>
    <cellStyle name="Normal 6 3 3 2 8 2" xfId="35611"/>
    <cellStyle name="Normal 6 3 3 2 9" xfId="23307"/>
    <cellStyle name="Normal 6 3 3 3" xfId="671"/>
    <cellStyle name="Normal 6 3 3 3 2" xfId="1550"/>
    <cellStyle name="Normal 6 3 3 3 2 2" xfId="3311"/>
    <cellStyle name="Normal 6 3 3 3 2 2 2" xfId="6826"/>
    <cellStyle name="Normal 6 3 3 3 2 2 2 2" xfId="19130"/>
    <cellStyle name="Normal 6 3 3 3 2 2 2 2 2" xfId="41989"/>
    <cellStyle name="Normal 6 3 3 3 2 2 2 3" xfId="29687"/>
    <cellStyle name="Normal 6 3 3 3 2 2 3" xfId="10341"/>
    <cellStyle name="Normal 6 3 3 3 2 2 3 2" xfId="22645"/>
    <cellStyle name="Normal 6 3 3 3 2 2 3 2 2" xfId="45504"/>
    <cellStyle name="Normal 6 3 3 3 2 2 3 3" xfId="33202"/>
    <cellStyle name="Normal 6 3 3 3 2 2 4" xfId="15615"/>
    <cellStyle name="Normal 6 3 3 3 2 2 4 2" xfId="38474"/>
    <cellStyle name="Normal 6 3 3 3 2 2 5" xfId="26172"/>
    <cellStyle name="Normal 6 3 3 3 2 3" xfId="5068"/>
    <cellStyle name="Normal 6 3 3 3 2 3 2" xfId="17372"/>
    <cellStyle name="Normal 6 3 3 3 2 3 2 2" xfId="40231"/>
    <cellStyle name="Normal 6 3 3 3 2 3 3" xfId="27929"/>
    <cellStyle name="Normal 6 3 3 3 2 4" xfId="8583"/>
    <cellStyle name="Normal 6 3 3 3 2 4 2" xfId="20887"/>
    <cellStyle name="Normal 6 3 3 3 2 4 2 2" xfId="43746"/>
    <cellStyle name="Normal 6 3 3 3 2 4 3" xfId="31444"/>
    <cellStyle name="Normal 6 3 3 3 2 5" xfId="12098"/>
    <cellStyle name="Normal 6 3 3 3 2 5 2" xfId="34958"/>
    <cellStyle name="Normal 6 3 3 3 2 6" xfId="13857"/>
    <cellStyle name="Normal 6 3 3 3 2 6 2" xfId="36716"/>
    <cellStyle name="Normal 6 3 3 3 2 7" xfId="24413"/>
    <cellStyle name="Normal 6 3 3 3 3" xfId="2433"/>
    <cellStyle name="Normal 6 3 3 3 3 2" xfId="5948"/>
    <cellStyle name="Normal 6 3 3 3 3 2 2" xfId="18252"/>
    <cellStyle name="Normal 6 3 3 3 3 2 2 2" xfId="41111"/>
    <cellStyle name="Normal 6 3 3 3 3 2 3" xfId="28809"/>
    <cellStyle name="Normal 6 3 3 3 3 3" xfId="9463"/>
    <cellStyle name="Normal 6 3 3 3 3 3 2" xfId="21767"/>
    <cellStyle name="Normal 6 3 3 3 3 3 2 2" xfId="44626"/>
    <cellStyle name="Normal 6 3 3 3 3 3 3" xfId="32324"/>
    <cellStyle name="Normal 6 3 3 3 3 4" xfId="14737"/>
    <cellStyle name="Normal 6 3 3 3 3 4 2" xfId="37596"/>
    <cellStyle name="Normal 6 3 3 3 3 5" xfId="25294"/>
    <cellStyle name="Normal 6 3 3 3 4" xfId="4190"/>
    <cellStyle name="Normal 6 3 3 3 4 2" xfId="16494"/>
    <cellStyle name="Normal 6 3 3 3 4 2 2" xfId="39353"/>
    <cellStyle name="Normal 6 3 3 3 4 3" xfId="27051"/>
    <cellStyle name="Normal 6 3 3 3 5" xfId="7705"/>
    <cellStyle name="Normal 6 3 3 3 5 2" xfId="20009"/>
    <cellStyle name="Normal 6 3 3 3 5 2 2" xfId="42868"/>
    <cellStyle name="Normal 6 3 3 3 5 3" xfId="30566"/>
    <cellStyle name="Normal 6 3 3 3 6" xfId="11220"/>
    <cellStyle name="Normal 6 3 3 3 6 2" xfId="34080"/>
    <cellStyle name="Normal 6 3 3 3 7" xfId="12979"/>
    <cellStyle name="Normal 6 3 3 3 7 2" xfId="35838"/>
    <cellStyle name="Normal 6 3 3 3 8" xfId="23535"/>
    <cellStyle name="Normal 6 3 3 4" xfId="1111"/>
    <cellStyle name="Normal 6 3 3 4 2" xfId="2872"/>
    <cellStyle name="Normal 6 3 3 4 2 2" xfId="6387"/>
    <cellStyle name="Normal 6 3 3 4 2 2 2" xfId="18691"/>
    <cellStyle name="Normal 6 3 3 4 2 2 2 2" xfId="41550"/>
    <cellStyle name="Normal 6 3 3 4 2 2 3" xfId="29248"/>
    <cellStyle name="Normal 6 3 3 4 2 3" xfId="9902"/>
    <cellStyle name="Normal 6 3 3 4 2 3 2" xfId="22206"/>
    <cellStyle name="Normal 6 3 3 4 2 3 2 2" xfId="45065"/>
    <cellStyle name="Normal 6 3 3 4 2 3 3" xfId="32763"/>
    <cellStyle name="Normal 6 3 3 4 2 4" xfId="15176"/>
    <cellStyle name="Normal 6 3 3 4 2 4 2" xfId="38035"/>
    <cellStyle name="Normal 6 3 3 4 2 5" xfId="25733"/>
    <cellStyle name="Normal 6 3 3 4 3" xfId="4629"/>
    <cellStyle name="Normal 6 3 3 4 3 2" xfId="16933"/>
    <cellStyle name="Normal 6 3 3 4 3 2 2" xfId="39792"/>
    <cellStyle name="Normal 6 3 3 4 3 3" xfId="27490"/>
    <cellStyle name="Normal 6 3 3 4 4" xfId="8144"/>
    <cellStyle name="Normal 6 3 3 4 4 2" xfId="20448"/>
    <cellStyle name="Normal 6 3 3 4 4 2 2" xfId="43307"/>
    <cellStyle name="Normal 6 3 3 4 4 3" xfId="31005"/>
    <cellStyle name="Normal 6 3 3 4 5" xfId="11659"/>
    <cellStyle name="Normal 6 3 3 4 5 2" xfId="34519"/>
    <cellStyle name="Normal 6 3 3 4 6" xfId="13418"/>
    <cellStyle name="Normal 6 3 3 4 6 2" xfId="36277"/>
    <cellStyle name="Normal 6 3 3 4 7" xfId="23974"/>
    <cellStyle name="Normal 6 3 3 5" xfId="1994"/>
    <cellStyle name="Normal 6 3 3 5 2" xfId="5509"/>
    <cellStyle name="Normal 6 3 3 5 2 2" xfId="17813"/>
    <cellStyle name="Normal 6 3 3 5 2 2 2" xfId="40672"/>
    <cellStyle name="Normal 6 3 3 5 2 3" xfId="28370"/>
    <cellStyle name="Normal 6 3 3 5 3" xfId="9024"/>
    <cellStyle name="Normal 6 3 3 5 3 2" xfId="21328"/>
    <cellStyle name="Normal 6 3 3 5 3 2 2" xfId="44187"/>
    <cellStyle name="Normal 6 3 3 5 3 3" xfId="31885"/>
    <cellStyle name="Normal 6 3 3 5 4" xfId="14298"/>
    <cellStyle name="Normal 6 3 3 5 4 2" xfId="37157"/>
    <cellStyle name="Normal 6 3 3 5 5" xfId="24855"/>
    <cellStyle name="Normal 6 3 3 6" xfId="3751"/>
    <cellStyle name="Normal 6 3 3 6 2" xfId="16055"/>
    <cellStyle name="Normal 6 3 3 6 2 2" xfId="38914"/>
    <cellStyle name="Normal 6 3 3 6 3" xfId="26612"/>
    <cellStyle name="Normal 6 3 3 7" xfId="7266"/>
    <cellStyle name="Normal 6 3 3 7 2" xfId="19570"/>
    <cellStyle name="Normal 6 3 3 7 2 2" xfId="42429"/>
    <cellStyle name="Normal 6 3 3 7 3" xfId="30127"/>
    <cellStyle name="Normal 6 3 3 8" xfId="10781"/>
    <cellStyle name="Normal 6 3 3 8 2" xfId="33641"/>
    <cellStyle name="Normal 6 3 3 9" xfId="12540"/>
    <cellStyle name="Normal 6 3 3 9 2" xfId="35399"/>
    <cellStyle name="Normal 6 3 4" xfId="336"/>
    <cellStyle name="Normal 6 3 4 2" xfId="777"/>
    <cellStyle name="Normal 6 3 4 2 2" xfId="1656"/>
    <cellStyle name="Normal 6 3 4 2 2 2" xfId="3417"/>
    <cellStyle name="Normal 6 3 4 2 2 2 2" xfId="6932"/>
    <cellStyle name="Normal 6 3 4 2 2 2 2 2" xfId="19236"/>
    <cellStyle name="Normal 6 3 4 2 2 2 2 2 2" xfId="42095"/>
    <cellStyle name="Normal 6 3 4 2 2 2 2 3" xfId="29793"/>
    <cellStyle name="Normal 6 3 4 2 2 2 3" xfId="10447"/>
    <cellStyle name="Normal 6 3 4 2 2 2 3 2" xfId="22751"/>
    <cellStyle name="Normal 6 3 4 2 2 2 3 2 2" xfId="45610"/>
    <cellStyle name="Normal 6 3 4 2 2 2 3 3" xfId="33308"/>
    <cellStyle name="Normal 6 3 4 2 2 2 4" xfId="15721"/>
    <cellStyle name="Normal 6 3 4 2 2 2 4 2" xfId="38580"/>
    <cellStyle name="Normal 6 3 4 2 2 2 5" xfId="26278"/>
    <cellStyle name="Normal 6 3 4 2 2 3" xfId="5174"/>
    <cellStyle name="Normal 6 3 4 2 2 3 2" xfId="17478"/>
    <cellStyle name="Normal 6 3 4 2 2 3 2 2" xfId="40337"/>
    <cellStyle name="Normal 6 3 4 2 2 3 3" xfId="28035"/>
    <cellStyle name="Normal 6 3 4 2 2 4" xfId="8689"/>
    <cellStyle name="Normal 6 3 4 2 2 4 2" xfId="20993"/>
    <cellStyle name="Normal 6 3 4 2 2 4 2 2" xfId="43852"/>
    <cellStyle name="Normal 6 3 4 2 2 4 3" xfId="31550"/>
    <cellStyle name="Normal 6 3 4 2 2 5" xfId="12204"/>
    <cellStyle name="Normal 6 3 4 2 2 5 2" xfId="35064"/>
    <cellStyle name="Normal 6 3 4 2 2 6" xfId="13963"/>
    <cellStyle name="Normal 6 3 4 2 2 6 2" xfId="36822"/>
    <cellStyle name="Normal 6 3 4 2 2 7" xfId="24519"/>
    <cellStyle name="Normal 6 3 4 2 3" xfId="2539"/>
    <cellStyle name="Normal 6 3 4 2 3 2" xfId="6054"/>
    <cellStyle name="Normal 6 3 4 2 3 2 2" xfId="18358"/>
    <cellStyle name="Normal 6 3 4 2 3 2 2 2" xfId="41217"/>
    <cellStyle name="Normal 6 3 4 2 3 2 3" xfId="28915"/>
    <cellStyle name="Normal 6 3 4 2 3 3" xfId="9569"/>
    <cellStyle name="Normal 6 3 4 2 3 3 2" xfId="21873"/>
    <cellStyle name="Normal 6 3 4 2 3 3 2 2" xfId="44732"/>
    <cellStyle name="Normal 6 3 4 2 3 3 3" xfId="32430"/>
    <cellStyle name="Normal 6 3 4 2 3 4" xfId="14843"/>
    <cellStyle name="Normal 6 3 4 2 3 4 2" xfId="37702"/>
    <cellStyle name="Normal 6 3 4 2 3 5" xfId="25400"/>
    <cellStyle name="Normal 6 3 4 2 4" xfId="4296"/>
    <cellStyle name="Normal 6 3 4 2 4 2" xfId="16600"/>
    <cellStyle name="Normal 6 3 4 2 4 2 2" xfId="39459"/>
    <cellStyle name="Normal 6 3 4 2 4 3" xfId="27157"/>
    <cellStyle name="Normal 6 3 4 2 5" xfId="7811"/>
    <cellStyle name="Normal 6 3 4 2 5 2" xfId="20115"/>
    <cellStyle name="Normal 6 3 4 2 5 2 2" xfId="42974"/>
    <cellStyle name="Normal 6 3 4 2 5 3" xfId="30672"/>
    <cellStyle name="Normal 6 3 4 2 6" xfId="11326"/>
    <cellStyle name="Normal 6 3 4 2 6 2" xfId="34186"/>
    <cellStyle name="Normal 6 3 4 2 7" xfId="13085"/>
    <cellStyle name="Normal 6 3 4 2 7 2" xfId="35944"/>
    <cellStyle name="Normal 6 3 4 2 8" xfId="23641"/>
    <cellStyle name="Normal 6 3 4 3" xfId="1217"/>
    <cellStyle name="Normal 6 3 4 3 2" xfId="2978"/>
    <cellStyle name="Normal 6 3 4 3 2 2" xfId="6493"/>
    <cellStyle name="Normal 6 3 4 3 2 2 2" xfId="18797"/>
    <cellStyle name="Normal 6 3 4 3 2 2 2 2" xfId="41656"/>
    <cellStyle name="Normal 6 3 4 3 2 2 3" xfId="29354"/>
    <cellStyle name="Normal 6 3 4 3 2 3" xfId="10008"/>
    <cellStyle name="Normal 6 3 4 3 2 3 2" xfId="22312"/>
    <cellStyle name="Normal 6 3 4 3 2 3 2 2" xfId="45171"/>
    <cellStyle name="Normal 6 3 4 3 2 3 3" xfId="32869"/>
    <cellStyle name="Normal 6 3 4 3 2 4" xfId="15282"/>
    <cellStyle name="Normal 6 3 4 3 2 4 2" xfId="38141"/>
    <cellStyle name="Normal 6 3 4 3 2 5" xfId="25839"/>
    <cellStyle name="Normal 6 3 4 3 3" xfId="4735"/>
    <cellStyle name="Normal 6 3 4 3 3 2" xfId="17039"/>
    <cellStyle name="Normal 6 3 4 3 3 2 2" xfId="39898"/>
    <cellStyle name="Normal 6 3 4 3 3 3" xfId="27596"/>
    <cellStyle name="Normal 6 3 4 3 4" xfId="8250"/>
    <cellStyle name="Normal 6 3 4 3 4 2" xfId="20554"/>
    <cellStyle name="Normal 6 3 4 3 4 2 2" xfId="43413"/>
    <cellStyle name="Normal 6 3 4 3 4 3" xfId="31111"/>
    <cellStyle name="Normal 6 3 4 3 5" xfId="11765"/>
    <cellStyle name="Normal 6 3 4 3 5 2" xfId="34625"/>
    <cellStyle name="Normal 6 3 4 3 6" xfId="13524"/>
    <cellStyle name="Normal 6 3 4 3 6 2" xfId="36383"/>
    <cellStyle name="Normal 6 3 4 3 7" xfId="24080"/>
    <cellStyle name="Normal 6 3 4 4" xfId="2100"/>
    <cellStyle name="Normal 6 3 4 4 2" xfId="5615"/>
    <cellStyle name="Normal 6 3 4 4 2 2" xfId="17919"/>
    <cellStyle name="Normal 6 3 4 4 2 2 2" xfId="40778"/>
    <cellStyle name="Normal 6 3 4 4 2 3" xfId="28476"/>
    <cellStyle name="Normal 6 3 4 4 3" xfId="9130"/>
    <cellStyle name="Normal 6 3 4 4 3 2" xfId="21434"/>
    <cellStyle name="Normal 6 3 4 4 3 2 2" xfId="44293"/>
    <cellStyle name="Normal 6 3 4 4 3 3" xfId="31991"/>
    <cellStyle name="Normal 6 3 4 4 4" xfId="14404"/>
    <cellStyle name="Normal 6 3 4 4 4 2" xfId="37263"/>
    <cellStyle name="Normal 6 3 4 4 5" xfId="24961"/>
    <cellStyle name="Normal 6 3 4 5" xfId="3857"/>
    <cellStyle name="Normal 6 3 4 5 2" xfId="16161"/>
    <cellStyle name="Normal 6 3 4 5 2 2" xfId="39020"/>
    <cellStyle name="Normal 6 3 4 5 3" xfId="26718"/>
    <cellStyle name="Normal 6 3 4 6" xfId="7372"/>
    <cellStyle name="Normal 6 3 4 6 2" xfId="19676"/>
    <cellStyle name="Normal 6 3 4 6 2 2" xfId="42535"/>
    <cellStyle name="Normal 6 3 4 6 3" xfId="30233"/>
    <cellStyle name="Normal 6 3 4 7" xfId="10887"/>
    <cellStyle name="Normal 6 3 4 7 2" xfId="33747"/>
    <cellStyle name="Normal 6 3 4 8" xfId="12646"/>
    <cellStyle name="Normal 6 3 4 8 2" xfId="35505"/>
    <cellStyle name="Normal 6 3 4 9" xfId="23201"/>
    <cellStyle name="Normal 6 3 5" xfId="565"/>
    <cellStyle name="Normal 6 3 5 2" xfId="1444"/>
    <cellStyle name="Normal 6 3 5 2 2" xfId="3205"/>
    <cellStyle name="Normal 6 3 5 2 2 2" xfId="6720"/>
    <cellStyle name="Normal 6 3 5 2 2 2 2" xfId="19024"/>
    <cellStyle name="Normal 6 3 5 2 2 2 2 2" xfId="41883"/>
    <cellStyle name="Normal 6 3 5 2 2 2 3" xfId="29581"/>
    <cellStyle name="Normal 6 3 5 2 2 3" xfId="10235"/>
    <cellStyle name="Normal 6 3 5 2 2 3 2" xfId="22539"/>
    <cellStyle name="Normal 6 3 5 2 2 3 2 2" xfId="45398"/>
    <cellStyle name="Normal 6 3 5 2 2 3 3" xfId="33096"/>
    <cellStyle name="Normal 6 3 5 2 2 4" xfId="15509"/>
    <cellStyle name="Normal 6 3 5 2 2 4 2" xfId="38368"/>
    <cellStyle name="Normal 6 3 5 2 2 5" xfId="26066"/>
    <cellStyle name="Normal 6 3 5 2 3" xfId="4962"/>
    <cellStyle name="Normal 6 3 5 2 3 2" xfId="17266"/>
    <cellStyle name="Normal 6 3 5 2 3 2 2" xfId="40125"/>
    <cellStyle name="Normal 6 3 5 2 3 3" xfId="27823"/>
    <cellStyle name="Normal 6 3 5 2 4" xfId="8477"/>
    <cellStyle name="Normal 6 3 5 2 4 2" xfId="20781"/>
    <cellStyle name="Normal 6 3 5 2 4 2 2" xfId="43640"/>
    <cellStyle name="Normal 6 3 5 2 4 3" xfId="31338"/>
    <cellStyle name="Normal 6 3 5 2 5" xfId="11992"/>
    <cellStyle name="Normal 6 3 5 2 5 2" xfId="34852"/>
    <cellStyle name="Normal 6 3 5 2 6" xfId="13751"/>
    <cellStyle name="Normal 6 3 5 2 6 2" xfId="36610"/>
    <cellStyle name="Normal 6 3 5 2 7" xfId="24307"/>
    <cellStyle name="Normal 6 3 5 3" xfId="2327"/>
    <cellStyle name="Normal 6 3 5 3 2" xfId="5842"/>
    <cellStyle name="Normal 6 3 5 3 2 2" xfId="18146"/>
    <cellStyle name="Normal 6 3 5 3 2 2 2" xfId="41005"/>
    <cellStyle name="Normal 6 3 5 3 2 3" xfId="28703"/>
    <cellStyle name="Normal 6 3 5 3 3" xfId="9357"/>
    <cellStyle name="Normal 6 3 5 3 3 2" xfId="21661"/>
    <cellStyle name="Normal 6 3 5 3 3 2 2" xfId="44520"/>
    <cellStyle name="Normal 6 3 5 3 3 3" xfId="32218"/>
    <cellStyle name="Normal 6 3 5 3 4" xfId="14631"/>
    <cellStyle name="Normal 6 3 5 3 4 2" xfId="37490"/>
    <cellStyle name="Normal 6 3 5 3 5" xfId="25188"/>
    <cellStyle name="Normal 6 3 5 4" xfId="4084"/>
    <cellStyle name="Normal 6 3 5 4 2" xfId="16388"/>
    <cellStyle name="Normal 6 3 5 4 2 2" xfId="39247"/>
    <cellStyle name="Normal 6 3 5 4 3" xfId="26945"/>
    <cellStyle name="Normal 6 3 5 5" xfId="7599"/>
    <cellStyle name="Normal 6 3 5 5 2" xfId="19903"/>
    <cellStyle name="Normal 6 3 5 5 2 2" xfId="42762"/>
    <cellStyle name="Normal 6 3 5 5 3" xfId="30460"/>
    <cellStyle name="Normal 6 3 5 6" xfId="11114"/>
    <cellStyle name="Normal 6 3 5 6 2" xfId="33974"/>
    <cellStyle name="Normal 6 3 5 7" xfId="12873"/>
    <cellStyle name="Normal 6 3 5 7 2" xfId="35732"/>
    <cellStyle name="Normal 6 3 5 8" xfId="23429"/>
    <cellStyle name="Normal 6 3 6" xfId="1005"/>
    <cellStyle name="Normal 6 3 6 2" xfId="2766"/>
    <cellStyle name="Normal 6 3 6 2 2" xfId="6281"/>
    <cellStyle name="Normal 6 3 6 2 2 2" xfId="18585"/>
    <cellStyle name="Normal 6 3 6 2 2 2 2" xfId="41444"/>
    <cellStyle name="Normal 6 3 6 2 2 3" xfId="29142"/>
    <cellStyle name="Normal 6 3 6 2 3" xfId="9796"/>
    <cellStyle name="Normal 6 3 6 2 3 2" xfId="22100"/>
    <cellStyle name="Normal 6 3 6 2 3 2 2" xfId="44959"/>
    <cellStyle name="Normal 6 3 6 2 3 3" xfId="32657"/>
    <cellStyle name="Normal 6 3 6 2 4" xfId="15070"/>
    <cellStyle name="Normal 6 3 6 2 4 2" xfId="37929"/>
    <cellStyle name="Normal 6 3 6 2 5" xfId="25627"/>
    <cellStyle name="Normal 6 3 6 3" xfId="4523"/>
    <cellStyle name="Normal 6 3 6 3 2" xfId="16827"/>
    <cellStyle name="Normal 6 3 6 3 2 2" xfId="39686"/>
    <cellStyle name="Normal 6 3 6 3 3" xfId="27384"/>
    <cellStyle name="Normal 6 3 6 4" xfId="8038"/>
    <cellStyle name="Normal 6 3 6 4 2" xfId="20342"/>
    <cellStyle name="Normal 6 3 6 4 2 2" xfId="43201"/>
    <cellStyle name="Normal 6 3 6 4 3" xfId="30899"/>
    <cellStyle name="Normal 6 3 6 5" xfId="11553"/>
    <cellStyle name="Normal 6 3 6 5 2" xfId="34413"/>
    <cellStyle name="Normal 6 3 6 6" xfId="13312"/>
    <cellStyle name="Normal 6 3 6 6 2" xfId="36171"/>
    <cellStyle name="Normal 6 3 6 7" xfId="23868"/>
    <cellStyle name="Normal 6 3 7" xfId="1888"/>
    <cellStyle name="Normal 6 3 7 2" xfId="5403"/>
    <cellStyle name="Normal 6 3 7 2 2" xfId="17707"/>
    <cellStyle name="Normal 6 3 7 2 2 2" xfId="40566"/>
    <cellStyle name="Normal 6 3 7 2 3" xfId="28264"/>
    <cellStyle name="Normal 6 3 7 3" xfId="8918"/>
    <cellStyle name="Normal 6 3 7 3 2" xfId="21222"/>
    <cellStyle name="Normal 6 3 7 3 2 2" xfId="44081"/>
    <cellStyle name="Normal 6 3 7 3 3" xfId="31779"/>
    <cellStyle name="Normal 6 3 7 4" xfId="14192"/>
    <cellStyle name="Normal 6 3 7 4 2" xfId="37051"/>
    <cellStyle name="Normal 6 3 7 5" xfId="24749"/>
    <cellStyle name="Normal 6 3 8" xfId="3645"/>
    <cellStyle name="Normal 6 3 8 2" xfId="15949"/>
    <cellStyle name="Normal 6 3 8 2 2" xfId="38808"/>
    <cellStyle name="Normal 6 3 8 3" xfId="26506"/>
    <cellStyle name="Normal 6 3 9" xfId="7160"/>
    <cellStyle name="Normal 6 3 9 2" xfId="19464"/>
    <cellStyle name="Normal 6 3 9 2 2" xfId="42323"/>
    <cellStyle name="Normal 6 3 9 3" xfId="30021"/>
    <cellStyle name="Normal 6 4" xfId="151"/>
    <cellStyle name="Normal 6 4 10" xfId="12463"/>
    <cellStyle name="Normal 6 4 10 2" xfId="35322"/>
    <cellStyle name="Normal 6 4 11" xfId="23017"/>
    <cellStyle name="Normal 6 4 2" xfId="259"/>
    <cellStyle name="Normal 6 4 2 10" xfId="23124"/>
    <cellStyle name="Normal 6 4 2 2" xfId="471"/>
    <cellStyle name="Normal 6 4 2 2 2" xfId="912"/>
    <cellStyle name="Normal 6 4 2 2 2 2" xfId="1791"/>
    <cellStyle name="Normal 6 4 2 2 2 2 2" xfId="3552"/>
    <cellStyle name="Normal 6 4 2 2 2 2 2 2" xfId="7067"/>
    <cellStyle name="Normal 6 4 2 2 2 2 2 2 2" xfId="19371"/>
    <cellStyle name="Normal 6 4 2 2 2 2 2 2 2 2" xfId="42230"/>
    <cellStyle name="Normal 6 4 2 2 2 2 2 2 3" xfId="29928"/>
    <cellStyle name="Normal 6 4 2 2 2 2 2 3" xfId="10582"/>
    <cellStyle name="Normal 6 4 2 2 2 2 2 3 2" xfId="22886"/>
    <cellStyle name="Normal 6 4 2 2 2 2 2 3 2 2" xfId="45745"/>
    <cellStyle name="Normal 6 4 2 2 2 2 2 3 3" xfId="33443"/>
    <cellStyle name="Normal 6 4 2 2 2 2 2 4" xfId="15856"/>
    <cellStyle name="Normal 6 4 2 2 2 2 2 4 2" xfId="38715"/>
    <cellStyle name="Normal 6 4 2 2 2 2 2 5" xfId="26413"/>
    <cellStyle name="Normal 6 4 2 2 2 2 3" xfId="5309"/>
    <cellStyle name="Normal 6 4 2 2 2 2 3 2" xfId="17613"/>
    <cellStyle name="Normal 6 4 2 2 2 2 3 2 2" xfId="40472"/>
    <cellStyle name="Normal 6 4 2 2 2 2 3 3" xfId="28170"/>
    <cellStyle name="Normal 6 4 2 2 2 2 4" xfId="8824"/>
    <cellStyle name="Normal 6 4 2 2 2 2 4 2" xfId="21128"/>
    <cellStyle name="Normal 6 4 2 2 2 2 4 2 2" xfId="43987"/>
    <cellStyle name="Normal 6 4 2 2 2 2 4 3" xfId="31685"/>
    <cellStyle name="Normal 6 4 2 2 2 2 5" xfId="12339"/>
    <cellStyle name="Normal 6 4 2 2 2 2 5 2" xfId="35199"/>
    <cellStyle name="Normal 6 4 2 2 2 2 6" xfId="14098"/>
    <cellStyle name="Normal 6 4 2 2 2 2 6 2" xfId="36957"/>
    <cellStyle name="Normal 6 4 2 2 2 2 7" xfId="24654"/>
    <cellStyle name="Normal 6 4 2 2 2 3" xfId="2674"/>
    <cellStyle name="Normal 6 4 2 2 2 3 2" xfId="6189"/>
    <cellStyle name="Normal 6 4 2 2 2 3 2 2" xfId="18493"/>
    <cellStyle name="Normal 6 4 2 2 2 3 2 2 2" xfId="41352"/>
    <cellStyle name="Normal 6 4 2 2 2 3 2 3" xfId="29050"/>
    <cellStyle name="Normal 6 4 2 2 2 3 3" xfId="9704"/>
    <cellStyle name="Normal 6 4 2 2 2 3 3 2" xfId="22008"/>
    <cellStyle name="Normal 6 4 2 2 2 3 3 2 2" xfId="44867"/>
    <cellStyle name="Normal 6 4 2 2 2 3 3 3" xfId="32565"/>
    <cellStyle name="Normal 6 4 2 2 2 3 4" xfId="14978"/>
    <cellStyle name="Normal 6 4 2 2 2 3 4 2" xfId="37837"/>
    <cellStyle name="Normal 6 4 2 2 2 3 5" xfId="25535"/>
    <cellStyle name="Normal 6 4 2 2 2 4" xfId="4431"/>
    <cellStyle name="Normal 6 4 2 2 2 4 2" xfId="16735"/>
    <cellStyle name="Normal 6 4 2 2 2 4 2 2" xfId="39594"/>
    <cellStyle name="Normal 6 4 2 2 2 4 3" xfId="27292"/>
    <cellStyle name="Normal 6 4 2 2 2 5" xfId="7946"/>
    <cellStyle name="Normal 6 4 2 2 2 5 2" xfId="20250"/>
    <cellStyle name="Normal 6 4 2 2 2 5 2 2" xfId="43109"/>
    <cellStyle name="Normal 6 4 2 2 2 5 3" xfId="30807"/>
    <cellStyle name="Normal 6 4 2 2 2 6" xfId="11461"/>
    <cellStyle name="Normal 6 4 2 2 2 6 2" xfId="34321"/>
    <cellStyle name="Normal 6 4 2 2 2 7" xfId="13220"/>
    <cellStyle name="Normal 6 4 2 2 2 7 2" xfId="36079"/>
    <cellStyle name="Normal 6 4 2 2 2 8" xfId="23776"/>
    <cellStyle name="Normal 6 4 2 2 3" xfId="1352"/>
    <cellStyle name="Normal 6 4 2 2 3 2" xfId="3113"/>
    <cellStyle name="Normal 6 4 2 2 3 2 2" xfId="6628"/>
    <cellStyle name="Normal 6 4 2 2 3 2 2 2" xfId="18932"/>
    <cellStyle name="Normal 6 4 2 2 3 2 2 2 2" xfId="41791"/>
    <cellStyle name="Normal 6 4 2 2 3 2 2 3" xfId="29489"/>
    <cellStyle name="Normal 6 4 2 2 3 2 3" xfId="10143"/>
    <cellStyle name="Normal 6 4 2 2 3 2 3 2" xfId="22447"/>
    <cellStyle name="Normal 6 4 2 2 3 2 3 2 2" xfId="45306"/>
    <cellStyle name="Normal 6 4 2 2 3 2 3 3" xfId="33004"/>
    <cellStyle name="Normal 6 4 2 2 3 2 4" xfId="15417"/>
    <cellStyle name="Normal 6 4 2 2 3 2 4 2" xfId="38276"/>
    <cellStyle name="Normal 6 4 2 2 3 2 5" xfId="25974"/>
    <cellStyle name="Normal 6 4 2 2 3 3" xfId="4870"/>
    <cellStyle name="Normal 6 4 2 2 3 3 2" xfId="17174"/>
    <cellStyle name="Normal 6 4 2 2 3 3 2 2" xfId="40033"/>
    <cellStyle name="Normal 6 4 2 2 3 3 3" xfId="27731"/>
    <cellStyle name="Normal 6 4 2 2 3 4" xfId="8385"/>
    <cellStyle name="Normal 6 4 2 2 3 4 2" xfId="20689"/>
    <cellStyle name="Normal 6 4 2 2 3 4 2 2" xfId="43548"/>
    <cellStyle name="Normal 6 4 2 2 3 4 3" xfId="31246"/>
    <cellStyle name="Normal 6 4 2 2 3 5" xfId="11900"/>
    <cellStyle name="Normal 6 4 2 2 3 5 2" xfId="34760"/>
    <cellStyle name="Normal 6 4 2 2 3 6" xfId="13659"/>
    <cellStyle name="Normal 6 4 2 2 3 6 2" xfId="36518"/>
    <cellStyle name="Normal 6 4 2 2 3 7" xfId="24215"/>
    <cellStyle name="Normal 6 4 2 2 4" xfId="2235"/>
    <cellStyle name="Normal 6 4 2 2 4 2" xfId="5750"/>
    <cellStyle name="Normal 6 4 2 2 4 2 2" xfId="18054"/>
    <cellStyle name="Normal 6 4 2 2 4 2 2 2" xfId="40913"/>
    <cellStyle name="Normal 6 4 2 2 4 2 3" xfId="28611"/>
    <cellStyle name="Normal 6 4 2 2 4 3" xfId="9265"/>
    <cellStyle name="Normal 6 4 2 2 4 3 2" xfId="21569"/>
    <cellStyle name="Normal 6 4 2 2 4 3 2 2" xfId="44428"/>
    <cellStyle name="Normal 6 4 2 2 4 3 3" xfId="32126"/>
    <cellStyle name="Normal 6 4 2 2 4 4" xfId="14539"/>
    <cellStyle name="Normal 6 4 2 2 4 4 2" xfId="37398"/>
    <cellStyle name="Normal 6 4 2 2 4 5" xfId="25096"/>
    <cellStyle name="Normal 6 4 2 2 5" xfId="3992"/>
    <cellStyle name="Normal 6 4 2 2 5 2" xfId="16296"/>
    <cellStyle name="Normal 6 4 2 2 5 2 2" xfId="39155"/>
    <cellStyle name="Normal 6 4 2 2 5 3" xfId="26853"/>
    <cellStyle name="Normal 6 4 2 2 6" xfId="7507"/>
    <cellStyle name="Normal 6 4 2 2 6 2" xfId="19811"/>
    <cellStyle name="Normal 6 4 2 2 6 2 2" xfId="42670"/>
    <cellStyle name="Normal 6 4 2 2 6 3" xfId="30368"/>
    <cellStyle name="Normal 6 4 2 2 7" xfId="11022"/>
    <cellStyle name="Normal 6 4 2 2 7 2" xfId="33882"/>
    <cellStyle name="Normal 6 4 2 2 8" xfId="12781"/>
    <cellStyle name="Normal 6 4 2 2 8 2" xfId="35640"/>
    <cellStyle name="Normal 6 4 2 2 9" xfId="23336"/>
    <cellStyle name="Normal 6 4 2 3" xfId="700"/>
    <cellStyle name="Normal 6 4 2 3 2" xfId="1579"/>
    <cellStyle name="Normal 6 4 2 3 2 2" xfId="3340"/>
    <cellStyle name="Normal 6 4 2 3 2 2 2" xfId="6855"/>
    <cellStyle name="Normal 6 4 2 3 2 2 2 2" xfId="19159"/>
    <cellStyle name="Normal 6 4 2 3 2 2 2 2 2" xfId="42018"/>
    <cellStyle name="Normal 6 4 2 3 2 2 2 3" xfId="29716"/>
    <cellStyle name="Normal 6 4 2 3 2 2 3" xfId="10370"/>
    <cellStyle name="Normal 6 4 2 3 2 2 3 2" xfId="22674"/>
    <cellStyle name="Normal 6 4 2 3 2 2 3 2 2" xfId="45533"/>
    <cellStyle name="Normal 6 4 2 3 2 2 3 3" xfId="33231"/>
    <cellStyle name="Normal 6 4 2 3 2 2 4" xfId="15644"/>
    <cellStyle name="Normal 6 4 2 3 2 2 4 2" xfId="38503"/>
    <cellStyle name="Normal 6 4 2 3 2 2 5" xfId="26201"/>
    <cellStyle name="Normal 6 4 2 3 2 3" xfId="5097"/>
    <cellStyle name="Normal 6 4 2 3 2 3 2" xfId="17401"/>
    <cellStyle name="Normal 6 4 2 3 2 3 2 2" xfId="40260"/>
    <cellStyle name="Normal 6 4 2 3 2 3 3" xfId="27958"/>
    <cellStyle name="Normal 6 4 2 3 2 4" xfId="8612"/>
    <cellStyle name="Normal 6 4 2 3 2 4 2" xfId="20916"/>
    <cellStyle name="Normal 6 4 2 3 2 4 2 2" xfId="43775"/>
    <cellStyle name="Normal 6 4 2 3 2 4 3" xfId="31473"/>
    <cellStyle name="Normal 6 4 2 3 2 5" xfId="12127"/>
    <cellStyle name="Normal 6 4 2 3 2 5 2" xfId="34987"/>
    <cellStyle name="Normal 6 4 2 3 2 6" xfId="13886"/>
    <cellStyle name="Normal 6 4 2 3 2 6 2" xfId="36745"/>
    <cellStyle name="Normal 6 4 2 3 2 7" xfId="24442"/>
    <cellStyle name="Normal 6 4 2 3 3" xfId="2462"/>
    <cellStyle name="Normal 6 4 2 3 3 2" xfId="5977"/>
    <cellStyle name="Normal 6 4 2 3 3 2 2" xfId="18281"/>
    <cellStyle name="Normal 6 4 2 3 3 2 2 2" xfId="41140"/>
    <cellStyle name="Normal 6 4 2 3 3 2 3" xfId="28838"/>
    <cellStyle name="Normal 6 4 2 3 3 3" xfId="9492"/>
    <cellStyle name="Normal 6 4 2 3 3 3 2" xfId="21796"/>
    <cellStyle name="Normal 6 4 2 3 3 3 2 2" xfId="44655"/>
    <cellStyle name="Normal 6 4 2 3 3 3 3" xfId="32353"/>
    <cellStyle name="Normal 6 4 2 3 3 4" xfId="14766"/>
    <cellStyle name="Normal 6 4 2 3 3 4 2" xfId="37625"/>
    <cellStyle name="Normal 6 4 2 3 3 5" xfId="25323"/>
    <cellStyle name="Normal 6 4 2 3 4" xfId="4219"/>
    <cellStyle name="Normal 6 4 2 3 4 2" xfId="16523"/>
    <cellStyle name="Normal 6 4 2 3 4 2 2" xfId="39382"/>
    <cellStyle name="Normal 6 4 2 3 4 3" xfId="27080"/>
    <cellStyle name="Normal 6 4 2 3 5" xfId="7734"/>
    <cellStyle name="Normal 6 4 2 3 5 2" xfId="20038"/>
    <cellStyle name="Normal 6 4 2 3 5 2 2" xfId="42897"/>
    <cellStyle name="Normal 6 4 2 3 5 3" xfId="30595"/>
    <cellStyle name="Normal 6 4 2 3 6" xfId="11249"/>
    <cellStyle name="Normal 6 4 2 3 6 2" xfId="34109"/>
    <cellStyle name="Normal 6 4 2 3 7" xfId="13008"/>
    <cellStyle name="Normal 6 4 2 3 7 2" xfId="35867"/>
    <cellStyle name="Normal 6 4 2 3 8" xfId="23564"/>
    <cellStyle name="Normal 6 4 2 4" xfId="1140"/>
    <cellStyle name="Normal 6 4 2 4 2" xfId="2901"/>
    <cellStyle name="Normal 6 4 2 4 2 2" xfId="6416"/>
    <cellStyle name="Normal 6 4 2 4 2 2 2" xfId="18720"/>
    <cellStyle name="Normal 6 4 2 4 2 2 2 2" xfId="41579"/>
    <cellStyle name="Normal 6 4 2 4 2 2 3" xfId="29277"/>
    <cellStyle name="Normal 6 4 2 4 2 3" xfId="9931"/>
    <cellStyle name="Normal 6 4 2 4 2 3 2" xfId="22235"/>
    <cellStyle name="Normal 6 4 2 4 2 3 2 2" xfId="45094"/>
    <cellStyle name="Normal 6 4 2 4 2 3 3" xfId="32792"/>
    <cellStyle name="Normal 6 4 2 4 2 4" xfId="15205"/>
    <cellStyle name="Normal 6 4 2 4 2 4 2" xfId="38064"/>
    <cellStyle name="Normal 6 4 2 4 2 5" xfId="25762"/>
    <cellStyle name="Normal 6 4 2 4 3" xfId="4658"/>
    <cellStyle name="Normal 6 4 2 4 3 2" xfId="16962"/>
    <cellStyle name="Normal 6 4 2 4 3 2 2" xfId="39821"/>
    <cellStyle name="Normal 6 4 2 4 3 3" xfId="27519"/>
    <cellStyle name="Normal 6 4 2 4 4" xfId="8173"/>
    <cellStyle name="Normal 6 4 2 4 4 2" xfId="20477"/>
    <cellStyle name="Normal 6 4 2 4 4 2 2" xfId="43336"/>
    <cellStyle name="Normal 6 4 2 4 4 3" xfId="31034"/>
    <cellStyle name="Normal 6 4 2 4 5" xfId="11688"/>
    <cellStyle name="Normal 6 4 2 4 5 2" xfId="34548"/>
    <cellStyle name="Normal 6 4 2 4 6" xfId="13447"/>
    <cellStyle name="Normal 6 4 2 4 6 2" xfId="36306"/>
    <cellStyle name="Normal 6 4 2 4 7" xfId="24003"/>
    <cellStyle name="Normal 6 4 2 5" xfId="2023"/>
    <cellStyle name="Normal 6 4 2 5 2" xfId="5538"/>
    <cellStyle name="Normal 6 4 2 5 2 2" xfId="17842"/>
    <cellStyle name="Normal 6 4 2 5 2 2 2" xfId="40701"/>
    <cellStyle name="Normal 6 4 2 5 2 3" xfId="28399"/>
    <cellStyle name="Normal 6 4 2 5 3" xfId="9053"/>
    <cellStyle name="Normal 6 4 2 5 3 2" xfId="21357"/>
    <cellStyle name="Normal 6 4 2 5 3 2 2" xfId="44216"/>
    <cellStyle name="Normal 6 4 2 5 3 3" xfId="31914"/>
    <cellStyle name="Normal 6 4 2 5 4" xfId="14327"/>
    <cellStyle name="Normal 6 4 2 5 4 2" xfId="37186"/>
    <cellStyle name="Normal 6 4 2 5 5" xfId="24884"/>
    <cellStyle name="Normal 6 4 2 6" xfId="3780"/>
    <cellStyle name="Normal 6 4 2 6 2" xfId="16084"/>
    <cellStyle name="Normal 6 4 2 6 2 2" xfId="38943"/>
    <cellStyle name="Normal 6 4 2 6 3" xfId="26641"/>
    <cellStyle name="Normal 6 4 2 7" xfId="7295"/>
    <cellStyle name="Normal 6 4 2 7 2" xfId="19599"/>
    <cellStyle name="Normal 6 4 2 7 2 2" xfId="42458"/>
    <cellStyle name="Normal 6 4 2 7 3" xfId="30156"/>
    <cellStyle name="Normal 6 4 2 8" xfId="10810"/>
    <cellStyle name="Normal 6 4 2 8 2" xfId="33670"/>
    <cellStyle name="Normal 6 4 2 9" xfId="12569"/>
    <cellStyle name="Normal 6 4 2 9 2" xfId="35428"/>
    <cellStyle name="Normal 6 4 3" xfId="365"/>
    <cellStyle name="Normal 6 4 3 2" xfId="806"/>
    <cellStyle name="Normal 6 4 3 2 2" xfId="1685"/>
    <cellStyle name="Normal 6 4 3 2 2 2" xfId="3446"/>
    <cellStyle name="Normal 6 4 3 2 2 2 2" xfId="6961"/>
    <cellStyle name="Normal 6 4 3 2 2 2 2 2" xfId="19265"/>
    <cellStyle name="Normal 6 4 3 2 2 2 2 2 2" xfId="42124"/>
    <cellStyle name="Normal 6 4 3 2 2 2 2 3" xfId="29822"/>
    <cellStyle name="Normal 6 4 3 2 2 2 3" xfId="10476"/>
    <cellStyle name="Normal 6 4 3 2 2 2 3 2" xfId="22780"/>
    <cellStyle name="Normal 6 4 3 2 2 2 3 2 2" xfId="45639"/>
    <cellStyle name="Normal 6 4 3 2 2 2 3 3" xfId="33337"/>
    <cellStyle name="Normal 6 4 3 2 2 2 4" xfId="15750"/>
    <cellStyle name="Normal 6 4 3 2 2 2 4 2" xfId="38609"/>
    <cellStyle name="Normal 6 4 3 2 2 2 5" xfId="26307"/>
    <cellStyle name="Normal 6 4 3 2 2 3" xfId="5203"/>
    <cellStyle name="Normal 6 4 3 2 2 3 2" xfId="17507"/>
    <cellStyle name="Normal 6 4 3 2 2 3 2 2" xfId="40366"/>
    <cellStyle name="Normal 6 4 3 2 2 3 3" xfId="28064"/>
    <cellStyle name="Normal 6 4 3 2 2 4" xfId="8718"/>
    <cellStyle name="Normal 6 4 3 2 2 4 2" xfId="21022"/>
    <cellStyle name="Normal 6 4 3 2 2 4 2 2" xfId="43881"/>
    <cellStyle name="Normal 6 4 3 2 2 4 3" xfId="31579"/>
    <cellStyle name="Normal 6 4 3 2 2 5" xfId="12233"/>
    <cellStyle name="Normal 6 4 3 2 2 5 2" xfId="35093"/>
    <cellStyle name="Normal 6 4 3 2 2 6" xfId="13992"/>
    <cellStyle name="Normal 6 4 3 2 2 6 2" xfId="36851"/>
    <cellStyle name="Normal 6 4 3 2 2 7" xfId="24548"/>
    <cellStyle name="Normal 6 4 3 2 3" xfId="2568"/>
    <cellStyle name="Normal 6 4 3 2 3 2" xfId="6083"/>
    <cellStyle name="Normal 6 4 3 2 3 2 2" xfId="18387"/>
    <cellStyle name="Normal 6 4 3 2 3 2 2 2" xfId="41246"/>
    <cellStyle name="Normal 6 4 3 2 3 2 3" xfId="28944"/>
    <cellStyle name="Normal 6 4 3 2 3 3" xfId="9598"/>
    <cellStyle name="Normal 6 4 3 2 3 3 2" xfId="21902"/>
    <cellStyle name="Normal 6 4 3 2 3 3 2 2" xfId="44761"/>
    <cellStyle name="Normal 6 4 3 2 3 3 3" xfId="32459"/>
    <cellStyle name="Normal 6 4 3 2 3 4" xfId="14872"/>
    <cellStyle name="Normal 6 4 3 2 3 4 2" xfId="37731"/>
    <cellStyle name="Normal 6 4 3 2 3 5" xfId="25429"/>
    <cellStyle name="Normal 6 4 3 2 4" xfId="4325"/>
    <cellStyle name="Normal 6 4 3 2 4 2" xfId="16629"/>
    <cellStyle name="Normal 6 4 3 2 4 2 2" xfId="39488"/>
    <cellStyle name="Normal 6 4 3 2 4 3" xfId="27186"/>
    <cellStyle name="Normal 6 4 3 2 5" xfId="7840"/>
    <cellStyle name="Normal 6 4 3 2 5 2" xfId="20144"/>
    <cellStyle name="Normal 6 4 3 2 5 2 2" xfId="43003"/>
    <cellStyle name="Normal 6 4 3 2 5 3" xfId="30701"/>
    <cellStyle name="Normal 6 4 3 2 6" xfId="11355"/>
    <cellStyle name="Normal 6 4 3 2 6 2" xfId="34215"/>
    <cellStyle name="Normal 6 4 3 2 7" xfId="13114"/>
    <cellStyle name="Normal 6 4 3 2 7 2" xfId="35973"/>
    <cellStyle name="Normal 6 4 3 2 8" xfId="23670"/>
    <cellStyle name="Normal 6 4 3 3" xfId="1246"/>
    <cellStyle name="Normal 6 4 3 3 2" xfId="3007"/>
    <cellStyle name="Normal 6 4 3 3 2 2" xfId="6522"/>
    <cellStyle name="Normal 6 4 3 3 2 2 2" xfId="18826"/>
    <cellStyle name="Normal 6 4 3 3 2 2 2 2" xfId="41685"/>
    <cellStyle name="Normal 6 4 3 3 2 2 3" xfId="29383"/>
    <cellStyle name="Normal 6 4 3 3 2 3" xfId="10037"/>
    <cellStyle name="Normal 6 4 3 3 2 3 2" xfId="22341"/>
    <cellStyle name="Normal 6 4 3 3 2 3 2 2" xfId="45200"/>
    <cellStyle name="Normal 6 4 3 3 2 3 3" xfId="32898"/>
    <cellStyle name="Normal 6 4 3 3 2 4" xfId="15311"/>
    <cellStyle name="Normal 6 4 3 3 2 4 2" xfId="38170"/>
    <cellStyle name="Normal 6 4 3 3 2 5" xfId="25868"/>
    <cellStyle name="Normal 6 4 3 3 3" xfId="4764"/>
    <cellStyle name="Normal 6 4 3 3 3 2" xfId="17068"/>
    <cellStyle name="Normal 6 4 3 3 3 2 2" xfId="39927"/>
    <cellStyle name="Normal 6 4 3 3 3 3" xfId="27625"/>
    <cellStyle name="Normal 6 4 3 3 4" xfId="8279"/>
    <cellStyle name="Normal 6 4 3 3 4 2" xfId="20583"/>
    <cellStyle name="Normal 6 4 3 3 4 2 2" xfId="43442"/>
    <cellStyle name="Normal 6 4 3 3 4 3" xfId="31140"/>
    <cellStyle name="Normal 6 4 3 3 5" xfId="11794"/>
    <cellStyle name="Normal 6 4 3 3 5 2" xfId="34654"/>
    <cellStyle name="Normal 6 4 3 3 6" xfId="13553"/>
    <cellStyle name="Normal 6 4 3 3 6 2" xfId="36412"/>
    <cellStyle name="Normal 6 4 3 3 7" xfId="24109"/>
    <cellStyle name="Normal 6 4 3 4" xfId="2129"/>
    <cellStyle name="Normal 6 4 3 4 2" xfId="5644"/>
    <cellStyle name="Normal 6 4 3 4 2 2" xfId="17948"/>
    <cellStyle name="Normal 6 4 3 4 2 2 2" xfId="40807"/>
    <cellStyle name="Normal 6 4 3 4 2 3" xfId="28505"/>
    <cellStyle name="Normal 6 4 3 4 3" xfId="9159"/>
    <cellStyle name="Normal 6 4 3 4 3 2" xfId="21463"/>
    <cellStyle name="Normal 6 4 3 4 3 2 2" xfId="44322"/>
    <cellStyle name="Normal 6 4 3 4 3 3" xfId="32020"/>
    <cellStyle name="Normal 6 4 3 4 4" xfId="14433"/>
    <cellStyle name="Normal 6 4 3 4 4 2" xfId="37292"/>
    <cellStyle name="Normal 6 4 3 4 5" xfId="24990"/>
    <cellStyle name="Normal 6 4 3 5" xfId="3886"/>
    <cellStyle name="Normal 6 4 3 5 2" xfId="16190"/>
    <cellStyle name="Normal 6 4 3 5 2 2" xfId="39049"/>
    <cellStyle name="Normal 6 4 3 5 3" xfId="26747"/>
    <cellStyle name="Normal 6 4 3 6" xfId="7401"/>
    <cellStyle name="Normal 6 4 3 6 2" xfId="19705"/>
    <cellStyle name="Normal 6 4 3 6 2 2" xfId="42564"/>
    <cellStyle name="Normal 6 4 3 6 3" xfId="30262"/>
    <cellStyle name="Normal 6 4 3 7" xfId="10916"/>
    <cellStyle name="Normal 6 4 3 7 2" xfId="33776"/>
    <cellStyle name="Normal 6 4 3 8" xfId="12675"/>
    <cellStyle name="Normal 6 4 3 8 2" xfId="35534"/>
    <cellStyle name="Normal 6 4 3 9" xfId="23230"/>
    <cellStyle name="Normal 6 4 4" xfId="594"/>
    <cellStyle name="Normal 6 4 4 2" xfId="1473"/>
    <cellStyle name="Normal 6 4 4 2 2" xfId="3234"/>
    <cellStyle name="Normal 6 4 4 2 2 2" xfId="6749"/>
    <cellStyle name="Normal 6 4 4 2 2 2 2" xfId="19053"/>
    <cellStyle name="Normal 6 4 4 2 2 2 2 2" xfId="41912"/>
    <cellStyle name="Normal 6 4 4 2 2 2 3" xfId="29610"/>
    <cellStyle name="Normal 6 4 4 2 2 3" xfId="10264"/>
    <cellStyle name="Normal 6 4 4 2 2 3 2" xfId="22568"/>
    <cellStyle name="Normal 6 4 4 2 2 3 2 2" xfId="45427"/>
    <cellStyle name="Normal 6 4 4 2 2 3 3" xfId="33125"/>
    <cellStyle name="Normal 6 4 4 2 2 4" xfId="15538"/>
    <cellStyle name="Normal 6 4 4 2 2 4 2" xfId="38397"/>
    <cellStyle name="Normal 6 4 4 2 2 5" xfId="26095"/>
    <cellStyle name="Normal 6 4 4 2 3" xfId="4991"/>
    <cellStyle name="Normal 6 4 4 2 3 2" xfId="17295"/>
    <cellStyle name="Normal 6 4 4 2 3 2 2" xfId="40154"/>
    <cellStyle name="Normal 6 4 4 2 3 3" xfId="27852"/>
    <cellStyle name="Normal 6 4 4 2 4" xfId="8506"/>
    <cellStyle name="Normal 6 4 4 2 4 2" xfId="20810"/>
    <cellStyle name="Normal 6 4 4 2 4 2 2" xfId="43669"/>
    <cellStyle name="Normal 6 4 4 2 4 3" xfId="31367"/>
    <cellStyle name="Normal 6 4 4 2 5" xfId="12021"/>
    <cellStyle name="Normal 6 4 4 2 5 2" xfId="34881"/>
    <cellStyle name="Normal 6 4 4 2 6" xfId="13780"/>
    <cellStyle name="Normal 6 4 4 2 6 2" xfId="36639"/>
    <cellStyle name="Normal 6 4 4 2 7" xfId="24336"/>
    <cellStyle name="Normal 6 4 4 3" xfId="2356"/>
    <cellStyle name="Normal 6 4 4 3 2" xfId="5871"/>
    <cellStyle name="Normal 6 4 4 3 2 2" xfId="18175"/>
    <cellStyle name="Normal 6 4 4 3 2 2 2" xfId="41034"/>
    <cellStyle name="Normal 6 4 4 3 2 3" xfId="28732"/>
    <cellStyle name="Normal 6 4 4 3 3" xfId="9386"/>
    <cellStyle name="Normal 6 4 4 3 3 2" xfId="21690"/>
    <cellStyle name="Normal 6 4 4 3 3 2 2" xfId="44549"/>
    <cellStyle name="Normal 6 4 4 3 3 3" xfId="32247"/>
    <cellStyle name="Normal 6 4 4 3 4" xfId="14660"/>
    <cellStyle name="Normal 6 4 4 3 4 2" xfId="37519"/>
    <cellStyle name="Normal 6 4 4 3 5" xfId="25217"/>
    <cellStyle name="Normal 6 4 4 4" xfId="4113"/>
    <cellStyle name="Normal 6 4 4 4 2" xfId="16417"/>
    <cellStyle name="Normal 6 4 4 4 2 2" xfId="39276"/>
    <cellStyle name="Normal 6 4 4 4 3" xfId="26974"/>
    <cellStyle name="Normal 6 4 4 5" xfId="7628"/>
    <cellStyle name="Normal 6 4 4 5 2" xfId="19932"/>
    <cellStyle name="Normal 6 4 4 5 2 2" xfId="42791"/>
    <cellStyle name="Normal 6 4 4 5 3" xfId="30489"/>
    <cellStyle name="Normal 6 4 4 6" xfId="11143"/>
    <cellStyle name="Normal 6 4 4 6 2" xfId="34003"/>
    <cellStyle name="Normal 6 4 4 7" xfId="12902"/>
    <cellStyle name="Normal 6 4 4 7 2" xfId="35761"/>
    <cellStyle name="Normal 6 4 4 8" xfId="23458"/>
    <cellStyle name="Normal 6 4 5" xfId="1034"/>
    <cellStyle name="Normal 6 4 5 2" xfId="2795"/>
    <cellStyle name="Normal 6 4 5 2 2" xfId="6310"/>
    <cellStyle name="Normal 6 4 5 2 2 2" xfId="18614"/>
    <cellStyle name="Normal 6 4 5 2 2 2 2" xfId="41473"/>
    <cellStyle name="Normal 6 4 5 2 2 3" xfId="29171"/>
    <cellStyle name="Normal 6 4 5 2 3" xfId="9825"/>
    <cellStyle name="Normal 6 4 5 2 3 2" xfId="22129"/>
    <cellStyle name="Normal 6 4 5 2 3 2 2" xfId="44988"/>
    <cellStyle name="Normal 6 4 5 2 3 3" xfId="32686"/>
    <cellStyle name="Normal 6 4 5 2 4" xfId="15099"/>
    <cellStyle name="Normal 6 4 5 2 4 2" xfId="37958"/>
    <cellStyle name="Normal 6 4 5 2 5" xfId="25656"/>
    <cellStyle name="Normal 6 4 5 3" xfId="4552"/>
    <cellStyle name="Normal 6 4 5 3 2" xfId="16856"/>
    <cellStyle name="Normal 6 4 5 3 2 2" xfId="39715"/>
    <cellStyle name="Normal 6 4 5 3 3" xfId="27413"/>
    <cellStyle name="Normal 6 4 5 4" xfId="8067"/>
    <cellStyle name="Normal 6 4 5 4 2" xfId="20371"/>
    <cellStyle name="Normal 6 4 5 4 2 2" xfId="43230"/>
    <cellStyle name="Normal 6 4 5 4 3" xfId="30928"/>
    <cellStyle name="Normal 6 4 5 5" xfId="11582"/>
    <cellStyle name="Normal 6 4 5 5 2" xfId="34442"/>
    <cellStyle name="Normal 6 4 5 6" xfId="13341"/>
    <cellStyle name="Normal 6 4 5 6 2" xfId="36200"/>
    <cellStyle name="Normal 6 4 5 7" xfId="23897"/>
    <cellStyle name="Normal 6 4 6" xfId="1917"/>
    <cellStyle name="Normal 6 4 6 2" xfId="5432"/>
    <cellStyle name="Normal 6 4 6 2 2" xfId="17736"/>
    <cellStyle name="Normal 6 4 6 2 2 2" xfId="40595"/>
    <cellStyle name="Normal 6 4 6 2 3" xfId="28293"/>
    <cellStyle name="Normal 6 4 6 3" xfId="8947"/>
    <cellStyle name="Normal 6 4 6 3 2" xfId="21251"/>
    <cellStyle name="Normal 6 4 6 3 2 2" xfId="44110"/>
    <cellStyle name="Normal 6 4 6 3 3" xfId="31808"/>
    <cellStyle name="Normal 6 4 6 4" xfId="14221"/>
    <cellStyle name="Normal 6 4 6 4 2" xfId="37080"/>
    <cellStyle name="Normal 6 4 6 5" xfId="24778"/>
    <cellStyle name="Normal 6 4 7" xfId="3674"/>
    <cellStyle name="Normal 6 4 7 2" xfId="15978"/>
    <cellStyle name="Normal 6 4 7 2 2" xfId="38837"/>
    <cellStyle name="Normal 6 4 7 3" xfId="26535"/>
    <cellStyle name="Normal 6 4 8" xfId="7189"/>
    <cellStyle name="Normal 6 4 8 2" xfId="19493"/>
    <cellStyle name="Normal 6 4 8 2 2" xfId="42352"/>
    <cellStyle name="Normal 6 4 8 3" xfId="30050"/>
    <cellStyle name="Normal 6 4 9" xfId="10704"/>
    <cellStyle name="Normal 6 4 9 2" xfId="33564"/>
    <cellStyle name="Normal 6 5" xfId="192"/>
    <cellStyle name="Normal 6 5 10" xfId="23057"/>
    <cellStyle name="Normal 6 5 2" xfId="404"/>
    <cellStyle name="Normal 6 5 2 2" xfId="845"/>
    <cellStyle name="Normal 6 5 2 2 2" xfId="1724"/>
    <cellStyle name="Normal 6 5 2 2 2 2" xfId="3485"/>
    <cellStyle name="Normal 6 5 2 2 2 2 2" xfId="7000"/>
    <cellStyle name="Normal 6 5 2 2 2 2 2 2" xfId="19304"/>
    <cellStyle name="Normal 6 5 2 2 2 2 2 2 2" xfId="42163"/>
    <cellStyle name="Normal 6 5 2 2 2 2 2 3" xfId="29861"/>
    <cellStyle name="Normal 6 5 2 2 2 2 3" xfId="10515"/>
    <cellStyle name="Normal 6 5 2 2 2 2 3 2" xfId="22819"/>
    <cellStyle name="Normal 6 5 2 2 2 2 3 2 2" xfId="45678"/>
    <cellStyle name="Normal 6 5 2 2 2 2 3 3" xfId="33376"/>
    <cellStyle name="Normal 6 5 2 2 2 2 4" xfId="15789"/>
    <cellStyle name="Normal 6 5 2 2 2 2 4 2" xfId="38648"/>
    <cellStyle name="Normal 6 5 2 2 2 2 5" xfId="26346"/>
    <cellStyle name="Normal 6 5 2 2 2 3" xfId="5242"/>
    <cellStyle name="Normal 6 5 2 2 2 3 2" xfId="17546"/>
    <cellStyle name="Normal 6 5 2 2 2 3 2 2" xfId="40405"/>
    <cellStyle name="Normal 6 5 2 2 2 3 3" xfId="28103"/>
    <cellStyle name="Normal 6 5 2 2 2 4" xfId="8757"/>
    <cellStyle name="Normal 6 5 2 2 2 4 2" xfId="21061"/>
    <cellStyle name="Normal 6 5 2 2 2 4 2 2" xfId="43920"/>
    <cellStyle name="Normal 6 5 2 2 2 4 3" xfId="31618"/>
    <cellStyle name="Normal 6 5 2 2 2 5" xfId="12272"/>
    <cellStyle name="Normal 6 5 2 2 2 5 2" xfId="35132"/>
    <cellStyle name="Normal 6 5 2 2 2 6" xfId="14031"/>
    <cellStyle name="Normal 6 5 2 2 2 6 2" xfId="36890"/>
    <cellStyle name="Normal 6 5 2 2 2 7" xfId="24587"/>
    <cellStyle name="Normal 6 5 2 2 3" xfId="2607"/>
    <cellStyle name="Normal 6 5 2 2 3 2" xfId="6122"/>
    <cellStyle name="Normal 6 5 2 2 3 2 2" xfId="18426"/>
    <cellStyle name="Normal 6 5 2 2 3 2 2 2" xfId="41285"/>
    <cellStyle name="Normal 6 5 2 2 3 2 3" xfId="28983"/>
    <cellStyle name="Normal 6 5 2 2 3 3" xfId="9637"/>
    <cellStyle name="Normal 6 5 2 2 3 3 2" xfId="21941"/>
    <cellStyle name="Normal 6 5 2 2 3 3 2 2" xfId="44800"/>
    <cellStyle name="Normal 6 5 2 2 3 3 3" xfId="32498"/>
    <cellStyle name="Normal 6 5 2 2 3 4" xfId="14911"/>
    <cellStyle name="Normal 6 5 2 2 3 4 2" xfId="37770"/>
    <cellStyle name="Normal 6 5 2 2 3 5" xfId="25468"/>
    <cellStyle name="Normal 6 5 2 2 4" xfId="4364"/>
    <cellStyle name="Normal 6 5 2 2 4 2" xfId="16668"/>
    <cellStyle name="Normal 6 5 2 2 4 2 2" xfId="39527"/>
    <cellStyle name="Normal 6 5 2 2 4 3" xfId="27225"/>
    <cellStyle name="Normal 6 5 2 2 5" xfId="7879"/>
    <cellStyle name="Normal 6 5 2 2 5 2" xfId="20183"/>
    <cellStyle name="Normal 6 5 2 2 5 2 2" xfId="43042"/>
    <cellStyle name="Normal 6 5 2 2 5 3" xfId="30740"/>
    <cellStyle name="Normal 6 5 2 2 6" xfId="11394"/>
    <cellStyle name="Normal 6 5 2 2 6 2" xfId="34254"/>
    <cellStyle name="Normal 6 5 2 2 7" xfId="13153"/>
    <cellStyle name="Normal 6 5 2 2 7 2" xfId="36012"/>
    <cellStyle name="Normal 6 5 2 2 8" xfId="23709"/>
    <cellStyle name="Normal 6 5 2 3" xfId="1285"/>
    <cellStyle name="Normal 6 5 2 3 2" xfId="3046"/>
    <cellStyle name="Normal 6 5 2 3 2 2" xfId="6561"/>
    <cellStyle name="Normal 6 5 2 3 2 2 2" xfId="18865"/>
    <cellStyle name="Normal 6 5 2 3 2 2 2 2" xfId="41724"/>
    <cellStyle name="Normal 6 5 2 3 2 2 3" xfId="29422"/>
    <cellStyle name="Normal 6 5 2 3 2 3" xfId="10076"/>
    <cellStyle name="Normal 6 5 2 3 2 3 2" xfId="22380"/>
    <cellStyle name="Normal 6 5 2 3 2 3 2 2" xfId="45239"/>
    <cellStyle name="Normal 6 5 2 3 2 3 3" xfId="32937"/>
    <cellStyle name="Normal 6 5 2 3 2 4" xfId="15350"/>
    <cellStyle name="Normal 6 5 2 3 2 4 2" xfId="38209"/>
    <cellStyle name="Normal 6 5 2 3 2 5" xfId="25907"/>
    <cellStyle name="Normal 6 5 2 3 3" xfId="4803"/>
    <cellStyle name="Normal 6 5 2 3 3 2" xfId="17107"/>
    <cellStyle name="Normal 6 5 2 3 3 2 2" xfId="39966"/>
    <cellStyle name="Normal 6 5 2 3 3 3" xfId="27664"/>
    <cellStyle name="Normal 6 5 2 3 4" xfId="8318"/>
    <cellStyle name="Normal 6 5 2 3 4 2" xfId="20622"/>
    <cellStyle name="Normal 6 5 2 3 4 2 2" xfId="43481"/>
    <cellStyle name="Normal 6 5 2 3 4 3" xfId="31179"/>
    <cellStyle name="Normal 6 5 2 3 5" xfId="11833"/>
    <cellStyle name="Normal 6 5 2 3 5 2" xfId="34693"/>
    <cellStyle name="Normal 6 5 2 3 6" xfId="13592"/>
    <cellStyle name="Normal 6 5 2 3 6 2" xfId="36451"/>
    <cellStyle name="Normal 6 5 2 3 7" xfId="24148"/>
    <cellStyle name="Normal 6 5 2 4" xfId="2168"/>
    <cellStyle name="Normal 6 5 2 4 2" xfId="5683"/>
    <cellStyle name="Normal 6 5 2 4 2 2" xfId="17987"/>
    <cellStyle name="Normal 6 5 2 4 2 2 2" xfId="40846"/>
    <cellStyle name="Normal 6 5 2 4 2 3" xfId="28544"/>
    <cellStyle name="Normal 6 5 2 4 3" xfId="9198"/>
    <cellStyle name="Normal 6 5 2 4 3 2" xfId="21502"/>
    <cellStyle name="Normal 6 5 2 4 3 2 2" xfId="44361"/>
    <cellStyle name="Normal 6 5 2 4 3 3" xfId="32059"/>
    <cellStyle name="Normal 6 5 2 4 4" xfId="14472"/>
    <cellStyle name="Normal 6 5 2 4 4 2" xfId="37331"/>
    <cellStyle name="Normal 6 5 2 4 5" xfId="25029"/>
    <cellStyle name="Normal 6 5 2 5" xfId="3925"/>
    <cellStyle name="Normal 6 5 2 5 2" xfId="16229"/>
    <cellStyle name="Normal 6 5 2 5 2 2" xfId="39088"/>
    <cellStyle name="Normal 6 5 2 5 3" xfId="26786"/>
    <cellStyle name="Normal 6 5 2 6" xfId="7440"/>
    <cellStyle name="Normal 6 5 2 6 2" xfId="19744"/>
    <cellStyle name="Normal 6 5 2 6 2 2" xfId="42603"/>
    <cellStyle name="Normal 6 5 2 6 3" xfId="30301"/>
    <cellStyle name="Normal 6 5 2 7" xfId="10955"/>
    <cellStyle name="Normal 6 5 2 7 2" xfId="33815"/>
    <cellStyle name="Normal 6 5 2 8" xfId="12714"/>
    <cellStyle name="Normal 6 5 2 8 2" xfId="35573"/>
    <cellStyle name="Normal 6 5 2 9" xfId="23269"/>
    <cellStyle name="Normal 6 5 3" xfId="633"/>
    <cellStyle name="Normal 6 5 3 2" xfId="1512"/>
    <cellStyle name="Normal 6 5 3 2 2" xfId="3273"/>
    <cellStyle name="Normal 6 5 3 2 2 2" xfId="6788"/>
    <cellStyle name="Normal 6 5 3 2 2 2 2" xfId="19092"/>
    <cellStyle name="Normal 6 5 3 2 2 2 2 2" xfId="41951"/>
    <cellStyle name="Normal 6 5 3 2 2 2 3" xfId="29649"/>
    <cellStyle name="Normal 6 5 3 2 2 3" xfId="10303"/>
    <cellStyle name="Normal 6 5 3 2 2 3 2" xfId="22607"/>
    <cellStyle name="Normal 6 5 3 2 2 3 2 2" xfId="45466"/>
    <cellStyle name="Normal 6 5 3 2 2 3 3" xfId="33164"/>
    <cellStyle name="Normal 6 5 3 2 2 4" xfId="15577"/>
    <cellStyle name="Normal 6 5 3 2 2 4 2" xfId="38436"/>
    <cellStyle name="Normal 6 5 3 2 2 5" xfId="26134"/>
    <cellStyle name="Normal 6 5 3 2 3" xfId="5030"/>
    <cellStyle name="Normal 6 5 3 2 3 2" xfId="17334"/>
    <cellStyle name="Normal 6 5 3 2 3 2 2" xfId="40193"/>
    <cellStyle name="Normal 6 5 3 2 3 3" xfId="27891"/>
    <cellStyle name="Normal 6 5 3 2 4" xfId="8545"/>
    <cellStyle name="Normal 6 5 3 2 4 2" xfId="20849"/>
    <cellStyle name="Normal 6 5 3 2 4 2 2" xfId="43708"/>
    <cellStyle name="Normal 6 5 3 2 4 3" xfId="31406"/>
    <cellStyle name="Normal 6 5 3 2 5" xfId="12060"/>
    <cellStyle name="Normal 6 5 3 2 5 2" xfId="34920"/>
    <cellStyle name="Normal 6 5 3 2 6" xfId="13819"/>
    <cellStyle name="Normal 6 5 3 2 6 2" xfId="36678"/>
    <cellStyle name="Normal 6 5 3 2 7" xfId="24375"/>
    <cellStyle name="Normal 6 5 3 3" xfId="2395"/>
    <cellStyle name="Normal 6 5 3 3 2" xfId="5910"/>
    <cellStyle name="Normal 6 5 3 3 2 2" xfId="18214"/>
    <cellStyle name="Normal 6 5 3 3 2 2 2" xfId="41073"/>
    <cellStyle name="Normal 6 5 3 3 2 3" xfId="28771"/>
    <cellStyle name="Normal 6 5 3 3 3" xfId="9425"/>
    <cellStyle name="Normal 6 5 3 3 3 2" xfId="21729"/>
    <cellStyle name="Normal 6 5 3 3 3 2 2" xfId="44588"/>
    <cellStyle name="Normal 6 5 3 3 3 3" xfId="32286"/>
    <cellStyle name="Normal 6 5 3 3 4" xfId="14699"/>
    <cellStyle name="Normal 6 5 3 3 4 2" xfId="37558"/>
    <cellStyle name="Normal 6 5 3 3 5" xfId="25256"/>
    <cellStyle name="Normal 6 5 3 4" xfId="4152"/>
    <cellStyle name="Normal 6 5 3 4 2" xfId="16456"/>
    <cellStyle name="Normal 6 5 3 4 2 2" xfId="39315"/>
    <cellStyle name="Normal 6 5 3 4 3" xfId="27013"/>
    <cellStyle name="Normal 6 5 3 5" xfId="7667"/>
    <cellStyle name="Normal 6 5 3 5 2" xfId="19971"/>
    <cellStyle name="Normal 6 5 3 5 2 2" xfId="42830"/>
    <cellStyle name="Normal 6 5 3 5 3" xfId="30528"/>
    <cellStyle name="Normal 6 5 3 6" xfId="11182"/>
    <cellStyle name="Normal 6 5 3 6 2" xfId="34042"/>
    <cellStyle name="Normal 6 5 3 7" xfId="12941"/>
    <cellStyle name="Normal 6 5 3 7 2" xfId="35800"/>
    <cellStyle name="Normal 6 5 3 8" xfId="23497"/>
    <cellStyle name="Normal 6 5 4" xfId="1073"/>
    <cellStyle name="Normal 6 5 4 2" xfId="2834"/>
    <cellStyle name="Normal 6 5 4 2 2" xfId="6349"/>
    <cellStyle name="Normal 6 5 4 2 2 2" xfId="18653"/>
    <cellStyle name="Normal 6 5 4 2 2 2 2" xfId="41512"/>
    <cellStyle name="Normal 6 5 4 2 2 3" xfId="29210"/>
    <cellStyle name="Normal 6 5 4 2 3" xfId="9864"/>
    <cellStyle name="Normal 6 5 4 2 3 2" xfId="22168"/>
    <cellStyle name="Normal 6 5 4 2 3 2 2" xfId="45027"/>
    <cellStyle name="Normal 6 5 4 2 3 3" xfId="32725"/>
    <cellStyle name="Normal 6 5 4 2 4" xfId="15138"/>
    <cellStyle name="Normal 6 5 4 2 4 2" xfId="37997"/>
    <cellStyle name="Normal 6 5 4 2 5" xfId="25695"/>
    <cellStyle name="Normal 6 5 4 3" xfId="4591"/>
    <cellStyle name="Normal 6 5 4 3 2" xfId="16895"/>
    <cellStyle name="Normal 6 5 4 3 2 2" xfId="39754"/>
    <cellStyle name="Normal 6 5 4 3 3" xfId="27452"/>
    <cellStyle name="Normal 6 5 4 4" xfId="8106"/>
    <cellStyle name="Normal 6 5 4 4 2" xfId="20410"/>
    <cellStyle name="Normal 6 5 4 4 2 2" xfId="43269"/>
    <cellStyle name="Normal 6 5 4 4 3" xfId="30967"/>
    <cellStyle name="Normal 6 5 4 5" xfId="11621"/>
    <cellStyle name="Normal 6 5 4 5 2" xfId="34481"/>
    <cellStyle name="Normal 6 5 4 6" xfId="13380"/>
    <cellStyle name="Normal 6 5 4 6 2" xfId="36239"/>
    <cellStyle name="Normal 6 5 4 7" xfId="23936"/>
    <cellStyle name="Normal 6 5 5" xfId="1956"/>
    <cellStyle name="Normal 6 5 5 2" xfId="5471"/>
    <cellStyle name="Normal 6 5 5 2 2" xfId="17775"/>
    <cellStyle name="Normal 6 5 5 2 2 2" xfId="40634"/>
    <cellStyle name="Normal 6 5 5 2 3" xfId="28332"/>
    <cellStyle name="Normal 6 5 5 3" xfId="8986"/>
    <cellStyle name="Normal 6 5 5 3 2" xfId="21290"/>
    <cellStyle name="Normal 6 5 5 3 2 2" xfId="44149"/>
    <cellStyle name="Normal 6 5 5 3 3" xfId="31847"/>
    <cellStyle name="Normal 6 5 5 4" xfId="14260"/>
    <cellStyle name="Normal 6 5 5 4 2" xfId="37119"/>
    <cellStyle name="Normal 6 5 5 5" xfId="24817"/>
    <cellStyle name="Normal 6 5 6" xfId="3713"/>
    <cellStyle name="Normal 6 5 6 2" xfId="16017"/>
    <cellStyle name="Normal 6 5 6 2 2" xfId="38876"/>
    <cellStyle name="Normal 6 5 6 3" xfId="26574"/>
    <cellStyle name="Normal 6 5 7" xfId="7228"/>
    <cellStyle name="Normal 6 5 7 2" xfId="19532"/>
    <cellStyle name="Normal 6 5 7 2 2" xfId="42391"/>
    <cellStyle name="Normal 6 5 7 3" xfId="30089"/>
    <cellStyle name="Normal 6 5 8" xfId="10743"/>
    <cellStyle name="Normal 6 5 8 2" xfId="33603"/>
    <cellStyle name="Normal 6 5 9" xfId="12502"/>
    <cellStyle name="Normal 6 5 9 2" xfId="35361"/>
    <cellStyle name="Normal 6 6" xfId="298"/>
    <cellStyle name="Normal 6 6 2" xfId="739"/>
    <cellStyle name="Normal 6 6 2 2" xfId="1618"/>
    <cellStyle name="Normal 6 6 2 2 2" xfId="3379"/>
    <cellStyle name="Normal 6 6 2 2 2 2" xfId="6894"/>
    <cellStyle name="Normal 6 6 2 2 2 2 2" xfId="19198"/>
    <cellStyle name="Normal 6 6 2 2 2 2 2 2" xfId="42057"/>
    <cellStyle name="Normal 6 6 2 2 2 2 3" xfId="29755"/>
    <cellStyle name="Normal 6 6 2 2 2 3" xfId="10409"/>
    <cellStyle name="Normal 6 6 2 2 2 3 2" xfId="22713"/>
    <cellStyle name="Normal 6 6 2 2 2 3 2 2" xfId="45572"/>
    <cellStyle name="Normal 6 6 2 2 2 3 3" xfId="33270"/>
    <cellStyle name="Normal 6 6 2 2 2 4" xfId="15683"/>
    <cellStyle name="Normal 6 6 2 2 2 4 2" xfId="38542"/>
    <cellStyle name="Normal 6 6 2 2 2 5" xfId="26240"/>
    <cellStyle name="Normal 6 6 2 2 3" xfId="5136"/>
    <cellStyle name="Normal 6 6 2 2 3 2" xfId="17440"/>
    <cellStyle name="Normal 6 6 2 2 3 2 2" xfId="40299"/>
    <cellStyle name="Normal 6 6 2 2 3 3" xfId="27997"/>
    <cellStyle name="Normal 6 6 2 2 4" xfId="8651"/>
    <cellStyle name="Normal 6 6 2 2 4 2" xfId="20955"/>
    <cellStyle name="Normal 6 6 2 2 4 2 2" xfId="43814"/>
    <cellStyle name="Normal 6 6 2 2 4 3" xfId="31512"/>
    <cellStyle name="Normal 6 6 2 2 5" xfId="12166"/>
    <cellStyle name="Normal 6 6 2 2 5 2" xfId="35026"/>
    <cellStyle name="Normal 6 6 2 2 6" xfId="13925"/>
    <cellStyle name="Normal 6 6 2 2 6 2" xfId="36784"/>
    <cellStyle name="Normal 6 6 2 2 7" xfId="24481"/>
    <cellStyle name="Normal 6 6 2 3" xfId="2501"/>
    <cellStyle name="Normal 6 6 2 3 2" xfId="6016"/>
    <cellStyle name="Normal 6 6 2 3 2 2" xfId="18320"/>
    <cellStyle name="Normal 6 6 2 3 2 2 2" xfId="41179"/>
    <cellStyle name="Normal 6 6 2 3 2 3" xfId="28877"/>
    <cellStyle name="Normal 6 6 2 3 3" xfId="9531"/>
    <cellStyle name="Normal 6 6 2 3 3 2" xfId="21835"/>
    <cellStyle name="Normal 6 6 2 3 3 2 2" xfId="44694"/>
    <cellStyle name="Normal 6 6 2 3 3 3" xfId="32392"/>
    <cellStyle name="Normal 6 6 2 3 4" xfId="14805"/>
    <cellStyle name="Normal 6 6 2 3 4 2" xfId="37664"/>
    <cellStyle name="Normal 6 6 2 3 5" xfId="25362"/>
    <cellStyle name="Normal 6 6 2 4" xfId="4258"/>
    <cellStyle name="Normal 6 6 2 4 2" xfId="16562"/>
    <cellStyle name="Normal 6 6 2 4 2 2" xfId="39421"/>
    <cellStyle name="Normal 6 6 2 4 3" xfId="27119"/>
    <cellStyle name="Normal 6 6 2 5" xfId="7773"/>
    <cellStyle name="Normal 6 6 2 5 2" xfId="20077"/>
    <cellStyle name="Normal 6 6 2 5 2 2" xfId="42936"/>
    <cellStyle name="Normal 6 6 2 5 3" xfId="30634"/>
    <cellStyle name="Normal 6 6 2 6" xfId="11288"/>
    <cellStyle name="Normal 6 6 2 6 2" xfId="34148"/>
    <cellStyle name="Normal 6 6 2 7" xfId="13047"/>
    <cellStyle name="Normal 6 6 2 7 2" xfId="35906"/>
    <cellStyle name="Normal 6 6 2 8" xfId="23603"/>
    <cellStyle name="Normal 6 6 3" xfId="1179"/>
    <cellStyle name="Normal 6 6 3 2" xfId="2940"/>
    <cellStyle name="Normal 6 6 3 2 2" xfId="6455"/>
    <cellStyle name="Normal 6 6 3 2 2 2" xfId="18759"/>
    <cellStyle name="Normal 6 6 3 2 2 2 2" xfId="41618"/>
    <cellStyle name="Normal 6 6 3 2 2 3" xfId="29316"/>
    <cellStyle name="Normal 6 6 3 2 3" xfId="9970"/>
    <cellStyle name="Normal 6 6 3 2 3 2" xfId="22274"/>
    <cellStyle name="Normal 6 6 3 2 3 2 2" xfId="45133"/>
    <cellStyle name="Normal 6 6 3 2 3 3" xfId="32831"/>
    <cellStyle name="Normal 6 6 3 2 4" xfId="15244"/>
    <cellStyle name="Normal 6 6 3 2 4 2" xfId="38103"/>
    <cellStyle name="Normal 6 6 3 2 5" xfId="25801"/>
    <cellStyle name="Normal 6 6 3 3" xfId="4697"/>
    <cellStyle name="Normal 6 6 3 3 2" xfId="17001"/>
    <cellStyle name="Normal 6 6 3 3 2 2" xfId="39860"/>
    <cellStyle name="Normal 6 6 3 3 3" xfId="27558"/>
    <cellStyle name="Normal 6 6 3 4" xfId="8212"/>
    <cellStyle name="Normal 6 6 3 4 2" xfId="20516"/>
    <cellStyle name="Normal 6 6 3 4 2 2" xfId="43375"/>
    <cellStyle name="Normal 6 6 3 4 3" xfId="31073"/>
    <cellStyle name="Normal 6 6 3 5" xfId="11727"/>
    <cellStyle name="Normal 6 6 3 5 2" xfId="34587"/>
    <cellStyle name="Normal 6 6 3 6" xfId="13486"/>
    <cellStyle name="Normal 6 6 3 6 2" xfId="36345"/>
    <cellStyle name="Normal 6 6 3 7" xfId="24042"/>
    <cellStyle name="Normal 6 6 4" xfId="2062"/>
    <cellStyle name="Normal 6 6 4 2" xfId="5577"/>
    <cellStyle name="Normal 6 6 4 2 2" xfId="17881"/>
    <cellStyle name="Normal 6 6 4 2 2 2" xfId="40740"/>
    <cellStyle name="Normal 6 6 4 2 3" xfId="28438"/>
    <cellStyle name="Normal 6 6 4 3" xfId="9092"/>
    <cellStyle name="Normal 6 6 4 3 2" xfId="21396"/>
    <cellStyle name="Normal 6 6 4 3 2 2" xfId="44255"/>
    <cellStyle name="Normal 6 6 4 3 3" xfId="31953"/>
    <cellStyle name="Normal 6 6 4 4" xfId="14366"/>
    <cellStyle name="Normal 6 6 4 4 2" xfId="37225"/>
    <cellStyle name="Normal 6 6 4 5" xfId="24923"/>
    <cellStyle name="Normal 6 6 5" xfId="3819"/>
    <cellStyle name="Normal 6 6 5 2" xfId="16123"/>
    <cellStyle name="Normal 6 6 5 2 2" xfId="38982"/>
    <cellStyle name="Normal 6 6 5 3" xfId="26680"/>
    <cellStyle name="Normal 6 6 6" xfId="7334"/>
    <cellStyle name="Normal 6 6 6 2" xfId="19638"/>
    <cellStyle name="Normal 6 6 6 2 2" xfId="42497"/>
    <cellStyle name="Normal 6 6 6 3" xfId="30195"/>
    <cellStyle name="Normal 6 6 7" xfId="10849"/>
    <cellStyle name="Normal 6 6 7 2" xfId="33709"/>
    <cellStyle name="Normal 6 6 8" xfId="12608"/>
    <cellStyle name="Normal 6 6 8 2" xfId="35467"/>
    <cellStyle name="Normal 6 6 9" xfId="23163"/>
    <cellStyle name="Normal 6 7" xfId="539"/>
    <cellStyle name="Normal 6 7 2" xfId="1418"/>
    <cellStyle name="Normal 6 7 2 2" xfId="3179"/>
    <cellStyle name="Normal 6 7 2 2 2" xfId="6694"/>
    <cellStyle name="Normal 6 7 2 2 2 2" xfId="18998"/>
    <cellStyle name="Normal 6 7 2 2 2 2 2" xfId="41857"/>
    <cellStyle name="Normal 6 7 2 2 2 3" xfId="29555"/>
    <cellStyle name="Normal 6 7 2 2 3" xfId="10209"/>
    <cellStyle name="Normal 6 7 2 2 3 2" xfId="22513"/>
    <cellStyle name="Normal 6 7 2 2 3 2 2" xfId="45372"/>
    <cellStyle name="Normal 6 7 2 2 3 3" xfId="33070"/>
    <cellStyle name="Normal 6 7 2 2 4" xfId="15483"/>
    <cellStyle name="Normal 6 7 2 2 4 2" xfId="38342"/>
    <cellStyle name="Normal 6 7 2 2 5" xfId="26040"/>
    <cellStyle name="Normal 6 7 2 3" xfId="4936"/>
    <cellStyle name="Normal 6 7 2 3 2" xfId="17240"/>
    <cellStyle name="Normal 6 7 2 3 2 2" xfId="40099"/>
    <cellStyle name="Normal 6 7 2 3 3" xfId="27797"/>
    <cellStyle name="Normal 6 7 2 4" xfId="8451"/>
    <cellStyle name="Normal 6 7 2 4 2" xfId="20755"/>
    <cellStyle name="Normal 6 7 2 4 2 2" xfId="43614"/>
    <cellStyle name="Normal 6 7 2 4 3" xfId="31312"/>
    <cellStyle name="Normal 6 7 2 5" xfId="11966"/>
    <cellStyle name="Normal 6 7 2 5 2" xfId="34826"/>
    <cellStyle name="Normal 6 7 2 6" xfId="13725"/>
    <cellStyle name="Normal 6 7 2 6 2" xfId="36584"/>
    <cellStyle name="Normal 6 7 2 7" xfId="24281"/>
    <cellStyle name="Normal 6 7 3" xfId="2301"/>
    <cellStyle name="Normal 6 7 3 2" xfId="5816"/>
    <cellStyle name="Normal 6 7 3 2 2" xfId="18120"/>
    <cellStyle name="Normal 6 7 3 2 2 2" xfId="40979"/>
    <cellStyle name="Normal 6 7 3 2 3" xfId="28677"/>
    <cellStyle name="Normal 6 7 3 3" xfId="9331"/>
    <cellStyle name="Normal 6 7 3 3 2" xfId="21635"/>
    <cellStyle name="Normal 6 7 3 3 2 2" xfId="44494"/>
    <cellStyle name="Normal 6 7 3 3 3" xfId="32192"/>
    <cellStyle name="Normal 6 7 3 4" xfId="14605"/>
    <cellStyle name="Normal 6 7 3 4 2" xfId="37464"/>
    <cellStyle name="Normal 6 7 3 5" xfId="25162"/>
    <cellStyle name="Normal 6 7 4" xfId="4058"/>
    <cellStyle name="Normal 6 7 4 2" xfId="16362"/>
    <cellStyle name="Normal 6 7 4 2 2" xfId="39221"/>
    <cellStyle name="Normal 6 7 4 3" xfId="26919"/>
    <cellStyle name="Normal 6 7 5" xfId="7573"/>
    <cellStyle name="Normal 6 7 5 2" xfId="19877"/>
    <cellStyle name="Normal 6 7 5 2 2" xfId="42736"/>
    <cellStyle name="Normal 6 7 5 3" xfId="30434"/>
    <cellStyle name="Normal 6 7 6" xfId="11088"/>
    <cellStyle name="Normal 6 7 6 2" xfId="33948"/>
    <cellStyle name="Normal 6 7 7" xfId="12847"/>
    <cellStyle name="Normal 6 7 7 2" xfId="35706"/>
    <cellStyle name="Normal 6 7 8" xfId="23403"/>
    <cellStyle name="Normal 6 8" xfId="967"/>
    <cellStyle name="Normal 6 8 2" xfId="2728"/>
    <cellStyle name="Normal 6 8 2 2" xfId="6243"/>
    <cellStyle name="Normal 6 8 2 2 2" xfId="18547"/>
    <cellStyle name="Normal 6 8 2 2 2 2" xfId="41406"/>
    <cellStyle name="Normal 6 8 2 2 3" xfId="29104"/>
    <cellStyle name="Normal 6 8 2 3" xfId="9758"/>
    <cellStyle name="Normal 6 8 2 3 2" xfId="22062"/>
    <cellStyle name="Normal 6 8 2 3 2 2" xfId="44921"/>
    <cellStyle name="Normal 6 8 2 3 3" xfId="32619"/>
    <cellStyle name="Normal 6 8 2 4" xfId="15032"/>
    <cellStyle name="Normal 6 8 2 4 2" xfId="37891"/>
    <cellStyle name="Normal 6 8 2 5" xfId="25589"/>
    <cellStyle name="Normal 6 8 3" xfId="4485"/>
    <cellStyle name="Normal 6 8 3 2" xfId="16789"/>
    <cellStyle name="Normal 6 8 3 2 2" xfId="39648"/>
    <cellStyle name="Normal 6 8 3 3" xfId="27346"/>
    <cellStyle name="Normal 6 8 4" xfId="8000"/>
    <cellStyle name="Normal 6 8 4 2" xfId="20304"/>
    <cellStyle name="Normal 6 8 4 2 2" xfId="43163"/>
    <cellStyle name="Normal 6 8 4 3" xfId="30861"/>
    <cellStyle name="Normal 6 8 5" xfId="11515"/>
    <cellStyle name="Normal 6 8 5 2" xfId="34375"/>
    <cellStyle name="Normal 6 8 6" xfId="13274"/>
    <cellStyle name="Normal 6 8 6 2" xfId="36133"/>
    <cellStyle name="Normal 6 8 7" xfId="23830"/>
    <cellStyle name="Normal 6 9" xfId="1862"/>
    <cellStyle name="Normal 6 9 2" xfId="5377"/>
    <cellStyle name="Normal 6 9 2 2" xfId="17681"/>
    <cellStyle name="Normal 6 9 2 2 2" xfId="40540"/>
    <cellStyle name="Normal 6 9 2 3" xfId="28238"/>
    <cellStyle name="Normal 6 9 3" xfId="8892"/>
    <cellStyle name="Normal 6 9 3 2" xfId="21196"/>
    <cellStyle name="Normal 6 9 3 2 2" xfId="44055"/>
    <cellStyle name="Normal 6 9 3 3" xfId="31753"/>
    <cellStyle name="Normal 6 9 4" xfId="14166"/>
    <cellStyle name="Normal 6 9 4 2" xfId="37025"/>
    <cellStyle name="Normal 6 9 5" xfId="24723"/>
    <cellStyle name="Normal 7" xfId="46"/>
    <cellStyle name="Normal 8" xfId="47"/>
    <cellStyle name="Normal 9" xfId="48"/>
    <cellStyle name="Note 2" xfId="49"/>
    <cellStyle name="Note 3" xfId="50"/>
    <cellStyle name="Note 3 10" xfId="3608"/>
    <cellStyle name="Note 3 10 2" xfId="15912"/>
    <cellStyle name="Note 3 10 2 2" xfId="38771"/>
    <cellStyle name="Note 3 10 3" xfId="26469"/>
    <cellStyle name="Note 3 11" xfId="7123"/>
    <cellStyle name="Note 3 11 2" xfId="19427"/>
    <cellStyle name="Note 3 11 2 2" xfId="42286"/>
    <cellStyle name="Note 3 11 3" xfId="29984"/>
    <cellStyle name="Note 3 12" xfId="10638"/>
    <cellStyle name="Note 3 12 2" xfId="33499"/>
    <cellStyle name="Note 3 13" xfId="12409"/>
    <cellStyle name="Note 3 13 2" xfId="35268"/>
    <cellStyle name="Note 3 14" xfId="22950"/>
    <cellStyle name="Note 3 2" xfId="103"/>
    <cellStyle name="Note 3 2 10" xfId="7143"/>
    <cellStyle name="Note 3 2 10 2" xfId="19447"/>
    <cellStyle name="Note 3 2 10 2 2" xfId="42306"/>
    <cellStyle name="Note 3 2 10 3" xfId="30004"/>
    <cellStyle name="Note 3 2 11" xfId="10658"/>
    <cellStyle name="Note 3 2 11 2" xfId="33518"/>
    <cellStyle name="Note 3 2 12" xfId="12417"/>
    <cellStyle name="Note 3 2 12 2" xfId="35276"/>
    <cellStyle name="Note 3 2 13" xfId="22970"/>
    <cellStyle name="Note 3 2 2" xfId="131"/>
    <cellStyle name="Note 3 2 2 10" xfId="10684"/>
    <cellStyle name="Note 3 2 2 10 2" xfId="33544"/>
    <cellStyle name="Note 3 2 2 11" xfId="12443"/>
    <cellStyle name="Note 3 2 2 11 2" xfId="35302"/>
    <cellStyle name="Note 3 2 2 12" xfId="22997"/>
    <cellStyle name="Note 3 2 2 2" xfId="185"/>
    <cellStyle name="Note 3 2 2 2 10" xfId="12497"/>
    <cellStyle name="Note 3 2 2 2 10 2" xfId="35356"/>
    <cellStyle name="Note 3 2 2 2 11" xfId="23051"/>
    <cellStyle name="Note 3 2 2 2 2" xfId="293"/>
    <cellStyle name="Note 3 2 2 2 2 10" xfId="23158"/>
    <cellStyle name="Note 3 2 2 2 2 2" xfId="505"/>
    <cellStyle name="Note 3 2 2 2 2 2 2" xfId="946"/>
    <cellStyle name="Note 3 2 2 2 2 2 2 2" xfId="1825"/>
    <cellStyle name="Note 3 2 2 2 2 2 2 2 2" xfId="3586"/>
    <cellStyle name="Note 3 2 2 2 2 2 2 2 2 2" xfId="7101"/>
    <cellStyle name="Note 3 2 2 2 2 2 2 2 2 2 2" xfId="19405"/>
    <cellStyle name="Note 3 2 2 2 2 2 2 2 2 2 2 2" xfId="42264"/>
    <cellStyle name="Note 3 2 2 2 2 2 2 2 2 2 3" xfId="29962"/>
    <cellStyle name="Note 3 2 2 2 2 2 2 2 2 3" xfId="10616"/>
    <cellStyle name="Note 3 2 2 2 2 2 2 2 2 3 2" xfId="22920"/>
    <cellStyle name="Note 3 2 2 2 2 2 2 2 2 3 2 2" xfId="45779"/>
    <cellStyle name="Note 3 2 2 2 2 2 2 2 2 3 3" xfId="33477"/>
    <cellStyle name="Note 3 2 2 2 2 2 2 2 2 4" xfId="15890"/>
    <cellStyle name="Note 3 2 2 2 2 2 2 2 2 4 2" xfId="38749"/>
    <cellStyle name="Note 3 2 2 2 2 2 2 2 2 5" xfId="26447"/>
    <cellStyle name="Note 3 2 2 2 2 2 2 2 3" xfId="5343"/>
    <cellStyle name="Note 3 2 2 2 2 2 2 2 3 2" xfId="17647"/>
    <cellStyle name="Note 3 2 2 2 2 2 2 2 3 2 2" xfId="40506"/>
    <cellStyle name="Note 3 2 2 2 2 2 2 2 3 3" xfId="28204"/>
    <cellStyle name="Note 3 2 2 2 2 2 2 2 4" xfId="8858"/>
    <cellStyle name="Note 3 2 2 2 2 2 2 2 4 2" xfId="21162"/>
    <cellStyle name="Note 3 2 2 2 2 2 2 2 4 2 2" xfId="44021"/>
    <cellStyle name="Note 3 2 2 2 2 2 2 2 4 3" xfId="31719"/>
    <cellStyle name="Note 3 2 2 2 2 2 2 2 5" xfId="12373"/>
    <cellStyle name="Note 3 2 2 2 2 2 2 2 5 2" xfId="35233"/>
    <cellStyle name="Note 3 2 2 2 2 2 2 2 6" xfId="14132"/>
    <cellStyle name="Note 3 2 2 2 2 2 2 2 6 2" xfId="36991"/>
    <cellStyle name="Note 3 2 2 2 2 2 2 2 7" xfId="24688"/>
    <cellStyle name="Note 3 2 2 2 2 2 2 3" xfId="2708"/>
    <cellStyle name="Note 3 2 2 2 2 2 2 3 2" xfId="6223"/>
    <cellStyle name="Note 3 2 2 2 2 2 2 3 2 2" xfId="18527"/>
    <cellStyle name="Note 3 2 2 2 2 2 2 3 2 2 2" xfId="41386"/>
    <cellStyle name="Note 3 2 2 2 2 2 2 3 2 3" xfId="29084"/>
    <cellStyle name="Note 3 2 2 2 2 2 2 3 3" xfId="9738"/>
    <cellStyle name="Note 3 2 2 2 2 2 2 3 3 2" xfId="22042"/>
    <cellStyle name="Note 3 2 2 2 2 2 2 3 3 2 2" xfId="44901"/>
    <cellStyle name="Note 3 2 2 2 2 2 2 3 3 3" xfId="32599"/>
    <cellStyle name="Note 3 2 2 2 2 2 2 3 4" xfId="15012"/>
    <cellStyle name="Note 3 2 2 2 2 2 2 3 4 2" xfId="37871"/>
    <cellStyle name="Note 3 2 2 2 2 2 2 3 5" xfId="25569"/>
    <cellStyle name="Note 3 2 2 2 2 2 2 4" xfId="4465"/>
    <cellStyle name="Note 3 2 2 2 2 2 2 4 2" xfId="16769"/>
    <cellStyle name="Note 3 2 2 2 2 2 2 4 2 2" xfId="39628"/>
    <cellStyle name="Note 3 2 2 2 2 2 2 4 3" xfId="27326"/>
    <cellStyle name="Note 3 2 2 2 2 2 2 5" xfId="7980"/>
    <cellStyle name="Note 3 2 2 2 2 2 2 5 2" xfId="20284"/>
    <cellStyle name="Note 3 2 2 2 2 2 2 5 2 2" xfId="43143"/>
    <cellStyle name="Note 3 2 2 2 2 2 2 5 3" xfId="30841"/>
    <cellStyle name="Note 3 2 2 2 2 2 2 6" xfId="11495"/>
    <cellStyle name="Note 3 2 2 2 2 2 2 6 2" xfId="34355"/>
    <cellStyle name="Note 3 2 2 2 2 2 2 7" xfId="13254"/>
    <cellStyle name="Note 3 2 2 2 2 2 2 7 2" xfId="36113"/>
    <cellStyle name="Note 3 2 2 2 2 2 2 8" xfId="23810"/>
    <cellStyle name="Note 3 2 2 2 2 2 3" xfId="1386"/>
    <cellStyle name="Note 3 2 2 2 2 2 3 2" xfId="3147"/>
    <cellStyle name="Note 3 2 2 2 2 2 3 2 2" xfId="6662"/>
    <cellStyle name="Note 3 2 2 2 2 2 3 2 2 2" xfId="18966"/>
    <cellStyle name="Note 3 2 2 2 2 2 3 2 2 2 2" xfId="41825"/>
    <cellStyle name="Note 3 2 2 2 2 2 3 2 2 3" xfId="29523"/>
    <cellStyle name="Note 3 2 2 2 2 2 3 2 3" xfId="10177"/>
    <cellStyle name="Note 3 2 2 2 2 2 3 2 3 2" xfId="22481"/>
    <cellStyle name="Note 3 2 2 2 2 2 3 2 3 2 2" xfId="45340"/>
    <cellStyle name="Note 3 2 2 2 2 2 3 2 3 3" xfId="33038"/>
    <cellStyle name="Note 3 2 2 2 2 2 3 2 4" xfId="15451"/>
    <cellStyle name="Note 3 2 2 2 2 2 3 2 4 2" xfId="38310"/>
    <cellStyle name="Note 3 2 2 2 2 2 3 2 5" xfId="26008"/>
    <cellStyle name="Note 3 2 2 2 2 2 3 3" xfId="4904"/>
    <cellStyle name="Note 3 2 2 2 2 2 3 3 2" xfId="17208"/>
    <cellStyle name="Note 3 2 2 2 2 2 3 3 2 2" xfId="40067"/>
    <cellStyle name="Note 3 2 2 2 2 2 3 3 3" xfId="27765"/>
    <cellStyle name="Note 3 2 2 2 2 2 3 4" xfId="8419"/>
    <cellStyle name="Note 3 2 2 2 2 2 3 4 2" xfId="20723"/>
    <cellStyle name="Note 3 2 2 2 2 2 3 4 2 2" xfId="43582"/>
    <cellStyle name="Note 3 2 2 2 2 2 3 4 3" xfId="31280"/>
    <cellStyle name="Note 3 2 2 2 2 2 3 5" xfId="11934"/>
    <cellStyle name="Note 3 2 2 2 2 2 3 5 2" xfId="34794"/>
    <cellStyle name="Note 3 2 2 2 2 2 3 6" xfId="13693"/>
    <cellStyle name="Note 3 2 2 2 2 2 3 6 2" xfId="36552"/>
    <cellStyle name="Note 3 2 2 2 2 2 3 7" xfId="24249"/>
    <cellStyle name="Note 3 2 2 2 2 2 4" xfId="2269"/>
    <cellStyle name="Note 3 2 2 2 2 2 4 2" xfId="5784"/>
    <cellStyle name="Note 3 2 2 2 2 2 4 2 2" xfId="18088"/>
    <cellStyle name="Note 3 2 2 2 2 2 4 2 2 2" xfId="40947"/>
    <cellStyle name="Note 3 2 2 2 2 2 4 2 3" xfId="28645"/>
    <cellStyle name="Note 3 2 2 2 2 2 4 3" xfId="9299"/>
    <cellStyle name="Note 3 2 2 2 2 2 4 3 2" xfId="21603"/>
    <cellStyle name="Note 3 2 2 2 2 2 4 3 2 2" xfId="44462"/>
    <cellStyle name="Note 3 2 2 2 2 2 4 3 3" xfId="32160"/>
    <cellStyle name="Note 3 2 2 2 2 2 4 4" xfId="14573"/>
    <cellStyle name="Note 3 2 2 2 2 2 4 4 2" xfId="37432"/>
    <cellStyle name="Note 3 2 2 2 2 2 4 5" xfId="25130"/>
    <cellStyle name="Note 3 2 2 2 2 2 5" xfId="4026"/>
    <cellStyle name="Note 3 2 2 2 2 2 5 2" xfId="16330"/>
    <cellStyle name="Note 3 2 2 2 2 2 5 2 2" xfId="39189"/>
    <cellStyle name="Note 3 2 2 2 2 2 5 3" xfId="26887"/>
    <cellStyle name="Note 3 2 2 2 2 2 6" xfId="7541"/>
    <cellStyle name="Note 3 2 2 2 2 2 6 2" xfId="19845"/>
    <cellStyle name="Note 3 2 2 2 2 2 6 2 2" xfId="42704"/>
    <cellStyle name="Note 3 2 2 2 2 2 6 3" xfId="30402"/>
    <cellStyle name="Note 3 2 2 2 2 2 7" xfId="11056"/>
    <cellStyle name="Note 3 2 2 2 2 2 7 2" xfId="33916"/>
    <cellStyle name="Note 3 2 2 2 2 2 8" xfId="12815"/>
    <cellStyle name="Note 3 2 2 2 2 2 8 2" xfId="35674"/>
    <cellStyle name="Note 3 2 2 2 2 2 9" xfId="23370"/>
    <cellStyle name="Note 3 2 2 2 2 3" xfId="734"/>
    <cellStyle name="Note 3 2 2 2 2 3 2" xfId="1613"/>
    <cellStyle name="Note 3 2 2 2 2 3 2 2" xfId="3374"/>
    <cellStyle name="Note 3 2 2 2 2 3 2 2 2" xfId="6889"/>
    <cellStyle name="Note 3 2 2 2 2 3 2 2 2 2" xfId="19193"/>
    <cellStyle name="Note 3 2 2 2 2 3 2 2 2 2 2" xfId="42052"/>
    <cellStyle name="Note 3 2 2 2 2 3 2 2 2 3" xfId="29750"/>
    <cellStyle name="Note 3 2 2 2 2 3 2 2 3" xfId="10404"/>
    <cellStyle name="Note 3 2 2 2 2 3 2 2 3 2" xfId="22708"/>
    <cellStyle name="Note 3 2 2 2 2 3 2 2 3 2 2" xfId="45567"/>
    <cellStyle name="Note 3 2 2 2 2 3 2 2 3 3" xfId="33265"/>
    <cellStyle name="Note 3 2 2 2 2 3 2 2 4" xfId="15678"/>
    <cellStyle name="Note 3 2 2 2 2 3 2 2 4 2" xfId="38537"/>
    <cellStyle name="Note 3 2 2 2 2 3 2 2 5" xfId="26235"/>
    <cellStyle name="Note 3 2 2 2 2 3 2 3" xfId="5131"/>
    <cellStyle name="Note 3 2 2 2 2 3 2 3 2" xfId="17435"/>
    <cellStyle name="Note 3 2 2 2 2 3 2 3 2 2" xfId="40294"/>
    <cellStyle name="Note 3 2 2 2 2 3 2 3 3" xfId="27992"/>
    <cellStyle name="Note 3 2 2 2 2 3 2 4" xfId="8646"/>
    <cellStyle name="Note 3 2 2 2 2 3 2 4 2" xfId="20950"/>
    <cellStyle name="Note 3 2 2 2 2 3 2 4 2 2" xfId="43809"/>
    <cellStyle name="Note 3 2 2 2 2 3 2 4 3" xfId="31507"/>
    <cellStyle name="Note 3 2 2 2 2 3 2 5" xfId="12161"/>
    <cellStyle name="Note 3 2 2 2 2 3 2 5 2" xfId="35021"/>
    <cellStyle name="Note 3 2 2 2 2 3 2 6" xfId="13920"/>
    <cellStyle name="Note 3 2 2 2 2 3 2 6 2" xfId="36779"/>
    <cellStyle name="Note 3 2 2 2 2 3 2 7" xfId="24476"/>
    <cellStyle name="Note 3 2 2 2 2 3 3" xfId="2496"/>
    <cellStyle name="Note 3 2 2 2 2 3 3 2" xfId="6011"/>
    <cellStyle name="Note 3 2 2 2 2 3 3 2 2" xfId="18315"/>
    <cellStyle name="Note 3 2 2 2 2 3 3 2 2 2" xfId="41174"/>
    <cellStyle name="Note 3 2 2 2 2 3 3 2 3" xfId="28872"/>
    <cellStyle name="Note 3 2 2 2 2 3 3 3" xfId="9526"/>
    <cellStyle name="Note 3 2 2 2 2 3 3 3 2" xfId="21830"/>
    <cellStyle name="Note 3 2 2 2 2 3 3 3 2 2" xfId="44689"/>
    <cellStyle name="Note 3 2 2 2 2 3 3 3 3" xfId="32387"/>
    <cellStyle name="Note 3 2 2 2 2 3 3 4" xfId="14800"/>
    <cellStyle name="Note 3 2 2 2 2 3 3 4 2" xfId="37659"/>
    <cellStyle name="Note 3 2 2 2 2 3 3 5" xfId="25357"/>
    <cellStyle name="Note 3 2 2 2 2 3 4" xfId="4253"/>
    <cellStyle name="Note 3 2 2 2 2 3 4 2" xfId="16557"/>
    <cellStyle name="Note 3 2 2 2 2 3 4 2 2" xfId="39416"/>
    <cellStyle name="Note 3 2 2 2 2 3 4 3" xfId="27114"/>
    <cellStyle name="Note 3 2 2 2 2 3 5" xfId="7768"/>
    <cellStyle name="Note 3 2 2 2 2 3 5 2" xfId="20072"/>
    <cellStyle name="Note 3 2 2 2 2 3 5 2 2" xfId="42931"/>
    <cellStyle name="Note 3 2 2 2 2 3 5 3" xfId="30629"/>
    <cellStyle name="Note 3 2 2 2 2 3 6" xfId="11283"/>
    <cellStyle name="Note 3 2 2 2 2 3 6 2" xfId="34143"/>
    <cellStyle name="Note 3 2 2 2 2 3 7" xfId="13042"/>
    <cellStyle name="Note 3 2 2 2 2 3 7 2" xfId="35901"/>
    <cellStyle name="Note 3 2 2 2 2 3 8" xfId="23598"/>
    <cellStyle name="Note 3 2 2 2 2 4" xfId="1174"/>
    <cellStyle name="Note 3 2 2 2 2 4 2" xfId="2935"/>
    <cellStyle name="Note 3 2 2 2 2 4 2 2" xfId="6450"/>
    <cellStyle name="Note 3 2 2 2 2 4 2 2 2" xfId="18754"/>
    <cellStyle name="Note 3 2 2 2 2 4 2 2 2 2" xfId="41613"/>
    <cellStyle name="Note 3 2 2 2 2 4 2 2 3" xfId="29311"/>
    <cellStyle name="Note 3 2 2 2 2 4 2 3" xfId="9965"/>
    <cellStyle name="Note 3 2 2 2 2 4 2 3 2" xfId="22269"/>
    <cellStyle name="Note 3 2 2 2 2 4 2 3 2 2" xfId="45128"/>
    <cellStyle name="Note 3 2 2 2 2 4 2 3 3" xfId="32826"/>
    <cellStyle name="Note 3 2 2 2 2 4 2 4" xfId="15239"/>
    <cellStyle name="Note 3 2 2 2 2 4 2 4 2" xfId="38098"/>
    <cellStyle name="Note 3 2 2 2 2 4 2 5" xfId="25796"/>
    <cellStyle name="Note 3 2 2 2 2 4 3" xfId="4692"/>
    <cellStyle name="Note 3 2 2 2 2 4 3 2" xfId="16996"/>
    <cellStyle name="Note 3 2 2 2 2 4 3 2 2" xfId="39855"/>
    <cellStyle name="Note 3 2 2 2 2 4 3 3" xfId="27553"/>
    <cellStyle name="Note 3 2 2 2 2 4 4" xfId="8207"/>
    <cellStyle name="Note 3 2 2 2 2 4 4 2" xfId="20511"/>
    <cellStyle name="Note 3 2 2 2 2 4 4 2 2" xfId="43370"/>
    <cellStyle name="Note 3 2 2 2 2 4 4 3" xfId="31068"/>
    <cellStyle name="Note 3 2 2 2 2 4 5" xfId="11722"/>
    <cellStyle name="Note 3 2 2 2 2 4 5 2" xfId="34582"/>
    <cellStyle name="Note 3 2 2 2 2 4 6" xfId="13481"/>
    <cellStyle name="Note 3 2 2 2 2 4 6 2" xfId="36340"/>
    <cellStyle name="Note 3 2 2 2 2 4 7" xfId="24037"/>
    <cellStyle name="Note 3 2 2 2 2 5" xfId="2057"/>
    <cellStyle name="Note 3 2 2 2 2 5 2" xfId="5572"/>
    <cellStyle name="Note 3 2 2 2 2 5 2 2" xfId="17876"/>
    <cellStyle name="Note 3 2 2 2 2 5 2 2 2" xfId="40735"/>
    <cellStyle name="Note 3 2 2 2 2 5 2 3" xfId="28433"/>
    <cellStyle name="Note 3 2 2 2 2 5 3" xfId="9087"/>
    <cellStyle name="Note 3 2 2 2 2 5 3 2" xfId="21391"/>
    <cellStyle name="Note 3 2 2 2 2 5 3 2 2" xfId="44250"/>
    <cellStyle name="Note 3 2 2 2 2 5 3 3" xfId="31948"/>
    <cellStyle name="Note 3 2 2 2 2 5 4" xfId="14361"/>
    <cellStyle name="Note 3 2 2 2 2 5 4 2" xfId="37220"/>
    <cellStyle name="Note 3 2 2 2 2 5 5" xfId="24918"/>
    <cellStyle name="Note 3 2 2 2 2 6" xfId="3814"/>
    <cellStyle name="Note 3 2 2 2 2 6 2" xfId="16118"/>
    <cellStyle name="Note 3 2 2 2 2 6 2 2" xfId="38977"/>
    <cellStyle name="Note 3 2 2 2 2 6 3" xfId="26675"/>
    <cellStyle name="Note 3 2 2 2 2 7" xfId="7329"/>
    <cellStyle name="Note 3 2 2 2 2 7 2" xfId="19633"/>
    <cellStyle name="Note 3 2 2 2 2 7 2 2" xfId="42492"/>
    <cellStyle name="Note 3 2 2 2 2 7 3" xfId="30190"/>
    <cellStyle name="Note 3 2 2 2 2 8" xfId="10844"/>
    <cellStyle name="Note 3 2 2 2 2 8 2" xfId="33704"/>
    <cellStyle name="Note 3 2 2 2 2 9" xfId="12603"/>
    <cellStyle name="Note 3 2 2 2 2 9 2" xfId="35462"/>
    <cellStyle name="Note 3 2 2 2 3" xfId="399"/>
    <cellStyle name="Note 3 2 2 2 3 2" xfId="840"/>
    <cellStyle name="Note 3 2 2 2 3 2 2" xfId="1719"/>
    <cellStyle name="Note 3 2 2 2 3 2 2 2" xfId="3480"/>
    <cellStyle name="Note 3 2 2 2 3 2 2 2 2" xfId="6995"/>
    <cellStyle name="Note 3 2 2 2 3 2 2 2 2 2" xfId="19299"/>
    <cellStyle name="Note 3 2 2 2 3 2 2 2 2 2 2" xfId="42158"/>
    <cellStyle name="Note 3 2 2 2 3 2 2 2 2 3" xfId="29856"/>
    <cellStyle name="Note 3 2 2 2 3 2 2 2 3" xfId="10510"/>
    <cellStyle name="Note 3 2 2 2 3 2 2 2 3 2" xfId="22814"/>
    <cellStyle name="Note 3 2 2 2 3 2 2 2 3 2 2" xfId="45673"/>
    <cellStyle name="Note 3 2 2 2 3 2 2 2 3 3" xfId="33371"/>
    <cellStyle name="Note 3 2 2 2 3 2 2 2 4" xfId="15784"/>
    <cellStyle name="Note 3 2 2 2 3 2 2 2 4 2" xfId="38643"/>
    <cellStyle name="Note 3 2 2 2 3 2 2 2 5" xfId="26341"/>
    <cellStyle name="Note 3 2 2 2 3 2 2 3" xfId="5237"/>
    <cellStyle name="Note 3 2 2 2 3 2 2 3 2" xfId="17541"/>
    <cellStyle name="Note 3 2 2 2 3 2 2 3 2 2" xfId="40400"/>
    <cellStyle name="Note 3 2 2 2 3 2 2 3 3" xfId="28098"/>
    <cellStyle name="Note 3 2 2 2 3 2 2 4" xfId="8752"/>
    <cellStyle name="Note 3 2 2 2 3 2 2 4 2" xfId="21056"/>
    <cellStyle name="Note 3 2 2 2 3 2 2 4 2 2" xfId="43915"/>
    <cellStyle name="Note 3 2 2 2 3 2 2 4 3" xfId="31613"/>
    <cellStyle name="Note 3 2 2 2 3 2 2 5" xfId="12267"/>
    <cellStyle name="Note 3 2 2 2 3 2 2 5 2" xfId="35127"/>
    <cellStyle name="Note 3 2 2 2 3 2 2 6" xfId="14026"/>
    <cellStyle name="Note 3 2 2 2 3 2 2 6 2" xfId="36885"/>
    <cellStyle name="Note 3 2 2 2 3 2 2 7" xfId="24582"/>
    <cellStyle name="Note 3 2 2 2 3 2 3" xfId="2602"/>
    <cellStyle name="Note 3 2 2 2 3 2 3 2" xfId="6117"/>
    <cellStyle name="Note 3 2 2 2 3 2 3 2 2" xfId="18421"/>
    <cellStyle name="Note 3 2 2 2 3 2 3 2 2 2" xfId="41280"/>
    <cellStyle name="Note 3 2 2 2 3 2 3 2 3" xfId="28978"/>
    <cellStyle name="Note 3 2 2 2 3 2 3 3" xfId="9632"/>
    <cellStyle name="Note 3 2 2 2 3 2 3 3 2" xfId="21936"/>
    <cellStyle name="Note 3 2 2 2 3 2 3 3 2 2" xfId="44795"/>
    <cellStyle name="Note 3 2 2 2 3 2 3 3 3" xfId="32493"/>
    <cellStyle name="Note 3 2 2 2 3 2 3 4" xfId="14906"/>
    <cellStyle name="Note 3 2 2 2 3 2 3 4 2" xfId="37765"/>
    <cellStyle name="Note 3 2 2 2 3 2 3 5" xfId="25463"/>
    <cellStyle name="Note 3 2 2 2 3 2 4" xfId="4359"/>
    <cellStyle name="Note 3 2 2 2 3 2 4 2" xfId="16663"/>
    <cellStyle name="Note 3 2 2 2 3 2 4 2 2" xfId="39522"/>
    <cellStyle name="Note 3 2 2 2 3 2 4 3" xfId="27220"/>
    <cellStyle name="Note 3 2 2 2 3 2 5" xfId="7874"/>
    <cellStyle name="Note 3 2 2 2 3 2 5 2" xfId="20178"/>
    <cellStyle name="Note 3 2 2 2 3 2 5 2 2" xfId="43037"/>
    <cellStyle name="Note 3 2 2 2 3 2 5 3" xfId="30735"/>
    <cellStyle name="Note 3 2 2 2 3 2 6" xfId="11389"/>
    <cellStyle name="Note 3 2 2 2 3 2 6 2" xfId="34249"/>
    <cellStyle name="Note 3 2 2 2 3 2 7" xfId="13148"/>
    <cellStyle name="Note 3 2 2 2 3 2 7 2" xfId="36007"/>
    <cellStyle name="Note 3 2 2 2 3 2 8" xfId="23704"/>
    <cellStyle name="Note 3 2 2 2 3 3" xfId="1280"/>
    <cellStyle name="Note 3 2 2 2 3 3 2" xfId="3041"/>
    <cellStyle name="Note 3 2 2 2 3 3 2 2" xfId="6556"/>
    <cellStyle name="Note 3 2 2 2 3 3 2 2 2" xfId="18860"/>
    <cellStyle name="Note 3 2 2 2 3 3 2 2 2 2" xfId="41719"/>
    <cellStyle name="Note 3 2 2 2 3 3 2 2 3" xfId="29417"/>
    <cellStyle name="Note 3 2 2 2 3 3 2 3" xfId="10071"/>
    <cellStyle name="Note 3 2 2 2 3 3 2 3 2" xfId="22375"/>
    <cellStyle name="Note 3 2 2 2 3 3 2 3 2 2" xfId="45234"/>
    <cellStyle name="Note 3 2 2 2 3 3 2 3 3" xfId="32932"/>
    <cellStyle name="Note 3 2 2 2 3 3 2 4" xfId="15345"/>
    <cellStyle name="Note 3 2 2 2 3 3 2 4 2" xfId="38204"/>
    <cellStyle name="Note 3 2 2 2 3 3 2 5" xfId="25902"/>
    <cellStyle name="Note 3 2 2 2 3 3 3" xfId="4798"/>
    <cellStyle name="Note 3 2 2 2 3 3 3 2" xfId="17102"/>
    <cellStyle name="Note 3 2 2 2 3 3 3 2 2" xfId="39961"/>
    <cellStyle name="Note 3 2 2 2 3 3 3 3" xfId="27659"/>
    <cellStyle name="Note 3 2 2 2 3 3 4" xfId="8313"/>
    <cellStyle name="Note 3 2 2 2 3 3 4 2" xfId="20617"/>
    <cellStyle name="Note 3 2 2 2 3 3 4 2 2" xfId="43476"/>
    <cellStyle name="Note 3 2 2 2 3 3 4 3" xfId="31174"/>
    <cellStyle name="Note 3 2 2 2 3 3 5" xfId="11828"/>
    <cellStyle name="Note 3 2 2 2 3 3 5 2" xfId="34688"/>
    <cellStyle name="Note 3 2 2 2 3 3 6" xfId="13587"/>
    <cellStyle name="Note 3 2 2 2 3 3 6 2" xfId="36446"/>
    <cellStyle name="Note 3 2 2 2 3 3 7" xfId="24143"/>
    <cellStyle name="Note 3 2 2 2 3 4" xfId="2163"/>
    <cellStyle name="Note 3 2 2 2 3 4 2" xfId="5678"/>
    <cellStyle name="Note 3 2 2 2 3 4 2 2" xfId="17982"/>
    <cellStyle name="Note 3 2 2 2 3 4 2 2 2" xfId="40841"/>
    <cellStyle name="Note 3 2 2 2 3 4 2 3" xfId="28539"/>
    <cellStyle name="Note 3 2 2 2 3 4 3" xfId="9193"/>
    <cellStyle name="Note 3 2 2 2 3 4 3 2" xfId="21497"/>
    <cellStyle name="Note 3 2 2 2 3 4 3 2 2" xfId="44356"/>
    <cellStyle name="Note 3 2 2 2 3 4 3 3" xfId="32054"/>
    <cellStyle name="Note 3 2 2 2 3 4 4" xfId="14467"/>
    <cellStyle name="Note 3 2 2 2 3 4 4 2" xfId="37326"/>
    <cellStyle name="Note 3 2 2 2 3 4 5" xfId="25024"/>
    <cellStyle name="Note 3 2 2 2 3 5" xfId="3920"/>
    <cellStyle name="Note 3 2 2 2 3 5 2" xfId="16224"/>
    <cellStyle name="Note 3 2 2 2 3 5 2 2" xfId="39083"/>
    <cellStyle name="Note 3 2 2 2 3 5 3" xfId="26781"/>
    <cellStyle name="Note 3 2 2 2 3 6" xfId="7435"/>
    <cellStyle name="Note 3 2 2 2 3 6 2" xfId="19739"/>
    <cellStyle name="Note 3 2 2 2 3 6 2 2" xfId="42598"/>
    <cellStyle name="Note 3 2 2 2 3 6 3" xfId="30296"/>
    <cellStyle name="Note 3 2 2 2 3 7" xfId="10950"/>
    <cellStyle name="Note 3 2 2 2 3 7 2" xfId="33810"/>
    <cellStyle name="Note 3 2 2 2 3 8" xfId="12709"/>
    <cellStyle name="Note 3 2 2 2 3 8 2" xfId="35568"/>
    <cellStyle name="Note 3 2 2 2 3 9" xfId="23264"/>
    <cellStyle name="Note 3 2 2 2 4" xfId="628"/>
    <cellStyle name="Note 3 2 2 2 4 2" xfId="1507"/>
    <cellStyle name="Note 3 2 2 2 4 2 2" xfId="3268"/>
    <cellStyle name="Note 3 2 2 2 4 2 2 2" xfId="6783"/>
    <cellStyle name="Note 3 2 2 2 4 2 2 2 2" xfId="19087"/>
    <cellStyle name="Note 3 2 2 2 4 2 2 2 2 2" xfId="41946"/>
    <cellStyle name="Note 3 2 2 2 4 2 2 2 3" xfId="29644"/>
    <cellStyle name="Note 3 2 2 2 4 2 2 3" xfId="10298"/>
    <cellStyle name="Note 3 2 2 2 4 2 2 3 2" xfId="22602"/>
    <cellStyle name="Note 3 2 2 2 4 2 2 3 2 2" xfId="45461"/>
    <cellStyle name="Note 3 2 2 2 4 2 2 3 3" xfId="33159"/>
    <cellStyle name="Note 3 2 2 2 4 2 2 4" xfId="15572"/>
    <cellStyle name="Note 3 2 2 2 4 2 2 4 2" xfId="38431"/>
    <cellStyle name="Note 3 2 2 2 4 2 2 5" xfId="26129"/>
    <cellStyle name="Note 3 2 2 2 4 2 3" xfId="5025"/>
    <cellStyle name="Note 3 2 2 2 4 2 3 2" xfId="17329"/>
    <cellStyle name="Note 3 2 2 2 4 2 3 2 2" xfId="40188"/>
    <cellStyle name="Note 3 2 2 2 4 2 3 3" xfId="27886"/>
    <cellStyle name="Note 3 2 2 2 4 2 4" xfId="8540"/>
    <cellStyle name="Note 3 2 2 2 4 2 4 2" xfId="20844"/>
    <cellStyle name="Note 3 2 2 2 4 2 4 2 2" xfId="43703"/>
    <cellStyle name="Note 3 2 2 2 4 2 4 3" xfId="31401"/>
    <cellStyle name="Note 3 2 2 2 4 2 5" xfId="12055"/>
    <cellStyle name="Note 3 2 2 2 4 2 5 2" xfId="34915"/>
    <cellStyle name="Note 3 2 2 2 4 2 6" xfId="13814"/>
    <cellStyle name="Note 3 2 2 2 4 2 6 2" xfId="36673"/>
    <cellStyle name="Note 3 2 2 2 4 2 7" xfId="24370"/>
    <cellStyle name="Note 3 2 2 2 4 3" xfId="2390"/>
    <cellStyle name="Note 3 2 2 2 4 3 2" xfId="5905"/>
    <cellStyle name="Note 3 2 2 2 4 3 2 2" xfId="18209"/>
    <cellStyle name="Note 3 2 2 2 4 3 2 2 2" xfId="41068"/>
    <cellStyle name="Note 3 2 2 2 4 3 2 3" xfId="28766"/>
    <cellStyle name="Note 3 2 2 2 4 3 3" xfId="9420"/>
    <cellStyle name="Note 3 2 2 2 4 3 3 2" xfId="21724"/>
    <cellStyle name="Note 3 2 2 2 4 3 3 2 2" xfId="44583"/>
    <cellStyle name="Note 3 2 2 2 4 3 3 3" xfId="32281"/>
    <cellStyle name="Note 3 2 2 2 4 3 4" xfId="14694"/>
    <cellStyle name="Note 3 2 2 2 4 3 4 2" xfId="37553"/>
    <cellStyle name="Note 3 2 2 2 4 3 5" xfId="25251"/>
    <cellStyle name="Note 3 2 2 2 4 4" xfId="4147"/>
    <cellStyle name="Note 3 2 2 2 4 4 2" xfId="16451"/>
    <cellStyle name="Note 3 2 2 2 4 4 2 2" xfId="39310"/>
    <cellStyle name="Note 3 2 2 2 4 4 3" xfId="27008"/>
    <cellStyle name="Note 3 2 2 2 4 5" xfId="7662"/>
    <cellStyle name="Note 3 2 2 2 4 5 2" xfId="19966"/>
    <cellStyle name="Note 3 2 2 2 4 5 2 2" xfId="42825"/>
    <cellStyle name="Note 3 2 2 2 4 5 3" xfId="30523"/>
    <cellStyle name="Note 3 2 2 2 4 6" xfId="11177"/>
    <cellStyle name="Note 3 2 2 2 4 6 2" xfId="34037"/>
    <cellStyle name="Note 3 2 2 2 4 7" xfId="12936"/>
    <cellStyle name="Note 3 2 2 2 4 7 2" xfId="35795"/>
    <cellStyle name="Note 3 2 2 2 4 8" xfId="23492"/>
    <cellStyle name="Note 3 2 2 2 5" xfId="1068"/>
    <cellStyle name="Note 3 2 2 2 5 2" xfId="2829"/>
    <cellStyle name="Note 3 2 2 2 5 2 2" xfId="6344"/>
    <cellStyle name="Note 3 2 2 2 5 2 2 2" xfId="18648"/>
    <cellStyle name="Note 3 2 2 2 5 2 2 2 2" xfId="41507"/>
    <cellStyle name="Note 3 2 2 2 5 2 2 3" xfId="29205"/>
    <cellStyle name="Note 3 2 2 2 5 2 3" xfId="9859"/>
    <cellStyle name="Note 3 2 2 2 5 2 3 2" xfId="22163"/>
    <cellStyle name="Note 3 2 2 2 5 2 3 2 2" xfId="45022"/>
    <cellStyle name="Note 3 2 2 2 5 2 3 3" xfId="32720"/>
    <cellStyle name="Note 3 2 2 2 5 2 4" xfId="15133"/>
    <cellStyle name="Note 3 2 2 2 5 2 4 2" xfId="37992"/>
    <cellStyle name="Note 3 2 2 2 5 2 5" xfId="25690"/>
    <cellStyle name="Note 3 2 2 2 5 3" xfId="4586"/>
    <cellStyle name="Note 3 2 2 2 5 3 2" xfId="16890"/>
    <cellStyle name="Note 3 2 2 2 5 3 2 2" xfId="39749"/>
    <cellStyle name="Note 3 2 2 2 5 3 3" xfId="27447"/>
    <cellStyle name="Note 3 2 2 2 5 4" xfId="8101"/>
    <cellStyle name="Note 3 2 2 2 5 4 2" xfId="20405"/>
    <cellStyle name="Note 3 2 2 2 5 4 2 2" xfId="43264"/>
    <cellStyle name="Note 3 2 2 2 5 4 3" xfId="30962"/>
    <cellStyle name="Note 3 2 2 2 5 5" xfId="11616"/>
    <cellStyle name="Note 3 2 2 2 5 5 2" xfId="34476"/>
    <cellStyle name="Note 3 2 2 2 5 6" xfId="13375"/>
    <cellStyle name="Note 3 2 2 2 5 6 2" xfId="36234"/>
    <cellStyle name="Note 3 2 2 2 5 7" xfId="23931"/>
    <cellStyle name="Note 3 2 2 2 6" xfId="1951"/>
    <cellStyle name="Note 3 2 2 2 6 2" xfId="5466"/>
    <cellStyle name="Note 3 2 2 2 6 2 2" xfId="17770"/>
    <cellStyle name="Note 3 2 2 2 6 2 2 2" xfId="40629"/>
    <cellStyle name="Note 3 2 2 2 6 2 3" xfId="28327"/>
    <cellStyle name="Note 3 2 2 2 6 3" xfId="8981"/>
    <cellStyle name="Note 3 2 2 2 6 3 2" xfId="21285"/>
    <cellStyle name="Note 3 2 2 2 6 3 2 2" xfId="44144"/>
    <cellStyle name="Note 3 2 2 2 6 3 3" xfId="31842"/>
    <cellStyle name="Note 3 2 2 2 6 4" xfId="14255"/>
    <cellStyle name="Note 3 2 2 2 6 4 2" xfId="37114"/>
    <cellStyle name="Note 3 2 2 2 6 5" xfId="24812"/>
    <cellStyle name="Note 3 2 2 2 7" xfId="3708"/>
    <cellStyle name="Note 3 2 2 2 7 2" xfId="16012"/>
    <cellStyle name="Note 3 2 2 2 7 2 2" xfId="38871"/>
    <cellStyle name="Note 3 2 2 2 7 3" xfId="26569"/>
    <cellStyle name="Note 3 2 2 2 8" xfId="7223"/>
    <cellStyle name="Note 3 2 2 2 8 2" xfId="19527"/>
    <cellStyle name="Note 3 2 2 2 8 2 2" xfId="42386"/>
    <cellStyle name="Note 3 2 2 2 8 3" xfId="30084"/>
    <cellStyle name="Note 3 2 2 2 9" xfId="10738"/>
    <cellStyle name="Note 3 2 2 2 9 2" xfId="33598"/>
    <cellStyle name="Note 3 2 2 3" xfId="239"/>
    <cellStyle name="Note 3 2 2 3 10" xfId="23104"/>
    <cellStyle name="Note 3 2 2 3 2" xfId="451"/>
    <cellStyle name="Note 3 2 2 3 2 2" xfId="892"/>
    <cellStyle name="Note 3 2 2 3 2 2 2" xfId="1771"/>
    <cellStyle name="Note 3 2 2 3 2 2 2 2" xfId="3532"/>
    <cellStyle name="Note 3 2 2 3 2 2 2 2 2" xfId="7047"/>
    <cellStyle name="Note 3 2 2 3 2 2 2 2 2 2" xfId="19351"/>
    <cellStyle name="Note 3 2 2 3 2 2 2 2 2 2 2" xfId="42210"/>
    <cellStyle name="Note 3 2 2 3 2 2 2 2 2 3" xfId="29908"/>
    <cellStyle name="Note 3 2 2 3 2 2 2 2 3" xfId="10562"/>
    <cellStyle name="Note 3 2 2 3 2 2 2 2 3 2" xfId="22866"/>
    <cellStyle name="Note 3 2 2 3 2 2 2 2 3 2 2" xfId="45725"/>
    <cellStyle name="Note 3 2 2 3 2 2 2 2 3 3" xfId="33423"/>
    <cellStyle name="Note 3 2 2 3 2 2 2 2 4" xfId="15836"/>
    <cellStyle name="Note 3 2 2 3 2 2 2 2 4 2" xfId="38695"/>
    <cellStyle name="Note 3 2 2 3 2 2 2 2 5" xfId="26393"/>
    <cellStyle name="Note 3 2 2 3 2 2 2 3" xfId="5289"/>
    <cellStyle name="Note 3 2 2 3 2 2 2 3 2" xfId="17593"/>
    <cellStyle name="Note 3 2 2 3 2 2 2 3 2 2" xfId="40452"/>
    <cellStyle name="Note 3 2 2 3 2 2 2 3 3" xfId="28150"/>
    <cellStyle name="Note 3 2 2 3 2 2 2 4" xfId="8804"/>
    <cellStyle name="Note 3 2 2 3 2 2 2 4 2" xfId="21108"/>
    <cellStyle name="Note 3 2 2 3 2 2 2 4 2 2" xfId="43967"/>
    <cellStyle name="Note 3 2 2 3 2 2 2 4 3" xfId="31665"/>
    <cellStyle name="Note 3 2 2 3 2 2 2 5" xfId="12319"/>
    <cellStyle name="Note 3 2 2 3 2 2 2 5 2" xfId="35179"/>
    <cellStyle name="Note 3 2 2 3 2 2 2 6" xfId="14078"/>
    <cellStyle name="Note 3 2 2 3 2 2 2 6 2" xfId="36937"/>
    <cellStyle name="Note 3 2 2 3 2 2 2 7" xfId="24634"/>
    <cellStyle name="Note 3 2 2 3 2 2 3" xfId="2654"/>
    <cellStyle name="Note 3 2 2 3 2 2 3 2" xfId="6169"/>
    <cellStyle name="Note 3 2 2 3 2 2 3 2 2" xfId="18473"/>
    <cellStyle name="Note 3 2 2 3 2 2 3 2 2 2" xfId="41332"/>
    <cellStyle name="Note 3 2 2 3 2 2 3 2 3" xfId="29030"/>
    <cellStyle name="Note 3 2 2 3 2 2 3 3" xfId="9684"/>
    <cellStyle name="Note 3 2 2 3 2 2 3 3 2" xfId="21988"/>
    <cellStyle name="Note 3 2 2 3 2 2 3 3 2 2" xfId="44847"/>
    <cellStyle name="Note 3 2 2 3 2 2 3 3 3" xfId="32545"/>
    <cellStyle name="Note 3 2 2 3 2 2 3 4" xfId="14958"/>
    <cellStyle name="Note 3 2 2 3 2 2 3 4 2" xfId="37817"/>
    <cellStyle name="Note 3 2 2 3 2 2 3 5" xfId="25515"/>
    <cellStyle name="Note 3 2 2 3 2 2 4" xfId="4411"/>
    <cellStyle name="Note 3 2 2 3 2 2 4 2" xfId="16715"/>
    <cellStyle name="Note 3 2 2 3 2 2 4 2 2" xfId="39574"/>
    <cellStyle name="Note 3 2 2 3 2 2 4 3" xfId="27272"/>
    <cellStyle name="Note 3 2 2 3 2 2 5" xfId="7926"/>
    <cellStyle name="Note 3 2 2 3 2 2 5 2" xfId="20230"/>
    <cellStyle name="Note 3 2 2 3 2 2 5 2 2" xfId="43089"/>
    <cellStyle name="Note 3 2 2 3 2 2 5 3" xfId="30787"/>
    <cellStyle name="Note 3 2 2 3 2 2 6" xfId="11441"/>
    <cellStyle name="Note 3 2 2 3 2 2 6 2" xfId="34301"/>
    <cellStyle name="Note 3 2 2 3 2 2 7" xfId="13200"/>
    <cellStyle name="Note 3 2 2 3 2 2 7 2" xfId="36059"/>
    <cellStyle name="Note 3 2 2 3 2 2 8" xfId="23756"/>
    <cellStyle name="Note 3 2 2 3 2 3" xfId="1332"/>
    <cellStyle name="Note 3 2 2 3 2 3 2" xfId="3093"/>
    <cellStyle name="Note 3 2 2 3 2 3 2 2" xfId="6608"/>
    <cellStyle name="Note 3 2 2 3 2 3 2 2 2" xfId="18912"/>
    <cellStyle name="Note 3 2 2 3 2 3 2 2 2 2" xfId="41771"/>
    <cellStyle name="Note 3 2 2 3 2 3 2 2 3" xfId="29469"/>
    <cellStyle name="Note 3 2 2 3 2 3 2 3" xfId="10123"/>
    <cellStyle name="Note 3 2 2 3 2 3 2 3 2" xfId="22427"/>
    <cellStyle name="Note 3 2 2 3 2 3 2 3 2 2" xfId="45286"/>
    <cellStyle name="Note 3 2 2 3 2 3 2 3 3" xfId="32984"/>
    <cellStyle name="Note 3 2 2 3 2 3 2 4" xfId="15397"/>
    <cellStyle name="Note 3 2 2 3 2 3 2 4 2" xfId="38256"/>
    <cellStyle name="Note 3 2 2 3 2 3 2 5" xfId="25954"/>
    <cellStyle name="Note 3 2 2 3 2 3 3" xfId="4850"/>
    <cellStyle name="Note 3 2 2 3 2 3 3 2" xfId="17154"/>
    <cellStyle name="Note 3 2 2 3 2 3 3 2 2" xfId="40013"/>
    <cellStyle name="Note 3 2 2 3 2 3 3 3" xfId="27711"/>
    <cellStyle name="Note 3 2 2 3 2 3 4" xfId="8365"/>
    <cellStyle name="Note 3 2 2 3 2 3 4 2" xfId="20669"/>
    <cellStyle name="Note 3 2 2 3 2 3 4 2 2" xfId="43528"/>
    <cellStyle name="Note 3 2 2 3 2 3 4 3" xfId="31226"/>
    <cellStyle name="Note 3 2 2 3 2 3 5" xfId="11880"/>
    <cellStyle name="Note 3 2 2 3 2 3 5 2" xfId="34740"/>
    <cellStyle name="Note 3 2 2 3 2 3 6" xfId="13639"/>
    <cellStyle name="Note 3 2 2 3 2 3 6 2" xfId="36498"/>
    <cellStyle name="Note 3 2 2 3 2 3 7" xfId="24195"/>
    <cellStyle name="Note 3 2 2 3 2 4" xfId="2215"/>
    <cellStyle name="Note 3 2 2 3 2 4 2" xfId="5730"/>
    <cellStyle name="Note 3 2 2 3 2 4 2 2" xfId="18034"/>
    <cellStyle name="Note 3 2 2 3 2 4 2 2 2" xfId="40893"/>
    <cellStyle name="Note 3 2 2 3 2 4 2 3" xfId="28591"/>
    <cellStyle name="Note 3 2 2 3 2 4 3" xfId="9245"/>
    <cellStyle name="Note 3 2 2 3 2 4 3 2" xfId="21549"/>
    <cellStyle name="Note 3 2 2 3 2 4 3 2 2" xfId="44408"/>
    <cellStyle name="Note 3 2 2 3 2 4 3 3" xfId="32106"/>
    <cellStyle name="Note 3 2 2 3 2 4 4" xfId="14519"/>
    <cellStyle name="Note 3 2 2 3 2 4 4 2" xfId="37378"/>
    <cellStyle name="Note 3 2 2 3 2 4 5" xfId="25076"/>
    <cellStyle name="Note 3 2 2 3 2 5" xfId="3972"/>
    <cellStyle name="Note 3 2 2 3 2 5 2" xfId="16276"/>
    <cellStyle name="Note 3 2 2 3 2 5 2 2" xfId="39135"/>
    <cellStyle name="Note 3 2 2 3 2 5 3" xfId="26833"/>
    <cellStyle name="Note 3 2 2 3 2 6" xfId="7487"/>
    <cellStyle name="Note 3 2 2 3 2 6 2" xfId="19791"/>
    <cellStyle name="Note 3 2 2 3 2 6 2 2" xfId="42650"/>
    <cellStyle name="Note 3 2 2 3 2 6 3" xfId="30348"/>
    <cellStyle name="Note 3 2 2 3 2 7" xfId="11002"/>
    <cellStyle name="Note 3 2 2 3 2 7 2" xfId="33862"/>
    <cellStyle name="Note 3 2 2 3 2 8" xfId="12761"/>
    <cellStyle name="Note 3 2 2 3 2 8 2" xfId="35620"/>
    <cellStyle name="Note 3 2 2 3 2 9" xfId="23316"/>
    <cellStyle name="Note 3 2 2 3 3" xfId="680"/>
    <cellStyle name="Note 3 2 2 3 3 2" xfId="1559"/>
    <cellStyle name="Note 3 2 2 3 3 2 2" xfId="3320"/>
    <cellStyle name="Note 3 2 2 3 3 2 2 2" xfId="6835"/>
    <cellStyle name="Note 3 2 2 3 3 2 2 2 2" xfId="19139"/>
    <cellStyle name="Note 3 2 2 3 3 2 2 2 2 2" xfId="41998"/>
    <cellStyle name="Note 3 2 2 3 3 2 2 2 3" xfId="29696"/>
    <cellStyle name="Note 3 2 2 3 3 2 2 3" xfId="10350"/>
    <cellStyle name="Note 3 2 2 3 3 2 2 3 2" xfId="22654"/>
    <cellStyle name="Note 3 2 2 3 3 2 2 3 2 2" xfId="45513"/>
    <cellStyle name="Note 3 2 2 3 3 2 2 3 3" xfId="33211"/>
    <cellStyle name="Note 3 2 2 3 3 2 2 4" xfId="15624"/>
    <cellStyle name="Note 3 2 2 3 3 2 2 4 2" xfId="38483"/>
    <cellStyle name="Note 3 2 2 3 3 2 2 5" xfId="26181"/>
    <cellStyle name="Note 3 2 2 3 3 2 3" xfId="5077"/>
    <cellStyle name="Note 3 2 2 3 3 2 3 2" xfId="17381"/>
    <cellStyle name="Note 3 2 2 3 3 2 3 2 2" xfId="40240"/>
    <cellStyle name="Note 3 2 2 3 3 2 3 3" xfId="27938"/>
    <cellStyle name="Note 3 2 2 3 3 2 4" xfId="8592"/>
    <cellStyle name="Note 3 2 2 3 3 2 4 2" xfId="20896"/>
    <cellStyle name="Note 3 2 2 3 3 2 4 2 2" xfId="43755"/>
    <cellStyle name="Note 3 2 2 3 3 2 4 3" xfId="31453"/>
    <cellStyle name="Note 3 2 2 3 3 2 5" xfId="12107"/>
    <cellStyle name="Note 3 2 2 3 3 2 5 2" xfId="34967"/>
    <cellStyle name="Note 3 2 2 3 3 2 6" xfId="13866"/>
    <cellStyle name="Note 3 2 2 3 3 2 6 2" xfId="36725"/>
    <cellStyle name="Note 3 2 2 3 3 2 7" xfId="24422"/>
    <cellStyle name="Note 3 2 2 3 3 3" xfId="2442"/>
    <cellStyle name="Note 3 2 2 3 3 3 2" xfId="5957"/>
    <cellStyle name="Note 3 2 2 3 3 3 2 2" xfId="18261"/>
    <cellStyle name="Note 3 2 2 3 3 3 2 2 2" xfId="41120"/>
    <cellStyle name="Note 3 2 2 3 3 3 2 3" xfId="28818"/>
    <cellStyle name="Note 3 2 2 3 3 3 3" xfId="9472"/>
    <cellStyle name="Note 3 2 2 3 3 3 3 2" xfId="21776"/>
    <cellStyle name="Note 3 2 2 3 3 3 3 2 2" xfId="44635"/>
    <cellStyle name="Note 3 2 2 3 3 3 3 3" xfId="32333"/>
    <cellStyle name="Note 3 2 2 3 3 3 4" xfId="14746"/>
    <cellStyle name="Note 3 2 2 3 3 3 4 2" xfId="37605"/>
    <cellStyle name="Note 3 2 2 3 3 3 5" xfId="25303"/>
    <cellStyle name="Note 3 2 2 3 3 4" xfId="4199"/>
    <cellStyle name="Note 3 2 2 3 3 4 2" xfId="16503"/>
    <cellStyle name="Note 3 2 2 3 3 4 2 2" xfId="39362"/>
    <cellStyle name="Note 3 2 2 3 3 4 3" xfId="27060"/>
    <cellStyle name="Note 3 2 2 3 3 5" xfId="7714"/>
    <cellStyle name="Note 3 2 2 3 3 5 2" xfId="20018"/>
    <cellStyle name="Note 3 2 2 3 3 5 2 2" xfId="42877"/>
    <cellStyle name="Note 3 2 2 3 3 5 3" xfId="30575"/>
    <cellStyle name="Note 3 2 2 3 3 6" xfId="11229"/>
    <cellStyle name="Note 3 2 2 3 3 6 2" xfId="34089"/>
    <cellStyle name="Note 3 2 2 3 3 7" xfId="12988"/>
    <cellStyle name="Note 3 2 2 3 3 7 2" xfId="35847"/>
    <cellStyle name="Note 3 2 2 3 3 8" xfId="23544"/>
    <cellStyle name="Note 3 2 2 3 4" xfId="1120"/>
    <cellStyle name="Note 3 2 2 3 4 2" xfId="2881"/>
    <cellStyle name="Note 3 2 2 3 4 2 2" xfId="6396"/>
    <cellStyle name="Note 3 2 2 3 4 2 2 2" xfId="18700"/>
    <cellStyle name="Note 3 2 2 3 4 2 2 2 2" xfId="41559"/>
    <cellStyle name="Note 3 2 2 3 4 2 2 3" xfId="29257"/>
    <cellStyle name="Note 3 2 2 3 4 2 3" xfId="9911"/>
    <cellStyle name="Note 3 2 2 3 4 2 3 2" xfId="22215"/>
    <cellStyle name="Note 3 2 2 3 4 2 3 2 2" xfId="45074"/>
    <cellStyle name="Note 3 2 2 3 4 2 3 3" xfId="32772"/>
    <cellStyle name="Note 3 2 2 3 4 2 4" xfId="15185"/>
    <cellStyle name="Note 3 2 2 3 4 2 4 2" xfId="38044"/>
    <cellStyle name="Note 3 2 2 3 4 2 5" xfId="25742"/>
    <cellStyle name="Note 3 2 2 3 4 3" xfId="4638"/>
    <cellStyle name="Note 3 2 2 3 4 3 2" xfId="16942"/>
    <cellStyle name="Note 3 2 2 3 4 3 2 2" xfId="39801"/>
    <cellStyle name="Note 3 2 2 3 4 3 3" xfId="27499"/>
    <cellStyle name="Note 3 2 2 3 4 4" xfId="8153"/>
    <cellStyle name="Note 3 2 2 3 4 4 2" xfId="20457"/>
    <cellStyle name="Note 3 2 2 3 4 4 2 2" xfId="43316"/>
    <cellStyle name="Note 3 2 2 3 4 4 3" xfId="31014"/>
    <cellStyle name="Note 3 2 2 3 4 5" xfId="11668"/>
    <cellStyle name="Note 3 2 2 3 4 5 2" xfId="34528"/>
    <cellStyle name="Note 3 2 2 3 4 6" xfId="13427"/>
    <cellStyle name="Note 3 2 2 3 4 6 2" xfId="36286"/>
    <cellStyle name="Note 3 2 2 3 4 7" xfId="23983"/>
    <cellStyle name="Note 3 2 2 3 5" xfId="2003"/>
    <cellStyle name="Note 3 2 2 3 5 2" xfId="5518"/>
    <cellStyle name="Note 3 2 2 3 5 2 2" xfId="17822"/>
    <cellStyle name="Note 3 2 2 3 5 2 2 2" xfId="40681"/>
    <cellStyle name="Note 3 2 2 3 5 2 3" xfId="28379"/>
    <cellStyle name="Note 3 2 2 3 5 3" xfId="9033"/>
    <cellStyle name="Note 3 2 2 3 5 3 2" xfId="21337"/>
    <cellStyle name="Note 3 2 2 3 5 3 2 2" xfId="44196"/>
    <cellStyle name="Note 3 2 2 3 5 3 3" xfId="31894"/>
    <cellStyle name="Note 3 2 2 3 5 4" xfId="14307"/>
    <cellStyle name="Note 3 2 2 3 5 4 2" xfId="37166"/>
    <cellStyle name="Note 3 2 2 3 5 5" xfId="24864"/>
    <cellStyle name="Note 3 2 2 3 6" xfId="3760"/>
    <cellStyle name="Note 3 2 2 3 6 2" xfId="16064"/>
    <cellStyle name="Note 3 2 2 3 6 2 2" xfId="38923"/>
    <cellStyle name="Note 3 2 2 3 6 3" xfId="26621"/>
    <cellStyle name="Note 3 2 2 3 7" xfId="7275"/>
    <cellStyle name="Note 3 2 2 3 7 2" xfId="19579"/>
    <cellStyle name="Note 3 2 2 3 7 2 2" xfId="42438"/>
    <cellStyle name="Note 3 2 2 3 7 3" xfId="30136"/>
    <cellStyle name="Note 3 2 2 3 8" xfId="10790"/>
    <cellStyle name="Note 3 2 2 3 8 2" xfId="33650"/>
    <cellStyle name="Note 3 2 2 3 9" xfId="12549"/>
    <cellStyle name="Note 3 2 2 3 9 2" xfId="35408"/>
    <cellStyle name="Note 3 2 2 4" xfId="345"/>
    <cellStyle name="Note 3 2 2 4 2" xfId="786"/>
    <cellStyle name="Note 3 2 2 4 2 2" xfId="1665"/>
    <cellStyle name="Note 3 2 2 4 2 2 2" xfId="3426"/>
    <cellStyle name="Note 3 2 2 4 2 2 2 2" xfId="6941"/>
    <cellStyle name="Note 3 2 2 4 2 2 2 2 2" xfId="19245"/>
    <cellStyle name="Note 3 2 2 4 2 2 2 2 2 2" xfId="42104"/>
    <cellStyle name="Note 3 2 2 4 2 2 2 2 3" xfId="29802"/>
    <cellStyle name="Note 3 2 2 4 2 2 2 3" xfId="10456"/>
    <cellStyle name="Note 3 2 2 4 2 2 2 3 2" xfId="22760"/>
    <cellStyle name="Note 3 2 2 4 2 2 2 3 2 2" xfId="45619"/>
    <cellStyle name="Note 3 2 2 4 2 2 2 3 3" xfId="33317"/>
    <cellStyle name="Note 3 2 2 4 2 2 2 4" xfId="15730"/>
    <cellStyle name="Note 3 2 2 4 2 2 2 4 2" xfId="38589"/>
    <cellStyle name="Note 3 2 2 4 2 2 2 5" xfId="26287"/>
    <cellStyle name="Note 3 2 2 4 2 2 3" xfId="5183"/>
    <cellStyle name="Note 3 2 2 4 2 2 3 2" xfId="17487"/>
    <cellStyle name="Note 3 2 2 4 2 2 3 2 2" xfId="40346"/>
    <cellStyle name="Note 3 2 2 4 2 2 3 3" xfId="28044"/>
    <cellStyle name="Note 3 2 2 4 2 2 4" xfId="8698"/>
    <cellStyle name="Note 3 2 2 4 2 2 4 2" xfId="21002"/>
    <cellStyle name="Note 3 2 2 4 2 2 4 2 2" xfId="43861"/>
    <cellStyle name="Note 3 2 2 4 2 2 4 3" xfId="31559"/>
    <cellStyle name="Note 3 2 2 4 2 2 5" xfId="12213"/>
    <cellStyle name="Note 3 2 2 4 2 2 5 2" xfId="35073"/>
    <cellStyle name="Note 3 2 2 4 2 2 6" xfId="13972"/>
    <cellStyle name="Note 3 2 2 4 2 2 6 2" xfId="36831"/>
    <cellStyle name="Note 3 2 2 4 2 2 7" xfId="24528"/>
    <cellStyle name="Note 3 2 2 4 2 3" xfId="2548"/>
    <cellStyle name="Note 3 2 2 4 2 3 2" xfId="6063"/>
    <cellStyle name="Note 3 2 2 4 2 3 2 2" xfId="18367"/>
    <cellStyle name="Note 3 2 2 4 2 3 2 2 2" xfId="41226"/>
    <cellStyle name="Note 3 2 2 4 2 3 2 3" xfId="28924"/>
    <cellStyle name="Note 3 2 2 4 2 3 3" xfId="9578"/>
    <cellStyle name="Note 3 2 2 4 2 3 3 2" xfId="21882"/>
    <cellStyle name="Note 3 2 2 4 2 3 3 2 2" xfId="44741"/>
    <cellStyle name="Note 3 2 2 4 2 3 3 3" xfId="32439"/>
    <cellStyle name="Note 3 2 2 4 2 3 4" xfId="14852"/>
    <cellStyle name="Note 3 2 2 4 2 3 4 2" xfId="37711"/>
    <cellStyle name="Note 3 2 2 4 2 3 5" xfId="25409"/>
    <cellStyle name="Note 3 2 2 4 2 4" xfId="4305"/>
    <cellStyle name="Note 3 2 2 4 2 4 2" xfId="16609"/>
    <cellStyle name="Note 3 2 2 4 2 4 2 2" xfId="39468"/>
    <cellStyle name="Note 3 2 2 4 2 4 3" xfId="27166"/>
    <cellStyle name="Note 3 2 2 4 2 5" xfId="7820"/>
    <cellStyle name="Note 3 2 2 4 2 5 2" xfId="20124"/>
    <cellStyle name="Note 3 2 2 4 2 5 2 2" xfId="42983"/>
    <cellStyle name="Note 3 2 2 4 2 5 3" xfId="30681"/>
    <cellStyle name="Note 3 2 2 4 2 6" xfId="11335"/>
    <cellStyle name="Note 3 2 2 4 2 6 2" xfId="34195"/>
    <cellStyle name="Note 3 2 2 4 2 7" xfId="13094"/>
    <cellStyle name="Note 3 2 2 4 2 7 2" xfId="35953"/>
    <cellStyle name="Note 3 2 2 4 2 8" xfId="23650"/>
    <cellStyle name="Note 3 2 2 4 3" xfId="1226"/>
    <cellStyle name="Note 3 2 2 4 3 2" xfId="2987"/>
    <cellStyle name="Note 3 2 2 4 3 2 2" xfId="6502"/>
    <cellStyle name="Note 3 2 2 4 3 2 2 2" xfId="18806"/>
    <cellStyle name="Note 3 2 2 4 3 2 2 2 2" xfId="41665"/>
    <cellStyle name="Note 3 2 2 4 3 2 2 3" xfId="29363"/>
    <cellStyle name="Note 3 2 2 4 3 2 3" xfId="10017"/>
    <cellStyle name="Note 3 2 2 4 3 2 3 2" xfId="22321"/>
    <cellStyle name="Note 3 2 2 4 3 2 3 2 2" xfId="45180"/>
    <cellStyle name="Note 3 2 2 4 3 2 3 3" xfId="32878"/>
    <cellStyle name="Note 3 2 2 4 3 2 4" xfId="15291"/>
    <cellStyle name="Note 3 2 2 4 3 2 4 2" xfId="38150"/>
    <cellStyle name="Note 3 2 2 4 3 2 5" xfId="25848"/>
    <cellStyle name="Note 3 2 2 4 3 3" xfId="4744"/>
    <cellStyle name="Note 3 2 2 4 3 3 2" xfId="17048"/>
    <cellStyle name="Note 3 2 2 4 3 3 2 2" xfId="39907"/>
    <cellStyle name="Note 3 2 2 4 3 3 3" xfId="27605"/>
    <cellStyle name="Note 3 2 2 4 3 4" xfId="8259"/>
    <cellStyle name="Note 3 2 2 4 3 4 2" xfId="20563"/>
    <cellStyle name="Note 3 2 2 4 3 4 2 2" xfId="43422"/>
    <cellStyle name="Note 3 2 2 4 3 4 3" xfId="31120"/>
    <cellStyle name="Note 3 2 2 4 3 5" xfId="11774"/>
    <cellStyle name="Note 3 2 2 4 3 5 2" xfId="34634"/>
    <cellStyle name="Note 3 2 2 4 3 6" xfId="13533"/>
    <cellStyle name="Note 3 2 2 4 3 6 2" xfId="36392"/>
    <cellStyle name="Note 3 2 2 4 3 7" xfId="24089"/>
    <cellStyle name="Note 3 2 2 4 4" xfId="2109"/>
    <cellStyle name="Note 3 2 2 4 4 2" xfId="5624"/>
    <cellStyle name="Note 3 2 2 4 4 2 2" xfId="17928"/>
    <cellStyle name="Note 3 2 2 4 4 2 2 2" xfId="40787"/>
    <cellStyle name="Note 3 2 2 4 4 2 3" xfId="28485"/>
    <cellStyle name="Note 3 2 2 4 4 3" xfId="9139"/>
    <cellStyle name="Note 3 2 2 4 4 3 2" xfId="21443"/>
    <cellStyle name="Note 3 2 2 4 4 3 2 2" xfId="44302"/>
    <cellStyle name="Note 3 2 2 4 4 3 3" xfId="32000"/>
    <cellStyle name="Note 3 2 2 4 4 4" xfId="14413"/>
    <cellStyle name="Note 3 2 2 4 4 4 2" xfId="37272"/>
    <cellStyle name="Note 3 2 2 4 4 5" xfId="24970"/>
    <cellStyle name="Note 3 2 2 4 5" xfId="3866"/>
    <cellStyle name="Note 3 2 2 4 5 2" xfId="16170"/>
    <cellStyle name="Note 3 2 2 4 5 2 2" xfId="39029"/>
    <cellStyle name="Note 3 2 2 4 5 3" xfId="26727"/>
    <cellStyle name="Note 3 2 2 4 6" xfId="7381"/>
    <cellStyle name="Note 3 2 2 4 6 2" xfId="19685"/>
    <cellStyle name="Note 3 2 2 4 6 2 2" xfId="42544"/>
    <cellStyle name="Note 3 2 2 4 6 3" xfId="30242"/>
    <cellStyle name="Note 3 2 2 4 7" xfId="10896"/>
    <cellStyle name="Note 3 2 2 4 7 2" xfId="33756"/>
    <cellStyle name="Note 3 2 2 4 8" xfId="12655"/>
    <cellStyle name="Note 3 2 2 4 8 2" xfId="35514"/>
    <cellStyle name="Note 3 2 2 4 9" xfId="23210"/>
    <cellStyle name="Note 3 2 2 5" xfId="574"/>
    <cellStyle name="Note 3 2 2 5 2" xfId="1453"/>
    <cellStyle name="Note 3 2 2 5 2 2" xfId="3214"/>
    <cellStyle name="Note 3 2 2 5 2 2 2" xfId="6729"/>
    <cellStyle name="Note 3 2 2 5 2 2 2 2" xfId="19033"/>
    <cellStyle name="Note 3 2 2 5 2 2 2 2 2" xfId="41892"/>
    <cellStyle name="Note 3 2 2 5 2 2 2 3" xfId="29590"/>
    <cellStyle name="Note 3 2 2 5 2 2 3" xfId="10244"/>
    <cellStyle name="Note 3 2 2 5 2 2 3 2" xfId="22548"/>
    <cellStyle name="Note 3 2 2 5 2 2 3 2 2" xfId="45407"/>
    <cellStyle name="Note 3 2 2 5 2 2 3 3" xfId="33105"/>
    <cellStyle name="Note 3 2 2 5 2 2 4" xfId="15518"/>
    <cellStyle name="Note 3 2 2 5 2 2 4 2" xfId="38377"/>
    <cellStyle name="Note 3 2 2 5 2 2 5" xfId="26075"/>
    <cellStyle name="Note 3 2 2 5 2 3" xfId="4971"/>
    <cellStyle name="Note 3 2 2 5 2 3 2" xfId="17275"/>
    <cellStyle name="Note 3 2 2 5 2 3 2 2" xfId="40134"/>
    <cellStyle name="Note 3 2 2 5 2 3 3" xfId="27832"/>
    <cellStyle name="Note 3 2 2 5 2 4" xfId="8486"/>
    <cellStyle name="Note 3 2 2 5 2 4 2" xfId="20790"/>
    <cellStyle name="Note 3 2 2 5 2 4 2 2" xfId="43649"/>
    <cellStyle name="Note 3 2 2 5 2 4 3" xfId="31347"/>
    <cellStyle name="Note 3 2 2 5 2 5" xfId="12001"/>
    <cellStyle name="Note 3 2 2 5 2 5 2" xfId="34861"/>
    <cellStyle name="Note 3 2 2 5 2 6" xfId="13760"/>
    <cellStyle name="Note 3 2 2 5 2 6 2" xfId="36619"/>
    <cellStyle name="Note 3 2 2 5 2 7" xfId="24316"/>
    <cellStyle name="Note 3 2 2 5 3" xfId="2336"/>
    <cellStyle name="Note 3 2 2 5 3 2" xfId="5851"/>
    <cellStyle name="Note 3 2 2 5 3 2 2" xfId="18155"/>
    <cellStyle name="Note 3 2 2 5 3 2 2 2" xfId="41014"/>
    <cellStyle name="Note 3 2 2 5 3 2 3" xfId="28712"/>
    <cellStyle name="Note 3 2 2 5 3 3" xfId="9366"/>
    <cellStyle name="Note 3 2 2 5 3 3 2" xfId="21670"/>
    <cellStyle name="Note 3 2 2 5 3 3 2 2" xfId="44529"/>
    <cellStyle name="Note 3 2 2 5 3 3 3" xfId="32227"/>
    <cellStyle name="Note 3 2 2 5 3 4" xfId="14640"/>
    <cellStyle name="Note 3 2 2 5 3 4 2" xfId="37499"/>
    <cellStyle name="Note 3 2 2 5 3 5" xfId="25197"/>
    <cellStyle name="Note 3 2 2 5 4" xfId="4093"/>
    <cellStyle name="Note 3 2 2 5 4 2" xfId="16397"/>
    <cellStyle name="Note 3 2 2 5 4 2 2" xfId="39256"/>
    <cellStyle name="Note 3 2 2 5 4 3" xfId="26954"/>
    <cellStyle name="Note 3 2 2 5 5" xfId="7608"/>
    <cellStyle name="Note 3 2 2 5 5 2" xfId="19912"/>
    <cellStyle name="Note 3 2 2 5 5 2 2" xfId="42771"/>
    <cellStyle name="Note 3 2 2 5 5 3" xfId="30469"/>
    <cellStyle name="Note 3 2 2 5 6" xfId="11123"/>
    <cellStyle name="Note 3 2 2 5 6 2" xfId="33983"/>
    <cellStyle name="Note 3 2 2 5 7" xfId="12882"/>
    <cellStyle name="Note 3 2 2 5 7 2" xfId="35741"/>
    <cellStyle name="Note 3 2 2 5 8" xfId="23438"/>
    <cellStyle name="Note 3 2 2 6" xfId="1014"/>
    <cellStyle name="Note 3 2 2 6 2" xfId="2775"/>
    <cellStyle name="Note 3 2 2 6 2 2" xfId="6290"/>
    <cellStyle name="Note 3 2 2 6 2 2 2" xfId="18594"/>
    <cellStyle name="Note 3 2 2 6 2 2 2 2" xfId="41453"/>
    <cellStyle name="Note 3 2 2 6 2 2 3" xfId="29151"/>
    <cellStyle name="Note 3 2 2 6 2 3" xfId="9805"/>
    <cellStyle name="Note 3 2 2 6 2 3 2" xfId="22109"/>
    <cellStyle name="Note 3 2 2 6 2 3 2 2" xfId="44968"/>
    <cellStyle name="Note 3 2 2 6 2 3 3" xfId="32666"/>
    <cellStyle name="Note 3 2 2 6 2 4" xfId="15079"/>
    <cellStyle name="Note 3 2 2 6 2 4 2" xfId="37938"/>
    <cellStyle name="Note 3 2 2 6 2 5" xfId="25636"/>
    <cellStyle name="Note 3 2 2 6 3" xfId="4532"/>
    <cellStyle name="Note 3 2 2 6 3 2" xfId="16836"/>
    <cellStyle name="Note 3 2 2 6 3 2 2" xfId="39695"/>
    <cellStyle name="Note 3 2 2 6 3 3" xfId="27393"/>
    <cellStyle name="Note 3 2 2 6 4" xfId="8047"/>
    <cellStyle name="Note 3 2 2 6 4 2" xfId="20351"/>
    <cellStyle name="Note 3 2 2 6 4 2 2" xfId="43210"/>
    <cellStyle name="Note 3 2 2 6 4 3" xfId="30908"/>
    <cellStyle name="Note 3 2 2 6 5" xfId="11562"/>
    <cellStyle name="Note 3 2 2 6 5 2" xfId="34422"/>
    <cellStyle name="Note 3 2 2 6 6" xfId="13321"/>
    <cellStyle name="Note 3 2 2 6 6 2" xfId="36180"/>
    <cellStyle name="Note 3 2 2 6 7" xfId="23877"/>
    <cellStyle name="Note 3 2 2 7" xfId="1897"/>
    <cellStyle name="Note 3 2 2 7 2" xfId="5412"/>
    <cellStyle name="Note 3 2 2 7 2 2" xfId="17716"/>
    <cellStyle name="Note 3 2 2 7 2 2 2" xfId="40575"/>
    <cellStyle name="Note 3 2 2 7 2 3" xfId="28273"/>
    <cellStyle name="Note 3 2 2 7 3" xfId="8927"/>
    <cellStyle name="Note 3 2 2 7 3 2" xfId="21231"/>
    <cellStyle name="Note 3 2 2 7 3 2 2" xfId="44090"/>
    <cellStyle name="Note 3 2 2 7 3 3" xfId="31788"/>
    <cellStyle name="Note 3 2 2 7 4" xfId="14201"/>
    <cellStyle name="Note 3 2 2 7 4 2" xfId="37060"/>
    <cellStyle name="Note 3 2 2 7 5" xfId="24758"/>
    <cellStyle name="Note 3 2 2 8" xfId="3654"/>
    <cellStyle name="Note 3 2 2 8 2" xfId="15958"/>
    <cellStyle name="Note 3 2 2 8 2 2" xfId="38817"/>
    <cellStyle name="Note 3 2 2 8 3" xfId="26515"/>
    <cellStyle name="Note 3 2 2 9" xfId="7169"/>
    <cellStyle name="Note 3 2 2 9 2" xfId="19473"/>
    <cellStyle name="Note 3 2 2 9 2 2" xfId="42332"/>
    <cellStyle name="Note 3 2 2 9 3" xfId="30030"/>
    <cellStyle name="Note 3 2 3" xfId="159"/>
    <cellStyle name="Note 3 2 3 10" xfId="12471"/>
    <cellStyle name="Note 3 2 3 10 2" xfId="35330"/>
    <cellStyle name="Note 3 2 3 11" xfId="23025"/>
    <cellStyle name="Note 3 2 3 2" xfId="267"/>
    <cellStyle name="Note 3 2 3 2 10" xfId="23132"/>
    <cellStyle name="Note 3 2 3 2 2" xfId="479"/>
    <cellStyle name="Note 3 2 3 2 2 2" xfId="920"/>
    <cellStyle name="Note 3 2 3 2 2 2 2" xfId="1799"/>
    <cellStyle name="Note 3 2 3 2 2 2 2 2" xfId="3560"/>
    <cellStyle name="Note 3 2 3 2 2 2 2 2 2" xfId="7075"/>
    <cellStyle name="Note 3 2 3 2 2 2 2 2 2 2" xfId="19379"/>
    <cellStyle name="Note 3 2 3 2 2 2 2 2 2 2 2" xfId="42238"/>
    <cellStyle name="Note 3 2 3 2 2 2 2 2 2 3" xfId="29936"/>
    <cellStyle name="Note 3 2 3 2 2 2 2 2 3" xfId="10590"/>
    <cellStyle name="Note 3 2 3 2 2 2 2 2 3 2" xfId="22894"/>
    <cellStyle name="Note 3 2 3 2 2 2 2 2 3 2 2" xfId="45753"/>
    <cellStyle name="Note 3 2 3 2 2 2 2 2 3 3" xfId="33451"/>
    <cellStyle name="Note 3 2 3 2 2 2 2 2 4" xfId="15864"/>
    <cellStyle name="Note 3 2 3 2 2 2 2 2 4 2" xfId="38723"/>
    <cellStyle name="Note 3 2 3 2 2 2 2 2 5" xfId="26421"/>
    <cellStyle name="Note 3 2 3 2 2 2 2 3" xfId="5317"/>
    <cellStyle name="Note 3 2 3 2 2 2 2 3 2" xfId="17621"/>
    <cellStyle name="Note 3 2 3 2 2 2 2 3 2 2" xfId="40480"/>
    <cellStyle name="Note 3 2 3 2 2 2 2 3 3" xfId="28178"/>
    <cellStyle name="Note 3 2 3 2 2 2 2 4" xfId="8832"/>
    <cellStyle name="Note 3 2 3 2 2 2 2 4 2" xfId="21136"/>
    <cellStyle name="Note 3 2 3 2 2 2 2 4 2 2" xfId="43995"/>
    <cellStyle name="Note 3 2 3 2 2 2 2 4 3" xfId="31693"/>
    <cellStyle name="Note 3 2 3 2 2 2 2 5" xfId="12347"/>
    <cellStyle name="Note 3 2 3 2 2 2 2 5 2" xfId="35207"/>
    <cellStyle name="Note 3 2 3 2 2 2 2 6" xfId="14106"/>
    <cellStyle name="Note 3 2 3 2 2 2 2 6 2" xfId="36965"/>
    <cellStyle name="Note 3 2 3 2 2 2 2 7" xfId="24662"/>
    <cellStyle name="Note 3 2 3 2 2 2 3" xfId="2682"/>
    <cellStyle name="Note 3 2 3 2 2 2 3 2" xfId="6197"/>
    <cellStyle name="Note 3 2 3 2 2 2 3 2 2" xfId="18501"/>
    <cellStyle name="Note 3 2 3 2 2 2 3 2 2 2" xfId="41360"/>
    <cellStyle name="Note 3 2 3 2 2 2 3 2 3" xfId="29058"/>
    <cellStyle name="Note 3 2 3 2 2 2 3 3" xfId="9712"/>
    <cellStyle name="Note 3 2 3 2 2 2 3 3 2" xfId="22016"/>
    <cellStyle name="Note 3 2 3 2 2 2 3 3 2 2" xfId="44875"/>
    <cellStyle name="Note 3 2 3 2 2 2 3 3 3" xfId="32573"/>
    <cellStyle name="Note 3 2 3 2 2 2 3 4" xfId="14986"/>
    <cellStyle name="Note 3 2 3 2 2 2 3 4 2" xfId="37845"/>
    <cellStyle name="Note 3 2 3 2 2 2 3 5" xfId="25543"/>
    <cellStyle name="Note 3 2 3 2 2 2 4" xfId="4439"/>
    <cellStyle name="Note 3 2 3 2 2 2 4 2" xfId="16743"/>
    <cellStyle name="Note 3 2 3 2 2 2 4 2 2" xfId="39602"/>
    <cellStyle name="Note 3 2 3 2 2 2 4 3" xfId="27300"/>
    <cellStyle name="Note 3 2 3 2 2 2 5" xfId="7954"/>
    <cellStyle name="Note 3 2 3 2 2 2 5 2" xfId="20258"/>
    <cellStyle name="Note 3 2 3 2 2 2 5 2 2" xfId="43117"/>
    <cellStyle name="Note 3 2 3 2 2 2 5 3" xfId="30815"/>
    <cellStyle name="Note 3 2 3 2 2 2 6" xfId="11469"/>
    <cellStyle name="Note 3 2 3 2 2 2 6 2" xfId="34329"/>
    <cellStyle name="Note 3 2 3 2 2 2 7" xfId="13228"/>
    <cellStyle name="Note 3 2 3 2 2 2 7 2" xfId="36087"/>
    <cellStyle name="Note 3 2 3 2 2 2 8" xfId="23784"/>
    <cellStyle name="Note 3 2 3 2 2 3" xfId="1360"/>
    <cellStyle name="Note 3 2 3 2 2 3 2" xfId="3121"/>
    <cellStyle name="Note 3 2 3 2 2 3 2 2" xfId="6636"/>
    <cellStyle name="Note 3 2 3 2 2 3 2 2 2" xfId="18940"/>
    <cellStyle name="Note 3 2 3 2 2 3 2 2 2 2" xfId="41799"/>
    <cellStyle name="Note 3 2 3 2 2 3 2 2 3" xfId="29497"/>
    <cellStyle name="Note 3 2 3 2 2 3 2 3" xfId="10151"/>
    <cellStyle name="Note 3 2 3 2 2 3 2 3 2" xfId="22455"/>
    <cellStyle name="Note 3 2 3 2 2 3 2 3 2 2" xfId="45314"/>
    <cellStyle name="Note 3 2 3 2 2 3 2 3 3" xfId="33012"/>
    <cellStyle name="Note 3 2 3 2 2 3 2 4" xfId="15425"/>
    <cellStyle name="Note 3 2 3 2 2 3 2 4 2" xfId="38284"/>
    <cellStyle name="Note 3 2 3 2 2 3 2 5" xfId="25982"/>
    <cellStyle name="Note 3 2 3 2 2 3 3" xfId="4878"/>
    <cellStyle name="Note 3 2 3 2 2 3 3 2" xfId="17182"/>
    <cellStyle name="Note 3 2 3 2 2 3 3 2 2" xfId="40041"/>
    <cellStyle name="Note 3 2 3 2 2 3 3 3" xfId="27739"/>
    <cellStyle name="Note 3 2 3 2 2 3 4" xfId="8393"/>
    <cellStyle name="Note 3 2 3 2 2 3 4 2" xfId="20697"/>
    <cellStyle name="Note 3 2 3 2 2 3 4 2 2" xfId="43556"/>
    <cellStyle name="Note 3 2 3 2 2 3 4 3" xfId="31254"/>
    <cellStyle name="Note 3 2 3 2 2 3 5" xfId="11908"/>
    <cellStyle name="Note 3 2 3 2 2 3 5 2" xfId="34768"/>
    <cellStyle name="Note 3 2 3 2 2 3 6" xfId="13667"/>
    <cellStyle name="Note 3 2 3 2 2 3 6 2" xfId="36526"/>
    <cellStyle name="Note 3 2 3 2 2 3 7" xfId="24223"/>
    <cellStyle name="Note 3 2 3 2 2 4" xfId="2243"/>
    <cellStyle name="Note 3 2 3 2 2 4 2" xfId="5758"/>
    <cellStyle name="Note 3 2 3 2 2 4 2 2" xfId="18062"/>
    <cellStyle name="Note 3 2 3 2 2 4 2 2 2" xfId="40921"/>
    <cellStyle name="Note 3 2 3 2 2 4 2 3" xfId="28619"/>
    <cellStyle name="Note 3 2 3 2 2 4 3" xfId="9273"/>
    <cellStyle name="Note 3 2 3 2 2 4 3 2" xfId="21577"/>
    <cellStyle name="Note 3 2 3 2 2 4 3 2 2" xfId="44436"/>
    <cellStyle name="Note 3 2 3 2 2 4 3 3" xfId="32134"/>
    <cellStyle name="Note 3 2 3 2 2 4 4" xfId="14547"/>
    <cellStyle name="Note 3 2 3 2 2 4 4 2" xfId="37406"/>
    <cellStyle name="Note 3 2 3 2 2 4 5" xfId="25104"/>
    <cellStyle name="Note 3 2 3 2 2 5" xfId="4000"/>
    <cellStyle name="Note 3 2 3 2 2 5 2" xfId="16304"/>
    <cellStyle name="Note 3 2 3 2 2 5 2 2" xfId="39163"/>
    <cellStyle name="Note 3 2 3 2 2 5 3" xfId="26861"/>
    <cellStyle name="Note 3 2 3 2 2 6" xfId="7515"/>
    <cellStyle name="Note 3 2 3 2 2 6 2" xfId="19819"/>
    <cellStyle name="Note 3 2 3 2 2 6 2 2" xfId="42678"/>
    <cellStyle name="Note 3 2 3 2 2 6 3" xfId="30376"/>
    <cellStyle name="Note 3 2 3 2 2 7" xfId="11030"/>
    <cellStyle name="Note 3 2 3 2 2 7 2" xfId="33890"/>
    <cellStyle name="Note 3 2 3 2 2 8" xfId="12789"/>
    <cellStyle name="Note 3 2 3 2 2 8 2" xfId="35648"/>
    <cellStyle name="Note 3 2 3 2 2 9" xfId="23344"/>
    <cellStyle name="Note 3 2 3 2 3" xfId="708"/>
    <cellStyle name="Note 3 2 3 2 3 2" xfId="1587"/>
    <cellStyle name="Note 3 2 3 2 3 2 2" xfId="3348"/>
    <cellStyle name="Note 3 2 3 2 3 2 2 2" xfId="6863"/>
    <cellStyle name="Note 3 2 3 2 3 2 2 2 2" xfId="19167"/>
    <cellStyle name="Note 3 2 3 2 3 2 2 2 2 2" xfId="42026"/>
    <cellStyle name="Note 3 2 3 2 3 2 2 2 3" xfId="29724"/>
    <cellStyle name="Note 3 2 3 2 3 2 2 3" xfId="10378"/>
    <cellStyle name="Note 3 2 3 2 3 2 2 3 2" xfId="22682"/>
    <cellStyle name="Note 3 2 3 2 3 2 2 3 2 2" xfId="45541"/>
    <cellStyle name="Note 3 2 3 2 3 2 2 3 3" xfId="33239"/>
    <cellStyle name="Note 3 2 3 2 3 2 2 4" xfId="15652"/>
    <cellStyle name="Note 3 2 3 2 3 2 2 4 2" xfId="38511"/>
    <cellStyle name="Note 3 2 3 2 3 2 2 5" xfId="26209"/>
    <cellStyle name="Note 3 2 3 2 3 2 3" xfId="5105"/>
    <cellStyle name="Note 3 2 3 2 3 2 3 2" xfId="17409"/>
    <cellStyle name="Note 3 2 3 2 3 2 3 2 2" xfId="40268"/>
    <cellStyle name="Note 3 2 3 2 3 2 3 3" xfId="27966"/>
    <cellStyle name="Note 3 2 3 2 3 2 4" xfId="8620"/>
    <cellStyle name="Note 3 2 3 2 3 2 4 2" xfId="20924"/>
    <cellStyle name="Note 3 2 3 2 3 2 4 2 2" xfId="43783"/>
    <cellStyle name="Note 3 2 3 2 3 2 4 3" xfId="31481"/>
    <cellStyle name="Note 3 2 3 2 3 2 5" xfId="12135"/>
    <cellStyle name="Note 3 2 3 2 3 2 5 2" xfId="34995"/>
    <cellStyle name="Note 3 2 3 2 3 2 6" xfId="13894"/>
    <cellStyle name="Note 3 2 3 2 3 2 6 2" xfId="36753"/>
    <cellStyle name="Note 3 2 3 2 3 2 7" xfId="24450"/>
    <cellStyle name="Note 3 2 3 2 3 3" xfId="2470"/>
    <cellStyle name="Note 3 2 3 2 3 3 2" xfId="5985"/>
    <cellStyle name="Note 3 2 3 2 3 3 2 2" xfId="18289"/>
    <cellStyle name="Note 3 2 3 2 3 3 2 2 2" xfId="41148"/>
    <cellStyle name="Note 3 2 3 2 3 3 2 3" xfId="28846"/>
    <cellStyle name="Note 3 2 3 2 3 3 3" xfId="9500"/>
    <cellStyle name="Note 3 2 3 2 3 3 3 2" xfId="21804"/>
    <cellStyle name="Note 3 2 3 2 3 3 3 2 2" xfId="44663"/>
    <cellStyle name="Note 3 2 3 2 3 3 3 3" xfId="32361"/>
    <cellStyle name="Note 3 2 3 2 3 3 4" xfId="14774"/>
    <cellStyle name="Note 3 2 3 2 3 3 4 2" xfId="37633"/>
    <cellStyle name="Note 3 2 3 2 3 3 5" xfId="25331"/>
    <cellStyle name="Note 3 2 3 2 3 4" xfId="4227"/>
    <cellStyle name="Note 3 2 3 2 3 4 2" xfId="16531"/>
    <cellStyle name="Note 3 2 3 2 3 4 2 2" xfId="39390"/>
    <cellStyle name="Note 3 2 3 2 3 4 3" xfId="27088"/>
    <cellStyle name="Note 3 2 3 2 3 5" xfId="7742"/>
    <cellStyle name="Note 3 2 3 2 3 5 2" xfId="20046"/>
    <cellStyle name="Note 3 2 3 2 3 5 2 2" xfId="42905"/>
    <cellStyle name="Note 3 2 3 2 3 5 3" xfId="30603"/>
    <cellStyle name="Note 3 2 3 2 3 6" xfId="11257"/>
    <cellStyle name="Note 3 2 3 2 3 6 2" xfId="34117"/>
    <cellStyle name="Note 3 2 3 2 3 7" xfId="13016"/>
    <cellStyle name="Note 3 2 3 2 3 7 2" xfId="35875"/>
    <cellStyle name="Note 3 2 3 2 3 8" xfId="23572"/>
    <cellStyle name="Note 3 2 3 2 4" xfId="1148"/>
    <cellStyle name="Note 3 2 3 2 4 2" xfId="2909"/>
    <cellStyle name="Note 3 2 3 2 4 2 2" xfId="6424"/>
    <cellStyle name="Note 3 2 3 2 4 2 2 2" xfId="18728"/>
    <cellStyle name="Note 3 2 3 2 4 2 2 2 2" xfId="41587"/>
    <cellStyle name="Note 3 2 3 2 4 2 2 3" xfId="29285"/>
    <cellStyle name="Note 3 2 3 2 4 2 3" xfId="9939"/>
    <cellStyle name="Note 3 2 3 2 4 2 3 2" xfId="22243"/>
    <cellStyle name="Note 3 2 3 2 4 2 3 2 2" xfId="45102"/>
    <cellStyle name="Note 3 2 3 2 4 2 3 3" xfId="32800"/>
    <cellStyle name="Note 3 2 3 2 4 2 4" xfId="15213"/>
    <cellStyle name="Note 3 2 3 2 4 2 4 2" xfId="38072"/>
    <cellStyle name="Note 3 2 3 2 4 2 5" xfId="25770"/>
    <cellStyle name="Note 3 2 3 2 4 3" xfId="4666"/>
    <cellStyle name="Note 3 2 3 2 4 3 2" xfId="16970"/>
    <cellStyle name="Note 3 2 3 2 4 3 2 2" xfId="39829"/>
    <cellStyle name="Note 3 2 3 2 4 3 3" xfId="27527"/>
    <cellStyle name="Note 3 2 3 2 4 4" xfId="8181"/>
    <cellStyle name="Note 3 2 3 2 4 4 2" xfId="20485"/>
    <cellStyle name="Note 3 2 3 2 4 4 2 2" xfId="43344"/>
    <cellStyle name="Note 3 2 3 2 4 4 3" xfId="31042"/>
    <cellStyle name="Note 3 2 3 2 4 5" xfId="11696"/>
    <cellStyle name="Note 3 2 3 2 4 5 2" xfId="34556"/>
    <cellStyle name="Note 3 2 3 2 4 6" xfId="13455"/>
    <cellStyle name="Note 3 2 3 2 4 6 2" xfId="36314"/>
    <cellStyle name="Note 3 2 3 2 4 7" xfId="24011"/>
    <cellStyle name="Note 3 2 3 2 5" xfId="2031"/>
    <cellStyle name="Note 3 2 3 2 5 2" xfId="5546"/>
    <cellStyle name="Note 3 2 3 2 5 2 2" xfId="17850"/>
    <cellStyle name="Note 3 2 3 2 5 2 2 2" xfId="40709"/>
    <cellStyle name="Note 3 2 3 2 5 2 3" xfId="28407"/>
    <cellStyle name="Note 3 2 3 2 5 3" xfId="9061"/>
    <cellStyle name="Note 3 2 3 2 5 3 2" xfId="21365"/>
    <cellStyle name="Note 3 2 3 2 5 3 2 2" xfId="44224"/>
    <cellStyle name="Note 3 2 3 2 5 3 3" xfId="31922"/>
    <cellStyle name="Note 3 2 3 2 5 4" xfId="14335"/>
    <cellStyle name="Note 3 2 3 2 5 4 2" xfId="37194"/>
    <cellStyle name="Note 3 2 3 2 5 5" xfId="24892"/>
    <cellStyle name="Note 3 2 3 2 6" xfId="3788"/>
    <cellStyle name="Note 3 2 3 2 6 2" xfId="16092"/>
    <cellStyle name="Note 3 2 3 2 6 2 2" xfId="38951"/>
    <cellStyle name="Note 3 2 3 2 6 3" xfId="26649"/>
    <cellStyle name="Note 3 2 3 2 7" xfId="7303"/>
    <cellStyle name="Note 3 2 3 2 7 2" xfId="19607"/>
    <cellStyle name="Note 3 2 3 2 7 2 2" xfId="42466"/>
    <cellStyle name="Note 3 2 3 2 7 3" xfId="30164"/>
    <cellStyle name="Note 3 2 3 2 8" xfId="10818"/>
    <cellStyle name="Note 3 2 3 2 8 2" xfId="33678"/>
    <cellStyle name="Note 3 2 3 2 9" xfId="12577"/>
    <cellStyle name="Note 3 2 3 2 9 2" xfId="35436"/>
    <cellStyle name="Note 3 2 3 3" xfId="373"/>
    <cellStyle name="Note 3 2 3 3 2" xfId="814"/>
    <cellStyle name="Note 3 2 3 3 2 2" xfId="1693"/>
    <cellStyle name="Note 3 2 3 3 2 2 2" xfId="3454"/>
    <cellStyle name="Note 3 2 3 3 2 2 2 2" xfId="6969"/>
    <cellStyle name="Note 3 2 3 3 2 2 2 2 2" xfId="19273"/>
    <cellStyle name="Note 3 2 3 3 2 2 2 2 2 2" xfId="42132"/>
    <cellStyle name="Note 3 2 3 3 2 2 2 2 3" xfId="29830"/>
    <cellStyle name="Note 3 2 3 3 2 2 2 3" xfId="10484"/>
    <cellStyle name="Note 3 2 3 3 2 2 2 3 2" xfId="22788"/>
    <cellStyle name="Note 3 2 3 3 2 2 2 3 2 2" xfId="45647"/>
    <cellStyle name="Note 3 2 3 3 2 2 2 3 3" xfId="33345"/>
    <cellStyle name="Note 3 2 3 3 2 2 2 4" xfId="15758"/>
    <cellStyle name="Note 3 2 3 3 2 2 2 4 2" xfId="38617"/>
    <cellStyle name="Note 3 2 3 3 2 2 2 5" xfId="26315"/>
    <cellStyle name="Note 3 2 3 3 2 2 3" xfId="5211"/>
    <cellStyle name="Note 3 2 3 3 2 2 3 2" xfId="17515"/>
    <cellStyle name="Note 3 2 3 3 2 2 3 2 2" xfId="40374"/>
    <cellStyle name="Note 3 2 3 3 2 2 3 3" xfId="28072"/>
    <cellStyle name="Note 3 2 3 3 2 2 4" xfId="8726"/>
    <cellStyle name="Note 3 2 3 3 2 2 4 2" xfId="21030"/>
    <cellStyle name="Note 3 2 3 3 2 2 4 2 2" xfId="43889"/>
    <cellStyle name="Note 3 2 3 3 2 2 4 3" xfId="31587"/>
    <cellStyle name="Note 3 2 3 3 2 2 5" xfId="12241"/>
    <cellStyle name="Note 3 2 3 3 2 2 5 2" xfId="35101"/>
    <cellStyle name="Note 3 2 3 3 2 2 6" xfId="14000"/>
    <cellStyle name="Note 3 2 3 3 2 2 6 2" xfId="36859"/>
    <cellStyle name="Note 3 2 3 3 2 2 7" xfId="24556"/>
    <cellStyle name="Note 3 2 3 3 2 3" xfId="2576"/>
    <cellStyle name="Note 3 2 3 3 2 3 2" xfId="6091"/>
    <cellStyle name="Note 3 2 3 3 2 3 2 2" xfId="18395"/>
    <cellStyle name="Note 3 2 3 3 2 3 2 2 2" xfId="41254"/>
    <cellStyle name="Note 3 2 3 3 2 3 2 3" xfId="28952"/>
    <cellStyle name="Note 3 2 3 3 2 3 3" xfId="9606"/>
    <cellStyle name="Note 3 2 3 3 2 3 3 2" xfId="21910"/>
    <cellStyle name="Note 3 2 3 3 2 3 3 2 2" xfId="44769"/>
    <cellStyle name="Note 3 2 3 3 2 3 3 3" xfId="32467"/>
    <cellStyle name="Note 3 2 3 3 2 3 4" xfId="14880"/>
    <cellStyle name="Note 3 2 3 3 2 3 4 2" xfId="37739"/>
    <cellStyle name="Note 3 2 3 3 2 3 5" xfId="25437"/>
    <cellStyle name="Note 3 2 3 3 2 4" xfId="4333"/>
    <cellStyle name="Note 3 2 3 3 2 4 2" xfId="16637"/>
    <cellStyle name="Note 3 2 3 3 2 4 2 2" xfId="39496"/>
    <cellStyle name="Note 3 2 3 3 2 4 3" xfId="27194"/>
    <cellStyle name="Note 3 2 3 3 2 5" xfId="7848"/>
    <cellStyle name="Note 3 2 3 3 2 5 2" xfId="20152"/>
    <cellStyle name="Note 3 2 3 3 2 5 2 2" xfId="43011"/>
    <cellStyle name="Note 3 2 3 3 2 5 3" xfId="30709"/>
    <cellStyle name="Note 3 2 3 3 2 6" xfId="11363"/>
    <cellStyle name="Note 3 2 3 3 2 6 2" xfId="34223"/>
    <cellStyle name="Note 3 2 3 3 2 7" xfId="13122"/>
    <cellStyle name="Note 3 2 3 3 2 7 2" xfId="35981"/>
    <cellStyle name="Note 3 2 3 3 2 8" xfId="23678"/>
    <cellStyle name="Note 3 2 3 3 3" xfId="1254"/>
    <cellStyle name="Note 3 2 3 3 3 2" xfId="3015"/>
    <cellStyle name="Note 3 2 3 3 3 2 2" xfId="6530"/>
    <cellStyle name="Note 3 2 3 3 3 2 2 2" xfId="18834"/>
    <cellStyle name="Note 3 2 3 3 3 2 2 2 2" xfId="41693"/>
    <cellStyle name="Note 3 2 3 3 3 2 2 3" xfId="29391"/>
    <cellStyle name="Note 3 2 3 3 3 2 3" xfId="10045"/>
    <cellStyle name="Note 3 2 3 3 3 2 3 2" xfId="22349"/>
    <cellStyle name="Note 3 2 3 3 3 2 3 2 2" xfId="45208"/>
    <cellStyle name="Note 3 2 3 3 3 2 3 3" xfId="32906"/>
    <cellStyle name="Note 3 2 3 3 3 2 4" xfId="15319"/>
    <cellStyle name="Note 3 2 3 3 3 2 4 2" xfId="38178"/>
    <cellStyle name="Note 3 2 3 3 3 2 5" xfId="25876"/>
    <cellStyle name="Note 3 2 3 3 3 3" xfId="4772"/>
    <cellStyle name="Note 3 2 3 3 3 3 2" xfId="17076"/>
    <cellStyle name="Note 3 2 3 3 3 3 2 2" xfId="39935"/>
    <cellStyle name="Note 3 2 3 3 3 3 3" xfId="27633"/>
    <cellStyle name="Note 3 2 3 3 3 4" xfId="8287"/>
    <cellStyle name="Note 3 2 3 3 3 4 2" xfId="20591"/>
    <cellStyle name="Note 3 2 3 3 3 4 2 2" xfId="43450"/>
    <cellStyle name="Note 3 2 3 3 3 4 3" xfId="31148"/>
    <cellStyle name="Note 3 2 3 3 3 5" xfId="11802"/>
    <cellStyle name="Note 3 2 3 3 3 5 2" xfId="34662"/>
    <cellStyle name="Note 3 2 3 3 3 6" xfId="13561"/>
    <cellStyle name="Note 3 2 3 3 3 6 2" xfId="36420"/>
    <cellStyle name="Note 3 2 3 3 3 7" xfId="24117"/>
    <cellStyle name="Note 3 2 3 3 4" xfId="2137"/>
    <cellStyle name="Note 3 2 3 3 4 2" xfId="5652"/>
    <cellStyle name="Note 3 2 3 3 4 2 2" xfId="17956"/>
    <cellStyle name="Note 3 2 3 3 4 2 2 2" xfId="40815"/>
    <cellStyle name="Note 3 2 3 3 4 2 3" xfId="28513"/>
    <cellStyle name="Note 3 2 3 3 4 3" xfId="9167"/>
    <cellStyle name="Note 3 2 3 3 4 3 2" xfId="21471"/>
    <cellStyle name="Note 3 2 3 3 4 3 2 2" xfId="44330"/>
    <cellStyle name="Note 3 2 3 3 4 3 3" xfId="32028"/>
    <cellStyle name="Note 3 2 3 3 4 4" xfId="14441"/>
    <cellStyle name="Note 3 2 3 3 4 4 2" xfId="37300"/>
    <cellStyle name="Note 3 2 3 3 4 5" xfId="24998"/>
    <cellStyle name="Note 3 2 3 3 5" xfId="3894"/>
    <cellStyle name="Note 3 2 3 3 5 2" xfId="16198"/>
    <cellStyle name="Note 3 2 3 3 5 2 2" xfId="39057"/>
    <cellStyle name="Note 3 2 3 3 5 3" xfId="26755"/>
    <cellStyle name="Note 3 2 3 3 6" xfId="7409"/>
    <cellStyle name="Note 3 2 3 3 6 2" xfId="19713"/>
    <cellStyle name="Note 3 2 3 3 6 2 2" xfId="42572"/>
    <cellStyle name="Note 3 2 3 3 6 3" xfId="30270"/>
    <cellStyle name="Note 3 2 3 3 7" xfId="10924"/>
    <cellStyle name="Note 3 2 3 3 7 2" xfId="33784"/>
    <cellStyle name="Note 3 2 3 3 8" xfId="12683"/>
    <cellStyle name="Note 3 2 3 3 8 2" xfId="35542"/>
    <cellStyle name="Note 3 2 3 3 9" xfId="23238"/>
    <cellStyle name="Note 3 2 3 4" xfId="602"/>
    <cellStyle name="Note 3 2 3 4 2" xfId="1481"/>
    <cellStyle name="Note 3 2 3 4 2 2" xfId="3242"/>
    <cellStyle name="Note 3 2 3 4 2 2 2" xfId="6757"/>
    <cellStyle name="Note 3 2 3 4 2 2 2 2" xfId="19061"/>
    <cellStyle name="Note 3 2 3 4 2 2 2 2 2" xfId="41920"/>
    <cellStyle name="Note 3 2 3 4 2 2 2 3" xfId="29618"/>
    <cellStyle name="Note 3 2 3 4 2 2 3" xfId="10272"/>
    <cellStyle name="Note 3 2 3 4 2 2 3 2" xfId="22576"/>
    <cellStyle name="Note 3 2 3 4 2 2 3 2 2" xfId="45435"/>
    <cellStyle name="Note 3 2 3 4 2 2 3 3" xfId="33133"/>
    <cellStyle name="Note 3 2 3 4 2 2 4" xfId="15546"/>
    <cellStyle name="Note 3 2 3 4 2 2 4 2" xfId="38405"/>
    <cellStyle name="Note 3 2 3 4 2 2 5" xfId="26103"/>
    <cellStyle name="Note 3 2 3 4 2 3" xfId="4999"/>
    <cellStyle name="Note 3 2 3 4 2 3 2" xfId="17303"/>
    <cellStyle name="Note 3 2 3 4 2 3 2 2" xfId="40162"/>
    <cellStyle name="Note 3 2 3 4 2 3 3" xfId="27860"/>
    <cellStyle name="Note 3 2 3 4 2 4" xfId="8514"/>
    <cellStyle name="Note 3 2 3 4 2 4 2" xfId="20818"/>
    <cellStyle name="Note 3 2 3 4 2 4 2 2" xfId="43677"/>
    <cellStyle name="Note 3 2 3 4 2 4 3" xfId="31375"/>
    <cellStyle name="Note 3 2 3 4 2 5" xfId="12029"/>
    <cellStyle name="Note 3 2 3 4 2 5 2" xfId="34889"/>
    <cellStyle name="Note 3 2 3 4 2 6" xfId="13788"/>
    <cellStyle name="Note 3 2 3 4 2 6 2" xfId="36647"/>
    <cellStyle name="Note 3 2 3 4 2 7" xfId="24344"/>
    <cellStyle name="Note 3 2 3 4 3" xfId="2364"/>
    <cellStyle name="Note 3 2 3 4 3 2" xfId="5879"/>
    <cellStyle name="Note 3 2 3 4 3 2 2" xfId="18183"/>
    <cellStyle name="Note 3 2 3 4 3 2 2 2" xfId="41042"/>
    <cellStyle name="Note 3 2 3 4 3 2 3" xfId="28740"/>
    <cellStyle name="Note 3 2 3 4 3 3" xfId="9394"/>
    <cellStyle name="Note 3 2 3 4 3 3 2" xfId="21698"/>
    <cellStyle name="Note 3 2 3 4 3 3 2 2" xfId="44557"/>
    <cellStyle name="Note 3 2 3 4 3 3 3" xfId="32255"/>
    <cellStyle name="Note 3 2 3 4 3 4" xfId="14668"/>
    <cellStyle name="Note 3 2 3 4 3 4 2" xfId="37527"/>
    <cellStyle name="Note 3 2 3 4 3 5" xfId="25225"/>
    <cellStyle name="Note 3 2 3 4 4" xfId="4121"/>
    <cellStyle name="Note 3 2 3 4 4 2" xfId="16425"/>
    <cellStyle name="Note 3 2 3 4 4 2 2" xfId="39284"/>
    <cellStyle name="Note 3 2 3 4 4 3" xfId="26982"/>
    <cellStyle name="Note 3 2 3 4 5" xfId="7636"/>
    <cellStyle name="Note 3 2 3 4 5 2" xfId="19940"/>
    <cellStyle name="Note 3 2 3 4 5 2 2" xfId="42799"/>
    <cellStyle name="Note 3 2 3 4 5 3" xfId="30497"/>
    <cellStyle name="Note 3 2 3 4 6" xfId="11151"/>
    <cellStyle name="Note 3 2 3 4 6 2" xfId="34011"/>
    <cellStyle name="Note 3 2 3 4 7" xfId="12910"/>
    <cellStyle name="Note 3 2 3 4 7 2" xfId="35769"/>
    <cellStyle name="Note 3 2 3 4 8" xfId="23466"/>
    <cellStyle name="Note 3 2 3 5" xfId="1042"/>
    <cellStyle name="Note 3 2 3 5 2" xfId="2803"/>
    <cellStyle name="Note 3 2 3 5 2 2" xfId="6318"/>
    <cellStyle name="Note 3 2 3 5 2 2 2" xfId="18622"/>
    <cellStyle name="Note 3 2 3 5 2 2 2 2" xfId="41481"/>
    <cellStyle name="Note 3 2 3 5 2 2 3" xfId="29179"/>
    <cellStyle name="Note 3 2 3 5 2 3" xfId="9833"/>
    <cellStyle name="Note 3 2 3 5 2 3 2" xfId="22137"/>
    <cellStyle name="Note 3 2 3 5 2 3 2 2" xfId="44996"/>
    <cellStyle name="Note 3 2 3 5 2 3 3" xfId="32694"/>
    <cellStyle name="Note 3 2 3 5 2 4" xfId="15107"/>
    <cellStyle name="Note 3 2 3 5 2 4 2" xfId="37966"/>
    <cellStyle name="Note 3 2 3 5 2 5" xfId="25664"/>
    <cellStyle name="Note 3 2 3 5 3" xfId="4560"/>
    <cellStyle name="Note 3 2 3 5 3 2" xfId="16864"/>
    <cellStyle name="Note 3 2 3 5 3 2 2" xfId="39723"/>
    <cellStyle name="Note 3 2 3 5 3 3" xfId="27421"/>
    <cellStyle name="Note 3 2 3 5 4" xfId="8075"/>
    <cellStyle name="Note 3 2 3 5 4 2" xfId="20379"/>
    <cellStyle name="Note 3 2 3 5 4 2 2" xfId="43238"/>
    <cellStyle name="Note 3 2 3 5 4 3" xfId="30936"/>
    <cellStyle name="Note 3 2 3 5 5" xfId="11590"/>
    <cellStyle name="Note 3 2 3 5 5 2" xfId="34450"/>
    <cellStyle name="Note 3 2 3 5 6" xfId="13349"/>
    <cellStyle name="Note 3 2 3 5 6 2" xfId="36208"/>
    <cellStyle name="Note 3 2 3 5 7" xfId="23905"/>
    <cellStyle name="Note 3 2 3 6" xfId="1925"/>
    <cellStyle name="Note 3 2 3 6 2" xfId="5440"/>
    <cellStyle name="Note 3 2 3 6 2 2" xfId="17744"/>
    <cellStyle name="Note 3 2 3 6 2 2 2" xfId="40603"/>
    <cellStyle name="Note 3 2 3 6 2 3" xfId="28301"/>
    <cellStyle name="Note 3 2 3 6 3" xfId="8955"/>
    <cellStyle name="Note 3 2 3 6 3 2" xfId="21259"/>
    <cellStyle name="Note 3 2 3 6 3 2 2" xfId="44118"/>
    <cellStyle name="Note 3 2 3 6 3 3" xfId="31816"/>
    <cellStyle name="Note 3 2 3 6 4" xfId="14229"/>
    <cellStyle name="Note 3 2 3 6 4 2" xfId="37088"/>
    <cellStyle name="Note 3 2 3 6 5" xfId="24786"/>
    <cellStyle name="Note 3 2 3 7" xfId="3682"/>
    <cellStyle name="Note 3 2 3 7 2" xfId="15986"/>
    <cellStyle name="Note 3 2 3 7 2 2" xfId="38845"/>
    <cellStyle name="Note 3 2 3 7 3" xfId="26543"/>
    <cellStyle name="Note 3 2 3 8" xfId="7197"/>
    <cellStyle name="Note 3 2 3 8 2" xfId="19501"/>
    <cellStyle name="Note 3 2 3 8 2 2" xfId="42360"/>
    <cellStyle name="Note 3 2 3 8 3" xfId="30058"/>
    <cellStyle name="Note 3 2 3 9" xfId="10712"/>
    <cellStyle name="Note 3 2 3 9 2" xfId="33572"/>
    <cellStyle name="Note 3 2 4" xfId="213"/>
    <cellStyle name="Note 3 2 4 10" xfId="23078"/>
    <cellStyle name="Note 3 2 4 2" xfId="425"/>
    <cellStyle name="Note 3 2 4 2 2" xfId="866"/>
    <cellStyle name="Note 3 2 4 2 2 2" xfId="1745"/>
    <cellStyle name="Note 3 2 4 2 2 2 2" xfId="3506"/>
    <cellStyle name="Note 3 2 4 2 2 2 2 2" xfId="7021"/>
    <cellStyle name="Note 3 2 4 2 2 2 2 2 2" xfId="19325"/>
    <cellStyle name="Note 3 2 4 2 2 2 2 2 2 2" xfId="42184"/>
    <cellStyle name="Note 3 2 4 2 2 2 2 2 3" xfId="29882"/>
    <cellStyle name="Note 3 2 4 2 2 2 2 3" xfId="10536"/>
    <cellStyle name="Note 3 2 4 2 2 2 2 3 2" xfId="22840"/>
    <cellStyle name="Note 3 2 4 2 2 2 2 3 2 2" xfId="45699"/>
    <cellStyle name="Note 3 2 4 2 2 2 2 3 3" xfId="33397"/>
    <cellStyle name="Note 3 2 4 2 2 2 2 4" xfId="15810"/>
    <cellStyle name="Note 3 2 4 2 2 2 2 4 2" xfId="38669"/>
    <cellStyle name="Note 3 2 4 2 2 2 2 5" xfId="26367"/>
    <cellStyle name="Note 3 2 4 2 2 2 3" xfId="5263"/>
    <cellStyle name="Note 3 2 4 2 2 2 3 2" xfId="17567"/>
    <cellStyle name="Note 3 2 4 2 2 2 3 2 2" xfId="40426"/>
    <cellStyle name="Note 3 2 4 2 2 2 3 3" xfId="28124"/>
    <cellStyle name="Note 3 2 4 2 2 2 4" xfId="8778"/>
    <cellStyle name="Note 3 2 4 2 2 2 4 2" xfId="21082"/>
    <cellStyle name="Note 3 2 4 2 2 2 4 2 2" xfId="43941"/>
    <cellStyle name="Note 3 2 4 2 2 2 4 3" xfId="31639"/>
    <cellStyle name="Note 3 2 4 2 2 2 5" xfId="12293"/>
    <cellStyle name="Note 3 2 4 2 2 2 5 2" xfId="35153"/>
    <cellStyle name="Note 3 2 4 2 2 2 6" xfId="14052"/>
    <cellStyle name="Note 3 2 4 2 2 2 6 2" xfId="36911"/>
    <cellStyle name="Note 3 2 4 2 2 2 7" xfId="24608"/>
    <cellStyle name="Note 3 2 4 2 2 3" xfId="2628"/>
    <cellStyle name="Note 3 2 4 2 2 3 2" xfId="6143"/>
    <cellStyle name="Note 3 2 4 2 2 3 2 2" xfId="18447"/>
    <cellStyle name="Note 3 2 4 2 2 3 2 2 2" xfId="41306"/>
    <cellStyle name="Note 3 2 4 2 2 3 2 3" xfId="29004"/>
    <cellStyle name="Note 3 2 4 2 2 3 3" xfId="9658"/>
    <cellStyle name="Note 3 2 4 2 2 3 3 2" xfId="21962"/>
    <cellStyle name="Note 3 2 4 2 2 3 3 2 2" xfId="44821"/>
    <cellStyle name="Note 3 2 4 2 2 3 3 3" xfId="32519"/>
    <cellStyle name="Note 3 2 4 2 2 3 4" xfId="14932"/>
    <cellStyle name="Note 3 2 4 2 2 3 4 2" xfId="37791"/>
    <cellStyle name="Note 3 2 4 2 2 3 5" xfId="25489"/>
    <cellStyle name="Note 3 2 4 2 2 4" xfId="4385"/>
    <cellStyle name="Note 3 2 4 2 2 4 2" xfId="16689"/>
    <cellStyle name="Note 3 2 4 2 2 4 2 2" xfId="39548"/>
    <cellStyle name="Note 3 2 4 2 2 4 3" xfId="27246"/>
    <cellStyle name="Note 3 2 4 2 2 5" xfId="7900"/>
    <cellStyle name="Note 3 2 4 2 2 5 2" xfId="20204"/>
    <cellStyle name="Note 3 2 4 2 2 5 2 2" xfId="43063"/>
    <cellStyle name="Note 3 2 4 2 2 5 3" xfId="30761"/>
    <cellStyle name="Note 3 2 4 2 2 6" xfId="11415"/>
    <cellStyle name="Note 3 2 4 2 2 6 2" xfId="34275"/>
    <cellStyle name="Note 3 2 4 2 2 7" xfId="13174"/>
    <cellStyle name="Note 3 2 4 2 2 7 2" xfId="36033"/>
    <cellStyle name="Note 3 2 4 2 2 8" xfId="23730"/>
    <cellStyle name="Note 3 2 4 2 3" xfId="1306"/>
    <cellStyle name="Note 3 2 4 2 3 2" xfId="3067"/>
    <cellStyle name="Note 3 2 4 2 3 2 2" xfId="6582"/>
    <cellStyle name="Note 3 2 4 2 3 2 2 2" xfId="18886"/>
    <cellStyle name="Note 3 2 4 2 3 2 2 2 2" xfId="41745"/>
    <cellStyle name="Note 3 2 4 2 3 2 2 3" xfId="29443"/>
    <cellStyle name="Note 3 2 4 2 3 2 3" xfId="10097"/>
    <cellStyle name="Note 3 2 4 2 3 2 3 2" xfId="22401"/>
    <cellStyle name="Note 3 2 4 2 3 2 3 2 2" xfId="45260"/>
    <cellStyle name="Note 3 2 4 2 3 2 3 3" xfId="32958"/>
    <cellStyle name="Note 3 2 4 2 3 2 4" xfId="15371"/>
    <cellStyle name="Note 3 2 4 2 3 2 4 2" xfId="38230"/>
    <cellStyle name="Note 3 2 4 2 3 2 5" xfId="25928"/>
    <cellStyle name="Note 3 2 4 2 3 3" xfId="4824"/>
    <cellStyle name="Note 3 2 4 2 3 3 2" xfId="17128"/>
    <cellStyle name="Note 3 2 4 2 3 3 2 2" xfId="39987"/>
    <cellStyle name="Note 3 2 4 2 3 3 3" xfId="27685"/>
    <cellStyle name="Note 3 2 4 2 3 4" xfId="8339"/>
    <cellStyle name="Note 3 2 4 2 3 4 2" xfId="20643"/>
    <cellStyle name="Note 3 2 4 2 3 4 2 2" xfId="43502"/>
    <cellStyle name="Note 3 2 4 2 3 4 3" xfId="31200"/>
    <cellStyle name="Note 3 2 4 2 3 5" xfId="11854"/>
    <cellStyle name="Note 3 2 4 2 3 5 2" xfId="34714"/>
    <cellStyle name="Note 3 2 4 2 3 6" xfId="13613"/>
    <cellStyle name="Note 3 2 4 2 3 6 2" xfId="36472"/>
    <cellStyle name="Note 3 2 4 2 3 7" xfId="24169"/>
    <cellStyle name="Note 3 2 4 2 4" xfId="2189"/>
    <cellStyle name="Note 3 2 4 2 4 2" xfId="5704"/>
    <cellStyle name="Note 3 2 4 2 4 2 2" xfId="18008"/>
    <cellStyle name="Note 3 2 4 2 4 2 2 2" xfId="40867"/>
    <cellStyle name="Note 3 2 4 2 4 2 3" xfId="28565"/>
    <cellStyle name="Note 3 2 4 2 4 3" xfId="9219"/>
    <cellStyle name="Note 3 2 4 2 4 3 2" xfId="21523"/>
    <cellStyle name="Note 3 2 4 2 4 3 2 2" xfId="44382"/>
    <cellStyle name="Note 3 2 4 2 4 3 3" xfId="32080"/>
    <cellStyle name="Note 3 2 4 2 4 4" xfId="14493"/>
    <cellStyle name="Note 3 2 4 2 4 4 2" xfId="37352"/>
    <cellStyle name="Note 3 2 4 2 4 5" xfId="25050"/>
    <cellStyle name="Note 3 2 4 2 5" xfId="3946"/>
    <cellStyle name="Note 3 2 4 2 5 2" xfId="16250"/>
    <cellStyle name="Note 3 2 4 2 5 2 2" xfId="39109"/>
    <cellStyle name="Note 3 2 4 2 5 3" xfId="26807"/>
    <cellStyle name="Note 3 2 4 2 6" xfId="7461"/>
    <cellStyle name="Note 3 2 4 2 6 2" xfId="19765"/>
    <cellStyle name="Note 3 2 4 2 6 2 2" xfId="42624"/>
    <cellStyle name="Note 3 2 4 2 6 3" xfId="30322"/>
    <cellStyle name="Note 3 2 4 2 7" xfId="10976"/>
    <cellStyle name="Note 3 2 4 2 7 2" xfId="33836"/>
    <cellStyle name="Note 3 2 4 2 8" xfId="12735"/>
    <cellStyle name="Note 3 2 4 2 8 2" xfId="35594"/>
    <cellStyle name="Note 3 2 4 2 9" xfId="23290"/>
    <cellStyle name="Note 3 2 4 3" xfId="654"/>
    <cellStyle name="Note 3 2 4 3 2" xfId="1533"/>
    <cellStyle name="Note 3 2 4 3 2 2" xfId="3294"/>
    <cellStyle name="Note 3 2 4 3 2 2 2" xfId="6809"/>
    <cellStyle name="Note 3 2 4 3 2 2 2 2" xfId="19113"/>
    <cellStyle name="Note 3 2 4 3 2 2 2 2 2" xfId="41972"/>
    <cellStyle name="Note 3 2 4 3 2 2 2 3" xfId="29670"/>
    <cellStyle name="Note 3 2 4 3 2 2 3" xfId="10324"/>
    <cellStyle name="Note 3 2 4 3 2 2 3 2" xfId="22628"/>
    <cellStyle name="Note 3 2 4 3 2 2 3 2 2" xfId="45487"/>
    <cellStyle name="Note 3 2 4 3 2 2 3 3" xfId="33185"/>
    <cellStyle name="Note 3 2 4 3 2 2 4" xfId="15598"/>
    <cellStyle name="Note 3 2 4 3 2 2 4 2" xfId="38457"/>
    <cellStyle name="Note 3 2 4 3 2 2 5" xfId="26155"/>
    <cellStyle name="Note 3 2 4 3 2 3" xfId="5051"/>
    <cellStyle name="Note 3 2 4 3 2 3 2" xfId="17355"/>
    <cellStyle name="Note 3 2 4 3 2 3 2 2" xfId="40214"/>
    <cellStyle name="Note 3 2 4 3 2 3 3" xfId="27912"/>
    <cellStyle name="Note 3 2 4 3 2 4" xfId="8566"/>
    <cellStyle name="Note 3 2 4 3 2 4 2" xfId="20870"/>
    <cellStyle name="Note 3 2 4 3 2 4 2 2" xfId="43729"/>
    <cellStyle name="Note 3 2 4 3 2 4 3" xfId="31427"/>
    <cellStyle name="Note 3 2 4 3 2 5" xfId="12081"/>
    <cellStyle name="Note 3 2 4 3 2 5 2" xfId="34941"/>
    <cellStyle name="Note 3 2 4 3 2 6" xfId="13840"/>
    <cellStyle name="Note 3 2 4 3 2 6 2" xfId="36699"/>
    <cellStyle name="Note 3 2 4 3 2 7" xfId="24396"/>
    <cellStyle name="Note 3 2 4 3 3" xfId="2416"/>
    <cellStyle name="Note 3 2 4 3 3 2" xfId="5931"/>
    <cellStyle name="Note 3 2 4 3 3 2 2" xfId="18235"/>
    <cellStyle name="Note 3 2 4 3 3 2 2 2" xfId="41094"/>
    <cellStyle name="Note 3 2 4 3 3 2 3" xfId="28792"/>
    <cellStyle name="Note 3 2 4 3 3 3" xfId="9446"/>
    <cellStyle name="Note 3 2 4 3 3 3 2" xfId="21750"/>
    <cellStyle name="Note 3 2 4 3 3 3 2 2" xfId="44609"/>
    <cellStyle name="Note 3 2 4 3 3 3 3" xfId="32307"/>
    <cellStyle name="Note 3 2 4 3 3 4" xfId="14720"/>
    <cellStyle name="Note 3 2 4 3 3 4 2" xfId="37579"/>
    <cellStyle name="Note 3 2 4 3 3 5" xfId="25277"/>
    <cellStyle name="Note 3 2 4 3 4" xfId="4173"/>
    <cellStyle name="Note 3 2 4 3 4 2" xfId="16477"/>
    <cellStyle name="Note 3 2 4 3 4 2 2" xfId="39336"/>
    <cellStyle name="Note 3 2 4 3 4 3" xfId="27034"/>
    <cellStyle name="Note 3 2 4 3 5" xfId="7688"/>
    <cellStyle name="Note 3 2 4 3 5 2" xfId="19992"/>
    <cellStyle name="Note 3 2 4 3 5 2 2" xfId="42851"/>
    <cellStyle name="Note 3 2 4 3 5 3" xfId="30549"/>
    <cellStyle name="Note 3 2 4 3 6" xfId="11203"/>
    <cellStyle name="Note 3 2 4 3 6 2" xfId="34063"/>
    <cellStyle name="Note 3 2 4 3 7" xfId="12962"/>
    <cellStyle name="Note 3 2 4 3 7 2" xfId="35821"/>
    <cellStyle name="Note 3 2 4 3 8" xfId="23518"/>
    <cellStyle name="Note 3 2 4 4" xfId="1094"/>
    <cellStyle name="Note 3 2 4 4 2" xfId="2855"/>
    <cellStyle name="Note 3 2 4 4 2 2" xfId="6370"/>
    <cellStyle name="Note 3 2 4 4 2 2 2" xfId="18674"/>
    <cellStyle name="Note 3 2 4 4 2 2 2 2" xfId="41533"/>
    <cellStyle name="Note 3 2 4 4 2 2 3" xfId="29231"/>
    <cellStyle name="Note 3 2 4 4 2 3" xfId="9885"/>
    <cellStyle name="Note 3 2 4 4 2 3 2" xfId="22189"/>
    <cellStyle name="Note 3 2 4 4 2 3 2 2" xfId="45048"/>
    <cellStyle name="Note 3 2 4 4 2 3 3" xfId="32746"/>
    <cellStyle name="Note 3 2 4 4 2 4" xfId="15159"/>
    <cellStyle name="Note 3 2 4 4 2 4 2" xfId="38018"/>
    <cellStyle name="Note 3 2 4 4 2 5" xfId="25716"/>
    <cellStyle name="Note 3 2 4 4 3" xfId="4612"/>
    <cellStyle name="Note 3 2 4 4 3 2" xfId="16916"/>
    <cellStyle name="Note 3 2 4 4 3 2 2" xfId="39775"/>
    <cellStyle name="Note 3 2 4 4 3 3" xfId="27473"/>
    <cellStyle name="Note 3 2 4 4 4" xfId="8127"/>
    <cellStyle name="Note 3 2 4 4 4 2" xfId="20431"/>
    <cellStyle name="Note 3 2 4 4 4 2 2" xfId="43290"/>
    <cellStyle name="Note 3 2 4 4 4 3" xfId="30988"/>
    <cellStyle name="Note 3 2 4 4 5" xfId="11642"/>
    <cellStyle name="Note 3 2 4 4 5 2" xfId="34502"/>
    <cellStyle name="Note 3 2 4 4 6" xfId="13401"/>
    <cellStyle name="Note 3 2 4 4 6 2" xfId="36260"/>
    <cellStyle name="Note 3 2 4 4 7" xfId="23957"/>
    <cellStyle name="Note 3 2 4 5" xfId="1977"/>
    <cellStyle name="Note 3 2 4 5 2" xfId="5492"/>
    <cellStyle name="Note 3 2 4 5 2 2" xfId="17796"/>
    <cellStyle name="Note 3 2 4 5 2 2 2" xfId="40655"/>
    <cellStyle name="Note 3 2 4 5 2 3" xfId="28353"/>
    <cellStyle name="Note 3 2 4 5 3" xfId="9007"/>
    <cellStyle name="Note 3 2 4 5 3 2" xfId="21311"/>
    <cellStyle name="Note 3 2 4 5 3 2 2" xfId="44170"/>
    <cellStyle name="Note 3 2 4 5 3 3" xfId="31868"/>
    <cellStyle name="Note 3 2 4 5 4" xfId="14281"/>
    <cellStyle name="Note 3 2 4 5 4 2" xfId="37140"/>
    <cellStyle name="Note 3 2 4 5 5" xfId="24838"/>
    <cellStyle name="Note 3 2 4 6" xfId="3734"/>
    <cellStyle name="Note 3 2 4 6 2" xfId="16038"/>
    <cellStyle name="Note 3 2 4 6 2 2" xfId="38897"/>
    <cellStyle name="Note 3 2 4 6 3" xfId="26595"/>
    <cellStyle name="Note 3 2 4 7" xfId="7249"/>
    <cellStyle name="Note 3 2 4 7 2" xfId="19553"/>
    <cellStyle name="Note 3 2 4 7 2 2" xfId="42412"/>
    <cellStyle name="Note 3 2 4 7 3" xfId="30110"/>
    <cellStyle name="Note 3 2 4 8" xfId="10764"/>
    <cellStyle name="Note 3 2 4 8 2" xfId="33624"/>
    <cellStyle name="Note 3 2 4 9" xfId="12523"/>
    <cellStyle name="Note 3 2 4 9 2" xfId="35382"/>
    <cellStyle name="Note 3 2 5" xfId="319"/>
    <cellStyle name="Note 3 2 5 2" xfId="760"/>
    <cellStyle name="Note 3 2 5 2 2" xfId="1639"/>
    <cellStyle name="Note 3 2 5 2 2 2" xfId="3400"/>
    <cellStyle name="Note 3 2 5 2 2 2 2" xfId="6915"/>
    <cellStyle name="Note 3 2 5 2 2 2 2 2" xfId="19219"/>
    <cellStyle name="Note 3 2 5 2 2 2 2 2 2" xfId="42078"/>
    <cellStyle name="Note 3 2 5 2 2 2 2 3" xfId="29776"/>
    <cellStyle name="Note 3 2 5 2 2 2 3" xfId="10430"/>
    <cellStyle name="Note 3 2 5 2 2 2 3 2" xfId="22734"/>
    <cellStyle name="Note 3 2 5 2 2 2 3 2 2" xfId="45593"/>
    <cellStyle name="Note 3 2 5 2 2 2 3 3" xfId="33291"/>
    <cellStyle name="Note 3 2 5 2 2 2 4" xfId="15704"/>
    <cellStyle name="Note 3 2 5 2 2 2 4 2" xfId="38563"/>
    <cellStyle name="Note 3 2 5 2 2 2 5" xfId="26261"/>
    <cellStyle name="Note 3 2 5 2 2 3" xfId="5157"/>
    <cellStyle name="Note 3 2 5 2 2 3 2" xfId="17461"/>
    <cellStyle name="Note 3 2 5 2 2 3 2 2" xfId="40320"/>
    <cellStyle name="Note 3 2 5 2 2 3 3" xfId="28018"/>
    <cellStyle name="Note 3 2 5 2 2 4" xfId="8672"/>
    <cellStyle name="Note 3 2 5 2 2 4 2" xfId="20976"/>
    <cellStyle name="Note 3 2 5 2 2 4 2 2" xfId="43835"/>
    <cellStyle name="Note 3 2 5 2 2 4 3" xfId="31533"/>
    <cellStyle name="Note 3 2 5 2 2 5" xfId="12187"/>
    <cellStyle name="Note 3 2 5 2 2 5 2" xfId="35047"/>
    <cellStyle name="Note 3 2 5 2 2 6" xfId="13946"/>
    <cellStyle name="Note 3 2 5 2 2 6 2" xfId="36805"/>
    <cellStyle name="Note 3 2 5 2 2 7" xfId="24502"/>
    <cellStyle name="Note 3 2 5 2 3" xfId="2522"/>
    <cellStyle name="Note 3 2 5 2 3 2" xfId="6037"/>
    <cellStyle name="Note 3 2 5 2 3 2 2" xfId="18341"/>
    <cellStyle name="Note 3 2 5 2 3 2 2 2" xfId="41200"/>
    <cellStyle name="Note 3 2 5 2 3 2 3" xfId="28898"/>
    <cellStyle name="Note 3 2 5 2 3 3" xfId="9552"/>
    <cellStyle name="Note 3 2 5 2 3 3 2" xfId="21856"/>
    <cellStyle name="Note 3 2 5 2 3 3 2 2" xfId="44715"/>
    <cellStyle name="Note 3 2 5 2 3 3 3" xfId="32413"/>
    <cellStyle name="Note 3 2 5 2 3 4" xfId="14826"/>
    <cellStyle name="Note 3 2 5 2 3 4 2" xfId="37685"/>
    <cellStyle name="Note 3 2 5 2 3 5" xfId="25383"/>
    <cellStyle name="Note 3 2 5 2 4" xfId="4279"/>
    <cellStyle name="Note 3 2 5 2 4 2" xfId="16583"/>
    <cellStyle name="Note 3 2 5 2 4 2 2" xfId="39442"/>
    <cellStyle name="Note 3 2 5 2 4 3" xfId="27140"/>
    <cellStyle name="Note 3 2 5 2 5" xfId="7794"/>
    <cellStyle name="Note 3 2 5 2 5 2" xfId="20098"/>
    <cellStyle name="Note 3 2 5 2 5 2 2" xfId="42957"/>
    <cellStyle name="Note 3 2 5 2 5 3" xfId="30655"/>
    <cellStyle name="Note 3 2 5 2 6" xfId="11309"/>
    <cellStyle name="Note 3 2 5 2 6 2" xfId="34169"/>
    <cellStyle name="Note 3 2 5 2 7" xfId="13068"/>
    <cellStyle name="Note 3 2 5 2 7 2" xfId="35927"/>
    <cellStyle name="Note 3 2 5 2 8" xfId="23624"/>
    <cellStyle name="Note 3 2 5 3" xfId="1200"/>
    <cellStyle name="Note 3 2 5 3 2" xfId="2961"/>
    <cellStyle name="Note 3 2 5 3 2 2" xfId="6476"/>
    <cellStyle name="Note 3 2 5 3 2 2 2" xfId="18780"/>
    <cellStyle name="Note 3 2 5 3 2 2 2 2" xfId="41639"/>
    <cellStyle name="Note 3 2 5 3 2 2 3" xfId="29337"/>
    <cellStyle name="Note 3 2 5 3 2 3" xfId="9991"/>
    <cellStyle name="Note 3 2 5 3 2 3 2" xfId="22295"/>
    <cellStyle name="Note 3 2 5 3 2 3 2 2" xfId="45154"/>
    <cellStyle name="Note 3 2 5 3 2 3 3" xfId="32852"/>
    <cellStyle name="Note 3 2 5 3 2 4" xfId="15265"/>
    <cellStyle name="Note 3 2 5 3 2 4 2" xfId="38124"/>
    <cellStyle name="Note 3 2 5 3 2 5" xfId="25822"/>
    <cellStyle name="Note 3 2 5 3 3" xfId="4718"/>
    <cellStyle name="Note 3 2 5 3 3 2" xfId="17022"/>
    <cellStyle name="Note 3 2 5 3 3 2 2" xfId="39881"/>
    <cellStyle name="Note 3 2 5 3 3 3" xfId="27579"/>
    <cellStyle name="Note 3 2 5 3 4" xfId="8233"/>
    <cellStyle name="Note 3 2 5 3 4 2" xfId="20537"/>
    <cellStyle name="Note 3 2 5 3 4 2 2" xfId="43396"/>
    <cellStyle name="Note 3 2 5 3 4 3" xfId="31094"/>
    <cellStyle name="Note 3 2 5 3 5" xfId="11748"/>
    <cellStyle name="Note 3 2 5 3 5 2" xfId="34608"/>
    <cellStyle name="Note 3 2 5 3 6" xfId="13507"/>
    <cellStyle name="Note 3 2 5 3 6 2" xfId="36366"/>
    <cellStyle name="Note 3 2 5 3 7" xfId="24063"/>
    <cellStyle name="Note 3 2 5 4" xfId="2083"/>
    <cellStyle name="Note 3 2 5 4 2" xfId="5598"/>
    <cellStyle name="Note 3 2 5 4 2 2" xfId="17902"/>
    <cellStyle name="Note 3 2 5 4 2 2 2" xfId="40761"/>
    <cellStyle name="Note 3 2 5 4 2 3" xfId="28459"/>
    <cellStyle name="Note 3 2 5 4 3" xfId="9113"/>
    <cellStyle name="Note 3 2 5 4 3 2" xfId="21417"/>
    <cellStyle name="Note 3 2 5 4 3 2 2" xfId="44276"/>
    <cellStyle name="Note 3 2 5 4 3 3" xfId="31974"/>
    <cellStyle name="Note 3 2 5 4 4" xfId="14387"/>
    <cellStyle name="Note 3 2 5 4 4 2" xfId="37246"/>
    <cellStyle name="Note 3 2 5 4 5" xfId="24944"/>
    <cellStyle name="Note 3 2 5 5" xfId="3840"/>
    <cellStyle name="Note 3 2 5 5 2" xfId="16144"/>
    <cellStyle name="Note 3 2 5 5 2 2" xfId="39003"/>
    <cellStyle name="Note 3 2 5 5 3" xfId="26701"/>
    <cellStyle name="Note 3 2 5 6" xfId="7355"/>
    <cellStyle name="Note 3 2 5 6 2" xfId="19659"/>
    <cellStyle name="Note 3 2 5 6 2 2" xfId="42518"/>
    <cellStyle name="Note 3 2 5 6 3" xfId="30216"/>
    <cellStyle name="Note 3 2 5 7" xfId="10870"/>
    <cellStyle name="Note 3 2 5 7 2" xfId="33730"/>
    <cellStyle name="Note 3 2 5 8" xfId="12629"/>
    <cellStyle name="Note 3 2 5 8 2" xfId="35488"/>
    <cellStyle name="Note 3 2 5 9" xfId="23184"/>
    <cellStyle name="Note 3 2 6" xfId="548"/>
    <cellStyle name="Note 3 2 6 2" xfId="1427"/>
    <cellStyle name="Note 3 2 6 2 2" xfId="3188"/>
    <cellStyle name="Note 3 2 6 2 2 2" xfId="6703"/>
    <cellStyle name="Note 3 2 6 2 2 2 2" xfId="19007"/>
    <cellStyle name="Note 3 2 6 2 2 2 2 2" xfId="41866"/>
    <cellStyle name="Note 3 2 6 2 2 2 3" xfId="29564"/>
    <cellStyle name="Note 3 2 6 2 2 3" xfId="10218"/>
    <cellStyle name="Note 3 2 6 2 2 3 2" xfId="22522"/>
    <cellStyle name="Note 3 2 6 2 2 3 2 2" xfId="45381"/>
    <cellStyle name="Note 3 2 6 2 2 3 3" xfId="33079"/>
    <cellStyle name="Note 3 2 6 2 2 4" xfId="15492"/>
    <cellStyle name="Note 3 2 6 2 2 4 2" xfId="38351"/>
    <cellStyle name="Note 3 2 6 2 2 5" xfId="26049"/>
    <cellStyle name="Note 3 2 6 2 3" xfId="4945"/>
    <cellStyle name="Note 3 2 6 2 3 2" xfId="17249"/>
    <cellStyle name="Note 3 2 6 2 3 2 2" xfId="40108"/>
    <cellStyle name="Note 3 2 6 2 3 3" xfId="27806"/>
    <cellStyle name="Note 3 2 6 2 4" xfId="8460"/>
    <cellStyle name="Note 3 2 6 2 4 2" xfId="20764"/>
    <cellStyle name="Note 3 2 6 2 4 2 2" xfId="43623"/>
    <cellStyle name="Note 3 2 6 2 4 3" xfId="31321"/>
    <cellStyle name="Note 3 2 6 2 5" xfId="11975"/>
    <cellStyle name="Note 3 2 6 2 5 2" xfId="34835"/>
    <cellStyle name="Note 3 2 6 2 6" xfId="13734"/>
    <cellStyle name="Note 3 2 6 2 6 2" xfId="36593"/>
    <cellStyle name="Note 3 2 6 2 7" xfId="24290"/>
    <cellStyle name="Note 3 2 6 3" xfId="2310"/>
    <cellStyle name="Note 3 2 6 3 2" xfId="5825"/>
    <cellStyle name="Note 3 2 6 3 2 2" xfId="18129"/>
    <cellStyle name="Note 3 2 6 3 2 2 2" xfId="40988"/>
    <cellStyle name="Note 3 2 6 3 2 3" xfId="28686"/>
    <cellStyle name="Note 3 2 6 3 3" xfId="9340"/>
    <cellStyle name="Note 3 2 6 3 3 2" xfId="21644"/>
    <cellStyle name="Note 3 2 6 3 3 2 2" xfId="44503"/>
    <cellStyle name="Note 3 2 6 3 3 3" xfId="32201"/>
    <cellStyle name="Note 3 2 6 3 4" xfId="14614"/>
    <cellStyle name="Note 3 2 6 3 4 2" xfId="37473"/>
    <cellStyle name="Note 3 2 6 3 5" xfId="25171"/>
    <cellStyle name="Note 3 2 6 4" xfId="4067"/>
    <cellStyle name="Note 3 2 6 4 2" xfId="16371"/>
    <cellStyle name="Note 3 2 6 4 2 2" xfId="39230"/>
    <cellStyle name="Note 3 2 6 4 3" xfId="26928"/>
    <cellStyle name="Note 3 2 6 5" xfId="7582"/>
    <cellStyle name="Note 3 2 6 5 2" xfId="19886"/>
    <cellStyle name="Note 3 2 6 5 2 2" xfId="42745"/>
    <cellStyle name="Note 3 2 6 5 3" xfId="30443"/>
    <cellStyle name="Note 3 2 6 6" xfId="11097"/>
    <cellStyle name="Note 3 2 6 6 2" xfId="33957"/>
    <cellStyle name="Note 3 2 6 7" xfId="12856"/>
    <cellStyle name="Note 3 2 6 7 2" xfId="35715"/>
    <cellStyle name="Note 3 2 6 8" xfId="23412"/>
    <cellStyle name="Note 3 2 7" xfId="988"/>
    <cellStyle name="Note 3 2 7 2" xfId="2749"/>
    <cellStyle name="Note 3 2 7 2 2" xfId="6264"/>
    <cellStyle name="Note 3 2 7 2 2 2" xfId="18568"/>
    <cellStyle name="Note 3 2 7 2 2 2 2" xfId="41427"/>
    <cellStyle name="Note 3 2 7 2 2 3" xfId="29125"/>
    <cellStyle name="Note 3 2 7 2 3" xfId="9779"/>
    <cellStyle name="Note 3 2 7 2 3 2" xfId="22083"/>
    <cellStyle name="Note 3 2 7 2 3 2 2" xfId="44942"/>
    <cellStyle name="Note 3 2 7 2 3 3" xfId="32640"/>
    <cellStyle name="Note 3 2 7 2 4" xfId="15053"/>
    <cellStyle name="Note 3 2 7 2 4 2" xfId="37912"/>
    <cellStyle name="Note 3 2 7 2 5" xfId="25610"/>
    <cellStyle name="Note 3 2 7 3" xfId="4506"/>
    <cellStyle name="Note 3 2 7 3 2" xfId="16810"/>
    <cellStyle name="Note 3 2 7 3 2 2" xfId="39669"/>
    <cellStyle name="Note 3 2 7 3 3" xfId="27367"/>
    <cellStyle name="Note 3 2 7 4" xfId="8021"/>
    <cellStyle name="Note 3 2 7 4 2" xfId="20325"/>
    <cellStyle name="Note 3 2 7 4 2 2" xfId="43184"/>
    <cellStyle name="Note 3 2 7 4 3" xfId="30882"/>
    <cellStyle name="Note 3 2 7 5" xfId="11536"/>
    <cellStyle name="Note 3 2 7 5 2" xfId="34396"/>
    <cellStyle name="Note 3 2 7 6" xfId="13295"/>
    <cellStyle name="Note 3 2 7 6 2" xfId="36154"/>
    <cellStyle name="Note 3 2 7 7" xfId="23851"/>
    <cellStyle name="Note 3 2 8" xfId="1871"/>
    <cellStyle name="Note 3 2 8 2" xfId="5386"/>
    <cellStyle name="Note 3 2 8 2 2" xfId="17690"/>
    <cellStyle name="Note 3 2 8 2 2 2" xfId="40549"/>
    <cellStyle name="Note 3 2 8 2 3" xfId="28247"/>
    <cellStyle name="Note 3 2 8 3" xfId="8901"/>
    <cellStyle name="Note 3 2 8 3 2" xfId="21205"/>
    <cellStyle name="Note 3 2 8 3 2 2" xfId="44064"/>
    <cellStyle name="Note 3 2 8 3 3" xfId="31762"/>
    <cellStyle name="Note 3 2 8 4" xfId="14175"/>
    <cellStyle name="Note 3 2 8 4 2" xfId="37034"/>
    <cellStyle name="Note 3 2 8 5" xfId="24732"/>
    <cellStyle name="Note 3 2 9" xfId="3628"/>
    <cellStyle name="Note 3 2 9 2" xfId="15932"/>
    <cellStyle name="Note 3 2 9 2 2" xfId="38791"/>
    <cellStyle name="Note 3 2 9 3" xfId="26489"/>
    <cellStyle name="Note 3 3" xfId="123"/>
    <cellStyle name="Note 3 3 10" xfId="10676"/>
    <cellStyle name="Note 3 3 10 2" xfId="33536"/>
    <cellStyle name="Note 3 3 11" xfId="12435"/>
    <cellStyle name="Note 3 3 11 2" xfId="35294"/>
    <cellStyle name="Note 3 3 12" xfId="22989"/>
    <cellStyle name="Note 3 3 2" xfId="177"/>
    <cellStyle name="Note 3 3 2 10" xfId="12489"/>
    <cellStyle name="Note 3 3 2 10 2" xfId="35348"/>
    <cellStyle name="Note 3 3 2 11" xfId="23043"/>
    <cellStyle name="Note 3 3 2 2" xfId="285"/>
    <cellStyle name="Note 3 3 2 2 10" xfId="23150"/>
    <cellStyle name="Note 3 3 2 2 2" xfId="497"/>
    <cellStyle name="Note 3 3 2 2 2 2" xfId="938"/>
    <cellStyle name="Note 3 3 2 2 2 2 2" xfId="1817"/>
    <cellStyle name="Note 3 3 2 2 2 2 2 2" xfId="3578"/>
    <cellStyle name="Note 3 3 2 2 2 2 2 2 2" xfId="7093"/>
    <cellStyle name="Note 3 3 2 2 2 2 2 2 2 2" xfId="19397"/>
    <cellStyle name="Note 3 3 2 2 2 2 2 2 2 2 2" xfId="42256"/>
    <cellStyle name="Note 3 3 2 2 2 2 2 2 2 3" xfId="29954"/>
    <cellStyle name="Note 3 3 2 2 2 2 2 2 3" xfId="10608"/>
    <cellStyle name="Note 3 3 2 2 2 2 2 2 3 2" xfId="22912"/>
    <cellStyle name="Note 3 3 2 2 2 2 2 2 3 2 2" xfId="45771"/>
    <cellStyle name="Note 3 3 2 2 2 2 2 2 3 3" xfId="33469"/>
    <cellStyle name="Note 3 3 2 2 2 2 2 2 4" xfId="15882"/>
    <cellStyle name="Note 3 3 2 2 2 2 2 2 4 2" xfId="38741"/>
    <cellStyle name="Note 3 3 2 2 2 2 2 2 5" xfId="26439"/>
    <cellStyle name="Note 3 3 2 2 2 2 2 3" xfId="5335"/>
    <cellStyle name="Note 3 3 2 2 2 2 2 3 2" xfId="17639"/>
    <cellStyle name="Note 3 3 2 2 2 2 2 3 2 2" xfId="40498"/>
    <cellStyle name="Note 3 3 2 2 2 2 2 3 3" xfId="28196"/>
    <cellStyle name="Note 3 3 2 2 2 2 2 4" xfId="8850"/>
    <cellStyle name="Note 3 3 2 2 2 2 2 4 2" xfId="21154"/>
    <cellStyle name="Note 3 3 2 2 2 2 2 4 2 2" xfId="44013"/>
    <cellStyle name="Note 3 3 2 2 2 2 2 4 3" xfId="31711"/>
    <cellStyle name="Note 3 3 2 2 2 2 2 5" xfId="12365"/>
    <cellStyle name="Note 3 3 2 2 2 2 2 5 2" xfId="35225"/>
    <cellStyle name="Note 3 3 2 2 2 2 2 6" xfId="14124"/>
    <cellStyle name="Note 3 3 2 2 2 2 2 6 2" xfId="36983"/>
    <cellStyle name="Note 3 3 2 2 2 2 2 7" xfId="24680"/>
    <cellStyle name="Note 3 3 2 2 2 2 3" xfId="2700"/>
    <cellStyle name="Note 3 3 2 2 2 2 3 2" xfId="6215"/>
    <cellStyle name="Note 3 3 2 2 2 2 3 2 2" xfId="18519"/>
    <cellStyle name="Note 3 3 2 2 2 2 3 2 2 2" xfId="41378"/>
    <cellStyle name="Note 3 3 2 2 2 2 3 2 3" xfId="29076"/>
    <cellStyle name="Note 3 3 2 2 2 2 3 3" xfId="9730"/>
    <cellStyle name="Note 3 3 2 2 2 2 3 3 2" xfId="22034"/>
    <cellStyle name="Note 3 3 2 2 2 2 3 3 2 2" xfId="44893"/>
    <cellStyle name="Note 3 3 2 2 2 2 3 3 3" xfId="32591"/>
    <cellStyle name="Note 3 3 2 2 2 2 3 4" xfId="15004"/>
    <cellStyle name="Note 3 3 2 2 2 2 3 4 2" xfId="37863"/>
    <cellStyle name="Note 3 3 2 2 2 2 3 5" xfId="25561"/>
    <cellStyle name="Note 3 3 2 2 2 2 4" xfId="4457"/>
    <cellStyle name="Note 3 3 2 2 2 2 4 2" xfId="16761"/>
    <cellStyle name="Note 3 3 2 2 2 2 4 2 2" xfId="39620"/>
    <cellStyle name="Note 3 3 2 2 2 2 4 3" xfId="27318"/>
    <cellStyle name="Note 3 3 2 2 2 2 5" xfId="7972"/>
    <cellStyle name="Note 3 3 2 2 2 2 5 2" xfId="20276"/>
    <cellStyle name="Note 3 3 2 2 2 2 5 2 2" xfId="43135"/>
    <cellStyle name="Note 3 3 2 2 2 2 5 3" xfId="30833"/>
    <cellStyle name="Note 3 3 2 2 2 2 6" xfId="11487"/>
    <cellStyle name="Note 3 3 2 2 2 2 6 2" xfId="34347"/>
    <cellStyle name="Note 3 3 2 2 2 2 7" xfId="13246"/>
    <cellStyle name="Note 3 3 2 2 2 2 7 2" xfId="36105"/>
    <cellStyle name="Note 3 3 2 2 2 2 8" xfId="23802"/>
    <cellStyle name="Note 3 3 2 2 2 3" xfId="1378"/>
    <cellStyle name="Note 3 3 2 2 2 3 2" xfId="3139"/>
    <cellStyle name="Note 3 3 2 2 2 3 2 2" xfId="6654"/>
    <cellStyle name="Note 3 3 2 2 2 3 2 2 2" xfId="18958"/>
    <cellStyle name="Note 3 3 2 2 2 3 2 2 2 2" xfId="41817"/>
    <cellStyle name="Note 3 3 2 2 2 3 2 2 3" xfId="29515"/>
    <cellStyle name="Note 3 3 2 2 2 3 2 3" xfId="10169"/>
    <cellStyle name="Note 3 3 2 2 2 3 2 3 2" xfId="22473"/>
    <cellStyle name="Note 3 3 2 2 2 3 2 3 2 2" xfId="45332"/>
    <cellStyle name="Note 3 3 2 2 2 3 2 3 3" xfId="33030"/>
    <cellStyle name="Note 3 3 2 2 2 3 2 4" xfId="15443"/>
    <cellStyle name="Note 3 3 2 2 2 3 2 4 2" xfId="38302"/>
    <cellStyle name="Note 3 3 2 2 2 3 2 5" xfId="26000"/>
    <cellStyle name="Note 3 3 2 2 2 3 3" xfId="4896"/>
    <cellStyle name="Note 3 3 2 2 2 3 3 2" xfId="17200"/>
    <cellStyle name="Note 3 3 2 2 2 3 3 2 2" xfId="40059"/>
    <cellStyle name="Note 3 3 2 2 2 3 3 3" xfId="27757"/>
    <cellStyle name="Note 3 3 2 2 2 3 4" xfId="8411"/>
    <cellStyle name="Note 3 3 2 2 2 3 4 2" xfId="20715"/>
    <cellStyle name="Note 3 3 2 2 2 3 4 2 2" xfId="43574"/>
    <cellStyle name="Note 3 3 2 2 2 3 4 3" xfId="31272"/>
    <cellStyle name="Note 3 3 2 2 2 3 5" xfId="11926"/>
    <cellStyle name="Note 3 3 2 2 2 3 5 2" xfId="34786"/>
    <cellStyle name="Note 3 3 2 2 2 3 6" xfId="13685"/>
    <cellStyle name="Note 3 3 2 2 2 3 6 2" xfId="36544"/>
    <cellStyle name="Note 3 3 2 2 2 3 7" xfId="24241"/>
    <cellStyle name="Note 3 3 2 2 2 4" xfId="2261"/>
    <cellStyle name="Note 3 3 2 2 2 4 2" xfId="5776"/>
    <cellStyle name="Note 3 3 2 2 2 4 2 2" xfId="18080"/>
    <cellStyle name="Note 3 3 2 2 2 4 2 2 2" xfId="40939"/>
    <cellStyle name="Note 3 3 2 2 2 4 2 3" xfId="28637"/>
    <cellStyle name="Note 3 3 2 2 2 4 3" xfId="9291"/>
    <cellStyle name="Note 3 3 2 2 2 4 3 2" xfId="21595"/>
    <cellStyle name="Note 3 3 2 2 2 4 3 2 2" xfId="44454"/>
    <cellStyle name="Note 3 3 2 2 2 4 3 3" xfId="32152"/>
    <cellStyle name="Note 3 3 2 2 2 4 4" xfId="14565"/>
    <cellStyle name="Note 3 3 2 2 2 4 4 2" xfId="37424"/>
    <cellStyle name="Note 3 3 2 2 2 4 5" xfId="25122"/>
    <cellStyle name="Note 3 3 2 2 2 5" xfId="4018"/>
    <cellStyle name="Note 3 3 2 2 2 5 2" xfId="16322"/>
    <cellStyle name="Note 3 3 2 2 2 5 2 2" xfId="39181"/>
    <cellStyle name="Note 3 3 2 2 2 5 3" xfId="26879"/>
    <cellStyle name="Note 3 3 2 2 2 6" xfId="7533"/>
    <cellStyle name="Note 3 3 2 2 2 6 2" xfId="19837"/>
    <cellStyle name="Note 3 3 2 2 2 6 2 2" xfId="42696"/>
    <cellStyle name="Note 3 3 2 2 2 6 3" xfId="30394"/>
    <cellStyle name="Note 3 3 2 2 2 7" xfId="11048"/>
    <cellStyle name="Note 3 3 2 2 2 7 2" xfId="33908"/>
    <cellStyle name="Note 3 3 2 2 2 8" xfId="12807"/>
    <cellStyle name="Note 3 3 2 2 2 8 2" xfId="35666"/>
    <cellStyle name="Note 3 3 2 2 2 9" xfId="23362"/>
    <cellStyle name="Note 3 3 2 2 3" xfId="726"/>
    <cellStyle name="Note 3 3 2 2 3 2" xfId="1605"/>
    <cellStyle name="Note 3 3 2 2 3 2 2" xfId="3366"/>
    <cellStyle name="Note 3 3 2 2 3 2 2 2" xfId="6881"/>
    <cellStyle name="Note 3 3 2 2 3 2 2 2 2" xfId="19185"/>
    <cellStyle name="Note 3 3 2 2 3 2 2 2 2 2" xfId="42044"/>
    <cellStyle name="Note 3 3 2 2 3 2 2 2 3" xfId="29742"/>
    <cellStyle name="Note 3 3 2 2 3 2 2 3" xfId="10396"/>
    <cellStyle name="Note 3 3 2 2 3 2 2 3 2" xfId="22700"/>
    <cellStyle name="Note 3 3 2 2 3 2 2 3 2 2" xfId="45559"/>
    <cellStyle name="Note 3 3 2 2 3 2 2 3 3" xfId="33257"/>
    <cellStyle name="Note 3 3 2 2 3 2 2 4" xfId="15670"/>
    <cellStyle name="Note 3 3 2 2 3 2 2 4 2" xfId="38529"/>
    <cellStyle name="Note 3 3 2 2 3 2 2 5" xfId="26227"/>
    <cellStyle name="Note 3 3 2 2 3 2 3" xfId="5123"/>
    <cellStyle name="Note 3 3 2 2 3 2 3 2" xfId="17427"/>
    <cellStyle name="Note 3 3 2 2 3 2 3 2 2" xfId="40286"/>
    <cellStyle name="Note 3 3 2 2 3 2 3 3" xfId="27984"/>
    <cellStyle name="Note 3 3 2 2 3 2 4" xfId="8638"/>
    <cellStyle name="Note 3 3 2 2 3 2 4 2" xfId="20942"/>
    <cellStyle name="Note 3 3 2 2 3 2 4 2 2" xfId="43801"/>
    <cellStyle name="Note 3 3 2 2 3 2 4 3" xfId="31499"/>
    <cellStyle name="Note 3 3 2 2 3 2 5" xfId="12153"/>
    <cellStyle name="Note 3 3 2 2 3 2 5 2" xfId="35013"/>
    <cellStyle name="Note 3 3 2 2 3 2 6" xfId="13912"/>
    <cellStyle name="Note 3 3 2 2 3 2 6 2" xfId="36771"/>
    <cellStyle name="Note 3 3 2 2 3 2 7" xfId="24468"/>
    <cellStyle name="Note 3 3 2 2 3 3" xfId="2488"/>
    <cellStyle name="Note 3 3 2 2 3 3 2" xfId="6003"/>
    <cellStyle name="Note 3 3 2 2 3 3 2 2" xfId="18307"/>
    <cellStyle name="Note 3 3 2 2 3 3 2 2 2" xfId="41166"/>
    <cellStyle name="Note 3 3 2 2 3 3 2 3" xfId="28864"/>
    <cellStyle name="Note 3 3 2 2 3 3 3" xfId="9518"/>
    <cellStyle name="Note 3 3 2 2 3 3 3 2" xfId="21822"/>
    <cellStyle name="Note 3 3 2 2 3 3 3 2 2" xfId="44681"/>
    <cellStyle name="Note 3 3 2 2 3 3 3 3" xfId="32379"/>
    <cellStyle name="Note 3 3 2 2 3 3 4" xfId="14792"/>
    <cellStyle name="Note 3 3 2 2 3 3 4 2" xfId="37651"/>
    <cellStyle name="Note 3 3 2 2 3 3 5" xfId="25349"/>
    <cellStyle name="Note 3 3 2 2 3 4" xfId="4245"/>
    <cellStyle name="Note 3 3 2 2 3 4 2" xfId="16549"/>
    <cellStyle name="Note 3 3 2 2 3 4 2 2" xfId="39408"/>
    <cellStyle name="Note 3 3 2 2 3 4 3" xfId="27106"/>
    <cellStyle name="Note 3 3 2 2 3 5" xfId="7760"/>
    <cellStyle name="Note 3 3 2 2 3 5 2" xfId="20064"/>
    <cellStyle name="Note 3 3 2 2 3 5 2 2" xfId="42923"/>
    <cellStyle name="Note 3 3 2 2 3 5 3" xfId="30621"/>
    <cellStyle name="Note 3 3 2 2 3 6" xfId="11275"/>
    <cellStyle name="Note 3 3 2 2 3 6 2" xfId="34135"/>
    <cellStyle name="Note 3 3 2 2 3 7" xfId="13034"/>
    <cellStyle name="Note 3 3 2 2 3 7 2" xfId="35893"/>
    <cellStyle name="Note 3 3 2 2 3 8" xfId="23590"/>
    <cellStyle name="Note 3 3 2 2 4" xfId="1166"/>
    <cellStyle name="Note 3 3 2 2 4 2" xfId="2927"/>
    <cellStyle name="Note 3 3 2 2 4 2 2" xfId="6442"/>
    <cellStyle name="Note 3 3 2 2 4 2 2 2" xfId="18746"/>
    <cellStyle name="Note 3 3 2 2 4 2 2 2 2" xfId="41605"/>
    <cellStyle name="Note 3 3 2 2 4 2 2 3" xfId="29303"/>
    <cellStyle name="Note 3 3 2 2 4 2 3" xfId="9957"/>
    <cellStyle name="Note 3 3 2 2 4 2 3 2" xfId="22261"/>
    <cellStyle name="Note 3 3 2 2 4 2 3 2 2" xfId="45120"/>
    <cellStyle name="Note 3 3 2 2 4 2 3 3" xfId="32818"/>
    <cellStyle name="Note 3 3 2 2 4 2 4" xfId="15231"/>
    <cellStyle name="Note 3 3 2 2 4 2 4 2" xfId="38090"/>
    <cellStyle name="Note 3 3 2 2 4 2 5" xfId="25788"/>
    <cellStyle name="Note 3 3 2 2 4 3" xfId="4684"/>
    <cellStyle name="Note 3 3 2 2 4 3 2" xfId="16988"/>
    <cellStyle name="Note 3 3 2 2 4 3 2 2" xfId="39847"/>
    <cellStyle name="Note 3 3 2 2 4 3 3" xfId="27545"/>
    <cellStyle name="Note 3 3 2 2 4 4" xfId="8199"/>
    <cellStyle name="Note 3 3 2 2 4 4 2" xfId="20503"/>
    <cellStyle name="Note 3 3 2 2 4 4 2 2" xfId="43362"/>
    <cellStyle name="Note 3 3 2 2 4 4 3" xfId="31060"/>
    <cellStyle name="Note 3 3 2 2 4 5" xfId="11714"/>
    <cellStyle name="Note 3 3 2 2 4 5 2" xfId="34574"/>
    <cellStyle name="Note 3 3 2 2 4 6" xfId="13473"/>
    <cellStyle name="Note 3 3 2 2 4 6 2" xfId="36332"/>
    <cellStyle name="Note 3 3 2 2 4 7" xfId="24029"/>
    <cellStyle name="Note 3 3 2 2 5" xfId="2049"/>
    <cellStyle name="Note 3 3 2 2 5 2" xfId="5564"/>
    <cellStyle name="Note 3 3 2 2 5 2 2" xfId="17868"/>
    <cellStyle name="Note 3 3 2 2 5 2 2 2" xfId="40727"/>
    <cellStyle name="Note 3 3 2 2 5 2 3" xfId="28425"/>
    <cellStyle name="Note 3 3 2 2 5 3" xfId="9079"/>
    <cellStyle name="Note 3 3 2 2 5 3 2" xfId="21383"/>
    <cellStyle name="Note 3 3 2 2 5 3 2 2" xfId="44242"/>
    <cellStyle name="Note 3 3 2 2 5 3 3" xfId="31940"/>
    <cellStyle name="Note 3 3 2 2 5 4" xfId="14353"/>
    <cellStyle name="Note 3 3 2 2 5 4 2" xfId="37212"/>
    <cellStyle name="Note 3 3 2 2 5 5" xfId="24910"/>
    <cellStyle name="Note 3 3 2 2 6" xfId="3806"/>
    <cellStyle name="Note 3 3 2 2 6 2" xfId="16110"/>
    <cellStyle name="Note 3 3 2 2 6 2 2" xfId="38969"/>
    <cellStyle name="Note 3 3 2 2 6 3" xfId="26667"/>
    <cellStyle name="Note 3 3 2 2 7" xfId="7321"/>
    <cellStyle name="Note 3 3 2 2 7 2" xfId="19625"/>
    <cellStyle name="Note 3 3 2 2 7 2 2" xfId="42484"/>
    <cellStyle name="Note 3 3 2 2 7 3" xfId="30182"/>
    <cellStyle name="Note 3 3 2 2 8" xfId="10836"/>
    <cellStyle name="Note 3 3 2 2 8 2" xfId="33696"/>
    <cellStyle name="Note 3 3 2 2 9" xfId="12595"/>
    <cellStyle name="Note 3 3 2 2 9 2" xfId="35454"/>
    <cellStyle name="Note 3 3 2 3" xfId="391"/>
    <cellStyle name="Note 3 3 2 3 2" xfId="832"/>
    <cellStyle name="Note 3 3 2 3 2 2" xfId="1711"/>
    <cellStyle name="Note 3 3 2 3 2 2 2" xfId="3472"/>
    <cellStyle name="Note 3 3 2 3 2 2 2 2" xfId="6987"/>
    <cellStyle name="Note 3 3 2 3 2 2 2 2 2" xfId="19291"/>
    <cellStyle name="Note 3 3 2 3 2 2 2 2 2 2" xfId="42150"/>
    <cellStyle name="Note 3 3 2 3 2 2 2 2 3" xfId="29848"/>
    <cellStyle name="Note 3 3 2 3 2 2 2 3" xfId="10502"/>
    <cellStyle name="Note 3 3 2 3 2 2 2 3 2" xfId="22806"/>
    <cellStyle name="Note 3 3 2 3 2 2 2 3 2 2" xfId="45665"/>
    <cellStyle name="Note 3 3 2 3 2 2 2 3 3" xfId="33363"/>
    <cellStyle name="Note 3 3 2 3 2 2 2 4" xfId="15776"/>
    <cellStyle name="Note 3 3 2 3 2 2 2 4 2" xfId="38635"/>
    <cellStyle name="Note 3 3 2 3 2 2 2 5" xfId="26333"/>
    <cellStyle name="Note 3 3 2 3 2 2 3" xfId="5229"/>
    <cellStyle name="Note 3 3 2 3 2 2 3 2" xfId="17533"/>
    <cellStyle name="Note 3 3 2 3 2 2 3 2 2" xfId="40392"/>
    <cellStyle name="Note 3 3 2 3 2 2 3 3" xfId="28090"/>
    <cellStyle name="Note 3 3 2 3 2 2 4" xfId="8744"/>
    <cellStyle name="Note 3 3 2 3 2 2 4 2" xfId="21048"/>
    <cellStyle name="Note 3 3 2 3 2 2 4 2 2" xfId="43907"/>
    <cellStyle name="Note 3 3 2 3 2 2 4 3" xfId="31605"/>
    <cellStyle name="Note 3 3 2 3 2 2 5" xfId="12259"/>
    <cellStyle name="Note 3 3 2 3 2 2 5 2" xfId="35119"/>
    <cellStyle name="Note 3 3 2 3 2 2 6" xfId="14018"/>
    <cellStyle name="Note 3 3 2 3 2 2 6 2" xfId="36877"/>
    <cellStyle name="Note 3 3 2 3 2 2 7" xfId="24574"/>
    <cellStyle name="Note 3 3 2 3 2 3" xfId="2594"/>
    <cellStyle name="Note 3 3 2 3 2 3 2" xfId="6109"/>
    <cellStyle name="Note 3 3 2 3 2 3 2 2" xfId="18413"/>
    <cellStyle name="Note 3 3 2 3 2 3 2 2 2" xfId="41272"/>
    <cellStyle name="Note 3 3 2 3 2 3 2 3" xfId="28970"/>
    <cellStyle name="Note 3 3 2 3 2 3 3" xfId="9624"/>
    <cellStyle name="Note 3 3 2 3 2 3 3 2" xfId="21928"/>
    <cellStyle name="Note 3 3 2 3 2 3 3 2 2" xfId="44787"/>
    <cellStyle name="Note 3 3 2 3 2 3 3 3" xfId="32485"/>
    <cellStyle name="Note 3 3 2 3 2 3 4" xfId="14898"/>
    <cellStyle name="Note 3 3 2 3 2 3 4 2" xfId="37757"/>
    <cellStyle name="Note 3 3 2 3 2 3 5" xfId="25455"/>
    <cellStyle name="Note 3 3 2 3 2 4" xfId="4351"/>
    <cellStyle name="Note 3 3 2 3 2 4 2" xfId="16655"/>
    <cellStyle name="Note 3 3 2 3 2 4 2 2" xfId="39514"/>
    <cellStyle name="Note 3 3 2 3 2 4 3" xfId="27212"/>
    <cellStyle name="Note 3 3 2 3 2 5" xfId="7866"/>
    <cellStyle name="Note 3 3 2 3 2 5 2" xfId="20170"/>
    <cellStyle name="Note 3 3 2 3 2 5 2 2" xfId="43029"/>
    <cellStyle name="Note 3 3 2 3 2 5 3" xfId="30727"/>
    <cellStyle name="Note 3 3 2 3 2 6" xfId="11381"/>
    <cellStyle name="Note 3 3 2 3 2 6 2" xfId="34241"/>
    <cellStyle name="Note 3 3 2 3 2 7" xfId="13140"/>
    <cellStyle name="Note 3 3 2 3 2 7 2" xfId="35999"/>
    <cellStyle name="Note 3 3 2 3 2 8" xfId="23696"/>
    <cellStyle name="Note 3 3 2 3 3" xfId="1272"/>
    <cellStyle name="Note 3 3 2 3 3 2" xfId="3033"/>
    <cellStyle name="Note 3 3 2 3 3 2 2" xfId="6548"/>
    <cellStyle name="Note 3 3 2 3 3 2 2 2" xfId="18852"/>
    <cellStyle name="Note 3 3 2 3 3 2 2 2 2" xfId="41711"/>
    <cellStyle name="Note 3 3 2 3 3 2 2 3" xfId="29409"/>
    <cellStyle name="Note 3 3 2 3 3 2 3" xfId="10063"/>
    <cellStyle name="Note 3 3 2 3 3 2 3 2" xfId="22367"/>
    <cellStyle name="Note 3 3 2 3 3 2 3 2 2" xfId="45226"/>
    <cellStyle name="Note 3 3 2 3 3 2 3 3" xfId="32924"/>
    <cellStyle name="Note 3 3 2 3 3 2 4" xfId="15337"/>
    <cellStyle name="Note 3 3 2 3 3 2 4 2" xfId="38196"/>
    <cellStyle name="Note 3 3 2 3 3 2 5" xfId="25894"/>
    <cellStyle name="Note 3 3 2 3 3 3" xfId="4790"/>
    <cellStyle name="Note 3 3 2 3 3 3 2" xfId="17094"/>
    <cellStyle name="Note 3 3 2 3 3 3 2 2" xfId="39953"/>
    <cellStyle name="Note 3 3 2 3 3 3 3" xfId="27651"/>
    <cellStyle name="Note 3 3 2 3 3 4" xfId="8305"/>
    <cellStyle name="Note 3 3 2 3 3 4 2" xfId="20609"/>
    <cellStyle name="Note 3 3 2 3 3 4 2 2" xfId="43468"/>
    <cellStyle name="Note 3 3 2 3 3 4 3" xfId="31166"/>
    <cellStyle name="Note 3 3 2 3 3 5" xfId="11820"/>
    <cellStyle name="Note 3 3 2 3 3 5 2" xfId="34680"/>
    <cellStyle name="Note 3 3 2 3 3 6" xfId="13579"/>
    <cellStyle name="Note 3 3 2 3 3 6 2" xfId="36438"/>
    <cellStyle name="Note 3 3 2 3 3 7" xfId="24135"/>
    <cellStyle name="Note 3 3 2 3 4" xfId="2155"/>
    <cellStyle name="Note 3 3 2 3 4 2" xfId="5670"/>
    <cellStyle name="Note 3 3 2 3 4 2 2" xfId="17974"/>
    <cellStyle name="Note 3 3 2 3 4 2 2 2" xfId="40833"/>
    <cellStyle name="Note 3 3 2 3 4 2 3" xfId="28531"/>
    <cellStyle name="Note 3 3 2 3 4 3" xfId="9185"/>
    <cellStyle name="Note 3 3 2 3 4 3 2" xfId="21489"/>
    <cellStyle name="Note 3 3 2 3 4 3 2 2" xfId="44348"/>
    <cellStyle name="Note 3 3 2 3 4 3 3" xfId="32046"/>
    <cellStyle name="Note 3 3 2 3 4 4" xfId="14459"/>
    <cellStyle name="Note 3 3 2 3 4 4 2" xfId="37318"/>
    <cellStyle name="Note 3 3 2 3 4 5" xfId="25016"/>
    <cellStyle name="Note 3 3 2 3 5" xfId="3912"/>
    <cellStyle name="Note 3 3 2 3 5 2" xfId="16216"/>
    <cellStyle name="Note 3 3 2 3 5 2 2" xfId="39075"/>
    <cellStyle name="Note 3 3 2 3 5 3" xfId="26773"/>
    <cellStyle name="Note 3 3 2 3 6" xfId="7427"/>
    <cellStyle name="Note 3 3 2 3 6 2" xfId="19731"/>
    <cellStyle name="Note 3 3 2 3 6 2 2" xfId="42590"/>
    <cellStyle name="Note 3 3 2 3 6 3" xfId="30288"/>
    <cellStyle name="Note 3 3 2 3 7" xfId="10942"/>
    <cellStyle name="Note 3 3 2 3 7 2" xfId="33802"/>
    <cellStyle name="Note 3 3 2 3 8" xfId="12701"/>
    <cellStyle name="Note 3 3 2 3 8 2" xfId="35560"/>
    <cellStyle name="Note 3 3 2 3 9" xfId="23256"/>
    <cellStyle name="Note 3 3 2 4" xfId="620"/>
    <cellStyle name="Note 3 3 2 4 2" xfId="1499"/>
    <cellStyle name="Note 3 3 2 4 2 2" xfId="3260"/>
    <cellStyle name="Note 3 3 2 4 2 2 2" xfId="6775"/>
    <cellStyle name="Note 3 3 2 4 2 2 2 2" xfId="19079"/>
    <cellStyle name="Note 3 3 2 4 2 2 2 2 2" xfId="41938"/>
    <cellStyle name="Note 3 3 2 4 2 2 2 3" xfId="29636"/>
    <cellStyle name="Note 3 3 2 4 2 2 3" xfId="10290"/>
    <cellStyle name="Note 3 3 2 4 2 2 3 2" xfId="22594"/>
    <cellStyle name="Note 3 3 2 4 2 2 3 2 2" xfId="45453"/>
    <cellStyle name="Note 3 3 2 4 2 2 3 3" xfId="33151"/>
    <cellStyle name="Note 3 3 2 4 2 2 4" xfId="15564"/>
    <cellStyle name="Note 3 3 2 4 2 2 4 2" xfId="38423"/>
    <cellStyle name="Note 3 3 2 4 2 2 5" xfId="26121"/>
    <cellStyle name="Note 3 3 2 4 2 3" xfId="5017"/>
    <cellStyle name="Note 3 3 2 4 2 3 2" xfId="17321"/>
    <cellStyle name="Note 3 3 2 4 2 3 2 2" xfId="40180"/>
    <cellStyle name="Note 3 3 2 4 2 3 3" xfId="27878"/>
    <cellStyle name="Note 3 3 2 4 2 4" xfId="8532"/>
    <cellStyle name="Note 3 3 2 4 2 4 2" xfId="20836"/>
    <cellStyle name="Note 3 3 2 4 2 4 2 2" xfId="43695"/>
    <cellStyle name="Note 3 3 2 4 2 4 3" xfId="31393"/>
    <cellStyle name="Note 3 3 2 4 2 5" xfId="12047"/>
    <cellStyle name="Note 3 3 2 4 2 5 2" xfId="34907"/>
    <cellStyle name="Note 3 3 2 4 2 6" xfId="13806"/>
    <cellStyle name="Note 3 3 2 4 2 6 2" xfId="36665"/>
    <cellStyle name="Note 3 3 2 4 2 7" xfId="24362"/>
    <cellStyle name="Note 3 3 2 4 3" xfId="2382"/>
    <cellStyle name="Note 3 3 2 4 3 2" xfId="5897"/>
    <cellStyle name="Note 3 3 2 4 3 2 2" xfId="18201"/>
    <cellStyle name="Note 3 3 2 4 3 2 2 2" xfId="41060"/>
    <cellStyle name="Note 3 3 2 4 3 2 3" xfId="28758"/>
    <cellStyle name="Note 3 3 2 4 3 3" xfId="9412"/>
    <cellStyle name="Note 3 3 2 4 3 3 2" xfId="21716"/>
    <cellStyle name="Note 3 3 2 4 3 3 2 2" xfId="44575"/>
    <cellStyle name="Note 3 3 2 4 3 3 3" xfId="32273"/>
    <cellStyle name="Note 3 3 2 4 3 4" xfId="14686"/>
    <cellStyle name="Note 3 3 2 4 3 4 2" xfId="37545"/>
    <cellStyle name="Note 3 3 2 4 3 5" xfId="25243"/>
    <cellStyle name="Note 3 3 2 4 4" xfId="4139"/>
    <cellStyle name="Note 3 3 2 4 4 2" xfId="16443"/>
    <cellStyle name="Note 3 3 2 4 4 2 2" xfId="39302"/>
    <cellStyle name="Note 3 3 2 4 4 3" xfId="27000"/>
    <cellStyle name="Note 3 3 2 4 5" xfId="7654"/>
    <cellStyle name="Note 3 3 2 4 5 2" xfId="19958"/>
    <cellStyle name="Note 3 3 2 4 5 2 2" xfId="42817"/>
    <cellStyle name="Note 3 3 2 4 5 3" xfId="30515"/>
    <cellStyle name="Note 3 3 2 4 6" xfId="11169"/>
    <cellStyle name="Note 3 3 2 4 6 2" xfId="34029"/>
    <cellStyle name="Note 3 3 2 4 7" xfId="12928"/>
    <cellStyle name="Note 3 3 2 4 7 2" xfId="35787"/>
    <cellStyle name="Note 3 3 2 4 8" xfId="23484"/>
    <cellStyle name="Note 3 3 2 5" xfId="1060"/>
    <cellStyle name="Note 3 3 2 5 2" xfId="2821"/>
    <cellStyle name="Note 3 3 2 5 2 2" xfId="6336"/>
    <cellStyle name="Note 3 3 2 5 2 2 2" xfId="18640"/>
    <cellStyle name="Note 3 3 2 5 2 2 2 2" xfId="41499"/>
    <cellStyle name="Note 3 3 2 5 2 2 3" xfId="29197"/>
    <cellStyle name="Note 3 3 2 5 2 3" xfId="9851"/>
    <cellStyle name="Note 3 3 2 5 2 3 2" xfId="22155"/>
    <cellStyle name="Note 3 3 2 5 2 3 2 2" xfId="45014"/>
    <cellStyle name="Note 3 3 2 5 2 3 3" xfId="32712"/>
    <cellStyle name="Note 3 3 2 5 2 4" xfId="15125"/>
    <cellStyle name="Note 3 3 2 5 2 4 2" xfId="37984"/>
    <cellStyle name="Note 3 3 2 5 2 5" xfId="25682"/>
    <cellStyle name="Note 3 3 2 5 3" xfId="4578"/>
    <cellStyle name="Note 3 3 2 5 3 2" xfId="16882"/>
    <cellStyle name="Note 3 3 2 5 3 2 2" xfId="39741"/>
    <cellStyle name="Note 3 3 2 5 3 3" xfId="27439"/>
    <cellStyle name="Note 3 3 2 5 4" xfId="8093"/>
    <cellStyle name="Note 3 3 2 5 4 2" xfId="20397"/>
    <cellStyle name="Note 3 3 2 5 4 2 2" xfId="43256"/>
    <cellStyle name="Note 3 3 2 5 4 3" xfId="30954"/>
    <cellStyle name="Note 3 3 2 5 5" xfId="11608"/>
    <cellStyle name="Note 3 3 2 5 5 2" xfId="34468"/>
    <cellStyle name="Note 3 3 2 5 6" xfId="13367"/>
    <cellStyle name="Note 3 3 2 5 6 2" xfId="36226"/>
    <cellStyle name="Note 3 3 2 5 7" xfId="23923"/>
    <cellStyle name="Note 3 3 2 6" xfId="1943"/>
    <cellStyle name="Note 3 3 2 6 2" xfId="5458"/>
    <cellStyle name="Note 3 3 2 6 2 2" xfId="17762"/>
    <cellStyle name="Note 3 3 2 6 2 2 2" xfId="40621"/>
    <cellStyle name="Note 3 3 2 6 2 3" xfId="28319"/>
    <cellStyle name="Note 3 3 2 6 3" xfId="8973"/>
    <cellStyle name="Note 3 3 2 6 3 2" xfId="21277"/>
    <cellStyle name="Note 3 3 2 6 3 2 2" xfId="44136"/>
    <cellStyle name="Note 3 3 2 6 3 3" xfId="31834"/>
    <cellStyle name="Note 3 3 2 6 4" xfId="14247"/>
    <cellStyle name="Note 3 3 2 6 4 2" xfId="37106"/>
    <cellStyle name="Note 3 3 2 6 5" xfId="24804"/>
    <cellStyle name="Note 3 3 2 7" xfId="3700"/>
    <cellStyle name="Note 3 3 2 7 2" xfId="16004"/>
    <cellStyle name="Note 3 3 2 7 2 2" xfId="38863"/>
    <cellStyle name="Note 3 3 2 7 3" xfId="26561"/>
    <cellStyle name="Note 3 3 2 8" xfId="7215"/>
    <cellStyle name="Note 3 3 2 8 2" xfId="19519"/>
    <cellStyle name="Note 3 3 2 8 2 2" xfId="42378"/>
    <cellStyle name="Note 3 3 2 8 3" xfId="30076"/>
    <cellStyle name="Note 3 3 2 9" xfId="10730"/>
    <cellStyle name="Note 3 3 2 9 2" xfId="33590"/>
    <cellStyle name="Note 3 3 3" xfId="231"/>
    <cellStyle name="Note 3 3 3 10" xfId="23096"/>
    <cellStyle name="Note 3 3 3 2" xfId="443"/>
    <cellStyle name="Note 3 3 3 2 2" xfId="884"/>
    <cellStyle name="Note 3 3 3 2 2 2" xfId="1763"/>
    <cellStyle name="Note 3 3 3 2 2 2 2" xfId="3524"/>
    <cellStyle name="Note 3 3 3 2 2 2 2 2" xfId="7039"/>
    <cellStyle name="Note 3 3 3 2 2 2 2 2 2" xfId="19343"/>
    <cellStyle name="Note 3 3 3 2 2 2 2 2 2 2" xfId="42202"/>
    <cellStyle name="Note 3 3 3 2 2 2 2 2 3" xfId="29900"/>
    <cellStyle name="Note 3 3 3 2 2 2 2 3" xfId="10554"/>
    <cellStyle name="Note 3 3 3 2 2 2 2 3 2" xfId="22858"/>
    <cellStyle name="Note 3 3 3 2 2 2 2 3 2 2" xfId="45717"/>
    <cellStyle name="Note 3 3 3 2 2 2 2 3 3" xfId="33415"/>
    <cellStyle name="Note 3 3 3 2 2 2 2 4" xfId="15828"/>
    <cellStyle name="Note 3 3 3 2 2 2 2 4 2" xfId="38687"/>
    <cellStyle name="Note 3 3 3 2 2 2 2 5" xfId="26385"/>
    <cellStyle name="Note 3 3 3 2 2 2 3" xfId="5281"/>
    <cellStyle name="Note 3 3 3 2 2 2 3 2" xfId="17585"/>
    <cellStyle name="Note 3 3 3 2 2 2 3 2 2" xfId="40444"/>
    <cellStyle name="Note 3 3 3 2 2 2 3 3" xfId="28142"/>
    <cellStyle name="Note 3 3 3 2 2 2 4" xfId="8796"/>
    <cellStyle name="Note 3 3 3 2 2 2 4 2" xfId="21100"/>
    <cellStyle name="Note 3 3 3 2 2 2 4 2 2" xfId="43959"/>
    <cellStyle name="Note 3 3 3 2 2 2 4 3" xfId="31657"/>
    <cellStyle name="Note 3 3 3 2 2 2 5" xfId="12311"/>
    <cellStyle name="Note 3 3 3 2 2 2 5 2" xfId="35171"/>
    <cellStyle name="Note 3 3 3 2 2 2 6" xfId="14070"/>
    <cellStyle name="Note 3 3 3 2 2 2 6 2" xfId="36929"/>
    <cellStyle name="Note 3 3 3 2 2 2 7" xfId="24626"/>
    <cellStyle name="Note 3 3 3 2 2 3" xfId="2646"/>
    <cellStyle name="Note 3 3 3 2 2 3 2" xfId="6161"/>
    <cellStyle name="Note 3 3 3 2 2 3 2 2" xfId="18465"/>
    <cellStyle name="Note 3 3 3 2 2 3 2 2 2" xfId="41324"/>
    <cellStyle name="Note 3 3 3 2 2 3 2 3" xfId="29022"/>
    <cellStyle name="Note 3 3 3 2 2 3 3" xfId="9676"/>
    <cellStyle name="Note 3 3 3 2 2 3 3 2" xfId="21980"/>
    <cellStyle name="Note 3 3 3 2 2 3 3 2 2" xfId="44839"/>
    <cellStyle name="Note 3 3 3 2 2 3 3 3" xfId="32537"/>
    <cellStyle name="Note 3 3 3 2 2 3 4" xfId="14950"/>
    <cellStyle name="Note 3 3 3 2 2 3 4 2" xfId="37809"/>
    <cellStyle name="Note 3 3 3 2 2 3 5" xfId="25507"/>
    <cellStyle name="Note 3 3 3 2 2 4" xfId="4403"/>
    <cellStyle name="Note 3 3 3 2 2 4 2" xfId="16707"/>
    <cellStyle name="Note 3 3 3 2 2 4 2 2" xfId="39566"/>
    <cellStyle name="Note 3 3 3 2 2 4 3" xfId="27264"/>
    <cellStyle name="Note 3 3 3 2 2 5" xfId="7918"/>
    <cellStyle name="Note 3 3 3 2 2 5 2" xfId="20222"/>
    <cellStyle name="Note 3 3 3 2 2 5 2 2" xfId="43081"/>
    <cellStyle name="Note 3 3 3 2 2 5 3" xfId="30779"/>
    <cellStyle name="Note 3 3 3 2 2 6" xfId="11433"/>
    <cellStyle name="Note 3 3 3 2 2 6 2" xfId="34293"/>
    <cellStyle name="Note 3 3 3 2 2 7" xfId="13192"/>
    <cellStyle name="Note 3 3 3 2 2 7 2" xfId="36051"/>
    <cellStyle name="Note 3 3 3 2 2 8" xfId="23748"/>
    <cellStyle name="Note 3 3 3 2 3" xfId="1324"/>
    <cellStyle name="Note 3 3 3 2 3 2" xfId="3085"/>
    <cellStyle name="Note 3 3 3 2 3 2 2" xfId="6600"/>
    <cellStyle name="Note 3 3 3 2 3 2 2 2" xfId="18904"/>
    <cellStyle name="Note 3 3 3 2 3 2 2 2 2" xfId="41763"/>
    <cellStyle name="Note 3 3 3 2 3 2 2 3" xfId="29461"/>
    <cellStyle name="Note 3 3 3 2 3 2 3" xfId="10115"/>
    <cellStyle name="Note 3 3 3 2 3 2 3 2" xfId="22419"/>
    <cellStyle name="Note 3 3 3 2 3 2 3 2 2" xfId="45278"/>
    <cellStyle name="Note 3 3 3 2 3 2 3 3" xfId="32976"/>
    <cellStyle name="Note 3 3 3 2 3 2 4" xfId="15389"/>
    <cellStyle name="Note 3 3 3 2 3 2 4 2" xfId="38248"/>
    <cellStyle name="Note 3 3 3 2 3 2 5" xfId="25946"/>
    <cellStyle name="Note 3 3 3 2 3 3" xfId="4842"/>
    <cellStyle name="Note 3 3 3 2 3 3 2" xfId="17146"/>
    <cellStyle name="Note 3 3 3 2 3 3 2 2" xfId="40005"/>
    <cellStyle name="Note 3 3 3 2 3 3 3" xfId="27703"/>
    <cellStyle name="Note 3 3 3 2 3 4" xfId="8357"/>
    <cellStyle name="Note 3 3 3 2 3 4 2" xfId="20661"/>
    <cellStyle name="Note 3 3 3 2 3 4 2 2" xfId="43520"/>
    <cellStyle name="Note 3 3 3 2 3 4 3" xfId="31218"/>
    <cellStyle name="Note 3 3 3 2 3 5" xfId="11872"/>
    <cellStyle name="Note 3 3 3 2 3 5 2" xfId="34732"/>
    <cellStyle name="Note 3 3 3 2 3 6" xfId="13631"/>
    <cellStyle name="Note 3 3 3 2 3 6 2" xfId="36490"/>
    <cellStyle name="Note 3 3 3 2 3 7" xfId="24187"/>
    <cellStyle name="Note 3 3 3 2 4" xfId="2207"/>
    <cellStyle name="Note 3 3 3 2 4 2" xfId="5722"/>
    <cellStyle name="Note 3 3 3 2 4 2 2" xfId="18026"/>
    <cellStyle name="Note 3 3 3 2 4 2 2 2" xfId="40885"/>
    <cellStyle name="Note 3 3 3 2 4 2 3" xfId="28583"/>
    <cellStyle name="Note 3 3 3 2 4 3" xfId="9237"/>
    <cellStyle name="Note 3 3 3 2 4 3 2" xfId="21541"/>
    <cellStyle name="Note 3 3 3 2 4 3 2 2" xfId="44400"/>
    <cellStyle name="Note 3 3 3 2 4 3 3" xfId="32098"/>
    <cellStyle name="Note 3 3 3 2 4 4" xfId="14511"/>
    <cellStyle name="Note 3 3 3 2 4 4 2" xfId="37370"/>
    <cellStyle name="Note 3 3 3 2 4 5" xfId="25068"/>
    <cellStyle name="Note 3 3 3 2 5" xfId="3964"/>
    <cellStyle name="Note 3 3 3 2 5 2" xfId="16268"/>
    <cellStyle name="Note 3 3 3 2 5 2 2" xfId="39127"/>
    <cellStyle name="Note 3 3 3 2 5 3" xfId="26825"/>
    <cellStyle name="Note 3 3 3 2 6" xfId="7479"/>
    <cellStyle name="Note 3 3 3 2 6 2" xfId="19783"/>
    <cellStyle name="Note 3 3 3 2 6 2 2" xfId="42642"/>
    <cellStyle name="Note 3 3 3 2 6 3" xfId="30340"/>
    <cellStyle name="Note 3 3 3 2 7" xfId="10994"/>
    <cellStyle name="Note 3 3 3 2 7 2" xfId="33854"/>
    <cellStyle name="Note 3 3 3 2 8" xfId="12753"/>
    <cellStyle name="Note 3 3 3 2 8 2" xfId="35612"/>
    <cellStyle name="Note 3 3 3 2 9" xfId="23308"/>
    <cellStyle name="Note 3 3 3 3" xfId="672"/>
    <cellStyle name="Note 3 3 3 3 2" xfId="1551"/>
    <cellStyle name="Note 3 3 3 3 2 2" xfId="3312"/>
    <cellStyle name="Note 3 3 3 3 2 2 2" xfId="6827"/>
    <cellStyle name="Note 3 3 3 3 2 2 2 2" xfId="19131"/>
    <cellStyle name="Note 3 3 3 3 2 2 2 2 2" xfId="41990"/>
    <cellStyle name="Note 3 3 3 3 2 2 2 3" xfId="29688"/>
    <cellStyle name="Note 3 3 3 3 2 2 3" xfId="10342"/>
    <cellStyle name="Note 3 3 3 3 2 2 3 2" xfId="22646"/>
    <cellStyle name="Note 3 3 3 3 2 2 3 2 2" xfId="45505"/>
    <cellStyle name="Note 3 3 3 3 2 2 3 3" xfId="33203"/>
    <cellStyle name="Note 3 3 3 3 2 2 4" xfId="15616"/>
    <cellStyle name="Note 3 3 3 3 2 2 4 2" xfId="38475"/>
    <cellStyle name="Note 3 3 3 3 2 2 5" xfId="26173"/>
    <cellStyle name="Note 3 3 3 3 2 3" xfId="5069"/>
    <cellStyle name="Note 3 3 3 3 2 3 2" xfId="17373"/>
    <cellStyle name="Note 3 3 3 3 2 3 2 2" xfId="40232"/>
    <cellStyle name="Note 3 3 3 3 2 3 3" xfId="27930"/>
    <cellStyle name="Note 3 3 3 3 2 4" xfId="8584"/>
    <cellStyle name="Note 3 3 3 3 2 4 2" xfId="20888"/>
    <cellStyle name="Note 3 3 3 3 2 4 2 2" xfId="43747"/>
    <cellStyle name="Note 3 3 3 3 2 4 3" xfId="31445"/>
    <cellStyle name="Note 3 3 3 3 2 5" xfId="12099"/>
    <cellStyle name="Note 3 3 3 3 2 5 2" xfId="34959"/>
    <cellStyle name="Note 3 3 3 3 2 6" xfId="13858"/>
    <cellStyle name="Note 3 3 3 3 2 6 2" xfId="36717"/>
    <cellStyle name="Note 3 3 3 3 2 7" xfId="24414"/>
    <cellStyle name="Note 3 3 3 3 3" xfId="2434"/>
    <cellStyle name="Note 3 3 3 3 3 2" xfId="5949"/>
    <cellStyle name="Note 3 3 3 3 3 2 2" xfId="18253"/>
    <cellStyle name="Note 3 3 3 3 3 2 2 2" xfId="41112"/>
    <cellStyle name="Note 3 3 3 3 3 2 3" xfId="28810"/>
    <cellStyle name="Note 3 3 3 3 3 3" xfId="9464"/>
    <cellStyle name="Note 3 3 3 3 3 3 2" xfId="21768"/>
    <cellStyle name="Note 3 3 3 3 3 3 2 2" xfId="44627"/>
    <cellStyle name="Note 3 3 3 3 3 3 3" xfId="32325"/>
    <cellStyle name="Note 3 3 3 3 3 4" xfId="14738"/>
    <cellStyle name="Note 3 3 3 3 3 4 2" xfId="37597"/>
    <cellStyle name="Note 3 3 3 3 3 5" xfId="25295"/>
    <cellStyle name="Note 3 3 3 3 4" xfId="4191"/>
    <cellStyle name="Note 3 3 3 3 4 2" xfId="16495"/>
    <cellStyle name="Note 3 3 3 3 4 2 2" xfId="39354"/>
    <cellStyle name="Note 3 3 3 3 4 3" xfId="27052"/>
    <cellStyle name="Note 3 3 3 3 5" xfId="7706"/>
    <cellStyle name="Note 3 3 3 3 5 2" xfId="20010"/>
    <cellStyle name="Note 3 3 3 3 5 2 2" xfId="42869"/>
    <cellStyle name="Note 3 3 3 3 5 3" xfId="30567"/>
    <cellStyle name="Note 3 3 3 3 6" xfId="11221"/>
    <cellStyle name="Note 3 3 3 3 6 2" xfId="34081"/>
    <cellStyle name="Note 3 3 3 3 7" xfId="12980"/>
    <cellStyle name="Note 3 3 3 3 7 2" xfId="35839"/>
    <cellStyle name="Note 3 3 3 3 8" xfId="23536"/>
    <cellStyle name="Note 3 3 3 4" xfId="1112"/>
    <cellStyle name="Note 3 3 3 4 2" xfId="2873"/>
    <cellStyle name="Note 3 3 3 4 2 2" xfId="6388"/>
    <cellStyle name="Note 3 3 3 4 2 2 2" xfId="18692"/>
    <cellStyle name="Note 3 3 3 4 2 2 2 2" xfId="41551"/>
    <cellStyle name="Note 3 3 3 4 2 2 3" xfId="29249"/>
    <cellStyle name="Note 3 3 3 4 2 3" xfId="9903"/>
    <cellStyle name="Note 3 3 3 4 2 3 2" xfId="22207"/>
    <cellStyle name="Note 3 3 3 4 2 3 2 2" xfId="45066"/>
    <cellStyle name="Note 3 3 3 4 2 3 3" xfId="32764"/>
    <cellStyle name="Note 3 3 3 4 2 4" xfId="15177"/>
    <cellStyle name="Note 3 3 3 4 2 4 2" xfId="38036"/>
    <cellStyle name="Note 3 3 3 4 2 5" xfId="25734"/>
    <cellStyle name="Note 3 3 3 4 3" xfId="4630"/>
    <cellStyle name="Note 3 3 3 4 3 2" xfId="16934"/>
    <cellStyle name="Note 3 3 3 4 3 2 2" xfId="39793"/>
    <cellStyle name="Note 3 3 3 4 3 3" xfId="27491"/>
    <cellStyle name="Note 3 3 3 4 4" xfId="8145"/>
    <cellStyle name="Note 3 3 3 4 4 2" xfId="20449"/>
    <cellStyle name="Note 3 3 3 4 4 2 2" xfId="43308"/>
    <cellStyle name="Note 3 3 3 4 4 3" xfId="31006"/>
    <cellStyle name="Note 3 3 3 4 5" xfId="11660"/>
    <cellStyle name="Note 3 3 3 4 5 2" xfId="34520"/>
    <cellStyle name="Note 3 3 3 4 6" xfId="13419"/>
    <cellStyle name="Note 3 3 3 4 6 2" xfId="36278"/>
    <cellStyle name="Note 3 3 3 4 7" xfId="23975"/>
    <cellStyle name="Note 3 3 3 5" xfId="1995"/>
    <cellStyle name="Note 3 3 3 5 2" xfId="5510"/>
    <cellStyle name="Note 3 3 3 5 2 2" xfId="17814"/>
    <cellStyle name="Note 3 3 3 5 2 2 2" xfId="40673"/>
    <cellStyle name="Note 3 3 3 5 2 3" xfId="28371"/>
    <cellStyle name="Note 3 3 3 5 3" xfId="9025"/>
    <cellStyle name="Note 3 3 3 5 3 2" xfId="21329"/>
    <cellStyle name="Note 3 3 3 5 3 2 2" xfId="44188"/>
    <cellStyle name="Note 3 3 3 5 3 3" xfId="31886"/>
    <cellStyle name="Note 3 3 3 5 4" xfId="14299"/>
    <cellStyle name="Note 3 3 3 5 4 2" xfId="37158"/>
    <cellStyle name="Note 3 3 3 5 5" xfId="24856"/>
    <cellStyle name="Note 3 3 3 6" xfId="3752"/>
    <cellStyle name="Note 3 3 3 6 2" xfId="16056"/>
    <cellStyle name="Note 3 3 3 6 2 2" xfId="38915"/>
    <cellStyle name="Note 3 3 3 6 3" xfId="26613"/>
    <cellStyle name="Note 3 3 3 7" xfId="7267"/>
    <cellStyle name="Note 3 3 3 7 2" xfId="19571"/>
    <cellStyle name="Note 3 3 3 7 2 2" xfId="42430"/>
    <cellStyle name="Note 3 3 3 7 3" xfId="30128"/>
    <cellStyle name="Note 3 3 3 8" xfId="10782"/>
    <cellStyle name="Note 3 3 3 8 2" xfId="33642"/>
    <cellStyle name="Note 3 3 3 9" xfId="12541"/>
    <cellStyle name="Note 3 3 3 9 2" xfId="35400"/>
    <cellStyle name="Note 3 3 4" xfId="337"/>
    <cellStyle name="Note 3 3 4 2" xfId="778"/>
    <cellStyle name="Note 3 3 4 2 2" xfId="1657"/>
    <cellStyle name="Note 3 3 4 2 2 2" xfId="3418"/>
    <cellStyle name="Note 3 3 4 2 2 2 2" xfId="6933"/>
    <cellStyle name="Note 3 3 4 2 2 2 2 2" xfId="19237"/>
    <cellStyle name="Note 3 3 4 2 2 2 2 2 2" xfId="42096"/>
    <cellStyle name="Note 3 3 4 2 2 2 2 3" xfId="29794"/>
    <cellStyle name="Note 3 3 4 2 2 2 3" xfId="10448"/>
    <cellStyle name="Note 3 3 4 2 2 2 3 2" xfId="22752"/>
    <cellStyle name="Note 3 3 4 2 2 2 3 2 2" xfId="45611"/>
    <cellStyle name="Note 3 3 4 2 2 2 3 3" xfId="33309"/>
    <cellStyle name="Note 3 3 4 2 2 2 4" xfId="15722"/>
    <cellStyle name="Note 3 3 4 2 2 2 4 2" xfId="38581"/>
    <cellStyle name="Note 3 3 4 2 2 2 5" xfId="26279"/>
    <cellStyle name="Note 3 3 4 2 2 3" xfId="5175"/>
    <cellStyle name="Note 3 3 4 2 2 3 2" xfId="17479"/>
    <cellStyle name="Note 3 3 4 2 2 3 2 2" xfId="40338"/>
    <cellStyle name="Note 3 3 4 2 2 3 3" xfId="28036"/>
    <cellStyle name="Note 3 3 4 2 2 4" xfId="8690"/>
    <cellStyle name="Note 3 3 4 2 2 4 2" xfId="20994"/>
    <cellStyle name="Note 3 3 4 2 2 4 2 2" xfId="43853"/>
    <cellStyle name="Note 3 3 4 2 2 4 3" xfId="31551"/>
    <cellStyle name="Note 3 3 4 2 2 5" xfId="12205"/>
    <cellStyle name="Note 3 3 4 2 2 5 2" xfId="35065"/>
    <cellStyle name="Note 3 3 4 2 2 6" xfId="13964"/>
    <cellStyle name="Note 3 3 4 2 2 6 2" xfId="36823"/>
    <cellStyle name="Note 3 3 4 2 2 7" xfId="24520"/>
    <cellStyle name="Note 3 3 4 2 3" xfId="2540"/>
    <cellStyle name="Note 3 3 4 2 3 2" xfId="6055"/>
    <cellStyle name="Note 3 3 4 2 3 2 2" xfId="18359"/>
    <cellStyle name="Note 3 3 4 2 3 2 2 2" xfId="41218"/>
    <cellStyle name="Note 3 3 4 2 3 2 3" xfId="28916"/>
    <cellStyle name="Note 3 3 4 2 3 3" xfId="9570"/>
    <cellStyle name="Note 3 3 4 2 3 3 2" xfId="21874"/>
    <cellStyle name="Note 3 3 4 2 3 3 2 2" xfId="44733"/>
    <cellStyle name="Note 3 3 4 2 3 3 3" xfId="32431"/>
    <cellStyle name="Note 3 3 4 2 3 4" xfId="14844"/>
    <cellStyle name="Note 3 3 4 2 3 4 2" xfId="37703"/>
    <cellStyle name="Note 3 3 4 2 3 5" xfId="25401"/>
    <cellStyle name="Note 3 3 4 2 4" xfId="4297"/>
    <cellStyle name="Note 3 3 4 2 4 2" xfId="16601"/>
    <cellStyle name="Note 3 3 4 2 4 2 2" xfId="39460"/>
    <cellStyle name="Note 3 3 4 2 4 3" xfId="27158"/>
    <cellStyle name="Note 3 3 4 2 5" xfId="7812"/>
    <cellStyle name="Note 3 3 4 2 5 2" xfId="20116"/>
    <cellStyle name="Note 3 3 4 2 5 2 2" xfId="42975"/>
    <cellStyle name="Note 3 3 4 2 5 3" xfId="30673"/>
    <cellStyle name="Note 3 3 4 2 6" xfId="11327"/>
    <cellStyle name="Note 3 3 4 2 6 2" xfId="34187"/>
    <cellStyle name="Note 3 3 4 2 7" xfId="13086"/>
    <cellStyle name="Note 3 3 4 2 7 2" xfId="35945"/>
    <cellStyle name="Note 3 3 4 2 8" xfId="23642"/>
    <cellStyle name="Note 3 3 4 3" xfId="1218"/>
    <cellStyle name="Note 3 3 4 3 2" xfId="2979"/>
    <cellStyle name="Note 3 3 4 3 2 2" xfId="6494"/>
    <cellStyle name="Note 3 3 4 3 2 2 2" xfId="18798"/>
    <cellStyle name="Note 3 3 4 3 2 2 2 2" xfId="41657"/>
    <cellStyle name="Note 3 3 4 3 2 2 3" xfId="29355"/>
    <cellStyle name="Note 3 3 4 3 2 3" xfId="10009"/>
    <cellStyle name="Note 3 3 4 3 2 3 2" xfId="22313"/>
    <cellStyle name="Note 3 3 4 3 2 3 2 2" xfId="45172"/>
    <cellStyle name="Note 3 3 4 3 2 3 3" xfId="32870"/>
    <cellStyle name="Note 3 3 4 3 2 4" xfId="15283"/>
    <cellStyle name="Note 3 3 4 3 2 4 2" xfId="38142"/>
    <cellStyle name="Note 3 3 4 3 2 5" xfId="25840"/>
    <cellStyle name="Note 3 3 4 3 3" xfId="4736"/>
    <cellStyle name="Note 3 3 4 3 3 2" xfId="17040"/>
    <cellStyle name="Note 3 3 4 3 3 2 2" xfId="39899"/>
    <cellStyle name="Note 3 3 4 3 3 3" xfId="27597"/>
    <cellStyle name="Note 3 3 4 3 4" xfId="8251"/>
    <cellStyle name="Note 3 3 4 3 4 2" xfId="20555"/>
    <cellStyle name="Note 3 3 4 3 4 2 2" xfId="43414"/>
    <cellStyle name="Note 3 3 4 3 4 3" xfId="31112"/>
    <cellStyle name="Note 3 3 4 3 5" xfId="11766"/>
    <cellStyle name="Note 3 3 4 3 5 2" xfId="34626"/>
    <cellStyle name="Note 3 3 4 3 6" xfId="13525"/>
    <cellStyle name="Note 3 3 4 3 6 2" xfId="36384"/>
    <cellStyle name="Note 3 3 4 3 7" xfId="24081"/>
    <cellStyle name="Note 3 3 4 4" xfId="2101"/>
    <cellStyle name="Note 3 3 4 4 2" xfId="5616"/>
    <cellStyle name="Note 3 3 4 4 2 2" xfId="17920"/>
    <cellStyle name="Note 3 3 4 4 2 2 2" xfId="40779"/>
    <cellStyle name="Note 3 3 4 4 2 3" xfId="28477"/>
    <cellStyle name="Note 3 3 4 4 3" xfId="9131"/>
    <cellStyle name="Note 3 3 4 4 3 2" xfId="21435"/>
    <cellStyle name="Note 3 3 4 4 3 2 2" xfId="44294"/>
    <cellStyle name="Note 3 3 4 4 3 3" xfId="31992"/>
    <cellStyle name="Note 3 3 4 4 4" xfId="14405"/>
    <cellStyle name="Note 3 3 4 4 4 2" xfId="37264"/>
    <cellStyle name="Note 3 3 4 4 5" xfId="24962"/>
    <cellStyle name="Note 3 3 4 5" xfId="3858"/>
    <cellStyle name="Note 3 3 4 5 2" xfId="16162"/>
    <cellStyle name="Note 3 3 4 5 2 2" xfId="39021"/>
    <cellStyle name="Note 3 3 4 5 3" xfId="26719"/>
    <cellStyle name="Note 3 3 4 6" xfId="7373"/>
    <cellStyle name="Note 3 3 4 6 2" xfId="19677"/>
    <cellStyle name="Note 3 3 4 6 2 2" xfId="42536"/>
    <cellStyle name="Note 3 3 4 6 3" xfId="30234"/>
    <cellStyle name="Note 3 3 4 7" xfId="10888"/>
    <cellStyle name="Note 3 3 4 7 2" xfId="33748"/>
    <cellStyle name="Note 3 3 4 8" xfId="12647"/>
    <cellStyle name="Note 3 3 4 8 2" xfId="35506"/>
    <cellStyle name="Note 3 3 4 9" xfId="23202"/>
    <cellStyle name="Note 3 3 5" xfId="566"/>
    <cellStyle name="Note 3 3 5 2" xfId="1445"/>
    <cellStyle name="Note 3 3 5 2 2" xfId="3206"/>
    <cellStyle name="Note 3 3 5 2 2 2" xfId="6721"/>
    <cellStyle name="Note 3 3 5 2 2 2 2" xfId="19025"/>
    <cellStyle name="Note 3 3 5 2 2 2 2 2" xfId="41884"/>
    <cellStyle name="Note 3 3 5 2 2 2 3" xfId="29582"/>
    <cellStyle name="Note 3 3 5 2 2 3" xfId="10236"/>
    <cellStyle name="Note 3 3 5 2 2 3 2" xfId="22540"/>
    <cellStyle name="Note 3 3 5 2 2 3 2 2" xfId="45399"/>
    <cellStyle name="Note 3 3 5 2 2 3 3" xfId="33097"/>
    <cellStyle name="Note 3 3 5 2 2 4" xfId="15510"/>
    <cellStyle name="Note 3 3 5 2 2 4 2" xfId="38369"/>
    <cellStyle name="Note 3 3 5 2 2 5" xfId="26067"/>
    <cellStyle name="Note 3 3 5 2 3" xfId="4963"/>
    <cellStyle name="Note 3 3 5 2 3 2" xfId="17267"/>
    <cellStyle name="Note 3 3 5 2 3 2 2" xfId="40126"/>
    <cellStyle name="Note 3 3 5 2 3 3" xfId="27824"/>
    <cellStyle name="Note 3 3 5 2 4" xfId="8478"/>
    <cellStyle name="Note 3 3 5 2 4 2" xfId="20782"/>
    <cellStyle name="Note 3 3 5 2 4 2 2" xfId="43641"/>
    <cellStyle name="Note 3 3 5 2 4 3" xfId="31339"/>
    <cellStyle name="Note 3 3 5 2 5" xfId="11993"/>
    <cellStyle name="Note 3 3 5 2 5 2" xfId="34853"/>
    <cellStyle name="Note 3 3 5 2 6" xfId="13752"/>
    <cellStyle name="Note 3 3 5 2 6 2" xfId="36611"/>
    <cellStyle name="Note 3 3 5 2 7" xfId="24308"/>
    <cellStyle name="Note 3 3 5 3" xfId="2328"/>
    <cellStyle name="Note 3 3 5 3 2" xfId="5843"/>
    <cellStyle name="Note 3 3 5 3 2 2" xfId="18147"/>
    <cellStyle name="Note 3 3 5 3 2 2 2" xfId="41006"/>
    <cellStyle name="Note 3 3 5 3 2 3" xfId="28704"/>
    <cellStyle name="Note 3 3 5 3 3" xfId="9358"/>
    <cellStyle name="Note 3 3 5 3 3 2" xfId="21662"/>
    <cellStyle name="Note 3 3 5 3 3 2 2" xfId="44521"/>
    <cellStyle name="Note 3 3 5 3 3 3" xfId="32219"/>
    <cellStyle name="Note 3 3 5 3 4" xfId="14632"/>
    <cellStyle name="Note 3 3 5 3 4 2" xfId="37491"/>
    <cellStyle name="Note 3 3 5 3 5" xfId="25189"/>
    <cellStyle name="Note 3 3 5 4" xfId="4085"/>
    <cellStyle name="Note 3 3 5 4 2" xfId="16389"/>
    <cellStyle name="Note 3 3 5 4 2 2" xfId="39248"/>
    <cellStyle name="Note 3 3 5 4 3" xfId="26946"/>
    <cellStyle name="Note 3 3 5 5" xfId="7600"/>
    <cellStyle name="Note 3 3 5 5 2" xfId="19904"/>
    <cellStyle name="Note 3 3 5 5 2 2" xfId="42763"/>
    <cellStyle name="Note 3 3 5 5 3" xfId="30461"/>
    <cellStyle name="Note 3 3 5 6" xfId="11115"/>
    <cellStyle name="Note 3 3 5 6 2" xfId="33975"/>
    <cellStyle name="Note 3 3 5 7" xfId="12874"/>
    <cellStyle name="Note 3 3 5 7 2" xfId="35733"/>
    <cellStyle name="Note 3 3 5 8" xfId="23430"/>
    <cellStyle name="Note 3 3 6" xfId="1006"/>
    <cellStyle name="Note 3 3 6 2" xfId="2767"/>
    <cellStyle name="Note 3 3 6 2 2" xfId="6282"/>
    <cellStyle name="Note 3 3 6 2 2 2" xfId="18586"/>
    <cellStyle name="Note 3 3 6 2 2 2 2" xfId="41445"/>
    <cellStyle name="Note 3 3 6 2 2 3" xfId="29143"/>
    <cellStyle name="Note 3 3 6 2 3" xfId="9797"/>
    <cellStyle name="Note 3 3 6 2 3 2" xfId="22101"/>
    <cellStyle name="Note 3 3 6 2 3 2 2" xfId="44960"/>
    <cellStyle name="Note 3 3 6 2 3 3" xfId="32658"/>
    <cellStyle name="Note 3 3 6 2 4" xfId="15071"/>
    <cellStyle name="Note 3 3 6 2 4 2" xfId="37930"/>
    <cellStyle name="Note 3 3 6 2 5" xfId="25628"/>
    <cellStyle name="Note 3 3 6 3" xfId="4524"/>
    <cellStyle name="Note 3 3 6 3 2" xfId="16828"/>
    <cellStyle name="Note 3 3 6 3 2 2" xfId="39687"/>
    <cellStyle name="Note 3 3 6 3 3" xfId="27385"/>
    <cellStyle name="Note 3 3 6 4" xfId="8039"/>
    <cellStyle name="Note 3 3 6 4 2" xfId="20343"/>
    <cellStyle name="Note 3 3 6 4 2 2" xfId="43202"/>
    <cellStyle name="Note 3 3 6 4 3" xfId="30900"/>
    <cellStyle name="Note 3 3 6 5" xfId="11554"/>
    <cellStyle name="Note 3 3 6 5 2" xfId="34414"/>
    <cellStyle name="Note 3 3 6 6" xfId="13313"/>
    <cellStyle name="Note 3 3 6 6 2" xfId="36172"/>
    <cellStyle name="Note 3 3 6 7" xfId="23869"/>
    <cellStyle name="Note 3 3 7" xfId="1889"/>
    <cellStyle name="Note 3 3 7 2" xfId="5404"/>
    <cellStyle name="Note 3 3 7 2 2" xfId="17708"/>
    <cellStyle name="Note 3 3 7 2 2 2" xfId="40567"/>
    <cellStyle name="Note 3 3 7 2 3" xfId="28265"/>
    <cellStyle name="Note 3 3 7 3" xfId="8919"/>
    <cellStyle name="Note 3 3 7 3 2" xfId="21223"/>
    <cellStyle name="Note 3 3 7 3 2 2" xfId="44082"/>
    <cellStyle name="Note 3 3 7 3 3" xfId="31780"/>
    <cellStyle name="Note 3 3 7 4" xfId="14193"/>
    <cellStyle name="Note 3 3 7 4 2" xfId="37052"/>
    <cellStyle name="Note 3 3 7 5" xfId="24750"/>
    <cellStyle name="Note 3 3 8" xfId="3646"/>
    <cellStyle name="Note 3 3 8 2" xfId="15950"/>
    <cellStyle name="Note 3 3 8 2 2" xfId="38809"/>
    <cellStyle name="Note 3 3 8 3" xfId="26507"/>
    <cellStyle name="Note 3 3 9" xfId="7161"/>
    <cellStyle name="Note 3 3 9 2" xfId="19465"/>
    <cellStyle name="Note 3 3 9 2 2" xfId="42324"/>
    <cellStyle name="Note 3 3 9 3" xfId="30022"/>
    <cellStyle name="Note 3 4" xfId="152"/>
    <cellStyle name="Note 3 4 10" xfId="12464"/>
    <cellStyle name="Note 3 4 10 2" xfId="35323"/>
    <cellStyle name="Note 3 4 11" xfId="23018"/>
    <cellStyle name="Note 3 4 2" xfId="260"/>
    <cellStyle name="Note 3 4 2 10" xfId="23125"/>
    <cellStyle name="Note 3 4 2 2" xfId="472"/>
    <cellStyle name="Note 3 4 2 2 2" xfId="913"/>
    <cellStyle name="Note 3 4 2 2 2 2" xfId="1792"/>
    <cellStyle name="Note 3 4 2 2 2 2 2" xfId="3553"/>
    <cellStyle name="Note 3 4 2 2 2 2 2 2" xfId="7068"/>
    <cellStyle name="Note 3 4 2 2 2 2 2 2 2" xfId="19372"/>
    <cellStyle name="Note 3 4 2 2 2 2 2 2 2 2" xfId="42231"/>
    <cellStyle name="Note 3 4 2 2 2 2 2 2 3" xfId="29929"/>
    <cellStyle name="Note 3 4 2 2 2 2 2 3" xfId="10583"/>
    <cellStyle name="Note 3 4 2 2 2 2 2 3 2" xfId="22887"/>
    <cellStyle name="Note 3 4 2 2 2 2 2 3 2 2" xfId="45746"/>
    <cellStyle name="Note 3 4 2 2 2 2 2 3 3" xfId="33444"/>
    <cellStyle name="Note 3 4 2 2 2 2 2 4" xfId="15857"/>
    <cellStyle name="Note 3 4 2 2 2 2 2 4 2" xfId="38716"/>
    <cellStyle name="Note 3 4 2 2 2 2 2 5" xfId="26414"/>
    <cellStyle name="Note 3 4 2 2 2 2 3" xfId="5310"/>
    <cellStyle name="Note 3 4 2 2 2 2 3 2" xfId="17614"/>
    <cellStyle name="Note 3 4 2 2 2 2 3 2 2" xfId="40473"/>
    <cellStyle name="Note 3 4 2 2 2 2 3 3" xfId="28171"/>
    <cellStyle name="Note 3 4 2 2 2 2 4" xfId="8825"/>
    <cellStyle name="Note 3 4 2 2 2 2 4 2" xfId="21129"/>
    <cellStyle name="Note 3 4 2 2 2 2 4 2 2" xfId="43988"/>
    <cellStyle name="Note 3 4 2 2 2 2 4 3" xfId="31686"/>
    <cellStyle name="Note 3 4 2 2 2 2 5" xfId="12340"/>
    <cellStyle name="Note 3 4 2 2 2 2 5 2" xfId="35200"/>
    <cellStyle name="Note 3 4 2 2 2 2 6" xfId="14099"/>
    <cellStyle name="Note 3 4 2 2 2 2 6 2" xfId="36958"/>
    <cellStyle name="Note 3 4 2 2 2 2 7" xfId="24655"/>
    <cellStyle name="Note 3 4 2 2 2 3" xfId="2675"/>
    <cellStyle name="Note 3 4 2 2 2 3 2" xfId="6190"/>
    <cellStyle name="Note 3 4 2 2 2 3 2 2" xfId="18494"/>
    <cellStyle name="Note 3 4 2 2 2 3 2 2 2" xfId="41353"/>
    <cellStyle name="Note 3 4 2 2 2 3 2 3" xfId="29051"/>
    <cellStyle name="Note 3 4 2 2 2 3 3" xfId="9705"/>
    <cellStyle name="Note 3 4 2 2 2 3 3 2" xfId="22009"/>
    <cellStyle name="Note 3 4 2 2 2 3 3 2 2" xfId="44868"/>
    <cellStyle name="Note 3 4 2 2 2 3 3 3" xfId="32566"/>
    <cellStyle name="Note 3 4 2 2 2 3 4" xfId="14979"/>
    <cellStyle name="Note 3 4 2 2 2 3 4 2" xfId="37838"/>
    <cellStyle name="Note 3 4 2 2 2 3 5" xfId="25536"/>
    <cellStyle name="Note 3 4 2 2 2 4" xfId="4432"/>
    <cellStyle name="Note 3 4 2 2 2 4 2" xfId="16736"/>
    <cellStyle name="Note 3 4 2 2 2 4 2 2" xfId="39595"/>
    <cellStyle name="Note 3 4 2 2 2 4 3" xfId="27293"/>
    <cellStyle name="Note 3 4 2 2 2 5" xfId="7947"/>
    <cellStyle name="Note 3 4 2 2 2 5 2" xfId="20251"/>
    <cellStyle name="Note 3 4 2 2 2 5 2 2" xfId="43110"/>
    <cellStyle name="Note 3 4 2 2 2 5 3" xfId="30808"/>
    <cellStyle name="Note 3 4 2 2 2 6" xfId="11462"/>
    <cellStyle name="Note 3 4 2 2 2 6 2" xfId="34322"/>
    <cellStyle name="Note 3 4 2 2 2 7" xfId="13221"/>
    <cellStyle name="Note 3 4 2 2 2 7 2" xfId="36080"/>
    <cellStyle name="Note 3 4 2 2 2 8" xfId="23777"/>
    <cellStyle name="Note 3 4 2 2 3" xfId="1353"/>
    <cellStyle name="Note 3 4 2 2 3 2" xfId="3114"/>
    <cellStyle name="Note 3 4 2 2 3 2 2" xfId="6629"/>
    <cellStyle name="Note 3 4 2 2 3 2 2 2" xfId="18933"/>
    <cellStyle name="Note 3 4 2 2 3 2 2 2 2" xfId="41792"/>
    <cellStyle name="Note 3 4 2 2 3 2 2 3" xfId="29490"/>
    <cellStyle name="Note 3 4 2 2 3 2 3" xfId="10144"/>
    <cellStyle name="Note 3 4 2 2 3 2 3 2" xfId="22448"/>
    <cellStyle name="Note 3 4 2 2 3 2 3 2 2" xfId="45307"/>
    <cellStyle name="Note 3 4 2 2 3 2 3 3" xfId="33005"/>
    <cellStyle name="Note 3 4 2 2 3 2 4" xfId="15418"/>
    <cellStyle name="Note 3 4 2 2 3 2 4 2" xfId="38277"/>
    <cellStyle name="Note 3 4 2 2 3 2 5" xfId="25975"/>
    <cellStyle name="Note 3 4 2 2 3 3" xfId="4871"/>
    <cellStyle name="Note 3 4 2 2 3 3 2" xfId="17175"/>
    <cellStyle name="Note 3 4 2 2 3 3 2 2" xfId="40034"/>
    <cellStyle name="Note 3 4 2 2 3 3 3" xfId="27732"/>
    <cellStyle name="Note 3 4 2 2 3 4" xfId="8386"/>
    <cellStyle name="Note 3 4 2 2 3 4 2" xfId="20690"/>
    <cellStyle name="Note 3 4 2 2 3 4 2 2" xfId="43549"/>
    <cellStyle name="Note 3 4 2 2 3 4 3" xfId="31247"/>
    <cellStyle name="Note 3 4 2 2 3 5" xfId="11901"/>
    <cellStyle name="Note 3 4 2 2 3 5 2" xfId="34761"/>
    <cellStyle name="Note 3 4 2 2 3 6" xfId="13660"/>
    <cellStyle name="Note 3 4 2 2 3 6 2" xfId="36519"/>
    <cellStyle name="Note 3 4 2 2 3 7" xfId="24216"/>
    <cellStyle name="Note 3 4 2 2 4" xfId="2236"/>
    <cellStyle name="Note 3 4 2 2 4 2" xfId="5751"/>
    <cellStyle name="Note 3 4 2 2 4 2 2" xfId="18055"/>
    <cellStyle name="Note 3 4 2 2 4 2 2 2" xfId="40914"/>
    <cellStyle name="Note 3 4 2 2 4 2 3" xfId="28612"/>
    <cellStyle name="Note 3 4 2 2 4 3" xfId="9266"/>
    <cellStyle name="Note 3 4 2 2 4 3 2" xfId="21570"/>
    <cellStyle name="Note 3 4 2 2 4 3 2 2" xfId="44429"/>
    <cellStyle name="Note 3 4 2 2 4 3 3" xfId="32127"/>
    <cellStyle name="Note 3 4 2 2 4 4" xfId="14540"/>
    <cellStyle name="Note 3 4 2 2 4 4 2" xfId="37399"/>
    <cellStyle name="Note 3 4 2 2 4 5" xfId="25097"/>
    <cellStyle name="Note 3 4 2 2 5" xfId="3993"/>
    <cellStyle name="Note 3 4 2 2 5 2" xfId="16297"/>
    <cellStyle name="Note 3 4 2 2 5 2 2" xfId="39156"/>
    <cellStyle name="Note 3 4 2 2 5 3" xfId="26854"/>
    <cellStyle name="Note 3 4 2 2 6" xfId="7508"/>
    <cellStyle name="Note 3 4 2 2 6 2" xfId="19812"/>
    <cellStyle name="Note 3 4 2 2 6 2 2" xfId="42671"/>
    <cellStyle name="Note 3 4 2 2 6 3" xfId="30369"/>
    <cellStyle name="Note 3 4 2 2 7" xfId="11023"/>
    <cellStyle name="Note 3 4 2 2 7 2" xfId="33883"/>
    <cellStyle name="Note 3 4 2 2 8" xfId="12782"/>
    <cellStyle name="Note 3 4 2 2 8 2" xfId="35641"/>
    <cellStyle name="Note 3 4 2 2 9" xfId="23337"/>
    <cellStyle name="Note 3 4 2 3" xfId="701"/>
    <cellStyle name="Note 3 4 2 3 2" xfId="1580"/>
    <cellStyle name="Note 3 4 2 3 2 2" xfId="3341"/>
    <cellStyle name="Note 3 4 2 3 2 2 2" xfId="6856"/>
    <cellStyle name="Note 3 4 2 3 2 2 2 2" xfId="19160"/>
    <cellStyle name="Note 3 4 2 3 2 2 2 2 2" xfId="42019"/>
    <cellStyle name="Note 3 4 2 3 2 2 2 3" xfId="29717"/>
    <cellStyle name="Note 3 4 2 3 2 2 3" xfId="10371"/>
    <cellStyle name="Note 3 4 2 3 2 2 3 2" xfId="22675"/>
    <cellStyle name="Note 3 4 2 3 2 2 3 2 2" xfId="45534"/>
    <cellStyle name="Note 3 4 2 3 2 2 3 3" xfId="33232"/>
    <cellStyle name="Note 3 4 2 3 2 2 4" xfId="15645"/>
    <cellStyle name="Note 3 4 2 3 2 2 4 2" xfId="38504"/>
    <cellStyle name="Note 3 4 2 3 2 2 5" xfId="26202"/>
    <cellStyle name="Note 3 4 2 3 2 3" xfId="5098"/>
    <cellStyle name="Note 3 4 2 3 2 3 2" xfId="17402"/>
    <cellStyle name="Note 3 4 2 3 2 3 2 2" xfId="40261"/>
    <cellStyle name="Note 3 4 2 3 2 3 3" xfId="27959"/>
    <cellStyle name="Note 3 4 2 3 2 4" xfId="8613"/>
    <cellStyle name="Note 3 4 2 3 2 4 2" xfId="20917"/>
    <cellStyle name="Note 3 4 2 3 2 4 2 2" xfId="43776"/>
    <cellStyle name="Note 3 4 2 3 2 4 3" xfId="31474"/>
    <cellStyle name="Note 3 4 2 3 2 5" xfId="12128"/>
    <cellStyle name="Note 3 4 2 3 2 5 2" xfId="34988"/>
    <cellStyle name="Note 3 4 2 3 2 6" xfId="13887"/>
    <cellStyle name="Note 3 4 2 3 2 6 2" xfId="36746"/>
    <cellStyle name="Note 3 4 2 3 2 7" xfId="24443"/>
    <cellStyle name="Note 3 4 2 3 3" xfId="2463"/>
    <cellStyle name="Note 3 4 2 3 3 2" xfId="5978"/>
    <cellStyle name="Note 3 4 2 3 3 2 2" xfId="18282"/>
    <cellStyle name="Note 3 4 2 3 3 2 2 2" xfId="41141"/>
    <cellStyle name="Note 3 4 2 3 3 2 3" xfId="28839"/>
    <cellStyle name="Note 3 4 2 3 3 3" xfId="9493"/>
    <cellStyle name="Note 3 4 2 3 3 3 2" xfId="21797"/>
    <cellStyle name="Note 3 4 2 3 3 3 2 2" xfId="44656"/>
    <cellStyle name="Note 3 4 2 3 3 3 3" xfId="32354"/>
    <cellStyle name="Note 3 4 2 3 3 4" xfId="14767"/>
    <cellStyle name="Note 3 4 2 3 3 4 2" xfId="37626"/>
    <cellStyle name="Note 3 4 2 3 3 5" xfId="25324"/>
    <cellStyle name="Note 3 4 2 3 4" xfId="4220"/>
    <cellStyle name="Note 3 4 2 3 4 2" xfId="16524"/>
    <cellStyle name="Note 3 4 2 3 4 2 2" xfId="39383"/>
    <cellStyle name="Note 3 4 2 3 4 3" xfId="27081"/>
    <cellStyle name="Note 3 4 2 3 5" xfId="7735"/>
    <cellStyle name="Note 3 4 2 3 5 2" xfId="20039"/>
    <cellStyle name="Note 3 4 2 3 5 2 2" xfId="42898"/>
    <cellStyle name="Note 3 4 2 3 5 3" xfId="30596"/>
    <cellStyle name="Note 3 4 2 3 6" xfId="11250"/>
    <cellStyle name="Note 3 4 2 3 6 2" xfId="34110"/>
    <cellStyle name="Note 3 4 2 3 7" xfId="13009"/>
    <cellStyle name="Note 3 4 2 3 7 2" xfId="35868"/>
    <cellStyle name="Note 3 4 2 3 8" xfId="23565"/>
    <cellStyle name="Note 3 4 2 4" xfId="1141"/>
    <cellStyle name="Note 3 4 2 4 2" xfId="2902"/>
    <cellStyle name="Note 3 4 2 4 2 2" xfId="6417"/>
    <cellStyle name="Note 3 4 2 4 2 2 2" xfId="18721"/>
    <cellStyle name="Note 3 4 2 4 2 2 2 2" xfId="41580"/>
    <cellStyle name="Note 3 4 2 4 2 2 3" xfId="29278"/>
    <cellStyle name="Note 3 4 2 4 2 3" xfId="9932"/>
    <cellStyle name="Note 3 4 2 4 2 3 2" xfId="22236"/>
    <cellStyle name="Note 3 4 2 4 2 3 2 2" xfId="45095"/>
    <cellStyle name="Note 3 4 2 4 2 3 3" xfId="32793"/>
    <cellStyle name="Note 3 4 2 4 2 4" xfId="15206"/>
    <cellStyle name="Note 3 4 2 4 2 4 2" xfId="38065"/>
    <cellStyle name="Note 3 4 2 4 2 5" xfId="25763"/>
    <cellStyle name="Note 3 4 2 4 3" xfId="4659"/>
    <cellStyle name="Note 3 4 2 4 3 2" xfId="16963"/>
    <cellStyle name="Note 3 4 2 4 3 2 2" xfId="39822"/>
    <cellStyle name="Note 3 4 2 4 3 3" xfId="27520"/>
    <cellStyle name="Note 3 4 2 4 4" xfId="8174"/>
    <cellStyle name="Note 3 4 2 4 4 2" xfId="20478"/>
    <cellStyle name="Note 3 4 2 4 4 2 2" xfId="43337"/>
    <cellStyle name="Note 3 4 2 4 4 3" xfId="31035"/>
    <cellStyle name="Note 3 4 2 4 5" xfId="11689"/>
    <cellStyle name="Note 3 4 2 4 5 2" xfId="34549"/>
    <cellStyle name="Note 3 4 2 4 6" xfId="13448"/>
    <cellStyle name="Note 3 4 2 4 6 2" xfId="36307"/>
    <cellStyle name="Note 3 4 2 4 7" xfId="24004"/>
    <cellStyle name="Note 3 4 2 5" xfId="2024"/>
    <cellStyle name="Note 3 4 2 5 2" xfId="5539"/>
    <cellStyle name="Note 3 4 2 5 2 2" xfId="17843"/>
    <cellStyle name="Note 3 4 2 5 2 2 2" xfId="40702"/>
    <cellStyle name="Note 3 4 2 5 2 3" xfId="28400"/>
    <cellStyle name="Note 3 4 2 5 3" xfId="9054"/>
    <cellStyle name="Note 3 4 2 5 3 2" xfId="21358"/>
    <cellStyle name="Note 3 4 2 5 3 2 2" xfId="44217"/>
    <cellStyle name="Note 3 4 2 5 3 3" xfId="31915"/>
    <cellStyle name="Note 3 4 2 5 4" xfId="14328"/>
    <cellStyle name="Note 3 4 2 5 4 2" xfId="37187"/>
    <cellStyle name="Note 3 4 2 5 5" xfId="24885"/>
    <cellStyle name="Note 3 4 2 6" xfId="3781"/>
    <cellStyle name="Note 3 4 2 6 2" xfId="16085"/>
    <cellStyle name="Note 3 4 2 6 2 2" xfId="38944"/>
    <cellStyle name="Note 3 4 2 6 3" xfId="26642"/>
    <cellStyle name="Note 3 4 2 7" xfId="7296"/>
    <cellStyle name="Note 3 4 2 7 2" xfId="19600"/>
    <cellStyle name="Note 3 4 2 7 2 2" xfId="42459"/>
    <cellStyle name="Note 3 4 2 7 3" xfId="30157"/>
    <cellStyle name="Note 3 4 2 8" xfId="10811"/>
    <cellStyle name="Note 3 4 2 8 2" xfId="33671"/>
    <cellStyle name="Note 3 4 2 9" xfId="12570"/>
    <cellStyle name="Note 3 4 2 9 2" xfId="35429"/>
    <cellStyle name="Note 3 4 3" xfId="366"/>
    <cellStyle name="Note 3 4 3 2" xfId="807"/>
    <cellStyle name="Note 3 4 3 2 2" xfId="1686"/>
    <cellStyle name="Note 3 4 3 2 2 2" xfId="3447"/>
    <cellStyle name="Note 3 4 3 2 2 2 2" xfId="6962"/>
    <cellStyle name="Note 3 4 3 2 2 2 2 2" xfId="19266"/>
    <cellStyle name="Note 3 4 3 2 2 2 2 2 2" xfId="42125"/>
    <cellStyle name="Note 3 4 3 2 2 2 2 3" xfId="29823"/>
    <cellStyle name="Note 3 4 3 2 2 2 3" xfId="10477"/>
    <cellStyle name="Note 3 4 3 2 2 2 3 2" xfId="22781"/>
    <cellStyle name="Note 3 4 3 2 2 2 3 2 2" xfId="45640"/>
    <cellStyle name="Note 3 4 3 2 2 2 3 3" xfId="33338"/>
    <cellStyle name="Note 3 4 3 2 2 2 4" xfId="15751"/>
    <cellStyle name="Note 3 4 3 2 2 2 4 2" xfId="38610"/>
    <cellStyle name="Note 3 4 3 2 2 2 5" xfId="26308"/>
    <cellStyle name="Note 3 4 3 2 2 3" xfId="5204"/>
    <cellStyle name="Note 3 4 3 2 2 3 2" xfId="17508"/>
    <cellStyle name="Note 3 4 3 2 2 3 2 2" xfId="40367"/>
    <cellStyle name="Note 3 4 3 2 2 3 3" xfId="28065"/>
    <cellStyle name="Note 3 4 3 2 2 4" xfId="8719"/>
    <cellStyle name="Note 3 4 3 2 2 4 2" xfId="21023"/>
    <cellStyle name="Note 3 4 3 2 2 4 2 2" xfId="43882"/>
    <cellStyle name="Note 3 4 3 2 2 4 3" xfId="31580"/>
    <cellStyle name="Note 3 4 3 2 2 5" xfId="12234"/>
    <cellStyle name="Note 3 4 3 2 2 5 2" xfId="35094"/>
    <cellStyle name="Note 3 4 3 2 2 6" xfId="13993"/>
    <cellStyle name="Note 3 4 3 2 2 6 2" xfId="36852"/>
    <cellStyle name="Note 3 4 3 2 2 7" xfId="24549"/>
    <cellStyle name="Note 3 4 3 2 3" xfId="2569"/>
    <cellStyle name="Note 3 4 3 2 3 2" xfId="6084"/>
    <cellStyle name="Note 3 4 3 2 3 2 2" xfId="18388"/>
    <cellStyle name="Note 3 4 3 2 3 2 2 2" xfId="41247"/>
    <cellStyle name="Note 3 4 3 2 3 2 3" xfId="28945"/>
    <cellStyle name="Note 3 4 3 2 3 3" xfId="9599"/>
    <cellStyle name="Note 3 4 3 2 3 3 2" xfId="21903"/>
    <cellStyle name="Note 3 4 3 2 3 3 2 2" xfId="44762"/>
    <cellStyle name="Note 3 4 3 2 3 3 3" xfId="32460"/>
    <cellStyle name="Note 3 4 3 2 3 4" xfId="14873"/>
    <cellStyle name="Note 3 4 3 2 3 4 2" xfId="37732"/>
    <cellStyle name="Note 3 4 3 2 3 5" xfId="25430"/>
    <cellStyle name="Note 3 4 3 2 4" xfId="4326"/>
    <cellStyle name="Note 3 4 3 2 4 2" xfId="16630"/>
    <cellStyle name="Note 3 4 3 2 4 2 2" xfId="39489"/>
    <cellStyle name="Note 3 4 3 2 4 3" xfId="27187"/>
    <cellStyle name="Note 3 4 3 2 5" xfId="7841"/>
    <cellStyle name="Note 3 4 3 2 5 2" xfId="20145"/>
    <cellStyle name="Note 3 4 3 2 5 2 2" xfId="43004"/>
    <cellStyle name="Note 3 4 3 2 5 3" xfId="30702"/>
    <cellStyle name="Note 3 4 3 2 6" xfId="11356"/>
    <cellStyle name="Note 3 4 3 2 6 2" xfId="34216"/>
    <cellStyle name="Note 3 4 3 2 7" xfId="13115"/>
    <cellStyle name="Note 3 4 3 2 7 2" xfId="35974"/>
    <cellStyle name="Note 3 4 3 2 8" xfId="23671"/>
    <cellStyle name="Note 3 4 3 3" xfId="1247"/>
    <cellStyle name="Note 3 4 3 3 2" xfId="3008"/>
    <cellStyle name="Note 3 4 3 3 2 2" xfId="6523"/>
    <cellStyle name="Note 3 4 3 3 2 2 2" xfId="18827"/>
    <cellStyle name="Note 3 4 3 3 2 2 2 2" xfId="41686"/>
    <cellStyle name="Note 3 4 3 3 2 2 3" xfId="29384"/>
    <cellStyle name="Note 3 4 3 3 2 3" xfId="10038"/>
    <cellStyle name="Note 3 4 3 3 2 3 2" xfId="22342"/>
    <cellStyle name="Note 3 4 3 3 2 3 2 2" xfId="45201"/>
    <cellStyle name="Note 3 4 3 3 2 3 3" xfId="32899"/>
    <cellStyle name="Note 3 4 3 3 2 4" xfId="15312"/>
    <cellStyle name="Note 3 4 3 3 2 4 2" xfId="38171"/>
    <cellStyle name="Note 3 4 3 3 2 5" xfId="25869"/>
    <cellStyle name="Note 3 4 3 3 3" xfId="4765"/>
    <cellStyle name="Note 3 4 3 3 3 2" xfId="17069"/>
    <cellStyle name="Note 3 4 3 3 3 2 2" xfId="39928"/>
    <cellStyle name="Note 3 4 3 3 3 3" xfId="27626"/>
    <cellStyle name="Note 3 4 3 3 4" xfId="8280"/>
    <cellStyle name="Note 3 4 3 3 4 2" xfId="20584"/>
    <cellStyle name="Note 3 4 3 3 4 2 2" xfId="43443"/>
    <cellStyle name="Note 3 4 3 3 4 3" xfId="31141"/>
    <cellStyle name="Note 3 4 3 3 5" xfId="11795"/>
    <cellStyle name="Note 3 4 3 3 5 2" xfId="34655"/>
    <cellStyle name="Note 3 4 3 3 6" xfId="13554"/>
    <cellStyle name="Note 3 4 3 3 6 2" xfId="36413"/>
    <cellStyle name="Note 3 4 3 3 7" xfId="24110"/>
    <cellStyle name="Note 3 4 3 4" xfId="2130"/>
    <cellStyle name="Note 3 4 3 4 2" xfId="5645"/>
    <cellStyle name="Note 3 4 3 4 2 2" xfId="17949"/>
    <cellStyle name="Note 3 4 3 4 2 2 2" xfId="40808"/>
    <cellStyle name="Note 3 4 3 4 2 3" xfId="28506"/>
    <cellStyle name="Note 3 4 3 4 3" xfId="9160"/>
    <cellStyle name="Note 3 4 3 4 3 2" xfId="21464"/>
    <cellStyle name="Note 3 4 3 4 3 2 2" xfId="44323"/>
    <cellStyle name="Note 3 4 3 4 3 3" xfId="32021"/>
    <cellStyle name="Note 3 4 3 4 4" xfId="14434"/>
    <cellStyle name="Note 3 4 3 4 4 2" xfId="37293"/>
    <cellStyle name="Note 3 4 3 4 5" xfId="24991"/>
    <cellStyle name="Note 3 4 3 5" xfId="3887"/>
    <cellStyle name="Note 3 4 3 5 2" xfId="16191"/>
    <cellStyle name="Note 3 4 3 5 2 2" xfId="39050"/>
    <cellStyle name="Note 3 4 3 5 3" xfId="26748"/>
    <cellStyle name="Note 3 4 3 6" xfId="7402"/>
    <cellStyle name="Note 3 4 3 6 2" xfId="19706"/>
    <cellStyle name="Note 3 4 3 6 2 2" xfId="42565"/>
    <cellStyle name="Note 3 4 3 6 3" xfId="30263"/>
    <cellStyle name="Note 3 4 3 7" xfId="10917"/>
    <cellStyle name="Note 3 4 3 7 2" xfId="33777"/>
    <cellStyle name="Note 3 4 3 8" xfId="12676"/>
    <cellStyle name="Note 3 4 3 8 2" xfId="35535"/>
    <cellStyle name="Note 3 4 3 9" xfId="23231"/>
    <cellStyle name="Note 3 4 4" xfId="595"/>
    <cellStyle name="Note 3 4 4 2" xfId="1474"/>
    <cellStyle name="Note 3 4 4 2 2" xfId="3235"/>
    <cellStyle name="Note 3 4 4 2 2 2" xfId="6750"/>
    <cellStyle name="Note 3 4 4 2 2 2 2" xfId="19054"/>
    <cellStyle name="Note 3 4 4 2 2 2 2 2" xfId="41913"/>
    <cellStyle name="Note 3 4 4 2 2 2 3" xfId="29611"/>
    <cellStyle name="Note 3 4 4 2 2 3" xfId="10265"/>
    <cellStyle name="Note 3 4 4 2 2 3 2" xfId="22569"/>
    <cellStyle name="Note 3 4 4 2 2 3 2 2" xfId="45428"/>
    <cellStyle name="Note 3 4 4 2 2 3 3" xfId="33126"/>
    <cellStyle name="Note 3 4 4 2 2 4" xfId="15539"/>
    <cellStyle name="Note 3 4 4 2 2 4 2" xfId="38398"/>
    <cellStyle name="Note 3 4 4 2 2 5" xfId="26096"/>
    <cellStyle name="Note 3 4 4 2 3" xfId="4992"/>
    <cellStyle name="Note 3 4 4 2 3 2" xfId="17296"/>
    <cellStyle name="Note 3 4 4 2 3 2 2" xfId="40155"/>
    <cellStyle name="Note 3 4 4 2 3 3" xfId="27853"/>
    <cellStyle name="Note 3 4 4 2 4" xfId="8507"/>
    <cellStyle name="Note 3 4 4 2 4 2" xfId="20811"/>
    <cellStyle name="Note 3 4 4 2 4 2 2" xfId="43670"/>
    <cellStyle name="Note 3 4 4 2 4 3" xfId="31368"/>
    <cellStyle name="Note 3 4 4 2 5" xfId="12022"/>
    <cellStyle name="Note 3 4 4 2 5 2" xfId="34882"/>
    <cellStyle name="Note 3 4 4 2 6" xfId="13781"/>
    <cellStyle name="Note 3 4 4 2 6 2" xfId="36640"/>
    <cellStyle name="Note 3 4 4 2 7" xfId="24337"/>
    <cellStyle name="Note 3 4 4 3" xfId="2357"/>
    <cellStyle name="Note 3 4 4 3 2" xfId="5872"/>
    <cellStyle name="Note 3 4 4 3 2 2" xfId="18176"/>
    <cellStyle name="Note 3 4 4 3 2 2 2" xfId="41035"/>
    <cellStyle name="Note 3 4 4 3 2 3" xfId="28733"/>
    <cellStyle name="Note 3 4 4 3 3" xfId="9387"/>
    <cellStyle name="Note 3 4 4 3 3 2" xfId="21691"/>
    <cellStyle name="Note 3 4 4 3 3 2 2" xfId="44550"/>
    <cellStyle name="Note 3 4 4 3 3 3" xfId="32248"/>
    <cellStyle name="Note 3 4 4 3 4" xfId="14661"/>
    <cellStyle name="Note 3 4 4 3 4 2" xfId="37520"/>
    <cellStyle name="Note 3 4 4 3 5" xfId="25218"/>
    <cellStyle name="Note 3 4 4 4" xfId="4114"/>
    <cellStyle name="Note 3 4 4 4 2" xfId="16418"/>
    <cellStyle name="Note 3 4 4 4 2 2" xfId="39277"/>
    <cellStyle name="Note 3 4 4 4 3" xfId="26975"/>
    <cellStyle name="Note 3 4 4 5" xfId="7629"/>
    <cellStyle name="Note 3 4 4 5 2" xfId="19933"/>
    <cellStyle name="Note 3 4 4 5 2 2" xfId="42792"/>
    <cellStyle name="Note 3 4 4 5 3" xfId="30490"/>
    <cellStyle name="Note 3 4 4 6" xfId="11144"/>
    <cellStyle name="Note 3 4 4 6 2" xfId="34004"/>
    <cellStyle name="Note 3 4 4 7" xfId="12903"/>
    <cellStyle name="Note 3 4 4 7 2" xfId="35762"/>
    <cellStyle name="Note 3 4 4 8" xfId="23459"/>
    <cellStyle name="Note 3 4 5" xfId="1035"/>
    <cellStyle name="Note 3 4 5 2" xfId="2796"/>
    <cellStyle name="Note 3 4 5 2 2" xfId="6311"/>
    <cellStyle name="Note 3 4 5 2 2 2" xfId="18615"/>
    <cellStyle name="Note 3 4 5 2 2 2 2" xfId="41474"/>
    <cellStyle name="Note 3 4 5 2 2 3" xfId="29172"/>
    <cellStyle name="Note 3 4 5 2 3" xfId="9826"/>
    <cellStyle name="Note 3 4 5 2 3 2" xfId="22130"/>
    <cellStyle name="Note 3 4 5 2 3 2 2" xfId="44989"/>
    <cellStyle name="Note 3 4 5 2 3 3" xfId="32687"/>
    <cellStyle name="Note 3 4 5 2 4" xfId="15100"/>
    <cellStyle name="Note 3 4 5 2 4 2" xfId="37959"/>
    <cellStyle name="Note 3 4 5 2 5" xfId="25657"/>
    <cellStyle name="Note 3 4 5 3" xfId="4553"/>
    <cellStyle name="Note 3 4 5 3 2" xfId="16857"/>
    <cellStyle name="Note 3 4 5 3 2 2" xfId="39716"/>
    <cellStyle name="Note 3 4 5 3 3" xfId="27414"/>
    <cellStyle name="Note 3 4 5 4" xfId="8068"/>
    <cellStyle name="Note 3 4 5 4 2" xfId="20372"/>
    <cellStyle name="Note 3 4 5 4 2 2" xfId="43231"/>
    <cellStyle name="Note 3 4 5 4 3" xfId="30929"/>
    <cellStyle name="Note 3 4 5 5" xfId="11583"/>
    <cellStyle name="Note 3 4 5 5 2" xfId="34443"/>
    <cellStyle name="Note 3 4 5 6" xfId="13342"/>
    <cellStyle name="Note 3 4 5 6 2" xfId="36201"/>
    <cellStyle name="Note 3 4 5 7" xfId="23898"/>
    <cellStyle name="Note 3 4 6" xfId="1918"/>
    <cellStyle name="Note 3 4 6 2" xfId="5433"/>
    <cellStyle name="Note 3 4 6 2 2" xfId="17737"/>
    <cellStyle name="Note 3 4 6 2 2 2" xfId="40596"/>
    <cellStyle name="Note 3 4 6 2 3" xfId="28294"/>
    <cellStyle name="Note 3 4 6 3" xfId="8948"/>
    <cellStyle name="Note 3 4 6 3 2" xfId="21252"/>
    <cellStyle name="Note 3 4 6 3 2 2" xfId="44111"/>
    <cellStyle name="Note 3 4 6 3 3" xfId="31809"/>
    <cellStyle name="Note 3 4 6 4" xfId="14222"/>
    <cellStyle name="Note 3 4 6 4 2" xfId="37081"/>
    <cellStyle name="Note 3 4 6 5" xfId="24779"/>
    <cellStyle name="Note 3 4 7" xfId="3675"/>
    <cellStyle name="Note 3 4 7 2" xfId="15979"/>
    <cellStyle name="Note 3 4 7 2 2" xfId="38838"/>
    <cellStyle name="Note 3 4 7 3" xfId="26536"/>
    <cellStyle name="Note 3 4 8" xfId="7190"/>
    <cellStyle name="Note 3 4 8 2" xfId="19494"/>
    <cellStyle name="Note 3 4 8 2 2" xfId="42353"/>
    <cellStyle name="Note 3 4 8 3" xfId="30051"/>
    <cellStyle name="Note 3 4 9" xfId="10705"/>
    <cellStyle name="Note 3 4 9 2" xfId="33565"/>
    <cellStyle name="Note 3 5" xfId="193"/>
    <cellStyle name="Note 3 5 10" xfId="23058"/>
    <cellStyle name="Note 3 5 2" xfId="405"/>
    <cellStyle name="Note 3 5 2 2" xfId="846"/>
    <cellStyle name="Note 3 5 2 2 2" xfId="1725"/>
    <cellStyle name="Note 3 5 2 2 2 2" xfId="3486"/>
    <cellStyle name="Note 3 5 2 2 2 2 2" xfId="7001"/>
    <cellStyle name="Note 3 5 2 2 2 2 2 2" xfId="19305"/>
    <cellStyle name="Note 3 5 2 2 2 2 2 2 2" xfId="42164"/>
    <cellStyle name="Note 3 5 2 2 2 2 2 3" xfId="29862"/>
    <cellStyle name="Note 3 5 2 2 2 2 3" xfId="10516"/>
    <cellStyle name="Note 3 5 2 2 2 2 3 2" xfId="22820"/>
    <cellStyle name="Note 3 5 2 2 2 2 3 2 2" xfId="45679"/>
    <cellStyle name="Note 3 5 2 2 2 2 3 3" xfId="33377"/>
    <cellStyle name="Note 3 5 2 2 2 2 4" xfId="15790"/>
    <cellStyle name="Note 3 5 2 2 2 2 4 2" xfId="38649"/>
    <cellStyle name="Note 3 5 2 2 2 2 5" xfId="26347"/>
    <cellStyle name="Note 3 5 2 2 2 3" xfId="5243"/>
    <cellStyle name="Note 3 5 2 2 2 3 2" xfId="17547"/>
    <cellStyle name="Note 3 5 2 2 2 3 2 2" xfId="40406"/>
    <cellStyle name="Note 3 5 2 2 2 3 3" xfId="28104"/>
    <cellStyle name="Note 3 5 2 2 2 4" xfId="8758"/>
    <cellStyle name="Note 3 5 2 2 2 4 2" xfId="21062"/>
    <cellStyle name="Note 3 5 2 2 2 4 2 2" xfId="43921"/>
    <cellStyle name="Note 3 5 2 2 2 4 3" xfId="31619"/>
    <cellStyle name="Note 3 5 2 2 2 5" xfId="12273"/>
    <cellStyle name="Note 3 5 2 2 2 5 2" xfId="35133"/>
    <cellStyle name="Note 3 5 2 2 2 6" xfId="14032"/>
    <cellStyle name="Note 3 5 2 2 2 6 2" xfId="36891"/>
    <cellStyle name="Note 3 5 2 2 2 7" xfId="24588"/>
    <cellStyle name="Note 3 5 2 2 3" xfId="2608"/>
    <cellStyle name="Note 3 5 2 2 3 2" xfId="6123"/>
    <cellStyle name="Note 3 5 2 2 3 2 2" xfId="18427"/>
    <cellStyle name="Note 3 5 2 2 3 2 2 2" xfId="41286"/>
    <cellStyle name="Note 3 5 2 2 3 2 3" xfId="28984"/>
    <cellStyle name="Note 3 5 2 2 3 3" xfId="9638"/>
    <cellStyle name="Note 3 5 2 2 3 3 2" xfId="21942"/>
    <cellStyle name="Note 3 5 2 2 3 3 2 2" xfId="44801"/>
    <cellStyle name="Note 3 5 2 2 3 3 3" xfId="32499"/>
    <cellStyle name="Note 3 5 2 2 3 4" xfId="14912"/>
    <cellStyle name="Note 3 5 2 2 3 4 2" xfId="37771"/>
    <cellStyle name="Note 3 5 2 2 3 5" xfId="25469"/>
    <cellStyle name="Note 3 5 2 2 4" xfId="4365"/>
    <cellStyle name="Note 3 5 2 2 4 2" xfId="16669"/>
    <cellStyle name="Note 3 5 2 2 4 2 2" xfId="39528"/>
    <cellStyle name="Note 3 5 2 2 4 3" xfId="27226"/>
    <cellStyle name="Note 3 5 2 2 5" xfId="7880"/>
    <cellStyle name="Note 3 5 2 2 5 2" xfId="20184"/>
    <cellStyle name="Note 3 5 2 2 5 2 2" xfId="43043"/>
    <cellStyle name="Note 3 5 2 2 5 3" xfId="30741"/>
    <cellStyle name="Note 3 5 2 2 6" xfId="11395"/>
    <cellStyle name="Note 3 5 2 2 6 2" xfId="34255"/>
    <cellStyle name="Note 3 5 2 2 7" xfId="13154"/>
    <cellStyle name="Note 3 5 2 2 7 2" xfId="36013"/>
    <cellStyle name="Note 3 5 2 2 8" xfId="23710"/>
    <cellStyle name="Note 3 5 2 3" xfId="1286"/>
    <cellStyle name="Note 3 5 2 3 2" xfId="3047"/>
    <cellStyle name="Note 3 5 2 3 2 2" xfId="6562"/>
    <cellStyle name="Note 3 5 2 3 2 2 2" xfId="18866"/>
    <cellStyle name="Note 3 5 2 3 2 2 2 2" xfId="41725"/>
    <cellStyle name="Note 3 5 2 3 2 2 3" xfId="29423"/>
    <cellStyle name="Note 3 5 2 3 2 3" xfId="10077"/>
    <cellStyle name="Note 3 5 2 3 2 3 2" xfId="22381"/>
    <cellStyle name="Note 3 5 2 3 2 3 2 2" xfId="45240"/>
    <cellStyle name="Note 3 5 2 3 2 3 3" xfId="32938"/>
    <cellStyle name="Note 3 5 2 3 2 4" xfId="15351"/>
    <cellStyle name="Note 3 5 2 3 2 4 2" xfId="38210"/>
    <cellStyle name="Note 3 5 2 3 2 5" xfId="25908"/>
    <cellStyle name="Note 3 5 2 3 3" xfId="4804"/>
    <cellStyle name="Note 3 5 2 3 3 2" xfId="17108"/>
    <cellStyle name="Note 3 5 2 3 3 2 2" xfId="39967"/>
    <cellStyle name="Note 3 5 2 3 3 3" xfId="27665"/>
    <cellStyle name="Note 3 5 2 3 4" xfId="8319"/>
    <cellStyle name="Note 3 5 2 3 4 2" xfId="20623"/>
    <cellStyle name="Note 3 5 2 3 4 2 2" xfId="43482"/>
    <cellStyle name="Note 3 5 2 3 4 3" xfId="31180"/>
    <cellStyle name="Note 3 5 2 3 5" xfId="11834"/>
    <cellStyle name="Note 3 5 2 3 5 2" xfId="34694"/>
    <cellStyle name="Note 3 5 2 3 6" xfId="13593"/>
    <cellStyle name="Note 3 5 2 3 6 2" xfId="36452"/>
    <cellStyle name="Note 3 5 2 3 7" xfId="24149"/>
    <cellStyle name="Note 3 5 2 4" xfId="2169"/>
    <cellStyle name="Note 3 5 2 4 2" xfId="5684"/>
    <cellStyle name="Note 3 5 2 4 2 2" xfId="17988"/>
    <cellStyle name="Note 3 5 2 4 2 2 2" xfId="40847"/>
    <cellStyle name="Note 3 5 2 4 2 3" xfId="28545"/>
    <cellStyle name="Note 3 5 2 4 3" xfId="9199"/>
    <cellStyle name="Note 3 5 2 4 3 2" xfId="21503"/>
    <cellStyle name="Note 3 5 2 4 3 2 2" xfId="44362"/>
    <cellStyle name="Note 3 5 2 4 3 3" xfId="32060"/>
    <cellStyle name="Note 3 5 2 4 4" xfId="14473"/>
    <cellStyle name="Note 3 5 2 4 4 2" xfId="37332"/>
    <cellStyle name="Note 3 5 2 4 5" xfId="25030"/>
    <cellStyle name="Note 3 5 2 5" xfId="3926"/>
    <cellStyle name="Note 3 5 2 5 2" xfId="16230"/>
    <cellStyle name="Note 3 5 2 5 2 2" xfId="39089"/>
    <cellStyle name="Note 3 5 2 5 3" xfId="26787"/>
    <cellStyle name="Note 3 5 2 6" xfId="7441"/>
    <cellStyle name="Note 3 5 2 6 2" xfId="19745"/>
    <cellStyle name="Note 3 5 2 6 2 2" xfId="42604"/>
    <cellStyle name="Note 3 5 2 6 3" xfId="30302"/>
    <cellStyle name="Note 3 5 2 7" xfId="10956"/>
    <cellStyle name="Note 3 5 2 7 2" xfId="33816"/>
    <cellStyle name="Note 3 5 2 8" xfId="12715"/>
    <cellStyle name="Note 3 5 2 8 2" xfId="35574"/>
    <cellStyle name="Note 3 5 2 9" xfId="23270"/>
    <cellStyle name="Note 3 5 3" xfId="634"/>
    <cellStyle name="Note 3 5 3 2" xfId="1513"/>
    <cellStyle name="Note 3 5 3 2 2" xfId="3274"/>
    <cellStyle name="Note 3 5 3 2 2 2" xfId="6789"/>
    <cellStyle name="Note 3 5 3 2 2 2 2" xfId="19093"/>
    <cellStyle name="Note 3 5 3 2 2 2 2 2" xfId="41952"/>
    <cellStyle name="Note 3 5 3 2 2 2 3" xfId="29650"/>
    <cellStyle name="Note 3 5 3 2 2 3" xfId="10304"/>
    <cellStyle name="Note 3 5 3 2 2 3 2" xfId="22608"/>
    <cellStyle name="Note 3 5 3 2 2 3 2 2" xfId="45467"/>
    <cellStyle name="Note 3 5 3 2 2 3 3" xfId="33165"/>
    <cellStyle name="Note 3 5 3 2 2 4" xfId="15578"/>
    <cellStyle name="Note 3 5 3 2 2 4 2" xfId="38437"/>
    <cellStyle name="Note 3 5 3 2 2 5" xfId="26135"/>
    <cellStyle name="Note 3 5 3 2 3" xfId="5031"/>
    <cellStyle name="Note 3 5 3 2 3 2" xfId="17335"/>
    <cellStyle name="Note 3 5 3 2 3 2 2" xfId="40194"/>
    <cellStyle name="Note 3 5 3 2 3 3" xfId="27892"/>
    <cellStyle name="Note 3 5 3 2 4" xfId="8546"/>
    <cellStyle name="Note 3 5 3 2 4 2" xfId="20850"/>
    <cellStyle name="Note 3 5 3 2 4 2 2" xfId="43709"/>
    <cellStyle name="Note 3 5 3 2 4 3" xfId="31407"/>
    <cellStyle name="Note 3 5 3 2 5" xfId="12061"/>
    <cellStyle name="Note 3 5 3 2 5 2" xfId="34921"/>
    <cellStyle name="Note 3 5 3 2 6" xfId="13820"/>
    <cellStyle name="Note 3 5 3 2 6 2" xfId="36679"/>
    <cellStyle name="Note 3 5 3 2 7" xfId="24376"/>
    <cellStyle name="Note 3 5 3 3" xfId="2396"/>
    <cellStyle name="Note 3 5 3 3 2" xfId="5911"/>
    <cellStyle name="Note 3 5 3 3 2 2" xfId="18215"/>
    <cellStyle name="Note 3 5 3 3 2 2 2" xfId="41074"/>
    <cellStyle name="Note 3 5 3 3 2 3" xfId="28772"/>
    <cellStyle name="Note 3 5 3 3 3" xfId="9426"/>
    <cellStyle name="Note 3 5 3 3 3 2" xfId="21730"/>
    <cellStyle name="Note 3 5 3 3 3 2 2" xfId="44589"/>
    <cellStyle name="Note 3 5 3 3 3 3" xfId="32287"/>
    <cellStyle name="Note 3 5 3 3 4" xfId="14700"/>
    <cellStyle name="Note 3 5 3 3 4 2" xfId="37559"/>
    <cellStyle name="Note 3 5 3 3 5" xfId="25257"/>
    <cellStyle name="Note 3 5 3 4" xfId="4153"/>
    <cellStyle name="Note 3 5 3 4 2" xfId="16457"/>
    <cellStyle name="Note 3 5 3 4 2 2" xfId="39316"/>
    <cellStyle name="Note 3 5 3 4 3" xfId="27014"/>
    <cellStyle name="Note 3 5 3 5" xfId="7668"/>
    <cellStyle name="Note 3 5 3 5 2" xfId="19972"/>
    <cellStyle name="Note 3 5 3 5 2 2" xfId="42831"/>
    <cellStyle name="Note 3 5 3 5 3" xfId="30529"/>
    <cellStyle name="Note 3 5 3 6" xfId="11183"/>
    <cellStyle name="Note 3 5 3 6 2" xfId="34043"/>
    <cellStyle name="Note 3 5 3 7" xfId="12942"/>
    <cellStyle name="Note 3 5 3 7 2" xfId="35801"/>
    <cellStyle name="Note 3 5 3 8" xfId="23498"/>
    <cellStyle name="Note 3 5 4" xfId="1074"/>
    <cellStyle name="Note 3 5 4 2" xfId="2835"/>
    <cellStyle name="Note 3 5 4 2 2" xfId="6350"/>
    <cellStyle name="Note 3 5 4 2 2 2" xfId="18654"/>
    <cellStyle name="Note 3 5 4 2 2 2 2" xfId="41513"/>
    <cellStyle name="Note 3 5 4 2 2 3" xfId="29211"/>
    <cellStyle name="Note 3 5 4 2 3" xfId="9865"/>
    <cellStyle name="Note 3 5 4 2 3 2" xfId="22169"/>
    <cellStyle name="Note 3 5 4 2 3 2 2" xfId="45028"/>
    <cellStyle name="Note 3 5 4 2 3 3" xfId="32726"/>
    <cellStyle name="Note 3 5 4 2 4" xfId="15139"/>
    <cellStyle name="Note 3 5 4 2 4 2" xfId="37998"/>
    <cellStyle name="Note 3 5 4 2 5" xfId="25696"/>
    <cellStyle name="Note 3 5 4 3" xfId="4592"/>
    <cellStyle name="Note 3 5 4 3 2" xfId="16896"/>
    <cellStyle name="Note 3 5 4 3 2 2" xfId="39755"/>
    <cellStyle name="Note 3 5 4 3 3" xfId="27453"/>
    <cellStyle name="Note 3 5 4 4" xfId="8107"/>
    <cellStyle name="Note 3 5 4 4 2" xfId="20411"/>
    <cellStyle name="Note 3 5 4 4 2 2" xfId="43270"/>
    <cellStyle name="Note 3 5 4 4 3" xfId="30968"/>
    <cellStyle name="Note 3 5 4 5" xfId="11622"/>
    <cellStyle name="Note 3 5 4 5 2" xfId="34482"/>
    <cellStyle name="Note 3 5 4 6" xfId="13381"/>
    <cellStyle name="Note 3 5 4 6 2" xfId="36240"/>
    <cellStyle name="Note 3 5 4 7" xfId="23937"/>
    <cellStyle name="Note 3 5 5" xfId="1957"/>
    <cellStyle name="Note 3 5 5 2" xfId="5472"/>
    <cellStyle name="Note 3 5 5 2 2" xfId="17776"/>
    <cellStyle name="Note 3 5 5 2 2 2" xfId="40635"/>
    <cellStyle name="Note 3 5 5 2 3" xfId="28333"/>
    <cellStyle name="Note 3 5 5 3" xfId="8987"/>
    <cellStyle name="Note 3 5 5 3 2" xfId="21291"/>
    <cellStyle name="Note 3 5 5 3 2 2" xfId="44150"/>
    <cellStyle name="Note 3 5 5 3 3" xfId="31848"/>
    <cellStyle name="Note 3 5 5 4" xfId="14261"/>
    <cellStyle name="Note 3 5 5 4 2" xfId="37120"/>
    <cellStyle name="Note 3 5 5 5" xfId="24818"/>
    <cellStyle name="Note 3 5 6" xfId="3714"/>
    <cellStyle name="Note 3 5 6 2" xfId="16018"/>
    <cellStyle name="Note 3 5 6 2 2" xfId="38877"/>
    <cellStyle name="Note 3 5 6 3" xfId="26575"/>
    <cellStyle name="Note 3 5 7" xfId="7229"/>
    <cellStyle name="Note 3 5 7 2" xfId="19533"/>
    <cellStyle name="Note 3 5 7 2 2" xfId="42392"/>
    <cellStyle name="Note 3 5 7 3" xfId="30090"/>
    <cellStyle name="Note 3 5 8" xfId="10744"/>
    <cellStyle name="Note 3 5 8 2" xfId="33604"/>
    <cellStyle name="Note 3 5 9" xfId="12503"/>
    <cellStyle name="Note 3 5 9 2" xfId="35362"/>
    <cellStyle name="Note 3 6" xfId="299"/>
    <cellStyle name="Note 3 6 2" xfId="740"/>
    <cellStyle name="Note 3 6 2 2" xfId="1619"/>
    <cellStyle name="Note 3 6 2 2 2" xfId="3380"/>
    <cellStyle name="Note 3 6 2 2 2 2" xfId="6895"/>
    <cellStyle name="Note 3 6 2 2 2 2 2" xfId="19199"/>
    <cellStyle name="Note 3 6 2 2 2 2 2 2" xfId="42058"/>
    <cellStyle name="Note 3 6 2 2 2 2 3" xfId="29756"/>
    <cellStyle name="Note 3 6 2 2 2 3" xfId="10410"/>
    <cellStyle name="Note 3 6 2 2 2 3 2" xfId="22714"/>
    <cellStyle name="Note 3 6 2 2 2 3 2 2" xfId="45573"/>
    <cellStyle name="Note 3 6 2 2 2 3 3" xfId="33271"/>
    <cellStyle name="Note 3 6 2 2 2 4" xfId="15684"/>
    <cellStyle name="Note 3 6 2 2 2 4 2" xfId="38543"/>
    <cellStyle name="Note 3 6 2 2 2 5" xfId="26241"/>
    <cellStyle name="Note 3 6 2 2 3" xfId="5137"/>
    <cellStyle name="Note 3 6 2 2 3 2" xfId="17441"/>
    <cellStyle name="Note 3 6 2 2 3 2 2" xfId="40300"/>
    <cellStyle name="Note 3 6 2 2 3 3" xfId="27998"/>
    <cellStyle name="Note 3 6 2 2 4" xfId="8652"/>
    <cellStyle name="Note 3 6 2 2 4 2" xfId="20956"/>
    <cellStyle name="Note 3 6 2 2 4 2 2" xfId="43815"/>
    <cellStyle name="Note 3 6 2 2 4 3" xfId="31513"/>
    <cellStyle name="Note 3 6 2 2 5" xfId="12167"/>
    <cellStyle name="Note 3 6 2 2 5 2" xfId="35027"/>
    <cellStyle name="Note 3 6 2 2 6" xfId="13926"/>
    <cellStyle name="Note 3 6 2 2 6 2" xfId="36785"/>
    <cellStyle name="Note 3 6 2 2 7" xfId="24482"/>
    <cellStyle name="Note 3 6 2 3" xfId="2502"/>
    <cellStyle name="Note 3 6 2 3 2" xfId="6017"/>
    <cellStyle name="Note 3 6 2 3 2 2" xfId="18321"/>
    <cellStyle name="Note 3 6 2 3 2 2 2" xfId="41180"/>
    <cellStyle name="Note 3 6 2 3 2 3" xfId="28878"/>
    <cellStyle name="Note 3 6 2 3 3" xfId="9532"/>
    <cellStyle name="Note 3 6 2 3 3 2" xfId="21836"/>
    <cellStyle name="Note 3 6 2 3 3 2 2" xfId="44695"/>
    <cellStyle name="Note 3 6 2 3 3 3" xfId="32393"/>
    <cellStyle name="Note 3 6 2 3 4" xfId="14806"/>
    <cellStyle name="Note 3 6 2 3 4 2" xfId="37665"/>
    <cellStyle name="Note 3 6 2 3 5" xfId="25363"/>
    <cellStyle name="Note 3 6 2 4" xfId="4259"/>
    <cellStyle name="Note 3 6 2 4 2" xfId="16563"/>
    <cellStyle name="Note 3 6 2 4 2 2" xfId="39422"/>
    <cellStyle name="Note 3 6 2 4 3" xfId="27120"/>
    <cellStyle name="Note 3 6 2 5" xfId="7774"/>
    <cellStyle name="Note 3 6 2 5 2" xfId="20078"/>
    <cellStyle name="Note 3 6 2 5 2 2" xfId="42937"/>
    <cellStyle name="Note 3 6 2 5 3" xfId="30635"/>
    <cellStyle name="Note 3 6 2 6" xfId="11289"/>
    <cellStyle name="Note 3 6 2 6 2" xfId="34149"/>
    <cellStyle name="Note 3 6 2 7" xfId="13048"/>
    <cellStyle name="Note 3 6 2 7 2" xfId="35907"/>
    <cellStyle name="Note 3 6 2 8" xfId="23604"/>
    <cellStyle name="Note 3 6 3" xfId="1180"/>
    <cellStyle name="Note 3 6 3 2" xfId="2941"/>
    <cellStyle name="Note 3 6 3 2 2" xfId="6456"/>
    <cellStyle name="Note 3 6 3 2 2 2" xfId="18760"/>
    <cellStyle name="Note 3 6 3 2 2 2 2" xfId="41619"/>
    <cellStyle name="Note 3 6 3 2 2 3" xfId="29317"/>
    <cellStyle name="Note 3 6 3 2 3" xfId="9971"/>
    <cellStyle name="Note 3 6 3 2 3 2" xfId="22275"/>
    <cellStyle name="Note 3 6 3 2 3 2 2" xfId="45134"/>
    <cellStyle name="Note 3 6 3 2 3 3" xfId="32832"/>
    <cellStyle name="Note 3 6 3 2 4" xfId="15245"/>
    <cellStyle name="Note 3 6 3 2 4 2" xfId="38104"/>
    <cellStyle name="Note 3 6 3 2 5" xfId="25802"/>
    <cellStyle name="Note 3 6 3 3" xfId="4698"/>
    <cellStyle name="Note 3 6 3 3 2" xfId="17002"/>
    <cellStyle name="Note 3 6 3 3 2 2" xfId="39861"/>
    <cellStyle name="Note 3 6 3 3 3" xfId="27559"/>
    <cellStyle name="Note 3 6 3 4" xfId="8213"/>
    <cellStyle name="Note 3 6 3 4 2" xfId="20517"/>
    <cellStyle name="Note 3 6 3 4 2 2" xfId="43376"/>
    <cellStyle name="Note 3 6 3 4 3" xfId="31074"/>
    <cellStyle name="Note 3 6 3 5" xfId="11728"/>
    <cellStyle name="Note 3 6 3 5 2" xfId="34588"/>
    <cellStyle name="Note 3 6 3 6" xfId="13487"/>
    <cellStyle name="Note 3 6 3 6 2" xfId="36346"/>
    <cellStyle name="Note 3 6 3 7" xfId="24043"/>
    <cellStyle name="Note 3 6 4" xfId="2063"/>
    <cellStyle name="Note 3 6 4 2" xfId="5578"/>
    <cellStyle name="Note 3 6 4 2 2" xfId="17882"/>
    <cellStyle name="Note 3 6 4 2 2 2" xfId="40741"/>
    <cellStyle name="Note 3 6 4 2 3" xfId="28439"/>
    <cellStyle name="Note 3 6 4 3" xfId="9093"/>
    <cellStyle name="Note 3 6 4 3 2" xfId="21397"/>
    <cellStyle name="Note 3 6 4 3 2 2" xfId="44256"/>
    <cellStyle name="Note 3 6 4 3 3" xfId="31954"/>
    <cellStyle name="Note 3 6 4 4" xfId="14367"/>
    <cellStyle name="Note 3 6 4 4 2" xfId="37226"/>
    <cellStyle name="Note 3 6 4 5" xfId="24924"/>
    <cellStyle name="Note 3 6 5" xfId="3820"/>
    <cellStyle name="Note 3 6 5 2" xfId="16124"/>
    <cellStyle name="Note 3 6 5 2 2" xfId="38983"/>
    <cellStyle name="Note 3 6 5 3" xfId="26681"/>
    <cellStyle name="Note 3 6 6" xfId="7335"/>
    <cellStyle name="Note 3 6 6 2" xfId="19639"/>
    <cellStyle name="Note 3 6 6 2 2" xfId="42498"/>
    <cellStyle name="Note 3 6 6 3" xfId="30196"/>
    <cellStyle name="Note 3 6 7" xfId="10850"/>
    <cellStyle name="Note 3 6 7 2" xfId="33710"/>
    <cellStyle name="Note 3 6 8" xfId="12609"/>
    <cellStyle name="Note 3 6 8 2" xfId="35468"/>
    <cellStyle name="Note 3 6 9" xfId="23164"/>
    <cellStyle name="Note 3 7" xfId="540"/>
    <cellStyle name="Note 3 7 2" xfId="1419"/>
    <cellStyle name="Note 3 7 2 2" xfId="3180"/>
    <cellStyle name="Note 3 7 2 2 2" xfId="6695"/>
    <cellStyle name="Note 3 7 2 2 2 2" xfId="18999"/>
    <cellStyle name="Note 3 7 2 2 2 2 2" xfId="41858"/>
    <cellStyle name="Note 3 7 2 2 2 3" xfId="29556"/>
    <cellStyle name="Note 3 7 2 2 3" xfId="10210"/>
    <cellStyle name="Note 3 7 2 2 3 2" xfId="22514"/>
    <cellStyle name="Note 3 7 2 2 3 2 2" xfId="45373"/>
    <cellStyle name="Note 3 7 2 2 3 3" xfId="33071"/>
    <cellStyle name="Note 3 7 2 2 4" xfId="15484"/>
    <cellStyle name="Note 3 7 2 2 4 2" xfId="38343"/>
    <cellStyle name="Note 3 7 2 2 5" xfId="26041"/>
    <cellStyle name="Note 3 7 2 3" xfId="4937"/>
    <cellStyle name="Note 3 7 2 3 2" xfId="17241"/>
    <cellStyle name="Note 3 7 2 3 2 2" xfId="40100"/>
    <cellStyle name="Note 3 7 2 3 3" xfId="27798"/>
    <cellStyle name="Note 3 7 2 4" xfId="8452"/>
    <cellStyle name="Note 3 7 2 4 2" xfId="20756"/>
    <cellStyle name="Note 3 7 2 4 2 2" xfId="43615"/>
    <cellStyle name="Note 3 7 2 4 3" xfId="31313"/>
    <cellStyle name="Note 3 7 2 5" xfId="11967"/>
    <cellStyle name="Note 3 7 2 5 2" xfId="34827"/>
    <cellStyle name="Note 3 7 2 6" xfId="13726"/>
    <cellStyle name="Note 3 7 2 6 2" xfId="36585"/>
    <cellStyle name="Note 3 7 2 7" xfId="24282"/>
    <cellStyle name="Note 3 7 3" xfId="2302"/>
    <cellStyle name="Note 3 7 3 2" xfId="5817"/>
    <cellStyle name="Note 3 7 3 2 2" xfId="18121"/>
    <cellStyle name="Note 3 7 3 2 2 2" xfId="40980"/>
    <cellStyle name="Note 3 7 3 2 3" xfId="28678"/>
    <cellStyle name="Note 3 7 3 3" xfId="9332"/>
    <cellStyle name="Note 3 7 3 3 2" xfId="21636"/>
    <cellStyle name="Note 3 7 3 3 2 2" xfId="44495"/>
    <cellStyle name="Note 3 7 3 3 3" xfId="32193"/>
    <cellStyle name="Note 3 7 3 4" xfId="14606"/>
    <cellStyle name="Note 3 7 3 4 2" xfId="37465"/>
    <cellStyle name="Note 3 7 3 5" xfId="25163"/>
    <cellStyle name="Note 3 7 4" xfId="4059"/>
    <cellStyle name="Note 3 7 4 2" xfId="16363"/>
    <cellStyle name="Note 3 7 4 2 2" xfId="39222"/>
    <cellStyle name="Note 3 7 4 3" xfId="26920"/>
    <cellStyle name="Note 3 7 5" xfId="7574"/>
    <cellStyle name="Note 3 7 5 2" xfId="19878"/>
    <cellStyle name="Note 3 7 5 2 2" xfId="42737"/>
    <cellStyle name="Note 3 7 5 3" xfId="30435"/>
    <cellStyle name="Note 3 7 6" xfId="11089"/>
    <cellStyle name="Note 3 7 6 2" xfId="33949"/>
    <cellStyle name="Note 3 7 7" xfId="12848"/>
    <cellStyle name="Note 3 7 7 2" xfId="35707"/>
    <cellStyle name="Note 3 7 8" xfId="23404"/>
    <cellStyle name="Note 3 8" xfId="968"/>
    <cellStyle name="Note 3 8 2" xfId="2729"/>
    <cellStyle name="Note 3 8 2 2" xfId="6244"/>
    <cellStyle name="Note 3 8 2 2 2" xfId="18548"/>
    <cellStyle name="Note 3 8 2 2 2 2" xfId="41407"/>
    <cellStyle name="Note 3 8 2 2 3" xfId="29105"/>
    <cellStyle name="Note 3 8 2 3" xfId="9759"/>
    <cellStyle name="Note 3 8 2 3 2" xfId="22063"/>
    <cellStyle name="Note 3 8 2 3 2 2" xfId="44922"/>
    <cellStyle name="Note 3 8 2 3 3" xfId="32620"/>
    <cellStyle name="Note 3 8 2 4" xfId="15033"/>
    <cellStyle name="Note 3 8 2 4 2" xfId="37892"/>
    <cellStyle name="Note 3 8 2 5" xfId="25590"/>
    <cellStyle name="Note 3 8 3" xfId="4486"/>
    <cellStyle name="Note 3 8 3 2" xfId="16790"/>
    <cellStyle name="Note 3 8 3 2 2" xfId="39649"/>
    <cellStyle name="Note 3 8 3 3" xfId="27347"/>
    <cellStyle name="Note 3 8 4" xfId="8001"/>
    <cellStyle name="Note 3 8 4 2" xfId="20305"/>
    <cellStyle name="Note 3 8 4 2 2" xfId="43164"/>
    <cellStyle name="Note 3 8 4 3" xfId="30862"/>
    <cellStyle name="Note 3 8 5" xfId="11516"/>
    <cellStyle name="Note 3 8 5 2" xfId="34376"/>
    <cellStyle name="Note 3 8 6" xfId="13275"/>
    <cellStyle name="Note 3 8 6 2" xfId="36134"/>
    <cellStyle name="Note 3 8 7" xfId="23831"/>
    <cellStyle name="Note 3 9" xfId="1863"/>
    <cellStyle name="Note 3 9 2" xfId="5378"/>
    <cellStyle name="Note 3 9 2 2" xfId="17682"/>
    <cellStyle name="Note 3 9 2 2 2" xfId="40541"/>
    <cellStyle name="Note 3 9 2 3" xfId="28239"/>
    <cellStyle name="Note 3 9 3" xfId="8893"/>
    <cellStyle name="Note 3 9 3 2" xfId="21197"/>
    <cellStyle name="Note 3 9 3 2 2" xfId="44056"/>
    <cellStyle name="Note 3 9 3 3" xfId="31754"/>
    <cellStyle name="Note 3 9 4" xfId="14167"/>
    <cellStyle name="Note 3 9 4 2" xfId="37026"/>
    <cellStyle name="Note 3 9 5" xfId="24724"/>
    <cellStyle name="Note 4" xfId="132"/>
    <cellStyle name="Note 4 10" xfId="10685"/>
    <cellStyle name="Note 4 10 2" xfId="33545"/>
    <cellStyle name="Note 4 11" xfId="12444"/>
    <cellStyle name="Note 4 11 2" xfId="35303"/>
    <cellStyle name="Note 4 12" xfId="22998"/>
    <cellStyle name="Note 4 2" xfId="186"/>
    <cellStyle name="Note 4 2 10" xfId="12498"/>
    <cellStyle name="Note 4 2 10 2" xfId="35357"/>
    <cellStyle name="Note 4 2 11" xfId="23052"/>
    <cellStyle name="Note 4 2 2" xfId="294"/>
    <cellStyle name="Note 4 2 2 10" xfId="23159"/>
    <cellStyle name="Note 4 2 2 2" xfId="506"/>
    <cellStyle name="Note 4 2 2 2 2" xfId="947"/>
    <cellStyle name="Note 4 2 2 2 2 2" xfId="1826"/>
    <cellStyle name="Note 4 2 2 2 2 2 2" xfId="3587"/>
    <cellStyle name="Note 4 2 2 2 2 2 2 2" xfId="7102"/>
    <cellStyle name="Note 4 2 2 2 2 2 2 2 2" xfId="19406"/>
    <cellStyle name="Note 4 2 2 2 2 2 2 2 2 2" xfId="42265"/>
    <cellStyle name="Note 4 2 2 2 2 2 2 2 3" xfId="29963"/>
    <cellStyle name="Note 4 2 2 2 2 2 2 3" xfId="10617"/>
    <cellStyle name="Note 4 2 2 2 2 2 2 3 2" xfId="22921"/>
    <cellStyle name="Note 4 2 2 2 2 2 2 3 2 2" xfId="45780"/>
    <cellStyle name="Note 4 2 2 2 2 2 2 3 3" xfId="33478"/>
    <cellStyle name="Note 4 2 2 2 2 2 2 4" xfId="15891"/>
    <cellStyle name="Note 4 2 2 2 2 2 2 4 2" xfId="38750"/>
    <cellStyle name="Note 4 2 2 2 2 2 2 5" xfId="26448"/>
    <cellStyle name="Note 4 2 2 2 2 2 3" xfId="5344"/>
    <cellStyle name="Note 4 2 2 2 2 2 3 2" xfId="17648"/>
    <cellStyle name="Note 4 2 2 2 2 2 3 2 2" xfId="40507"/>
    <cellStyle name="Note 4 2 2 2 2 2 3 3" xfId="28205"/>
    <cellStyle name="Note 4 2 2 2 2 2 4" xfId="8859"/>
    <cellStyle name="Note 4 2 2 2 2 2 4 2" xfId="21163"/>
    <cellStyle name="Note 4 2 2 2 2 2 4 2 2" xfId="44022"/>
    <cellStyle name="Note 4 2 2 2 2 2 4 3" xfId="31720"/>
    <cellStyle name="Note 4 2 2 2 2 2 5" xfId="12374"/>
    <cellStyle name="Note 4 2 2 2 2 2 5 2" xfId="35234"/>
    <cellStyle name="Note 4 2 2 2 2 2 6" xfId="14133"/>
    <cellStyle name="Note 4 2 2 2 2 2 6 2" xfId="36992"/>
    <cellStyle name="Note 4 2 2 2 2 2 7" xfId="24689"/>
    <cellStyle name="Note 4 2 2 2 2 3" xfId="2709"/>
    <cellStyle name="Note 4 2 2 2 2 3 2" xfId="6224"/>
    <cellStyle name="Note 4 2 2 2 2 3 2 2" xfId="18528"/>
    <cellStyle name="Note 4 2 2 2 2 3 2 2 2" xfId="41387"/>
    <cellStyle name="Note 4 2 2 2 2 3 2 3" xfId="29085"/>
    <cellStyle name="Note 4 2 2 2 2 3 3" xfId="9739"/>
    <cellStyle name="Note 4 2 2 2 2 3 3 2" xfId="22043"/>
    <cellStyle name="Note 4 2 2 2 2 3 3 2 2" xfId="44902"/>
    <cellStyle name="Note 4 2 2 2 2 3 3 3" xfId="32600"/>
    <cellStyle name="Note 4 2 2 2 2 3 4" xfId="15013"/>
    <cellStyle name="Note 4 2 2 2 2 3 4 2" xfId="37872"/>
    <cellStyle name="Note 4 2 2 2 2 3 5" xfId="25570"/>
    <cellStyle name="Note 4 2 2 2 2 4" xfId="4466"/>
    <cellStyle name="Note 4 2 2 2 2 4 2" xfId="16770"/>
    <cellStyle name="Note 4 2 2 2 2 4 2 2" xfId="39629"/>
    <cellStyle name="Note 4 2 2 2 2 4 3" xfId="27327"/>
    <cellStyle name="Note 4 2 2 2 2 5" xfId="7981"/>
    <cellStyle name="Note 4 2 2 2 2 5 2" xfId="20285"/>
    <cellStyle name="Note 4 2 2 2 2 5 2 2" xfId="43144"/>
    <cellStyle name="Note 4 2 2 2 2 5 3" xfId="30842"/>
    <cellStyle name="Note 4 2 2 2 2 6" xfId="11496"/>
    <cellStyle name="Note 4 2 2 2 2 6 2" xfId="34356"/>
    <cellStyle name="Note 4 2 2 2 2 7" xfId="13255"/>
    <cellStyle name="Note 4 2 2 2 2 7 2" xfId="36114"/>
    <cellStyle name="Note 4 2 2 2 2 8" xfId="23811"/>
    <cellStyle name="Note 4 2 2 2 3" xfId="1387"/>
    <cellStyle name="Note 4 2 2 2 3 2" xfId="3148"/>
    <cellStyle name="Note 4 2 2 2 3 2 2" xfId="6663"/>
    <cellStyle name="Note 4 2 2 2 3 2 2 2" xfId="18967"/>
    <cellStyle name="Note 4 2 2 2 3 2 2 2 2" xfId="41826"/>
    <cellStyle name="Note 4 2 2 2 3 2 2 3" xfId="29524"/>
    <cellStyle name="Note 4 2 2 2 3 2 3" xfId="10178"/>
    <cellStyle name="Note 4 2 2 2 3 2 3 2" xfId="22482"/>
    <cellStyle name="Note 4 2 2 2 3 2 3 2 2" xfId="45341"/>
    <cellStyle name="Note 4 2 2 2 3 2 3 3" xfId="33039"/>
    <cellStyle name="Note 4 2 2 2 3 2 4" xfId="15452"/>
    <cellStyle name="Note 4 2 2 2 3 2 4 2" xfId="38311"/>
    <cellStyle name="Note 4 2 2 2 3 2 5" xfId="26009"/>
    <cellStyle name="Note 4 2 2 2 3 3" xfId="4905"/>
    <cellStyle name="Note 4 2 2 2 3 3 2" xfId="17209"/>
    <cellStyle name="Note 4 2 2 2 3 3 2 2" xfId="40068"/>
    <cellStyle name="Note 4 2 2 2 3 3 3" xfId="27766"/>
    <cellStyle name="Note 4 2 2 2 3 4" xfId="8420"/>
    <cellStyle name="Note 4 2 2 2 3 4 2" xfId="20724"/>
    <cellStyle name="Note 4 2 2 2 3 4 2 2" xfId="43583"/>
    <cellStyle name="Note 4 2 2 2 3 4 3" xfId="31281"/>
    <cellStyle name="Note 4 2 2 2 3 5" xfId="11935"/>
    <cellStyle name="Note 4 2 2 2 3 5 2" xfId="34795"/>
    <cellStyle name="Note 4 2 2 2 3 6" xfId="13694"/>
    <cellStyle name="Note 4 2 2 2 3 6 2" xfId="36553"/>
    <cellStyle name="Note 4 2 2 2 3 7" xfId="24250"/>
    <cellStyle name="Note 4 2 2 2 4" xfId="2270"/>
    <cellStyle name="Note 4 2 2 2 4 2" xfId="5785"/>
    <cellStyle name="Note 4 2 2 2 4 2 2" xfId="18089"/>
    <cellStyle name="Note 4 2 2 2 4 2 2 2" xfId="40948"/>
    <cellStyle name="Note 4 2 2 2 4 2 3" xfId="28646"/>
    <cellStyle name="Note 4 2 2 2 4 3" xfId="9300"/>
    <cellStyle name="Note 4 2 2 2 4 3 2" xfId="21604"/>
    <cellStyle name="Note 4 2 2 2 4 3 2 2" xfId="44463"/>
    <cellStyle name="Note 4 2 2 2 4 3 3" xfId="32161"/>
    <cellStyle name="Note 4 2 2 2 4 4" xfId="14574"/>
    <cellStyle name="Note 4 2 2 2 4 4 2" xfId="37433"/>
    <cellStyle name="Note 4 2 2 2 4 5" xfId="25131"/>
    <cellStyle name="Note 4 2 2 2 5" xfId="4027"/>
    <cellStyle name="Note 4 2 2 2 5 2" xfId="16331"/>
    <cellStyle name="Note 4 2 2 2 5 2 2" xfId="39190"/>
    <cellStyle name="Note 4 2 2 2 5 3" xfId="26888"/>
    <cellStyle name="Note 4 2 2 2 6" xfId="7542"/>
    <cellStyle name="Note 4 2 2 2 6 2" xfId="19846"/>
    <cellStyle name="Note 4 2 2 2 6 2 2" xfId="42705"/>
    <cellStyle name="Note 4 2 2 2 6 3" xfId="30403"/>
    <cellStyle name="Note 4 2 2 2 7" xfId="11057"/>
    <cellStyle name="Note 4 2 2 2 7 2" xfId="33917"/>
    <cellStyle name="Note 4 2 2 2 8" xfId="12816"/>
    <cellStyle name="Note 4 2 2 2 8 2" xfId="35675"/>
    <cellStyle name="Note 4 2 2 2 9" xfId="23371"/>
    <cellStyle name="Note 4 2 2 3" xfId="735"/>
    <cellStyle name="Note 4 2 2 3 2" xfId="1614"/>
    <cellStyle name="Note 4 2 2 3 2 2" xfId="3375"/>
    <cellStyle name="Note 4 2 2 3 2 2 2" xfId="6890"/>
    <cellStyle name="Note 4 2 2 3 2 2 2 2" xfId="19194"/>
    <cellStyle name="Note 4 2 2 3 2 2 2 2 2" xfId="42053"/>
    <cellStyle name="Note 4 2 2 3 2 2 2 3" xfId="29751"/>
    <cellStyle name="Note 4 2 2 3 2 2 3" xfId="10405"/>
    <cellStyle name="Note 4 2 2 3 2 2 3 2" xfId="22709"/>
    <cellStyle name="Note 4 2 2 3 2 2 3 2 2" xfId="45568"/>
    <cellStyle name="Note 4 2 2 3 2 2 3 3" xfId="33266"/>
    <cellStyle name="Note 4 2 2 3 2 2 4" xfId="15679"/>
    <cellStyle name="Note 4 2 2 3 2 2 4 2" xfId="38538"/>
    <cellStyle name="Note 4 2 2 3 2 2 5" xfId="26236"/>
    <cellStyle name="Note 4 2 2 3 2 3" xfId="5132"/>
    <cellStyle name="Note 4 2 2 3 2 3 2" xfId="17436"/>
    <cellStyle name="Note 4 2 2 3 2 3 2 2" xfId="40295"/>
    <cellStyle name="Note 4 2 2 3 2 3 3" xfId="27993"/>
    <cellStyle name="Note 4 2 2 3 2 4" xfId="8647"/>
    <cellStyle name="Note 4 2 2 3 2 4 2" xfId="20951"/>
    <cellStyle name="Note 4 2 2 3 2 4 2 2" xfId="43810"/>
    <cellStyle name="Note 4 2 2 3 2 4 3" xfId="31508"/>
    <cellStyle name="Note 4 2 2 3 2 5" xfId="12162"/>
    <cellStyle name="Note 4 2 2 3 2 5 2" xfId="35022"/>
    <cellStyle name="Note 4 2 2 3 2 6" xfId="13921"/>
    <cellStyle name="Note 4 2 2 3 2 6 2" xfId="36780"/>
    <cellStyle name="Note 4 2 2 3 2 7" xfId="24477"/>
    <cellStyle name="Note 4 2 2 3 3" xfId="2497"/>
    <cellStyle name="Note 4 2 2 3 3 2" xfId="6012"/>
    <cellStyle name="Note 4 2 2 3 3 2 2" xfId="18316"/>
    <cellStyle name="Note 4 2 2 3 3 2 2 2" xfId="41175"/>
    <cellStyle name="Note 4 2 2 3 3 2 3" xfId="28873"/>
    <cellStyle name="Note 4 2 2 3 3 3" xfId="9527"/>
    <cellStyle name="Note 4 2 2 3 3 3 2" xfId="21831"/>
    <cellStyle name="Note 4 2 2 3 3 3 2 2" xfId="44690"/>
    <cellStyle name="Note 4 2 2 3 3 3 3" xfId="32388"/>
    <cellStyle name="Note 4 2 2 3 3 4" xfId="14801"/>
    <cellStyle name="Note 4 2 2 3 3 4 2" xfId="37660"/>
    <cellStyle name="Note 4 2 2 3 3 5" xfId="25358"/>
    <cellStyle name="Note 4 2 2 3 4" xfId="4254"/>
    <cellStyle name="Note 4 2 2 3 4 2" xfId="16558"/>
    <cellStyle name="Note 4 2 2 3 4 2 2" xfId="39417"/>
    <cellStyle name="Note 4 2 2 3 4 3" xfId="27115"/>
    <cellStyle name="Note 4 2 2 3 5" xfId="7769"/>
    <cellStyle name="Note 4 2 2 3 5 2" xfId="20073"/>
    <cellStyle name="Note 4 2 2 3 5 2 2" xfId="42932"/>
    <cellStyle name="Note 4 2 2 3 5 3" xfId="30630"/>
    <cellStyle name="Note 4 2 2 3 6" xfId="11284"/>
    <cellStyle name="Note 4 2 2 3 6 2" xfId="34144"/>
    <cellStyle name="Note 4 2 2 3 7" xfId="13043"/>
    <cellStyle name="Note 4 2 2 3 7 2" xfId="35902"/>
    <cellStyle name="Note 4 2 2 3 8" xfId="23599"/>
    <cellStyle name="Note 4 2 2 4" xfId="1175"/>
    <cellStyle name="Note 4 2 2 4 2" xfId="2936"/>
    <cellStyle name="Note 4 2 2 4 2 2" xfId="6451"/>
    <cellStyle name="Note 4 2 2 4 2 2 2" xfId="18755"/>
    <cellStyle name="Note 4 2 2 4 2 2 2 2" xfId="41614"/>
    <cellStyle name="Note 4 2 2 4 2 2 3" xfId="29312"/>
    <cellStyle name="Note 4 2 2 4 2 3" xfId="9966"/>
    <cellStyle name="Note 4 2 2 4 2 3 2" xfId="22270"/>
    <cellStyle name="Note 4 2 2 4 2 3 2 2" xfId="45129"/>
    <cellStyle name="Note 4 2 2 4 2 3 3" xfId="32827"/>
    <cellStyle name="Note 4 2 2 4 2 4" xfId="15240"/>
    <cellStyle name="Note 4 2 2 4 2 4 2" xfId="38099"/>
    <cellStyle name="Note 4 2 2 4 2 5" xfId="25797"/>
    <cellStyle name="Note 4 2 2 4 3" xfId="4693"/>
    <cellStyle name="Note 4 2 2 4 3 2" xfId="16997"/>
    <cellStyle name="Note 4 2 2 4 3 2 2" xfId="39856"/>
    <cellStyle name="Note 4 2 2 4 3 3" xfId="27554"/>
    <cellStyle name="Note 4 2 2 4 4" xfId="8208"/>
    <cellStyle name="Note 4 2 2 4 4 2" xfId="20512"/>
    <cellStyle name="Note 4 2 2 4 4 2 2" xfId="43371"/>
    <cellStyle name="Note 4 2 2 4 4 3" xfId="31069"/>
    <cellStyle name="Note 4 2 2 4 5" xfId="11723"/>
    <cellStyle name="Note 4 2 2 4 5 2" xfId="34583"/>
    <cellStyle name="Note 4 2 2 4 6" xfId="13482"/>
    <cellStyle name="Note 4 2 2 4 6 2" xfId="36341"/>
    <cellStyle name="Note 4 2 2 4 7" xfId="24038"/>
    <cellStyle name="Note 4 2 2 5" xfId="2058"/>
    <cellStyle name="Note 4 2 2 5 2" xfId="5573"/>
    <cellStyle name="Note 4 2 2 5 2 2" xfId="17877"/>
    <cellStyle name="Note 4 2 2 5 2 2 2" xfId="40736"/>
    <cellStyle name="Note 4 2 2 5 2 3" xfId="28434"/>
    <cellStyle name="Note 4 2 2 5 3" xfId="9088"/>
    <cellStyle name="Note 4 2 2 5 3 2" xfId="21392"/>
    <cellStyle name="Note 4 2 2 5 3 2 2" xfId="44251"/>
    <cellStyle name="Note 4 2 2 5 3 3" xfId="31949"/>
    <cellStyle name="Note 4 2 2 5 4" xfId="14362"/>
    <cellStyle name="Note 4 2 2 5 4 2" xfId="37221"/>
    <cellStyle name="Note 4 2 2 5 5" xfId="24919"/>
    <cellStyle name="Note 4 2 2 6" xfId="3815"/>
    <cellStyle name="Note 4 2 2 6 2" xfId="16119"/>
    <cellStyle name="Note 4 2 2 6 2 2" xfId="38978"/>
    <cellStyle name="Note 4 2 2 6 3" xfId="26676"/>
    <cellStyle name="Note 4 2 2 7" xfId="7330"/>
    <cellStyle name="Note 4 2 2 7 2" xfId="19634"/>
    <cellStyle name="Note 4 2 2 7 2 2" xfId="42493"/>
    <cellStyle name="Note 4 2 2 7 3" xfId="30191"/>
    <cellStyle name="Note 4 2 2 8" xfId="10845"/>
    <cellStyle name="Note 4 2 2 8 2" xfId="33705"/>
    <cellStyle name="Note 4 2 2 9" xfId="12604"/>
    <cellStyle name="Note 4 2 2 9 2" xfId="35463"/>
    <cellStyle name="Note 4 2 3" xfId="400"/>
    <cellStyle name="Note 4 2 3 2" xfId="841"/>
    <cellStyle name="Note 4 2 3 2 2" xfId="1720"/>
    <cellStyle name="Note 4 2 3 2 2 2" xfId="3481"/>
    <cellStyle name="Note 4 2 3 2 2 2 2" xfId="6996"/>
    <cellStyle name="Note 4 2 3 2 2 2 2 2" xfId="19300"/>
    <cellStyle name="Note 4 2 3 2 2 2 2 2 2" xfId="42159"/>
    <cellStyle name="Note 4 2 3 2 2 2 2 3" xfId="29857"/>
    <cellStyle name="Note 4 2 3 2 2 2 3" xfId="10511"/>
    <cellStyle name="Note 4 2 3 2 2 2 3 2" xfId="22815"/>
    <cellStyle name="Note 4 2 3 2 2 2 3 2 2" xfId="45674"/>
    <cellStyle name="Note 4 2 3 2 2 2 3 3" xfId="33372"/>
    <cellStyle name="Note 4 2 3 2 2 2 4" xfId="15785"/>
    <cellStyle name="Note 4 2 3 2 2 2 4 2" xfId="38644"/>
    <cellStyle name="Note 4 2 3 2 2 2 5" xfId="26342"/>
    <cellStyle name="Note 4 2 3 2 2 3" xfId="5238"/>
    <cellStyle name="Note 4 2 3 2 2 3 2" xfId="17542"/>
    <cellStyle name="Note 4 2 3 2 2 3 2 2" xfId="40401"/>
    <cellStyle name="Note 4 2 3 2 2 3 3" xfId="28099"/>
    <cellStyle name="Note 4 2 3 2 2 4" xfId="8753"/>
    <cellStyle name="Note 4 2 3 2 2 4 2" xfId="21057"/>
    <cellStyle name="Note 4 2 3 2 2 4 2 2" xfId="43916"/>
    <cellStyle name="Note 4 2 3 2 2 4 3" xfId="31614"/>
    <cellStyle name="Note 4 2 3 2 2 5" xfId="12268"/>
    <cellStyle name="Note 4 2 3 2 2 5 2" xfId="35128"/>
    <cellStyle name="Note 4 2 3 2 2 6" xfId="14027"/>
    <cellStyle name="Note 4 2 3 2 2 6 2" xfId="36886"/>
    <cellStyle name="Note 4 2 3 2 2 7" xfId="24583"/>
    <cellStyle name="Note 4 2 3 2 3" xfId="2603"/>
    <cellStyle name="Note 4 2 3 2 3 2" xfId="6118"/>
    <cellStyle name="Note 4 2 3 2 3 2 2" xfId="18422"/>
    <cellStyle name="Note 4 2 3 2 3 2 2 2" xfId="41281"/>
    <cellStyle name="Note 4 2 3 2 3 2 3" xfId="28979"/>
    <cellStyle name="Note 4 2 3 2 3 3" xfId="9633"/>
    <cellStyle name="Note 4 2 3 2 3 3 2" xfId="21937"/>
    <cellStyle name="Note 4 2 3 2 3 3 2 2" xfId="44796"/>
    <cellStyle name="Note 4 2 3 2 3 3 3" xfId="32494"/>
    <cellStyle name="Note 4 2 3 2 3 4" xfId="14907"/>
    <cellStyle name="Note 4 2 3 2 3 4 2" xfId="37766"/>
    <cellStyle name="Note 4 2 3 2 3 5" xfId="25464"/>
    <cellStyle name="Note 4 2 3 2 4" xfId="4360"/>
    <cellStyle name="Note 4 2 3 2 4 2" xfId="16664"/>
    <cellStyle name="Note 4 2 3 2 4 2 2" xfId="39523"/>
    <cellStyle name="Note 4 2 3 2 4 3" xfId="27221"/>
    <cellStyle name="Note 4 2 3 2 5" xfId="7875"/>
    <cellStyle name="Note 4 2 3 2 5 2" xfId="20179"/>
    <cellStyle name="Note 4 2 3 2 5 2 2" xfId="43038"/>
    <cellStyle name="Note 4 2 3 2 5 3" xfId="30736"/>
    <cellStyle name="Note 4 2 3 2 6" xfId="11390"/>
    <cellStyle name="Note 4 2 3 2 6 2" xfId="34250"/>
    <cellStyle name="Note 4 2 3 2 7" xfId="13149"/>
    <cellStyle name="Note 4 2 3 2 7 2" xfId="36008"/>
    <cellStyle name="Note 4 2 3 2 8" xfId="23705"/>
    <cellStyle name="Note 4 2 3 3" xfId="1281"/>
    <cellStyle name="Note 4 2 3 3 2" xfId="3042"/>
    <cellStyle name="Note 4 2 3 3 2 2" xfId="6557"/>
    <cellStyle name="Note 4 2 3 3 2 2 2" xfId="18861"/>
    <cellStyle name="Note 4 2 3 3 2 2 2 2" xfId="41720"/>
    <cellStyle name="Note 4 2 3 3 2 2 3" xfId="29418"/>
    <cellStyle name="Note 4 2 3 3 2 3" xfId="10072"/>
    <cellStyle name="Note 4 2 3 3 2 3 2" xfId="22376"/>
    <cellStyle name="Note 4 2 3 3 2 3 2 2" xfId="45235"/>
    <cellStyle name="Note 4 2 3 3 2 3 3" xfId="32933"/>
    <cellStyle name="Note 4 2 3 3 2 4" xfId="15346"/>
    <cellStyle name="Note 4 2 3 3 2 4 2" xfId="38205"/>
    <cellStyle name="Note 4 2 3 3 2 5" xfId="25903"/>
    <cellStyle name="Note 4 2 3 3 3" xfId="4799"/>
    <cellStyle name="Note 4 2 3 3 3 2" xfId="17103"/>
    <cellStyle name="Note 4 2 3 3 3 2 2" xfId="39962"/>
    <cellStyle name="Note 4 2 3 3 3 3" xfId="27660"/>
    <cellStyle name="Note 4 2 3 3 4" xfId="8314"/>
    <cellStyle name="Note 4 2 3 3 4 2" xfId="20618"/>
    <cellStyle name="Note 4 2 3 3 4 2 2" xfId="43477"/>
    <cellStyle name="Note 4 2 3 3 4 3" xfId="31175"/>
    <cellStyle name="Note 4 2 3 3 5" xfId="11829"/>
    <cellStyle name="Note 4 2 3 3 5 2" xfId="34689"/>
    <cellStyle name="Note 4 2 3 3 6" xfId="13588"/>
    <cellStyle name="Note 4 2 3 3 6 2" xfId="36447"/>
    <cellStyle name="Note 4 2 3 3 7" xfId="24144"/>
    <cellStyle name="Note 4 2 3 4" xfId="2164"/>
    <cellStyle name="Note 4 2 3 4 2" xfId="5679"/>
    <cellStyle name="Note 4 2 3 4 2 2" xfId="17983"/>
    <cellStyle name="Note 4 2 3 4 2 2 2" xfId="40842"/>
    <cellStyle name="Note 4 2 3 4 2 3" xfId="28540"/>
    <cellStyle name="Note 4 2 3 4 3" xfId="9194"/>
    <cellStyle name="Note 4 2 3 4 3 2" xfId="21498"/>
    <cellStyle name="Note 4 2 3 4 3 2 2" xfId="44357"/>
    <cellStyle name="Note 4 2 3 4 3 3" xfId="32055"/>
    <cellStyle name="Note 4 2 3 4 4" xfId="14468"/>
    <cellStyle name="Note 4 2 3 4 4 2" xfId="37327"/>
    <cellStyle name="Note 4 2 3 4 5" xfId="25025"/>
    <cellStyle name="Note 4 2 3 5" xfId="3921"/>
    <cellStyle name="Note 4 2 3 5 2" xfId="16225"/>
    <cellStyle name="Note 4 2 3 5 2 2" xfId="39084"/>
    <cellStyle name="Note 4 2 3 5 3" xfId="26782"/>
    <cellStyle name="Note 4 2 3 6" xfId="7436"/>
    <cellStyle name="Note 4 2 3 6 2" xfId="19740"/>
    <cellStyle name="Note 4 2 3 6 2 2" xfId="42599"/>
    <cellStyle name="Note 4 2 3 6 3" xfId="30297"/>
    <cellStyle name="Note 4 2 3 7" xfId="10951"/>
    <cellStyle name="Note 4 2 3 7 2" xfId="33811"/>
    <cellStyle name="Note 4 2 3 8" xfId="12710"/>
    <cellStyle name="Note 4 2 3 8 2" xfId="35569"/>
    <cellStyle name="Note 4 2 3 9" xfId="23265"/>
    <cellStyle name="Note 4 2 4" xfId="629"/>
    <cellStyle name="Note 4 2 4 2" xfId="1508"/>
    <cellStyle name="Note 4 2 4 2 2" xfId="3269"/>
    <cellStyle name="Note 4 2 4 2 2 2" xfId="6784"/>
    <cellStyle name="Note 4 2 4 2 2 2 2" xfId="19088"/>
    <cellStyle name="Note 4 2 4 2 2 2 2 2" xfId="41947"/>
    <cellStyle name="Note 4 2 4 2 2 2 3" xfId="29645"/>
    <cellStyle name="Note 4 2 4 2 2 3" xfId="10299"/>
    <cellStyle name="Note 4 2 4 2 2 3 2" xfId="22603"/>
    <cellStyle name="Note 4 2 4 2 2 3 2 2" xfId="45462"/>
    <cellStyle name="Note 4 2 4 2 2 3 3" xfId="33160"/>
    <cellStyle name="Note 4 2 4 2 2 4" xfId="15573"/>
    <cellStyle name="Note 4 2 4 2 2 4 2" xfId="38432"/>
    <cellStyle name="Note 4 2 4 2 2 5" xfId="26130"/>
    <cellStyle name="Note 4 2 4 2 3" xfId="5026"/>
    <cellStyle name="Note 4 2 4 2 3 2" xfId="17330"/>
    <cellStyle name="Note 4 2 4 2 3 2 2" xfId="40189"/>
    <cellStyle name="Note 4 2 4 2 3 3" xfId="27887"/>
    <cellStyle name="Note 4 2 4 2 4" xfId="8541"/>
    <cellStyle name="Note 4 2 4 2 4 2" xfId="20845"/>
    <cellStyle name="Note 4 2 4 2 4 2 2" xfId="43704"/>
    <cellStyle name="Note 4 2 4 2 4 3" xfId="31402"/>
    <cellStyle name="Note 4 2 4 2 5" xfId="12056"/>
    <cellStyle name="Note 4 2 4 2 5 2" xfId="34916"/>
    <cellStyle name="Note 4 2 4 2 6" xfId="13815"/>
    <cellStyle name="Note 4 2 4 2 6 2" xfId="36674"/>
    <cellStyle name="Note 4 2 4 2 7" xfId="24371"/>
    <cellStyle name="Note 4 2 4 3" xfId="2391"/>
    <cellStyle name="Note 4 2 4 3 2" xfId="5906"/>
    <cellStyle name="Note 4 2 4 3 2 2" xfId="18210"/>
    <cellStyle name="Note 4 2 4 3 2 2 2" xfId="41069"/>
    <cellStyle name="Note 4 2 4 3 2 3" xfId="28767"/>
    <cellStyle name="Note 4 2 4 3 3" xfId="9421"/>
    <cellStyle name="Note 4 2 4 3 3 2" xfId="21725"/>
    <cellStyle name="Note 4 2 4 3 3 2 2" xfId="44584"/>
    <cellStyle name="Note 4 2 4 3 3 3" xfId="32282"/>
    <cellStyle name="Note 4 2 4 3 4" xfId="14695"/>
    <cellStyle name="Note 4 2 4 3 4 2" xfId="37554"/>
    <cellStyle name="Note 4 2 4 3 5" xfId="25252"/>
    <cellStyle name="Note 4 2 4 4" xfId="4148"/>
    <cellStyle name="Note 4 2 4 4 2" xfId="16452"/>
    <cellStyle name="Note 4 2 4 4 2 2" xfId="39311"/>
    <cellStyle name="Note 4 2 4 4 3" xfId="27009"/>
    <cellStyle name="Note 4 2 4 5" xfId="7663"/>
    <cellStyle name="Note 4 2 4 5 2" xfId="19967"/>
    <cellStyle name="Note 4 2 4 5 2 2" xfId="42826"/>
    <cellStyle name="Note 4 2 4 5 3" xfId="30524"/>
    <cellStyle name="Note 4 2 4 6" xfId="11178"/>
    <cellStyle name="Note 4 2 4 6 2" xfId="34038"/>
    <cellStyle name="Note 4 2 4 7" xfId="12937"/>
    <cellStyle name="Note 4 2 4 7 2" xfId="35796"/>
    <cellStyle name="Note 4 2 4 8" xfId="23493"/>
    <cellStyle name="Note 4 2 5" xfId="1069"/>
    <cellStyle name="Note 4 2 5 2" xfId="2830"/>
    <cellStyle name="Note 4 2 5 2 2" xfId="6345"/>
    <cellStyle name="Note 4 2 5 2 2 2" xfId="18649"/>
    <cellStyle name="Note 4 2 5 2 2 2 2" xfId="41508"/>
    <cellStyle name="Note 4 2 5 2 2 3" xfId="29206"/>
    <cellStyle name="Note 4 2 5 2 3" xfId="9860"/>
    <cellStyle name="Note 4 2 5 2 3 2" xfId="22164"/>
    <cellStyle name="Note 4 2 5 2 3 2 2" xfId="45023"/>
    <cellStyle name="Note 4 2 5 2 3 3" xfId="32721"/>
    <cellStyle name="Note 4 2 5 2 4" xfId="15134"/>
    <cellStyle name="Note 4 2 5 2 4 2" xfId="37993"/>
    <cellStyle name="Note 4 2 5 2 5" xfId="25691"/>
    <cellStyle name="Note 4 2 5 3" xfId="4587"/>
    <cellStyle name="Note 4 2 5 3 2" xfId="16891"/>
    <cellStyle name="Note 4 2 5 3 2 2" xfId="39750"/>
    <cellStyle name="Note 4 2 5 3 3" xfId="27448"/>
    <cellStyle name="Note 4 2 5 4" xfId="8102"/>
    <cellStyle name="Note 4 2 5 4 2" xfId="20406"/>
    <cellStyle name="Note 4 2 5 4 2 2" xfId="43265"/>
    <cellStyle name="Note 4 2 5 4 3" xfId="30963"/>
    <cellStyle name="Note 4 2 5 5" xfId="11617"/>
    <cellStyle name="Note 4 2 5 5 2" xfId="34477"/>
    <cellStyle name="Note 4 2 5 6" xfId="13376"/>
    <cellStyle name="Note 4 2 5 6 2" xfId="36235"/>
    <cellStyle name="Note 4 2 5 7" xfId="23932"/>
    <cellStyle name="Note 4 2 6" xfId="1952"/>
    <cellStyle name="Note 4 2 6 2" xfId="5467"/>
    <cellStyle name="Note 4 2 6 2 2" xfId="17771"/>
    <cellStyle name="Note 4 2 6 2 2 2" xfId="40630"/>
    <cellStyle name="Note 4 2 6 2 3" xfId="28328"/>
    <cellStyle name="Note 4 2 6 3" xfId="8982"/>
    <cellStyle name="Note 4 2 6 3 2" xfId="21286"/>
    <cellStyle name="Note 4 2 6 3 2 2" xfId="44145"/>
    <cellStyle name="Note 4 2 6 3 3" xfId="31843"/>
    <cellStyle name="Note 4 2 6 4" xfId="14256"/>
    <cellStyle name="Note 4 2 6 4 2" xfId="37115"/>
    <cellStyle name="Note 4 2 6 5" xfId="24813"/>
    <cellStyle name="Note 4 2 7" xfId="3709"/>
    <cellStyle name="Note 4 2 7 2" xfId="16013"/>
    <cellStyle name="Note 4 2 7 2 2" xfId="38872"/>
    <cellStyle name="Note 4 2 7 3" xfId="26570"/>
    <cellStyle name="Note 4 2 8" xfId="7224"/>
    <cellStyle name="Note 4 2 8 2" xfId="19528"/>
    <cellStyle name="Note 4 2 8 2 2" xfId="42387"/>
    <cellStyle name="Note 4 2 8 3" xfId="30085"/>
    <cellStyle name="Note 4 2 9" xfId="10739"/>
    <cellStyle name="Note 4 2 9 2" xfId="33599"/>
    <cellStyle name="Note 4 3" xfId="240"/>
    <cellStyle name="Note 4 3 10" xfId="23105"/>
    <cellStyle name="Note 4 3 2" xfId="452"/>
    <cellStyle name="Note 4 3 2 2" xfId="893"/>
    <cellStyle name="Note 4 3 2 2 2" xfId="1772"/>
    <cellStyle name="Note 4 3 2 2 2 2" xfId="3533"/>
    <cellStyle name="Note 4 3 2 2 2 2 2" xfId="7048"/>
    <cellStyle name="Note 4 3 2 2 2 2 2 2" xfId="19352"/>
    <cellStyle name="Note 4 3 2 2 2 2 2 2 2" xfId="42211"/>
    <cellStyle name="Note 4 3 2 2 2 2 2 3" xfId="29909"/>
    <cellStyle name="Note 4 3 2 2 2 2 3" xfId="10563"/>
    <cellStyle name="Note 4 3 2 2 2 2 3 2" xfId="22867"/>
    <cellStyle name="Note 4 3 2 2 2 2 3 2 2" xfId="45726"/>
    <cellStyle name="Note 4 3 2 2 2 2 3 3" xfId="33424"/>
    <cellStyle name="Note 4 3 2 2 2 2 4" xfId="15837"/>
    <cellStyle name="Note 4 3 2 2 2 2 4 2" xfId="38696"/>
    <cellStyle name="Note 4 3 2 2 2 2 5" xfId="26394"/>
    <cellStyle name="Note 4 3 2 2 2 3" xfId="5290"/>
    <cellStyle name="Note 4 3 2 2 2 3 2" xfId="17594"/>
    <cellStyle name="Note 4 3 2 2 2 3 2 2" xfId="40453"/>
    <cellStyle name="Note 4 3 2 2 2 3 3" xfId="28151"/>
    <cellStyle name="Note 4 3 2 2 2 4" xfId="8805"/>
    <cellStyle name="Note 4 3 2 2 2 4 2" xfId="21109"/>
    <cellStyle name="Note 4 3 2 2 2 4 2 2" xfId="43968"/>
    <cellStyle name="Note 4 3 2 2 2 4 3" xfId="31666"/>
    <cellStyle name="Note 4 3 2 2 2 5" xfId="12320"/>
    <cellStyle name="Note 4 3 2 2 2 5 2" xfId="35180"/>
    <cellStyle name="Note 4 3 2 2 2 6" xfId="14079"/>
    <cellStyle name="Note 4 3 2 2 2 6 2" xfId="36938"/>
    <cellStyle name="Note 4 3 2 2 2 7" xfId="24635"/>
    <cellStyle name="Note 4 3 2 2 3" xfId="2655"/>
    <cellStyle name="Note 4 3 2 2 3 2" xfId="6170"/>
    <cellStyle name="Note 4 3 2 2 3 2 2" xfId="18474"/>
    <cellStyle name="Note 4 3 2 2 3 2 2 2" xfId="41333"/>
    <cellStyle name="Note 4 3 2 2 3 2 3" xfId="29031"/>
    <cellStyle name="Note 4 3 2 2 3 3" xfId="9685"/>
    <cellStyle name="Note 4 3 2 2 3 3 2" xfId="21989"/>
    <cellStyle name="Note 4 3 2 2 3 3 2 2" xfId="44848"/>
    <cellStyle name="Note 4 3 2 2 3 3 3" xfId="32546"/>
    <cellStyle name="Note 4 3 2 2 3 4" xfId="14959"/>
    <cellStyle name="Note 4 3 2 2 3 4 2" xfId="37818"/>
    <cellStyle name="Note 4 3 2 2 3 5" xfId="25516"/>
    <cellStyle name="Note 4 3 2 2 4" xfId="4412"/>
    <cellStyle name="Note 4 3 2 2 4 2" xfId="16716"/>
    <cellStyle name="Note 4 3 2 2 4 2 2" xfId="39575"/>
    <cellStyle name="Note 4 3 2 2 4 3" xfId="27273"/>
    <cellStyle name="Note 4 3 2 2 5" xfId="7927"/>
    <cellStyle name="Note 4 3 2 2 5 2" xfId="20231"/>
    <cellStyle name="Note 4 3 2 2 5 2 2" xfId="43090"/>
    <cellStyle name="Note 4 3 2 2 5 3" xfId="30788"/>
    <cellStyle name="Note 4 3 2 2 6" xfId="11442"/>
    <cellStyle name="Note 4 3 2 2 6 2" xfId="34302"/>
    <cellStyle name="Note 4 3 2 2 7" xfId="13201"/>
    <cellStyle name="Note 4 3 2 2 7 2" xfId="36060"/>
    <cellStyle name="Note 4 3 2 2 8" xfId="23757"/>
    <cellStyle name="Note 4 3 2 3" xfId="1333"/>
    <cellStyle name="Note 4 3 2 3 2" xfId="3094"/>
    <cellStyle name="Note 4 3 2 3 2 2" xfId="6609"/>
    <cellStyle name="Note 4 3 2 3 2 2 2" xfId="18913"/>
    <cellStyle name="Note 4 3 2 3 2 2 2 2" xfId="41772"/>
    <cellStyle name="Note 4 3 2 3 2 2 3" xfId="29470"/>
    <cellStyle name="Note 4 3 2 3 2 3" xfId="10124"/>
    <cellStyle name="Note 4 3 2 3 2 3 2" xfId="22428"/>
    <cellStyle name="Note 4 3 2 3 2 3 2 2" xfId="45287"/>
    <cellStyle name="Note 4 3 2 3 2 3 3" xfId="32985"/>
    <cellStyle name="Note 4 3 2 3 2 4" xfId="15398"/>
    <cellStyle name="Note 4 3 2 3 2 4 2" xfId="38257"/>
    <cellStyle name="Note 4 3 2 3 2 5" xfId="25955"/>
    <cellStyle name="Note 4 3 2 3 3" xfId="4851"/>
    <cellStyle name="Note 4 3 2 3 3 2" xfId="17155"/>
    <cellStyle name="Note 4 3 2 3 3 2 2" xfId="40014"/>
    <cellStyle name="Note 4 3 2 3 3 3" xfId="27712"/>
    <cellStyle name="Note 4 3 2 3 4" xfId="8366"/>
    <cellStyle name="Note 4 3 2 3 4 2" xfId="20670"/>
    <cellStyle name="Note 4 3 2 3 4 2 2" xfId="43529"/>
    <cellStyle name="Note 4 3 2 3 4 3" xfId="31227"/>
    <cellStyle name="Note 4 3 2 3 5" xfId="11881"/>
    <cellStyle name="Note 4 3 2 3 5 2" xfId="34741"/>
    <cellStyle name="Note 4 3 2 3 6" xfId="13640"/>
    <cellStyle name="Note 4 3 2 3 6 2" xfId="36499"/>
    <cellStyle name="Note 4 3 2 3 7" xfId="24196"/>
    <cellStyle name="Note 4 3 2 4" xfId="2216"/>
    <cellStyle name="Note 4 3 2 4 2" xfId="5731"/>
    <cellStyle name="Note 4 3 2 4 2 2" xfId="18035"/>
    <cellStyle name="Note 4 3 2 4 2 2 2" xfId="40894"/>
    <cellStyle name="Note 4 3 2 4 2 3" xfId="28592"/>
    <cellStyle name="Note 4 3 2 4 3" xfId="9246"/>
    <cellStyle name="Note 4 3 2 4 3 2" xfId="21550"/>
    <cellStyle name="Note 4 3 2 4 3 2 2" xfId="44409"/>
    <cellStyle name="Note 4 3 2 4 3 3" xfId="32107"/>
    <cellStyle name="Note 4 3 2 4 4" xfId="14520"/>
    <cellStyle name="Note 4 3 2 4 4 2" xfId="37379"/>
    <cellStyle name="Note 4 3 2 4 5" xfId="25077"/>
    <cellStyle name="Note 4 3 2 5" xfId="3973"/>
    <cellStyle name="Note 4 3 2 5 2" xfId="16277"/>
    <cellStyle name="Note 4 3 2 5 2 2" xfId="39136"/>
    <cellStyle name="Note 4 3 2 5 3" xfId="26834"/>
    <cellStyle name="Note 4 3 2 6" xfId="7488"/>
    <cellStyle name="Note 4 3 2 6 2" xfId="19792"/>
    <cellStyle name="Note 4 3 2 6 2 2" xfId="42651"/>
    <cellStyle name="Note 4 3 2 6 3" xfId="30349"/>
    <cellStyle name="Note 4 3 2 7" xfId="11003"/>
    <cellStyle name="Note 4 3 2 7 2" xfId="33863"/>
    <cellStyle name="Note 4 3 2 8" xfId="12762"/>
    <cellStyle name="Note 4 3 2 8 2" xfId="35621"/>
    <cellStyle name="Note 4 3 2 9" xfId="23317"/>
    <cellStyle name="Note 4 3 3" xfId="681"/>
    <cellStyle name="Note 4 3 3 2" xfId="1560"/>
    <cellStyle name="Note 4 3 3 2 2" xfId="3321"/>
    <cellStyle name="Note 4 3 3 2 2 2" xfId="6836"/>
    <cellStyle name="Note 4 3 3 2 2 2 2" xfId="19140"/>
    <cellStyle name="Note 4 3 3 2 2 2 2 2" xfId="41999"/>
    <cellStyle name="Note 4 3 3 2 2 2 3" xfId="29697"/>
    <cellStyle name="Note 4 3 3 2 2 3" xfId="10351"/>
    <cellStyle name="Note 4 3 3 2 2 3 2" xfId="22655"/>
    <cellStyle name="Note 4 3 3 2 2 3 2 2" xfId="45514"/>
    <cellStyle name="Note 4 3 3 2 2 3 3" xfId="33212"/>
    <cellStyle name="Note 4 3 3 2 2 4" xfId="15625"/>
    <cellStyle name="Note 4 3 3 2 2 4 2" xfId="38484"/>
    <cellStyle name="Note 4 3 3 2 2 5" xfId="26182"/>
    <cellStyle name="Note 4 3 3 2 3" xfId="5078"/>
    <cellStyle name="Note 4 3 3 2 3 2" xfId="17382"/>
    <cellStyle name="Note 4 3 3 2 3 2 2" xfId="40241"/>
    <cellStyle name="Note 4 3 3 2 3 3" xfId="27939"/>
    <cellStyle name="Note 4 3 3 2 4" xfId="8593"/>
    <cellStyle name="Note 4 3 3 2 4 2" xfId="20897"/>
    <cellStyle name="Note 4 3 3 2 4 2 2" xfId="43756"/>
    <cellStyle name="Note 4 3 3 2 4 3" xfId="31454"/>
    <cellStyle name="Note 4 3 3 2 5" xfId="12108"/>
    <cellStyle name="Note 4 3 3 2 5 2" xfId="34968"/>
    <cellStyle name="Note 4 3 3 2 6" xfId="13867"/>
    <cellStyle name="Note 4 3 3 2 6 2" xfId="36726"/>
    <cellStyle name="Note 4 3 3 2 7" xfId="24423"/>
    <cellStyle name="Note 4 3 3 3" xfId="2443"/>
    <cellStyle name="Note 4 3 3 3 2" xfId="5958"/>
    <cellStyle name="Note 4 3 3 3 2 2" xfId="18262"/>
    <cellStyle name="Note 4 3 3 3 2 2 2" xfId="41121"/>
    <cellStyle name="Note 4 3 3 3 2 3" xfId="28819"/>
    <cellStyle name="Note 4 3 3 3 3" xfId="9473"/>
    <cellStyle name="Note 4 3 3 3 3 2" xfId="21777"/>
    <cellStyle name="Note 4 3 3 3 3 2 2" xfId="44636"/>
    <cellStyle name="Note 4 3 3 3 3 3" xfId="32334"/>
    <cellStyle name="Note 4 3 3 3 4" xfId="14747"/>
    <cellStyle name="Note 4 3 3 3 4 2" xfId="37606"/>
    <cellStyle name="Note 4 3 3 3 5" xfId="25304"/>
    <cellStyle name="Note 4 3 3 4" xfId="4200"/>
    <cellStyle name="Note 4 3 3 4 2" xfId="16504"/>
    <cellStyle name="Note 4 3 3 4 2 2" xfId="39363"/>
    <cellStyle name="Note 4 3 3 4 3" xfId="27061"/>
    <cellStyle name="Note 4 3 3 5" xfId="7715"/>
    <cellStyle name="Note 4 3 3 5 2" xfId="20019"/>
    <cellStyle name="Note 4 3 3 5 2 2" xfId="42878"/>
    <cellStyle name="Note 4 3 3 5 3" xfId="30576"/>
    <cellStyle name="Note 4 3 3 6" xfId="11230"/>
    <cellStyle name="Note 4 3 3 6 2" xfId="34090"/>
    <cellStyle name="Note 4 3 3 7" xfId="12989"/>
    <cellStyle name="Note 4 3 3 7 2" xfId="35848"/>
    <cellStyle name="Note 4 3 3 8" xfId="23545"/>
    <cellStyle name="Note 4 3 4" xfId="1121"/>
    <cellStyle name="Note 4 3 4 2" xfId="2882"/>
    <cellStyle name="Note 4 3 4 2 2" xfId="6397"/>
    <cellStyle name="Note 4 3 4 2 2 2" xfId="18701"/>
    <cellStyle name="Note 4 3 4 2 2 2 2" xfId="41560"/>
    <cellStyle name="Note 4 3 4 2 2 3" xfId="29258"/>
    <cellStyle name="Note 4 3 4 2 3" xfId="9912"/>
    <cellStyle name="Note 4 3 4 2 3 2" xfId="22216"/>
    <cellStyle name="Note 4 3 4 2 3 2 2" xfId="45075"/>
    <cellStyle name="Note 4 3 4 2 3 3" xfId="32773"/>
    <cellStyle name="Note 4 3 4 2 4" xfId="15186"/>
    <cellStyle name="Note 4 3 4 2 4 2" xfId="38045"/>
    <cellStyle name="Note 4 3 4 2 5" xfId="25743"/>
    <cellStyle name="Note 4 3 4 3" xfId="4639"/>
    <cellStyle name="Note 4 3 4 3 2" xfId="16943"/>
    <cellStyle name="Note 4 3 4 3 2 2" xfId="39802"/>
    <cellStyle name="Note 4 3 4 3 3" xfId="27500"/>
    <cellStyle name="Note 4 3 4 4" xfId="8154"/>
    <cellStyle name="Note 4 3 4 4 2" xfId="20458"/>
    <cellStyle name="Note 4 3 4 4 2 2" xfId="43317"/>
    <cellStyle name="Note 4 3 4 4 3" xfId="31015"/>
    <cellStyle name="Note 4 3 4 5" xfId="11669"/>
    <cellStyle name="Note 4 3 4 5 2" xfId="34529"/>
    <cellStyle name="Note 4 3 4 6" xfId="13428"/>
    <cellStyle name="Note 4 3 4 6 2" xfId="36287"/>
    <cellStyle name="Note 4 3 4 7" xfId="23984"/>
    <cellStyle name="Note 4 3 5" xfId="2004"/>
    <cellStyle name="Note 4 3 5 2" xfId="5519"/>
    <cellStyle name="Note 4 3 5 2 2" xfId="17823"/>
    <cellStyle name="Note 4 3 5 2 2 2" xfId="40682"/>
    <cellStyle name="Note 4 3 5 2 3" xfId="28380"/>
    <cellStyle name="Note 4 3 5 3" xfId="9034"/>
    <cellStyle name="Note 4 3 5 3 2" xfId="21338"/>
    <cellStyle name="Note 4 3 5 3 2 2" xfId="44197"/>
    <cellStyle name="Note 4 3 5 3 3" xfId="31895"/>
    <cellStyle name="Note 4 3 5 4" xfId="14308"/>
    <cellStyle name="Note 4 3 5 4 2" xfId="37167"/>
    <cellStyle name="Note 4 3 5 5" xfId="24865"/>
    <cellStyle name="Note 4 3 6" xfId="3761"/>
    <cellStyle name="Note 4 3 6 2" xfId="16065"/>
    <cellStyle name="Note 4 3 6 2 2" xfId="38924"/>
    <cellStyle name="Note 4 3 6 3" xfId="26622"/>
    <cellStyle name="Note 4 3 7" xfId="7276"/>
    <cellStyle name="Note 4 3 7 2" xfId="19580"/>
    <cellStyle name="Note 4 3 7 2 2" xfId="42439"/>
    <cellStyle name="Note 4 3 7 3" xfId="30137"/>
    <cellStyle name="Note 4 3 8" xfId="10791"/>
    <cellStyle name="Note 4 3 8 2" xfId="33651"/>
    <cellStyle name="Note 4 3 9" xfId="12550"/>
    <cellStyle name="Note 4 3 9 2" xfId="35409"/>
    <cellStyle name="Note 4 4" xfId="346"/>
    <cellStyle name="Note 4 4 2" xfId="787"/>
    <cellStyle name="Note 4 4 2 2" xfId="1666"/>
    <cellStyle name="Note 4 4 2 2 2" xfId="3427"/>
    <cellStyle name="Note 4 4 2 2 2 2" xfId="6942"/>
    <cellStyle name="Note 4 4 2 2 2 2 2" xfId="19246"/>
    <cellStyle name="Note 4 4 2 2 2 2 2 2" xfId="42105"/>
    <cellStyle name="Note 4 4 2 2 2 2 3" xfId="29803"/>
    <cellStyle name="Note 4 4 2 2 2 3" xfId="10457"/>
    <cellStyle name="Note 4 4 2 2 2 3 2" xfId="22761"/>
    <cellStyle name="Note 4 4 2 2 2 3 2 2" xfId="45620"/>
    <cellStyle name="Note 4 4 2 2 2 3 3" xfId="33318"/>
    <cellStyle name="Note 4 4 2 2 2 4" xfId="15731"/>
    <cellStyle name="Note 4 4 2 2 2 4 2" xfId="38590"/>
    <cellStyle name="Note 4 4 2 2 2 5" xfId="26288"/>
    <cellStyle name="Note 4 4 2 2 3" xfId="5184"/>
    <cellStyle name="Note 4 4 2 2 3 2" xfId="17488"/>
    <cellStyle name="Note 4 4 2 2 3 2 2" xfId="40347"/>
    <cellStyle name="Note 4 4 2 2 3 3" xfId="28045"/>
    <cellStyle name="Note 4 4 2 2 4" xfId="8699"/>
    <cellStyle name="Note 4 4 2 2 4 2" xfId="21003"/>
    <cellStyle name="Note 4 4 2 2 4 2 2" xfId="43862"/>
    <cellStyle name="Note 4 4 2 2 4 3" xfId="31560"/>
    <cellStyle name="Note 4 4 2 2 5" xfId="12214"/>
    <cellStyle name="Note 4 4 2 2 5 2" xfId="35074"/>
    <cellStyle name="Note 4 4 2 2 6" xfId="13973"/>
    <cellStyle name="Note 4 4 2 2 6 2" xfId="36832"/>
    <cellStyle name="Note 4 4 2 2 7" xfId="24529"/>
    <cellStyle name="Note 4 4 2 3" xfId="2549"/>
    <cellStyle name="Note 4 4 2 3 2" xfId="6064"/>
    <cellStyle name="Note 4 4 2 3 2 2" xfId="18368"/>
    <cellStyle name="Note 4 4 2 3 2 2 2" xfId="41227"/>
    <cellStyle name="Note 4 4 2 3 2 3" xfId="28925"/>
    <cellStyle name="Note 4 4 2 3 3" xfId="9579"/>
    <cellStyle name="Note 4 4 2 3 3 2" xfId="21883"/>
    <cellStyle name="Note 4 4 2 3 3 2 2" xfId="44742"/>
    <cellStyle name="Note 4 4 2 3 3 3" xfId="32440"/>
    <cellStyle name="Note 4 4 2 3 4" xfId="14853"/>
    <cellStyle name="Note 4 4 2 3 4 2" xfId="37712"/>
    <cellStyle name="Note 4 4 2 3 5" xfId="25410"/>
    <cellStyle name="Note 4 4 2 4" xfId="4306"/>
    <cellStyle name="Note 4 4 2 4 2" xfId="16610"/>
    <cellStyle name="Note 4 4 2 4 2 2" xfId="39469"/>
    <cellStyle name="Note 4 4 2 4 3" xfId="27167"/>
    <cellStyle name="Note 4 4 2 5" xfId="7821"/>
    <cellStyle name="Note 4 4 2 5 2" xfId="20125"/>
    <cellStyle name="Note 4 4 2 5 2 2" xfId="42984"/>
    <cellStyle name="Note 4 4 2 5 3" xfId="30682"/>
    <cellStyle name="Note 4 4 2 6" xfId="11336"/>
    <cellStyle name="Note 4 4 2 6 2" xfId="34196"/>
    <cellStyle name="Note 4 4 2 7" xfId="13095"/>
    <cellStyle name="Note 4 4 2 7 2" xfId="35954"/>
    <cellStyle name="Note 4 4 2 8" xfId="23651"/>
    <cellStyle name="Note 4 4 3" xfId="1227"/>
    <cellStyle name="Note 4 4 3 2" xfId="2988"/>
    <cellStyle name="Note 4 4 3 2 2" xfId="6503"/>
    <cellStyle name="Note 4 4 3 2 2 2" xfId="18807"/>
    <cellStyle name="Note 4 4 3 2 2 2 2" xfId="41666"/>
    <cellStyle name="Note 4 4 3 2 2 3" xfId="29364"/>
    <cellStyle name="Note 4 4 3 2 3" xfId="10018"/>
    <cellStyle name="Note 4 4 3 2 3 2" xfId="22322"/>
    <cellStyle name="Note 4 4 3 2 3 2 2" xfId="45181"/>
    <cellStyle name="Note 4 4 3 2 3 3" xfId="32879"/>
    <cellStyle name="Note 4 4 3 2 4" xfId="15292"/>
    <cellStyle name="Note 4 4 3 2 4 2" xfId="38151"/>
    <cellStyle name="Note 4 4 3 2 5" xfId="25849"/>
    <cellStyle name="Note 4 4 3 3" xfId="4745"/>
    <cellStyle name="Note 4 4 3 3 2" xfId="17049"/>
    <cellStyle name="Note 4 4 3 3 2 2" xfId="39908"/>
    <cellStyle name="Note 4 4 3 3 3" xfId="27606"/>
    <cellStyle name="Note 4 4 3 4" xfId="8260"/>
    <cellStyle name="Note 4 4 3 4 2" xfId="20564"/>
    <cellStyle name="Note 4 4 3 4 2 2" xfId="43423"/>
    <cellStyle name="Note 4 4 3 4 3" xfId="31121"/>
    <cellStyle name="Note 4 4 3 5" xfId="11775"/>
    <cellStyle name="Note 4 4 3 5 2" xfId="34635"/>
    <cellStyle name="Note 4 4 3 6" xfId="13534"/>
    <cellStyle name="Note 4 4 3 6 2" xfId="36393"/>
    <cellStyle name="Note 4 4 3 7" xfId="24090"/>
    <cellStyle name="Note 4 4 4" xfId="2110"/>
    <cellStyle name="Note 4 4 4 2" xfId="5625"/>
    <cellStyle name="Note 4 4 4 2 2" xfId="17929"/>
    <cellStyle name="Note 4 4 4 2 2 2" xfId="40788"/>
    <cellStyle name="Note 4 4 4 2 3" xfId="28486"/>
    <cellStyle name="Note 4 4 4 3" xfId="9140"/>
    <cellStyle name="Note 4 4 4 3 2" xfId="21444"/>
    <cellStyle name="Note 4 4 4 3 2 2" xfId="44303"/>
    <cellStyle name="Note 4 4 4 3 3" xfId="32001"/>
    <cellStyle name="Note 4 4 4 4" xfId="14414"/>
    <cellStyle name="Note 4 4 4 4 2" xfId="37273"/>
    <cellStyle name="Note 4 4 4 5" xfId="24971"/>
    <cellStyle name="Note 4 4 5" xfId="3867"/>
    <cellStyle name="Note 4 4 5 2" xfId="16171"/>
    <cellStyle name="Note 4 4 5 2 2" xfId="39030"/>
    <cellStyle name="Note 4 4 5 3" xfId="26728"/>
    <cellStyle name="Note 4 4 6" xfId="7382"/>
    <cellStyle name="Note 4 4 6 2" xfId="19686"/>
    <cellStyle name="Note 4 4 6 2 2" xfId="42545"/>
    <cellStyle name="Note 4 4 6 3" xfId="30243"/>
    <cellStyle name="Note 4 4 7" xfId="10897"/>
    <cellStyle name="Note 4 4 7 2" xfId="33757"/>
    <cellStyle name="Note 4 4 8" xfId="12656"/>
    <cellStyle name="Note 4 4 8 2" xfId="35515"/>
    <cellStyle name="Note 4 4 9" xfId="23211"/>
    <cellStyle name="Note 4 5" xfId="575"/>
    <cellStyle name="Note 4 5 2" xfId="1454"/>
    <cellStyle name="Note 4 5 2 2" xfId="3215"/>
    <cellStyle name="Note 4 5 2 2 2" xfId="6730"/>
    <cellStyle name="Note 4 5 2 2 2 2" xfId="19034"/>
    <cellStyle name="Note 4 5 2 2 2 2 2" xfId="41893"/>
    <cellStyle name="Note 4 5 2 2 2 3" xfId="29591"/>
    <cellStyle name="Note 4 5 2 2 3" xfId="10245"/>
    <cellStyle name="Note 4 5 2 2 3 2" xfId="22549"/>
    <cellStyle name="Note 4 5 2 2 3 2 2" xfId="45408"/>
    <cellStyle name="Note 4 5 2 2 3 3" xfId="33106"/>
    <cellStyle name="Note 4 5 2 2 4" xfId="15519"/>
    <cellStyle name="Note 4 5 2 2 4 2" xfId="38378"/>
    <cellStyle name="Note 4 5 2 2 5" xfId="26076"/>
    <cellStyle name="Note 4 5 2 3" xfId="4972"/>
    <cellStyle name="Note 4 5 2 3 2" xfId="17276"/>
    <cellStyle name="Note 4 5 2 3 2 2" xfId="40135"/>
    <cellStyle name="Note 4 5 2 3 3" xfId="27833"/>
    <cellStyle name="Note 4 5 2 4" xfId="8487"/>
    <cellStyle name="Note 4 5 2 4 2" xfId="20791"/>
    <cellStyle name="Note 4 5 2 4 2 2" xfId="43650"/>
    <cellStyle name="Note 4 5 2 4 3" xfId="31348"/>
    <cellStyle name="Note 4 5 2 5" xfId="12002"/>
    <cellStyle name="Note 4 5 2 5 2" xfId="34862"/>
    <cellStyle name="Note 4 5 2 6" xfId="13761"/>
    <cellStyle name="Note 4 5 2 6 2" xfId="36620"/>
    <cellStyle name="Note 4 5 2 7" xfId="24317"/>
    <cellStyle name="Note 4 5 3" xfId="2337"/>
    <cellStyle name="Note 4 5 3 2" xfId="5852"/>
    <cellStyle name="Note 4 5 3 2 2" xfId="18156"/>
    <cellStyle name="Note 4 5 3 2 2 2" xfId="41015"/>
    <cellStyle name="Note 4 5 3 2 3" xfId="28713"/>
    <cellStyle name="Note 4 5 3 3" xfId="9367"/>
    <cellStyle name="Note 4 5 3 3 2" xfId="21671"/>
    <cellStyle name="Note 4 5 3 3 2 2" xfId="44530"/>
    <cellStyle name="Note 4 5 3 3 3" xfId="32228"/>
    <cellStyle name="Note 4 5 3 4" xfId="14641"/>
    <cellStyle name="Note 4 5 3 4 2" xfId="37500"/>
    <cellStyle name="Note 4 5 3 5" xfId="25198"/>
    <cellStyle name="Note 4 5 4" xfId="4094"/>
    <cellStyle name="Note 4 5 4 2" xfId="16398"/>
    <cellStyle name="Note 4 5 4 2 2" xfId="39257"/>
    <cellStyle name="Note 4 5 4 3" xfId="26955"/>
    <cellStyle name="Note 4 5 5" xfId="7609"/>
    <cellStyle name="Note 4 5 5 2" xfId="19913"/>
    <cellStyle name="Note 4 5 5 2 2" xfId="42772"/>
    <cellStyle name="Note 4 5 5 3" xfId="30470"/>
    <cellStyle name="Note 4 5 6" xfId="11124"/>
    <cellStyle name="Note 4 5 6 2" xfId="33984"/>
    <cellStyle name="Note 4 5 7" xfId="12883"/>
    <cellStyle name="Note 4 5 7 2" xfId="35742"/>
    <cellStyle name="Note 4 5 8" xfId="23439"/>
    <cellStyle name="Note 4 6" xfId="1015"/>
    <cellStyle name="Note 4 6 2" xfId="2776"/>
    <cellStyle name="Note 4 6 2 2" xfId="6291"/>
    <cellStyle name="Note 4 6 2 2 2" xfId="18595"/>
    <cellStyle name="Note 4 6 2 2 2 2" xfId="41454"/>
    <cellStyle name="Note 4 6 2 2 3" xfId="29152"/>
    <cellStyle name="Note 4 6 2 3" xfId="9806"/>
    <cellStyle name="Note 4 6 2 3 2" xfId="22110"/>
    <cellStyle name="Note 4 6 2 3 2 2" xfId="44969"/>
    <cellStyle name="Note 4 6 2 3 3" xfId="32667"/>
    <cellStyle name="Note 4 6 2 4" xfId="15080"/>
    <cellStyle name="Note 4 6 2 4 2" xfId="37939"/>
    <cellStyle name="Note 4 6 2 5" xfId="25637"/>
    <cellStyle name="Note 4 6 3" xfId="4533"/>
    <cellStyle name="Note 4 6 3 2" xfId="16837"/>
    <cellStyle name="Note 4 6 3 2 2" xfId="39696"/>
    <cellStyle name="Note 4 6 3 3" xfId="27394"/>
    <cellStyle name="Note 4 6 4" xfId="8048"/>
    <cellStyle name="Note 4 6 4 2" xfId="20352"/>
    <cellStyle name="Note 4 6 4 2 2" xfId="43211"/>
    <cellStyle name="Note 4 6 4 3" xfId="30909"/>
    <cellStyle name="Note 4 6 5" xfId="11563"/>
    <cellStyle name="Note 4 6 5 2" xfId="34423"/>
    <cellStyle name="Note 4 6 6" xfId="13322"/>
    <cellStyle name="Note 4 6 6 2" xfId="36181"/>
    <cellStyle name="Note 4 6 7" xfId="23878"/>
    <cellStyle name="Note 4 7" xfId="1898"/>
    <cellStyle name="Note 4 7 2" xfId="5413"/>
    <cellStyle name="Note 4 7 2 2" xfId="17717"/>
    <cellStyle name="Note 4 7 2 2 2" xfId="40576"/>
    <cellStyle name="Note 4 7 2 3" xfId="28274"/>
    <cellStyle name="Note 4 7 3" xfId="8928"/>
    <cellStyle name="Note 4 7 3 2" xfId="21232"/>
    <cellStyle name="Note 4 7 3 2 2" xfId="44091"/>
    <cellStyle name="Note 4 7 3 3" xfId="31789"/>
    <cellStyle name="Note 4 7 4" xfId="14202"/>
    <cellStyle name="Note 4 7 4 2" xfId="37061"/>
    <cellStyle name="Note 4 7 5" xfId="24759"/>
    <cellStyle name="Note 4 8" xfId="3655"/>
    <cellStyle name="Note 4 8 2" xfId="15959"/>
    <cellStyle name="Note 4 8 2 2" xfId="38818"/>
    <cellStyle name="Note 4 8 3" xfId="26516"/>
    <cellStyle name="Note 4 9" xfId="7170"/>
    <cellStyle name="Note 4 9 2" xfId="19474"/>
    <cellStyle name="Note 4 9 2 2" xfId="42333"/>
    <cellStyle name="Note 4 9 3" xfId="30031"/>
    <cellStyle name="Note 5" xfId="135"/>
    <cellStyle name="Note 5 10" xfId="12447"/>
    <cellStyle name="Note 5 10 2" xfId="35306"/>
    <cellStyle name="Note 5 11" xfId="23001"/>
    <cellStyle name="Note 5 2" xfId="243"/>
    <cellStyle name="Note 5 2 10" xfId="23108"/>
    <cellStyle name="Note 5 2 2" xfId="455"/>
    <cellStyle name="Note 5 2 2 2" xfId="896"/>
    <cellStyle name="Note 5 2 2 2 2" xfId="1775"/>
    <cellStyle name="Note 5 2 2 2 2 2" xfId="3536"/>
    <cellStyle name="Note 5 2 2 2 2 2 2" xfId="7051"/>
    <cellStyle name="Note 5 2 2 2 2 2 2 2" xfId="19355"/>
    <cellStyle name="Note 5 2 2 2 2 2 2 2 2" xfId="42214"/>
    <cellStyle name="Note 5 2 2 2 2 2 2 3" xfId="29912"/>
    <cellStyle name="Note 5 2 2 2 2 2 3" xfId="10566"/>
    <cellStyle name="Note 5 2 2 2 2 2 3 2" xfId="22870"/>
    <cellStyle name="Note 5 2 2 2 2 2 3 2 2" xfId="45729"/>
    <cellStyle name="Note 5 2 2 2 2 2 3 3" xfId="33427"/>
    <cellStyle name="Note 5 2 2 2 2 2 4" xfId="15840"/>
    <cellStyle name="Note 5 2 2 2 2 2 4 2" xfId="38699"/>
    <cellStyle name="Note 5 2 2 2 2 2 5" xfId="26397"/>
    <cellStyle name="Note 5 2 2 2 2 3" xfId="5293"/>
    <cellStyle name="Note 5 2 2 2 2 3 2" xfId="17597"/>
    <cellStyle name="Note 5 2 2 2 2 3 2 2" xfId="40456"/>
    <cellStyle name="Note 5 2 2 2 2 3 3" xfId="28154"/>
    <cellStyle name="Note 5 2 2 2 2 4" xfId="8808"/>
    <cellStyle name="Note 5 2 2 2 2 4 2" xfId="21112"/>
    <cellStyle name="Note 5 2 2 2 2 4 2 2" xfId="43971"/>
    <cellStyle name="Note 5 2 2 2 2 4 3" xfId="31669"/>
    <cellStyle name="Note 5 2 2 2 2 5" xfId="12323"/>
    <cellStyle name="Note 5 2 2 2 2 5 2" xfId="35183"/>
    <cellStyle name="Note 5 2 2 2 2 6" xfId="14082"/>
    <cellStyle name="Note 5 2 2 2 2 6 2" xfId="36941"/>
    <cellStyle name="Note 5 2 2 2 2 7" xfId="24638"/>
    <cellStyle name="Note 5 2 2 2 3" xfId="2658"/>
    <cellStyle name="Note 5 2 2 2 3 2" xfId="6173"/>
    <cellStyle name="Note 5 2 2 2 3 2 2" xfId="18477"/>
    <cellStyle name="Note 5 2 2 2 3 2 2 2" xfId="41336"/>
    <cellStyle name="Note 5 2 2 2 3 2 3" xfId="29034"/>
    <cellStyle name="Note 5 2 2 2 3 3" xfId="9688"/>
    <cellStyle name="Note 5 2 2 2 3 3 2" xfId="21992"/>
    <cellStyle name="Note 5 2 2 2 3 3 2 2" xfId="44851"/>
    <cellStyle name="Note 5 2 2 2 3 3 3" xfId="32549"/>
    <cellStyle name="Note 5 2 2 2 3 4" xfId="14962"/>
    <cellStyle name="Note 5 2 2 2 3 4 2" xfId="37821"/>
    <cellStyle name="Note 5 2 2 2 3 5" xfId="25519"/>
    <cellStyle name="Note 5 2 2 2 4" xfId="4415"/>
    <cellStyle name="Note 5 2 2 2 4 2" xfId="16719"/>
    <cellStyle name="Note 5 2 2 2 4 2 2" xfId="39578"/>
    <cellStyle name="Note 5 2 2 2 4 3" xfId="27276"/>
    <cellStyle name="Note 5 2 2 2 5" xfId="7930"/>
    <cellStyle name="Note 5 2 2 2 5 2" xfId="20234"/>
    <cellStyle name="Note 5 2 2 2 5 2 2" xfId="43093"/>
    <cellStyle name="Note 5 2 2 2 5 3" xfId="30791"/>
    <cellStyle name="Note 5 2 2 2 6" xfId="11445"/>
    <cellStyle name="Note 5 2 2 2 6 2" xfId="34305"/>
    <cellStyle name="Note 5 2 2 2 7" xfId="13204"/>
    <cellStyle name="Note 5 2 2 2 7 2" xfId="36063"/>
    <cellStyle name="Note 5 2 2 2 8" xfId="23760"/>
    <cellStyle name="Note 5 2 2 3" xfId="1336"/>
    <cellStyle name="Note 5 2 2 3 2" xfId="3097"/>
    <cellStyle name="Note 5 2 2 3 2 2" xfId="6612"/>
    <cellStyle name="Note 5 2 2 3 2 2 2" xfId="18916"/>
    <cellStyle name="Note 5 2 2 3 2 2 2 2" xfId="41775"/>
    <cellStyle name="Note 5 2 2 3 2 2 3" xfId="29473"/>
    <cellStyle name="Note 5 2 2 3 2 3" xfId="10127"/>
    <cellStyle name="Note 5 2 2 3 2 3 2" xfId="22431"/>
    <cellStyle name="Note 5 2 2 3 2 3 2 2" xfId="45290"/>
    <cellStyle name="Note 5 2 2 3 2 3 3" xfId="32988"/>
    <cellStyle name="Note 5 2 2 3 2 4" xfId="15401"/>
    <cellStyle name="Note 5 2 2 3 2 4 2" xfId="38260"/>
    <cellStyle name="Note 5 2 2 3 2 5" xfId="25958"/>
    <cellStyle name="Note 5 2 2 3 3" xfId="4854"/>
    <cellStyle name="Note 5 2 2 3 3 2" xfId="17158"/>
    <cellStyle name="Note 5 2 2 3 3 2 2" xfId="40017"/>
    <cellStyle name="Note 5 2 2 3 3 3" xfId="27715"/>
    <cellStyle name="Note 5 2 2 3 4" xfId="8369"/>
    <cellStyle name="Note 5 2 2 3 4 2" xfId="20673"/>
    <cellStyle name="Note 5 2 2 3 4 2 2" xfId="43532"/>
    <cellStyle name="Note 5 2 2 3 4 3" xfId="31230"/>
    <cellStyle name="Note 5 2 2 3 5" xfId="11884"/>
    <cellStyle name="Note 5 2 2 3 5 2" xfId="34744"/>
    <cellStyle name="Note 5 2 2 3 6" xfId="13643"/>
    <cellStyle name="Note 5 2 2 3 6 2" xfId="36502"/>
    <cellStyle name="Note 5 2 2 3 7" xfId="24199"/>
    <cellStyle name="Note 5 2 2 4" xfId="2219"/>
    <cellStyle name="Note 5 2 2 4 2" xfId="5734"/>
    <cellStyle name="Note 5 2 2 4 2 2" xfId="18038"/>
    <cellStyle name="Note 5 2 2 4 2 2 2" xfId="40897"/>
    <cellStyle name="Note 5 2 2 4 2 3" xfId="28595"/>
    <cellStyle name="Note 5 2 2 4 3" xfId="9249"/>
    <cellStyle name="Note 5 2 2 4 3 2" xfId="21553"/>
    <cellStyle name="Note 5 2 2 4 3 2 2" xfId="44412"/>
    <cellStyle name="Note 5 2 2 4 3 3" xfId="32110"/>
    <cellStyle name="Note 5 2 2 4 4" xfId="14523"/>
    <cellStyle name="Note 5 2 2 4 4 2" xfId="37382"/>
    <cellStyle name="Note 5 2 2 4 5" xfId="25080"/>
    <cellStyle name="Note 5 2 2 5" xfId="3976"/>
    <cellStyle name="Note 5 2 2 5 2" xfId="16280"/>
    <cellStyle name="Note 5 2 2 5 2 2" xfId="39139"/>
    <cellStyle name="Note 5 2 2 5 3" xfId="26837"/>
    <cellStyle name="Note 5 2 2 6" xfId="7491"/>
    <cellStyle name="Note 5 2 2 6 2" xfId="19795"/>
    <cellStyle name="Note 5 2 2 6 2 2" xfId="42654"/>
    <cellStyle name="Note 5 2 2 6 3" xfId="30352"/>
    <cellStyle name="Note 5 2 2 7" xfId="11006"/>
    <cellStyle name="Note 5 2 2 7 2" xfId="33866"/>
    <cellStyle name="Note 5 2 2 8" xfId="12765"/>
    <cellStyle name="Note 5 2 2 8 2" xfId="35624"/>
    <cellStyle name="Note 5 2 2 9" xfId="23320"/>
    <cellStyle name="Note 5 2 3" xfId="684"/>
    <cellStyle name="Note 5 2 3 2" xfId="1563"/>
    <cellStyle name="Note 5 2 3 2 2" xfId="3324"/>
    <cellStyle name="Note 5 2 3 2 2 2" xfId="6839"/>
    <cellStyle name="Note 5 2 3 2 2 2 2" xfId="19143"/>
    <cellStyle name="Note 5 2 3 2 2 2 2 2" xfId="42002"/>
    <cellStyle name="Note 5 2 3 2 2 2 3" xfId="29700"/>
    <cellStyle name="Note 5 2 3 2 2 3" xfId="10354"/>
    <cellStyle name="Note 5 2 3 2 2 3 2" xfId="22658"/>
    <cellStyle name="Note 5 2 3 2 2 3 2 2" xfId="45517"/>
    <cellStyle name="Note 5 2 3 2 2 3 3" xfId="33215"/>
    <cellStyle name="Note 5 2 3 2 2 4" xfId="15628"/>
    <cellStyle name="Note 5 2 3 2 2 4 2" xfId="38487"/>
    <cellStyle name="Note 5 2 3 2 2 5" xfId="26185"/>
    <cellStyle name="Note 5 2 3 2 3" xfId="5081"/>
    <cellStyle name="Note 5 2 3 2 3 2" xfId="17385"/>
    <cellStyle name="Note 5 2 3 2 3 2 2" xfId="40244"/>
    <cellStyle name="Note 5 2 3 2 3 3" xfId="27942"/>
    <cellStyle name="Note 5 2 3 2 4" xfId="8596"/>
    <cellStyle name="Note 5 2 3 2 4 2" xfId="20900"/>
    <cellStyle name="Note 5 2 3 2 4 2 2" xfId="43759"/>
    <cellStyle name="Note 5 2 3 2 4 3" xfId="31457"/>
    <cellStyle name="Note 5 2 3 2 5" xfId="12111"/>
    <cellStyle name="Note 5 2 3 2 5 2" xfId="34971"/>
    <cellStyle name="Note 5 2 3 2 6" xfId="13870"/>
    <cellStyle name="Note 5 2 3 2 6 2" xfId="36729"/>
    <cellStyle name="Note 5 2 3 2 7" xfId="24426"/>
    <cellStyle name="Note 5 2 3 3" xfId="2446"/>
    <cellStyle name="Note 5 2 3 3 2" xfId="5961"/>
    <cellStyle name="Note 5 2 3 3 2 2" xfId="18265"/>
    <cellStyle name="Note 5 2 3 3 2 2 2" xfId="41124"/>
    <cellStyle name="Note 5 2 3 3 2 3" xfId="28822"/>
    <cellStyle name="Note 5 2 3 3 3" xfId="9476"/>
    <cellStyle name="Note 5 2 3 3 3 2" xfId="21780"/>
    <cellStyle name="Note 5 2 3 3 3 2 2" xfId="44639"/>
    <cellStyle name="Note 5 2 3 3 3 3" xfId="32337"/>
    <cellStyle name="Note 5 2 3 3 4" xfId="14750"/>
    <cellStyle name="Note 5 2 3 3 4 2" xfId="37609"/>
    <cellStyle name="Note 5 2 3 3 5" xfId="25307"/>
    <cellStyle name="Note 5 2 3 4" xfId="4203"/>
    <cellStyle name="Note 5 2 3 4 2" xfId="16507"/>
    <cellStyle name="Note 5 2 3 4 2 2" xfId="39366"/>
    <cellStyle name="Note 5 2 3 4 3" xfId="27064"/>
    <cellStyle name="Note 5 2 3 5" xfId="7718"/>
    <cellStyle name="Note 5 2 3 5 2" xfId="20022"/>
    <cellStyle name="Note 5 2 3 5 2 2" xfId="42881"/>
    <cellStyle name="Note 5 2 3 5 3" xfId="30579"/>
    <cellStyle name="Note 5 2 3 6" xfId="11233"/>
    <cellStyle name="Note 5 2 3 6 2" xfId="34093"/>
    <cellStyle name="Note 5 2 3 7" xfId="12992"/>
    <cellStyle name="Note 5 2 3 7 2" xfId="35851"/>
    <cellStyle name="Note 5 2 3 8" xfId="23548"/>
    <cellStyle name="Note 5 2 4" xfId="1124"/>
    <cellStyle name="Note 5 2 4 2" xfId="2885"/>
    <cellStyle name="Note 5 2 4 2 2" xfId="6400"/>
    <cellStyle name="Note 5 2 4 2 2 2" xfId="18704"/>
    <cellStyle name="Note 5 2 4 2 2 2 2" xfId="41563"/>
    <cellStyle name="Note 5 2 4 2 2 3" xfId="29261"/>
    <cellStyle name="Note 5 2 4 2 3" xfId="9915"/>
    <cellStyle name="Note 5 2 4 2 3 2" xfId="22219"/>
    <cellStyle name="Note 5 2 4 2 3 2 2" xfId="45078"/>
    <cellStyle name="Note 5 2 4 2 3 3" xfId="32776"/>
    <cellStyle name="Note 5 2 4 2 4" xfId="15189"/>
    <cellStyle name="Note 5 2 4 2 4 2" xfId="38048"/>
    <cellStyle name="Note 5 2 4 2 5" xfId="25746"/>
    <cellStyle name="Note 5 2 4 3" xfId="4642"/>
    <cellStyle name="Note 5 2 4 3 2" xfId="16946"/>
    <cellStyle name="Note 5 2 4 3 2 2" xfId="39805"/>
    <cellStyle name="Note 5 2 4 3 3" xfId="27503"/>
    <cellStyle name="Note 5 2 4 4" xfId="8157"/>
    <cellStyle name="Note 5 2 4 4 2" xfId="20461"/>
    <cellStyle name="Note 5 2 4 4 2 2" xfId="43320"/>
    <cellStyle name="Note 5 2 4 4 3" xfId="31018"/>
    <cellStyle name="Note 5 2 4 5" xfId="11672"/>
    <cellStyle name="Note 5 2 4 5 2" xfId="34532"/>
    <cellStyle name="Note 5 2 4 6" xfId="13431"/>
    <cellStyle name="Note 5 2 4 6 2" xfId="36290"/>
    <cellStyle name="Note 5 2 4 7" xfId="23987"/>
    <cellStyle name="Note 5 2 5" xfId="2007"/>
    <cellStyle name="Note 5 2 5 2" xfId="5522"/>
    <cellStyle name="Note 5 2 5 2 2" xfId="17826"/>
    <cellStyle name="Note 5 2 5 2 2 2" xfId="40685"/>
    <cellStyle name="Note 5 2 5 2 3" xfId="28383"/>
    <cellStyle name="Note 5 2 5 3" xfId="9037"/>
    <cellStyle name="Note 5 2 5 3 2" xfId="21341"/>
    <cellStyle name="Note 5 2 5 3 2 2" xfId="44200"/>
    <cellStyle name="Note 5 2 5 3 3" xfId="31898"/>
    <cellStyle name="Note 5 2 5 4" xfId="14311"/>
    <cellStyle name="Note 5 2 5 4 2" xfId="37170"/>
    <cellStyle name="Note 5 2 5 5" xfId="24868"/>
    <cellStyle name="Note 5 2 6" xfId="3764"/>
    <cellStyle name="Note 5 2 6 2" xfId="16068"/>
    <cellStyle name="Note 5 2 6 2 2" xfId="38927"/>
    <cellStyle name="Note 5 2 6 3" xfId="26625"/>
    <cellStyle name="Note 5 2 7" xfId="7279"/>
    <cellStyle name="Note 5 2 7 2" xfId="19583"/>
    <cellStyle name="Note 5 2 7 2 2" xfId="42442"/>
    <cellStyle name="Note 5 2 7 3" xfId="30140"/>
    <cellStyle name="Note 5 2 8" xfId="10794"/>
    <cellStyle name="Note 5 2 8 2" xfId="33654"/>
    <cellStyle name="Note 5 2 9" xfId="12553"/>
    <cellStyle name="Note 5 2 9 2" xfId="35412"/>
    <cellStyle name="Note 5 3" xfId="349"/>
    <cellStyle name="Note 5 3 2" xfId="790"/>
    <cellStyle name="Note 5 3 2 2" xfId="1669"/>
    <cellStyle name="Note 5 3 2 2 2" xfId="3430"/>
    <cellStyle name="Note 5 3 2 2 2 2" xfId="6945"/>
    <cellStyle name="Note 5 3 2 2 2 2 2" xfId="19249"/>
    <cellStyle name="Note 5 3 2 2 2 2 2 2" xfId="42108"/>
    <cellStyle name="Note 5 3 2 2 2 2 3" xfId="29806"/>
    <cellStyle name="Note 5 3 2 2 2 3" xfId="10460"/>
    <cellStyle name="Note 5 3 2 2 2 3 2" xfId="22764"/>
    <cellStyle name="Note 5 3 2 2 2 3 2 2" xfId="45623"/>
    <cellStyle name="Note 5 3 2 2 2 3 3" xfId="33321"/>
    <cellStyle name="Note 5 3 2 2 2 4" xfId="15734"/>
    <cellStyle name="Note 5 3 2 2 2 4 2" xfId="38593"/>
    <cellStyle name="Note 5 3 2 2 2 5" xfId="26291"/>
    <cellStyle name="Note 5 3 2 2 3" xfId="5187"/>
    <cellStyle name="Note 5 3 2 2 3 2" xfId="17491"/>
    <cellStyle name="Note 5 3 2 2 3 2 2" xfId="40350"/>
    <cellStyle name="Note 5 3 2 2 3 3" xfId="28048"/>
    <cellStyle name="Note 5 3 2 2 4" xfId="8702"/>
    <cellStyle name="Note 5 3 2 2 4 2" xfId="21006"/>
    <cellStyle name="Note 5 3 2 2 4 2 2" xfId="43865"/>
    <cellStyle name="Note 5 3 2 2 4 3" xfId="31563"/>
    <cellStyle name="Note 5 3 2 2 5" xfId="12217"/>
    <cellStyle name="Note 5 3 2 2 5 2" xfId="35077"/>
    <cellStyle name="Note 5 3 2 2 6" xfId="13976"/>
    <cellStyle name="Note 5 3 2 2 6 2" xfId="36835"/>
    <cellStyle name="Note 5 3 2 2 7" xfId="24532"/>
    <cellStyle name="Note 5 3 2 3" xfId="2552"/>
    <cellStyle name="Note 5 3 2 3 2" xfId="6067"/>
    <cellStyle name="Note 5 3 2 3 2 2" xfId="18371"/>
    <cellStyle name="Note 5 3 2 3 2 2 2" xfId="41230"/>
    <cellStyle name="Note 5 3 2 3 2 3" xfId="28928"/>
    <cellStyle name="Note 5 3 2 3 3" xfId="9582"/>
    <cellStyle name="Note 5 3 2 3 3 2" xfId="21886"/>
    <cellStyle name="Note 5 3 2 3 3 2 2" xfId="44745"/>
    <cellStyle name="Note 5 3 2 3 3 3" xfId="32443"/>
    <cellStyle name="Note 5 3 2 3 4" xfId="14856"/>
    <cellStyle name="Note 5 3 2 3 4 2" xfId="37715"/>
    <cellStyle name="Note 5 3 2 3 5" xfId="25413"/>
    <cellStyle name="Note 5 3 2 4" xfId="4309"/>
    <cellStyle name="Note 5 3 2 4 2" xfId="16613"/>
    <cellStyle name="Note 5 3 2 4 2 2" xfId="39472"/>
    <cellStyle name="Note 5 3 2 4 3" xfId="27170"/>
    <cellStyle name="Note 5 3 2 5" xfId="7824"/>
    <cellStyle name="Note 5 3 2 5 2" xfId="20128"/>
    <cellStyle name="Note 5 3 2 5 2 2" xfId="42987"/>
    <cellStyle name="Note 5 3 2 5 3" xfId="30685"/>
    <cellStyle name="Note 5 3 2 6" xfId="11339"/>
    <cellStyle name="Note 5 3 2 6 2" xfId="34199"/>
    <cellStyle name="Note 5 3 2 7" xfId="13098"/>
    <cellStyle name="Note 5 3 2 7 2" xfId="35957"/>
    <cellStyle name="Note 5 3 2 8" xfId="23654"/>
    <cellStyle name="Note 5 3 3" xfId="1230"/>
    <cellStyle name="Note 5 3 3 2" xfId="2991"/>
    <cellStyle name="Note 5 3 3 2 2" xfId="6506"/>
    <cellStyle name="Note 5 3 3 2 2 2" xfId="18810"/>
    <cellStyle name="Note 5 3 3 2 2 2 2" xfId="41669"/>
    <cellStyle name="Note 5 3 3 2 2 3" xfId="29367"/>
    <cellStyle name="Note 5 3 3 2 3" xfId="10021"/>
    <cellStyle name="Note 5 3 3 2 3 2" xfId="22325"/>
    <cellStyle name="Note 5 3 3 2 3 2 2" xfId="45184"/>
    <cellStyle name="Note 5 3 3 2 3 3" xfId="32882"/>
    <cellStyle name="Note 5 3 3 2 4" xfId="15295"/>
    <cellStyle name="Note 5 3 3 2 4 2" xfId="38154"/>
    <cellStyle name="Note 5 3 3 2 5" xfId="25852"/>
    <cellStyle name="Note 5 3 3 3" xfId="4748"/>
    <cellStyle name="Note 5 3 3 3 2" xfId="17052"/>
    <cellStyle name="Note 5 3 3 3 2 2" xfId="39911"/>
    <cellStyle name="Note 5 3 3 3 3" xfId="27609"/>
    <cellStyle name="Note 5 3 3 4" xfId="8263"/>
    <cellStyle name="Note 5 3 3 4 2" xfId="20567"/>
    <cellStyle name="Note 5 3 3 4 2 2" xfId="43426"/>
    <cellStyle name="Note 5 3 3 4 3" xfId="31124"/>
    <cellStyle name="Note 5 3 3 5" xfId="11778"/>
    <cellStyle name="Note 5 3 3 5 2" xfId="34638"/>
    <cellStyle name="Note 5 3 3 6" xfId="13537"/>
    <cellStyle name="Note 5 3 3 6 2" xfId="36396"/>
    <cellStyle name="Note 5 3 3 7" xfId="24093"/>
    <cellStyle name="Note 5 3 4" xfId="2113"/>
    <cellStyle name="Note 5 3 4 2" xfId="5628"/>
    <cellStyle name="Note 5 3 4 2 2" xfId="17932"/>
    <cellStyle name="Note 5 3 4 2 2 2" xfId="40791"/>
    <cellStyle name="Note 5 3 4 2 3" xfId="28489"/>
    <cellStyle name="Note 5 3 4 3" xfId="9143"/>
    <cellStyle name="Note 5 3 4 3 2" xfId="21447"/>
    <cellStyle name="Note 5 3 4 3 2 2" xfId="44306"/>
    <cellStyle name="Note 5 3 4 3 3" xfId="32004"/>
    <cellStyle name="Note 5 3 4 4" xfId="14417"/>
    <cellStyle name="Note 5 3 4 4 2" xfId="37276"/>
    <cellStyle name="Note 5 3 4 5" xfId="24974"/>
    <cellStyle name="Note 5 3 5" xfId="3870"/>
    <cellStyle name="Note 5 3 5 2" xfId="16174"/>
    <cellStyle name="Note 5 3 5 2 2" xfId="39033"/>
    <cellStyle name="Note 5 3 5 3" xfId="26731"/>
    <cellStyle name="Note 5 3 6" xfId="7385"/>
    <cellStyle name="Note 5 3 6 2" xfId="19689"/>
    <cellStyle name="Note 5 3 6 2 2" xfId="42548"/>
    <cellStyle name="Note 5 3 6 3" xfId="30246"/>
    <cellStyle name="Note 5 3 7" xfId="10900"/>
    <cellStyle name="Note 5 3 7 2" xfId="33760"/>
    <cellStyle name="Note 5 3 8" xfId="12659"/>
    <cellStyle name="Note 5 3 8 2" xfId="35518"/>
    <cellStyle name="Note 5 3 9" xfId="23214"/>
    <cellStyle name="Note 5 4" xfId="578"/>
    <cellStyle name="Note 5 4 2" xfId="1457"/>
    <cellStyle name="Note 5 4 2 2" xfId="3218"/>
    <cellStyle name="Note 5 4 2 2 2" xfId="6733"/>
    <cellStyle name="Note 5 4 2 2 2 2" xfId="19037"/>
    <cellStyle name="Note 5 4 2 2 2 2 2" xfId="41896"/>
    <cellStyle name="Note 5 4 2 2 2 3" xfId="29594"/>
    <cellStyle name="Note 5 4 2 2 3" xfId="10248"/>
    <cellStyle name="Note 5 4 2 2 3 2" xfId="22552"/>
    <cellStyle name="Note 5 4 2 2 3 2 2" xfId="45411"/>
    <cellStyle name="Note 5 4 2 2 3 3" xfId="33109"/>
    <cellStyle name="Note 5 4 2 2 4" xfId="15522"/>
    <cellStyle name="Note 5 4 2 2 4 2" xfId="38381"/>
    <cellStyle name="Note 5 4 2 2 5" xfId="26079"/>
    <cellStyle name="Note 5 4 2 3" xfId="4975"/>
    <cellStyle name="Note 5 4 2 3 2" xfId="17279"/>
    <cellStyle name="Note 5 4 2 3 2 2" xfId="40138"/>
    <cellStyle name="Note 5 4 2 3 3" xfId="27836"/>
    <cellStyle name="Note 5 4 2 4" xfId="8490"/>
    <cellStyle name="Note 5 4 2 4 2" xfId="20794"/>
    <cellStyle name="Note 5 4 2 4 2 2" xfId="43653"/>
    <cellStyle name="Note 5 4 2 4 3" xfId="31351"/>
    <cellStyle name="Note 5 4 2 5" xfId="12005"/>
    <cellStyle name="Note 5 4 2 5 2" xfId="34865"/>
    <cellStyle name="Note 5 4 2 6" xfId="13764"/>
    <cellStyle name="Note 5 4 2 6 2" xfId="36623"/>
    <cellStyle name="Note 5 4 2 7" xfId="24320"/>
    <cellStyle name="Note 5 4 3" xfId="2340"/>
    <cellStyle name="Note 5 4 3 2" xfId="5855"/>
    <cellStyle name="Note 5 4 3 2 2" xfId="18159"/>
    <cellStyle name="Note 5 4 3 2 2 2" xfId="41018"/>
    <cellStyle name="Note 5 4 3 2 3" xfId="28716"/>
    <cellStyle name="Note 5 4 3 3" xfId="9370"/>
    <cellStyle name="Note 5 4 3 3 2" xfId="21674"/>
    <cellStyle name="Note 5 4 3 3 2 2" xfId="44533"/>
    <cellStyle name="Note 5 4 3 3 3" xfId="32231"/>
    <cellStyle name="Note 5 4 3 4" xfId="14644"/>
    <cellStyle name="Note 5 4 3 4 2" xfId="37503"/>
    <cellStyle name="Note 5 4 3 5" xfId="25201"/>
    <cellStyle name="Note 5 4 4" xfId="4097"/>
    <cellStyle name="Note 5 4 4 2" xfId="16401"/>
    <cellStyle name="Note 5 4 4 2 2" xfId="39260"/>
    <cellStyle name="Note 5 4 4 3" xfId="26958"/>
    <cellStyle name="Note 5 4 5" xfId="7612"/>
    <cellStyle name="Note 5 4 5 2" xfId="19916"/>
    <cellStyle name="Note 5 4 5 2 2" xfId="42775"/>
    <cellStyle name="Note 5 4 5 3" xfId="30473"/>
    <cellStyle name="Note 5 4 6" xfId="11127"/>
    <cellStyle name="Note 5 4 6 2" xfId="33987"/>
    <cellStyle name="Note 5 4 7" xfId="12886"/>
    <cellStyle name="Note 5 4 7 2" xfId="35745"/>
    <cellStyle name="Note 5 4 8" xfId="23442"/>
    <cellStyle name="Note 5 5" xfId="1018"/>
    <cellStyle name="Note 5 5 2" xfId="2779"/>
    <cellStyle name="Note 5 5 2 2" xfId="6294"/>
    <cellStyle name="Note 5 5 2 2 2" xfId="18598"/>
    <cellStyle name="Note 5 5 2 2 2 2" xfId="41457"/>
    <cellStyle name="Note 5 5 2 2 3" xfId="29155"/>
    <cellStyle name="Note 5 5 2 3" xfId="9809"/>
    <cellStyle name="Note 5 5 2 3 2" xfId="22113"/>
    <cellStyle name="Note 5 5 2 3 2 2" xfId="44972"/>
    <cellStyle name="Note 5 5 2 3 3" xfId="32670"/>
    <cellStyle name="Note 5 5 2 4" xfId="15083"/>
    <cellStyle name="Note 5 5 2 4 2" xfId="37942"/>
    <cellStyle name="Note 5 5 2 5" xfId="25640"/>
    <cellStyle name="Note 5 5 3" xfId="4536"/>
    <cellStyle name="Note 5 5 3 2" xfId="16840"/>
    <cellStyle name="Note 5 5 3 2 2" xfId="39699"/>
    <cellStyle name="Note 5 5 3 3" xfId="27397"/>
    <cellStyle name="Note 5 5 4" xfId="8051"/>
    <cellStyle name="Note 5 5 4 2" xfId="20355"/>
    <cellStyle name="Note 5 5 4 2 2" xfId="43214"/>
    <cellStyle name="Note 5 5 4 3" xfId="30912"/>
    <cellStyle name="Note 5 5 5" xfId="11566"/>
    <cellStyle name="Note 5 5 5 2" xfId="34426"/>
    <cellStyle name="Note 5 5 6" xfId="13325"/>
    <cellStyle name="Note 5 5 6 2" xfId="36184"/>
    <cellStyle name="Note 5 5 7" xfId="23881"/>
    <cellStyle name="Note 5 6" xfId="1901"/>
    <cellStyle name="Note 5 6 2" xfId="5416"/>
    <cellStyle name="Note 5 6 2 2" xfId="17720"/>
    <cellStyle name="Note 5 6 2 2 2" xfId="40579"/>
    <cellStyle name="Note 5 6 2 3" xfId="28277"/>
    <cellStyle name="Note 5 6 3" xfId="8931"/>
    <cellStyle name="Note 5 6 3 2" xfId="21235"/>
    <cellStyle name="Note 5 6 3 2 2" xfId="44094"/>
    <cellStyle name="Note 5 6 3 3" xfId="31792"/>
    <cellStyle name="Note 5 6 4" xfId="14205"/>
    <cellStyle name="Note 5 6 4 2" xfId="37064"/>
    <cellStyle name="Note 5 6 5" xfId="24762"/>
    <cellStyle name="Note 5 7" xfId="3658"/>
    <cellStyle name="Note 5 7 2" xfId="15962"/>
    <cellStyle name="Note 5 7 2 2" xfId="38821"/>
    <cellStyle name="Note 5 7 3" xfId="26519"/>
    <cellStyle name="Note 5 8" xfId="7173"/>
    <cellStyle name="Note 5 8 2" xfId="19477"/>
    <cellStyle name="Note 5 8 2 2" xfId="42336"/>
    <cellStyle name="Note 5 8 3" xfId="30034"/>
    <cellStyle name="Note 5 9" xfId="10688"/>
    <cellStyle name="Note 5 9 2" xfId="33548"/>
    <cellStyle name="Note 6" xfId="508"/>
    <cellStyle name="Note 6 2" xfId="949"/>
    <cellStyle name="Note 6 2 2" xfId="1828"/>
    <cellStyle name="Note 6 2 2 2" xfId="3589"/>
    <cellStyle name="Note 6 2 2 2 2" xfId="7104"/>
    <cellStyle name="Note 6 2 2 2 2 2" xfId="19408"/>
    <cellStyle name="Note 6 2 2 2 2 2 2" xfId="42267"/>
    <cellStyle name="Note 6 2 2 2 2 3" xfId="29965"/>
    <cellStyle name="Note 6 2 2 2 3" xfId="10619"/>
    <cellStyle name="Note 6 2 2 2 3 2" xfId="22923"/>
    <cellStyle name="Note 6 2 2 2 3 2 2" xfId="45782"/>
    <cellStyle name="Note 6 2 2 2 3 3" xfId="33480"/>
    <cellStyle name="Note 6 2 2 2 4" xfId="15893"/>
    <cellStyle name="Note 6 2 2 2 4 2" xfId="38752"/>
    <cellStyle name="Note 6 2 2 2 5" xfId="26450"/>
    <cellStyle name="Note 6 2 2 3" xfId="5346"/>
    <cellStyle name="Note 6 2 2 3 2" xfId="17650"/>
    <cellStyle name="Note 6 2 2 3 2 2" xfId="40509"/>
    <cellStyle name="Note 6 2 2 3 3" xfId="28207"/>
    <cellStyle name="Note 6 2 2 4" xfId="8861"/>
    <cellStyle name="Note 6 2 2 4 2" xfId="21165"/>
    <cellStyle name="Note 6 2 2 4 2 2" xfId="44024"/>
    <cellStyle name="Note 6 2 2 4 3" xfId="31722"/>
    <cellStyle name="Note 6 2 2 5" xfId="12376"/>
    <cellStyle name="Note 6 2 2 5 2" xfId="35236"/>
    <cellStyle name="Note 6 2 2 6" xfId="14135"/>
    <cellStyle name="Note 6 2 2 6 2" xfId="36994"/>
    <cellStyle name="Note 6 2 2 7" xfId="24691"/>
    <cellStyle name="Note 6 2 3" xfId="2711"/>
    <cellStyle name="Note 6 2 3 2" xfId="6226"/>
    <cellStyle name="Note 6 2 3 2 2" xfId="18530"/>
    <cellStyle name="Note 6 2 3 2 2 2" xfId="41389"/>
    <cellStyle name="Note 6 2 3 2 3" xfId="29087"/>
    <cellStyle name="Note 6 2 3 3" xfId="9741"/>
    <cellStyle name="Note 6 2 3 3 2" xfId="22045"/>
    <cellStyle name="Note 6 2 3 3 2 2" xfId="44904"/>
    <cellStyle name="Note 6 2 3 3 3" xfId="32602"/>
    <cellStyle name="Note 6 2 3 4" xfId="15015"/>
    <cellStyle name="Note 6 2 3 4 2" xfId="37874"/>
    <cellStyle name="Note 6 2 3 5" xfId="25572"/>
    <cellStyle name="Note 6 2 4" xfId="4468"/>
    <cellStyle name="Note 6 2 4 2" xfId="16772"/>
    <cellStyle name="Note 6 2 4 2 2" xfId="39631"/>
    <cellStyle name="Note 6 2 4 3" xfId="27329"/>
    <cellStyle name="Note 6 2 5" xfId="7983"/>
    <cellStyle name="Note 6 2 5 2" xfId="20287"/>
    <cellStyle name="Note 6 2 5 2 2" xfId="43146"/>
    <cellStyle name="Note 6 2 5 3" xfId="30844"/>
    <cellStyle name="Note 6 2 6" xfId="11498"/>
    <cellStyle name="Note 6 2 6 2" xfId="34358"/>
    <cellStyle name="Note 6 2 7" xfId="13257"/>
    <cellStyle name="Note 6 2 7 2" xfId="36116"/>
    <cellStyle name="Note 6 2 8" xfId="23813"/>
    <cellStyle name="Note 6 3" xfId="1389"/>
    <cellStyle name="Note 6 3 2" xfId="3150"/>
    <cellStyle name="Note 6 3 2 2" xfId="6665"/>
    <cellStyle name="Note 6 3 2 2 2" xfId="18969"/>
    <cellStyle name="Note 6 3 2 2 2 2" xfId="41828"/>
    <cellStyle name="Note 6 3 2 2 3" xfId="29526"/>
    <cellStyle name="Note 6 3 2 3" xfId="10180"/>
    <cellStyle name="Note 6 3 2 3 2" xfId="22484"/>
    <cellStyle name="Note 6 3 2 3 2 2" xfId="45343"/>
    <cellStyle name="Note 6 3 2 3 3" xfId="33041"/>
    <cellStyle name="Note 6 3 2 4" xfId="15454"/>
    <cellStyle name="Note 6 3 2 4 2" xfId="38313"/>
    <cellStyle name="Note 6 3 2 5" xfId="26011"/>
    <cellStyle name="Note 6 3 3" xfId="4907"/>
    <cellStyle name="Note 6 3 3 2" xfId="17211"/>
    <cellStyle name="Note 6 3 3 2 2" xfId="40070"/>
    <cellStyle name="Note 6 3 3 3" xfId="27768"/>
    <cellStyle name="Note 6 3 4" xfId="8422"/>
    <cellStyle name="Note 6 3 4 2" xfId="20726"/>
    <cellStyle name="Note 6 3 4 2 2" xfId="43585"/>
    <cellStyle name="Note 6 3 4 3" xfId="31283"/>
    <cellStyle name="Note 6 3 5" xfId="11937"/>
    <cellStyle name="Note 6 3 5 2" xfId="34797"/>
    <cellStyle name="Note 6 3 6" xfId="13696"/>
    <cellStyle name="Note 6 3 6 2" xfId="36555"/>
    <cellStyle name="Note 6 3 7" xfId="24252"/>
    <cellStyle name="Note 6 4" xfId="2272"/>
    <cellStyle name="Note 6 4 2" xfId="5787"/>
    <cellStyle name="Note 6 4 2 2" xfId="18091"/>
    <cellStyle name="Note 6 4 2 2 2" xfId="40950"/>
    <cellStyle name="Note 6 4 2 3" xfId="28648"/>
    <cellStyle name="Note 6 4 3" xfId="9302"/>
    <cellStyle name="Note 6 4 3 2" xfId="21606"/>
    <cellStyle name="Note 6 4 3 2 2" xfId="44465"/>
    <cellStyle name="Note 6 4 3 3" xfId="32163"/>
    <cellStyle name="Note 6 4 4" xfId="14576"/>
    <cellStyle name="Note 6 4 4 2" xfId="37435"/>
    <cellStyle name="Note 6 4 5" xfId="25133"/>
    <cellStyle name="Note 6 5" xfId="4029"/>
    <cellStyle name="Note 6 5 2" xfId="16333"/>
    <cellStyle name="Note 6 5 2 2" xfId="39192"/>
    <cellStyle name="Note 6 5 3" xfId="26890"/>
    <cellStyle name="Note 6 6" xfId="7544"/>
    <cellStyle name="Note 6 6 2" xfId="19848"/>
    <cellStyle name="Note 6 6 2 2" xfId="42707"/>
    <cellStyle name="Note 6 6 3" xfId="30405"/>
    <cellStyle name="Note 6 7" xfId="11059"/>
    <cellStyle name="Note 6 7 2" xfId="33919"/>
    <cellStyle name="Note 6 8" xfId="12818"/>
    <cellStyle name="Note 6 8 2" xfId="35677"/>
    <cellStyle name="Note 6 9" xfId="23373"/>
    <cellStyle name="Output" xfId="67" builtinId="21" customBuiltin="1"/>
    <cellStyle name="Output 2" xfId="51"/>
    <cellStyle name="Standard 2" xfId="12403"/>
    <cellStyle name="Title" xfId="59" builtinId="15" customBuiltin="1"/>
    <cellStyle name="Title 2" xfId="52"/>
    <cellStyle name="Total" xfId="73" builtinId="25" customBuiltin="1"/>
    <cellStyle name="Total 2" xfId="53"/>
    <cellStyle name="Warning Text" xfId="71" builtinId="11" customBuiltin="1"/>
    <cellStyle name="Warning Text 2" xfId="54"/>
  </cellStyles>
  <dxfs count="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S1-01: CEM I - 0.41w/cm - Granite </a:t>
            </a:r>
          </a:p>
        </c:rich>
      </c:tx>
      <c:layout>
        <c:manualLayout>
          <c:xMode val="edge"/>
          <c:yMode val="edge"/>
          <c:x val="0.23820723021099316"/>
          <c:y val="4.2698880377136121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9.7602828520919269E-2"/>
          <c:w val="0.77765091863517055"/>
          <c:h val="0.75238145747397378"/>
        </c:manualLayout>
      </c:layout>
      <c:scatterChart>
        <c:scatterStyle val="lineMarker"/>
        <c:varyColors val="0"/>
        <c:ser>
          <c:idx val="0"/>
          <c:order val="0"/>
          <c:tx>
            <c:strRef>
              <c:f>'Measured shrinkage'!$A$2440</c:f>
              <c:strCache>
                <c:ptCount val="1"/>
                <c:pt idx="0">
                  <c:v>#0158</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shrinkage'!$B$2440:$B$2446</c:f>
              <c:numCache>
                <c:formatCode>0</c:formatCode>
                <c:ptCount val="7"/>
                <c:pt idx="0">
                  <c:v>3</c:v>
                </c:pt>
                <c:pt idx="1">
                  <c:v>7</c:v>
                </c:pt>
                <c:pt idx="2">
                  <c:v>13</c:v>
                </c:pt>
                <c:pt idx="3">
                  <c:v>28</c:v>
                </c:pt>
                <c:pt idx="4">
                  <c:v>55</c:v>
                </c:pt>
                <c:pt idx="5">
                  <c:v>85</c:v>
                </c:pt>
                <c:pt idx="6">
                  <c:v>170</c:v>
                </c:pt>
              </c:numCache>
            </c:numRef>
          </c:xVal>
          <c:yVal>
            <c:numRef>
              <c:f>'Measured shrinkage'!$C$2440:$C$2446</c:f>
              <c:numCache>
                <c:formatCode>0</c:formatCode>
                <c:ptCount val="7"/>
                <c:pt idx="0">
                  <c:v>38</c:v>
                </c:pt>
                <c:pt idx="1">
                  <c:v>100</c:v>
                </c:pt>
                <c:pt idx="2">
                  <c:v>154</c:v>
                </c:pt>
                <c:pt idx="3">
                  <c:v>269</c:v>
                </c:pt>
                <c:pt idx="4">
                  <c:v>312</c:v>
                </c:pt>
                <c:pt idx="5">
                  <c:v>327</c:v>
                </c:pt>
                <c:pt idx="6">
                  <c:v>381</c:v>
                </c:pt>
              </c:numCache>
            </c:numRef>
          </c:yVal>
          <c:smooth val="0"/>
          <c:extLst>
            <c:ext xmlns:c16="http://schemas.microsoft.com/office/drawing/2014/chart" uri="{C3380CC4-5D6E-409C-BE32-E72D297353CC}">
              <c16:uniqueId val="{00000000-07F0-48F2-93C2-5275FE17E0C0}"/>
            </c:ext>
          </c:extLst>
        </c:ser>
        <c:ser>
          <c:idx val="1"/>
          <c:order val="1"/>
          <c:tx>
            <c:strRef>
              <c:f>'Measured shrinkage'!$A$2460</c:f>
              <c:strCache>
                <c:ptCount val="1"/>
                <c:pt idx="0">
                  <c:v>#0219</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shrinkage'!$B$2460:$B$2473</c:f>
              <c:numCache>
                <c:formatCode>0</c:formatCode>
                <c:ptCount val="14"/>
                <c:pt idx="0">
                  <c:v>1</c:v>
                </c:pt>
                <c:pt idx="1">
                  <c:v>2</c:v>
                </c:pt>
                <c:pt idx="2">
                  <c:v>3</c:v>
                </c:pt>
                <c:pt idx="3">
                  <c:v>4</c:v>
                </c:pt>
                <c:pt idx="4">
                  <c:v>5</c:v>
                </c:pt>
                <c:pt idx="5">
                  <c:v>6</c:v>
                </c:pt>
                <c:pt idx="6">
                  <c:v>7</c:v>
                </c:pt>
                <c:pt idx="7">
                  <c:v>14</c:v>
                </c:pt>
                <c:pt idx="8">
                  <c:v>21</c:v>
                </c:pt>
                <c:pt idx="9">
                  <c:v>28</c:v>
                </c:pt>
                <c:pt idx="10">
                  <c:v>56</c:v>
                </c:pt>
                <c:pt idx="11">
                  <c:v>112</c:v>
                </c:pt>
                <c:pt idx="12">
                  <c:v>140</c:v>
                </c:pt>
                <c:pt idx="13">
                  <c:v>168</c:v>
                </c:pt>
              </c:numCache>
            </c:numRef>
          </c:xVal>
          <c:yVal>
            <c:numRef>
              <c:f>'Measured shrinkage'!$C$2460:$C$2473</c:f>
              <c:numCache>
                <c:formatCode>0</c:formatCode>
                <c:ptCount val="14"/>
                <c:pt idx="0">
                  <c:v>11</c:v>
                </c:pt>
                <c:pt idx="1">
                  <c:v>14</c:v>
                </c:pt>
                <c:pt idx="2">
                  <c:v>42</c:v>
                </c:pt>
                <c:pt idx="3">
                  <c:v>89</c:v>
                </c:pt>
                <c:pt idx="4">
                  <c:v>78</c:v>
                </c:pt>
                <c:pt idx="5">
                  <c:v>89</c:v>
                </c:pt>
                <c:pt idx="6">
                  <c:v>89</c:v>
                </c:pt>
                <c:pt idx="7">
                  <c:v>133</c:v>
                </c:pt>
                <c:pt idx="8">
                  <c:v>195</c:v>
                </c:pt>
                <c:pt idx="9">
                  <c:v>234</c:v>
                </c:pt>
                <c:pt idx="10">
                  <c:v>309</c:v>
                </c:pt>
                <c:pt idx="11">
                  <c:v>376</c:v>
                </c:pt>
                <c:pt idx="12">
                  <c:v>392</c:v>
                </c:pt>
                <c:pt idx="13">
                  <c:v>387</c:v>
                </c:pt>
              </c:numCache>
            </c:numRef>
          </c:yVal>
          <c:smooth val="0"/>
          <c:extLst>
            <c:ext xmlns:c16="http://schemas.microsoft.com/office/drawing/2014/chart" uri="{C3380CC4-5D6E-409C-BE32-E72D297353CC}">
              <c16:uniqueId val="{00000001-07F0-48F2-93C2-5275FE17E0C0}"/>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484295713035873"/>
          <c:y val="0.60003426655001457"/>
          <c:w val="0.31279593175853021"/>
          <c:h val="0.24826552930883639"/>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S2-05: CEM I - 0.40 w/cm - Sandstone - </a:t>
            </a:r>
          </a:p>
          <a:p>
            <a:pPr>
              <a:defRPr sz="1100">
                <a:solidFill>
                  <a:sysClr val="windowText" lastClr="000000"/>
                </a:solidFill>
              </a:defRPr>
            </a:pPr>
            <a:r>
              <a:rPr lang="en-US" sz="1100">
                <a:solidFill>
                  <a:sysClr val="windowText" lastClr="000000"/>
                </a:solidFill>
              </a:rPr>
              <a:t>&lt;1% Superplasticiser </a:t>
            </a:r>
          </a:p>
        </c:rich>
      </c:tx>
      <c:layout>
        <c:manualLayout>
          <c:xMode val="edge"/>
          <c:yMode val="edge"/>
          <c:x val="0.22343269806082877"/>
          <c:y val="4.3019841269841272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669587301587302"/>
          <c:w val="0.77765091863517055"/>
          <c:h val="0.68302579365079363"/>
        </c:manualLayout>
      </c:layout>
      <c:scatterChart>
        <c:scatterStyle val="lineMarker"/>
        <c:varyColors val="0"/>
        <c:ser>
          <c:idx val="0"/>
          <c:order val="0"/>
          <c:tx>
            <c:strRef>
              <c:f>'Measured shrinkage'!$A$2253</c:f>
              <c:strCache>
                <c:ptCount val="1"/>
                <c:pt idx="0">
                  <c:v>#0109</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shrinkage'!$B$2253:$B$2267</c:f>
              <c:numCache>
                <c:formatCode>0</c:formatCode>
                <c:ptCount val="15"/>
                <c:pt idx="0">
                  <c:v>1</c:v>
                </c:pt>
                <c:pt idx="1">
                  <c:v>2</c:v>
                </c:pt>
                <c:pt idx="2">
                  <c:v>3</c:v>
                </c:pt>
                <c:pt idx="3">
                  <c:v>4</c:v>
                </c:pt>
                <c:pt idx="4">
                  <c:v>5</c:v>
                </c:pt>
                <c:pt idx="5">
                  <c:v>6</c:v>
                </c:pt>
                <c:pt idx="6">
                  <c:v>7</c:v>
                </c:pt>
                <c:pt idx="7">
                  <c:v>10</c:v>
                </c:pt>
                <c:pt idx="8">
                  <c:v>14</c:v>
                </c:pt>
                <c:pt idx="9">
                  <c:v>21</c:v>
                </c:pt>
                <c:pt idx="10">
                  <c:v>28</c:v>
                </c:pt>
                <c:pt idx="11">
                  <c:v>42</c:v>
                </c:pt>
                <c:pt idx="12">
                  <c:v>56</c:v>
                </c:pt>
                <c:pt idx="13">
                  <c:v>84</c:v>
                </c:pt>
                <c:pt idx="14">
                  <c:v>112</c:v>
                </c:pt>
              </c:numCache>
            </c:numRef>
          </c:xVal>
          <c:yVal>
            <c:numRef>
              <c:f>'Measured shrinkage'!$C$2253:$C$2267</c:f>
              <c:numCache>
                <c:formatCode>0</c:formatCode>
                <c:ptCount val="15"/>
                <c:pt idx="0">
                  <c:v>35</c:v>
                </c:pt>
                <c:pt idx="1">
                  <c:v>60</c:v>
                </c:pt>
                <c:pt idx="2">
                  <c:v>77</c:v>
                </c:pt>
                <c:pt idx="3">
                  <c:v>93</c:v>
                </c:pt>
                <c:pt idx="4">
                  <c:v>112</c:v>
                </c:pt>
                <c:pt idx="5">
                  <c:v>122</c:v>
                </c:pt>
                <c:pt idx="6">
                  <c:v>133</c:v>
                </c:pt>
                <c:pt idx="7">
                  <c:v>165</c:v>
                </c:pt>
                <c:pt idx="8">
                  <c:v>197</c:v>
                </c:pt>
                <c:pt idx="9">
                  <c:v>242</c:v>
                </c:pt>
                <c:pt idx="10">
                  <c:v>282</c:v>
                </c:pt>
                <c:pt idx="11">
                  <c:v>332</c:v>
                </c:pt>
                <c:pt idx="12">
                  <c:v>353</c:v>
                </c:pt>
                <c:pt idx="13">
                  <c:v>398</c:v>
                </c:pt>
                <c:pt idx="14">
                  <c:v>423</c:v>
                </c:pt>
              </c:numCache>
            </c:numRef>
          </c:yVal>
          <c:smooth val="0"/>
          <c:extLst>
            <c:ext xmlns:c16="http://schemas.microsoft.com/office/drawing/2014/chart" uri="{C3380CC4-5D6E-409C-BE32-E72D297353CC}">
              <c16:uniqueId val="{00000000-6562-4987-8F38-66C692E2C388}"/>
            </c:ext>
          </c:extLst>
        </c:ser>
        <c:ser>
          <c:idx val="1"/>
          <c:order val="1"/>
          <c:tx>
            <c:strRef>
              <c:f>'Measured shrinkage'!$A$2689</c:f>
              <c:strCache>
                <c:ptCount val="1"/>
                <c:pt idx="0">
                  <c:v>#0255</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shrinkage'!$B$2689:$B$2698</c:f>
              <c:numCache>
                <c:formatCode>0</c:formatCode>
                <c:ptCount val="10"/>
                <c:pt idx="0">
                  <c:v>1</c:v>
                </c:pt>
                <c:pt idx="1">
                  <c:v>2</c:v>
                </c:pt>
                <c:pt idx="2">
                  <c:v>3</c:v>
                </c:pt>
                <c:pt idx="3">
                  <c:v>7</c:v>
                </c:pt>
                <c:pt idx="4">
                  <c:v>14</c:v>
                </c:pt>
                <c:pt idx="5">
                  <c:v>21</c:v>
                </c:pt>
                <c:pt idx="6">
                  <c:v>28</c:v>
                </c:pt>
                <c:pt idx="7">
                  <c:v>35</c:v>
                </c:pt>
                <c:pt idx="8">
                  <c:v>42</c:v>
                </c:pt>
                <c:pt idx="9">
                  <c:v>321</c:v>
                </c:pt>
              </c:numCache>
            </c:numRef>
          </c:xVal>
          <c:yVal>
            <c:numRef>
              <c:f>'Measured shrinkage'!$C$2689:$C$2698</c:f>
              <c:numCache>
                <c:formatCode>0</c:formatCode>
                <c:ptCount val="10"/>
                <c:pt idx="0">
                  <c:v>28</c:v>
                </c:pt>
                <c:pt idx="1">
                  <c:v>65</c:v>
                </c:pt>
                <c:pt idx="2">
                  <c:v>97</c:v>
                </c:pt>
                <c:pt idx="3">
                  <c:v>145</c:v>
                </c:pt>
                <c:pt idx="4">
                  <c:v>197</c:v>
                </c:pt>
                <c:pt idx="5">
                  <c:v>252</c:v>
                </c:pt>
                <c:pt idx="6">
                  <c:v>328</c:v>
                </c:pt>
                <c:pt idx="7">
                  <c:v>378</c:v>
                </c:pt>
                <c:pt idx="8">
                  <c:v>417</c:v>
                </c:pt>
                <c:pt idx="9">
                  <c:v>425</c:v>
                </c:pt>
              </c:numCache>
            </c:numRef>
          </c:yVal>
          <c:smooth val="0"/>
          <c:extLst>
            <c:ext xmlns:c16="http://schemas.microsoft.com/office/drawing/2014/chart" uri="{C3380CC4-5D6E-409C-BE32-E72D297353CC}">
              <c16:uniqueId val="{00000001-6562-4987-8F38-66C692E2C388}"/>
            </c:ext>
          </c:extLst>
        </c:ser>
        <c:ser>
          <c:idx val="2"/>
          <c:order val="2"/>
          <c:tx>
            <c:strRef>
              <c:f>'Measured shrinkage'!$A$2699</c:f>
              <c:strCache>
                <c:ptCount val="1"/>
                <c:pt idx="0">
                  <c:v>#0258</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shrinkage'!$B$2699:$B$2708</c:f>
              <c:numCache>
                <c:formatCode>0</c:formatCode>
                <c:ptCount val="10"/>
                <c:pt idx="0">
                  <c:v>1</c:v>
                </c:pt>
                <c:pt idx="1">
                  <c:v>2</c:v>
                </c:pt>
                <c:pt idx="2">
                  <c:v>3</c:v>
                </c:pt>
                <c:pt idx="3">
                  <c:v>7</c:v>
                </c:pt>
                <c:pt idx="4">
                  <c:v>14</c:v>
                </c:pt>
                <c:pt idx="5">
                  <c:v>21</c:v>
                </c:pt>
                <c:pt idx="6">
                  <c:v>28</c:v>
                </c:pt>
                <c:pt idx="7">
                  <c:v>35</c:v>
                </c:pt>
                <c:pt idx="8">
                  <c:v>42</c:v>
                </c:pt>
                <c:pt idx="9">
                  <c:v>321</c:v>
                </c:pt>
              </c:numCache>
            </c:numRef>
          </c:xVal>
          <c:yVal>
            <c:numRef>
              <c:f>'Measured shrinkage'!$C$2699:$C$2708</c:f>
              <c:numCache>
                <c:formatCode>0</c:formatCode>
                <c:ptCount val="10"/>
                <c:pt idx="0">
                  <c:v>20</c:v>
                </c:pt>
                <c:pt idx="1">
                  <c:v>42</c:v>
                </c:pt>
                <c:pt idx="2">
                  <c:v>108</c:v>
                </c:pt>
                <c:pt idx="3">
                  <c:v>157</c:v>
                </c:pt>
                <c:pt idx="4">
                  <c:v>193</c:v>
                </c:pt>
                <c:pt idx="5">
                  <c:v>205</c:v>
                </c:pt>
                <c:pt idx="6">
                  <c:v>265</c:v>
                </c:pt>
                <c:pt idx="7">
                  <c:v>313</c:v>
                </c:pt>
                <c:pt idx="8">
                  <c:v>342</c:v>
                </c:pt>
                <c:pt idx="9">
                  <c:v>417</c:v>
                </c:pt>
              </c:numCache>
            </c:numRef>
          </c:yVal>
          <c:smooth val="0"/>
          <c:extLst>
            <c:ext xmlns:c16="http://schemas.microsoft.com/office/drawing/2014/chart" uri="{C3380CC4-5D6E-409C-BE32-E72D297353CC}">
              <c16:uniqueId val="{00000003-6562-4987-8F38-66C692E2C388}"/>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484295713035873"/>
          <c:y val="0.60003426655001457"/>
          <c:w val="0.31216046784769402"/>
          <c:h val="0.25009603174603173"/>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S2-06: CEM II (A-D) - 0.36 w/cm - Sandstone - </a:t>
            </a:r>
          </a:p>
          <a:p>
            <a:pPr>
              <a:defRPr sz="1100">
                <a:solidFill>
                  <a:sysClr val="windowText" lastClr="000000"/>
                </a:solidFill>
              </a:defRPr>
            </a:pPr>
            <a:r>
              <a:rPr lang="en-US" sz="1100">
                <a:solidFill>
                  <a:sysClr val="windowText" lastClr="000000"/>
                </a:solidFill>
              </a:rPr>
              <a:t>&gt;1% Superplasticiser, 10% Silica Fume </a:t>
            </a:r>
          </a:p>
        </c:rich>
      </c:tx>
      <c:layout>
        <c:manualLayout>
          <c:xMode val="edge"/>
          <c:yMode val="edge"/>
          <c:x val="0.16855027711937778"/>
          <c:y val="4.3019841269841272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6175372515344605"/>
          <c:w val="0.77765091863517055"/>
          <c:h val="0.68823075947267232"/>
        </c:manualLayout>
      </c:layout>
      <c:scatterChart>
        <c:scatterStyle val="lineMarker"/>
        <c:varyColors val="0"/>
        <c:ser>
          <c:idx val="1"/>
          <c:order val="0"/>
          <c:tx>
            <c:strRef>
              <c:f>'Measured shrinkage'!$A$13928</c:f>
              <c:strCache>
                <c:ptCount val="1"/>
                <c:pt idx="0">
                  <c:v>A_070_34</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shrinkage'!$B$13928:$B$13983</c:f>
              <c:numCache>
                <c:formatCode>0</c:formatCode>
                <c:ptCount val="56"/>
                <c:pt idx="0">
                  <c:v>9.2725700000000002E-4</c:v>
                </c:pt>
                <c:pt idx="1">
                  <c:v>0.39872000000000002</c:v>
                </c:pt>
                <c:pt idx="2">
                  <c:v>0.60457099999999997</c:v>
                </c:pt>
                <c:pt idx="3">
                  <c:v>0.61477099999999996</c:v>
                </c:pt>
                <c:pt idx="4">
                  <c:v>1.0172000000000001</c:v>
                </c:pt>
                <c:pt idx="5">
                  <c:v>1.8025899999999999</c:v>
                </c:pt>
                <c:pt idx="6">
                  <c:v>2.77528</c:v>
                </c:pt>
                <c:pt idx="7">
                  <c:v>3.5569600000000001</c:v>
                </c:pt>
                <c:pt idx="8">
                  <c:v>4.5315000000000003</c:v>
                </c:pt>
                <c:pt idx="9">
                  <c:v>5.8945699999999999</c:v>
                </c:pt>
                <c:pt idx="10">
                  <c:v>7.45329</c:v>
                </c:pt>
                <c:pt idx="11">
                  <c:v>8.8145000000000007</c:v>
                </c:pt>
                <c:pt idx="12">
                  <c:v>9.4023800000000008</c:v>
                </c:pt>
                <c:pt idx="13">
                  <c:v>9.7918299999999991</c:v>
                </c:pt>
                <c:pt idx="14">
                  <c:v>10.7645</c:v>
                </c:pt>
                <c:pt idx="15">
                  <c:v>11.5434</c:v>
                </c:pt>
                <c:pt idx="16">
                  <c:v>12.513299999999999</c:v>
                </c:pt>
                <c:pt idx="17">
                  <c:v>14.260300000000001</c:v>
                </c:pt>
                <c:pt idx="18">
                  <c:v>16.202000000000002</c:v>
                </c:pt>
                <c:pt idx="19">
                  <c:v>17.948899999999998</c:v>
                </c:pt>
                <c:pt idx="20">
                  <c:v>19.8887</c:v>
                </c:pt>
                <c:pt idx="21">
                  <c:v>21.8276</c:v>
                </c:pt>
                <c:pt idx="22">
                  <c:v>23.573599999999999</c:v>
                </c:pt>
                <c:pt idx="23">
                  <c:v>25.512499999999999</c:v>
                </c:pt>
                <c:pt idx="24">
                  <c:v>27.4514</c:v>
                </c:pt>
                <c:pt idx="25">
                  <c:v>29.1965</c:v>
                </c:pt>
                <c:pt idx="26">
                  <c:v>31.134499999999999</c:v>
                </c:pt>
                <c:pt idx="27">
                  <c:v>33.073399999999999</c:v>
                </c:pt>
                <c:pt idx="28">
                  <c:v>35.011400000000002</c:v>
                </c:pt>
                <c:pt idx="29">
                  <c:v>36.949300000000001</c:v>
                </c:pt>
                <c:pt idx="30">
                  <c:v>38.887300000000003</c:v>
                </c:pt>
                <c:pt idx="31">
                  <c:v>40.825299999999999</c:v>
                </c:pt>
                <c:pt idx="32">
                  <c:v>42.764200000000002</c:v>
                </c:pt>
                <c:pt idx="33">
                  <c:v>44.702100000000002</c:v>
                </c:pt>
                <c:pt idx="34">
                  <c:v>46.640099999999997</c:v>
                </c:pt>
                <c:pt idx="35">
                  <c:v>48.578099999999999</c:v>
                </c:pt>
                <c:pt idx="36">
                  <c:v>50.515099999999997</c:v>
                </c:pt>
                <c:pt idx="37">
                  <c:v>52.453099999999999</c:v>
                </c:pt>
                <c:pt idx="38">
                  <c:v>54.390099999999997</c:v>
                </c:pt>
                <c:pt idx="39">
                  <c:v>56.133299999999998</c:v>
                </c:pt>
                <c:pt idx="40">
                  <c:v>58.070399999999999</c:v>
                </c:pt>
                <c:pt idx="41">
                  <c:v>60.007399999999997</c:v>
                </c:pt>
                <c:pt idx="42">
                  <c:v>62.332999999999998</c:v>
                </c:pt>
                <c:pt idx="43">
                  <c:v>64.27</c:v>
                </c:pt>
                <c:pt idx="44">
                  <c:v>66.207999999999998</c:v>
                </c:pt>
                <c:pt idx="45">
                  <c:v>68.144999999999996</c:v>
                </c:pt>
                <c:pt idx="46">
                  <c:v>70.082999999999998</c:v>
                </c:pt>
                <c:pt idx="47">
                  <c:v>72.601399999999998</c:v>
                </c:pt>
                <c:pt idx="48">
                  <c:v>75.120800000000003</c:v>
                </c:pt>
                <c:pt idx="49">
                  <c:v>77.251599999999996</c:v>
                </c:pt>
                <c:pt idx="50">
                  <c:v>79.1905</c:v>
                </c:pt>
                <c:pt idx="51">
                  <c:v>80.933700000000002</c:v>
                </c:pt>
                <c:pt idx="52">
                  <c:v>83.066400000000002</c:v>
                </c:pt>
                <c:pt idx="53">
                  <c:v>85.197299999999998</c:v>
                </c:pt>
                <c:pt idx="54">
                  <c:v>87.135199999999998</c:v>
                </c:pt>
                <c:pt idx="55">
                  <c:v>89.266999999999996</c:v>
                </c:pt>
              </c:numCache>
            </c:numRef>
          </c:xVal>
          <c:yVal>
            <c:numRef>
              <c:f>'Measured shrinkage'!$C$13928:$C$13983</c:f>
              <c:numCache>
                <c:formatCode>0</c:formatCode>
                <c:ptCount val="56"/>
                <c:pt idx="0">
                  <c:v>2.87079</c:v>
                </c:pt>
                <c:pt idx="1">
                  <c:v>34.438299999999998</c:v>
                </c:pt>
                <c:pt idx="2">
                  <c:v>71.753</c:v>
                </c:pt>
                <c:pt idx="3">
                  <c:v>103.33199999999999</c:v>
                </c:pt>
                <c:pt idx="4">
                  <c:v>149.25299999999999</c:v>
                </c:pt>
                <c:pt idx="5">
                  <c:v>180.809</c:v>
                </c:pt>
                <c:pt idx="6">
                  <c:v>192.26499999999999</c:v>
                </c:pt>
                <c:pt idx="7">
                  <c:v>212.33799999999999</c:v>
                </c:pt>
                <c:pt idx="8">
                  <c:v>229.535</c:v>
                </c:pt>
                <c:pt idx="9">
                  <c:v>249.59200000000001</c:v>
                </c:pt>
                <c:pt idx="10">
                  <c:v>275.38400000000001</c:v>
                </c:pt>
                <c:pt idx="11">
                  <c:v>289.69900000000001</c:v>
                </c:pt>
                <c:pt idx="12">
                  <c:v>309.77800000000002</c:v>
                </c:pt>
                <c:pt idx="13">
                  <c:v>315.50799999999998</c:v>
                </c:pt>
                <c:pt idx="14">
                  <c:v>326.964</c:v>
                </c:pt>
                <c:pt idx="15">
                  <c:v>338.42500000000001</c:v>
                </c:pt>
                <c:pt idx="16">
                  <c:v>341.26799999999997</c:v>
                </c:pt>
                <c:pt idx="17">
                  <c:v>349.83</c:v>
                </c:pt>
                <c:pt idx="18">
                  <c:v>361.25700000000001</c:v>
                </c:pt>
                <c:pt idx="19">
                  <c:v>369.82</c:v>
                </c:pt>
                <c:pt idx="20">
                  <c:v>375.50599999999997</c:v>
                </c:pt>
                <c:pt idx="21">
                  <c:v>378.32100000000003</c:v>
                </c:pt>
                <c:pt idx="22">
                  <c:v>384.012</c:v>
                </c:pt>
                <c:pt idx="23">
                  <c:v>386.827</c:v>
                </c:pt>
                <c:pt idx="24">
                  <c:v>389.64299999999997</c:v>
                </c:pt>
                <c:pt idx="25">
                  <c:v>392.46300000000002</c:v>
                </c:pt>
                <c:pt idx="26">
                  <c:v>392.40800000000002</c:v>
                </c:pt>
                <c:pt idx="27">
                  <c:v>395.22300000000001</c:v>
                </c:pt>
                <c:pt idx="28">
                  <c:v>395.16699999999997</c:v>
                </c:pt>
                <c:pt idx="29">
                  <c:v>395.11200000000002</c:v>
                </c:pt>
                <c:pt idx="30">
                  <c:v>395.05599999999998</c:v>
                </c:pt>
                <c:pt idx="31">
                  <c:v>395</c:v>
                </c:pt>
                <c:pt idx="32">
                  <c:v>397.815</c:v>
                </c:pt>
                <c:pt idx="33">
                  <c:v>397.76</c:v>
                </c:pt>
                <c:pt idx="34">
                  <c:v>397.70400000000001</c:v>
                </c:pt>
                <c:pt idx="35">
                  <c:v>397.64800000000002</c:v>
                </c:pt>
                <c:pt idx="36">
                  <c:v>394.72199999999998</c:v>
                </c:pt>
                <c:pt idx="37">
                  <c:v>394.666</c:v>
                </c:pt>
                <c:pt idx="38">
                  <c:v>391.74</c:v>
                </c:pt>
                <c:pt idx="39">
                  <c:v>388.81900000000002</c:v>
                </c:pt>
                <c:pt idx="40">
                  <c:v>385.89299999999997</c:v>
                </c:pt>
                <c:pt idx="41">
                  <c:v>382.96600000000001</c:v>
                </c:pt>
                <c:pt idx="42">
                  <c:v>382.9</c:v>
                </c:pt>
                <c:pt idx="43">
                  <c:v>379.97300000000001</c:v>
                </c:pt>
                <c:pt idx="44">
                  <c:v>379.91699999999997</c:v>
                </c:pt>
                <c:pt idx="45">
                  <c:v>376.99099999999999</c:v>
                </c:pt>
                <c:pt idx="46">
                  <c:v>376.935</c:v>
                </c:pt>
                <c:pt idx="47">
                  <c:v>373.99200000000002</c:v>
                </c:pt>
                <c:pt idx="48">
                  <c:v>373.92</c:v>
                </c:pt>
                <c:pt idx="49">
                  <c:v>370.988</c:v>
                </c:pt>
                <c:pt idx="50">
                  <c:v>373.803</c:v>
                </c:pt>
                <c:pt idx="51">
                  <c:v>370.88200000000001</c:v>
                </c:pt>
                <c:pt idx="52">
                  <c:v>373.69200000000001</c:v>
                </c:pt>
                <c:pt idx="53">
                  <c:v>370.76</c:v>
                </c:pt>
                <c:pt idx="54">
                  <c:v>370.70400000000001</c:v>
                </c:pt>
                <c:pt idx="55">
                  <c:v>370.64299999999997</c:v>
                </c:pt>
              </c:numCache>
            </c:numRef>
          </c:yVal>
          <c:smooth val="0"/>
          <c:extLst>
            <c:ext xmlns:c16="http://schemas.microsoft.com/office/drawing/2014/chart" uri="{C3380CC4-5D6E-409C-BE32-E72D297353CC}">
              <c16:uniqueId val="{00000000-3051-40A5-8183-6856AC39D563}"/>
            </c:ext>
          </c:extLst>
        </c:ser>
        <c:ser>
          <c:idx val="2"/>
          <c:order val="1"/>
          <c:tx>
            <c:strRef>
              <c:f>'Measured shrinkage'!$A$14041</c:f>
              <c:strCache>
                <c:ptCount val="1"/>
                <c:pt idx="0">
                  <c:v>A_070_38</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shrinkage'!$B$14041:$B$14088</c:f>
              <c:numCache>
                <c:formatCode>0</c:formatCode>
                <c:ptCount val="48"/>
                <c:pt idx="0">
                  <c:v>0.77554699999999999</c:v>
                </c:pt>
                <c:pt idx="1">
                  <c:v>0.967109</c:v>
                </c:pt>
                <c:pt idx="2">
                  <c:v>1.1568099999999999</c:v>
                </c:pt>
                <c:pt idx="3">
                  <c:v>1.73336</c:v>
                </c:pt>
                <c:pt idx="4">
                  <c:v>2.1127600000000002</c:v>
                </c:pt>
                <c:pt idx="5">
                  <c:v>3.0724300000000002</c:v>
                </c:pt>
                <c:pt idx="6">
                  <c:v>4.6067900000000002</c:v>
                </c:pt>
                <c:pt idx="7">
                  <c:v>5.5627399999999998</c:v>
                </c:pt>
                <c:pt idx="8">
                  <c:v>6.7186199999999996</c:v>
                </c:pt>
                <c:pt idx="9">
                  <c:v>7.4867299999999997</c:v>
                </c:pt>
                <c:pt idx="10">
                  <c:v>9.0248000000000008</c:v>
                </c:pt>
                <c:pt idx="11">
                  <c:v>10.7591</c:v>
                </c:pt>
                <c:pt idx="12">
                  <c:v>12.688700000000001</c:v>
                </c:pt>
                <c:pt idx="13">
                  <c:v>14.810700000000001</c:v>
                </c:pt>
                <c:pt idx="14">
                  <c:v>16.9346</c:v>
                </c:pt>
                <c:pt idx="15">
                  <c:v>19.058599999999998</c:v>
                </c:pt>
                <c:pt idx="16">
                  <c:v>21.377800000000001</c:v>
                </c:pt>
                <c:pt idx="17">
                  <c:v>23.116700000000002</c:v>
                </c:pt>
                <c:pt idx="18">
                  <c:v>24.854700000000001</c:v>
                </c:pt>
                <c:pt idx="19">
                  <c:v>27.3673</c:v>
                </c:pt>
                <c:pt idx="20">
                  <c:v>29.493099999999998</c:v>
                </c:pt>
                <c:pt idx="21">
                  <c:v>31.8123</c:v>
                </c:pt>
                <c:pt idx="22">
                  <c:v>34.131500000000003</c:v>
                </c:pt>
                <c:pt idx="23">
                  <c:v>36.450699999999998</c:v>
                </c:pt>
                <c:pt idx="24">
                  <c:v>39.351999999999997</c:v>
                </c:pt>
                <c:pt idx="25">
                  <c:v>42.058999999999997</c:v>
                </c:pt>
                <c:pt idx="26">
                  <c:v>44.185699999999997</c:v>
                </c:pt>
                <c:pt idx="27">
                  <c:v>46.120899999999999</c:v>
                </c:pt>
                <c:pt idx="28">
                  <c:v>48.828800000000001</c:v>
                </c:pt>
                <c:pt idx="29">
                  <c:v>50.762099999999997</c:v>
                </c:pt>
                <c:pt idx="30">
                  <c:v>53.276499999999999</c:v>
                </c:pt>
                <c:pt idx="31">
                  <c:v>55.017299999999999</c:v>
                </c:pt>
                <c:pt idx="32">
                  <c:v>57.531799999999997</c:v>
                </c:pt>
                <c:pt idx="33">
                  <c:v>59.0792</c:v>
                </c:pt>
                <c:pt idx="34">
                  <c:v>61.401200000000003</c:v>
                </c:pt>
                <c:pt idx="35">
                  <c:v>62.561700000000002</c:v>
                </c:pt>
                <c:pt idx="36">
                  <c:v>65.0762</c:v>
                </c:pt>
                <c:pt idx="37">
                  <c:v>67.784999999999997</c:v>
                </c:pt>
                <c:pt idx="38">
                  <c:v>70.491100000000003</c:v>
                </c:pt>
                <c:pt idx="39">
                  <c:v>72.618700000000004</c:v>
                </c:pt>
                <c:pt idx="40">
                  <c:v>74.938900000000004</c:v>
                </c:pt>
                <c:pt idx="41">
                  <c:v>77.259</c:v>
                </c:pt>
                <c:pt idx="42">
                  <c:v>78.806399999999996</c:v>
                </c:pt>
                <c:pt idx="43">
                  <c:v>80.933999999999997</c:v>
                </c:pt>
                <c:pt idx="44">
                  <c:v>82.868200000000002</c:v>
                </c:pt>
                <c:pt idx="45">
                  <c:v>84.801500000000004</c:v>
                </c:pt>
                <c:pt idx="46">
                  <c:v>86.929100000000005</c:v>
                </c:pt>
                <c:pt idx="47">
                  <c:v>89.249300000000005</c:v>
                </c:pt>
              </c:numCache>
            </c:numRef>
          </c:xVal>
          <c:yVal>
            <c:numRef>
              <c:f>'Measured shrinkage'!$C$14041:$C$14088</c:f>
              <c:numCache>
                <c:formatCode>0</c:formatCode>
                <c:ptCount val="48"/>
                <c:pt idx="0">
                  <c:v>5.7468599999999999</c:v>
                </c:pt>
                <c:pt idx="1">
                  <c:v>2.7897399999999999E-2</c:v>
                </c:pt>
                <c:pt idx="2">
                  <c:v>11.5718</c:v>
                </c:pt>
                <c:pt idx="3">
                  <c:v>23.126899999999999</c:v>
                </c:pt>
                <c:pt idx="4">
                  <c:v>46.214799999999997</c:v>
                </c:pt>
                <c:pt idx="5">
                  <c:v>69.319400000000002</c:v>
                </c:pt>
                <c:pt idx="6">
                  <c:v>109.748</c:v>
                </c:pt>
                <c:pt idx="7">
                  <c:v>144.39099999999999</c:v>
                </c:pt>
                <c:pt idx="8">
                  <c:v>158.84800000000001</c:v>
                </c:pt>
                <c:pt idx="9">
                  <c:v>176.178</c:v>
                </c:pt>
                <c:pt idx="10">
                  <c:v>205.06800000000001</c:v>
                </c:pt>
                <c:pt idx="11">
                  <c:v>225.31</c:v>
                </c:pt>
                <c:pt idx="12">
                  <c:v>239.78899999999999</c:v>
                </c:pt>
                <c:pt idx="13">
                  <c:v>257.15800000000002</c:v>
                </c:pt>
                <c:pt idx="14">
                  <c:v>268.75799999999998</c:v>
                </c:pt>
                <c:pt idx="15">
                  <c:v>280.35700000000003</c:v>
                </c:pt>
                <c:pt idx="16">
                  <c:v>286.19400000000002</c:v>
                </c:pt>
                <c:pt idx="17">
                  <c:v>292.01299999999998</c:v>
                </c:pt>
                <c:pt idx="18">
                  <c:v>300.71699999999998</c:v>
                </c:pt>
                <c:pt idx="19">
                  <c:v>306.55900000000003</c:v>
                </c:pt>
                <c:pt idx="20">
                  <c:v>312.38900000000001</c:v>
                </c:pt>
                <c:pt idx="21">
                  <c:v>318.22500000000002</c:v>
                </c:pt>
                <c:pt idx="22">
                  <c:v>324.06099999999998</c:v>
                </c:pt>
                <c:pt idx="23">
                  <c:v>329.89800000000002</c:v>
                </c:pt>
                <c:pt idx="24">
                  <c:v>329.98099999999999</c:v>
                </c:pt>
                <c:pt idx="25">
                  <c:v>332.94400000000002</c:v>
                </c:pt>
                <c:pt idx="26">
                  <c:v>335.89</c:v>
                </c:pt>
                <c:pt idx="27">
                  <c:v>333.06099999999998</c:v>
                </c:pt>
                <c:pt idx="28">
                  <c:v>333.13900000000001</c:v>
                </c:pt>
                <c:pt idx="29">
                  <c:v>336.08</c:v>
                </c:pt>
                <c:pt idx="30">
                  <c:v>336.15199999999999</c:v>
                </c:pt>
                <c:pt idx="31">
                  <c:v>336.202</c:v>
                </c:pt>
                <c:pt idx="32">
                  <c:v>336.27499999999998</c:v>
                </c:pt>
                <c:pt idx="33">
                  <c:v>336.32</c:v>
                </c:pt>
                <c:pt idx="34">
                  <c:v>333.50200000000001</c:v>
                </c:pt>
                <c:pt idx="35">
                  <c:v>333.53500000000003</c:v>
                </c:pt>
                <c:pt idx="36">
                  <c:v>333.608</c:v>
                </c:pt>
                <c:pt idx="37">
                  <c:v>330.80099999999999</c:v>
                </c:pt>
                <c:pt idx="38">
                  <c:v>336.649</c:v>
                </c:pt>
                <c:pt idx="39">
                  <c:v>336.71</c:v>
                </c:pt>
                <c:pt idx="40">
                  <c:v>339.66199999999998</c:v>
                </c:pt>
                <c:pt idx="41">
                  <c:v>342.613</c:v>
                </c:pt>
                <c:pt idx="42">
                  <c:v>342.65800000000002</c:v>
                </c:pt>
                <c:pt idx="43">
                  <c:v>342.71899999999999</c:v>
                </c:pt>
                <c:pt idx="44">
                  <c:v>342.77499999999998</c:v>
                </c:pt>
                <c:pt idx="45">
                  <c:v>345.71499999999997</c:v>
                </c:pt>
                <c:pt idx="46">
                  <c:v>345.77699999999999</c:v>
                </c:pt>
                <c:pt idx="47">
                  <c:v>348.72800000000001</c:v>
                </c:pt>
              </c:numCache>
            </c:numRef>
          </c:yVal>
          <c:smooth val="0"/>
          <c:extLst>
            <c:ext xmlns:c16="http://schemas.microsoft.com/office/drawing/2014/chart" uri="{C3380CC4-5D6E-409C-BE32-E72D297353CC}">
              <c16:uniqueId val="{00000001-3051-40A5-8183-6856AC39D563}"/>
            </c:ext>
          </c:extLst>
        </c:ser>
        <c:ser>
          <c:idx val="3"/>
          <c:order val="2"/>
          <c:tx>
            <c:strRef>
              <c:f>'Measured shrinkage'!$A$14089</c:f>
              <c:strCache>
                <c:ptCount val="1"/>
                <c:pt idx="0">
                  <c:v>A_070_39</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shrinkage'!$B$14089:$B$14135</c:f>
              <c:numCache>
                <c:formatCode>0</c:formatCode>
                <c:ptCount val="47"/>
                <c:pt idx="0">
                  <c:v>0.77275700000000003</c:v>
                </c:pt>
                <c:pt idx="1">
                  <c:v>1.5427200000000001</c:v>
                </c:pt>
                <c:pt idx="2">
                  <c:v>2.1155499999999998</c:v>
                </c:pt>
                <c:pt idx="3">
                  <c:v>2.6874500000000001</c:v>
                </c:pt>
                <c:pt idx="4">
                  <c:v>3.4537</c:v>
                </c:pt>
                <c:pt idx="5">
                  <c:v>4.0265199999999997</c:v>
                </c:pt>
                <c:pt idx="6">
                  <c:v>5.3720999999999997</c:v>
                </c:pt>
                <c:pt idx="7">
                  <c:v>6.7195499999999999</c:v>
                </c:pt>
                <c:pt idx="8">
                  <c:v>8.0669900000000005</c:v>
                </c:pt>
                <c:pt idx="9">
                  <c:v>9.41629</c:v>
                </c:pt>
                <c:pt idx="10">
                  <c:v>10.764699999999999</c:v>
                </c:pt>
                <c:pt idx="11">
                  <c:v>12.6942</c:v>
                </c:pt>
                <c:pt idx="12">
                  <c:v>14.4313</c:v>
                </c:pt>
                <c:pt idx="13">
                  <c:v>16.360900000000001</c:v>
                </c:pt>
                <c:pt idx="14">
                  <c:v>18.485700000000001</c:v>
                </c:pt>
                <c:pt idx="15">
                  <c:v>20.417200000000001</c:v>
                </c:pt>
                <c:pt idx="16">
                  <c:v>22.542899999999999</c:v>
                </c:pt>
                <c:pt idx="17">
                  <c:v>25.2499</c:v>
                </c:pt>
                <c:pt idx="18">
                  <c:v>27.3766</c:v>
                </c:pt>
                <c:pt idx="19">
                  <c:v>29.695799999999998</c:v>
                </c:pt>
                <c:pt idx="20">
                  <c:v>31.6282</c:v>
                </c:pt>
                <c:pt idx="21">
                  <c:v>34.528599999999997</c:v>
                </c:pt>
                <c:pt idx="22">
                  <c:v>37.816800000000001</c:v>
                </c:pt>
                <c:pt idx="23">
                  <c:v>40.524700000000003</c:v>
                </c:pt>
                <c:pt idx="24">
                  <c:v>42.846600000000002</c:v>
                </c:pt>
                <c:pt idx="25">
                  <c:v>45.167700000000004</c:v>
                </c:pt>
                <c:pt idx="26">
                  <c:v>47.682200000000002</c:v>
                </c:pt>
                <c:pt idx="27">
                  <c:v>50.004199999999997</c:v>
                </c:pt>
                <c:pt idx="28">
                  <c:v>52.3262</c:v>
                </c:pt>
                <c:pt idx="29">
                  <c:v>54.454700000000003</c:v>
                </c:pt>
                <c:pt idx="30">
                  <c:v>56.1965</c:v>
                </c:pt>
                <c:pt idx="31">
                  <c:v>58.7119</c:v>
                </c:pt>
                <c:pt idx="32">
                  <c:v>60.646999999999998</c:v>
                </c:pt>
                <c:pt idx="33">
                  <c:v>63.161499999999997</c:v>
                </c:pt>
                <c:pt idx="34">
                  <c:v>65.483500000000006</c:v>
                </c:pt>
                <c:pt idx="35">
                  <c:v>67.226200000000006</c:v>
                </c:pt>
                <c:pt idx="36">
                  <c:v>69.547200000000004</c:v>
                </c:pt>
                <c:pt idx="37">
                  <c:v>71.287099999999995</c:v>
                </c:pt>
                <c:pt idx="38">
                  <c:v>72.836299999999994</c:v>
                </c:pt>
                <c:pt idx="39">
                  <c:v>75.157399999999996</c:v>
                </c:pt>
                <c:pt idx="40">
                  <c:v>76.703800000000001</c:v>
                </c:pt>
                <c:pt idx="41">
                  <c:v>79.218299999999999</c:v>
                </c:pt>
                <c:pt idx="42">
                  <c:v>80.959999999999994</c:v>
                </c:pt>
                <c:pt idx="43">
                  <c:v>83.086799999999997</c:v>
                </c:pt>
                <c:pt idx="44">
                  <c:v>85.021000000000001</c:v>
                </c:pt>
                <c:pt idx="45">
                  <c:v>86.956100000000006</c:v>
                </c:pt>
                <c:pt idx="46">
                  <c:v>89.082800000000006</c:v>
                </c:pt>
              </c:numCache>
            </c:numRef>
          </c:xVal>
          <c:yVal>
            <c:numRef>
              <c:f>'Measured shrinkage'!$C$14089:$C$14135</c:f>
              <c:numCache>
                <c:formatCode>0</c:formatCode>
                <c:ptCount val="47"/>
                <c:pt idx="0">
                  <c:v>2.9069099999999999</c:v>
                </c:pt>
                <c:pt idx="1">
                  <c:v>14.467599999999999</c:v>
                </c:pt>
                <c:pt idx="2">
                  <c:v>37.561</c:v>
                </c:pt>
                <c:pt idx="3">
                  <c:v>63.539099999999998</c:v>
                </c:pt>
                <c:pt idx="4">
                  <c:v>86.638099999999994</c:v>
                </c:pt>
                <c:pt idx="5">
                  <c:v>109.732</c:v>
                </c:pt>
                <c:pt idx="6">
                  <c:v>135.732</c:v>
                </c:pt>
                <c:pt idx="7">
                  <c:v>155.96299999999999</c:v>
                </c:pt>
                <c:pt idx="8">
                  <c:v>176.19399999999999</c:v>
                </c:pt>
                <c:pt idx="9">
                  <c:v>190.65600000000001</c:v>
                </c:pt>
                <c:pt idx="10">
                  <c:v>208.00299999999999</c:v>
                </c:pt>
                <c:pt idx="11">
                  <c:v>222.482</c:v>
                </c:pt>
                <c:pt idx="12">
                  <c:v>234.07</c:v>
                </c:pt>
                <c:pt idx="13">
                  <c:v>248.54900000000001</c:v>
                </c:pt>
                <c:pt idx="14">
                  <c:v>257.26400000000001</c:v>
                </c:pt>
                <c:pt idx="15">
                  <c:v>265.97399999999999</c:v>
                </c:pt>
                <c:pt idx="16">
                  <c:v>271.80399999999997</c:v>
                </c:pt>
                <c:pt idx="17">
                  <c:v>274.767</c:v>
                </c:pt>
                <c:pt idx="18">
                  <c:v>277.71300000000002</c:v>
                </c:pt>
                <c:pt idx="19">
                  <c:v>283.54899999999998</c:v>
                </c:pt>
                <c:pt idx="20">
                  <c:v>289.37400000000002</c:v>
                </c:pt>
                <c:pt idx="21">
                  <c:v>292.34199999999998</c:v>
                </c:pt>
                <c:pt idx="22">
                  <c:v>292.43700000000001</c:v>
                </c:pt>
                <c:pt idx="23">
                  <c:v>292.51499999999999</c:v>
                </c:pt>
                <c:pt idx="24">
                  <c:v>289.697</c:v>
                </c:pt>
                <c:pt idx="25">
                  <c:v>289.76400000000001</c:v>
                </c:pt>
                <c:pt idx="26">
                  <c:v>289.83699999999999</c:v>
                </c:pt>
                <c:pt idx="27">
                  <c:v>287.01900000000001</c:v>
                </c:pt>
                <c:pt idx="28">
                  <c:v>284.202</c:v>
                </c:pt>
                <c:pt idx="29">
                  <c:v>281.37900000000002</c:v>
                </c:pt>
                <c:pt idx="30">
                  <c:v>278.54399999999998</c:v>
                </c:pt>
                <c:pt idx="31">
                  <c:v>275.73200000000003</c:v>
                </c:pt>
                <c:pt idx="32">
                  <c:v>272.90300000000002</c:v>
                </c:pt>
                <c:pt idx="33">
                  <c:v>272.976</c:v>
                </c:pt>
                <c:pt idx="34">
                  <c:v>270.15800000000002</c:v>
                </c:pt>
                <c:pt idx="35">
                  <c:v>264.43900000000002</c:v>
                </c:pt>
                <c:pt idx="36">
                  <c:v>264.50599999999997</c:v>
                </c:pt>
                <c:pt idx="37">
                  <c:v>267.44099999999997</c:v>
                </c:pt>
                <c:pt idx="38">
                  <c:v>261.71600000000001</c:v>
                </c:pt>
                <c:pt idx="39">
                  <c:v>261.78300000000002</c:v>
                </c:pt>
                <c:pt idx="40">
                  <c:v>264.71300000000002</c:v>
                </c:pt>
                <c:pt idx="41">
                  <c:v>264.78500000000003</c:v>
                </c:pt>
                <c:pt idx="42">
                  <c:v>261.95100000000002</c:v>
                </c:pt>
                <c:pt idx="43">
                  <c:v>264.89699999999999</c:v>
                </c:pt>
                <c:pt idx="44">
                  <c:v>264.95299999999997</c:v>
                </c:pt>
                <c:pt idx="45">
                  <c:v>262.12400000000002</c:v>
                </c:pt>
                <c:pt idx="46">
                  <c:v>265.07</c:v>
                </c:pt>
              </c:numCache>
            </c:numRef>
          </c:yVal>
          <c:smooth val="0"/>
          <c:extLst>
            <c:ext xmlns:c16="http://schemas.microsoft.com/office/drawing/2014/chart" uri="{C3380CC4-5D6E-409C-BE32-E72D297353CC}">
              <c16:uniqueId val="{00000002-3051-40A5-8183-6856AC39D563}"/>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380649003308783"/>
          <c:y val="0.59958765540366876"/>
          <c:w val="0.30899057045903822"/>
          <c:h val="0.247387971257391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S2-07: CEM II (A-Q) - 0.29 w/cm - Quartzite - &gt;</a:t>
            </a:r>
          </a:p>
          <a:p>
            <a:pPr>
              <a:defRPr sz="1100">
                <a:solidFill>
                  <a:sysClr val="windowText" lastClr="000000"/>
                </a:solidFill>
              </a:defRPr>
            </a:pPr>
            <a:r>
              <a:rPr lang="en-US" sz="1100">
                <a:solidFill>
                  <a:sysClr val="windowText" lastClr="000000"/>
                </a:solidFill>
              </a:rPr>
              <a:t>1% Superplasticiser, &gt;5% Metakaolin </a:t>
            </a:r>
          </a:p>
        </c:rich>
      </c:tx>
      <c:layout>
        <c:manualLayout>
          <c:xMode val="edge"/>
          <c:yMode val="edge"/>
          <c:x val="0.16197258029334938"/>
          <c:y val="4.345942880993537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6122823537786474"/>
          <c:w val="0.77765091863517055"/>
          <c:h val="0.66910307666238256"/>
        </c:manualLayout>
      </c:layout>
      <c:scatterChart>
        <c:scatterStyle val="lineMarker"/>
        <c:varyColors val="0"/>
        <c:ser>
          <c:idx val="0"/>
          <c:order val="0"/>
          <c:tx>
            <c:strRef>
              <c:f>'Measured shrinkage'!$A$4460</c:f>
              <c:strCache>
                <c:ptCount val="1"/>
                <c:pt idx="0">
                  <c:v>A_007_14</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shrinkage'!$B$4460:$B$4481</c:f>
              <c:numCache>
                <c:formatCode>0</c:formatCode>
                <c:ptCount val="22"/>
                <c:pt idx="0">
                  <c:v>0.57077599999999995</c:v>
                </c:pt>
                <c:pt idx="1">
                  <c:v>0.57077599999999995</c:v>
                </c:pt>
                <c:pt idx="2">
                  <c:v>2.2831100000000002</c:v>
                </c:pt>
                <c:pt idx="3">
                  <c:v>5.1369899999999999</c:v>
                </c:pt>
                <c:pt idx="4">
                  <c:v>13.698600000000001</c:v>
                </c:pt>
                <c:pt idx="5">
                  <c:v>20.547899999999998</c:v>
                </c:pt>
                <c:pt idx="6">
                  <c:v>23.401800000000001</c:v>
                </c:pt>
                <c:pt idx="7">
                  <c:v>29.1096</c:v>
                </c:pt>
                <c:pt idx="8">
                  <c:v>35.388100000000001</c:v>
                </c:pt>
                <c:pt idx="9">
                  <c:v>39.954300000000003</c:v>
                </c:pt>
                <c:pt idx="10">
                  <c:v>45.662100000000002</c:v>
                </c:pt>
                <c:pt idx="11">
                  <c:v>49.657499999999999</c:v>
                </c:pt>
                <c:pt idx="12">
                  <c:v>59.9315</c:v>
                </c:pt>
                <c:pt idx="13">
                  <c:v>70.776300000000006</c:v>
                </c:pt>
                <c:pt idx="14">
                  <c:v>79.908699999999996</c:v>
                </c:pt>
                <c:pt idx="15">
                  <c:v>89.611900000000006</c:v>
                </c:pt>
                <c:pt idx="16">
                  <c:v>99.885800000000003</c:v>
                </c:pt>
                <c:pt idx="17">
                  <c:v>120.434</c:v>
                </c:pt>
                <c:pt idx="18">
                  <c:v>139.26900000000001</c:v>
                </c:pt>
                <c:pt idx="19">
                  <c:v>160.959</c:v>
                </c:pt>
                <c:pt idx="20">
                  <c:v>179.79499999999999</c:v>
                </c:pt>
                <c:pt idx="21">
                  <c:v>199.20099999999999</c:v>
                </c:pt>
              </c:numCache>
            </c:numRef>
          </c:xVal>
          <c:yVal>
            <c:numRef>
              <c:f>'Measured shrinkage'!$C$4460:$C$4481</c:f>
              <c:numCache>
                <c:formatCode>0</c:formatCode>
                <c:ptCount val="22"/>
                <c:pt idx="0">
                  <c:v>0.57077599999999995</c:v>
                </c:pt>
                <c:pt idx="1">
                  <c:v>0.57077599999999995</c:v>
                </c:pt>
                <c:pt idx="2">
                  <c:v>207.94200000000001</c:v>
                </c:pt>
                <c:pt idx="3">
                  <c:v>253.43</c:v>
                </c:pt>
                <c:pt idx="4">
                  <c:v>316.245</c:v>
                </c:pt>
                <c:pt idx="5">
                  <c:v>329.24200000000002</c:v>
                </c:pt>
                <c:pt idx="6">
                  <c:v>340.072</c:v>
                </c:pt>
                <c:pt idx="7">
                  <c:v>346.57</c:v>
                </c:pt>
                <c:pt idx="8">
                  <c:v>344.404</c:v>
                </c:pt>
                <c:pt idx="9">
                  <c:v>348.73599999999999</c:v>
                </c:pt>
                <c:pt idx="10">
                  <c:v>355.23500000000001</c:v>
                </c:pt>
                <c:pt idx="11">
                  <c:v>361.733</c:v>
                </c:pt>
                <c:pt idx="12">
                  <c:v>368.23099999999999</c:v>
                </c:pt>
                <c:pt idx="13">
                  <c:v>385.56</c:v>
                </c:pt>
                <c:pt idx="14">
                  <c:v>400.72199999999998</c:v>
                </c:pt>
                <c:pt idx="15">
                  <c:v>413.71800000000002</c:v>
                </c:pt>
                <c:pt idx="16">
                  <c:v>422.38299999999998</c:v>
                </c:pt>
                <c:pt idx="17">
                  <c:v>433.21300000000002</c:v>
                </c:pt>
                <c:pt idx="18">
                  <c:v>439.71100000000001</c:v>
                </c:pt>
                <c:pt idx="19">
                  <c:v>439.71100000000001</c:v>
                </c:pt>
                <c:pt idx="20">
                  <c:v>448.375</c:v>
                </c:pt>
                <c:pt idx="21">
                  <c:v>457.04</c:v>
                </c:pt>
              </c:numCache>
            </c:numRef>
          </c:yVal>
          <c:smooth val="0"/>
          <c:extLst>
            <c:ext xmlns:c16="http://schemas.microsoft.com/office/drawing/2014/chart" uri="{C3380CC4-5D6E-409C-BE32-E72D297353CC}">
              <c16:uniqueId val="{00000000-AC6F-43C2-B2F4-AEF3E577E8A8}"/>
            </c:ext>
          </c:extLst>
        </c:ser>
        <c:ser>
          <c:idx val="1"/>
          <c:order val="1"/>
          <c:tx>
            <c:strRef>
              <c:f>'Measured shrinkage'!$A$4482</c:f>
              <c:strCache>
                <c:ptCount val="1"/>
                <c:pt idx="0">
                  <c:v>A_007_15</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shrinkage'!$B$4482:$B$4509</c:f>
              <c:numCache>
                <c:formatCode>0</c:formatCode>
                <c:ptCount val="28"/>
                <c:pt idx="0">
                  <c:v>0.57077599999999995</c:v>
                </c:pt>
                <c:pt idx="1">
                  <c:v>1.1415500000000001</c:v>
                </c:pt>
                <c:pt idx="2">
                  <c:v>2.2831100000000002</c:v>
                </c:pt>
                <c:pt idx="3">
                  <c:v>2.8538800000000002</c:v>
                </c:pt>
                <c:pt idx="4">
                  <c:v>4.5662099999999999</c:v>
                </c:pt>
                <c:pt idx="5">
                  <c:v>5.1369899999999999</c:v>
                </c:pt>
                <c:pt idx="6">
                  <c:v>5.7077600000000004</c:v>
                </c:pt>
                <c:pt idx="7">
                  <c:v>7.4200900000000001</c:v>
                </c:pt>
                <c:pt idx="8">
                  <c:v>9.7032000000000007</c:v>
                </c:pt>
                <c:pt idx="9">
                  <c:v>14.269399999999999</c:v>
                </c:pt>
                <c:pt idx="10">
                  <c:v>19.9772</c:v>
                </c:pt>
                <c:pt idx="11">
                  <c:v>23.9726</c:v>
                </c:pt>
                <c:pt idx="12">
                  <c:v>28.538799999999998</c:v>
                </c:pt>
                <c:pt idx="13">
                  <c:v>29.680399999999999</c:v>
                </c:pt>
                <c:pt idx="14">
                  <c:v>34.817399999999999</c:v>
                </c:pt>
                <c:pt idx="15">
                  <c:v>39.383600000000001</c:v>
                </c:pt>
                <c:pt idx="16">
                  <c:v>44.520499999999998</c:v>
                </c:pt>
                <c:pt idx="17">
                  <c:v>49.657499999999999</c:v>
                </c:pt>
                <c:pt idx="18">
                  <c:v>59.9315</c:v>
                </c:pt>
                <c:pt idx="19">
                  <c:v>70.776300000000006</c:v>
                </c:pt>
                <c:pt idx="20">
                  <c:v>79.908699999999996</c:v>
                </c:pt>
                <c:pt idx="21">
                  <c:v>89.611900000000006</c:v>
                </c:pt>
                <c:pt idx="22">
                  <c:v>100.45699999999999</c:v>
                </c:pt>
                <c:pt idx="23">
                  <c:v>120.434</c:v>
                </c:pt>
                <c:pt idx="24">
                  <c:v>139.84</c:v>
                </c:pt>
                <c:pt idx="25">
                  <c:v>159.81700000000001</c:v>
                </c:pt>
                <c:pt idx="26">
                  <c:v>179.79499999999999</c:v>
                </c:pt>
                <c:pt idx="27">
                  <c:v>200.34200000000001</c:v>
                </c:pt>
              </c:numCache>
            </c:numRef>
          </c:xVal>
          <c:yVal>
            <c:numRef>
              <c:f>'Measured shrinkage'!$C$4482:$C$4509</c:f>
              <c:numCache>
                <c:formatCode>0</c:formatCode>
                <c:ptCount val="28"/>
                <c:pt idx="0">
                  <c:v>0.57077599999999995</c:v>
                </c:pt>
                <c:pt idx="1">
                  <c:v>97.472899999999996</c:v>
                </c:pt>
                <c:pt idx="2">
                  <c:v>155.95699999999999</c:v>
                </c:pt>
                <c:pt idx="3">
                  <c:v>225.27099999999999</c:v>
                </c:pt>
                <c:pt idx="4">
                  <c:v>251.26400000000001</c:v>
                </c:pt>
                <c:pt idx="5">
                  <c:v>268.59199999999998</c:v>
                </c:pt>
                <c:pt idx="6">
                  <c:v>277.25599999999997</c:v>
                </c:pt>
                <c:pt idx="7">
                  <c:v>292.41899999999998</c:v>
                </c:pt>
                <c:pt idx="8">
                  <c:v>307.58100000000002</c:v>
                </c:pt>
                <c:pt idx="9">
                  <c:v>311.91300000000001</c:v>
                </c:pt>
                <c:pt idx="10">
                  <c:v>311.91300000000001</c:v>
                </c:pt>
                <c:pt idx="11">
                  <c:v>316.245</c:v>
                </c:pt>
                <c:pt idx="12">
                  <c:v>318.41199999999998</c:v>
                </c:pt>
                <c:pt idx="13">
                  <c:v>331.40800000000002</c:v>
                </c:pt>
                <c:pt idx="14">
                  <c:v>333.57400000000001</c:v>
                </c:pt>
                <c:pt idx="15">
                  <c:v>329.24200000000002</c:v>
                </c:pt>
                <c:pt idx="16">
                  <c:v>340.072</c:v>
                </c:pt>
                <c:pt idx="17">
                  <c:v>348.73599999999999</c:v>
                </c:pt>
                <c:pt idx="18">
                  <c:v>357.40100000000001</c:v>
                </c:pt>
                <c:pt idx="19">
                  <c:v>366.065</c:v>
                </c:pt>
                <c:pt idx="20">
                  <c:v>392.05799999999999</c:v>
                </c:pt>
                <c:pt idx="21">
                  <c:v>385.56</c:v>
                </c:pt>
                <c:pt idx="22">
                  <c:v>400.72199999999998</c:v>
                </c:pt>
                <c:pt idx="23">
                  <c:v>398.55599999999998</c:v>
                </c:pt>
                <c:pt idx="24">
                  <c:v>413.71800000000002</c:v>
                </c:pt>
                <c:pt idx="25">
                  <c:v>415.88400000000001</c:v>
                </c:pt>
                <c:pt idx="26">
                  <c:v>420.21699999999998</c:v>
                </c:pt>
                <c:pt idx="27">
                  <c:v>407.22</c:v>
                </c:pt>
              </c:numCache>
            </c:numRef>
          </c:yVal>
          <c:smooth val="0"/>
          <c:extLst>
            <c:ext xmlns:c16="http://schemas.microsoft.com/office/drawing/2014/chart" uri="{C3380CC4-5D6E-409C-BE32-E72D297353CC}">
              <c16:uniqueId val="{00000001-AC6F-43C2-B2F4-AEF3E577E8A8}"/>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449741526097843"/>
          <c:y val="0.63026507903470042"/>
          <c:w val="0.31105819619906783"/>
          <c:h val="0.20433191711279805"/>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S2-08: CEM II (A-Q) - 0.29 w/cm - Quartzite - </a:t>
            </a:r>
          </a:p>
          <a:p>
            <a:pPr>
              <a:defRPr sz="1100">
                <a:solidFill>
                  <a:sysClr val="windowText" lastClr="000000"/>
                </a:solidFill>
              </a:defRPr>
            </a:pPr>
            <a:r>
              <a:rPr lang="en-US" sz="1100">
                <a:solidFill>
                  <a:sysClr val="windowText" lastClr="000000"/>
                </a:solidFill>
              </a:rPr>
              <a:t>&gt;1% Superplasticiser, &gt; 5% Metakaolin </a:t>
            </a:r>
          </a:p>
        </c:rich>
      </c:tx>
      <c:layout>
        <c:manualLayout>
          <c:xMode val="edge"/>
          <c:yMode val="edge"/>
          <c:x val="0.1707900752505431"/>
          <c:y val="4.337310284535276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765075295218006"/>
          <c:w val="0.77765091863517055"/>
          <c:h val="0.67347724320574076"/>
        </c:manualLayout>
      </c:layout>
      <c:scatterChart>
        <c:scatterStyle val="lineMarker"/>
        <c:varyColors val="0"/>
        <c:ser>
          <c:idx val="0"/>
          <c:order val="0"/>
          <c:tx>
            <c:strRef>
              <c:f>'Measured shrinkage'!$A$210</c:f>
              <c:strCache>
                <c:ptCount val="1"/>
                <c:pt idx="0">
                  <c:v>6</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shrinkage'!$B$210:$B$261</c:f>
              <c:numCache>
                <c:formatCode>0</c:formatCode>
                <c:ptCount val="52"/>
                <c:pt idx="0">
                  <c:v>0</c:v>
                </c:pt>
                <c:pt idx="1">
                  <c:v>6</c:v>
                </c:pt>
                <c:pt idx="2">
                  <c:v>14</c:v>
                </c:pt>
                <c:pt idx="3">
                  <c:v>20</c:v>
                </c:pt>
                <c:pt idx="4">
                  <c:v>27</c:v>
                </c:pt>
                <c:pt idx="5">
                  <c:v>34</c:v>
                </c:pt>
                <c:pt idx="6">
                  <c:v>65</c:v>
                </c:pt>
                <c:pt idx="7">
                  <c:v>78</c:v>
                </c:pt>
                <c:pt idx="8">
                  <c:v>92</c:v>
                </c:pt>
                <c:pt idx="9">
                  <c:v>113</c:v>
                </c:pt>
                <c:pt idx="10">
                  <c:v>120</c:v>
                </c:pt>
                <c:pt idx="11">
                  <c:v>129</c:v>
                </c:pt>
                <c:pt idx="12">
                  <c:v>141</c:v>
                </c:pt>
                <c:pt idx="13">
                  <c:v>148</c:v>
                </c:pt>
                <c:pt idx="14">
                  <c:v>155</c:v>
                </c:pt>
                <c:pt idx="15">
                  <c:v>161</c:v>
                </c:pt>
                <c:pt idx="16">
                  <c:v>168</c:v>
                </c:pt>
                <c:pt idx="17">
                  <c:v>175</c:v>
                </c:pt>
                <c:pt idx="18">
                  <c:v>182</c:v>
                </c:pt>
                <c:pt idx="19">
                  <c:v>247</c:v>
                </c:pt>
                <c:pt idx="20">
                  <c:v>308</c:v>
                </c:pt>
                <c:pt idx="21">
                  <c:v>370</c:v>
                </c:pt>
                <c:pt idx="22">
                  <c:v>429</c:v>
                </c:pt>
                <c:pt idx="23">
                  <c:v>490</c:v>
                </c:pt>
                <c:pt idx="24">
                  <c:v>551</c:v>
                </c:pt>
                <c:pt idx="25">
                  <c:v>612</c:v>
                </c:pt>
                <c:pt idx="26">
                  <c:v>673</c:v>
                </c:pt>
                <c:pt idx="27">
                  <c:v>735</c:v>
                </c:pt>
                <c:pt idx="28">
                  <c:v>795</c:v>
                </c:pt>
                <c:pt idx="29">
                  <c:v>1163</c:v>
                </c:pt>
                <c:pt idx="30">
                  <c:v>1191</c:v>
                </c:pt>
                <c:pt idx="31">
                  <c:v>1252</c:v>
                </c:pt>
                <c:pt idx="32">
                  <c:v>1317</c:v>
                </c:pt>
                <c:pt idx="33">
                  <c:v>1391</c:v>
                </c:pt>
                <c:pt idx="34">
                  <c:v>1450</c:v>
                </c:pt>
                <c:pt idx="35">
                  <c:v>1549</c:v>
                </c:pt>
                <c:pt idx="36">
                  <c:v>1640</c:v>
                </c:pt>
                <c:pt idx="37">
                  <c:v>1732</c:v>
                </c:pt>
                <c:pt idx="38">
                  <c:v>1824</c:v>
                </c:pt>
                <c:pt idx="39">
                  <c:v>1955</c:v>
                </c:pt>
                <c:pt idx="40">
                  <c:v>2046</c:v>
                </c:pt>
                <c:pt idx="41">
                  <c:v>2149</c:v>
                </c:pt>
                <c:pt idx="42">
                  <c:v>2247</c:v>
                </c:pt>
                <c:pt idx="43">
                  <c:v>2353</c:v>
                </c:pt>
                <c:pt idx="44">
                  <c:v>2516</c:v>
                </c:pt>
                <c:pt idx="45">
                  <c:v>2626</c:v>
                </c:pt>
                <c:pt idx="46">
                  <c:v>2780</c:v>
                </c:pt>
                <c:pt idx="47">
                  <c:v>2894</c:v>
                </c:pt>
                <c:pt idx="48">
                  <c:v>2999</c:v>
                </c:pt>
                <c:pt idx="49">
                  <c:v>3081</c:v>
                </c:pt>
                <c:pt idx="50">
                  <c:v>3244</c:v>
                </c:pt>
                <c:pt idx="51">
                  <c:v>3330</c:v>
                </c:pt>
              </c:numCache>
            </c:numRef>
          </c:xVal>
          <c:yVal>
            <c:numRef>
              <c:f>'Measured shrinkage'!$C$210:$C$261</c:f>
              <c:numCache>
                <c:formatCode>0</c:formatCode>
                <c:ptCount val="52"/>
                <c:pt idx="0">
                  <c:v>0</c:v>
                </c:pt>
                <c:pt idx="1">
                  <c:v>86.700000000000017</c:v>
                </c:pt>
                <c:pt idx="2">
                  <c:v>133.29999999999998</c:v>
                </c:pt>
                <c:pt idx="3">
                  <c:v>166.70000000000002</c:v>
                </c:pt>
                <c:pt idx="4">
                  <c:v>243.30000000000004</c:v>
                </c:pt>
                <c:pt idx="5">
                  <c:v>243.30000000000004</c:v>
                </c:pt>
                <c:pt idx="6">
                  <c:v>250</c:v>
                </c:pt>
                <c:pt idx="7">
                  <c:v>276.7</c:v>
                </c:pt>
                <c:pt idx="8">
                  <c:v>263.3</c:v>
                </c:pt>
                <c:pt idx="9">
                  <c:v>280</c:v>
                </c:pt>
                <c:pt idx="10">
                  <c:v>260</c:v>
                </c:pt>
                <c:pt idx="11">
                  <c:v>246.70000000000002</c:v>
                </c:pt>
                <c:pt idx="12">
                  <c:v>236.7</c:v>
                </c:pt>
                <c:pt idx="13">
                  <c:v>229.99999999999997</c:v>
                </c:pt>
                <c:pt idx="14">
                  <c:v>236.7</c:v>
                </c:pt>
                <c:pt idx="15">
                  <c:v>246.70000000000002</c:v>
                </c:pt>
                <c:pt idx="16">
                  <c:v>250</c:v>
                </c:pt>
                <c:pt idx="17">
                  <c:v>253.29999999999998</c:v>
                </c:pt>
                <c:pt idx="18">
                  <c:v>253.29999999999998</c:v>
                </c:pt>
                <c:pt idx="19">
                  <c:v>219.99999999999997</c:v>
                </c:pt>
                <c:pt idx="20">
                  <c:v>233.3</c:v>
                </c:pt>
                <c:pt idx="21">
                  <c:v>236.7</c:v>
                </c:pt>
                <c:pt idx="22">
                  <c:v>240</c:v>
                </c:pt>
                <c:pt idx="23">
                  <c:v>236.7</c:v>
                </c:pt>
                <c:pt idx="24">
                  <c:v>236.7</c:v>
                </c:pt>
                <c:pt idx="25">
                  <c:v>236.7</c:v>
                </c:pt>
                <c:pt idx="26">
                  <c:v>240</c:v>
                </c:pt>
                <c:pt idx="27">
                  <c:v>240</c:v>
                </c:pt>
                <c:pt idx="28">
                  <c:v>240</c:v>
                </c:pt>
                <c:pt idx="29">
                  <c:v>236.7</c:v>
                </c:pt>
                <c:pt idx="30">
                  <c:v>228.9</c:v>
                </c:pt>
                <c:pt idx="31">
                  <c:v>225.60000000000002</c:v>
                </c:pt>
                <c:pt idx="32">
                  <c:v>236.7</c:v>
                </c:pt>
                <c:pt idx="33">
                  <c:v>227.5</c:v>
                </c:pt>
                <c:pt idx="34">
                  <c:v>226.7</c:v>
                </c:pt>
                <c:pt idx="35">
                  <c:v>217.79999999999998</c:v>
                </c:pt>
                <c:pt idx="36">
                  <c:v>222.2</c:v>
                </c:pt>
                <c:pt idx="37">
                  <c:v>213.3</c:v>
                </c:pt>
                <c:pt idx="38">
                  <c:v>211.10000000000002</c:v>
                </c:pt>
                <c:pt idx="39">
                  <c:v>219.99999999999997</c:v>
                </c:pt>
                <c:pt idx="40">
                  <c:v>214.4</c:v>
                </c:pt>
                <c:pt idx="41">
                  <c:v>205.6</c:v>
                </c:pt>
                <c:pt idx="42">
                  <c:v>206.70000000000002</c:v>
                </c:pt>
                <c:pt idx="43">
                  <c:v>212.2</c:v>
                </c:pt>
                <c:pt idx="44">
                  <c:v>206.70000000000002</c:v>
                </c:pt>
                <c:pt idx="45">
                  <c:v>213.3</c:v>
                </c:pt>
                <c:pt idx="46">
                  <c:v>203.29999999999998</c:v>
                </c:pt>
                <c:pt idx="47">
                  <c:v>205.6</c:v>
                </c:pt>
                <c:pt idx="48">
                  <c:v>206.70000000000002</c:v>
                </c:pt>
                <c:pt idx="49">
                  <c:v>206.70000000000002</c:v>
                </c:pt>
                <c:pt idx="50">
                  <c:v>206.70000000000002</c:v>
                </c:pt>
                <c:pt idx="51">
                  <c:v>202.2</c:v>
                </c:pt>
              </c:numCache>
            </c:numRef>
          </c:yVal>
          <c:smooth val="0"/>
          <c:extLst>
            <c:ext xmlns:c16="http://schemas.microsoft.com/office/drawing/2014/chart" uri="{C3380CC4-5D6E-409C-BE32-E72D297353CC}">
              <c16:uniqueId val="{00000000-C288-4D32-94C2-231A36E95CF2}"/>
            </c:ext>
          </c:extLst>
        </c:ser>
        <c:ser>
          <c:idx val="1"/>
          <c:order val="1"/>
          <c:tx>
            <c:strRef>
              <c:f>'Measured shrinkage'!$A$419</c:f>
              <c:strCache>
                <c:ptCount val="1"/>
                <c:pt idx="0">
                  <c:v>10</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shrinkage'!$B$419:$B$470</c:f>
              <c:numCache>
                <c:formatCode>0</c:formatCode>
                <c:ptCount val="52"/>
                <c:pt idx="0">
                  <c:v>0</c:v>
                </c:pt>
                <c:pt idx="1">
                  <c:v>7</c:v>
                </c:pt>
                <c:pt idx="2">
                  <c:v>14</c:v>
                </c:pt>
                <c:pt idx="3">
                  <c:v>28</c:v>
                </c:pt>
                <c:pt idx="4">
                  <c:v>36</c:v>
                </c:pt>
                <c:pt idx="5">
                  <c:v>50</c:v>
                </c:pt>
                <c:pt idx="6">
                  <c:v>61</c:v>
                </c:pt>
                <c:pt idx="7">
                  <c:v>79</c:v>
                </c:pt>
                <c:pt idx="8">
                  <c:v>91</c:v>
                </c:pt>
                <c:pt idx="9">
                  <c:v>112</c:v>
                </c:pt>
                <c:pt idx="10">
                  <c:v>119</c:v>
                </c:pt>
                <c:pt idx="11">
                  <c:v>140</c:v>
                </c:pt>
                <c:pt idx="12">
                  <c:v>147</c:v>
                </c:pt>
                <c:pt idx="13">
                  <c:v>154</c:v>
                </c:pt>
                <c:pt idx="14">
                  <c:v>161</c:v>
                </c:pt>
                <c:pt idx="15">
                  <c:v>168</c:v>
                </c:pt>
                <c:pt idx="16">
                  <c:v>175</c:v>
                </c:pt>
                <c:pt idx="17">
                  <c:v>182</c:v>
                </c:pt>
                <c:pt idx="18">
                  <c:v>189</c:v>
                </c:pt>
                <c:pt idx="19">
                  <c:v>243</c:v>
                </c:pt>
                <c:pt idx="20">
                  <c:v>304</c:v>
                </c:pt>
                <c:pt idx="21">
                  <c:v>366</c:v>
                </c:pt>
                <c:pt idx="22">
                  <c:v>425</c:v>
                </c:pt>
                <c:pt idx="23">
                  <c:v>486</c:v>
                </c:pt>
                <c:pt idx="24">
                  <c:v>547</c:v>
                </c:pt>
                <c:pt idx="25">
                  <c:v>608</c:v>
                </c:pt>
                <c:pt idx="26">
                  <c:v>669</c:v>
                </c:pt>
                <c:pt idx="27">
                  <c:v>731</c:v>
                </c:pt>
                <c:pt idx="28">
                  <c:v>791</c:v>
                </c:pt>
                <c:pt idx="29">
                  <c:v>1159</c:v>
                </c:pt>
                <c:pt idx="30">
                  <c:v>1187</c:v>
                </c:pt>
                <c:pt idx="31">
                  <c:v>1248</c:v>
                </c:pt>
                <c:pt idx="32">
                  <c:v>1313</c:v>
                </c:pt>
                <c:pt idx="33">
                  <c:v>1387</c:v>
                </c:pt>
                <c:pt idx="34">
                  <c:v>1446</c:v>
                </c:pt>
                <c:pt idx="35">
                  <c:v>1545</c:v>
                </c:pt>
                <c:pt idx="36">
                  <c:v>1636</c:v>
                </c:pt>
                <c:pt idx="37">
                  <c:v>1728</c:v>
                </c:pt>
                <c:pt idx="38">
                  <c:v>1820</c:v>
                </c:pt>
                <c:pt idx="39">
                  <c:v>1951</c:v>
                </c:pt>
                <c:pt idx="40">
                  <c:v>2042</c:v>
                </c:pt>
                <c:pt idx="41">
                  <c:v>2145</c:v>
                </c:pt>
                <c:pt idx="42">
                  <c:v>2243</c:v>
                </c:pt>
                <c:pt idx="43">
                  <c:v>2349</c:v>
                </c:pt>
                <c:pt idx="44">
                  <c:v>2512</c:v>
                </c:pt>
                <c:pt idx="45">
                  <c:v>2622</c:v>
                </c:pt>
                <c:pt idx="46">
                  <c:v>2776</c:v>
                </c:pt>
                <c:pt idx="47">
                  <c:v>2890</c:v>
                </c:pt>
                <c:pt idx="48">
                  <c:v>2995</c:v>
                </c:pt>
                <c:pt idx="49">
                  <c:v>3077</c:v>
                </c:pt>
                <c:pt idx="50">
                  <c:v>3240</c:v>
                </c:pt>
                <c:pt idx="51">
                  <c:v>3326</c:v>
                </c:pt>
              </c:numCache>
            </c:numRef>
          </c:xVal>
          <c:yVal>
            <c:numRef>
              <c:f>'Measured shrinkage'!$C$419:$C$470</c:f>
              <c:numCache>
                <c:formatCode>0</c:formatCode>
                <c:ptCount val="52"/>
                <c:pt idx="0">
                  <c:v>0</c:v>
                </c:pt>
                <c:pt idx="1">
                  <c:v>65</c:v>
                </c:pt>
                <c:pt idx="2">
                  <c:v>125</c:v>
                </c:pt>
                <c:pt idx="3">
                  <c:v>185</c:v>
                </c:pt>
                <c:pt idx="4">
                  <c:v>205.00000000000003</c:v>
                </c:pt>
                <c:pt idx="5">
                  <c:v>219.99999999999997</c:v>
                </c:pt>
                <c:pt idx="6">
                  <c:v>265</c:v>
                </c:pt>
                <c:pt idx="7">
                  <c:v>265</c:v>
                </c:pt>
                <c:pt idx="8">
                  <c:v>275</c:v>
                </c:pt>
                <c:pt idx="9">
                  <c:v>270</c:v>
                </c:pt>
                <c:pt idx="10">
                  <c:v>275</c:v>
                </c:pt>
                <c:pt idx="11">
                  <c:v>245.00000000000003</c:v>
                </c:pt>
                <c:pt idx="12">
                  <c:v>240</c:v>
                </c:pt>
                <c:pt idx="13">
                  <c:v>245.00000000000003</c:v>
                </c:pt>
                <c:pt idx="14">
                  <c:v>240</c:v>
                </c:pt>
                <c:pt idx="15">
                  <c:v>275</c:v>
                </c:pt>
                <c:pt idx="16">
                  <c:v>254.99999999999997</c:v>
                </c:pt>
                <c:pt idx="17">
                  <c:v>254.99999999999997</c:v>
                </c:pt>
                <c:pt idx="18">
                  <c:v>240</c:v>
                </c:pt>
                <c:pt idx="19">
                  <c:v>225</c:v>
                </c:pt>
                <c:pt idx="20">
                  <c:v>260</c:v>
                </c:pt>
                <c:pt idx="21">
                  <c:v>245.00000000000003</c:v>
                </c:pt>
                <c:pt idx="22">
                  <c:v>240</c:v>
                </c:pt>
                <c:pt idx="23">
                  <c:v>229.99999999999997</c:v>
                </c:pt>
                <c:pt idx="24">
                  <c:v>229.99999999999997</c:v>
                </c:pt>
                <c:pt idx="25">
                  <c:v>240</c:v>
                </c:pt>
                <c:pt idx="26">
                  <c:v>229.99999999999997</c:v>
                </c:pt>
                <c:pt idx="27">
                  <c:v>229.99999999999997</c:v>
                </c:pt>
                <c:pt idx="28">
                  <c:v>240</c:v>
                </c:pt>
                <c:pt idx="29">
                  <c:v>246.70000000000002</c:v>
                </c:pt>
                <c:pt idx="30">
                  <c:v>233.3</c:v>
                </c:pt>
                <c:pt idx="31">
                  <c:v>243.30000000000004</c:v>
                </c:pt>
                <c:pt idx="32">
                  <c:v>245.00000000000003</c:v>
                </c:pt>
                <c:pt idx="33">
                  <c:v>258.29999999999995</c:v>
                </c:pt>
                <c:pt idx="34">
                  <c:v>245.00000000000003</c:v>
                </c:pt>
                <c:pt idx="35">
                  <c:v>229.99999999999997</c:v>
                </c:pt>
                <c:pt idx="36">
                  <c:v>226.7</c:v>
                </c:pt>
                <c:pt idx="37">
                  <c:v>223.3</c:v>
                </c:pt>
                <c:pt idx="38">
                  <c:v>215</c:v>
                </c:pt>
                <c:pt idx="39">
                  <c:v>219.99999999999997</c:v>
                </c:pt>
                <c:pt idx="40">
                  <c:v>213.3</c:v>
                </c:pt>
                <c:pt idx="41">
                  <c:v>216.7</c:v>
                </c:pt>
                <c:pt idx="42">
                  <c:v>215</c:v>
                </c:pt>
                <c:pt idx="43">
                  <c:v>216.7</c:v>
                </c:pt>
                <c:pt idx="44">
                  <c:v>219.99999999999997</c:v>
                </c:pt>
                <c:pt idx="45">
                  <c:v>210</c:v>
                </c:pt>
                <c:pt idx="46">
                  <c:v>215</c:v>
                </c:pt>
                <c:pt idx="47">
                  <c:v>215</c:v>
                </c:pt>
                <c:pt idx="48">
                  <c:v>221.70000000000002</c:v>
                </c:pt>
                <c:pt idx="49">
                  <c:v>221.70000000000002</c:v>
                </c:pt>
                <c:pt idx="50">
                  <c:v>218.29999999999998</c:v>
                </c:pt>
                <c:pt idx="51">
                  <c:v>215</c:v>
                </c:pt>
              </c:numCache>
            </c:numRef>
          </c:yVal>
          <c:smooth val="0"/>
          <c:extLst>
            <c:ext xmlns:c16="http://schemas.microsoft.com/office/drawing/2014/chart" uri="{C3380CC4-5D6E-409C-BE32-E72D297353CC}">
              <c16:uniqueId val="{00000001-C288-4D32-94C2-231A36E95CF2}"/>
            </c:ext>
          </c:extLst>
        </c:ser>
        <c:dLbls>
          <c:showLegendKey val="0"/>
          <c:showVal val="0"/>
          <c:showCatName val="0"/>
          <c:showSerName val="0"/>
          <c:showPercent val="0"/>
          <c:showBubbleSize val="0"/>
        </c:dLbls>
        <c:axId val="757711696"/>
        <c:axId val="757706776"/>
      </c:scatterChart>
      <c:valAx>
        <c:axId val="7577116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6932473803704908"/>
          <c:y val="0.61503714463774672"/>
          <c:w val="0.33623095332953207"/>
          <c:h val="0.23429995690229843"/>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a:t>
            </a:r>
            <a:r>
              <a:rPr lang="en-US" sz="1100" baseline="0">
                <a:solidFill>
                  <a:sysClr val="windowText" lastClr="000000"/>
                </a:solidFill>
              </a:rPr>
              <a:t> </a:t>
            </a:r>
            <a:r>
              <a:rPr lang="en-US" sz="1100">
                <a:solidFill>
                  <a:sysClr val="windowText" lastClr="000000"/>
                </a:solidFill>
              </a:rPr>
              <a:t>S2-09: CEM II (B-M) - 0.33 w/cm - Granite - </a:t>
            </a:r>
          </a:p>
          <a:p>
            <a:pPr>
              <a:defRPr sz="1100">
                <a:solidFill>
                  <a:sysClr val="windowText" lastClr="000000"/>
                </a:solidFill>
              </a:defRPr>
            </a:pPr>
            <a:r>
              <a:rPr lang="en-US" sz="1100">
                <a:solidFill>
                  <a:sysClr val="windowText" lastClr="000000"/>
                </a:solidFill>
              </a:rPr>
              <a:t>&lt;1% Superplasticiser, &lt;0.5% Plasticiser, 5% Metakaolin</a:t>
            </a:r>
          </a:p>
        </c:rich>
      </c:tx>
      <c:layout>
        <c:manualLayout>
          <c:xMode val="edge"/>
          <c:yMode val="edge"/>
          <c:x val="0.17604885432017323"/>
          <c:y val="4.3369163059464371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5641210084242055"/>
          <c:w val="0.77765091863517055"/>
          <c:h val="0.66333486294000743"/>
        </c:manualLayout>
      </c:layout>
      <c:scatterChart>
        <c:scatterStyle val="lineMarker"/>
        <c:varyColors val="0"/>
        <c:ser>
          <c:idx val="1"/>
          <c:order val="0"/>
          <c:tx>
            <c:strRef>
              <c:f>'Measured shrinkage'!$A$1490</c:f>
              <c:strCache>
                <c:ptCount val="1"/>
                <c:pt idx="0">
                  <c:v>31</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shrinkage'!$B$1490:$B$1543</c:f>
              <c:numCache>
                <c:formatCode>0</c:formatCode>
                <c:ptCount val="54"/>
                <c:pt idx="0">
                  <c:v>0</c:v>
                </c:pt>
                <c:pt idx="1">
                  <c:v>10</c:v>
                </c:pt>
                <c:pt idx="2">
                  <c:v>22</c:v>
                </c:pt>
                <c:pt idx="3">
                  <c:v>43</c:v>
                </c:pt>
                <c:pt idx="4">
                  <c:v>50</c:v>
                </c:pt>
                <c:pt idx="5">
                  <c:v>59</c:v>
                </c:pt>
                <c:pt idx="6">
                  <c:v>71</c:v>
                </c:pt>
                <c:pt idx="7">
                  <c:v>78</c:v>
                </c:pt>
                <c:pt idx="8">
                  <c:v>85</c:v>
                </c:pt>
                <c:pt idx="9">
                  <c:v>92</c:v>
                </c:pt>
                <c:pt idx="10">
                  <c:v>99</c:v>
                </c:pt>
                <c:pt idx="11">
                  <c:v>106</c:v>
                </c:pt>
                <c:pt idx="12">
                  <c:v>113</c:v>
                </c:pt>
                <c:pt idx="13">
                  <c:v>120</c:v>
                </c:pt>
                <c:pt idx="14">
                  <c:v>127</c:v>
                </c:pt>
                <c:pt idx="15">
                  <c:v>134</c:v>
                </c:pt>
                <c:pt idx="16">
                  <c:v>141</c:v>
                </c:pt>
                <c:pt idx="17">
                  <c:v>148</c:v>
                </c:pt>
                <c:pt idx="18">
                  <c:v>155</c:v>
                </c:pt>
                <c:pt idx="19">
                  <c:v>162</c:v>
                </c:pt>
                <c:pt idx="20">
                  <c:v>178</c:v>
                </c:pt>
                <c:pt idx="21">
                  <c:v>184</c:v>
                </c:pt>
                <c:pt idx="22">
                  <c:v>244</c:v>
                </c:pt>
                <c:pt idx="23">
                  <c:v>306</c:v>
                </c:pt>
                <c:pt idx="24">
                  <c:v>365</c:v>
                </c:pt>
                <c:pt idx="25">
                  <c:v>426</c:v>
                </c:pt>
                <c:pt idx="26">
                  <c:v>487</c:v>
                </c:pt>
                <c:pt idx="27">
                  <c:v>548</c:v>
                </c:pt>
                <c:pt idx="28">
                  <c:v>609</c:v>
                </c:pt>
                <c:pt idx="29">
                  <c:v>671</c:v>
                </c:pt>
                <c:pt idx="30">
                  <c:v>731</c:v>
                </c:pt>
                <c:pt idx="31">
                  <c:v>1090</c:v>
                </c:pt>
                <c:pt idx="32">
                  <c:v>1118</c:v>
                </c:pt>
                <c:pt idx="33">
                  <c:v>1179</c:v>
                </c:pt>
                <c:pt idx="34">
                  <c:v>1244</c:v>
                </c:pt>
                <c:pt idx="35">
                  <c:v>1318</c:v>
                </c:pt>
                <c:pt idx="36">
                  <c:v>1377</c:v>
                </c:pt>
                <c:pt idx="37">
                  <c:v>1476</c:v>
                </c:pt>
                <c:pt idx="38">
                  <c:v>1567</c:v>
                </c:pt>
                <c:pt idx="39">
                  <c:v>1659</c:v>
                </c:pt>
                <c:pt idx="40">
                  <c:v>1751</c:v>
                </c:pt>
                <c:pt idx="41">
                  <c:v>1882</c:v>
                </c:pt>
                <c:pt idx="42">
                  <c:v>1973</c:v>
                </c:pt>
                <c:pt idx="43">
                  <c:v>2076</c:v>
                </c:pt>
                <c:pt idx="44">
                  <c:v>2174</c:v>
                </c:pt>
                <c:pt idx="45">
                  <c:v>2280</c:v>
                </c:pt>
                <c:pt idx="46">
                  <c:v>2443</c:v>
                </c:pt>
                <c:pt idx="47">
                  <c:v>2553</c:v>
                </c:pt>
                <c:pt idx="48">
                  <c:v>2707</c:v>
                </c:pt>
                <c:pt idx="49">
                  <c:v>2823</c:v>
                </c:pt>
                <c:pt idx="50">
                  <c:v>2926</c:v>
                </c:pt>
                <c:pt idx="51">
                  <c:v>3014</c:v>
                </c:pt>
                <c:pt idx="52">
                  <c:v>3177</c:v>
                </c:pt>
                <c:pt idx="53">
                  <c:v>3263</c:v>
                </c:pt>
              </c:numCache>
            </c:numRef>
          </c:xVal>
          <c:yVal>
            <c:numRef>
              <c:f>'Measured shrinkage'!$C$1490:$C$1543</c:f>
              <c:numCache>
                <c:formatCode>0</c:formatCode>
                <c:ptCount val="54"/>
                <c:pt idx="0">
                  <c:v>0</c:v>
                </c:pt>
                <c:pt idx="1">
                  <c:v>176.70000000000002</c:v>
                </c:pt>
                <c:pt idx="2">
                  <c:v>260</c:v>
                </c:pt>
                <c:pt idx="3">
                  <c:v>336.7</c:v>
                </c:pt>
                <c:pt idx="4">
                  <c:v>350.00000000000006</c:v>
                </c:pt>
                <c:pt idx="5">
                  <c:v>343.29999999999995</c:v>
                </c:pt>
                <c:pt idx="6">
                  <c:v>340.00000000000006</c:v>
                </c:pt>
                <c:pt idx="7">
                  <c:v>333.29999999999995</c:v>
                </c:pt>
                <c:pt idx="8">
                  <c:v>350.00000000000006</c:v>
                </c:pt>
                <c:pt idx="9">
                  <c:v>380</c:v>
                </c:pt>
                <c:pt idx="10">
                  <c:v>386.70000000000005</c:v>
                </c:pt>
                <c:pt idx="11">
                  <c:v>386.70000000000005</c:v>
                </c:pt>
                <c:pt idx="12">
                  <c:v>380</c:v>
                </c:pt>
                <c:pt idx="13">
                  <c:v>380</c:v>
                </c:pt>
                <c:pt idx="14">
                  <c:v>380</c:v>
                </c:pt>
                <c:pt idx="15">
                  <c:v>380</c:v>
                </c:pt>
                <c:pt idx="16">
                  <c:v>359.99999999999994</c:v>
                </c:pt>
                <c:pt idx="17">
                  <c:v>370</c:v>
                </c:pt>
                <c:pt idx="18">
                  <c:v>356.70000000000005</c:v>
                </c:pt>
                <c:pt idx="19">
                  <c:v>363.3</c:v>
                </c:pt>
                <c:pt idx="20">
                  <c:v>370</c:v>
                </c:pt>
                <c:pt idx="21">
                  <c:v>353.3</c:v>
                </c:pt>
                <c:pt idx="22">
                  <c:v>373.3</c:v>
                </c:pt>
                <c:pt idx="23">
                  <c:v>366.70000000000005</c:v>
                </c:pt>
                <c:pt idx="24">
                  <c:v>363.3</c:v>
                </c:pt>
                <c:pt idx="25">
                  <c:v>356.70000000000005</c:v>
                </c:pt>
                <c:pt idx="26">
                  <c:v>353.3</c:v>
                </c:pt>
                <c:pt idx="27">
                  <c:v>373.3</c:v>
                </c:pt>
                <c:pt idx="28">
                  <c:v>363.3</c:v>
                </c:pt>
                <c:pt idx="29">
                  <c:v>370</c:v>
                </c:pt>
                <c:pt idx="30">
                  <c:v>356.70000000000005</c:v>
                </c:pt>
                <c:pt idx="31">
                  <c:v>375.6</c:v>
                </c:pt>
                <c:pt idx="32">
                  <c:v>353.3</c:v>
                </c:pt>
                <c:pt idx="33">
                  <c:v>359.99999999999994</c:v>
                </c:pt>
                <c:pt idx="34">
                  <c:v>361.1</c:v>
                </c:pt>
                <c:pt idx="35">
                  <c:v>347.79999999999995</c:v>
                </c:pt>
                <c:pt idx="36">
                  <c:v>350.00000000000006</c:v>
                </c:pt>
                <c:pt idx="37">
                  <c:v>348.9</c:v>
                </c:pt>
                <c:pt idx="38">
                  <c:v>354.4</c:v>
                </c:pt>
                <c:pt idx="39">
                  <c:v>356.70000000000005</c:v>
                </c:pt>
                <c:pt idx="40">
                  <c:v>357.8</c:v>
                </c:pt>
                <c:pt idx="41">
                  <c:v>361.1</c:v>
                </c:pt>
                <c:pt idx="42">
                  <c:v>356.70000000000005</c:v>
                </c:pt>
                <c:pt idx="43">
                  <c:v>363.3</c:v>
                </c:pt>
                <c:pt idx="44">
                  <c:v>363.3</c:v>
                </c:pt>
                <c:pt idx="45">
                  <c:v>358.9</c:v>
                </c:pt>
                <c:pt idx="46">
                  <c:v>353.3</c:v>
                </c:pt>
                <c:pt idx="47">
                  <c:v>350.00000000000006</c:v>
                </c:pt>
                <c:pt idx="48">
                  <c:v>359.99999999999994</c:v>
                </c:pt>
                <c:pt idx="49">
                  <c:v>343.29999999999995</c:v>
                </c:pt>
                <c:pt idx="50">
                  <c:v>343.29999999999995</c:v>
                </c:pt>
                <c:pt idx="51">
                  <c:v>343.29999999999995</c:v>
                </c:pt>
                <c:pt idx="52">
                  <c:v>343.29999999999995</c:v>
                </c:pt>
                <c:pt idx="53">
                  <c:v>338.90000000000003</c:v>
                </c:pt>
              </c:numCache>
            </c:numRef>
          </c:yVal>
          <c:smooth val="0"/>
          <c:extLst>
            <c:ext xmlns:c16="http://schemas.microsoft.com/office/drawing/2014/chart" uri="{C3380CC4-5D6E-409C-BE32-E72D297353CC}">
              <c16:uniqueId val="{00000001-3B2F-4747-958B-F79FC877B9AA}"/>
            </c:ext>
          </c:extLst>
        </c:ser>
        <c:ser>
          <c:idx val="3"/>
          <c:order val="1"/>
          <c:tx>
            <c:strRef>
              <c:f>'Measured shrinkage'!$A$1598</c:f>
              <c:strCache>
                <c:ptCount val="1"/>
                <c:pt idx="0">
                  <c:v>33</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shrinkage'!$B$1598:$B$1651</c:f>
              <c:numCache>
                <c:formatCode>0</c:formatCode>
                <c:ptCount val="54"/>
                <c:pt idx="0">
                  <c:v>0</c:v>
                </c:pt>
                <c:pt idx="1">
                  <c:v>10</c:v>
                </c:pt>
                <c:pt idx="2">
                  <c:v>22</c:v>
                </c:pt>
                <c:pt idx="3">
                  <c:v>43</c:v>
                </c:pt>
                <c:pt idx="4">
                  <c:v>50</c:v>
                </c:pt>
                <c:pt idx="5">
                  <c:v>59</c:v>
                </c:pt>
                <c:pt idx="6">
                  <c:v>71</c:v>
                </c:pt>
                <c:pt idx="7">
                  <c:v>78</c:v>
                </c:pt>
                <c:pt idx="8">
                  <c:v>85</c:v>
                </c:pt>
                <c:pt idx="9">
                  <c:v>92</c:v>
                </c:pt>
                <c:pt idx="10">
                  <c:v>99</c:v>
                </c:pt>
                <c:pt idx="11">
                  <c:v>106</c:v>
                </c:pt>
                <c:pt idx="12">
                  <c:v>113</c:v>
                </c:pt>
                <c:pt idx="13">
                  <c:v>120</c:v>
                </c:pt>
                <c:pt idx="14">
                  <c:v>127</c:v>
                </c:pt>
                <c:pt idx="15">
                  <c:v>134</c:v>
                </c:pt>
                <c:pt idx="16">
                  <c:v>141</c:v>
                </c:pt>
                <c:pt idx="17">
                  <c:v>148</c:v>
                </c:pt>
                <c:pt idx="18">
                  <c:v>155</c:v>
                </c:pt>
                <c:pt idx="19">
                  <c:v>162</c:v>
                </c:pt>
                <c:pt idx="20">
                  <c:v>178</c:v>
                </c:pt>
                <c:pt idx="21">
                  <c:v>184</c:v>
                </c:pt>
                <c:pt idx="22">
                  <c:v>244</c:v>
                </c:pt>
                <c:pt idx="23">
                  <c:v>306</c:v>
                </c:pt>
                <c:pt idx="24">
                  <c:v>365</c:v>
                </c:pt>
                <c:pt idx="25">
                  <c:v>426</c:v>
                </c:pt>
                <c:pt idx="26">
                  <c:v>487</c:v>
                </c:pt>
                <c:pt idx="27">
                  <c:v>548</c:v>
                </c:pt>
                <c:pt idx="28">
                  <c:v>609</c:v>
                </c:pt>
                <c:pt idx="29">
                  <c:v>671</c:v>
                </c:pt>
                <c:pt idx="30">
                  <c:v>731</c:v>
                </c:pt>
                <c:pt idx="31">
                  <c:v>1090</c:v>
                </c:pt>
                <c:pt idx="32">
                  <c:v>1118</c:v>
                </c:pt>
                <c:pt idx="33">
                  <c:v>1179</c:v>
                </c:pt>
                <c:pt idx="34">
                  <c:v>1244</c:v>
                </c:pt>
                <c:pt idx="35">
                  <c:v>1318</c:v>
                </c:pt>
                <c:pt idx="36">
                  <c:v>1377</c:v>
                </c:pt>
                <c:pt idx="37">
                  <c:v>1476</c:v>
                </c:pt>
                <c:pt idx="38">
                  <c:v>1567</c:v>
                </c:pt>
                <c:pt idx="39">
                  <c:v>1659</c:v>
                </c:pt>
                <c:pt idx="40">
                  <c:v>1751</c:v>
                </c:pt>
                <c:pt idx="41">
                  <c:v>1882</c:v>
                </c:pt>
                <c:pt idx="42">
                  <c:v>1973</c:v>
                </c:pt>
                <c:pt idx="43">
                  <c:v>2076</c:v>
                </c:pt>
                <c:pt idx="44">
                  <c:v>2174</c:v>
                </c:pt>
                <c:pt idx="45">
                  <c:v>2280</c:v>
                </c:pt>
                <c:pt idx="46">
                  <c:v>2443</c:v>
                </c:pt>
                <c:pt idx="47">
                  <c:v>2553</c:v>
                </c:pt>
                <c:pt idx="48">
                  <c:v>2707</c:v>
                </c:pt>
                <c:pt idx="49">
                  <c:v>2823</c:v>
                </c:pt>
                <c:pt idx="50">
                  <c:v>2926</c:v>
                </c:pt>
                <c:pt idx="51">
                  <c:v>3013</c:v>
                </c:pt>
                <c:pt idx="52">
                  <c:v>3176</c:v>
                </c:pt>
                <c:pt idx="53">
                  <c:v>3262</c:v>
                </c:pt>
              </c:numCache>
            </c:numRef>
          </c:xVal>
          <c:yVal>
            <c:numRef>
              <c:f>'Measured shrinkage'!$C$1598:$C$1651</c:f>
              <c:numCache>
                <c:formatCode>0</c:formatCode>
                <c:ptCount val="54"/>
                <c:pt idx="0">
                  <c:v>0</c:v>
                </c:pt>
                <c:pt idx="1">
                  <c:v>190</c:v>
                </c:pt>
                <c:pt idx="2">
                  <c:v>276.7</c:v>
                </c:pt>
                <c:pt idx="3">
                  <c:v>346.7</c:v>
                </c:pt>
                <c:pt idx="4">
                  <c:v>350.00000000000006</c:v>
                </c:pt>
                <c:pt idx="5">
                  <c:v>346.7</c:v>
                </c:pt>
                <c:pt idx="6">
                  <c:v>333.29999999999995</c:v>
                </c:pt>
                <c:pt idx="7">
                  <c:v>343.29999999999995</c:v>
                </c:pt>
                <c:pt idx="8">
                  <c:v>356.70000000000005</c:v>
                </c:pt>
                <c:pt idx="9">
                  <c:v>380</c:v>
                </c:pt>
                <c:pt idx="10">
                  <c:v>396.7</c:v>
                </c:pt>
                <c:pt idx="11">
                  <c:v>383.3</c:v>
                </c:pt>
                <c:pt idx="12">
                  <c:v>390</c:v>
                </c:pt>
                <c:pt idx="13">
                  <c:v>386.70000000000005</c:v>
                </c:pt>
                <c:pt idx="14">
                  <c:v>383.3</c:v>
                </c:pt>
                <c:pt idx="15">
                  <c:v>386.70000000000005</c:v>
                </c:pt>
                <c:pt idx="16">
                  <c:v>370</c:v>
                </c:pt>
                <c:pt idx="17">
                  <c:v>366.70000000000005</c:v>
                </c:pt>
                <c:pt idx="18">
                  <c:v>363.3</c:v>
                </c:pt>
                <c:pt idx="19">
                  <c:v>373.3</c:v>
                </c:pt>
                <c:pt idx="20">
                  <c:v>373.3</c:v>
                </c:pt>
                <c:pt idx="21">
                  <c:v>356.70000000000005</c:v>
                </c:pt>
                <c:pt idx="22">
                  <c:v>376.70000000000005</c:v>
                </c:pt>
                <c:pt idx="23">
                  <c:v>370</c:v>
                </c:pt>
                <c:pt idx="24">
                  <c:v>370</c:v>
                </c:pt>
                <c:pt idx="25">
                  <c:v>373.3</c:v>
                </c:pt>
                <c:pt idx="26">
                  <c:v>373.3</c:v>
                </c:pt>
                <c:pt idx="27">
                  <c:v>356.70000000000005</c:v>
                </c:pt>
                <c:pt idx="28">
                  <c:v>370</c:v>
                </c:pt>
                <c:pt idx="29">
                  <c:v>370</c:v>
                </c:pt>
                <c:pt idx="30">
                  <c:v>376.70000000000005</c:v>
                </c:pt>
                <c:pt idx="31">
                  <c:v>363.3</c:v>
                </c:pt>
                <c:pt idx="32">
                  <c:v>361.1</c:v>
                </c:pt>
                <c:pt idx="33">
                  <c:v>361.1</c:v>
                </c:pt>
                <c:pt idx="34">
                  <c:v>365.6</c:v>
                </c:pt>
                <c:pt idx="35">
                  <c:v>363.3</c:v>
                </c:pt>
                <c:pt idx="36">
                  <c:v>366.70000000000005</c:v>
                </c:pt>
                <c:pt idx="37">
                  <c:v>370</c:v>
                </c:pt>
                <c:pt idx="38">
                  <c:v>362.20000000000005</c:v>
                </c:pt>
                <c:pt idx="39">
                  <c:v>362.20000000000005</c:v>
                </c:pt>
                <c:pt idx="40">
                  <c:v>365.6</c:v>
                </c:pt>
                <c:pt idx="41">
                  <c:v>367.8</c:v>
                </c:pt>
                <c:pt idx="42">
                  <c:v>363.3</c:v>
                </c:pt>
                <c:pt idx="43">
                  <c:v>364.40000000000003</c:v>
                </c:pt>
                <c:pt idx="44">
                  <c:v>371.09999999999997</c:v>
                </c:pt>
                <c:pt idx="45">
                  <c:v>366.70000000000005</c:v>
                </c:pt>
                <c:pt idx="46">
                  <c:v>363.3</c:v>
                </c:pt>
                <c:pt idx="47">
                  <c:v>366.70000000000005</c:v>
                </c:pt>
                <c:pt idx="48">
                  <c:v>359.99999999999994</c:v>
                </c:pt>
                <c:pt idx="49">
                  <c:v>358.9</c:v>
                </c:pt>
                <c:pt idx="50">
                  <c:v>358.9</c:v>
                </c:pt>
                <c:pt idx="51">
                  <c:v>358.9</c:v>
                </c:pt>
                <c:pt idx="52">
                  <c:v>359.99999999999994</c:v>
                </c:pt>
                <c:pt idx="53">
                  <c:v>361.1</c:v>
                </c:pt>
              </c:numCache>
            </c:numRef>
          </c:yVal>
          <c:smooth val="0"/>
          <c:extLst>
            <c:ext xmlns:c16="http://schemas.microsoft.com/office/drawing/2014/chart" uri="{C3380CC4-5D6E-409C-BE32-E72D297353CC}">
              <c16:uniqueId val="{00000003-3B2F-4747-958B-F79FC877B9AA}"/>
            </c:ext>
          </c:extLst>
        </c:ser>
        <c:dLbls>
          <c:showLegendKey val="0"/>
          <c:showVal val="0"/>
          <c:showCatName val="0"/>
          <c:showSerName val="0"/>
          <c:showPercent val="0"/>
          <c:showBubbleSize val="0"/>
        </c:dLbls>
        <c:axId val="757711696"/>
        <c:axId val="757706776"/>
      </c:scatterChart>
      <c:valAx>
        <c:axId val="7577116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7216003178418473"/>
          <c:y val="0.60027385643814546"/>
          <c:w val="0.33103430960905583"/>
          <c:h val="0.21809026022950301"/>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S2-10: CEM II (B-M) - 0.33 w/cm - Granite - </a:t>
            </a:r>
          </a:p>
          <a:p>
            <a:pPr>
              <a:defRPr sz="1100">
                <a:solidFill>
                  <a:sysClr val="windowText" lastClr="000000"/>
                </a:solidFill>
              </a:defRPr>
            </a:pPr>
            <a:r>
              <a:rPr lang="en-US" sz="1100">
                <a:solidFill>
                  <a:sysClr val="windowText" lastClr="000000"/>
                </a:solidFill>
              </a:rPr>
              <a:t>&lt;1% Superplasticiser, 25% Fly Ash</a:t>
            </a:r>
          </a:p>
        </c:rich>
      </c:tx>
      <c:layout>
        <c:manualLayout>
          <c:xMode val="edge"/>
          <c:yMode val="edge"/>
          <c:x val="0.19297602770699113"/>
          <c:y val="3.752252080108454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6149694528701145"/>
          <c:w val="0.77765091863517055"/>
          <c:h val="0.67336889909380981"/>
        </c:manualLayout>
      </c:layout>
      <c:scatterChart>
        <c:scatterStyle val="lineMarker"/>
        <c:varyColors val="0"/>
        <c:ser>
          <c:idx val="0"/>
          <c:order val="0"/>
          <c:tx>
            <c:strRef>
              <c:f>'Measured shrinkage'!$A$158</c:f>
              <c:strCache>
                <c:ptCount val="1"/>
                <c:pt idx="0">
                  <c:v>5</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shrinkage'!$B$158:$B$209</c:f>
              <c:numCache>
                <c:formatCode>0</c:formatCode>
                <c:ptCount val="52"/>
                <c:pt idx="0">
                  <c:v>0</c:v>
                </c:pt>
                <c:pt idx="1">
                  <c:v>6</c:v>
                </c:pt>
                <c:pt idx="2">
                  <c:v>14</c:v>
                </c:pt>
                <c:pt idx="3">
                  <c:v>21</c:v>
                </c:pt>
                <c:pt idx="4">
                  <c:v>28</c:v>
                </c:pt>
                <c:pt idx="5">
                  <c:v>35</c:v>
                </c:pt>
                <c:pt idx="6">
                  <c:v>66</c:v>
                </c:pt>
                <c:pt idx="7">
                  <c:v>82</c:v>
                </c:pt>
                <c:pt idx="8">
                  <c:v>96</c:v>
                </c:pt>
                <c:pt idx="9">
                  <c:v>117</c:v>
                </c:pt>
                <c:pt idx="10">
                  <c:v>124</c:v>
                </c:pt>
                <c:pt idx="11">
                  <c:v>132</c:v>
                </c:pt>
                <c:pt idx="12">
                  <c:v>145</c:v>
                </c:pt>
                <c:pt idx="13">
                  <c:v>152</c:v>
                </c:pt>
                <c:pt idx="14">
                  <c:v>159</c:v>
                </c:pt>
                <c:pt idx="15">
                  <c:v>166</c:v>
                </c:pt>
                <c:pt idx="16">
                  <c:v>173</c:v>
                </c:pt>
                <c:pt idx="17">
                  <c:v>180</c:v>
                </c:pt>
                <c:pt idx="18">
                  <c:v>187</c:v>
                </c:pt>
                <c:pt idx="19">
                  <c:v>241</c:v>
                </c:pt>
                <c:pt idx="20">
                  <c:v>302</c:v>
                </c:pt>
                <c:pt idx="21">
                  <c:v>364</c:v>
                </c:pt>
                <c:pt idx="22">
                  <c:v>423</c:v>
                </c:pt>
                <c:pt idx="23">
                  <c:v>484</c:v>
                </c:pt>
                <c:pt idx="24">
                  <c:v>545</c:v>
                </c:pt>
                <c:pt idx="25">
                  <c:v>606</c:v>
                </c:pt>
                <c:pt idx="26">
                  <c:v>667</c:v>
                </c:pt>
                <c:pt idx="27">
                  <c:v>729</c:v>
                </c:pt>
                <c:pt idx="28">
                  <c:v>789</c:v>
                </c:pt>
                <c:pt idx="29">
                  <c:v>1163</c:v>
                </c:pt>
                <c:pt idx="30">
                  <c:v>1191</c:v>
                </c:pt>
                <c:pt idx="31">
                  <c:v>1252</c:v>
                </c:pt>
                <c:pt idx="32">
                  <c:v>1317</c:v>
                </c:pt>
                <c:pt idx="33">
                  <c:v>1391</c:v>
                </c:pt>
                <c:pt idx="34">
                  <c:v>1450</c:v>
                </c:pt>
                <c:pt idx="35">
                  <c:v>1549</c:v>
                </c:pt>
                <c:pt idx="36">
                  <c:v>1640</c:v>
                </c:pt>
                <c:pt idx="37">
                  <c:v>1732</c:v>
                </c:pt>
                <c:pt idx="38">
                  <c:v>1824</c:v>
                </c:pt>
                <c:pt idx="39">
                  <c:v>1955</c:v>
                </c:pt>
                <c:pt idx="40">
                  <c:v>2046</c:v>
                </c:pt>
                <c:pt idx="41">
                  <c:v>2149</c:v>
                </c:pt>
                <c:pt idx="42">
                  <c:v>2247</c:v>
                </c:pt>
                <c:pt idx="43">
                  <c:v>2353</c:v>
                </c:pt>
                <c:pt idx="44">
                  <c:v>2516</c:v>
                </c:pt>
                <c:pt idx="45">
                  <c:v>2626</c:v>
                </c:pt>
                <c:pt idx="46">
                  <c:v>2780</c:v>
                </c:pt>
                <c:pt idx="47">
                  <c:v>2894</c:v>
                </c:pt>
                <c:pt idx="48">
                  <c:v>2999</c:v>
                </c:pt>
                <c:pt idx="49">
                  <c:v>3081</c:v>
                </c:pt>
                <c:pt idx="50">
                  <c:v>3244</c:v>
                </c:pt>
                <c:pt idx="51">
                  <c:v>3330</c:v>
                </c:pt>
              </c:numCache>
            </c:numRef>
          </c:xVal>
          <c:yVal>
            <c:numRef>
              <c:f>'Measured shrinkage'!$C$158:$C$209</c:f>
              <c:numCache>
                <c:formatCode>0</c:formatCode>
                <c:ptCount val="52"/>
                <c:pt idx="0">
                  <c:v>0</c:v>
                </c:pt>
                <c:pt idx="1">
                  <c:v>120</c:v>
                </c:pt>
                <c:pt idx="2">
                  <c:v>179.99999999999997</c:v>
                </c:pt>
                <c:pt idx="3">
                  <c:v>270</c:v>
                </c:pt>
                <c:pt idx="4">
                  <c:v>320</c:v>
                </c:pt>
                <c:pt idx="5">
                  <c:v>353.3</c:v>
                </c:pt>
                <c:pt idx="6">
                  <c:v>366.70000000000005</c:v>
                </c:pt>
                <c:pt idx="7">
                  <c:v>390</c:v>
                </c:pt>
                <c:pt idx="8">
                  <c:v>393.29999999999995</c:v>
                </c:pt>
                <c:pt idx="9">
                  <c:v>403.29999999999995</c:v>
                </c:pt>
                <c:pt idx="10">
                  <c:v>396.7</c:v>
                </c:pt>
                <c:pt idx="11">
                  <c:v>370</c:v>
                </c:pt>
                <c:pt idx="12">
                  <c:v>366.70000000000005</c:v>
                </c:pt>
                <c:pt idx="13">
                  <c:v>363.3</c:v>
                </c:pt>
                <c:pt idx="14">
                  <c:v>370</c:v>
                </c:pt>
                <c:pt idx="15">
                  <c:v>370</c:v>
                </c:pt>
                <c:pt idx="16">
                  <c:v>386.70000000000005</c:v>
                </c:pt>
                <c:pt idx="17">
                  <c:v>380</c:v>
                </c:pt>
                <c:pt idx="18">
                  <c:v>383.3</c:v>
                </c:pt>
                <c:pt idx="19">
                  <c:v>353.3</c:v>
                </c:pt>
                <c:pt idx="20">
                  <c:v>346.7</c:v>
                </c:pt>
                <c:pt idx="21">
                  <c:v>353.3</c:v>
                </c:pt>
                <c:pt idx="22">
                  <c:v>350.00000000000006</c:v>
                </c:pt>
                <c:pt idx="23">
                  <c:v>356.70000000000005</c:v>
                </c:pt>
                <c:pt idx="24">
                  <c:v>356.70000000000005</c:v>
                </c:pt>
                <c:pt idx="25">
                  <c:v>350.00000000000006</c:v>
                </c:pt>
                <c:pt idx="26">
                  <c:v>350.00000000000006</c:v>
                </c:pt>
                <c:pt idx="27">
                  <c:v>350.00000000000006</c:v>
                </c:pt>
                <c:pt idx="28">
                  <c:v>353.3</c:v>
                </c:pt>
                <c:pt idx="29">
                  <c:v>366.70000000000005</c:v>
                </c:pt>
                <c:pt idx="30">
                  <c:v>359.99999999999994</c:v>
                </c:pt>
                <c:pt idx="31">
                  <c:v>367.8</c:v>
                </c:pt>
                <c:pt idx="32">
                  <c:v>370</c:v>
                </c:pt>
                <c:pt idx="33">
                  <c:v>356.70000000000005</c:v>
                </c:pt>
                <c:pt idx="34">
                  <c:v>363.3</c:v>
                </c:pt>
                <c:pt idx="35">
                  <c:v>354.4</c:v>
                </c:pt>
                <c:pt idx="36">
                  <c:v>346.7</c:v>
                </c:pt>
                <c:pt idx="37">
                  <c:v>338.90000000000003</c:v>
                </c:pt>
                <c:pt idx="38">
                  <c:v>344.4</c:v>
                </c:pt>
                <c:pt idx="39">
                  <c:v>342.2</c:v>
                </c:pt>
                <c:pt idx="40">
                  <c:v>344.4</c:v>
                </c:pt>
                <c:pt idx="41">
                  <c:v>342.2</c:v>
                </c:pt>
                <c:pt idx="42">
                  <c:v>347.79999999999995</c:v>
                </c:pt>
                <c:pt idx="43">
                  <c:v>353.3</c:v>
                </c:pt>
                <c:pt idx="44">
                  <c:v>353.3</c:v>
                </c:pt>
                <c:pt idx="45">
                  <c:v>353.3</c:v>
                </c:pt>
                <c:pt idx="46">
                  <c:v>353.3</c:v>
                </c:pt>
                <c:pt idx="47">
                  <c:v>368.9</c:v>
                </c:pt>
                <c:pt idx="48">
                  <c:v>372.20000000000005</c:v>
                </c:pt>
                <c:pt idx="49">
                  <c:v>373.3</c:v>
                </c:pt>
                <c:pt idx="50">
                  <c:v>368.9</c:v>
                </c:pt>
                <c:pt idx="51">
                  <c:v>370</c:v>
                </c:pt>
              </c:numCache>
            </c:numRef>
          </c:yVal>
          <c:smooth val="0"/>
          <c:extLst>
            <c:ext xmlns:c16="http://schemas.microsoft.com/office/drawing/2014/chart" uri="{C3380CC4-5D6E-409C-BE32-E72D297353CC}">
              <c16:uniqueId val="{00000000-667E-4037-8602-AF02981D79EE}"/>
            </c:ext>
          </c:extLst>
        </c:ser>
        <c:ser>
          <c:idx val="3"/>
          <c:order val="1"/>
          <c:tx>
            <c:strRef>
              <c:f>'Measured shrinkage'!$A$367</c:f>
              <c:strCache>
                <c:ptCount val="1"/>
                <c:pt idx="0">
                  <c:v>9</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shrinkage'!$B$367:$B$418</c:f>
              <c:numCache>
                <c:formatCode>0</c:formatCode>
                <c:ptCount val="52"/>
                <c:pt idx="0">
                  <c:v>0</c:v>
                </c:pt>
                <c:pt idx="1">
                  <c:v>7</c:v>
                </c:pt>
                <c:pt idx="2">
                  <c:v>14</c:v>
                </c:pt>
                <c:pt idx="3">
                  <c:v>28</c:v>
                </c:pt>
                <c:pt idx="4">
                  <c:v>36</c:v>
                </c:pt>
                <c:pt idx="5">
                  <c:v>50</c:v>
                </c:pt>
                <c:pt idx="6">
                  <c:v>61</c:v>
                </c:pt>
                <c:pt idx="7">
                  <c:v>79</c:v>
                </c:pt>
                <c:pt idx="8">
                  <c:v>91</c:v>
                </c:pt>
                <c:pt idx="9">
                  <c:v>112</c:v>
                </c:pt>
                <c:pt idx="10">
                  <c:v>119</c:v>
                </c:pt>
                <c:pt idx="11">
                  <c:v>127</c:v>
                </c:pt>
                <c:pt idx="12">
                  <c:v>140</c:v>
                </c:pt>
                <c:pt idx="13">
                  <c:v>147</c:v>
                </c:pt>
                <c:pt idx="14">
                  <c:v>154</c:v>
                </c:pt>
                <c:pt idx="15">
                  <c:v>161</c:v>
                </c:pt>
                <c:pt idx="16">
                  <c:v>168</c:v>
                </c:pt>
                <c:pt idx="17">
                  <c:v>175</c:v>
                </c:pt>
                <c:pt idx="18">
                  <c:v>182</c:v>
                </c:pt>
                <c:pt idx="19">
                  <c:v>189</c:v>
                </c:pt>
                <c:pt idx="20">
                  <c:v>243</c:v>
                </c:pt>
                <c:pt idx="21">
                  <c:v>304</c:v>
                </c:pt>
                <c:pt idx="22">
                  <c:v>366</c:v>
                </c:pt>
                <c:pt idx="23">
                  <c:v>425</c:v>
                </c:pt>
                <c:pt idx="24">
                  <c:v>486</c:v>
                </c:pt>
                <c:pt idx="25">
                  <c:v>547</c:v>
                </c:pt>
                <c:pt idx="26">
                  <c:v>608</c:v>
                </c:pt>
                <c:pt idx="27">
                  <c:v>669</c:v>
                </c:pt>
                <c:pt idx="28">
                  <c:v>731</c:v>
                </c:pt>
                <c:pt idx="29">
                  <c:v>791</c:v>
                </c:pt>
                <c:pt idx="30">
                  <c:v>1159</c:v>
                </c:pt>
                <c:pt idx="31">
                  <c:v>1187</c:v>
                </c:pt>
                <c:pt idx="32">
                  <c:v>1248</c:v>
                </c:pt>
                <c:pt idx="33">
                  <c:v>1313</c:v>
                </c:pt>
                <c:pt idx="34">
                  <c:v>1387</c:v>
                </c:pt>
                <c:pt idx="35">
                  <c:v>1446</c:v>
                </c:pt>
                <c:pt idx="36">
                  <c:v>1545</c:v>
                </c:pt>
                <c:pt idx="37">
                  <c:v>1636</c:v>
                </c:pt>
                <c:pt idx="38">
                  <c:v>1728</c:v>
                </c:pt>
                <c:pt idx="39">
                  <c:v>1820</c:v>
                </c:pt>
                <c:pt idx="40">
                  <c:v>1951</c:v>
                </c:pt>
                <c:pt idx="41">
                  <c:v>2042</c:v>
                </c:pt>
                <c:pt idx="42">
                  <c:v>2145</c:v>
                </c:pt>
                <c:pt idx="43">
                  <c:v>2243</c:v>
                </c:pt>
                <c:pt idx="44">
                  <c:v>2349</c:v>
                </c:pt>
                <c:pt idx="45">
                  <c:v>2512</c:v>
                </c:pt>
                <c:pt idx="46">
                  <c:v>2622</c:v>
                </c:pt>
                <c:pt idx="47">
                  <c:v>2776</c:v>
                </c:pt>
                <c:pt idx="48">
                  <c:v>2890</c:v>
                </c:pt>
                <c:pt idx="49">
                  <c:v>2995</c:v>
                </c:pt>
                <c:pt idx="50">
                  <c:v>3077</c:v>
                </c:pt>
                <c:pt idx="51">
                  <c:v>3240</c:v>
                </c:pt>
              </c:numCache>
            </c:numRef>
          </c:xVal>
          <c:yVal>
            <c:numRef>
              <c:f>'Measured shrinkage'!$C$367:$C$418</c:f>
              <c:numCache>
                <c:formatCode>0</c:formatCode>
                <c:ptCount val="52"/>
                <c:pt idx="0">
                  <c:v>0</c:v>
                </c:pt>
                <c:pt idx="1">
                  <c:v>166.70000000000002</c:v>
                </c:pt>
                <c:pt idx="2">
                  <c:v>223.3</c:v>
                </c:pt>
                <c:pt idx="3">
                  <c:v>296.7</c:v>
                </c:pt>
                <c:pt idx="4">
                  <c:v>350.00000000000006</c:v>
                </c:pt>
                <c:pt idx="5">
                  <c:v>363.3</c:v>
                </c:pt>
                <c:pt idx="6">
                  <c:v>406.70000000000005</c:v>
                </c:pt>
                <c:pt idx="7">
                  <c:v>400</c:v>
                </c:pt>
                <c:pt idx="8">
                  <c:v>396.7</c:v>
                </c:pt>
                <c:pt idx="9">
                  <c:v>413.3</c:v>
                </c:pt>
                <c:pt idx="10">
                  <c:v>396.7</c:v>
                </c:pt>
                <c:pt idx="11">
                  <c:v>390</c:v>
                </c:pt>
                <c:pt idx="12">
                  <c:v>370</c:v>
                </c:pt>
                <c:pt idx="13">
                  <c:v>366.70000000000005</c:v>
                </c:pt>
                <c:pt idx="14">
                  <c:v>363.3</c:v>
                </c:pt>
                <c:pt idx="15">
                  <c:v>370</c:v>
                </c:pt>
                <c:pt idx="16">
                  <c:v>380</c:v>
                </c:pt>
                <c:pt idx="17">
                  <c:v>386.70000000000005</c:v>
                </c:pt>
                <c:pt idx="18">
                  <c:v>380</c:v>
                </c:pt>
                <c:pt idx="19">
                  <c:v>376.70000000000005</c:v>
                </c:pt>
                <c:pt idx="20">
                  <c:v>346.7</c:v>
                </c:pt>
                <c:pt idx="21">
                  <c:v>359.99999999999994</c:v>
                </c:pt>
                <c:pt idx="22">
                  <c:v>370</c:v>
                </c:pt>
                <c:pt idx="23">
                  <c:v>370</c:v>
                </c:pt>
                <c:pt idx="24">
                  <c:v>376.70000000000005</c:v>
                </c:pt>
                <c:pt idx="25">
                  <c:v>376.70000000000005</c:v>
                </c:pt>
                <c:pt idx="26">
                  <c:v>370</c:v>
                </c:pt>
                <c:pt idx="27">
                  <c:v>370</c:v>
                </c:pt>
                <c:pt idx="28">
                  <c:v>359.99999999999994</c:v>
                </c:pt>
                <c:pt idx="29">
                  <c:v>359.99999999999994</c:v>
                </c:pt>
                <c:pt idx="30">
                  <c:v>353.3</c:v>
                </c:pt>
                <c:pt idx="31">
                  <c:v>354.4</c:v>
                </c:pt>
                <c:pt idx="32">
                  <c:v>359.99999999999994</c:v>
                </c:pt>
                <c:pt idx="33">
                  <c:v>359.99999999999994</c:v>
                </c:pt>
                <c:pt idx="34">
                  <c:v>373.3</c:v>
                </c:pt>
                <c:pt idx="35">
                  <c:v>372.20000000000005</c:v>
                </c:pt>
                <c:pt idx="36">
                  <c:v>356.70000000000005</c:v>
                </c:pt>
                <c:pt idx="37">
                  <c:v>358.9</c:v>
                </c:pt>
                <c:pt idx="38">
                  <c:v>359.99999999999994</c:v>
                </c:pt>
                <c:pt idx="39">
                  <c:v>351.1</c:v>
                </c:pt>
                <c:pt idx="40">
                  <c:v>364.40000000000003</c:v>
                </c:pt>
                <c:pt idx="41">
                  <c:v>357.8</c:v>
                </c:pt>
                <c:pt idx="42">
                  <c:v>353.3</c:v>
                </c:pt>
                <c:pt idx="43">
                  <c:v>355.6</c:v>
                </c:pt>
                <c:pt idx="44">
                  <c:v>350.00000000000006</c:v>
                </c:pt>
                <c:pt idx="45">
                  <c:v>356.70000000000005</c:v>
                </c:pt>
                <c:pt idx="46">
                  <c:v>356.70000000000005</c:v>
                </c:pt>
                <c:pt idx="47">
                  <c:v>359.99999999999994</c:v>
                </c:pt>
                <c:pt idx="48">
                  <c:v>368.9</c:v>
                </c:pt>
                <c:pt idx="49">
                  <c:v>368.9</c:v>
                </c:pt>
                <c:pt idx="50">
                  <c:v>368.9</c:v>
                </c:pt>
                <c:pt idx="51">
                  <c:v>368.9</c:v>
                </c:pt>
              </c:numCache>
            </c:numRef>
          </c:yVal>
          <c:smooth val="0"/>
          <c:extLst>
            <c:ext xmlns:c16="http://schemas.microsoft.com/office/drawing/2014/chart" uri="{C3380CC4-5D6E-409C-BE32-E72D297353CC}">
              <c16:uniqueId val="{00000003-667E-4037-8602-AF02981D79EE}"/>
            </c:ext>
          </c:extLst>
        </c:ser>
        <c:dLbls>
          <c:showLegendKey val="0"/>
          <c:showVal val="0"/>
          <c:showCatName val="0"/>
          <c:showSerName val="0"/>
          <c:showPercent val="0"/>
          <c:showBubbleSize val="0"/>
        </c:dLbls>
        <c:axId val="757711696"/>
        <c:axId val="757706776"/>
      </c:scatterChart>
      <c:valAx>
        <c:axId val="75771169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7216003178418473"/>
          <c:y val="0.60788842966238066"/>
          <c:w val="0.33284015802326056"/>
          <c:h val="0.22442159163842584"/>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S2-11: CEM II (B-M) - 0.33 w/cm - Granite - </a:t>
            </a:r>
          </a:p>
          <a:p>
            <a:pPr>
              <a:defRPr sz="1100">
                <a:solidFill>
                  <a:sysClr val="windowText" lastClr="000000"/>
                </a:solidFill>
              </a:defRPr>
            </a:pPr>
            <a:r>
              <a:rPr lang="en-US" sz="1100">
                <a:solidFill>
                  <a:sysClr val="windowText" lastClr="000000"/>
                </a:solidFill>
              </a:rPr>
              <a:t>&lt;1% Superplasticiser, 0.5 % SRA </a:t>
            </a:r>
          </a:p>
        </c:rich>
      </c:tx>
      <c:layout>
        <c:manualLayout>
          <c:xMode val="edge"/>
          <c:yMode val="edge"/>
          <c:x val="0.17864429246168159"/>
          <c:y val="4.629640573475007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715039338746597"/>
          <c:w val="0.77765091863517055"/>
          <c:h val="0.673851257382171"/>
        </c:manualLayout>
      </c:layout>
      <c:scatterChart>
        <c:scatterStyle val="lineMarker"/>
        <c:varyColors val="0"/>
        <c:ser>
          <c:idx val="0"/>
          <c:order val="0"/>
          <c:tx>
            <c:strRef>
              <c:f>'Measured shrinkage'!$A$262</c:f>
              <c:strCache>
                <c:ptCount val="1"/>
                <c:pt idx="0">
                  <c:v>7</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shrinkage'!$B$262:$B$313</c:f>
              <c:numCache>
                <c:formatCode>0</c:formatCode>
                <c:ptCount val="52"/>
                <c:pt idx="0">
                  <c:v>0</c:v>
                </c:pt>
                <c:pt idx="1">
                  <c:v>7</c:v>
                </c:pt>
                <c:pt idx="2">
                  <c:v>14</c:v>
                </c:pt>
                <c:pt idx="3">
                  <c:v>17</c:v>
                </c:pt>
                <c:pt idx="4">
                  <c:v>28</c:v>
                </c:pt>
                <c:pt idx="5">
                  <c:v>49</c:v>
                </c:pt>
                <c:pt idx="6">
                  <c:v>58</c:v>
                </c:pt>
                <c:pt idx="7">
                  <c:v>82</c:v>
                </c:pt>
                <c:pt idx="8">
                  <c:v>94</c:v>
                </c:pt>
                <c:pt idx="9">
                  <c:v>115</c:v>
                </c:pt>
                <c:pt idx="10">
                  <c:v>122</c:v>
                </c:pt>
                <c:pt idx="11">
                  <c:v>130</c:v>
                </c:pt>
                <c:pt idx="12">
                  <c:v>143</c:v>
                </c:pt>
                <c:pt idx="13">
                  <c:v>150</c:v>
                </c:pt>
                <c:pt idx="14">
                  <c:v>164</c:v>
                </c:pt>
                <c:pt idx="15">
                  <c:v>172</c:v>
                </c:pt>
                <c:pt idx="16">
                  <c:v>174</c:v>
                </c:pt>
                <c:pt idx="17">
                  <c:v>178</c:v>
                </c:pt>
                <c:pt idx="18">
                  <c:v>185</c:v>
                </c:pt>
                <c:pt idx="19">
                  <c:v>246</c:v>
                </c:pt>
                <c:pt idx="20">
                  <c:v>307</c:v>
                </c:pt>
                <c:pt idx="21">
                  <c:v>369</c:v>
                </c:pt>
                <c:pt idx="22">
                  <c:v>428</c:v>
                </c:pt>
                <c:pt idx="23">
                  <c:v>489</c:v>
                </c:pt>
                <c:pt idx="24">
                  <c:v>550</c:v>
                </c:pt>
                <c:pt idx="25">
                  <c:v>611</c:v>
                </c:pt>
                <c:pt idx="26">
                  <c:v>672</c:v>
                </c:pt>
                <c:pt idx="27">
                  <c:v>734</c:v>
                </c:pt>
                <c:pt idx="28">
                  <c:v>794</c:v>
                </c:pt>
                <c:pt idx="29">
                  <c:v>1162</c:v>
                </c:pt>
                <c:pt idx="30">
                  <c:v>1190</c:v>
                </c:pt>
                <c:pt idx="31">
                  <c:v>1251</c:v>
                </c:pt>
                <c:pt idx="32">
                  <c:v>1316</c:v>
                </c:pt>
                <c:pt idx="33">
                  <c:v>1390</c:v>
                </c:pt>
                <c:pt idx="34">
                  <c:v>1449</c:v>
                </c:pt>
                <c:pt idx="35">
                  <c:v>1458</c:v>
                </c:pt>
                <c:pt idx="36">
                  <c:v>1548</c:v>
                </c:pt>
                <c:pt idx="37">
                  <c:v>1639</c:v>
                </c:pt>
                <c:pt idx="38">
                  <c:v>1731</c:v>
                </c:pt>
                <c:pt idx="39">
                  <c:v>1954</c:v>
                </c:pt>
                <c:pt idx="40">
                  <c:v>2045</c:v>
                </c:pt>
                <c:pt idx="41">
                  <c:v>2148</c:v>
                </c:pt>
                <c:pt idx="42">
                  <c:v>2246</c:v>
                </c:pt>
                <c:pt idx="43">
                  <c:v>2352</c:v>
                </c:pt>
                <c:pt idx="44">
                  <c:v>2515</c:v>
                </c:pt>
                <c:pt idx="45">
                  <c:v>2625</c:v>
                </c:pt>
                <c:pt idx="46">
                  <c:v>2779</c:v>
                </c:pt>
                <c:pt idx="47">
                  <c:v>2893</c:v>
                </c:pt>
                <c:pt idx="48">
                  <c:v>2998</c:v>
                </c:pt>
                <c:pt idx="49">
                  <c:v>3080</c:v>
                </c:pt>
                <c:pt idx="50">
                  <c:v>3243</c:v>
                </c:pt>
                <c:pt idx="51">
                  <c:v>3329</c:v>
                </c:pt>
              </c:numCache>
            </c:numRef>
          </c:xVal>
          <c:yVal>
            <c:numRef>
              <c:f>'Measured shrinkage'!$C$262:$C$313</c:f>
              <c:numCache>
                <c:formatCode>0</c:formatCode>
                <c:ptCount val="52"/>
                <c:pt idx="0">
                  <c:v>0</c:v>
                </c:pt>
                <c:pt idx="1">
                  <c:v>44.999999999999993</c:v>
                </c:pt>
                <c:pt idx="2">
                  <c:v>89.999999999999986</c:v>
                </c:pt>
                <c:pt idx="3">
                  <c:v>229.99999999999997</c:v>
                </c:pt>
                <c:pt idx="4">
                  <c:v>150</c:v>
                </c:pt>
                <c:pt idx="5">
                  <c:v>210</c:v>
                </c:pt>
                <c:pt idx="6">
                  <c:v>219.99999999999997</c:v>
                </c:pt>
                <c:pt idx="7">
                  <c:v>229.99999999999997</c:v>
                </c:pt>
                <c:pt idx="8">
                  <c:v>250</c:v>
                </c:pt>
                <c:pt idx="9">
                  <c:v>260</c:v>
                </c:pt>
                <c:pt idx="10">
                  <c:v>250</c:v>
                </c:pt>
                <c:pt idx="11">
                  <c:v>235</c:v>
                </c:pt>
                <c:pt idx="12">
                  <c:v>225</c:v>
                </c:pt>
                <c:pt idx="13">
                  <c:v>225</c:v>
                </c:pt>
                <c:pt idx="14">
                  <c:v>240</c:v>
                </c:pt>
                <c:pt idx="15">
                  <c:v>270</c:v>
                </c:pt>
                <c:pt idx="16">
                  <c:v>260</c:v>
                </c:pt>
                <c:pt idx="17">
                  <c:v>260</c:v>
                </c:pt>
                <c:pt idx="18">
                  <c:v>245.00000000000003</c:v>
                </c:pt>
                <c:pt idx="19">
                  <c:v>225</c:v>
                </c:pt>
                <c:pt idx="20">
                  <c:v>245.00000000000003</c:v>
                </c:pt>
                <c:pt idx="21">
                  <c:v>240</c:v>
                </c:pt>
                <c:pt idx="22">
                  <c:v>235</c:v>
                </c:pt>
                <c:pt idx="23">
                  <c:v>245.00000000000003</c:v>
                </c:pt>
                <c:pt idx="24">
                  <c:v>240</c:v>
                </c:pt>
                <c:pt idx="25">
                  <c:v>245.00000000000003</c:v>
                </c:pt>
                <c:pt idx="26">
                  <c:v>240</c:v>
                </c:pt>
                <c:pt idx="27">
                  <c:v>245.00000000000003</c:v>
                </c:pt>
                <c:pt idx="28">
                  <c:v>235</c:v>
                </c:pt>
                <c:pt idx="29">
                  <c:v>250</c:v>
                </c:pt>
                <c:pt idx="30">
                  <c:v>229.99999999999997</c:v>
                </c:pt>
                <c:pt idx="31">
                  <c:v>236.7</c:v>
                </c:pt>
                <c:pt idx="32">
                  <c:v>254.99999999999997</c:v>
                </c:pt>
                <c:pt idx="33">
                  <c:v>238.3</c:v>
                </c:pt>
                <c:pt idx="34">
                  <c:v>226.7</c:v>
                </c:pt>
                <c:pt idx="35">
                  <c:v>216.73</c:v>
                </c:pt>
                <c:pt idx="36">
                  <c:v>210</c:v>
                </c:pt>
                <c:pt idx="37">
                  <c:v>218.29999999999998</c:v>
                </c:pt>
                <c:pt idx="38">
                  <c:v>218.29999999999998</c:v>
                </c:pt>
                <c:pt idx="39">
                  <c:v>211.7</c:v>
                </c:pt>
                <c:pt idx="40">
                  <c:v>219.99999999999997</c:v>
                </c:pt>
                <c:pt idx="41">
                  <c:v>225</c:v>
                </c:pt>
                <c:pt idx="42">
                  <c:v>223.3</c:v>
                </c:pt>
                <c:pt idx="43">
                  <c:v>226.7</c:v>
                </c:pt>
                <c:pt idx="44">
                  <c:v>219.99999999999997</c:v>
                </c:pt>
                <c:pt idx="45">
                  <c:v>225</c:v>
                </c:pt>
                <c:pt idx="46">
                  <c:v>229.99999999999997</c:v>
                </c:pt>
                <c:pt idx="47">
                  <c:v>219.99999999999997</c:v>
                </c:pt>
                <c:pt idx="48">
                  <c:v>208.3</c:v>
                </c:pt>
                <c:pt idx="49">
                  <c:v>208.3</c:v>
                </c:pt>
                <c:pt idx="50">
                  <c:v>213.3</c:v>
                </c:pt>
                <c:pt idx="51">
                  <c:v>208.3</c:v>
                </c:pt>
              </c:numCache>
            </c:numRef>
          </c:yVal>
          <c:smooth val="0"/>
          <c:extLst>
            <c:ext xmlns:c16="http://schemas.microsoft.com/office/drawing/2014/chart" uri="{C3380CC4-5D6E-409C-BE32-E72D297353CC}">
              <c16:uniqueId val="{00000000-5CF9-41F0-80F3-C7A7F5FE3161}"/>
            </c:ext>
          </c:extLst>
        </c:ser>
        <c:ser>
          <c:idx val="2"/>
          <c:order val="1"/>
          <c:tx>
            <c:strRef>
              <c:f>'Measured shrinkage'!$A$577</c:f>
              <c:strCache>
                <c:ptCount val="1"/>
                <c:pt idx="0">
                  <c:v>13</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shrinkage'!$B$577:$B$629</c:f>
              <c:numCache>
                <c:formatCode>0</c:formatCode>
                <c:ptCount val="53"/>
                <c:pt idx="0">
                  <c:v>0</c:v>
                </c:pt>
                <c:pt idx="1">
                  <c:v>8</c:v>
                </c:pt>
                <c:pt idx="2">
                  <c:v>15</c:v>
                </c:pt>
                <c:pt idx="3">
                  <c:v>22</c:v>
                </c:pt>
                <c:pt idx="4">
                  <c:v>29</c:v>
                </c:pt>
                <c:pt idx="5">
                  <c:v>44</c:v>
                </c:pt>
                <c:pt idx="6">
                  <c:v>62</c:v>
                </c:pt>
                <c:pt idx="7">
                  <c:v>74</c:v>
                </c:pt>
                <c:pt idx="8">
                  <c:v>95</c:v>
                </c:pt>
                <c:pt idx="9">
                  <c:v>102</c:v>
                </c:pt>
                <c:pt idx="10">
                  <c:v>110</c:v>
                </c:pt>
                <c:pt idx="11">
                  <c:v>123</c:v>
                </c:pt>
                <c:pt idx="12">
                  <c:v>130</c:v>
                </c:pt>
                <c:pt idx="13">
                  <c:v>137</c:v>
                </c:pt>
                <c:pt idx="14">
                  <c:v>144</c:v>
                </c:pt>
                <c:pt idx="15">
                  <c:v>151</c:v>
                </c:pt>
                <c:pt idx="16">
                  <c:v>158</c:v>
                </c:pt>
                <c:pt idx="17">
                  <c:v>165</c:v>
                </c:pt>
                <c:pt idx="18">
                  <c:v>172</c:v>
                </c:pt>
                <c:pt idx="19">
                  <c:v>179</c:v>
                </c:pt>
                <c:pt idx="20">
                  <c:v>240</c:v>
                </c:pt>
                <c:pt idx="21">
                  <c:v>301</c:v>
                </c:pt>
                <c:pt idx="22">
                  <c:v>363</c:v>
                </c:pt>
                <c:pt idx="23">
                  <c:v>422</c:v>
                </c:pt>
                <c:pt idx="24">
                  <c:v>483</c:v>
                </c:pt>
                <c:pt idx="25">
                  <c:v>544</c:v>
                </c:pt>
                <c:pt idx="26">
                  <c:v>605</c:v>
                </c:pt>
                <c:pt idx="27">
                  <c:v>666</c:v>
                </c:pt>
                <c:pt idx="28">
                  <c:v>728</c:v>
                </c:pt>
                <c:pt idx="29">
                  <c:v>788</c:v>
                </c:pt>
                <c:pt idx="30">
                  <c:v>1142</c:v>
                </c:pt>
                <c:pt idx="31">
                  <c:v>1170</c:v>
                </c:pt>
                <c:pt idx="32">
                  <c:v>1231</c:v>
                </c:pt>
                <c:pt idx="33">
                  <c:v>1296</c:v>
                </c:pt>
                <c:pt idx="34">
                  <c:v>1370</c:v>
                </c:pt>
                <c:pt idx="35">
                  <c:v>1429</c:v>
                </c:pt>
                <c:pt idx="36">
                  <c:v>1528</c:v>
                </c:pt>
                <c:pt idx="37">
                  <c:v>1619</c:v>
                </c:pt>
                <c:pt idx="38">
                  <c:v>1711</c:v>
                </c:pt>
                <c:pt idx="39">
                  <c:v>1803</c:v>
                </c:pt>
                <c:pt idx="40">
                  <c:v>1934</c:v>
                </c:pt>
                <c:pt idx="41">
                  <c:v>2025</c:v>
                </c:pt>
                <c:pt idx="42">
                  <c:v>2128</c:v>
                </c:pt>
                <c:pt idx="43">
                  <c:v>2226</c:v>
                </c:pt>
                <c:pt idx="44">
                  <c:v>2332</c:v>
                </c:pt>
                <c:pt idx="45">
                  <c:v>2495</c:v>
                </c:pt>
                <c:pt idx="46">
                  <c:v>2605</c:v>
                </c:pt>
                <c:pt idx="47">
                  <c:v>2759</c:v>
                </c:pt>
                <c:pt idx="48">
                  <c:v>2874</c:v>
                </c:pt>
                <c:pt idx="49">
                  <c:v>2978</c:v>
                </c:pt>
                <c:pt idx="50">
                  <c:v>3060</c:v>
                </c:pt>
                <c:pt idx="51">
                  <c:v>3223</c:v>
                </c:pt>
                <c:pt idx="52">
                  <c:v>3309</c:v>
                </c:pt>
              </c:numCache>
            </c:numRef>
          </c:xVal>
          <c:yVal>
            <c:numRef>
              <c:f>'Measured shrinkage'!$C$577:$C$629</c:f>
              <c:numCache>
                <c:formatCode>0</c:formatCode>
                <c:ptCount val="53"/>
                <c:pt idx="0">
                  <c:v>0</c:v>
                </c:pt>
                <c:pt idx="1">
                  <c:v>93.3</c:v>
                </c:pt>
                <c:pt idx="2">
                  <c:v>116.7</c:v>
                </c:pt>
                <c:pt idx="3">
                  <c:v>140</c:v>
                </c:pt>
                <c:pt idx="4">
                  <c:v>186.7</c:v>
                </c:pt>
                <c:pt idx="5">
                  <c:v>203.29999999999998</c:v>
                </c:pt>
                <c:pt idx="6">
                  <c:v>240</c:v>
                </c:pt>
                <c:pt idx="7">
                  <c:v>236.7</c:v>
                </c:pt>
                <c:pt idx="8">
                  <c:v>266.7</c:v>
                </c:pt>
                <c:pt idx="9">
                  <c:v>250</c:v>
                </c:pt>
                <c:pt idx="10">
                  <c:v>266.7</c:v>
                </c:pt>
                <c:pt idx="11">
                  <c:v>203.29999999999998</c:v>
                </c:pt>
                <c:pt idx="12">
                  <c:v>219.99999999999997</c:v>
                </c:pt>
                <c:pt idx="13">
                  <c:v>213.3</c:v>
                </c:pt>
                <c:pt idx="14">
                  <c:v>229.99999999999997</c:v>
                </c:pt>
                <c:pt idx="15">
                  <c:v>236.7</c:v>
                </c:pt>
                <c:pt idx="16">
                  <c:v>233.3</c:v>
                </c:pt>
                <c:pt idx="17">
                  <c:v>233.3</c:v>
                </c:pt>
                <c:pt idx="18">
                  <c:v>226.7</c:v>
                </c:pt>
                <c:pt idx="19">
                  <c:v>233.3</c:v>
                </c:pt>
                <c:pt idx="20">
                  <c:v>243.30000000000004</c:v>
                </c:pt>
                <c:pt idx="21">
                  <c:v>273.3</c:v>
                </c:pt>
                <c:pt idx="22">
                  <c:v>263.3</c:v>
                </c:pt>
                <c:pt idx="23">
                  <c:v>270</c:v>
                </c:pt>
                <c:pt idx="24">
                  <c:v>276.7</c:v>
                </c:pt>
                <c:pt idx="25">
                  <c:v>263.3</c:v>
                </c:pt>
                <c:pt idx="26">
                  <c:v>270</c:v>
                </c:pt>
                <c:pt idx="27">
                  <c:v>266.7</c:v>
                </c:pt>
                <c:pt idx="28">
                  <c:v>266.7</c:v>
                </c:pt>
                <c:pt idx="29">
                  <c:v>263.3</c:v>
                </c:pt>
                <c:pt idx="30">
                  <c:v>273.3</c:v>
                </c:pt>
                <c:pt idx="31">
                  <c:v>266.7</c:v>
                </c:pt>
                <c:pt idx="32">
                  <c:v>272.2</c:v>
                </c:pt>
                <c:pt idx="33">
                  <c:v>270</c:v>
                </c:pt>
                <c:pt idx="34">
                  <c:v>272.79999999999995</c:v>
                </c:pt>
                <c:pt idx="35">
                  <c:v>261.10000000000002</c:v>
                </c:pt>
                <c:pt idx="36">
                  <c:v>261.10000000000002</c:v>
                </c:pt>
                <c:pt idx="37">
                  <c:v>248.89999999999998</c:v>
                </c:pt>
                <c:pt idx="38">
                  <c:v>246.70000000000002</c:v>
                </c:pt>
                <c:pt idx="39">
                  <c:v>247.8</c:v>
                </c:pt>
                <c:pt idx="40">
                  <c:v>257.8</c:v>
                </c:pt>
                <c:pt idx="41">
                  <c:v>252.2</c:v>
                </c:pt>
                <c:pt idx="42">
                  <c:v>253.29999999999998</c:v>
                </c:pt>
                <c:pt idx="43">
                  <c:v>255.6</c:v>
                </c:pt>
                <c:pt idx="44">
                  <c:v>260</c:v>
                </c:pt>
                <c:pt idx="45">
                  <c:v>260</c:v>
                </c:pt>
                <c:pt idx="46">
                  <c:v>250</c:v>
                </c:pt>
                <c:pt idx="47">
                  <c:v>260</c:v>
                </c:pt>
                <c:pt idx="48">
                  <c:v>258.89999999999998</c:v>
                </c:pt>
                <c:pt idx="49">
                  <c:v>258.89999999999998</c:v>
                </c:pt>
                <c:pt idx="50">
                  <c:v>258.89999999999998</c:v>
                </c:pt>
                <c:pt idx="51">
                  <c:v>260</c:v>
                </c:pt>
                <c:pt idx="52">
                  <c:v>264.40000000000003</c:v>
                </c:pt>
              </c:numCache>
            </c:numRef>
          </c:yVal>
          <c:smooth val="0"/>
          <c:extLst>
            <c:ext xmlns:c16="http://schemas.microsoft.com/office/drawing/2014/chart" uri="{C3380CC4-5D6E-409C-BE32-E72D297353CC}">
              <c16:uniqueId val="{00000001-5CF9-41F0-80F3-C7A7F5FE3161}"/>
            </c:ext>
          </c:extLst>
        </c:ser>
        <c:ser>
          <c:idx val="3"/>
          <c:order val="2"/>
          <c:tx>
            <c:strRef>
              <c:f>'Measured shrinkage'!$A$630</c:f>
              <c:strCache>
                <c:ptCount val="1"/>
                <c:pt idx="0">
                  <c:v>14</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shrinkage'!$B$630:$B$682</c:f>
              <c:numCache>
                <c:formatCode>0</c:formatCode>
                <c:ptCount val="53"/>
                <c:pt idx="0">
                  <c:v>0</c:v>
                </c:pt>
                <c:pt idx="1">
                  <c:v>8</c:v>
                </c:pt>
                <c:pt idx="2">
                  <c:v>15</c:v>
                </c:pt>
                <c:pt idx="3">
                  <c:v>22</c:v>
                </c:pt>
                <c:pt idx="4">
                  <c:v>29</c:v>
                </c:pt>
                <c:pt idx="5">
                  <c:v>44</c:v>
                </c:pt>
                <c:pt idx="6">
                  <c:v>62</c:v>
                </c:pt>
                <c:pt idx="7">
                  <c:v>74</c:v>
                </c:pt>
                <c:pt idx="8">
                  <c:v>95</c:v>
                </c:pt>
                <c:pt idx="9">
                  <c:v>102</c:v>
                </c:pt>
                <c:pt idx="10">
                  <c:v>110</c:v>
                </c:pt>
                <c:pt idx="11">
                  <c:v>123</c:v>
                </c:pt>
                <c:pt idx="12">
                  <c:v>130</c:v>
                </c:pt>
                <c:pt idx="13">
                  <c:v>137</c:v>
                </c:pt>
                <c:pt idx="14">
                  <c:v>144</c:v>
                </c:pt>
                <c:pt idx="15">
                  <c:v>151</c:v>
                </c:pt>
                <c:pt idx="16">
                  <c:v>158</c:v>
                </c:pt>
                <c:pt idx="17">
                  <c:v>165</c:v>
                </c:pt>
                <c:pt idx="18">
                  <c:v>172</c:v>
                </c:pt>
                <c:pt idx="19">
                  <c:v>179</c:v>
                </c:pt>
                <c:pt idx="20">
                  <c:v>240</c:v>
                </c:pt>
                <c:pt idx="21">
                  <c:v>301</c:v>
                </c:pt>
                <c:pt idx="22">
                  <c:v>363</c:v>
                </c:pt>
                <c:pt idx="23">
                  <c:v>422</c:v>
                </c:pt>
                <c:pt idx="24">
                  <c:v>483</c:v>
                </c:pt>
                <c:pt idx="25">
                  <c:v>544</c:v>
                </c:pt>
                <c:pt idx="26">
                  <c:v>605</c:v>
                </c:pt>
                <c:pt idx="27">
                  <c:v>666</c:v>
                </c:pt>
                <c:pt idx="28">
                  <c:v>728</c:v>
                </c:pt>
                <c:pt idx="29">
                  <c:v>788</c:v>
                </c:pt>
                <c:pt idx="30">
                  <c:v>1142</c:v>
                </c:pt>
                <c:pt idx="31">
                  <c:v>1170</c:v>
                </c:pt>
                <c:pt idx="32">
                  <c:v>1231</c:v>
                </c:pt>
                <c:pt idx="33">
                  <c:v>1296</c:v>
                </c:pt>
                <c:pt idx="34">
                  <c:v>1370</c:v>
                </c:pt>
                <c:pt idx="35">
                  <c:v>1429</c:v>
                </c:pt>
                <c:pt idx="36">
                  <c:v>1528</c:v>
                </c:pt>
                <c:pt idx="37">
                  <c:v>1619</c:v>
                </c:pt>
                <c:pt idx="38">
                  <c:v>1711</c:v>
                </c:pt>
                <c:pt idx="39">
                  <c:v>1803</c:v>
                </c:pt>
                <c:pt idx="40">
                  <c:v>1934</c:v>
                </c:pt>
                <c:pt idx="41">
                  <c:v>2025</c:v>
                </c:pt>
                <c:pt idx="42">
                  <c:v>2128</c:v>
                </c:pt>
                <c:pt idx="43">
                  <c:v>2226</c:v>
                </c:pt>
                <c:pt idx="44">
                  <c:v>2332</c:v>
                </c:pt>
                <c:pt idx="45">
                  <c:v>2495</c:v>
                </c:pt>
                <c:pt idx="46">
                  <c:v>2605</c:v>
                </c:pt>
                <c:pt idx="47">
                  <c:v>2759</c:v>
                </c:pt>
                <c:pt idx="48">
                  <c:v>2874</c:v>
                </c:pt>
                <c:pt idx="49">
                  <c:v>2978</c:v>
                </c:pt>
                <c:pt idx="50">
                  <c:v>3060</c:v>
                </c:pt>
                <c:pt idx="51">
                  <c:v>3223</c:v>
                </c:pt>
                <c:pt idx="52">
                  <c:v>3309</c:v>
                </c:pt>
              </c:numCache>
            </c:numRef>
          </c:xVal>
          <c:yVal>
            <c:numRef>
              <c:f>'Measured shrinkage'!$C$630:$C$682</c:f>
              <c:numCache>
                <c:formatCode>0</c:formatCode>
                <c:ptCount val="53"/>
                <c:pt idx="0">
                  <c:v>0</c:v>
                </c:pt>
                <c:pt idx="1">
                  <c:v>56.699999999999996</c:v>
                </c:pt>
                <c:pt idx="2">
                  <c:v>83.300000000000011</c:v>
                </c:pt>
                <c:pt idx="3">
                  <c:v>106.70000000000002</c:v>
                </c:pt>
                <c:pt idx="4">
                  <c:v>140</c:v>
                </c:pt>
                <c:pt idx="5">
                  <c:v>140</c:v>
                </c:pt>
                <c:pt idx="6">
                  <c:v>183.29999999999998</c:v>
                </c:pt>
                <c:pt idx="7">
                  <c:v>190</c:v>
                </c:pt>
                <c:pt idx="8">
                  <c:v>196.70000000000002</c:v>
                </c:pt>
                <c:pt idx="9">
                  <c:v>196.70000000000002</c:v>
                </c:pt>
                <c:pt idx="10">
                  <c:v>183.29999999999998</c:v>
                </c:pt>
                <c:pt idx="11">
                  <c:v>163.30000000000001</c:v>
                </c:pt>
                <c:pt idx="12">
                  <c:v>160</c:v>
                </c:pt>
                <c:pt idx="13">
                  <c:v>163.30000000000001</c:v>
                </c:pt>
                <c:pt idx="14">
                  <c:v>176.70000000000002</c:v>
                </c:pt>
                <c:pt idx="15">
                  <c:v>190</c:v>
                </c:pt>
                <c:pt idx="16">
                  <c:v>179.99999999999997</c:v>
                </c:pt>
                <c:pt idx="17">
                  <c:v>183.29999999999998</c:v>
                </c:pt>
                <c:pt idx="18">
                  <c:v>173.3</c:v>
                </c:pt>
                <c:pt idx="19">
                  <c:v>170.00000000000003</c:v>
                </c:pt>
                <c:pt idx="20">
                  <c:v>176.70000000000002</c:v>
                </c:pt>
                <c:pt idx="21">
                  <c:v>213.3</c:v>
                </c:pt>
                <c:pt idx="22">
                  <c:v>206.70000000000002</c:v>
                </c:pt>
                <c:pt idx="23">
                  <c:v>206.70000000000002</c:v>
                </c:pt>
                <c:pt idx="24">
                  <c:v>200</c:v>
                </c:pt>
                <c:pt idx="25">
                  <c:v>176.70000000000002</c:v>
                </c:pt>
                <c:pt idx="26">
                  <c:v>203.29999999999998</c:v>
                </c:pt>
                <c:pt idx="27">
                  <c:v>196.70000000000002</c:v>
                </c:pt>
                <c:pt idx="28">
                  <c:v>193.3</c:v>
                </c:pt>
                <c:pt idx="29">
                  <c:v>203.29999999999998</c:v>
                </c:pt>
                <c:pt idx="30">
                  <c:v>207.79999999999998</c:v>
                </c:pt>
                <c:pt idx="31">
                  <c:v>203.29999999999998</c:v>
                </c:pt>
                <c:pt idx="32">
                  <c:v>210</c:v>
                </c:pt>
                <c:pt idx="33">
                  <c:v>206.70000000000002</c:v>
                </c:pt>
                <c:pt idx="34">
                  <c:v>201.7</c:v>
                </c:pt>
                <c:pt idx="35">
                  <c:v>201.10000000000002</c:v>
                </c:pt>
                <c:pt idx="36">
                  <c:v>194.4</c:v>
                </c:pt>
                <c:pt idx="37">
                  <c:v>193.3</c:v>
                </c:pt>
                <c:pt idx="38">
                  <c:v>191.1</c:v>
                </c:pt>
                <c:pt idx="39">
                  <c:v>182.20000000000002</c:v>
                </c:pt>
                <c:pt idx="40">
                  <c:v>174.4</c:v>
                </c:pt>
                <c:pt idx="41">
                  <c:v>181.10000000000002</c:v>
                </c:pt>
                <c:pt idx="42">
                  <c:v>175.6</c:v>
                </c:pt>
                <c:pt idx="43">
                  <c:v>174.4</c:v>
                </c:pt>
                <c:pt idx="44">
                  <c:v>166.70000000000002</c:v>
                </c:pt>
                <c:pt idx="45">
                  <c:v>170.00000000000003</c:v>
                </c:pt>
                <c:pt idx="46">
                  <c:v>170.00000000000003</c:v>
                </c:pt>
                <c:pt idx="47">
                  <c:v>173.3</c:v>
                </c:pt>
                <c:pt idx="48">
                  <c:v>167.79999999999998</c:v>
                </c:pt>
                <c:pt idx="49">
                  <c:v>168.89999999999998</c:v>
                </c:pt>
                <c:pt idx="50">
                  <c:v>168.89999999999998</c:v>
                </c:pt>
                <c:pt idx="51">
                  <c:v>170.00000000000003</c:v>
                </c:pt>
                <c:pt idx="52">
                  <c:v>170.00000000000003</c:v>
                </c:pt>
              </c:numCache>
            </c:numRef>
          </c:yVal>
          <c:smooth val="0"/>
          <c:extLst>
            <c:ext xmlns:c16="http://schemas.microsoft.com/office/drawing/2014/chart" uri="{C3380CC4-5D6E-409C-BE32-E72D297353CC}">
              <c16:uniqueId val="{00000002-5CF9-41F0-80F3-C7A7F5FE3161}"/>
            </c:ext>
          </c:extLst>
        </c:ser>
        <c:ser>
          <c:idx val="4"/>
          <c:order val="3"/>
          <c:tx>
            <c:strRef>
              <c:f>'Measured shrinkage'!$A$683</c:f>
              <c:strCache>
                <c:ptCount val="1"/>
                <c:pt idx="0">
                  <c:v>15</c:v>
                </c:pt>
              </c:strCache>
            </c:strRef>
          </c:tx>
          <c:spPr>
            <a:ln w="25400" cap="rnd">
              <a:noFill/>
              <a:round/>
            </a:ln>
            <a:effectLst/>
          </c:spPr>
          <c:marker>
            <c:symbol val="circle"/>
            <c:size val="4"/>
            <c:spPr>
              <a:solidFill>
                <a:schemeClr val="accent5"/>
              </a:solidFill>
              <a:ln w="9525">
                <a:solidFill>
                  <a:schemeClr val="accent5"/>
                </a:solidFill>
              </a:ln>
              <a:effectLst/>
            </c:spPr>
          </c:marker>
          <c:xVal>
            <c:numRef>
              <c:f>'Measured shrinkage'!$B$683:$B$736</c:f>
              <c:numCache>
                <c:formatCode>0</c:formatCode>
                <c:ptCount val="54"/>
                <c:pt idx="0">
                  <c:v>0</c:v>
                </c:pt>
                <c:pt idx="1">
                  <c:v>7</c:v>
                </c:pt>
                <c:pt idx="2">
                  <c:v>14</c:v>
                </c:pt>
                <c:pt idx="3">
                  <c:v>22</c:v>
                </c:pt>
                <c:pt idx="4">
                  <c:v>28</c:v>
                </c:pt>
                <c:pt idx="5">
                  <c:v>36</c:v>
                </c:pt>
                <c:pt idx="6">
                  <c:v>42</c:v>
                </c:pt>
                <c:pt idx="7">
                  <c:v>60</c:v>
                </c:pt>
                <c:pt idx="8">
                  <c:v>72</c:v>
                </c:pt>
                <c:pt idx="9">
                  <c:v>93</c:v>
                </c:pt>
                <c:pt idx="10">
                  <c:v>100</c:v>
                </c:pt>
                <c:pt idx="11">
                  <c:v>121</c:v>
                </c:pt>
                <c:pt idx="12">
                  <c:v>128</c:v>
                </c:pt>
                <c:pt idx="13">
                  <c:v>135</c:v>
                </c:pt>
                <c:pt idx="14">
                  <c:v>142</c:v>
                </c:pt>
                <c:pt idx="15">
                  <c:v>149</c:v>
                </c:pt>
                <c:pt idx="16">
                  <c:v>156</c:v>
                </c:pt>
                <c:pt idx="17">
                  <c:v>163</c:v>
                </c:pt>
                <c:pt idx="18">
                  <c:v>170</c:v>
                </c:pt>
                <c:pt idx="19">
                  <c:v>177</c:v>
                </c:pt>
                <c:pt idx="20">
                  <c:v>184</c:v>
                </c:pt>
                <c:pt idx="21">
                  <c:v>245</c:v>
                </c:pt>
                <c:pt idx="22">
                  <c:v>306</c:v>
                </c:pt>
                <c:pt idx="23">
                  <c:v>368</c:v>
                </c:pt>
                <c:pt idx="24">
                  <c:v>427</c:v>
                </c:pt>
                <c:pt idx="25">
                  <c:v>488</c:v>
                </c:pt>
                <c:pt idx="26">
                  <c:v>549</c:v>
                </c:pt>
                <c:pt idx="27">
                  <c:v>610</c:v>
                </c:pt>
                <c:pt idx="28">
                  <c:v>671</c:v>
                </c:pt>
                <c:pt idx="29">
                  <c:v>733</c:v>
                </c:pt>
                <c:pt idx="30">
                  <c:v>793</c:v>
                </c:pt>
                <c:pt idx="31">
                  <c:v>1140</c:v>
                </c:pt>
                <c:pt idx="32">
                  <c:v>1168</c:v>
                </c:pt>
                <c:pt idx="33">
                  <c:v>1229</c:v>
                </c:pt>
                <c:pt idx="34">
                  <c:v>1294</c:v>
                </c:pt>
                <c:pt idx="35">
                  <c:v>1368</c:v>
                </c:pt>
                <c:pt idx="36">
                  <c:v>1427</c:v>
                </c:pt>
                <c:pt idx="37">
                  <c:v>1526</c:v>
                </c:pt>
                <c:pt idx="38">
                  <c:v>1617</c:v>
                </c:pt>
                <c:pt idx="39">
                  <c:v>1709</c:v>
                </c:pt>
                <c:pt idx="40">
                  <c:v>1801</c:v>
                </c:pt>
                <c:pt idx="41">
                  <c:v>1932</c:v>
                </c:pt>
                <c:pt idx="42">
                  <c:v>2023</c:v>
                </c:pt>
                <c:pt idx="43">
                  <c:v>2126</c:v>
                </c:pt>
                <c:pt idx="44">
                  <c:v>2224</c:v>
                </c:pt>
                <c:pt idx="45">
                  <c:v>2330</c:v>
                </c:pt>
                <c:pt idx="46">
                  <c:v>2493</c:v>
                </c:pt>
                <c:pt idx="47">
                  <c:v>2603</c:v>
                </c:pt>
                <c:pt idx="48">
                  <c:v>2757</c:v>
                </c:pt>
                <c:pt idx="49">
                  <c:v>2872</c:v>
                </c:pt>
                <c:pt idx="50">
                  <c:v>2976</c:v>
                </c:pt>
                <c:pt idx="51">
                  <c:v>3058</c:v>
                </c:pt>
                <c:pt idx="52">
                  <c:v>3221</c:v>
                </c:pt>
                <c:pt idx="53">
                  <c:v>3305</c:v>
                </c:pt>
              </c:numCache>
            </c:numRef>
          </c:xVal>
          <c:yVal>
            <c:numRef>
              <c:f>'Measured shrinkage'!$C$683:$C$736</c:f>
              <c:numCache>
                <c:formatCode>0</c:formatCode>
                <c:ptCount val="54"/>
                <c:pt idx="0">
                  <c:v>0</c:v>
                </c:pt>
                <c:pt idx="1">
                  <c:v>13.3</c:v>
                </c:pt>
                <c:pt idx="2">
                  <c:v>60</c:v>
                </c:pt>
                <c:pt idx="3">
                  <c:v>60</c:v>
                </c:pt>
                <c:pt idx="4">
                  <c:v>80</c:v>
                </c:pt>
                <c:pt idx="5">
                  <c:v>86.700000000000017</c:v>
                </c:pt>
                <c:pt idx="6">
                  <c:v>86.700000000000017</c:v>
                </c:pt>
                <c:pt idx="7">
                  <c:v>150</c:v>
                </c:pt>
                <c:pt idx="8">
                  <c:v>160</c:v>
                </c:pt>
                <c:pt idx="9">
                  <c:v>150</c:v>
                </c:pt>
                <c:pt idx="10">
                  <c:v>146.70000000000002</c:v>
                </c:pt>
                <c:pt idx="11">
                  <c:v>133.29999999999998</c:v>
                </c:pt>
                <c:pt idx="12">
                  <c:v>120</c:v>
                </c:pt>
                <c:pt idx="13">
                  <c:v>126.70000000000002</c:v>
                </c:pt>
                <c:pt idx="14">
                  <c:v>150</c:v>
                </c:pt>
                <c:pt idx="15">
                  <c:v>143.30000000000001</c:v>
                </c:pt>
                <c:pt idx="16">
                  <c:v>150</c:v>
                </c:pt>
                <c:pt idx="17">
                  <c:v>140</c:v>
                </c:pt>
                <c:pt idx="18">
                  <c:v>130</c:v>
                </c:pt>
                <c:pt idx="19">
                  <c:v>130</c:v>
                </c:pt>
                <c:pt idx="20">
                  <c:v>140</c:v>
                </c:pt>
                <c:pt idx="21">
                  <c:v>146.70000000000002</c:v>
                </c:pt>
                <c:pt idx="22">
                  <c:v>163.30000000000001</c:v>
                </c:pt>
                <c:pt idx="23">
                  <c:v>163.30000000000001</c:v>
                </c:pt>
                <c:pt idx="24">
                  <c:v>153.29999999999998</c:v>
                </c:pt>
                <c:pt idx="25">
                  <c:v>136.69999999999999</c:v>
                </c:pt>
                <c:pt idx="26">
                  <c:v>136.69999999999999</c:v>
                </c:pt>
                <c:pt idx="27">
                  <c:v>140</c:v>
                </c:pt>
                <c:pt idx="28">
                  <c:v>146.70000000000002</c:v>
                </c:pt>
                <c:pt idx="29">
                  <c:v>146.70000000000002</c:v>
                </c:pt>
                <c:pt idx="30">
                  <c:v>156.69999999999999</c:v>
                </c:pt>
                <c:pt idx="31">
                  <c:v>171.1</c:v>
                </c:pt>
                <c:pt idx="32">
                  <c:v>173.3</c:v>
                </c:pt>
                <c:pt idx="33">
                  <c:v>176.70000000000002</c:v>
                </c:pt>
                <c:pt idx="34">
                  <c:v>168.3</c:v>
                </c:pt>
                <c:pt idx="35">
                  <c:v>175.00000000000003</c:v>
                </c:pt>
                <c:pt idx="36">
                  <c:v>174.4</c:v>
                </c:pt>
                <c:pt idx="37">
                  <c:v>182.20000000000002</c:v>
                </c:pt>
                <c:pt idx="38">
                  <c:v>175.6</c:v>
                </c:pt>
                <c:pt idx="39">
                  <c:v>181.10000000000002</c:v>
                </c:pt>
                <c:pt idx="40">
                  <c:v>179.99999999999997</c:v>
                </c:pt>
                <c:pt idx="41">
                  <c:v>184.4</c:v>
                </c:pt>
                <c:pt idx="42">
                  <c:v>177.8</c:v>
                </c:pt>
                <c:pt idx="43">
                  <c:v>174.4</c:v>
                </c:pt>
                <c:pt idx="44">
                  <c:v>170.00000000000003</c:v>
                </c:pt>
                <c:pt idx="45">
                  <c:v>168.89999999999998</c:v>
                </c:pt>
                <c:pt idx="46">
                  <c:v>173.3</c:v>
                </c:pt>
                <c:pt idx="47">
                  <c:v>176.70000000000002</c:v>
                </c:pt>
                <c:pt idx="48">
                  <c:v>176.70000000000002</c:v>
                </c:pt>
                <c:pt idx="49">
                  <c:v>174.4</c:v>
                </c:pt>
                <c:pt idx="50">
                  <c:v>175.6</c:v>
                </c:pt>
                <c:pt idx="51">
                  <c:v>170.00000000000003</c:v>
                </c:pt>
                <c:pt idx="52">
                  <c:v>170.00000000000003</c:v>
                </c:pt>
                <c:pt idx="53">
                  <c:v>163.30000000000001</c:v>
                </c:pt>
              </c:numCache>
            </c:numRef>
          </c:yVal>
          <c:smooth val="0"/>
          <c:extLst>
            <c:ext xmlns:c16="http://schemas.microsoft.com/office/drawing/2014/chart" uri="{C3380CC4-5D6E-409C-BE32-E72D297353CC}">
              <c16:uniqueId val="{00000003-5CF9-41F0-80F3-C7A7F5FE3161}"/>
            </c:ext>
          </c:extLst>
        </c:ser>
        <c:ser>
          <c:idx val="5"/>
          <c:order val="4"/>
          <c:tx>
            <c:strRef>
              <c:f>'Measured shrinkage'!$A$737</c:f>
              <c:strCache>
                <c:ptCount val="1"/>
                <c:pt idx="0">
                  <c:v>16</c:v>
                </c:pt>
              </c:strCache>
            </c:strRef>
          </c:tx>
          <c:spPr>
            <a:ln w="25400" cap="rnd">
              <a:noFill/>
              <a:round/>
            </a:ln>
            <a:effectLst/>
          </c:spPr>
          <c:marker>
            <c:symbol val="circle"/>
            <c:size val="4"/>
            <c:spPr>
              <a:solidFill>
                <a:schemeClr val="accent6"/>
              </a:solidFill>
              <a:ln w="9525">
                <a:solidFill>
                  <a:schemeClr val="accent6"/>
                </a:solidFill>
              </a:ln>
              <a:effectLst/>
            </c:spPr>
          </c:marker>
          <c:xVal>
            <c:numRef>
              <c:f>'Measured shrinkage'!$B$737:$B$789</c:f>
              <c:numCache>
                <c:formatCode>0</c:formatCode>
                <c:ptCount val="53"/>
                <c:pt idx="0">
                  <c:v>0</c:v>
                </c:pt>
                <c:pt idx="1">
                  <c:v>7</c:v>
                </c:pt>
                <c:pt idx="2">
                  <c:v>14</c:v>
                </c:pt>
                <c:pt idx="3">
                  <c:v>22</c:v>
                </c:pt>
                <c:pt idx="4">
                  <c:v>28</c:v>
                </c:pt>
                <c:pt idx="5">
                  <c:v>36</c:v>
                </c:pt>
                <c:pt idx="6">
                  <c:v>42</c:v>
                </c:pt>
                <c:pt idx="7">
                  <c:v>58</c:v>
                </c:pt>
                <c:pt idx="8">
                  <c:v>70</c:v>
                </c:pt>
                <c:pt idx="9">
                  <c:v>91</c:v>
                </c:pt>
                <c:pt idx="10">
                  <c:v>98</c:v>
                </c:pt>
                <c:pt idx="11">
                  <c:v>119</c:v>
                </c:pt>
                <c:pt idx="12">
                  <c:v>126</c:v>
                </c:pt>
                <c:pt idx="13">
                  <c:v>133</c:v>
                </c:pt>
                <c:pt idx="14">
                  <c:v>140</c:v>
                </c:pt>
                <c:pt idx="15">
                  <c:v>147</c:v>
                </c:pt>
                <c:pt idx="16">
                  <c:v>154</c:v>
                </c:pt>
                <c:pt idx="17">
                  <c:v>161</c:v>
                </c:pt>
                <c:pt idx="18">
                  <c:v>168</c:v>
                </c:pt>
                <c:pt idx="19">
                  <c:v>175</c:v>
                </c:pt>
                <c:pt idx="20">
                  <c:v>182</c:v>
                </c:pt>
                <c:pt idx="21">
                  <c:v>245</c:v>
                </c:pt>
                <c:pt idx="22">
                  <c:v>306</c:v>
                </c:pt>
                <c:pt idx="23">
                  <c:v>368</c:v>
                </c:pt>
                <c:pt idx="24">
                  <c:v>427</c:v>
                </c:pt>
                <c:pt idx="25">
                  <c:v>488</c:v>
                </c:pt>
                <c:pt idx="26">
                  <c:v>549</c:v>
                </c:pt>
                <c:pt idx="27">
                  <c:v>610</c:v>
                </c:pt>
                <c:pt idx="28">
                  <c:v>671</c:v>
                </c:pt>
                <c:pt idx="29">
                  <c:v>733</c:v>
                </c:pt>
                <c:pt idx="30">
                  <c:v>793</c:v>
                </c:pt>
                <c:pt idx="31">
                  <c:v>1140</c:v>
                </c:pt>
                <c:pt idx="32">
                  <c:v>1168</c:v>
                </c:pt>
                <c:pt idx="33">
                  <c:v>1229</c:v>
                </c:pt>
                <c:pt idx="34">
                  <c:v>1294</c:v>
                </c:pt>
                <c:pt idx="35">
                  <c:v>1368</c:v>
                </c:pt>
                <c:pt idx="36">
                  <c:v>1427</c:v>
                </c:pt>
                <c:pt idx="37">
                  <c:v>1526</c:v>
                </c:pt>
                <c:pt idx="38">
                  <c:v>1617</c:v>
                </c:pt>
                <c:pt idx="39">
                  <c:v>1709</c:v>
                </c:pt>
                <c:pt idx="40">
                  <c:v>1801</c:v>
                </c:pt>
                <c:pt idx="41">
                  <c:v>1932</c:v>
                </c:pt>
                <c:pt idx="42">
                  <c:v>2023</c:v>
                </c:pt>
                <c:pt idx="43">
                  <c:v>2126</c:v>
                </c:pt>
                <c:pt idx="44">
                  <c:v>2224</c:v>
                </c:pt>
                <c:pt idx="45">
                  <c:v>2330</c:v>
                </c:pt>
                <c:pt idx="46">
                  <c:v>2493</c:v>
                </c:pt>
                <c:pt idx="47">
                  <c:v>2603</c:v>
                </c:pt>
                <c:pt idx="48">
                  <c:v>2757</c:v>
                </c:pt>
                <c:pt idx="49">
                  <c:v>2872</c:v>
                </c:pt>
                <c:pt idx="50">
                  <c:v>2976</c:v>
                </c:pt>
                <c:pt idx="51">
                  <c:v>3058</c:v>
                </c:pt>
                <c:pt idx="52">
                  <c:v>3221</c:v>
                </c:pt>
              </c:numCache>
            </c:numRef>
          </c:xVal>
          <c:yVal>
            <c:numRef>
              <c:f>'Measured shrinkage'!$C$737:$C$789</c:f>
              <c:numCache>
                <c:formatCode>0</c:formatCode>
                <c:ptCount val="53"/>
                <c:pt idx="0">
                  <c:v>0</c:v>
                </c:pt>
                <c:pt idx="1">
                  <c:v>26.700000000000003</c:v>
                </c:pt>
                <c:pt idx="2">
                  <c:v>63.3</c:v>
                </c:pt>
                <c:pt idx="3">
                  <c:v>66.699999999999989</c:v>
                </c:pt>
                <c:pt idx="4">
                  <c:v>89.999999999999986</c:v>
                </c:pt>
                <c:pt idx="5">
                  <c:v>86.700000000000017</c:v>
                </c:pt>
                <c:pt idx="6">
                  <c:v>89.999999999999986</c:v>
                </c:pt>
                <c:pt idx="7">
                  <c:v>140</c:v>
                </c:pt>
                <c:pt idx="8">
                  <c:v>146.70000000000002</c:v>
                </c:pt>
                <c:pt idx="9">
                  <c:v>153.29999999999998</c:v>
                </c:pt>
                <c:pt idx="10">
                  <c:v>140</c:v>
                </c:pt>
                <c:pt idx="11">
                  <c:v>126.70000000000002</c:v>
                </c:pt>
                <c:pt idx="12">
                  <c:v>120</c:v>
                </c:pt>
                <c:pt idx="13">
                  <c:v>136.69999999999999</c:v>
                </c:pt>
                <c:pt idx="14">
                  <c:v>150</c:v>
                </c:pt>
                <c:pt idx="15">
                  <c:v>170.00000000000003</c:v>
                </c:pt>
                <c:pt idx="16">
                  <c:v>160</c:v>
                </c:pt>
                <c:pt idx="17">
                  <c:v>160</c:v>
                </c:pt>
                <c:pt idx="18">
                  <c:v>140</c:v>
                </c:pt>
                <c:pt idx="19">
                  <c:v>146.70000000000002</c:v>
                </c:pt>
                <c:pt idx="20">
                  <c:v>163.30000000000001</c:v>
                </c:pt>
                <c:pt idx="21">
                  <c:v>160</c:v>
                </c:pt>
                <c:pt idx="22">
                  <c:v>163.30000000000001</c:v>
                </c:pt>
                <c:pt idx="23">
                  <c:v>173.3</c:v>
                </c:pt>
                <c:pt idx="24">
                  <c:v>170.00000000000003</c:v>
                </c:pt>
                <c:pt idx="25">
                  <c:v>170.00000000000003</c:v>
                </c:pt>
                <c:pt idx="26">
                  <c:v>176.70000000000002</c:v>
                </c:pt>
                <c:pt idx="27">
                  <c:v>156.69999999999999</c:v>
                </c:pt>
                <c:pt idx="28">
                  <c:v>170.00000000000003</c:v>
                </c:pt>
                <c:pt idx="29">
                  <c:v>163.30000000000001</c:v>
                </c:pt>
                <c:pt idx="30">
                  <c:v>166.70000000000002</c:v>
                </c:pt>
                <c:pt idx="31">
                  <c:v>183.29999999999998</c:v>
                </c:pt>
                <c:pt idx="32">
                  <c:v>176.70000000000002</c:v>
                </c:pt>
                <c:pt idx="33">
                  <c:v>183.29999999999998</c:v>
                </c:pt>
                <c:pt idx="34">
                  <c:v>190</c:v>
                </c:pt>
                <c:pt idx="35">
                  <c:v>193.3</c:v>
                </c:pt>
                <c:pt idx="36">
                  <c:v>176.70000000000002</c:v>
                </c:pt>
                <c:pt idx="37">
                  <c:v>184.4</c:v>
                </c:pt>
                <c:pt idx="38">
                  <c:v>179.99999999999997</c:v>
                </c:pt>
                <c:pt idx="39">
                  <c:v>182.20000000000002</c:v>
                </c:pt>
                <c:pt idx="40">
                  <c:v>185.60000000000002</c:v>
                </c:pt>
                <c:pt idx="41">
                  <c:v>192.20000000000002</c:v>
                </c:pt>
                <c:pt idx="42">
                  <c:v>184.4</c:v>
                </c:pt>
                <c:pt idx="43">
                  <c:v>183.29999999999998</c:v>
                </c:pt>
                <c:pt idx="44">
                  <c:v>178.9</c:v>
                </c:pt>
                <c:pt idx="45">
                  <c:v>182.20000000000002</c:v>
                </c:pt>
                <c:pt idx="46">
                  <c:v>183.29999999999998</c:v>
                </c:pt>
                <c:pt idx="47">
                  <c:v>173.3</c:v>
                </c:pt>
                <c:pt idx="48">
                  <c:v>186.7</c:v>
                </c:pt>
                <c:pt idx="49">
                  <c:v>186.7</c:v>
                </c:pt>
                <c:pt idx="50">
                  <c:v>183.29999999999998</c:v>
                </c:pt>
                <c:pt idx="51">
                  <c:v>183.29999999999998</c:v>
                </c:pt>
                <c:pt idx="52">
                  <c:v>181.10000000000002</c:v>
                </c:pt>
              </c:numCache>
            </c:numRef>
          </c:yVal>
          <c:smooth val="0"/>
          <c:extLst>
            <c:ext xmlns:c16="http://schemas.microsoft.com/office/drawing/2014/chart" uri="{C3380CC4-5D6E-409C-BE32-E72D297353CC}">
              <c16:uniqueId val="{00000004-5CF9-41F0-80F3-C7A7F5FE3161}"/>
            </c:ext>
          </c:extLst>
        </c:ser>
        <c:dLbls>
          <c:showLegendKey val="0"/>
          <c:showVal val="0"/>
          <c:showCatName val="0"/>
          <c:showSerName val="0"/>
          <c:showPercent val="0"/>
          <c:showBubbleSize val="0"/>
        </c:dLbls>
        <c:axId val="757711696"/>
        <c:axId val="757706776"/>
      </c:scatterChart>
      <c:valAx>
        <c:axId val="75771169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90713476983224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7200652861953083"/>
          <c:y val="0.61509334218024747"/>
          <c:w val="0.33114949204107014"/>
          <c:h val="0.23212918148473127"/>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S2-12: CEM II (B-M) - 0.33 w/cm - Granite - </a:t>
            </a:r>
          </a:p>
          <a:p>
            <a:pPr>
              <a:defRPr sz="1100">
                <a:solidFill>
                  <a:sysClr val="windowText" lastClr="000000"/>
                </a:solidFill>
              </a:defRPr>
            </a:pPr>
            <a:r>
              <a:rPr lang="en-US" sz="1100">
                <a:solidFill>
                  <a:sysClr val="windowText" lastClr="000000"/>
                </a:solidFill>
              </a:rPr>
              <a:t>&lt;1% Superplasticiser, &lt;0.5% Plasticiser</a:t>
            </a:r>
          </a:p>
        </c:rich>
      </c:tx>
      <c:layout>
        <c:manualLayout>
          <c:xMode val="edge"/>
          <c:yMode val="edge"/>
          <c:x val="0.17612045376759397"/>
          <c:y val="4.629640573475007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7650745998164058"/>
          <c:w val="0.77765091863517055"/>
          <c:h val="0.66339782760291699"/>
        </c:manualLayout>
      </c:layout>
      <c:scatterChart>
        <c:scatterStyle val="lineMarker"/>
        <c:varyColors val="0"/>
        <c:ser>
          <c:idx val="1"/>
          <c:order val="0"/>
          <c:tx>
            <c:strRef>
              <c:f>'Measured shrinkage'!$A$1220</c:f>
              <c:strCache>
                <c:ptCount val="1"/>
                <c:pt idx="0">
                  <c:v>25</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shrinkage'!$B$1220:$B$1272</c:f>
              <c:numCache>
                <c:formatCode>0</c:formatCode>
                <c:ptCount val="53"/>
                <c:pt idx="0">
                  <c:v>0</c:v>
                </c:pt>
                <c:pt idx="1">
                  <c:v>6</c:v>
                </c:pt>
                <c:pt idx="2">
                  <c:v>14</c:v>
                </c:pt>
                <c:pt idx="3">
                  <c:v>20</c:v>
                </c:pt>
                <c:pt idx="4">
                  <c:v>38</c:v>
                </c:pt>
                <c:pt idx="5">
                  <c:v>46</c:v>
                </c:pt>
                <c:pt idx="6">
                  <c:v>77</c:v>
                </c:pt>
                <c:pt idx="7">
                  <c:v>78</c:v>
                </c:pt>
                <c:pt idx="8">
                  <c:v>86</c:v>
                </c:pt>
                <c:pt idx="9">
                  <c:v>99</c:v>
                </c:pt>
                <c:pt idx="10">
                  <c:v>106</c:v>
                </c:pt>
                <c:pt idx="11">
                  <c:v>113</c:v>
                </c:pt>
                <c:pt idx="12">
                  <c:v>120</c:v>
                </c:pt>
                <c:pt idx="13">
                  <c:v>127</c:v>
                </c:pt>
                <c:pt idx="14">
                  <c:v>134</c:v>
                </c:pt>
                <c:pt idx="15">
                  <c:v>141</c:v>
                </c:pt>
                <c:pt idx="16">
                  <c:v>148</c:v>
                </c:pt>
                <c:pt idx="17">
                  <c:v>155</c:v>
                </c:pt>
                <c:pt idx="18">
                  <c:v>162</c:v>
                </c:pt>
                <c:pt idx="19">
                  <c:v>169</c:v>
                </c:pt>
                <c:pt idx="20">
                  <c:v>176</c:v>
                </c:pt>
                <c:pt idx="21">
                  <c:v>183</c:v>
                </c:pt>
                <c:pt idx="22">
                  <c:v>237</c:v>
                </c:pt>
                <c:pt idx="23">
                  <c:v>298</c:v>
                </c:pt>
                <c:pt idx="24">
                  <c:v>357</c:v>
                </c:pt>
                <c:pt idx="25">
                  <c:v>418</c:v>
                </c:pt>
                <c:pt idx="26">
                  <c:v>479</c:v>
                </c:pt>
                <c:pt idx="27">
                  <c:v>541</c:v>
                </c:pt>
                <c:pt idx="28">
                  <c:v>602</c:v>
                </c:pt>
                <c:pt idx="29">
                  <c:v>663</c:v>
                </c:pt>
                <c:pt idx="30">
                  <c:v>723</c:v>
                </c:pt>
                <c:pt idx="31">
                  <c:v>1118</c:v>
                </c:pt>
                <c:pt idx="32">
                  <c:v>1146</c:v>
                </c:pt>
                <c:pt idx="33">
                  <c:v>1207</c:v>
                </c:pt>
                <c:pt idx="34">
                  <c:v>1272</c:v>
                </c:pt>
                <c:pt idx="35">
                  <c:v>1346</c:v>
                </c:pt>
                <c:pt idx="36">
                  <c:v>1405</c:v>
                </c:pt>
                <c:pt idx="37">
                  <c:v>1504</c:v>
                </c:pt>
                <c:pt idx="38">
                  <c:v>1595</c:v>
                </c:pt>
                <c:pt idx="39">
                  <c:v>1687</c:v>
                </c:pt>
                <c:pt idx="40">
                  <c:v>1779</c:v>
                </c:pt>
                <c:pt idx="41">
                  <c:v>1910</c:v>
                </c:pt>
                <c:pt idx="42">
                  <c:v>2001</c:v>
                </c:pt>
                <c:pt idx="43">
                  <c:v>2104</c:v>
                </c:pt>
                <c:pt idx="44">
                  <c:v>2202</c:v>
                </c:pt>
                <c:pt idx="45">
                  <c:v>2308</c:v>
                </c:pt>
                <c:pt idx="46">
                  <c:v>2471</c:v>
                </c:pt>
                <c:pt idx="47">
                  <c:v>2581</c:v>
                </c:pt>
                <c:pt idx="48">
                  <c:v>2735</c:v>
                </c:pt>
                <c:pt idx="49">
                  <c:v>2850</c:v>
                </c:pt>
                <c:pt idx="50">
                  <c:v>2954</c:v>
                </c:pt>
                <c:pt idx="51">
                  <c:v>3036</c:v>
                </c:pt>
                <c:pt idx="52">
                  <c:v>3199</c:v>
                </c:pt>
              </c:numCache>
            </c:numRef>
          </c:xVal>
          <c:yVal>
            <c:numRef>
              <c:f>'Measured shrinkage'!$C$1220:$C$1272</c:f>
              <c:numCache>
                <c:formatCode>0</c:formatCode>
                <c:ptCount val="53"/>
                <c:pt idx="0">
                  <c:v>0</c:v>
                </c:pt>
                <c:pt idx="1">
                  <c:v>179.99999999999997</c:v>
                </c:pt>
                <c:pt idx="2">
                  <c:v>266.7</c:v>
                </c:pt>
                <c:pt idx="3">
                  <c:v>343.29999999999995</c:v>
                </c:pt>
                <c:pt idx="4">
                  <c:v>386.70000000000005</c:v>
                </c:pt>
                <c:pt idx="5">
                  <c:v>396.7</c:v>
                </c:pt>
                <c:pt idx="6">
                  <c:v>403.29999999999995</c:v>
                </c:pt>
                <c:pt idx="7">
                  <c:v>406.70000000000005</c:v>
                </c:pt>
                <c:pt idx="8">
                  <c:v>433.3</c:v>
                </c:pt>
                <c:pt idx="9">
                  <c:v>393.29999999999995</c:v>
                </c:pt>
                <c:pt idx="10">
                  <c:v>393.29999999999995</c:v>
                </c:pt>
                <c:pt idx="11">
                  <c:v>406.70000000000005</c:v>
                </c:pt>
                <c:pt idx="12">
                  <c:v>426.70000000000005</c:v>
                </c:pt>
                <c:pt idx="13">
                  <c:v>423.29999999999995</c:v>
                </c:pt>
                <c:pt idx="14">
                  <c:v>416.7</c:v>
                </c:pt>
                <c:pt idx="15">
                  <c:v>416.7</c:v>
                </c:pt>
                <c:pt idx="16">
                  <c:v>413.3</c:v>
                </c:pt>
                <c:pt idx="17">
                  <c:v>416.7</c:v>
                </c:pt>
                <c:pt idx="18">
                  <c:v>410.00000000000006</c:v>
                </c:pt>
                <c:pt idx="19">
                  <c:v>393.29999999999995</c:v>
                </c:pt>
                <c:pt idx="20">
                  <c:v>403.29999999999995</c:v>
                </c:pt>
                <c:pt idx="21">
                  <c:v>393.29999999999995</c:v>
                </c:pt>
                <c:pt idx="22">
                  <c:v>400</c:v>
                </c:pt>
                <c:pt idx="23">
                  <c:v>400</c:v>
                </c:pt>
                <c:pt idx="24">
                  <c:v>403.29999999999995</c:v>
                </c:pt>
                <c:pt idx="25">
                  <c:v>410.00000000000006</c:v>
                </c:pt>
                <c:pt idx="26">
                  <c:v>410.00000000000006</c:v>
                </c:pt>
                <c:pt idx="27">
                  <c:v>393.29999999999995</c:v>
                </c:pt>
                <c:pt idx="28">
                  <c:v>416.7</c:v>
                </c:pt>
                <c:pt idx="29">
                  <c:v>410.00000000000006</c:v>
                </c:pt>
                <c:pt idx="30">
                  <c:v>400</c:v>
                </c:pt>
                <c:pt idx="31">
                  <c:v>403.29999999999995</c:v>
                </c:pt>
                <c:pt idx="32">
                  <c:v>380</c:v>
                </c:pt>
                <c:pt idx="33">
                  <c:v>402.20000000000005</c:v>
                </c:pt>
                <c:pt idx="34">
                  <c:v>397.8</c:v>
                </c:pt>
                <c:pt idx="35">
                  <c:v>392.2</c:v>
                </c:pt>
                <c:pt idx="36">
                  <c:v>393.29999999999995</c:v>
                </c:pt>
                <c:pt idx="37">
                  <c:v>405.6</c:v>
                </c:pt>
                <c:pt idx="38">
                  <c:v>400</c:v>
                </c:pt>
                <c:pt idx="39">
                  <c:v>401.1</c:v>
                </c:pt>
                <c:pt idx="40">
                  <c:v>403.29999999999995</c:v>
                </c:pt>
                <c:pt idx="41">
                  <c:v>407.79999999999995</c:v>
                </c:pt>
                <c:pt idx="42">
                  <c:v>406.70000000000005</c:v>
                </c:pt>
                <c:pt idx="43">
                  <c:v>410.00000000000006</c:v>
                </c:pt>
                <c:pt idx="44">
                  <c:v>400</c:v>
                </c:pt>
                <c:pt idx="45">
                  <c:v>398.90000000000003</c:v>
                </c:pt>
                <c:pt idx="46">
                  <c:v>396.7</c:v>
                </c:pt>
                <c:pt idx="47">
                  <c:v>396.7</c:v>
                </c:pt>
                <c:pt idx="48">
                  <c:v>393.29999999999995</c:v>
                </c:pt>
                <c:pt idx="49">
                  <c:v>407.79999999999995</c:v>
                </c:pt>
                <c:pt idx="50">
                  <c:v>407.79999999999995</c:v>
                </c:pt>
                <c:pt idx="51">
                  <c:v>407.79999999999995</c:v>
                </c:pt>
                <c:pt idx="52">
                  <c:v>403.29999999999995</c:v>
                </c:pt>
              </c:numCache>
            </c:numRef>
          </c:yVal>
          <c:smooth val="0"/>
          <c:extLst>
            <c:ext xmlns:c16="http://schemas.microsoft.com/office/drawing/2014/chart" uri="{C3380CC4-5D6E-409C-BE32-E72D297353CC}">
              <c16:uniqueId val="{00000000-7400-47A8-8D27-68AE803CCB88}"/>
            </c:ext>
          </c:extLst>
        </c:ser>
        <c:ser>
          <c:idx val="2"/>
          <c:order val="1"/>
          <c:tx>
            <c:strRef>
              <c:f>'Measured shrinkage'!$A$790</c:f>
              <c:strCache>
                <c:ptCount val="1"/>
                <c:pt idx="0">
                  <c:v>17</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shrinkage'!$B$790:$B$841</c:f>
              <c:numCache>
                <c:formatCode>0</c:formatCode>
                <c:ptCount val="52"/>
                <c:pt idx="0">
                  <c:v>0</c:v>
                </c:pt>
                <c:pt idx="1">
                  <c:v>6</c:v>
                </c:pt>
                <c:pt idx="2">
                  <c:v>13</c:v>
                </c:pt>
                <c:pt idx="3">
                  <c:v>22</c:v>
                </c:pt>
                <c:pt idx="4">
                  <c:v>44</c:v>
                </c:pt>
                <c:pt idx="5">
                  <c:v>62</c:v>
                </c:pt>
                <c:pt idx="6">
                  <c:v>74</c:v>
                </c:pt>
                <c:pt idx="7">
                  <c:v>95</c:v>
                </c:pt>
                <c:pt idx="8">
                  <c:v>102</c:v>
                </c:pt>
                <c:pt idx="9">
                  <c:v>111</c:v>
                </c:pt>
                <c:pt idx="10">
                  <c:v>124</c:v>
                </c:pt>
                <c:pt idx="11">
                  <c:v>131</c:v>
                </c:pt>
                <c:pt idx="12">
                  <c:v>138</c:v>
                </c:pt>
                <c:pt idx="13">
                  <c:v>145</c:v>
                </c:pt>
                <c:pt idx="14">
                  <c:v>152</c:v>
                </c:pt>
                <c:pt idx="15">
                  <c:v>159</c:v>
                </c:pt>
                <c:pt idx="16">
                  <c:v>166</c:v>
                </c:pt>
                <c:pt idx="17">
                  <c:v>173</c:v>
                </c:pt>
                <c:pt idx="18">
                  <c:v>180</c:v>
                </c:pt>
                <c:pt idx="19">
                  <c:v>240</c:v>
                </c:pt>
                <c:pt idx="20">
                  <c:v>301</c:v>
                </c:pt>
                <c:pt idx="21">
                  <c:v>363</c:v>
                </c:pt>
                <c:pt idx="22">
                  <c:v>422</c:v>
                </c:pt>
                <c:pt idx="23">
                  <c:v>483</c:v>
                </c:pt>
                <c:pt idx="24">
                  <c:v>544</c:v>
                </c:pt>
                <c:pt idx="25">
                  <c:v>605</c:v>
                </c:pt>
                <c:pt idx="26">
                  <c:v>666</c:v>
                </c:pt>
                <c:pt idx="27">
                  <c:v>728</c:v>
                </c:pt>
                <c:pt idx="28">
                  <c:v>788</c:v>
                </c:pt>
                <c:pt idx="29">
                  <c:v>1142</c:v>
                </c:pt>
                <c:pt idx="30">
                  <c:v>1170</c:v>
                </c:pt>
                <c:pt idx="31">
                  <c:v>1231</c:v>
                </c:pt>
                <c:pt idx="32">
                  <c:v>1296</c:v>
                </c:pt>
                <c:pt idx="33">
                  <c:v>1370</c:v>
                </c:pt>
                <c:pt idx="34">
                  <c:v>1429</c:v>
                </c:pt>
                <c:pt idx="35">
                  <c:v>1528</c:v>
                </c:pt>
                <c:pt idx="36">
                  <c:v>1619</c:v>
                </c:pt>
                <c:pt idx="37">
                  <c:v>1711</c:v>
                </c:pt>
                <c:pt idx="38">
                  <c:v>1803</c:v>
                </c:pt>
                <c:pt idx="39">
                  <c:v>1934</c:v>
                </c:pt>
                <c:pt idx="40">
                  <c:v>2025</c:v>
                </c:pt>
                <c:pt idx="41">
                  <c:v>2128</c:v>
                </c:pt>
                <c:pt idx="42">
                  <c:v>2226</c:v>
                </c:pt>
                <c:pt idx="43">
                  <c:v>2332</c:v>
                </c:pt>
                <c:pt idx="44">
                  <c:v>2495</c:v>
                </c:pt>
                <c:pt idx="45">
                  <c:v>2605</c:v>
                </c:pt>
                <c:pt idx="46">
                  <c:v>2759</c:v>
                </c:pt>
                <c:pt idx="47">
                  <c:v>2874</c:v>
                </c:pt>
                <c:pt idx="48">
                  <c:v>2978</c:v>
                </c:pt>
                <c:pt idx="49">
                  <c:v>3060</c:v>
                </c:pt>
                <c:pt idx="50">
                  <c:v>3223</c:v>
                </c:pt>
                <c:pt idx="51">
                  <c:v>3309</c:v>
                </c:pt>
              </c:numCache>
            </c:numRef>
          </c:xVal>
          <c:yVal>
            <c:numRef>
              <c:f>'Measured shrinkage'!$C$790:$C$841</c:f>
              <c:numCache>
                <c:formatCode>0</c:formatCode>
                <c:ptCount val="52"/>
                <c:pt idx="0">
                  <c:v>0</c:v>
                </c:pt>
                <c:pt idx="1">
                  <c:v>210</c:v>
                </c:pt>
                <c:pt idx="2">
                  <c:v>253.29999999999998</c:v>
                </c:pt>
                <c:pt idx="3">
                  <c:v>316.7</c:v>
                </c:pt>
                <c:pt idx="4">
                  <c:v>386.70000000000005</c:v>
                </c:pt>
                <c:pt idx="5">
                  <c:v>413.3</c:v>
                </c:pt>
                <c:pt idx="6">
                  <c:v>430</c:v>
                </c:pt>
                <c:pt idx="7">
                  <c:v>436.7</c:v>
                </c:pt>
                <c:pt idx="8">
                  <c:v>439.99999999999994</c:v>
                </c:pt>
                <c:pt idx="9">
                  <c:v>413.3</c:v>
                </c:pt>
                <c:pt idx="10">
                  <c:v>410.00000000000006</c:v>
                </c:pt>
                <c:pt idx="11">
                  <c:v>400</c:v>
                </c:pt>
                <c:pt idx="12">
                  <c:v>410.00000000000006</c:v>
                </c:pt>
                <c:pt idx="13">
                  <c:v>413.3</c:v>
                </c:pt>
                <c:pt idx="14">
                  <c:v>436.7</c:v>
                </c:pt>
                <c:pt idx="15">
                  <c:v>423.29999999999995</c:v>
                </c:pt>
                <c:pt idx="16">
                  <c:v>436.7</c:v>
                </c:pt>
                <c:pt idx="17">
                  <c:v>420</c:v>
                </c:pt>
                <c:pt idx="18">
                  <c:v>423.29999999999995</c:v>
                </c:pt>
                <c:pt idx="19">
                  <c:v>383.3</c:v>
                </c:pt>
                <c:pt idx="20">
                  <c:v>406.70000000000005</c:v>
                </c:pt>
                <c:pt idx="21">
                  <c:v>416.7</c:v>
                </c:pt>
                <c:pt idx="22">
                  <c:v>420</c:v>
                </c:pt>
                <c:pt idx="23">
                  <c:v>420</c:v>
                </c:pt>
                <c:pt idx="24">
                  <c:v>386.70000000000005</c:v>
                </c:pt>
                <c:pt idx="25">
                  <c:v>410.00000000000006</c:v>
                </c:pt>
                <c:pt idx="26">
                  <c:v>410.00000000000006</c:v>
                </c:pt>
                <c:pt idx="27">
                  <c:v>413.3</c:v>
                </c:pt>
                <c:pt idx="28">
                  <c:v>410.00000000000006</c:v>
                </c:pt>
                <c:pt idx="29">
                  <c:v>416.7</c:v>
                </c:pt>
                <c:pt idx="30">
                  <c:v>403.29999999999995</c:v>
                </c:pt>
                <c:pt idx="31">
                  <c:v>416.7</c:v>
                </c:pt>
                <c:pt idx="32">
                  <c:v>403.29999999999995</c:v>
                </c:pt>
                <c:pt idx="33">
                  <c:v>405.6</c:v>
                </c:pt>
                <c:pt idx="34">
                  <c:v>401.1</c:v>
                </c:pt>
                <c:pt idx="35">
                  <c:v>398.90000000000003</c:v>
                </c:pt>
                <c:pt idx="36">
                  <c:v>390</c:v>
                </c:pt>
                <c:pt idx="37">
                  <c:v>393.29999999999995</c:v>
                </c:pt>
                <c:pt idx="38">
                  <c:v>387.8</c:v>
                </c:pt>
                <c:pt idx="39">
                  <c:v>398.90000000000003</c:v>
                </c:pt>
                <c:pt idx="40">
                  <c:v>391.1</c:v>
                </c:pt>
                <c:pt idx="41">
                  <c:v>390</c:v>
                </c:pt>
                <c:pt idx="42">
                  <c:v>387.8</c:v>
                </c:pt>
                <c:pt idx="43">
                  <c:v>387.8</c:v>
                </c:pt>
                <c:pt idx="44">
                  <c:v>380</c:v>
                </c:pt>
                <c:pt idx="45">
                  <c:v>383.3</c:v>
                </c:pt>
                <c:pt idx="46">
                  <c:v>390</c:v>
                </c:pt>
                <c:pt idx="47">
                  <c:v>387.8</c:v>
                </c:pt>
                <c:pt idx="48">
                  <c:v>388.90000000000003</c:v>
                </c:pt>
                <c:pt idx="49">
                  <c:v>388.90000000000003</c:v>
                </c:pt>
                <c:pt idx="50">
                  <c:v>390</c:v>
                </c:pt>
                <c:pt idx="51">
                  <c:v>386.70000000000005</c:v>
                </c:pt>
              </c:numCache>
            </c:numRef>
          </c:yVal>
          <c:smooth val="0"/>
          <c:extLst>
            <c:ext xmlns:c16="http://schemas.microsoft.com/office/drawing/2014/chart" uri="{C3380CC4-5D6E-409C-BE32-E72D297353CC}">
              <c16:uniqueId val="{00000001-7400-47A8-8D27-68AE803CCB88}"/>
            </c:ext>
          </c:extLst>
        </c:ser>
        <c:dLbls>
          <c:showLegendKey val="0"/>
          <c:showVal val="0"/>
          <c:showCatName val="0"/>
          <c:showSerName val="0"/>
          <c:showPercent val="0"/>
          <c:showBubbleSize val="0"/>
        </c:dLbls>
        <c:axId val="757711696"/>
        <c:axId val="757706776"/>
      </c:scatterChart>
      <c:valAx>
        <c:axId val="75771169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7200652861953083"/>
          <c:y val="0.6295097558933781"/>
          <c:w val="0.33394646505556619"/>
          <c:h val="0.20786850860248726"/>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S2-13: CEM II (B-M) - 0.33 w/cm - Granite - </a:t>
            </a:r>
          </a:p>
          <a:p>
            <a:pPr>
              <a:defRPr sz="1100">
                <a:solidFill>
                  <a:sysClr val="windowText" lastClr="000000"/>
                </a:solidFill>
              </a:defRPr>
            </a:pPr>
            <a:r>
              <a:rPr lang="en-US" sz="1100">
                <a:solidFill>
                  <a:sysClr val="windowText" lastClr="000000"/>
                </a:solidFill>
              </a:rPr>
              <a:t>&lt;1% Superplasticiser, &lt;0.5% Plasticiser, 1% SRA</a:t>
            </a:r>
          </a:p>
        </c:rich>
      </c:tx>
      <c:layout>
        <c:manualLayout>
          <c:xMode val="edge"/>
          <c:yMode val="edge"/>
          <c:x val="0.1805764664364844"/>
          <c:y val="4.629640573475007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8151098608862151"/>
          <c:w val="0.77765091863517055"/>
          <c:h val="0.64831515122862171"/>
        </c:manualLayout>
      </c:layout>
      <c:scatterChart>
        <c:scatterStyle val="lineMarker"/>
        <c:varyColors val="0"/>
        <c:ser>
          <c:idx val="2"/>
          <c:order val="0"/>
          <c:tx>
            <c:strRef>
              <c:f>'Measured shrinkage'!$A$897</c:f>
              <c:strCache>
                <c:ptCount val="1"/>
                <c:pt idx="0">
                  <c:v>19</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shrinkage'!$B$897:$B$947</c:f>
              <c:numCache>
                <c:formatCode>0</c:formatCode>
                <c:ptCount val="51"/>
                <c:pt idx="0">
                  <c:v>0</c:v>
                </c:pt>
                <c:pt idx="1">
                  <c:v>6</c:v>
                </c:pt>
                <c:pt idx="2">
                  <c:v>13</c:v>
                </c:pt>
                <c:pt idx="3">
                  <c:v>22</c:v>
                </c:pt>
                <c:pt idx="4">
                  <c:v>44</c:v>
                </c:pt>
                <c:pt idx="5">
                  <c:v>62</c:v>
                </c:pt>
                <c:pt idx="6">
                  <c:v>74</c:v>
                </c:pt>
                <c:pt idx="7">
                  <c:v>95</c:v>
                </c:pt>
                <c:pt idx="8">
                  <c:v>102</c:v>
                </c:pt>
                <c:pt idx="9">
                  <c:v>110</c:v>
                </c:pt>
                <c:pt idx="10">
                  <c:v>123</c:v>
                </c:pt>
                <c:pt idx="11">
                  <c:v>130</c:v>
                </c:pt>
                <c:pt idx="12">
                  <c:v>137</c:v>
                </c:pt>
                <c:pt idx="13">
                  <c:v>144</c:v>
                </c:pt>
                <c:pt idx="14">
                  <c:v>151</c:v>
                </c:pt>
                <c:pt idx="15">
                  <c:v>158</c:v>
                </c:pt>
                <c:pt idx="16">
                  <c:v>165</c:v>
                </c:pt>
                <c:pt idx="17">
                  <c:v>172</c:v>
                </c:pt>
                <c:pt idx="18">
                  <c:v>179</c:v>
                </c:pt>
                <c:pt idx="19">
                  <c:v>240</c:v>
                </c:pt>
                <c:pt idx="20">
                  <c:v>301</c:v>
                </c:pt>
                <c:pt idx="21">
                  <c:v>363</c:v>
                </c:pt>
                <c:pt idx="22">
                  <c:v>422</c:v>
                </c:pt>
                <c:pt idx="23">
                  <c:v>483</c:v>
                </c:pt>
                <c:pt idx="24">
                  <c:v>544</c:v>
                </c:pt>
                <c:pt idx="25">
                  <c:v>605</c:v>
                </c:pt>
                <c:pt idx="26">
                  <c:v>666</c:v>
                </c:pt>
                <c:pt idx="27">
                  <c:v>728</c:v>
                </c:pt>
                <c:pt idx="28">
                  <c:v>788</c:v>
                </c:pt>
                <c:pt idx="29">
                  <c:v>1142</c:v>
                </c:pt>
                <c:pt idx="30">
                  <c:v>1170</c:v>
                </c:pt>
                <c:pt idx="31">
                  <c:v>1231</c:v>
                </c:pt>
                <c:pt idx="32">
                  <c:v>1296</c:v>
                </c:pt>
                <c:pt idx="33">
                  <c:v>1370</c:v>
                </c:pt>
                <c:pt idx="34">
                  <c:v>1429</c:v>
                </c:pt>
                <c:pt idx="35">
                  <c:v>1528</c:v>
                </c:pt>
                <c:pt idx="36">
                  <c:v>1619</c:v>
                </c:pt>
                <c:pt idx="37">
                  <c:v>1711</c:v>
                </c:pt>
                <c:pt idx="38">
                  <c:v>1803</c:v>
                </c:pt>
                <c:pt idx="39">
                  <c:v>1934</c:v>
                </c:pt>
                <c:pt idx="40">
                  <c:v>2025</c:v>
                </c:pt>
                <c:pt idx="41">
                  <c:v>2128</c:v>
                </c:pt>
                <c:pt idx="42">
                  <c:v>2226</c:v>
                </c:pt>
                <c:pt idx="43">
                  <c:v>2332</c:v>
                </c:pt>
                <c:pt idx="44">
                  <c:v>2495</c:v>
                </c:pt>
                <c:pt idx="45">
                  <c:v>2605</c:v>
                </c:pt>
                <c:pt idx="46">
                  <c:v>2759</c:v>
                </c:pt>
                <c:pt idx="47">
                  <c:v>2874</c:v>
                </c:pt>
                <c:pt idx="48">
                  <c:v>2978</c:v>
                </c:pt>
                <c:pt idx="49">
                  <c:v>3060</c:v>
                </c:pt>
                <c:pt idx="50">
                  <c:v>3223</c:v>
                </c:pt>
              </c:numCache>
            </c:numRef>
          </c:xVal>
          <c:yVal>
            <c:numRef>
              <c:f>'Measured shrinkage'!$C$897:$C$947</c:f>
              <c:numCache>
                <c:formatCode>0</c:formatCode>
                <c:ptCount val="51"/>
                <c:pt idx="0">
                  <c:v>0</c:v>
                </c:pt>
                <c:pt idx="1">
                  <c:v>103.30000000000001</c:v>
                </c:pt>
                <c:pt idx="2">
                  <c:v>136.69999999999999</c:v>
                </c:pt>
                <c:pt idx="3">
                  <c:v>213.3</c:v>
                </c:pt>
                <c:pt idx="4">
                  <c:v>246.70000000000002</c:v>
                </c:pt>
                <c:pt idx="5">
                  <c:v>266.7</c:v>
                </c:pt>
                <c:pt idx="6">
                  <c:v>290.00000000000006</c:v>
                </c:pt>
                <c:pt idx="7">
                  <c:v>303.3</c:v>
                </c:pt>
                <c:pt idx="8">
                  <c:v>300</c:v>
                </c:pt>
                <c:pt idx="9">
                  <c:v>300</c:v>
                </c:pt>
                <c:pt idx="10">
                  <c:v>276.7</c:v>
                </c:pt>
                <c:pt idx="11">
                  <c:v>263.3</c:v>
                </c:pt>
                <c:pt idx="12">
                  <c:v>266.7</c:v>
                </c:pt>
                <c:pt idx="13">
                  <c:v>280</c:v>
                </c:pt>
                <c:pt idx="14">
                  <c:v>300</c:v>
                </c:pt>
                <c:pt idx="15">
                  <c:v>293.29999999999995</c:v>
                </c:pt>
                <c:pt idx="16">
                  <c:v>290.00000000000006</c:v>
                </c:pt>
                <c:pt idx="17">
                  <c:v>286.7</c:v>
                </c:pt>
                <c:pt idx="18">
                  <c:v>296.7</c:v>
                </c:pt>
                <c:pt idx="19">
                  <c:v>276.7</c:v>
                </c:pt>
                <c:pt idx="20">
                  <c:v>313.29999999999995</c:v>
                </c:pt>
                <c:pt idx="21">
                  <c:v>320</c:v>
                </c:pt>
                <c:pt idx="22">
                  <c:v>320</c:v>
                </c:pt>
                <c:pt idx="23">
                  <c:v>316.7</c:v>
                </c:pt>
                <c:pt idx="24">
                  <c:v>320</c:v>
                </c:pt>
                <c:pt idx="25">
                  <c:v>310</c:v>
                </c:pt>
                <c:pt idx="26">
                  <c:v>316.7</c:v>
                </c:pt>
                <c:pt idx="27">
                  <c:v>320</c:v>
                </c:pt>
                <c:pt idx="28">
                  <c:v>313.29999999999995</c:v>
                </c:pt>
                <c:pt idx="29">
                  <c:v>340.00000000000006</c:v>
                </c:pt>
                <c:pt idx="30">
                  <c:v>318.89999999999998</c:v>
                </c:pt>
                <c:pt idx="31">
                  <c:v>335.59999999999997</c:v>
                </c:pt>
                <c:pt idx="32">
                  <c:v>330</c:v>
                </c:pt>
                <c:pt idx="33">
                  <c:v>333.90000000000003</c:v>
                </c:pt>
                <c:pt idx="34">
                  <c:v>326.7</c:v>
                </c:pt>
                <c:pt idx="35">
                  <c:v>322.2</c:v>
                </c:pt>
                <c:pt idx="36">
                  <c:v>307.8</c:v>
                </c:pt>
                <c:pt idx="37">
                  <c:v>302.20000000000005</c:v>
                </c:pt>
                <c:pt idx="38">
                  <c:v>300</c:v>
                </c:pt>
                <c:pt idx="39">
                  <c:v>308.89999999999998</c:v>
                </c:pt>
                <c:pt idx="40">
                  <c:v>312.20000000000005</c:v>
                </c:pt>
                <c:pt idx="41">
                  <c:v>308.89999999999998</c:v>
                </c:pt>
                <c:pt idx="42">
                  <c:v>304.39999999999998</c:v>
                </c:pt>
                <c:pt idx="43">
                  <c:v>308.89999999999998</c:v>
                </c:pt>
                <c:pt idx="44">
                  <c:v>320</c:v>
                </c:pt>
                <c:pt idx="45">
                  <c:v>306.7</c:v>
                </c:pt>
                <c:pt idx="46">
                  <c:v>303.3</c:v>
                </c:pt>
                <c:pt idx="47">
                  <c:v>310</c:v>
                </c:pt>
                <c:pt idx="48">
                  <c:v>310</c:v>
                </c:pt>
                <c:pt idx="49">
                  <c:v>310</c:v>
                </c:pt>
                <c:pt idx="50">
                  <c:v>314.40000000000003</c:v>
                </c:pt>
              </c:numCache>
            </c:numRef>
          </c:yVal>
          <c:smooth val="0"/>
          <c:extLst>
            <c:ext xmlns:c16="http://schemas.microsoft.com/office/drawing/2014/chart" uri="{C3380CC4-5D6E-409C-BE32-E72D297353CC}">
              <c16:uniqueId val="{00000000-FFDB-458D-BC01-518C377E69BB}"/>
            </c:ext>
          </c:extLst>
        </c:ser>
        <c:ser>
          <c:idx val="0"/>
          <c:order val="1"/>
          <c:tx>
            <c:strRef>
              <c:f>'Measured shrinkage'!$A$948</c:f>
              <c:strCache>
                <c:ptCount val="1"/>
                <c:pt idx="0">
                  <c:v>20</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shrinkage'!$B$948:$B$1001</c:f>
              <c:numCache>
                <c:formatCode>0</c:formatCode>
                <c:ptCount val="54"/>
                <c:pt idx="0">
                  <c:v>0</c:v>
                </c:pt>
                <c:pt idx="1">
                  <c:v>7</c:v>
                </c:pt>
                <c:pt idx="2">
                  <c:v>15</c:v>
                </c:pt>
                <c:pt idx="3">
                  <c:v>21</c:v>
                </c:pt>
                <c:pt idx="4">
                  <c:v>29</c:v>
                </c:pt>
                <c:pt idx="5">
                  <c:v>35</c:v>
                </c:pt>
                <c:pt idx="6">
                  <c:v>53</c:v>
                </c:pt>
                <c:pt idx="7">
                  <c:v>65</c:v>
                </c:pt>
                <c:pt idx="8">
                  <c:v>86</c:v>
                </c:pt>
                <c:pt idx="9">
                  <c:v>93</c:v>
                </c:pt>
                <c:pt idx="10">
                  <c:v>102</c:v>
                </c:pt>
                <c:pt idx="11">
                  <c:v>114</c:v>
                </c:pt>
                <c:pt idx="12">
                  <c:v>121</c:v>
                </c:pt>
                <c:pt idx="13">
                  <c:v>128</c:v>
                </c:pt>
                <c:pt idx="14">
                  <c:v>135</c:v>
                </c:pt>
                <c:pt idx="15">
                  <c:v>142</c:v>
                </c:pt>
                <c:pt idx="16">
                  <c:v>149</c:v>
                </c:pt>
                <c:pt idx="17">
                  <c:v>156</c:v>
                </c:pt>
                <c:pt idx="18">
                  <c:v>163</c:v>
                </c:pt>
                <c:pt idx="19">
                  <c:v>170</c:v>
                </c:pt>
                <c:pt idx="20">
                  <c:v>177</c:v>
                </c:pt>
                <c:pt idx="21">
                  <c:v>184</c:v>
                </c:pt>
                <c:pt idx="22">
                  <c:v>191</c:v>
                </c:pt>
                <c:pt idx="23">
                  <c:v>245</c:v>
                </c:pt>
                <c:pt idx="24">
                  <c:v>306</c:v>
                </c:pt>
                <c:pt idx="25">
                  <c:v>365</c:v>
                </c:pt>
                <c:pt idx="26">
                  <c:v>426</c:v>
                </c:pt>
                <c:pt idx="27">
                  <c:v>487</c:v>
                </c:pt>
                <c:pt idx="28">
                  <c:v>549</c:v>
                </c:pt>
                <c:pt idx="29">
                  <c:v>610</c:v>
                </c:pt>
                <c:pt idx="30">
                  <c:v>671</c:v>
                </c:pt>
                <c:pt idx="31">
                  <c:v>731</c:v>
                </c:pt>
                <c:pt idx="32">
                  <c:v>1133</c:v>
                </c:pt>
                <c:pt idx="33">
                  <c:v>1161</c:v>
                </c:pt>
                <c:pt idx="34">
                  <c:v>1222</c:v>
                </c:pt>
                <c:pt idx="35">
                  <c:v>1287</c:v>
                </c:pt>
                <c:pt idx="36">
                  <c:v>1361</c:v>
                </c:pt>
                <c:pt idx="37">
                  <c:v>1420</c:v>
                </c:pt>
                <c:pt idx="38">
                  <c:v>1519</c:v>
                </c:pt>
                <c:pt idx="39">
                  <c:v>1610</c:v>
                </c:pt>
                <c:pt idx="40">
                  <c:v>1702</c:v>
                </c:pt>
                <c:pt idx="41">
                  <c:v>1794</c:v>
                </c:pt>
                <c:pt idx="42">
                  <c:v>1925</c:v>
                </c:pt>
                <c:pt idx="43">
                  <c:v>2016</c:v>
                </c:pt>
                <c:pt idx="44">
                  <c:v>2119</c:v>
                </c:pt>
                <c:pt idx="45">
                  <c:v>2217</c:v>
                </c:pt>
                <c:pt idx="46">
                  <c:v>2323</c:v>
                </c:pt>
                <c:pt idx="47">
                  <c:v>2486</c:v>
                </c:pt>
                <c:pt idx="48">
                  <c:v>2596</c:v>
                </c:pt>
                <c:pt idx="49">
                  <c:v>2750</c:v>
                </c:pt>
                <c:pt idx="50">
                  <c:v>2865</c:v>
                </c:pt>
                <c:pt idx="51">
                  <c:v>2969</c:v>
                </c:pt>
                <c:pt idx="52">
                  <c:v>3051</c:v>
                </c:pt>
                <c:pt idx="53">
                  <c:v>3214</c:v>
                </c:pt>
              </c:numCache>
            </c:numRef>
          </c:xVal>
          <c:yVal>
            <c:numRef>
              <c:f>'Measured shrinkage'!$C$948:$C$1001</c:f>
              <c:numCache>
                <c:formatCode>0</c:formatCode>
                <c:ptCount val="54"/>
                <c:pt idx="0">
                  <c:v>0</c:v>
                </c:pt>
                <c:pt idx="1">
                  <c:v>43.3</c:v>
                </c:pt>
                <c:pt idx="2">
                  <c:v>70</c:v>
                </c:pt>
                <c:pt idx="3">
                  <c:v>126.70000000000002</c:v>
                </c:pt>
                <c:pt idx="4">
                  <c:v>133.29999999999998</c:v>
                </c:pt>
                <c:pt idx="5">
                  <c:v>156.69999999999999</c:v>
                </c:pt>
                <c:pt idx="6">
                  <c:v>206.70000000000002</c:v>
                </c:pt>
                <c:pt idx="7">
                  <c:v>206.70000000000002</c:v>
                </c:pt>
                <c:pt idx="8">
                  <c:v>223.3</c:v>
                </c:pt>
                <c:pt idx="9">
                  <c:v>203.29999999999998</c:v>
                </c:pt>
                <c:pt idx="10">
                  <c:v>210</c:v>
                </c:pt>
                <c:pt idx="11">
                  <c:v>196.70000000000002</c:v>
                </c:pt>
                <c:pt idx="12">
                  <c:v>200</c:v>
                </c:pt>
                <c:pt idx="13">
                  <c:v>206.70000000000002</c:v>
                </c:pt>
                <c:pt idx="14">
                  <c:v>229.99999999999997</c:v>
                </c:pt>
                <c:pt idx="15">
                  <c:v>243.30000000000004</c:v>
                </c:pt>
                <c:pt idx="16">
                  <c:v>236.7</c:v>
                </c:pt>
                <c:pt idx="17">
                  <c:v>236.7</c:v>
                </c:pt>
                <c:pt idx="18">
                  <c:v>226.7</c:v>
                </c:pt>
                <c:pt idx="19">
                  <c:v>226.7</c:v>
                </c:pt>
                <c:pt idx="20">
                  <c:v>243.30000000000004</c:v>
                </c:pt>
                <c:pt idx="21">
                  <c:v>226.7</c:v>
                </c:pt>
                <c:pt idx="22">
                  <c:v>223.3</c:v>
                </c:pt>
                <c:pt idx="23">
                  <c:v>236.7</c:v>
                </c:pt>
                <c:pt idx="24">
                  <c:v>243.30000000000004</c:v>
                </c:pt>
                <c:pt idx="25">
                  <c:v>243.30000000000004</c:v>
                </c:pt>
                <c:pt idx="26">
                  <c:v>240</c:v>
                </c:pt>
                <c:pt idx="27">
                  <c:v>240</c:v>
                </c:pt>
                <c:pt idx="28">
                  <c:v>240</c:v>
                </c:pt>
                <c:pt idx="29">
                  <c:v>216.7</c:v>
                </c:pt>
                <c:pt idx="30">
                  <c:v>236.7</c:v>
                </c:pt>
                <c:pt idx="31">
                  <c:v>233.3</c:v>
                </c:pt>
                <c:pt idx="32">
                  <c:v>268.89999999999998</c:v>
                </c:pt>
                <c:pt idx="33">
                  <c:v>244.4</c:v>
                </c:pt>
                <c:pt idx="34">
                  <c:v>258.89999999999998</c:v>
                </c:pt>
                <c:pt idx="35">
                  <c:v>253.29999999999998</c:v>
                </c:pt>
                <c:pt idx="36">
                  <c:v>271.09999999999997</c:v>
                </c:pt>
                <c:pt idx="37">
                  <c:v>265.60000000000002</c:v>
                </c:pt>
                <c:pt idx="38">
                  <c:v>262.2</c:v>
                </c:pt>
                <c:pt idx="39">
                  <c:v>256.7</c:v>
                </c:pt>
                <c:pt idx="40">
                  <c:v>271.09999999999997</c:v>
                </c:pt>
                <c:pt idx="41">
                  <c:v>267.8</c:v>
                </c:pt>
                <c:pt idx="42">
                  <c:v>273.3</c:v>
                </c:pt>
                <c:pt idx="43">
                  <c:v>271.09999999999997</c:v>
                </c:pt>
                <c:pt idx="44">
                  <c:v>270</c:v>
                </c:pt>
                <c:pt idx="45">
                  <c:v>267.8</c:v>
                </c:pt>
                <c:pt idx="46">
                  <c:v>266.7</c:v>
                </c:pt>
                <c:pt idx="47">
                  <c:v>256.7</c:v>
                </c:pt>
                <c:pt idx="48">
                  <c:v>253.29999999999998</c:v>
                </c:pt>
                <c:pt idx="49">
                  <c:v>263.3</c:v>
                </c:pt>
                <c:pt idx="50">
                  <c:v>267.8</c:v>
                </c:pt>
                <c:pt idx="51">
                  <c:v>267.8</c:v>
                </c:pt>
                <c:pt idx="52">
                  <c:v>267.8</c:v>
                </c:pt>
                <c:pt idx="53">
                  <c:v>267.8</c:v>
                </c:pt>
              </c:numCache>
            </c:numRef>
          </c:yVal>
          <c:smooth val="0"/>
          <c:extLst>
            <c:ext xmlns:c16="http://schemas.microsoft.com/office/drawing/2014/chart" uri="{C3380CC4-5D6E-409C-BE32-E72D297353CC}">
              <c16:uniqueId val="{00000001-FFDB-458D-BC01-518C377E69BB}"/>
            </c:ext>
          </c:extLst>
        </c:ser>
        <c:ser>
          <c:idx val="5"/>
          <c:order val="2"/>
          <c:tx>
            <c:strRef>
              <c:f>'Measured shrinkage'!$A$1002</c:f>
              <c:strCache>
                <c:ptCount val="1"/>
                <c:pt idx="0">
                  <c:v>21</c:v>
                </c:pt>
              </c:strCache>
            </c:strRef>
          </c:tx>
          <c:spPr>
            <a:ln w="25400" cap="rnd">
              <a:noFill/>
              <a:round/>
            </a:ln>
            <a:effectLst/>
          </c:spPr>
          <c:marker>
            <c:symbol val="circle"/>
            <c:size val="4"/>
            <c:spPr>
              <a:solidFill>
                <a:schemeClr val="accent6"/>
              </a:solidFill>
              <a:ln w="9525">
                <a:solidFill>
                  <a:schemeClr val="accent6"/>
                </a:solidFill>
              </a:ln>
              <a:effectLst/>
            </c:spPr>
          </c:marker>
          <c:xVal>
            <c:numRef>
              <c:f>'Measured shrinkage'!$B$1002:$B$1056</c:f>
              <c:numCache>
                <c:formatCode>0</c:formatCode>
                <c:ptCount val="55"/>
                <c:pt idx="0">
                  <c:v>0</c:v>
                </c:pt>
                <c:pt idx="1">
                  <c:v>7</c:v>
                </c:pt>
                <c:pt idx="2">
                  <c:v>15</c:v>
                </c:pt>
                <c:pt idx="3">
                  <c:v>21</c:v>
                </c:pt>
                <c:pt idx="4">
                  <c:v>29</c:v>
                </c:pt>
                <c:pt idx="5">
                  <c:v>35</c:v>
                </c:pt>
                <c:pt idx="6">
                  <c:v>53</c:v>
                </c:pt>
                <c:pt idx="7">
                  <c:v>65</c:v>
                </c:pt>
                <c:pt idx="8">
                  <c:v>86</c:v>
                </c:pt>
                <c:pt idx="9">
                  <c:v>93</c:v>
                </c:pt>
                <c:pt idx="10">
                  <c:v>102</c:v>
                </c:pt>
                <c:pt idx="11">
                  <c:v>114</c:v>
                </c:pt>
                <c:pt idx="12">
                  <c:v>121</c:v>
                </c:pt>
                <c:pt idx="13">
                  <c:v>128</c:v>
                </c:pt>
                <c:pt idx="14">
                  <c:v>135</c:v>
                </c:pt>
                <c:pt idx="15">
                  <c:v>142</c:v>
                </c:pt>
                <c:pt idx="16">
                  <c:v>149</c:v>
                </c:pt>
                <c:pt idx="17">
                  <c:v>156</c:v>
                </c:pt>
                <c:pt idx="18">
                  <c:v>163</c:v>
                </c:pt>
                <c:pt idx="19">
                  <c:v>170</c:v>
                </c:pt>
                <c:pt idx="20">
                  <c:v>177</c:v>
                </c:pt>
                <c:pt idx="21">
                  <c:v>184</c:v>
                </c:pt>
                <c:pt idx="22">
                  <c:v>191</c:v>
                </c:pt>
                <c:pt idx="23">
                  <c:v>245</c:v>
                </c:pt>
                <c:pt idx="24">
                  <c:v>306</c:v>
                </c:pt>
                <c:pt idx="25">
                  <c:v>365</c:v>
                </c:pt>
                <c:pt idx="26">
                  <c:v>426</c:v>
                </c:pt>
                <c:pt idx="27">
                  <c:v>487</c:v>
                </c:pt>
                <c:pt idx="28">
                  <c:v>549</c:v>
                </c:pt>
                <c:pt idx="29">
                  <c:v>610</c:v>
                </c:pt>
                <c:pt idx="30">
                  <c:v>671</c:v>
                </c:pt>
                <c:pt idx="31">
                  <c:v>731</c:v>
                </c:pt>
                <c:pt idx="32">
                  <c:v>1133</c:v>
                </c:pt>
                <c:pt idx="33">
                  <c:v>1161</c:v>
                </c:pt>
                <c:pt idx="34">
                  <c:v>1222</c:v>
                </c:pt>
                <c:pt idx="35">
                  <c:v>1287</c:v>
                </c:pt>
                <c:pt idx="36">
                  <c:v>1361</c:v>
                </c:pt>
                <c:pt idx="37">
                  <c:v>1420</c:v>
                </c:pt>
                <c:pt idx="38">
                  <c:v>1519</c:v>
                </c:pt>
                <c:pt idx="39">
                  <c:v>1610</c:v>
                </c:pt>
                <c:pt idx="40">
                  <c:v>1702</c:v>
                </c:pt>
                <c:pt idx="41">
                  <c:v>1794</c:v>
                </c:pt>
                <c:pt idx="42">
                  <c:v>1925</c:v>
                </c:pt>
                <c:pt idx="43">
                  <c:v>2016</c:v>
                </c:pt>
                <c:pt idx="44">
                  <c:v>2119</c:v>
                </c:pt>
                <c:pt idx="45">
                  <c:v>2217</c:v>
                </c:pt>
                <c:pt idx="46">
                  <c:v>2323</c:v>
                </c:pt>
                <c:pt idx="47">
                  <c:v>2486</c:v>
                </c:pt>
                <c:pt idx="48">
                  <c:v>2596</c:v>
                </c:pt>
                <c:pt idx="49">
                  <c:v>2750</c:v>
                </c:pt>
                <c:pt idx="50">
                  <c:v>2865</c:v>
                </c:pt>
                <c:pt idx="51">
                  <c:v>2969</c:v>
                </c:pt>
                <c:pt idx="52">
                  <c:v>3051</c:v>
                </c:pt>
                <c:pt idx="53">
                  <c:v>3214</c:v>
                </c:pt>
                <c:pt idx="54">
                  <c:v>3300</c:v>
                </c:pt>
              </c:numCache>
            </c:numRef>
          </c:xVal>
          <c:yVal>
            <c:numRef>
              <c:f>'Measured shrinkage'!$C$1002:$C$1056</c:f>
              <c:numCache>
                <c:formatCode>0</c:formatCode>
                <c:ptCount val="55"/>
                <c:pt idx="0">
                  <c:v>0</c:v>
                </c:pt>
                <c:pt idx="1">
                  <c:v>30</c:v>
                </c:pt>
                <c:pt idx="2">
                  <c:v>66.699999999999989</c:v>
                </c:pt>
                <c:pt idx="3">
                  <c:v>100</c:v>
                </c:pt>
                <c:pt idx="4">
                  <c:v>109.99999999999999</c:v>
                </c:pt>
                <c:pt idx="5">
                  <c:v>133.29999999999998</c:v>
                </c:pt>
                <c:pt idx="6">
                  <c:v>176.70000000000002</c:v>
                </c:pt>
                <c:pt idx="7">
                  <c:v>173.3</c:v>
                </c:pt>
                <c:pt idx="8">
                  <c:v>186.7</c:v>
                </c:pt>
                <c:pt idx="9">
                  <c:v>170.00000000000003</c:v>
                </c:pt>
                <c:pt idx="10">
                  <c:v>173.3</c:v>
                </c:pt>
                <c:pt idx="11">
                  <c:v>156.69999999999999</c:v>
                </c:pt>
                <c:pt idx="12">
                  <c:v>176.70000000000002</c:v>
                </c:pt>
                <c:pt idx="13">
                  <c:v>176.70000000000002</c:v>
                </c:pt>
                <c:pt idx="14">
                  <c:v>196.70000000000002</c:v>
                </c:pt>
                <c:pt idx="15">
                  <c:v>206.70000000000002</c:v>
                </c:pt>
                <c:pt idx="16">
                  <c:v>206.70000000000002</c:v>
                </c:pt>
                <c:pt idx="17">
                  <c:v>206.70000000000002</c:v>
                </c:pt>
                <c:pt idx="18">
                  <c:v>196.70000000000002</c:v>
                </c:pt>
                <c:pt idx="19">
                  <c:v>200</c:v>
                </c:pt>
                <c:pt idx="20">
                  <c:v>210</c:v>
                </c:pt>
                <c:pt idx="21">
                  <c:v>196.70000000000002</c:v>
                </c:pt>
                <c:pt idx="22">
                  <c:v>200</c:v>
                </c:pt>
                <c:pt idx="23">
                  <c:v>203.29999999999998</c:v>
                </c:pt>
                <c:pt idx="24">
                  <c:v>203.29999999999998</c:v>
                </c:pt>
                <c:pt idx="25">
                  <c:v>213.3</c:v>
                </c:pt>
                <c:pt idx="26">
                  <c:v>223.3</c:v>
                </c:pt>
                <c:pt idx="27">
                  <c:v>210</c:v>
                </c:pt>
                <c:pt idx="28">
                  <c:v>216.7</c:v>
                </c:pt>
                <c:pt idx="29">
                  <c:v>219.99999999999997</c:v>
                </c:pt>
                <c:pt idx="30">
                  <c:v>203.29999999999998</c:v>
                </c:pt>
                <c:pt idx="31">
                  <c:v>223.3</c:v>
                </c:pt>
                <c:pt idx="32">
                  <c:v>215.60000000000002</c:v>
                </c:pt>
                <c:pt idx="33">
                  <c:v>213.3</c:v>
                </c:pt>
                <c:pt idx="34">
                  <c:v>218.9</c:v>
                </c:pt>
                <c:pt idx="35">
                  <c:v>213.3</c:v>
                </c:pt>
                <c:pt idx="36">
                  <c:v>214.4</c:v>
                </c:pt>
                <c:pt idx="37">
                  <c:v>214.4</c:v>
                </c:pt>
                <c:pt idx="38">
                  <c:v>225.60000000000002</c:v>
                </c:pt>
                <c:pt idx="39">
                  <c:v>231.1</c:v>
                </c:pt>
                <c:pt idx="40">
                  <c:v>237.8</c:v>
                </c:pt>
                <c:pt idx="41">
                  <c:v>232.20000000000002</c:v>
                </c:pt>
                <c:pt idx="42">
                  <c:v>231.1</c:v>
                </c:pt>
                <c:pt idx="43">
                  <c:v>234.39999999999998</c:v>
                </c:pt>
                <c:pt idx="44">
                  <c:v>237.8</c:v>
                </c:pt>
                <c:pt idx="45">
                  <c:v>240</c:v>
                </c:pt>
                <c:pt idx="46">
                  <c:v>241.1</c:v>
                </c:pt>
                <c:pt idx="47">
                  <c:v>240</c:v>
                </c:pt>
                <c:pt idx="48">
                  <c:v>233.3</c:v>
                </c:pt>
                <c:pt idx="49">
                  <c:v>226.7</c:v>
                </c:pt>
                <c:pt idx="50">
                  <c:v>228.9</c:v>
                </c:pt>
                <c:pt idx="51">
                  <c:v>228.9</c:v>
                </c:pt>
                <c:pt idx="52">
                  <c:v>228.9</c:v>
                </c:pt>
                <c:pt idx="53">
                  <c:v>226.7</c:v>
                </c:pt>
                <c:pt idx="54">
                  <c:v>231.1</c:v>
                </c:pt>
              </c:numCache>
            </c:numRef>
          </c:yVal>
          <c:smooth val="0"/>
          <c:extLst>
            <c:ext xmlns:c16="http://schemas.microsoft.com/office/drawing/2014/chart" uri="{C3380CC4-5D6E-409C-BE32-E72D297353CC}">
              <c16:uniqueId val="{00000002-FFDB-458D-BC01-518C377E69BB}"/>
            </c:ext>
          </c:extLst>
        </c:ser>
        <c:ser>
          <c:idx val="6"/>
          <c:order val="3"/>
          <c:tx>
            <c:strRef>
              <c:f>'Measured shrinkage'!$A$1057</c:f>
              <c:strCache>
                <c:ptCount val="1"/>
                <c:pt idx="0">
                  <c:v>22</c:v>
                </c:pt>
              </c:strCache>
            </c:strRef>
          </c:tx>
          <c:spPr>
            <a:ln w="25400" cap="rnd">
              <a:noFill/>
              <a:round/>
            </a:ln>
            <a:effectLst/>
          </c:spPr>
          <c:marker>
            <c:symbol val="circle"/>
            <c:size val="4"/>
            <c:spPr>
              <a:solidFill>
                <a:schemeClr val="accent1">
                  <a:lumMod val="60000"/>
                </a:schemeClr>
              </a:solidFill>
              <a:ln w="9525">
                <a:solidFill>
                  <a:schemeClr val="accent1">
                    <a:lumMod val="60000"/>
                  </a:schemeClr>
                </a:solidFill>
              </a:ln>
              <a:effectLst/>
            </c:spPr>
          </c:marker>
          <c:xVal>
            <c:numRef>
              <c:f>'Measured shrinkage'!$B$1057:$B$1111</c:f>
              <c:numCache>
                <c:formatCode>0</c:formatCode>
                <c:ptCount val="55"/>
                <c:pt idx="0">
                  <c:v>0</c:v>
                </c:pt>
                <c:pt idx="1">
                  <c:v>8</c:v>
                </c:pt>
                <c:pt idx="2">
                  <c:v>15</c:v>
                </c:pt>
                <c:pt idx="3">
                  <c:v>22</c:v>
                </c:pt>
                <c:pt idx="4">
                  <c:v>28</c:v>
                </c:pt>
                <c:pt idx="5">
                  <c:v>33</c:v>
                </c:pt>
                <c:pt idx="6">
                  <c:v>49</c:v>
                </c:pt>
                <c:pt idx="7">
                  <c:v>61</c:v>
                </c:pt>
                <c:pt idx="8">
                  <c:v>82</c:v>
                </c:pt>
                <c:pt idx="9">
                  <c:v>89</c:v>
                </c:pt>
                <c:pt idx="10">
                  <c:v>97</c:v>
                </c:pt>
                <c:pt idx="11">
                  <c:v>110</c:v>
                </c:pt>
                <c:pt idx="12">
                  <c:v>117</c:v>
                </c:pt>
                <c:pt idx="13">
                  <c:v>124</c:v>
                </c:pt>
                <c:pt idx="14">
                  <c:v>131</c:v>
                </c:pt>
                <c:pt idx="15">
                  <c:v>138</c:v>
                </c:pt>
                <c:pt idx="16">
                  <c:v>145</c:v>
                </c:pt>
                <c:pt idx="17">
                  <c:v>152</c:v>
                </c:pt>
                <c:pt idx="18">
                  <c:v>159</c:v>
                </c:pt>
                <c:pt idx="19">
                  <c:v>166</c:v>
                </c:pt>
                <c:pt idx="20">
                  <c:v>173</c:v>
                </c:pt>
                <c:pt idx="21">
                  <c:v>180</c:v>
                </c:pt>
                <c:pt idx="22">
                  <c:v>187</c:v>
                </c:pt>
                <c:pt idx="23">
                  <c:v>243</c:v>
                </c:pt>
                <c:pt idx="24">
                  <c:v>304</c:v>
                </c:pt>
                <c:pt idx="25">
                  <c:v>363</c:v>
                </c:pt>
                <c:pt idx="26">
                  <c:v>424</c:v>
                </c:pt>
                <c:pt idx="27">
                  <c:v>485</c:v>
                </c:pt>
                <c:pt idx="28">
                  <c:v>547</c:v>
                </c:pt>
                <c:pt idx="29">
                  <c:v>608</c:v>
                </c:pt>
                <c:pt idx="30">
                  <c:v>669</c:v>
                </c:pt>
                <c:pt idx="31">
                  <c:v>729</c:v>
                </c:pt>
                <c:pt idx="32">
                  <c:v>1131</c:v>
                </c:pt>
                <c:pt idx="33">
                  <c:v>1159</c:v>
                </c:pt>
                <c:pt idx="34">
                  <c:v>1220</c:v>
                </c:pt>
                <c:pt idx="35">
                  <c:v>1285</c:v>
                </c:pt>
                <c:pt idx="36">
                  <c:v>1359</c:v>
                </c:pt>
                <c:pt idx="37">
                  <c:v>1418</c:v>
                </c:pt>
                <c:pt idx="38">
                  <c:v>1517</c:v>
                </c:pt>
                <c:pt idx="39">
                  <c:v>1608</c:v>
                </c:pt>
                <c:pt idx="40">
                  <c:v>1700</c:v>
                </c:pt>
                <c:pt idx="41">
                  <c:v>1792</c:v>
                </c:pt>
                <c:pt idx="42">
                  <c:v>1923</c:v>
                </c:pt>
                <c:pt idx="43">
                  <c:v>2014</c:v>
                </c:pt>
                <c:pt idx="44">
                  <c:v>2117</c:v>
                </c:pt>
                <c:pt idx="45">
                  <c:v>2215</c:v>
                </c:pt>
                <c:pt idx="46">
                  <c:v>2321</c:v>
                </c:pt>
                <c:pt idx="47">
                  <c:v>2484</c:v>
                </c:pt>
                <c:pt idx="48">
                  <c:v>2594</c:v>
                </c:pt>
                <c:pt idx="49">
                  <c:v>2748</c:v>
                </c:pt>
                <c:pt idx="50">
                  <c:v>2863</c:v>
                </c:pt>
                <c:pt idx="51">
                  <c:v>2967</c:v>
                </c:pt>
                <c:pt idx="52">
                  <c:v>3049</c:v>
                </c:pt>
                <c:pt idx="53">
                  <c:v>3212</c:v>
                </c:pt>
                <c:pt idx="54">
                  <c:v>3298</c:v>
                </c:pt>
              </c:numCache>
            </c:numRef>
          </c:xVal>
          <c:yVal>
            <c:numRef>
              <c:f>'Measured shrinkage'!$C$1057:$C$1111</c:f>
              <c:numCache>
                <c:formatCode>0</c:formatCode>
                <c:ptCount val="55"/>
                <c:pt idx="0">
                  <c:v>0</c:v>
                </c:pt>
                <c:pt idx="1">
                  <c:v>53.29999999999999</c:v>
                </c:pt>
                <c:pt idx="2">
                  <c:v>76.7</c:v>
                </c:pt>
                <c:pt idx="3">
                  <c:v>93.3</c:v>
                </c:pt>
                <c:pt idx="4">
                  <c:v>116.7</c:v>
                </c:pt>
                <c:pt idx="5">
                  <c:v>113.3</c:v>
                </c:pt>
                <c:pt idx="6">
                  <c:v>176.70000000000002</c:v>
                </c:pt>
                <c:pt idx="7">
                  <c:v>156.69999999999999</c:v>
                </c:pt>
                <c:pt idx="8">
                  <c:v>196.70000000000002</c:v>
                </c:pt>
                <c:pt idx="9">
                  <c:v>183.29999999999998</c:v>
                </c:pt>
                <c:pt idx="10">
                  <c:v>186.7</c:v>
                </c:pt>
                <c:pt idx="11">
                  <c:v>170.00000000000003</c:v>
                </c:pt>
                <c:pt idx="12">
                  <c:v>176.70000000000002</c:v>
                </c:pt>
                <c:pt idx="13">
                  <c:v>176.70000000000002</c:v>
                </c:pt>
                <c:pt idx="14">
                  <c:v>196.70000000000002</c:v>
                </c:pt>
                <c:pt idx="15">
                  <c:v>196.70000000000002</c:v>
                </c:pt>
                <c:pt idx="16">
                  <c:v>200</c:v>
                </c:pt>
                <c:pt idx="17">
                  <c:v>196.70000000000002</c:v>
                </c:pt>
                <c:pt idx="18">
                  <c:v>179.99999999999997</c:v>
                </c:pt>
                <c:pt idx="19">
                  <c:v>186.7</c:v>
                </c:pt>
                <c:pt idx="20">
                  <c:v>203.29999999999998</c:v>
                </c:pt>
                <c:pt idx="21">
                  <c:v>186.7</c:v>
                </c:pt>
                <c:pt idx="22">
                  <c:v>190</c:v>
                </c:pt>
                <c:pt idx="23">
                  <c:v>200</c:v>
                </c:pt>
                <c:pt idx="24">
                  <c:v>210</c:v>
                </c:pt>
                <c:pt idx="25">
                  <c:v>210</c:v>
                </c:pt>
                <c:pt idx="26">
                  <c:v>216.7</c:v>
                </c:pt>
                <c:pt idx="27">
                  <c:v>213.3</c:v>
                </c:pt>
                <c:pt idx="28">
                  <c:v>193.3</c:v>
                </c:pt>
                <c:pt idx="29">
                  <c:v>206.70000000000002</c:v>
                </c:pt>
                <c:pt idx="30">
                  <c:v>200</c:v>
                </c:pt>
                <c:pt idx="31">
                  <c:v>210</c:v>
                </c:pt>
                <c:pt idx="32">
                  <c:v>205.6</c:v>
                </c:pt>
                <c:pt idx="33">
                  <c:v>217.44</c:v>
                </c:pt>
                <c:pt idx="34">
                  <c:v>222.2</c:v>
                </c:pt>
                <c:pt idx="35">
                  <c:v>223.3</c:v>
                </c:pt>
                <c:pt idx="36">
                  <c:v>215.60000000000002</c:v>
                </c:pt>
                <c:pt idx="37">
                  <c:v>221.10000000000002</c:v>
                </c:pt>
                <c:pt idx="38">
                  <c:v>216.7</c:v>
                </c:pt>
                <c:pt idx="39">
                  <c:v>213.3</c:v>
                </c:pt>
                <c:pt idx="40">
                  <c:v>218.9</c:v>
                </c:pt>
                <c:pt idx="41">
                  <c:v>221.10000000000002</c:v>
                </c:pt>
                <c:pt idx="42">
                  <c:v>213.3</c:v>
                </c:pt>
                <c:pt idx="43">
                  <c:v>226.7</c:v>
                </c:pt>
                <c:pt idx="44">
                  <c:v>229.99999999999997</c:v>
                </c:pt>
                <c:pt idx="45">
                  <c:v>228.9</c:v>
                </c:pt>
                <c:pt idx="46">
                  <c:v>225.60000000000002</c:v>
                </c:pt>
                <c:pt idx="47">
                  <c:v>226.7</c:v>
                </c:pt>
                <c:pt idx="48">
                  <c:v>226.7</c:v>
                </c:pt>
                <c:pt idx="49">
                  <c:v>226.7</c:v>
                </c:pt>
                <c:pt idx="50">
                  <c:v>212.2</c:v>
                </c:pt>
                <c:pt idx="51">
                  <c:v>212.2</c:v>
                </c:pt>
                <c:pt idx="52">
                  <c:v>212.2</c:v>
                </c:pt>
                <c:pt idx="53">
                  <c:v>211.10000000000002</c:v>
                </c:pt>
                <c:pt idx="54">
                  <c:v>206.70000000000002</c:v>
                </c:pt>
              </c:numCache>
            </c:numRef>
          </c:yVal>
          <c:smooth val="0"/>
          <c:extLst>
            <c:ext xmlns:c16="http://schemas.microsoft.com/office/drawing/2014/chart" uri="{C3380CC4-5D6E-409C-BE32-E72D297353CC}">
              <c16:uniqueId val="{00000003-FFDB-458D-BC01-518C377E69BB}"/>
            </c:ext>
          </c:extLst>
        </c:ser>
        <c:dLbls>
          <c:showLegendKey val="0"/>
          <c:showVal val="0"/>
          <c:showCatName val="0"/>
          <c:showSerName val="0"/>
          <c:showPercent val="0"/>
          <c:showBubbleSize val="0"/>
        </c:dLbls>
        <c:axId val="757711696"/>
        <c:axId val="757706776"/>
      </c:scatterChart>
      <c:valAx>
        <c:axId val="75771169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7236771253636343"/>
          <c:y val="0.64908174603174595"/>
          <c:w val="0.33172011858284645"/>
          <c:h val="0.18126190476190474"/>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S2-14: CEM II (B-M) - 0.33 w/cm - Granite - </a:t>
            </a:r>
          </a:p>
          <a:p>
            <a:pPr>
              <a:defRPr sz="1100">
                <a:solidFill>
                  <a:sysClr val="windowText" lastClr="000000"/>
                </a:solidFill>
              </a:defRPr>
            </a:pPr>
            <a:r>
              <a:rPr lang="en-US" sz="1100">
                <a:solidFill>
                  <a:sysClr val="windowText" lastClr="000000"/>
                </a:solidFill>
              </a:rPr>
              <a:t>&lt;1% Superplasticiser, &lt;0.5% Plasticiser, 1% SRA </a:t>
            </a:r>
          </a:p>
        </c:rich>
      </c:tx>
      <c:layout>
        <c:manualLayout>
          <c:xMode val="edge"/>
          <c:yMode val="edge"/>
          <c:x val="0.19268872412999183"/>
          <c:y val="4.6296405734750079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5641204022192207"/>
          <c:w val="0.77765091863517055"/>
          <c:h val="0.67968382112135373"/>
        </c:manualLayout>
      </c:layout>
      <c:scatterChart>
        <c:scatterStyle val="lineMarker"/>
        <c:varyColors val="0"/>
        <c:ser>
          <c:idx val="1"/>
          <c:order val="0"/>
          <c:tx>
            <c:strRef>
              <c:f>'Measured shrinkage'!$A$1273</c:f>
              <c:strCache>
                <c:ptCount val="1"/>
                <c:pt idx="0">
                  <c:v>27</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shrinkage'!$B$1273:$B$1327</c:f>
              <c:numCache>
                <c:formatCode>0</c:formatCode>
                <c:ptCount val="55"/>
                <c:pt idx="0">
                  <c:v>0</c:v>
                </c:pt>
                <c:pt idx="1">
                  <c:v>6</c:v>
                </c:pt>
                <c:pt idx="2">
                  <c:v>15</c:v>
                </c:pt>
                <c:pt idx="3">
                  <c:v>24</c:v>
                </c:pt>
                <c:pt idx="4">
                  <c:v>32</c:v>
                </c:pt>
                <c:pt idx="5">
                  <c:v>57</c:v>
                </c:pt>
                <c:pt idx="6">
                  <c:v>64</c:v>
                </c:pt>
                <c:pt idx="7">
                  <c:v>72</c:v>
                </c:pt>
                <c:pt idx="8">
                  <c:v>85</c:v>
                </c:pt>
                <c:pt idx="9">
                  <c:v>92</c:v>
                </c:pt>
                <c:pt idx="10">
                  <c:v>99</c:v>
                </c:pt>
                <c:pt idx="11">
                  <c:v>106</c:v>
                </c:pt>
                <c:pt idx="12">
                  <c:v>113</c:v>
                </c:pt>
                <c:pt idx="13">
                  <c:v>120</c:v>
                </c:pt>
                <c:pt idx="14">
                  <c:v>127</c:v>
                </c:pt>
                <c:pt idx="15">
                  <c:v>134</c:v>
                </c:pt>
                <c:pt idx="16">
                  <c:v>141</c:v>
                </c:pt>
                <c:pt idx="17">
                  <c:v>148</c:v>
                </c:pt>
                <c:pt idx="18">
                  <c:v>155</c:v>
                </c:pt>
                <c:pt idx="19">
                  <c:v>162</c:v>
                </c:pt>
                <c:pt idx="20">
                  <c:v>169</c:v>
                </c:pt>
                <c:pt idx="21">
                  <c:v>176</c:v>
                </c:pt>
                <c:pt idx="22">
                  <c:v>192</c:v>
                </c:pt>
                <c:pt idx="23">
                  <c:v>244</c:v>
                </c:pt>
                <c:pt idx="24">
                  <c:v>306</c:v>
                </c:pt>
                <c:pt idx="25">
                  <c:v>365</c:v>
                </c:pt>
                <c:pt idx="26">
                  <c:v>426</c:v>
                </c:pt>
                <c:pt idx="27">
                  <c:v>487</c:v>
                </c:pt>
                <c:pt idx="28">
                  <c:v>548</c:v>
                </c:pt>
                <c:pt idx="29">
                  <c:v>609</c:v>
                </c:pt>
                <c:pt idx="30">
                  <c:v>671</c:v>
                </c:pt>
                <c:pt idx="31">
                  <c:v>731</c:v>
                </c:pt>
                <c:pt idx="32">
                  <c:v>1104</c:v>
                </c:pt>
                <c:pt idx="33">
                  <c:v>1132</c:v>
                </c:pt>
                <c:pt idx="34">
                  <c:v>1193</c:v>
                </c:pt>
                <c:pt idx="35">
                  <c:v>1258</c:v>
                </c:pt>
                <c:pt idx="36">
                  <c:v>1332</c:v>
                </c:pt>
                <c:pt idx="37">
                  <c:v>1391</c:v>
                </c:pt>
                <c:pt idx="38">
                  <c:v>1490</c:v>
                </c:pt>
                <c:pt idx="39">
                  <c:v>1581</c:v>
                </c:pt>
                <c:pt idx="40">
                  <c:v>1673</c:v>
                </c:pt>
                <c:pt idx="41">
                  <c:v>1765</c:v>
                </c:pt>
                <c:pt idx="42">
                  <c:v>1896</c:v>
                </c:pt>
                <c:pt idx="43">
                  <c:v>1987</c:v>
                </c:pt>
                <c:pt idx="44">
                  <c:v>2090</c:v>
                </c:pt>
                <c:pt idx="45">
                  <c:v>2188</c:v>
                </c:pt>
                <c:pt idx="46">
                  <c:v>2294</c:v>
                </c:pt>
                <c:pt idx="47">
                  <c:v>2457</c:v>
                </c:pt>
                <c:pt idx="48">
                  <c:v>2567</c:v>
                </c:pt>
                <c:pt idx="49">
                  <c:v>2721</c:v>
                </c:pt>
                <c:pt idx="50">
                  <c:v>2836</c:v>
                </c:pt>
                <c:pt idx="51">
                  <c:v>2940</c:v>
                </c:pt>
                <c:pt idx="52">
                  <c:v>3022</c:v>
                </c:pt>
                <c:pt idx="53">
                  <c:v>3185</c:v>
                </c:pt>
                <c:pt idx="54">
                  <c:v>3271</c:v>
                </c:pt>
              </c:numCache>
            </c:numRef>
          </c:xVal>
          <c:yVal>
            <c:numRef>
              <c:f>'Measured shrinkage'!$C$1273:$C$1327</c:f>
              <c:numCache>
                <c:formatCode>0</c:formatCode>
                <c:ptCount val="55"/>
                <c:pt idx="0">
                  <c:v>0</c:v>
                </c:pt>
                <c:pt idx="1">
                  <c:v>136.69999999999999</c:v>
                </c:pt>
                <c:pt idx="2">
                  <c:v>126.70000000000002</c:v>
                </c:pt>
                <c:pt idx="3">
                  <c:v>160</c:v>
                </c:pt>
                <c:pt idx="4">
                  <c:v>190</c:v>
                </c:pt>
                <c:pt idx="5">
                  <c:v>240</c:v>
                </c:pt>
                <c:pt idx="6">
                  <c:v>236.7</c:v>
                </c:pt>
                <c:pt idx="7">
                  <c:v>250</c:v>
                </c:pt>
                <c:pt idx="8">
                  <c:v>236.7</c:v>
                </c:pt>
                <c:pt idx="9">
                  <c:v>236.7</c:v>
                </c:pt>
                <c:pt idx="10">
                  <c:v>243.30000000000004</c:v>
                </c:pt>
                <c:pt idx="11">
                  <c:v>276.7</c:v>
                </c:pt>
                <c:pt idx="12">
                  <c:v>293.29999999999995</c:v>
                </c:pt>
                <c:pt idx="13">
                  <c:v>280</c:v>
                </c:pt>
                <c:pt idx="14">
                  <c:v>270</c:v>
                </c:pt>
                <c:pt idx="15">
                  <c:v>266.7</c:v>
                </c:pt>
                <c:pt idx="16">
                  <c:v>266.7</c:v>
                </c:pt>
                <c:pt idx="17">
                  <c:v>283.3</c:v>
                </c:pt>
                <c:pt idx="18">
                  <c:v>263.3</c:v>
                </c:pt>
                <c:pt idx="19">
                  <c:v>266.7</c:v>
                </c:pt>
                <c:pt idx="20">
                  <c:v>266.7</c:v>
                </c:pt>
                <c:pt idx="21">
                  <c:v>280</c:v>
                </c:pt>
                <c:pt idx="22">
                  <c:v>283.3</c:v>
                </c:pt>
                <c:pt idx="23">
                  <c:v>276.7</c:v>
                </c:pt>
                <c:pt idx="24">
                  <c:v>276.7</c:v>
                </c:pt>
                <c:pt idx="25">
                  <c:v>283.3</c:v>
                </c:pt>
                <c:pt idx="26">
                  <c:v>293.29999999999995</c:v>
                </c:pt>
                <c:pt idx="27">
                  <c:v>276.7</c:v>
                </c:pt>
                <c:pt idx="28">
                  <c:v>293.29999999999995</c:v>
                </c:pt>
                <c:pt idx="29">
                  <c:v>290.00000000000006</c:v>
                </c:pt>
                <c:pt idx="30">
                  <c:v>263.3</c:v>
                </c:pt>
                <c:pt idx="31">
                  <c:v>283.3</c:v>
                </c:pt>
                <c:pt idx="32">
                  <c:v>290.00000000000006</c:v>
                </c:pt>
                <c:pt idx="33">
                  <c:v>272.2</c:v>
                </c:pt>
                <c:pt idx="34">
                  <c:v>291.10000000000002</c:v>
                </c:pt>
                <c:pt idx="35">
                  <c:v>288.3</c:v>
                </c:pt>
                <c:pt idx="36">
                  <c:v>272.79999999999995</c:v>
                </c:pt>
                <c:pt idx="37">
                  <c:v>285.70000000000005</c:v>
                </c:pt>
                <c:pt idx="38">
                  <c:v>286.60000000000002</c:v>
                </c:pt>
                <c:pt idx="39">
                  <c:v>288.89999999999998</c:v>
                </c:pt>
                <c:pt idx="40">
                  <c:v>294.39999999999998</c:v>
                </c:pt>
                <c:pt idx="41">
                  <c:v>291.10000000000002</c:v>
                </c:pt>
                <c:pt idx="42">
                  <c:v>290.00000000000006</c:v>
                </c:pt>
                <c:pt idx="43">
                  <c:v>290.00000000000006</c:v>
                </c:pt>
                <c:pt idx="44">
                  <c:v>294.39999999999998</c:v>
                </c:pt>
                <c:pt idx="45">
                  <c:v>300</c:v>
                </c:pt>
                <c:pt idx="46">
                  <c:v>293.29999999999995</c:v>
                </c:pt>
                <c:pt idx="47">
                  <c:v>303.3</c:v>
                </c:pt>
                <c:pt idx="48">
                  <c:v>293.29999999999995</c:v>
                </c:pt>
                <c:pt idx="49">
                  <c:v>293.29999999999995</c:v>
                </c:pt>
                <c:pt idx="50">
                  <c:v>292.2</c:v>
                </c:pt>
                <c:pt idx="51">
                  <c:v>292.2</c:v>
                </c:pt>
                <c:pt idx="52">
                  <c:v>292.2</c:v>
                </c:pt>
                <c:pt idx="53">
                  <c:v>292</c:v>
                </c:pt>
                <c:pt idx="54">
                  <c:v>292.2</c:v>
                </c:pt>
              </c:numCache>
            </c:numRef>
          </c:yVal>
          <c:smooth val="0"/>
          <c:extLst>
            <c:ext xmlns:c16="http://schemas.microsoft.com/office/drawing/2014/chart" uri="{C3380CC4-5D6E-409C-BE32-E72D297353CC}">
              <c16:uniqueId val="{00000000-B5EF-45C4-B364-BF11FBEFAB3F}"/>
            </c:ext>
          </c:extLst>
        </c:ser>
        <c:ser>
          <c:idx val="3"/>
          <c:order val="1"/>
          <c:tx>
            <c:strRef>
              <c:f>'Measured shrinkage'!$A$1328</c:f>
              <c:strCache>
                <c:ptCount val="1"/>
                <c:pt idx="0">
                  <c:v>28</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shrinkage'!$B$1328:$B$1382</c:f>
              <c:numCache>
                <c:formatCode>0</c:formatCode>
                <c:ptCount val="55"/>
                <c:pt idx="0">
                  <c:v>0</c:v>
                </c:pt>
                <c:pt idx="1">
                  <c:v>7</c:v>
                </c:pt>
                <c:pt idx="2">
                  <c:v>13</c:v>
                </c:pt>
                <c:pt idx="3">
                  <c:v>18</c:v>
                </c:pt>
                <c:pt idx="4">
                  <c:v>27</c:v>
                </c:pt>
                <c:pt idx="5">
                  <c:v>36</c:v>
                </c:pt>
                <c:pt idx="6">
                  <c:v>48</c:v>
                </c:pt>
                <c:pt idx="7">
                  <c:v>69</c:v>
                </c:pt>
                <c:pt idx="8">
                  <c:v>76</c:v>
                </c:pt>
                <c:pt idx="9">
                  <c:v>84</c:v>
                </c:pt>
                <c:pt idx="10">
                  <c:v>97</c:v>
                </c:pt>
                <c:pt idx="11">
                  <c:v>104</c:v>
                </c:pt>
                <c:pt idx="12">
                  <c:v>111</c:v>
                </c:pt>
                <c:pt idx="13">
                  <c:v>118</c:v>
                </c:pt>
                <c:pt idx="14">
                  <c:v>125</c:v>
                </c:pt>
                <c:pt idx="15">
                  <c:v>132</c:v>
                </c:pt>
                <c:pt idx="16">
                  <c:v>139</c:v>
                </c:pt>
                <c:pt idx="17">
                  <c:v>146</c:v>
                </c:pt>
                <c:pt idx="18">
                  <c:v>153</c:v>
                </c:pt>
                <c:pt idx="19">
                  <c:v>160</c:v>
                </c:pt>
                <c:pt idx="20">
                  <c:v>167</c:v>
                </c:pt>
                <c:pt idx="21">
                  <c:v>174</c:v>
                </c:pt>
                <c:pt idx="22">
                  <c:v>181</c:v>
                </c:pt>
                <c:pt idx="23">
                  <c:v>242</c:v>
                </c:pt>
                <c:pt idx="24">
                  <c:v>303</c:v>
                </c:pt>
                <c:pt idx="25">
                  <c:v>362</c:v>
                </c:pt>
                <c:pt idx="26">
                  <c:v>423</c:v>
                </c:pt>
                <c:pt idx="27">
                  <c:v>484</c:v>
                </c:pt>
                <c:pt idx="28">
                  <c:v>546</c:v>
                </c:pt>
                <c:pt idx="29">
                  <c:v>607</c:v>
                </c:pt>
                <c:pt idx="30">
                  <c:v>668</c:v>
                </c:pt>
                <c:pt idx="31">
                  <c:v>728</c:v>
                </c:pt>
                <c:pt idx="32">
                  <c:v>1116</c:v>
                </c:pt>
                <c:pt idx="33">
                  <c:v>1144</c:v>
                </c:pt>
                <c:pt idx="34">
                  <c:v>1205</c:v>
                </c:pt>
                <c:pt idx="35">
                  <c:v>1270</c:v>
                </c:pt>
                <c:pt idx="36">
                  <c:v>1344</c:v>
                </c:pt>
                <c:pt idx="37">
                  <c:v>1403</c:v>
                </c:pt>
                <c:pt idx="38">
                  <c:v>1502</c:v>
                </c:pt>
                <c:pt idx="39">
                  <c:v>1593</c:v>
                </c:pt>
                <c:pt idx="40">
                  <c:v>1685</c:v>
                </c:pt>
                <c:pt idx="41">
                  <c:v>1777</c:v>
                </c:pt>
                <c:pt idx="42">
                  <c:v>1908</c:v>
                </c:pt>
                <c:pt idx="43">
                  <c:v>1999</c:v>
                </c:pt>
                <c:pt idx="44">
                  <c:v>2102</c:v>
                </c:pt>
                <c:pt idx="45">
                  <c:v>2200</c:v>
                </c:pt>
                <c:pt idx="46">
                  <c:v>2306</c:v>
                </c:pt>
                <c:pt idx="47">
                  <c:v>2469</c:v>
                </c:pt>
                <c:pt idx="48">
                  <c:v>2579</c:v>
                </c:pt>
                <c:pt idx="49">
                  <c:v>2733</c:v>
                </c:pt>
                <c:pt idx="50">
                  <c:v>2848</c:v>
                </c:pt>
                <c:pt idx="51">
                  <c:v>2952</c:v>
                </c:pt>
                <c:pt idx="52">
                  <c:v>3041</c:v>
                </c:pt>
                <c:pt idx="53">
                  <c:v>3204</c:v>
                </c:pt>
                <c:pt idx="54">
                  <c:v>3290</c:v>
                </c:pt>
              </c:numCache>
            </c:numRef>
          </c:xVal>
          <c:yVal>
            <c:numRef>
              <c:f>'Measured shrinkage'!$C$1328:$C$1382</c:f>
              <c:numCache>
                <c:formatCode>0</c:formatCode>
                <c:ptCount val="55"/>
                <c:pt idx="0">
                  <c:v>0</c:v>
                </c:pt>
                <c:pt idx="1">
                  <c:v>50</c:v>
                </c:pt>
                <c:pt idx="2">
                  <c:v>73.3</c:v>
                </c:pt>
                <c:pt idx="3">
                  <c:v>100</c:v>
                </c:pt>
                <c:pt idx="4">
                  <c:v>83.300000000000011</c:v>
                </c:pt>
                <c:pt idx="5">
                  <c:v>116.7</c:v>
                </c:pt>
                <c:pt idx="6">
                  <c:v>160</c:v>
                </c:pt>
                <c:pt idx="7">
                  <c:v>170.00000000000003</c:v>
                </c:pt>
                <c:pt idx="8">
                  <c:v>170.00000000000003</c:v>
                </c:pt>
                <c:pt idx="9">
                  <c:v>170.00000000000003</c:v>
                </c:pt>
                <c:pt idx="10">
                  <c:v>173.3</c:v>
                </c:pt>
                <c:pt idx="11">
                  <c:v>173.3</c:v>
                </c:pt>
                <c:pt idx="12">
                  <c:v>183.29999999999998</c:v>
                </c:pt>
                <c:pt idx="13">
                  <c:v>203.29999999999998</c:v>
                </c:pt>
                <c:pt idx="14">
                  <c:v>203.29999999999998</c:v>
                </c:pt>
                <c:pt idx="15">
                  <c:v>193.3</c:v>
                </c:pt>
                <c:pt idx="16">
                  <c:v>193.3</c:v>
                </c:pt>
                <c:pt idx="17">
                  <c:v>196.70000000000002</c:v>
                </c:pt>
                <c:pt idx="18">
                  <c:v>193.3</c:v>
                </c:pt>
                <c:pt idx="19">
                  <c:v>206.70000000000002</c:v>
                </c:pt>
                <c:pt idx="20">
                  <c:v>196.70000000000002</c:v>
                </c:pt>
                <c:pt idx="21">
                  <c:v>196.70000000000002</c:v>
                </c:pt>
                <c:pt idx="22">
                  <c:v>190</c:v>
                </c:pt>
                <c:pt idx="23">
                  <c:v>200</c:v>
                </c:pt>
                <c:pt idx="24">
                  <c:v>206.70000000000002</c:v>
                </c:pt>
                <c:pt idx="25">
                  <c:v>213.3</c:v>
                </c:pt>
                <c:pt idx="26">
                  <c:v>223.3</c:v>
                </c:pt>
                <c:pt idx="27">
                  <c:v>193.3</c:v>
                </c:pt>
                <c:pt idx="28">
                  <c:v>223.3</c:v>
                </c:pt>
                <c:pt idx="29">
                  <c:v>206.70000000000002</c:v>
                </c:pt>
                <c:pt idx="30">
                  <c:v>190</c:v>
                </c:pt>
                <c:pt idx="31">
                  <c:v>200</c:v>
                </c:pt>
                <c:pt idx="32">
                  <c:v>213.3</c:v>
                </c:pt>
                <c:pt idx="33">
                  <c:v>200</c:v>
                </c:pt>
                <c:pt idx="34">
                  <c:v>208.9</c:v>
                </c:pt>
                <c:pt idx="35">
                  <c:v>206.70000000000002</c:v>
                </c:pt>
                <c:pt idx="36">
                  <c:v>210</c:v>
                </c:pt>
                <c:pt idx="37">
                  <c:v>206.70000000000002</c:v>
                </c:pt>
                <c:pt idx="38">
                  <c:v>212.2</c:v>
                </c:pt>
                <c:pt idx="39">
                  <c:v>213.3</c:v>
                </c:pt>
                <c:pt idx="40">
                  <c:v>213.3</c:v>
                </c:pt>
                <c:pt idx="41">
                  <c:v>214.4</c:v>
                </c:pt>
                <c:pt idx="42">
                  <c:v>217.79999999999998</c:v>
                </c:pt>
                <c:pt idx="43">
                  <c:v>212.2</c:v>
                </c:pt>
                <c:pt idx="44">
                  <c:v>212.2</c:v>
                </c:pt>
                <c:pt idx="45">
                  <c:v>210</c:v>
                </c:pt>
                <c:pt idx="46">
                  <c:v>217.79999999999998</c:v>
                </c:pt>
                <c:pt idx="47">
                  <c:v>213.3</c:v>
                </c:pt>
                <c:pt idx="48">
                  <c:v>216.7</c:v>
                </c:pt>
                <c:pt idx="49">
                  <c:v>216.7</c:v>
                </c:pt>
                <c:pt idx="50">
                  <c:v>205.6</c:v>
                </c:pt>
                <c:pt idx="51">
                  <c:v>205.6</c:v>
                </c:pt>
                <c:pt idx="52">
                  <c:v>205.6</c:v>
                </c:pt>
                <c:pt idx="53">
                  <c:v>207.79999999999998</c:v>
                </c:pt>
                <c:pt idx="54">
                  <c:v>204.4</c:v>
                </c:pt>
              </c:numCache>
            </c:numRef>
          </c:yVal>
          <c:smooth val="0"/>
          <c:extLst>
            <c:ext xmlns:c16="http://schemas.microsoft.com/office/drawing/2014/chart" uri="{C3380CC4-5D6E-409C-BE32-E72D297353CC}">
              <c16:uniqueId val="{00000001-B5EF-45C4-B364-BF11FBEFAB3F}"/>
            </c:ext>
          </c:extLst>
        </c:ser>
        <c:ser>
          <c:idx val="4"/>
          <c:order val="2"/>
          <c:tx>
            <c:strRef>
              <c:f>'Measured shrinkage'!$A$1383</c:f>
              <c:strCache>
                <c:ptCount val="1"/>
                <c:pt idx="0">
                  <c:v>29</c:v>
                </c:pt>
              </c:strCache>
            </c:strRef>
          </c:tx>
          <c:spPr>
            <a:ln w="25400" cap="rnd">
              <a:noFill/>
              <a:round/>
            </a:ln>
            <a:effectLst/>
          </c:spPr>
          <c:marker>
            <c:symbol val="circle"/>
            <c:size val="4"/>
            <c:spPr>
              <a:solidFill>
                <a:schemeClr val="accent5"/>
              </a:solidFill>
              <a:ln w="9525">
                <a:solidFill>
                  <a:schemeClr val="accent5"/>
                </a:solidFill>
              </a:ln>
              <a:effectLst/>
            </c:spPr>
          </c:marker>
          <c:xVal>
            <c:numRef>
              <c:f>'Measured shrinkage'!$B$1383:$B$1436</c:f>
              <c:numCache>
                <c:formatCode>0</c:formatCode>
                <c:ptCount val="54"/>
                <c:pt idx="0">
                  <c:v>0</c:v>
                </c:pt>
                <c:pt idx="1">
                  <c:v>6</c:v>
                </c:pt>
                <c:pt idx="2">
                  <c:v>14</c:v>
                </c:pt>
                <c:pt idx="3">
                  <c:v>20</c:v>
                </c:pt>
                <c:pt idx="4">
                  <c:v>29</c:v>
                </c:pt>
                <c:pt idx="5">
                  <c:v>38</c:v>
                </c:pt>
                <c:pt idx="6">
                  <c:v>46</c:v>
                </c:pt>
                <c:pt idx="7">
                  <c:v>71</c:v>
                </c:pt>
                <c:pt idx="8">
                  <c:v>77</c:v>
                </c:pt>
                <c:pt idx="9">
                  <c:v>85</c:v>
                </c:pt>
                <c:pt idx="10">
                  <c:v>98</c:v>
                </c:pt>
                <c:pt idx="11">
                  <c:v>105</c:v>
                </c:pt>
                <c:pt idx="12">
                  <c:v>112</c:v>
                </c:pt>
                <c:pt idx="13">
                  <c:v>119</c:v>
                </c:pt>
                <c:pt idx="14">
                  <c:v>126</c:v>
                </c:pt>
                <c:pt idx="15">
                  <c:v>133</c:v>
                </c:pt>
                <c:pt idx="16">
                  <c:v>140</c:v>
                </c:pt>
                <c:pt idx="17">
                  <c:v>147</c:v>
                </c:pt>
                <c:pt idx="18">
                  <c:v>154</c:v>
                </c:pt>
                <c:pt idx="19">
                  <c:v>163</c:v>
                </c:pt>
                <c:pt idx="20">
                  <c:v>170</c:v>
                </c:pt>
                <c:pt idx="21">
                  <c:v>177</c:v>
                </c:pt>
                <c:pt idx="22">
                  <c:v>184</c:v>
                </c:pt>
                <c:pt idx="23">
                  <c:v>244</c:v>
                </c:pt>
                <c:pt idx="24">
                  <c:v>305</c:v>
                </c:pt>
                <c:pt idx="25">
                  <c:v>364</c:v>
                </c:pt>
                <c:pt idx="26">
                  <c:v>425</c:v>
                </c:pt>
                <c:pt idx="27">
                  <c:v>486</c:v>
                </c:pt>
                <c:pt idx="28">
                  <c:v>548</c:v>
                </c:pt>
                <c:pt idx="29">
                  <c:v>609</c:v>
                </c:pt>
                <c:pt idx="30">
                  <c:v>670</c:v>
                </c:pt>
                <c:pt idx="31">
                  <c:v>730</c:v>
                </c:pt>
                <c:pt idx="32">
                  <c:v>1118</c:v>
                </c:pt>
                <c:pt idx="33">
                  <c:v>1146</c:v>
                </c:pt>
                <c:pt idx="34">
                  <c:v>1207</c:v>
                </c:pt>
                <c:pt idx="35">
                  <c:v>1272</c:v>
                </c:pt>
                <c:pt idx="36">
                  <c:v>1346</c:v>
                </c:pt>
                <c:pt idx="37">
                  <c:v>1405</c:v>
                </c:pt>
                <c:pt idx="38">
                  <c:v>1504</c:v>
                </c:pt>
                <c:pt idx="39">
                  <c:v>1595</c:v>
                </c:pt>
                <c:pt idx="40">
                  <c:v>1687</c:v>
                </c:pt>
                <c:pt idx="41">
                  <c:v>1779</c:v>
                </c:pt>
                <c:pt idx="42">
                  <c:v>1910</c:v>
                </c:pt>
                <c:pt idx="43">
                  <c:v>2001</c:v>
                </c:pt>
                <c:pt idx="44">
                  <c:v>2104</c:v>
                </c:pt>
                <c:pt idx="45">
                  <c:v>2202</c:v>
                </c:pt>
                <c:pt idx="46">
                  <c:v>2308</c:v>
                </c:pt>
                <c:pt idx="47">
                  <c:v>2471</c:v>
                </c:pt>
                <c:pt idx="48">
                  <c:v>2581</c:v>
                </c:pt>
                <c:pt idx="49">
                  <c:v>2735</c:v>
                </c:pt>
                <c:pt idx="50">
                  <c:v>2850</c:v>
                </c:pt>
                <c:pt idx="51">
                  <c:v>3036</c:v>
                </c:pt>
                <c:pt idx="52">
                  <c:v>3199</c:v>
                </c:pt>
                <c:pt idx="53">
                  <c:v>3285</c:v>
                </c:pt>
              </c:numCache>
            </c:numRef>
          </c:xVal>
          <c:yVal>
            <c:numRef>
              <c:f>'Measured shrinkage'!$C$1383:$C$1436</c:f>
              <c:numCache>
                <c:formatCode>0</c:formatCode>
                <c:ptCount val="54"/>
                <c:pt idx="0">
                  <c:v>0</c:v>
                </c:pt>
                <c:pt idx="1">
                  <c:v>43.3</c:v>
                </c:pt>
                <c:pt idx="2">
                  <c:v>80</c:v>
                </c:pt>
                <c:pt idx="3">
                  <c:v>130</c:v>
                </c:pt>
                <c:pt idx="4">
                  <c:v>109.99999999999999</c:v>
                </c:pt>
                <c:pt idx="5">
                  <c:v>140</c:v>
                </c:pt>
                <c:pt idx="6">
                  <c:v>133.29999999999998</c:v>
                </c:pt>
                <c:pt idx="7">
                  <c:v>183.29999999999998</c:v>
                </c:pt>
                <c:pt idx="8">
                  <c:v>170.00000000000003</c:v>
                </c:pt>
                <c:pt idx="9">
                  <c:v>203.29999999999998</c:v>
                </c:pt>
                <c:pt idx="10">
                  <c:v>176.70000000000002</c:v>
                </c:pt>
                <c:pt idx="11">
                  <c:v>176.70000000000002</c:v>
                </c:pt>
                <c:pt idx="12">
                  <c:v>186.7</c:v>
                </c:pt>
                <c:pt idx="13">
                  <c:v>210</c:v>
                </c:pt>
                <c:pt idx="14">
                  <c:v>213.3</c:v>
                </c:pt>
                <c:pt idx="15">
                  <c:v>203.29999999999998</c:v>
                </c:pt>
                <c:pt idx="16">
                  <c:v>203.29999999999998</c:v>
                </c:pt>
                <c:pt idx="17">
                  <c:v>190</c:v>
                </c:pt>
                <c:pt idx="18">
                  <c:v>206.70000000000002</c:v>
                </c:pt>
                <c:pt idx="19">
                  <c:v>213.3</c:v>
                </c:pt>
                <c:pt idx="20">
                  <c:v>190</c:v>
                </c:pt>
                <c:pt idx="21">
                  <c:v>196.70000000000002</c:v>
                </c:pt>
                <c:pt idx="22">
                  <c:v>193.3</c:v>
                </c:pt>
                <c:pt idx="23">
                  <c:v>200</c:v>
                </c:pt>
                <c:pt idx="24">
                  <c:v>219.99999999999997</c:v>
                </c:pt>
                <c:pt idx="25">
                  <c:v>223.3</c:v>
                </c:pt>
                <c:pt idx="26">
                  <c:v>233.3</c:v>
                </c:pt>
                <c:pt idx="27">
                  <c:v>193.3</c:v>
                </c:pt>
                <c:pt idx="28">
                  <c:v>219.99999999999997</c:v>
                </c:pt>
                <c:pt idx="29">
                  <c:v>196.70000000000002</c:v>
                </c:pt>
                <c:pt idx="30">
                  <c:v>233.3</c:v>
                </c:pt>
                <c:pt idx="31">
                  <c:v>193.3</c:v>
                </c:pt>
                <c:pt idx="32">
                  <c:v>213.3</c:v>
                </c:pt>
                <c:pt idx="33">
                  <c:v>196.70000000000002</c:v>
                </c:pt>
                <c:pt idx="34">
                  <c:v>208.9</c:v>
                </c:pt>
                <c:pt idx="35">
                  <c:v>203.29999999999998</c:v>
                </c:pt>
                <c:pt idx="36">
                  <c:v>192.79999999999998</c:v>
                </c:pt>
                <c:pt idx="37">
                  <c:v>198.9</c:v>
                </c:pt>
                <c:pt idx="38">
                  <c:v>207.79999999999998</c:v>
                </c:pt>
                <c:pt idx="39">
                  <c:v>207.79999999999998</c:v>
                </c:pt>
                <c:pt idx="40">
                  <c:v>222.00000000000003</c:v>
                </c:pt>
                <c:pt idx="41">
                  <c:v>227.8</c:v>
                </c:pt>
                <c:pt idx="42">
                  <c:v>234.39999999999998</c:v>
                </c:pt>
                <c:pt idx="43">
                  <c:v>226.7</c:v>
                </c:pt>
                <c:pt idx="44">
                  <c:v>225.60000000000002</c:v>
                </c:pt>
                <c:pt idx="45">
                  <c:v>231.1</c:v>
                </c:pt>
                <c:pt idx="46">
                  <c:v>228.9</c:v>
                </c:pt>
                <c:pt idx="47">
                  <c:v>223.3</c:v>
                </c:pt>
                <c:pt idx="48">
                  <c:v>219.99999999999997</c:v>
                </c:pt>
                <c:pt idx="49">
                  <c:v>216.7</c:v>
                </c:pt>
                <c:pt idx="50">
                  <c:v>215.60000000000002</c:v>
                </c:pt>
                <c:pt idx="51">
                  <c:v>215.60000000000002</c:v>
                </c:pt>
                <c:pt idx="52">
                  <c:v>217.79999999999998</c:v>
                </c:pt>
                <c:pt idx="53">
                  <c:v>221.10000000000002</c:v>
                </c:pt>
              </c:numCache>
            </c:numRef>
          </c:yVal>
          <c:smooth val="0"/>
          <c:extLst>
            <c:ext xmlns:c16="http://schemas.microsoft.com/office/drawing/2014/chart" uri="{C3380CC4-5D6E-409C-BE32-E72D297353CC}">
              <c16:uniqueId val="{00000002-B5EF-45C4-B364-BF11FBEFAB3F}"/>
            </c:ext>
          </c:extLst>
        </c:ser>
        <c:ser>
          <c:idx val="7"/>
          <c:order val="3"/>
          <c:tx>
            <c:strRef>
              <c:f>'Measured shrinkage'!$A$1437</c:f>
              <c:strCache>
                <c:ptCount val="1"/>
                <c:pt idx="0">
                  <c:v>30</c:v>
                </c:pt>
              </c:strCache>
            </c:strRef>
          </c:tx>
          <c:spPr>
            <a:ln w="25400" cap="rnd">
              <a:noFill/>
              <a:round/>
            </a:ln>
            <a:effectLst/>
          </c:spPr>
          <c:marker>
            <c:symbol val="circle"/>
            <c:size val="4"/>
            <c:spPr>
              <a:solidFill>
                <a:schemeClr val="accent2">
                  <a:lumMod val="60000"/>
                </a:schemeClr>
              </a:solidFill>
              <a:ln w="9525">
                <a:solidFill>
                  <a:schemeClr val="accent2">
                    <a:lumMod val="60000"/>
                  </a:schemeClr>
                </a:solidFill>
              </a:ln>
              <a:effectLst/>
            </c:spPr>
          </c:marker>
          <c:xVal>
            <c:numRef>
              <c:f>'Measured shrinkage'!$B$1437:$B$1489</c:f>
              <c:numCache>
                <c:formatCode>0</c:formatCode>
                <c:ptCount val="53"/>
                <c:pt idx="0">
                  <c:v>0</c:v>
                </c:pt>
                <c:pt idx="1">
                  <c:v>8</c:v>
                </c:pt>
                <c:pt idx="2">
                  <c:v>14</c:v>
                </c:pt>
                <c:pt idx="3">
                  <c:v>22</c:v>
                </c:pt>
                <c:pt idx="4">
                  <c:v>28</c:v>
                </c:pt>
                <c:pt idx="5">
                  <c:v>46</c:v>
                </c:pt>
                <c:pt idx="6">
                  <c:v>58</c:v>
                </c:pt>
                <c:pt idx="7">
                  <c:v>79</c:v>
                </c:pt>
                <c:pt idx="8">
                  <c:v>86</c:v>
                </c:pt>
                <c:pt idx="9">
                  <c:v>107</c:v>
                </c:pt>
                <c:pt idx="10">
                  <c:v>114</c:v>
                </c:pt>
                <c:pt idx="11">
                  <c:v>121</c:v>
                </c:pt>
                <c:pt idx="12">
                  <c:v>128</c:v>
                </c:pt>
                <c:pt idx="13">
                  <c:v>135</c:v>
                </c:pt>
                <c:pt idx="14">
                  <c:v>142</c:v>
                </c:pt>
                <c:pt idx="15">
                  <c:v>149</c:v>
                </c:pt>
                <c:pt idx="16">
                  <c:v>156</c:v>
                </c:pt>
                <c:pt idx="17">
                  <c:v>163</c:v>
                </c:pt>
                <c:pt idx="18">
                  <c:v>170</c:v>
                </c:pt>
                <c:pt idx="19">
                  <c:v>177</c:v>
                </c:pt>
                <c:pt idx="20">
                  <c:v>184</c:v>
                </c:pt>
                <c:pt idx="21">
                  <c:v>245</c:v>
                </c:pt>
                <c:pt idx="22">
                  <c:v>306</c:v>
                </c:pt>
                <c:pt idx="23">
                  <c:v>365</c:v>
                </c:pt>
                <c:pt idx="24">
                  <c:v>426</c:v>
                </c:pt>
                <c:pt idx="25">
                  <c:v>487</c:v>
                </c:pt>
                <c:pt idx="26">
                  <c:v>549</c:v>
                </c:pt>
                <c:pt idx="27">
                  <c:v>610</c:v>
                </c:pt>
                <c:pt idx="28">
                  <c:v>671</c:v>
                </c:pt>
                <c:pt idx="29">
                  <c:v>731</c:v>
                </c:pt>
                <c:pt idx="30">
                  <c:v>1126</c:v>
                </c:pt>
                <c:pt idx="31">
                  <c:v>1154</c:v>
                </c:pt>
                <c:pt idx="32">
                  <c:v>1215</c:v>
                </c:pt>
                <c:pt idx="33">
                  <c:v>1280</c:v>
                </c:pt>
                <c:pt idx="34">
                  <c:v>1354</c:v>
                </c:pt>
                <c:pt idx="35">
                  <c:v>1413</c:v>
                </c:pt>
                <c:pt idx="36">
                  <c:v>1512</c:v>
                </c:pt>
                <c:pt idx="37">
                  <c:v>1603</c:v>
                </c:pt>
                <c:pt idx="38">
                  <c:v>1695</c:v>
                </c:pt>
                <c:pt idx="39">
                  <c:v>1787</c:v>
                </c:pt>
                <c:pt idx="40">
                  <c:v>1918</c:v>
                </c:pt>
                <c:pt idx="41">
                  <c:v>2009</c:v>
                </c:pt>
                <c:pt idx="42">
                  <c:v>2112</c:v>
                </c:pt>
                <c:pt idx="43">
                  <c:v>2210</c:v>
                </c:pt>
                <c:pt idx="44">
                  <c:v>2316</c:v>
                </c:pt>
                <c:pt idx="45">
                  <c:v>2479</c:v>
                </c:pt>
                <c:pt idx="46">
                  <c:v>2589</c:v>
                </c:pt>
                <c:pt idx="47">
                  <c:v>2743</c:v>
                </c:pt>
                <c:pt idx="48">
                  <c:v>2858</c:v>
                </c:pt>
                <c:pt idx="49">
                  <c:v>2962</c:v>
                </c:pt>
                <c:pt idx="50">
                  <c:v>3050</c:v>
                </c:pt>
                <c:pt idx="51">
                  <c:v>3213</c:v>
                </c:pt>
                <c:pt idx="52">
                  <c:v>3214</c:v>
                </c:pt>
              </c:numCache>
            </c:numRef>
          </c:xVal>
          <c:yVal>
            <c:numRef>
              <c:f>'Measured shrinkage'!$C$1437:$C$1489</c:f>
              <c:numCache>
                <c:formatCode>0</c:formatCode>
                <c:ptCount val="53"/>
                <c:pt idx="0">
                  <c:v>0</c:v>
                </c:pt>
                <c:pt idx="1">
                  <c:v>40</c:v>
                </c:pt>
                <c:pt idx="2">
                  <c:v>83.300000000000011</c:v>
                </c:pt>
                <c:pt idx="3">
                  <c:v>93.3</c:v>
                </c:pt>
                <c:pt idx="4">
                  <c:v>126.70000000000002</c:v>
                </c:pt>
                <c:pt idx="5">
                  <c:v>179.99999999999997</c:v>
                </c:pt>
                <c:pt idx="6">
                  <c:v>186.7</c:v>
                </c:pt>
                <c:pt idx="7">
                  <c:v>213.3</c:v>
                </c:pt>
                <c:pt idx="8">
                  <c:v>203.29999999999998</c:v>
                </c:pt>
                <c:pt idx="9">
                  <c:v>190</c:v>
                </c:pt>
                <c:pt idx="10">
                  <c:v>203.29999999999998</c:v>
                </c:pt>
                <c:pt idx="11">
                  <c:v>203.29999999999998</c:v>
                </c:pt>
                <c:pt idx="12">
                  <c:v>223.3</c:v>
                </c:pt>
                <c:pt idx="13">
                  <c:v>240</c:v>
                </c:pt>
                <c:pt idx="14">
                  <c:v>229.99999999999997</c:v>
                </c:pt>
                <c:pt idx="15">
                  <c:v>226.7</c:v>
                </c:pt>
                <c:pt idx="16">
                  <c:v>216.7</c:v>
                </c:pt>
                <c:pt idx="17">
                  <c:v>219.99999999999997</c:v>
                </c:pt>
                <c:pt idx="18">
                  <c:v>233.3</c:v>
                </c:pt>
                <c:pt idx="19">
                  <c:v>213.3</c:v>
                </c:pt>
                <c:pt idx="20">
                  <c:v>216.7</c:v>
                </c:pt>
                <c:pt idx="21">
                  <c:v>226.7</c:v>
                </c:pt>
                <c:pt idx="22">
                  <c:v>226.7</c:v>
                </c:pt>
                <c:pt idx="23">
                  <c:v>243.30000000000004</c:v>
                </c:pt>
                <c:pt idx="24">
                  <c:v>250</c:v>
                </c:pt>
                <c:pt idx="25">
                  <c:v>216.7</c:v>
                </c:pt>
                <c:pt idx="26">
                  <c:v>226.7</c:v>
                </c:pt>
                <c:pt idx="27">
                  <c:v>226.7</c:v>
                </c:pt>
                <c:pt idx="28">
                  <c:v>250</c:v>
                </c:pt>
                <c:pt idx="29">
                  <c:v>226.7</c:v>
                </c:pt>
                <c:pt idx="30">
                  <c:v>231.1</c:v>
                </c:pt>
                <c:pt idx="31">
                  <c:v>219.99999999999997</c:v>
                </c:pt>
                <c:pt idx="32">
                  <c:v>236.7</c:v>
                </c:pt>
                <c:pt idx="33">
                  <c:v>244.4</c:v>
                </c:pt>
                <c:pt idx="34">
                  <c:v>248.89999999999998</c:v>
                </c:pt>
                <c:pt idx="35">
                  <c:v>246.70000000000002</c:v>
                </c:pt>
                <c:pt idx="36">
                  <c:v>247.8</c:v>
                </c:pt>
                <c:pt idx="37">
                  <c:v>244.4</c:v>
                </c:pt>
                <c:pt idx="38">
                  <c:v>243.30000000000004</c:v>
                </c:pt>
                <c:pt idx="39">
                  <c:v>251.10000000000002</c:v>
                </c:pt>
                <c:pt idx="40">
                  <c:v>256.7</c:v>
                </c:pt>
                <c:pt idx="41">
                  <c:v>245.6</c:v>
                </c:pt>
                <c:pt idx="42">
                  <c:v>246.70000000000002</c:v>
                </c:pt>
                <c:pt idx="43">
                  <c:v>245.6</c:v>
                </c:pt>
                <c:pt idx="44">
                  <c:v>248.89999999999998</c:v>
                </c:pt>
                <c:pt idx="45">
                  <c:v>246.70000000000002</c:v>
                </c:pt>
                <c:pt idx="46">
                  <c:v>243.30000000000004</c:v>
                </c:pt>
                <c:pt idx="47">
                  <c:v>250</c:v>
                </c:pt>
                <c:pt idx="48">
                  <c:v>238.90000000000003</c:v>
                </c:pt>
                <c:pt idx="49">
                  <c:v>238.90000000000003</c:v>
                </c:pt>
                <c:pt idx="50">
                  <c:v>238.90000000000003</c:v>
                </c:pt>
                <c:pt idx="51">
                  <c:v>234.39999999999998</c:v>
                </c:pt>
                <c:pt idx="52">
                  <c:v>234.39999999999998</c:v>
                </c:pt>
              </c:numCache>
            </c:numRef>
          </c:yVal>
          <c:smooth val="0"/>
          <c:extLst>
            <c:ext xmlns:c16="http://schemas.microsoft.com/office/drawing/2014/chart" uri="{C3380CC4-5D6E-409C-BE32-E72D297353CC}">
              <c16:uniqueId val="{00000003-B5EF-45C4-B364-BF11FBEFAB3F}"/>
            </c:ext>
          </c:extLst>
        </c:ser>
        <c:dLbls>
          <c:showLegendKey val="0"/>
          <c:showVal val="0"/>
          <c:showCatName val="0"/>
          <c:showSerName val="0"/>
          <c:showPercent val="0"/>
          <c:showBubbleSize val="0"/>
        </c:dLbls>
        <c:axId val="757711696"/>
        <c:axId val="757706776"/>
      </c:scatterChart>
      <c:valAx>
        <c:axId val="75771169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7236771253636343"/>
          <c:y val="0.62781204432779225"/>
          <c:w val="0.33172011858284639"/>
          <c:h val="0.2101509186351706"/>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S1-02: CEM I - 0.41 w/cm - Quartzite</a:t>
            </a:r>
          </a:p>
        </c:rich>
      </c:tx>
      <c:layout>
        <c:manualLayout>
          <c:xMode val="edge"/>
          <c:yMode val="edge"/>
          <c:x val="0.2262337813830114"/>
          <c:y val="4.2698880377136121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3090049537"/>
          <c:y val="8.876108513554147E-2"/>
          <c:w val="0.77765091863517055"/>
          <c:h val="0.74733504568548326"/>
        </c:manualLayout>
      </c:layout>
      <c:scatterChart>
        <c:scatterStyle val="lineMarker"/>
        <c:varyColors val="0"/>
        <c:ser>
          <c:idx val="0"/>
          <c:order val="0"/>
          <c:tx>
            <c:strRef>
              <c:f>'Measured shrinkage'!$A$2447</c:f>
              <c:strCache>
                <c:ptCount val="1"/>
                <c:pt idx="0">
                  <c:v>#0217</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shrinkage'!$B$2447:$B$2459</c:f>
              <c:numCache>
                <c:formatCode>0</c:formatCode>
                <c:ptCount val="13"/>
                <c:pt idx="0">
                  <c:v>1</c:v>
                </c:pt>
                <c:pt idx="1">
                  <c:v>2</c:v>
                </c:pt>
                <c:pt idx="2">
                  <c:v>3</c:v>
                </c:pt>
                <c:pt idx="3">
                  <c:v>5</c:v>
                </c:pt>
                <c:pt idx="4">
                  <c:v>6</c:v>
                </c:pt>
                <c:pt idx="5">
                  <c:v>7</c:v>
                </c:pt>
                <c:pt idx="6">
                  <c:v>14</c:v>
                </c:pt>
                <c:pt idx="7">
                  <c:v>21</c:v>
                </c:pt>
                <c:pt idx="8">
                  <c:v>28</c:v>
                </c:pt>
                <c:pt idx="9">
                  <c:v>56</c:v>
                </c:pt>
                <c:pt idx="10">
                  <c:v>112</c:v>
                </c:pt>
                <c:pt idx="11">
                  <c:v>140</c:v>
                </c:pt>
                <c:pt idx="12">
                  <c:v>168</c:v>
                </c:pt>
              </c:numCache>
            </c:numRef>
          </c:xVal>
          <c:yVal>
            <c:numRef>
              <c:f>'Measured shrinkage'!$C$2447:$C$2459</c:f>
              <c:numCache>
                <c:formatCode>0</c:formatCode>
                <c:ptCount val="13"/>
                <c:pt idx="0">
                  <c:v>33</c:v>
                </c:pt>
                <c:pt idx="1">
                  <c:v>22</c:v>
                </c:pt>
                <c:pt idx="2">
                  <c:v>30</c:v>
                </c:pt>
                <c:pt idx="3">
                  <c:v>33</c:v>
                </c:pt>
                <c:pt idx="4">
                  <c:v>75</c:v>
                </c:pt>
                <c:pt idx="5">
                  <c:v>64</c:v>
                </c:pt>
                <c:pt idx="6">
                  <c:v>97</c:v>
                </c:pt>
                <c:pt idx="7">
                  <c:v>167</c:v>
                </c:pt>
                <c:pt idx="8">
                  <c:v>217</c:v>
                </c:pt>
                <c:pt idx="9">
                  <c:v>284</c:v>
                </c:pt>
                <c:pt idx="10">
                  <c:v>331</c:v>
                </c:pt>
                <c:pt idx="11">
                  <c:v>370</c:v>
                </c:pt>
                <c:pt idx="12">
                  <c:v>325</c:v>
                </c:pt>
              </c:numCache>
            </c:numRef>
          </c:yVal>
          <c:smooth val="0"/>
          <c:extLst>
            <c:ext xmlns:c16="http://schemas.microsoft.com/office/drawing/2014/chart" uri="{C3380CC4-5D6E-409C-BE32-E72D297353CC}">
              <c16:uniqueId val="{00000000-1036-4467-AE4F-3F00F88EFBC8}"/>
            </c:ext>
          </c:extLst>
        </c:ser>
        <c:ser>
          <c:idx val="1"/>
          <c:order val="1"/>
          <c:tx>
            <c:strRef>
              <c:f>'Measured shrinkage'!$A$2238</c:f>
              <c:strCache>
                <c:ptCount val="1"/>
                <c:pt idx="0">
                  <c:v>#0108</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shrinkage'!$B$2238:$B$2252</c:f>
              <c:numCache>
                <c:formatCode>0</c:formatCode>
                <c:ptCount val="15"/>
                <c:pt idx="0">
                  <c:v>1</c:v>
                </c:pt>
                <c:pt idx="1">
                  <c:v>2</c:v>
                </c:pt>
                <c:pt idx="2">
                  <c:v>3</c:v>
                </c:pt>
                <c:pt idx="3">
                  <c:v>5</c:v>
                </c:pt>
                <c:pt idx="4">
                  <c:v>7</c:v>
                </c:pt>
                <c:pt idx="5">
                  <c:v>11</c:v>
                </c:pt>
                <c:pt idx="6">
                  <c:v>15</c:v>
                </c:pt>
                <c:pt idx="7">
                  <c:v>19</c:v>
                </c:pt>
                <c:pt idx="8">
                  <c:v>25</c:v>
                </c:pt>
                <c:pt idx="9">
                  <c:v>32</c:v>
                </c:pt>
                <c:pt idx="10">
                  <c:v>39</c:v>
                </c:pt>
                <c:pt idx="11">
                  <c:v>46</c:v>
                </c:pt>
                <c:pt idx="12">
                  <c:v>56</c:v>
                </c:pt>
                <c:pt idx="13">
                  <c:v>92</c:v>
                </c:pt>
                <c:pt idx="14">
                  <c:v>123</c:v>
                </c:pt>
              </c:numCache>
            </c:numRef>
          </c:xVal>
          <c:yVal>
            <c:numRef>
              <c:f>'Measured shrinkage'!$C$2238:$C$2252</c:f>
              <c:numCache>
                <c:formatCode>0</c:formatCode>
                <c:ptCount val="15"/>
                <c:pt idx="0">
                  <c:v>75</c:v>
                </c:pt>
                <c:pt idx="1">
                  <c:v>117</c:v>
                </c:pt>
                <c:pt idx="2">
                  <c:v>141</c:v>
                </c:pt>
                <c:pt idx="3">
                  <c:v>164</c:v>
                </c:pt>
                <c:pt idx="4">
                  <c:v>178</c:v>
                </c:pt>
                <c:pt idx="5">
                  <c:v>219</c:v>
                </c:pt>
                <c:pt idx="6">
                  <c:v>251</c:v>
                </c:pt>
                <c:pt idx="7">
                  <c:v>269</c:v>
                </c:pt>
                <c:pt idx="8">
                  <c:v>309</c:v>
                </c:pt>
                <c:pt idx="9">
                  <c:v>346</c:v>
                </c:pt>
                <c:pt idx="10">
                  <c:v>373</c:v>
                </c:pt>
                <c:pt idx="11">
                  <c:v>390</c:v>
                </c:pt>
                <c:pt idx="12">
                  <c:v>460</c:v>
                </c:pt>
                <c:pt idx="13">
                  <c:v>463</c:v>
                </c:pt>
                <c:pt idx="14">
                  <c:v>515</c:v>
                </c:pt>
              </c:numCache>
            </c:numRef>
          </c:yVal>
          <c:smooth val="0"/>
          <c:extLst>
            <c:ext xmlns:c16="http://schemas.microsoft.com/office/drawing/2014/chart" uri="{C3380CC4-5D6E-409C-BE32-E72D297353CC}">
              <c16:uniqueId val="{00000001-1036-4467-AE4F-3F00F88EFBC8}"/>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9484304246355624"/>
          <c:y val="0.62996935769004125"/>
          <c:w val="0.31279593175853021"/>
          <c:h val="0.20336279709290905"/>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S2-01: CEM I - 0.27w/cm - Granite - </a:t>
            </a:r>
          </a:p>
          <a:p>
            <a:pPr>
              <a:defRPr sz="1100">
                <a:solidFill>
                  <a:sysClr val="windowText" lastClr="000000"/>
                </a:solidFill>
              </a:defRPr>
            </a:pPr>
            <a:r>
              <a:rPr lang="en-ZA" sz="1100">
                <a:solidFill>
                  <a:sysClr val="windowText" lastClr="000000"/>
                </a:solidFill>
              </a:rPr>
              <a:t>1% Superplasticiser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shrinkage'!$A$15176</c:f>
              <c:strCache>
                <c:ptCount val="1"/>
                <c:pt idx="0">
                  <c:v>A_072_04</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shrinkage'!$B$15172:$B$15186</c:f>
              <c:numCache>
                <c:formatCode>0</c:formatCode>
                <c:ptCount val="15"/>
                <c:pt idx="0">
                  <c:v>0</c:v>
                </c:pt>
                <c:pt idx="1">
                  <c:v>7.0620999999999992</c:v>
                </c:pt>
                <c:pt idx="2">
                  <c:v>13.916499999999999</c:v>
                </c:pt>
                <c:pt idx="3">
                  <c:v>20.770900000000001</c:v>
                </c:pt>
                <c:pt idx="4">
                  <c:v>27.625299999999999</c:v>
                </c:pt>
                <c:pt idx="5">
                  <c:v>34.479700000000001</c:v>
                </c:pt>
                <c:pt idx="6">
                  <c:v>41.334000000000003</c:v>
                </c:pt>
                <c:pt idx="7">
                  <c:v>48.811599999999999</c:v>
                </c:pt>
                <c:pt idx="8">
                  <c:v>55.458199999999998</c:v>
                </c:pt>
                <c:pt idx="9">
                  <c:v>62.312600000000003</c:v>
                </c:pt>
                <c:pt idx="10">
                  <c:v>69.374700000000004</c:v>
                </c:pt>
                <c:pt idx="11">
                  <c:v>76.0214</c:v>
                </c:pt>
                <c:pt idx="12">
                  <c:v>82.668099999999995</c:v>
                </c:pt>
                <c:pt idx="13">
                  <c:v>90.145600000000002</c:v>
                </c:pt>
                <c:pt idx="14">
                  <c:v>97.207700000000003</c:v>
                </c:pt>
              </c:numCache>
            </c:numRef>
          </c:xVal>
          <c:yVal>
            <c:numRef>
              <c:f>'Measured shrinkage'!$C$15172:$C$15186</c:f>
              <c:numCache>
                <c:formatCode>0</c:formatCode>
                <c:ptCount val="15"/>
                <c:pt idx="0">
                  <c:v>80</c:v>
                </c:pt>
                <c:pt idx="1">
                  <c:v>169.23099999999999</c:v>
                </c:pt>
                <c:pt idx="2">
                  <c:v>193.846</c:v>
                </c:pt>
                <c:pt idx="3">
                  <c:v>205.38499999999999</c:v>
                </c:pt>
                <c:pt idx="4">
                  <c:v>215.38499999999999</c:v>
                </c:pt>
                <c:pt idx="5">
                  <c:v>224.61500000000001</c:v>
                </c:pt>
                <c:pt idx="6">
                  <c:v>229.23099999999999</c:v>
                </c:pt>
                <c:pt idx="7">
                  <c:v>233.077</c:v>
                </c:pt>
                <c:pt idx="8">
                  <c:v>239.23099999999999</c:v>
                </c:pt>
                <c:pt idx="9">
                  <c:v>242.30799999999999</c:v>
                </c:pt>
                <c:pt idx="10">
                  <c:v>246.154</c:v>
                </c:pt>
                <c:pt idx="11">
                  <c:v>250.76900000000001</c:v>
                </c:pt>
                <c:pt idx="12">
                  <c:v>255.38499999999999</c:v>
                </c:pt>
                <c:pt idx="13">
                  <c:v>260.76900000000001</c:v>
                </c:pt>
                <c:pt idx="14">
                  <c:v>265.38499999999999</c:v>
                </c:pt>
              </c:numCache>
            </c:numRef>
          </c:yVal>
          <c:smooth val="0"/>
          <c:extLst>
            <c:ext xmlns:c16="http://schemas.microsoft.com/office/drawing/2014/chart" uri="{C3380CC4-5D6E-409C-BE32-E72D297353CC}">
              <c16:uniqueId val="{00000000-3992-483E-A188-D0DDCFDEF1FF}"/>
            </c:ext>
          </c:extLst>
        </c:ser>
        <c:ser>
          <c:idx val="1"/>
          <c:order val="1"/>
          <c:tx>
            <c:strRef>
              <c:f>'Measured shrinkage'!$A$15187</c:f>
              <c:strCache>
                <c:ptCount val="1"/>
                <c:pt idx="0">
                  <c:v>A_072_05</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shrinkage'!$B$15187:$B$15201</c:f>
              <c:numCache>
                <c:formatCode>0</c:formatCode>
                <c:ptCount val="15"/>
                <c:pt idx="0">
                  <c:v>0</c:v>
                </c:pt>
                <c:pt idx="1">
                  <c:v>6.8543900000000004</c:v>
                </c:pt>
                <c:pt idx="2">
                  <c:v>13.501099999999999</c:v>
                </c:pt>
                <c:pt idx="3">
                  <c:v>20.770900000000001</c:v>
                </c:pt>
                <c:pt idx="4">
                  <c:v>27.625299999999999</c:v>
                </c:pt>
                <c:pt idx="5">
                  <c:v>34.687399999999997</c:v>
                </c:pt>
                <c:pt idx="6">
                  <c:v>41.126300000000001</c:v>
                </c:pt>
                <c:pt idx="7">
                  <c:v>48.603900000000003</c:v>
                </c:pt>
                <c:pt idx="8">
                  <c:v>55.250500000000002</c:v>
                </c:pt>
                <c:pt idx="9">
                  <c:v>62.520299999999999</c:v>
                </c:pt>
                <c:pt idx="10">
                  <c:v>69.167000000000002</c:v>
                </c:pt>
                <c:pt idx="11">
                  <c:v>76.0214</c:v>
                </c:pt>
                <c:pt idx="12">
                  <c:v>82.875799999999998</c:v>
                </c:pt>
                <c:pt idx="13">
                  <c:v>90.353300000000004</c:v>
                </c:pt>
                <c:pt idx="14">
                  <c:v>97</c:v>
                </c:pt>
              </c:numCache>
            </c:numRef>
          </c:xVal>
          <c:yVal>
            <c:numRef>
              <c:f>'Measured shrinkage'!$C$15187:$C$15201</c:f>
              <c:numCache>
                <c:formatCode>0</c:formatCode>
                <c:ptCount val="15"/>
                <c:pt idx="0">
                  <c:v>56.25</c:v>
                </c:pt>
                <c:pt idx="1">
                  <c:v>150</c:v>
                </c:pt>
                <c:pt idx="2">
                  <c:v>174.21899999999999</c:v>
                </c:pt>
                <c:pt idx="3">
                  <c:v>184.375</c:v>
                </c:pt>
                <c:pt idx="4">
                  <c:v>192.18799999999999</c:v>
                </c:pt>
                <c:pt idx="5">
                  <c:v>196.875</c:v>
                </c:pt>
                <c:pt idx="6">
                  <c:v>201.56200000000001</c:v>
                </c:pt>
                <c:pt idx="7">
                  <c:v>203.90600000000001</c:v>
                </c:pt>
                <c:pt idx="8">
                  <c:v>205.46899999999999</c:v>
                </c:pt>
                <c:pt idx="9">
                  <c:v>207.81200000000001</c:v>
                </c:pt>
                <c:pt idx="10">
                  <c:v>210.93799999999999</c:v>
                </c:pt>
                <c:pt idx="11">
                  <c:v>211.71899999999999</c:v>
                </c:pt>
                <c:pt idx="12">
                  <c:v>213.28100000000001</c:v>
                </c:pt>
                <c:pt idx="13">
                  <c:v>217.18799999999999</c:v>
                </c:pt>
                <c:pt idx="14">
                  <c:v>218.75</c:v>
                </c:pt>
              </c:numCache>
            </c:numRef>
          </c:yVal>
          <c:smooth val="0"/>
          <c:extLst>
            <c:ext xmlns:c16="http://schemas.microsoft.com/office/drawing/2014/chart" uri="{C3380CC4-5D6E-409C-BE32-E72D297353CC}">
              <c16:uniqueId val="{00000001-3992-483E-A188-D0DDCFDEF1FF}"/>
            </c:ext>
          </c:extLst>
        </c:ser>
        <c:dLbls>
          <c:showLegendKey val="0"/>
          <c:showVal val="0"/>
          <c:showCatName val="0"/>
          <c:showSerName val="0"/>
          <c:showPercent val="0"/>
          <c:showBubbleSize val="0"/>
        </c:dLbls>
        <c:axId val="1006819376"/>
        <c:axId val="1006821344"/>
      </c:scatterChart>
      <c:valAx>
        <c:axId val="100681937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majorUnit val="50"/>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69222386986116735"/>
          <c:y val="0.6065666666666667"/>
          <c:w val="0.24666506529603363"/>
          <c:h val="0.21798214285714282"/>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S2-02: CEM I - 0.27w/cm - Quartzite - </a:t>
            </a:r>
          </a:p>
          <a:p>
            <a:pPr>
              <a:defRPr sz="1100">
                <a:solidFill>
                  <a:sysClr val="windowText" lastClr="000000"/>
                </a:solidFill>
              </a:defRPr>
            </a:pPr>
            <a:r>
              <a:rPr lang="en-ZA" sz="1100">
                <a:solidFill>
                  <a:sysClr val="windowText" lastClr="000000"/>
                </a:solidFill>
              </a:rPr>
              <a:t>3% Superplasticiser</a:t>
            </a:r>
          </a:p>
        </c:rich>
      </c:tx>
      <c:layout>
        <c:manualLayout>
          <c:xMode val="edge"/>
          <c:yMode val="edge"/>
          <c:x val="0.22893744531933508"/>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7141984126984122"/>
        </c:manualLayout>
      </c:layout>
      <c:scatterChart>
        <c:scatterStyle val="lineMarker"/>
        <c:varyColors val="0"/>
        <c:ser>
          <c:idx val="0"/>
          <c:order val="0"/>
          <c:tx>
            <c:strRef>
              <c:f>'Measured shrinkage'!$A$4322</c:f>
              <c:strCache>
                <c:ptCount val="1"/>
                <c:pt idx="0">
                  <c:v>A_007_09</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shrinkage'!$B$4322:$B$4349</c:f>
              <c:numCache>
                <c:formatCode>0</c:formatCode>
                <c:ptCount val="28"/>
                <c:pt idx="0">
                  <c:v>0.56403599999999998</c:v>
                </c:pt>
                <c:pt idx="1">
                  <c:v>0.88186600000000004</c:v>
                </c:pt>
                <c:pt idx="2">
                  <c:v>1.38771</c:v>
                </c:pt>
                <c:pt idx="3">
                  <c:v>1.8957900000000001</c:v>
                </c:pt>
                <c:pt idx="4">
                  <c:v>5.2329999999999997</c:v>
                </c:pt>
                <c:pt idx="5">
                  <c:v>5.7768899999999999</c:v>
                </c:pt>
                <c:pt idx="6">
                  <c:v>8.01065</c:v>
                </c:pt>
                <c:pt idx="7">
                  <c:v>10.812900000000001</c:v>
                </c:pt>
                <c:pt idx="8">
                  <c:v>14.736599999999999</c:v>
                </c:pt>
                <c:pt idx="9">
                  <c:v>18.6647</c:v>
                </c:pt>
                <c:pt idx="10">
                  <c:v>20.905100000000001</c:v>
                </c:pt>
                <c:pt idx="11">
                  <c:v>23.7074</c:v>
                </c:pt>
                <c:pt idx="12">
                  <c:v>28.1951</c:v>
                </c:pt>
                <c:pt idx="13">
                  <c:v>30.435600000000001</c:v>
                </c:pt>
                <c:pt idx="14">
                  <c:v>34.918799999999997</c:v>
                </c:pt>
                <c:pt idx="15">
                  <c:v>41.096299999999999</c:v>
                </c:pt>
                <c:pt idx="16">
                  <c:v>45.026600000000002</c:v>
                </c:pt>
                <c:pt idx="17">
                  <c:v>50.644599999999997</c:v>
                </c:pt>
                <c:pt idx="18">
                  <c:v>60.747999999999998</c:v>
                </c:pt>
                <c:pt idx="19">
                  <c:v>70.298599999999993</c:v>
                </c:pt>
                <c:pt idx="20">
                  <c:v>80.397499999999994</c:v>
                </c:pt>
                <c:pt idx="21">
                  <c:v>89.954800000000006</c:v>
                </c:pt>
                <c:pt idx="22">
                  <c:v>100.047</c:v>
                </c:pt>
                <c:pt idx="23">
                  <c:v>120.254</c:v>
                </c:pt>
                <c:pt idx="24">
                  <c:v>139.91200000000001</c:v>
                </c:pt>
                <c:pt idx="25">
                  <c:v>159.571</c:v>
                </c:pt>
                <c:pt idx="26">
                  <c:v>180.35499999999999</c:v>
                </c:pt>
                <c:pt idx="27">
                  <c:v>198.892</c:v>
                </c:pt>
              </c:numCache>
            </c:numRef>
          </c:xVal>
          <c:yVal>
            <c:numRef>
              <c:f>'Measured shrinkage'!$C$4322:$C$4349</c:f>
              <c:numCache>
                <c:formatCode>0</c:formatCode>
                <c:ptCount val="28"/>
                <c:pt idx="0">
                  <c:v>1.99203</c:v>
                </c:pt>
                <c:pt idx="1">
                  <c:v>215.13900000000001</c:v>
                </c:pt>
                <c:pt idx="2">
                  <c:v>264.94</c:v>
                </c:pt>
                <c:pt idx="3">
                  <c:v>312.74900000000002</c:v>
                </c:pt>
                <c:pt idx="4">
                  <c:v>342.62900000000002</c:v>
                </c:pt>
                <c:pt idx="5">
                  <c:v>358.56599999999997</c:v>
                </c:pt>
                <c:pt idx="6">
                  <c:v>370.51799999999997</c:v>
                </c:pt>
                <c:pt idx="7">
                  <c:v>376.49400000000003</c:v>
                </c:pt>
                <c:pt idx="8">
                  <c:v>384.46199999999999</c:v>
                </c:pt>
                <c:pt idx="9">
                  <c:v>388.44600000000003</c:v>
                </c:pt>
                <c:pt idx="10">
                  <c:v>394.42200000000003</c:v>
                </c:pt>
                <c:pt idx="11">
                  <c:v>400.39800000000002</c:v>
                </c:pt>
                <c:pt idx="12">
                  <c:v>406.375</c:v>
                </c:pt>
                <c:pt idx="13">
                  <c:v>412.351</c:v>
                </c:pt>
                <c:pt idx="14">
                  <c:v>422.31099999999998</c:v>
                </c:pt>
                <c:pt idx="15">
                  <c:v>424.303</c:v>
                </c:pt>
                <c:pt idx="16">
                  <c:v>426.29500000000002</c:v>
                </c:pt>
                <c:pt idx="17">
                  <c:v>426.29500000000002</c:v>
                </c:pt>
                <c:pt idx="18">
                  <c:v>434.26299999999998</c:v>
                </c:pt>
                <c:pt idx="19">
                  <c:v>434.26299999999998</c:v>
                </c:pt>
                <c:pt idx="20">
                  <c:v>446.21499999999997</c:v>
                </c:pt>
                <c:pt idx="21">
                  <c:v>440.23899999999998</c:v>
                </c:pt>
                <c:pt idx="22">
                  <c:v>458.16699999999997</c:v>
                </c:pt>
                <c:pt idx="23">
                  <c:v>474.10399999999998</c:v>
                </c:pt>
                <c:pt idx="24">
                  <c:v>478.08800000000002</c:v>
                </c:pt>
                <c:pt idx="25">
                  <c:v>482.072</c:v>
                </c:pt>
                <c:pt idx="26">
                  <c:v>484.06400000000002</c:v>
                </c:pt>
                <c:pt idx="27">
                  <c:v>486.05599999999998</c:v>
                </c:pt>
              </c:numCache>
            </c:numRef>
          </c:yVal>
          <c:smooth val="0"/>
          <c:extLst>
            <c:ext xmlns:c16="http://schemas.microsoft.com/office/drawing/2014/chart" uri="{C3380CC4-5D6E-409C-BE32-E72D297353CC}">
              <c16:uniqueId val="{00000004-5CC7-4BF4-ACA8-8D6056B3E377}"/>
            </c:ext>
          </c:extLst>
        </c:ser>
        <c:ser>
          <c:idx val="1"/>
          <c:order val="1"/>
          <c:tx>
            <c:strRef>
              <c:f>'Measured shrinkage'!$A$4410</c:f>
              <c:strCache>
                <c:ptCount val="1"/>
                <c:pt idx="0">
                  <c:v>A_007_12</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shrinkage'!$B$4410:$B$4437</c:f>
              <c:numCache>
                <c:formatCode>0</c:formatCode>
                <c:ptCount val="28"/>
                <c:pt idx="0">
                  <c:v>-0.27977999999999997</c:v>
                </c:pt>
                <c:pt idx="1">
                  <c:v>1.1235999999999999</c:v>
                </c:pt>
                <c:pt idx="2">
                  <c:v>1.32504</c:v>
                </c:pt>
                <c:pt idx="3">
                  <c:v>1.3474200000000001</c:v>
                </c:pt>
                <c:pt idx="4">
                  <c:v>1.8420700000000001</c:v>
                </c:pt>
                <c:pt idx="5">
                  <c:v>2.9276200000000001</c:v>
                </c:pt>
                <c:pt idx="6">
                  <c:v>2.9432800000000001</c:v>
                </c:pt>
                <c:pt idx="7">
                  <c:v>6.2939299999999996</c:v>
                </c:pt>
                <c:pt idx="8">
                  <c:v>10.2265</c:v>
                </c:pt>
                <c:pt idx="9">
                  <c:v>14.1569</c:v>
                </c:pt>
                <c:pt idx="10">
                  <c:v>18.082699999999999</c:v>
                </c:pt>
                <c:pt idx="11">
                  <c:v>25.368200000000002</c:v>
                </c:pt>
                <c:pt idx="12">
                  <c:v>29.8581</c:v>
                </c:pt>
                <c:pt idx="13">
                  <c:v>34.916499999999999</c:v>
                </c:pt>
                <c:pt idx="14">
                  <c:v>39.410899999999998</c:v>
                </c:pt>
                <c:pt idx="15">
                  <c:v>41.103000000000002</c:v>
                </c:pt>
                <c:pt idx="16">
                  <c:v>46.154699999999998</c:v>
                </c:pt>
                <c:pt idx="17">
                  <c:v>50.649099999999997</c:v>
                </c:pt>
                <c:pt idx="18">
                  <c:v>60.7592</c:v>
                </c:pt>
                <c:pt idx="19">
                  <c:v>70.869299999999996</c:v>
                </c:pt>
                <c:pt idx="20">
                  <c:v>80.415400000000005</c:v>
                </c:pt>
                <c:pt idx="21">
                  <c:v>91.087299999999999</c:v>
                </c:pt>
                <c:pt idx="22">
                  <c:v>99.505300000000005</c:v>
                </c:pt>
                <c:pt idx="23">
                  <c:v>119.16800000000001</c:v>
                </c:pt>
                <c:pt idx="24">
                  <c:v>140.517</c:v>
                </c:pt>
                <c:pt idx="25">
                  <c:v>160.18</c:v>
                </c:pt>
                <c:pt idx="26">
                  <c:v>179.83799999999999</c:v>
                </c:pt>
                <c:pt idx="27">
                  <c:v>201.184</c:v>
                </c:pt>
              </c:numCache>
            </c:numRef>
          </c:xVal>
          <c:yVal>
            <c:numRef>
              <c:f>'Measured shrinkage'!$C$4410:$C$4437</c:f>
              <c:numCache>
                <c:formatCode>0</c:formatCode>
                <c:ptCount val="28"/>
                <c:pt idx="0">
                  <c:v>0</c:v>
                </c:pt>
                <c:pt idx="1">
                  <c:v>249.00399999999999</c:v>
                </c:pt>
                <c:pt idx="2">
                  <c:v>300.79700000000003</c:v>
                </c:pt>
                <c:pt idx="3">
                  <c:v>320.71699999999998</c:v>
                </c:pt>
                <c:pt idx="4">
                  <c:v>360.55799999999999</c:v>
                </c:pt>
                <c:pt idx="5">
                  <c:v>394.42200000000003</c:v>
                </c:pt>
                <c:pt idx="6">
                  <c:v>380.47800000000001</c:v>
                </c:pt>
                <c:pt idx="7">
                  <c:v>398.40600000000001</c:v>
                </c:pt>
                <c:pt idx="8">
                  <c:v>398.40600000000001</c:v>
                </c:pt>
                <c:pt idx="9">
                  <c:v>400.39800000000002</c:v>
                </c:pt>
                <c:pt idx="10">
                  <c:v>406.375</c:v>
                </c:pt>
                <c:pt idx="11">
                  <c:v>422.31099999999998</c:v>
                </c:pt>
                <c:pt idx="12">
                  <c:v>426.29500000000002</c:v>
                </c:pt>
                <c:pt idx="13">
                  <c:v>424.303</c:v>
                </c:pt>
                <c:pt idx="14">
                  <c:v>424.303</c:v>
                </c:pt>
                <c:pt idx="15">
                  <c:v>418.327</c:v>
                </c:pt>
                <c:pt idx="16">
                  <c:v>422.31099999999998</c:v>
                </c:pt>
                <c:pt idx="17">
                  <c:v>422.31099999999998</c:v>
                </c:pt>
                <c:pt idx="18">
                  <c:v>424.303</c:v>
                </c:pt>
                <c:pt idx="19">
                  <c:v>426.29500000000002</c:v>
                </c:pt>
                <c:pt idx="20">
                  <c:v>430.279</c:v>
                </c:pt>
                <c:pt idx="21">
                  <c:v>432.27100000000002</c:v>
                </c:pt>
                <c:pt idx="22">
                  <c:v>440.23899999999998</c:v>
                </c:pt>
                <c:pt idx="23">
                  <c:v>440.23899999999998</c:v>
                </c:pt>
                <c:pt idx="24">
                  <c:v>440.23899999999998</c:v>
                </c:pt>
                <c:pt idx="25">
                  <c:v>440.23899999999998</c:v>
                </c:pt>
                <c:pt idx="26">
                  <c:v>444.22300000000001</c:v>
                </c:pt>
                <c:pt idx="27">
                  <c:v>446.21499999999997</c:v>
                </c:pt>
              </c:numCache>
            </c:numRef>
          </c:yVal>
          <c:smooth val="0"/>
          <c:extLst>
            <c:ext xmlns:c16="http://schemas.microsoft.com/office/drawing/2014/chart" uri="{C3380CC4-5D6E-409C-BE32-E72D297353CC}">
              <c16:uniqueId val="{00000005-5CC7-4BF4-ACA8-8D6056B3E377}"/>
            </c:ext>
          </c:extLst>
        </c:ser>
        <c:dLbls>
          <c:showLegendKey val="0"/>
          <c:showVal val="0"/>
          <c:showCatName val="0"/>
          <c:showSerName val="0"/>
          <c:showPercent val="0"/>
          <c:showBubbleSize val="0"/>
        </c:dLbls>
        <c:axId val="1006819376"/>
        <c:axId val="1006821344"/>
      </c:scatterChart>
      <c:valAx>
        <c:axId val="1006819376"/>
        <c:scaling>
          <c:orientation val="minMax"/>
          <c:max val="5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majorUnit val="50"/>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69222825317494374"/>
          <c:y val="0.61155689486591747"/>
          <c:w val="0.2503468297025615"/>
          <c:h val="0.22265375799445392"/>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S2-03: CEM I - 0.31w/cm - Granite - </a:t>
            </a:r>
          </a:p>
          <a:p>
            <a:pPr>
              <a:defRPr sz="1100">
                <a:solidFill>
                  <a:sysClr val="windowText" lastClr="000000"/>
                </a:solidFill>
              </a:defRPr>
            </a:pPr>
            <a:r>
              <a:rPr lang="en-ZA" sz="1100">
                <a:solidFill>
                  <a:sysClr val="windowText" lastClr="000000"/>
                </a:solidFill>
              </a:rPr>
              <a:t>1% Superplasticiser</a:t>
            </a:r>
          </a:p>
        </c:rich>
      </c:tx>
      <c:layout>
        <c:manualLayout>
          <c:xMode val="edge"/>
          <c:yMode val="edge"/>
          <c:x val="0.22893744531933508"/>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7141984126984122"/>
        </c:manualLayout>
      </c:layout>
      <c:scatterChart>
        <c:scatterStyle val="lineMarker"/>
        <c:varyColors val="0"/>
        <c:ser>
          <c:idx val="0"/>
          <c:order val="0"/>
          <c:tx>
            <c:strRef>
              <c:f>'Measured shrinkage'!$A$15202</c:f>
              <c:strCache>
                <c:ptCount val="1"/>
                <c:pt idx="0">
                  <c:v>A_072_06</c:v>
                </c:pt>
              </c:strCache>
            </c:strRef>
          </c:tx>
          <c:spPr>
            <a:ln w="19050" cap="rnd">
              <a:noFill/>
              <a:round/>
            </a:ln>
            <a:effectLst/>
          </c:spPr>
          <c:marker>
            <c:symbol val="circle"/>
            <c:size val="5"/>
            <c:spPr>
              <a:solidFill>
                <a:schemeClr val="accent1"/>
              </a:solidFill>
              <a:ln w="9525">
                <a:solidFill>
                  <a:schemeClr val="accent1"/>
                </a:solidFill>
              </a:ln>
              <a:effectLst/>
            </c:spPr>
          </c:marker>
          <c:xVal>
            <c:numRef>
              <c:f>'Measured shrinkage'!$B$15202:$B$15216</c:f>
              <c:numCache>
                <c:formatCode>0</c:formatCode>
                <c:ptCount val="15"/>
                <c:pt idx="0">
                  <c:v>0.20771000000000006</c:v>
                </c:pt>
                <c:pt idx="1">
                  <c:v>6.8543900000000004</c:v>
                </c:pt>
                <c:pt idx="2">
                  <c:v>13.916499999999999</c:v>
                </c:pt>
                <c:pt idx="3">
                  <c:v>20.9786</c:v>
                </c:pt>
                <c:pt idx="4">
                  <c:v>27.832999999999998</c:v>
                </c:pt>
                <c:pt idx="5">
                  <c:v>34.687399999999997</c:v>
                </c:pt>
                <c:pt idx="6">
                  <c:v>41.541800000000002</c:v>
                </c:pt>
                <c:pt idx="7">
                  <c:v>48.603900000000003</c:v>
                </c:pt>
                <c:pt idx="8">
                  <c:v>55.458199999999998</c:v>
                </c:pt>
                <c:pt idx="9">
                  <c:v>62.520299999999999</c:v>
                </c:pt>
                <c:pt idx="10">
                  <c:v>69.374700000000004</c:v>
                </c:pt>
                <c:pt idx="11">
                  <c:v>76.436800000000005</c:v>
                </c:pt>
                <c:pt idx="12">
                  <c:v>83.083500000000001</c:v>
                </c:pt>
                <c:pt idx="13">
                  <c:v>89.730199999999996</c:v>
                </c:pt>
                <c:pt idx="14">
                  <c:v>96.792299999999997</c:v>
                </c:pt>
              </c:numCache>
            </c:numRef>
          </c:xVal>
          <c:yVal>
            <c:numRef>
              <c:f>'Measured shrinkage'!$C$15202:$C$15216</c:f>
              <c:numCache>
                <c:formatCode>0</c:formatCode>
                <c:ptCount val="15"/>
                <c:pt idx="0">
                  <c:v>36.153799999999997</c:v>
                </c:pt>
                <c:pt idx="1">
                  <c:v>98.461500000000001</c:v>
                </c:pt>
                <c:pt idx="2">
                  <c:v>124.61499999999999</c:v>
                </c:pt>
                <c:pt idx="3">
                  <c:v>138.46199999999999</c:v>
                </c:pt>
                <c:pt idx="4">
                  <c:v>147.69200000000001</c:v>
                </c:pt>
                <c:pt idx="5">
                  <c:v>158.46199999999999</c:v>
                </c:pt>
                <c:pt idx="6">
                  <c:v>166.154</c:v>
                </c:pt>
                <c:pt idx="7">
                  <c:v>173.077</c:v>
                </c:pt>
                <c:pt idx="8">
                  <c:v>178.46199999999999</c:v>
                </c:pt>
                <c:pt idx="9">
                  <c:v>186.923</c:v>
                </c:pt>
                <c:pt idx="10">
                  <c:v>192.30799999999999</c:v>
                </c:pt>
                <c:pt idx="11">
                  <c:v>196.154</c:v>
                </c:pt>
                <c:pt idx="12">
                  <c:v>202.30799999999999</c:v>
                </c:pt>
                <c:pt idx="13">
                  <c:v>207.69200000000001</c:v>
                </c:pt>
                <c:pt idx="14">
                  <c:v>215.38499999999999</c:v>
                </c:pt>
              </c:numCache>
            </c:numRef>
          </c:yVal>
          <c:smooth val="0"/>
          <c:extLst>
            <c:ext xmlns:c16="http://schemas.microsoft.com/office/drawing/2014/chart" uri="{C3380CC4-5D6E-409C-BE32-E72D297353CC}">
              <c16:uniqueId val="{00000004-3C8E-49E5-9B37-D234EA210AF6}"/>
            </c:ext>
          </c:extLst>
        </c:ser>
        <c:ser>
          <c:idx val="1"/>
          <c:order val="1"/>
          <c:tx>
            <c:strRef>
              <c:f>'Measured shrinkage'!$A$18221</c:f>
              <c:strCache>
                <c:ptCount val="1"/>
                <c:pt idx="0">
                  <c:v>A_086_18</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shrinkage'!$B$18221:$B$18233</c:f>
              <c:numCache>
                <c:formatCode>0</c:formatCode>
                <c:ptCount val="13"/>
                <c:pt idx="0">
                  <c:v>2.0428199999999999</c:v>
                </c:pt>
                <c:pt idx="1">
                  <c:v>85.9</c:v>
                </c:pt>
                <c:pt idx="2">
                  <c:v>109.548</c:v>
                </c:pt>
                <c:pt idx="3">
                  <c:v>189.334</c:v>
                </c:pt>
                <c:pt idx="4">
                  <c:v>230.69399999999999</c:v>
                </c:pt>
                <c:pt idx="5">
                  <c:v>294.20299999999997</c:v>
                </c:pt>
                <c:pt idx="6">
                  <c:v>464.15899999999999</c:v>
                </c:pt>
                <c:pt idx="7">
                  <c:v>678.70799999999997</c:v>
                </c:pt>
                <c:pt idx="8">
                  <c:v>802.21400000000006</c:v>
                </c:pt>
                <c:pt idx="9">
                  <c:v>852.49699999999996</c:v>
                </c:pt>
                <c:pt idx="10">
                  <c:v>1227.75</c:v>
                </c:pt>
                <c:pt idx="11">
                  <c:v>2058.41</c:v>
                </c:pt>
                <c:pt idx="12">
                  <c:v>2919.76</c:v>
                </c:pt>
              </c:numCache>
            </c:numRef>
          </c:xVal>
          <c:yVal>
            <c:numRef>
              <c:f>'Measured shrinkage'!$C$18221:$C$18233</c:f>
              <c:numCache>
                <c:formatCode>0</c:formatCode>
                <c:ptCount val="13"/>
                <c:pt idx="0">
                  <c:v>10.943899999999999</c:v>
                </c:pt>
                <c:pt idx="1">
                  <c:v>203.511</c:v>
                </c:pt>
                <c:pt idx="2">
                  <c:v>232.15799999999999</c:v>
                </c:pt>
                <c:pt idx="3">
                  <c:v>274.00400000000002</c:v>
                </c:pt>
                <c:pt idx="4">
                  <c:v>281.70100000000002</c:v>
                </c:pt>
                <c:pt idx="5">
                  <c:v>331.30500000000001</c:v>
                </c:pt>
                <c:pt idx="6">
                  <c:v>354.41199999999998</c:v>
                </c:pt>
                <c:pt idx="7">
                  <c:v>365.39600000000002</c:v>
                </c:pt>
                <c:pt idx="8">
                  <c:v>387.43400000000003</c:v>
                </c:pt>
                <c:pt idx="9">
                  <c:v>391.839</c:v>
                </c:pt>
                <c:pt idx="10">
                  <c:v>385.178</c:v>
                </c:pt>
                <c:pt idx="11">
                  <c:v>428.13</c:v>
                </c:pt>
                <c:pt idx="12">
                  <c:v>460.07400000000001</c:v>
                </c:pt>
              </c:numCache>
            </c:numRef>
          </c:yVal>
          <c:smooth val="0"/>
          <c:extLst>
            <c:ext xmlns:c16="http://schemas.microsoft.com/office/drawing/2014/chart" uri="{C3380CC4-5D6E-409C-BE32-E72D297353CC}">
              <c16:uniqueId val="{00000005-3C8E-49E5-9B37-D234EA210AF6}"/>
            </c:ext>
          </c:extLst>
        </c:ser>
        <c:ser>
          <c:idx val="2"/>
          <c:order val="2"/>
          <c:tx>
            <c:strRef>
              <c:f>'Measured shrinkage'!$A$18246</c:f>
              <c:strCache>
                <c:ptCount val="1"/>
                <c:pt idx="0">
                  <c:v>A_086_20</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shrinkage'!$B$18246:$B$18260</c:f>
              <c:numCache>
                <c:formatCode>0</c:formatCode>
                <c:ptCount val="15"/>
                <c:pt idx="0">
                  <c:v>38.9726</c:v>
                </c:pt>
                <c:pt idx="1">
                  <c:v>95.5428</c:v>
                </c:pt>
                <c:pt idx="2">
                  <c:v>157.768</c:v>
                </c:pt>
                <c:pt idx="3">
                  <c:v>180.89500000000001</c:v>
                </c:pt>
                <c:pt idx="4">
                  <c:v>245.154</c:v>
                </c:pt>
                <c:pt idx="5">
                  <c:v>298.70800000000003</c:v>
                </c:pt>
                <c:pt idx="6">
                  <c:v>380.94099999999997</c:v>
                </c:pt>
                <c:pt idx="7">
                  <c:v>524.16999999999996</c:v>
                </c:pt>
                <c:pt idx="8">
                  <c:v>790.11400000000003</c:v>
                </c:pt>
                <c:pt idx="9">
                  <c:v>865.553</c:v>
                </c:pt>
                <c:pt idx="10">
                  <c:v>1429.27</c:v>
                </c:pt>
                <c:pt idx="11">
                  <c:v>1518.86</c:v>
                </c:pt>
                <c:pt idx="12">
                  <c:v>1907.78</c:v>
                </c:pt>
                <c:pt idx="13">
                  <c:v>2220.9299999999998</c:v>
                </c:pt>
                <c:pt idx="14">
                  <c:v>2832.34</c:v>
                </c:pt>
              </c:numCache>
            </c:numRef>
          </c:xVal>
          <c:yVal>
            <c:numRef>
              <c:f>'Measured shrinkage'!$C$18246:$C$18260</c:f>
              <c:numCache>
                <c:formatCode>0</c:formatCode>
                <c:ptCount val="15"/>
                <c:pt idx="0">
                  <c:v>102.13500000000001</c:v>
                </c:pt>
                <c:pt idx="1">
                  <c:v>163.792</c:v>
                </c:pt>
                <c:pt idx="2">
                  <c:v>190.203</c:v>
                </c:pt>
                <c:pt idx="3">
                  <c:v>194.59800000000001</c:v>
                </c:pt>
                <c:pt idx="4">
                  <c:v>225.44399999999999</c:v>
                </c:pt>
                <c:pt idx="5">
                  <c:v>184.61199999999999</c:v>
                </c:pt>
                <c:pt idx="6">
                  <c:v>229.803</c:v>
                </c:pt>
                <c:pt idx="7">
                  <c:v>255.13200000000001</c:v>
                </c:pt>
                <c:pt idx="8">
                  <c:v>276.03899999999999</c:v>
                </c:pt>
                <c:pt idx="9">
                  <c:v>291.46899999999999</c:v>
                </c:pt>
                <c:pt idx="10">
                  <c:v>316.77699999999999</c:v>
                </c:pt>
                <c:pt idx="11">
                  <c:v>367.505</c:v>
                </c:pt>
                <c:pt idx="12">
                  <c:v>406.08100000000002</c:v>
                </c:pt>
                <c:pt idx="13">
                  <c:v>389.51799999999997</c:v>
                </c:pt>
                <c:pt idx="14">
                  <c:v>460.07799999999997</c:v>
                </c:pt>
              </c:numCache>
            </c:numRef>
          </c:yVal>
          <c:smooth val="0"/>
          <c:extLst>
            <c:ext xmlns:c16="http://schemas.microsoft.com/office/drawing/2014/chart" uri="{C3380CC4-5D6E-409C-BE32-E72D297353CC}">
              <c16:uniqueId val="{00000006-3C8E-49E5-9B37-D234EA210AF6}"/>
            </c:ext>
          </c:extLst>
        </c:ser>
        <c:ser>
          <c:idx val="5"/>
          <c:order val="3"/>
          <c:tx>
            <c:strRef>
              <c:f>'Measured shrinkage'!$A$18234</c:f>
              <c:strCache>
                <c:ptCount val="1"/>
                <c:pt idx="0">
                  <c:v>A_086_19</c:v>
                </c:pt>
              </c:strCache>
            </c:strRef>
          </c:tx>
          <c:spPr>
            <a:ln w="19050" cap="rnd">
              <a:noFill/>
              <a:round/>
            </a:ln>
            <a:effectLst/>
          </c:spPr>
          <c:marker>
            <c:symbol val="circle"/>
            <c:size val="4"/>
            <c:spPr>
              <a:solidFill>
                <a:schemeClr val="accent6"/>
              </a:solidFill>
              <a:ln w="9525">
                <a:solidFill>
                  <a:schemeClr val="accent6"/>
                </a:solidFill>
              </a:ln>
              <a:effectLst/>
            </c:spPr>
          </c:marker>
          <c:xVal>
            <c:numRef>
              <c:f>'Measured shrinkage'!$B$18234:$B$18245</c:f>
              <c:numCache>
                <c:formatCode>0</c:formatCode>
                <c:ptCount val="12"/>
                <c:pt idx="0">
                  <c:v>20.273599999999998</c:v>
                </c:pt>
                <c:pt idx="1">
                  <c:v>72.675200000000004</c:v>
                </c:pt>
                <c:pt idx="2">
                  <c:v>100</c:v>
                </c:pt>
                <c:pt idx="3">
                  <c:v>160.184</c:v>
                </c:pt>
                <c:pt idx="4">
                  <c:v>227.214</c:v>
                </c:pt>
                <c:pt idx="5">
                  <c:v>281.08999999999997</c:v>
                </c:pt>
                <c:pt idx="6">
                  <c:v>457.15800000000002</c:v>
                </c:pt>
                <c:pt idx="7">
                  <c:v>648.45699999999999</c:v>
                </c:pt>
                <c:pt idx="8">
                  <c:v>778.19600000000003</c:v>
                </c:pt>
                <c:pt idx="9">
                  <c:v>1120.74</c:v>
                </c:pt>
                <c:pt idx="10">
                  <c:v>1542.12</c:v>
                </c:pt>
                <c:pt idx="11">
                  <c:v>2832.34</c:v>
                </c:pt>
              </c:numCache>
            </c:numRef>
          </c:xVal>
          <c:yVal>
            <c:numRef>
              <c:f>'Measured shrinkage'!$C$18234:$C$18245</c:f>
              <c:numCache>
                <c:formatCode>0</c:formatCode>
                <c:ptCount val="12"/>
                <c:pt idx="0">
                  <c:v>61.404299999999999</c:v>
                </c:pt>
                <c:pt idx="1">
                  <c:v>185.88399999999999</c:v>
                </c:pt>
                <c:pt idx="2">
                  <c:v>216.72800000000001</c:v>
                </c:pt>
                <c:pt idx="3">
                  <c:v>269.613</c:v>
                </c:pt>
                <c:pt idx="4">
                  <c:v>257.43799999999999</c:v>
                </c:pt>
                <c:pt idx="5">
                  <c:v>283.88400000000001</c:v>
                </c:pt>
                <c:pt idx="6">
                  <c:v>289.33999999999997</c:v>
                </c:pt>
                <c:pt idx="7">
                  <c:v>297.01900000000001</c:v>
                </c:pt>
                <c:pt idx="8">
                  <c:v>303.61500000000001</c:v>
                </c:pt>
                <c:pt idx="9">
                  <c:v>366.43900000000002</c:v>
                </c:pt>
                <c:pt idx="10">
                  <c:v>391.76799999999997</c:v>
                </c:pt>
                <c:pt idx="11">
                  <c:v>406.03300000000002</c:v>
                </c:pt>
              </c:numCache>
            </c:numRef>
          </c:yVal>
          <c:smooth val="0"/>
          <c:extLst>
            <c:ext xmlns:c16="http://schemas.microsoft.com/office/drawing/2014/chart" uri="{C3380CC4-5D6E-409C-BE32-E72D297353CC}">
              <c16:uniqueId val="{00000007-3C8E-49E5-9B37-D234EA210AF6}"/>
            </c:ext>
          </c:extLst>
        </c:ser>
        <c:dLbls>
          <c:showLegendKey val="0"/>
          <c:showVal val="0"/>
          <c:showCatName val="0"/>
          <c:showSerName val="0"/>
          <c:showPercent val="0"/>
          <c:showBubbleSize val="0"/>
        </c:dLbls>
        <c:axId val="1006819376"/>
        <c:axId val="1006821344"/>
      </c:scatterChart>
      <c:valAx>
        <c:axId val="100681937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58367548750119991"/>
          <c:y val="0.63191369996954483"/>
          <c:w val="0.35619224162228197"/>
          <c:h val="0.2010258547453796"/>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S2-04: CEM I - 0.31 w/cm - Granite - </a:t>
            </a:r>
          </a:p>
          <a:p>
            <a:pPr>
              <a:defRPr sz="1100">
                <a:solidFill>
                  <a:sysClr val="windowText" lastClr="000000"/>
                </a:solidFill>
              </a:defRPr>
            </a:pPr>
            <a:r>
              <a:rPr lang="en-ZA" sz="1100">
                <a:solidFill>
                  <a:sysClr val="windowText" lastClr="000000"/>
                </a:solidFill>
              </a:rPr>
              <a:t>&lt;0.5% 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shrinkage'!$A$12193</c:f>
              <c:strCache>
                <c:ptCount val="1"/>
                <c:pt idx="0">
                  <c:v>A_068_01</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shrinkage'!$B$12193:$B$12211</c:f>
              <c:numCache>
                <c:formatCode>0</c:formatCode>
                <c:ptCount val="19"/>
                <c:pt idx="0">
                  <c:v>0.95514600000000005</c:v>
                </c:pt>
                <c:pt idx="1">
                  <c:v>2.0723799999999999</c:v>
                </c:pt>
                <c:pt idx="2">
                  <c:v>3.0041199999999999</c:v>
                </c:pt>
                <c:pt idx="3">
                  <c:v>5.0362799999999996</c:v>
                </c:pt>
                <c:pt idx="4">
                  <c:v>7.0798500000000004</c:v>
                </c:pt>
                <c:pt idx="5">
                  <c:v>8.9270999999999994</c:v>
                </c:pt>
                <c:pt idx="6">
                  <c:v>10.7822</c:v>
                </c:pt>
                <c:pt idx="7">
                  <c:v>13.9208</c:v>
                </c:pt>
                <c:pt idx="8">
                  <c:v>16.881</c:v>
                </c:pt>
                <c:pt idx="9">
                  <c:v>21.142299999999999</c:v>
                </c:pt>
                <c:pt idx="10">
                  <c:v>24.8446</c:v>
                </c:pt>
                <c:pt idx="11">
                  <c:v>28.3626</c:v>
                </c:pt>
                <c:pt idx="12">
                  <c:v>34.094099999999997</c:v>
                </c:pt>
                <c:pt idx="13">
                  <c:v>38.348700000000001</c:v>
                </c:pt>
                <c:pt idx="14">
                  <c:v>40.753100000000003</c:v>
                </c:pt>
                <c:pt idx="15">
                  <c:v>47.967399999999998</c:v>
                </c:pt>
                <c:pt idx="16">
                  <c:v>59.0642</c:v>
                </c:pt>
                <c:pt idx="17">
                  <c:v>81.0655</c:v>
                </c:pt>
                <c:pt idx="18">
                  <c:v>96.231399999999994</c:v>
                </c:pt>
              </c:numCache>
            </c:numRef>
          </c:xVal>
          <c:yVal>
            <c:numRef>
              <c:f>'Measured shrinkage'!$C$12193:$C$12211</c:f>
              <c:numCache>
                <c:formatCode>0</c:formatCode>
                <c:ptCount val="19"/>
                <c:pt idx="0">
                  <c:v>264.935</c:v>
                </c:pt>
                <c:pt idx="1">
                  <c:v>332.46800000000002</c:v>
                </c:pt>
                <c:pt idx="2">
                  <c:v>394.80500000000001</c:v>
                </c:pt>
                <c:pt idx="3">
                  <c:v>379.221</c:v>
                </c:pt>
                <c:pt idx="4">
                  <c:v>462.33800000000002</c:v>
                </c:pt>
                <c:pt idx="5">
                  <c:v>446.75299999999999</c:v>
                </c:pt>
                <c:pt idx="6">
                  <c:v>498.70100000000002</c:v>
                </c:pt>
                <c:pt idx="7">
                  <c:v>457.14299999999997</c:v>
                </c:pt>
                <c:pt idx="8">
                  <c:v>472.72699999999998</c:v>
                </c:pt>
                <c:pt idx="9">
                  <c:v>545.45500000000004</c:v>
                </c:pt>
                <c:pt idx="10">
                  <c:v>581.81799999999998</c:v>
                </c:pt>
                <c:pt idx="11">
                  <c:v>623.37699999999995</c:v>
                </c:pt>
                <c:pt idx="12">
                  <c:v>618.18200000000002</c:v>
                </c:pt>
                <c:pt idx="13">
                  <c:v>633.76599999999996</c:v>
                </c:pt>
                <c:pt idx="14">
                  <c:v>638.96100000000001</c:v>
                </c:pt>
                <c:pt idx="15">
                  <c:v>664.93499999999995</c:v>
                </c:pt>
                <c:pt idx="16">
                  <c:v>685.71400000000006</c:v>
                </c:pt>
                <c:pt idx="17">
                  <c:v>664.93499999999995</c:v>
                </c:pt>
                <c:pt idx="18">
                  <c:v>696.10400000000004</c:v>
                </c:pt>
              </c:numCache>
            </c:numRef>
          </c:yVal>
          <c:smooth val="0"/>
          <c:extLst>
            <c:ext xmlns:c16="http://schemas.microsoft.com/office/drawing/2014/chart" uri="{C3380CC4-5D6E-409C-BE32-E72D297353CC}">
              <c16:uniqueId val="{00000004-FE1A-40EE-BFF1-E60B78A8777B}"/>
            </c:ext>
          </c:extLst>
        </c:ser>
        <c:ser>
          <c:idx val="1"/>
          <c:order val="1"/>
          <c:tx>
            <c:strRef>
              <c:f>'Measured shrinkage'!$A$12402</c:f>
              <c:strCache>
                <c:ptCount val="1"/>
                <c:pt idx="0">
                  <c:v>A_068_19</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shrinkage'!$B$12402:$B$12421</c:f>
              <c:numCache>
                <c:formatCode>0</c:formatCode>
                <c:ptCount val="20"/>
                <c:pt idx="0">
                  <c:v>-0.13892699999999999</c:v>
                </c:pt>
                <c:pt idx="1">
                  <c:v>1.36212</c:v>
                </c:pt>
                <c:pt idx="2">
                  <c:v>2.04949</c:v>
                </c:pt>
                <c:pt idx="3">
                  <c:v>2.7374999999999998</c:v>
                </c:pt>
                <c:pt idx="4">
                  <c:v>4.9571800000000001</c:v>
                </c:pt>
                <c:pt idx="5">
                  <c:v>7.0290900000000001</c:v>
                </c:pt>
                <c:pt idx="6">
                  <c:v>8.8316800000000004</c:v>
                </c:pt>
                <c:pt idx="7">
                  <c:v>10.6295</c:v>
                </c:pt>
                <c:pt idx="8">
                  <c:v>13.6821</c:v>
                </c:pt>
                <c:pt idx="9">
                  <c:v>17.1465</c:v>
                </c:pt>
                <c:pt idx="10">
                  <c:v>21.1599</c:v>
                </c:pt>
                <c:pt idx="11">
                  <c:v>24.8996</c:v>
                </c:pt>
                <c:pt idx="12">
                  <c:v>28.084499999999998</c:v>
                </c:pt>
                <c:pt idx="13">
                  <c:v>34.322299999999998</c:v>
                </c:pt>
                <c:pt idx="14">
                  <c:v>38.063600000000001</c:v>
                </c:pt>
                <c:pt idx="15">
                  <c:v>40.834499999999998</c:v>
                </c:pt>
                <c:pt idx="16">
                  <c:v>47.902200000000001</c:v>
                </c:pt>
                <c:pt idx="17">
                  <c:v>59.128799999999998</c:v>
                </c:pt>
                <c:pt idx="18">
                  <c:v>81.030699999999996</c:v>
                </c:pt>
                <c:pt idx="19">
                  <c:v>95.860200000000006</c:v>
                </c:pt>
              </c:numCache>
            </c:numRef>
          </c:xVal>
          <c:yVal>
            <c:numRef>
              <c:f>'Measured shrinkage'!$C$12402:$C$12421</c:f>
              <c:numCache>
                <c:formatCode>0</c:formatCode>
                <c:ptCount val="20"/>
                <c:pt idx="0">
                  <c:v>3.6188099999999999</c:v>
                </c:pt>
                <c:pt idx="1">
                  <c:v>277.24599999999998</c:v>
                </c:pt>
                <c:pt idx="2">
                  <c:v>342.97800000000001</c:v>
                </c:pt>
                <c:pt idx="3">
                  <c:v>401.42</c:v>
                </c:pt>
                <c:pt idx="4">
                  <c:v>379.96499999999997</c:v>
                </c:pt>
                <c:pt idx="5">
                  <c:v>464.17700000000002</c:v>
                </c:pt>
                <c:pt idx="6">
                  <c:v>457.22300000000001</c:v>
                </c:pt>
                <c:pt idx="7">
                  <c:v>504.93799999999999</c:v>
                </c:pt>
                <c:pt idx="8">
                  <c:v>469.05900000000003</c:v>
                </c:pt>
                <c:pt idx="9">
                  <c:v>480.637</c:v>
                </c:pt>
                <c:pt idx="10">
                  <c:v>554.27599999999995</c:v>
                </c:pt>
                <c:pt idx="11">
                  <c:v>587.774</c:v>
                </c:pt>
                <c:pt idx="12">
                  <c:v>624.81200000000001</c:v>
                </c:pt>
                <c:pt idx="13">
                  <c:v>622.32799999999997</c:v>
                </c:pt>
                <c:pt idx="14">
                  <c:v>637.60199999999998</c:v>
                </c:pt>
                <c:pt idx="15">
                  <c:v>652.69600000000003</c:v>
                </c:pt>
                <c:pt idx="16">
                  <c:v>672.23299999999995</c:v>
                </c:pt>
                <c:pt idx="17">
                  <c:v>685.255</c:v>
                </c:pt>
                <c:pt idx="18">
                  <c:v>674.74900000000002</c:v>
                </c:pt>
                <c:pt idx="19">
                  <c:v>699.37400000000002</c:v>
                </c:pt>
              </c:numCache>
            </c:numRef>
          </c:yVal>
          <c:smooth val="0"/>
          <c:extLst>
            <c:ext xmlns:c16="http://schemas.microsoft.com/office/drawing/2014/chart" uri="{C3380CC4-5D6E-409C-BE32-E72D297353CC}">
              <c16:uniqueId val="{00000005-FE1A-40EE-BFF1-E60B78A8777B}"/>
            </c:ext>
          </c:extLst>
        </c:ser>
        <c:ser>
          <c:idx val="2"/>
          <c:order val="2"/>
          <c:tx>
            <c:strRef>
              <c:f>'Measured shrinkage'!$A$12345</c:f>
              <c:strCache>
                <c:ptCount val="1"/>
                <c:pt idx="0">
                  <c:v>A_068_16</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shrinkage'!$B$12345:$B$12364</c:f>
              <c:numCache>
                <c:formatCode>0</c:formatCode>
                <c:ptCount val="20"/>
                <c:pt idx="0">
                  <c:v>3.1352700000000002E-4</c:v>
                </c:pt>
                <c:pt idx="1">
                  <c:v>1.0214700000000001</c:v>
                </c:pt>
                <c:pt idx="2">
                  <c:v>1.8686199999999999</c:v>
                </c:pt>
                <c:pt idx="3">
                  <c:v>2.99261</c:v>
                </c:pt>
                <c:pt idx="4">
                  <c:v>4.9393000000000002</c:v>
                </c:pt>
                <c:pt idx="5">
                  <c:v>7.1806999999999999</c:v>
                </c:pt>
                <c:pt idx="6">
                  <c:v>8.9885000000000002</c:v>
                </c:pt>
                <c:pt idx="7">
                  <c:v>10.8066</c:v>
                </c:pt>
                <c:pt idx="8">
                  <c:v>13.5845</c:v>
                </c:pt>
                <c:pt idx="9">
                  <c:v>17.2057</c:v>
                </c:pt>
                <c:pt idx="10">
                  <c:v>21.254300000000001</c:v>
                </c:pt>
                <c:pt idx="11">
                  <c:v>24.8809</c:v>
                </c:pt>
                <c:pt idx="12">
                  <c:v>28.0885</c:v>
                </c:pt>
                <c:pt idx="13">
                  <c:v>34.213000000000001</c:v>
                </c:pt>
                <c:pt idx="14">
                  <c:v>38.113300000000002</c:v>
                </c:pt>
                <c:pt idx="15">
                  <c:v>41.038499999999999</c:v>
                </c:pt>
                <c:pt idx="16">
                  <c:v>48.002800000000001</c:v>
                </c:pt>
                <c:pt idx="17">
                  <c:v>59.002299999999998</c:v>
                </c:pt>
                <c:pt idx="18">
                  <c:v>81.133499999999998</c:v>
                </c:pt>
                <c:pt idx="19">
                  <c:v>96.171800000000005</c:v>
                </c:pt>
              </c:numCache>
            </c:numRef>
          </c:xVal>
          <c:yVal>
            <c:numRef>
              <c:f>'Measured shrinkage'!$C$12345:$C$12364</c:f>
              <c:numCache>
                <c:formatCode>0</c:formatCode>
                <c:ptCount val="20"/>
                <c:pt idx="0">
                  <c:v>1.80182</c:v>
                </c:pt>
                <c:pt idx="1">
                  <c:v>270.327</c:v>
                </c:pt>
                <c:pt idx="2">
                  <c:v>338.84199999999998</c:v>
                </c:pt>
                <c:pt idx="3">
                  <c:v>398.363</c:v>
                </c:pt>
                <c:pt idx="4">
                  <c:v>385.858</c:v>
                </c:pt>
                <c:pt idx="5">
                  <c:v>467.06299999999999</c:v>
                </c:pt>
                <c:pt idx="6">
                  <c:v>456.35199999999998</c:v>
                </c:pt>
                <c:pt idx="7">
                  <c:v>505.101</c:v>
                </c:pt>
                <c:pt idx="8">
                  <c:v>469.21800000000002</c:v>
                </c:pt>
                <c:pt idx="9">
                  <c:v>480.22800000000001</c:v>
                </c:pt>
                <c:pt idx="10">
                  <c:v>547.11800000000005</c:v>
                </c:pt>
                <c:pt idx="11">
                  <c:v>588.76</c:v>
                </c:pt>
                <c:pt idx="12">
                  <c:v>623.17100000000005</c:v>
                </c:pt>
                <c:pt idx="13">
                  <c:v>619.90499999999997</c:v>
                </c:pt>
                <c:pt idx="14">
                  <c:v>634.53499999999997</c:v>
                </c:pt>
                <c:pt idx="15">
                  <c:v>645.50699999999995</c:v>
                </c:pt>
                <c:pt idx="16">
                  <c:v>669.31399999999996</c:v>
                </c:pt>
                <c:pt idx="17">
                  <c:v>682.53399999999999</c:v>
                </c:pt>
                <c:pt idx="18">
                  <c:v>669.34</c:v>
                </c:pt>
                <c:pt idx="19">
                  <c:v>693.59299999999996</c:v>
                </c:pt>
              </c:numCache>
            </c:numRef>
          </c:yVal>
          <c:smooth val="0"/>
          <c:extLst>
            <c:ext xmlns:c16="http://schemas.microsoft.com/office/drawing/2014/chart" uri="{C3380CC4-5D6E-409C-BE32-E72D297353CC}">
              <c16:uniqueId val="{00000006-FE1A-40EE-BFF1-E60B78A8777B}"/>
            </c:ext>
          </c:extLst>
        </c:ser>
        <c:dLbls>
          <c:showLegendKey val="0"/>
          <c:showVal val="0"/>
          <c:showCatName val="0"/>
          <c:showSerName val="0"/>
          <c:showPercent val="0"/>
          <c:showBubbleSize val="0"/>
        </c:dLbls>
        <c:axId val="1006819376"/>
        <c:axId val="1006821344"/>
      </c:scatterChart>
      <c:valAx>
        <c:axId val="100681937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66439421069449667"/>
          <c:y val="0.57594354268677705"/>
          <c:w val="0.27515770067139211"/>
          <c:h val="0.24755233702371562"/>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S2-05: CEM I - 0.35 w/cm - Granite - </a:t>
            </a:r>
          </a:p>
          <a:p>
            <a:pPr>
              <a:defRPr sz="1100">
                <a:solidFill>
                  <a:sysClr val="windowText" lastClr="000000"/>
                </a:solidFill>
              </a:defRPr>
            </a:pPr>
            <a:r>
              <a:rPr lang="en-ZA" sz="1100">
                <a:solidFill>
                  <a:sysClr val="windowText" lastClr="000000"/>
                </a:solidFill>
              </a:rPr>
              <a:t>3% Superplasticiser, 1% Retarder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shrinkage'!$A$5892</c:f>
              <c:strCache>
                <c:ptCount val="1"/>
                <c:pt idx="0">
                  <c:v>A_022_03</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shrinkage'!$B$5892:$B$5918</c:f>
              <c:numCache>
                <c:formatCode>0</c:formatCode>
                <c:ptCount val="27"/>
                <c:pt idx="0">
                  <c:v>2.8461500000000002</c:v>
                </c:pt>
                <c:pt idx="1">
                  <c:v>3.7692300000000003</c:v>
                </c:pt>
                <c:pt idx="2">
                  <c:v>5.9393099999999999</c:v>
                </c:pt>
                <c:pt idx="3">
                  <c:v>5.9763099999999998</c:v>
                </c:pt>
                <c:pt idx="4">
                  <c:v>7.0389499999999998</c:v>
                </c:pt>
                <c:pt idx="5">
                  <c:v>8.0840599999999991</c:v>
                </c:pt>
                <c:pt idx="6">
                  <c:v>9.1311</c:v>
                </c:pt>
                <c:pt idx="7">
                  <c:v>9.9159000000000006</c:v>
                </c:pt>
                <c:pt idx="8">
                  <c:v>10.962999999999999</c:v>
                </c:pt>
                <c:pt idx="9">
                  <c:v>14.117800000000001</c:v>
                </c:pt>
                <c:pt idx="10">
                  <c:v>18.809200000000001</c:v>
                </c:pt>
                <c:pt idx="11">
                  <c:v>22.692299999999999</c:v>
                </c:pt>
                <c:pt idx="12">
                  <c:v>24.467700000000001</c:v>
                </c:pt>
                <c:pt idx="13">
                  <c:v>27.0318</c:v>
                </c:pt>
                <c:pt idx="14">
                  <c:v>31.155799999999999</c:v>
                </c:pt>
                <c:pt idx="15">
                  <c:v>32.179499999999997</c:v>
                </c:pt>
                <c:pt idx="16">
                  <c:v>33.976300000000002</c:v>
                </c:pt>
                <c:pt idx="17">
                  <c:v>37.585500000000003</c:v>
                </c:pt>
                <c:pt idx="18">
                  <c:v>38.865600000000001</c:v>
                </c:pt>
                <c:pt idx="19">
                  <c:v>41.686100000000003</c:v>
                </c:pt>
                <c:pt idx="20">
                  <c:v>46.045099999999998</c:v>
                </c:pt>
                <c:pt idx="21">
                  <c:v>50.662399999999998</c:v>
                </c:pt>
                <c:pt idx="22">
                  <c:v>57.583599999999997</c:v>
                </c:pt>
                <c:pt idx="23">
                  <c:v>72.218400000000003</c:v>
                </c:pt>
                <c:pt idx="24">
                  <c:v>77.109700000000004</c:v>
                </c:pt>
                <c:pt idx="25">
                  <c:v>84.565100000000001</c:v>
                </c:pt>
                <c:pt idx="26">
                  <c:v>94.069800000000001</c:v>
                </c:pt>
              </c:numCache>
            </c:numRef>
          </c:xVal>
          <c:yVal>
            <c:numRef>
              <c:f>'Measured shrinkage'!$C$5892:$C$5918</c:f>
              <c:numCache>
                <c:formatCode>0</c:formatCode>
                <c:ptCount val="27"/>
                <c:pt idx="0">
                  <c:v>0</c:v>
                </c:pt>
                <c:pt idx="1">
                  <c:v>16</c:v>
                </c:pt>
                <c:pt idx="2">
                  <c:v>28.354399999999998</c:v>
                </c:pt>
                <c:pt idx="3">
                  <c:v>32.202500000000001</c:v>
                </c:pt>
                <c:pt idx="4">
                  <c:v>36.050600000000003</c:v>
                </c:pt>
                <c:pt idx="5">
                  <c:v>38.075899999999997</c:v>
                </c:pt>
                <c:pt idx="6">
                  <c:v>40.303800000000003</c:v>
                </c:pt>
                <c:pt idx="7">
                  <c:v>41.924100000000003</c:v>
                </c:pt>
                <c:pt idx="8">
                  <c:v>44.151899999999998</c:v>
                </c:pt>
                <c:pt idx="9">
                  <c:v>52.2532</c:v>
                </c:pt>
                <c:pt idx="10">
                  <c:v>60.151899999999998</c:v>
                </c:pt>
                <c:pt idx="11">
                  <c:v>64</c:v>
                </c:pt>
                <c:pt idx="12">
                  <c:v>61.974699999999999</c:v>
                </c:pt>
                <c:pt idx="13">
                  <c:v>61.974699999999999</c:v>
                </c:pt>
                <c:pt idx="14">
                  <c:v>64.202500000000001</c:v>
                </c:pt>
                <c:pt idx="15">
                  <c:v>64</c:v>
                </c:pt>
                <c:pt idx="16">
                  <c:v>64.202500000000001</c:v>
                </c:pt>
                <c:pt idx="17">
                  <c:v>66.227800000000002</c:v>
                </c:pt>
                <c:pt idx="18">
                  <c:v>66.025300000000001</c:v>
                </c:pt>
                <c:pt idx="19">
                  <c:v>66.025300000000001</c:v>
                </c:pt>
                <c:pt idx="20">
                  <c:v>66.025300000000001</c:v>
                </c:pt>
                <c:pt idx="21">
                  <c:v>66.227800000000002</c:v>
                </c:pt>
                <c:pt idx="22">
                  <c:v>66.025300000000001</c:v>
                </c:pt>
                <c:pt idx="23">
                  <c:v>68.050600000000003</c:v>
                </c:pt>
                <c:pt idx="24">
                  <c:v>70.075900000000004</c:v>
                </c:pt>
                <c:pt idx="25">
                  <c:v>72.101299999999995</c:v>
                </c:pt>
                <c:pt idx="26">
                  <c:v>73.924099999999996</c:v>
                </c:pt>
              </c:numCache>
            </c:numRef>
          </c:yVal>
          <c:smooth val="0"/>
          <c:extLst>
            <c:ext xmlns:c16="http://schemas.microsoft.com/office/drawing/2014/chart" uri="{C3380CC4-5D6E-409C-BE32-E72D297353CC}">
              <c16:uniqueId val="{00000004-4C74-4F33-B403-D33FCEF8EB58}"/>
            </c:ext>
          </c:extLst>
        </c:ser>
        <c:ser>
          <c:idx val="1"/>
          <c:order val="1"/>
          <c:tx>
            <c:strRef>
              <c:f>'Measured shrinkage'!$A$5948</c:f>
              <c:strCache>
                <c:ptCount val="1"/>
                <c:pt idx="0">
                  <c:v>A_022_05</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shrinkage'!$B$5948:$B$5971</c:f>
              <c:numCache>
                <c:formatCode>0</c:formatCode>
                <c:ptCount val="24"/>
                <c:pt idx="0">
                  <c:v>2.04569</c:v>
                </c:pt>
                <c:pt idx="1">
                  <c:v>2.29949</c:v>
                </c:pt>
                <c:pt idx="2">
                  <c:v>2.5533000000000001</c:v>
                </c:pt>
                <c:pt idx="3">
                  <c:v>3.0609099999999998</c:v>
                </c:pt>
                <c:pt idx="4">
                  <c:v>4.0761399999999997</c:v>
                </c:pt>
                <c:pt idx="5">
                  <c:v>5.0913700000000004</c:v>
                </c:pt>
                <c:pt idx="6">
                  <c:v>6.1066000000000003</c:v>
                </c:pt>
                <c:pt idx="7">
                  <c:v>7.1218299999999992</c:v>
                </c:pt>
                <c:pt idx="8">
                  <c:v>8.8984799999999993</c:v>
                </c:pt>
                <c:pt idx="9">
                  <c:v>10.4213</c:v>
                </c:pt>
                <c:pt idx="10">
                  <c:v>12.7056</c:v>
                </c:pt>
                <c:pt idx="11">
                  <c:v>13.720800000000001</c:v>
                </c:pt>
                <c:pt idx="12">
                  <c:v>17.527899999999999</c:v>
                </c:pt>
                <c:pt idx="13">
                  <c:v>19.558399999999999</c:v>
                </c:pt>
                <c:pt idx="14">
                  <c:v>22.096399999999999</c:v>
                </c:pt>
                <c:pt idx="15">
                  <c:v>26.157399999999999</c:v>
                </c:pt>
                <c:pt idx="16">
                  <c:v>32.248699999999999</c:v>
                </c:pt>
                <c:pt idx="17">
                  <c:v>36.309600000000003</c:v>
                </c:pt>
                <c:pt idx="18">
                  <c:v>40.624400000000001</c:v>
                </c:pt>
                <c:pt idx="19">
                  <c:v>51.791899999999998</c:v>
                </c:pt>
                <c:pt idx="20">
                  <c:v>63.974599999999995</c:v>
                </c:pt>
                <c:pt idx="21">
                  <c:v>71.334999999999994</c:v>
                </c:pt>
                <c:pt idx="22">
                  <c:v>78.441599999999994</c:v>
                </c:pt>
                <c:pt idx="23">
                  <c:v>88.340100000000007</c:v>
                </c:pt>
              </c:numCache>
            </c:numRef>
          </c:xVal>
          <c:yVal>
            <c:numRef>
              <c:f>'Measured shrinkage'!$C$5948:$C$5971</c:f>
              <c:numCache>
                <c:formatCode>0</c:formatCode>
                <c:ptCount val="24"/>
                <c:pt idx="0">
                  <c:v>2.8400000000000001E-14</c:v>
                </c:pt>
                <c:pt idx="1">
                  <c:v>5.8227799999999998</c:v>
                </c:pt>
                <c:pt idx="2">
                  <c:v>8.1012699999999995</c:v>
                </c:pt>
                <c:pt idx="3">
                  <c:v>24.050599999999999</c:v>
                </c:pt>
                <c:pt idx="4">
                  <c:v>32.151899999999998</c:v>
                </c:pt>
                <c:pt idx="5">
                  <c:v>42.278500000000001</c:v>
                </c:pt>
                <c:pt idx="6">
                  <c:v>44.050600000000003</c:v>
                </c:pt>
                <c:pt idx="7">
                  <c:v>48.101300000000002</c:v>
                </c:pt>
                <c:pt idx="8">
                  <c:v>50.126600000000003</c:v>
                </c:pt>
                <c:pt idx="9">
                  <c:v>57.974699999999999</c:v>
                </c:pt>
                <c:pt idx="10">
                  <c:v>66.329099999999997</c:v>
                </c:pt>
                <c:pt idx="11">
                  <c:v>68.101299999999995</c:v>
                </c:pt>
                <c:pt idx="12">
                  <c:v>70.126599999999996</c:v>
                </c:pt>
                <c:pt idx="13">
                  <c:v>68.101299999999995</c:v>
                </c:pt>
                <c:pt idx="14">
                  <c:v>68.101299999999995</c:v>
                </c:pt>
                <c:pt idx="15">
                  <c:v>70.126599999999996</c:v>
                </c:pt>
                <c:pt idx="16">
                  <c:v>66.329099999999997</c:v>
                </c:pt>
                <c:pt idx="17">
                  <c:v>74.430400000000006</c:v>
                </c:pt>
                <c:pt idx="18">
                  <c:v>76.202500000000001</c:v>
                </c:pt>
                <c:pt idx="19">
                  <c:v>80.253200000000007</c:v>
                </c:pt>
                <c:pt idx="20">
                  <c:v>80.253200000000007</c:v>
                </c:pt>
                <c:pt idx="21">
                  <c:v>82.278499999999994</c:v>
                </c:pt>
                <c:pt idx="22">
                  <c:v>84.303799999999995</c:v>
                </c:pt>
                <c:pt idx="23">
                  <c:v>86.329099999999997</c:v>
                </c:pt>
              </c:numCache>
            </c:numRef>
          </c:yVal>
          <c:smooth val="0"/>
          <c:extLst>
            <c:ext xmlns:c16="http://schemas.microsoft.com/office/drawing/2014/chart" uri="{C3380CC4-5D6E-409C-BE32-E72D297353CC}">
              <c16:uniqueId val="{00000005-4C74-4F33-B403-D33FCEF8EB58}"/>
            </c:ext>
          </c:extLst>
        </c:ser>
        <c:dLbls>
          <c:showLegendKey val="0"/>
          <c:showVal val="0"/>
          <c:showCatName val="0"/>
          <c:showSerName val="0"/>
          <c:showPercent val="0"/>
          <c:showBubbleSize val="0"/>
        </c:dLbls>
        <c:axId val="1006819376"/>
        <c:axId val="1006821344"/>
      </c:scatterChart>
      <c:valAx>
        <c:axId val="100681937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majorUnit val="50"/>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68944484892689906"/>
          <c:y val="0.62692347764758682"/>
          <c:w val="0.25289046668703441"/>
          <c:h val="0.19720775161491974"/>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S2-06: CEM II (A-D) - 0.23 w/cm - Quartzite - </a:t>
            </a:r>
          </a:p>
          <a:p>
            <a:pPr>
              <a:defRPr sz="1100">
                <a:solidFill>
                  <a:sysClr val="windowText" lastClr="000000"/>
                </a:solidFill>
              </a:defRPr>
            </a:pPr>
            <a:r>
              <a:rPr lang="en-ZA" sz="1100">
                <a:solidFill>
                  <a:sysClr val="windowText" lastClr="000000"/>
                </a:solidFill>
              </a:rPr>
              <a:t>2% Superplasticiser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shrinkage'!$A$18572</c:f>
              <c:strCache>
                <c:ptCount val="1"/>
                <c:pt idx="0">
                  <c:v>A_086_41</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shrinkage'!$B$18572:$B$18587</c:f>
              <c:numCache>
                <c:formatCode>0</c:formatCode>
                <c:ptCount val="16"/>
                <c:pt idx="0">
                  <c:v>2.1180500000000002</c:v>
                </c:pt>
                <c:pt idx="1">
                  <c:v>4.8865800000000004</c:v>
                </c:pt>
                <c:pt idx="2">
                  <c:v>8.8797200000000007</c:v>
                </c:pt>
                <c:pt idx="3">
                  <c:v>12.281499999999999</c:v>
                </c:pt>
                <c:pt idx="4">
                  <c:v>23.8855</c:v>
                </c:pt>
                <c:pt idx="5">
                  <c:v>30.3324</c:v>
                </c:pt>
                <c:pt idx="6">
                  <c:v>35.927199999999999</c:v>
                </c:pt>
                <c:pt idx="7">
                  <c:v>48.851799999999997</c:v>
                </c:pt>
                <c:pt idx="8">
                  <c:v>73.593699999999998</c:v>
                </c:pt>
                <c:pt idx="9">
                  <c:v>175.852</c:v>
                </c:pt>
                <c:pt idx="10">
                  <c:v>336.553</c:v>
                </c:pt>
                <c:pt idx="11">
                  <c:v>441.87200000000001</c:v>
                </c:pt>
                <c:pt idx="12">
                  <c:v>570.93899999999996</c:v>
                </c:pt>
                <c:pt idx="13">
                  <c:v>1036.6600000000001</c:v>
                </c:pt>
                <c:pt idx="14">
                  <c:v>1616.27</c:v>
                </c:pt>
                <c:pt idx="15">
                  <c:v>2123.27</c:v>
                </c:pt>
              </c:numCache>
            </c:numRef>
          </c:xVal>
          <c:yVal>
            <c:numRef>
              <c:f>'Measured shrinkage'!$C$18572:$C$18587</c:f>
              <c:numCache>
                <c:formatCode>0</c:formatCode>
                <c:ptCount val="16"/>
                <c:pt idx="0">
                  <c:v>63.996000000000002</c:v>
                </c:pt>
                <c:pt idx="1">
                  <c:v>125.292</c:v>
                </c:pt>
                <c:pt idx="2">
                  <c:v>162.57599999999999</c:v>
                </c:pt>
                <c:pt idx="3">
                  <c:v>178.536</c:v>
                </c:pt>
                <c:pt idx="4">
                  <c:v>237.20500000000001</c:v>
                </c:pt>
                <c:pt idx="5">
                  <c:v>250.51400000000001</c:v>
                </c:pt>
                <c:pt idx="6">
                  <c:v>325.38099999999997</c:v>
                </c:pt>
                <c:pt idx="7">
                  <c:v>338.67</c:v>
                </c:pt>
                <c:pt idx="8">
                  <c:v>354.60399999999998</c:v>
                </c:pt>
                <c:pt idx="9">
                  <c:v>373.08</c:v>
                </c:pt>
                <c:pt idx="10">
                  <c:v>383.59399999999999</c:v>
                </c:pt>
                <c:pt idx="11">
                  <c:v>437.02699999999999</c:v>
                </c:pt>
                <c:pt idx="12">
                  <c:v>439.62799999999999</c:v>
                </c:pt>
                <c:pt idx="13">
                  <c:v>514.37099999999998</c:v>
                </c:pt>
                <c:pt idx="14">
                  <c:v>522.26900000000001</c:v>
                </c:pt>
                <c:pt idx="15">
                  <c:v>548.94500000000005</c:v>
                </c:pt>
              </c:numCache>
            </c:numRef>
          </c:yVal>
          <c:smooth val="0"/>
          <c:extLst>
            <c:ext xmlns:c16="http://schemas.microsoft.com/office/drawing/2014/chart" uri="{C3380CC4-5D6E-409C-BE32-E72D297353CC}">
              <c16:uniqueId val="{00000004-D1CB-421D-8525-DE0145FC6042}"/>
            </c:ext>
          </c:extLst>
        </c:ser>
        <c:ser>
          <c:idx val="1"/>
          <c:order val="1"/>
          <c:tx>
            <c:strRef>
              <c:f>'Measured shrinkage'!$A$18588</c:f>
              <c:strCache>
                <c:ptCount val="1"/>
                <c:pt idx="0">
                  <c:v>A_086_42</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shrinkage'!$B$18588:$B$18599</c:f>
              <c:numCache>
                <c:formatCode>0</c:formatCode>
                <c:ptCount val="12"/>
                <c:pt idx="0">
                  <c:v>1</c:v>
                </c:pt>
                <c:pt idx="1">
                  <c:v>2.08264</c:v>
                </c:pt>
                <c:pt idx="2">
                  <c:v>8.4490099999999995</c:v>
                </c:pt>
                <c:pt idx="3">
                  <c:v>30.872800000000002</c:v>
                </c:pt>
                <c:pt idx="4">
                  <c:v>53.291400000000003</c:v>
                </c:pt>
                <c:pt idx="5">
                  <c:v>148.357</c:v>
                </c:pt>
                <c:pt idx="6">
                  <c:v>314.60500000000002</c:v>
                </c:pt>
                <c:pt idx="7">
                  <c:v>498.84399999999999</c:v>
                </c:pt>
                <c:pt idx="8">
                  <c:v>612.76199999999994</c:v>
                </c:pt>
                <c:pt idx="9">
                  <c:v>1212.05</c:v>
                </c:pt>
                <c:pt idx="10">
                  <c:v>1592.34</c:v>
                </c:pt>
                <c:pt idx="11">
                  <c:v>2278.2800000000002</c:v>
                </c:pt>
              </c:numCache>
            </c:numRef>
          </c:xVal>
          <c:yVal>
            <c:numRef>
              <c:f>'Measured shrinkage'!$C$18588:$C$18599</c:f>
              <c:numCache>
                <c:formatCode>0</c:formatCode>
                <c:ptCount val="12"/>
                <c:pt idx="0">
                  <c:v>2.2699999999999999E-13</c:v>
                </c:pt>
                <c:pt idx="1">
                  <c:v>53.2986</c:v>
                </c:pt>
                <c:pt idx="2">
                  <c:v>90.35</c:v>
                </c:pt>
                <c:pt idx="3">
                  <c:v>223.75299999999999</c:v>
                </c:pt>
                <c:pt idx="4">
                  <c:v>266.404</c:v>
                </c:pt>
                <c:pt idx="5">
                  <c:v>332.99599999999998</c:v>
                </c:pt>
                <c:pt idx="6">
                  <c:v>340.80399999999997</c:v>
                </c:pt>
                <c:pt idx="7">
                  <c:v>359.399</c:v>
                </c:pt>
                <c:pt idx="8">
                  <c:v>329.90800000000002</c:v>
                </c:pt>
                <c:pt idx="9">
                  <c:v>396.6</c:v>
                </c:pt>
                <c:pt idx="10">
                  <c:v>420.601</c:v>
                </c:pt>
                <c:pt idx="11">
                  <c:v>449.928</c:v>
                </c:pt>
              </c:numCache>
            </c:numRef>
          </c:yVal>
          <c:smooth val="0"/>
          <c:extLst>
            <c:ext xmlns:c16="http://schemas.microsoft.com/office/drawing/2014/chart" uri="{C3380CC4-5D6E-409C-BE32-E72D297353CC}">
              <c16:uniqueId val="{00000005-D1CB-421D-8525-DE0145FC6042}"/>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70336187016712259"/>
          <c:y val="0.60147747126805262"/>
          <c:w val="0.2383536448788211"/>
          <c:h val="0.22265375799445392"/>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S2-07: CEM II (A-D) - 0.28 w/cm - Granite - </a:t>
            </a:r>
          </a:p>
          <a:p>
            <a:pPr>
              <a:defRPr sz="1100">
                <a:solidFill>
                  <a:sysClr val="windowText" lastClr="000000"/>
                </a:solidFill>
              </a:defRPr>
            </a:pPr>
            <a:r>
              <a:rPr lang="en-ZA" sz="1100">
                <a:solidFill>
                  <a:sysClr val="windowText" lastClr="000000"/>
                </a:solidFill>
              </a:rPr>
              <a:t>2% Superplasticiser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shrinkage'!$A$18501</c:f>
              <c:strCache>
                <c:ptCount val="1"/>
                <c:pt idx="0">
                  <c:v>A_086_36</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shrinkage'!$B$18501:$B$18509</c:f>
              <c:numCache>
                <c:formatCode>0</c:formatCode>
                <c:ptCount val="9"/>
                <c:pt idx="0">
                  <c:v>5.0499599999999996</c:v>
                </c:pt>
                <c:pt idx="1">
                  <c:v>46.370899999999999</c:v>
                </c:pt>
                <c:pt idx="2">
                  <c:v>147.37799999999999</c:v>
                </c:pt>
                <c:pt idx="3">
                  <c:v>182.90899999999999</c:v>
                </c:pt>
                <c:pt idx="4">
                  <c:v>237.55799999999999</c:v>
                </c:pt>
                <c:pt idx="5">
                  <c:v>420.55900000000003</c:v>
                </c:pt>
                <c:pt idx="6">
                  <c:v>618.13900000000001</c:v>
                </c:pt>
                <c:pt idx="7">
                  <c:v>754.47199999999998</c:v>
                </c:pt>
                <c:pt idx="8">
                  <c:v>1354.01</c:v>
                </c:pt>
              </c:numCache>
            </c:numRef>
          </c:xVal>
          <c:yVal>
            <c:numRef>
              <c:f>'Measured shrinkage'!$C$18501:$C$18509</c:f>
              <c:numCache>
                <c:formatCode>0</c:formatCode>
                <c:ptCount val="9"/>
                <c:pt idx="0">
                  <c:v>27.412099999999999</c:v>
                </c:pt>
                <c:pt idx="1">
                  <c:v>250.238</c:v>
                </c:pt>
                <c:pt idx="2">
                  <c:v>289.137</c:v>
                </c:pt>
                <c:pt idx="3">
                  <c:v>289.09899999999999</c:v>
                </c:pt>
                <c:pt idx="4">
                  <c:v>333.04399999999998</c:v>
                </c:pt>
                <c:pt idx="5">
                  <c:v>315.02100000000002</c:v>
                </c:pt>
                <c:pt idx="6">
                  <c:v>344.28100000000001</c:v>
                </c:pt>
                <c:pt idx="7">
                  <c:v>409.41800000000001</c:v>
                </c:pt>
                <c:pt idx="8">
                  <c:v>484.26400000000001</c:v>
                </c:pt>
              </c:numCache>
            </c:numRef>
          </c:yVal>
          <c:smooth val="0"/>
          <c:extLst>
            <c:ext xmlns:c16="http://schemas.microsoft.com/office/drawing/2014/chart" uri="{C3380CC4-5D6E-409C-BE32-E72D297353CC}">
              <c16:uniqueId val="{00000004-7B98-442E-AD69-CA862B40DB5B}"/>
            </c:ext>
          </c:extLst>
        </c:ser>
        <c:ser>
          <c:idx val="1"/>
          <c:order val="1"/>
          <c:tx>
            <c:strRef>
              <c:f>'Measured shrinkage'!$A$18510</c:f>
              <c:strCache>
                <c:ptCount val="1"/>
                <c:pt idx="0">
                  <c:v>A_086_37</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shrinkage'!$B$18510:$B$18525</c:f>
              <c:numCache>
                <c:formatCode>0</c:formatCode>
                <c:ptCount val="16"/>
                <c:pt idx="0">
                  <c:v>13.5482</c:v>
                </c:pt>
                <c:pt idx="1">
                  <c:v>31.1052</c:v>
                </c:pt>
                <c:pt idx="2">
                  <c:v>70.300799999999995</c:v>
                </c:pt>
                <c:pt idx="3">
                  <c:v>100.22</c:v>
                </c:pt>
                <c:pt idx="4">
                  <c:v>149.58500000000001</c:v>
                </c:pt>
                <c:pt idx="5">
                  <c:v>185.584</c:v>
                </c:pt>
                <c:pt idx="6">
                  <c:v>240.941</c:v>
                </c:pt>
                <c:pt idx="7">
                  <c:v>299.02</c:v>
                </c:pt>
                <c:pt idx="8">
                  <c:v>370.65499999999997</c:v>
                </c:pt>
                <c:pt idx="9">
                  <c:v>419.649</c:v>
                </c:pt>
                <c:pt idx="10">
                  <c:v>645.61300000000006</c:v>
                </c:pt>
                <c:pt idx="11">
                  <c:v>776.77099999999996</c:v>
                </c:pt>
                <c:pt idx="12">
                  <c:v>851.43799999999999</c:v>
                </c:pt>
                <c:pt idx="13">
                  <c:v>1124.08</c:v>
                </c:pt>
                <c:pt idx="14">
                  <c:v>2112.89</c:v>
                </c:pt>
                <c:pt idx="15">
                  <c:v>2706.92</c:v>
                </c:pt>
              </c:numCache>
            </c:numRef>
          </c:xVal>
          <c:yVal>
            <c:numRef>
              <c:f>'Measured shrinkage'!$C$18510:$C$18525</c:f>
              <c:numCache>
                <c:formatCode>0</c:formatCode>
                <c:ptCount val="16"/>
                <c:pt idx="0">
                  <c:v>53.306800000000003</c:v>
                </c:pt>
                <c:pt idx="1">
                  <c:v>155.80699999999999</c:v>
                </c:pt>
                <c:pt idx="2">
                  <c:v>272.97500000000002</c:v>
                </c:pt>
                <c:pt idx="3">
                  <c:v>285.947</c:v>
                </c:pt>
                <c:pt idx="4">
                  <c:v>318.46199999999999</c:v>
                </c:pt>
                <c:pt idx="5">
                  <c:v>336.34699999999998</c:v>
                </c:pt>
                <c:pt idx="6">
                  <c:v>399.84399999999999</c:v>
                </c:pt>
                <c:pt idx="7">
                  <c:v>401.43599999999998</c:v>
                </c:pt>
                <c:pt idx="8">
                  <c:v>464.94099999999997</c:v>
                </c:pt>
                <c:pt idx="9">
                  <c:v>427.44499999999999</c:v>
                </c:pt>
                <c:pt idx="10">
                  <c:v>489.28300000000002</c:v>
                </c:pt>
                <c:pt idx="11">
                  <c:v>499.02600000000001</c:v>
                </c:pt>
                <c:pt idx="12">
                  <c:v>539.74300000000005</c:v>
                </c:pt>
                <c:pt idx="13">
                  <c:v>534.80600000000004</c:v>
                </c:pt>
                <c:pt idx="14">
                  <c:v>609.64400000000001</c:v>
                </c:pt>
                <c:pt idx="15">
                  <c:v>562.34900000000005</c:v>
                </c:pt>
              </c:numCache>
            </c:numRef>
          </c:yVal>
          <c:smooth val="0"/>
          <c:extLst>
            <c:ext xmlns:c16="http://schemas.microsoft.com/office/drawing/2014/chart" uri="{C3380CC4-5D6E-409C-BE32-E72D297353CC}">
              <c16:uniqueId val="{00000005-7B98-442E-AD69-CA862B40DB5B}"/>
            </c:ext>
          </c:extLst>
        </c:ser>
        <c:ser>
          <c:idx val="2"/>
          <c:order val="2"/>
          <c:tx>
            <c:strRef>
              <c:f>'Measured shrinkage'!$A$18489</c:f>
              <c:strCache>
                <c:ptCount val="1"/>
                <c:pt idx="0">
                  <c:v>A_086_35</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shrinkage'!$B$18489:$B$18500</c:f>
              <c:numCache>
                <c:formatCode>0</c:formatCode>
                <c:ptCount val="12"/>
                <c:pt idx="0">
                  <c:v>3.1310600000000002</c:v>
                </c:pt>
                <c:pt idx="1">
                  <c:v>5.2069000000000001</c:v>
                </c:pt>
                <c:pt idx="2">
                  <c:v>19.576899999999998</c:v>
                </c:pt>
                <c:pt idx="3">
                  <c:v>42.937899999999999</c:v>
                </c:pt>
                <c:pt idx="4">
                  <c:v>60.261499999999998</c:v>
                </c:pt>
                <c:pt idx="5">
                  <c:v>91.345200000000006</c:v>
                </c:pt>
                <c:pt idx="6">
                  <c:v>230.18799999999999</c:v>
                </c:pt>
                <c:pt idx="7">
                  <c:v>426.68200000000002</c:v>
                </c:pt>
                <c:pt idx="8">
                  <c:v>571.87199999999996</c:v>
                </c:pt>
                <c:pt idx="9">
                  <c:v>1058.8699999999999</c:v>
                </c:pt>
                <c:pt idx="10">
                  <c:v>1789.22</c:v>
                </c:pt>
                <c:pt idx="11">
                  <c:v>2084.34</c:v>
                </c:pt>
              </c:numCache>
            </c:numRef>
          </c:xVal>
          <c:yVal>
            <c:numRef>
              <c:f>'Measured shrinkage'!$C$18489:$C$18500</c:f>
              <c:numCache>
                <c:formatCode>0</c:formatCode>
                <c:ptCount val="12"/>
                <c:pt idx="0">
                  <c:v>14.462</c:v>
                </c:pt>
                <c:pt idx="1">
                  <c:v>40.441299999999998</c:v>
                </c:pt>
                <c:pt idx="2">
                  <c:v>165.66499999999999</c:v>
                </c:pt>
                <c:pt idx="3">
                  <c:v>238.846</c:v>
                </c:pt>
                <c:pt idx="4">
                  <c:v>263.226</c:v>
                </c:pt>
                <c:pt idx="5">
                  <c:v>294.11</c:v>
                </c:pt>
                <c:pt idx="6">
                  <c:v>367.26600000000002</c:v>
                </c:pt>
                <c:pt idx="7">
                  <c:v>365.52699999999999</c:v>
                </c:pt>
                <c:pt idx="8">
                  <c:v>378.51</c:v>
                </c:pt>
                <c:pt idx="9">
                  <c:v>433.798</c:v>
                </c:pt>
                <c:pt idx="10">
                  <c:v>432.07600000000002</c:v>
                </c:pt>
                <c:pt idx="11">
                  <c:v>515.14499999999998</c:v>
                </c:pt>
              </c:numCache>
            </c:numRef>
          </c:yVal>
          <c:smooth val="0"/>
          <c:extLst>
            <c:ext xmlns:c16="http://schemas.microsoft.com/office/drawing/2014/chart" uri="{C3380CC4-5D6E-409C-BE32-E72D297353CC}">
              <c16:uniqueId val="{00000006-7B98-442E-AD69-CA862B40DB5B}"/>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58645889174924459"/>
          <c:y val="0.63710188019940051"/>
          <c:w val="0.35587642386468887"/>
          <c:h val="0.18639379999038264"/>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S2-08: CEM II (A-D) - 0.28 w/cm - Quartzite - </a:t>
            </a:r>
          </a:p>
          <a:p>
            <a:pPr>
              <a:defRPr sz="1100">
                <a:solidFill>
                  <a:sysClr val="windowText" lastClr="000000"/>
                </a:solidFill>
              </a:defRPr>
            </a:pPr>
            <a:r>
              <a:rPr lang="en-ZA" sz="1100">
                <a:solidFill>
                  <a:sysClr val="windowText" lastClr="000000"/>
                </a:solidFill>
              </a:rPr>
              <a:t>1% Superplasticiser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shrinkage'!$A$18349</c:f>
              <c:strCache>
                <c:ptCount val="1"/>
                <c:pt idx="0">
                  <c:v>A_086_26</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shrinkage'!$B$18349:$B$18366</c:f>
              <c:numCache>
                <c:formatCode>0</c:formatCode>
                <c:ptCount val="18"/>
                <c:pt idx="0">
                  <c:v>1.0351600000000001</c:v>
                </c:pt>
                <c:pt idx="1">
                  <c:v>1.96193</c:v>
                </c:pt>
                <c:pt idx="2">
                  <c:v>3.9845100000000002</c:v>
                </c:pt>
                <c:pt idx="3">
                  <c:v>6.3533400000000002</c:v>
                </c:pt>
                <c:pt idx="4">
                  <c:v>7.8173199999999996</c:v>
                </c:pt>
                <c:pt idx="5">
                  <c:v>10.669499999999999</c:v>
                </c:pt>
                <c:pt idx="6">
                  <c:v>11.835100000000001</c:v>
                </c:pt>
                <c:pt idx="7">
                  <c:v>28.080500000000001</c:v>
                </c:pt>
                <c:pt idx="8">
                  <c:v>184.679</c:v>
                </c:pt>
                <c:pt idx="9">
                  <c:v>310.14</c:v>
                </c:pt>
                <c:pt idx="10">
                  <c:v>356.11900000000003</c:v>
                </c:pt>
                <c:pt idx="11">
                  <c:v>587.80200000000002</c:v>
                </c:pt>
                <c:pt idx="12">
                  <c:v>629.86800000000005</c:v>
                </c:pt>
                <c:pt idx="13">
                  <c:v>686.70899999999995</c:v>
                </c:pt>
                <c:pt idx="14">
                  <c:v>921.197</c:v>
                </c:pt>
                <c:pt idx="15">
                  <c:v>1235.76</c:v>
                </c:pt>
                <c:pt idx="16">
                  <c:v>1468.86</c:v>
                </c:pt>
                <c:pt idx="17">
                  <c:v>2111.44</c:v>
                </c:pt>
              </c:numCache>
            </c:numRef>
          </c:xVal>
          <c:yVal>
            <c:numRef>
              <c:f>'Measured shrinkage'!$C$18349:$C$18366</c:f>
              <c:numCache>
                <c:formatCode>0</c:formatCode>
                <c:ptCount val="18"/>
                <c:pt idx="0">
                  <c:v>32.056800000000003</c:v>
                </c:pt>
                <c:pt idx="1">
                  <c:v>6.7864500000000003</c:v>
                </c:pt>
                <c:pt idx="2">
                  <c:v>43.339599999999997</c:v>
                </c:pt>
                <c:pt idx="3">
                  <c:v>54.731999999999999</c:v>
                </c:pt>
                <c:pt idx="4">
                  <c:v>68.446600000000004</c:v>
                </c:pt>
                <c:pt idx="5">
                  <c:v>62.6828</c:v>
                </c:pt>
                <c:pt idx="6">
                  <c:v>94.730999999999995</c:v>
                </c:pt>
                <c:pt idx="7">
                  <c:v>122.104</c:v>
                </c:pt>
                <c:pt idx="8">
                  <c:v>124.16</c:v>
                </c:pt>
                <c:pt idx="9">
                  <c:v>189.363</c:v>
                </c:pt>
                <c:pt idx="10">
                  <c:v>213.392</c:v>
                </c:pt>
                <c:pt idx="11">
                  <c:v>206.459</c:v>
                </c:pt>
                <c:pt idx="12">
                  <c:v>310.649</c:v>
                </c:pt>
                <c:pt idx="13">
                  <c:v>327.81400000000002</c:v>
                </c:pt>
                <c:pt idx="14">
                  <c:v>379.30399999999997</c:v>
                </c:pt>
                <c:pt idx="15">
                  <c:v>364.38200000000001</c:v>
                </c:pt>
                <c:pt idx="16">
                  <c:v>414.74200000000002</c:v>
                </c:pt>
                <c:pt idx="17">
                  <c:v>441.03300000000002</c:v>
                </c:pt>
              </c:numCache>
            </c:numRef>
          </c:yVal>
          <c:smooth val="0"/>
          <c:extLst>
            <c:ext xmlns:c16="http://schemas.microsoft.com/office/drawing/2014/chart" uri="{C3380CC4-5D6E-409C-BE32-E72D297353CC}">
              <c16:uniqueId val="{00000004-B89C-4425-A3F6-1793A8EB9C1D}"/>
            </c:ext>
          </c:extLst>
        </c:ser>
        <c:ser>
          <c:idx val="1"/>
          <c:order val="1"/>
          <c:tx>
            <c:strRef>
              <c:f>'Measured shrinkage'!$A$18414</c:f>
              <c:strCache>
                <c:ptCount val="1"/>
                <c:pt idx="0">
                  <c:v>A_086_30</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shrinkage'!$B$18414:$B$18430</c:f>
              <c:numCache>
                <c:formatCode>0</c:formatCode>
                <c:ptCount val="17"/>
                <c:pt idx="0">
                  <c:v>0.96958200000000005</c:v>
                </c:pt>
                <c:pt idx="1">
                  <c:v>2.9883700000000002</c:v>
                </c:pt>
                <c:pt idx="2">
                  <c:v>4.9637500000000001</c:v>
                </c:pt>
                <c:pt idx="3">
                  <c:v>12.2539</c:v>
                </c:pt>
                <c:pt idx="4">
                  <c:v>26.264399999999998</c:v>
                </c:pt>
                <c:pt idx="5">
                  <c:v>30.292999999999999</c:v>
                </c:pt>
                <c:pt idx="6">
                  <c:v>54.5107</c:v>
                </c:pt>
                <c:pt idx="7">
                  <c:v>81.101799999999997</c:v>
                </c:pt>
                <c:pt idx="8">
                  <c:v>188.00399999999999</c:v>
                </c:pt>
                <c:pt idx="9">
                  <c:v>297.92700000000002</c:v>
                </c:pt>
                <c:pt idx="10">
                  <c:v>354.75900000000001</c:v>
                </c:pt>
                <c:pt idx="11">
                  <c:v>561.94500000000005</c:v>
                </c:pt>
                <c:pt idx="12">
                  <c:v>712.64200000000005</c:v>
                </c:pt>
                <c:pt idx="13">
                  <c:v>1060.76</c:v>
                </c:pt>
                <c:pt idx="14">
                  <c:v>1184.79</c:v>
                </c:pt>
                <c:pt idx="15">
                  <c:v>1629.15</c:v>
                </c:pt>
                <c:pt idx="16">
                  <c:v>2035.03</c:v>
                </c:pt>
              </c:numCache>
            </c:numRef>
          </c:xVal>
          <c:yVal>
            <c:numRef>
              <c:f>'Measured shrinkage'!$C$18414:$C$18430</c:f>
              <c:numCache>
                <c:formatCode>0</c:formatCode>
                <c:ptCount val="17"/>
                <c:pt idx="0">
                  <c:v>41.148000000000003</c:v>
                </c:pt>
                <c:pt idx="1">
                  <c:v>45.533200000000001</c:v>
                </c:pt>
                <c:pt idx="2">
                  <c:v>53.068300000000001</c:v>
                </c:pt>
                <c:pt idx="3">
                  <c:v>57.490200000000002</c:v>
                </c:pt>
                <c:pt idx="4">
                  <c:v>130.50700000000001</c:v>
                </c:pt>
                <c:pt idx="5">
                  <c:v>132.00700000000001</c:v>
                </c:pt>
                <c:pt idx="6">
                  <c:v>179.148</c:v>
                </c:pt>
                <c:pt idx="7">
                  <c:v>229.36799999999999</c:v>
                </c:pt>
                <c:pt idx="8">
                  <c:v>258.18099999999998</c:v>
                </c:pt>
                <c:pt idx="9">
                  <c:v>291.62900000000002</c:v>
                </c:pt>
                <c:pt idx="10">
                  <c:v>302.267</c:v>
                </c:pt>
                <c:pt idx="11">
                  <c:v>314.38099999999997</c:v>
                </c:pt>
                <c:pt idx="12">
                  <c:v>303.67500000000001</c:v>
                </c:pt>
                <c:pt idx="13">
                  <c:v>376.75200000000001</c:v>
                </c:pt>
                <c:pt idx="14">
                  <c:v>356.92399999999998</c:v>
                </c:pt>
                <c:pt idx="15">
                  <c:v>430.01400000000001</c:v>
                </c:pt>
                <c:pt idx="16">
                  <c:v>455.88200000000001</c:v>
                </c:pt>
              </c:numCache>
            </c:numRef>
          </c:yVal>
          <c:smooth val="0"/>
          <c:extLst>
            <c:ext xmlns:c16="http://schemas.microsoft.com/office/drawing/2014/chart" uri="{C3380CC4-5D6E-409C-BE32-E72D297353CC}">
              <c16:uniqueId val="{00000005-B89C-4425-A3F6-1793A8EB9C1D}"/>
            </c:ext>
          </c:extLst>
        </c:ser>
        <c:ser>
          <c:idx val="2"/>
          <c:order val="2"/>
          <c:tx>
            <c:strRef>
              <c:f>'Measured shrinkage'!$A$18431</c:f>
              <c:strCache>
                <c:ptCount val="1"/>
                <c:pt idx="0">
                  <c:v>A_086_31</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shrinkage'!$B$18431:$B$18446</c:f>
              <c:numCache>
                <c:formatCode>0</c:formatCode>
                <c:ptCount val="16"/>
                <c:pt idx="0">
                  <c:v>1.94747</c:v>
                </c:pt>
                <c:pt idx="1">
                  <c:v>2.9423499999999998</c:v>
                </c:pt>
                <c:pt idx="2">
                  <c:v>4.8116000000000003</c:v>
                </c:pt>
                <c:pt idx="3">
                  <c:v>16.322600000000001</c:v>
                </c:pt>
                <c:pt idx="4">
                  <c:v>34.424300000000002</c:v>
                </c:pt>
                <c:pt idx="5">
                  <c:v>64.977599999999995</c:v>
                </c:pt>
                <c:pt idx="6">
                  <c:v>171.08</c:v>
                </c:pt>
                <c:pt idx="7">
                  <c:v>288.41199999999998</c:v>
                </c:pt>
                <c:pt idx="8">
                  <c:v>429.065</c:v>
                </c:pt>
                <c:pt idx="9">
                  <c:v>544.06200000000001</c:v>
                </c:pt>
                <c:pt idx="10">
                  <c:v>627.68499999999995</c:v>
                </c:pt>
                <c:pt idx="11">
                  <c:v>797.36</c:v>
                </c:pt>
                <c:pt idx="12">
                  <c:v>1184.18</c:v>
                </c:pt>
                <c:pt idx="13">
                  <c:v>1434.16</c:v>
                </c:pt>
                <c:pt idx="14">
                  <c:v>2066.61</c:v>
                </c:pt>
                <c:pt idx="15">
                  <c:v>2308.4499999999998</c:v>
                </c:pt>
              </c:numCache>
            </c:numRef>
          </c:xVal>
          <c:yVal>
            <c:numRef>
              <c:f>'Measured shrinkage'!$C$18431:$C$18446</c:f>
              <c:numCache>
                <c:formatCode>0</c:formatCode>
                <c:ptCount val="16"/>
                <c:pt idx="0">
                  <c:v>36.461199999999998</c:v>
                </c:pt>
                <c:pt idx="1">
                  <c:v>62.297600000000003</c:v>
                </c:pt>
                <c:pt idx="2">
                  <c:v>82.025800000000004</c:v>
                </c:pt>
                <c:pt idx="3">
                  <c:v>126.014</c:v>
                </c:pt>
                <c:pt idx="4">
                  <c:v>183.79499999999999</c:v>
                </c:pt>
                <c:pt idx="5">
                  <c:v>243.119</c:v>
                </c:pt>
                <c:pt idx="6">
                  <c:v>297.81599999999997</c:v>
                </c:pt>
                <c:pt idx="7">
                  <c:v>253.53899999999999</c:v>
                </c:pt>
                <c:pt idx="8">
                  <c:v>299.18799999999999</c:v>
                </c:pt>
                <c:pt idx="9">
                  <c:v>282.38600000000002</c:v>
                </c:pt>
                <c:pt idx="10">
                  <c:v>297.601</c:v>
                </c:pt>
                <c:pt idx="11">
                  <c:v>372.22800000000001</c:v>
                </c:pt>
                <c:pt idx="12">
                  <c:v>331.02</c:v>
                </c:pt>
                <c:pt idx="13">
                  <c:v>396.512</c:v>
                </c:pt>
                <c:pt idx="14">
                  <c:v>433.02300000000002</c:v>
                </c:pt>
                <c:pt idx="15">
                  <c:v>417.76600000000002</c:v>
                </c:pt>
              </c:numCache>
            </c:numRef>
          </c:yVal>
          <c:smooth val="0"/>
          <c:extLst>
            <c:ext xmlns:c16="http://schemas.microsoft.com/office/drawing/2014/chart" uri="{C3380CC4-5D6E-409C-BE32-E72D297353CC}">
              <c16:uniqueId val="{00000006-B89C-4425-A3F6-1793A8EB9C1D}"/>
            </c:ext>
          </c:extLst>
        </c:ser>
        <c:ser>
          <c:idx val="5"/>
          <c:order val="3"/>
          <c:tx>
            <c:strRef>
              <c:f>'Measured shrinkage'!$A$18330</c:f>
              <c:strCache>
                <c:ptCount val="1"/>
                <c:pt idx="0">
                  <c:v>A_086_25</c:v>
                </c:pt>
              </c:strCache>
            </c:strRef>
          </c:tx>
          <c:spPr>
            <a:ln w="19050" cap="rnd">
              <a:noFill/>
              <a:round/>
            </a:ln>
            <a:effectLst/>
          </c:spPr>
          <c:marker>
            <c:symbol val="circle"/>
            <c:size val="4"/>
            <c:spPr>
              <a:solidFill>
                <a:schemeClr val="accent6"/>
              </a:solidFill>
              <a:ln w="9525">
                <a:solidFill>
                  <a:schemeClr val="accent6"/>
                </a:solidFill>
              </a:ln>
              <a:effectLst/>
            </c:spPr>
          </c:marker>
          <c:xVal>
            <c:numRef>
              <c:f>'Measured shrinkage'!$B$18330:$B$18348</c:f>
              <c:numCache>
                <c:formatCode>0</c:formatCode>
                <c:ptCount val="19"/>
                <c:pt idx="0">
                  <c:v>1.05321</c:v>
                </c:pt>
                <c:pt idx="1">
                  <c:v>2.0663200000000002</c:v>
                </c:pt>
                <c:pt idx="2">
                  <c:v>3.2383099999999998</c:v>
                </c:pt>
                <c:pt idx="3">
                  <c:v>5.3450899999999999</c:v>
                </c:pt>
                <c:pt idx="4">
                  <c:v>12.6821</c:v>
                </c:pt>
                <c:pt idx="5">
                  <c:v>22.430800000000001</c:v>
                </c:pt>
                <c:pt idx="6">
                  <c:v>24.8813</c:v>
                </c:pt>
                <c:pt idx="7">
                  <c:v>95.771900000000002</c:v>
                </c:pt>
                <c:pt idx="8">
                  <c:v>187.898</c:v>
                </c:pt>
                <c:pt idx="9">
                  <c:v>395.02300000000002</c:v>
                </c:pt>
                <c:pt idx="10">
                  <c:v>486.048</c:v>
                </c:pt>
                <c:pt idx="11">
                  <c:v>674.94500000000005</c:v>
                </c:pt>
                <c:pt idx="12">
                  <c:v>723.24800000000005</c:v>
                </c:pt>
                <c:pt idx="13">
                  <c:v>953.59100000000001</c:v>
                </c:pt>
                <c:pt idx="14">
                  <c:v>1301.51</c:v>
                </c:pt>
                <c:pt idx="15">
                  <c:v>1418.96</c:v>
                </c:pt>
                <c:pt idx="16">
                  <c:v>1547.01</c:v>
                </c:pt>
                <c:pt idx="17">
                  <c:v>2185.6799999999998</c:v>
                </c:pt>
                <c:pt idx="18">
                  <c:v>2382.9299999999998</c:v>
                </c:pt>
              </c:numCache>
            </c:numRef>
          </c:xVal>
          <c:yVal>
            <c:numRef>
              <c:f>'Measured shrinkage'!$C$18330:$C$18348</c:f>
              <c:numCache>
                <c:formatCode>0</c:formatCode>
                <c:ptCount val="19"/>
                <c:pt idx="0">
                  <c:v>32.054600000000001</c:v>
                </c:pt>
                <c:pt idx="1">
                  <c:v>36.551000000000002</c:v>
                </c:pt>
                <c:pt idx="2">
                  <c:v>26.189800000000002</c:v>
                </c:pt>
                <c:pt idx="3">
                  <c:v>47.883200000000002</c:v>
                </c:pt>
                <c:pt idx="4">
                  <c:v>48.9208</c:v>
                </c:pt>
                <c:pt idx="5">
                  <c:v>85.491200000000006</c:v>
                </c:pt>
                <c:pt idx="6">
                  <c:v>112.959</c:v>
                </c:pt>
                <c:pt idx="7">
                  <c:v>202.10499999999999</c:v>
                </c:pt>
                <c:pt idx="8">
                  <c:v>175.685</c:v>
                </c:pt>
                <c:pt idx="9">
                  <c:v>232.84399999999999</c:v>
                </c:pt>
                <c:pt idx="10">
                  <c:v>233.964</c:v>
                </c:pt>
                <c:pt idx="11">
                  <c:v>222.47300000000001</c:v>
                </c:pt>
                <c:pt idx="12">
                  <c:v>244.22</c:v>
                </c:pt>
                <c:pt idx="13">
                  <c:v>302.58199999999999</c:v>
                </c:pt>
                <c:pt idx="14">
                  <c:v>296.81799999999998</c:v>
                </c:pt>
                <c:pt idx="15">
                  <c:v>325.43400000000003</c:v>
                </c:pt>
                <c:pt idx="16">
                  <c:v>336.87299999999999</c:v>
                </c:pt>
                <c:pt idx="17">
                  <c:v>352.86099999999999</c:v>
                </c:pt>
                <c:pt idx="18">
                  <c:v>387.20100000000002</c:v>
                </c:pt>
              </c:numCache>
            </c:numRef>
          </c:yVal>
          <c:smooth val="0"/>
          <c:extLst>
            <c:ext xmlns:c16="http://schemas.microsoft.com/office/drawing/2014/chart" uri="{C3380CC4-5D6E-409C-BE32-E72D297353CC}">
              <c16:uniqueId val="{00000007-B89C-4425-A3F6-1793A8EB9C1D}"/>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58367548750119991"/>
          <c:y val="0.62692347764758682"/>
          <c:w val="0.35587642386468887"/>
          <c:h val="0.20086676711494381"/>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S2-09: CEM II (A-D) - 0.34 w/cm - Granite - </a:t>
            </a:r>
          </a:p>
          <a:p>
            <a:pPr>
              <a:defRPr sz="1100">
                <a:solidFill>
                  <a:sysClr val="windowText" lastClr="000000"/>
                </a:solidFill>
              </a:defRPr>
            </a:pPr>
            <a:r>
              <a:rPr lang="en-ZA" sz="1100">
                <a:solidFill>
                  <a:sysClr val="windowText" lastClr="000000"/>
                </a:solidFill>
              </a:rPr>
              <a:t>2% Superplasticiser</a:t>
            </a:r>
          </a:p>
        </c:rich>
      </c:tx>
      <c:layout>
        <c:manualLayout>
          <c:xMode val="edge"/>
          <c:yMode val="edge"/>
          <c:x val="0.24282633420822397"/>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shrinkage'!$A$7123</c:f>
              <c:strCache>
                <c:ptCount val="1"/>
                <c:pt idx="0">
                  <c:v>A_031_04</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shrinkage'!$B$7123:$B$7146</c:f>
              <c:numCache>
                <c:formatCode>0</c:formatCode>
                <c:ptCount val="24"/>
                <c:pt idx="0">
                  <c:v>2.53165</c:v>
                </c:pt>
                <c:pt idx="1">
                  <c:v>5.0632900000000003</c:v>
                </c:pt>
                <c:pt idx="2">
                  <c:v>10.1266</c:v>
                </c:pt>
                <c:pt idx="3">
                  <c:v>22.784800000000001</c:v>
                </c:pt>
                <c:pt idx="4">
                  <c:v>30.3797</c:v>
                </c:pt>
                <c:pt idx="5">
                  <c:v>43.037999999999997</c:v>
                </c:pt>
                <c:pt idx="6">
                  <c:v>55.696199999999997</c:v>
                </c:pt>
                <c:pt idx="7">
                  <c:v>68.354399999999998</c:v>
                </c:pt>
                <c:pt idx="8">
                  <c:v>78.480999999999995</c:v>
                </c:pt>
                <c:pt idx="9">
                  <c:v>93.670900000000003</c:v>
                </c:pt>
                <c:pt idx="10">
                  <c:v>106.32899999999999</c:v>
                </c:pt>
                <c:pt idx="11">
                  <c:v>124.051</c:v>
                </c:pt>
                <c:pt idx="12">
                  <c:v>129.114</c:v>
                </c:pt>
                <c:pt idx="13">
                  <c:v>144.304</c:v>
                </c:pt>
                <c:pt idx="14">
                  <c:v>162.02500000000001</c:v>
                </c:pt>
                <c:pt idx="15">
                  <c:v>174.684</c:v>
                </c:pt>
                <c:pt idx="16">
                  <c:v>192.405</c:v>
                </c:pt>
                <c:pt idx="17">
                  <c:v>227.84800000000001</c:v>
                </c:pt>
                <c:pt idx="18">
                  <c:v>253.16499999999999</c:v>
                </c:pt>
                <c:pt idx="19">
                  <c:v>273.41800000000001</c:v>
                </c:pt>
                <c:pt idx="20">
                  <c:v>296.20299999999997</c:v>
                </c:pt>
                <c:pt idx="21">
                  <c:v>367.089</c:v>
                </c:pt>
                <c:pt idx="22">
                  <c:v>412.65800000000002</c:v>
                </c:pt>
                <c:pt idx="23">
                  <c:v>584.80999999999995</c:v>
                </c:pt>
              </c:numCache>
            </c:numRef>
          </c:xVal>
          <c:yVal>
            <c:numRef>
              <c:f>'Measured shrinkage'!$C$7123:$C$7146</c:f>
              <c:numCache>
                <c:formatCode>0</c:formatCode>
                <c:ptCount val="24"/>
                <c:pt idx="0">
                  <c:v>33.871000000000002</c:v>
                </c:pt>
                <c:pt idx="1">
                  <c:v>60.2151</c:v>
                </c:pt>
                <c:pt idx="2">
                  <c:v>97.849500000000006</c:v>
                </c:pt>
                <c:pt idx="3">
                  <c:v>120.43</c:v>
                </c:pt>
                <c:pt idx="4">
                  <c:v>131.72</c:v>
                </c:pt>
                <c:pt idx="5">
                  <c:v>139.24700000000001</c:v>
                </c:pt>
                <c:pt idx="6">
                  <c:v>150.53800000000001</c:v>
                </c:pt>
                <c:pt idx="7">
                  <c:v>158.065</c:v>
                </c:pt>
                <c:pt idx="8">
                  <c:v>161.828</c:v>
                </c:pt>
                <c:pt idx="9">
                  <c:v>165.59100000000001</c:v>
                </c:pt>
                <c:pt idx="10">
                  <c:v>169.35499999999999</c:v>
                </c:pt>
                <c:pt idx="11">
                  <c:v>176.88200000000001</c:v>
                </c:pt>
                <c:pt idx="12">
                  <c:v>184.40899999999999</c:v>
                </c:pt>
                <c:pt idx="13">
                  <c:v>184.40899999999999</c:v>
                </c:pt>
                <c:pt idx="14">
                  <c:v>195.69900000000001</c:v>
                </c:pt>
                <c:pt idx="15">
                  <c:v>199.46199999999999</c:v>
                </c:pt>
                <c:pt idx="16">
                  <c:v>206.989</c:v>
                </c:pt>
                <c:pt idx="17">
                  <c:v>210.75299999999999</c:v>
                </c:pt>
                <c:pt idx="18">
                  <c:v>206.989</c:v>
                </c:pt>
                <c:pt idx="19">
                  <c:v>210.75299999999999</c:v>
                </c:pt>
                <c:pt idx="20">
                  <c:v>210.75299999999999</c:v>
                </c:pt>
                <c:pt idx="21">
                  <c:v>210.75299999999999</c:v>
                </c:pt>
                <c:pt idx="22">
                  <c:v>218.28</c:v>
                </c:pt>
                <c:pt idx="23">
                  <c:v>233.333</c:v>
                </c:pt>
              </c:numCache>
            </c:numRef>
          </c:yVal>
          <c:smooth val="0"/>
          <c:extLst>
            <c:ext xmlns:c16="http://schemas.microsoft.com/office/drawing/2014/chart" uri="{C3380CC4-5D6E-409C-BE32-E72D297353CC}">
              <c16:uniqueId val="{00000004-2028-4ADC-82B7-47A7A1ADA5BC}"/>
            </c:ext>
          </c:extLst>
        </c:ser>
        <c:ser>
          <c:idx val="1"/>
          <c:order val="1"/>
          <c:tx>
            <c:strRef>
              <c:f>'Measured shrinkage'!$A$7173</c:f>
              <c:strCache>
                <c:ptCount val="1"/>
                <c:pt idx="0">
                  <c:v>A_031_06</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shrinkage'!$B$7173:$B$7197</c:f>
              <c:numCache>
                <c:formatCode>0</c:formatCode>
                <c:ptCount val="25"/>
                <c:pt idx="0">
                  <c:v>5.0955399999999997</c:v>
                </c:pt>
                <c:pt idx="1">
                  <c:v>15.2866</c:v>
                </c:pt>
                <c:pt idx="2">
                  <c:v>15.2866</c:v>
                </c:pt>
                <c:pt idx="3">
                  <c:v>20.382200000000001</c:v>
                </c:pt>
                <c:pt idx="4">
                  <c:v>28.025500000000001</c:v>
                </c:pt>
                <c:pt idx="5">
                  <c:v>40.764299999999999</c:v>
                </c:pt>
                <c:pt idx="6">
                  <c:v>48.407600000000002</c:v>
                </c:pt>
                <c:pt idx="7">
                  <c:v>56.051000000000002</c:v>
                </c:pt>
                <c:pt idx="8">
                  <c:v>63.694299999999998</c:v>
                </c:pt>
                <c:pt idx="9">
                  <c:v>76.433099999999996</c:v>
                </c:pt>
                <c:pt idx="10">
                  <c:v>91.719700000000003</c:v>
                </c:pt>
                <c:pt idx="11">
                  <c:v>109.554</c:v>
                </c:pt>
                <c:pt idx="12">
                  <c:v>122.29300000000001</c:v>
                </c:pt>
                <c:pt idx="13">
                  <c:v>129.93600000000001</c:v>
                </c:pt>
                <c:pt idx="14">
                  <c:v>147.77099999999999</c:v>
                </c:pt>
                <c:pt idx="15">
                  <c:v>163.05699999999999</c:v>
                </c:pt>
                <c:pt idx="16">
                  <c:v>178.34399999999999</c:v>
                </c:pt>
                <c:pt idx="17">
                  <c:v>198.726</c:v>
                </c:pt>
                <c:pt idx="18">
                  <c:v>229.29900000000001</c:v>
                </c:pt>
                <c:pt idx="19">
                  <c:v>257.32499999999999</c:v>
                </c:pt>
                <c:pt idx="20">
                  <c:v>280.255</c:v>
                </c:pt>
                <c:pt idx="21">
                  <c:v>298.089</c:v>
                </c:pt>
                <c:pt idx="22">
                  <c:v>366.87900000000002</c:v>
                </c:pt>
                <c:pt idx="23">
                  <c:v>417.834</c:v>
                </c:pt>
                <c:pt idx="24">
                  <c:v>585.98699999999997</c:v>
                </c:pt>
              </c:numCache>
            </c:numRef>
          </c:xVal>
          <c:yVal>
            <c:numRef>
              <c:f>'Measured shrinkage'!$C$7173:$C$7197</c:f>
              <c:numCache>
                <c:formatCode>0</c:formatCode>
                <c:ptCount val="25"/>
                <c:pt idx="0">
                  <c:v>5.0955399999999997</c:v>
                </c:pt>
                <c:pt idx="1">
                  <c:v>68.852500000000006</c:v>
                </c:pt>
                <c:pt idx="2">
                  <c:v>68.852500000000006</c:v>
                </c:pt>
                <c:pt idx="3">
                  <c:v>110.929</c:v>
                </c:pt>
                <c:pt idx="4">
                  <c:v>130.05500000000001</c:v>
                </c:pt>
                <c:pt idx="5">
                  <c:v>141.53</c:v>
                </c:pt>
                <c:pt idx="6">
                  <c:v>156.83099999999999</c:v>
                </c:pt>
                <c:pt idx="7">
                  <c:v>160.65600000000001</c:v>
                </c:pt>
                <c:pt idx="8">
                  <c:v>172.131</c:v>
                </c:pt>
                <c:pt idx="9">
                  <c:v>179.78100000000001</c:v>
                </c:pt>
                <c:pt idx="10">
                  <c:v>191.25700000000001</c:v>
                </c:pt>
                <c:pt idx="11">
                  <c:v>195.08199999999999</c:v>
                </c:pt>
                <c:pt idx="12">
                  <c:v>198.90700000000001</c:v>
                </c:pt>
                <c:pt idx="13">
                  <c:v>202.732</c:v>
                </c:pt>
                <c:pt idx="14">
                  <c:v>210.38300000000001</c:v>
                </c:pt>
                <c:pt idx="15">
                  <c:v>218.03299999999999</c:v>
                </c:pt>
                <c:pt idx="16">
                  <c:v>221.858</c:v>
                </c:pt>
                <c:pt idx="17">
                  <c:v>237.15799999999999</c:v>
                </c:pt>
                <c:pt idx="18">
                  <c:v>233.333</c:v>
                </c:pt>
                <c:pt idx="19">
                  <c:v>237.15799999999999</c:v>
                </c:pt>
                <c:pt idx="20">
                  <c:v>240.98400000000001</c:v>
                </c:pt>
                <c:pt idx="21">
                  <c:v>244.809</c:v>
                </c:pt>
                <c:pt idx="22">
                  <c:v>244.809</c:v>
                </c:pt>
                <c:pt idx="23">
                  <c:v>252.459</c:v>
                </c:pt>
                <c:pt idx="24">
                  <c:v>263.93400000000003</c:v>
                </c:pt>
              </c:numCache>
            </c:numRef>
          </c:yVal>
          <c:smooth val="0"/>
          <c:extLst>
            <c:ext xmlns:c16="http://schemas.microsoft.com/office/drawing/2014/chart" uri="{C3380CC4-5D6E-409C-BE32-E72D297353CC}">
              <c16:uniqueId val="{00000005-2028-4ADC-82B7-47A7A1ADA5BC}"/>
            </c:ext>
          </c:extLst>
        </c:ser>
        <c:ser>
          <c:idx val="2"/>
          <c:order val="2"/>
          <c:tx>
            <c:strRef>
              <c:f>'Measured shrinkage'!$A$9441</c:f>
              <c:strCache>
                <c:ptCount val="1"/>
                <c:pt idx="0">
                  <c:v>A_046_02</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shrinkage'!$B$9441:$B$9451</c:f>
              <c:numCache>
                <c:formatCode>0</c:formatCode>
                <c:ptCount val="11"/>
                <c:pt idx="0">
                  <c:v>2.7614899999999998</c:v>
                </c:pt>
                <c:pt idx="1">
                  <c:v>3.6579000000000002</c:v>
                </c:pt>
                <c:pt idx="2">
                  <c:v>4.6254299999999997</c:v>
                </c:pt>
                <c:pt idx="3">
                  <c:v>5.57761</c:v>
                </c:pt>
                <c:pt idx="4">
                  <c:v>16.9147</c:v>
                </c:pt>
                <c:pt idx="5">
                  <c:v>21.049299999999999</c:v>
                </c:pt>
                <c:pt idx="6">
                  <c:v>25.806000000000001</c:v>
                </c:pt>
                <c:pt idx="7">
                  <c:v>46.075499999999998</c:v>
                </c:pt>
                <c:pt idx="8">
                  <c:v>63.012700000000002</c:v>
                </c:pt>
                <c:pt idx="9">
                  <c:v>77.252300000000005</c:v>
                </c:pt>
                <c:pt idx="10">
                  <c:v>94.720299999999995</c:v>
                </c:pt>
              </c:numCache>
            </c:numRef>
          </c:xVal>
          <c:yVal>
            <c:numRef>
              <c:f>'Measured shrinkage'!$C$9441:$C$9451</c:f>
              <c:numCache>
                <c:formatCode>0</c:formatCode>
                <c:ptCount val="11"/>
                <c:pt idx="0">
                  <c:v>91.1661</c:v>
                </c:pt>
                <c:pt idx="1">
                  <c:v>122.968</c:v>
                </c:pt>
                <c:pt idx="2">
                  <c:v>133.56899999999999</c:v>
                </c:pt>
                <c:pt idx="3">
                  <c:v>163.251</c:v>
                </c:pt>
                <c:pt idx="4">
                  <c:v>267.13799999999998</c:v>
                </c:pt>
                <c:pt idx="5">
                  <c:v>290.459</c:v>
                </c:pt>
                <c:pt idx="6">
                  <c:v>286.21899999999999</c:v>
                </c:pt>
                <c:pt idx="7">
                  <c:v>281.97899999999998</c:v>
                </c:pt>
                <c:pt idx="8">
                  <c:v>290.459</c:v>
                </c:pt>
                <c:pt idx="9">
                  <c:v>286.21899999999999</c:v>
                </c:pt>
                <c:pt idx="10">
                  <c:v>277.73899999999998</c:v>
                </c:pt>
              </c:numCache>
            </c:numRef>
          </c:yVal>
          <c:smooth val="0"/>
          <c:extLst>
            <c:ext xmlns:c16="http://schemas.microsoft.com/office/drawing/2014/chart" uri="{C3380CC4-5D6E-409C-BE32-E72D297353CC}">
              <c16:uniqueId val="{00000006-2028-4ADC-82B7-47A7A1ADA5BC}"/>
            </c:ext>
          </c:extLst>
        </c:ser>
        <c:ser>
          <c:idx val="5"/>
          <c:order val="3"/>
          <c:tx>
            <c:strRef>
              <c:f>'Measured shrinkage'!$A$9490</c:f>
              <c:strCache>
                <c:ptCount val="1"/>
                <c:pt idx="0">
                  <c:v>A_046_07</c:v>
                </c:pt>
              </c:strCache>
            </c:strRef>
          </c:tx>
          <c:spPr>
            <a:ln w="19050" cap="rnd">
              <a:noFill/>
              <a:round/>
            </a:ln>
            <a:effectLst/>
          </c:spPr>
          <c:marker>
            <c:symbol val="circle"/>
            <c:size val="4"/>
            <c:spPr>
              <a:solidFill>
                <a:schemeClr val="accent6"/>
              </a:solidFill>
              <a:ln w="9525">
                <a:solidFill>
                  <a:schemeClr val="accent6"/>
                </a:solidFill>
              </a:ln>
              <a:effectLst/>
            </c:spPr>
          </c:marker>
          <c:xVal>
            <c:numRef>
              <c:f>'Measured shrinkage'!$B$9490:$B$9507</c:f>
              <c:numCache>
                <c:formatCode>0</c:formatCode>
                <c:ptCount val="18"/>
                <c:pt idx="0">
                  <c:v>2.93099</c:v>
                </c:pt>
                <c:pt idx="1">
                  <c:v>3.3474499999999998</c:v>
                </c:pt>
                <c:pt idx="2">
                  <c:v>5.9681300000000004</c:v>
                </c:pt>
                <c:pt idx="3">
                  <c:v>8.3000799999999995</c:v>
                </c:pt>
                <c:pt idx="4">
                  <c:v>9.4542699999999993</c:v>
                </c:pt>
                <c:pt idx="5">
                  <c:v>13.5207</c:v>
                </c:pt>
                <c:pt idx="6">
                  <c:v>16.8261</c:v>
                </c:pt>
                <c:pt idx="7">
                  <c:v>19.290700000000001</c:v>
                </c:pt>
                <c:pt idx="8">
                  <c:v>23.331700000000001</c:v>
                </c:pt>
                <c:pt idx="9">
                  <c:v>49.302700000000002</c:v>
                </c:pt>
                <c:pt idx="10">
                  <c:v>68.243899999999996</c:v>
                </c:pt>
                <c:pt idx="11">
                  <c:v>118.495</c:v>
                </c:pt>
                <c:pt idx="12">
                  <c:v>143.571</c:v>
                </c:pt>
                <c:pt idx="13">
                  <c:v>194.45599999999999</c:v>
                </c:pt>
                <c:pt idx="14">
                  <c:v>347.82100000000003</c:v>
                </c:pt>
                <c:pt idx="15">
                  <c:v>540.41999999999996</c:v>
                </c:pt>
                <c:pt idx="16">
                  <c:v>753.35599999999999</c:v>
                </c:pt>
                <c:pt idx="17">
                  <c:v>1021.27</c:v>
                </c:pt>
              </c:numCache>
            </c:numRef>
          </c:xVal>
          <c:yVal>
            <c:numRef>
              <c:f>'Measured shrinkage'!$C$9490:$C$9507</c:f>
              <c:numCache>
                <c:formatCode>0</c:formatCode>
                <c:ptCount val="18"/>
                <c:pt idx="0">
                  <c:v>16.417100000000001</c:v>
                </c:pt>
                <c:pt idx="1">
                  <c:v>54.769100000000002</c:v>
                </c:pt>
                <c:pt idx="2">
                  <c:v>69.358199999999997</c:v>
                </c:pt>
                <c:pt idx="3">
                  <c:v>81.965699999999998</c:v>
                </c:pt>
                <c:pt idx="4">
                  <c:v>139.536</c:v>
                </c:pt>
                <c:pt idx="5">
                  <c:v>149.99100000000001</c:v>
                </c:pt>
                <c:pt idx="6">
                  <c:v>166.93799999999999</c:v>
                </c:pt>
                <c:pt idx="7">
                  <c:v>177.53</c:v>
                </c:pt>
                <c:pt idx="8">
                  <c:v>200.9</c:v>
                </c:pt>
                <c:pt idx="9">
                  <c:v>185.49100000000001</c:v>
                </c:pt>
                <c:pt idx="10">
                  <c:v>232.26499999999999</c:v>
                </c:pt>
                <c:pt idx="11">
                  <c:v>238.32900000000001</c:v>
                </c:pt>
                <c:pt idx="12">
                  <c:v>248.887</c:v>
                </c:pt>
                <c:pt idx="13">
                  <c:v>252.97</c:v>
                </c:pt>
                <c:pt idx="14">
                  <c:v>244.06899999999999</c:v>
                </c:pt>
                <c:pt idx="15">
                  <c:v>254.47300000000001</c:v>
                </c:pt>
                <c:pt idx="16">
                  <c:v>249.99700000000001</c:v>
                </c:pt>
                <c:pt idx="17">
                  <c:v>247.67400000000001</c:v>
                </c:pt>
              </c:numCache>
            </c:numRef>
          </c:yVal>
          <c:smooth val="0"/>
          <c:extLst>
            <c:ext xmlns:c16="http://schemas.microsoft.com/office/drawing/2014/chart" uri="{C3380CC4-5D6E-409C-BE32-E72D297353CC}">
              <c16:uniqueId val="{00000007-2028-4ADC-82B7-47A7A1ADA5BC}"/>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58367548750119991"/>
          <c:y val="0.63710188019940051"/>
          <c:w val="0.35804002754474379"/>
          <c:h val="0.18575825091765913"/>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S2-10: CEM II (A-D) - 0.34 w/cm - Quartzite - </a:t>
            </a:r>
          </a:p>
          <a:p>
            <a:pPr>
              <a:defRPr sz="1100">
                <a:solidFill>
                  <a:sysClr val="windowText" lastClr="000000"/>
                </a:solidFill>
              </a:defRPr>
            </a:pPr>
            <a:r>
              <a:rPr lang="en-ZA" sz="1100">
                <a:solidFill>
                  <a:sysClr val="windowText" lastClr="000000"/>
                </a:solidFill>
              </a:rPr>
              <a:t>1% Superplasticiser</a:t>
            </a:r>
          </a:p>
        </c:rich>
      </c:tx>
      <c:layout>
        <c:manualLayout>
          <c:xMode val="edge"/>
          <c:yMode val="edge"/>
          <c:x val="0.22893744531933508"/>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shrinkage'!$A$18052</c:f>
              <c:strCache>
                <c:ptCount val="1"/>
                <c:pt idx="0">
                  <c:v>A_086_07</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shrinkage'!$B$18052:$B$18071</c:f>
              <c:numCache>
                <c:formatCode>0</c:formatCode>
                <c:ptCount val="20"/>
                <c:pt idx="0">
                  <c:v>1.01667</c:v>
                </c:pt>
                <c:pt idx="1">
                  <c:v>1.6696299999999999</c:v>
                </c:pt>
                <c:pt idx="2">
                  <c:v>2.9294500000000001</c:v>
                </c:pt>
                <c:pt idx="3">
                  <c:v>4.8911100000000003</c:v>
                </c:pt>
                <c:pt idx="4">
                  <c:v>8.7247699999999995</c:v>
                </c:pt>
                <c:pt idx="5">
                  <c:v>12.144500000000001</c:v>
                </c:pt>
                <c:pt idx="6">
                  <c:v>33.854999999999997</c:v>
                </c:pt>
                <c:pt idx="7">
                  <c:v>47.910499999999999</c:v>
                </c:pt>
                <c:pt idx="8">
                  <c:v>97.550200000000004</c:v>
                </c:pt>
                <c:pt idx="9">
                  <c:v>174.01</c:v>
                </c:pt>
                <c:pt idx="10">
                  <c:v>242.215</c:v>
                </c:pt>
                <c:pt idx="11">
                  <c:v>300.30200000000002</c:v>
                </c:pt>
                <c:pt idx="12">
                  <c:v>432.06299999999999</c:v>
                </c:pt>
                <c:pt idx="13">
                  <c:v>553.69100000000003</c:v>
                </c:pt>
                <c:pt idx="14">
                  <c:v>783.56600000000003</c:v>
                </c:pt>
                <c:pt idx="15">
                  <c:v>1184.7</c:v>
                </c:pt>
                <c:pt idx="16">
                  <c:v>1421.03</c:v>
                </c:pt>
                <c:pt idx="17">
                  <c:v>1761.82</c:v>
                </c:pt>
                <c:pt idx="18">
                  <c:v>1821.06</c:v>
                </c:pt>
                <c:pt idx="19">
                  <c:v>2620.0700000000002</c:v>
                </c:pt>
              </c:numCache>
            </c:numRef>
          </c:xVal>
          <c:yVal>
            <c:numRef>
              <c:f>'Measured shrinkage'!$C$18052:$C$18071</c:f>
              <c:numCache>
                <c:formatCode>0</c:formatCode>
                <c:ptCount val="20"/>
                <c:pt idx="0">
                  <c:v>23.529399999999999</c:v>
                </c:pt>
                <c:pt idx="1">
                  <c:v>43.137300000000003</c:v>
                </c:pt>
                <c:pt idx="2">
                  <c:v>39.215699999999998</c:v>
                </c:pt>
                <c:pt idx="3">
                  <c:v>9.8039199999999997</c:v>
                </c:pt>
                <c:pt idx="4">
                  <c:v>25.490200000000002</c:v>
                </c:pt>
                <c:pt idx="5">
                  <c:v>39.215699999999998</c:v>
                </c:pt>
                <c:pt idx="6">
                  <c:v>90.196100000000001</c:v>
                </c:pt>
                <c:pt idx="7">
                  <c:v>127.45099999999999</c:v>
                </c:pt>
                <c:pt idx="8">
                  <c:v>176.471</c:v>
                </c:pt>
                <c:pt idx="9">
                  <c:v>196.078</c:v>
                </c:pt>
                <c:pt idx="10">
                  <c:v>196.078</c:v>
                </c:pt>
                <c:pt idx="11">
                  <c:v>233.333</c:v>
                </c:pt>
                <c:pt idx="12">
                  <c:v>292.15699999999998</c:v>
                </c:pt>
                <c:pt idx="13">
                  <c:v>272.54899999999998</c:v>
                </c:pt>
                <c:pt idx="14">
                  <c:v>343.137</c:v>
                </c:pt>
                <c:pt idx="15">
                  <c:v>331.37299999999999</c:v>
                </c:pt>
                <c:pt idx="16">
                  <c:v>335.29399999999998</c:v>
                </c:pt>
                <c:pt idx="17">
                  <c:v>374.51</c:v>
                </c:pt>
                <c:pt idx="18">
                  <c:v>409.80399999999997</c:v>
                </c:pt>
                <c:pt idx="19">
                  <c:v>427.45100000000002</c:v>
                </c:pt>
              </c:numCache>
            </c:numRef>
          </c:yVal>
          <c:smooth val="0"/>
          <c:extLst>
            <c:ext xmlns:c16="http://schemas.microsoft.com/office/drawing/2014/chart" uri="{C3380CC4-5D6E-409C-BE32-E72D297353CC}">
              <c16:uniqueId val="{00000004-1273-49C6-85C3-8CE7D3E655AF}"/>
            </c:ext>
          </c:extLst>
        </c:ser>
        <c:ser>
          <c:idx val="1"/>
          <c:order val="1"/>
          <c:tx>
            <c:strRef>
              <c:f>'Measured shrinkage'!$A$18079</c:f>
              <c:strCache>
                <c:ptCount val="1"/>
                <c:pt idx="0">
                  <c:v>A_086_09</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shrinkage'!$B$18079:$B$18097</c:f>
              <c:numCache>
                <c:formatCode>0</c:formatCode>
                <c:ptCount val="19"/>
                <c:pt idx="0">
                  <c:v>1</c:v>
                </c:pt>
                <c:pt idx="1">
                  <c:v>1.7545500000000001</c:v>
                </c:pt>
                <c:pt idx="2">
                  <c:v>3.94503</c:v>
                </c:pt>
                <c:pt idx="3">
                  <c:v>9.4767799999999998</c:v>
                </c:pt>
                <c:pt idx="4">
                  <c:v>14.8101</c:v>
                </c:pt>
                <c:pt idx="5">
                  <c:v>18.979099999999999</c:v>
                </c:pt>
                <c:pt idx="6">
                  <c:v>31.688199999999998</c:v>
                </c:pt>
                <c:pt idx="7">
                  <c:v>41.973999999999997</c:v>
                </c:pt>
                <c:pt idx="8">
                  <c:v>55.598500000000001</c:v>
                </c:pt>
                <c:pt idx="9">
                  <c:v>95.950400000000002</c:v>
                </c:pt>
                <c:pt idx="10">
                  <c:v>176.911</c:v>
                </c:pt>
                <c:pt idx="11">
                  <c:v>305.30900000000003</c:v>
                </c:pt>
                <c:pt idx="12">
                  <c:v>562.923</c:v>
                </c:pt>
                <c:pt idx="13">
                  <c:v>686.47500000000002</c:v>
                </c:pt>
                <c:pt idx="14">
                  <c:v>1127.3699999999999</c:v>
                </c:pt>
                <c:pt idx="15">
                  <c:v>1649.06</c:v>
                </c:pt>
                <c:pt idx="16">
                  <c:v>1761.82</c:v>
                </c:pt>
                <c:pt idx="17">
                  <c:v>2184.33</c:v>
                </c:pt>
                <c:pt idx="18">
                  <c:v>2577.1</c:v>
                </c:pt>
              </c:numCache>
            </c:numRef>
          </c:xVal>
          <c:yVal>
            <c:numRef>
              <c:f>'Measured shrinkage'!$C$18079:$C$18097</c:f>
              <c:numCache>
                <c:formatCode>0</c:formatCode>
                <c:ptCount val="19"/>
                <c:pt idx="0">
                  <c:v>35.2941</c:v>
                </c:pt>
                <c:pt idx="1">
                  <c:v>21.5686</c:v>
                </c:pt>
                <c:pt idx="2">
                  <c:v>17.647099999999998</c:v>
                </c:pt>
                <c:pt idx="3">
                  <c:v>21.5686</c:v>
                </c:pt>
                <c:pt idx="4">
                  <c:v>37.254899999999999</c:v>
                </c:pt>
                <c:pt idx="5">
                  <c:v>45.097999999999999</c:v>
                </c:pt>
                <c:pt idx="6">
                  <c:v>62.745100000000001</c:v>
                </c:pt>
                <c:pt idx="7">
                  <c:v>86.274500000000003</c:v>
                </c:pt>
                <c:pt idx="8">
                  <c:v>107.843</c:v>
                </c:pt>
                <c:pt idx="9">
                  <c:v>160.78399999999999</c:v>
                </c:pt>
                <c:pt idx="10">
                  <c:v>133.333</c:v>
                </c:pt>
                <c:pt idx="11">
                  <c:v>131.37299999999999</c:v>
                </c:pt>
                <c:pt idx="12">
                  <c:v>145.09800000000001</c:v>
                </c:pt>
                <c:pt idx="13">
                  <c:v>149.02000000000001</c:v>
                </c:pt>
                <c:pt idx="14">
                  <c:v>213.72499999999999</c:v>
                </c:pt>
                <c:pt idx="15">
                  <c:v>227.45099999999999</c:v>
                </c:pt>
                <c:pt idx="16">
                  <c:v>254.90199999999999</c:v>
                </c:pt>
                <c:pt idx="17">
                  <c:v>262.745</c:v>
                </c:pt>
                <c:pt idx="18">
                  <c:v>276.471</c:v>
                </c:pt>
              </c:numCache>
            </c:numRef>
          </c:yVal>
          <c:smooth val="0"/>
          <c:extLst>
            <c:ext xmlns:c16="http://schemas.microsoft.com/office/drawing/2014/chart" uri="{C3380CC4-5D6E-409C-BE32-E72D297353CC}">
              <c16:uniqueId val="{00000005-1273-49C6-85C3-8CE7D3E655AF}"/>
            </c:ext>
          </c:extLst>
        </c:ser>
        <c:ser>
          <c:idx val="2"/>
          <c:order val="2"/>
          <c:tx>
            <c:strRef>
              <c:f>'Measured shrinkage'!$A$18115</c:f>
              <c:strCache>
                <c:ptCount val="1"/>
                <c:pt idx="0">
                  <c:v>A_086_11</c:v>
                </c:pt>
              </c:strCache>
            </c:strRef>
          </c:tx>
          <c:spPr>
            <a:ln w="19050" cap="rnd">
              <a:noFill/>
              <a:round/>
            </a:ln>
            <a:effectLst/>
          </c:spPr>
          <c:marker>
            <c:symbol val="circle"/>
            <c:size val="4"/>
            <c:spPr>
              <a:solidFill>
                <a:schemeClr val="accent3"/>
              </a:solidFill>
              <a:ln w="9525">
                <a:solidFill>
                  <a:schemeClr val="accent3"/>
                </a:solidFill>
              </a:ln>
              <a:effectLst/>
            </c:spPr>
          </c:marker>
          <c:xVal>
            <c:numRef>
              <c:f>'Measured shrinkage'!$B$18115:$B$18128</c:f>
              <c:numCache>
                <c:formatCode>0</c:formatCode>
                <c:ptCount val="14"/>
                <c:pt idx="0">
                  <c:v>0.98360000000000003</c:v>
                </c:pt>
                <c:pt idx="1">
                  <c:v>2.2115900000000002</c:v>
                </c:pt>
                <c:pt idx="2">
                  <c:v>11.749499999999999</c:v>
                </c:pt>
                <c:pt idx="3">
                  <c:v>20.9587</c:v>
                </c:pt>
                <c:pt idx="4">
                  <c:v>36.773000000000003</c:v>
                </c:pt>
                <c:pt idx="5">
                  <c:v>84.061300000000003</c:v>
                </c:pt>
                <c:pt idx="6">
                  <c:v>454.03699999999998</c:v>
                </c:pt>
                <c:pt idx="7">
                  <c:v>572.30799999999999</c:v>
                </c:pt>
                <c:pt idx="8">
                  <c:v>745.64400000000001</c:v>
                </c:pt>
                <c:pt idx="9">
                  <c:v>851.10299999999995</c:v>
                </c:pt>
                <c:pt idx="10">
                  <c:v>1146.1600000000001</c:v>
                </c:pt>
                <c:pt idx="11">
                  <c:v>1569.25</c:v>
                </c:pt>
                <c:pt idx="12">
                  <c:v>2220.75</c:v>
                </c:pt>
                <c:pt idx="13">
                  <c:v>2620.0700000000002</c:v>
                </c:pt>
              </c:numCache>
            </c:numRef>
          </c:xVal>
          <c:yVal>
            <c:numRef>
              <c:f>'Measured shrinkage'!$C$18115:$C$18128</c:f>
              <c:numCache>
                <c:formatCode>0</c:formatCode>
                <c:ptCount val="14"/>
                <c:pt idx="0">
                  <c:v>25.490200000000002</c:v>
                </c:pt>
                <c:pt idx="1">
                  <c:v>82.352900000000005</c:v>
                </c:pt>
                <c:pt idx="2">
                  <c:v>103.922</c:v>
                </c:pt>
                <c:pt idx="3">
                  <c:v>125.49</c:v>
                </c:pt>
                <c:pt idx="4">
                  <c:v>152.941</c:v>
                </c:pt>
                <c:pt idx="5">
                  <c:v>209.804</c:v>
                </c:pt>
                <c:pt idx="6">
                  <c:v>213.72499999999999</c:v>
                </c:pt>
                <c:pt idx="7">
                  <c:v>211.76499999999999</c:v>
                </c:pt>
                <c:pt idx="8">
                  <c:v>243.137</c:v>
                </c:pt>
                <c:pt idx="9">
                  <c:v>245.09800000000001</c:v>
                </c:pt>
                <c:pt idx="10">
                  <c:v>280.392</c:v>
                </c:pt>
                <c:pt idx="11">
                  <c:v>317.64699999999999</c:v>
                </c:pt>
                <c:pt idx="12">
                  <c:v>362.745</c:v>
                </c:pt>
                <c:pt idx="13">
                  <c:v>388.23500000000001</c:v>
                </c:pt>
              </c:numCache>
            </c:numRef>
          </c:yVal>
          <c:smooth val="0"/>
          <c:extLst>
            <c:ext xmlns:c16="http://schemas.microsoft.com/office/drawing/2014/chart" uri="{C3380CC4-5D6E-409C-BE32-E72D297353CC}">
              <c16:uniqueId val="{00000006-1273-49C6-85C3-8CE7D3E655AF}"/>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58645889174924459"/>
          <c:y val="0.60147747126805262"/>
          <c:w val="0.35309301961664408"/>
          <c:h val="0.22201820892173049"/>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S1-03: CEM I - 0.41 w/cm - Sandstone</a:t>
            </a:r>
          </a:p>
        </c:rich>
      </c:tx>
      <c:layout>
        <c:manualLayout>
          <c:xMode val="edge"/>
          <c:yMode val="edge"/>
          <c:x val="0.21211723376430697"/>
          <c:y val="4.2194444444444441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9.2354176896408791E-2"/>
          <c:w val="0.77765091863517055"/>
          <c:h val="0.75763024917505006"/>
        </c:manualLayout>
      </c:layout>
      <c:scatterChart>
        <c:scatterStyle val="lineMarker"/>
        <c:varyColors val="0"/>
        <c:ser>
          <c:idx val="0"/>
          <c:order val="0"/>
          <c:tx>
            <c:strRef>
              <c:f>'Measured shrinkage'!$A$2709</c:f>
              <c:strCache>
                <c:ptCount val="1"/>
                <c:pt idx="0">
                  <c:v>#0261</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shrinkage'!$B$2709:$B$2718</c:f>
              <c:numCache>
                <c:formatCode>0</c:formatCode>
                <c:ptCount val="10"/>
                <c:pt idx="0">
                  <c:v>1</c:v>
                </c:pt>
                <c:pt idx="1">
                  <c:v>2</c:v>
                </c:pt>
                <c:pt idx="2">
                  <c:v>3</c:v>
                </c:pt>
                <c:pt idx="3">
                  <c:v>7</c:v>
                </c:pt>
                <c:pt idx="4">
                  <c:v>14</c:v>
                </c:pt>
                <c:pt idx="5">
                  <c:v>21</c:v>
                </c:pt>
                <c:pt idx="6">
                  <c:v>28</c:v>
                </c:pt>
                <c:pt idx="7">
                  <c:v>35</c:v>
                </c:pt>
                <c:pt idx="8">
                  <c:v>42</c:v>
                </c:pt>
                <c:pt idx="9">
                  <c:v>320</c:v>
                </c:pt>
              </c:numCache>
            </c:numRef>
          </c:xVal>
          <c:yVal>
            <c:numRef>
              <c:f>'Measured shrinkage'!$C$2709:$C$2718</c:f>
              <c:numCache>
                <c:formatCode>0</c:formatCode>
                <c:ptCount val="10"/>
                <c:pt idx="0">
                  <c:v>55</c:v>
                </c:pt>
                <c:pt idx="1">
                  <c:v>93</c:v>
                </c:pt>
                <c:pt idx="2">
                  <c:v>95</c:v>
                </c:pt>
                <c:pt idx="3">
                  <c:v>172</c:v>
                </c:pt>
                <c:pt idx="4">
                  <c:v>213</c:v>
                </c:pt>
                <c:pt idx="5">
                  <c:v>250</c:v>
                </c:pt>
                <c:pt idx="6">
                  <c:v>303</c:v>
                </c:pt>
                <c:pt idx="7">
                  <c:v>408</c:v>
                </c:pt>
                <c:pt idx="8">
                  <c:v>435</c:v>
                </c:pt>
                <c:pt idx="9">
                  <c:v>560</c:v>
                </c:pt>
              </c:numCache>
            </c:numRef>
          </c:yVal>
          <c:smooth val="0"/>
          <c:extLst>
            <c:ext xmlns:c16="http://schemas.microsoft.com/office/drawing/2014/chart" uri="{C3380CC4-5D6E-409C-BE32-E72D297353CC}">
              <c16:uniqueId val="{00000000-D4F3-4C0D-8E03-CEE4A76D1792}"/>
            </c:ext>
          </c:extLst>
        </c:ser>
        <c:ser>
          <c:idx val="1"/>
          <c:order val="1"/>
          <c:tx>
            <c:strRef>
              <c:f>'Measured shrinkage'!$A$2719</c:f>
              <c:strCache>
                <c:ptCount val="1"/>
                <c:pt idx="0">
                  <c:v>#0264</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shrinkage'!$B$2719:$B$2728</c:f>
              <c:numCache>
                <c:formatCode>0</c:formatCode>
                <c:ptCount val="10"/>
                <c:pt idx="0">
                  <c:v>1</c:v>
                </c:pt>
                <c:pt idx="1">
                  <c:v>2</c:v>
                </c:pt>
                <c:pt idx="2">
                  <c:v>3</c:v>
                </c:pt>
                <c:pt idx="3">
                  <c:v>7</c:v>
                </c:pt>
                <c:pt idx="4">
                  <c:v>14</c:v>
                </c:pt>
                <c:pt idx="5">
                  <c:v>21</c:v>
                </c:pt>
                <c:pt idx="6">
                  <c:v>28</c:v>
                </c:pt>
                <c:pt idx="7">
                  <c:v>35</c:v>
                </c:pt>
                <c:pt idx="8">
                  <c:v>42</c:v>
                </c:pt>
                <c:pt idx="9">
                  <c:v>320</c:v>
                </c:pt>
              </c:numCache>
            </c:numRef>
          </c:xVal>
          <c:yVal>
            <c:numRef>
              <c:f>'Measured shrinkage'!$C$2719:$C$2728</c:f>
              <c:numCache>
                <c:formatCode>0</c:formatCode>
                <c:ptCount val="10"/>
                <c:pt idx="0">
                  <c:v>67</c:v>
                </c:pt>
                <c:pt idx="1">
                  <c:v>108</c:v>
                </c:pt>
                <c:pt idx="2">
                  <c:v>120</c:v>
                </c:pt>
                <c:pt idx="3">
                  <c:v>187</c:v>
                </c:pt>
                <c:pt idx="4">
                  <c:v>240</c:v>
                </c:pt>
                <c:pt idx="5">
                  <c:v>260</c:v>
                </c:pt>
                <c:pt idx="6">
                  <c:v>330</c:v>
                </c:pt>
                <c:pt idx="7">
                  <c:v>450</c:v>
                </c:pt>
                <c:pt idx="8">
                  <c:v>425</c:v>
                </c:pt>
                <c:pt idx="9">
                  <c:v>538</c:v>
                </c:pt>
              </c:numCache>
            </c:numRef>
          </c:yVal>
          <c:smooth val="0"/>
          <c:extLst>
            <c:ext xmlns:c16="http://schemas.microsoft.com/office/drawing/2014/chart" uri="{C3380CC4-5D6E-409C-BE32-E72D297353CC}">
              <c16:uniqueId val="{00000001-D4F3-4C0D-8E03-CEE4A76D1792}"/>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a:t>
                </a:r>
                <a:r>
                  <a:rPr lang="en-ZA" sz="1000">
                    <a:solidFill>
                      <a:sysClr val="windowText" lastClr="000000"/>
                    </a:solidFill>
                    <a:latin typeface="Calibri" panose="020F0502020204030204" pitchFamily="34" charset="0"/>
                    <a:cs typeface="Calibri" panose="020F0502020204030204" pitchFamily="34" charset="0"/>
                  </a:rPr>
                  <a:t>(microstrains)</a:t>
                </a:r>
                <a:endParaRPr lang="en-ZA" sz="1000">
                  <a:solidFill>
                    <a:sysClr val="windowText" lastClr="000000"/>
                  </a:solidFill>
                </a:endParaRPr>
              </a:p>
            </c:rich>
          </c:tx>
          <c:layout>
            <c:manualLayout>
              <c:xMode val="edge"/>
              <c:yMode val="edge"/>
              <c:x val="1.8689065355128581E-2"/>
              <c:y val="0.22928623505395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9484295713035873"/>
          <c:y val="0.66554999999999997"/>
          <c:w val="0.31279593175853021"/>
          <c:h val="0.18274960317460315"/>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S2-11: CEM II (A-D) - 0.34 w/cm - Quartzite - </a:t>
            </a:r>
          </a:p>
          <a:p>
            <a:pPr>
              <a:defRPr sz="1100">
                <a:solidFill>
                  <a:sysClr val="windowText" lastClr="000000"/>
                </a:solidFill>
              </a:defRPr>
            </a:pPr>
            <a:r>
              <a:rPr lang="en-ZA" sz="1100">
                <a:solidFill>
                  <a:sysClr val="windowText" lastClr="000000"/>
                </a:solidFill>
              </a:rPr>
              <a:t>1% Superplasticiser, 0.005% AEA</a:t>
            </a:r>
          </a:p>
        </c:rich>
      </c:tx>
      <c:layout>
        <c:manualLayout>
          <c:xMode val="edge"/>
          <c:yMode val="edge"/>
          <c:x val="0.22893744531933508"/>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shrinkage'!$A$18145</c:f>
              <c:strCache>
                <c:ptCount val="1"/>
                <c:pt idx="0">
                  <c:v>A_086_13</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shrinkage'!$B$18145:$B$18162</c:f>
              <c:numCache>
                <c:formatCode>0</c:formatCode>
                <c:ptCount val="18"/>
                <c:pt idx="0">
                  <c:v>1.06558</c:v>
                </c:pt>
                <c:pt idx="1">
                  <c:v>2.0111699999999999</c:v>
                </c:pt>
                <c:pt idx="2">
                  <c:v>6.2101699999999997</c:v>
                </c:pt>
                <c:pt idx="3">
                  <c:v>24.723099999999999</c:v>
                </c:pt>
                <c:pt idx="4">
                  <c:v>33.965200000000003</c:v>
                </c:pt>
                <c:pt idx="5">
                  <c:v>61.1233</c:v>
                </c:pt>
                <c:pt idx="6">
                  <c:v>77.563100000000006</c:v>
                </c:pt>
                <c:pt idx="7">
                  <c:v>86.682400000000001</c:v>
                </c:pt>
                <c:pt idx="8">
                  <c:v>122.929</c:v>
                </c:pt>
                <c:pt idx="9">
                  <c:v>188.739</c:v>
                </c:pt>
                <c:pt idx="10">
                  <c:v>276.29899999999998</c:v>
                </c:pt>
                <c:pt idx="11">
                  <c:v>573.61500000000001</c:v>
                </c:pt>
                <c:pt idx="12">
                  <c:v>694.03200000000004</c:v>
                </c:pt>
                <c:pt idx="13">
                  <c:v>923.67100000000005</c:v>
                </c:pt>
                <c:pt idx="14">
                  <c:v>1309.9100000000001</c:v>
                </c:pt>
                <c:pt idx="15">
                  <c:v>1715.86</c:v>
                </c:pt>
                <c:pt idx="16">
                  <c:v>1979.48</c:v>
                </c:pt>
                <c:pt idx="17">
                  <c:v>2283.6</c:v>
                </c:pt>
              </c:numCache>
            </c:numRef>
          </c:xVal>
          <c:yVal>
            <c:numRef>
              <c:f>'Measured shrinkage'!$C$18145:$C$18162</c:f>
              <c:numCache>
                <c:formatCode>0</c:formatCode>
                <c:ptCount val="18"/>
                <c:pt idx="0">
                  <c:v>62.247799999999998</c:v>
                </c:pt>
                <c:pt idx="1">
                  <c:v>25.360199999999999</c:v>
                </c:pt>
                <c:pt idx="2">
                  <c:v>55.331400000000002</c:v>
                </c:pt>
                <c:pt idx="3">
                  <c:v>106.05200000000001</c:v>
                </c:pt>
                <c:pt idx="4">
                  <c:v>122.19</c:v>
                </c:pt>
                <c:pt idx="5">
                  <c:v>142.93899999999999</c:v>
                </c:pt>
                <c:pt idx="6">
                  <c:v>149.85599999999999</c:v>
                </c:pt>
                <c:pt idx="7">
                  <c:v>175.21600000000001</c:v>
                </c:pt>
                <c:pt idx="8">
                  <c:v>175.21600000000001</c:v>
                </c:pt>
                <c:pt idx="9">
                  <c:v>179.827</c:v>
                </c:pt>
                <c:pt idx="10">
                  <c:v>216.715</c:v>
                </c:pt>
                <c:pt idx="11">
                  <c:v>207.49299999999999</c:v>
                </c:pt>
                <c:pt idx="12">
                  <c:v>216.715</c:v>
                </c:pt>
                <c:pt idx="13">
                  <c:v>237.464</c:v>
                </c:pt>
                <c:pt idx="14">
                  <c:v>253.602</c:v>
                </c:pt>
                <c:pt idx="15">
                  <c:v>276.65699999999998</c:v>
                </c:pt>
                <c:pt idx="16">
                  <c:v>292.79500000000002</c:v>
                </c:pt>
                <c:pt idx="17">
                  <c:v>311.23899999999998</c:v>
                </c:pt>
              </c:numCache>
            </c:numRef>
          </c:yVal>
          <c:smooth val="0"/>
          <c:extLst>
            <c:ext xmlns:c16="http://schemas.microsoft.com/office/drawing/2014/chart" uri="{C3380CC4-5D6E-409C-BE32-E72D297353CC}">
              <c16:uniqueId val="{00000004-19DE-42D4-B89B-0F92F2CA3C5D}"/>
            </c:ext>
          </c:extLst>
        </c:ser>
        <c:ser>
          <c:idx val="1"/>
          <c:order val="1"/>
          <c:tx>
            <c:strRef>
              <c:f>'Measured shrinkage'!$A$18163</c:f>
              <c:strCache>
                <c:ptCount val="1"/>
                <c:pt idx="0">
                  <c:v>A_086_14</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shrinkage'!$B$18163:$B$18178</c:f>
              <c:numCache>
                <c:formatCode>0</c:formatCode>
                <c:ptCount val="16"/>
                <c:pt idx="0">
                  <c:v>1.0487899999999999</c:v>
                </c:pt>
                <c:pt idx="1">
                  <c:v>3.13727</c:v>
                </c:pt>
                <c:pt idx="2">
                  <c:v>13.9581</c:v>
                </c:pt>
                <c:pt idx="3">
                  <c:v>61.1233</c:v>
                </c:pt>
                <c:pt idx="4">
                  <c:v>67.233599999999996</c:v>
                </c:pt>
                <c:pt idx="5">
                  <c:v>128.92699999999999</c:v>
                </c:pt>
                <c:pt idx="6">
                  <c:v>185.76599999999999</c:v>
                </c:pt>
                <c:pt idx="7">
                  <c:v>263.44499999999999</c:v>
                </c:pt>
                <c:pt idx="8">
                  <c:v>391.83499999999998</c:v>
                </c:pt>
                <c:pt idx="9">
                  <c:v>546.92899999999997</c:v>
                </c:pt>
                <c:pt idx="10">
                  <c:v>694.03200000000004</c:v>
                </c:pt>
                <c:pt idx="11">
                  <c:v>880.69899999999996</c:v>
                </c:pt>
                <c:pt idx="12">
                  <c:v>1135.46</c:v>
                </c:pt>
                <c:pt idx="13">
                  <c:v>1610.26</c:v>
                </c:pt>
                <c:pt idx="14">
                  <c:v>2043.36</c:v>
                </c:pt>
                <c:pt idx="15">
                  <c:v>2472.31</c:v>
                </c:pt>
              </c:numCache>
            </c:numRef>
          </c:xVal>
          <c:yVal>
            <c:numRef>
              <c:f>'Measured shrinkage'!$C$18163:$C$18178</c:f>
              <c:numCache>
                <c:formatCode>0</c:formatCode>
                <c:ptCount val="16"/>
                <c:pt idx="0">
                  <c:v>64.553299999999993</c:v>
                </c:pt>
                <c:pt idx="1">
                  <c:v>20.749300000000002</c:v>
                </c:pt>
                <c:pt idx="2">
                  <c:v>76.080699999999993</c:v>
                </c:pt>
                <c:pt idx="3">
                  <c:v>154.46700000000001</c:v>
                </c:pt>
                <c:pt idx="4">
                  <c:v>119.88500000000001</c:v>
                </c:pt>
                <c:pt idx="5">
                  <c:v>142.93899999999999</c:v>
                </c:pt>
                <c:pt idx="6">
                  <c:v>142.93899999999999</c:v>
                </c:pt>
                <c:pt idx="7">
                  <c:v>168.3</c:v>
                </c:pt>
                <c:pt idx="8">
                  <c:v>228.24199999999999</c:v>
                </c:pt>
                <c:pt idx="9">
                  <c:v>195.965</c:v>
                </c:pt>
                <c:pt idx="10">
                  <c:v>202.88200000000001</c:v>
                </c:pt>
                <c:pt idx="11">
                  <c:v>230.548</c:v>
                </c:pt>
                <c:pt idx="12">
                  <c:v>265.13</c:v>
                </c:pt>
                <c:pt idx="13">
                  <c:v>302.017</c:v>
                </c:pt>
                <c:pt idx="14">
                  <c:v>343.51600000000002</c:v>
                </c:pt>
                <c:pt idx="15">
                  <c:v>371.18200000000002</c:v>
                </c:pt>
              </c:numCache>
            </c:numRef>
          </c:yVal>
          <c:smooth val="0"/>
          <c:extLst>
            <c:ext xmlns:c16="http://schemas.microsoft.com/office/drawing/2014/chart" uri="{C3380CC4-5D6E-409C-BE32-E72D297353CC}">
              <c16:uniqueId val="{00000005-19DE-42D4-B89B-0F92F2CA3C5D}"/>
            </c:ext>
          </c:extLst>
        </c:ser>
        <c:dLbls>
          <c:showLegendKey val="0"/>
          <c:showVal val="0"/>
          <c:showCatName val="0"/>
          <c:showSerName val="0"/>
          <c:showPercent val="0"/>
          <c:showBubbleSize val="0"/>
        </c:dLbls>
        <c:axId val="1006819376"/>
        <c:axId val="1006821344"/>
      </c:scatterChart>
      <c:valAx>
        <c:axId val="1006819376"/>
        <c:scaling>
          <c:orientation val="minMax"/>
          <c:max val="3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70336187016712259"/>
          <c:y val="0.57603146488851842"/>
          <c:w val="0.23619004119876619"/>
          <c:h val="0.24809976437398817"/>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ZA" sz="1100">
                <a:solidFill>
                  <a:sysClr val="windowText" lastClr="000000"/>
                </a:solidFill>
              </a:rPr>
              <a:t>D2-HSC: S2-12: CEM II (A-D) - 0.29 w/cm - Quartzite - </a:t>
            </a:r>
          </a:p>
          <a:p>
            <a:pPr>
              <a:defRPr sz="1100">
                <a:solidFill>
                  <a:sysClr val="windowText" lastClr="000000"/>
                </a:solidFill>
              </a:defRPr>
            </a:pPr>
            <a:r>
              <a:rPr lang="en-ZA" sz="1100">
                <a:solidFill>
                  <a:sysClr val="windowText" lastClr="000000"/>
                </a:solidFill>
              </a:rPr>
              <a:t>3% Superplasticiser</a:t>
            </a:r>
          </a:p>
        </c:rich>
      </c:tx>
      <c:layout>
        <c:manualLayout>
          <c:xMode val="edge"/>
          <c:yMode val="edge"/>
          <c:x val="0.22893744531933508"/>
          <c:y val="2.5793650793650793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15048118985127"/>
          <c:y val="0.16180555555555556"/>
          <c:w val="0.82935914260717414"/>
          <c:h val="0.6613404761904762"/>
        </c:manualLayout>
      </c:layout>
      <c:scatterChart>
        <c:scatterStyle val="lineMarker"/>
        <c:varyColors val="0"/>
        <c:ser>
          <c:idx val="0"/>
          <c:order val="0"/>
          <c:tx>
            <c:strRef>
              <c:f>'Measured shrinkage'!$A$4237</c:f>
              <c:strCache>
                <c:ptCount val="1"/>
                <c:pt idx="0">
                  <c:v>A_007_06</c:v>
                </c:pt>
              </c:strCache>
            </c:strRef>
          </c:tx>
          <c:spPr>
            <a:ln w="19050" cap="rnd">
              <a:noFill/>
              <a:round/>
            </a:ln>
            <a:effectLst/>
          </c:spPr>
          <c:marker>
            <c:symbol val="circle"/>
            <c:size val="4"/>
            <c:spPr>
              <a:solidFill>
                <a:schemeClr val="accent1"/>
              </a:solidFill>
              <a:ln w="9525">
                <a:solidFill>
                  <a:schemeClr val="accent1"/>
                </a:solidFill>
              </a:ln>
              <a:effectLst/>
            </c:spPr>
          </c:marker>
          <c:xVal>
            <c:numRef>
              <c:f>'Measured shrinkage'!$B$4237:$B$4264</c:f>
              <c:numCache>
                <c:formatCode>0</c:formatCode>
                <c:ptCount val="28"/>
                <c:pt idx="0">
                  <c:v>0.69504699999999997</c:v>
                </c:pt>
                <c:pt idx="1">
                  <c:v>1.1584099999999999</c:v>
                </c:pt>
                <c:pt idx="2">
                  <c:v>1.9271799999999999</c:v>
                </c:pt>
                <c:pt idx="3">
                  <c:v>3.1108600000000002</c:v>
                </c:pt>
                <c:pt idx="4">
                  <c:v>4.2819099999999999</c:v>
                </c:pt>
                <c:pt idx="5">
                  <c:v>4.88429</c:v>
                </c:pt>
                <c:pt idx="6">
                  <c:v>4.8990299999999998</c:v>
                </c:pt>
                <c:pt idx="7">
                  <c:v>7.2053200000000004</c:v>
                </c:pt>
                <c:pt idx="8">
                  <c:v>10.069800000000001</c:v>
                </c:pt>
                <c:pt idx="9">
                  <c:v>14.067299999999999</c:v>
                </c:pt>
                <c:pt idx="10">
                  <c:v>17.500399999999999</c:v>
                </c:pt>
                <c:pt idx="11">
                  <c:v>20.354299999999999</c:v>
                </c:pt>
                <c:pt idx="12">
                  <c:v>24.353999999999999</c:v>
                </c:pt>
                <c:pt idx="13">
                  <c:v>28.9224</c:v>
                </c:pt>
                <c:pt idx="14">
                  <c:v>34.619700000000002</c:v>
                </c:pt>
                <c:pt idx="15">
                  <c:v>39.765099999999997</c:v>
                </c:pt>
                <c:pt idx="16">
                  <c:v>45.4666</c:v>
                </c:pt>
                <c:pt idx="17">
                  <c:v>50.61</c:v>
                </c:pt>
                <c:pt idx="18">
                  <c:v>60.313200000000002</c:v>
                </c:pt>
                <c:pt idx="19">
                  <c:v>70.031300000000002</c:v>
                </c:pt>
                <c:pt idx="20">
                  <c:v>79.7577</c:v>
                </c:pt>
                <c:pt idx="21">
                  <c:v>89.479900000000001</c:v>
                </c:pt>
                <c:pt idx="22">
                  <c:v>100.333</c:v>
                </c:pt>
                <c:pt idx="23">
                  <c:v>119.752</c:v>
                </c:pt>
                <c:pt idx="24">
                  <c:v>140.31299999999999</c:v>
                </c:pt>
                <c:pt idx="25">
                  <c:v>159.72</c:v>
                </c:pt>
                <c:pt idx="26">
                  <c:v>179.703</c:v>
                </c:pt>
                <c:pt idx="27">
                  <c:v>200.25800000000001</c:v>
                </c:pt>
              </c:numCache>
            </c:numRef>
          </c:xVal>
          <c:yVal>
            <c:numRef>
              <c:f>'Measured shrinkage'!$C$4237:$C$4264</c:f>
              <c:numCache>
                <c:formatCode>0</c:formatCode>
                <c:ptCount val="28"/>
                <c:pt idx="0">
                  <c:v>8.8612199999999994</c:v>
                </c:pt>
                <c:pt idx="1">
                  <c:v>65.316699999999997</c:v>
                </c:pt>
                <c:pt idx="2">
                  <c:v>112.92400000000001</c:v>
                </c:pt>
                <c:pt idx="3">
                  <c:v>135.06899999999999</c:v>
                </c:pt>
                <c:pt idx="4">
                  <c:v>150.572</c:v>
                </c:pt>
                <c:pt idx="5">
                  <c:v>167.18</c:v>
                </c:pt>
                <c:pt idx="6">
                  <c:v>174.929</c:v>
                </c:pt>
                <c:pt idx="7">
                  <c:v>187.11699999999999</c:v>
                </c:pt>
                <c:pt idx="8">
                  <c:v>192.66499999999999</c:v>
                </c:pt>
                <c:pt idx="9">
                  <c:v>193.78899999999999</c:v>
                </c:pt>
                <c:pt idx="10">
                  <c:v>198.232</c:v>
                </c:pt>
                <c:pt idx="11">
                  <c:v>198.245</c:v>
                </c:pt>
                <c:pt idx="12">
                  <c:v>200.477</c:v>
                </c:pt>
                <c:pt idx="13">
                  <c:v>201.60400000000001</c:v>
                </c:pt>
                <c:pt idx="14">
                  <c:v>196.09399999999999</c:v>
                </c:pt>
                <c:pt idx="15">
                  <c:v>200.54499999999999</c:v>
                </c:pt>
                <c:pt idx="16">
                  <c:v>197.249</c:v>
                </c:pt>
                <c:pt idx="17">
                  <c:v>200.59299999999999</c:v>
                </c:pt>
                <c:pt idx="18">
                  <c:v>200.636</c:v>
                </c:pt>
                <c:pt idx="19">
                  <c:v>208.428</c:v>
                </c:pt>
                <c:pt idx="20">
                  <c:v>220.648</c:v>
                </c:pt>
                <c:pt idx="21">
                  <c:v>230.655</c:v>
                </c:pt>
                <c:pt idx="22">
                  <c:v>235.131</c:v>
                </c:pt>
                <c:pt idx="23">
                  <c:v>241.85900000000001</c:v>
                </c:pt>
                <c:pt idx="24">
                  <c:v>248.59200000000001</c:v>
                </c:pt>
                <c:pt idx="25">
                  <c:v>248.678</c:v>
                </c:pt>
                <c:pt idx="26">
                  <c:v>252.08699999999999</c:v>
                </c:pt>
                <c:pt idx="27">
                  <c:v>255.499</c:v>
                </c:pt>
              </c:numCache>
            </c:numRef>
          </c:yVal>
          <c:smooth val="0"/>
          <c:extLst>
            <c:ext xmlns:c16="http://schemas.microsoft.com/office/drawing/2014/chart" uri="{C3380CC4-5D6E-409C-BE32-E72D297353CC}">
              <c16:uniqueId val="{00000004-DFCF-41FA-A0E8-4940CAEE8FAB}"/>
            </c:ext>
          </c:extLst>
        </c:ser>
        <c:ser>
          <c:idx val="1"/>
          <c:order val="1"/>
          <c:tx>
            <c:strRef>
              <c:f>'Measured shrinkage'!$A$4265</c:f>
              <c:strCache>
                <c:ptCount val="1"/>
                <c:pt idx="0">
                  <c:v>A_007_07</c:v>
                </c:pt>
              </c:strCache>
            </c:strRef>
          </c:tx>
          <c:spPr>
            <a:ln w="19050" cap="rnd">
              <a:noFill/>
              <a:round/>
            </a:ln>
            <a:effectLst/>
          </c:spPr>
          <c:marker>
            <c:symbol val="circle"/>
            <c:size val="4"/>
            <c:spPr>
              <a:solidFill>
                <a:schemeClr val="accent2"/>
              </a:solidFill>
              <a:ln w="9525">
                <a:solidFill>
                  <a:schemeClr val="accent2"/>
                </a:solidFill>
              </a:ln>
              <a:effectLst/>
            </c:spPr>
          </c:marker>
          <c:xVal>
            <c:numRef>
              <c:f>'Measured shrinkage'!$B$4265:$B$4294</c:f>
              <c:numCache>
                <c:formatCode>0</c:formatCode>
                <c:ptCount val="30"/>
                <c:pt idx="0">
                  <c:v>0.57078099999999998</c:v>
                </c:pt>
                <c:pt idx="1">
                  <c:v>0.66134800000000005</c:v>
                </c:pt>
                <c:pt idx="2">
                  <c:v>1.8661000000000001</c:v>
                </c:pt>
                <c:pt idx="3">
                  <c:v>1.89137</c:v>
                </c:pt>
                <c:pt idx="4">
                  <c:v>2.4684699999999999</c:v>
                </c:pt>
                <c:pt idx="5">
                  <c:v>2.53376</c:v>
                </c:pt>
                <c:pt idx="6">
                  <c:v>4.2966499999999996</c:v>
                </c:pt>
                <c:pt idx="7">
                  <c:v>4.8884999999999996</c:v>
                </c:pt>
                <c:pt idx="8">
                  <c:v>5.4698099999999998</c:v>
                </c:pt>
                <c:pt idx="9">
                  <c:v>7.7634600000000002</c:v>
                </c:pt>
                <c:pt idx="10">
                  <c:v>10.0655</c:v>
                </c:pt>
                <c:pt idx="11">
                  <c:v>14.0631</c:v>
                </c:pt>
                <c:pt idx="12">
                  <c:v>18.058599999999998</c:v>
                </c:pt>
                <c:pt idx="13">
                  <c:v>20.339600000000001</c:v>
                </c:pt>
                <c:pt idx="14">
                  <c:v>23.764299999999999</c:v>
                </c:pt>
                <c:pt idx="15">
                  <c:v>30.045000000000002</c:v>
                </c:pt>
                <c:pt idx="16">
                  <c:v>35.748600000000003</c:v>
                </c:pt>
                <c:pt idx="17">
                  <c:v>40.304299999999998</c:v>
                </c:pt>
                <c:pt idx="18">
                  <c:v>45.447699999999998</c:v>
                </c:pt>
                <c:pt idx="19">
                  <c:v>48.870199999999997</c:v>
                </c:pt>
                <c:pt idx="20">
                  <c:v>59.7151</c:v>
                </c:pt>
                <c:pt idx="21">
                  <c:v>69.993300000000005</c:v>
                </c:pt>
                <c:pt idx="22">
                  <c:v>80.876099999999994</c:v>
                </c:pt>
                <c:pt idx="23">
                  <c:v>89.989599999999996</c:v>
                </c:pt>
                <c:pt idx="24">
                  <c:v>100.297</c:v>
                </c:pt>
                <c:pt idx="25">
                  <c:v>119.69799999999999</c:v>
                </c:pt>
                <c:pt idx="26">
                  <c:v>140.82900000000001</c:v>
                </c:pt>
                <c:pt idx="27">
                  <c:v>160.23400000000001</c:v>
                </c:pt>
                <c:pt idx="28">
                  <c:v>180.221</c:v>
                </c:pt>
                <c:pt idx="29">
                  <c:v>199.62200000000001</c:v>
                </c:pt>
              </c:numCache>
            </c:numRef>
          </c:xVal>
          <c:yVal>
            <c:numRef>
              <c:f>'Measured shrinkage'!$C$4265:$C$4294</c:f>
              <c:numCache>
                <c:formatCode>0</c:formatCode>
                <c:ptCount val="30"/>
                <c:pt idx="0">
                  <c:v>2.5274400000000002E-3</c:v>
                </c:pt>
                <c:pt idx="1">
                  <c:v>47.604399999999998</c:v>
                </c:pt>
                <c:pt idx="2">
                  <c:v>80.820099999999996</c:v>
                </c:pt>
                <c:pt idx="3">
                  <c:v>94.104299999999995</c:v>
                </c:pt>
                <c:pt idx="4">
                  <c:v>97.427899999999994</c:v>
                </c:pt>
                <c:pt idx="5">
                  <c:v>131.74600000000001</c:v>
                </c:pt>
                <c:pt idx="6">
                  <c:v>158.322</c:v>
                </c:pt>
                <c:pt idx="7">
                  <c:v>169.39400000000001</c:v>
                </c:pt>
                <c:pt idx="8">
                  <c:v>174.93199999999999</c:v>
                </c:pt>
                <c:pt idx="9">
                  <c:v>180.477</c:v>
                </c:pt>
                <c:pt idx="10">
                  <c:v>190.45</c:v>
                </c:pt>
                <c:pt idx="11">
                  <c:v>191.57499999999999</c:v>
                </c:pt>
                <c:pt idx="12">
                  <c:v>191.59299999999999</c:v>
                </c:pt>
                <c:pt idx="13">
                  <c:v>190.49600000000001</c:v>
                </c:pt>
                <c:pt idx="14">
                  <c:v>190.511</c:v>
                </c:pt>
                <c:pt idx="15">
                  <c:v>191.64599999999999</c:v>
                </c:pt>
                <c:pt idx="16">
                  <c:v>189.45699999999999</c:v>
                </c:pt>
                <c:pt idx="17">
                  <c:v>183.94200000000001</c:v>
                </c:pt>
                <c:pt idx="18">
                  <c:v>187.286</c:v>
                </c:pt>
                <c:pt idx="19">
                  <c:v>186.19399999999999</c:v>
                </c:pt>
                <c:pt idx="20">
                  <c:v>186.24199999999999</c:v>
                </c:pt>
                <c:pt idx="21">
                  <c:v>188.50200000000001</c:v>
                </c:pt>
                <c:pt idx="22">
                  <c:v>208.476</c:v>
                </c:pt>
                <c:pt idx="23">
                  <c:v>198.553</c:v>
                </c:pt>
                <c:pt idx="24">
                  <c:v>216.31100000000001</c:v>
                </c:pt>
                <c:pt idx="25">
                  <c:v>213.07599999999999</c:v>
                </c:pt>
                <c:pt idx="26">
                  <c:v>219.81200000000001</c:v>
                </c:pt>
                <c:pt idx="27">
                  <c:v>218.791</c:v>
                </c:pt>
                <c:pt idx="28">
                  <c:v>224.41399999999999</c:v>
                </c:pt>
                <c:pt idx="29">
                  <c:v>221.179</c:v>
                </c:pt>
              </c:numCache>
            </c:numRef>
          </c:yVal>
          <c:smooth val="0"/>
          <c:extLst>
            <c:ext xmlns:c16="http://schemas.microsoft.com/office/drawing/2014/chart" uri="{C3380CC4-5D6E-409C-BE32-E72D297353CC}">
              <c16:uniqueId val="{00000005-DFCF-41FA-A0E8-4940CAEE8FAB}"/>
            </c:ext>
          </c:extLst>
        </c:ser>
        <c:dLbls>
          <c:showLegendKey val="0"/>
          <c:showVal val="0"/>
          <c:showCatName val="0"/>
          <c:showSerName val="0"/>
          <c:showPercent val="0"/>
          <c:showBubbleSize val="0"/>
        </c:dLbls>
        <c:axId val="1006819376"/>
        <c:axId val="1006821344"/>
      </c:scatterChart>
      <c:valAx>
        <c:axId val="100681937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Concrete age (days)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21344"/>
        <c:crosses val="autoZero"/>
        <c:crossBetween val="midCat"/>
        <c:majorUnit val="50"/>
      </c:valAx>
      <c:valAx>
        <c:axId val="10068213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Autogenous</a:t>
                </a:r>
                <a:r>
                  <a:rPr lang="en-ZA" baseline="0">
                    <a:solidFill>
                      <a:sysClr val="windowText" lastClr="000000"/>
                    </a:solidFill>
                  </a:rPr>
                  <a:t> </a:t>
                </a:r>
                <a:r>
                  <a:rPr lang="en-ZA" baseline="0">
                    <a:solidFill>
                      <a:sysClr val="windowText" lastClr="000000"/>
                    </a:solidFill>
                    <a:latin typeface="Calibri" panose="020F0502020204030204" pitchFamily="34" charset="0"/>
                    <a:cs typeface="Calibri" panose="020F0502020204030204" pitchFamily="34" charset="0"/>
                  </a:rPr>
                  <a:t>ɛ (microstrain)</a:t>
                </a:r>
                <a:endParaRPr lang="en-ZA">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6819376"/>
        <c:crosses val="autoZero"/>
        <c:crossBetween val="midCat"/>
      </c:valAx>
      <c:spPr>
        <a:noFill/>
        <a:ln>
          <a:noFill/>
        </a:ln>
        <a:effectLst/>
      </c:spPr>
    </c:plotArea>
    <c:legend>
      <c:legendPos val="r"/>
      <c:layout>
        <c:manualLayout>
          <c:xMode val="edge"/>
          <c:yMode val="edge"/>
          <c:x val="0.68944484892689906"/>
          <c:y val="0.60147747126805262"/>
          <c:w val="0.24944386706461311"/>
          <c:h val="0.21803180149710677"/>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S1-04: CEM I - 0.41 w/cm - Andesite</a:t>
            </a:r>
          </a:p>
        </c:rich>
      </c:tx>
      <c:layout>
        <c:manualLayout>
          <c:xMode val="edge"/>
          <c:yMode val="edge"/>
          <c:x val="0.22463223341552005"/>
          <c:y val="4.2198412698412702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9.7311254013017295E-2"/>
          <c:w val="0.77765091863517055"/>
          <c:h val="0.75267323061310121"/>
        </c:manualLayout>
      </c:layout>
      <c:scatterChart>
        <c:scatterStyle val="lineMarker"/>
        <c:varyColors val="0"/>
        <c:ser>
          <c:idx val="0"/>
          <c:order val="0"/>
          <c:tx>
            <c:strRef>
              <c:f>'Measured shrinkage'!$A$2128</c:f>
              <c:strCache>
                <c:ptCount val="1"/>
                <c:pt idx="0">
                  <c:v>#0083</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shrinkage'!$B$2128:$B$2139</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shrinkage'!$C$2128:$C$2139</c:f>
              <c:numCache>
                <c:formatCode>0</c:formatCode>
                <c:ptCount val="12"/>
                <c:pt idx="0">
                  <c:v>14</c:v>
                </c:pt>
                <c:pt idx="1">
                  <c:v>61</c:v>
                </c:pt>
                <c:pt idx="2">
                  <c:v>89</c:v>
                </c:pt>
                <c:pt idx="3">
                  <c:v>159</c:v>
                </c:pt>
                <c:pt idx="4">
                  <c:v>206</c:v>
                </c:pt>
                <c:pt idx="5">
                  <c:v>251</c:v>
                </c:pt>
                <c:pt idx="6">
                  <c:v>315</c:v>
                </c:pt>
                <c:pt idx="7">
                  <c:v>381</c:v>
                </c:pt>
                <c:pt idx="8">
                  <c:v>437</c:v>
                </c:pt>
                <c:pt idx="9">
                  <c:v>473</c:v>
                </c:pt>
                <c:pt idx="10">
                  <c:v>493</c:v>
                </c:pt>
                <c:pt idx="11">
                  <c:v>534</c:v>
                </c:pt>
              </c:numCache>
            </c:numRef>
          </c:yVal>
          <c:smooth val="0"/>
          <c:extLst>
            <c:ext xmlns:c16="http://schemas.microsoft.com/office/drawing/2014/chart" uri="{C3380CC4-5D6E-409C-BE32-E72D297353CC}">
              <c16:uniqueId val="{00000000-0F5E-45B4-85B8-E1D1E0B25233}"/>
            </c:ext>
          </c:extLst>
        </c:ser>
        <c:ser>
          <c:idx val="1"/>
          <c:order val="1"/>
          <c:tx>
            <c:strRef>
              <c:f>'Measured shrinkage'!$A$2092</c:f>
              <c:strCache>
                <c:ptCount val="1"/>
                <c:pt idx="0">
                  <c:v>#0079</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shrinkage'!$B$2092:$B$2103</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shrinkage'!$C$2092:$C$2103</c:f>
              <c:numCache>
                <c:formatCode>0</c:formatCode>
                <c:ptCount val="12"/>
                <c:pt idx="0">
                  <c:v>42</c:v>
                </c:pt>
                <c:pt idx="1">
                  <c:v>56</c:v>
                </c:pt>
                <c:pt idx="2">
                  <c:v>70</c:v>
                </c:pt>
                <c:pt idx="3">
                  <c:v>134</c:v>
                </c:pt>
                <c:pt idx="4">
                  <c:v>150</c:v>
                </c:pt>
                <c:pt idx="5">
                  <c:v>189</c:v>
                </c:pt>
                <c:pt idx="6">
                  <c:v>212</c:v>
                </c:pt>
                <c:pt idx="7">
                  <c:v>239</c:v>
                </c:pt>
                <c:pt idx="8">
                  <c:v>278</c:v>
                </c:pt>
                <c:pt idx="9">
                  <c:v>376</c:v>
                </c:pt>
                <c:pt idx="10">
                  <c:v>395</c:v>
                </c:pt>
                <c:pt idx="11">
                  <c:v>412</c:v>
                </c:pt>
              </c:numCache>
            </c:numRef>
          </c:yVal>
          <c:smooth val="0"/>
          <c:extLst>
            <c:ext xmlns:c16="http://schemas.microsoft.com/office/drawing/2014/chart" uri="{C3380CC4-5D6E-409C-BE32-E72D297353CC}">
              <c16:uniqueId val="{00000001-0F5E-45B4-85B8-E1D1E0B25233}"/>
            </c:ext>
          </c:extLst>
        </c:ser>
        <c:ser>
          <c:idx val="2"/>
          <c:order val="2"/>
          <c:tx>
            <c:strRef>
              <c:f>'Measured shrinkage'!$A$2116</c:f>
              <c:strCache>
                <c:ptCount val="1"/>
                <c:pt idx="0">
                  <c:v>#0081</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shrinkage'!$B$2116:$B$2127</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shrinkage'!$C$2116:$C$2127</c:f>
              <c:numCache>
                <c:formatCode>0</c:formatCode>
                <c:ptCount val="12"/>
                <c:pt idx="0">
                  <c:v>39</c:v>
                </c:pt>
                <c:pt idx="1">
                  <c:v>86</c:v>
                </c:pt>
                <c:pt idx="2">
                  <c:v>136</c:v>
                </c:pt>
                <c:pt idx="3">
                  <c:v>192</c:v>
                </c:pt>
                <c:pt idx="4">
                  <c:v>253</c:v>
                </c:pt>
                <c:pt idx="5">
                  <c:v>292</c:v>
                </c:pt>
                <c:pt idx="6">
                  <c:v>353</c:v>
                </c:pt>
                <c:pt idx="7">
                  <c:v>406</c:v>
                </c:pt>
                <c:pt idx="8">
                  <c:v>462</c:v>
                </c:pt>
                <c:pt idx="9">
                  <c:v>493</c:v>
                </c:pt>
                <c:pt idx="10">
                  <c:v>518</c:v>
                </c:pt>
                <c:pt idx="11">
                  <c:v>585</c:v>
                </c:pt>
              </c:numCache>
            </c:numRef>
          </c:yVal>
          <c:smooth val="0"/>
          <c:extLst>
            <c:ext xmlns:c16="http://schemas.microsoft.com/office/drawing/2014/chart" uri="{C3380CC4-5D6E-409C-BE32-E72D297353CC}">
              <c16:uniqueId val="{00000002-0F5E-45B4-85B8-E1D1E0B25233}"/>
            </c:ext>
          </c:extLst>
        </c:ser>
        <c:ser>
          <c:idx val="3"/>
          <c:order val="3"/>
          <c:tx>
            <c:strRef>
              <c:f>'Measured shrinkage'!$A$2474</c:f>
              <c:strCache>
                <c:ptCount val="1"/>
                <c:pt idx="0">
                  <c:v>#0221</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shrinkage'!$B$2474:$B$2487</c:f>
              <c:numCache>
                <c:formatCode>0</c:formatCode>
                <c:ptCount val="14"/>
                <c:pt idx="0">
                  <c:v>1</c:v>
                </c:pt>
                <c:pt idx="1">
                  <c:v>2</c:v>
                </c:pt>
                <c:pt idx="2">
                  <c:v>3</c:v>
                </c:pt>
                <c:pt idx="3">
                  <c:v>4</c:v>
                </c:pt>
                <c:pt idx="4">
                  <c:v>5</c:v>
                </c:pt>
                <c:pt idx="5">
                  <c:v>6</c:v>
                </c:pt>
                <c:pt idx="6">
                  <c:v>7</c:v>
                </c:pt>
                <c:pt idx="7">
                  <c:v>14</c:v>
                </c:pt>
                <c:pt idx="8">
                  <c:v>21</c:v>
                </c:pt>
                <c:pt idx="9">
                  <c:v>28</c:v>
                </c:pt>
                <c:pt idx="10">
                  <c:v>56</c:v>
                </c:pt>
                <c:pt idx="11">
                  <c:v>112</c:v>
                </c:pt>
                <c:pt idx="12">
                  <c:v>140</c:v>
                </c:pt>
                <c:pt idx="13">
                  <c:v>168</c:v>
                </c:pt>
              </c:numCache>
            </c:numRef>
          </c:xVal>
          <c:yVal>
            <c:numRef>
              <c:f>'Measured shrinkage'!$C$2474:$C$2487</c:f>
              <c:numCache>
                <c:formatCode>0</c:formatCode>
                <c:ptCount val="14"/>
                <c:pt idx="0">
                  <c:v>8</c:v>
                </c:pt>
                <c:pt idx="1">
                  <c:v>61</c:v>
                </c:pt>
                <c:pt idx="2">
                  <c:v>66</c:v>
                </c:pt>
                <c:pt idx="3">
                  <c:v>80</c:v>
                </c:pt>
                <c:pt idx="4">
                  <c:v>83</c:v>
                </c:pt>
                <c:pt idx="5">
                  <c:v>94</c:v>
                </c:pt>
                <c:pt idx="6">
                  <c:v>103</c:v>
                </c:pt>
                <c:pt idx="7">
                  <c:v>142</c:v>
                </c:pt>
                <c:pt idx="8">
                  <c:v>183</c:v>
                </c:pt>
                <c:pt idx="9">
                  <c:v>225</c:v>
                </c:pt>
                <c:pt idx="10">
                  <c:v>289</c:v>
                </c:pt>
                <c:pt idx="11">
                  <c:v>345</c:v>
                </c:pt>
                <c:pt idx="12">
                  <c:v>370</c:v>
                </c:pt>
                <c:pt idx="13">
                  <c:v>348</c:v>
                </c:pt>
              </c:numCache>
            </c:numRef>
          </c:yVal>
          <c:smooth val="0"/>
          <c:extLst>
            <c:ext xmlns:c16="http://schemas.microsoft.com/office/drawing/2014/chart" uri="{C3380CC4-5D6E-409C-BE32-E72D297353CC}">
              <c16:uniqueId val="{00000003-0F5E-45B4-85B8-E1D1E0B25233}"/>
            </c:ext>
          </c:extLst>
        </c:ser>
        <c:ser>
          <c:idx val="4"/>
          <c:order val="4"/>
          <c:tx>
            <c:strRef>
              <c:f>'Measured shrinkage'!$A$2488</c:f>
              <c:strCache>
                <c:ptCount val="1"/>
                <c:pt idx="0">
                  <c:v>#0225</c:v>
                </c:pt>
              </c:strCache>
            </c:strRef>
          </c:tx>
          <c:spPr>
            <a:ln w="25400" cap="rnd">
              <a:noFill/>
              <a:round/>
            </a:ln>
            <a:effectLst/>
          </c:spPr>
          <c:marker>
            <c:symbol val="circle"/>
            <c:size val="4"/>
            <c:spPr>
              <a:solidFill>
                <a:schemeClr val="accent5"/>
              </a:solidFill>
              <a:ln w="9525">
                <a:solidFill>
                  <a:schemeClr val="accent5"/>
                </a:solidFill>
              </a:ln>
              <a:effectLst/>
            </c:spPr>
          </c:marker>
          <c:xVal>
            <c:numRef>
              <c:f>'Measured shrinkage'!$B$2488:$B$2508</c:f>
              <c:numCache>
                <c:formatCode>0</c:formatCode>
                <c:ptCount val="21"/>
                <c:pt idx="0">
                  <c:v>1</c:v>
                </c:pt>
                <c:pt idx="1">
                  <c:v>2</c:v>
                </c:pt>
                <c:pt idx="2">
                  <c:v>3</c:v>
                </c:pt>
                <c:pt idx="3">
                  <c:v>4</c:v>
                </c:pt>
                <c:pt idx="4">
                  <c:v>5</c:v>
                </c:pt>
                <c:pt idx="5">
                  <c:v>6</c:v>
                </c:pt>
                <c:pt idx="6">
                  <c:v>7</c:v>
                </c:pt>
                <c:pt idx="7">
                  <c:v>9</c:v>
                </c:pt>
                <c:pt idx="8">
                  <c:v>15</c:v>
                </c:pt>
                <c:pt idx="9">
                  <c:v>19</c:v>
                </c:pt>
                <c:pt idx="10">
                  <c:v>22</c:v>
                </c:pt>
                <c:pt idx="11">
                  <c:v>26</c:v>
                </c:pt>
                <c:pt idx="12">
                  <c:v>28</c:v>
                </c:pt>
                <c:pt idx="13">
                  <c:v>39</c:v>
                </c:pt>
                <c:pt idx="14">
                  <c:v>46</c:v>
                </c:pt>
                <c:pt idx="15">
                  <c:v>53</c:v>
                </c:pt>
                <c:pt idx="16">
                  <c:v>56</c:v>
                </c:pt>
                <c:pt idx="17">
                  <c:v>239</c:v>
                </c:pt>
                <c:pt idx="18">
                  <c:v>259</c:v>
                </c:pt>
                <c:pt idx="19">
                  <c:v>324</c:v>
                </c:pt>
                <c:pt idx="20">
                  <c:v>428</c:v>
                </c:pt>
              </c:numCache>
            </c:numRef>
          </c:xVal>
          <c:yVal>
            <c:numRef>
              <c:f>'Measured shrinkage'!$C$2488:$C$2508</c:f>
              <c:numCache>
                <c:formatCode>0</c:formatCode>
                <c:ptCount val="21"/>
                <c:pt idx="0">
                  <c:v>3</c:v>
                </c:pt>
                <c:pt idx="1">
                  <c:v>23</c:v>
                </c:pt>
                <c:pt idx="2">
                  <c:v>57</c:v>
                </c:pt>
                <c:pt idx="3">
                  <c:v>68</c:v>
                </c:pt>
                <c:pt idx="4">
                  <c:v>100</c:v>
                </c:pt>
                <c:pt idx="5">
                  <c:v>108</c:v>
                </c:pt>
                <c:pt idx="6">
                  <c:v>120</c:v>
                </c:pt>
                <c:pt idx="7">
                  <c:v>132</c:v>
                </c:pt>
                <c:pt idx="8">
                  <c:v>173</c:v>
                </c:pt>
                <c:pt idx="9">
                  <c:v>180</c:v>
                </c:pt>
                <c:pt idx="10">
                  <c:v>185</c:v>
                </c:pt>
                <c:pt idx="11">
                  <c:v>217</c:v>
                </c:pt>
                <c:pt idx="12">
                  <c:v>218</c:v>
                </c:pt>
                <c:pt idx="13">
                  <c:v>263</c:v>
                </c:pt>
                <c:pt idx="14">
                  <c:v>280</c:v>
                </c:pt>
                <c:pt idx="15">
                  <c:v>310</c:v>
                </c:pt>
                <c:pt idx="16">
                  <c:v>315</c:v>
                </c:pt>
                <c:pt idx="17">
                  <c:v>472</c:v>
                </c:pt>
                <c:pt idx="18">
                  <c:v>482</c:v>
                </c:pt>
                <c:pt idx="19">
                  <c:v>502</c:v>
                </c:pt>
                <c:pt idx="20">
                  <c:v>495</c:v>
                </c:pt>
              </c:numCache>
            </c:numRef>
          </c:yVal>
          <c:smooth val="0"/>
          <c:extLst>
            <c:ext xmlns:c16="http://schemas.microsoft.com/office/drawing/2014/chart" uri="{C3380CC4-5D6E-409C-BE32-E72D297353CC}">
              <c16:uniqueId val="{00000004-0F5E-45B4-85B8-E1D1E0B25233}"/>
            </c:ext>
          </c:extLst>
        </c:ser>
        <c:ser>
          <c:idx val="5"/>
          <c:order val="5"/>
          <c:tx>
            <c:strRef>
              <c:f>'Measured shrinkage'!$A$2223</c:f>
              <c:strCache>
                <c:ptCount val="1"/>
                <c:pt idx="0">
                  <c:v>#0105</c:v>
                </c:pt>
              </c:strCache>
            </c:strRef>
          </c:tx>
          <c:spPr>
            <a:ln w="25400" cap="rnd">
              <a:noFill/>
              <a:round/>
            </a:ln>
            <a:effectLst/>
          </c:spPr>
          <c:marker>
            <c:symbol val="circle"/>
            <c:size val="4"/>
            <c:spPr>
              <a:solidFill>
                <a:schemeClr val="accent6"/>
              </a:solidFill>
              <a:ln w="9525">
                <a:solidFill>
                  <a:schemeClr val="accent6"/>
                </a:solidFill>
              </a:ln>
              <a:effectLst/>
            </c:spPr>
          </c:marker>
          <c:xVal>
            <c:numRef>
              <c:f>'Measured shrinkage'!$B$2223:$B$2237</c:f>
              <c:numCache>
                <c:formatCode>0</c:formatCode>
                <c:ptCount val="15"/>
                <c:pt idx="0">
                  <c:v>1</c:v>
                </c:pt>
                <c:pt idx="1">
                  <c:v>2</c:v>
                </c:pt>
                <c:pt idx="2">
                  <c:v>3</c:v>
                </c:pt>
                <c:pt idx="3">
                  <c:v>5</c:v>
                </c:pt>
                <c:pt idx="4">
                  <c:v>7</c:v>
                </c:pt>
                <c:pt idx="5">
                  <c:v>11</c:v>
                </c:pt>
                <c:pt idx="6">
                  <c:v>15</c:v>
                </c:pt>
                <c:pt idx="7">
                  <c:v>19</c:v>
                </c:pt>
                <c:pt idx="8">
                  <c:v>25</c:v>
                </c:pt>
                <c:pt idx="9">
                  <c:v>32</c:v>
                </c:pt>
                <c:pt idx="10">
                  <c:v>39</c:v>
                </c:pt>
                <c:pt idx="11">
                  <c:v>46</c:v>
                </c:pt>
                <c:pt idx="12">
                  <c:v>56</c:v>
                </c:pt>
                <c:pt idx="13">
                  <c:v>92</c:v>
                </c:pt>
                <c:pt idx="14">
                  <c:v>123</c:v>
                </c:pt>
              </c:numCache>
            </c:numRef>
          </c:xVal>
          <c:yVal>
            <c:numRef>
              <c:f>'Measured shrinkage'!$C$2223:$C$2237</c:f>
              <c:numCache>
                <c:formatCode>0</c:formatCode>
                <c:ptCount val="15"/>
                <c:pt idx="0">
                  <c:v>57</c:v>
                </c:pt>
                <c:pt idx="1">
                  <c:v>81</c:v>
                </c:pt>
                <c:pt idx="2">
                  <c:v>90</c:v>
                </c:pt>
                <c:pt idx="3">
                  <c:v>107</c:v>
                </c:pt>
                <c:pt idx="4">
                  <c:v>122</c:v>
                </c:pt>
                <c:pt idx="5">
                  <c:v>148</c:v>
                </c:pt>
                <c:pt idx="6">
                  <c:v>171</c:v>
                </c:pt>
                <c:pt idx="7">
                  <c:v>187</c:v>
                </c:pt>
                <c:pt idx="8">
                  <c:v>218</c:v>
                </c:pt>
                <c:pt idx="9">
                  <c:v>246</c:v>
                </c:pt>
                <c:pt idx="10">
                  <c:v>269</c:v>
                </c:pt>
                <c:pt idx="11">
                  <c:v>281</c:v>
                </c:pt>
                <c:pt idx="12">
                  <c:v>337</c:v>
                </c:pt>
                <c:pt idx="13">
                  <c:v>356</c:v>
                </c:pt>
                <c:pt idx="14">
                  <c:v>401</c:v>
                </c:pt>
              </c:numCache>
            </c:numRef>
          </c:yVal>
          <c:smooth val="0"/>
          <c:extLst>
            <c:ext xmlns:c16="http://schemas.microsoft.com/office/drawing/2014/chart" uri="{C3380CC4-5D6E-409C-BE32-E72D297353CC}">
              <c16:uniqueId val="{00000006-0F5E-45B4-85B8-E1D1E0B25233}"/>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a:t>
                </a:r>
                <a:r>
                  <a:rPr lang="en-ZA" sz="1000">
                    <a:solidFill>
                      <a:sysClr val="windowText" lastClr="000000"/>
                    </a:solidFill>
                    <a:latin typeface="Calibri" panose="020F0502020204030204" pitchFamily="34" charset="0"/>
                    <a:cs typeface="Calibri" panose="020F0502020204030204" pitchFamily="34" charset="0"/>
                  </a:rPr>
                  <a:t>(microstrains)</a:t>
                </a:r>
                <a:endParaRPr lang="en-ZA" sz="1000">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9204606944906013"/>
          <c:y val="0.62140198412698411"/>
          <c:w val="0.31495744086219007"/>
          <c:h val="0.22524047619047619"/>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S1-05: CEM I - 0.41 w/cm - Dolerite</a:t>
            </a:r>
          </a:p>
        </c:rich>
      </c:tx>
      <c:layout>
        <c:manualLayout>
          <c:xMode val="edge"/>
          <c:yMode val="edge"/>
          <c:x val="0.23192231430214399"/>
          <c:y val="4.3019841269841272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9.7393650793650796E-2"/>
          <c:w val="0.77765091863517055"/>
          <c:h val="0.75259047619047614"/>
        </c:manualLayout>
      </c:layout>
      <c:scatterChart>
        <c:scatterStyle val="lineMarker"/>
        <c:varyColors val="0"/>
        <c:ser>
          <c:idx val="0"/>
          <c:order val="0"/>
          <c:tx>
            <c:strRef>
              <c:f>'Measured shrinkage'!$A$1731</c:f>
              <c:strCache>
                <c:ptCount val="1"/>
                <c:pt idx="0">
                  <c:v>#0015</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shrinkage'!$B$1731:$B$1741</c:f>
              <c:numCache>
                <c:formatCode>0</c:formatCode>
                <c:ptCount val="11"/>
                <c:pt idx="0">
                  <c:v>2</c:v>
                </c:pt>
                <c:pt idx="1">
                  <c:v>3</c:v>
                </c:pt>
                <c:pt idx="2">
                  <c:v>7</c:v>
                </c:pt>
                <c:pt idx="3">
                  <c:v>14</c:v>
                </c:pt>
                <c:pt idx="4">
                  <c:v>21</c:v>
                </c:pt>
                <c:pt idx="5">
                  <c:v>28</c:v>
                </c:pt>
                <c:pt idx="6">
                  <c:v>56</c:v>
                </c:pt>
                <c:pt idx="7">
                  <c:v>84</c:v>
                </c:pt>
                <c:pt idx="8">
                  <c:v>112</c:v>
                </c:pt>
                <c:pt idx="9">
                  <c:v>140</c:v>
                </c:pt>
                <c:pt idx="10">
                  <c:v>168</c:v>
                </c:pt>
              </c:numCache>
            </c:numRef>
          </c:xVal>
          <c:yVal>
            <c:numRef>
              <c:f>'Measured shrinkage'!$C$1731:$C$1741</c:f>
              <c:numCache>
                <c:formatCode>0</c:formatCode>
                <c:ptCount val="11"/>
                <c:pt idx="0">
                  <c:v>103</c:v>
                </c:pt>
                <c:pt idx="1">
                  <c:v>156</c:v>
                </c:pt>
                <c:pt idx="2">
                  <c:v>186</c:v>
                </c:pt>
                <c:pt idx="3">
                  <c:v>181</c:v>
                </c:pt>
                <c:pt idx="4">
                  <c:v>214</c:v>
                </c:pt>
                <c:pt idx="5">
                  <c:v>231</c:v>
                </c:pt>
                <c:pt idx="6">
                  <c:v>289</c:v>
                </c:pt>
                <c:pt idx="7">
                  <c:v>328</c:v>
                </c:pt>
                <c:pt idx="8">
                  <c:v>365</c:v>
                </c:pt>
                <c:pt idx="9">
                  <c:v>406</c:v>
                </c:pt>
                <c:pt idx="10">
                  <c:v>459</c:v>
                </c:pt>
              </c:numCache>
            </c:numRef>
          </c:yVal>
          <c:smooth val="0"/>
          <c:extLst>
            <c:ext xmlns:c16="http://schemas.microsoft.com/office/drawing/2014/chart" uri="{C3380CC4-5D6E-409C-BE32-E72D297353CC}">
              <c16:uniqueId val="{00000000-64A4-4E64-9904-6741A677AA56}"/>
            </c:ext>
          </c:extLst>
        </c:ser>
        <c:ser>
          <c:idx val="1"/>
          <c:order val="1"/>
          <c:tx>
            <c:strRef>
              <c:f>'Measured shrinkage'!$A$1838</c:f>
              <c:strCache>
                <c:ptCount val="1"/>
                <c:pt idx="0">
                  <c:v>#0031</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shrinkage'!$B$1838:$B$1849</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shrinkage'!$C$1838:$C$1849</c:f>
              <c:numCache>
                <c:formatCode>0</c:formatCode>
                <c:ptCount val="12"/>
                <c:pt idx="0">
                  <c:v>17</c:v>
                </c:pt>
                <c:pt idx="1">
                  <c:v>28</c:v>
                </c:pt>
                <c:pt idx="2">
                  <c:v>39</c:v>
                </c:pt>
                <c:pt idx="3">
                  <c:v>86</c:v>
                </c:pt>
                <c:pt idx="4">
                  <c:v>125</c:v>
                </c:pt>
                <c:pt idx="5">
                  <c:v>159</c:v>
                </c:pt>
                <c:pt idx="6">
                  <c:v>206</c:v>
                </c:pt>
                <c:pt idx="7">
                  <c:v>287</c:v>
                </c:pt>
                <c:pt idx="8">
                  <c:v>342</c:v>
                </c:pt>
                <c:pt idx="9">
                  <c:v>354</c:v>
                </c:pt>
                <c:pt idx="10">
                  <c:v>351</c:v>
                </c:pt>
                <c:pt idx="11">
                  <c:v>353</c:v>
                </c:pt>
              </c:numCache>
            </c:numRef>
          </c:yVal>
          <c:smooth val="0"/>
          <c:extLst>
            <c:ext xmlns:c16="http://schemas.microsoft.com/office/drawing/2014/chart" uri="{C3380CC4-5D6E-409C-BE32-E72D297353CC}">
              <c16:uniqueId val="{00000001-64A4-4E64-9904-6741A677AA56}"/>
            </c:ext>
          </c:extLst>
        </c:ser>
        <c:ser>
          <c:idx val="2"/>
          <c:order val="2"/>
          <c:tx>
            <c:strRef>
              <c:f>'Measured shrinkage'!$A$1862</c:f>
              <c:strCache>
                <c:ptCount val="1"/>
                <c:pt idx="0">
                  <c:v>#0033</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shrinkage'!$B$1862:$B$1873</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shrinkage'!$C$1862:$C$1873</c:f>
              <c:numCache>
                <c:formatCode>0</c:formatCode>
                <c:ptCount val="12"/>
                <c:pt idx="0">
                  <c:v>14</c:v>
                </c:pt>
                <c:pt idx="1">
                  <c:v>25</c:v>
                </c:pt>
                <c:pt idx="2">
                  <c:v>39</c:v>
                </c:pt>
                <c:pt idx="3">
                  <c:v>81</c:v>
                </c:pt>
                <c:pt idx="4">
                  <c:v>120</c:v>
                </c:pt>
                <c:pt idx="5">
                  <c:v>148</c:v>
                </c:pt>
                <c:pt idx="6">
                  <c:v>184</c:v>
                </c:pt>
                <c:pt idx="7">
                  <c:v>248</c:v>
                </c:pt>
                <c:pt idx="8">
                  <c:v>312</c:v>
                </c:pt>
                <c:pt idx="9">
                  <c:v>315</c:v>
                </c:pt>
                <c:pt idx="10">
                  <c:v>337</c:v>
                </c:pt>
                <c:pt idx="11">
                  <c:v>340</c:v>
                </c:pt>
              </c:numCache>
            </c:numRef>
          </c:yVal>
          <c:smooth val="0"/>
          <c:extLst>
            <c:ext xmlns:c16="http://schemas.microsoft.com/office/drawing/2014/chart" uri="{C3380CC4-5D6E-409C-BE32-E72D297353CC}">
              <c16:uniqueId val="{00000002-64A4-4E64-9904-6741A677AA56}"/>
            </c:ext>
          </c:extLst>
        </c:ser>
        <c:ser>
          <c:idx val="3"/>
          <c:order val="3"/>
          <c:tx>
            <c:strRef>
              <c:f>'Measured shrinkage'!$A$1707</c:f>
              <c:strCache>
                <c:ptCount val="1"/>
                <c:pt idx="0">
                  <c:v>#0011</c:v>
                </c:pt>
              </c:strCache>
            </c:strRef>
          </c:tx>
          <c:spPr>
            <a:ln w="25400" cap="rnd">
              <a:noFill/>
              <a:round/>
            </a:ln>
            <a:effectLst/>
          </c:spPr>
          <c:marker>
            <c:symbol val="circle"/>
            <c:size val="4"/>
            <c:spPr>
              <a:solidFill>
                <a:schemeClr val="accent4"/>
              </a:solidFill>
              <a:ln w="9525">
                <a:solidFill>
                  <a:schemeClr val="accent4"/>
                </a:solidFill>
              </a:ln>
              <a:effectLst/>
            </c:spPr>
          </c:marker>
          <c:xVal>
            <c:numRef>
              <c:f>'Measured shrinkage'!$B$1707:$B$1718</c:f>
              <c:numCache>
                <c:formatCode>0</c:formatCode>
                <c:ptCount val="12"/>
                <c:pt idx="0">
                  <c:v>1</c:v>
                </c:pt>
                <c:pt idx="1">
                  <c:v>2</c:v>
                </c:pt>
                <c:pt idx="2">
                  <c:v>3</c:v>
                </c:pt>
                <c:pt idx="3">
                  <c:v>7</c:v>
                </c:pt>
                <c:pt idx="4">
                  <c:v>14</c:v>
                </c:pt>
                <c:pt idx="5">
                  <c:v>21</c:v>
                </c:pt>
                <c:pt idx="6">
                  <c:v>28</c:v>
                </c:pt>
                <c:pt idx="7">
                  <c:v>56</c:v>
                </c:pt>
                <c:pt idx="8">
                  <c:v>84</c:v>
                </c:pt>
                <c:pt idx="9">
                  <c:v>112</c:v>
                </c:pt>
                <c:pt idx="10">
                  <c:v>140</c:v>
                </c:pt>
                <c:pt idx="11">
                  <c:v>168</c:v>
                </c:pt>
              </c:numCache>
            </c:numRef>
          </c:xVal>
          <c:yVal>
            <c:numRef>
              <c:f>'Measured shrinkage'!$C$1707:$C$1718</c:f>
              <c:numCache>
                <c:formatCode>0</c:formatCode>
                <c:ptCount val="12"/>
                <c:pt idx="0">
                  <c:v>61</c:v>
                </c:pt>
                <c:pt idx="1">
                  <c:v>86</c:v>
                </c:pt>
                <c:pt idx="2">
                  <c:v>103</c:v>
                </c:pt>
                <c:pt idx="3">
                  <c:v>122</c:v>
                </c:pt>
                <c:pt idx="4">
                  <c:v>153</c:v>
                </c:pt>
                <c:pt idx="5">
                  <c:v>200</c:v>
                </c:pt>
                <c:pt idx="6">
                  <c:v>239</c:v>
                </c:pt>
                <c:pt idx="7">
                  <c:v>284</c:v>
                </c:pt>
                <c:pt idx="8">
                  <c:v>337</c:v>
                </c:pt>
                <c:pt idx="9">
                  <c:v>345</c:v>
                </c:pt>
                <c:pt idx="10">
                  <c:v>370</c:v>
                </c:pt>
                <c:pt idx="11">
                  <c:v>409</c:v>
                </c:pt>
              </c:numCache>
            </c:numRef>
          </c:yVal>
          <c:smooth val="0"/>
          <c:extLst>
            <c:ext xmlns:c16="http://schemas.microsoft.com/office/drawing/2014/chart" uri="{C3380CC4-5D6E-409C-BE32-E72D297353CC}">
              <c16:uniqueId val="{00000003-64A4-4E64-9904-6741A677AA56}"/>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a:t>
                </a:r>
                <a:r>
                  <a:rPr lang="en-ZA" sz="1000">
                    <a:solidFill>
                      <a:sysClr val="windowText" lastClr="000000"/>
                    </a:solidFill>
                    <a:latin typeface="Calibri" panose="020F0502020204030204" pitchFamily="34" charset="0"/>
                    <a:cs typeface="Calibri" panose="020F0502020204030204" pitchFamily="34" charset="0"/>
                  </a:rPr>
                  <a:t>(microstrains)</a:t>
                </a:r>
                <a:endParaRPr lang="en-ZA" sz="1000">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484304246355624"/>
          <c:y val="0.62810317460317455"/>
          <c:w val="0.31216046784769402"/>
          <c:h val="0.21564087301587301"/>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solidFill>
                  <a:sysClr val="windowText" lastClr="000000"/>
                </a:solidFill>
              </a:rPr>
              <a:t>D1-HSC: S2-01: CEM II (A-S) - 0.40 w/cm - Andesite</a:t>
            </a:r>
          </a:p>
        </c:rich>
      </c:tx>
      <c:layout>
        <c:manualLayout>
          <c:xMode val="edge"/>
          <c:yMode val="edge"/>
          <c:x val="0.19601498875532875"/>
          <c:y val="9.2591269841269842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874759405074365"/>
          <c:y val="0.10243333333333333"/>
          <c:w val="0.77765091863517055"/>
          <c:h val="0.74755079365079369"/>
        </c:manualLayout>
      </c:layout>
      <c:scatterChart>
        <c:scatterStyle val="lineMarker"/>
        <c:varyColors val="0"/>
        <c:ser>
          <c:idx val="0"/>
          <c:order val="0"/>
          <c:tx>
            <c:strRef>
              <c:f>'Measured shrinkage'!$A$2509</c:f>
              <c:strCache>
                <c:ptCount val="1"/>
                <c:pt idx="0">
                  <c:v>#0228</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shrinkage'!$B$2509:$B$2529</c:f>
              <c:numCache>
                <c:formatCode>0</c:formatCode>
                <c:ptCount val="21"/>
                <c:pt idx="0">
                  <c:v>1</c:v>
                </c:pt>
                <c:pt idx="1">
                  <c:v>2</c:v>
                </c:pt>
                <c:pt idx="2">
                  <c:v>3</c:v>
                </c:pt>
                <c:pt idx="3">
                  <c:v>4</c:v>
                </c:pt>
                <c:pt idx="4">
                  <c:v>5</c:v>
                </c:pt>
                <c:pt idx="5">
                  <c:v>7</c:v>
                </c:pt>
                <c:pt idx="6">
                  <c:v>9</c:v>
                </c:pt>
                <c:pt idx="7">
                  <c:v>13</c:v>
                </c:pt>
                <c:pt idx="8">
                  <c:v>16</c:v>
                </c:pt>
                <c:pt idx="9">
                  <c:v>20</c:v>
                </c:pt>
                <c:pt idx="10">
                  <c:v>23</c:v>
                </c:pt>
                <c:pt idx="11">
                  <c:v>28</c:v>
                </c:pt>
                <c:pt idx="12">
                  <c:v>34</c:v>
                </c:pt>
                <c:pt idx="13">
                  <c:v>41</c:v>
                </c:pt>
                <c:pt idx="14">
                  <c:v>44</c:v>
                </c:pt>
                <c:pt idx="15">
                  <c:v>52</c:v>
                </c:pt>
                <c:pt idx="16">
                  <c:v>56</c:v>
                </c:pt>
                <c:pt idx="17">
                  <c:v>233</c:v>
                </c:pt>
                <c:pt idx="18">
                  <c:v>253</c:v>
                </c:pt>
                <c:pt idx="19">
                  <c:v>318</c:v>
                </c:pt>
                <c:pt idx="20">
                  <c:v>421</c:v>
                </c:pt>
              </c:numCache>
            </c:numRef>
          </c:xVal>
          <c:yVal>
            <c:numRef>
              <c:f>'Measured shrinkage'!$C$2509:$C$2529</c:f>
              <c:numCache>
                <c:formatCode>0</c:formatCode>
                <c:ptCount val="21"/>
                <c:pt idx="0">
                  <c:v>20</c:v>
                </c:pt>
                <c:pt idx="1">
                  <c:v>40</c:v>
                </c:pt>
                <c:pt idx="2">
                  <c:v>78</c:v>
                </c:pt>
                <c:pt idx="3">
                  <c:v>95</c:v>
                </c:pt>
                <c:pt idx="4">
                  <c:v>115</c:v>
                </c:pt>
                <c:pt idx="5">
                  <c:v>128</c:v>
                </c:pt>
                <c:pt idx="6">
                  <c:v>147</c:v>
                </c:pt>
                <c:pt idx="7">
                  <c:v>187</c:v>
                </c:pt>
                <c:pt idx="8">
                  <c:v>190</c:v>
                </c:pt>
                <c:pt idx="9">
                  <c:v>230</c:v>
                </c:pt>
                <c:pt idx="10">
                  <c:v>235</c:v>
                </c:pt>
                <c:pt idx="11">
                  <c:v>260</c:v>
                </c:pt>
                <c:pt idx="12">
                  <c:v>270</c:v>
                </c:pt>
                <c:pt idx="13">
                  <c:v>287</c:v>
                </c:pt>
                <c:pt idx="14">
                  <c:v>322</c:v>
                </c:pt>
                <c:pt idx="15">
                  <c:v>332</c:v>
                </c:pt>
                <c:pt idx="16">
                  <c:v>337</c:v>
                </c:pt>
                <c:pt idx="17">
                  <c:v>473</c:v>
                </c:pt>
                <c:pt idx="18">
                  <c:v>487</c:v>
                </c:pt>
                <c:pt idx="19">
                  <c:v>502</c:v>
                </c:pt>
                <c:pt idx="20">
                  <c:v>473</c:v>
                </c:pt>
              </c:numCache>
            </c:numRef>
          </c:yVal>
          <c:smooth val="0"/>
          <c:extLst>
            <c:ext xmlns:c16="http://schemas.microsoft.com/office/drawing/2014/chart" uri="{C3380CC4-5D6E-409C-BE32-E72D297353CC}">
              <c16:uniqueId val="{00000000-BD22-4217-BC78-3C07368E7ED3}"/>
            </c:ext>
          </c:extLst>
        </c:ser>
        <c:ser>
          <c:idx val="1"/>
          <c:order val="1"/>
          <c:tx>
            <c:strRef>
              <c:f>'Measured shrinkage'!$A$2633</c:f>
              <c:strCache>
                <c:ptCount val="1"/>
                <c:pt idx="0">
                  <c:v>#0246</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shrinkage'!$B$2633:$B$2651</c:f>
              <c:numCache>
                <c:formatCode>0</c:formatCode>
                <c:ptCount val="19"/>
                <c:pt idx="0">
                  <c:v>1</c:v>
                </c:pt>
                <c:pt idx="1">
                  <c:v>5</c:v>
                </c:pt>
                <c:pt idx="2">
                  <c:v>7</c:v>
                </c:pt>
                <c:pt idx="3">
                  <c:v>8</c:v>
                </c:pt>
                <c:pt idx="4">
                  <c:v>12</c:v>
                </c:pt>
                <c:pt idx="5">
                  <c:v>15</c:v>
                </c:pt>
                <c:pt idx="6">
                  <c:v>19</c:v>
                </c:pt>
                <c:pt idx="7">
                  <c:v>22</c:v>
                </c:pt>
                <c:pt idx="8">
                  <c:v>26</c:v>
                </c:pt>
                <c:pt idx="9">
                  <c:v>28</c:v>
                </c:pt>
                <c:pt idx="10">
                  <c:v>36</c:v>
                </c:pt>
                <c:pt idx="11">
                  <c:v>43</c:v>
                </c:pt>
                <c:pt idx="12">
                  <c:v>47</c:v>
                </c:pt>
                <c:pt idx="13">
                  <c:v>50</c:v>
                </c:pt>
                <c:pt idx="14">
                  <c:v>56</c:v>
                </c:pt>
                <c:pt idx="15">
                  <c:v>211</c:v>
                </c:pt>
                <c:pt idx="16">
                  <c:v>231</c:v>
                </c:pt>
                <c:pt idx="17">
                  <c:v>296</c:v>
                </c:pt>
                <c:pt idx="18">
                  <c:v>401</c:v>
                </c:pt>
              </c:numCache>
            </c:numRef>
          </c:xVal>
          <c:yVal>
            <c:numRef>
              <c:f>'Measured shrinkage'!$C$2633:$C$2651</c:f>
              <c:numCache>
                <c:formatCode>0</c:formatCode>
                <c:ptCount val="19"/>
                <c:pt idx="0">
                  <c:v>27</c:v>
                </c:pt>
                <c:pt idx="1">
                  <c:v>97</c:v>
                </c:pt>
                <c:pt idx="2">
                  <c:v>112</c:v>
                </c:pt>
                <c:pt idx="3">
                  <c:v>117</c:v>
                </c:pt>
                <c:pt idx="4">
                  <c:v>125</c:v>
                </c:pt>
                <c:pt idx="5">
                  <c:v>143</c:v>
                </c:pt>
                <c:pt idx="6">
                  <c:v>162</c:v>
                </c:pt>
                <c:pt idx="7">
                  <c:v>175</c:v>
                </c:pt>
                <c:pt idx="8">
                  <c:v>198</c:v>
                </c:pt>
                <c:pt idx="9">
                  <c:v>197</c:v>
                </c:pt>
                <c:pt idx="10">
                  <c:v>203</c:v>
                </c:pt>
                <c:pt idx="11">
                  <c:v>210</c:v>
                </c:pt>
                <c:pt idx="12">
                  <c:v>225</c:v>
                </c:pt>
                <c:pt idx="13">
                  <c:v>240</c:v>
                </c:pt>
                <c:pt idx="14">
                  <c:v>267</c:v>
                </c:pt>
                <c:pt idx="15">
                  <c:v>395</c:v>
                </c:pt>
                <c:pt idx="16">
                  <c:v>412</c:v>
                </c:pt>
                <c:pt idx="17">
                  <c:v>415</c:v>
                </c:pt>
                <c:pt idx="18">
                  <c:v>418</c:v>
                </c:pt>
              </c:numCache>
            </c:numRef>
          </c:yVal>
          <c:smooth val="0"/>
          <c:extLst>
            <c:ext xmlns:c16="http://schemas.microsoft.com/office/drawing/2014/chart" uri="{C3380CC4-5D6E-409C-BE32-E72D297353CC}">
              <c16:uniqueId val="{00000001-BD22-4217-BC78-3C07368E7ED3}"/>
            </c:ext>
          </c:extLst>
        </c:ser>
        <c:ser>
          <c:idx val="2"/>
          <c:order val="2"/>
          <c:tx>
            <c:strRef>
              <c:f>'Measured shrinkage'!$A$2572</c:f>
              <c:strCache>
                <c:ptCount val="1"/>
                <c:pt idx="0">
                  <c:v>#0237</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shrinkage'!$B$2572:$B$2590</c:f>
              <c:numCache>
                <c:formatCode>0</c:formatCode>
                <c:ptCount val="19"/>
                <c:pt idx="0">
                  <c:v>1</c:v>
                </c:pt>
                <c:pt idx="1">
                  <c:v>2</c:v>
                </c:pt>
                <c:pt idx="2">
                  <c:v>5</c:v>
                </c:pt>
                <c:pt idx="3">
                  <c:v>6</c:v>
                </c:pt>
                <c:pt idx="4">
                  <c:v>8</c:v>
                </c:pt>
                <c:pt idx="5">
                  <c:v>13</c:v>
                </c:pt>
                <c:pt idx="6">
                  <c:v>15</c:v>
                </c:pt>
                <c:pt idx="7">
                  <c:v>19</c:v>
                </c:pt>
                <c:pt idx="8">
                  <c:v>22</c:v>
                </c:pt>
                <c:pt idx="9">
                  <c:v>28</c:v>
                </c:pt>
                <c:pt idx="10">
                  <c:v>33</c:v>
                </c:pt>
                <c:pt idx="11">
                  <c:v>40</c:v>
                </c:pt>
                <c:pt idx="12">
                  <c:v>47</c:v>
                </c:pt>
                <c:pt idx="13">
                  <c:v>50</c:v>
                </c:pt>
                <c:pt idx="14">
                  <c:v>56</c:v>
                </c:pt>
                <c:pt idx="15">
                  <c:v>147</c:v>
                </c:pt>
                <c:pt idx="16">
                  <c:v>201</c:v>
                </c:pt>
                <c:pt idx="17">
                  <c:v>274</c:v>
                </c:pt>
                <c:pt idx="18">
                  <c:v>379</c:v>
                </c:pt>
              </c:numCache>
            </c:numRef>
          </c:xVal>
          <c:yVal>
            <c:numRef>
              <c:f>'Measured shrinkage'!$C$2572:$C$2590</c:f>
              <c:numCache>
                <c:formatCode>0</c:formatCode>
                <c:ptCount val="19"/>
                <c:pt idx="0">
                  <c:v>32</c:v>
                </c:pt>
                <c:pt idx="1">
                  <c:v>42</c:v>
                </c:pt>
                <c:pt idx="2">
                  <c:v>62</c:v>
                </c:pt>
                <c:pt idx="3">
                  <c:v>110</c:v>
                </c:pt>
                <c:pt idx="4">
                  <c:v>125</c:v>
                </c:pt>
                <c:pt idx="5">
                  <c:v>135</c:v>
                </c:pt>
                <c:pt idx="6">
                  <c:v>145</c:v>
                </c:pt>
                <c:pt idx="7">
                  <c:v>172</c:v>
                </c:pt>
                <c:pt idx="8">
                  <c:v>172</c:v>
                </c:pt>
                <c:pt idx="9">
                  <c:v>188</c:v>
                </c:pt>
                <c:pt idx="10">
                  <c:v>200</c:v>
                </c:pt>
                <c:pt idx="11">
                  <c:v>235</c:v>
                </c:pt>
                <c:pt idx="12">
                  <c:v>252</c:v>
                </c:pt>
                <c:pt idx="13">
                  <c:v>258</c:v>
                </c:pt>
                <c:pt idx="14">
                  <c:v>263</c:v>
                </c:pt>
                <c:pt idx="15">
                  <c:v>310</c:v>
                </c:pt>
                <c:pt idx="16">
                  <c:v>388</c:v>
                </c:pt>
                <c:pt idx="17">
                  <c:v>408</c:v>
                </c:pt>
                <c:pt idx="18">
                  <c:v>393</c:v>
                </c:pt>
              </c:numCache>
            </c:numRef>
          </c:yVal>
          <c:smooth val="0"/>
          <c:extLst>
            <c:ext xmlns:c16="http://schemas.microsoft.com/office/drawing/2014/chart" uri="{C3380CC4-5D6E-409C-BE32-E72D297353CC}">
              <c16:uniqueId val="{00000002-BD22-4217-BC78-3C07368E7ED3}"/>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8928740157480319"/>
          <c:y val="0.64170079365079369"/>
          <c:w val="0.31279593175853021"/>
          <c:h val="0.20864920634920636"/>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S2-02: CEM II (B-S) - 0.4 w/cm - Andesite</a:t>
            </a:r>
          </a:p>
        </c:rich>
      </c:tx>
      <c:layout>
        <c:manualLayout>
          <c:xMode val="edge"/>
          <c:yMode val="edge"/>
          <c:x val="0.19896364048446236"/>
          <c:y val="4.6297619047619056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9.2354176896408791E-2"/>
          <c:w val="0.77765091863517055"/>
          <c:h val="0.75763024917505006"/>
        </c:manualLayout>
      </c:layout>
      <c:scatterChart>
        <c:scatterStyle val="lineMarker"/>
        <c:varyColors val="0"/>
        <c:ser>
          <c:idx val="2"/>
          <c:order val="0"/>
          <c:tx>
            <c:strRef>
              <c:f>'Measured shrinkage'!$A$2530</c:f>
              <c:strCache>
                <c:ptCount val="1"/>
                <c:pt idx="0">
                  <c:v>#0231</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shrinkage'!$B$2530:$B$2550</c:f>
              <c:numCache>
                <c:formatCode>0</c:formatCode>
                <c:ptCount val="21"/>
                <c:pt idx="0">
                  <c:v>1</c:v>
                </c:pt>
                <c:pt idx="1">
                  <c:v>2</c:v>
                </c:pt>
                <c:pt idx="2">
                  <c:v>3</c:v>
                </c:pt>
                <c:pt idx="3">
                  <c:v>4</c:v>
                </c:pt>
                <c:pt idx="4">
                  <c:v>7</c:v>
                </c:pt>
                <c:pt idx="5">
                  <c:v>9</c:v>
                </c:pt>
                <c:pt idx="6">
                  <c:v>13</c:v>
                </c:pt>
                <c:pt idx="7">
                  <c:v>16</c:v>
                </c:pt>
                <c:pt idx="8">
                  <c:v>20</c:v>
                </c:pt>
                <c:pt idx="9">
                  <c:v>23</c:v>
                </c:pt>
                <c:pt idx="10">
                  <c:v>27</c:v>
                </c:pt>
                <c:pt idx="11">
                  <c:v>28</c:v>
                </c:pt>
                <c:pt idx="12">
                  <c:v>34</c:v>
                </c:pt>
                <c:pt idx="13">
                  <c:v>40</c:v>
                </c:pt>
                <c:pt idx="14">
                  <c:v>48</c:v>
                </c:pt>
                <c:pt idx="15">
                  <c:v>54</c:v>
                </c:pt>
                <c:pt idx="16">
                  <c:v>56</c:v>
                </c:pt>
                <c:pt idx="17">
                  <c:v>226</c:v>
                </c:pt>
                <c:pt idx="18">
                  <c:v>246</c:v>
                </c:pt>
                <c:pt idx="19">
                  <c:v>311</c:v>
                </c:pt>
                <c:pt idx="20">
                  <c:v>415</c:v>
                </c:pt>
              </c:numCache>
            </c:numRef>
          </c:xVal>
          <c:yVal>
            <c:numRef>
              <c:f>'Measured shrinkage'!$C$2530:$C$2550</c:f>
              <c:numCache>
                <c:formatCode>0</c:formatCode>
                <c:ptCount val="21"/>
                <c:pt idx="0">
                  <c:v>8</c:v>
                </c:pt>
                <c:pt idx="1">
                  <c:v>17</c:v>
                </c:pt>
                <c:pt idx="2">
                  <c:v>25</c:v>
                </c:pt>
                <c:pt idx="3">
                  <c:v>55</c:v>
                </c:pt>
                <c:pt idx="4">
                  <c:v>112</c:v>
                </c:pt>
                <c:pt idx="5">
                  <c:v>140</c:v>
                </c:pt>
                <c:pt idx="6">
                  <c:v>167</c:v>
                </c:pt>
                <c:pt idx="7">
                  <c:v>182</c:v>
                </c:pt>
                <c:pt idx="8">
                  <c:v>197</c:v>
                </c:pt>
                <c:pt idx="9">
                  <c:v>208</c:v>
                </c:pt>
                <c:pt idx="10">
                  <c:v>218</c:v>
                </c:pt>
                <c:pt idx="11">
                  <c:v>223</c:v>
                </c:pt>
                <c:pt idx="12">
                  <c:v>227</c:v>
                </c:pt>
                <c:pt idx="13">
                  <c:v>255</c:v>
                </c:pt>
                <c:pt idx="14">
                  <c:v>263</c:v>
                </c:pt>
                <c:pt idx="15">
                  <c:v>278</c:v>
                </c:pt>
                <c:pt idx="16">
                  <c:v>295</c:v>
                </c:pt>
                <c:pt idx="17">
                  <c:v>408</c:v>
                </c:pt>
                <c:pt idx="18">
                  <c:v>428</c:v>
                </c:pt>
                <c:pt idx="19">
                  <c:v>445</c:v>
                </c:pt>
                <c:pt idx="20">
                  <c:v>447</c:v>
                </c:pt>
              </c:numCache>
            </c:numRef>
          </c:yVal>
          <c:smooth val="0"/>
          <c:extLst>
            <c:ext xmlns:c16="http://schemas.microsoft.com/office/drawing/2014/chart" uri="{C3380CC4-5D6E-409C-BE32-E72D297353CC}">
              <c16:uniqueId val="{00000000-FEEA-4D5D-98DE-09CB6CC885AD}"/>
            </c:ext>
          </c:extLst>
        </c:ser>
        <c:ser>
          <c:idx val="0"/>
          <c:order val="1"/>
          <c:tx>
            <c:strRef>
              <c:f>'Measured shrinkage'!$A$2652</c:f>
              <c:strCache>
                <c:ptCount val="1"/>
                <c:pt idx="0">
                  <c:v>#0249</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shrinkage'!$B$2652:$B$2670</c:f>
              <c:numCache>
                <c:formatCode>0</c:formatCode>
                <c:ptCount val="19"/>
                <c:pt idx="0">
                  <c:v>2</c:v>
                </c:pt>
                <c:pt idx="1">
                  <c:v>5</c:v>
                </c:pt>
                <c:pt idx="2">
                  <c:v>7</c:v>
                </c:pt>
                <c:pt idx="3">
                  <c:v>8</c:v>
                </c:pt>
                <c:pt idx="4">
                  <c:v>12</c:v>
                </c:pt>
                <c:pt idx="5">
                  <c:v>15</c:v>
                </c:pt>
                <c:pt idx="6">
                  <c:v>19</c:v>
                </c:pt>
                <c:pt idx="7">
                  <c:v>22</c:v>
                </c:pt>
                <c:pt idx="8">
                  <c:v>28</c:v>
                </c:pt>
                <c:pt idx="9">
                  <c:v>36</c:v>
                </c:pt>
                <c:pt idx="10">
                  <c:v>40</c:v>
                </c:pt>
                <c:pt idx="11">
                  <c:v>43</c:v>
                </c:pt>
                <c:pt idx="12">
                  <c:v>47</c:v>
                </c:pt>
                <c:pt idx="13">
                  <c:v>54</c:v>
                </c:pt>
                <c:pt idx="14">
                  <c:v>56</c:v>
                </c:pt>
                <c:pt idx="15">
                  <c:v>204</c:v>
                </c:pt>
                <c:pt idx="16">
                  <c:v>224</c:v>
                </c:pt>
                <c:pt idx="17">
                  <c:v>289</c:v>
                </c:pt>
                <c:pt idx="18">
                  <c:v>394</c:v>
                </c:pt>
              </c:numCache>
            </c:numRef>
          </c:xVal>
          <c:yVal>
            <c:numRef>
              <c:f>'Measured shrinkage'!$C$2652:$C$2670</c:f>
              <c:numCache>
                <c:formatCode>0</c:formatCode>
                <c:ptCount val="19"/>
                <c:pt idx="0">
                  <c:v>18</c:v>
                </c:pt>
                <c:pt idx="1">
                  <c:v>65</c:v>
                </c:pt>
                <c:pt idx="2">
                  <c:v>72</c:v>
                </c:pt>
                <c:pt idx="3">
                  <c:v>100</c:v>
                </c:pt>
                <c:pt idx="4">
                  <c:v>125</c:v>
                </c:pt>
                <c:pt idx="5">
                  <c:v>148</c:v>
                </c:pt>
                <c:pt idx="6">
                  <c:v>162</c:v>
                </c:pt>
                <c:pt idx="7">
                  <c:v>170</c:v>
                </c:pt>
                <c:pt idx="8">
                  <c:v>178</c:v>
                </c:pt>
                <c:pt idx="9">
                  <c:v>192</c:v>
                </c:pt>
                <c:pt idx="10">
                  <c:v>202</c:v>
                </c:pt>
                <c:pt idx="11">
                  <c:v>210</c:v>
                </c:pt>
                <c:pt idx="12">
                  <c:v>213</c:v>
                </c:pt>
                <c:pt idx="13">
                  <c:v>223</c:v>
                </c:pt>
                <c:pt idx="14">
                  <c:v>228</c:v>
                </c:pt>
                <c:pt idx="15">
                  <c:v>392</c:v>
                </c:pt>
                <c:pt idx="16">
                  <c:v>405</c:v>
                </c:pt>
                <c:pt idx="17">
                  <c:v>438</c:v>
                </c:pt>
                <c:pt idx="18">
                  <c:v>467</c:v>
                </c:pt>
              </c:numCache>
            </c:numRef>
          </c:yVal>
          <c:smooth val="0"/>
          <c:extLst>
            <c:ext xmlns:c16="http://schemas.microsoft.com/office/drawing/2014/chart" uri="{C3380CC4-5D6E-409C-BE32-E72D297353CC}">
              <c16:uniqueId val="{00000001-FEEA-4D5D-98DE-09CB6CC885AD}"/>
            </c:ext>
          </c:extLst>
        </c:ser>
        <c:ser>
          <c:idx val="1"/>
          <c:order val="2"/>
          <c:tx>
            <c:strRef>
              <c:f>'Measured shrinkage'!$A$2591</c:f>
              <c:strCache>
                <c:ptCount val="1"/>
                <c:pt idx="0">
                  <c:v>#0240</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shrinkage'!$B$2591:$B$2611</c:f>
              <c:numCache>
                <c:formatCode>0</c:formatCode>
                <c:ptCount val="21"/>
                <c:pt idx="0">
                  <c:v>1</c:v>
                </c:pt>
                <c:pt idx="1">
                  <c:v>2</c:v>
                </c:pt>
                <c:pt idx="2">
                  <c:v>6</c:v>
                </c:pt>
                <c:pt idx="3">
                  <c:v>8</c:v>
                </c:pt>
                <c:pt idx="4">
                  <c:v>9</c:v>
                </c:pt>
                <c:pt idx="5">
                  <c:v>13</c:v>
                </c:pt>
                <c:pt idx="6">
                  <c:v>16</c:v>
                </c:pt>
                <c:pt idx="7">
                  <c:v>20</c:v>
                </c:pt>
                <c:pt idx="8">
                  <c:v>23</c:v>
                </c:pt>
                <c:pt idx="9">
                  <c:v>28</c:v>
                </c:pt>
                <c:pt idx="10">
                  <c:v>30</c:v>
                </c:pt>
                <c:pt idx="11">
                  <c:v>34</c:v>
                </c:pt>
                <c:pt idx="12">
                  <c:v>41</c:v>
                </c:pt>
                <c:pt idx="13">
                  <c:v>44</c:v>
                </c:pt>
                <c:pt idx="14">
                  <c:v>48</c:v>
                </c:pt>
                <c:pt idx="15">
                  <c:v>51</c:v>
                </c:pt>
                <c:pt idx="16">
                  <c:v>56</c:v>
                </c:pt>
                <c:pt idx="17">
                  <c:v>141</c:v>
                </c:pt>
                <c:pt idx="18">
                  <c:v>195</c:v>
                </c:pt>
                <c:pt idx="19">
                  <c:v>268</c:v>
                </c:pt>
                <c:pt idx="20">
                  <c:v>373</c:v>
                </c:pt>
              </c:numCache>
            </c:numRef>
          </c:xVal>
          <c:yVal>
            <c:numRef>
              <c:f>'Measured shrinkage'!$C$2591:$C$2611</c:f>
              <c:numCache>
                <c:formatCode>0</c:formatCode>
                <c:ptCount val="21"/>
                <c:pt idx="0">
                  <c:v>48</c:v>
                </c:pt>
                <c:pt idx="1">
                  <c:v>52</c:v>
                </c:pt>
                <c:pt idx="2">
                  <c:v>72</c:v>
                </c:pt>
                <c:pt idx="3">
                  <c:v>100</c:v>
                </c:pt>
                <c:pt idx="4">
                  <c:v>107</c:v>
                </c:pt>
                <c:pt idx="5">
                  <c:v>130</c:v>
                </c:pt>
                <c:pt idx="6">
                  <c:v>143</c:v>
                </c:pt>
                <c:pt idx="7">
                  <c:v>172</c:v>
                </c:pt>
                <c:pt idx="8">
                  <c:v>178</c:v>
                </c:pt>
                <c:pt idx="9">
                  <c:v>182</c:v>
                </c:pt>
                <c:pt idx="10">
                  <c:v>190</c:v>
                </c:pt>
                <c:pt idx="11">
                  <c:v>228</c:v>
                </c:pt>
                <c:pt idx="12">
                  <c:v>240</c:v>
                </c:pt>
                <c:pt idx="13">
                  <c:v>242</c:v>
                </c:pt>
                <c:pt idx="14">
                  <c:v>245</c:v>
                </c:pt>
                <c:pt idx="15">
                  <c:v>250</c:v>
                </c:pt>
                <c:pt idx="16">
                  <c:v>255</c:v>
                </c:pt>
                <c:pt idx="17">
                  <c:v>337</c:v>
                </c:pt>
                <c:pt idx="18">
                  <c:v>400</c:v>
                </c:pt>
                <c:pt idx="19">
                  <c:v>418</c:v>
                </c:pt>
                <c:pt idx="20">
                  <c:v>407</c:v>
                </c:pt>
              </c:numCache>
            </c:numRef>
          </c:yVal>
          <c:smooth val="0"/>
          <c:extLst>
            <c:ext xmlns:c16="http://schemas.microsoft.com/office/drawing/2014/chart" uri="{C3380CC4-5D6E-409C-BE32-E72D297353CC}">
              <c16:uniqueId val="{00000002-FEEA-4D5D-98DE-09CB6CC885AD}"/>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valAx>
      <c:spPr>
        <a:noFill/>
        <a:ln>
          <a:noFill/>
        </a:ln>
        <a:effectLst/>
      </c:spPr>
    </c:plotArea>
    <c:legend>
      <c:legendPos val="r"/>
      <c:layout>
        <c:manualLayout>
          <c:xMode val="edge"/>
          <c:yMode val="edge"/>
          <c:x val="0.59474349665233162"/>
          <c:y val="0.62154206349206353"/>
          <c:w val="0.30936349483319797"/>
          <c:h val="0.2249984126984127"/>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S2-03: CEM III A - 0.4 w/cm - Andesite</a:t>
            </a:r>
          </a:p>
        </c:rich>
      </c:tx>
      <c:layout>
        <c:manualLayout>
          <c:xMode val="edge"/>
          <c:yMode val="edge"/>
          <c:x val="0.21593272668363481"/>
          <c:y val="4.6297619047619056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0226851851851852"/>
          <c:w val="0.77765091863517055"/>
          <c:h val="0.74771617089530473"/>
        </c:manualLayout>
      </c:layout>
      <c:scatterChart>
        <c:scatterStyle val="lineMarker"/>
        <c:varyColors val="0"/>
        <c:ser>
          <c:idx val="2"/>
          <c:order val="0"/>
          <c:tx>
            <c:strRef>
              <c:f>'Measured shrinkage'!$A$2551</c:f>
              <c:strCache>
                <c:ptCount val="1"/>
                <c:pt idx="0">
                  <c:v>#0234</c:v>
                </c:pt>
              </c:strCache>
            </c:strRef>
          </c:tx>
          <c:spPr>
            <a:ln w="25400" cap="rnd">
              <a:noFill/>
              <a:round/>
            </a:ln>
            <a:effectLst/>
          </c:spPr>
          <c:marker>
            <c:symbol val="circle"/>
            <c:size val="4"/>
            <c:spPr>
              <a:solidFill>
                <a:schemeClr val="accent3"/>
              </a:solidFill>
              <a:ln w="9525">
                <a:solidFill>
                  <a:schemeClr val="accent3"/>
                </a:solidFill>
              </a:ln>
              <a:effectLst/>
            </c:spPr>
          </c:marker>
          <c:xVal>
            <c:numRef>
              <c:f>'Measured shrinkage'!$B$2551:$B$2571</c:f>
              <c:numCache>
                <c:formatCode>0</c:formatCode>
                <c:ptCount val="21"/>
                <c:pt idx="0">
                  <c:v>1</c:v>
                </c:pt>
                <c:pt idx="1">
                  <c:v>3</c:v>
                </c:pt>
                <c:pt idx="2">
                  <c:v>4</c:v>
                </c:pt>
                <c:pt idx="3">
                  <c:v>6</c:v>
                </c:pt>
                <c:pt idx="4">
                  <c:v>8</c:v>
                </c:pt>
                <c:pt idx="5">
                  <c:v>9</c:v>
                </c:pt>
                <c:pt idx="6">
                  <c:v>13</c:v>
                </c:pt>
                <c:pt idx="7">
                  <c:v>16</c:v>
                </c:pt>
                <c:pt idx="8">
                  <c:v>20</c:v>
                </c:pt>
                <c:pt idx="9">
                  <c:v>23</c:v>
                </c:pt>
                <c:pt idx="10">
                  <c:v>27</c:v>
                </c:pt>
                <c:pt idx="11">
                  <c:v>28</c:v>
                </c:pt>
                <c:pt idx="12">
                  <c:v>34</c:v>
                </c:pt>
                <c:pt idx="13">
                  <c:v>42</c:v>
                </c:pt>
                <c:pt idx="14">
                  <c:v>48</c:v>
                </c:pt>
                <c:pt idx="15">
                  <c:v>51</c:v>
                </c:pt>
                <c:pt idx="16">
                  <c:v>56</c:v>
                </c:pt>
                <c:pt idx="17">
                  <c:v>219</c:v>
                </c:pt>
                <c:pt idx="18">
                  <c:v>239</c:v>
                </c:pt>
                <c:pt idx="19">
                  <c:v>304</c:v>
                </c:pt>
                <c:pt idx="20">
                  <c:v>408</c:v>
                </c:pt>
              </c:numCache>
            </c:numRef>
          </c:xVal>
          <c:yVal>
            <c:numRef>
              <c:f>'Measured shrinkage'!$C$2551:$C$2571</c:f>
              <c:numCache>
                <c:formatCode>0</c:formatCode>
                <c:ptCount val="21"/>
                <c:pt idx="0">
                  <c:v>20</c:v>
                </c:pt>
                <c:pt idx="1">
                  <c:v>92</c:v>
                </c:pt>
                <c:pt idx="2">
                  <c:v>103</c:v>
                </c:pt>
                <c:pt idx="3">
                  <c:v>137</c:v>
                </c:pt>
                <c:pt idx="4">
                  <c:v>152</c:v>
                </c:pt>
                <c:pt idx="5">
                  <c:v>172</c:v>
                </c:pt>
                <c:pt idx="6">
                  <c:v>212</c:v>
                </c:pt>
                <c:pt idx="7">
                  <c:v>228</c:v>
                </c:pt>
                <c:pt idx="8">
                  <c:v>230</c:v>
                </c:pt>
                <c:pt idx="9">
                  <c:v>237</c:v>
                </c:pt>
                <c:pt idx="10">
                  <c:v>252</c:v>
                </c:pt>
                <c:pt idx="11">
                  <c:v>268</c:v>
                </c:pt>
                <c:pt idx="12">
                  <c:v>287</c:v>
                </c:pt>
                <c:pt idx="13">
                  <c:v>298</c:v>
                </c:pt>
                <c:pt idx="14">
                  <c:v>305</c:v>
                </c:pt>
                <c:pt idx="15">
                  <c:v>310</c:v>
                </c:pt>
                <c:pt idx="16">
                  <c:v>322</c:v>
                </c:pt>
                <c:pt idx="17">
                  <c:v>445</c:v>
                </c:pt>
                <c:pt idx="18">
                  <c:v>467</c:v>
                </c:pt>
                <c:pt idx="19">
                  <c:v>482</c:v>
                </c:pt>
                <c:pt idx="20">
                  <c:v>497</c:v>
                </c:pt>
              </c:numCache>
            </c:numRef>
          </c:yVal>
          <c:smooth val="0"/>
          <c:extLst>
            <c:ext xmlns:c16="http://schemas.microsoft.com/office/drawing/2014/chart" uri="{C3380CC4-5D6E-409C-BE32-E72D297353CC}">
              <c16:uniqueId val="{00000000-4659-4A97-A327-D467A5662E33}"/>
            </c:ext>
          </c:extLst>
        </c:ser>
        <c:ser>
          <c:idx val="0"/>
          <c:order val="1"/>
          <c:tx>
            <c:strRef>
              <c:f>'Measured shrinkage'!$A$2671</c:f>
              <c:strCache>
                <c:ptCount val="1"/>
                <c:pt idx="0">
                  <c:v>#0252</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shrinkage'!$B$2671:$B$2688</c:f>
              <c:numCache>
                <c:formatCode>0</c:formatCode>
                <c:ptCount val="18"/>
                <c:pt idx="0">
                  <c:v>1</c:v>
                </c:pt>
                <c:pt idx="1">
                  <c:v>2</c:v>
                </c:pt>
                <c:pt idx="2">
                  <c:v>5</c:v>
                </c:pt>
                <c:pt idx="3">
                  <c:v>8</c:v>
                </c:pt>
                <c:pt idx="4">
                  <c:v>12</c:v>
                </c:pt>
                <c:pt idx="5">
                  <c:v>15</c:v>
                </c:pt>
                <c:pt idx="6">
                  <c:v>20</c:v>
                </c:pt>
                <c:pt idx="7">
                  <c:v>22</c:v>
                </c:pt>
                <c:pt idx="8">
                  <c:v>28</c:v>
                </c:pt>
                <c:pt idx="9">
                  <c:v>36</c:v>
                </c:pt>
                <c:pt idx="10">
                  <c:v>40</c:v>
                </c:pt>
                <c:pt idx="11">
                  <c:v>47</c:v>
                </c:pt>
                <c:pt idx="12">
                  <c:v>54</c:v>
                </c:pt>
                <c:pt idx="13">
                  <c:v>56</c:v>
                </c:pt>
                <c:pt idx="14">
                  <c:v>155</c:v>
                </c:pt>
                <c:pt idx="15">
                  <c:v>209</c:v>
                </c:pt>
                <c:pt idx="16">
                  <c:v>282</c:v>
                </c:pt>
                <c:pt idx="17">
                  <c:v>386</c:v>
                </c:pt>
              </c:numCache>
            </c:numRef>
          </c:xVal>
          <c:yVal>
            <c:numRef>
              <c:f>'Measured shrinkage'!$C$2671:$C$2688</c:f>
              <c:numCache>
                <c:formatCode>0</c:formatCode>
                <c:ptCount val="18"/>
                <c:pt idx="0">
                  <c:v>8</c:v>
                </c:pt>
                <c:pt idx="1">
                  <c:v>20</c:v>
                </c:pt>
                <c:pt idx="2">
                  <c:v>70</c:v>
                </c:pt>
                <c:pt idx="3">
                  <c:v>122</c:v>
                </c:pt>
                <c:pt idx="4">
                  <c:v>152</c:v>
                </c:pt>
                <c:pt idx="5">
                  <c:v>183</c:v>
                </c:pt>
                <c:pt idx="6">
                  <c:v>188</c:v>
                </c:pt>
                <c:pt idx="7">
                  <c:v>190</c:v>
                </c:pt>
                <c:pt idx="8">
                  <c:v>207</c:v>
                </c:pt>
                <c:pt idx="9">
                  <c:v>243</c:v>
                </c:pt>
                <c:pt idx="10">
                  <c:v>257</c:v>
                </c:pt>
                <c:pt idx="11">
                  <c:v>267</c:v>
                </c:pt>
                <c:pt idx="12">
                  <c:v>278</c:v>
                </c:pt>
                <c:pt idx="13">
                  <c:v>288</c:v>
                </c:pt>
                <c:pt idx="14">
                  <c:v>323</c:v>
                </c:pt>
                <c:pt idx="15">
                  <c:v>352</c:v>
                </c:pt>
                <c:pt idx="16">
                  <c:v>349</c:v>
                </c:pt>
                <c:pt idx="17">
                  <c:v>356</c:v>
                </c:pt>
              </c:numCache>
            </c:numRef>
          </c:yVal>
          <c:smooth val="0"/>
          <c:extLst>
            <c:ext xmlns:c16="http://schemas.microsoft.com/office/drawing/2014/chart" uri="{C3380CC4-5D6E-409C-BE32-E72D297353CC}">
              <c16:uniqueId val="{00000001-4659-4A97-A327-D467A5662E33}"/>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9194652363783562"/>
          <c:y val="0.6440420634920635"/>
          <c:w val="0.31495744086219007"/>
          <c:h val="0.20413849206349205"/>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D1-HSC: S2-04: CEM I - 0.28 w/cm - Quartzite - </a:t>
            </a:r>
          </a:p>
          <a:p>
            <a:pPr>
              <a:defRPr sz="1100">
                <a:solidFill>
                  <a:sysClr val="windowText" lastClr="000000"/>
                </a:solidFill>
              </a:defRPr>
            </a:pPr>
            <a:r>
              <a:rPr lang="en-US" sz="1100">
                <a:solidFill>
                  <a:sysClr val="windowText" lastClr="000000"/>
                </a:solidFill>
              </a:rPr>
              <a:t>&gt;1% Superplaticiser, 5% Metakaolin</a:t>
            </a:r>
          </a:p>
        </c:rich>
      </c:tx>
      <c:layout>
        <c:manualLayout>
          <c:xMode val="edge"/>
          <c:yMode val="edge"/>
          <c:x val="0.21602054622423655"/>
          <c:y val="9.3416666666666665E-3"/>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874759405074365"/>
          <c:y val="0.16175378828981093"/>
          <c:w val="0.77765091863517055"/>
          <c:h val="0.68823063778164806"/>
        </c:manualLayout>
      </c:layout>
      <c:scatterChart>
        <c:scatterStyle val="lineMarker"/>
        <c:varyColors val="0"/>
        <c:ser>
          <c:idx val="0"/>
          <c:order val="0"/>
          <c:tx>
            <c:strRef>
              <c:f>'Measured shrinkage'!$A$4438</c:f>
              <c:strCache>
                <c:ptCount val="1"/>
                <c:pt idx="0">
                  <c:v>A_007_13</c:v>
                </c:pt>
              </c:strCache>
            </c:strRef>
          </c:tx>
          <c:spPr>
            <a:ln w="25400" cap="rnd">
              <a:noFill/>
              <a:round/>
            </a:ln>
            <a:effectLst/>
          </c:spPr>
          <c:marker>
            <c:symbol val="circle"/>
            <c:size val="4"/>
            <c:spPr>
              <a:solidFill>
                <a:schemeClr val="accent1"/>
              </a:solidFill>
              <a:ln w="9525">
                <a:solidFill>
                  <a:schemeClr val="accent1"/>
                </a:solidFill>
              </a:ln>
              <a:effectLst/>
            </c:spPr>
          </c:marker>
          <c:xVal>
            <c:numRef>
              <c:f>'Measured shrinkage'!$B$4438:$B$4459</c:f>
              <c:numCache>
                <c:formatCode>0</c:formatCode>
                <c:ptCount val="22"/>
                <c:pt idx="0">
                  <c:v>0.57077599999999995</c:v>
                </c:pt>
                <c:pt idx="1">
                  <c:v>2.2831100000000002</c:v>
                </c:pt>
                <c:pt idx="2">
                  <c:v>2.8538800000000002</c:v>
                </c:pt>
                <c:pt idx="3">
                  <c:v>5.7077600000000004</c:v>
                </c:pt>
                <c:pt idx="4">
                  <c:v>9.7032000000000007</c:v>
                </c:pt>
                <c:pt idx="5">
                  <c:v>19.406400000000001</c:v>
                </c:pt>
                <c:pt idx="6">
                  <c:v>27.397300000000001</c:v>
                </c:pt>
                <c:pt idx="7">
                  <c:v>29.680399999999999</c:v>
                </c:pt>
                <c:pt idx="8">
                  <c:v>34.817399999999999</c:v>
                </c:pt>
                <c:pt idx="9">
                  <c:v>39.383600000000001</c:v>
                </c:pt>
                <c:pt idx="10">
                  <c:v>45.091299999999997</c:v>
                </c:pt>
                <c:pt idx="11">
                  <c:v>50.799100000000003</c:v>
                </c:pt>
                <c:pt idx="12">
                  <c:v>59.9315</c:v>
                </c:pt>
                <c:pt idx="13">
                  <c:v>70.205500000000001</c:v>
                </c:pt>
                <c:pt idx="14">
                  <c:v>79.908699999999996</c:v>
                </c:pt>
                <c:pt idx="15">
                  <c:v>89.611900000000006</c:v>
                </c:pt>
                <c:pt idx="16">
                  <c:v>99.885800000000003</c:v>
                </c:pt>
                <c:pt idx="17">
                  <c:v>119.863</c:v>
                </c:pt>
                <c:pt idx="18">
                  <c:v>139.84</c:v>
                </c:pt>
                <c:pt idx="19">
                  <c:v>160.38800000000001</c:v>
                </c:pt>
                <c:pt idx="20">
                  <c:v>179.79499999999999</c:v>
                </c:pt>
                <c:pt idx="21">
                  <c:v>199.77199999999999</c:v>
                </c:pt>
              </c:numCache>
            </c:numRef>
          </c:xVal>
          <c:yVal>
            <c:numRef>
              <c:f>'Measured shrinkage'!$C$4438:$C$4459</c:f>
              <c:numCache>
                <c:formatCode>0</c:formatCode>
                <c:ptCount val="22"/>
                <c:pt idx="0">
                  <c:v>34.656999999999996</c:v>
                </c:pt>
                <c:pt idx="1">
                  <c:v>190.614</c:v>
                </c:pt>
                <c:pt idx="2">
                  <c:v>210.108</c:v>
                </c:pt>
                <c:pt idx="3">
                  <c:v>266.42599999999999</c:v>
                </c:pt>
                <c:pt idx="4">
                  <c:v>283.755</c:v>
                </c:pt>
                <c:pt idx="5">
                  <c:v>331.40800000000002</c:v>
                </c:pt>
                <c:pt idx="6">
                  <c:v>357.40100000000001</c:v>
                </c:pt>
                <c:pt idx="7">
                  <c:v>366.065</c:v>
                </c:pt>
                <c:pt idx="8">
                  <c:v>376.89499999999998</c:v>
                </c:pt>
                <c:pt idx="9">
                  <c:v>387.726</c:v>
                </c:pt>
                <c:pt idx="10">
                  <c:v>387.726</c:v>
                </c:pt>
                <c:pt idx="11">
                  <c:v>392.05799999999999</c:v>
                </c:pt>
                <c:pt idx="12">
                  <c:v>398.55599999999998</c:v>
                </c:pt>
                <c:pt idx="13">
                  <c:v>411.55200000000002</c:v>
                </c:pt>
                <c:pt idx="14">
                  <c:v>426.71499999999997</c:v>
                </c:pt>
                <c:pt idx="15">
                  <c:v>428.88099999999997</c:v>
                </c:pt>
                <c:pt idx="16">
                  <c:v>454.87400000000002</c:v>
                </c:pt>
                <c:pt idx="17">
                  <c:v>474.36799999999999</c:v>
                </c:pt>
                <c:pt idx="18">
                  <c:v>476.53399999999999</c:v>
                </c:pt>
                <c:pt idx="19">
                  <c:v>487.36500000000001</c:v>
                </c:pt>
                <c:pt idx="20">
                  <c:v>493.863</c:v>
                </c:pt>
                <c:pt idx="21">
                  <c:v>498.19499999999999</c:v>
                </c:pt>
              </c:numCache>
            </c:numRef>
          </c:yVal>
          <c:smooth val="0"/>
          <c:extLst>
            <c:ext xmlns:c16="http://schemas.microsoft.com/office/drawing/2014/chart" uri="{C3380CC4-5D6E-409C-BE32-E72D297353CC}">
              <c16:uniqueId val="{00000000-30A3-4127-8FDC-9E7F9C0B36A5}"/>
            </c:ext>
          </c:extLst>
        </c:ser>
        <c:ser>
          <c:idx val="1"/>
          <c:order val="1"/>
          <c:tx>
            <c:strRef>
              <c:f>'Measured shrinkage'!$A$4518</c:f>
              <c:strCache>
                <c:ptCount val="1"/>
                <c:pt idx="0">
                  <c:v>A_007_16</c:v>
                </c:pt>
              </c:strCache>
            </c:strRef>
          </c:tx>
          <c:spPr>
            <a:ln w="25400" cap="rnd">
              <a:noFill/>
              <a:round/>
            </a:ln>
            <a:effectLst/>
          </c:spPr>
          <c:marker>
            <c:symbol val="circle"/>
            <c:size val="4"/>
            <c:spPr>
              <a:solidFill>
                <a:schemeClr val="accent2"/>
              </a:solidFill>
              <a:ln w="9525">
                <a:solidFill>
                  <a:schemeClr val="accent2"/>
                </a:solidFill>
              </a:ln>
              <a:effectLst/>
            </c:spPr>
          </c:marker>
          <c:xVal>
            <c:numRef>
              <c:f>'Measured shrinkage'!$B$4518:$B$4535</c:f>
              <c:numCache>
                <c:formatCode>0</c:formatCode>
                <c:ptCount val="18"/>
                <c:pt idx="0">
                  <c:v>17.694099999999999</c:v>
                </c:pt>
                <c:pt idx="1">
                  <c:v>23.9726</c:v>
                </c:pt>
                <c:pt idx="2">
                  <c:v>28.538799999999998</c:v>
                </c:pt>
                <c:pt idx="3">
                  <c:v>30.251100000000001</c:v>
                </c:pt>
                <c:pt idx="4">
                  <c:v>34.246600000000001</c:v>
                </c:pt>
                <c:pt idx="5">
                  <c:v>39.383600000000001</c:v>
                </c:pt>
                <c:pt idx="6">
                  <c:v>44.520499999999998</c:v>
                </c:pt>
                <c:pt idx="7">
                  <c:v>49.657499999999999</c:v>
                </c:pt>
                <c:pt idx="8">
                  <c:v>60.502299999999998</c:v>
                </c:pt>
                <c:pt idx="9">
                  <c:v>70.776300000000006</c:v>
                </c:pt>
                <c:pt idx="10">
                  <c:v>79.337900000000005</c:v>
                </c:pt>
                <c:pt idx="11">
                  <c:v>90.182599999999994</c:v>
                </c:pt>
                <c:pt idx="12">
                  <c:v>99.885800000000003</c:v>
                </c:pt>
                <c:pt idx="13">
                  <c:v>119.863</c:v>
                </c:pt>
                <c:pt idx="14">
                  <c:v>139.26900000000001</c:v>
                </c:pt>
                <c:pt idx="15">
                  <c:v>159.81700000000001</c:v>
                </c:pt>
                <c:pt idx="16">
                  <c:v>179.22399999999999</c:v>
                </c:pt>
                <c:pt idx="17">
                  <c:v>199.77199999999999</c:v>
                </c:pt>
              </c:numCache>
            </c:numRef>
          </c:xVal>
          <c:yVal>
            <c:numRef>
              <c:f>'Measured shrinkage'!$C$4518:$C$4535</c:f>
              <c:numCache>
                <c:formatCode>0</c:formatCode>
                <c:ptCount val="18"/>
                <c:pt idx="0">
                  <c:v>350.90300000000002</c:v>
                </c:pt>
                <c:pt idx="1">
                  <c:v>381.22699999999998</c:v>
                </c:pt>
                <c:pt idx="2">
                  <c:v>400.72199999999998</c:v>
                </c:pt>
                <c:pt idx="3">
                  <c:v>402.88799999999998</c:v>
                </c:pt>
                <c:pt idx="4">
                  <c:v>415.88400000000001</c:v>
                </c:pt>
                <c:pt idx="5">
                  <c:v>420.21699999999998</c:v>
                </c:pt>
                <c:pt idx="6">
                  <c:v>433.21300000000002</c:v>
                </c:pt>
                <c:pt idx="7">
                  <c:v>439.71100000000001</c:v>
                </c:pt>
                <c:pt idx="8">
                  <c:v>452.70800000000003</c:v>
                </c:pt>
                <c:pt idx="9">
                  <c:v>465.70400000000001</c:v>
                </c:pt>
                <c:pt idx="10">
                  <c:v>480.86599999999999</c:v>
                </c:pt>
                <c:pt idx="11">
                  <c:v>480.86599999999999</c:v>
                </c:pt>
                <c:pt idx="12">
                  <c:v>491.697</c:v>
                </c:pt>
                <c:pt idx="13">
                  <c:v>506.85899999999998</c:v>
                </c:pt>
                <c:pt idx="14">
                  <c:v>509.02499999999998</c:v>
                </c:pt>
                <c:pt idx="15">
                  <c:v>539.35</c:v>
                </c:pt>
                <c:pt idx="16">
                  <c:v>552.34699999999998</c:v>
                </c:pt>
                <c:pt idx="17">
                  <c:v>558.84500000000003</c:v>
                </c:pt>
              </c:numCache>
            </c:numRef>
          </c:yVal>
          <c:smooth val="0"/>
          <c:extLst>
            <c:ext xmlns:c16="http://schemas.microsoft.com/office/drawing/2014/chart" uri="{C3380CC4-5D6E-409C-BE32-E72D297353CC}">
              <c16:uniqueId val="{00000001-30A3-4127-8FDC-9E7F9C0B36A5}"/>
            </c:ext>
          </c:extLst>
        </c:ser>
        <c:dLbls>
          <c:showLegendKey val="0"/>
          <c:showVal val="0"/>
          <c:showCatName val="0"/>
          <c:showSerName val="0"/>
          <c:showPercent val="0"/>
          <c:showBubbleSize val="0"/>
        </c:dLbls>
        <c:axId val="757711696"/>
        <c:axId val="757706776"/>
      </c:scatterChart>
      <c:valAx>
        <c:axId val="757711696"/>
        <c:scaling>
          <c:orientation val="minMax"/>
          <c:max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Time</a:t>
                </a:r>
                <a:r>
                  <a:rPr lang="en-ZA" baseline="0">
                    <a:solidFill>
                      <a:sysClr val="windowText" lastClr="000000"/>
                    </a:solidFill>
                  </a:rPr>
                  <a:t> (days)</a:t>
                </a:r>
                <a:endParaRPr lang="en-ZA">
                  <a:solidFill>
                    <a:sysClr val="windowText" lastClr="000000"/>
                  </a:solidFill>
                </a:endParaRPr>
              </a:p>
            </c:rich>
          </c:tx>
          <c:layout>
            <c:manualLayout>
              <c:xMode val="edge"/>
              <c:yMode val="edge"/>
              <c:x val="0.41627427821522317"/>
              <c:y val="0.9110877806940799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06776"/>
        <c:crosses val="autoZero"/>
        <c:crossBetween val="midCat"/>
      </c:valAx>
      <c:valAx>
        <c:axId val="75770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a:solidFill>
                      <a:sysClr val="windowText" lastClr="000000"/>
                    </a:solidFill>
                  </a:rPr>
                  <a:t>Drying </a:t>
                </a:r>
                <a:r>
                  <a:rPr lang="en-ZA" sz="1050">
                    <a:solidFill>
                      <a:sysClr val="windowText" lastClr="000000"/>
                    </a:solidFill>
                    <a:latin typeface="Calibri" panose="020F0502020204030204" pitchFamily="34" charset="0"/>
                    <a:cs typeface="Calibri" panose="020F0502020204030204" pitchFamily="34" charset="0"/>
                  </a:rPr>
                  <a:t>ɛ (microstrains)</a:t>
                </a:r>
                <a:endParaRPr lang="en-ZA"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57711696"/>
        <c:crosses val="autoZero"/>
        <c:crossBetween val="midCat"/>
        <c:majorUnit val="50"/>
      </c:valAx>
      <c:spPr>
        <a:noFill/>
        <a:ln>
          <a:noFill/>
        </a:ln>
        <a:effectLst/>
      </c:spPr>
    </c:plotArea>
    <c:legend>
      <c:legendPos val="r"/>
      <c:layout>
        <c:manualLayout>
          <c:xMode val="edge"/>
          <c:yMode val="edge"/>
          <c:x val="0.59449749516751338"/>
          <c:y val="0.66022815337902352"/>
          <c:w val="0.31105819619906783"/>
          <c:h val="0.18933056456201577"/>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273423</xdr:colOff>
      <xdr:row>14</xdr:row>
      <xdr:rowOff>69000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xdr:row>
      <xdr:rowOff>0</xdr:rowOff>
    </xdr:from>
    <xdr:to>
      <xdr:col>16</xdr:col>
      <xdr:colOff>273423</xdr:colOff>
      <xdr:row>14</xdr:row>
      <xdr:rowOff>69000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xdr:row>
      <xdr:rowOff>0</xdr:rowOff>
    </xdr:from>
    <xdr:to>
      <xdr:col>24</xdr:col>
      <xdr:colOff>273423</xdr:colOff>
      <xdr:row>14</xdr:row>
      <xdr:rowOff>43500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15</xdr:row>
      <xdr:rowOff>0</xdr:rowOff>
    </xdr:from>
    <xdr:to>
      <xdr:col>8</xdr:col>
      <xdr:colOff>273423</xdr:colOff>
      <xdr:row>28</xdr:row>
      <xdr:rowOff>43500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15</xdr:row>
      <xdr:rowOff>0</xdr:rowOff>
    </xdr:from>
    <xdr:to>
      <xdr:col>16</xdr:col>
      <xdr:colOff>273423</xdr:colOff>
      <xdr:row>28</xdr:row>
      <xdr:rowOff>43500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15</xdr:row>
      <xdr:rowOff>0</xdr:rowOff>
    </xdr:from>
    <xdr:to>
      <xdr:col>24</xdr:col>
      <xdr:colOff>273423</xdr:colOff>
      <xdr:row>28</xdr:row>
      <xdr:rowOff>43500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29</xdr:row>
      <xdr:rowOff>0</xdr:rowOff>
    </xdr:from>
    <xdr:to>
      <xdr:col>8</xdr:col>
      <xdr:colOff>273423</xdr:colOff>
      <xdr:row>42</xdr:row>
      <xdr:rowOff>43500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29</xdr:row>
      <xdr:rowOff>0</xdr:rowOff>
    </xdr:from>
    <xdr:to>
      <xdr:col>16</xdr:col>
      <xdr:colOff>273423</xdr:colOff>
      <xdr:row>42</xdr:row>
      <xdr:rowOff>43500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29</xdr:row>
      <xdr:rowOff>0</xdr:rowOff>
    </xdr:from>
    <xdr:to>
      <xdr:col>24</xdr:col>
      <xdr:colOff>273423</xdr:colOff>
      <xdr:row>42</xdr:row>
      <xdr:rowOff>43500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43</xdr:row>
      <xdr:rowOff>0</xdr:rowOff>
    </xdr:from>
    <xdr:to>
      <xdr:col>8</xdr:col>
      <xdr:colOff>273423</xdr:colOff>
      <xdr:row>56</xdr:row>
      <xdr:rowOff>43500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43</xdr:row>
      <xdr:rowOff>0</xdr:rowOff>
    </xdr:from>
    <xdr:to>
      <xdr:col>16</xdr:col>
      <xdr:colOff>273424</xdr:colOff>
      <xdr:row>56</xdr:row>
      <xdr:rowOff>43500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42</xdr:row>
      <xdr:rowOff>189099</xdr:rowOff>
    </xdr:from>
    <xdr:to>
      <xdr:col>24</xdr:col>
      <xdr:colOff>275384</xdr:colOff>
      <xdr:row>56</xdr:row>
      <xdr:rowOff>61709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294154</xdr:colOff>
      <xdr:row>57</xdr:row>
      <xdr:rowOff>0</xdr:rowOff>
    </xdr:from>
    <xdr:to>
      <xdr:col>8</xdr:col>
      <xdr:colOff>275384</xdr:colOff>
      <xdr:row>70</xdr:row>
      <xdr:rowOff>61709</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57</xdr:row>
      <xdr:rowOff>0</xdr:rowOff>
    </xdr:from>
    <xdr:to>
      <xdr:col>16</xdr:col>
      <xdr:colOff>275384</xdr:colOff>
      <xdr:row>70</xdr:row>
      <xdr:rowOff>61709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57</xdr:row>
      <xdr:rowOff>0</xdr:rowOff>
    </xdr:from>
    <xdr:to>
      <xdr:col>24</xdr:col>
      <xdr:colOff>275384</xdr:colOff>
      <xdr:row>70</xdr:row>
      <xdr:rowOff>61709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294154</xdr:colOff>
      <xdr:row>71</xdr:row>
      <xdr:rowOff>0</xdr:rowOff>
    </xdr:from>
    <xdr:to>
      <xdr:col>8</xdr:col>
      <xdr:colOff>275384</xdr:colOff>
      <xdr:row>84</xdr:row>
      <xdr:rowOff>61710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71</xdr:row>
      <xdr:rowOff>0</xdr:rowOff>
    </xdr:from>
    <xdr:to>
      <xdr:col>16</xdr:col>
      <xdr:colOff>275384</xdr:colOff>
      <xdr:row>84</xdr:row>
      <xdr:rowOff>61710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71</xdr:row>
      <xdr:rowOff>0</xdr:rowOff>
    </xdr:from>
    <xdr:to>
      <xdr:col>24</xdr:col>
      <xdr:colOff>275384</xdr:colOff>
      <xdr:row>84</xdr:row>
      <xdr:rowOff>61710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294154</xdr:colOff>
      <xdr:row>85</xdr:row>
      <xdr:rowOff>0</xdr:rowOff>
    </xdr:from>
    <xdr:to>
      <xdr:col>8</xdr:col>
      <xdr:colOff>275384</xdr:colOff>
      <xdr:row>98</xdr:row>
      <xdr:rowOff>61710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14</xdr:row>
      <xdr:rowOff>43500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xdr:row>
      <xdr:rowOff>0</xdr:rowOff>
    </xdr:from>
    <xdr:to>
      <xdr:col>16</xdr:col>
      <xdr:colOff>304800</xdr:colOff>
      <xdr:row>14</xdr:row>
      <xdr:rowOff>43500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xdr:row>
      <xdr:rowOff>0</xdr:rowOff>
    </xdr:from>
    <xdr:to>
      <xdr:col>24</xdr:col>
      <xdr:colOff>304800</xdr:colOff>
      <xdr:row>14</xdr:row>
      <xdr:rowOff>43500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15</xdr:row>
      <xdr:rowOff>0</xdr:rowOff>
    </xdr:from>
    <xdr:to>
      <xdr:col>8</xdr:col>
      <xdr:colOff>304800</xdr:colOff>
      <xdr:row>28</xdr:row>
      <xdr:rowOff>43500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15</xdr:row>
      <xdr:rowOff>0</xdr:rowOff>
    </xdr:from>
    <xdr:to>
      <xdr:col>16</xdr:col>
      <xdr:colOff>304800</xdr:colOff>
      <xdr:row>28</xdr:row>
      <xdr:rowOff>43500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15</xdr:row>
      <xdr:rowOff>0</xdr:rowOff>
    </xdr:from>
    <xdr:to>
      <xdr:col>24</xdr:col>
      <xdr:colOff>304800</xdr:colOff>
      <xdr:row>28</xdr:row>
      <xdr:rowOff>43500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29</xdr:row>
      <xdr:rowOff>0</xdr:rowOff>
    </xdr:from>
    <xdr:to>
      <xdr:col>8</xdr:col>
      <xdr:colOff>304800</xdr:colOff>
      <xdr:row>42</xdr:row>
      <xdr:rowOff>43500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29</xdr:row>
      <xdr:rowOff>0</xdr:rowOff>
    </xdr:from>
    <xdr:to>
      <xdr:col>16</xdr:col>
      <xdr:colOff>304800</xdr:colOff>
      <xdr:row>42</xdr:row>
      <xdr:rowOff>43500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29</xdr:row>
      <xdr:rowOff>0</xdr:rowOff>
    </xdr:from>
    <xdr:to>
      <xdr:col>24</xdr:col>
      <xdr:colOff>304800</xdr:colOff>
      <xdr:row>42</xdr:row>
      <xdr:rowOff>43500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43</xdr:row>
      <xdr:rowOff>0</xdr:rowOff>
    </xdr:from>
    <xdr:to>
      <xdr:col>8</xdr:col>
      <xdr:colOff>304800</xdr:colOff>
      <xdr:row>56</xdr:row>
      <xdr:rowOff>43500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43</xdr:row>
      <xdr:rowOff>0</xdr:rowOff>
    </xdr:from>
    <xdr:to>
      <xdr:col>16</xdr:col>
      <xdr:colOff>304800</xdr:colOff>
      <xdr:row>56</xdr:row>
      <xdr:rowOff>43500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43</xdr:row>
      <xdr:rowOff>0</xdr:rowOff>
    </xdr:from>
    <xdr:to>
      <xdr:col>24</xdr:col>
      <xdr:colOff>304800</xdr:colOff>
      <xdr:row>56</xdr:row>
      <xdr:rowOff>43500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73"/>
  <sheetViews>
    <sheetView tabSelected="1" workbookViewId="0"/>
  </sheetViews>
  <sheetFormatPr defaultColWidth="9.140625" defaultRowHeight="15"/>
  <cols>
    <col min="1" max="1" width="2.140625" style="60" customWidth="1"/>
    <col min="2" max="2" width="18.28515625" style="6" customWidth="1"/>
    <col min="3" max="3" width="1.7109375" style="759" customWidth="1"/>
    <col min="4" max="10" width="9.140625" style="60" customWidth="1"/>
    <col min="11" max="11" width="9.140625" style="34" customWidth="1"/>
    <col min="12" max="12" width="11.42578125" style="34" customWidth="1"/>
    <col min="13" max="13" width="12.28515625" style="34" customWidth="1"/>
    <col min="14" max="16384" width="9.140625" style="60"/>
  </cols>
  <sheetData>
    <row r="1" spans="2:19" s="67" customFormat="1" ht="15.75" customHeight="1">
      <c r="B1" s="763" t="s">
        <v>3790</v>
      </c>
      <c r="C1" s="764"/>
      <c r="D1" s="765"/>
      <c r="E1" s="765"/>
      <c r="F1" s="765"/>
      <c r="G1" s="765"/>
      <c r="H1" s="765"/>
      <c r="I1" s="765"/>
      <c r="J1" s="765"/>
      <c r="K1" s="765"/>
      <c r="L1" s="64"/>
      <c r="M1" s="792" t="s">
        <v>3862</v>
      </c>
      <c r="N1" s="793"/>
      <c r="O1" s="793"/>
      <c r="P1" s="793"/>
      <c r="Q1" s="793"/>
      <c r="R1" s="793"/>
      <c r="S1" s="794"/>
    </row>
    <row r="2" spans="2:19" s="67" customFormat="1" ht="15.75" customHeight="1">
      <c r="B2" s="543" t="s">
        <v>3426</v>
      </c>
      <c r="C2" s="760" t="s">
        <v>246</v>
      </c>
      <c r="D2" s="60" t="s">
        <v>3427</v>
      </c>
      <c r="K2" s="64"/>
      <c r="L2" s="64"/>
      <c r="M2" s="795"/>
      <c r="N2" s="796"/>
      <c r="O2" s="796"/>
      <c r="P2" s="796"/>
      <c r="Q2" s="796"/>
      <c r="R2" s="796"/>
      <c r="S2" s="797"/>
    </row>
    <row r="3" spans="2:19" s="67" customFormat="1" ht="15.75" customHeight="1">
      <c r="B3" s="758" t="s">
        <v>3791</v>
      </c>
      <c r="C3" s="759" t="s">
        <v>246</v>
      </c>
      <c r="D3" s="67" t="s">
        <v>3792</v>
      </c>
      <c r="K3" s="64"/>
      <c r="L3" s="64"/>
      <c r="M3" s="795"/>
      <c r="N3" s="796"/>
      <c r="O3" s="796"/>
      <c r="P3" s="796"/>
      <c r="Q3" s="796"/>
      <c r="R3" s="796"/>
      <c r="S3" s="797"/>
    </row>
    <row r="4" spans="2:19" s="67" customFormat="1" ht="15.75" customHeight="1">
      <c r="B4" s="758"/>
      <c r="C4" s="759"/>
      <c r="K4" s="64"/>
      <c r="L4" s="64"/>
      <c r="M4" s="795"/>
      <c r="N4" s="796"/>
      <c r="O4" s="796"/>
      <c r="P4" s="796"/>
      <c r="Q4" s="796"/>
      <c r="R4" s="796"/>
      <c r="S4" s="797"/>
    </row>
    <row r="5" spans="2:19" s="67" customFormat="1" ht="15.75" customHeight="1">
      <c r="B5" s="763" t="s">
        <v>3887</v>
      </c>
      <c r="C5" s="764"/>
      <c r="D5" s="765"/>
      <c r="E5" s="765"/>
      <c r="F5" s="765"/>
      <c r="G5" s="765"/>
      <c r="H5" s="765"/>
      <c r="I5" s="765"/>
      <c r="J5" s="765"/>
      <c r="K5" s="765"/>
      <c r="L5" s="64"/>
      <c r="M5" s="798"/>
      <c r="N5" s="799"/>
      <c r="O5" s="799"/>
      <c r="P5" s="799"/>
      <c r="Q5" s="799"/>
      <c r="R5" s="799"/>
      <c r="S5" s="800"/>
    </row>
    <row r="6" spans="2:19">
      <c r="B6" s="3" t="s">
        <v>2706</v>
      </c>
      <c r="C6" s="761" t="s">
        <v>246</v>
      </c>
      <c r="D6" s="60" t="s">
        <v>249</v>
      </c>
      <c r="K6" s="48"/>
      <c r="L6" s="50"/>
      <c r="M6" s="60"/>
    </row>
    <row r="7" spans="2:19" s="67" customFormat="1">
      <c r="B7" s="63" t="s">
        <v>3507</v>
      </c>
      <c r="C7" s="761" t="s">
        <v>246</v>
      </c>
      <c r="D7" s="67" t="s">
        <v>3877</v>
      </c>
      <c r="K7" s="48"/>
      <c r="L7" s="50"/>
      <c r="M7" s="792" t="s">
        <v>3863</v>
      </c>
      <c r="N7" s="793"/>
      <c r="O7" s="793"/>
      <c r="P7" s="793"/>
      <c r="Q7" s="793"/>
      <c r="R7" s="793"/>
      <c r="S7" s="794"/>
    </row>
    <row r="8" spans="2:19">
      <c r="B8" s="3" t="s">
        <v>6</v>
      </c>
      <c r="C8" s="761" t="s">
        <v>246</v>
      </c>
      <c r="D8" s="60" t="s">
        <v>3878</v>
      </c>
      <c r="K8" s="48"/>
      <c r="L8" s="50"/>
      <c r="M8" s="795"/>
      <c r="N8" s="796"/>
      <c r="O8" s="796"/>
      <c r="P8" s="796"/>
      <c r="Q8" s="796"/>
      <c r="R8" s="796"/>
      <c r="S8" s="797"/>
    </row>
    <row r="9" spans="2:19" ht="17.25">
      <c r="B9" s="3" t="s">
        <v>2707</v>
      </c>
      <c r="C9" s="761" t="s">
        <v>246</v>
      </c>
      <c r="D9" s="60" t="s">
        <v>3804</v>
      </c>
      <c r="K9" s="48"/>
      <c r="L9" s="50"/>
      <c r="M9" s="795"/>
      <c r="N9" s="796"/>
      <c r="O9" s="796"/>
      <c r="P9" s="796"/>
      <c r="Q9" s="796"/>
      <c r="R9" s="796"/>
      <c r="S9" s="797"/>
    </row>
    <row r="10" spans="2:19" ht="17.25">
      <c r="B10" s="3" t="s">
        <v>2708</v>
      </c>
      <c r="C10" s="761" t="s">
        <v>246</v>
      </c>
      <c r="D10" s="60" t="s">
        <v>3805</v>
      </c>
      <c r="K10" s="48"/>
      <c r="L10" s="50"/>
      <c r="M10" s="795"/>
      <c r="N10" s="796"/>
      <c r="O10" s="796"/>
      <c r="P10" s="796"/>
      <c r="Q10" s="796"/>
      <c r="R10" s="796"/>
      <c r="S10" s="797"/>
    </row>
    <row r="11" spans="2:19">
      <c r="B11" s="63" t="s">
        <v>0</v>
      </c>
      <c r="C11" s="761" t="s">
        <v>246</v>
      </c>
      <c r="D11" s="60" t="s">
        <v>247</v>
      </c>
      <c r="K11" s="48"/>
      <c r="L11" s="50"/>
      <c r="M11" s="795"/>
      <c r="N11" s="796"/>
      <c r="O11" s="796"/>
      <c r="P11" s="796"/>
      <c r="Q11" s="796"/>
      <c r="R11" s="796"/>
      <c r="S11" s="797"/>
    </row>
    <row r="12" spans="2:19">
      <c r="B12" s="63" t="s">
        <v>2569</v>
      </c>
      <c r="C12" s="761" t="s">
        <v>246</v>
      </c>
      <c r="D12" s="60" t="s">
        <v>3801</v>
      </c>
      <c r="K12" s="48"/>
      <c r="L12" s="50"/>
      <c r="M12" s="798"/>
      <c r="N12" s="799"/>
      <c r="O12" s="799"/>
      <c r="P12" s="799"/>
      <c r="Q12" s="799"/>
      <c r="R12" s="799"/>
      <c r="S12" s="800"/>
    </row>
    <row r="13" spans="2:19" ht="17.25">
      <c r="B13" s="63" t="s">
        <v>4</v>
      </c>
      <c r="C13" s="761" t="s">
        <v>246</v>
      </c>
      <c r="D13" s="60" t="s">
        <v>3806</v>
      </c>
      <c r="K13" s="48"/>
      <c r="L13" s="50"/>
      <c r="M13" s="48"/>
      <c r="N13" s="49"/>
    </row>
    <row r="14" spans="2:19" s="67" customFormat="1" ht="17.25">
      <c r="B14" s="63" t="s">
        <v>3802</v>
      </c>
      <c r="C14" s="761" t="s">
        <v>246</v>
      </c>
      <c r="D14" s="67" t="s">
        <v>3807</v>
      </c>
      <c r="K14" s="48"/>
      <c r="L14" s="50"/>
      <c r="M14" s="6" t="s">
        <v>2761</v>
      </c>
      <c r="N14" s="49"/>
    </row>
    <row r="15" spans="2:19">
      <c r="B15" s="3" t="s">
        <v>276</v>
      </c>
      <c r="C15" s="761" t="s">
        <v>246</v>
      </c>
      <c r="D15" s="60" t="s">
        <v>3809</v>
      </c>
      <c r="K15" s="48"/>
      <c r="L15" s="51"/>
      <c r="M15" s="48" t="s">
        <v>3866</v>
      </c>
      <c r="N15" s="49"/>
      <c r="O15" s="67"/>
      <c r="P15" s="67"/>
      <c r="Q15" s="67"/>
      <c r="R15" s="67"/>
      <c r="S15" s="67"/>
    </row>
    <row r="16" spans="2:19">
      <c r="B16" s="3" t="s">
        <v>2793</v>
      </c>
      <c r="C16" s="761" t="s">
        <v>246</v>
      </c>
      <c r="D16" s="60" t="s">
        <v>2794</v>
      </c>
      <c r="K16" s="48"/>
      <c r="L16" s="48"/>
      <c r="M16" s="48" t="s">
        <v>3867</v>
      </c>
      <c r="N16" s="49"/>
      <c r="O16" s="67"/>
      <c r="P16" s="67"/>
      <c r="Q16" s="67"/>
      <c r="R16" s="67"/>
      <c r="S16" s="67"/>
    </row>
    <row r="17" spans="2:13" ht="18">
      <c r="B17" s="3" t="s">
        <v>3796</v>
      </c>
      <c r="C17" s="761" t="s">
        <v>246</v>
      </c>
      <c r="D17" s="60" t="s">
        <v>3810</v>
      </c>
      <c r="M17" s="48" t="s">
        <v>3868</v>
      </c>
    </row>
    <row r="18" spans="2:13" ht="18">
      <c r="B18" s="3" t="s">
        <v>3795</v>
      </c>
      <c r="C18" s="761" t="s">
        <v>246</v>
      </c>
      <c r="D18" s="60" t="s">
        <v>3811</v>
      </c>
      <c r="M18" s="790"/>
    </row>
    <row r="19" spans="2:13" s="67" customFormat="1" ht="18">
      <c r="B19" s="63" t="s">
        <v>3813</v>
      </c>
      <c r="C19" s="761" t="s">
        <v>246</v>
      </c>
      <c r="D19" s="67" t="s">
        <v>3814</v>
      </c>
      <c r="K19" s="64"/>
      <c r="L19" s="64"/>
      <c r="M19" s="64"/>
    </row>
    <row r="20" spans="2:13" ht="18">
      <c r="B20" s="3" t="s">
        <v>3799</v>
      </c>
      <c r="C20" s="761" t="s">
        <v>246</v>
      </c>
      <c r="D20" s="60" t="s">
        <v>3812</v>
      </c>
    </row>
    <row r="21" spans="2:13">
      <c r="B21" s="3" t="s">
        <v>3432</v>
      </c>
      <c r="C21" s="761" t="s">
        <v>246</v>
      </c>
      <c r="D21" s="60" t="s">
        <v>3879</v>
      </c>
    </row>
    <row r="22" spans="2:13">
      <c r="B22" s="3" t="s">
        <v>2626</v>
      </c>
      <c r="C22" s="761" t="s">
        <v>246</v>
      </c>
      <c r="D22" s="60" t="s">
        <v>2796</v>
      </c>
    </row>
    <row r="23" spans="2:13">
      <c r="B23" s="3" t="s">
        <v>3853</v>
      </c>
      <c r="C23" s="761" t="s">
        <v>246</v>
      </c>
      <c r="D23" s="60" t="s">
        <v>3880</v>
      </c>
    </row>
    <row r="24" spans="2:13">
      <c r="B24" s="3" t="s">
        <v>7</v>
      </c>
      <c r="C24" s="761" t="s">
        <v>246</v>
      </c>
      <c r="D24" s="60" t="s">
        <v>3865</v>
      </c>
    </row>
    <row r="25" spans="2:13">
      <c r="B25" s="3" t="s">
        <v>257</v>
      </c>
      <c r="C25" s="761" t="s">
        <v>246</v>
      </c>
      <c r="D25" s="60" t="s">
        <v>2798</v>
      </c>
    </row>
    <row r="26" spans="2:13" ht="18">
      <c r="B26" s="3" t="s">
        <v>3854</v>
      </c>
      <c r="C26" s="761" t="s">
        <v>246</v>
      </c>
      <c r="D26" s="60" t="s">
        <v>3881</v>
      </c>
    </row>
    <row r="27" spans="2:13" s="67" customFormat="1">
      <c r="B27" s="63" t="s">
        <v>3860</v>
      </c>
      <c r="C27" s="761" t="s">
        <v>246</v>
      </c>
      <c r="D27" s="67" t="s">
        <v>3882</v>
      </c>
      <c r="K27" s="64"/>
      <c r="L27" s="64"/>
      <c r="M27" s="64"/>
    </row>
    <row r="28" spans="2:13" s="67" customFormat="1">
      <c r="B28" s="63" t="s">
        <v>3793</v>
      </c>
      <c r="C28" s="761" t="s">
        <v>246</v>
      </c>
      <c r="D28" s="67" t="s">
        <v>3794</v>
      </c>
      <c r="K28" s="64"/>
      <c r="L28" s="64"/>
      <c r="M28" s="64"/>
    </row>
    <row r="29" spans="2:13">
      <c r="B29" s="3" t="s">
        <v>9</v>
      </c>
      <c r="C29" s="761" t="s">
        <v>246</v>
      </c>
      <c r="D29" s="60" t="s">
        <v>3883</v>
      </c>
    </row>
    <row r="30" spans="2:13" s="67" customFormat="1">
      <c r="B30" s="63" t="s">
        <v>3874</v>
      </c>
      <c r="C30" s="761" t="s">
        <v>246</v>
      </c>
      <c r="D30" s="67" t="s">
        <v>3875</v>
      </c>
      <c r="K30" s="64"/>
      <c r="L30" s="64"/>
      <c r="M30" s="64"/>
    </row>
    <row r="31" spans="2:13">
      <c r="B31" s="3" t="s">
        <v>164</v>
      </c>
      <c r="C31" s="761" t="s">
        <v>246</v>
      </c>
      <c r="D31" s="60" t="s">
        <v>3876</v>
      </c>
    </row>
    <row r="32" spans="2:13" s="67" customFormat="1">
      <c r="B32" s="63" t="s">
        <v>3748</v>
      </c>
      <c r="C32" s="761" t="s">
        <v>246</v>
      </c>
      <c r="D32" s="67" t="s">
        <v>3872</v>
      </c>
      <c r="K32" s="64"/>
      <c r="L32" s="64"/>
      <c r="M32" s="64"/>
    </row>
    <row r="33" spans="2:13">
      <c r="B33" s="3" t="s">
        <v>260</v>
      </c>
      <c r="C33" s="761" t="s">
        <v>246</v>
      </c>
      <c r="D33" s="60" t="s">
        <v>2797</v>
      </c>
    </row>
    <row r="34" spans="2:13" s="67" customFormat="1">
      <c r="B34" s="63" t="s">
        <v>3851</v>
      </c>
      <c r="C34" s="761" t="s">
        <v>246</v>
      </c>
      <c r="D34" s="67" t="s">
        <v>3852</v>
      </c>
      <c r="K34" s="64"/>
      <c r="L34" s="64"/>
      <c r="M34" s="64"/>
    </row>
    <row r="35" spans="2:13">
      <c r="B35" s="3" t="s">
        <v>5</v>
      </c>
      <c r="C35" s="761" t="s">
        <v>246</v>
      </c>
      <c r="D35" s="60" t="s">
        <v>3885</v>
      </c>
    </row>
    <row r="36" spans="2:13">
      <c r="B36" s="3" t="s">
        <v>3</v>
      </c>
      <c r="C36" s="761" t="s">
        <v>246</v>
      </c>
      <c r="D36" s="60" t="s">
        <v>3884</v>
      </c>
    </row>
    <row r="37" spans="2:13">
      <c r="B37" s="3" t="s">
        <v>1</v>
      </c>
      <c r="C37" s="761" t="s">
        <v>246</v>
      </c>
      <c r="D37" s="60" t="s">
        <v>248</v>
      </c>
    </row>
    <row r="38" spans="2:13">
      <c r="B38" s="3" t="s">
        <v>258</v>
      </c>
      <c r="C38" s="761" t="s">
        <v>246</v>
      </c>
      <c r="D38" s="60" t="s">
        <v>3855</v>
      </c>
    </row>
    <row r="39" spans="2:13" s="67" customFormat="1">
      <c r="B39" s="63" t="s">
        <v>3290</v>
      </c>
      <c r="C39" s="761" t="s">
        <v>246</v>
      </c>
      <c r="D39" s="67" t="s">
        <v>3873</v>
      </c>
      <c r="K39" s="64"/>
      <c r="L39" s="64"/>
      <c r="M39" s="64"/>
    </row>
    <row r="40" spans="2:13" ht="18">
      <c r="B40" s="61" t="s">
        <v>3799</v>
      </c>
      <c r="C40" s="761" t="s">
        <v>246</v>
      </c>
      <c r="D40" s="60" t="s">
        <v>2799</v>
      </c>
    </row>
    <row r="41" spans="2:13" s="67" customFormat="1">
      <c r="B41" s="61" t="s">
        <v>3870</v>
      </c>
      <c r="C41" s="761" t="s">
        <v>246</v>
      </c>
      <c r="D41" s="67" t="s">
        <v>3871</v>
      </c>
      <c r="K41" s="64"/>
      <c r="L41" s="64"/>
      <c r="M41" s="64"/>
    </row>
    <row r="42" spans="2:13">
      <c r="B42" s="3" t="s">
        <v>1439</v>
      </c>
      <c r="C42" s="761" t="s">
        <v>246</v>
      </c>
      <c r="D42" s="60" t="s">
        <v>3858</v>
      </c>
    </row>
    <row r="43" spans="2:13">
      <c r="B43" s="3" t="s">
        <v>528</v>
      </c>
      <c r="C43" s="761" t="s">
        <v>246</v>
      </c>
      <c r="D43" s="60" t="s">
        <v>2795</v>
      </c>
    </row>
    <row r="44" spans="2:13" s="67" customFormat="1">
      <c r="B44" s="63" t="s">
        <v>3888</v>
      </c>
      <c r="C44" s="761" t="s">
        <v>246</v>
      </c>
      <c r="D44" s="67" t="s">
        <v>3889</v>
      </c>
      <c r="K44" s="64"/>
      <c r="L44" s="64"/>
      <c r="M44" s="64"/>
    </row>
    <row r="45" spans="2:13">
      <c r="B45" s="3" t="s">
        <v>8</v>
      </c>
      <c r="C45" s="761" t="s">
        <v>246</v>
      </c>
      <c r="D45" s="60" t="s">
        <v>3800</v>
      </c>
    </row>
    <row r="46" spans="2:13" ht="18">
      <c r="B46" s="3" t="s">
        <v>3797</v>
      </c>
      <c r="C46" s="761" t="s">
        <v>246</v>
      </c>
      <c r="D46" s="60" t="s">
        <v>3798</v>
      </c>
    </row>
    <row r="47" spans="2:13">
      <c r="B47" s="4" t="s">
        <v>2278</v>
      </c>
      <c r="C47" s="761" t="s">
        <v>246</v>
      </c>
      <c r="D47" s="60" t="s">
        <v>2792</v>
      </c>
    </row>
    <row r="48" spans="2:13">
      <c r="B48" s="4" t="s">
        <v>1737</v>
      </c>
      <c r="C48" s="761" t="s">
        <v>246</v>
      </c>
      <c r="D48" s="60" t="s">
        <v>3856</v>
      </c>
    </row>
    <row r="49" spans="2:13">
      <c r="B49" s="3" t="s">
        <v>1735</v>
      </c>
      <c r="C49" s="761" t="s">
        <v>246</v>
      </c>
      <c r="D49" s="60" t="s">
        <v>2802</v>
      </c>
    </row>
    <row r="50" spans="2:13" s="62" customFormat="1">
      <c r="B50" s="63" t="s">
        <v>2800</v>
      </c>
      <c r="C50" s="761" t="s">
        <v>246</v>
      </c>
      <c r="D50" s="62" t="s">
        <v>2801</v>
      </c>
      <c r="K50" s="64"/>
      <c r="L50" s="64"/>
      <c r="M50" s="64"/>
    </row>
    <row r="51" spans="2:13" s="62" customFormat="1">
      <c r="B51" s="63" t="s">
        <v>2280</v>
      </c>
      <c r="C51" s="761" t="s">
        <v>246</v>
      </c>
      <c r="D51" s="62" t="s">
        <v>3857</v>
      </c>
      <c r="K51" s="64"/>
      <c r="L51" s="64"/>
      <c r="M51" s="64"/>
    </row>
    <row r="52" spans="2:13" s="62" customFormat="1">
      <c r="B52" s="5" t="s">
        <v>2989</v>
      </c>
      <c r="C52" s="760" t="s">
        <v>246</v>
      </c>
      <c r="D52" s="60" t="s">
        <v>3864</v>
      </c>
      <c r="K52" s="64"/>
      <c r="L52" s="64"/>
      <c r="M52" s="64"/>
    </row>
    <row r="53" spans="2:13">
      <c r="B53" s="63" t="s">
        <v>2705</v>
      </c>
      <c r="C53" s="761" t="s">
        <v>246</v>
      </c>
      <c r="D53" s="60" t="s">
        <v>3859</v>
      </c>
    </row>
    <row r="54" spans="2:13" s="67" customFormat="1">
      <c r="B54" s="63" t="s">
        <v>3506</v>
      </c>
      <c r="C54" s="761" t="s">
        <v>246</v>
      </c>
      <c r="D54" s="67" t="s">
        <v>3861</v>
      </c>
      <c r="K54" s="64"/>
      <c r="L54" s="64"/>
      <c r="M54" s="64"/>
    </row>
    <row r="55" spans="2:13" s="67" customFormat="1">
      <c r="B55" s="63" t="s">
        <v>2</v>
      </c>
      <c r="C55" s="761" t="s">
        <v>246</v>
      </c>
      <c r="D55" s="67" t="s">
        <v>3886</v>
      </c>
      <c r="K55" s="64"/>
      <c r="L55" s="64"/>
      <c r="M55" s="64"/>
    </row>
    <row r="56" spans="2:13" s="67" customFormat="1">
      <c r="B56" s="108"/>
      <c r="C56" s="760"/>
      <c r="K56" s="64"/>
      <c r="L56" s="64"/>
      <c r="M56" s="64"/>
    </row>
    <row r="57" spans="2:13" ht="15" customHeight="1">
      <c r="B57" s="4"/>
      <c r="C57" s="762"/>
    </row>
    <row r="58" spans="2:13">
      <c r="B58" s="4"/>
      <c r="C58" s="762"/>
    </row>
    <row r="59" spans="2:13">
      <c r="B59" s="4"/>
      <c r="C59" s="762"/>
    </row>
    <row r="60" spans="2:13">
      <c r="B60" s="4"/>
      <c r="C60" s="762"/>
    </row>
    <row r="63" spans="2:13" ht="15" customHeight="1">
      <c r="B63" s="5"/>
      <c r="C63" s="760"/>
    </row>
    <row r="64" spans="2:13">
      <c r="B64" s="5"/>
      <c r="C64" s="760"/>
    </row>
    <row r="65" spans="2:3">
      <c r="B65" s="5"/>
      <c r="C65" s="760"/>
    </row>
    <row r="66" spans="2:3">
      <c r="B66" s="5"/>
      <c r="C66" s="760"/>
    </row>
    <row r="67" spans="2:3">
      <c r="B67" s="5"/>
      <c r="C67" s="760"/>
    </row>
    <row r="68" spans="2:3">
      <c r="B68" s="5"/>
      <c r="C68" s="760"/>
    </row>
    <row r="69" spans="2:3">
      <c r="B69" s="5"/>
      <c r="C69" s="760"/>
    </row>
    <row r="70" spans="2:3">
      <c r="B70" s="5"/>
      <c r="C70" s="760"/>
    </row>
    <row r="71" spans="2:3">
      <c r="B71" s="5"/>
      <c r="C71" s="760"/>
    </row>
    <row r="72" spans="2:3">
      <c r="B72" s="5"/>
      <c r="C72" s="760"/>
    </row>
    <row r="73" spans="2:3">
      <c r="B73" s="5"/>
      <c r="C73" s="760"/>
    </row>
    <row r="74" spans="2:3">
      <c r="B74" s="5"/>
      <c r="C74" s="760"/>
    </row>
    <row r="75" spans="2:3">
      <c r="B75" s="5"/>
      <c r="C75" s="760"/>
    </row>
    <row r="76" spans="2:3">
      <c r="B76" s="5"/>
      <c r="C76" s="760"/>
    </row>
    <row r="77" spans="2:3">
      <c r="B77" s="5"/>
      <c r="C77" s="760"/>
    </row>
    <row r="78" spans="2:3">
      <c r="B78" s="5"/>
      <c r="C78" s="760"/>
    </row>
    <row r="79" spans="2:3">
      <c r="B79" s="5"/>
      <c r="C79" s="760"/>
    </row>
    <row r="80" spans="2:3">
      <c r="B80" s="5"/>
      <c r="C80" s="760"/>
    </row>
    <row r="81" spans="2:3">
      <c r="B81" s="5"/>
      <c r="C81" s="760"/>
    </row>
    <row r="82" spans="2:3">
      <c r="B82" s="5"/>
      <c r="C82" s="760"/>
    </row>
    <row r="83" spans="2:3">
      <c r="B83" s="5"/>
      <c r="C83" s="760"/>
    </row>
    <row r="84" spans="2:3">
      <c r="B84" s="5"/>
      <c r="C84" s="760"/>
    </row>
    <row r="85" spans="2:3">
      <c r="B85" s="5"/>
      <c r="C85" s="760"/>
    </row>
    <row r="86" spans="2:3">
      <c r="B86" s="5"/>
      <c r="C86" s="760"/>
    </row>
    <row r="87" spans="2:3">
      <c r="B87" s="5"/>
      <c r="C87" s="760"/>
    </row>
    <row r="88" spans="2:3">
      <c r="B88" s="5"/>
      <c r="C88" s="760"/>
    </row>
    <row r="89" spans="2:3">
      <c r="B89" s="5"/>
      <c r="C89" s="760"/>
    </row>
    <row r="90" spans="2:3">
      <c r="B90" s="5"/>
      <c r="C90" s="760"/>
    </row>
    <row r="91" spans="2:3">
      <c r="B91" s="5"/>
      <c r="C91" s="760"/>
    </row>
    <row r="92" spans="2:3">
      <c r="B92" s="5"/>
      <c r="C92" s="760"/>
    </row>
    <row r="93" spans="2:3">
      <c r="B93" s="5"/>
      <c r="C93" s="760"/>
    </row>
    <row r="94" spans="2:3">
      <c r="B94" s="5"/>
      <c r="C94" s="760"/>
    </row>
    <row r="95" spans="2:3">
      <c r="B95" s="5"/>
      <c r="C95" s="760"/>
    </row>
    <row r="96" spans="2:3">
      <c r="B96" s="5"/>
      <c r="C96" s="760"/>
    </row>
    <row r="97" spans="2:3">
      <c r="B97" s="5"/>
      <c r="C97" s="760"/>
    </row>
    <row r="98" spans="2:3">
      <c r="B98" s="5"/>
      <c r="C98" s="760"/>
    </row>
    <row r="99" spans="2:3">
      <c r="B99" s="5"/>
      <c r="C99" s="760"/>
    </row>
    <row r="100" spans="2:3">
      <c r="B100" s="5"/>
      <c r="C100" s="760"/>
    </row>
    <row r="101" spans="2:3">
      <c r="B101" s="5"/>
      <c r="C101" s="760"/>
    </row>
    <row r="102" spans="2:3">
      <c r="B102" s="5"/>
      <c r="C102" s="760"/>
    </row>
    <row r="103" spans="2:3">
      <c r="B103" s="5"/>
      <c r="C103" s="760"/>
    </row>
    <row r="104" spans="2:3">
      <c r="B104" s="5"/>
      <c r="C104" s="760"/>
    </row>
    <row r="105" spans="2:3">
      <c r="B105" s="5"/>
      <c r="C105" s="760"/>
    </row>
    <row r="106" spans="2:3">
      <c r="B106" s="5"/>
      <c r="C106" s="760"/>
    </row>
    <row r="107" spans="2:3">
      <c r="B107" s="5"/>
      <c r="C107" s="760"/>
    </row>
    <row r="108" spans="2:3">
      <c r="B108" s="5"/>
      <c r="C108" s="760"/>
    </row>
    <row r="109" spans="2:3">
      <c r="B109" s="5"/>
      <c r="C109" s="760"/>
    </row>
    <row r="110" spans="2:3">
      <c r="B110" s="5"/>
      <c r="C110" s="760"/>
    </row>
    <row r="111" spans="2:3">
      <c r="B111" s="5"/>
      <c r="C111" s="760"/>
    </row>
    <row r="112" spans="2:3">
      <c r="B112" s="5"/>
      <c r="C112" s="760"/>
    </row>
    <row r="113" spans="2:3">
      <c r="B113" s="5"/>
      <c r="C113" s="760"/>
    </row>
    <row r="114" spans="2:3">
      <c r="B114" s="5"/>
      <c r="C114" s="760"/>
    </row>
    <row r="115" spans="2:3">
      <c r="B115" s="5"/>
      <c r="C115" s="760"/>
    </row>
    <row r="116" spans="2:3">
      <c r="B116" s="5"/>
      <c r="C116" s="760"/>
    </row>
    <row r="117" spans="2:3">
      <c r="B117" s="5"/>
      <c r="C117" s="760"/>
    </row>
    <row r="118" spans="2:3">
      <c r="B118" s="5"/>
      <c r="C118" s="760"/>
    </row>
    <row r="119" spans="2:3">
      <c r="B119" s="5"/>
      <c r="C119" s="760"/>
    </row>
    <row r="120" spans="2:3">
      <c r="B120" s="5"/>
      <c r="C120" s="760"/>
    </row>
    <row r="121" spans="2:3">
      <c r="B121" s="5"/>
      <c r="C121" s="760"/>
    </row>
    <row r="122" spans="2:3">
      <c r="B122" s="5"/>
      <c r="C122" s="760"/>
    </row>
    <row r="123" spans="2:3">
      <c r="B123" s="5"/>
      <c r="C123" s="760"/>
    </row>
    <row r="124" spans="2:3">
      <c r="B124" s="5"/>
      <c r="C124" s="760"/>
    </row>
    <row r="125" spans="2:3">
      <c r="B125" s="5"/>
      <c r="C125" s="760"/>
    </row>
    <row r="126" spans="2:3">
      <c r="B126" s="5"/>
      <c r="C126" s="760"/>
    </row>
    <row r="127" spans="2:3">
      <c r="B127" s="5"/>
      <c r="C127" s="760"/>
    </row>
    <row r="128" spans="2:3">
      <c r="B128" s="5"/>
      <c r="C128" s="760"/>
    </row>
    <row r="129" spans="2:3">
      <c r="B129" s="5"/>
      <c r="C129" s="760"/>
    </row>
    <row r="130" spans="2:3">
      <c r="B130" s="5"/>
      <c r="C130" s="760"/>
    </row>
    <row r="131" spans="2:3">
      <c r="B131" s="5"/>
      <c r="C131" s="760"/>
    </row>
    <row r="132" spans="2:3">
      <c r="B132" s="5"/>
      <c r="C132" s="760"/>
    </row>
    <row r="133" spans="2:3">
      <c r="B133" s="5"/>
      <c r="C133" s="760"/>
    </row>
    <row r="134" spans="2:3">
      <c r="B134" s="5"/>
      <c r="C134" s="760"/>
    </row>
    <row r="135" spans="2:3">
      <c r="B135" s="5"/>
      <c r="C135" s="760"/>
    </row>
    <row r="136" spans="2:3">
      <c r="B136" s="5"/>
      <c r="C136" s="760"/>
    </row>
    <row r="137" spans="2:3">
      <c r="B137" s="5"/>
      <c r="C137" s="760"/>
    </row>
    <row r="138" spans="2:3">
      <c r="B138" s="5"/>
      <c r="C138" s="760"/>
    </row>
    <row r="139" spans="2:3">
      <c r="B139" s="5"/>
      <c r="C139" s="760"/>
    </row>
    <row r="140" spans="2:3">
      <c r="B140" s="5"/>
      <c r="C140" s="760"/>
    </row>
    <row r="141" spans="2:3">
      <c r="B141" s="5"/>
      <c r="C141" s="760"/>
    </row>
    <row r="142" spans="2:3">
      <c r="B142" s="5"/>
      <c r="C142" s="760"/>
    </row>
    <row r="143" spans="2:3">
      <c r="B143" s="5"/>
      <c r="C143" s="760"/>
    </row>
    <row r="144" spans="2:3">
      <c r="B144" s="5"/>
      <c r="C144" s="760"/>
    </row>
    <row r="145" spans="2:3">
      <c r="B145" s="5"/>
      <c r="C145" s="760"/>
    </row>
    <row r="146" spans="2:3">
      <c r="B146" s="5"/>
      <c r="C146" s="760"/>
    </row>
    <row r="147" spans="2:3">
      <c r="B147" s="5"/>
      <c r="C147" s="760"/>
    </row>
    <row r="148" spans="2:3">
      <c r="B148" s="5"/>
      <c r="C148" s="760"/>
    </row>
    <row r="149" spans="2:3">
      <c r="B149" s="5"/>
      <c r="C149" s="760"/>
    </row>
    <row r="150" spans="2:3">
      <c r="B150" s="5"/>
      <c r="C150" s="760"/>
    </row>
    <row r="151" spans="2:3">
      <c r="B151" s="5"/>
      <c r="C151" s="760"/>
    </row>
    <row r="152" spans="2:3">
      <c r="B152" s="5"/>
      <c r="C152" s="760"/>
    </row>
    <row r="153" spans="2:3">
      <c r="B153" s="5"/>
      <c r="C153" s="760"/>
    </row>
    <row r="154" spans="2:3">
      <c r="B154" s="5"/>
      <c r="C154" s="760"/>
    </row>
    <row r="155" spans="2:3">
      <c r="B155" s="5"/>
      <c r="C155" s="760"/>
    </row>
    <row r="156" spans="2:3">
      <c r="B156" s="5"/>
      <c r="C156" s="760"/>
    </row>
    <row r="157" spans="2:3">
      <c r="B157" s="5"/>
      <c r="C157" s="760"/>
    </row>
    <row r="158" spans="2:3">
      <c r="B158" s="5"/>
      <c r="C158" s="760"/>
    </row>
    <row r="159" spans="2:3">
      <c r="B159" s="5"/>
      <c r="C159" s="760"/>
    </row>
    <row r="160" spans="2:3">
      <c r="B160" s="5"/>
      <c r="C160" s="760"/>
    </row>
    <row r="161" spans="2:3">
      <c r="B161" s="5"/>
      <c r="C161" s="760"/>
    </row>
    <row r="162" spans="2:3">
      <c r="B162" s="5"/>
      <c r="C162" s="760"/>
    </row>
    <row r="163" spans="2:3">
      <c r="B163" s="5"/>
      <c r="C163" s="760"/>
    </row>
    <row r="164" spans="2:3">
      <c r="B164" s="5"/>
      <c r="C164" s="760"/>
    </row>
    <row r="165" spans="2:3">
      <c r="B165" s="5"/>
      <c r="C165" s="760"/>
    </row>
    <row r="166" spans="2:3">
      <c r="B166" s="5"/>
      <c r="C166" s="760"/>
    </row>
    <row r="167" spans="2:3">
      <c r="B167" s="5"/>
      <c r="C167" s="760"/>
    </row>
    <row r="168" spans="2:3">
      <c r="B168" s="5"/>
      <c r="C168" s="760"/>
    </row>
    <row r="169" spans="2:3">
      <c r="B169" s="5"/>
      <c r="C169" s="760"/>
    </row>
    <row r="170" spans="2:3">
      <c r="B170" s="5"/>
      <c r="C170" s="760"/>
    </row>
    <row r="171" spans="2:3">
      <c r="B171" s="5"/>
      <c r="C171" s="760"/>
    </row>
    <row r="172" spans="2:3">
      <c r="B172" s="5"/>
      <c r="C172" s="760"/>
    </row>
    <row r="173" spans="2:3">
      <c r="B173" s="5"/>
      <c r="C173" s="760"/>
    </row>
    <row r="174" spans="2:3">
      <c r="B174" s="5"/>
      <c r="C174" s="760"/>
    </row>
    <row r="175" spans="2:3">
      <c r="B175" s="5"/>
      <c r="C175" s="760"/>
    </row>
    <row r="176" spans="2:3">
      <c r="B176" s="5"/>
      <c r="C176" s="760"/>
    </row>
    <row r="177" spans="2:3">
      <c r="B177" s="5"/>
      <c r="C177" s="760"/>
    </row>
    <row r="178" spans="2:3">
      <c r="B178" s="5"/>
      <c r="C178" s="760"/>
    </row>
    <row r="179" spans="2:3">
      <c r="B179" s="5"/>
      <c r="C179" s="760"/>
    </row>
    <row r="180" spans="2:3">
      <c r="B180" s="5"/>
      <c r="C180" s="760"/>
    </row>
    <row r="181" spans="2:3">
      <c r="B181" s="5"/>
      <c r="C181" s="760"/>
    </row>
    <row r="182" spans="2:3">
      <c r="B182" s="5"/>
      <c r="C182" s="760"/>
    </row>
    <row r="183" spans="2:3">
      <c r="B183" s="5"/>
      <c r="C183" s="760"/>
    </row>
    <row r="184" spans="2:3">
      <c r="B184" s="5"/>
      <c r="C184" s="760"/>
    </row>
    <row r="185" spans="2:3">
      <c r="B185" s="5"/>
      <c r="C185" s="760"/>
    </row>
    <row r="186" spans="2:3">
      <c r="B186" s="5"/>
      <c r="C186" s="760"/>
    </row>
    <row r="187" spans="2:3">
      <c r="B187" s="5"/>
      <c r="C187" s="760"/>
    </row>
    <row r="188" spans="2:3">
      <c r="B188" s="5"/>
      <c r="C188" s="760"/>
    </row>
    <row r="189" spans="2:3">
      <c r="B189" s="5"/>
      <c r="C189" s="760"/>
    </row>
    <row r="190" spans="2:3">
      <c r="B190" s="5"/>
      <c r="C190" s="760"/>
    </row>
    <row r="191" spans="2:3">
      <c r="B191" s="5"/>
      <c r="C191" s="760"/>
    </row>
    <row r="192" spans="2:3">
      <c r="B192" s="5"/>
      <c r="C192" s="760"/>
    </row>
    <row r="193" spans="2:3">
      <c r="B193" s="5"/>
      <c r="C193" s="760"/>
    </row>
    <row r="194" spans="2:3">
      <c r="B194" s="5"/>
      <c r="C194" s="760"/>
    </row>
    <row r="195" spans="2:3">
      <c r="B195" s="5"/>
      <c r="C195" s="760"/>
    </row>
    <row r="196" spans="2:3">
      <c r="B196" s="5"/>
      <c r="C196" s="760"/>
    </row>
    <row r="197" spans="2:3">
      <c r="B197" s="5"/>
      <c r="C197" s="760"/>
    </row>
    <row r="198" spans="2:3">
      <c r="B198" s="5"/>
      <c r="C198" s="760"/>
    </row>
    <row r="199" spans="2:3">
      <c r="B199" s="5"/>
      <c r="C199" s="760"/>
    </row>
    <row r="200" spans="2:3">
      <c r="B200" s="5"/>
      <c r="C200" s="760"/>
    </row>
    <row r="201" spans="2:3">
      <c r="B201" s="5"/>
      <c r="C201" s="760"/>
    </row>
    <row r="202" spans="2:3">
      <c r="B202" s="5"/>
      <c r="C202" s="760"/>
    </row>
    <row r="203" spans="2:3">
      <c r="B203" s="5"/>
      <c r="C203" s="760"/>
    </row>
    <row r="204" spans="2:3">
      <c r="B204" s="5"/>
      <c r="C204" s="760"/>
    </row>
    <row r="205" spans="2:3">
      <c r="B205" s="5"/>
      <c r="C205" s="760"/>
    </row>
    <row r="206" spans="2:3">
      <c r="B206" s="5"/>
      <c r="C206" s="760"/>
    </row>
    <row r="207" spans="2:3">
      <c r="B207" s="5"/>
      <c r="C207" s="760"/>
    </row>
    <row r="208" spans="2:3">
      <c r="B208" s="5"/>
      <c r="C208" s="760"/>
    </row>
    <row r="209" spans="2:3">
      <c r="B209" s="5"/>
      <c r="C209" s="760"/>
    </row>
    <row r="210" spans="2:3">
      <c r="B210" s="5"/>
      <c r="C210" s="760"/>
    </row>
    <row r="211" spans="2:3">
      <c r="B211" s="5"/>
      <c r="C211" s="760"/>
    </row>
    <row r="212" spans="2:3">
      <c r="B212" s="5"/>
      <c r="C212" s="760"/>
    </row>
    <row r="213" spans="2:3">
      <c r="B213" s="5"/>
      <c r="C213" s="760"/>
    </row>
    <row r="214" spans="2:3">
      <c r="B214" s="5"/>
      <c r="C214" s="760"/>
    </row>
    <row r="215" spans="2:3">
      <c r="B215" s="5"/>
      <c r="C215" s="760"/>
    </row>
    <row r="216" spans="2:3">
      <c r="B216" s="5"/>
      <c r="C216" s="760"/>
    </row>
    <row r="217" spans="2:3">
      <c r="B217" s="5"/>
      <c r="C217" s="760"/>
    </row>
    <row r="218" spans="2:3">
      <c r="B218" s="5"/>
      <c r="C218" s="760"/>
    </row>
    <row r="219" spans="2:3">
      <c r="B219" s="5"/>
      <c r="C219" s="760"/>
    </row>
    <row r="220" spans="2:3">
      <c r="B220" s="5"/>
      <c r="C220" s="760"/>
    </row>
    <row r="221" spans="2:3">
      <c r="B221" s="5"/>
      <c r="C221" s="760"/>
    </row>
    <row r="222" spans="2:3">
      <c r="B222" s="5"/>
      <c r="C222" s="760"/>
    </row>
    <row r="223" spans="2:3">
      <c r="B223" s="5"/>
      <c r="C223" s="760"/>
    </row>
    <row r="224" spans="2:3">
      <c r="B224" s="5"/>
      <c r="C224" s="760"/>
    </row>
    <row r="225" spans="2:3">
      <c r="B225" s="5"/>
      <c r="C225" s="760"/>
    </row>
    <row r="226" spans="2:3">
      <c r="B226" s="5"/>
      <c r="C226" s="760"/>
    </row>
    <row r="227" spans="2:3">
      <c r="B227" s="5"/>
      <c r="C227" s="760"/>
    </row>
    <row r="228" spans="2:3">
      <c r="B228" s="5"/>
      <c r="C228" s="760"/>
    </row>
    <row r="229" spans="2:3">
      <c r="B229" s="5"/>
      <c r="C229" s="760"/>
    </row>
    <row r="230" spans="2:3">
      <c r="B230" s="5"/>
      <c r="C230" s="760"/>
    </row>
    <row r="231" spans="2:3">
      <c r="B231" s="5"/>
      <c r="C231" s="760"/>
    </row>
    <row r="232" spans="2:3">
      <c r="B232" s="5"/>
      <c r="C232" s="760"/>
    </row>
    <row r="233" spans="2:3">
      <c r="B233" s="5"/>
      <c r="C233" s="760"/>
    </row>
    <row r="234" spans="2:3">
      <c r="B234" s="5"/>
      <c r="C234" s="760"/>
    </row>
    <row r="235" spans="2:3">
      <c r="B235" s="5"/>
      <c r="C235" s="760"/>
    </row>
    <row r="236" spans="2:3">
      <c r="B236" s="5"/>
      <c r="C236" s="760"/>
    </row>
    <row r="237" spans="2:3">
      <c r="B237" s="5"/>
      <c r="C237" s="760"/>
    </row>
    <row r="238" spans="2:3">
      <c r="B238" s="5"/>
      <c r="C238" s="760"/>
    </row>
    <row r="239" spans="2:3">
      <c r="B239" s="5"/>
      <c r="C239" s="760"/>
    </row>
    <row r="240" spans="2:3">
      <c r="B240" s="5"/>
      <c r="C240" s="760"/>
    </row>
    <row r="241" spans="2:3">
      <c r="B241" s="5"/>
      <c r="C241" s="760"/>
    </row>
    <row r="242" spans="2:3">
      <c r="B242" s="5"/>
      <c r="C242" s="760"/>
    </row>
    <row r="243" spans="2:3">
      <c r="B243" s="5"/>
      <c r="C243" s="760"/>
    </row>
    <row r="244" spans="2:3">
      <c r="B244" s="5"/>
      <c r="C244" s="760"/>
    </row>
    <row r="245" spans="2:3">
      <c r="B245" s="5"/>
      <c r="C245" s="760"/>
    </row>
    <row r="246" spans="2:3">
      <c r="B246" s="5"/>
      <c r="C246" s="760"/>
    </row>
    <row r="247" spans="2:3">
      <c r="B247" s="5"/>
      <c r="C247" s="760"/>
    </row>
    <row r="248" spans="2:3">
      <c r="B248" s="5"/>
      <c r="C248" s="760"/>
    </row>
    <row r="249" spans="2:3">
      <c r="B249" s="5"/>
      <c r="C249" s="760"/>
    </row>
    <row r="250" spans="2:3">
      <c r="B250" s="5"/>
      <c r="C250" s="760"/>
    </row>
    <row r="251" spans="2:3">
      <c r="B251" s="5"/>
      <c r="C251" s="760"/>
    </row>
    <row r="252" spans="2:3">
      <c r="B252" s="5"/>
      <c r="C252" s="760"/>
    </row>
    <row r="253" spans="2:3">
      <c r="B253" s="5"/>
      <c r="C253" s="760"/>
    </row>
    <row r="254" spans="2:3">
      <c r="B254" s="5"/>
      <c r="C254" s="760"/>
    </row>
    <row r="255" spans="2:3">
      <c r="B255" s="5"/>
      <c r="C255" s="760"/>
    </row>
    <row r="256" spans="2:3">
      <c r="B256" s="5"/>
      <c r="C256" s="760"/>
    </row>
    <row r="257" spans="2:3">
      <c r="B257" s="5"/>
      <c r="C257" s="760"/>
    </row>
    <row r="258" spans="2:3">
      <c r="B258" s="5"/>
      <c r="C258" s="760"/>
    </row>
    <row r="259" spans="2:3">
      <c r="B259" s="5"/>
      <c r="C259" s="760"/>
    </row>
    <row r="260" spans="2:3">
      <c r="B260" s="5"/>
      <c r="C260" s="760"/>
    </row>
    <row r="261" spans="2:3">
      <c r="B261" s="5"/>
      <c r="C261" s="760"/>
    </row>
    <row r="262" spans="2:3">
      <c r="B262" s="5"/>
      <c r="C262" s="760"/>
    </row>
    <row r="263" spans="2:3">
      <c r="B263" s="5"/>
      <c r="C263" s="760"/>
    </row>
    <row r="264" spans="2:3">
      <c r="B264" s="5"/>
      <c r="C264" s="760"/>
    </row>
    <row r="265" spans="2:3">
      <c r="B265" s="5"/>
      <c r="C265" s="760"/>
    </row>
    <row r="266" spans="2:3">
      <c r="B266" s="5"/>
      <c r="C266" s="760"/>
    </row>
    <row r="267" spans="2:3">
      <c r="B267" s="5"/>
      <c r="C267" s="760"/>
    </row>
    <row r="268" spans="2:3">
      <c r="B268" s="5"/>
      <c r="C268" s="760"/>
    </row>
    <row r="269" spans="2:3">
      <c r="B269" s="5"/>
      <c r="C269" s="760"/>
    </row>
    <row r="270" spans="2:3">
      <c r="B270" s="5"/>
      <c r="C270" s="760"/>
    </row>
    <row r="271" spans="2:3">
      <c r="B271" s="5"/>
      <c r="C271" s="760"/>
    </row>
    <row r="272" spans="2:3">
      <c r="B272" s="5"/>
      <c r="C272" s="760"/>
    </row>
    <row r="273" spans="2:3">
      <c r="B273" s="5"/>
      <c r="C273" s="760"/>
    </row>
  </sheetData>
  <mergeCells count="2">
    <mergeCell ref="M1:S5"/>
    <mergeCell ref="M7:S1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2193"/>
  <sheetViews>
    <sheetView zoomScale="85" zoomScaleNormal="85" zoomScalePageLayoutView="85" workbookViewId="0"/>
  </sheetViews>
  <sheetFormatPr defaultColWidth="9.140625" defaultRowHeight="15"/>
  <cols>
    <col min="1" max="1" width="6.28515625" style="24" customWidth="1"/>
    <col min="2" max="2" width="14.140625" style="79" bestFit="1" customWidth="1"/>
    <col min="3" max="3" width="31" style="80" bestFit="1" customWidth="1"/>
    <col min="4" max="4" width="12.28515625" style="23" customWidth="1"/>
    <col min="5" max="5" width="12.7109375" style="465" customWidth="1"/>
    <col min="6" max="6" width="6.5703125" style="16" customWidth="1"/>
    <col min="7" max="7" width="4.42578125" style="16" bestFit="1" customWidth="1"/>
    <col min="8" max="8" width="16.85546875" style="83" customWidth="1"/>
    <col min="9" max="9" width="18.28515625" style="83" customWidth="1"/>
    <col min="10" max="10" width="6.42578125" style="84" customWidth="1"/>
    <col min="11" max="11" width="6.85546875" style="30" customWidth="1"/>
    <col min="12" max="12" width="12.140625" style="37" bestFit="1" customWidth="1"/>
    <col min="13" max="13" width="12.7109375" style="30" bestFit="1" customWidth="1"/>
    <col min="14" max="14" width="12.7109375" style="30" customWidth="1"/>
    <col min="15" max="15" width="11.85546875" style="30" customWidth="1"/>
    <col min="16" max="16" width="19.140625" style="30" bestFit="1" customWidth="1"/>
    <col min="17" max="17" width="27.5703125" style="30" bestFit="1" customWidth="1"/>
    <col min="18" max="18" width="20.7109375" style="31" customWidth="1"/>
    <col min="19" max="19" width="16.42578125" style="22" customWidth="1"/>
    <col min="20" max="20" width="16.140625" style="22" customWidth="1"/>
    <col min="21" max="21" width="15.85546875" style="22" customWidth="1"/>
    <col min="22" max="22" width="12.85546875" style="17" customWidth="1"/>
    <col min="23" max="26" width="6.85546875" style="120" customWidth="1"/>
    <col min="27" max="27" width="6.85546875" style="17" customWidth="1"/>
    <col min="28" max="28" width="7.7109375" style="17" customWidth="1"/>
    <col min="29" max="29" width="7.5703125" style="17" customWidth="1"/>
    <col min="30" max="30" width="7" style="17" customWidth="1"/>
    <col min="31" max="31" width="9.42578125" style="17" customWidth="1"/>
    <col min="32" max="33" width="9.85546875" style="17" customWidth="1"/>
    <col min="34" max="34" width="8.42578125" style="17" customWidth="1"/>
    <col min="35" max="35" width="8" style="17" customWidth="1"/>
    <col min="36" max="36" width="12.42578125" style="17" customWidth="1"/>
    <col min="37" max="37" width="9.5703125" style="17" customWidth="1"/>
    <col min="38" max="38" width="16" style="17" customWidth="1"/>
    <col min="39" max="39" width="5.42578125" style="16" customWidth="1"/>
    <col min="40" max="40" width="6.28515625" style="16" customWidth="1"/>
    <col min="41" max="41" width="8.140625" style="16" bestFit="1" customWidth="1"/>
    <col min="42" max="42" width="7.7109375" style="19" customWidth="1"/>
    <col min="43" max="43" width="32.7109375" style="17" bestFit="1" customWidth="1"/>
    <col min="44" max="44" width="33.7109375" style="19" bestFit="1" customWidth="1"/>
    <col min="45" max="45" width="20.7109375" style="29" bestFit="1" customWidth="1"/>
    <col min="46" max="46" width="9.140625" style="29" customWidth="1"/>
    <col min="47" max="47" width="11.42578125" style="29" customWidth="1"/>
    <col min="48" max="48" width="12.85546875" style="35" customWidth="1"/>
    <col min="49" max="49" width="7.28515625" style="35" customWidth="1"/>
    <col min="50" max="50" width="4.42578125" style="35" customWidth="1"/>
    <col min="51" max="51" width="6.28515625" style="35" customWidth="1"/>
    <col min="52" max="52" width="5.140625" style="35" customWidth="1"/>
    <col min="53" max="53" width="7.85546875" style="54" bestFit="1" customWidth="1"/>
    <col min="54" max="54" width="40.5703125" style="109" customWidth="1"/>
    <col min="55" max="55" width="8.28515625" style="15" customWidth="1"/>
    <col min="56" max="57" width="15.140625" style="18" customWidth="1"/>
    <col min="58" max="58" width="15.140625" style="13" customWidth="1"/>
    <col min="59" max="82" width="9.140625" style="14"/>
    <col min="83" max="16384" width="9.140625" style="7"/>
  </cols>
  <sheetData>
    <row r="1" spans="1:76" s="110" customFormat="1" ht="57.75" customHeight="1" thickBot="1">
      <c r="A1" s="767" t="s">
        <v>3431</v>
      </c>
      <c r="B1" s="413" t="s">
        <v>3432</v>
      </c>
      <c r="C1" s="444" t="s">
        <v>3433</v>
      </c>
      <c r="D1" s="290" t="s">
        <v>3434</v>
      </c>
      <c r="E1" s="290" t="s">
        <v>3435</v>
      </c>
      <c r="F1" s="290" t="s">
        <v>2</v>
      </c>
      <c r="G1" s="290" t="s">
        <v>3436</v>
      </c>
      <c r="H1" s="768" t="s">
        <v>3477</v>
      </c>
      <c r="I1" s="769" t="s">
        <v>3478</v>
      </c>
      <c r="J1" s="770" t="s">
        <v>2705</v>
      </c>
      <c r="K1" s="290" t="s">
        <v>2706</v>
      </c>
      <c r="L1" s="290" t="s">
        <v>3479</v>
      </c>
      <c r="M1" s="290" t="s">
        <v>3480</v>
      </c>
      <c r="N1" s="290" t="s">
        <v>3481</v>
      </c>
      <c r="O1" s="439" t="s">
        <v>3474</v>
      </c>
      <c r="P1" s="293" t="s">
        <v>3475</v>
      </c>
      <c r="Q1" s="771" t="s">
        <v>3437</v>
      </c>
      <c r="R1" s="293" t="s">
        <v>3438</v>
      </c>
      <c r="S1" s="293" t="s">
        <v>3439</v>
      </c>
      <c r="T1" s="290" t="s">
        <v>3440</v>
      </c>
      <c r="U1" s="440" t="s">
        <v>3472</v>
      </c>
      <c r="V1" s="413" t="s">
        <v>3815</v>
      </c>
      <c r="W1" s="290" t="s">
        <v>3816</v>
      </c>
      <c r="X1" s="290" t="s">
        <v>3457</v>
      </c>
      <c r="Y1" s="290" t="s">
        <v>3458</v>
      </c>
      <c r="Z1" s="290" t="s">
        <v>3459</v>
      </c>
      <c r="AA1" s="290" t="s">
        <v>3482</v>
      </c>
      <c r="AB1" s="290" t="s">
        <v>3483</v>
      </c>
      <c r="AC1" s="290" t="s">
        <v>3484</v>
      </c>
      <c r="AD1" s="290" t="s">
        <v>3485</v>
      </c>
      <c r="AE1" s="766" t="s">
        <v>3486</v>
      </c>
      <c r="AF1" s="290" t="s">
        <v>3463</v>
      </c>
      <c r="AG1" s="290" t="s">
        <v>3464</v>
      </c>
      <c r="AH1" s="290" t="s">
        <v>3487</v>
      </c>
      <c r="AI1" s="290" t="s">
        <v>3488</v>
      </c>
      <c r="AJ1" s="290" t="s">
        <v>3489</v>
      </c>
      <c r="AK1" s="290" t="s">
        <v>3490</v>
      </c>
      <c r="AL1" s="444" t="s">
        <v>3502</v>
      </c>
      <c r="AM1" s="296" t="s">
        <v>3503</v>
      </c>
      <c r="AN1" s="297" t="s">
        <v>3491</v>
      </c>
      <c r="AO1" s="290" t="s">
        <v>3504</v>
      </c>
      <c r="AP1" s="424" t="s">
        <v>3505</v>
      </c>
      <c r="AQ1" s="290" t="s">
        <v>3492</v>
      </c>
      <c r="AR1" s="772" t="s">
        <v>3493</v>
      </c>
      <c r="AS1" s="772" t="s">
        <v>3494</v>
      </c>
      <c r="AT1" s="772" t="s">
        <v>3495</v>
      </c>
      <c r="AU1" s="299" t="s">
        <v>3496</v>
      </c>
      <c r="AV1" s="290" t="s">
        <v>3497</v>
      </c>
      <c r="AW1" s="290" t="s">
        <v>3498</v>
      </c>
      <c r="AX1" s="290" t="s">
        <v>3445</v>
      </c>
      <c r="AY1" s="290" t="s">
        <v>3499</v>
      </c>
      <c r="AZ1" s="290" t="s">
        <v>3500</v>
      </c>
      <c r="BA1" s="290" t="s">
        <v>3501</v>
      </c>
      <c r="BB1" s="290" t="s">
        <v>3441</v>
      </c>
      <c r="BC1" s="768" t="s">
        <v>263</v>
      </c>
      <c r="BD1" s="766" t="s">
        <v>1736</v>
      </c>
      <c r="BE1" s="766" t="s">
        <v>1735</v>
      </c>
      <c r="BF1" s="444" t="s">
        <v>164</v>
      </c>
      <c r="BL1" s="538" t="s">
        <v>3629</v>
      </c>
      <c r="BM1" s="539"/>
      <c r="BN1" s="539"/>
      <c r="BO1" s="539"/>
      <c r="BP1" s="539"/>
      <c r="BQ1" s="539"/>
      <c r="BR1" s="539"/>
      <c r="BS1" s="539"/>
      <c r="BT1" s="539"/>
      <c r="BU1" s="539"/>
      <c r="BV1" s="539"/>
      <c r="BW1" s="539"/>
      <c r="BX1" s="539"/>
    </row>
    <row r="2" spans="1:76" s="14" customFormat="1" ht="15" customHeight="1">
      <c r="A2" s="95">
        <v>1</v>
      </c>
      <c r="B2" s="96" t="s">
        <v>1734</v>
      </c>
      <c r="C2" s="73" t="s">
        <v>2578</v>
      </c>
      <c r="D2" s="251" t="s">
        <v>119</v>
      </c>
      <c r="E2" s="462" t="s">
        <v>3377</v>
      </c>
      <c r="F2" s="252">
        <v>1958</v>
      </c>
      <c r="G2" s="171">
        <v>101</v>
      </c>
      <c r="H2" s="172" t="s">
        <v>1745</v>
      </c>
      <c r="I2" s="173" t="s">
        <v>1743</v>
      </c>
      <c r="J2" s="508">
        <v>0.59</v>
      </c>
      <c r="K2" s="513">
        <v>5.6689999999999996</v>
      </c>
      <c r="L2" s="169"/>
      <c r="M2" s="506">
        <v>320</v>
      </c>
      <c r="N2" s="506"/>
      <c r="O2" s="509" t="s">
        <v>12</v>
      </c>
      <c r="P2" s="511"/>
      <c r="Q2" s="510" t="s">
        <v>2636</v>
      </c>
      <c r="R2" s="506" t="s">
        <v>2727</v>
      </c>
      <c r="S2" s="507"/>
      <c r="T2" s="507"/>
      <c r="U2" s="506" t="s">
        <v>2312</v>
      </c>
      <c r="V2" s="739">
        <v>0</v>
      </c>
      <c r="W2" s="741">
        <v>0</v>
      </c>
      <c r="X2" s="125">
        <v>0</v>
      </c>
      <c r="Y2" s="125">
        <v>0</v>
      </c>
      <c r="Z2" s="125">
        <v>0</v>
      </c>
      <c r="AA2" s="742">
        <v>0</v>
      </c>
      <c r="AB2" s="126">
        <v>0</v>
      </c>
      <c r="AC2" s="126">
        <v>0</v>
      </c>
      <c r="AD2" s="742">
        <v>0</v>
      </c>
      <c r="AE2" s="742">
        <v>0</v>
      </c>
      <c r="AF2" s="126">
        <v>0</v>
      </c>
      <c r="AG2" s="742">
        <v>0</v>
      </c>
      <c r="AH2" s="126">
        <v>0</v>
      </c>
      <c r="AI2" s="742">
        <v>0</v>
      </c>
      <c r="AJ2" s="742">
        <v>0</v>
      </c>
      <c r="AK2" s="126">
        <v>0</v>
      </c>
      <c r="AL2" s="744">
        <v>0</v>
      </c>
      <c r="AM2" s="509">
        <v>16.5</v>
      </c>
      <c r="AN2" s="507"/>
      <c r="AO2" s="507"/>
      <c r="AP2" s="416">
        <v>20000</v>
      </c>
      <c r="AQ2" s="133" t="s">
        <v>121</v>
      </c>
      <c r="AR2" s="174">
        <v>51</v>
      </c>
      <c r="AS2" s="37" t="s">
        <v>246</v>
      </c>
      <c r="AT2" s="171" t="str">
        <f t="shared" ref="AT2:AT26" si="0">RIGHT(AQ2,LEN(AQ2)-FIND("x",AQ2,1))</f>
        <v>356</v>
      </c>
      <c r="AU2" s="255">
        <f t="shared" ref="AU2:AU38" si="1">(AR2*AT2)/((2*AT2)+(2*AR2))</f>
        <v>22.304668304668304</v>
      </c>
      <c r="AV2" s="509">
        <v>98</v>
      </c>
      <c r="AW2" s="251">
        <v>28</v>
      </c>
      <c r="AX2" s="252">
        <v>21</v>
      </c>
      <c r="AY2" s="750">
        <v>21</v>
      </c>
      <c r="AZ2" s="89"/>
      <c r="BA2" s="175">
        <v>50</v>
      </c>
      <c r="BB2" s="256" t="s">
        <v>2566</v>
      </c>
      <c r="BC2" s="176"/>
      <c r="BD2" s="177"/>
      <c r="BE2" s="177"/>
      <c r="BF2" s="178" t="s">
        <v>2566</v>
      </c>
      <c r="BG2" s="12"/>
      <c r="BH2" s="12"/>
      <c r="BL2" s="540" t="s">
        <v>3630</v>
      </c>
      <c r="BM2" s="159"/>
      <c r="BN2" s="159"/>
      <c r="BO2" s="159"/>
      <c r="BP2" s="159"/>
      <c r="BQ2" s="159"/>
      <c r="BR2" s="159"/>
      <c r="BS2" s="159"/>
      <c r="BT2" s="159"/>
      <c r="BU2" s="159"/>
      <c r="BV2" s="159"/>
      <c r="BW2" s="159"/>
      <c r="BX2" s="159"/>
    </row>
    <row r="3" spans="1:76" s="14" customFormat="1" ht="15" customHeight="1">
      <c r="A3" s="95">
        <v>2</v>
      </c>
      <c r="B3" s="96" t="s">
        <v>1733</v>
      </c>
      <c r="C3" s="73" t="s">
        <v>2578</v>
      </c>
      <c r="D3" s="257" t="s">
        <v>119</v>
      </c>
      <c r="E3" s="459" t="s">
        <v>3377</v>
      </c>
      <c r="F3" s="258">
        <v>1958</v>
      </c>
      <c r="G3" s="171">
        <v>101</v>
      </c>
      <c r="H3" s="172" t="s">
        <v>1745</v>
      </c>
      <c r="I3" s="173" t="s">
        <v>1743</v>
      </c>
      <c r="J3" s="508">
        <v>0.59</v>
      </c>
      <c r="K3" s="513">
        <v>5.6689999999999996</v>
      </c>
      <c r="L3" s="169"/>
      <c r="M3" s="506">
        <v>320</v>
      </c>
      <c r="N3" s="506"/>
      <c r="O3" s="509" t="s">
        <v>12</v>
      </c>
      <c r="P3" s="511"/>
      <c r="Q3" s="510" t="s">
        <v>2636</v>
      </c>
      <c r="R3" s="506" t="s">
        <v>2727</v>
      </c>
      <c r="S3" s="507"/>
      <c r="T3" s="507"/>
      <c r="U3" s="506" t="s">
        <v>2312</v>
      </c>
      <c r="V3" s="131">
        <v>0</v>
      </c>
      <c r="W3" s="132">
        <v>0</v>
      </c>
      <c r="X3" s="120">
        <v>0</v>
      </c>
      <c r="Y3" s="120">
        <v>0</v>
      </c>
      <c r="Z3" s="120">
        <v>0</v>
      </c>
      <c r="AA3" s="133">
        <v>0</v>
      </c>
      <c r="AB3" s="17">
        <v>0</v>
      </c>
      <c r="AC3" s="17">
        <v>0</v>
      </c>
      <c r="AD3" s="133">
        <v>0</v>
      </c>
      <c r="AE3" s="133">
        <v>0</v>
      </c>
      <c r="AF3" s="17">
        <v>0</v>
      </c>
      <c r="AG3" s="133">
        <v>0</v>
      </c>
      <c r="AH3" s="17">
        <v>0</v>
      </c>
      <c r="AI3" s="133">
        <v>0</v>
      </c>
      <c r="AJ3" s="133">
        <v>0</v>
      </c>
      <c r="AK3" s="17">
        <v>0</v>
      </c>
      <c r="AL3" s="137">
        <v>0</v>
      </c>
      <c r="AM3" s="509">
        <v>16.5</v>
      </c>
      <c r="AN3" s="507"/>
      <c r="AO3" s="507"/>
      <c r="AP3" s="416">
        <v>20000</v>
      </c>
      <c r="AQ3" s="133" t="s">
        <v>121</v>
      </c>
      <c r="AR3" s="174">
        <v>51</v>
      </c>
      <c r="AS3" s="37" t="s">
        <v>246</v>
      </c>
      <c r="AT3" s="171" t="str">
        <f t="shared" si="0"/>
        <v>356</v>
      </c>
      <c r="AU3" s="255">
        <f t="shared" si="1"/>
        <v>22.304668304668304</v>
      </c>
      <c r="AV3" s="509">
        <v>98</v>
      </c>
      <c r="AW3" s="257">
        <v>28</v>
      </c>
      <c r="AX3" s="252">
        <v>21</v>
      </c>
      <c r="AY3" s="750">
        <v>21</v>
      </c>
      <c r="AZ3" s="89"/>
      <c r="BA3" s="175">
        <v>70</v>
      </c>
      <c r="BB3" s="755" t="s">
        <v>2566</v>
      </c>
      <c r="BC3" s="176"/>
      <c r="BD3" s="177"/>
      <c r="BE3" s="177"/>
      <c r="BF3" s="178" t="s">
        <v>2566</v>
      </c>
      <c r="BG3" s="27"/>
      <c r="BH3" s="27"/>
      <c r="BL3" s="540" t="s">
        <v>3631</v>
      </c>
      <c r="BM3" s="159"/>
      <c r="BN3" s="159"/>
      <c r="BO3" s="159"/>
      <c r="BP3" s="159"/>
      <c r="BQ3" s="159"/>
      <c r="BR3" s="159"/>
      <c r="BS3" s="159"/>
      <c r="BT3" s="159"/>
      <c r="BU3" s="159"/>
      <c r="BV3" s="159"/>
      <c r="BW3" s="159"/>
      <c r="BX3" s="159"/>
    </row>
    <row r="4" spans="1:76" s="14" customFormat="1" ht="15" customHeight="1">
      <c r="A4" s="95">
        <v>3</v>
      </c>
      <c r="B4" s="96" t="s">
        <v>1732</v>
      </c>
      <c r="C4" s="73" t="s">
        <v>2578</v>
      </c>
      <c r="D4" s="257" t="s">
        <v>119</v>
      </c>
      <c r="E4" s="459" t="s">
        <v>3377</v>
      </c>
      <c r="F4" s="258">
        <v>1958</v>
      </c>
      <c r="G4" s="171">
        <v>101</v>
      </c>
      <c r="H4" s="172" t="s">
        <v>1745</v>
      </c>
      <c r="I4" s="173" t="s">
        <v>1739</v>
      </c>
      <c r="J4" s="508">
        <v>0.59</v>
      </c>
      <c r="K4" s="513">
        <v>5.6689999999999996</v>
      </c>
      <c r="L4" s="169"/>
      <c r="M4" s="506">
        <v>320</v>
      </c>
      <c r="N4" s="506"/>
      <c r="O4" s="509" t="s">
        <v>12</v>
      </c>
      <c r="P4" s="511"/>
      <c r="Q4" s="510" t="s">
        <v>2636</v>
      </c>
      <c r="R4" s="506" t="s">
        <v>2727</v>
      </c>
      <c r="S4" s="507"/>
      <c r="T4" s="507"/>
      <c r="U4" s="506" t="s">
        <v>2312</v>
      </c>
      <c r="V4" s="131">
        <v>0</v>
      </c>
      <c r="W4" s="132">
        <v>0</v>
      </c>
      <c r="X4" s="120">
        <v>0</v>
      </c>
      <c r="Y4" s="120">
        <v>0</v>
      </c>
      <c r="Z4" s="120">
        <v>0</v>
      </c>
      <c r="AA4" s="133">
        <v>0</v>
      </c>
      <c r="AB4" s="17">
        <v>0</v>
      </c>
      <c r="AC4" s="17">
        <v>0</v>
      </c>
      <c r="AD4" s="133">
        <v>0</v>
      </c>
      <c r="AE4" s="133">
        <v>0</v>
      </c>
      <c r="AF4" s="17">
        <v>0</v>
      </c>
      <c r="AG4" s="133">
        <v>0</v>
      </c>
      <c r="AH4" s="17">
        <v>0</v>
      </c>
      <c r="AI4" s="133">
        <v>0</v>
      </c>
      <c r="AJ4" s="133">
        <v>0</v>
      </c>
      <c r="AK4" s="17">
        <v>0</v>
      </c>
      <c r="AL4" s="137">
        <v>0</v>
      </c>
      <c r="AM4" s="509">
        <v>16.5</v>
      </c>
      <c r="AN4" s="89"/>
      <c r="AO4" s="89"/>
      <c r="AP4" s="416">
        <v>20000</v>
      </c>
      <c r="AQ4" s="133" t="s">
        <v>121</v>
      </c>
      <c r="AR4" s="174">
        <v>51</v>
      </c>
      <c r="AS4" s="37" t="s">
        <v>246</v>
      </c>
      <c r="AT4" s="171" t="str">
        <f t="shared" si="0"/>
        <v>356</v>
      </c>
      <c r="AU4" s="255">
        <f t="shared" si="1"/>
        <v>22.304668304668304</v>
      </c>
      <c r="AV4" s="509">
        <v>98</v>
      </c>
      <c r="AW4" s="257">
        <v>28</v>
      </c>
      <c r="AX4" s="252">
        <v>21</v>
      </c>
      <c r="AY4" s="750">
        <v>21</v>
      </c>
      <c r="AZ4" s="89"/>
      <c r="BA4" s="175">
        <v>100</v>
      </c>
      <c r="BB4" s="755" t="s">
        <v>2983</v>
      </c>
      <c r="BC4" s="176"/>
      <c r="BD4" s="177"/>
      <c r="BE4" s="177"/>
      <c r="BF4" s="178" t="s">
        <v>2983</v>
      </c>
      <c r="BG4" s="27"/>
      <c r="BH4" s="27"/>
      <c r="BL4" s="540" t="s">
        <v>3633</v>
      </c>
      <c r="BM4" s="159"/>
      <c r="BN4" s="159"/>
      <c r="BO4" s="159"/>
      <c r="BP4" s="159"/>
      <c r="BQ4" s="159"/>
      <c r="BR4" s="159"/>
      <c r="BS4" s="159"/>
      <c r="BT4" s="159"/>
      <c r="BU4" s="159"/>
      <c r="BV4" s="159"/>
      <c r="BW4" s="159"/>
      <c r="BX4" s="159"/>
    </row>
    <row r="5" spans="1:76" s="14" customFormat="1" ht="15" customHeight="1">
      <c r="A5" s="95">
        <v>4</v>
      </c>
      <c r="B5" s="96" t="s">
        <v>1731</v>
      </c>
      <c r="C5" s="73" t="s">
        <v>2578</v>
      </c>
      <c r="D5" s="257" t="s">
        <v>119</v>
      </c>
      <c r="E5" s="459" t="s">
        <v>3377</v>
      </c>
      <c r="F5" s="258">
        <v>1958</v>
      </c>
      <c r="G5" s="171">
        <v>101</v>
      </c>
      <c r="H5" s="172" t="s">
        <v>1745</v>
      </c>
      <c r="I5" s="173" t="s">
        <v>1739</v>
      </c>
      <c r="J5" s="508">
        <v>0.59</v>
      </c>
      <c r="K5" s="513">
        <v>5.6689999999999996</v>
      </c>
      <c r="L5" s="169"/>
      <c r="M5" s="506">
        <v>320</v>
      </c>
      <c r="N5" s="506"/>
      <c r="O5" s="509" t="s">
        <v>12</v>
      </c>
      <c r="P5" s="511"/>
      <c r="Q5" s="510" t="s">
        <v>2636</v>
      </c>
      <c r="R5" s="506" t="s">
        <v>2727</v>
      </c>
      <c r="S5" s="507"/>
      <c r="T5" s="507"/>
      <c r="U5" s="506" t="s">
        <v>2312</v>
      </c>
      <c r="V5" s="131">
        <v>0</v>
      </c>
      <c r="W5" s="132">
        <v>0</v>
      </c>
      <c r="X5" s="120">
        <v>0</v>
      </c>
      <c r="Y5" s="120">
        <v>0</v>
      </c>
      <c r="Z5" s="120">
        <v>0</v>
      </c>
      <c r="AA5" s="133">
        <v>0</v>
      </c>
      <c r="AB5" s="17">
        <v>0</v>
      </c>
      <c r="AC5" s="17">
        <v>0</v>
      </c>
      <c r="AD5" s="133">
        <v>0</v>
      </c>
      <c r="AE5" s="133">
        <v>0</v>
      </c>
      <c r="AF5" s="17">
        <v>0</v>
      </c>
      <c r="AG5" s="133">
        <v>0</v>
      </c>
      <c r="AH5" s="17">
        <v>0</v>
      </c>
      <c r="AI5" s="133">
        <v>0</v>
      </c>
      <c r="AJ5" s="133">
        <v>0</v>
      </c>
      <c r="AK5" s="17">
        <v>0</v>
      </c>
      <c r="AL5" s="137">
        <v>0</v>
      </c>
      <c r="AM5" s="509">
        <v>16.5</v>
      </c>
      <c r="AN5" s="89"/>
      <c r="AO5" s="89"/>
      <c r="AP5" s="416">
        <v>20000</v>
      </c>
      <c r="AQ5" s="133" t="s">
        <v>121</v>
      </c>
      <c r="AR5" s="174">
        <v>51</v>
      </c>
      <c r="AS5" s="37" t="s">
        <v>246</v>
      </c>
      <c r="AT5" s="171" t="str">
        <f t="shared" si="0"/>
        <v>356</v>
      </c>
      <c r="AU5" s="255">
        <f t="shared" si="1"/>
        <v>22.304668304668304</v>
      </c>
      <c r="AV5" s="509">
        <v>98</v>
      </c>
      <c r="AW5" s="257">
        <v>28</v>
      </c>
      <c r="AX5" s="252">
        <v>21</v>
      </c>
      <c r="AY5" s="750">
        <v>21</v>
      </c>
      <c r="AZ5" s="89"/>
      <c r="BA5" s="175">
        <v>99</v>
      </c>
      <c r="BB5" s="755" t="s">
        <v>2984</v>
      </c>
      <c r="BC5" s="176"/>
      <c r="BD5" s="177"/>
      <c r="BE5" s="177"/>
      <c r="BF5" s="178" t="s">
        <v>2984</v>
      </c>
      <c r="BG5" s="27"/>
      <c r="BH5" s="27"/>
      <c r="BL5" s="540" t="s">
        <v>3632</v>
      </c>
      <c r="BM5" s="159"/>
      <c r="BN5" s="159"/>
      <c r="BO5" s="159"/>
      <c r="BP5" s="159"/>
      <c r="BQ5" s="159"/>
      <c r="BR5" s="159"/>
      <c r="BS5" s="159"/>
      <c r="BT5" s="159"/>
      <c r="BU5" s="159"/>
      <c r="BV5" s="159"/>
      <c r="BW5" s="159"/>
      <c r="BX5" s="159"/>
    </row>
    <row r="6" spans="1:76" s="14" customFormat="1" ht="15" customHeight="1">
      <c r="A6" s="95">
        <v>5</v>
      </c>
      <c r="B6" s="96" t="s">
        <v>2630</v>
      </c>
      <c r="C6" s="73" t="s">
        <v>2578</v>
      </c>
      <c r="D6" s="257" t="s">
        <v>119</v>
      </c>
      <c r="E6" s="459" t="s">
        <v>3377</v>
      </c>
      <c r="F6" s="258">
        <v>1958</v>
      </c>
      <c r="G6" s="171">
        <v>101</v>
      </c>
      <c r="H6" s="172" t="s">
        <v>1745</v>
      </c>
      <c r="I6" s="173" t="s">
        <v>1743</v>
      </c>
      <c r="J6" s="508">
        <v>0.59</v>
      </c>
      <c r="K6" s="513">
        <v>5.6689999999999996</v>
      </c>
      <c r="L6" s="169"/>
      <c r="M6" s="506">
        <v>320</v>
      </c>
      <c r="N6" s="506"/>
      <c r="O6" s="509" t="s">
        <v>12</v>
      </c>
      <c r="P6" s="511"/>
      <c r="Q6" s="510" t="s">
        <v>2636</v>
      </c>
      <c r="R6" s="171" t="s">
        <v>2723</v>
      </c>
      <c r="S6" s="507"/>
      <c r="T6" s="507"/>
      <c r="U6" s="506" t="s">
        <v>2313</v>
      </c>
      <c r="V6" s="131">
        <v>0</v>
      </c>
      <c r="W6" s="132">
        <v>0</v>
      </c>
      <c r="X6" s="120">
        <v>0</v>
      </c>
      <c r="Y6" s="120">
        <v>0</v>
      </c>
      <c r="Z6" s="120">
        <v>0</v>
      </c>
      <c r="AA6" s="133">
        <v>0</v>
      </c>
      <c r="AB6" s="17">
        <v>0</v>
      </c>
      <c r="AC6" s="17">
        <v>0</v>
      </c>
      <c r="AD6" s="133">
        <v>0</v>
      </c>
      <c r="AE6" s="133">
        <v>0</v>
      </c>
      <c r="AF6" s="17">
        <v>0</v>
      </c>
      <c r="AG6" s="133">
        <v>0</v>
      </c>
      <c r="AH6" s="17">
        <v>0</v>
      </c>
      <c r="AI6" s="133">
        <v>0</v>
      </c>
      <c r="AJ6" s="133">
        <v>0</v>
      </c>
      <c r="AK6" s="17">
        <v>0</v>
      </c>
      <c r="AL6" s="137">
        <v>0</v>
      </c>
      <c r="AM6" s="117"/>
      <c r="AN6" s="89"/>
      <c r="AO6" s="89"/>
      <c r="AP6" s="88"/>
      <c r="AQ6" s="133" t="s">
        <v>121</v>
      </c>
      <c r="AR6" s="174">
        <v>51</v>
      </c>
      <c r="AS6" s="37" t="s">
        <v>246</v>
      </c>
      <c r="AT6" s="171" t="str">
        <f t="shared" si="0"/>
        <v>356</v>
      </c>
      <c r="AU6" s="255">
        <f t="shared" si="1"/>
        <v>22.304668304668304</v>
      </c>
      <c r="AV6" s="509">
        <v>98</v>
      </c>
      <c r="AW6" s="251">
        <v>28</v>
      </c>
      <c r="AX6" s="252">
        <v>21</v>
      </c>
      <c r="AY6" s="750">
        <v>21</v>
      </c>
      <c r="AZ6" s="89"/>
      <c r="BA6" s="175">
        <v>50</v>
      </c>
      <c r="BB6" s="259"/>
      <c r="BC6" s="176"/>
      <c r="BD6" s="177"/>
      <c r="BE6" s="177"/>
      <c r="BF6" s="178"/>
      <c r="BG6" s="27"/>
      <c r="BH6" s="27"/>
    </row>
    <row r="7" spans="1:76" s="14" customFormat="1" ht="15" customHeight="1">
      <c r="A7" s="95">
        <v>6</v>
      </c>
      <c r="B7" s="96" t="s">
        <v>2631</v>
      </c>
      <c r="C7" s="73" t="s">
        <v>2578</v>
      </c>
      <c r="D7" s="257" t="s">
        <v>119</v>
      </c>
      <c r="E7" s="459" t="s">
        <v>3377</v>
      </c>
      <c r="F7" s="258">
        <v>1958</v>
      </c>
      <c r="G7" s="171">
        <v>101</v>
      </c>
      <c r="H7" s="172" t="s">
        <v>1745</v>
      </c>
      <c r="I7" s="173" t="s">
        <v>1743</v>
      </c>
      <c r="J7" s="508">
        <v>0.59</v>
      </c>
      <c r="K7" s="513">
        <v>5.6689999999999996</v>
      </c>
      <c r="L7" s="169"/>
      <c r="M7" s="506">
        <v>320</v>
      </c>
      <c r="N7" s="506"/>
      <c r="O7" s="509" t="s">
        <v>12</v>
      </c>
      <c r="P7" s="511"/>
      <c r="Q7" s="510" t="s">
        <v>2636</v>
      </c>
      <c r="R7" s="506" t="s">
        <v>2727</v>
      </c>
      <c r="S7" s="507"/>
      <c r="T7" s="507"/>
      <c r="U7" s="506" t="s">
        <v>2312</v>
      </c>
      <c r="V7" s="131">
        <v>0</v>
      </c>
      <c r="W7" s="132">
        <v>0</v>
      </c>
      <c r="X7" s="120">
        <v>0</v>
      </c>
      <c r="Y7" s="120">
        <v>0</v>
      </c>
      <c r="Z7" s="120">
        <v>0</v>
      </c>
      <c r="AA7" s="133">
        <v>0</v>
      </c>
      <c r="AB7" s="17">
        <v>0</v>
      </c>
      <c r="AC7" s="17">
        <v>0</v>
      </c>
      <c r="AD7" s="133">
        <v>0</v>
      </c>
      <c r="AE7" s="133">
        <v>0</v>
      </c>
      <c r="AF7" s="17">
        <v>0</v>
      </c>
      <c r="AG7" s="133">
        <v>0</v>
      </c>
      <c r="AH7" s="17">
        <v>0</v>
      </c>
      <c r="AI7" s="133">
        <v>0</v>
      </c>
      <c r="AJ7" s="133">
        <v>0</v>
      </c>
      <c r="AK7" s="17">
        <v>0</v>
      </c>
      <c r="AL7" s="137">
        <v>0</v>
      </c>
      <c r="AM7" s="117"/>
      <c r="AN7" s="89"/>
      <c r="AO7" s="89"/>
      <c r="AP7" s="88"/>
      <c r="AQ7" s="133" t="s">
        <v>121</v>
      </c>
      <c r="AR7" s="174">
        <v>51</v>
      </c>
      <c r="AS7" s="37" t="s">
        <v>246</v>
      </c>
      <c r="AT7" s="171" t="str">
        <f t="shared" si="0"/>
        <v>356</v>
      </c>
      <c r="AU7" s="255">
        <f t="shared" si="1"/>
        <v>22.304668304668304</v>
      </c>
      <c r="AV7" s="509">
        <v>98</v>
      </c>
      <c r="AW7" s="251">
        <v>28</v>
      </c>
      <c r="AX7" s="252">
        <v>21</v>
      </c>
      <c r="AY7" s="750">
        <v>21</v>
      </c>
      <c r="AZ7" s="89"/>
      <c r="BA7" s="175">
        <v>50</v>
      </c>
      <c r="BB7" s="259"/>
      <c r="BC7" s="176"/>
      <c r="BD7" s="177"/>
      <c r="BE7" s="177"/>
      <c r="BF7" s="178"/>
      <c r="BG7" s="27"/>
      <c r="BH7" s="27"/>
    </row>
    <row r="8" spans="1:76" s="14" customFormat="1" ht="15" customHeight="1">
      <c r="A8" s="95">
        <v>7</v>
      </c>
      <c r="B8" s="96" t="s">
        <v>2632</v>
      </c>
      <c r="C8" s="73" t="s">
        <v>2578</v>
      </c>
      <c r="D8" s="257" t="s">
        <v>119</v>
      </c>
      <c r="E8" s="459" t="s">
        <v>3377</v>
      </c>
      <c r="F8" s="258">
        <v>1958</v>
      </c>
      <c r="G8" s="171">
        <v>101</v>
      </c>
      <c r="H8" s="172" t="s">
        <v>1745</v>
      </c>
      <c r="I8" s="173" t="s">
        <v>1743</v>
      </c>
      <c r="J8" s="508">
        <v>0.59</v>
      </c>
      <c r="K8" s="513">
        <v>5.6689999999999996</v>
      </c>
      <c r="L8" s="169"/>
      <c r="M8" s="506">
        <v>320</v>
      </c>
      <c r="N8" s="506"/>
      <c r="O8" s="509" t="s">
        <v>12</v>
      </c>
      <c r="P8" s="511"/>
      <c r="Q8" s="510" t="s">
        <v>2636</v>
      </c>
      <c r="R8" s="506" t="s">
        <v>2308</v>
      </c>
      <c r="S8" s="507"/>
      <c r="T8" s="507"/>
      <c r="U8" s="506" t="s">
        <v>2308</v>
      </c>
      <c r="V8" s="131">
        <v>0</v>
      </c>
      <c r="W8" s="132">
        <v>0</v>
      </c>
      <c r="X8" s="120">
        <v>0</v>
      </c>
      <c r="Y8" s="120">
        <v>0</v>
      </c>
      <c r="Z8" s="120">
        <v>0</v>
      </c>
      <c r="AA8" s="133">
        <v>0</v>
      </c>
      <c r="AB8" s="17">
        <v>0</v>
      </c>
      <c r="AC8" s="17">
        <v>0</v>
      </c>
      <c r="AD8" s="133">
        <v>0</v>
      </c>
      <c r="AE8" s="133">
        <v>0</v>
      </c>
      <c r="AF8" s="17">
        <v>0</v>
      </c>
      <c r="AG8" s="133">
        <v>0</v>
      </c>
      <c r="AH8" s="17">
        <v>0</v>
      </c>
      <c r="AI8" s="133">
        <v>0</v>
      </c>
      <c r="AJ8" s="133">
        <v>0</v>
      </c>
      <c r="AK8" s="17">
        <v>0</v>
      </c>
      <c r="AL8" s="137">
        <v>0</v>
      </c>
      <c r="AM8" s="117"/>
      <c r="AN8" s="89"/>
      <c r="AO8" s="89"/>
      <c r="AP8" s="88"/>
      <c r="AQ8" s="133" t="s">
        <v>121</v>
      </c>
      <c r="AR8" s="174">
        <v>51</v>
      </c>
      <c r="AS8" s="37" t="s">
        <v>246</v>
      </c>
      <c r="AT8" s="171" t="str">
        <f t="shared" si="0"/>
        <v>356</v>
      </c>
      <c r="AU8" s="255">
        <f t="shared" si="1"/>
        <v>22.304668304668304</v>
      </c>
      <c r="AV8" s="509">
        <v>98</v>
      </c>
      <c r="AW8" s="251">
        <v>28</v>
      </c>
      <c r="AX8" s="252">
        <v>21</v>
      </c>
      <c r="AY8" s="750">
        <v>21</v>
      </c>
      <c r="AZ8" s="89"/>
      <c r="BA8" s="175">
        <v>50</v>
      </c>
      <c r="BB8" s="259"/>
      <c r="BC8" s="176"/>
      <c r="BD8" s="177"/>
      <c r="BE8" s="177"/>
      <c r="BF8" s="178"/>
      <c r="BG8" s="27"/>
      <c r="BH8" s="27"/>
    </row>
    <row r="9" spans="1:76" s="14" customFormat="1" ht="15" customHeight="1">
      <c r="A9" s="95">
        <v>8</v>
      </c>
      <c r="B9" s="96" t="s">
        <v>2633</v>
      </c>
      <c r="C9" s="73" t="s">
        <v>2578</v>
      </c>
      <c r="D9" s="257" t="s">
        <v>119</v>
      </c>
      <c r="E9" s="459" t="s">
        <v>3377</v>
      </c>
      <c r="F9" s="258">
        <v>1958</v>
      </c>
      <c r="G9" s="171">
        <v>101</v>
      </c>
      <c r="H9" s="172" t="s">
        <v>1745</v>
      </c>
      <c r="I9" s="173" t="s">
        <v>1743</v>
      </c>
      <c r="J9" s="508">
        <v>0.59</v>
      </c>
      <c r="K9" s="513">
        <v>5.6689999999999996</v>
      </c>
      <c r="L9" s="169"/>
      <c r="M9" s="506">
        <v>320</v>
      </c>
      <c r="N9" s="506"/>
      <c r="O9" s="509" t="s">
        <v>12</v>
      </c>
      <c r="P9" s="511"/>
      <c r="Q9" s="510" t="s">
        <v>2636</v>
      </c>
      <c r="R9" s="512" t="s">
        <v>2729</v>
      </c>
      <c r="S9" s="507"/>
      <c r="T9" s="507"/>
      <c r="U9" s="506" t="s">
        <v>2307</v>
      </c>
      <c r="V9" s="131">
        <v>0</v>
      </c>
      <c r="W9" s="132">
        <v>0</v>
      </c>
      <c r="X9" s="120">
        <v>0</v>
      </c>
      <c r="Y9" s="120">
        <v>0</v>
      </c>
      <c r="Z9" s="120">
        <v>0</v>
      </c>
      <c r="AA9" s="133">
        <v>0</v>
      </c>
      <c r="AB9" s="17">
        <v>0</v>
      </c>
      <c r="AC9" s="17">
        <v>0</v>
      </c>
      <c r="AD9" s="133">
        <v>0</v>
      </c>
      <c r="AE9" s="133">
        <v>0</v>
      </c>
      <c r="AF9" s="17">
        <v>0</v>
      </c>
      <c r="AG9" s="133">
        <v>0</v>
      </c>
      <c r="AH9" s="17">
        <v>0</v>
      </c>
      <c r="AI9" s="133">
        <v>0</v>
      </c>
      <c r="AJ9" s="133">
        <v>0</v>
      </c>
      <c r="AK9" s="17">
        <v>0</v>
      </c>
      <c r="AL9" s="137">
        <v>0</v>
      </c>
      <c r="AM9" s="117"/>
      <c r="AN9" s="89"/>
      <c r="AO9" s="89"/>
      <c r="AP9" s="88"/>
      <c r="AQ9" s="133" t="s">
        <v>121</v>
      </c>
      <c r="AR9" s="174">
        <v>51</v>
      </c>
      <c r="AS9" s="37" t="s">
        <v>246</v>
      </c>
      <c r="AT9" s="171" t="str">
        <f t="shared" si="0"/>
        <v>356</v>
      </c>
      <c r="AU9" s="255">
        <f t="shared" si="1"/>
        <v>22.304668304668304</v>
      </c>
      <c r="AV9" s="509">
        <v>98</v>
      </c>
      <c r="AW9" s="251">
        <v>28</v>
      </c>
      <c r="AX9" s="252">
        <v>21</v>
      </c>
      <c r="AY9" s="750">
        <v>21</v>
      </c>
      <c r="AZ9" s="89"/>
      <c r="BA9" s="175">
        <v>50</v>
      </c>
      <c r="BB9" s="259"/>
      <c r="BC9" s="176"/>
      <c r="BD9" s="177"/>
      <c r="BE9" s="177"/>
      <c r="BF9" s="178"/>
      <c r="BG9" s="27"/>
      <c r="BH9" s="27"/>
    </row>
    <row r="10" spans="1:76" s="14" customFormat="1" ht="15" customHeight="1">
      <c r="A10" s="95">
        <v>9</v>
      </c>
      <c r="B10" s="96" t="s">
        <v>2634</v>
      </c>
      <c r="C10" s="73" t="s">
        <v>2578</v>
      </c>
      <c r="D10" s="257" t="s">
        <v>119</v>
      </c>
      <c r="E10" s="459" t="s">
        <v>3377</v>
      </c>
      <c r="F10" s="258">
        <v>1958</v>
      </c>
      <c r="G10" s="171">
        <v>101</v>
      </c>
      <c r="H10" s="172" t="s">
        <v>1745</v>
      </c>
      <c r="I10" s="173" t="s">
        <v>1743</v>
      </c>
      <c r="J10" s="508">
        <v>0.59</v>
      </c>
      <c r="K10" s="513">
        <v>5.6689999999999996</v>
      </c>
      <c r="L10" s="169"/>
      <c r="M10" s="506">
        <v>320</v>
      </c>
      <c r="N10" s="506"/>
      <c r="O10" s="509" t="s">
        <v>12</v>
      </c>
      <c r="P10" s="511"/>
      <c r="Q10" s="510" t="s">
        <v>2636</v>
      </c>
      <c r="R10" s="506" t="s">
        <v>2732</v>
      </c>
      <c r="S10" s="507"/>
      <c r="T10" s="507"/>
      <c r="U10" s="506" t="s">
        <v>2637</v>
      </c>
      <c r="V10" s="131">
        <v>0</v>
      </c>
      <c r="W10" s="132">
        <v>0</v>
      </c>
      <c r="X10" s="120">
        <v>0</v>
      </c>
      <c r="Y10" s="120">
        <v>0</v>
      </c>
      <c r="Z10" s="120">
        <v>0</v>
      </c>
      <c r="AA10" s="133">
        <v>0</v>
      </c>
      <c r="AB10" s="17">
        <v>0</v>
      </c>
      <c r="AC10" s="17">
        <v>0</v>
      </c>
      <c r="AD10" s="133">
        <v>0</v>
      </c>
      <c r="AE10" s="133">
        <v>0</v>
      </c>
      <c r="AF10" s="17">
        <v>0</v>
      </c>
      <c r="AG10" s="133">
        <v>0</v>
      </c>
      <c r="AH10" s="17">
        <v>0</v>
      </c>
      <c r="AI10" s="133">
        <v>0</v>
      </c>
      <c r="AJ10" s="133">
        <v>0</v>
      </c>
      <c r="AK10" s="17">
        <v>0</v>
      </c>
      <c r="AL10" s="137">
        <v>0</v>
      </c>
      <c r="AM10" s="117"/>
      <c r="AN10" s="89"/>
      <c r="AO10" s="89"/>
      <c r="AP10" s="88"/>
      <c r="AQ10" s="133" t="s">
        <v>121</v>
      </c>
      <c r="AR10" s="174">
        <v>51</v>
      </c>
      <c r="AS10" s="37" t="s">
        <v>246</v>
      </c>
      <c r="AT10" s="171" t="str">
        <f t="shared" si="0"/>
        <v>356</v>
      </c>
      <c r="AU10" s="255">
        <f t="shared" si="1"/>
        <v>22.304668304668304</v>
      </c>
      <c r="AV10" s="509">
        <v>98</v>
      </c>
      <c r="AW10" s="251">
        <v>28</v>
      </c>
      <c r="AX10" s="252">
        <v>21</v>
      </c>
      <c r="AY10" s="750">
        <v>21</v>
      </c>
      <c r="AZ10" s="89"/>
      <c r="BA10" s="175">
        <v>50</v>
      </c>
      <c r="BB10" s="259"/>
      <c r="BC10" s="176"/>
      <c r="BD10" s="177"/>
      <c r="BE10" s="177"/>
      <c r="BF10" s="178"/>
      <c r="BG10" s="27"/>
      <c r="BH10" s="27"/>
    </row>
    <row r="11" spans="1:76" s="14" customFormat="1" ht="15" customHeight="1">
      <c r="A11" s="95">
        <v>10</v>
      </c>
      <c r="B11" s="96" t="s">
        <v>2635</v>
      </c>
      <c r="C11" s="73" t="s">
        <v>2578</v>
      </c>
      <c r="D11" s="257" t="s">
        <v>119</v>
      </c>
      <c r="E11" s="459" t="s">
        <v>3377</v>
      </c>
      <c r="F11" s="258">
        <v>1958</v>
      </c>
      <c r="G11" s="171">
        <v>101</v>
      </c>
      <c r="H11" s="172" t="s">
        <v>1745</v>
      </c>
      <c r="I11" s="173" t="s">
        <v>1743</v>
      </c>
      <c r="J11" s="508">
        <v>0.59</v>
      </c>
      <c r="K11" s="513">
        <v>5.6689999999999996</v>
      </c>
      <c r="L11" s="169"/>
      <c r="M11" s="506">
        <v>320</v>
      </c>
      <c r="N11" s="506"/>
      <c r="O11" s="509" t="s">
        <v>12</v>
      </c>
      <c r="P11" s="511"/>
      <c r="Q11" s="510" t="s">
        <v>2636</v>
      </c>
      <c r="R11" s="171" t="s">
        <v>2733</v>
      </c>
      <c r="S11" s="507"/>
      <c r="T11" s="507"/>
      <c r="U11" s="506" t="s">
        <v>2310</v>
      </c>
      <c r="V11" s="131">
        <v>0</v>
      </c>
      <c r="W11" s="132">
        <v>0</v>
      </c>
      <c r="X11" s="120">
        <v>0</v>
      </c>
      <c r="Y11" s="120">
        <v>0</v>
      </c>
      <c r="Z11" s="120">
        <v>0</v>
      </c>
      <c r="AA11" s="133">
        <v>0</v>
      </c>
      <c r="AB11" s="17">
        <v>0</v>
      </c>
      <c r="AC11" s="17">
        <v>0</v>
      </c>
      <c r="AD11" s="133">
        <v>0</v>
      </c>
      <c r="AE11" s="133">
        <v>0</v>
      </c>
      <c r="AF11" s="17">
        <v>0</v>
      </c>
      <c r="AG11" s="133">
        <v>0</v>
      </c>
      <c r="AH11" s="17">
        <v>0</v>
      </c>
      <c r="AI11" s="133">
        <v>0</v>
      </c>
      <c r="AJ11" s="133">
        <v>0</v>
      </c>
      <c r="AK11" s="17">
        <v>0</v>
      </c>
      <c r="AL11" s="137">
        <v>0</v>
      </c>
      <c r="AM11" s="117"/>
      <c r="AN11" s="89"/>
      <c r="AO11" s="89"/>
      <c r="AP11" s="88"/>
      <c r="AQ11" s="133" t="s">
        <v>121</v>
      </c>
      <c r="AR11" s="174">
        <v>51</v>
      </c>
      <c r="AS11" s="37" t="s">
        <v>246</v>
      </c>
      <c r="AT11" s="171" t="str">
        <f t="shared" si="0"/>
        <v>356</v>
      </c>
      <c r="AU11" s="255">
        <f t="shared" si="1"/>
        <v>22.304668304668304</v>
      </c>
      <c r="AV11" s="509">
        <v>98</v>
      </c>
      <c r="AW11" s="251">
        <v>28</v>
      </c>
      <c r="AX11" s="252">
        <v>21</v>
      </c>
      <c r="AY11" s="750">
        <v>21</v>
      </c>
      <c r="AZ11" s="89"/>
      <c r="BA11" s="175">
        <v>50</v>
      </c>
      <c r="BB11" s="259"/>
      <c r="BC11" s="176"/>
      <c r="BD11" s="177"/>
      <c r="BE11" s="177"/>
      <c r="BF11" s="178"/>
      <c r="BG11" s="27"/>
      <c r="BH11" s="27"/>
    </row>
    <row r="12" spans="1:76" s="14" customFormat="1" ht="15" customHeight="1">
      <c r="A12" s="95">
        <v>11</v>
      </c>
      <c r="B12" s="96" t="s">
        <v>1730</v>
      </c>
      <c r="C12" s="73" t="s">
        <v>2970</v>
      </c>
      <c r="D12" s="257" t="s">
        <v>1471</v>
      </c>
      <c r="E12" s="459" t="s">
        <v>3377</v>
      </c>
      <c r="F12" s="258">
        <v>1962</v>
      </c>
      <c r="G12" s="171">
        <v>39</v>
      </c>
      <c r="H12" s="57"/>
      <c r="I12" s="88"/>
      <c r="J12" s="508">
        <v>0.45</v>
      </c>
      <c r="K12" s="513">
        <v>6</v>
      </c>
      <c r="L12" s="260"/>
      <c r="M12" s="261"/>
      <c r="N12" s="261"/>
      <c r="O12" s="117"/>
      <c r="P12" s="507"/>
      <c r="Q12" s="262"/>
      <c r="R12" s="507"/>
      <c r="S12" s="507"/>
      <c r="T12" s="507"/>
      <c r="U12" s="507"/>
      <c r="V12" s="128"/>
      <c r="W12" s="129"/>
      <c r="X12" s="129"/>
      <c r="Y12" s="120">
        <v>0</v>
      </c>
      <c r="Z12" s="120">
        <v>0</v>
      </c>
      <c r="AA12" s="130"/>
      <c r="AB12" s="17">
        <v>0</v>
      </c>
      <c r="AC12" s="17">
        <v>0</v>
      </c>
      <c r="AD12" s="130"/>
      <c r="AE12" s="130"/>
      <c r="AF12" s="17">
        <v>0</v>
      </c>
      <c r="AG12" s="130"/>
      <c r="AH12" s="17">
        <v>0</v>
      </c>
      <c r="AI12" s="17">
        <v>0</v>
      </c>
      <c r="AJ12" s="17">
        <v>0</v>
      </c>
      <c r="AK12" s="17">
        <v>0</v>
      </c>
      <c r="AL12" s="32">
        <v>0</v>
      </c>
      <c r="AM12" s="117"/>
      <c r="AN12" s="89"/>
      <c r="AO12" s="89"/>
      <c r="AP12" s="88"/>
      <c r="AQ12" s="133" t="s">
        <v>1726</v>
      </c>
      <c r="AR12" s="174">
        <v>57</v>
      </c>
      <c r="AS12" s="37" t="s">
        <v>246</v>
      </c>
      <c r="AT12" s="171" t="str">
        <f t="shared" si="0"/>
        <v>305</v>
      </c>
      <c r="AU12" s="255">
        <f t="shared" si="1"/>
        <v>24.012430939226519</v>
      </c>
      <c r="AV12" s="509">
        <v>90</v>
      </c>
      <c r="AW12" s="257">
        <v>10</v>
      </c>
      <c r="AX12" s="514"/>
      <c r="AY12" s="258">
        <v>20</v>
      </c>
      <c r="AZ12" s="89"/>
      <c r="BA12" s="175">
        <v>99</v>
      </c>
      <c r="BB12" s="259"/>
      <c r="BC12" s="176"/>
      <c r="BD12" s="177" t="s">
        <v>259</v>
      </c>
      <c r="BE12" s="177" t="s">
        <v>259</v>
      </c>
      <c r="BF12" s="178"/>
      <c r="BG12" s="27"/>
      <c r="BH12" s="27"/>
    </row>
    <row r="13" spans="1:76" ht="15" customHeight="1">
      <c r="A13" s="95">
        <v>12</v>
      </c>
      <c r="B13" s="96" t="s">
        <v>1729</v>
      </c>
      <c r="C13" s="73" t="s">
        <v>2970</v>
      </c>
      <c r="D13" s="257" t="s">
        <v>1471</v>
      </c>
      <c r="E13" s="459" t="s">
        <v>3377</v>
      </c>
      <c r="F13" s="258">
        <v>1962</v>
      </c>
      <c r="G13" s="171">
        <v>39</v>
      </c>
      <c r="H13" s="57"/>
      <c r="I13" s="88"/>
      <c r="J13" s="508">
        <v>0.45</v>
      </c>
      <c r="K13" s="513">
        <v>6</v>
      </c>
      <c r="L13" s="260"/>
      <c r="M13" s="261"/>
      <c r="N13" s="261"/>
      <c r="O13" s="117"/>
      <c r="P13" s="507"/>
      <c r="Q13" s="262"/>
      <c r="R13" s="507"/>
      <c r="S13" s="507"/>
      <c r="T13" s="507"/>
      <c r="U13" s="507"/>
      <c r="V13" s="128"/>
      <c r="W13" s="129"/>
      <c r="X13" s="129"/>
      <c r="Y13" s="120">
        <v>0</v>
      </c>
      <c r="Z13" s="120">
        <v>0</v>
      </c>
      <c r="AA13" s="130"/>
      <c r="AB13" s="17">
        <v>0</v>
      </c>
      <c r="AC13" s="17">
        <v>0</v>
      </c>
      <c r="AD13" s="130"/>
      <c r="AE13" s="130"/>
      <c r="AF13" s="17">
        <v>0</v>
      </c>
      <c r="AG13" s="130"/>
      <c r="AH13" s="17">
        <v>0</v>
      </c>
      <c r="AI13" s="17">
        <v>0</v>
      </c>
      <c r="AJ13" s="17">
        <v>0</v>
      </c>
      <c r="AK13" s="17">
        <v>0</v>
      </c>
      <c r="AL13" s="32">
        <v>0</v>
      </c>
      <c r="AM13" s="117"/>
      <c r="AN13" s="89"/>
      <c r="AO13" s="89"/>
      <c r="AP13" s="88"/>
      <c r="AQ13" s="133" t="s">
        <v>1726</v>
      </c>
      <c r="AR13" s="174">
        <v>57</v>
      </c>
      <c r="AS13" s="37" t="s">
        <v>246</v>
      </c>
      <c r="AT13" s="171" t="str">
        <f t="shared" si="0"/>
        <v>305</v>
      </c>
      <c r="AU13" s="255">
        <f t="shared" si="1"/>
        <v>24.012430939226519</v>
      </c>
      <c r="AV13" s="509">
        <v>90</v>
      </c>
      <c r="AW13" s="257">
        <v>10</v>
      </c>
      <c r="AX13" s="514"/>
      <c r="AY13" s="258">
        <v>50</v>
      </c>
      <c r="AZ13" s="89"/>
      <c r="BA13" s="175">
        <v>99</v>
      </c>
      <c r="BB13" s="259"/>
      <c r="BC13" s="176"/>
      <c r="BD13" s="177" t="s">
        <v>259</v>
      </c>
      <c r="BE13" s="177" t="s">
        <v>259</v>
      </c>
      <c r="BF13" s="178"/>
      <c r="BG13" s="27"/>
      <c r="BH13" s="27"/>
    </row>
    <row r="14" spans="1:76" ht="15" customHeight="1">
      <c r="A14" s="95">
        <v>13</v>
      </c>
      <c r="B14" s="96" t="s">
        <v>1728</v>
      </c>
      <c r="C14" s="73" t="s">
        <v>2970</v>
      </c>
      <c r="D14" s="257" t="s">
        <v>1471</v>
      </c>
      <c r="E14" s="459" t="s">
        <v>3377</v>
      </c>
      <c r="F14" s="258">
        <v>1962</v>
      </c>
      <c r="G14" s="171">
        <v>39</v>
      </c>
      <c r="H14" s="57"/>
      <c r="I14" s="88"/>
      <c r="J14" s="508">
        <v>0.45</v>
      </c>
      <c r="K14" s="513">
        <v>6</v>
      </c>
      <c r="L14" s="260"/>
      <c r="M14" s="261"/>
      <c r="N14" s="261"/>
      <c r="O14" s="117"/>
      <c r="P14" s="507"/>
      <c r="Q14" s="262"/>
      <c r="R14" s="507"/>
      <c r="S14" s="507"/>
      <c r="T14" s="507"/>
      <c r="U14" s="507"/>
      <c r="V14" s="128"/>
      <c r="W14" s="129"/>
      <c r="X14" s="129"/>
      <c r="Y14" s="120">
        <v>0</v>
      </c>
      <c r="Z14" s="120">
        <v>0</v>
      </c>
      <c r="AA14" s="130"/>
      <c r="AB14" s="17">
        <v>0</v>
      </c>
      <c r="AC14" s="17">
        <v>0</v>
      </c>
      <c r="AD14" s="130"/>
      <c r="AE14" s="130"/>
      <c r="AF14" s="17">
        <v>0</v>
      </c>
      <c r="AG14" s="130"/>
      <c r="AH14" s="17">
        <v>0</v>
      </c>
      <c r="AI14" s="17">
        <v>0</v>
      </c>
      <c r="AJ14" s="17">
        <v>0</v>
      </c>
      <c r="AK14" s="17">
        <v>0</v>
      </c>
      <c r="AL14" s="32">
        <v>0</v>
      </c>
      <c r="AM14" s="117"/>
      <c r="AN14" s="89"/>
      <c r="AO14" s="89"/>
      <c r="AP14" s="88"/>
      <c r="AQ14" s="133" t="s">
        <v>1726</v>
      </c>
      <c r="AR14" s="174">
        <v>57</v>
      </c>
      <c r="AS14" s="37" t="s">
        <v>246</v>
      </c>
      <c r="AT14" s="171" t="str">
        <f t="shared" si="0"/>
        <v>305</v>
      </c>
      <c r="AU14" s="255">
        <f t="shared" si="1"/>
        <v>24.012430939226519</v>
      </c>
      <c r="AV14" s="509">
        <v>90</v>
      </c>
      <c r="AW14" s="257">
        <v>10</v>
      </c>
      <c r="AX14" s="514"/>
      <c r="AY14" s="258">
        <v>80</v>
      </c>
      <c r="AZ14" s="89"/>
      <c r="BA14" s="175">
        <v>99</v>
      </c>
      <c r="BB14" s="259"/>
      <c r="BC14" s="176"/>
      <c r="BD14" s="177" t="s">
        <v>259</v>
      </c>
      <c r="BE14" s="177" t="s">
        <v>259</v>
      </c>
      <c r="BF14" s="178"/>
      <c r="BG14" s="27"/>
      <c r="BH14" s="27"/>
    </row>
    <row r="15" spans="1:76" ht="15" customHeight="1">
      <c r="A15" s="95">
        <v>14</v>
      </c>
      <c r="B15" s="96" t="s">
        <v>1727</v>
      </c>
      <c r="C15" s="73" t="s">
        <v>2970</v>
      </c>
      <c r="D15" s="257" t="s">
        <v>1471</v>
      </c>
      <c r="E15" s="459" t="s">
        <v>3377</v>
      </c>
      <c r="F15" s="258">
        <v>1962</v>
      </c>
      <c r="G15" s="171">
        <v>39</v>
      </c>
      <c r="H15" s="57"/>
      <c r="I15" s="88"/>
      <c r="J15" s="508">
        <v>0.45</v>
      </c>
      <c r="K15" s="513">
        <v>6</v>
      </c>
      <c r="L15" s="260"/>
      <c r="M15" s="261"/>
      <c r="N15" s="261"/>
      <c r="O15" s="117"/>
      <c r="P15" s="507"/>
      <c r="Q15" s="262"/>
      <c r="R15" s="507"/>
      <c r="S15" s="507"/>
      <c r="T15" s="507"/>
      <c r="U15" s="507"/>
      <c r="V15" s="128"/>
      <c r="W15" s="129"/>
      <c r="X15" s="129"/>
      <c r="Y15" s="120">
        <v>0</v>
      </c>
      <c r="Z15" s="120">
        <v>0</v>
      </c>
      <c r="AA15" s="130"/>
      <c r="AB15" s="17">
        <v>0</v>
      </c>
      <c r="AC15" s="17">
        <v>0</v>
      </c>
      <c r="AD15" s="130"/>
      <c r="AE15" s="130"/>
      <c r="AF15" s="17">
        <v>0</v>
      </c>
      <c r="AG15" s="130"/>
      <c r="AH15" s="17">
        <v>0</v>
      </c>
      <c r="AI15" s="17">
        <v>0</v>
      </c>
      <c r="AJ15" s="17">
        <v>0</v>
      </c>
      <c r="AK15" s="17">
        <v>0</v>
      </c>
      <c r="AL15" s="32">
        <v>0</v>
      </c>
      <c r="AM15" s="117"/>
      <c r="AN15" s="89"/>
      <c r="AO15" s="89"/>
      <c r="AP15" s="88"/>
      <c r="AQ15" s="133" t="s">
        <v>1726</v>
      </c>
      <c r="AR15" s="174">
        <v>57</v>
      </c>
      <c r="AS15" s="37" t="s">
        <v>246</v>
      </c>
      <c r="AT15" s="171" t="str">
        <f t="shared" si="0"/>
        <v>305</v>
      </c>
      <c r="AU15" s="255">
        <f t="shared" si="1"/>
        <v>24.012430939226519</v>
      </c>
      <c r="AV15" s="509">
        <v>90</v>
      </c>
      <c r="AW15" s="257">
        <v>10</v>
      </c>
      <c r="AX15" s="514"/>
      <c r="AY15" s="258">
        <v>100</v>
      </c>
      <c r="AZ15" s="89"/>
      <c r="BA15" s="175">
        <v>99</v>
      </c>
      <c r="BB15" s="259"/>
      <c r="BC15" s="176"/>
      <c r="BD15" s="177" t="s">
        <v>259</v>
      </c>
      <c r="BE15" s="177" t="s">
        <v>259</v>
      </c>
      <c r="BF15" s="178"/>
      <c r="BG15" s="27"/>
      <c r="BH15" s="27"/>
    </row>
    <row r="16" spans="1:76" ht="15" customHeight="1">
      <c r="A16" s="95">
        <v>15</v>
      </c>
      <c r="B16" s="96" t="s">
        <v>1725</v>
      </c>
      <c r="C16" s="73" t="s">
        <v>125</v>
      </c>
      <c r="D16" s="257" t="s">
        <v>122</v>
      </c>
      <c r="E16" s="459" t="s">
        <v>3377</v>
      </c>
      <c r="F16" s="258">
        <v>1962</v>
      </c>
      <c r="G16" s="171">
        <v>109</v>
      </c>
      <c r="H16" s="172" t="s">
        <v>1745</v>
      </c>
      <c r="I16" s="173" t="s">
        <v>1743</v>
      </c>
      <c r="J16" s="508">
        <v>0.55000000000000004</v>
      </c>
      <c r="K16" s="513">
        <v>5.3959999999999999</v>
      </c>
      <c r="L16" s="91">
        <f t="shared" ref="L16:L26" si="2">(J16)*(M16)</f>
        <v>183.70000000000002</v>
      </c>
      <c r="M16" s="506">
        <v>334</v>
      </c>
      <c r="N16" s="506"/>
      <c r="O16" s="509" t="s">
        <v>120</v>
      </c>
      <c r="P16" s="507"/>
      <c r="Q16" s="262"/>
      <c r="R16" s="506" t="s">
        <v>2308</v>
      </c>
      <c r="S16" s="507"/>
      <c r="T16" s="507"/>
      <c r="U16" s="171" t="s">
        <v>2308</v>
      </c>
      <c r="V16" s="131">
        <v>0</v>
      </c>
      <c r="W16" s="132">
        <v>0</v>
      </c>
      <c r="X16" s="120">
        <v>0</v>
      </c>
      <c r="Y16" s="120">
        <v>0</v>
      </c>
      <c r="Z16" s="120">
        <v>0</v>
      </c>
      <c r="AA16" s="130"/>
      <c r="AB16" s="17">
        <v>0</v>
      </c>
      <c r="AC16" s="17">
        <v>0</v>
      </c>
      <c r="AD16" s="130"/>
      <c r="AE16" s="130"/>
      <c r="AF16" s="17">
        <v>0</v>
      </c>
      <c r="AG16" s="133">
        <v>0</v>
      </c>
      <c r="AH16" s="17">
        <v>0</v>
      </c>
      <c r="AI16" s="17">
        <v>0</v>
      </c>
      <c r="AJ16" s="17">
        <v>0</v>
      </c>
      <c r="AK16" s="17">
        <v>0</v>
      </c>
      <c r="AL16" s="32">
        <v>0</v>
      </c>
      <c r="AM16" s="509">
        <v>26.9</v>
      </c>
      <c r="AN16" s="89"/>
      <c r="AO16" s="89"/>
      <c r="AP16" s="416">
        <v>23900</v>
      </c>
      <c r="AQ16" s="133" t="s">
        <v>124</v>
      </c>
      <c r="AR16" s="174">
        <v>100</v>
      </c>
      <c r="AS16" s="37" t="s">
        <v>246</v>
      </c>
      <c r="AT16" s="171" t="str">
        <f t="shared" si="0"/>
        <v>800</v>
      </c>
      <c r="AU16" s="255">
        <f t="shared" si="1"/>
        <v>44.444444444444443</v>
      </c>
      <c r="AV16" s="263"/>
      <c r="AW16" s="257">
        <v>7</v>
      </c>
      <c r="AX16" s="514"/>
      <c r="AY16" s="258">
        <v>20</v>
      </c>
      <c r="AZ16" s="89"/>
      <c r="BA16" s="175">
        <v>65</v>
      </c>
      <c r="BB16" s="259"/>
      <c r="BC16" s="176"/>
      <c r="BD16" s="177"/>
      <c r="BE16" s="177"/>
      <c r="BF16" s="178"/>
      <c r="BG16" s="27"/>
      <c r="BH16" s="27"/>
    </row>
    <row r="17" spans="1:60" ht="15" customHeight="1">
      <c r="A17" s="95">
        <v>16</v>
      </c>
      <c r="B17" s="96" t="s">
        <v>1724</v>
      </c>
      <c r="C17" s="73" t="s">
        <v>125</v>
      </c>
      <c r="D17" s="257" t="s">
        <v>122</v>
      </c>
      <c r="E17" s="459" t="s">
        <v>3377</v>
      </c>
      <c r="F17" s="258">
        <v>1962</v>
      </c>
      <c r="G17" s="171">
        <v>109</v>
      </c>
      <c r="H17" s="172" t="s">
        <v>1745</v>
      </c>
      <c r="I17" s="173" t="s">
        <v>1743</v>
      </c>
      <c r="J17" s="508">
        <v>0.38</v>
      </c>
      <c r="K17" s="513">
        <v>5.391</v>
      </c>
      <c r="L17" s="91">
        <f t="shared" si="2"/>
        <v>133</v>
      </c>
      <c r="M17" s="506">
        <v>350</v>
      </c>
      <c r="N17" s="506"/>
      <c r="O17" s="509" t="s">
        <v>120</v>
      </c>
      <c r="P17" s="507"/>
      <c r="Q17" s="262"/>
      <c r="R17" s="506" t="s">
        <v>2308</v>
      </c>
      <c r="S17" s="507"/>
      <c r="T17" s="507"/>
      <c r="U17" s="171" t="s">
        <v>2308</v>
      </c>
      <c r="V17" s="131">
        <v>0</v>
      </c>
      <c r="W17" s="132">
        <v>0</v>
      </c>
      <c r="X17" s="120">
        <v>0</v>
      </c>
      <c r="Y17" s="120">
        <v>0</v>
      </c>
      <c r="Z17" s="120">
        <v>0</v>
      </c>
      <c r="AA17" s="130"/>
      <c r="AB17" s="17">
        <v>0</v>
      </c>
      <c r="AC17" s="17">
        <v>0</v>
      </c>
      <c r="AD17" s="130"/>
      <c r="AE17" s="130"/>
      <c r="AF17" s="17">
        <v>0</v>
      </c>
      <c r="AG17" s="133">
        <v>0</v>
      </c>
      <c r="AH17" s="17">
        <v>0</v>
      </c>
      <c r="AI17" s="17">
        <v>0</v>
      </c>
      <c r="AJ17" s="17">
        <v>0</v>
      </c>
      <c r="AK17" s="17">
        <v>0</v>
      </c>
      <c r="AL17" s="32">
        <v>0</v>
      </c>
      <c r="AM17" s="509">
        <v>43.1</v>
      </c>
      <c r="AN17" s="89"/>
      <c r="AO17" s="89"/>
      <c r="AP17" s="416">
        <v>30610</v>
      </c>
      <c r="AQ17" s="133" t="s">
        <v>124</v>
      </c>
      <c r="AR17" s="174">
        <v>100</v>
      </c>
      <c r="AS17" s="37" t="s">
        <v>246</v>
      </c>
      <c r="AT17" s="171" t="str">
        <f t="shared" si="0"/>
        <v>800</v>
      </c>
      <c r="AU17" s="255">
        <f t="shared" si="1"/>
        <v>44.444444444444443</v>
      </c>
      <c r="AV17" s="263"/>
      <c r="AW17" s="257">
        <v>7</v>
      </c>
      <c r="AX17" s="514"/>
      <c r="AY17" s="258">
        <v>20</v>
      </c>
      <c r="AZ17" s="89"/>
      <c r="BA17" s="175">
        <v>65</v>
      </c>
      <c r="BB17" s="259"/>
      <c r="BC17" s="176"/>
      <c r="BD17" s="177"/>
      <c r="BE17" s="177"/>
      <c r="BF17" s="178"/>
      <c r="BG17" s="27"/>
      <c r="BH17" s="27"/>
    </row>
    <row r="18" spans="1:60" s="14" customFormat="1" ht="15" customHeight="1">
      <c r="A18" s="95">
        <v>17</v>
      </c>
      <c r="B18" s="96" t="s">
        <v>1723</v>
      </c>
      <c r="C18" s="73" t="s">
        <v>125</v>
      </c>
      <c r="D18" s="257" t="s">
        <v>122</v>
      </c>
      <c r="E18" s="459" t="s">
        <v>3377</v>
      </c>
      <c r="F18" s="258">
        <v>1962</v>
      </c>
      <c r="G18" s="171">
        <v>109</v>
      </c>
      <c r="H18" s="172" t="s">
        <v>1745</v>
      </c>
      <c r="I18" s="173" t="s">
        <v>1743</v>
      </c>
      <c r="J18" s="508">
        <v>0.45</v>
      </c>
      <c r="K18" s="513">
        <v>5.3920000000000003</v>
      </c>
      <c r="L18" s="91">
        <f t="shared" si="2"/>
        <v>155.25</v>
      </c>
      <c r="M18" s="506">
        <v>345</v>
      </c>
      <c r="N18" s="506"/>
      <c r="O18" s="509" t="s">
        <v>120</v>
      </c>
      <c r="P18" s="507"/>
      <c r="Q18" s="262"/>
      <c r="R18" s="506" t="s">
        <v>2308</v>
      </c>
      <c r="S18" s="507"/>
      <c r="T18" s="507"/>
      <c r="U18" s="171" t="s">
        <v>2308</v>
      </c>
      <c r="V18" s="131">
        <v>0</v>
      </c>
      <c r="W18" s="132">
        <v>0</v>
      </c>
      <c r="X18" s="120">
        <v>0</v>
      </c>
      <c r="Y18" s="120">
        <v>0</v>
      </c>
      <c r="Z18" s="120">
        <v>0</v>
      </c>
      <c r="AA18" s="130"/>
      <c r="AB18" s="17">
        <v>0</v>
      </c>
      <c r="AC18" s="17">
        <v>0</v>
      </c>
      <c r="AD18" s="130"/>
      <c r="AE18" s="130"/>
      <c r="AF18" s="17">
        <v>0</v>
      </c>
      <c r="AG18" s="133">
        <v>0</v>
      </c>
      <c r="AH18" s="17">
        <v>0</v>
      </c>
      <c r="AI18" s="17">
        <v>0</v>
      </c>
      <c r="AJ18" s="17">
        <v>0</v>
      </c>
      <c r="AK18" s="17">
        <v>0</v>
      </c>
      <c r="AL18" s="32">
        <v>0</v>
      </c>
      <c r="AM18" s="509">
        <v>35.299999999999997</v>
      </c>
      <c r="AN18" s="89"/>
      <c r="AO18" s="89"/>
      <c r="AP18" s="416">
        <v>31880</v>
      </c>
      <c r="AQ18" s="133" t="s">
        <v>124</v>
      </c>
      <c r="AR18" s="174">
        <v>100</v>
      </c>
      <c r="AS18" s="37" t="s">
        <v>246</v>
      </c>
      <c r="AT18" s="171" t="str">
        <f t="shared" si="0"/>
        <v>800</v>
      </c>
      <c r="AU18" s="255">
        <f t="shared" si="1"/>
        <v>44.444444444444443</v>
      </c>
      <c r="AV18" s="263"/>
      <c r="AW18" s="257">
        <v>7</v>
      </c>
      <c r="AX18" s="514"/>
      <c r="AY18" s="258">
        <v>20</v>
      </c>
      <c r="AZ18" s="89"/>
      <c r="BA18" s="175">
        <v>65</v>
      </c>
      <c r="BB18" s="259"/>
      <c r="BC18" s="176"/>
      <c r="BD18" s="177"/>
      <c r="BE18" s="177"/>
      <c r="BF18" s="178"/>
      <c r="BG18" s="27"/>
      <c r="BH18" s="27"/>
    </row>
    <row r="19" spans="1:60" ht="15" customHeight="1">
      <c r="A19" s="95">
        <v>18</v>
      </c>
      <c r="B19" s="96" t="s">
        <v>1722</v>
      </c>
      <c r="C19" s="73" t="s">
        <v>125</v>
      </c>
      <c r="D19" s="257" t="s">
        <v>122</v>
      </c>
      <c r="E19" s="459" t="s">
        <v>3377</v>
      </c>
      <c r="F19" s="258">
        <v>1962</v>
      </c>
      <c r="G19" s="171">
        <v>109</v>
      </c>
      <c r="H19" s="172" t="s">
        <v>1745</v>
      </c>
      <c r="I19" s="173" t="s">
        <v>1743</v>
      </c>
      <c r="J19" s="508">
        <v>0.65</v>
      </c>
      <c r="K19" s="513">
        <v>5.3929999999999998</v>
      </c>
      <c r="L19" s="91">
        <f t="shared" si="2"/>
        <v>213.20000000000002</v>
      </c>
      <c r="M19" s="506">
        <v>328</v>
      </c>
      <c r="N19" s="506"/>
      <c r="O19" s="509" t="s">
        <v>120</v>
      </c>
      <c r="P19" s="507"/>
      <c r="Q19" s="262"/>
      <c r="R19" s="506" t="s">
        <v>2308</v>
      </c>
      <c r="S19" s="507"/>
      <c r="T19" s="507"/>
      <c r="U19" s="171" t="s">
        <v>2308</v>
      </c>
      <c r="V19" s="131">
        <v>0</v>
      </c>
      <c r="W19" s="132">
        <v>0</v>
      </c>
      <c r="X19" s="120">
        <v>0</v>
      </c>
      <c r="Y19" s="120">
        <v>0</v>
      </c>
      <c r="Z19" s="120">
        <v>0</v>
      </c>
      <c r="AA19" s="130"/>
      <c r="AB19" s="17">
        <v>0</v>
      </c>
      <c r="AC19" s="17">
        <v>0</v>
      </c>
      <c r="AD19" s="130"/>
      <c r="AE19" s="130"/>
      <c r="AF19" s="17">
        <v>0</v>
      </c>
      <c r="AG19" s="133">
        <v>0</v>
      </c>
      <c r="AH19" s="17">
        <v>0</v>
      </c>
      <c r="AI19" s="17">
        <v>0</v>
      </c>
      <c r="AJ19" s="17">
        <v>0</v>
      </c>
      <c r="AK19" s="17">
        <v>0</v>
      </c>
      <c r="AL19" s="32">
        <v>0</v>
      </c>
      <c r="AM19" s="509">
        <v>18.7</v>
      </c>
      <c r="AN19" s="89"/>
      <c r="AO19" s="89"/>
      <c r="AP19" s="416">
        <v>21290</v>
      </c>
      <c r="AQ19" s="133" t="s">
        <v>124</v>
      </c>
      <c r="AR19" s="174">
        <v>100</v>
      </c>
      <c r="AS19" s="37" t="s">
        <v>246</v>
      </c>
      <c r="AT19" s="171" t="str">
        <f t="shared" si="0"/>
        <v>800</v>
      </c>
      <c r="AU19" s="255">
        <f t="shared" si="1"/>
        <v>44.444444444444443</v>
      </c>
      <c r="AV19" s="263"/>
      <c r="AW19" s="257">
        <v>7</v>
      </c>
      <c r="AX19" s="514"/>
      <c r="AY19" s="258">
        <v>20</v>
      </c>
      <c r="AZ19" s="89"/>
      <c r="BA19" s="175">
        <v>65</v>
      </c>
      <c r="BB19" s="259"/>
      <c r="BC19" s="176"/>
      <c r="BD19" s="177"/>
      <c r="BE19" s="177"/>
      <c r="BF19" s="178"/>
      <c r="BG19" s="27"/>
      <c r="BH19" s="27"/>
    </row>
    <row r="20" spans="1:60" ht="15" customHeight="1">
      <c r="A20" s="95">
        <v>19</v>
      </c>
      <c r="B20" s="96" t="s">
        <v>1721</v>
      </c>
      <c r="C20" s="73" t="s">
        <v>125</v>
      </c>
      <c r="D20" s="257" t="s">
        <v>122</v>
      </c>
      <c r="E20" s="459" t="s">
        <v>3377</v>
      </c>
      <c r="F20" s="258">
        <v>1962</v>
      </c>
      <c r="G20" s="171">
        <v>109</v>
      </c>
      <c r="H20" s="57"/>
      <c r="I20" s="88"/>
      <c r="J20" s="508">
        <v>0.55000000000000004</v>
      </c>
      <c r="K20" s="513">
        <v>5.3959999999999999</v>
      </c>
      <c r="L20" s="91">
        <f t="shared" si="2"/>
        <v>183.70000000000002</v>
      </c>
      <c r="M20" s="506">
        <v>334</v>
      </c>
      <c r="N20" s="506"/>
      <c r="O20" s="509" t="s">
        <v>12</v>
      </c>
      <c r="P20" s="507"/>
      <c r="Q20" s="262"/>
      <c r="R20" s="507"/>
      <c r="S20" s="507"/>
      <c r="T20" s="507"/>
      <c r="U20" s="507"/>
      <c r="V20" s="131">
        <v>0</v>
      </c>
      <c r="W20" s="132">
        <v>0</v>
      </c>
      <c r="X20" s="120">
        <v>0</v>
      </c>
      <c r="Y20" s="120">
        <v>0</v>
      </c>
      <c r="Z20" s="120">
        <v>0</v>
      </c>
      <c r="AA20" s="130"/>
      <c r="AB20" s="17">
        <v>0</v>
      </c>
      <c r="AC20" s="17">
        <v>0</v>
      </c>
      <c r="AD20" s="130"/>
      <c r="AE20" s="130"/>
      <c r="AF20" s="17">
        <v>0</v>
      </c>
      <c r="AG20" s="133">
        <v>0</v>
      </c>
      <c r="AH20" s="17">
        <v>0</v>
      </c>
      <c r="AI20" s="17">
        <v>0</v>
      </c>
      <c r="AJ20" s="17">
        <v>0</v>
      </c>
      <c r="AK20" s="17">
        <v>0</v>
      </c>
      <c r="AL20" s="32">
        <v>0</v>
      </c>
      <c r="AM20" s="509">
        <v>41.9</v>
      </c>
      <c r="AN20" s="89"/>
      <c r="AO20" s="89"/>
      <c r="AP20" s="416">
        <v>29950</v>
      </c>
      <c r="AQ20" s="133" t="s">
        <v>124</v>
      </c>
      <c r="AR20" s="174">
        <v>100</v>
      </c>
      <c r="AS20" s="37" t="s">
        <v>246</v>
      </c>
      <c r="AT20" s="171" t="str">
        <f t="shared" si="0"/>
        <v>800</v>
      </c>
      <c r="AU20" s="255">
        <f t="shared" si="1"/>
        <v>44.444444444444443</v>
      </c>
      <c r="AV20" s="263"/>
      <c r="AW20" s="257">
        <v>7</v>
      </c>
      <c r="AX20" s="514"/>
      <c r="AY20" s="258">
        <v>20</v>
      </c>
      <c r="AZ20" s="89"/>
      <c r="BA20" s="175">
        <v>65</v>
      </c>
      <c r="BB20" s="259"/>
      <c r="BC20" s="176"/>
      <c r="BD20" s="177"/>
      <c r="BE20" s="177"/>
      <c r="BF20" s="178"/>
      <c r="BG20" s="27"/>
      <c r="BH20" s="27"/>
    </row>
    <row r="21" spans="1:60" ht="15" customHeight="1">
      <c r="A21" s="95">
        <v>20</v>
      </c>
      <c r="B21" s="96" t="s">
        <v>1720</v>
      </c>
      <c r="C21" s="73" t="s">
        <v>2579</v>
      </c>
      <c r="D21" s="257" t="s">
        <v>122</v>
      </c>
      <c r="E21" s="459" t="s">
        <v>3377</v>
      </c>
      <c r="F21" s="258">
        <v>1962</v>
      </c>
      <c r="G21" s="171">
        <v>112</v>
      </c>
      <c r="H21" s="57"/>
      <c r="I21" s="88"/>
      <c r="J21" s="508">
        <v>0.55000000000000004</v>
      </c>
      <c r="K21" s="513">
        <v>5.3940000000000001</v>
      </c>
      <c r="L21" s="91">
        <f t="shared" si="2"/>
        <v>185.35000000000002</v>
      </c>
      <c r="M21" s="506">
        <v>337</v>
      </c>
      <c r="N21" s="506"/>
      <c r="O21" s="509" t="s">
        <v>120</v>
      </c>
      <c r="P21" s="507"/>
      <c r="Q21" s="262"/>
      <c r="R21" s="507"/>
      <c r="S21" s="507"/>
      <c r="T21" s="507"/>
      <c r="U21" s="507"/>
      <c r="V21" s="131">
        <v>0</v>
      </c>
      <c r="W21" s="132">
        <v>0</v>
      </c>
      <c r="X21" s="120">
        <v>0</v>
      </c>
      <c r="Y21" s="120">
        <v>0</v>
      </c>
      <c r="Z21" s="120">
        <v>0</v>
      </c>
      <c r="AA21" s="130"/>
      <c r="AB21" s="17">
        <v>0</v>
      </c>
      <c r="AC21" s="17">
        <v>0</v>
      </c>
      <c r="AD21" s="130"/>
      <c r="AE21" s="130"/>
      <c r="AF21" s="17">
        <v>0</v>
      </c>
      <c r="AG21" s="133">
        <v>0</v>
      </c>
      <c r="AH21" s="17">
        <v>0</v>
      </c>
      <c r="AI21" s="17">
        <v>0</v>
      </c>
      <c r="AJ21" s="17">
        <v>0</v>
      </c>
      <c r="AK21" s="17">
        <v>0</v>
      </c>
      <c r="AL21" s="32">
        <v>0</v>
      </c>
      <c r="AM21" s="509">
        <v>24.4</v>
      </c>
      <c r="AN21" s="89"/>
      <c r="AO21" s="89"/>
      <c r="AP21" s="416">
        <v>20620</v>
      </c>
      <c r="AQ21" s="133" t="s">
        <v>124</v>
      </c>
      <c r="AR21" s="174">
        <v>100</v>
      </c>
      <c r="AS21" s="37" t="s">
        <v>246</v>
      </c>
      <c r="AT21" s="171" t="str">
        <f t="shared" si="0"/>
        <v>800</v>
      </c>
      <c r="AU21" s="255">
        <f t="shared" si="1"/>
        <v>44.444444444444443</v>
      </c>
      <c r="AV21" s="509">
        <v>65</v>
      </c>
      <c r="AW21" s="257">
        <v>7</v>
      </c>
      <c r="AX21" s="514"/>
      <c r="AY21" s="258">
        <v>20</v>
      </c>
      <c r="AZ21" s="89"/>
      <c r="BA21" s="175">
        <v>65</v>
      </c>
      <c r="BB21" s="259"/>
      <c r="BC21" s="176"/>
      <c r="BD21" s="177"/>
      <c r="BE21" s="177" t="s">
        <v>259</v>
      </c>
      <c r="BF21" s="178"/>
      <c r="BG21" s="27"/>
      <c r="BH21" s="27"/>
    </row>
    <row r="22" spans="1:60" ht="15" customHeight="1">
      <c r="A22" s="95">
        <v>21</v>
      </c>
      <c r="B22" s="96" t="s">
        <v>1719</v>
      </c>
      <c r="C22" s="73" t="s">
        <v>2579</v>
      </c>
      <c r="D22" s="257" t="s">
        <v>122</v>
      </c>
      <c r="E22" s="459" t="s">
        <v>3377</v>
      </c>
      <c r="F22" s="258">
        <v>1962</v>
      </c>
      <c r="G22" s="171">
        <v>112</v>
      </c>
      <c r="H22" s="57"/>
      <c r="I22" s="88"/>
      <c r="J22" s="508">
        <v>0.55000000000000004</v>
      </c>
      <c r="K22" s="513">
        <v>5.4690000000000003</v>
      </c>
      <c r="L22" s="91">
        <f t="shared" si="2"/>
        <v>185.35000000000002</v>
      </c>
      <c r="M22" s="506">
        <v>337</v>
      </c>
      <c r="N22" s="506"/>
      <c r="O22" s="509" t="s">
        <v>120</v>
      </c>
      <c r="P22" s="507"/>
      <c r="Q22" s="262"/>
      <c r="R22" s="507"/>
      <c r="S22" s="507"/>
      <c r="T22" s="507"/>
      <c r="U22" s="507"/>
      <c r="V22" s="131">
        <v>0</v>
      </c>
      <c r="W22" s="132">
        <v>0</v>
      </c>
      <c r="X22" s="120">
        <v>0</v>
      </c>
      <c r="Y22" s="120">
        <v>0</v>
      </c>
      <c r="Z22" s="120">
        <v>0</v>
      </c>
      <c r="AA22" s="130"/>
      <c r="AB22" s="17">
        <v>0</v>
      </c>
      <c r="AC22" s="17">
        <v>0</v>
      </c>
      <c r="AD22" s="130"/>
      <c r="AE22" s="130"/>
      <c r="AF22" s="17">
        <v>0</v>
      </c>
      <c r="AG22" s="133">
        <v>0</v>
      </c>
      <c r="AH22" s="17">
        <v>0</v>
      </c>
      <c r="AI22" s="17">
        <v>0</v>
      </c>
      <c r="AJ22" s="17">
        <v>0</v>
      </c>
      <c r="AK22" s="17">
        <v>0</v>
      </c>
      <c r="AL22" s="32">
        <v>0</v>
      </c>
      <c r="AM22" s="509">
        <v>25.8</v>
      </c>
      <c r="AN22" s="89"/>
      <c r="AO22" s="89"/>
      <c r="AP22" s="416">
        <v>32790</v>
      </c>
      <c r="AQ22" s="133" t="s">
        <v>124</v>
      </c>
      <c r="AR22" s="174">
        <v>100</v>
      </c>
      <c r="AS22" s="37" t="s">
        <v>246</v>
      </c>
      <c r="AT22" s="171" t="str">
        <f t="shared" si="0"/>
        <v>800</v>
      </c>
      <c r="AU22" s="255">
        <f t="shared" si="1"/>
        <v>44.444444444444443</v>
      </c>
      <c r="AV22" s="509">
        <v>65</v>
      </c>
      <c r="AW22" s="257">
        <v>7</v>
      </c>
      <c r="AX22" s="514"/>
      <c r="AY22" s="258">
        <v>20</v>
      </c>
      <c r="AZ22" s="89"/>
      <c r="BA22" s="175">
        <v>65</v>
      </c>
      <c r="BB22" s="259"/>
      <c r="BC22" s="176" t="s">
        <v>558</v>
      </c>
      <c r="BD22" s="177"/>
      <c r="BE22" s="177" t="s">
        <v>259</v>
      </c>
      <c r="BF22" s="178"/>
      <c r="BG22" s="27"/>
      <c r="BH22" s="27"/>
    </row>
    <row r="23" spans="1:60" ht="15" customHeight="1">
      <c r="A23" s="95">
        <v>22</v>
      </c>
      <c r="B23" s="96" t="s">
        <v>1718</v>
      </c>
      <c r="C23" s="73" t="s">
        <v>2579</v>
      </c>
      <c r="D23" s="257" t="s">
        <v>122</v>
      </c>
      <c r="E23" s="459" t="s">
        <v>3377</v>
      </c>
      <c r="F23" s="258">
        <v>1962</v>
      </c>
      <c r="G23" s="171">
        <v>112</v>
      </c>
      <c r="H23" s="57"/>
      <c r="I23" s="88"/>
      <c r="J23" s="508">
        <v>0.55000000000000004</v>
      </c>
      <c r="K23" s="513">
        <v>5.3970000000000002</v>
      </c>
      <c r="L23" s="91">
        <f t="shared" si="2"/>
        <v>185.35000000000002</v>
      </c>
      <c r="M23" s="506">
        <v>337</v>
      </c>
      <c r="N23" s="506"/>
      <c r="O23" s="509" t="s">
        <v>120</v>
      </c>
      <c r="P23" s="507"/>
      <c r="Q23" s="262"/>
      <c r="R23" s="507"/>
      <c r="S23" s="507"/>
      <c r="T23" s="507"/>
      <c r="U23" s="507"/>
      <c r="V23" s="131">
        <v>0</v>
      </c>
      <c r="W23" s="132">
        <v>0</v>
      </c>
      <c r="X23" s="120">
        <v>0</v>
      </c>
      <c r="Y23" s="120">
        <v>0</v>
      </c>
      <c r="Z23" s="120">
        <v>0</v>
      </c>
      <c r="AA23" s="130"/>
      <c r="AB23" s="17">
        <v>0</v>
      </c>
      <c r="AC23" s="17">
        <v>0</v>
      </c>
      <c r="AD23" s="130"/>
      <c r="AE23" s="130"/>
      <c r="AF23" s="17">
        <v>0</v>
      </c>
      <c r="AG23" s="133">
        <v>0</v>
      </c>
      <c r="AH23" s="17">
        <v>0</v>
      </c>
      <c r="AI23" s="17">
        <v>0</v>
      </c>
      <c r="AJ23" s="17">
        <v>0</v>
      </c>
      <c r="AK23" s="17">
        <v>0</v>
      </c>
      <c r="AL23" s="32">
        <v>0</v>
      </c>
      <c r="AM23" s="509">
        <v>26.4</v>
      </c>
      <c r="AN23" s="89"/>
      <c r="AO23" s="89"/>
      <c r="AP23" s="416">
        <v>26670</v>
      </c>
      <c r="AQ23" s="133" t="s">
        <v>124</v>
      </c>
      <c r="AR23" s="174">
        <v>100</v>
      </c>
      <c r="AS23" s="37" t="s">
        <v>246</v>
      </c>
      <c r="AT23" s="171" t="str">
        <f t="shared" si="0"/>
        <v>800</v>
      </c>
      <c r="AU23" s="255">
        <f t="shared" si="1"/>
        <v>44.444444444444443</v>
      </c>
      <c r="AV23" s="509">
        <v>65</v>
      </c>
      <c r="AW23" s="257">
        <v>7</v>
      </c>
      <c r="AX23" s="514"/>
      <c r="AY23" s="258">
        <v>20</v>
      </c>
      <c r="AZ23" s="89"/>
      <c r="BA23" s="175">
        <v>65</v>
      </c>
      <c r="BB23" s="259"/>
      <c r="BC23" s="176" t="s">
        <v>558</v>
      </c>
      <c r="BD23" s="179"/>
      <c r="BE23" s="177" t="s">
        <v>259</v>
      </c>
      <c r="BF23" s="178"/>
      <c r="BG23" s="27"/>
      <c r="BH23" s="27"/>
    </row>
    <row r="24" spans="1:60" ht="15" customHeight="1">
      <c r="A24" s="95">
        <v>23</v>
      </c>
      <c r="B24" s="96" t="s">
        <v>1717</v>
      </c>
      <c r="C24" s="73" t="s">
        <v>2579</v>
      </c>
      <c r="D24" s="257" t="s">
        <v>122</v>
      </c>
      <c r="E24" s="459" t="s">
        <v>3377</v>
      </c>
      <c r="F24" s="258">
        <v>1962</v>
      </c>
      <c r="G24" s="171">
        <v>112</v>
      </c>
      <c r="H24" s="57"/>
      <c r="I24" s="88"/>
      <c r="J24" s="508">
        <v>0.55000000000000004</v>
      </c>
      <c r="K24" s="513">
        <v>5.5880000000000001</v>
      </c>
      <c r="L24" s="91">
        <f t="shared" si="2"/>
        <v>185.35000000000002</v>
      </c>
      <c r="M24" s="506">
        <v>337</v>
      </c>
      <c r="N24" s="506"/>
      <c r="O24" s="509" t="s">
        <v>120</v>
      </c>
      <c r="P24" s="507"/>
      <c r="Q24" s="262"/>
      <c r="R24" s="507"/>
      <c r="S24" s="507"/>
      <c r="T24" s="507"/>
      <c r="U24" s="507"/>
      <c r="V24" s="131">
        <v>0</v>
      </c>
      <c r="W24" s="132">
        <v>0</v>
      </c>
      <c r="X24" s="120">
        <v>0</v>
      </c>
      <c r="Y24" s="120">
        <v>0</v>
      </c>
      <c r="Z24" s="120">
        <v>0</v>
      </c>
      <c r="AA24" s="130"/>
      <c r="AB24" s="17">
        <v>0</v>
      </c>
      <c r="AC24" s="17">
        <v>0</v>
      </c>
      <c r="AD24" s="130"/>
      <c r="AE24" s="130"/>
      <c r="AF24" s="17">
        <v>0</v>
      </c>
      <c r="AG24" s="133">
        <v>0</v>
      </c>
      <c r="AH24" s="17">
        <v>0</v>
      </c>
      <c r="AI24" s="17">
        <v>0</v>
      </c>
      <c r="AJ24" s="17">
        <v>0</v>
      </c>
      <c r="AK24" s="17">
        <v>0</v>
      </c>
      <c r="AL24" s="32">
        <v>0</v>
      </c>
      <c r="AM24" s="509">
        <v>23.4</v>
      </c>
      <c r="AN24" s="89"/>
      <c r="AO24" s="89"/>
      <c r="AP24" s="416">
        <v>17860</v>
      </c>
      <c r="AQ24" s="133" t="s">
        <v>124</v>
      </c>
      <c r="AR24" s="174">
        <v>100</v>
      </c>
      <c r="AS24" s="37" t="s">
        <v>246</v>
      </c>
      <c r="AT24" s="171" t="str">
        <f t="shared" si="0"/>
        <v>800</v>
      </c>
      <c r="AU24" s="255">
        <f t="shared" si="1"/>
        <v>44.444444444444443</v>
      </c>
      <c r="AV24" s="509">
        <v>65</v>
      </c>
      <c r="AW24" s="257">
        <v>7</v>
      </c>
      <c r="AX24" s="514"/>
      <c r="AY24" s="258">
        <v>20</v>
      </c>
      <c r="AZ24" s="89"/>
      <c r="BA24" s="175">
        <v>65</v>
      </c>
      <c r="BB24" s="259"/>
      <c r="BC24" s="176" t="s">
        <v>558</v>
      </c>
      <c r="BD24" s="179"/>
      <c r="BE24" s="177" t="s">
        <v>259</v>
      </c>
      <c r="BF24" s="178"/>
      <c r="BG24" s="27"/>
      <c r="BH24" s="27"/>
    </row>
    <row r="25" spans="1:60" ht="15" customHeight="1">
      <c r="A25" s="95">
        <v>24</v>
      </c>
      <c r="B25" s="96" t="s">
        <v>1716</v>
      </c>
      <c r="C25" s="73" t="s">
        <v>2579</v>
      </c>
      <c r="D25" s="257" t="s">
        <v>122</v>
      </c>
      <c r="E25" s="459" t="s">
        <v>3377</v>
      </c>
      <c r="F25" s="258">
        <v>1962</v>
      </c>
      <c r="G25" s="171">
        <v>112</v>
      </c>
      <c r="H25" s="57"/>
      <c r="I25" s="88"/>
      <c r="J25" s="508">
        <v>0.55000000000000004</v>
      </c>
      <c r="K25" s="513">
        <v>5.5039999999999996</v>
      </c>
      <c r="L25" s="91">
        <f t="shared" si="2"/>
        <v>185.35000000000002</v>
      </c>
      <c r="M25" s="506">
        <v>337</v>
      </c>
      <c r="N25" s="506"/>
      <c r="O25" s="509" t="s">
        <v>120</v>
      </c>
      <c r="P25" s="507"/>
      <c r="Q25" s="262"/>
      <c r="R25" s="507"/>
      <c r="S25" s="507"/>
      <c r="T25" s="507"/>
      <c r="U25" s="507"/>
      <c r="V25" s="131">
        <v>0</v>
      </c>
      <c r="W25" s="132">
        <v>0</v>
      </c>
      <c r="X25" s="120">
        <v>0</v>
      </c>
      <c r="Y25" s="120">
        <v>0</v>
      </c>
      <c r="Z25" s="120">
        <v>0</v>
      </c>
      <c r="AA25" s="130"/>
      <c r="AB25" s="17">
        <v>0</v>
      </c>
      <c r="AC25" s="17">
        <v>0</v>
      </c>
      <c r="AD25" s="130"/>
      <c r="AE25" s="130"/>
      <c r="AF25" s="17">
        <v>0</v>
      </c>
      <c r="AG25" s="133">
        <v>0</v>
      </c>
      <c r="AH25" s="17">
        <v>0</v>
      </c>
      <c r="AI25" s="17">
        <v>0</v>
      </c>
      <c r="AJ25" s="17">
        <v>0</v>
      </c>
      <c r="AK25" s="17">
        <v>0</v>
      </c>
      <c r="AL25" s="32">
        <v>0</v>
      </c>
      <c r="AM25" s="509">
        <v>27.8</v>
      </c>
      <c r="AN25" s="89"/>
      <c r="AO25" s="89"/>
      <c r="AP25" s="416">
        <v>22370</v>
      </c>
      <c r="AQ25" s="133" t="s">
        <v>124</v>
      </c>
      <c r="AR25" s="174">
        <v>100</v>
      </c>
      <c r="AS25" s="37" t="s">
        <v>246</v>
      </c>
      <c r="AT25" s="171" t="str">
        <f t="shared" si="0"/>
        <v>800</v>
      </c>
      <c r="AU25" s="255">
        <f t="shared" si="1"/>
        <v>44.444444444444443</v>
      </c>
      <c r="AV25" s="509">
        <v>65</v>
      </c>
      <c r="AW25" s="257">
        <v>7</v>
      </c>
      <c r="AX25" s="514"/>
      <c r="AY25" s="258">
        <v>20</v>
      </c>
      <c r="AZ25" s="89"/>
      <c r="BA25" s="175">
        <v>65</v>
      </c>
      <c r="BB25" s="259"/>
      <c r="BC25" s="176" t="s">
        <v>558</v>
      </c>
      <c r="BD25" s="179"/>
      <c r="BE25" s="177" t="s">
        <v>259</v>
      </c>
      <c r="BF25" s="178"/>
      <c r="BG25" s="27"/>
      <c r="BH25" s="27"/>
    </row>
    <row r="26" spans="1:60" ht="15" customHeight="1">
      <c r="A26" s="95">
        <v>25</v>
      </c>
      <c r="B26" s="96" t="s">
        <v>1715</v>
      </c>
      <c r="C26" s="73" t="s">
        <v>2579</v>
      </c>
      <c r="D26" s="257" t="s">
        <v>122</v>
      </c>
      <c r="E26" s="459" t="s">
        <v>3377</v>
      </c>
      <c r="F26" s="258">
        <v>1962</v>
      </c>
      <c r="G26" s="171">
        <v>112</v>
      </c>
      <c r="H26" s="57"/>
      <c r="I26" s="88"/>
      <c r="J26" s="508">
        <v>0.55000000000000004</v>
      </c>
      <c r="K26" s="513">
        <v>6.2610000000000001</v>
      </c>
      <c r="L26" s="91">
        <f t="shared" si="2"/>
        <v>185.35000000000002</v>
      </c>
      <c r="M26" s="506">
        <v>337</v>
      </c>
      <c r="N26" s="506"/>
      <c r="O26" s="509" t="s">
        <v>120</v>
      </c>
      <c r="P26" s="507"/>
      <c r="Q26" s="262"/>
      <c r="R26" s="507"/>
      <c r="S26" s="507"/>
      <c r="T26" s="507"/>
      <c r="U26" s="507"/>
      <c r="V26" s="131">
        <v>0</v>
      </c>
      <c r="W26" s="132">
        <v>0</v>
      </c>
      <c r="X26" s="120">
        <v>0</v>
      </c>
      <c r="Y26" s="120">
        <v>0</v>
      </c>
      <c r="Z26" s="120">
        <v>0</v>
      </c>
      <c r="AA26" s="130"/>
      <c r="AB26" s="17">
        <v>0</v>
      </c>
      <c r="AC26" s="17">
        <v>0</v>
      </c>
      <c r="AD26" s="130"/>
      <c r="AE26" s="130"/>
      <c r="AF26" s="17">
        <v>0</v>
      </c>
      <c r="AG26" s="133">
        <v>0</v>
      </c>
      <c r="AH26" s="17">
        <v>0</v>
      </c>
      <c r="AI26" s="17">
        <v>0</v>
      </c>
      <c r="AJ26" s="17">
        <v>0</v>
      </c>
      <c r="AK26" s="17">
        <v>0</v>
      </c>
      <c r="AL26" s="32">
        <v>0</v>
      </c>
      <c r="AM26" s="509">
        <v>28.4</v>
      </c>
      <c r="AN26" s="89"/>
      <c r="AO26" s="89"/>
      <c r="AP26" s="416">
        <v>30310</v>
      </c>
      <c r="AQ26" s="133" t="s">
        <v>124</v>
      </c>
      <c r="AR26" s="174">
        <v>100</v>
      </c>
      <c r="AS26" s="37" t="s">
        <v>246</v>
      </c>
      <c r="AT26" s="171" t="str">
        <f t="shared" si="0"/>
        <v>800</v>
      </c>
      <c r="AU26" s="255">
        <f t="shared" si="1"/>
        <v>44.444444444444443</v>
      </c>
      <c r="AV26" s="509">
        <v>65</v>
      </c>
      <c r="AW26" s="257">
        <v>7</v>
      </c>
      <c r="AX26" s="514"/>
      <c r="AY26" s="258">
        <v>20</v>
      </c>
      <c r="AZ26" s="89"/>
      <c r="BA26" s="175">
        <v>65</v>
      </c>
      <c r="BB26" s="259"/>
      <c r="BC26" s="176" t="s">
        <v>558</v>
      </c>
      <c r="BD26" s="179"/>
      <c r="BE26" s="177" t="s">
        <v>259</v>
      </c>
      <c r="BF26" s="178"/>
      <c r="BG26" s="27"/>
      <c r="BH26" s="27"/>
    </row>
    <row r="27" spans="1:60" ht="15" customHeight="1">
      <c r="A27" s="95">
        <v>26</v>
      </c>
      <c r="B27" s="96" t="s">
        <v>1714</v>
      </c>
      <c r="C27" s="73" t="s">
        <v>128</v>
      </c>
      <c r="D27" s="257" t="s">
        <v>119</v>
      </c>
      <c r="E27" s="459" t="s">
        <v>3377</v>
      </c>
      <c r="F27" s="258">
        <v>1965</v>
      </c>
      <c r="G27" s="180">
        <v>59</v>
      </c>
      <c r="H27" s="181" t="s">
        <v>1745</v>
      </c>
      <c r="I27" s="182" t="s">
        <v>1743</v>
      </c>
      <c r="J27" s="264">
        <v>0.45739999999999997</v>
      </c>
      <c r="K27" s="513">
        <v>3.7320000000000002</v>
      </c>
      <c r="L27" s="169"/>
      <c r="M27" s="506">
        <v>452</v>
      </c>
      <c r="N27" s="506"/>
      <c r="O27" s="509" t="s">
        <v>129</v>
      </c>
      <c r="P27" s="507"/>
      <c r="Q27" s="262"/>
      <c r="R27" s="506" t="s">
        <v>2308</v>
      </c>
      <c r="S27" s="507"/>
      <c r="T27" s="507"/>
      <c r="U27" s="180" t="s">
        <v>2308</v>
      </c>
      <c r="V27" s="131">
        <v>0</v>
      </c>
      <c r="W27" s="132">
        <v>0</v>
      </c>
      <c r="X27" s="120">
        <v>0</v>
      </c>
      <c r="Y27" s="120">
        <v>0</v>
      </c>
      <c r="Z27" s="120">
        <v>0</v>
      </c>
      <c r="AA27" s="133">
        <v>0</v>
      </c>
      <c r="AB27" s="17">
        <v>0</v>
      </c>
      <c r="AC27" s="17">
        <v>0</v>
      </c>
      <c r="AD27" s="133">
        <v>0</v>
      </c>
      <c r="AE27" s="133">
        <v>0</v>
      </c>
      <c r="AF27" s="17">
        <v>0</v>
      </c>
      <c r="AG27" s="133">
        <v>0</v>
      </c>
      <c r="AH27" s="17">
        <v>0</v>
      </c>
      <c r="AI27" s="133">
        <v>0</v>
      </c>
      <c r="AJ27" s="133">
        <v>0</v>
      </c>
      <c r="AK27" s="17">
        <v>0</v>
      </c>
      <c r="AL27" s="137">
        <v>0</v>
      </c>
      <c r="AM27" s="509">
        <v>46.5</v>
      </c>
      <c r="AN27" s="89"/>
      <c r="AO27" s="506">
        <v>37</v>
      </c>
      <c r="AP27" s="416">
        <v>24476</v>
      </c>
      <c r="AQ27" s="180" t="s">
        <v>2572</v>
      </c>
      <c r="AR27" s="183">
        <v>38.1</v>
      </c>
      <c r="AS27" s="37" t="s">
        <v>246</v>
      </c>
      <c r="AT27" s="180">
        <v>228.6</v>
      </c>
      <c r="AU27" s="255">
        <f t="shared" si="1"/>
        <v>16.328571428571429</v>
      </c>
      <c r="AV27" s="181">
        <v>100</v>
      </c>
      <c r="AW27" s="257">
        <v>8</v>
      </c>
      <c r="AX27" s="514"/>
      <c r="AY27" s="258">
        <v>23</v>
      </c>
      <c r="AZ27" s="184">
        <v>0</v>
      </c>
      <c r="BA27" s="184">
        <v>20</v>
      </c>
      <c r="BB27" s="259"/>
      <c r="BC27" s="185"/>
      <c r="BD27" s="186"/>
      <c r="BE27" s="186"/>
      <c r="BF27" s="187"/>
      <c r="BG27" s="27"/>
      <c r="BH27" s="27"/>
    </row>
    <row r="28" spans="1:60" ht="15" customHeight="1">
      <c r="A28" s="95">
        <v>27</v>
      </c>
      <c r="B28" s="96" t="s">
        <v>1713</v>
      </c>
      <c r="C28" s="73" t="s">
        <v>128</v>
      </c>
      <c r="D28" s="257" t="s">
        <v>119</v>
      </c>
      <c r="E28" s="459" t="s">
        <v>3377</v>
      </c>
      <c r="F28" s="258">
        <v>1965</v>
      </c>
      <c r="G28" s="180">
        <v>59</v>
      </c>
      <c r="H28" s="181" t="s">
        <v>1745</v>
      </c>
      <c r="I28" s="182" t="s">
        <v>1743</v>
      </c>
      <c r="J28" s="264">
        <v>0.45739999999999997</v>
      </c>
      <c r="K28" s="513">
        <v>3.7320000000000002</v>
      </c>
      <c r="L28" s="169"/>
      <c r="M28" s="506">
        <v>452</v>
      </c>
      <c r="N28" s="506"/>
      <c r="O28" s="509" t="s">
        <v>129</v>
      </c>
      <c r="P28" s="507"/>
      <c r="Q28" s="262"/>
      <c r="R28" s="506" t="s">
        <v>2308</v>
      </c>
      <c r="S28" s="507"/>
      <c r="T28" s="507"/>
      <c r="U28" s="180" t="s">
        <v>2308</v>
      </c>
      <c r="V28" s="131">
        <v>0</v>
      </c>
      <c r="W28" s="132">
        <v>0</v>
      </c>
      <c r="X28" s="120">
        <v>0</v>
      </c>
      <c r="Y28" s="120">
        <v>0</v>
      </c>
      <c r="Z28" s="120">
        <v>0</v>
      </c>
      <c r="AA28" s="133">
        <v>0</v>
      </c>
      <c r="AB28" s="17">
        <v>0</v>
      </c>
      <c r="AC28" s="17">
        <v>0</v>
      </c>
      <c r="AD28" s="133">
        <v>0</v>
      </c>
      <c r="AE28" s="133">
        <v>0</v>
      </c>
      <c r="AF28" s="17">
        <v>0</v>
      </c>
      <c r="AG28" s="133">
        <v>0</v>
      </c>
      <c r="AH28" s="17">
        <v>0</v>
      </c>
      <c r="AI28" s="133">
        <v>0</v>
      </c>
      <c r="AJ28" s="133">
        <v>0</v>
      </c>
      <c r="AK28" s="17">
        <v>0</v>
      </c>
      <c r="AL28" s="137">
        <v>0</v>
      </c>
      <c r="AM28" s="509">
        <v>46.5</v>
      </c>
      <c r="AN28" s="89"/>
      <c r="AO28" s="506">
        <v>37</v>
      </c>
      <c r="AP28" s="416">
        <v>24476</v>
      </c>
      <c r="AQ28" s="180" t="s">
        <v>2573</v>
      </c>
      <c r="AR28" s="183">
        <v>50.8</v>
      </c>
      <c r="AS28" s="37" t="s">
        <v>246</v>
      </c>
      <c r="AT28" s="180">
        <v>304.8</v>
      </c>
      <c r="AU28" s="255">
        <f t="shared" si="1"/>
        <v>21.771428571428569</v>
      </c>
      <c r="AV28" s="181">
        <v>100</v>
      </c>
      <c r="AW28" s="257">
        <v>8</v>
      </c>
      <c r="AX28" s="514"/>
      <c r="AY28" s="258">
        <v>23</v>
      </c>
      <c r="AZ28" s="184">
        <v>0</v>
      </c>
      <c r="BA28" s="184">
        <v>20</v>
      </c>
      <c r="BB28" s="259"/>
      <c r="BC28" s="185"/>
      <c r="BD28" s="186"/>
      <c r="BE28" s="186"/>
      <c r="BF28" s="187"/>
      <c r="BG28" s="27"/>
      <c r="BH28" s="27"/>
    </row>
    <row r="29" spans="1:60" ht="15" customHeight="1">
      <c r="A29" s="95">
        <v>28</v>
      </c>
      <c r="B29" s="96" t="s">
        <v>1712</v>
      </c>
      <c r="C29" s="73" t="s">
        <v>128</v>
      </c>
      <c r="D29" s="257" t="s">
        <v>119</v>
      </c>
      <c r="E29" s="459" t="s">
        <v>3377</v>
      </c>
      <c r="F29" s="258">
        <v>1965</v>
      </c>
      <c r="G29" s="180">
        <v>59</v>
      </c>
      <c r="H29" s="181" t="s">
        <v>1745</v>
      </c>
      <c r="I29" s="182" t="s">
        <v>1743</v>
      </c>
      <c r="J29" s="264">
        <v>0.45739999999999997</v>
      </c>
      <c r="K29" s="513">
        <v>3.7320000000000002</v>
      </c>
      <c r="L29" s="169"/>
      <c r="M29" s="506">
        <v>452</v>
      </c>
      <c r="N29" s="506"/>
      <c r="O29" s="509" t="s">
        <v>129</v>
      </c>
      <c r="P29" s="507"/>
      <c r="Q29" s="262"/>
      <c r="R29" s="506" t="s">
        <v>2308</v>
      </c>
      <c r="S29" s="507"/>
      <c r="T29" s="507"/>
      <c r="U29" s="180" t="s">
        <v>2308</v>
      </c>
      <c r="V29" s="131">
        <v>0</v>
      </c>
      <c r="W29" s="132">
        <v>0</v>
      </c>
      <c r="X29" s="120">
        <v>0</v>
      </c>
      <c r="Y29" s="120">
        <v>0</v>
      </c>
      <c r="Z29" s="120">
        <v>0</v>
      </c>
      <c r="AA29" s="133">
        <v>0</v>
      </c>
      <c r="AB29" s="17">
        <v>0</v>
      </c>
      <c r="AC29" s="17">
        <v>0</v>
      </c>
      <c r="AD29" s="133">
        <v>0</v>
      </c>
      <c r="AE29" s="133">
        <v>0</v>
      </c>
      <c r="AF29" s="17">
        <v>0</v>
      </c>
      <c r="AG29" s="133">
        <v>0</v>
      </c>
      <c r="AH29" s="17">
        <v>0</v>
      </c>
      <c r="AI29" s="133">
        <v>0</v>
      </c>
      <c r="AJ29" s="133">
        <v>0</v>
      </c>
      <c r="AK29" s="17">
        <v>0</v>
      </c>
      <c r="AL29" s="137">
        <v>0</v>
      </c>
      <c r="AM29" s="509">
        <v>46.5</v>
      </c>
      <c r="AN29" s="89"/>
      <c r="AO29" s="506">
        <v>37</v>
      </c>
      <c r="AP29" s="416">
        <v>24476</v>
      </c>
      <c r="AQ29" s="180" t="s">
        <v>2574</v>
      </c>
      <c r="AR29" s="183">
        <v>76.2</v>
      </c>
      <c r="AS29" s="37" t="s">
        <v>246</v>
      </c>
      <c r="AT29" s="180">
        <v>457.2</v>
      </c>
      <c r="AU29" s="255">
        <f t="shared" si="1"/>
        <v>32.657142857142858</v>
      </c>
      <c r="AV29" s="181">
        <v>100</v>
      </c>
      <c r="AW29" s="257">
        <v>8</v>
      </c>
      <c r="AX29" s="514"/>
      <c r="AY29" s="258">
        <v>23</v>
      </c>
      <c r="AZ29" s="184">
        <v>0</v>
      </c>
      <c r="BA29" s="184">
        <v>20</v>
      </c>
      <c r="BB29" s="259"/>
      <c r="BC29" s="185"/>
      <c r="BD29" s="186"/>
      <c r="BE29" s="186"/>
      <c r="BF29" s="187"/>
      <c r="BG29" s="27"/>
      <c r="BH29" s="27"/>
    </row>
    <row r="30" spans="1:60" ht="15" customHeight="1">
      <c r="A30" s="95">
        <v>29</v>
      </c>
      <c r="B30" s="96" t="s">
        <v>1711</v>
      </c>
      <c r="C30" s="73" t="s">
        <v>128</v>
      </c>
      <c r="D30" s="257" t="s">
        <v>119</v>
      </c>
      <c r="E30" s="459" t="s">
        <v>3377</v>
      </c>
      <c r="F30" s="258">
        <v>1965</v>
      </c>
      <c r="G30" s="180">
        <v>59</v>
      </c>
      <c r="H30" s="181" t="s">
        <v>1745</v>
      </c>
      <c r="I30" s="182" t="s">
        <v>1743</v>
      </c>
      <c r="J30" s="264">
        <v>0.45739999999999997</v>
      </c>
      <c r="K30" s="513">
        <v>3.7320000000000002</v>
      </c>
      <c r="L30" s="169"/>
      <c r="M30" s="506">
        <v>452</v>
      </c>
      <c r="N30" s="506"/>
      <c r="O30" s="509" t="s">
        <v>129</v>
      </c>
      <c r="P30" s="507"/>
      <c r="Q30" s="262"/>
      <c r="R30" s="506" t="s">
        <v>2308</v>
      </c>
      <c r="S30" s="507"/>
      <c r="T30" s="507"/>
      <c r="U30" s="180" t="s">
        <v>2308</v>
      </c>
      <c r="V30" s="131">
        <v>0</v>
      </c>
      <c r="W30" s="132">
        <v>0</v>
      </c>
      <c r="X30" s="120">
        <v>0</v>
      </c>
      <c r="Y30" s="120">
        <v>0</v>
      </c>
      <c r="Z30" s="120">
        <v>0</v>
      </c>
      <c r="AA30" s="133">
        <v>0</v>
      </c>
      <c r="AB30" s="17">
        <v>0</v>
      </c>
      <c r="AC30" s="17">
        <v>0</v>
      </c>
      <c r="AD30" s="133">
        <v>0</v>
      </c>
      <c r="AE30" s="133">
        <v>0</v>
      </c>
      <c r="AF30" s="17">
        <v>0</v>
      </c>
      <c r="AG30" s="133">
        <v>0</v>
      </c>
      <c r="AH30" s="17">
        <v>0</v>
      </c>
      <c r="AI30" s="133">
        <v>0</v>
      </c>
      <c r="AJ30" s="133">
        <v>0</v>
      </c>
      <c r="AK30" s="17">
        <v>0</v>
      </c>
      <c r="AL30" s="137">
        <v>0</v>
      </c>
      <c r="AM30" s="509">
        <v>47.5</v>
      </c>
      <c r="AN30" s="89"/>
      <c r="AO30" s="506">
        <v>37</v>
      </c>
      <c r="AP30" s="416">
        <v>25510</v>
      </c>
      <c r="AQ30" s="180" t="s">
        <v>2572</v>
      </c>
      <c r="AR30" s="183">
        <v>38.1</v>
      </c>
      <c r="AS30" s="37" t="s">
        <v>246</v>
      </c>
      <c r="AT30" s="180">
        <v>228.6</v>
      </c>
      <c r="AU30" s="255">
        <f t="shared" si="1"/>
        <v>16.328571428571429</v>
      </c>
      <c r="AV30" s="181">
        <v>100</v>
      </c>
      <c r="AW30" s="257">
        <v>8</v>
      </c>
      <c r="AX30" s="514"/>
      <c r="AY30" s="258">
        <v>23</v>
      </c>
      <c r="AZ30" s="184">
        <v>0</v>
      </c>
      <c r="BA30" s="184">
        <v>50</v>
      </c>
      <c r="BB30" s="259"/>
      <c r="BC30" s="185"/>
      <c r="BD30" s="186"/>
      <c r="BE30" s="186"/>
      <c r="BF30" s="187"/>
      <c r="BG30" s="27"/>
      <c r="BH30" s="27"/>
    </row>
    <row r="31" spans="1:60">
      <c r="A31" s="95">
        <v>30</v>
      </c>
      <c r="B31" s="96" t="s">
        <v>1710</v>
      </c>
      <c r="C31" s="73" t="s">
        <v>128</v>
      </c>
      <c r="D31" s="257" t="s">
        <v>119</v>
      </c>
      <c r="E31" s="459" t="s">
        <v>3377</v>
      </c>
      <c r="F31" s="258">
        <v>1965</v>
      </c>
      <c r="G31" s="180">
        <v>59</v>
      </c>
      <c r="H31" s="181" t="s">
        <v>1745</v>
      </c>
      <c r="I31" s="182" t="s">
        <v>1743</v>
      </c>
      <c r="J31" s="264">
        <v>0.45739999999999997</v>
      </c>
      <c r="K31" s="513">
        <v>3.7320000000000002</v>
      </c>
      <c r="L31" s="169"/>
      <c r="M31" s="506">
        <v>452</v>
      </c>
      <c r="N31" s="506"/>
      <c r="O31" s="509" t="s">
        <v>129</v>
      </c>
      <c r="P31" s="507"/>
      <c r="Q31" s="262"/>
      <c r="R31" s="506" t="s">
        <v>2308</v>
      </c>
      <c r="S31" s="507"/>
      <c r="T31" s="507"/>
      <c r="U31" s="180" t="s">
        <v>2308</v>
      </c>
      <c r="V31" s="131">
        <v>0</v>
      </c>
      <c r="W31" s="132">
        <v>0</v>
      </c>
      <c r="X31" s="120">
        <v>0</v>
      </c>
      <c r="Y31" s="120">
        <v>0</v>
      </c>
      <c r="Z31" s="120">
        <v>0</v>
      </c>
      <c r="AA31" s="133">
        <v>0</v>
      </c>
      <c r="AB31" s="17">
        <v>0</v>
      </c>
      <c r="AC31" s="17">
        <v>0</v>
      </c>
      <c r="AD31" s="133">
        <v>0</v>
      </c>
      <c r="AE31" s="133">
        <v>0</v>
      </c>
      <c r="AF31" s="17">
        <v>0</v>
      </c>
      <c r="AG31" s="133">
        <v>0</v>
      </c>
      <c r="AH31" s="17">
        <v>0</v>
      </c>
      <c r="AI31" s="133">
        <v>0</v>
      </c>
      <c r="AJ31" s="133">
        <v>0</v>
      </c>
      <c r="AK31" s="17">
        <v>0</v>
      </c>
      <c r="AL31" s="137">
        <v>0</v>
      </c>
      <c r="AM31" s="509">
        <v>47.5</v>
      </c>
      <c r="AN31" s="89"/>
      <c r="AO31" s="506">
        <v>37</v>
      </c>
      <c r="AP31" s="416">
        <v>25510</v>
      </c>
      <c r="AQ31" s="180" t="s">
        <v>2573</v>
      </c>
      <c r="AR31" s="183">
        <v>50.8</v>
      </c>
      <c r="AS31" s="37" t="s">
        <v>246</v>
      </c>
      <c r="AT31" s="180">
        <v>304.8</v>
      </c>
      <c r="AU31" s="255">
        <f t="shared" si="1"/>
        <v>21.771428571428569</v>
      </c>
      <c r="AV31" s="181">
        <v>100</v>
      </c>
      <c r="AW31" s="257">
        <v>8</v>
      </c>
      <c r="AX31" s="514"/>
      <c r="AY31" s="258">
        <v>23</v>
      </c>
      <c r="AZ31" s="184">
        <v>0</v>
      </c>
      <c r="BA31" s="184">
        <v>50</v>
      </c>
      <c r="BB31" s="259"/>
      <c r="BC31" s="185"/>
      <c r="BD31" s="186"/>
      <c r="BE31" s="186"/>
      <c r="BF31" s="187"/>
      <c r="BG31" s="27"/>
      <c r="BH31" s="27"/>
    </row>
    <row r="32" spans="1:60" ht="15" customHeight="1">
      <c r="A32" s="95">
        <v>31</v>
      </c>
      <c r="B32" s="96" t="s">
        <v>1709</v>
      </c>
      <c r="C32" s="73" t="s">
        <v>128</v>
      </c>
      <c r="D32" s="257" t="s">
        <v>119</v>
      </c>
      <c r="E32" s="459" t="s">
        <v>3377</v>
      </c>
      <c r="F32" s="258">
        <v>1965</v>
      </c>
      <c r="G32" s="180">
        <v>59</v>
      </c>
      <c r="H32" s="181" t="s">
        <v>1745</v>
      </c>
      <c r="I32" s="182" t="s">
        <v>1743</v>
      </c>
      <c r="J32" s="264">
        <v>0.45739999999999997</v>
      </c>
      <c r="K32" s="513">
        <v>3.7320000000000002</v>
      </c>
      <c r="L32" s="169"/>
      <c r="M32" s="506">
        <v>452</v>
      </c>
      <c r="N32" s="506"/>
      <c r="O32" s="509" t="s">
        <v>129</v>
      </c>
      <c r="P32" s="507"/>
      <c r="Q32" s="262"/>
      <c r="R32" s="506" t="s">
        <v>2308</v>
      </c>
      <c r="S32" s="507"/>
      <c r="T32" s="507"/>
      <c r="U32" s="180" t="s">
        <v>2308</v>
      </c>
      <c r="V32" s="131">
        <v>0</v>
      </c>
      <c r="W32" s="132">
        <v>0</v>
      </c>
      <c r="X32" s="120">
        <v>0</v>
      </c>
      <c r="Y32" s="120">
        <v>0</v>
      </c>
      <c r="Z32" s="120">
        <v>0</v>
      </c>
      <c r="AA32" s="133">
        <v>0</v>
      </c>
      <c r="AB32" s="17">
        <v>0</v>
      </c>
      <c r="AC32" s="17">
        <v>0</v>
      </c>
      <c r="AD32" s="133">
        <v>0</v>
      </c>
      <c r="AE32" s="133">
        <v>0</v>
      </c>
      <c r="AF32" s="17">
        <v>0</v>
      </c>
      <c r="AG32" s="133">
        <v>0</v>
      </c>
      <c r="AH32" s="17">
        <v>0</v>
      </c>
      <c r="AI32" s="133">
        <v>0</v>
      </c>
      <c r="AJ32" s="133">
        <v>0</v>
      </c>
      <c r="AK32" s="17">
        <v>0</v>
      </c>
      <c r="AL32" s="137">
        <v>0</v>
      </c>
      <c r="AM32" s="509">
        <v>47.5</v>
      </c>
      <c r="AN32" s="89"/>
      <c r="AO32" s="506">
        <v>37</v>
      </c>
      <c r="AP32" s="416">
        <v>25510</v>
      </c>
      <c r="AQ32" s="180" t="s">
        <v>2574</v>
      </c>
      <c r="AR32" s="183">
        <v>76.2</v>
      </c>
      <c r="AS32" s="37" t="s">
        <v>246</v>
      </c>
      <c r="AT32" s="180">
        <v>457.2</v>
      </c>
      <c r="AU32" s="255">
        <f t="shared" si="1"/>
        <v>32.657142857142858</v>
      </c>
      <c r="AV32" s="181">
        <v>100</v>
      </c>
      <c r="AW32" s="257">
        <v>8</v>
      </c>
      <c r="AX32" s="514"/>
      <c r="AY32" s="258">
        <v>23</v>
      </c>
      <c r="AZ32" s="184">
        <v>0</v>
      </c>
      <c r="BA32" s="184">
        <v>50</v>
      </c>
      <c r="BB32" s="259"/>
      <c r="BC32" s="185"/>
      <c r="BD32" s="186"/>
      <c r="BE32" s="186"/>
      <c r="BF32" s="187"/>
      <c r="BG32" s="27"/>
      <c r="BH32" s="27"/>
    </row>
    <row r="33" spans="1:60" ht="15" customHeight="1">
      <c r="A33" s="95">
        <v>32</v>
      </c>
      <c r="B33" s="96" t="s">
        <v>1708</v>
      </c>
      <c r="C33" s="73" t="s">
        <v>128</v>
      </c>
      <c r="D33" s="257" t="s">
        <v>119</v>
      </c>
      <c r="E33" s="459" t="s">
        <v>3377</v>
      </c>
      <c r="F33" s="258">
        <v>1965</v>
      </c>
      <c r="G33" s="180">
        <v>59</v>
      </c>
      <c r="H33" s="181" t="s">
        <v>1745</v>
      </c>
      <c r="I33" s="182" t="s">
        <v>1743</v>
      </c>
      <c r="J33" s="264">
        <v>0.45739999999999997</v>
      </c>
      <c r="K33" s="513">
        <v>3.7320000000000002</v>
      </c>
      <c r="L33" s="169"/>
      <c r="M33" s="506">
        <v>452</v>
      </c>
      <c r="N33" s="506"/>
      <c r="O33" s="509" t="s">
        <v>129</v>
      </c>
      <c r="P33" s="507"/>
      <c r="Q33" s="262"/>
      <c r="R33" s="506" t="s">
        <v>2308</v>
      </c>
      <c r="S33" s="507"/>
      <c r="T33" s="507"/>
      <c r="U33" s="180" t="s">
        <v>2308</v>
      </c>
      <c r="V33" s="131">
        <v>0</v>
      </c>
      <c r="W33" s="132">
        <v>0</v>
      </c>
      <c r="X33" s="120">
        <v>0</v>
      </c>
      <c r="Y33" s="120">
        <v>0</v>
      </c>
      <c r="Z33" s="120">
        <v>0</v>
      </c>
      <c r="AA33" s="133">
        <v>0</v>
      </c>
      <c r="AB33" s="17">
        <v>0</v>
      </c>
      <c r="AC33" s="17">
        <v>0</v>
      </c>
      <c r="AD33" s="133">
        <v>0</v>
      </c>
      <c r="AE33" s="133">
        <v>0</v>
      </c>
      <c r="AF33" s="17">
        <v>0</v>
      </c>
      <c r="AG33" s="133">
        <v>0</v>
      </c>
      <c r="AH33" s="17">
        <v>0</v>
      </c>
      <c r="AI33" s="133">
        <v>0</v>
      </c>
      <c r="AJ33" s="133">
        <v>0</v>
      </c>
      <c r="AK33" s="17">
        <v>0</v>
      </c>
      <c r="AL33" s="137">
        <v>0</v>
      </c>
      <c r="AM33" s="509">
        <v>46.8</v>
      </c>
      <c r="AN33" s="89"/>
      <c r="AO33" s="506">
        <v>37</v>
      </c>
      <c r="AP33" s="416">
        <v>25855</v>
      </c>
      <c r="AQ33" s="180" t="s">
        <v>2572</v>
      </c>
      <c r="AR33" s="183">
        <v>38.1</v>
      </c>
      <c r="AS33" s="37" t="s">
        <v>246</v>
      </c>
      <c r="AT33" s="180">
        <v>228.6</v>
      </c>
      <c r="AU33" s="255">
        <f t="shared" si="1"/>
        <v>16.328571428571429</v>
      </c>
      <c r="AV33" s="181">
        <v>100</v>
      </c>
      <c r="AW33" s="257">
        <v>8</v>
      </c>
      <c r="AX33" s="514"/>
      <c r="AY33" s="258">
        <v>23</v>
      </c>
      <c r="AZ33" s="184">
        <v>0</v>
      </c>
      <c r="BA33" s="184">
        <v>75</v>
      </c>
      <c r="BB33" s="259"/>
      <c r="BC33" s="185"/>
      <c r="BD33" s="186"/>
      <c r="BE33" s="186"/>
      <c r="BF33" s="187"/>
      <c r="BG33" s="27"/>
      <c r="BH33" s="27"/>
    </row>
    <row r="34" spans="1:60" ht="15" customHeight="1">
      <c r="A34" s="95">
        <v>33</v>
      </c>
      <c r="B34" s="96" t="s">
        <v>1707</v>
      </c>
      <c r="C34" s="73" t="s">
        <v>128</v>
      </c>
      <c r="D34" s="257" t="s">
        <v>119</v>
      </c>
      <c r="E34" s="459" t="s">
        <v>3377</v>
      </c>
      <c r="F34" s="258">
        <v>1965</v>
      </c>
      <c r="G34" s="180">
        <v>59</v>
      </c>
      <c r="H34" s="181" t="s">
        <v>1745</v>
      </c>
      <c r="I34" s="182" t="s">
        <v>1743</v>
      </c>
      <c r="J34" s="264">
        <v>0.45739999999999997</v>
      </c>
      <c r="K34" s="513">
        <v>3.7320000000000002</v>
      </c>
      <c r="L34" s="169"/>
      <c r="M34" s="506">
        <v>452</v>
      </c>
      <c r="N34" s="506"/>
      <c r="O34" s="509" t="s">
        <v>129</v>
      </c>
      <c r="P34" s="507"/>
      <c r="Q34" s="262"/>
      <c r="R34" s="506" t="s">
        <v>2308</v>
      </c>
      <c r="S34" s="507"/>
      <c r="T34" s="507"/>
      <c r="U34" s="180" t="s">
        <v>2308</v>
      </c>
      <c r="V34" s="131">
        <v>0</v>
      </c>
      <c r="W34" s="132">
        <v>0</v>
      </c>
      <c r="X34" s="120">
        <v>0</v>
      </c>
      <c r="Y34" s="120">
        <v>0</v>
      </c>
      <c r="Z34" s="120">
        <v>0</v>
      </c>
      <c r="AA34" s="133">
        <v>0</v>
      </c>
      <c r="AB34" s="17">
        <v>0</v>
      </c>
      <c r="AC34" s="17">
        <v>0</v>
      </c>
      <c r="AD34" s="133">
        <v>0</v>
      </c>
      <c r="AE34" s="133">
        <v>0</v>
      </c>
      <c r="AF34" s="17">
        <v>0</v>
      </c>
      <c r="AG34" s="133">
        <v>0</v>
      </c>
      <c r="AH34" s="17">
        <v>0</v>
      </c>
      <c r="AI34" s="133">
        <v>0</v>
      </c>
      <c r="AJ34" s="133">
        <v>0</v>
      </c>
      <c r="AK34" s="17">
        <v>0</v>
      </c>
      <c r="AL34" s="137">
        <v>0</v>
      </c>
      <c r="AM34" s="509">
        <v>46.8</v>
      </c>
      <c r="AN34" s="89"/>
      <c r="AO34" s="506">
        <v>37</v>
      </c>
      <c r="AP34" s="416">
        <v>25855</v>
      </c>
      <c r="AQ34" s="180" t="s">
        <v>2573</v>
      </c>
      <c r="AR34" s="183">
        <v>50.8</v>
      </c>
      <c r="AS34" s="37" t="s">
        <v>246</v>
      </c>
      <c r="AT34" s="180">
        <v>304.8</v>
      </c>
      <c r="AU34" s="255">
        <f t="shared" si="1"/>
        <v>21.771428571428569</v>
      </c>
      <c r="AV34" s="181">
        <v>100</v>
      </c>
      <c r="AW34" s="257">
        <v>8</v>
      </c>
      <c r="AX34" s="514"/>
      <c r="AY34" s="258">
        <v>23</v>
      </c>
      <c r="AZ34" s="184">
        <v>0</v>
      </c>
      <c r="BA34" s="184">
        <v>75</v>
      </c>
      <c r="BB34" s="259"/>
      <c r="BC34" s="185"/>
      <c r="BD34" s="186"/>
      <c r="BE34" s="186"/>
      <c r="BF34" s="187"/>
      <c r="BG34" s="27"/>
      <c r="BH34" s="27"/>
    </row>
    <row r="35" spans="1:60" ht="15" customHeight="1">
      <c r="A35" s="95">
        <v>34</v>
      </c>
      <c r="B35" s="96" t="s">
        <v>1706</v>
      </c>
      <c r="C35" s="73" t="s">
        <v>128</v>
      </c>
      <c r="D35" s="257" t="s">
        <v>119</v>
      </c>
      <c r="E35" s="459" t="s">
        <v>3377</v>
      </c>
      <c r="F35" s="258">
        <v>1965</v>
      </c>
      <c r="G35" s="180">
        <v>59</v>
      </c>
      <c r="H35" s="181" t="s">
        <v>1745</v>
      </c>
      <c r="I35" s="182" t="s">
        <v>1743</v>
      </c>
      <c r="J35" s="264">
        <v>0.45739999999999997</v>
      </c>
      <c r="K35" s="513">
        <v>3.7320000000000002</v>
      </c>
      <c r="L35" s="169"/>
      <c r="M35" s="506">
        <v>452</v>
      </c>
      <c r="N35" s="506"/>
      <c r="O35" s="509" t="s">
        <v>129</v>
      </c>
      <c r="P35" s="507"/>
      <c r="Q35" s="262"/>
      <c r="R35" s="506" t="s">
        <v>2308</v>
      </c>
      <c r="S35" s="507"/>
      <c r="T35" s="507"/>
      <c r="U35" s="180" t="s">
        <v>2308</v>
      </c>
      <c r="V35" s="131">
        <v>0</v>
      </c>
      <c r="W35" s="132">
        <v>0</v>
      </c>
      <c r="X35" s="120">
        <v>0</v>
      </c>
      <c r="Y35" s="120">
        <v>0</v>
      </c>
      <c r="Z35" s="120">
        <v>0</v>
      </c>
      <c r="AA35" s="133">
        <v>0</v>
      </c>
      <c r="AB35" s="17">
        <v>0</v>
      </c>
      <c r="AC35" s="17">
        <v>0</v>
      </c>
      <c r="AD35" s="133">
        <v>0</v>
      </c>
      <c r="AE35" s="133">
        <v>0</v>
      </c>
      <c r="AF35" s="17">
        <v>0</v>
      </c>
      <c r="AG35" s="133">
        <v>0</v>
      </c>
      <c r="AH35" s="17">
        <v>0</v>
      </c>
      <c r="AI35" s="133">
        <v>0</v>
      </c>
      <c r="AJ35" s="133">
        <v>0</v>
      </c>
      <c r="AK35" s="17">
        <v>0</v>
      </c>
      <c r="AL35" s="137">
        <v>0</v>
      </c>
      <c r="AM35" s="509">
        <v>46.8</v>
      </c>
      <c r="AN35" s="89"/>
      <c r="AO35" s="506">
        <v>37</v>
      </c>
      <c r="AP35" s="416">
        <v>25855</v>
      </c>
      <c r="AQ35" s="180" t="s">
        <v>2574</v>
      </c>
      <c r="AR35" s="183">
        <v>76.2</v>
      </c>
      <c r="AS35" s="37" t="s">
        <v>246</v>
      </c>
      <c r="AT35" s="180">
        <v>457.2</v>
      </c>
      <c r="AU35" s="255">
        <f t="shared" si="1"/>
        <v>32.657142857142858</v>
      </c>
      <c r="AV35" s="181">
        <v>100</v>
      </c>
      <c r="AW35" s="257">
        <v>8</v>
      </c>
      <c r="AX35" s="514"/>
      <c r="AY35" s="258">
        <v>23</v>
      </c>
      <c r="AZ35" s="184">
        <v>0</v>
      </c>
      <c r="BA35" s="184">
        <v>75</v>
      </c>
      <c r="BB35" s="259"/>
      <c r="BC35" s="185"/>
      <c r="BD35" s="186"/>
      <c r="BE35" s="186"/>
      <c r="BF35" s="187"/>
      <c r="BG35" s="27"/>
      <c r="BH35" s="27"/>
    </row>
    <row r="36" spans="1:60" ht="15" customHeight="1">
      <c r="A36" s="95">
        <v>35</v>
      </c>
      <c r="B36" s="96" t="s">
        <v>1705</v>
      </c>
      <c r="C36" s="73" t="s">
        <v>128</v>
      </c>
      <c r="D36" s="257" t="s">
        <v>119</v>
      </c>
      <c r="E36" s="459" t="s">
        <v>3377</v>
      </c>
      <c r="F36" s="258">
        <v>1965</v>
      </c>
      <c r="G36" s="180">
        <v>59</v>
      </c>
      <c r="H36" s="181" t="s">
        <v>1745</v>
      </c>
      <c r="I36" s="182" t="s">
        <v>1739</v>
      </c>
      <c r="J36" s="264">
        <v>0.45739999999999997</v>
      </c>
      <c r="K36" s="513">
        <v>3.7320000000000002</v>
      </c>
      <c r="L36" s="169"/>
      <c r="M36" s="506">
        <v>452</v>
      </c>
      <c r="N36" s="506"/>
      <c r="O36" s="509" t="s">
        <v>129</v>
      </c>
      <c r="P36" s="507"/>
      <c r="Q36" s="262"/>
      <c r="R36" s="506" t="s">
        <v>2308</v>
      </c>
      <c r="S36" s="507"/>
      <c r="T36" s="507"/>
      <c r="U36" s="180" t="s">
        <v>2308</v>
      </c>
      <c r="V36" s="131">
        <v>0</v>
      </c>
      <c r="W36" s="132">
        <v>0</v>
      </c>
      <c r="X36" s="120">
        <v>0</v>
      </c>
      <c r="Y36" s="120">
        <v>0</v>
      </c>
      <c r="Z36" s="120">
        <v>0</v>
      </c>
      <c r="AA36" s="133">
        <v>0</v>
      </c>
      <c r="AB36" s="17">
        <v>0</v>
      </c>
      <c r="AC36" s="17">
        <v>0</v>
      </c>
      <c r="AD36" s="133">
        <v>0</v>
      </c>
      <c r="AE36" s="133">
        <v>0</v>
      </c>
      <c r="AF36" s="17">
        <v>0</v>
      </c>
      <c r="AG36" s="133">
        <v>0</v>
      </c>
      <c r="AH36" s="17">
        <v>0</v>
      </c>
      <c r="AI36" s="133">
        <v>0</v>
      </c>
      <c r="AJ36" s="133">
        <v>0</v>
      </c>
      <c r="AK36" s="17">
        <v>0</v>
      </c>
      <c r="AL36" s="137">
        <v>0</v>
      </c>
      <c r="AM36" s="509">
        <v>45.2</v>
      </c>
      <c r="AN36" s="89"/>
      <c r="AO36" s="506">
        <v>37</v>
      </c>
      <c r="AP36" s="416">
        <v>27234</v>
      </c>
      <c r="AQ36" s="180" t="s">
        <v>2572</v>
      </c>
      <c r="AR36" s="183">
        <v>38.1</v>
      </c>
      <c r="AS36" s="37" t="s">
        <v>246</v>
      </c>
      <c r="AT36" s="180">
        <v>228.6</v>
      </c>
      <c r="AU36" s="255">
        <f t="shared" si="1"/>
        <v>16.328571428571429</v>
      </c>
      <c r="AV36" s="181">
        <v>100</v>
      </c>
      <c r="AW36" s="257">
        <v>8</v>
      </c>
      <c r="AX36" s="514"/>
      <c r="AY36" s="258">
        <v>23</v>
      </c>
      <c r="AZ36" s="184">
        <v>0</v>
      </c>
      <c r="BA36" s="184">
        <v>100</v>
      </c>
      <c r="BB36" s="259"/>
      <c r="BC36" s="185"/>
      <c r="BD36" s="186"/>
      <c r="BE36" s="186"/>
      <c r="BF36" s="187"/>
      <c r="BG36" s="27"/>
      <c r="BH36" s="27"/>
    </row>
    <row r="37" spans="1:60" ht="15" customHeight="1">
      <c r="A37" s="95">
        <v>36</v>
      </c>
      <c r="B37" s="96" t="s">
        <v>1704</v>
      </c>
      <c r="C37" s="73" t="s">
        <v>128</v>
      </c>
      <c r="D37" s="257" t="s">
        <v>119</v>
      </c>
      <c r="E37" s="459" t="s">
        <v>3377</v>
      </c>
      <c r="F37" s="258">
        <v>1965</v>
      </c>
      <c r="G37" s="180">
        <v>59</v>
      </c>
      <c r="H37" s="181" t="s">
        <v>1745</v>
      </c>
      <c r="I37" s="182" t="s">
        <v>1739</v>
      </c>
      <c r="J37" s="264">
        <v>0.45739999999999997</v>
      </c>
      <c r="K37" s="513">
        <v>3.7320000000000002</v>
      </c>
      <c r="L37" s="169"/>
      <c r="M37" s="506">
        <v>452</v>
      </c>
      <c r="N37" s="506"/>
      <c r="O37" s="509" t="s">
        <v>129</v>
      </c>
      <c r="P37" s="507"/>
      <c r="Q37" s="262"/>
      <c r="R37" s="506" t="s">
        <v>2308</v>
      </c>
      <c r="S37" s="507"/>
      <c r="T37" s="507"/>
      <c r="U37" s="180" t="s">
        <v>2308</v>
      </c>
      <c r="V37" s="131">
        <v>0</v>
      </c>
      <c r="W37" s="132">
        <v>0</v>
      </c>
      <c r="X37" s="120">
        <v>0</v>
      </c>
      <c r="Y37" s="120">
        <v>0</v>
      </c>
      <c r="Z37" s="120">
        <v>0</v>
      </c>
      <c r="AA37" s="133">
        <v>0</v>
      </c>
      <c r="AB37" s="17">
        <v>0</v>
      </c>
      <c r="AC37" s="17">
        <v>0</v>
      </c>
      <c r="AD37" s="133">
        <v>0</v>
      </c>
      <c r="AE37" s="133">
        <v>0</v>
      </c>
      <c r="AF37" s="17">
        <v>0</v>
      </c>
      <c r="AG37" s="133">
        <v>0</v>
      </c>
      <c r="AH37" s="17">
        <v>0</v>
      </c>
      <c r="AI37" s="133">
        <v>0</v>
      </c>
      <c r="AJ37" s="133">
        <v>0</v>
      </c>
      <c r="AK37" s="17">
        <v>0</v>
      </c>
      <c r="AL37" s="137">
        <v>0</v>
      </c>
      <c r="AM37" s="509">
        <v>45.2</v>
      </c>
      <c r="AN37" s="89"/>
      <c r="AO37" s="506">
        <v>37</v>
      </c>
      <c r="AP37" s="416">
        <v>27234</v>
      </c>
      <c r="AQ37" s="180" t="s">
        <v>2573</v>
      </c>
      <c r="AR37" s="183">
        <v>50.8</v>
      </c>
      <c r="AS37" s="37" t="s">
        <v>246</v>
      </c>
      <c r="AT37" s="180">
        <v>304.8</v>
      </c>
      <c r="AU37" s="255">
        <f t="shared" si="1"/>
        <v>21.771428571428569</v>
      </c>
      <c r="AV37" s="181">
        <v>100</v>
      </c>
      <c r="AW37" s="257">
        <v>8</v>
      </c>
      <c r="AX37" s="514"/>
      <c r="AY37" s="258">
        <v>23</v>
      </c>
      <c r="AZ37" s="184">
        <v>0</v>
      </c>
      <c r="BA37" s="184">
        <v>100</v>
      </c>
      <c r="BB37" s="259"/>
      <c r="BC37" s="185"/>
      <c r="BD37" s="186"/>
      <c r="BE37" s="186"/>
      <c r="BF37" s="187"/>
      <c r="BG37" s="27"/>
      <c r="BH37" s="27"/>
    </row>
    <row r="38" spans="1:60">
      <c r="A38" s="95">
        <v>37</v>
      </c>
      <c r="B38" s="96" t="s">
        <v>1703</v>
      </c>
      <c r="C38" s="73" t="s">
        <v>128</v>
      </c>
      <c r="D38" s="257" t="s">
        <v>119</v>
      </c>
      <c r="E38" s="459" t="s">
        <v>3377</v>
      </c>
      <c r="F38" s="258">
        <v>1965</v>
      </c>
      <c r="G38" s="180">
        <v>59</v>
      </c>
      <c r="H38" s="181" t="s">
        <v>1745</v>
      </c>
      <c r="I38" s="182" t="s">
        <v>1739</v>
      </c>
      <c r="J38" s="264">
        <v>0.45739999999999997</v>
      </c>
      <c r="K38" s="513">
        <v>3.7320000000000002</v>
      </c>
      <c r="L38" s="169"/>
      <c r="M38" s="506">
        <v>452</v>
      </c>
      <c r="N38" s="506"/>
      <c r="O38" s="509" t="s">
        <v>129</v>
      </c>
      <c r="P38" s="507"/>
      <c r="Q38" s="262"/>
      <c r="R38" s="506" t="s">
        <v>2308</v>
      </c>
      <c r="S38" s="507"/>
      <c r="T38" s="507"/>
      <c r="U38" s="180" t="s">
        <v>2308</v>
      </c>
      <c r="V38" s="131">
        <v>0</v>
      </c>
      <c r="W38" s="132">
        <v>0</v>
      </c>
      <c r="X38" s="120">
        <v>0</v>
      </c>
      <c r="Y38" s="120">
        <v>0</v>
      </c>
      <c r="Z38" s="120">
        <v>0</v>
      </c>
      <c r="AA38" s="133">
        <v>0</v>
      </c>
      <c r="AB38" s="17">
        <v>0</v>
      </c>
      <c r="AC38" s="17">
        <v>0</v>
      </c>
      <c r="AD38" s="133">
        <v>0</v>
      </c>
      <c r="AE38" s="133">
        <v>0</v>
      </c>
      <c r="AF38" s="17">
        <v>0</v>
      </c>
      <c r="AG38" s="133">
        <v>0</v>
      </c>
      <c r="AH38" s="17">
        <v>0</v>
      </c>
      <c r="AI38" s="133">
        <v>0</v>
      </c>
      <c r="AJ38" s="133">
        <v>0</v>
      </c>
      <c r="AK38" s="17">
        <v>0</v>
      </c>
      <c r="AL38" s="137">
        <v>0</v>
      </c>
      <c r="AM38" s="509">
        <v>45.2</v>
      </c>
      <c r="AN38" s="89"/>
      <c r="AO38" s="506">
        <v>37</v>
      </c>
      <c r="AP38" s="416">
        <v>27234</v>
      </c>
      <c r="AQ38" s="180" t="s">
        <v>2574</v>
      </c>
      <c r="AR38" s="183">
        <v>76.2</v>
      </c>
      <c r="AS38" s="37" t="s">
        <v>246</v>
      </c>
      <c r="AT38" s="180">
        <v>457.2</v>
      </c>
      <c r="AU38" s="255">
        <f t="shared" si="1"/>
        <v>32.657142857142858</v>
      </c>
      <c r="AV38" s="181">
        <v>100</v>
      </c>
      <c r="AW38" s="257">
        <v>8</v>
      </c>
      <c r="AX38" s="514"/>
      <c r="AY38" s="258">
        <v>23</v>
      </c>
      <c r="AZ38" s="184">
        <v>0</v>
      </c>
      <c r="BA38" s="184">
        <v>100</v>
      </c>
      <c r="BB38" s="259"/>
      <c r="BC38" s="185"/>
      <c r="BD38" s="186"/>
      <c r="BE38" s="186"/>
      <c r="BF38" s="187"/>
      <c r="BG38" s="27"/>
      <c r="BH38" s="27"/>
    </row>
    <row r="39" spans="1:60" ht="15" customHeight="1">
      <c r="A39" s="95">
        <v>38</v>
      </c>
      <c r="B39" s="96" t="s">
        <v>1702</v>
      </c>
      <c r="C39" s="73" t="s">
        <v>128</v>
      </c>
      <c r="D39" s="257" t="s">
        <v>119</v>
      </c>
      <c r="E39" s="459" t="s">
        <v>3377</v>
      </c>
      <c r="F39" s="258">
        <v>1965</v>
      </c>
      <c r="G39" s="180">
        <v>59</v>
      </c>
      <c r="H39" s="181" t="s">
        <v>1745</v>
      </c>
      <c r="I39" s="182" t="s">
        <v>1743</v>
      </c>
      <c r="J39" s="264">
        <v>0.45739999999999997</v>
      </c>
      <c r="K39" s="513">
        <v>3.7320000000000002</v>
      </c>
      <c r="L39" s="169"/>
      <c r="M39" s="506">
        <v>452</v>
      </c>
      <c r="N39" s="506"/>
      <c r="O39" s="509" t="s">
        <v>129</v>
      </c>
      <c r="P39" s="507"/>
      <c r="Q39" s="262"/>
      <c r="R39" s="506" t="s">
        <v>2308</v>
      </c>
      <c r="S39" s="507"/>
      <c r="T39" s="507"/>
      <c r="U39" s="180" t="s">
        <v>2308</v>
      </c>
      <c r="V39" s="131">
        <v>0</v>
      </c>
      <c r="W39" s="132">
        <v>0</v>
      </c>
      <c r="X39" s="120">
        <v>0</v>
      </c>
      <c r="Y39" s="120">
        <v>0</v>
      </c>
      <c r="Z39" s="120">
        <v>0</v>
      </c>
      <c r="AA39" s="133">
        <v>0</v>
      </c>
      <c r="AB39" s="17">
        <v>0</v>
      </c>
      <c r="AC39" s="17">
        <v>0</v>
      </c>
      <c r="AD39" s="133">
        <v>0</v>
      </c>
      <c r="AE39" s="133">
        <v>0</v>
      </c>
      <c r="AF39" s="17">
        <v>0</v>
      </c>
      <c r="AG39" s="133">
        <v>0</v>
      </c>
      <c r="AH39" s="17">
        <v>0</v>
      </c>
      <c r="AI39" s="133">
        <v>0</v>
      </c>
      <c r="AJ39" s="133">
        <v>0</v>
      </c>
      <c r="AK39" s="17">
        <v>0</v>
      </c>
      <c r="AL39" s="137">
        <v>0</v>
      </c>
      <c r="AM39" s="509">
        <v>46.5</v>
      </c>
      <c r="AN39" s="89"/>
      <c r="AO39" s="506">
        <v>37</v>
      </c>
      <c r="AP39" s="416">
        <v>24476</v>
      </c>
      <c r="AQ39" s="180" t="s">
        <v>2575</v>
      </c>
      <c r="AR39" s="183">
        <v>76.2</v>
      </c>
      <c r="AS39" s="180">
        <v>152.4</v>
      </c>
      <c r="AT39" s="180">
        <v>304.8</v>
      </c>
      <c r="AU39" s="255">
        <f t="shared" ref="AU39:AU56" si="3">IF(ISBLANK(AS39),(AR39*AT39)/((4*AT39)+(2*AR39)),AR39*AS39*AT39/2/(AR39*AS39+AR39*AT39+AS39*AT39))</f>
        <v>21.771428571428572</v>
      </c>
      <c r="AV39" s="181">
        <v>100</v>
      </c>
      <c r="AW39" s="257">
        <v>8</v>
      </c>
      <c r="AX39" s="514"/>
      <c r="AY39" s="258">
        <v>23</v>
      </c>
      <c r="AZ39" s="184">
        <v>0</v>
      </c>
      <c r="BA39" s="184">
        <v>20</v>
      </c>
      <c r="BB39" s="259"/>
      <c r="BC39" s="185"/>
      <c r="BD39" s="186"/>
      <c r="BE39" s="186"/>
      <c r="BF39" s="187" t="s">
        <v>2576</v>
      </c>
      <c r="BG39" s="27"/>
      <c r="BH39" s="27"/>
    </row>
    <row r="40" spans="1:60" ht="15" customHeight="1">
      <c r="A40" s="95">
        <v>39</v>
      </c>
      <c r="B40" s="96" t="s">
        <v>1701</v>
      </c>
      <c r="C40" s="73" t="s">
        <v>128</v>
      </c>
      <c r="D40" s="257" t="s">
        <v>119</v>
      </c>
      <c r="E40" s="459" t="s">
        <v>3377</v>
      </c>
      <c r="F40" s="258">
        <v>1965</v>
      </c>
      <c r="G40" s="180">
        <v>59</v>
      </c>
      <c r="H40" s="181" t="s">
        <v>1745</v>
      </c>
      <c r="I40" s="182" t="s">
        <v>1743</v>
      </c>
      <c r="J40" s="264">
        <v>0.45739999999999997</v>
      </c>
      <c r="K40" s="513">
        <v>3.7320000000000002</v>
      </c>
      <c r="L40" s="169"/>
      <c r="M40" s="506">
        <v>452</v>
      </c>
      <c r="N40" s="506"/>
      <c r="O40" s="509" t="s">
        <v>129</v>
      </c>
      <c r="P40" s="507"/>
      <c r="Q40" s="262"/>
      <c r="R40" s="506" t="s">
        <v>2308</v>
      </c>
      <c r="S40" s="507"/>
      <c r="T40" s="507"/>
      <c r="U40" s="180" t="s">
        <v>2308</v>
      </c>
      <c r="V40" s="131">
        <v>0</v>
      </c>
      <c r="W40" s="132">
        <v>0</v>
      </c>
      <c r="X40" s="120">
        <v>0</v>
      </c>
      <c r="Y40" s="120">
        <v>0</v>
      </c>
      <c r="Z40" s="120">
        <v>0</v>
      </c>
      <c r="AA40" s="133">
        <v>0</v>
      </c>
      <c r="AB40" s="17">
        <v>0</v>
      </c>
      <c r="AC40" s="17">
        <v>0</v>
      </c>
      <c r="AD40" s="133">
        <v>0</v>
      </c>
      <c r="AE40" s="133">
        <v>0</v>
      </c>
      <c r="AF40" s="17">
        <v>0</v>
      </c>
      <c r="AG40" s="133">
        <v>0</v>
      </c>
      <c r="AH40" s="17">
        <v>0</v>
      </c>
      <c r="AI40" s="133">
        <v>0</v>
      </c>
      <c r="AJ40" s="133">
        <v>0</v>
      </c>
      <c r="AK40" s="17">
        <v>0</v>
      </c>
      <c r="AL40" s="137">
        <v>0</v>
      </c>
      <c r="AM40" s="509">
        <v>47.5</v>
      </c>
      <c r="AN40" s="89"/>
      <c r="AO40" s="506">
        <v>37</v>
      </c>
      <c r="AP40" s="416">
        <v>25510</v>
      </c>
      <c r="AQ40" s="180" t="s">
        <v>2575</v>
      </c>
      <c r="AR40" s="183">
        <v>76.2</v>
      </c>
      <c r="AS40" s="180">
        <v>152.4</v>
      </c>
      <c r="AT40" s="180">
        <v>304.8</v>
      </c>
      <c r="AU40" s="255">
        <f t="shared" si="3"/>
        <v>21.771428571428572</v>
      </c>
      <c r="AV40" s="181">
        <v>100</v>
      </c>
      <c r="AW40" s="257">
        <v>8</v>
      </c>
      <c r="AX40" s="514"/>
      <c r="AY40" s="258">
        <v>23</v>
      </c>
      <c r="AZ40" s="184">
        <v>0</v>
      </c>
      <c r="BA40" s="184">
        <v>50</v>
      </c>
      <c r="BB40" s="259"/>
      <c r="BC40" s="185"/>
      <c r="BD40" s="186"/>
      <c r="BE40" s="186"/>
      <c r="BF40" s="187" t="s">
        <v>2576</v>
      </c>
      <c r="BG40" s="27"/>
      <c r="BH40" s="27"/>
    </row>
    <row r="41" spans="1:60" ht="15" customHeight="1">
      <c r="A41" s="95">
        <v>40</v>
      </c>
      <c r="B41" s="96" t="s">
        <v>1700</v>
      </c>
      <c r="C41" s="73" t="s">
        <v>128</v>
      </c>
      <c r="D41" s="257" t="s">
        <v>119</v>
      </c>
      <c r="E41" s="459" t="s">
        <v>3377</v>
      </c>
      <c r="F41" s="258">
        <v>1965</v>
      </c>
      <c r="G41" s="180">
        <v>59</v>
      </c>
      <c r="H41" s="181" t="s">
        <v>1745</v>
      </c>
      <c r="I41" s="182" t="s">
        <v>1743</v>
      </c>
      <c r="J41" s="264">
        <v>0.45739999999999997</v>
      </c>
      <c r="K41" s="513">
        <v>3.7320000000000002</v>
      </c>
      <c r="L41" s="169"/>
      <c r="M41" s="506">
        <v>452</v>
      </c>
      <c r="N41" s="506"/>
      <c r="O41" s="509" t="s">
        <v>129</v>
      </c>
      <c r="P41" s="507"/>
      <c r="Q41" s="262"/>
      <c r="R41" s="506" t="s">
        <v>2308</v>
      </c>
      <c r="S41" s="507"/>
      <c r="T41" s="507"/>
      <c r="U41" s="180" t="s">
        <v>2308</v>
      </c>
      <c r="V41" s="131">
        <v>0</v>
      </c>
      <c r="W41" s="132">
        <v>0</v>
      </c>
      <c r="X41" s="120">
        <v>0</v>
      </c>
      <c r="Y41" s="120">
        <v>0</v>
      </c>
      <c r="Z41" s="120">
        <v>0</v>
      </c>
      <c r="AA41" s="133">
        <v>0</v>
      </c>
      <c r="AB41" s="17">
        <v>0</v>
      </c>
      <c r="AC41" s="17">
        <v>0</v>
      </c>
      <c r="AD41" s="133">
        <v>0</v>
      </c>
      <c r="AE41" s="133">
        <v>0</v>
      </c>
      <c r="AF41" s="17">
        <v>0</v>
      </c>
      <c r="AG41" s="133">
        <v>0</v>
      </c>
      <c r="AH41" s="17">
        <v>0</v>
      </c>
      <c r="AI41" s="133">
        <v>0</v>
      </c>
      <c r="AJ41" s="133">
        <v>0</v>
      </c>
      <c r="AK41" s="17">
        <v>0</v>
      </c>
      <c r="AL41" s="137">
        <v>0</v>
      </c>
      <c r="AM41" s="509">
        <v>46.8</v>
      </c>
      <c r="AN41" s="89"/>
      <c r="AO41" s="506">
        <v>37</v>
      </c>
      <c r="AP41" s="416">
        <v>25855</v>
      </c>
      <c r="AQ41" s="180" t="s">
        <v>2575</v>
      </c>
      <c r="AR41" s="183">
        <v>76.2</v>
      </c>
      <c r="AS41" s="180">
        <v>152.4</v>
      </c>
      <c r="AT41" s="180">
        <v>304.8</v>
      </c>
      <c r="AU41" s="255">
        <f t="shared" si="3"/>
        <v>21.771428571428572</v>
      </c>
      <c r="AV41" s="181">
        <v>100</v>
      </c>
      <c r="AW41" s="257">
        <v>8</v>
      </c>
      <c r="AX41" s="514"/>
      <c r="AY41" s="258">
        <v>23</v>
      </c>
      <c r="AZ41" s="184">
        <v>0</v>
      </c>
      <c r="BA41" s="184">
        <v>75</v>
      </c>
      <c r="BB41" s="259"/>
      <c r="BC41" s="185"/>
      <c r="BD41" s="186"/>
      <c r="BE41" s="186"/>
      <c r="BF41" s="187" t="s">
        <v>2576</v>
      </c>
      <c r="BG41" s="27"/>
      <c r="BH41" s="27"/>
    </row>
    <row r="42" spans="1:60" ht="15" customHeight="1">
      <c r="A42" s="95">
        <v>41</v>
      </c>
      <c r="B42" s="96" t="s">
        <v>1699</v>
      </c>
      <c r="C42" s="73" t="s">
        <v>128</v>
      </c>
      <c r="D42" s="257" t="s">
        <v>119</v>
      </c>
      <c r="E42" s="459" t="s">
        <v>3377</v>
      </c>
      <c r="F42" s="258">
        <v>1965</v>
      </c>
      <c r="G42" s="180">
        <v>59</v>
      </c>
      <c r="H42" s="181" t="s">
        <v>1745</v>
      </c>
      <c r="I42" s="182" t="s">
        <v>1739</v>
      </c>
      <c r="J42" s="264">
        <v>0.45739999999999997</v>
      </c>
      <c r="K42" s="513">
        <v>3.7320000000000002</v>
      </c>
      <c r="L42" s="169"/>
      <c r="M42" s="506">
        <v>452</v>
      </c>
      <c r="N42" s="506"/>
      <c r="O42" s="509" t="s">
        <v>129</v>
      </c>
      <c r="P42" s="507"/>
      <c r="Q42" s="262"/>
      <c r="R42" s="506" t="s">
        <v>2308</v>
      </c>
      <c r="S42" s="507"/>
      <c r="T42" s="507"/>
      <c r="U42" s="180" t="s">
        <v>2308</v>
      </c>
      <c r="V42" s="131">
        <v>0</v>
      </c>
      <c r="W42" s="132">
        <v>0</v>
      </c>
      <c r="X42" s="120">
        <v>0</v>
      </c>
      <c r="Y42" s="120">
        <v>0</v>
      </c>
      <c r="Z42" s="120">
        <v>0</v>
      </c>
      <c r="AA42" s="133">
        <v>0</v>
      </c>
      <c r="AB42" s="17">
        <v>0</v>
      </c>
      <c r="AC42" s="17">
        <v>0</v>
      </c>
      <c r="AD42" s="133">
        <v>0</v>
      </c>
      <c r="AE42" s="133">
        <v>0</v>
      </c>
      <c r="AF42" s="17">
        <v>0</v>
      </c>
      <c r="AG42" s="133">
        <v>0</v>
      </c>
      <c r="AH42" s="17">
        <v>0</v>
      </c>
      <c r="AI42" s="133">
        <v>0</v>
      </c>
      <c r="AJ42" s="133">
        <v>0</v>
      </c>
      <c r="AK42" s="17">
        <v>0</v>
      </c>
      <c r="AL42" s="137">
        <v>0</v>
      </c>
      <c r="AM42" s="509">
        <v>45.2</v>
      </c>
      <c r="AN42" s="89"/>
      <c r="AO42" s="506">
        <v>37</v>
      </c>
      <c r="AP42" s="416">
        <v>27234</v>
      </c>
      <c r="AQ42" s="180" t="s">
        <v>2575</v>
      </c>
      <c r="AR42" s="183">
        <v>76.2</v>
      </c>
      <c r="AS42" s="180">
        <v>152.4</v>
      </c>
      <c r="AT42" s="180">
        <v>304.8</v>
      </c>
      <c r="AU42" s="255">
        <f t="shared" si="3"/>
        <v>21.771428571428572</v>
      </c>
      <c r="AV42" s="181">
        <v>100</v>
      </c>
      <c r="AW42" s="257">
        <v>8</v>
      </c>
      <c r="AX42" s="514"/>
      <c r="AY42" s="258">
        <v>23</v>
      </c>
      <c r="AZ42" s="184">
        <v>0</v>
      </c>
      <c r="BA42" s="184">
        <v>100</v>
      </c>
      <c r="BB42" s="259"/>
      <c r="BC42" s="185"/>
      <c r="BD42" s="186"/>
      <c r="BE42" s="186"/>
      <c r="BF42" s="187" t="s">
        <v>2576</v>
      </c>
      <c r="BG42" s="27"/>
      <c r="BH42" s="27"/>
    </row>
    <row r="43" spans="1:60" ht="15" customHeight="1">
      <c r="A43" s="95">
        <v>42</v>
      </c>
      <c r="B43" s="96" t="s">
        <v>1698</v>
      </c>
      <c r="C43" s="73" t="s">
        <v>2580</v>
      </c>
      <c r="D43" s="257" t="s">
        <v>254</v>
      </c>
      <c r="E43" s="459" t="s">
        <v>3377</v>
      </c>
      <c r="F43" s="258">
        <v>1968</v>
      </c>
      <c r="G43" s="171">
        <v>61</v>
      </c>
      <c r="H43" s="172" t="s">
        <v>1738</v>
      </c>
      <c r="I43" s="173" t="s">
        <v>1743</v>
      </c>
      <c r="J43" s="508">
        <v>0.49</v>
      </c>
      <c r="K43" s="513">
        <v>4.8140000000000001</v>
      </c>
      <c r="L43" s="91">
        <f t="shared" ref="L43:L74" si="4">(J43)*(M43)</f>
        <v>171.5</v>
      </c>
      <c r="M43" s="506">
        <v>350</v>
      </c>
      <c r="N43" s="506"/>
      <c r="O43" s="509" t="s">
        <v>12</v>
      </c>
      <c r="P43" s="507"/>
      <c r="Q43" s="262"/>
      <c r="R43" s="506" t="s">
        <v>2308</v>
      </c>
      <c r="S43" s="507"/>
      <c r="T43" s="507"/>
      <c r="U43" s="171" t="s">
        <v>2308</v>
      </c>
      <c r="V43" s="131">
        <v>0</v>
      </c>
      <c r="W43" s="132">
        <v>0</v>
      </c>
      <c r="X43" s="120">
        <v>0</v>
      </c>
      <c r="Y43" s="120">
        <v>0</v>
      </c>
      <c r="Z43" s="120">
        <v>0</v>
      </c>
      <c r="AA43" s="130"/>
      <c r="AB43" s="17">
        <v>0</v>
      </c>
      <c r="AC43" s="17">
        <v>0</v>
      </c>
      <c r="AD43" s="130"/>
      <c r="AE43" s="130"/>
      <c r="AF43" s="17">
        <v>0</v>
      </c>
      <c r="AG43" s="133">
        <v>0</v>
      </c>
      <c r="AH43" s="17">
        <v>0</v>
      </c>
      <c r="AI43" s="17">
        <v>0</v>
      </c>
      <c r="AJ43" s="17">
        <v>0</v>
      </c>
      <c r="AK43" s="17">
        <v>0</v>
      </c>
      <c r="AL43" s="32">
        <v>0</v>
      </c>
      <c r="AM43" s="509">
        <v>33.9</v>
      </c>
      <c r="AN43" s="89"/>
      <c r="AO43" s="89"/>
      <c r="AP43" s="416">
        <v>37000</v>
      </c>
      <c r="AQ43" s="133" t="s">
        <v>131</v>
      </c>
      <c r="AR43" s="188">
        <v>70</v>
      </c>
      <c r="AS43" s="37"/>
      <c r="AT43" s="171" t="str">
        <f t="shared" ref="AT43:AT89" si="5">RIGHT(AQ43,LEN(AQ43)-FIND("x",AQ43,1))</f>
        <v>280</v>
      </c>
      <c r="AU43" s="255">
        <f t="shared" si="3"/>
        <v>15.555555555555555</v>
      </c>
      <c r="AV43" s="263"/>
      <c r="AW43" s="257">
        <v>1</v>
      </c>
      <c r="AX43" s="514"/>
      <c r="AY43" s="258">
        <v>20</v>
      </c>
      <c r="AZ43" s="261"/>
      <c r="BA43" s="175">
        <v>50</v>
      </c>
      <c r="BB43" s="259"/>
      <c r="BC43" s="176"/>
      <c r="BD43" s="179"/>
      <c r="BE43" s="177" t="s">
        <v>259</v>
      </c>
      <c r="BF43" s="178"/>
      <c r="BG43" s="27"/>
      <c r="BH43" s="27"/>
    </row>
    <row r="44" spans="1:60" ht="15" customHeight="1">
      <c r="A44" s="95">
        <v>43</v>
      </c>
      <c r="B44" s="96" t="s">
        <v>1697</v>
      </c>
      <c r="C44" s="73" t="s">
        <v>2580</v>
      </c>
      <c r="D44" s="257" t="s">
        <v>254</v>
      </c>
      <c r="E44" s="459" t="s">
        <v>3377</v>
      </c>
      <c r="F44" s="258">
        <v>1968</v>
      </c>
      <c r="G44" s="171">
        <v>61</v>
      </c>
      <c r="H44" s="172" t="s">
        <v>1738</v>
      </c>
      <c r="I44" s="173" t="s">
        <v>1743</v>
      </c>
      <c r="J44" s="508">
        <v>0.49</v>
      </c>
      <c r="K44" s="513">
        <v>4.8140000000000001</v>
      </c>
      <c r="L44" s="91">
        <f t="shared" si="4"/>
        <v>171.5</v>
      </c>
      <c r="M44" s="506">
        <v>350</v>
      </c>
      <c r="N44" s="506"/>
      <c r="O44" s="509" t="s">
        <v>12</v>
      </c>
      <c r="P44" s="507"/>
      <c r="Q44" s="262"/>
      <c r="R44" s="506" t="s">
        <v>2308</v>
      </c>
      <c r="S44" s="507"/>
      <c r="T44" s="507"/>
      <c r="U44" s="171" t="s">
        <v>2308</v>
      </c>
      <c r="V44" s="131">
        <v>0</v>
      </c>
      <c r="W44" s="132">
        <v>0</v>
      </c>
      <c r="X44" s="120">
        <v>0</v>
      </c>
      <c r="Y44" s="120">
        <v>0</v>
      </c>
      <c r="Z44" s="120">
        <v>0</v>
      </c>
      <c r="AA44" s="130"/>
      <c r="AB44" s="17">
        <v>0</v>
      </c>
      <c r="AC44" s="17">
        <v>0</v>
      </c>
      <c r="AD44" s="130"/>
      <c r="AE44" s="130"/>
      <c r="AF44" s="17">
        <v>0</v>
      </c>
      <c r="AG44" s="133">
        <v>0</v>
      </c>
      <c r="AH44" s="17">
        <v>0</v>
      </c>
      <c r="AI44" s="17">
        <v>0</v>
      </c>
      <c r="AJ44" s="17">
        <v>0</v>
      </c>
      <c r="AK44" s="17">
        <v>0</v>
      </c>
      <c r="AL44" s="32">
        <v>0</v>
      </c>
      <c r="AM44" s="509">
        <v>33.9</v>
      </c>
      <c r="AN44" s="89"/>
      <c r="AO44" s="89"/>
      <c r="AP44" s="416">
        <v>37000</v>
      </c>
      <c r="AQ44" s="133" t="s">
        <v>131</v>
      </c>
      <c r="AR44" s="188">
        <v>70</v>
      </c>
      <c r="AS44" s="89"/>
      <c r="AT44" s="171" t="str">
        <f t="shared" si="5"/>
        <v>280</v>
      </c>
      <c r="AU44" s="255">
        <f t="shared" si="3"/>
        <v>15.555555555555555</v>
      </c>
      <c r="AV44" s="263"/>
      <c r="AW44" s="257">
        <v>1</v>
      </c>
      <c r="AX44" s="514"/>
      <c r="AY44" s="258">
        <v>20</v>
      </c>
      <c r="AZ44" s="261"/>
      <c r="BA44" s="175">
        <v>100</v>
      </c>
      <c r="BB44" s="259"/>
      <c r="BC44" s="176"/>
      <c r="BD44" s="179"/>
      <c r="BE44" s="177" t="s">
        <v>259</v>
      </c>
      <c r="BF44" s="178"/>
      <c r="BG44" s="27"/>
      <c r="BH44" s="27"/>
    </row>
    <row r="45" spans="1:60" ht="15" customHeight="1">
      <c r="A45" s="95">
        <v>44</v>
      </c>
      <c r="B45" s="96" t="s">
        <v>1696</v>
      </c>
      <c r="C45" s="73" t="s">
        <v>2580</v>
      </c>
      <c r="D45" s="257" t="s">
        <v>254</v>
      </c>
      <c r="E45" s="459" t="s">
        <v>3377</v>
      </c>
      <c r="F45" s="258">
        <v>1968</v>
      </c>
      <c r="G45" s="171">
        <v>61</v>
      </c>
      <c r="H45" s="172" t="s">
        <v>1738</v>
      </c>
      <c r="I45" s="173" t="s">
        <v>1743</v>
      </c>
      <c r="J45" s="508">
        <v>0.49</v>
      </c>
      <c r="K45" s="513">
        <v>4.8140000000000001</v>
      </c>
      <c r="L45" s="91">
        <f t="shared" si="4"/>
        <v>171.5</v>
      </c>
      <c r="M45" s="506">
        <v>350</v>
      </c>
      <c r="N45" s="506"/>
      <c r="O45" s="509" t="s">
        <v>12</v>
      </c>
      <c r="P45" s="507"/>
      <c r="Q45" s="262"/>
      <c r="R45" s="506" t="s">
        <v>2308</v>
      </c>
      <c r="S45" s="507"/>
      <c r="T45" s="507"/>
      <c r="U45" s="171" t="s">
        <v>2308</v>
      </c>
      <c r="V45" s="131">
        <v>0</v>
      </c>
      <c r="W45" s="132">
        <v>0</v>
      </c>
      <c r="X45" s="120">
        <v>0</v>
      </c>
      <c r="Y45" s="120">
        <v>0</v>
      </c>
      <c r="Z45" s="120">
        <v>0</v>
      </c>
      <c r="AA45" s="130"/>
      <c r="AB45" s="17">
        <v>0</v>
      </c>
      <c r="AC45" s="17">
        <v>0</v>
      </c>
      <c r="AD45" s="130"/>
      <c r="AE45" s="130"/>
      <c r="AF45" s="17">
        <v>0</v>
      </c>
      <c r="AG45" s="133">
        <v>0</v>
      </c>
      <c r="AH45" s="17">
        <v>0</v>
      </c>
      <c r="AI45" s="17">
        <v>0</v>
      </c>
      <c r="AJ45" s="17">
        <v>0</v>
      </c>
      <c r="AK45" s="17">
        <v>0</v>
      </c>
      <c r="AL45" s="32">
        <v>0</v>
      </c>
      <c r="AM45" s="509">
        <v>33.9</v>
      </c>
      <c r="AN45" s="89"/>
      <c r="AO45" s="89"/>
      <c r="AP45" s="416">
        <v>37000</v>
      </c>
      <c r="AQ45" s="133" t="s">
        <v>131</v>
      </c>
      <c r="AR45" s="188">
        <v>70</v>
      </c>
      <c r="AS45" s="89"/>
      <c r="AT45" s="171" t="str">
        <f t="shared" si="5"/>
        <v>280</v>
      </c>
      <c r="AU45" s="255">
        <f t="shared" si="3"/>
        <v>15.555555555555555</v>
      </c>
      <c r="AV45" s="263"/>
      <c r="AW45" s="257">
        <v>1</v>
      </c>
      <c r="AX45" s="514"/>
      <c r="AY45" s="258">
        <v>20</v>
      </c>
      <c r="AZ45" s="261"/>
      <c r="BA45" s="175">
        <v>100</v>
      </c>
      <c r="BB45" s="259"/>
      <c r="BC45" s="176"/>
      <c r="BD45" s="179"/>
      <c r="BE45" s="177" t="s">
        <v>259</v>
      </c>
      <c r="BF45" s="178"/>
      <c r="BG45" s="27"/>
      <c r="BH45" s="27"/>
    </row>
    <row r="46" spans="1:60" ht="15" customHeight="1">
      <c r="A46" s="95">
        <v>45</v>
      </c>
      <c r="B46" s="96" t="s">
        <v>1695</v>
      </c>
      <c r="C46" s="73" t="s">
        <v>2580</v>
      </c>
      <c r="D46" s="257" t="s">
        <v>254</v>
      </c>
      <c r="E46" s="459" t="s">
        <v>3377</v>
      </c>
      <c r="F46" s="258">
        <v>1968</v>
      </c>
      <c r="G46" s="171">
        <v>61</v>
      </c>
      <c r="H46" s="172" t="s">
        <v>1738</v>
      </c>
      <c r="I46" s="173" t="s">
        <v>1743</v>
      </c>
      <c r="J46" s="508">
        <v>0.49</v>
      </c>
      <c r="K46" s="513">
        <v>4.8140000000000001</v>
      </c>
      <c r="L46" s="91">
        <f t="shared" si="4"/>
        <v>171.5</v>
      </c>
      <c r="M46" s="506">
        <v>350</v>
      </c>
      <c r="N46" s="506"/>
      <c r="O46" s="509" t="s">
        <v>12</v>
      </c>
      <c r="P46" s="507"/>
      <c r="Q46" s="262"/>
      <c r="R46" s="506" t="s">
        <v>2308</v>
      </c>
      <c r="S46" s="507"/>
      <c r="T46" s="507"/>
      <c r="U46" s="171" t="s">
        <v>2308</v>
      </c>
      <c r="V46" s="131">
        <v>0</v>
      </c>
      <c r="W46" s="132">
        <v>0</v>
      </c>
      <c r="X46" s="120">
        <v>0</v>
      </c>
      <c r="Y46" s="120">
        <v>0</v>
      </c>
      <c r="Z46" s="120">
        <v>0</v>
      </c>
      <c r="AA46" s="130"/>
      <c r="AB46" s="17">
        <v>0</v>
      </c>
      <c r="AC46" s="17">
        <v>0</v>
      </c>
      <c r="AD46" s="130"/>
      <c r="AE46" s="130"/>
      <c r="AF46" s="17">
        <v>0</v>
      </c>
      <c r="AG46" s="133">
        <v>0</v>
      </c>
      <c r="AH46" s="17">
        <v>0</v>
      </c>
      <c r="AI46" s="17">
        <v>0</v>
      </c>
      <c r="AJ46" s="17">
        <v>0</v>
      </c>
      <c r="AK46" s="17">
        <v>0</v>
      </c>
      <c r="AL46" s="32">
        <v>0</v>
      </c>
      <c r="AM46" s="509">
        <v>33.9</v>
      </c>
      <c r="AN46" s="89"/>
      <c r="AO46" s="89"/>
      <c r="AP46" s="416">
        <v>37000</v>
      </c>
      <c r="AQ46" s="133" t="s">
        <v>131</v>
      </c>
      <c r="AR46" s="188">
        <v>70</v>
      </c>
      <c r="AS46" s="89"/>
      <c r="AT46" s="171" t="str">
        <f t="shared" si="5"/>
        <v>280</v>
      </c>
      <c r="AU46" s="255">
        <f t="shared" si="3"/>
        <v>15.555555555555555</v>
      </c>
      <c r="AV46" s="263"/>
      <c r="AW46" s="257">
        <v>1</v>
      </c>
      <c r="AX46" s="514"/>
      <c r="AY46" s="258">
        <v>20</v>
      </c>
      <c r="AZ46" s="261"/>
      <c r="BA46" s="175">
        <v>99</v>
      </c>
      <c r="BB46" s="259"/>
      <c r="BC46" s="176"/>
      <c r="BD46" s="179"/>
      <c r="BE46" s="177" t="s">
        <v>259</v>
      </c>
      <c r="BF46" s="178"/>
      <c r="BG46" s="27"/>
      <c r="BH46" s="27"/>
    </row>
    <row r="47" spans="1:60" ht="15" customHeight="1">
      <c r="A47" s="95">
        <v>46</v>
      </c>
      <c r="B47" s="96" t="s">
        <v>1694</v>
      </c>
      <c r="C47" s="73" t="s">
        <v>2580</v>
      </c>
      <c r="D47" s="257" t="s">
        <v>254</v>
      </c>
      <c r="E47" s="459" t="s">
        <v>3377</v>
      </c>
      <c r="F47" s="258">
        <v>1968</v>
      </c>
      <c r="G47" s="171">
        <v>61</v>
      </c>
      <c r="H47" s="172" t="s">
        <v>1738</v>
      </c>
      <c r="I47" s="173" t="s">
        <v>1743</v>
      </c>
      <c r="J47" s="508">
        <v>0.49</v>
      </c>
      <c r="K47" s="513">
        <v>4.8140000000000001</v>
      </c>
      <c r="L47" s="91">
        <f t="shared" si="4"/>
        <v>171.5</v>
      </c>
      <c r="M47" s="506">
        <v>350</v>
      </c>
      <c r="N47" s="506"/>
      <c r="O47" s="509" t="s">
        <v>12</v>
      </c>
      <c r="P47" s="507"/>
      <c r="Q47" s="262"/>
      <c r="R47" s="506" t="s">
        <v>2308</v>
      </c>
      <c r="S47" s="507"/>
      <c r="T47" s="507"/>
      <c r="U47" s="171" t="s">
        <v>2308</v>
      </c>
      <c r="V47" s="131">
        <v>0</v>
      </c>
      <c r="W47" s="132">
        <v>0</v>
      </c>
      <c r="X47" s="120">
        <v>0</v>
      </c>
      <c r="Y47" s="120">
        <v>0</v>
      </c>
      <c r="Z47" s="120">
        <v>0</v>
      </c>
      <c r="AA47" s="130"/>
      <c r="AB47" s="17">
        <v>0</v>
      </c>
      <c r="AC47" s="17">
        <v>0</v>
      </c>
      <c r="AD47" s="130"/>
      <c r="AE47" s="130"/>
      <c r="AF47" s="17">
        <v>0</v>
      </c>
      <c r="AG47" s="133">
        <v>0</v>
      </c>
      <c r="AH47" s="17">
        <v>0</v>
      </c>
      <c r="AI47" s="17">
        <v>0</v>
      </c>
      <c r="AJ47" s="17">
        <v>0</v>
      </c>
      <c r="AK47" s="17">
        <v>0</v>
      </c>
      <c r="AL47" s="32">
        <v>0</v>
      </c>
      <c r="AM47" s="509">
        <v>33.9</v>
      </c>
      <c r="AN47" s="89"/>
      <c r="AO47" s="89"/>
      <c r="AP47" s="416">
        <v>37000</v>
      </c>
      <c r="AQ47" s="133" t="s">
        <v>131</v>
      </c>
      <c r="AR47" s="188">
        <v>70</v>
      </c>
      <c r="AS47" s="89"/>
      <c r="AT47" s="171" t="str">
        <f t="shared" si="5"/>
        <v>280</v>
      </c>
      <c r="AU47" s="255">
        <f t="shared" si="3"/>
        <v>15.555555555555555</v>
      </c>
      <c r="AV47" s="263"/>
      <c r="AW47" s="257">
        <v>1</v>
      </c>
      <c r="AX47" s="514"/>
      <c r="AY47" s="258">
        <v>20</v>
      </c>
      <c r="AZ47" s="261"/>
      <c r="BA47" s="175">
        <v>75</v>
      </c>
      <c r="BB47" s="259"/>
      <c r="BC47" s="176"/>
      <c r="BD47" s="179"/>
      <c r="BE47" s="177" t="s">
        <v>259</v>
      </c>
      <c r="BF47" s="178"/>
      <c r="BG47" s="27"/>
      <c r="BH47" s="27"/>
    </row>
    <row r="48" spans="1:60" ht="15" customHeight="1">
      <c r="A48" s="95">
        <v>47</v>
      </c>
      <c r="B48" s="96" t="s">
        <v>1693</v>
      </c>
      <c r="C48" s="73" t="s">
        <v>2580</v>
      </c>
      <c r="D48" s="257" t="s">
        <v>254</v>
      </c>
      <c r="E48" s="459" t="s">
        <v>3377</v>
      </c>
      <c r="F48" s="258">
        <v>1968</v>
      </c>
      <c r="G48" s="171">
        <v>61</v>
      </c>
      <c r="H48" s="172" t="s">
        <v>1738</v>
      </c>
      <c r="I48" s="173" t="s">
        <v>1743</v>
      </c>
      <c r="J48" s="508">
        <v>0.49</v>
      </c>
      <c r="K48" s="513">
        <v>4.8140000000000001</v>
      </c>
      <c r="L48" s="91">
        <f t="shared" si="4"/>
        <v>171.5</v>
      </c>
      <c r="M48" s="506">
        <v>350</v>
      </c>
      <c r="N48" s="506"/>
      <c r="O48" s="509" t="s">
        <v>12</v>
      </c>
      <c r="P48" s="507"/>
      <c r="Q48" s="262"/>
      <c r="R48" s="506" t="s">
        <v>2308</v>
      </c>
      <c r="S48" s="507"/>
      <c r="T48" s="507"/>
      <c r="U48" s="171" t="s">
        <v>2308</v>
      </c>
      <c r="V48" s="131">
        <v>0</v>
      </c>
      <c r="W48" s="132">
        <v>0</v>
      </c>
      <c r="X48" s="120">
        <v>0</v>
      </c>
      <c r="Y48" s="120">
        <v>0</v>
      </c>
      <c r="Z48" s="120">
        <v>0</v>
      </c>
      <c r="AA48" s="130"/>
      <c r="AB48" s="17">
        <v>0</v>
      </c>
      <c r="AC48" s="17">
        <v>0</v>
      </c>
      <c r="AD48" s="130"/>
      <c r="AE48" s="130"/>
      <c r="AF48" s="17">
        <v>0</v>
      </c>
      <c r="AG48" s="133">
        <v>0</v>
      </c>
      <c r="AH48" s="17">
        <v>0</v>
      </c>
      <c r="AI48" s="17">
        <v>0</v>
      </c>
      <c r="AJ48" s="17">
        <v>0</v>
      </c>
      <c r="AK48" s="17">
        <v>0</v>
      </c>
      <c r="AL48" s="32">
        <v>0</v>
      </c>
      <c r="AM48" s="509">
        <v>33.9</v>
      </c>
      <c r="AN48" s="89"/>
      <c r="AO48" s="89"/>
      <c r="AP48" s="416">
        <v>37000</v>
      </c>
      <c r="AQ48" s="133" t="s">
        <v>131</v>
      </c>
      <c r="AR48" s="188">
        <v>70</v>
      </c>
      <c r="AS48" s="89"/>
      <c r="AT48" s="171" t="str">
        <f t="shared" si="5"/>
        <v>280</v>
      </c>
      <c r="AU48" s="255">
        <f t="shared" si="3"/>
        <v>15.555555555555555</v>
      </c>
      <c r="AV48" s="263"/>
      <c r="AW48" s="257">
        <v>1</v>
      </c>
      <c r="AX48" s="514"/>
      <c r="AY48" s="258">
        <v>20</v>
      </c>
      <c r="AZ48" s="261"/>
      <c r="BA48" s="175">
        <v>50</v>
      </c>
      <c r="BB48" s="259"/>
      <c r="BC48" s="176"/>
      <c r="BD48" s="179"/>
      <c r="BE48" s="177" t="s">
        <v>259</v>
      </c>
      <c r="BF48" s="178"/>
      <c r="BG48" s="27"/>
      <c r="BH48" s="27"/>
    </row>
    <row r="49" spans="1:60" ht="15" customHeight="1">
      <c r="A49" s="95">
        <v>48</v>
      </c>
      <c r="B49" s="96" t="s">
        <v>1692</v>
      </c>
      <c r="C49" s="73" t="s">
        <v>2580</v>
      </c>
      <c r="D49" s="257" t="s">
        <v>254</v>
      </c>
      <c r="E49" s="459" t="s">
        <v>3377</v>
      </c>
      <c r="F49" s="258">
        <v>1968</v>
      </c>
      <c r="G49" s="171">
        <v>61</v>
      </c>
      <c r="H49" s="172" t="s">
        <v>1738</v>
      </c>
      <c r="I49" s="173" t="s">
        <v>1743</v>
      </c>
      <c r="J49" s="508">
        <v>0.49</v>
      </c>
      <c r="K49" s="513">
        <v>4.8140000000000001</v>
      </c>
      <c r="L49" s="91">
        <f t="shared" si="4"/>
        <v>171.5</v>
      </c>
      <c r="M49" s="506">
        <v>350</v>
      </c>
      <c r="N49" s="506"/>
      <c r="O49" s="509" t="s">
        <v>12</v>
      </c>
      <c r="P49" s="507"/>
      <c r="Q49" s="262"/>
      <c r="R49" s="506" t="s">
        <v>2308</v>
      </c>
      <c r="S49" s="507"/>
      <c r="T49" s="507"/>
      <c r="U49" s="171" t="s">
        <v>2308</v>
      </c>
      <c r="V49" s="131">
        <v>0</v>
      </c>
      <c r="W49" s="132">
        <v>0</v>
      </c>
      <c r="X49" s="120">
        <v>0</v>
      </c>
      <c r="Y49" s="120">
        <v>0</v>
      </c>
      <c r="Z49" s="120">
        <v>0</v>
      </c>
      <c r="AA49" s="130"/>
      <c r="AB49" s="17">
        <v>0</v>
      </c>
      <c r="AC49" s="17">
        <v>0</v>
      </c>
      <c r="AD49" s="130"/>
      <c r="AE49" s="130"/>
      <c r="AF49" s="17">
        <v>0</v>
      </c>
      <c r="AG49" s="133">
        <v>0</v>
      </c>
      <c r="AH49" s="17">
        <v>0</v>
      </c>
      <c r="AI49" s="17">
        <v>0</v>
      </c>
      <c r="AJ49" s="17">
        <v>0</v>
      </c>
      <c r="AK49" s="17">
        <v>0</v>
      </c>
      <c r="AL49" s="32">
        <v>0</v>
      </c>
      <c r="AM49" s="509">
        <v>33.9</v>
      </c>
      <c r="AN49" s="89"/>
      <c r="AO49" s="89"/>
      <c r="AP49" s="416">
        <v>37000</v>
      </c>
      <c r="AQ49" s="133" t="s">
        <v>131</v>
      </c>
      <c r="AR49" s="188">
        <v>70</v>
      </c>
      <c r="AS49" s="89"/>
      <c r="AT49" s="171" t="str">
        <f t="shared" si="5"/>
        <v>280</v>
      </c>
      <c r="AU49" s="255">
        <f t="shared" si="3"/>
        <v>15.555555555555555</v>
      </c>
      <c r="AV49" s="263"/>
      <c r="AW49" s="257">
        <v>1</v>
      </c>
      <c r="AX49" s="514"/>
      <c r="AY49" s="258">
        <v>20</v>
      </c>
      <c r="AZ49" s="261"/>
      <c r="BA49" s="175">
        <v>35</v>
      </c>
      <c r="BB49" s="259"/>
      <c r="BC49" s="176"/>
      <c r="BD49" s="179"/>
      <c r="BE49" s="177" t="s">
        <v>259</v>
      </c>
      <c r="BF49" s="178"/>
      <c r="BG49" s="27"/>
      <c r="BH49" s="27"/>
    </row>
    <row r="50" spans="1:60" ht="15" customHeight="1">
      <c r="A50" s="95">
        <v>49</v>
      </c>
      <c r="B50" s="96" t="s">
        <v>1691</v>
      </c>
      <c r="C50" s="73" t="s">
        <v>2580</v>
      </c>
      <c r="D50" s="257" t="s">
        <v>254</v>
      </c>
      <c r="E50" s="459" t="s">
        <v>3377</v>
      </c>
      <c r="F50" s="258">
        <v>1968</v>
      </c>
      <c r="G50" s="171">
        <v>61</v>
      </c>
      <c r="H50" s="172" t="s">
        <v>1738</v>
      </c>
      <c r="I50" s="173" t="s">
        <v>1743</v>
      </c>
      <c r="J50" s="508">
        <v>0.49</v>
      </c>
      <c r="K50" s="513">
        <v>4.8140000000000001</v>
      </c>
      <c r="L50" s="91">
        <f t="shared" si="4"/>
        <v>171.5</v>
      </c>
      <c r="M50" s="506">
        <v>350</v>
      </c>
      <c r="N50" s="506"/>
      <c r="O50" s="509" t="s">
        <v>12</v>
      </c>
      <c r="P50" s="507"/>
      <c r="Q50" s="262"/>
      <c r="R50" s="506" t="s">
        <v>2308</v>
      </c>
      <c r="S50" s="507"/>
      <c r="T50" s="507"/>
      <c r="U50" s="171" t="s">
        <v>2308</v>
      </c>
      <c r="V50" s="131">
        <v>0</v>
      </c>
      <c r="W50" s="132">
        <v>0</v>
      </c>
      <c r="X50" s="120">
        <v>0</v>
      </c>
      <c r="Y50" s="120">
        <v>0</v>
      </c>
      <c r="Z50" s="120">
        <v>0</v>
      </c>
      <c r="AA50" s="130"/>
      <c r="AB50" s="17">
        <v>0</v>
      </c>
      <c r="AC50" s="17">
        <v>0</v>
      </c>
      <c r="AD50" s="130"/>
      <c r="AE50" s="130"/>
      <c r="AF50" s="17">
        <v>0</v>
      </c>
      <c r="AG50" s="133">
        <v>0</v>
      </c>
      <c r="AH50" s="17">
        <v>0</v>
      </c>
      <c r="AI50" s="17">
        <v>0</v>
      </c>
      <c r="AJ50" s="17">
        <v>0</v>
      </c>
      <c r="AK50" s="17">
        <v>0</v>
      </c>
      <c r="AL50" s="32">
        <v>0</v>
      </c>
      <c r="AM50" s="509">
        <v>33.9</v>
      </c>
      <c r="AN50" s="89"/>
      <c r="AO50" s="89"/>
      <c r="AP50" s="416">
        <v>37000</v>
      </c>
      <c r="AQ50" s="133" t="s">
        <v>131</v>
      </c>
      <c r="AR50" s="188">
        <v>70</v>
      </c>
      <c r="AS50" s="89"/>
      <c r="AT50" s="171" t="str">
        <f t="shared" si="5"/>
        <v>280</v>
      </c>
      <c r="AU50" s="255">
        <f t="shared" si="3"/>
        <v>15.555555555555555</v>
      </c>
      <c r="AV50" s="263"/>
      <c r="AW50" s="257">
        <v>1</v>
      </c>
      <c r="AX50" s="514"/>
      <c r="AY50" s="258">
        <v>20</v>
      </c>
      <c r="AZ50" s="261"/>
      <c r="BA50" s="175">
        <v>50</v>
      </c>
      <c r="BB50" s="259"/>
      <c r="BC50" s="176"/>
      <c r="BD50" s="179"/>
      <c r="BE50" s="177" t="s">
        <v>259</v>
      </c>
      <c r="BF50" s="178"/>
      <c r="BG50" s="27"/>
      <c r="BH50" s="27"/>
    </row>
    <row r="51" spans="1:60" ht="15" customHeight="1">
      <c r="A51" s="95">
        <v>50</v>
      </c>
      <c r="B51" s="96" t="s">
        <v>1690</v>
      </c>
      <c r="C51" s="73" t="s">
        <v>2580</v>
      </c>
      <c r="D51" s="257" t="s">
        <v>254</v>
      </c>
      <c r="E51" s="459" t="s">
        <v>3377</v>
      </c>
      <c r="F51" s="258">
        <v>1968</v>
      </c>
      <c r="G51" s="171">
        <v>61</v>
      </c>
      <c r="H51" s="172" t="s">
        <v>1738</v>
      </c>
      <c r="I51" s="173" t="s">
        <v>1743</v>
      </c>
      <c r="J51" s="508">
        <v>0.49</v>
      </c>
      <c r="K51" s="513">
        <v>4.8140000000000001</v>
      </c>
      <c r="L51" s="91">
        <f t="shared" si="4"/>
        <v>171.5</v>
      </c>
      <c r="M51" s="506">
        <v>350</v>
      </c>
      <c r="N51" s="506"/>
      <c r="O51" s="509" t="s">
        <v>12</v>
      </c>
      <c r="P51" s="507"/>
      <c r="Q51" s="262"/>
      <c r="R51" s="506" t="s">
        <v>2308</v>
      </c>
      <c r="S51" s="507"/>
      <c r="T51" s="507"/>
      <c r="U51" s="171" t="s">
        <v>2308</v>
      </c>
      <c r="V51" s="131">
        <v>0</v>
      </c>
      <c r="W51" s="132">
        <v>0</v>
      </c>
      <c r="X51" s="120">
        <v>0</v>
      </c>
      <c r="Y51" s="120">
        <v>0</v>
      </c>
      <c r="Z51" s="120">
        <v>0</v>
      </c>
      <c r="AA51" s="130"/>
      <c r="AB51" s="17">
        <v>0</v>
      </c>
      <c r="AC51" s="17">
        <v>0</v>
      </c>
      <c r="AD51" s="130"/>
      <c r="AE51" s="130"/>
      <c r="AF51" s="17">
        <v>0</v>
      </c>
      <c r="AG51" s="133">
        <v>0</v>
      </c>
      <c r="AH51" s="17">
        <v>0</v>
      </c>
      <c r="AI51" s="17">
        <v>0</v>
      </c>
      <c r="AJ51" s="17">
        <v>0</v>
      </c>
      <c r="AK51" s="17">
        <v>0</v>
      </c>
      <c r="AL51" s="32">
        <v>0</v>
      </c>
      <c r="AM51" s="509">
        <v>33.9</v>
      </c>
      <c r="AN51" s="89"/>
      <c r="AO51" s="89"/>
      <c r="AP51" s="416">
        <v>37000</v>
      </c>
      <c r="AQ51" s="133" t="s">
        <v>1613</v>
      </c>
      <c r="AR51" s="188">
        <v>140</v>
      </c>
      <c r="AS51" s="89"/>
      <c r="AT51" s="171" t="str">
        <f t="shared" si="5"/>
        <v>560</v>
      </c>
      <c r="AU51" s="255">
        <f t="shared" si="3"/>
        <v>31.111111111111111</v>
      </c>
      <c r="AV51" s="263"/>
      <c r="AW51" s="257">
        <v>1</v>
      </c>
      <c r="AX51" s="514"/>
      <c r="AY51" s="258">
        <v>20</v>
      </c>
      <c r="AZ51" s="261"/>
      <c r="BA51" s="175">
        <v>50</v>
      </c>
      <c r="BB51" s="259"/>
      <c r="BC51" s="176"/>
      <c r="BD51" s="179"/>
      <c r="BE51" s="177" t="s">
        <v>259</v>
      </c>
      <c r="BF51" s="178"/>
      <c r="BG51" s="27"/>
      <c r="BH51" s="27"/>
    </row>
    <row r="52" spans="1:60" ht="15" customHeight="1">
      <c r="A52" s="95">
        <v>51</v>
      </c>
      <c r="B52" s="96" t="s">
        <v>1689</v>
      </c>
      <c r="C52" s="73" t="s">
        <v>2580</v>
      </c>
      <c r="D52" s="257" t="s">
        <v>254</v>
      </c>
      <c r="E52" s="459" t="s">
        <v>3377</v>
      </c>
      <c r="F52" s="258">
        <v>1968</v>
      </c>
      <c r="G52" s="171">
        <v>61</v>
      </c>
      <c r="H52" s="172" t="s">
        <v>1738</v>
      </c>
      <c r="I52" s="173" t="s">
        <v>1743</v>
      </c>
      <c r="J52" s="508">
        <v>0.49</v>
      </c>
      <c r="K52" s="513">
        <v>4.8140000000000001</v>
      </c>
      <c r="L52" s="91">
        <f t="shared" si="4"/>
        <v>171.5</v>
      </c>
      <c r="M52" s="506">
        <v>350</v>
      </c>
      <c r="N52" s="506"/>
      <c r="O52" s="509" t="s">
        <v>12</v>
      </c>
      <c r="P52" s="507"/>
      <c r="Q52" s="262"/>
      <c r="R52" s="506" t="s">
        <v>2308</v>
      </c>
      <c r="S52" s="507"/>
      <c r="T52" s="507"/>
      <c r="U52" s="171" t="s">
        <v>2308</v>
      </c>
      <c r="V52" s="131">
        <v>0</v>
      </c>
      <c r="W52" s="132">
        <v>0</v>
      </c>
      <c r="X52" s="120">
        <v>0</v>
      </c>
      <c r="Y52" s="120">
        <v>0</v>
      </c>
      <c r="Z52" s="120">
        <v>0</v>
      </c>
      <c r="AA52" s="130"/>
      <c r="AB52" s="17">
        <v>0</v>
      </c>
      <c r="AC52" s="17">
        <v>0</v>
      </c>
      <c r="AD52" s="130"/>
      <c r="AE52" s="130"/>
      <c r="AF52" s="17">
        <v>0</v>
      </c>
      <c r="AG52" s="133">
        <v>0</v>
      </c>
      <c r="AH52" s="17">
        <v>0</v>
      </c>
      <c r="AI52" s="17">
        <v>0</v>
      </c>
      <c r="AJ52" s="17">
        <v>0</v>
      </c>
      <c r="AK52" s="17">
        <v>0</v>
      </c>
      <c r="AL52" s="32">
        <v>0</v>
      </c>
      <c r="AM52" s="509">
        <v>33.9</v>
      </c>
      <c r="AN52" s="89"/>
      <c r="AO52" s="89"/>
      <c r="AP52" s="416">
        <v>37000</v>
      </c>
      <c r="AQ52" s="133" t="s">
        <v>1688</v>
      </c>
      <c r="AR52" s="188">
        <v>200</v>
      </c>
      <c r="AS52" s="89"/>
      <c r="AT52" s="171" t="str">
        <f t="shared" si="5"/>
        <v>600</v>
      </c>
      <c r="AU52" s="255">
        <f t="shared" si="3"/>
        <v>42.857142857142854</v>
      </c>
      <c r="AV52" s="263"/>
      <c r="AW52" s="257">
        <v>1</v>
      </c>
      <c r="AX52" s="514"/>
      <c r="AY52" s="258">
        <v>20</v>
      </c>
      <c r="AZ52" s="261"/>
      <c r="BA52" s="175">
        <v>50</v>
      </c>
      <c r="BB52" s="259"/>
      <c r="BC52" s="176"/>
      <c r="BD52" s="179"/>
      <c r="BE52" s="177" t="s">
        <v>259</v>
      </c>
      <c r="BF52" s="178"/>
      <c r="BG52" s="27"/>
      <c r="BH52" s="27"/>
    </row>
    <row r="53" spans="1:60" ht="15" customHeight="1">
      <c r="A53" s="95">
        <v>52</v>
      </c>
      <c r="B53" s="96" t="s">
        <v>1687</v>
      </c>
      <c r="C53" s="73" t="s">
        <v>2580</v>
      </c>
      <c r="D53" s="257" t="s">
        <v>254</v>
      </c>
      <c r="E53" s="459" t="s">
        <v>3377</v>
      </c>
      <c r="F53" s="258">
        <v>1968</v>
      </c>
      <c r="G53" s="171">
        <v>61</v>
      </c>
      <c r="H53" s="172" t="s">
        <v>1738</v>
      </c>
      <c r="I53" s="173" t="s">
        <v>1743</v>
      </c>
      <c r="J53" s="508">
        <v>0.49</v>
      </c>
      <c r="K53" s="513">
        <v>4.8140000000000001</v>
      </c>
      <c r="L53" s="91">
        <f t="shared" si="4"/>
        <v>171.5</v>
      </c>
      <c r="M53" s="506">
        <v>350</v>
      </c>
      <c r="N53" s="506"/>
      <c r="O53" s="509" t="s">
        <v>12</v>
      </c>
      <c r="P53" s="507"/>
      <c r="Q53" s="262"/>
      <c r="R53" s="506" t="s">
        <v>2308</v>
      </c>
      <c r="S53" s="507"/>
      <c r="T53" s="507"/>
      <c r="U53" s="171" t="s">
        <v>2308</v>
      </c>
      <c r="V53" s="131">
        <v>0</v>
      </c>
      <c r="W53" s="132">
        <v>0</v>
      </c>
      <c r="X53" s="120">
        <v>0</v>
      </c>
      <c r="Y53" s="120">
        <v>0</v>
      </c>
      <c r="Z53" s="120">
        <v>0</v>
      </c>
      <c r="AA53" s="130"/>
      <c r="AB53" s="17">
        <v>0</v>
      </c>
      <c r="AC53" s="17">
        <v>0</v>
      </c>
      <c r="AD53" s="130"/>
      <c r="AE53" s="130"/>
      <c r="AF53" s="17">
        <v>0</v>
      </c>
      <c r="AG53" s="133">
        <v>0</v>
      </c>
      <c r="AH53" s="17">
        <v>0</v>
      </c>
      <c r="AI53" s="17">
        <v>0</v>
      </c>
      <c r="AJ53" s="17">
        <v>0</v>
      </c>
      <c r="AK53" s="17">
        <v>0</v>
      </c>
      <c r="AL53" s="32">
        <v>0</v>
      </c>
      <c r="AM53" s="509">
        <v>33.9</v>
      </c>
      <c r="AN53" s="89"/>
      <c r="AO53" s="89"/>
      <c r="AP53" s="416">
        <v>37000</v>
      </c>
      <c r="AQ53" s="133" t="s">
        <v>131</v>
      </c>
      <c r="AR53" s="188">
        <v>70</v>
      </c>
      <c r="AS53" s="89"/>
      <c r="AT53" s="171" t="str">
        <f t="shared" si="5"/>
        <v>280</v>
      </c>
      <c r="AU53" s="255">
        <f t="shared" si="3"/>
        <v>15.555555555555555</v>
      </c>
      <c r="AV53" s="263"/>
      <c r="AW53" s="257">
        <v>625</v>
      </c>
      <c r="AX53" s="514"/>
      <c r="AY53" s="258">
        <v>20</v>
      </c>
      <c r="AZ53" s="261"/>
      <c r="BA53" s="175">
        <v>35</v>
      </c>
      <c r="BB53" s="259"/>
      <c r="BC53" s="176"/>
      <c r="BD53" s="179"/>
      <c r="BE53" s="177" t="s">
        <v>259</v>
      </c>
      <c r="BF53" s="178"/>
      <c r="BG53" s="27"/>
      <c r="BH53" s="27"/>
    </row>
    <row r="54" spans="1:60" ht="15" customHeight="1">
      <c r="A54" s="95">
        <v>53</v>
      </c>
      <c r="B54" s="96" t="s">
        <v>1686</v>
      </c>
      <c r="C54" s="73" t="s">
        <v>2580</v>
      </c>
      <c r="D54" s="257" t="s">
        <v>254</v>
      </c>
      <c r="E54" s="459" t="s">
        <v>3377</v>
      </c>
      <c r="F54" s="258">
        <v>1968</v>
      </c>
      <c r="G54" s="171">
        <v>61</v>
      </c>
      <c r="H54" s="172" t="s">
        <v>1738</v>
      </c>
      <c r="I54" s="173" t="s">
        <v>1743</v>
      </c>
      <c r="J54" s="508">
        <v>0.49</v>
      </c>
      <c r="K54" s="513">
        <v>4.8140000000000001</v>
      </c>
      <c r="L54" s="91">
        <f t="shared" si="4"/>
        <v>171.5</v>
      </c>
      <c r="M54" s="506">
        <v>350</v>
      </c>
      <c r="N54" s="506"/>
      <c r="O54" s="509" t="s">
        <v>12</v>
      </c>
      <c r="P54" s="507"/>
      <c r="Q54" s="262"/>
      <c r="R54" s="506" t="s">
        <v>2308</v>
      </c>
      <c r="S54" s="507"/>
      <c r="T54" s="507"/>
      <c r="U54" s="171" t="s">
        <v>2308</v>
      </c>
      <c r="V54" s="131">
        <v>0</v>
      </c>
      <c r="W54" s="132">
        <v>0</v>
      </c>
      <c r="X54" s="120">
        <v>0</v>
      </c>
      <c r="Y54" s="120">
        <v>0</v>
      </c>
      <c r="Z54" s="120">
        <v>0</v>
      </c>
      <c r="AA54" s="130"/>
      <c r="AB54" s="17">
        <v>0</v>
      </c>
      <c r="AC54" s="17">
        <v>0</v>
      </c>
      <c r="AD54" s="130"/>
      <c r="AE54" s="130"/>
      <c r="AF54" s="17">
        <v>0</v>
      </c>
      <c r="AG54" s="133">
        <v>0</v>
      </c>
      <c r="AH54" s="17">
        <v>0</v>
      </c>
      <c r="AI54" s="17">
        <v>0</v>
      </c>
      <c r="AJ54" s="17">
        <v>0</v>
      </c>
      <c r="AK54" s="17">
        <v>0</v>
      </c>
      <c r="AL54" s="32">
        <v>0</v>
      </c>
      <c r="AM54" s="509">
        <v>33.9</v>
      </c>
      <c r="AN54" s="89"/>
      <c r="AO54" s="89"/>
      <c r="AP54" s="416">
        <v>37000</v>
      </c>
      <c r="AQ54" s="133" t="s">
        <v>131</v>
      </c>
      <c r="AR54" s="188">
        <v>70</v>
      </c>
      <c r="AS54" s="89"/>
      <c r="AT54" s="171" t="str">
        <f t="shared" si="5"/>
        <v>280</v>
      </c>
      <c r="AU54" s="255">
        <f t="shared" si="3"/>
        <v>15.555555555555555</v>
      </c>
      <c r="AV54" s="263"/>
      <c r="AW54" s="257">
        <v>625</v>
      </c>
      <c r="AX54" s="514"/>
      <c r="AY54" s="258">
        <v>20</v>
      </c>
      <c r="AZ54" s="261"/>
      <c r="BA54" s="175">
        <v>50</v>
      </c>
      <c r="BB54" s="259"/>
      <c r="BC54" s="176"/>
      <c r="BD54" s="179"/>
      <c r="BE54" s="177" t="s">
        <v>259</v>
      </c>
      <c r="BF54" s="178"/>
      <c r="BG54" s="27"/>
      <c r="BH54" s="27"/>
    </row>
    <row r="55" spans="1:60" ht="15" customHeight="1">
      <c r="A55" s="95">
        <v>54</v>
      </c>
      <c r="B55" s="96" t="s">
        <v>1685</v>
      </c>
      <c r="C55" s="73" t="s">
        <v>2580</v>
      </c>
      <c r="D55" s="257" t="s">
        <v>254</v>
      </c>
      <c r="E55" s="459" t="s">
        <v>3377</v>
      </c>
      <c r="F55" s="258">
        <v>1968</v>
      </c>
      <c r="G55" s="171">
        <v>61</v>
      </c>
      <c r="H55" s="172" t="s">
        <v>1738</v>
      </c>
      <c r="I55" s="173" t="s">
        <v>1743</v>
      </c>
      <c r="J55" s="508">
        <v>0.49</v>
      </c>
      <c r="K55" s="513">
        <v>4.8140000000000001</v>
      </c>
      <c r="L55" s="91">
        <f t="shared" si="4"/>
        <v>171.5</v>
      </c>
      <c r="M55" s="506">
        <v>350</v>
      </c>
      <c r="N55" s="506"/>
      <c r="O55" s="509" t="s">
        <v>12</v>
      </c>
      <c r="P55" s="507"/>
      <c r="Q55" s="262"/>
      <c r="R55" s="506" t="s">
        <v>2308</v>
      </c>
      <c r="S55" s="507"/>
      <c r="T55" s="507"/>
      <c r="U55" s="171" t="s">
        <v>2308</v>
      </c>
      <c r="V55" s="131">
        <v>0</v>
      </c>
      <c r="W55" s="132">
        <v>0</v>
      </c>
      <c r="X55" s="120">
        <v>0</v>
      </c>
      <c r="Y55" s="120">
        <v>0</v>
      </c>
      <c r="Z55" s="120">
        <v>0</v>
      </c>
      <c r="AA55" s="130"/>
      <c r="AB55" s="17">
        <v>0</v>
      </c>
      <c r="AC55" s="17">
        <v>0</v>
      </c>
      <c r="AD55" s="130"/>
      <c r="AE55" s="130"/>
      <c r="AF55" s="17">
        <v>0</v>
      </c>
      <c r="AG55" s="133">
        <v>0</v>
      </c>
      <c r="AH55" s="17">
        <v>0</v>
      </c>
      <c r="AI55" s="17">
        <v>0</v>
      </c>
      <c r="AJ55" s="17">
        <v>0</v>
      </c>
      <c r="AK55" s="17">
        <v>0</v>
      </c>
      <c r="AL55" s="32">
        <v>0</v>
      </c>
      <c r="AM55" s="509">
        <v>33.9</v>
      </c>
      <c r="AN55" s="89"/>
      <c r="AO55" s="89"/>
      <c r="AP55" s="416">
        <v>37000</v>
      </c>
      <c r="AQ55" s="133" t="s">
        <v>131</v>
      </c>
      <c r="AR55" s="188">
        <v>70</v>
      </c>
      <c r="AS55" s="89"/>
      <c r="AT55" s="171" t="str">
        <f t="shared" si="5"/>
        <v>280</v>
      </c>
      <c r="AU55" s="255">
        <f t="shared" si="3"/>
        <v>15.555555555555555</v>
      </c>
      <c r="AV55" s="263"/>
      <c r="AW55" s="257">
        <v>625</v>
      </c>
      <c r="AX55" s="514"/>
      <c r="AY55" s="258">
        <v>20</v>
      </c>
      <c r="AZ55" s="261"/>
      <c r="BA55" s="175">
        <v>75</v>
      </c>
      <c r="BB55" s="259"/>
      <c r="BC55" s="176"/>
      <c r="BD55" s="179"/>
      <c r="BE55" s="177" t="s">
        <v>259</v>
      </c>
      <c r="BF55" s="178"/>
      <c r="BG55" s="27"/>
      <c r="BH55" s="27"/>
    </row>
    <row r="56" spans="1:60" ht="15" customHeight="1">
      <c r="A56" s="95">
        <v>55</v>
      </c>
      <c r="B56" s="96" t="s">
        <v>1684</v>
      </c>
      <c r="C56" s="73" t="s">
        <v>2580</v>
      </c>
      <c r="D56" s="257" t="s">
        <v>254</v>
      </c>
      <c r="E56" s="459" t="s">
        <v>3377</v>
      </c>
      <c r="F56" s="258">
        <v>1968</v>
      </c>
      <c r="G56" s="171">
        <v>61</v>
      </c>
      <c r="H56" s="172" t="s">
        <v>1738</v>
      </c>
      <c r="I56" s="173" t="s">
        <v>1743</v>
      </c>
      <c r="J56" s="508">
        <v>0.49</v>
      </c>
      <c r="K56" s="513">
        <v>4.8140000000000001</v>
      </c>
      <c r="L56" s="91">
        <f t="shared" si="4"/>
        <v>171.5</v>
      </c>
      <c r="M56" s="506">
        <v>350</v>
      </c>
      <c r="N56" s="506"/>
      <c r="O56" s="509" t="s">
        <v>12</v>
      </c>
      <c r="P56" s="507"/>
      <c r="Q56" s="262"/>
      <c r="R56" s="506" t="s">
        <v>2308</v>
      </c>
      <c r="S56" s="507"/>
      <c r="T56" s="507"/>
      <c r="U56" s="171" t="s">
        <v>2308</v>
      </c>
      <c r="V56" s="131">
        <v>0</v>
      </c>
      <c r="W56" s="132">
        <v>0</v>
      </c>
      <c r="X56" s="120">
        <v>0</v>
      </c>
      <c r="Y56" s="120">
        <v>0</v>
      </c>
      <c r="Z56" s="120">
        <v>0</v>
      </c>
      <c r="AA56" s="130"/>
      <c r="AB56" s="17">
        <v>0</v>
      </c>
      <c r="AC56" s="17">
        <v>0</v>
      </c>
      <c r="AD56" s="130"/>
      <c r="AE56" s="130"/>
      <c r="AF56" s="17">
        <v>0</v>
      </c>
      <c r="AG56" s="133">
        <v>0</v>
      </c>
      <c r="AH56" s="17">
        <v>0</v>
      </c>
      <c r="AI56" s="17">
        <v>0</v>
      </c>
      <c r="AJ56" s="17">
        <v>0</v>
      </c>
      <c r="AK56" s="17">
        <v>0</v>
      </c>
      <c r="AL56" s="32">
        <v>0</v>
      </c>
      <c r="AM56" s="509">
        <v>33.9</v>
      </c>
      <c r="AN56" s="89"/>
      <c r="AO56" s="89"/>
      <c r="AP56" s="416">
        <v>37000</v>
      </c>
      <c r="AQ56" s="133" t="s">
        <v>131</v>
      </c>
      <c r="AR56" s="188">
        <v>70</v>
      </c>
      <c r="AS56" s="89"/>
      <c r="AT56" s="171" t="str">
        <f t="shared" si="5"/>
        <v>280</v>
      </c>
      <c r="AU56" s="255">
        <f t="shared" si="3"/>
        <v>15.555555555555555</v>
      </c>
      <c r="AV56" s="263"/>
      <c r="AW56" s="257">
        <v>625</v>
      </c>
      <c r="AX56" s="514"/>
      <c r="AY56" s="258">
        <v>20</v>
      </c>
      <c r="AZ56" s="261"/>
      <c r="BA56" s="175">
        <v>100</v>
      </c>
      <c r="BB56" s="259"/>
      <c r="BC56" s="176"/>
      <c r="BD56" s="179"/>
      <c r="BE56" s="177" t="s">
        <v>259</v>
      </c>
      <c r="BF56" s="178"/>
      <c r="BG56" s="27"/>
      <c r="BH56" s="27"/>
    </row>
    <row r="57" spans="1:60" ht="15" customHeight="1">
      <c r="A57" s="95">
        <v>56</v>
      </c>
      <c r="B57" s="96" t="s">
        <v>1683</v>
      </c>
      <c r="C57" s="73" t="s">
        <v>2581</v>
      </c>
      <c r="D57" s="257" t="s">
        <v>119</v>
      </c>
      <c r="E57" s="459" t="s">
        <v>3377</v>
      </c>
      <c r="F57" s="258">
        <v>1965</v>
      </c>
      <c r="G57" s="171">
        <v>102</v>
      </c>
      <c r="H57" s="172" t="s">
        <v>1738</v>
      </c>
      <c r="I57" s="173" t="s">
        <v>1743</v>
      </c>
      <c r="J57" s="508">
        <v>0.45</v>
      </c>
      <c r="K57" s="513">
        <v>6</v>
      </c>
      <c r="L57" s="91">
        <f t="shared" si="4"/>
        <v>145.35</v>
      </c>
      <c r="M57" s="506">
        <v>323</v>
      </c>
      <c r="N57" s="506"/>
      <c r="O57" s="509" t="s">
        <v>12</v>
      </c>
      <c r="P57" s="507"/>
      <c r="Q57" s="262"/>
      <c r="R57" s="512" t="s">
        <v>2734</v>
      </c>
      <c r="S57" s="506" t="s">
        <v>2514</v>
      </c>
      <c r="T57" s="506" t="s">
        <v>2319</v>
      </c>
      <c r="U57" s="506" t="s">
        <v>2596</v>
      </c>
      <c r="V57" s="131">
        <v>0</v>
      </c>
      <c r="W57" s="132">
        <v>0</v>
      </c>
      <c r="X57" s="120">
        <v>0</v>
      </c>
      <c r="Y57" s="120">
        <v>0</v>
      </c>
      <c r="Z57" s="120">
        <v>0</v>
      </c>
      <c r="AA57" s="130"/>
      <c r="AB57" s="17">
        <v>0</v>
      </c>
      <c r="AC57" s="17">
        <v>0</v>
      </c>
      <c r="AD57" s="130"/>
      <c r="AE57" s="130"/>
      <c r="AF57" s="17">
        <v>0</v>
      </c>
      <c r="AG57" s="133">
        <v>0</v>
      </c>
      <c r="AH57" s="17">
        <v>0</v>
      </c>
      <c r="AI57" s="17">
        <v>0</v>
      </c>
      <c r="AJ57" s="17">
        <v>0</v>
      </c>
      <c r="AK57" s="17">
        <v>0</v>
      </c>
      <c r="AL57" s="32">
        <v>0</v>
      </c>
      <c r="AM57" s="52">
        <v>48.3</v>
      </c>
      <c r="AN57" s="89"/>
      <c r="AO57" s="89"/>
      <c r="AP57" s="88"/>
      <c r="AQ57" s="133" t="s">
        <v>1629</v>
      </c>
      <c r="AR57" s="174">
        <v>38</v>
      </c>
      <c r="AS57" s="89"/>
      <c r="AT57" s="171" t="str">
        <f t="shared" si="5"/>
        <v>305</v>
      </c>
      <c r="AU57" s="255">
        <f t="shared" ref="AU57:AU89" si="6">(AR57*AT57)/((2*AT57)+(2*AR57))</f>
        <v>16.895043731778426</v>
      </c>
      <c r="AV57" s="52">
        <v>100</v>
      </c>
      <c r="AW57" s="257">
        <v>7</v>
      </c>
      <c r="AX57" s="514"/>
      <c r="AY57" s="258">
        <v>20</v>
      </c>
      <c r="AZ57" s="261"/>
      <c r="BA57" s="175">
        <v>50</v>
      </c>
      <c r="BB57" s="259"/>
      <c r="BC57" s="176"/>
      <c r="BD57" s="179"/>
      <c r="BE57" s="177"/>
      <c r="BF57" s="178"/>
      <c r="BG57" s="27"/>
      <c r="BH57" s="27"/>
    </row>
    <row r="58" spans="1:60" ht="15" customHeight="1">
      <c r="A58" s="95">
        <v>57</v>
      </c>
      <c r="B58" s="96" t="s">
        <v>1682</v>
      </c>
      <c r="C58" s="73" t="s">
        <v>2581</v>
      </c>
      <c r="D58" s="257" t="s">
        <v>119</v>
      </c>
      <c r="E58" s="459" t="s">
        <v>3377</v>
      </c>
      <c r="F58" s="258">
        <v>1965</v>
      </c>
      <c r="G58" s="171">
        <v>102</v>
      </c>
      <c r="H58" s="172" t="s">
        <v>1738</v>
      </c>
      <c r="I58" s="173" t="s">
        <v>1743</v>
      </c>
      <c r="J58" s="508">
        <v>0.45</v>
      </c>
      <c r="K58" s="513">
        <v>6</v>
      </c>
      <c r="L58" s="91">
        <f t="shared" si="4"/>
        <v>145.35</v>
      </c>
      <c r="M58" s="506">
        <v>323</v>
      </c>
      <c r="N58" s="506"/>
      <c r="O58" s="509" t="s">
        <v>12</v>
      </c>
      <c r="P58" s="507"/>
      <c r="Q58" s="262"/>
      <c r="R58" s="512" t="s">
        <v>2734</v>
      </c>
      <c r="S58" s="506" t="s">
        <v>2514</v>
      </c>
      <c r="T58" s="506" t="s">
        <v>2319</v>
      </c>
      <c r="U58" s="506" t="s">
        <v>2596</v>
      </c>
      <c r="V58" s="131">
        <v>0</v>
      </c>
      <c r="W58" s="132">
        <v>0</v>
      </c>
      <c r="X58" s="120">
        <v>0</v>
      </c>
      <c r="Y58" s="120">
        <v>0</v>
      </c>
      <c r="Z58" s="120">
        <v>0</v>
      </c>
      <c r="AA58" s="130"/>
      <c r="AB58" s="17">
        <v>0</v>
      </c>
      <c r="AC58" s="17">
        <v>0</v>
      </c>
      <c r="AD58" s="130"/>
      <c r="AE58" s="130"/>
      <c r="AF58" s="17">
        <v>0</v>
      </c>
      <c r="AG58" s="133">
        <v>0</v>
      </c>
      <c r="AH58" s="17">
        <v>0</v>
      </c>
      <c r="AI58" s="17">
        <v>0</v>
      </c>
      <c r="AJ58" s="17">
        <v>0</v>
      </c>
      <c r="AK58" s="17">
        <v>0</v>
      </c>
      <c r="AL58" s="32">
        <v>0</v>
      </c>
      <c r="AM58" s="52">
        <v>48.3</v>
      </c>
      <c r="AN58" s="89"/>
      <c r="AO58" s="89"/>
      <c r="AP58" s="88"/>
      <c r="AQ58" s="133" t="s">
        <v>1627</v>
      </c>
      <c r="AR58" s="174">
        <v>51</v>
      </c>
      <c r="AS58" s="89"/>
      <c r="AT58" s="171" t="str">
        <f t="shared" si="5"/>
        <v>305</v>
      </c>
      <c r="AU58" s="255">
        <f t="shared" si="6"/>
        <v>21.846910112359552</v>
      </c>
      <c r="AV58" s="52">
        <v>100</v>
      </c>
      <c r="AW58" s="257">
        <v>7</v>
      </c>
      <c r="AX58" s="514"/>
      <c r="AY58" s="258">
        <v>20</v>
      </c>
      <c r="AZ58" s="261"/>
      <c r="BA58" s="175">
        <v>50</v>
      </c>
      <c r="BB58" s="259"/>
      <c r="BC58" s="176"/>
      <c r="BD58" s="179"/>
      <c r="BE58" s="177"/>
      <c r="BF58" s="178"/>
      <c r="BG58" s="27"/>
      <c r="BH58" s="27"/>
    </row>
    <row r="59" spans="1:60" ht="15" customHeight="1">
      <c r="A59" s="95">
        <v>58</v>
      </c>
      <c r="B59" s="96" t="s">
        <v>1681</v>
      </c>
      <c r="C59" s="73" t="s">
        <v>2581</v>
      </c>
      <c r="D59" s="257" t="s">
        <v>119</v>
      </c>
      <c r="E59" s="459" t="s">
        <v>3377</v>
      </c>
      <c r="F59" s="258">
        <v>1965</v>
      </c>
      <c r="G59" s="171">
        <v>102</v>
      </c>
      <c r="H59" s="172" t="s">
        <v>1738</v>
      </c>
      <c r="I59" s="173" t="s">
        <v>1743</v>
      </c>
      <c r="J59" s="508">
        <v>0.45</v>
      </c>
      <c r="K59" s="513">
        <v>6</v>
      </c>
      <c r="L59" s="91">
        <f t="shared" si="4"/>
        <v>145.35</v>
      </c>
      <c r="M59" s="506">
        <v>323</v>
      </c>
      <c r="N59" s="506"/>
      <c r="O59" s="509" t="s">
        <v>12</v>
      </c>
      <c r="P59" s="507"/>
      <c r="Q59" s="262"/>
      <c r="R59" s="512" t="s">
        <v>2734</v>
      </c>
      <c r="S59" s="506" t="s">
        <v>2514</v>
      </c>
      <c r="T59" s="506" t="s">
        <v>2319</v>
      </c>
      <c r="U59" s="506" t="s">
        <v>2596</v>
      </c>
      <c r="V59" s="131">
        <v>0</v>
      </c>
      <c r="W59" s="132">
        <v>0</v>
      </c>
      <c r="X59" s="120">
        <v>0</v>
      </c>
      <c r="Y59" s="120">
        <v>0</v>
      </c>
      <c r="Z59" s="120">
        <v>0</v>
      </c>
      <c r="AA59" s="130"/>
      <c r="AB59" s="17">
        <v>0</v>
      </c>
      <c r="AC59" s="17">
        <v>0</v>
      </c>
      <c r="AD59" s="130"/>
      <c r="AE59" s="130"/>
      <c r="AF59" s="17">
        <v>0</v>
      </c>
      <c r="AG59" s="133">
        <v>0</v>
      </c>
      <c r="AH59" s="17">
        <v>0</v>
      </c>
      <c r="AI59" s="17">
        <v>0</v>
      </c>
      <c r="AJ59" s="17">
        <v>0</v>
      </c>
      <c r="AK59" s="17">
        <v>0</v>
      </c>
      <c r="AL59" s="32">
        <v>0</v>
      </c>
      <c r="AM59" s="52">
        <v>48.3</v>
      </c>
      <c r="AN59" s="89"/>
      <c r="AO59" s="89"/>
      <c r="AP59" s="88"/>
      <c r="AQ59" s="133" t="s">
        <v>154</v>
      </c>
      <c r="AR59" s="174">
        <v>76</v>
      </c>
      <c r="AS59" s="89"/>
      <c r="AT59" s="171" t="str">
        <f t="shared" si="5"/>
        <v>305</v>
      </c>
      <c r="AU59" s="255">
        <f t="shared" si="6"/>
        <v>30.41994750656168</v>
      </c>
      <c r="AV59" s="52">
        <v>100</v>
      </c>
      <c r="AW59" s="257">
        <v>7</v>
      </c>
      <c r="AX59" s="514"/>
      <c r="AY59" s="258">
        <v>20</v>
      </c>
      <c r="AZ59" s="261"/>
      <c r="BA59" s="175">
        <v>50</v>
      </c>
      <c r="BB59" s="259"/>
      <c r="BC59" s="176"/>
      <c r="BD59" s="179"/>
      <c r="BE59" s="177"/>
      <c r="BF59" s="178"/>
      <c r="BG59" s="27"/>
      <c r="BH59" s="27"/>
    </row>
    <row r="60" spans="1:60" ht="15" customHeight="1">
      <c r="A60" s="95">
        <v>59</v>
      </c>
      <c r="B60" s="96" t="s">
        <v>1680</v>
      </c>
      <c r="C60" s="73" t="s">
        <v>2581</v>
      </c>
      <c r="D60" s="257" t="s">
        <v>119</v>
      </c>
      <c r="E60" s="459" t="s">
        <v>3377</v>
      </c>
      <c r="F60" s="258">
        <v>1965</v>
      </c>
      <c r="G60" s="171">
        <v>102</v>
      </c>
      <c r="H60" s="172" t="s">
        <v>1738</v>
      </c>
      <c r="I60" s="173" t="s">
        <v>1743</v>
      </c>
      <c r="J60" s="508">
        <v>0.45</v>
      </c>
      <c r="K60" s="513">
        <v>6</v>
      </c>
      <c r="L60" s="91">
        <f t="shared" si="4"/>
        <v>145.35</v>
      </c>
      <c r="M60" s="506">
        <v>323</v>
      </c>
      <c r="N60" s="506"/>
      <c r="O60" s="509" t="s">
        <v>12</v>
      </c>
      <c r="P60" s="507"/>
      <c r="Q60" s="262"/>
      <c r="R60" s="512" t="s">
        <v>2734</v>
      </c>
      <c r="S60" s="506" t="s">
        <v>2514</v>
      </c>
      <c r="T60" s="506" t="s">
        <v>2319</v>
      </c>
      <c r="U60" s="506" t="s">
        <v>2596</v>
      </c>
      <c r="V60" s="131">
        <v>0</v>
      </c>
      <c r="W60" s="132">
        <v>0</v>
      </c>
      <c r="X60" s="120">
        <v>0</v>
      </c>
      <c r="Y60" s="120">
        <v>0</v>
      </c>
      <c r="Z60" s="120">
        <v>0</v>
      </c>
      <c r="AA60" s="130"/>
      <c r="AB60" s="17">
        <v>0</v>
      </c>
      <c r="AC60" s="17">
        <v>0</v>
      </c>
      <c r="AD60" s="130"/>
      <c r="AE60" s="130"/>
      <c r="AF60" s="17">
        <v>0</v>
      </c>
      <c r="AG60" s="133">
        <v>0</v>
      </c>
      <c r="AH60" s="17">
        <v>0</v>
      </c>
      <c r="AI60" s="17">
        <v>0</v>
      </c>
      <c r="AJ60" s="17">
        <v>0</v>
      </c>
      <c r="AK60" s="17">
        <v>0</v>
      </c>
      <c r="AL60" s="32">
        <v>0</v>
      </c>
      <c r="AM60" s="52">
        <v>48.3</v>
      </c>
      <c r="AN60" s="89"/>
      <c r="AO60" s="89"/>
      <c r="AP60" s="88"/>
      <c r="AQ60" s="133" t="s">
        <v>1629</v>
      </c>
      <c r="AR60" s="174">
        <v>38</v>
      </c>
      <c r="AS60" s="89"/>
      <c r="AT60" s="171" t="str">
        <f t="shared" si="5"/>
        <v>305</v>
      </c>
      <c r="AU60" s="255">
        <f t="shared" si="6"/>
        <v>16.895043731778426</v>
      </c>
      <c r="AV60" s="52">
        <v>100</v>
      </c>
      <c r="AW60" s="257">
        <v>14</v>
      </c>
      <c r="AX60" s="514"/>
      <c r="AY60" s="258">
        <v>20</v>
      </c>
      <c r="AZ60" s="261"/>
      <c r="BA60" s="175">
        <v>50</v>
      </c>
      <c r="BB60" s="259"/>
      <c r="BC60" s="176"/>
      <c r="BD60" s="179"/>
      <c r="BE60" s="179"/>
      <c r="BF60" s="178"/>
      <c r="BG60" s="27"/>
      <c r="BH60" s="27"/>
    </row>
    <row r="61" spans="1:60" ht="15" customHeight="1">
      <c r="A61" s="95">
        <v>60</v>
      </c>
      <c r="B61" s="96" t="s">
        <v>1679</v>
      </c>
      <c r="C61" s="73" t="s">
        <v>2581</v>
      </c>
      <c r="D61" s="257" t="s">
        <v>119</v>
      </c>
      <c r="E61" s="459" t="s">
        <v>3377</v>
      </c>
      <c r="F61" s="258">
        <v>1965</v>
      </c>
      <c r="G61" s="171">
        <v>102</v>
      </c>
      <c r="H61" s="172" t="s">
        <v>1738</v>
      </c>
      <c r="I61" s="173" t="s">
        <v>1743</v>
      </c>
      <c r="J61" s="508">
        <v>0.45</v>
      </c>
      <c r="K61" s="513">
        <v>6</v>
      </c>
      <c r="L61" s="91">
        <f t="shared" si="4"/>
        <v>145.35</v>
      </c>
      <c r="M61" s="506">
        <v>323</v>
      </c>
      <c r="N61" s="506"/>
      <c r="O61" s="509" t="s">
        <v>12</v>
      </c>
      <c r="P61" s="507"/>
      <c r="Q61" s="262"/>
      <c r="R61" s="512" t="s">
        <v>2734</v>
      </c>
      <c r="S61" s="506" t="s">
        <v>2514</v>
      </c>
      <c r="T61" s="506" t="s">
        <v>2319</v>
      </c>
      <c r="U61" s="506" t="s">
        <v>2596</v>
      </c>
      <c r="V61" s="131">
        <v>0</v>
      </c>
      <c r="W61" s="132">
        <v>0</v>
      </c>
      <c r="X61" s="120">
        <v>0</v>
      </c>
      <c r="Y61" s="120">
        <v>0</v>
      </c>
      <c r="Z61" s="120">
        <v>0</v>
      </c>
      <c r="AA61" s="130"/>
      <c r="AB61" s="17">
        <v>0</v>
      </c>
      <c r="AC61" s="17">
        <v>0</v>
      </c>
      <c r="AD61" s="130"/>
      <c r="AE61" s="130"/>
      <c r="AF61" s="17">
        <v>0</v>
      </c>
      <c r="AG61" s="133">
        <v>0</v>
      </c>
      <c r="AH61" s="17">
        <v>0</v>
      </c>
      <c r="AI61" s="17">
        <v>0</v>
      </c>
      <c r="AJ61" s="17">
        <v>0</v>
      </c>
      <c r="AK61" s="17">
        <v>0</v>
      </c>
      <c r="AL61" s="32">
        <v>0</v>
      </c>
      <c r="AM61" s="52">
        <v>48.3</v>
      </c>
      <c r="AN61" s="89"/>
      <c r="AO61" s="89"/>
      <c r="AP61" s="88"/>
      <c r="AQ61" s="133" t="s">
        <v>1627</v>
      </c>
      <c r="AR61" s="174">
        <v>51</v>
      </c>
      <c r="AS61" s="89"/>
      <c r="AT61" s="171" t="str">
        <f t="shared" si="5"/>
        <v>305</v>
      </c>
      <c r="AU61" s="255">
        <f t="shared" si="6"/>
        <v>21.846910112359552</v>
      </c>
      <c r="AV61" s="52">
        <v>100</v>
      </c>
      <c r="AW61" s="257">
        <v>14</v>
      </c>
      <c r="AX61" s="514"/>
      <c r="AY61" s="258">
        <v>20</v>
      </c>
      <c r="AZ61" s="261"/>
      <c r="BA61" s="175">
        <v>50</v>
      </c>
      <c r="BB61" s="259"/>
      <c r="BC61" s="176"/>
      <c r="BD61" s="179"/>
      <c r="BE61" s="179"/>
      <c r="BF61" s="178"/>
      <c r="BG61" s="27"/>
      <c r="BH61" s="27"/>
    </row>
    <row r="62" spans="1:60" ht="15" customHeight="1">
      <c r="A62" s="95">
        <v>61</v>
      </c>
      <c r="B62" s="96" t="s">
        <v>1678</v>
      </c>
      <c r="C62" s="73" t="s">
        <v>2581</v>
      </c>
      <c r="D62" s="257" t="s">
        <v>119</v>
      </c>
      <c r="E62" s="459" t="s">
        <v>3377</v>
      </c>
      <c r="F62" s="258">
        <v>1965</v>
      </c>
      <c r="G62" s="171">
        <v>102</v>
      </c>
      <c r="H62" s="172" t="s">
        <v>1738</v>
      </c>
      <c r="I62" s="173" t="s">
        <v>1743</v>
      </c>
      <c r="J62" s="508">
        <v>0.45</v>
      </c>
      <c r="K62" s="513">
        <v>6</v>
      </c>
      <c r="L62" s="91">
        <f t="shared" si="4"/>
        <v>145.35</v>
      </c>
      <c r="M62" s="506">
        <v>323</v>
      </c>
      <c r="N62" s="506"/>
      <c r="O62" s="509" t="s">
        <v>12</v>
      </c>
      <c r="P62" s="507"/>
      <c r="Q62" s="262"/>
      <c r="R62" s="512" t="s">
        <v>2734</v>
      </c>
      <c r="S62" s="506" t="s">
        <v>2514</v>
      </c>
      <c r="T62" s="506" t="s">
        <v>2319</v>
      </c>
      <c r="U62" s="506" t="s">
        <v>2596</v>
      </c>
      <c r="V62" s="131">
        <v>0</v>
      </c>
      <c r="W62" s="132">
        <v>0</v>
      </c>
      <c r="X62" s="120">
        <v>0</v>
      </c>
      <c r="Y62" s="120">
        <v>0</v>
      </c>
      <c r="Z62" s="120">
        <v>0</v>
      </c>
      <c r="AA62" s="130"/>
      <c r="AB62" s="17">
        <v>0</v>
      </c>
      <c r="AC62" s="17">
        <v>0</v>
      </c>
      <c r="AD62" s="130"/>
      <c r="AE62" s="130"/>
      <c r="AF62" s="17">
        <v>0</v>
      </c>
      <c r="AG62" s="133">
        <v>0</v>
      </c>
      <c r="AH62" s="17">
        <v>0</v>
      </c>
      <c r="AI62" s="17">
        <v>0</v>
      </c>
      <c r="AJ62" s="17">
        <v>0</v>
      </c>
      <c r="AK62" s="17">
        <v>0</v>
      </c>
      <c r="AL62" s="32">
        <v>0</v>
      </c>
      <c r="AM62" s="52">
        <v>48.3</v>
      </c>
      <c r="AN62" s="89"/>
      <c r="AO62" s="89"/>
      <c r="AP62" s="88"/>
      <c r="AQ62" s="133" t="s">
        <v>154</v>
      </c>
      <c r="AR62" s="174">
        <v>76</v>
      </c>
      <c r="AS62" s="89"/>
      <c r="AT62" s="171" t="str">
        <f t="shared" si="5"/>
        <v>305</v>
      </c>
      <c r="AU62" s="255">
        <f t="shared" si="6"/>
        <v>30.41994750656168</v>
      </c>
      <c r="AV62" s="52">
        <v>100</v>
      </c>
      <c r="AW62" s="257">
        <v>14</v>
      </c>
      <c r="AX62" s="514"/>
      <c r="AY62" s="258">
        <v>20</v>
      </c>
      <c r="AZ62" s="261"/>
      <c r="BA62" s="175">
        <v>50</v>
      </c>
      <c r="BB62" s="259"/>
      <c r="BC62" s="176"/>
      <c r="BD62" s="179"/>
      <c r="BE62" s="179"/>
      <c r="BF62" s="178"/>
      <c r="BG62" s="27"/>
      <c r="BH62" s="27"/>
    </row>
    <row r="63" spans="1:60" ht="15" customHeight="1">
      <c r="A63" s="95">
        <v>62</v>
      </c>
      <c r="B63" s="96" t="s">
        <v>1677</v>
      </c>
      <c r="C63" s="73" t="s">
        <v>2581</v>
      </c>
      <c r="D63" s="257" t="s">
        <v>119</v>
      </c>
      <c r="E63" s="459" t="s">
        <v>3377</v>
      </c>
      <c r="F63" s="258">
        <v>1965</v>
      </c>
      <c r="G63" s="171">
        <v>102</v>
      </c>
      <c r="H63" s="172" t="s">
        <v>1738</v>
      </c>
      <c r="I63" s="173" t="s">
        <v>1743</v>
      </c>
      <c r="J63" s="508">
        <v>0.45</v>
      </c>
      <c r="K63" s="513">
        <v>6</v>
      </c>
      <c r="L63" s="91">
        <f t="shared" si="4"/>
        <v>145.35</v>
      </c>
      <c r="M63" s="506">
        <v>323</v>
      </c>
      <c r="N63" s="506"/>
      <c r="O63" s="509" t="s">
        <v>12</v>
      </c>
      <c r="P63" s="507"/>
      <c r="Q63" s="262"/>
      <c r="R63" s="512" t="s">
        <v>2734</v>
      </c>
      <c r="S63" s="506" t="s">
        <v>2514</v>
      </c>
      <c r="T63" s="506" t="s">
        <v>2319</v>
      </c>
      <c r="U63" s="506" t="s">
        <v>2596</v>
      </c>
      <c r="V63" s="131">
        <v>0</v>
      </c>
      <c r="W63" s="132">
        <v>0</v>
      </c>
      <c r="X63" s="120">
        <v>0</v>
      </c>
      <c r="Y63" s="120">
        <v>0</v>
      </c>
      <c r="Z63" s="120">
        <v>0</v>
      </c>
      <c r="AA63" s="130"/>
      <c r="AB63" s="17">
        <v>0</v>
      </c>
      <c r="AC63" s="17">
        <v>0</v>
      </c>
      <c r="AD63" s="130"/>
      <c r="AE63" s="130"/>
      <c r="AF63" s="17">
        <v>0</v>
      </c>
      <c r="AG63" s="133">
        <v>0</v>
      </c>
      <c r="AH63" s="17">
        <v>0</v>
      </c>
      <c r="AI63" s="17">
        <v>0</v>
      </c>
      <c r="AJ63" s="17">
        <v>0</v>
      </c>
      <c r="AK63" s="17">
        <v>0</v>
      </c>
      <c r="AL63" s="32">
        <v>0</v>
      </c>
      <c r="AM63" s="52">
        <v>48.3</v>
      </c>
      <c r="AN63" s="89"/>
      <c r="AO63" s="89"/>
      <c r="AP63" s="88"/>
      <c r="AQ63" s="133" t="s">
        <v>1627</v>
      </c>
      <c r="AR63" s="174">
        <v>51</v>
      </c>
      <c r="AS63" s="89"/>
      <c r="AT63" s="171" t="str">
        <f t="shared" si="5"/>
        <v>305</v>
      </c>
      <c r="AU63" s="255">
        <f t="shared" si="6"/>
        <v>21.846910112359552</v>
      </c>
      <c r="AV63" s="52">
        <v>100</v>
      </c>
      <c r="AW63" s="257">
        <v>28</v>
      </c>
      <c r="AX63" s="514"/>
      <c r="AY63" s="258">
        <v>20</v>
      </c>
      <c r="AZ63" s="261"/>
      <c r="BA63" s="175">
        <v>50</v>
      </c>
      <c r="BB63" s="259"/>
      <c r="BC63" s="176"/>
      <c r="BD63" s="179"/>
      <c r="BE63" s="179"/>
      <c r="BF63" s="178"/>
      <c r="BG63" s="27"/>
      <c r="BH63" s="27"/>
    </row>
    <row r="64" spans="1:60" ht="15" customHeight="1">
      <c r="A64" s="95">
        <v>63</v>
      </c>
      <c r="B64" s="96" t="s">
        <v>1676</v>
      </c>
      <c r="C64" s="73" t="s">
        <v>2581</v>
      </c>
      <c r="D64" s="257" t="s">
        <v>119</v>
      </c>
      <c r="E64" s="459" t="s">
        <v>3377</v>
      </c>
      <c r="F64" s="258">
        <v>1965</v>
      </c>
      <c r="G64" s="171">
        <v>102</v>
      </c>
      <c r="H64" s="172" t="s">
        <v>1738</v>
      </c>
      <c r="I64" s="173" t="s">
        <v>1743</v>
      </c>
      <c r="J64" s="508">
        <v>0.45</v>
      </c>
      <c r="K64" s="513">
        <v>6</v>
      </c>
      <c r="L64" s="91">
        <f t="shared" si="4"/>
        <v>145.35</v>
      </c>
      <c r="M64" s="506">
        <v>323</v>
      </c>
      <c r="N64" s="506"/>
      <c r="O64" s="509" t="s">
        <v>12</v>
      </c>
      <c r="P64" s="507"/>
      <c r="Q64" s="262"/>
      <c r="R64" s="512" t="s">
        <v>2734</v>
      </c>
      <c r="S64" s="506" t="s">
        <v>2514</v>
      </c>
      <c r="T64" s="506" t="s">
        <v>2319</v>
      </c>
      <c r="U64" s="506" t="s">
        <v>2596</v>
      </c>
      <c r="V64" s="131">
        <v>0</v>
      </c>
      <c r="W64" s="132">
        <v>0</v>
      </c>
      <c r="X64" s="120">
        <v>0</v>
      </c>
      <c r="Y64" s="120">
        <v>0</v>
      </c>
      <c r="Z64" s="120">
        <v>0</v>
      </c>
      <c r="AA64" s="130"/>
      <c r="AB64" s="17">
        <v>0</v>
      </c>
      <c r="AC64" s="17">
        <v>0</v>
      </c>
      <c r="AD64" s="130"/>
      <c r="AE64" s="130"/>
      <c r="AF64" s="17">
        <v>0</v>
      </c>
      <c r="AG64" s="133">
        <v>0</v>
      </c>
      <c r="AH64" s="17">
        <v>0</v>
      </c>
      <c r="AI64" s="17">
        <v>0</v>
      </c>
      <c r="AJ64" s="17">
        <v>0</v>
      </c>
      <c r="AK64" s="17">
        <v>0</v>
      </c>
      <c r="AL64" s="32">
        <v>0</v>
      </c>
      <c r="AM64" s="52">
        <v>48.3</v>
      </c>
      <c r="AN64" s="89"/>
      <c r="AO64" s="89"/>
      <c r="AP64" s="88"/>
      <c r="AQ64" s="133" t="s">
        <v>154</v>
      </c>
      <c r="AR64" s="174">
        <v>76</v>
      </c>
      <c r="AS64" s="89"/>
      <c r="AT64" s="171" t="str">
        <f t="shared" si="5"/>
        <v>305</v>
      </c>
      <c r="AU64" s="255">
        <f t="shared" si="6"/>
        <v>30.41994750656168</v>
      </c>
      <c r="AV64" s="52">
        <v>100</v>
      </c>
      <c r="AW64" s="257">
        <v>28</v>
      </c>
      <c r="AX64" s="514"/>
      <c r="AY64" s="258">
        <v>20</v>
      </c>
      <c r="AZ64" s="261"/>
      <c r="BA64" s="175">
        <v>50</v>
      </c>
      <c r="BB64" s="259"/>
      <c r="BC64" s="176"/>
      <c r="BD64" s="179"/>
      <c r="BE64" s="179"/>
      <c r="BF64" s="178"/>
      <c r="BG64" s="27"/>
      <c r="BH64" s="27"/>
    </row>
    <row r="65" spans="1:60" ht="15" customHeight="1">
      <c r="A65" s="95">
        <v>64</v>
      </c>
      <c r="B65" s="96" t="s">
        <v>1675</v>
      </c>
      <c r="C65" s="73" t="s">
        <v>2581</v>
      </c>
      <c r="D65" s="257" t="s">
        <v>119</v>
      </c>
      <c r="E65" s="459" t="s">
        <v>3377</v>
      </c>
      <c r="F65" s="258">
        <v>1965</v>
      </c>
      <c r="G65" s="171">
        <v>102</v>
      </c>
      <c r="H65" s="172" t="s">
        <v>1738</v>
      </c>
      <c r="I65" s="173" t="s">
        <v>1743</v>
      </c>
      <c r="J65" s="508">
        <v>0.75</v>
      </c>
      <c r="K65" s="513">
        <v>10.7</v>
      </c>
      <c r="L65" s="91">
        <f t="shared" si="4"/>
        <v>146.25</v>
      </c>
      <c r="M65" s="506">
        <v>195</v>
      </c>
      <c r="N65" s="506"/>
      <c r="O65" s="509" t="s">
        <v>12</v>
      </c>
      <c r="P65" s="507"/>
      <c r="Q65" s="262"/>
      <c r="R65" s="512" t="s">
        <v>2734</v>
      </c>
      <c r="S65" s="506" t="s">
        <v>2514</v>
      </c>
      <c r="T65" s="506" t="s">
        <v>2319</v>
      </c>
      <c r="U65" s="506" t="s">
        <v>2596</v>
      </c>
      <c r="V65" s="131">
        <v>0</v>
      </c>
      <c r="W65" s="132">
        <v>0</v>
      </c>
      <c r="X65" s="120">
        <v>0</v>
      </c>
      <c r="Y65" s="120">
        <v>0</v>
      </c>
      <c r="Z65" s="120">
        <v>0</v>
      </c>
      <c r="AA65" s="130"/>
      <c r="AB65" s="17">
        <v>0</v>
      </c>
      <c r="AC65" s="17">
        <v>0</v>
      </c>
      <c r="AD65" s="130"/>
      <c r="AE65" s="130"/>
      <c r="AF65" s="17">
        <v>0</v>
      </c>
      <c r="AG65" s="133">
        <v>0</v>
      </c>
      <c r="AH65" s="17">
        <v>0</v>
      </c>
      <c r="AI65" s="17">
        <v>0</v>
      </c>
      <c r="AJ65" s="17">
        <v>0</v>
      </c>
      <c r="AK65" s="17">
        <v>0</v>
      </c>
      <c r="AL65" s="32">
        <v>0</v>
      </c>
      <c r="AM65" s="52">
        <v>27.6</v>
      </c>
      <c r="AN65" s="89"/>
      <c r="AO65" s="89"/>
      <c r="AP65" s="88"/>
      <c r="AQ65" s="133" t="s">
        <v>1629</v>
      </c>
      <c r="AR65" s="174">
        <v>38</v>
      </c>
      <c r="AS65" s="89"/>
      <c r="AT65" s="171" t="str">
        <f t="shared" si="5"/>
        <v>305</v>
      </c>
      <c r="AU65" s="255">
        <f t="shared" si="6"/>
        <v>16.895043731778426</v>
      </c>
      <c r="AV65" s="52">
        <v>100</v>
      </c>
      <c r="AW65" s="257">
        <v>7</v>
      </c>
      <c r="AX65" s="514"/>
      <c r="AY65" s="258">
        <v>20</v>
      </c>
      <c r="AZ65" s="261"/>
      <c r="BA65" s="175">
        <v>50</v>
      </c>
      <c r="BB65" s="259"/>
      <c r="BC65" s="176"/>
      <c r="BD65" s="179"/>
      <c r="BE65" s="179"/>
      <c r="BF65" s="178"/>
      <c r="BG65" s="27"/>
      <c r="BH65" s="27"/>
    </row>
    <row r="66" spans="1:60" ht="15" customHeight="1">
      <c r="A66" s="95">
        <v>65</v>
      </c>
      <c r="B66" s="96" t="s">
        <v>1674</v>
      </c>
      <c r="C66" s="73" t="s">
        <v>2581</v>
      </c>
      <c r="D66" s="257" t="s">
        <v>119</v>
      </c>
      <c r="E66" s="459" t="s">
        <v>3377</v>
      </c>
      <c r="F66" s="258">
        <v>1965</v>
      </c>
      <c r="G66" s="171">
        <v>102</v>
      </c>
      <c r="H66" s="172" t="s">
        <v>1738</v>
      </c>
      <c r="I66" s="173" t="s">
        <v>1743</v>
      </c>
      <c r="J66" s="508">
        <v>0.75</v>
      </c>
      <c r="K66" s="513">
        <v>10.7</v>
      </c>
      <c r="L66" s="91">
        <f t="shared" si="4"/>
        <v>146.25</v>
      </c>
      <c r="M66" s="506">
        <v>195</v>
      </c>
      <c r="N66" s="506"/>
      <c r="O66" s="509" t="s">
        <v>12</v>
      </c>
      <c r="P66" s="507"/>
      <c r="Q66" s="262"/>
      <c r="R66" s="512" t="s">
        <v>2734</v>
      </c>
      <c r="S66" s="506" t="s">
        <v>2514</v>
      </c>
      <c r="T66" s="506" t="s">
        <v>2319</v>
      </c>
      <c r="U66" s="506" t="s">
        <v>2596</v>
      </c>
      <c r="V66" s="131">
        <v>0</v>
      </c>
      <c r="W66" s="132">
        <v>0</v>
      </c>
      <c r="X66" s="120">
        <v>0</v>
      </c>
      <c r="Y66" s="120">
        <v>0</v>
      </c>
      <c r="Z66" s="120">
        <v>0</v>
      </c>
      <c r="AA66" s="130"/>
      <c r="AB66" s="17">
        <v>0</v>
      </c>
      <c r="AC66" s="17">
        <v>0</v>
      </c>
      <c r="AD66" s="130"/>
      <c r="AE66" s="130"/>
      <c r="AF66" s="17">
        <v>0</v>
      </c>
      <c r="AG66" s="133">
        <v>0</v>
      </c>
      <c r="AH66" s="17">
        <v>0</v>
      </c>
      <c r="AI66" s="17">
        <v>0</v>
      </c>
      <c r="AJ66" s="17">
        <v>0</v>
      </c>
      <c r="AK66" s="17">
        <v>0</v>
      </c>
      <c r="AL66" s="32">
        <v>0</v>
      </c>
      <c r="AM66" s="52">
        <v>27.6</v>
      </c>
      <c r="AN66" s="89"/>
      <c r="AO66" s="89"/>
      <c r="AP66" s="88"/>
      <c r="AQ66" s="133" t="s">
        <v>1627</v>
      </c>
      <c r="AR66" s="174">
        <v>51</v>
      </c>
      <c r="AS66" s="89"/>
      <c r="AT66" s="171" t="str">
        <f t="shared" si="5"/>
        <v>305</v>
      </c>
      <c r="AU66" s="255">
        <f t="shared" si="6"/>
        <v>21.846910112359552</v>
      </c>
      <c r="AV66" s="52">
        <v>100</v>
      </c>
      <c r="AW66" s="257">
        <v>7</v>
      </c>
      <c r="AX66" s="514"/>
      <c r="AY66" s="258">
        <v>20</v>
      </c>
      <c r="AZ66" s="261"/>
      <c r="BA66" s="175">
        <v>50</v>
      </c>
      <c r="BB66" s="259"/>
      <c r="BC66" s="176"/>
      <c r="BD66" s="179"/>
      <c r="BE66" s="179"/>
      <c r="BF66" s="178"/>
      <c r="BG66" s="27"/>
      <c r="BH66" s="27"/>
    </row>
    <row r="67" spans="1:60" ht="15" customHeight="1">
      <c r="A67" s="95">
        <v>66</v>
      </c>
      <c r="B67" s="96" t="s">
        <v>1673</v>
      </c>
      <c r="C67" s="73" t="s">
        <v>2581</v>
      </c>
      <c r="D67" s="257" t="s">
        <v>119</v>
      </c>
      <c r="E67" s="459" t="s">
        <v>3377</v>
      </c>
      <c r="F67" s="258">
        <v>1965</v>
      </c>
      <c r="G67" s="171">
        <v>102</v>
      </c>
      <c r="H67" s="172" t="s">
        <v>1738</v>
      </c>
      <c r="I67" s="173" t="s">
        <v>1743</v>
      </c>
      <c r="J67" s="508">
        <v>0.75</v>
      </c>
      <c r="K67" s="513">
        <v>10.7</v>
      </c>
      <c r="L67" s="91">
        <f t="shared" si="4"/>
        <v>146.25</v>
      </c>
      <c r="M67" s="506">
        <v>195</v>
      </c>
      <c r="N67" s="506"/>
      <c r="O67" s="509" t="s">
        <v>12</v>
      </c>
      <c r="P67" s="507"/>
      <c r="Q67" s="262"/>
      <c r="R67" s="512" t="s">
        <v>2734</v>
      </c>
      <c r="S67" s="506" t="s">
        <v>2514</v>
      </c>
      <c r="T67" s="506" t="s">
        <v>2319</v>
      </c>
      <c r="U67" s="506" t="s">
        <v>2596</v>
      </c>
      <c r="V67" s="131">
        <v>0</v>
      </c>
      <c r="W67" s="132">
        <v>0</v>
      </c>
      <c r="X67" s="120">
        <v>0</v>
      </c>
      <c r="Y67" s="120">
        <v>0</v>
      </c>
      <c r="Z67" s="120">
        <v>0</v>
      </c>
      <c r="AA67" s="130"/>
      <c r="AB67" s="17">
        <v>0</v>
      </c>
      <c r="AC67" s="17">
        <v>0</v>
      </c>
      <c r="AD67" s="130"/>
      <c r="AE67" s="130"/>
      <c r="AF67" s="17">
        <v>0</v>
      </c>
      <c r="AG67" s="133">
        <v>0</v>
      </c>
      <c r="AH67" s="17">
        <v>0</v>
      </c>
      <c r="AI67" s="17">
        <v>0</v>
      </c>
      <c r="AJ67" s="17">
        <v>0</v>
      </c>
      <c r="AK67" s="17">
        <v>0</v>
      </c>
      <c r="AL67" s="32">
        <v>0</v>
      </c>
      <c r="AM67" s="52">
        <v>27.6</v>
      </c>
      <c r="AN67" s="89"/>
      <c r="AO67" s="89"/>
      <c r="AP67" s="88"/>
      <c r="AQ67" s="133" t="s">
        <v>154</v>
      </c>
      <c r="AR67" s="174">
        <v>76</v>
      </c>
      <c r="AS67" s="89"/>
      <c r="AT67" s="171" t="str">
        <f t="shared" si="5"/>
        <v>305</v>
      </c>
      <c r="AU67" s="255">
        <f t="shared" si="6"/>
        <v>30.41994750656168</v>
      </c>
      <c r="AV67" s="52">
        <v>100</v>
      </c>
      <c r="AW67" s="257">
        <v>7</v>
      </c>
      <c r="AX67" s="514"/>
      <c r="AY67" s="258">
        <v>20</v>
      </c>
      <c r="AZ67" s="261"/>
      <c r="BA67" s="175">
        <v>50</v>
      </c>
      <c r="BB67" s="259"/>
      <c r="BC67" s="176"/>
      <c r="BD67" s="179"/>
      <c r="BE67" s="179"/>
      <c r="BF67" s="178"/>
      <c r="BG67" s="27"/>
      <c r="BH67" s="27"/>
    </row>
    <row r="68" spans="1:60" ht="15" customHeight="1">
      <c r="A68" s="95">
        <v>67</v>
      </c>
      <c r="B68" s="96" t="s">
        <v>1672</v>
      </c>
      <c r="C68" s="73" t="s">
        <v>2581</v>
      </c>
      <c r="D68" s="257" t="s">
        <v>119</v>
      </c>
      <c r="E68" s="459" t="s">
        <v>3377</v>
      </c>
      <c r="F68" s="258">
        <v>1965</v>
      </c>
      <c r="G68" s="171">
        <v>102</v>
      </c>
      <c r="H68" s="172" t="s">
        <v>1738</v>
      </c>
      <c r="I68" s="173" t="s">
        <v>1743</v>
      </c>
      <c r="J68" s="508">
        <v>0.75</v>
      </c>
      <c r="K68" s="513">
        <v>10.7</v>
      </c>
      <c r="L68" s="91">
        <f t="shared" si="4"/>
        <v>146.25</v>
      </c>
      <c r="M68" s="506">
        <v>195</v>
      </c>
      <c r="N68" s="506"/>
      <c r="O68" s="509" t="s">
        <v>12</v>
      </c>
      <c r="P68" s="507"/>
      <c r="Q68" s="262"/>
      <c r="R68" s="512" t="s">
        <v>2734</v>
      </c>
      <c r="S68" s="506" t="s">
        <v>2514</v>
      </c>
      <c r="T68" s="506" t="s">
        <v>2319</v>
      </c>
      <c r="U68" s="506" t="s">
        <v>2596</v>
      </c>
      <c r="V68" s="131">
        <v>0</v>
      </c>
      <c r="W68" s="132">
        <v>0</v>
      </c>
      <c r="X68" s="120">
        <v>0</v>
      </c>
      <c r="Y68" s="120">
        <v>0</v>
      </c>
      <c r="Z68" s="120">
        <v>0</v>
      </c>
      <c r="AA68" s="130"/>
      <c r="AB68" s="17">
        <v>0</v>
      </c>
      <c r="AC68" s="17">
        <v>0</v>
      </c>
      <c r="AD68" s="130"/>
      <c r="AE68" s="130"/>
      <c r="AF68" s="17">
        <v>0</v>
      </c>
      <c r="AG68" s="133">
        <v>0</v>
      </c>
      <c r="AH68" s="17">
        <v>0</v>
      </c>
      <c r="AI68" s="17">
        <v>0</v>
      </c>
      <c r="AJ68" s="17">
        <v>0</v>
      </c>
      <c r="AK68" s="17">
        <v>0</v>
      </c>
      <c r="AL68" s="32">
        <v>0</v>
      </c>
      <c r="AM68" s="52">
        <v>27.6</v>
      </c>
      <c r="AN68" s="89"/>
      <c r="AO68" s="89"/>
      <c r="AP68" s="88"/>
      <c r="AQ68" s="133" t="s">
        <v>1629</v>
      </c>
      <c r="AR68" s="174">
        <v>38</v>
      </c>
      <c r="AS68" s="89"/>
      <c r="AT68" s="171" t="str">
        <f t="shared" si="5"/>
        <v>305</v>
      </c>
      <c r="AU68" s="255">
        <f t="shared" si="6"/>
        <v>16.895043731778426</v>
      </c>
      <c r="AV68" s="52">
        <v>100</v>
      </c>
      <c r="AW68" s="257">
        <v>14</v>
      </c>
      <c r="AX68" s="514"/>
      <c r="AY68" s="258">
        <v>20</v>
      </c>
      <c r="AZ68" s="261"/>
      <c r="BA68" s="175">
        <v>50</v>
      </c>
      <c r="BB68" s="259"/>
      <c r="BC68" s="176"/>
      <c r="BD68" s="179"/>
      <c r="BE68" s="179"/>
      <c r="BF68" s="178"/>
      <c r="BG68" s="27"/>
      <c r="BH68" s="27"/>
    </row>
    <row r="69" spans="1:60" ht="15" customHeight="1">
      <c r="A69" s="95">
        <v>68</v>
      </c>
      <c r="B69" s="96" t="s">
        <v>1671</v>
      </c>
      <c r="C69" s="73" t="s">
        <v>2581</v>
      </c>
      <c r="D69" s="257" t="s">
        <v>119</v>
      </c>
      <c r="E69" s="459" t="s">
        <v>3377</v>
      </c>
      <c r="F69" s="258">
        <v>1965</v>
      </c>
      <c r="G69" s="171">
        <v>102</v>
      </c>
      <c r="H69" s="172" t="s">
        <v>1738</v>
      </c>
      <c r="I69" s="173" t="s">
        <v>1743</v>
      </c>
      <c r="J69" s="508">
        <v>0.75</v>
      </c>
      <c r="K69" s="513">
        <v>10.7</v>
      </c>
      <c r="L69" s="91">
        <f t="shared" si="4"/>
        <v>146.25</v>
      </c>
      <c r="M69" s="506">
        <v>195</v>
      </c>
      <c r="N69" s="506"/>
      <c r="O69" s="509" t="s">
        <v>12</v>
      </c>
      <c r="P69" s="507"/>
      <c r="Q69" s="262"/>
      <c r="R69" s="512" t="s">
        <v>2734</v>
      </c>
      <c r="S69" s="506" t="s">
        <v>2514</v>
      </c>
      <c r="T69" s="506" t="s">
        <v>2319</v>
      </c>
      <c r="U69" s="506" t="s">
        <v>2596</v>
      </c>
      <c r="V69" s="131">
        <v>0</v>
      </c>
      <c r="W69" s="132">
        <v>0</v>
      </c>
      <c r="X69" s="120">
        <v>0</v>
      </c>
      <c r="Y69" s="120">
        <v>0</v>
      </c>
      <c r="Z69" s="120">
        <v>0</v>
      </c>
      <c r="AA69" s="130"/>
      <c r="AB69" s="17">
        <v>0</v>
      </c>
      <c r="AC69" s="17">
        <v>0</v>
      </c>
      <c r="AD69" s="130"/>
      <c r="AE69" s="130"/>
      <c r="AF69" s="17">
        <v>0</v>
      </c>
      <c r="AG69" s="133">
        <v>0</v>
      </c>
      <c r="AH69" s="17">
        <v>0</v>
      </c>
      <c r="AI69" s="17">
        <v>0</v>
      </c>
      <c r="AJ69" s="17">
        <v>0</v>
      </c>
      <c r="AK69" s="17">
        <v>0</v>
      </c>
      <c r="AL69" s="32">
        <v>0</v>
      </c>
      <c r="AM69" s="52">
        <v>27.6</v>
      </c>
      <c r="AN69" s="89"/>
      <c r="AO69" s="89"/>
      <c r="AP69" s="88"/>
      <c r="AQ69" s="133" t="s">
        <v>1627</v>
      </c>
      <c r="AR69" s="174">
        <v>51</v>
      </c>
      <c r="AS69" s="89"/>
      <c r="AT69" s="171" t="str">
        <f t="shared" si="5"/>
        <v>305</v>
      </c>
      <c r="AU69" s="255">
        <f t="shared" si="6"/>
        <v>21.846910112359552</v>
      </c>
      <c r="AV69" s="52">
        <v>100</v>
      </c>
      <c r="AW69" s="257">
        <v>14</v>
      </c>
      <c r="AX69" s="514"/>
      <c r="AY69" s="258">
        <v>20</v>
      </c>
      <c r="AZ69" s="261"/>
      <c r="BA69" s="175">
        <v>50</v>
      </c>
      <c r="BB69" s="259"/>
      <c r="BC69" s="176"/>
      <c r="BD69" s="179"/>
      <c r="BE69" s="179"/>
      <c r="BF69" s="178"/>
      <c r="BG69" s="27"/>
      <c r="BH69" s="27"/>
    </row>
    <row r="70" spans="1:60" ht="15" customHeight="1">
      <c r="A70" s="95">
        <v>69</v>
      </c>
      <c r="B70" s="96" t="s">
        <v>1670</v>
      </c>
      <c r="C70" s="73" t="s">
        <v>2581</v>
      </c>
      <c r="D70" s="257" t="s">
        <v>119</v>
      </c>
      <c r="E70" s="459" t="s">
        <v>3377</v>
      </c>
      <c r="F70" s="258">
        <v>1965</v>
      </c>
      <c r="G70" s="171">
        <v>102</v>
      </c>
      <c r="H70" s="172" t="s">
        <v>1738</v>
      </c>
      <c r="I70" s="173" t="s">
        <v>1743</v>
      </c>
      <c r="J70" s="508">
        <v>0.75</v>
      </c>
      <c r="K70" s="513">
        <v>10.7</v>
      </c>
      <c r="L70" s="91">
        <f t="shared" si="4"/>
        <v>146.25</v>
      </c>
      <c r="M70" s="506">
        <v>195</v>
      </c>
      <c r="N70" s="506"/>
      <c r="O70" s="509" t="s">
        <v>12</v>
      </c>
      <c r="P70" s="507"/>
      <c r="Q70" s="262"/>
      <c r="R70" s="512" t="s">
        <v>2734</v>
      </c>
      <c r="S70" s="506" t="s">
        <v>2514</v>
      </c>
      <c r="T70" s="506" t="s">
        <v>2319</v>
      </c>
      <c r="U70" s="506" t="s">
        <v>2596</v>
      </c>
      <c r="V70" s="131">
        <v>0</v>
      </c>
      <c r="W70" s="132">
        <v>0</v>
      </c>
      <c r="X70" s="120">
        <v>0</v>
      </c>
      <c r="Y70" s="120">
        <v>0</v>
      </c>
      <c r="Z70" s="120">
        <v>0</v>
      </c>
      <c r="AA70" s="130"/>
      <c r="AB70" s="17">
        <v>0</v>
      </c>
      <c r="AC70" s="17">
        <v>0</v>
      </c>
      <c r="AD70" s="130"/>
      <c r="AE70" s="130"/>
      <c r="AF70" s="17">
        <v>0</v>
      </c>
      <c r="AG70" s="133">
        <v>0</v>
      </c>
      <c r="AH70" s="17">
        <v>0</v>
      </c>
      <c r="AI70" s="17">
        <v>0</v>
      </c>
      <c r="AJ70" s="17">
        <v>0</v>
      </c>
      <c r="AK70" s="17">
        <v>0</v>
      </c>
      <c r="AL70" s="32">
        <v>0</v>
      </c>
      <c r="AM70" s="52">
        <v>27.6</v>
      </c>
      <c r="AN70" s="89"/>
      <c r="AO70" s="89"/>
      <c r="AP70" s="88"/>
      <c r="AQ70" s="133" t="s">
        <v>154</v>
      </c>
      <c r="AR70" s="174">
        <v>76</v>
      </c>
      <c r="AS70" s="89"/>
      <c r="AT70" s="171" t="str">
        <f t="shared" si="5"/>
        <v>305</v>
      </c>
      <c r="AU70" s="255">
        <f t="shared" si="6"/>
        <v>30.41994750656168</v>
      </c>
      <c r="AV70" s="52">
        <v>100</v>
      </c>
      <c r="AW70" s="257">
        <v>14</v>
      </c>
      <c r="AX70" s="514"/>
      <c r="AY70" s="258">
        <v>20</v>
      </c>
      <c r="AZ70" s="261"/>
      <c r="BA70" s="175">
        <v>50</v>
      </c>
      <c r="BB70" s="259"/>
      <c r="BC70" s="176"/>
      <c r="BD70" s="179"/>
      <c r="BE70" s="179"/>
      <c r="BF70" s="178"/>
      <c r="BG70" s="27"/>
      <c r="BH70" s="27"/>
    </row>
    <row r="71" spans="1:60" ht="15" customHeight="1">
      <c r="A71" s="95">
        <v>70</v>
      </c>
      <c r="B71" s="96" t="s">
        <v>1669</v>
      </c>
      <c r="C71" s="73" t="s">
        <v>2581</v>
      </c>
      <c r="D71" s="257" t="s">
        <v>119</v>
      </c>
      <c r="E71" s="459" t="s">
        <v>3377</v>
      </c>
      <c r="F71" s="258">
        <v>1965</v>
      </c>
      <c r="G71" s="171">
        <v>102</v>
      </c>
      <c r="H71" s="172" t="s">
        <v>1738</v>
      </c>
      <c r="I71" s="173" t="s">
        <v>1743</v>
      </c>
      <c r="J71" s="508">
        <v>0.75</v>
      </c>
      <c r="K71" s="513">
        <v>10.7</v>
      </c>
      <c r="L71" s="91">
        <f t="shared" si="4"/>
        <v>146.25</v>
      </c>
      <c r="M71" s="506">
        <v>195</v>
      </c>
      <c r="N71" s="506"/>
      <c r="O71" s="509" t="s">
        <v>12</v>
      </c>
      <c r="P71" s="507"/>
      <c r="Q71" s="262"/>
      <c r="R71" s="512" t="s">
        <v>2734</v>
      </c>
      <c r="S71" s="506" t="s">
        <v>2514</v>
      </c>
      <c r="T71" s="506" t="s">
        <v>2319</v>
      </c>
      <c r="U71" s="506" t="s">
        <v>2596</v>
      </c>
      <c r="V71" s="131">
        <v>0</v>
      </c>
      <c r="W71" s="132">
        <v>0</v>
      </c>
      <c r="X71" s="120">
        <v>0</v>
      </c>
      <c r="Y71" s="120">
        <v>0</v>
      </c>
      <c r="Z71" s="120">
        <v>0</v>
      </c>
      <c r="AA71" s="130"/>
      <c r="AB71" s="17">
        <v>0</v>
      </c>
      <c r="AC71" s="17">
        <v>0</v>
      </c>
      <c r="AD71" s="130"/>
      <c r="AE71" s="130"/>
      <c r="AF71" s="17">
        <v>0</v>
      </c>
      <c r="AG71" s="133">
        <v>0</v>
      </c>
      <c r="AH71" s="17">
        <v>0</v>
      </c>
      <c r="AI71" s="17">
        <v>0</v>
      </c>
      <c r="AJ71" s="17">
        <v>0</v>
      </c>
      <c r="AK71" s="17">
        <v>0</v>
      </c>
      <c r="AL71" s="32">
        <v>0</v>
      </c>
      <c r="AM71" s="52">
        <v>27.6</v>
      </c>
      <c r="AN71" s="89"/>
      <c r="AO71" s="89"/>
      <c r="AP71" s="88"/>
      <c r="AQ71" s="133" t="s">
        <v>1629</v>
      </c>
      <c r="AR71" s="174">
        <v>38</v>
      </c>
      <c r="AS71" s="89"/>
      <c r="AT71" s="171" t="str">
        <f t="shared" si="5"/>
        <v>305</v>
      </c>
      <c r="AU71" s="255">
        <f t="shared" si="6"/>
        <v>16.895043731778426</v>
      </c>
      <c r="AV71" s="52">
        <v>100</v>
      </c>
      <c r="AW71" s="257">
        <v>28</v>
      </c>
      <c r="AX71" s="514"/>
      <c r="AY71" s="258">
        <v>20</v>
      </c>
      <c r="AZ71" s="261"/>
      <c r="BA71" s="175">
        <v>50</v>
      </c>
      <c r="BB71" s="259"/>
      <c r="BC71" s="176"/>
      <c r="BD71" s="179"/>
      <c r="BE71" s="179"/>
      <c r="BF71" s="178"/>
      <c r="BG71" s="27"/>
      <c r="BH71" s="27"/>
    </row>
    <row r="72" spans="1:60" ht="15" customHeight="1">
      <c r="A72" s="95">
        <v>71</v>
      </c>
      <c r="B72" s="96" t="s">
        <v>1668</v>
      </c>
      <c r="C72" s="73" t="s">
        <v>2581</v>
      </c>
      <c r="D72" s="257" t="s">
        <v>119</v>
      </c>
      <c r="E72" s="459" t="s">
        <v>3377</v>
      </c>
      <c r="F72" s="258">
        <v>1965</v>
      </c>
      <c r="G72" s="171">
        <v>102</v>
      </c>
      <c r="H72" s="172" t="s">
        <v>1738</v>
      </c>
      <c r="I72" s="173" t="s">
        <v>1743</v>
      </c>
      <c r="J72" s="508">
        <v>0.75</v>
      </c>
      <c r="K72" s="513">
        <v>10.7</v>
      </c>
      <c r="L72" s="91">
        <f t="shared" si="4"/>
        <v>146.25</v>
      </c>
      <c r="M72" s="506">
        <v>195</v>
      </c>
      <c r="N72" s="506"/>
      <c r="O72" s="509" t="s">
        <v>12</v>
      </c>
      <c r="P72" s="507"/>
      <c r="Q72" s="262"/>
      <c r="R72" s="512" t="s">
        <v>2734</v>
      </c>
      <c r="S72" s="506" t="s">
        <v>2514</v>
      </c>
      <c r="T72" s="506" t="s">
        <v>2319</v>
      </c>
      <c r="U72" s="506" t="s">
        <v>2596</v>
      </c>
      <c r="V72" s="131">
        <v>0</v>
      </c>
      <c r="W72" s="132">
        <v>0</v>
      </c>
      <c r="X72" s="120">
        <v>0</v>
      </c>
      <c r="Y72" s="120">
        <v>0</v>
      </c>
      <c r="Z72" s="120">
        <v>0</v>
      </c>
      <c r="AA72" s="130"/>
      <c r="AB72" s="17">
        <v>0</v>
      </c>
      <c r="AC72" s="17">
        <v>0</v>
      </c>
      <c r="AD72" s="130"/>
      <c r="AE72" s="130"/>
      <c r="AF72" s="17">
        <v>0</v>
      </c>
      <c r="AG72" s="133">
        <v>0</v>
      </c>
      <c r="AH72" s="17">
        <v>0</v>
      </c>
      <c r="AI72" s="17">
        <v>0</v>
      </c>
      <c r="AJ72" s="17">
        <v>0</v>
      </c>
      <c r="AK72" s="17">
        <v>0</v>
      </c>
      <c r="AL72" s="32">
        <v>0</v>
      </c>
      <c r="AM72" s="52">
        <v>27.6</v>
      </c>
      <c r="AN72" s="89"/>
      <c r="AO72" s="89"/>
      <c r="AP72" s="88"/>
      <c r="AQ72" s="133" t="s">
        <v>1627</v>
      </c>
      <c r="AR72" s="174">
        <v>51</v>
      </c>
      <c r="AS72" s="89"/>
      <c r="AT72" s="171" t="str">
        <f t="shared" si="5"/>
        <v>305</v>
      </c>
      <c r="AU72" s="255">
        <f t="shared" si="6"/>
        <v>21.846910112359552</v>
      </c>
      <c r="AV72" s="52">
        <v>100</v>
      </c>
      <c r="AW72" s="257">
        <v>28</v>
      </c>
      <c r="AX72" s="514"/>
      <c r="AY72" s="258">
        <v>20</v>
      </c>
      <c r="AZ72" s="261"/>
      <c r="BA72" s="175">
        <v>50</v>
      </c>
      <c r="BB72" s="259"/>
      <c r="BC72" s="176"/>
      <c r="BD72" s="179"/>
      <c r="BE72" s="179"/>
      <c r="BF72" s="178"/>
      <c r="BG72" s="27"/>
      <c r="BH72" s="27"/>
    </row>
    <row r="73" spans="1:60" ht="15" customHeight="1">
      <c r="A73" s="95">
        <v>72</v>
      </c>
      <c r="B73" s="96" t="s">
        <v>1667</v>
      </c>
      <c r="C73" s="73" t="s">
        <v>2581</v>
      </c>
      <c r="D73" s="257" t="s">
        <v>119</v>
      </c>
      <c r="E73" s="459" t="s">
        <v>3377</v>
      </c>
      <c r="F73" s="258">
        <v>1965</v>
      </c>
      <c r="G73" s="171">
        <v>102</v>
      </c>
      <c r="H73" s="172" t="s">
        <v>1738</v>
      </c>
      <c r="I73" s="173" t="s">
        <v>1743</v>
      </c>
      <c r="J73" s="508">
        <v>0.75</v>
      </c>
      <c r="K73" s="513">
        <v>10.7</v>
      </c>
      <c r="L73" s="91">
        <f t="shared" si="4"/>
        <v>146.25</v>
      </c>
      <c r="M73" s="506">
        <v>195</v>
      </c>
      <c r="N73" s="506"/>
      <c r="O73" s="509" t="s">
        <v>12</v>
      </c>
      <c r="P73" s="507"/>
      <c r="Q73" s="262"/>
      <c r="R73" s="512" t="s">
        <v>2734</v>
      </c>
      <c r="S73" s="506" t="s">
        <v>2514</v>
      </c>
      <c r="T73" s="506" t="s">
        <v>2319</v>
      </c>
      <c r="U73" s="506" t="s">
        <v>2596</v>
      </c>
      <c r="V73" s="131">
        <v>0</v>
      </c>
      <c r="W73" s="132">
        <v>0</v>
      </c>
      <c r="X73" s="120">
        <v>0</v>
      </c>
      <c r="Y73" s="120">
        <v>0</v>
      </c>
      <c r="Z73" s="120">
        <v>0</v>
      </c>
      <c r="AA73" s="130"/>
      <c r="AB73" s="17">
        <v>0</v>
      </c>
      <c r="AC73" s="17">
        <v>0</v>
      </c>
      <c r="AD73" s="130"/>
      <c r="AE73" s="130"/>
      <c r="AF73" s="17">
        <v>0</v>
      </c>
      <c r="AG73" s="133">
        <v>0</v>
      </c>
      <c r="AH73" s="17">
        <v>0</v>
      </c>
      <c r="AI73" s="17">
        <v>0</v>
      </c>
      <c r="AJ73" s="17">
        <v>0</v>
      </c>
      <c r="AK73" s="17">
        <v>0</v>
      </c>
      <c r="AL73" s="32">
        <v>0</v>
      </c>
      <c r="AM73" s="52">
        <v>27.6</v>
      </c>
      <c r="AN73" s="89"/>
      <c r="AO73" s="89"/>
      <c r="AP73" s="88"/>
      <c r="AQ73" s="133" t="s">
        <v>154</v>
      </c>
      <c r="AR73" s="174">
        <v>76</v>
      </c>
      <c r="AS73" s="89"/>
      <c r="AT73" s="171" t="str">
        <f t="shared" si="5"/>
        <v>305</v>
      </c>
      <c r="AU73" s="255">
        <f t="shared" si="6"/>
        <v>30.41994750656168</v>
      </c>
      <c r="AV73" s="52">
        <v>100</v>
      </c>
      <c r="AW73" s="257">
        <v>28</v>
      </c>
      <c r="AX73" s="514"/>
      <c r="AY73" s="258">
        <v>20</v>
      </c>
      <c r="AZ73" s="261"/>
      <c r="BA73" s="175">
        <v>50</v>
      </c>
      <c r="BB73" s="259"/>
      <c r="BC73" s="176"/>
      <c r="BD73" s="179"/>
      <c r="BE73" s="179"/>
      <c r="BF73" s="178"/>
      <c r="BG73" s="27"/>
      <c r="BH73" s="27"/>
    </row>
    <row r="74" spans="1:60" ht="15" customHeight="1">
      <c r="A74" s="95">
        <v>73</v>
      </c>
      <c r="B74" s="96" t="s">
        <v>1666</v>
      </c>
      <c r="C74" s="73" t="s">
        <v>2581</v>
      </c>
      <c r="D74" s="257" t="s">
        <v>119</v>
      </c>
      <c r="E74" s="459" t="s">
        <v>3377</v>
      </c>
      <c r="F74" s="258">
        <v>1965</v>
      </c>
      <c r="G74" s="171">
        <v>102</v>
      </c>
      <c r="H74" s="172" t="s">
        <v>1738</v>
      </c>
      <c r="I74" s="173" t="s">
        <v>1743</v>
      </c>
      <c r="J74" s="508">
        <v>0.45</v>
      </c>
      <c r="K74" s="513">
        <v>6</v>
      </c>
      <c r="L74" s="91">
        <f t="shared" si="4"/>
        <v>145.35</v>
      </c>
      <c r="M74" s="506">
        <v>323</v>
      </c>
      <c r="N74" s="506"/>
      <c r="O74" s="509" t="s">
        <v>12</v>
      </c>
      <c r="P74" s="507"/>
      <c r="Q74" s="262"/>
      <c r="R74" s="512" t="s">
        <v>2734</v>
      </c>
      <c r="S74" s="506" t="s">
        <v>2514</v>
      </c>
      <c r="T74" s="506" t="s">
        <v>2319</v>
      </c>
      <c r="U74" s="506" t="s">
        <v>2596</v>
      </c>
      <c r="V74" s="131">
        <v>0</v>
      </c>
      <c r="W74" s="132">
        <v>0</v>
      </c>
      <c r="X74" s="120">
        <v>0</v>
      </c>
      <c r="Y74" s="120">
        <v>0</v>
      </c>
      <c r="Z74" s="120">
        <v>0</v>
      </c>
      <c r="AA74" s="130"/>
      <c r="AB74" s="17">
        <v>0</v>
      </c>
      <c r="AC74" s="17">
        <v>0</v>
      </c>
      <c r="AD74" s="130"/>
      <c r="AE74" s="130"/>
      <c r="AF74" s="17">
        <v>0</v>
      </c>
      <c r="AG74" s="133">
        <v>0</v>
      </c>
      <c r="AH74" s="17">
        <v>0</v>
      </c>
      <c r="AI74" s="17">
        <v>0</v>
      </c>
      <c r="AJ74" s="17">
        <v>0</v>
      </c>
      <c r="AK74" s="17">
        <v>0</v>
      </c>
      <c r="AL74" s="32">
        <v>0</v>
      </c>
      <c r="AM74" s="52">
        <v>48.3</v>
      </c>
      <c r="AN74" s="89"/>
      <c r="AO74" s="89"/>
      <c r="AP74" s="88"/>
      <c r="AQ74" s="133" t="s">
        <v>1629</v>
      </c>
      <c r="AR74" s="174">
        <v>38</v>
      </c>
      <c r="AS74" s="89"/>
      <c r="AT74" s="171" t="str">
        <f t="shared" si="5"/>
        <v>305</v>
      </c>
      <c r="AU74" s="255">
        <f t="shared" si="6"/>
        <v>16.895043731778426</v>
      </c>
      <c r="AV74" s="52">
        <v>100</v>
      </c>
      <c r="AW74" s="257">
        <v>7</v>
      </c>
      <c r="AX74" s="514"/>
      <c r="AY74" s="258">
        <v>20</v>
      </c>
      <c r="AZ74" s="261"/>
      <c r="BA74" s="175">
        <v>50</v>
      </c>
      <c r="BB74" s="259"/>
      <c r="BC74" s="176"/>
      <c r="BD74" s="179"/>
      <c r="BE74" s="179"/>
      <c r="BF74" s="178"/>
      <c r="BG74" s="27"/>
      <c r="BH74" s="27"/>
    </row>
    <row r="75" spans="1:60" ht="15" customHeight="1">
      <c r="A75" s="95">
        <v>74</v>
      </c>
      <c r="B75" s="96" t="s">
        <v>1665</v>
      </c>
      <c r="C75" s="73" t="s">
        <v>2581</v>
      </c>
      <c r="D75" s="257" t="s">
        <v>119</v>
      </c>
      <c r="E75" s="459" t="s">
        <v>3377</v>
      </c>
      <c r="F75" s="258">
        <v>1965</v>
      </c>
      <c r="G75" s="171">
        <v>102</v>
      </c>
      <c r="H75" s="172" t="s">
        <v>1738</v>
      </c>
      <c r="I75" s="173" t="s">
        <v>1743</v>
      </c>
      <c r="J75" s="508">
        <v>0.45</v>
      </c>
      <c r="K75" s="513">
        <v>6</v>
      </c>
      <c r="L75" s="91">
        <f t="shared" ref="L75:L106" si="7">(J75)*(M75)</f>
        <v>145.35</v>
      </c>
      <c r="M75" s="506">
        <v>323</v>
      </c>
      <c r="N75" s="506"/>
      <c r="O75" s="509" t="s">
        <v>12</v>
      </c>
      <c r="P75" s="507"/>
      <c r="Q75" s="262"/>
      <c r="R75" s="512" t="s">
        <v>2734</v>
      </c>
      <c r="S75" s="506" t="s">
        <v>2514</v>
      </c>
      <c r="T75" s="506" t="s">
        <v>2319</v>
      </c>
      <c r="U75" s="506" t="s">
        <v>2596</v>
      </c>
      <c r="V75" s="131">
        <v>0</v>
      </c>
      <c r="W75" s="132">
        <v>0</v>
      </c>
      <c r="X75" s="120">
        <v>0</v>
      </c>
      <c r="Y75" s="120">
        <v>0</v>
      </c>
      <c r="Z75" s="120">
        <v>0</v>
      </c>
      <c r="AA75" s="130"/>
      <c r="AB75" s="17">
        <v>0</v>
      </c>
      <c r="AC75" s="17">
        <v>0</v>
      </c>
      <c r="AD75" s="130"/>
      <c r="AE75" s="130"/>
      <c r="AF75" s="17">
        <v>0</v>
      </c>
      <c r="AG75" s="133">
        <v>0</v>
      </c>
      <c r="AH75" s="17">
        <v>0</v>
      </c>
      <c r="AI75" s="17">
        <v>0</v>
      </c>
      <c r="AJ75" s="17">
        <v>0</v>
      </c>
      <c r="AK75" s="17">
        <v>0</v>
      </c>
      <c r="AL75" s="32">
        <v>0</v>
      </c>
      <c r="AM75" s="52">
        <v>48.3</v>
      </c>
      <c r="AN75" s="89"/>
      <c r="AO75" s="89"/>
      <c r="AP75" s="88"/>
      <c r="AQ75" s="133" t="s">
        <v>1627</v>
      </c>
      <c r="AR75" s="174">
        <v>51</v>
      </c>
      <c r="AS75" s="89"/>
      <c r="AT75" s="171" t="str">
        <f t="shared" si="5"/>
        <v>305</v>
      </c>
      <c r="AU75" s="255">
        <f t="shared" si="6"/>
        <v>21.846910112359552</v>
      </c>
      <c r="AV75" s="52">
        <v>100</v>
      </c>
      <c r="AW75" s="257">
        <v>7</v>
      </c>
      <c r="AX75" s="514"/>
      <c r="AY75" s="258">
        <v>20</v>
      </c>
      <c r="AZ75" s="261"/>
      <c r="BA75" s="175">
        <v>50</v>
      </c>
      <c r="BB75" s="259"/>
      <c r="BC75" s="176"/>
      <c r="BD75" s="179"/>
      <c r="BE75" s="179"/>
      <c r="BF75" s="178"/>
      <c r="BG75" s="27"/>
      <c r="BH75" s="27"/>
    </row>
    <row r="76" spans="1:60" ht="15" customHeight="1">
      <c r="A76" s="95">
        <v>75</v>
      </c>
      <c r="B76" s="96" t="s">
        <v>1664</v>
      </c>
      <c r="C76" s="73" t="s">
        <v>2581</v>
      </c>
      <c r="D76" s="257" t="s">
        <v>119</v>
      </c>
      <c r="E76" s="459" t="s">
        <v>3377</v>
      </c>
      <c r="F76" s="258">
        <v>1965</v>
      </c>
      <c r="G76" s="171">
        <v>102</v>
      </c>
      <c r="H76" s="172" t="s">
        <v>1738</v>
      </c>
      <c r="I76" s="173" t="s">
        <v>1743</v>
      </c>
      <c r="J76" s="508">
        <v>0.45</v>
      </c>
      <c r="K76" s="513">
        <v>6</v>
      </c>
      <c r="L76" s="91">
        <f t="shared" si="7"/>
        <v>145.35</v>
      </c>
      <c r="M76" s="506">
        <v>323</v>
      </c>
      <c r="N76" s="506"/>
      <c r="O76" s="509" t="s">
        <v>12</v>
      </c>
      <c r="P76" s="507"/>
      <c r="Q76" s="262"/>
      <c r="R76" s="512" t="s">
        <v>2734</v>
      </c>
      <c r="S76" s="506" t="s">
        <v>2514</v>
      </c>
      <c r="T76" s="506" t="s">
        <v>2319</v>
      </c>
      <c r="U76" s="506" t="s">
        <v>2596</v>
      </c>
      <c r="V76" s="131">
        <v>0</v>
      </c>
      <c r="W76" s="132">
        <v>0</v>
      </c>
      <c r="X76" s="120">
        <v>0</v>
      </c>
      <c r="Y76" s="120">
        <v>0</v>
      </c>
      <c r="Z76" s="120">
        <v>0</v>
      </c>
      <c r="AA76" s="130"/>
      <c r="AB76" s="17">
        <v>0</v>
      </c>
      <c r="AC76" s="17">
        <v>0</v>
      </c>
      <c r="AD76" s="130"/>
      <c r="AE76" s="130"/>
      <c r="AF76" s="17">
        <v>0</v>
      </c>
      <c r="AG76" s="133">
        <v>0</v>
      </c>
      <c r="AH76" s="17">
        <v>0</v>
      </c>
      <c r="AI76" s="17">
        <v>0</v>
      </c>
      <c r="AJ76" s="17">
        <v>0</v>
      </c>
      <c r="AK76" s="17">
        <v>0</v>
      </c>
      <c r="AL76" s="32">
        <v>0</v>
      </c>
      <c r="AM76" s="52">
        <v>48.3</v>
      </c>
      <c r="AN76" s="89"/>
      <c r="AO76" s="89"/>
      <c r="AP76" s="88"/>
      <c r="AQ76" s="133" t="s">
        <v>154</v>
      </c>
      <c r="AR76" s="174">
        <v>76</v>
      </c>
      <c r="AS76" s="89"/>
      <c r="AT76" s="171" t="str">
        <f t="shared" si="5"/>
        <v>305</v>
      </c>
      <c r="AU76" s="255">
        <f t="shared" si="6"/>
        <v>30.41994750656168</v>
      </c>
      <c r="AV76" s="52">
        <v>100</v>
      </c>
      <c r="AW76" s="257">
        <v>7</v>
      </c>
      <c r="AX76" s="514"/>
      <c r="AY76" s="258">
        <v>20</v>
      </c>
      <c r="AZ76" s="261"/>
      <c r="BA76" s="175">
        <v>50</v>
      </c>
      <c r="BB76" s="259"/>
      <c r="BC76" s="176"/>
      <c r="BD76" s="179"/>
      <c r="BE76" s="177"/>
      <c r="BF76" s="178"/>
      <c r="BG76" s="27"/>
      <c r="BH76" s="27"/>
    </row>
    <row r="77" spans="1:60" ht="15" customHeight="1">
      <c r="A77" s="95">
        <v>76</v>
      </c>
      <c r="B77" s="96" t="s">
        <v>1663</v>
      </c>
      <c r="C77" s="73" t="s">
        <v>2581</v>
      </c>
      <c r="D77" s="257" t="s">
        <v>119</v>
      </c>
      <c r="E77" s="459" t="s">
        <v>3377</v>
      </c>
      <c r="F77" s="258">
        <v>1965</v>
      </c>
      <c r="G77" s="171">
        <v>102</v>
      </c>
      <c r="H77" s="172" t="s">
        <v>1738</v>
      </c>
      <c r="I77" s="173" t="s">
        <v>1743</v>
      </c>
      <c r="J77" s="508">
        <v>0.45</v>
      </c>
      <c r="K77" s="513">
        <v>6</v>
      </c>
      <c r="L77" s="91">
        <f t="shared" si="7"/>
        <v>145.35</v>
      </c>
      <c r="M77" s="506">
        <v>323</v>
      </c>
      <c r="N77" s="506"/>
      <c r="O77" s="509" t="s">
        <v>12</v>
      </c>
      <c r="P77" s="507"/>
      <c r="Q77" s="262"/>
      <c r="R77" s="512" t="s">
        <v>2734</v>
      </c>
      <c r="S77" s="506" t="s">
        <v>2514</v>
      </c>
      <c r="T77" s="506" t="s">
        <v>2319</v>
      </c>
      <c r="U77" s="506" t="s">
        <v>2596</v>
      </c>
      <c r="V77" s="131">
        <v>0</v>
      </c>
      <c r="W77" s="132">
        <v>0</v>
      </c>
      <c r="X77" s="120">
        <v>0</v>
      </c>
      <c r="Y77" s="120">
        <v>0</v>
      </c>
      <c r="Z77" s="120">
        <v>0</v>
      </c>
      <c r="AA77" s="130"/>
      <c r="AB77" s="17">
        <v>0</v>
      </c>
      <c r="AC77" s="17">
        <v>0</v>
      </c>
      <c r="AD77" s="130"/>
      <c r="AE77" s="130"/>
      <c r="AF77" s="17">
        <v>0</v>
      </c>
      <c r="AG77" s="133">
        <v>0</v>
      </c>
      <c r="AH77" s="17">
        <v>0</v>
      </c>
      <c r="AI77" s="17">
        <v>0</v>
      </c>
      <c r="AJ77" s="17">
        <v>0</v>
      </c>
      <c r="AK77" s="17">
        <v>0</v>
      </c>
      <c r="AL77" s="32">
        <v>0</v>
      </c>
      <c r="AM77" s="52">
        <v>48.3</v>
      </c>
      <c r="AN77" s="89"/>
      <c r="AO77" s="89"/>
      <c r="AP77" s="88"/>
      <c r="AQ77" s="133" t="s">
        <v>1629</v>
      </c>
      <c r="AR77" s="174">
        <v>38</v>
      </c>
      <c r="AS77" s="89"/>
      <c r="AT77" s="171" t="str">
        <f t="shared" si="5"/>
        <v>305</v>
      </c>
      <c r="AU77" s="255">
        <f t="shared" si="6"/>
        <v>16.895043731778426</v>
      </c>
      <c r="AV77" s="52">
        <v>100</v>
      </c>
      <c r="AW77" s="257">
        <v>14</v>
      </c>
      <c r="AX77" s="514"/>
      <c r="AY77" s="258">
        <v>20</v>
      </c>
      <c r="AZ77" s="261"/>
      <c r="BA77" s="175">
        <v>50</v>
      </c>
      <c r="BB77" s="259"/>
      <c r="BC77" s="176"/>
      <c r="BD77" s="179"/>
      <c r="BE77" s="177"/>
      <c r="BF77" s="178"/>
      <c r="BG77" s="27"/>
      <c r="BH77" s="27"/>
    </row>
    <row r="78" spans="1:60" ht="15" customHeight="1">
      <c r="A78" s="95">
        <v>77</v>
      </c>
      <c r="B78" s="96" t="s">
        <v>1662</v>
      </c>
      <c r="C78" s="73" t="s">
        <v>2581</v>
      </c>
      <c r="D78" s="257" t="s">
        <v>119</v>
      </c>
      <c r="E78" s="459" t="s">
        <v>3377</v>
      </c>
      <c r="F78" s="258">
        <v>1965</v>
      </c>
      <c r="G78" s="171">
        <v>102</v>
      </c>
      <c r="H78" s="172" t="s">
        <v>1738</v>
      </c>
      <c r="I78" s="173" t="s">
        <v>1743</v>
      </c>
      <c r="J78" s="508">
        <v>0.45</v>
      </c>
      <c r="K78" s="513">
        <v>6</v>
      </c>
      <c r="L78" s="91">
        <f t="shared" si="7"/>
        <v>145.35</v>
      </c>
      <c r="M78" s="506">
        <v>323</v>
      </c>
      <c r="N78" s="506"/>
      <c r="O78" s="509" t="s">
        <v>12</v>
      </c>
      <c r="P78" s="507"/>
      <c r="Q78" s="262"/>
      <c r="R78" s="512" t="s">
        <v>2734</v>
      </c>
      <c r="S78" s="506" t="s">
        <v>2514</v>
      </c>
      <c r="T78" s="506" t="s">
        <v>2319</v>
      </c>
      <c r="U78" s="506" t="s">
        <v>2596</v>
      </c>
      <c r="V78" s="131">
        <v>0</v>
      </c>
      <c r="W78" s="132">
        <v>0</v>
      </c>
      <c r="X78" s="120">
        <v>0</v>
      </c>
      <c r="Y78" s="120">
        <v>0</v>
      </c>
      <c r="Z78" s="120">
        <v>0</v>
      </c>
      <c r="AA78" s="130"/>
      <c r="AB78" s="17">
        <v>0</v>
      </c>
      <c r="AC78" s="17">
        <v>0</v>
      </c>
      <c r="AD78" s="130"/>
      <c r="AE78" s="130"/>
      <c r="AF78" s="17">
        <v>0</v>
      </c>
      <c r="AG78" s="133">
        <v>0</v>
      </c>
      <c r="AH78" s="17">
        <v>0</v>
      </c>
      <c r="AI78" s="17">
        <v>0</v>
      </c>
      <c r="AJ78" s="17">
        <v>0</v>
      </c>
      <c r="AK78" s="17">
        <v>0</v>
      </c>
      <c r="AL78" s="32">
        <v>0</v>
      </c>
      <c r="AM78" s="52">
        <v>48.3</v>
      </c>
      <c r="AN78" s="89"/>
      <c r="AO78" s="89"/>
      <c r="AP78" s="88"/>
      <c r="AQ78" s="133" t="s">
        <v>1627</v>
      </c>
      <c r="AR78" s="174">
        <v>51</v>
      </c>
      <c r="AS78" s="89"/>
      <c r="AT78" s="171" t="str">
        <f t="shared" si="5"/>
        <v>305</v>
      </c>
      <c r="AU78" s="255">
        <f t="shared" si="6"/>
        <v>21.846910112359552</v>
      </c>
      <c r="AV78" s="52">
        <v>100</v>
      </c>
      <c r="AW78" s="257">
        <v>14</v>
      </c>
      <c r="AX78" s="514"/>
      <c r="AY78" s="258">
        <v>20</v>
      </c>
      <c r="AZ78" s="261"/>
      <c r="BA78" s="175">
        <v>50</v>
      </c>
      <c r="BB78" s="259"/>
      <c r="BC78" s="176"/>
      <c r="BD78" s="179"/>
      <c r="BE78" s="177"/>
      <c r="BF78" s="178"/>
      <c r="BG78" s="27"/>
      <c r="BH78" s="27"/>
    </row>
    <row r="79" spans="1:60" ht="15" customHeight="1">
      <c r="A79" s="95">
        <v>78</v>
      </c>
      <c r="B79" s="96" t="s">
        <v>1661</v>
      </c>
      <c r="C79" s="73" t="s">
        <v>2581</v>
      </c>
      <c r="D79" s="257" t="s">
        <v>119</v>
      </c>
      <c r="E79" s="459" t="s">
        <v>3377</v>
      </c>
      <c r="F79" s="258">
        <v>1965</v>
      </c>
      <c r="G79" s="171">
        <v>102</v>
      </c>
      <c r="H79" s="172" t="s">
        <v>1738</v>
      </c>
      <c r="I79" s="173" t="s">
        <v>1743</v>
      </c>
      <c r="J79" s="508">
        <v>0.45</v>
      </c>
      <c r="K79" s="513">
        <v>6</v>
      </c>
      <c r="L79" s="91">
        <f t="shared" si="7"/>
        <v>145.35</v>
      </c>
      <c r="M79" s="506">
        <v>323</v>
      </c>
      <c r="N79" s="506"/>
      <c r="O79" s="509" t="s">
        <v>12</v>
      </c>
      <c r="P79" s="507"/>
      <c r="Q79" s="262"/>
      <c r="R79" s="512" t="s">
        <v>2734</v>
      </c>
      <c r="S79" s="506" t="s">
        <v>2514</v>
      </c>
      <c r="T79" s="506" t="s">
        <v>2319</v>
      </c>
      <c r="U79" s="506" t="s">
        <v>2596</v>
      </c>
      <c r="V79" s="131">
        <v>0</v>
      </c>
      <c r="W79" s="132">
        <v>0</v>
      </c>
      <c r="X79" s="120">
        <v>0</v>
      </c>
      <c r="Y79" s="120">
        <v>0</v>
      </c>
      <c r="Z79" s="120">
        <v>0</v>
      </c>
      <c r="AA79" s="130"/>
      <c r="AB79" s="17">
        <v>0</v>
      </c>
      <c r="AC79" s="17">
        <v>0</v>
      </c>
      <c r="AD79" s="130"/>
      <c r="AE79" s="130"/>
      <c r="AF79" s="17">
        <v>0</v>
      </c>
      <c r="AG79" s="133">
        <v>0</v>
      </c>
      <c r="AH79" s="17">
        <v>0</v>
      </c>
      <c r="AI79" s="17">
        <v>0</v>
      </c>
      <c r="AJ79" s="17">
        <v>0</v>
      </c>
      <c r="AK79" s="17">
        <v>0</v>
      </c>
      <c r="AL79" s="32">
        <v>0</v>
      </c>
      <c r="AM79" s="52">
        <v>48.3</v>
      </c>
      <c r="AN79" s="89"/>
      <c r="AO79" s="89"/>
      <c r="AP79" s="88"/>
      <c r="AQ79" s="133" t="s">
        <v>154</v>
      </c>
      <c r="AR79" s="174">
        <v>76</v>
      </c>
      <c r="AS79" s="89"/>
      <c r="AT79" s="171" t="str">
        <f t="shared" si="5"/>
        <v>305</v>
      </c>
      <c r="AU79" s="255">
        <f t="shared" si="6"/>
        <v>30.41994750656168</v>
      </c>
      <c r="AV79" s="52">
        <v>100</v>
      </c>
      <c r="AW79" s="257">
        <v>14</v>
      </c>
      <c r="AX79" s="514"/>
      <c r="AY79" s="258">
        <v>20</v>
      </c>
      <c r="AZ79" s="261"/>
      <c r="BA79" s="175">
        <v>50</v>
      </c>
      <c r="BB79" s="259"/>
      <c r="BC79" s="176"/>
      <c r="BD79" s="179"/>
      <c r="BE79" s="177"/>
      <c r="BF79" s="178"/>
      <c r="BG79" s="27"/>
      <c r="BH79" s="27"/>
    </row>
    <row r="80" spans="1:60" ht="15" customHeight="1">
      <c r="A80" s="95">
        <v>79</v>
      </c>
      <c r="B80" s="96" t="s">
        <v>1660</v>
      </c>
      <c r="C80" s="73" t="s">
        <v>2581</v>
      </c>
      <c r="D80" s="257" t="s">
        <v>119</v>
      </c>
      <c r="E80" s="459" t="s">
        <v>3377</v>
      </c>
      <c r="F80" s="258">
        <v>1965</v>
      </c>
      <c r="G80" s="171">
        <v>102</v>
      </c>
      <c r="H80" s="172" t="s">
        <v>1738</v>
      </c>
      <c r="I80" s="173" t="s">
        <v>1743</v>
      </c>
      <c r="J80" s="508">
        <v>0.45</v>
      </c>
      <c r="K80" s="513">
        <v>6</v>
      </c>
      <c r="L80" s="91">
        <f t="shared" si="7"/>
        <v>145.35</v>
      </c>
      <c r="M80" s="506">
        <v>323</v>
      </c>
      <c r="N80" s="506"/>
      <c r="O80" s="509" t="s">
        <v>12</v>
      </c>
      <c r="P80" s="507"/>
      <c r="Q80" s="262"/>
      <c r="R80" s="512" t="s">
        <v>2734</v>
      </c>
      <c r="S80" s="506" t="s">
        <v>2514</v>
      </c>
      <c r="T80" s="506" t="s">
        <v>2319</v>
      </c>
      <c r="U80" s="506" t="s">
        <v>2596</v>
      </c>
      <c r="V80" s="131">
        <v>0</v>
      </c>
      <c r="W80" s="132">
        <v>0</v>
      </c>
      <c r="X80" s="120">
        <v>0</v>
      </c>
      <c r="Y80" s="120">
        <v>0</v>
      </c>
      <c r="Z80" s="120">
        <v>0</v>
      </c>
      <c r="AA80" s="130"/>
      <c r="AB80" s="17">
        <v>0</v>
      </c>
      <c r="AC80" s="17">
        <v>0</v>
      </c>
      <c r="AD80" s="130"/>
      <c r="AE80" s="130"/>
      <c r="AF80" s="17">
        <v>0</v>
      </c>
      <c r="AG80" s="133">
        <v>0</v>
      </c>
      <c r="AH80" s="17">
        <v>0</v>
      </c>
      <c r="AI80" s="17">
        <v>0</v>
      </c>
      <c r="AJ80" s="17">
        <v>0</v>
      </c>
      <c r="AK80" s="17">
        <v>0</v>
      </c>
      <c r="AL80" s="32">
        <v>0</v>
      </c>
      <c r="AM80" s="52">
        <v>48.3</v>
      </c>
      <c r="AN80" s="89"/>
      <c r="AO80" s="89"/>
      <c r="AP80" s="88"/>
      <c r="AQ80" s="133" t="s">
        <v>1629</v>
      </c>
      <c r="AR80" s="174">
        <v>38</v>
      </c>
      <c r="AS80" s="89"/>
      <c r="AT80" s="171" t="str">
        <f t="shared" si="5"/>
        <v>305</v>
      </c>
      <c r="AU80" s="255">
        <f t="shared" si="6"/>
        <v>16.895043731778426</v>
      </c>
      <c r="AV80" s="52">
        <v>100</v>
      </c>
      <c r="AW80" s="257">
        <v>28</v>
      </c>
      <c r="AX80" s="514"/>
      <c r="AY80" s="258">
        <v>20</v>
      </c>
      <c r="AZ80" s="261"/>
      <c r="BA80" s="175">
        <v>50</v>
      </c>
      <c r="BB80" s="259"/>
      <c r="BC80" s="176"/>
      <c r="BD80" s="179"/>
      <c r="BE80" s="177"/>
      <c r="BF80" s="178"/>
      <c r="BG80" s="27"/>
      <c r="BH80" s="27"/>
    </row>
    <row r="81" spans="1:60" ht="15" customHeight="1">
      <c r="A81" s="95">
        <v>80</v>
      </c>
      <c r="B81" s="96" t="s">
        <v>1659</v>
      </c>
      <c r="C81" s="73" t="s">
        <v>2581</v>
      </c>
      <c r="D81" s="257" t="s">
        <v>119</v>
      </c>
      <c r="E81" s="459" t="s">
        <v>3377</v>
      </c>
      <c r="F81" s="258">
        <v>1965</v>
      </c>
      <c r="G81" s="171">
        <v>102</v>
      </c>
      <c r="H81" s="172" t="s">
        <v>1738</v>
      </c>
      <c r="I81" s="173" t="s">
        <v>1743</v>
      </c>
      <c r="J81" s="508">
        <v>0.45</v>
      </c>
      <c r="K81" s="513">
        <v>6</v>
      </c>
      <c r="L81" s="91">
        <f t="shared" si="7"/>
        <v>145.35</v>
      </c>
      <c r="M81" s="506">
        <v>323</v>
      </c>
      <c r="N81" s="506"/>
      <c r="O81" s="509" t="s">
        <v>12</v>
      </c>
      <c r="P81" s="507"/>
      <c r="Q81" s="262"/>
      <c r="R81" s="512" t="s">
        <v>2734</v>
      </c>
      <c r="S81" s="506" t="s">
        <v>2514</v>
      </c>
      <c r="T81" s="506" t="s">
        <v>2319</v>
      </c>
      <c r="U81" s="506" t="s">
        <v>2596</v>
      </c>
      <c r="V81" s="131">
        <v>0</v>
      </c>
      <c r="W81" s="132">
        <v>0</v>
      </c>
      <c r="X81" s="120">
        <v>0</v>
      </c>
      <c r="Y81" s="120">
        <v>0</v>
      </c>
      <c r="Z81" s="120">
        <v>0</v>
      </c>
      <c r="AA81" s="130"/>
      <c r="AB81" s="17">
        <v>0</v>
      </c>
      <c r="AC81" s="17">
        <v>0</v>
      </c>
      <c r="AD81" s="130"/>
      <c r="AE81" s="130"/>
      <c r="AF81" s="17">
        <v>0</v>
      </c>
      <c r="AG81" s="133">
        <v>0</v>
      </c>
      <c r="AH81" s="17">
        <v>0</v>
      </c>
      <c r="AI81" s="17">
        <v>0</v>
      </c>
      <c r="AJ81" s="17">
        <v>0</v>
      </c>
      <c r="AK81" s="17">
        <v>0</v>
      </c>
      <c r="AL81" s="32">
        <v>0</v>
      </c>
      <c r="AM81" s="52">
        <v>48.3</v>
      </c>
      <c r="AN81" s="89"/>
      <c r="AO81" s="89"/>
      <c r="AP81" s="88"/>
      <c r="AQ81" s="133" t="s">
        <v>1627</v>
      </c>
      <c r="AR81" s="174">
        <v>51</v>
      </c>
      <c r="AS81" s="89"/>
      <c r="AT81" s="171" t="str">
        <f t="shared" si="5"/>
        <v>305</v>
      </c>
      <c r="AU81" s="255">
        <f t="shared" si="6"/>
        <v>21.846910112359552</v>
      </c>
      <c r="AV81" s="52">
        <v>100</v>
      </c>
      <c r="AW81" s="257">
        <v>28</v>
      </c>
      <c r="AX81" s="514"/>
      <c r="AY81" s="258">
        <v>20</v>
      </c>
      <c r="AZ81" s="261"/>
      <c r="BA81" s="175">
        <v>50</v>
      </c>
      <c r="BB81" s="259"/>
      <c r="BC81" s="176"/>
      <c r="BD81" s="179"/>
      <c r="BE81" s="177"/>
      <c r="BF81" s="178"/>
      <c r="BG81" s="27"/>
      <c r="BH81" s="27"/>
    </row>
    <row r="82" spans="1:60" ht="15" customHeight="1">
      <c r="A82" s="95">
        <v>81</v>
      </c>
      <c r="B82" s="96" t="s">
        <v>1658</v>
      </c>
      <c r="C82" s="73" t="s">
        <v>2581</v>
      </c>
      <c r="D82" s="257" t="s">
        <v>119</v>
      </c>
      <c r="E82" s="459" t="s">
        <v>3377</v>
      </c>
      <c r="F82" s="258">
        <v>1965</v>
      </c>
      <c r="G82" s="171">
        <v>102</v>
      </c>
      <c r="H82" s="172" t="s">
        <v>1738</v>
      </c>
      <c r="I82" s="173" t="s">
        <v>1743</v>
      </c>
      <c r="J82" s="508">
        <v>0.45</v>
      </c>
      <c r="K82" s="513">
        <v>6</v>
      </c>
      <c r="L82" s="91">
        <f t="shared" si="7"/>
        <v>145.35</v>
      </c>
      <c r="M82" s="506">
        <v>323</v>
      </c>
      <c r="N82" s="506"/>
      <c r="O82" s="509" t="s">
        <v>12</v>
      </c>
      <c r="P82" s="507"/>
      <c r="Q82" s="262"/>
      <c r="R82" s="512" t="s">
        <v>2734</v>
      </c>
      <c r="S82" s="506" t="s">
        <v>2514</v>
      </c>
      <c r="T82" s="506" t="s">
        <v>2319</v>
      </c>
      <c r="U82" s="506" t="s">
        <v>2596</v>
      </c>
      <c r="V82" s="131">
        <v>0</v>
      </c>
      <c r="W82" s="132">
        <v>0</v>
      </c>
      <c r="X82" s="120">
        <v>0</v>
      </c>
      <c r="Y82" s="120">
        <v>0</v>
      </c>
      <c r="Z82" s="120">
        <v>0</v>
      </c>
      <c r="AA82" s="130"/>
      <c r="AB82" s="17">
        <v>0</v>
      </c>
      <c r="AC82" s="17">
        <v>0</v>
      </c>
      <c r="AD82" s="130"/>
      <c r="AE82" s="130"/>
      <c r="AF82" s="17">
        <v>0</v>
      </c>
      <c r="AG82" s="133">
        <v>0</v>
      </c>
      <c r="AH82" s="17">
        <v>0</v>
      </c>
      <c r="AI82" s="17">
        <v>0</v>
      </c>
      <c r="AJ82" s="17">
        <v>0</v>
      </c>
      <c r="AK82" s="17">
        <v>0</v>
      </c>
      <c r="AL82" s="32">
        <v>0</v>
      </c>
      <c r="AM82" s="52">
        <v>48.3</v>
      </c>
      <c r="AN82" s="89"/>
      <c r="AO82" s="89"/>
      <c r="AP82" s="88"/>
      <c r="AQ82" s="133" t="s">
        <v>154</v>
      </c>
      <c r="AR82" s="174">
        <v>76</v>
      </c>
      <c r="AS82" s="89"/>
      <c r="AT82" s="171" t="str">
        <f t="shared" si="5"/>
        <v>305</v>
      </c>
      <c r="AU82" s="255">
        <f t="shared" si="6"/>
        <v>30.41994750656168</v>
      </c>
      <c r="AV82" s="52">
        <v>100</v>
      </c>
      <c r="AW82" s="257">
        <v>28</v>
      </c>
      <c r="AX82" s="514"/>
      <c r="AY82" s="258">
        <v>20</v>
      </c>
      <c r="AZ82" s="261"/>
      <c r="BA82" s="175">
        <v>50</v>
      </c>
      <c r="BB82" s="259"/>
      <c r="BC82" s="176"/>
      <c r="BD82" s="179"/>
      <c r="BE82" s="177"/>
      <c r="BF82" s="178"/>
      <c r="BG82" s="27"/>
      <c r="BH82" s="27"/>
    </row>
    <row r="83" spans="1:60" ht="15" customHeight="1">
      <c r="A83" s="95">
        <v>82</v>
      </c>
      <c r="B83" s="96" t="s">
        <v>1657</v>
      </c>
      <c r="C83" s="73" t="s">
        <v>2638</v>
      </c>
      <c r="D83" s="257" t="s">
        <v>119</v>
      </c>
      <c r="E83" s="459" t="s">
        <v>3377</v>
      </c>
      <c r="F83" s="258">
        <v>1966</v>
      </c>
      <c r="G83" s="171">
        <v>48</v>
      </c>
      <c r="H83" s="57"/>
      <c r="I83" s="88"/>
      <c r="J83" s="508">
        <v>0.71</v>
      </c>
      <c r="K83" s="513">
        <v>6</v>
      </c>
      <c r="L83" s="91">
        <f t="shared" si="7"/>
        <v>215.13</v>
      </c>
      <c r="M83" s="506">
        <v>303</v>
      </c>
      <c r="N83" s="506"/>
      <c r="O83" s="509" t="s">
        <v>129</v>
      </c>
      <c r="P83" s="507"/>
      <c r="Q83" s="262"/>
      <c r="R83" s="507"/>
      <c r="S83" s="507"/>
      <c r="T83" s="507"/>
      <c r="U83" s="507"/>
      <c r="V83" s="131">
        <v>0</v>
      </c>
      <c r="W83" s="132">
        <v>0</v>
      </c>
      <c r="X83" s="120">
        <v>0</v>
      </c>
      <c r="Y83" s="120">
        <v>0</v>
      </c>
      <c r="Z83" s="120">
        <v>0</v>
      </c>
      <c r="AA83" s="130"/>
      <c r="AB83" s="17">
        <v>0</v>
      </c>
      <c r="AC83" s="17">
        <v>0</v>
      </c>
      <c r="AD83" s="130"/>
      <c r="AE83" s="130"/>
      <c r="AF83" s="17">
        <v>0</v>
      </c>
      <c r="AG83" s="133">
        <v>0</v>
      </c>
      <c r="AH83" s="17">
        <v>0</v>
      </c>
      <c r="AI83" s="17">
        <v>0</v>
      </c>
      <c r="AJ83" s="17">
        <v>0</v>
      </c>
      <c r="AK83" s="17">
        <v>0</v>
      </c>
      <c r="AL83" s="32">
        <v>0</v>
      </c>
      <c r="AM83" s="509">
        <v>41.3</v>
      </c>
      <c r="AN83" s="89"/>
      <c r="AO83" s="89"/>
      <c r="AP83" s="416">
        <v>27700</v>
      </c>
      <c r="AQ83" s="133" t="s">
        <v>132</v>
      </c>
      <c r="AR83" s="174">
        <v>51</v>
      </c>
      <c r="AS83" s="89"/>
      <c r="AT83" s="171" t="str">
        <f t="shared" si="5"/>
        <v>457</v>
      </c>
      <c r="AU83" s="255">
        <f t="shared" si="6"/>
        <v>22.939960629921259</v>
      </c>
      <c r="AV83" s="509">
        <v>99</v>
      </c>
      <c r="AW83" s="257">
        <v>8</v>
      </c>
      <c r="AX83" s="514"/>
      <c r="AY83" s="258">
        <v>20</v>
      </c>
      <c r="AZ83" s="261"/>
      <c r="BA83" s="175">
        <v>50</v>
      </c>
      <c r="BB83" s="259"/>
      <c r="BC83" s="176"/>
      <c r="BD83" s="179"/>
      <c r="BE83" s="177" t="s">
        <v>259</v>
      </c>
      <c r="BF83" s="178"/>
      <c r="BG83" s="27"/>
      <c r="BH83" s="27"/>
    </row>
    <row r="84" spans="1:60" ht="15" customHeight="1">
      <c r="A84" s="95">
        <v>83</v>
      </c>
      <c r="B84" s="96" t="s">
        <v>1656</v>
      </c>
      <c r="C84" s="73" t="s">
        <v>2638</v>
      </c>
      <c r="D84" s="257" t="s">
        <v>119</v>
      </c>
      <c r="E84" s="459" t="s">
        <v>3377</v>
      </c>
      <c r="F84" s="258">
        <v>1966</v>
      </c>
      <c r="G84" s="171">
        <v>48</v>
      </c>
      <c r="H84" s="57"/>
      <c r="I84" s="88"/>
      <c r="J84" s="508">
        <v>0.71</v>
      </c>
      <c r="K84" s="513">
        <v>6</v>
      </c>
      <c r="L84" s="91">
        <f t="shared" si="7"/>
        <v>215.13</v>
      </c>
      <c r="M84" s="506">
        <v>303</v>
      </c>
      <c r="N84" s="506"/>
      <c r="O84" s="509" t="s">
        <v>129</v>
      </c>
      <c r="P84" s="507"/>
      <c r="Q84" s="262"/>
      <c r="R84" s="507"/>
      <c r="S84" s="507"/>
      <c r="T84" s="507"/>
      <c r="U84" s="507"/>
      <c r="V84" s="131">
        <v>0</v>
      </c>
      <c r="W84" s="132">
        <v>0</v>
      </c>
      <c r="X84" s="120">
        <v>0</v>
      </c>
      <c r="Y84" s="120">
        <v>0</v>
      </c>
      <c r="Z84" s="120">
        <v>0</v>
      </c>
      <c r="AA84" s="130"/>
      <c r="AB84" s="17">
        <v>0</v>
      </c>
      <c r="AC84" s="17">
        <v>0</v>
      </c>
      <c r="AD84" s="130"/>
      <c r="AE84" s="130"/>
      <c r="AF84" s="17">
        <v>0</v>
      </c>
      <c r="AG84" s="133">
        <v>0</v>
      </c>
      <c r="AH84" s="17">
        <v>0</v>
      </c>
      <c r="AI84" s="17">
        <v>0</v>
      </c>
      <c r="AJ84" s="17">
        <v>0</v>
      </c>
      <c r="AK84" s="17">
        <v>0</v>
      </c>
      <c r="AL84" s="32">
        <v>0</v>
      </c>
      <c r="AM84" s="509">
        <v>41.3</v>
      </c>
      <c r="AN84" s="89"/>
      <c r="AO84" s="89"/>
      <c r="AP84" s="416">
        <v>27700</v>
      </c>
      <c r="AQ84" s="133" t="s">
        <v>133</v>
      </c>
      <c r="AR84" s="174">
        <v>76</v>
      </c>
      <c r="AS84" s="89"/>
      <c r="AT84" s="171" t="str">
        <f t="shared" si="5"/>
        <v>559</v>
      </c>
      <c r="AU84" s="255">
        <f t="shared" si="6"/>
        <v>33.45196850393701</v>
      </c>
      <c r="AV84" s="509">
        <v>99</v>
      </c>
      <c r="AW84" s="257">
        <v>8</v>
      </c>
      <c r="AX84" s="514"/>
      <c r="AY84" s="258">
        <v>20</v>
      </c>
      <c r="AZ84" s="261"/>
      <c r="BA84" s="175">
        <v>50</v>
      </c>
      <c r="BB84" s="259"/>
      <c r="BC84" s="176"/>
      <c r="BD84" s="179"/>
      <c r="BE84" s="177" t="s">
        <v>259</v>
      </c>
      <c r="BF84" s="178"/>
      <c r="BG84" s="27"/>
      <c r="BH84" s="27"/>
    </row>
    <row r="85" spans="1:60" ht="15" customHeight="1">
      <c r="A85" s="95">
        <v>84</v>
      </c>
      <c r="B85" s="96" t="s">
        <v>1655</v>
      </c>
      <c r="C85" s="73" t="s">
        <v>2638</v>
      </c>
      <c r="D85" s="257" t="s">
        <v>119</v>
      </c>
      <c r="E85" s="459" t="s">
        <v>3377</v>
      </c>
      <c r="F85" s="258">
        <v>1966</v>
      </c>
      <c r="G85" s="171">
        <v>48</v>
      </c>
      <c r="H85" s="57"/>
      <c r="I85" s="88"/>
      <c r="J85" s="508">
        <v>0.71</v>
      </c>
      <c r="K85" s="513">
        <v>6</v>
      </c>
      <c r="L85" s="91">
        <f t="shared" si="7"/>
        <v>215.13</v>
      </c>
      <c r="M85" s="506">
        <v>303</v>
      </c>
      <c r="N85" s="506"/>
      <c r="O85" s="509" t="s">
        <v>129</v>
      </c>
      <c r="P85" s="507"/>
      <c r="Q85" s="262"/>
      <c r="R85" s="507"/>
      <c r="S85" s="507"/>
      <c r="T85" s="507"/>
      <c r="U85" s="507"/>
      <c r="V85" s="131">
        <v>0</v>
      </c>
      <c r="W85" s="132">
        <v>0</v>
      </c>
      <c r="X85" s="120">
        <v>0</v>
      </c>
      <c r="Y85" s="120">
        <v>0</v>
      </c>
      <c r="Z85" s="120">
        <v>0</v>
      </c>
      <c r="AA85" s="130"/>
      <c r="AB85" s="17">
        <v>0</v>
      </c>
      <c r="AC85" s="17">
        <v>0</v>
      </c>
      <c r="AD85" s="130"/>
      <c r="AE85" s="130"/>
      <c r="AF85" s="17">
        <v>0</v>
      </c>
      <c r="AG85" s="133">
        <v>0</v>
      </c>
      <c r="AH85" s="17">
        <v>0</v>
      </c>
      <c r="AI85" s="17">
        <v>0</v>
      </c>
      <c r="AJ85" s="17">
        <v>0</v>
      </c>
      <c r="AK85" s="17">
        <v>0</v>
      </c>
      <c r="AL85" s="32">
        <v>0</v>
      </c>
      <c r="AM85" s="509">
        <v>41.3</v>
      </c>
      <c r="AN85" s="89"/>
      <c r="AO85" s="89"/>
      <c r="AP85" s="416">
        <v>27700</v>
      </c>
      <c r="AQ85" s="133" t="s">
        <v>134</v>
      </c>
      <c r="AR85" s="174">
        <v>101.5</v>
      </c>
      <c r="AS85" s="89"/>
      <c r="AT85" s="171" t="str">
        <f t="shared" si="5"/>
        <v>660</v>
      </c>
      <c r="AU85" s="255">
        <f t="shared" si="6"/>
        <v>43.985554826001312</v>
      </c>
      <c r="AV85" s="509">
        <v>99</v>
      </c>
      <c r="AW85" s="257">
        <v>8</v>
      </c>
      <c r="AX85" s="514"/>
      <c r="AY85" s="258">
        <v>20</v>
      </c>
      <c r="AZ85" s="261"/>
      <c r="BA85" s="175">
        <v>50</v>
      </c>
      <c r="BB85" s="259"/>
      <c r="BC85" s="176"/>
      <c r="BD85" s="179"/>
      <c r="BE85" s="177" t="s">
        <v>259</v>
      </c>
      <c r="BF85" s="178"/>
      <c r="BG85" s="27"/>
      <c r="BH85" s="27"/>
    </row>
    <row r="86" spans="1:60" ht="15" customHeight="1">
      <c r="A86" s="95">
        <v>85</v>
      </c>
      <c r="B86" s="96" t="s">
        <v>1654</v>
      </c>
      <c r="C86" s="73" t="s">
        <v>2638</v>
      </c>
      <c r="D86" s="257" t="s">
        <v>119</v>
      </c>
      <c r="E86" s="459" t="s">
        <v>3377</v>
      </c>
      <c r="F86" s="258">
        <v>1966</v>
      </c>
      <c r="G86" s="171">
        <v>48</v>
      </c>
      <c r="H86" s="57"/>
      <c r="I86" s="88"/>
      <c r="J86" s="508">
        <v>0.71</v>
      </c>
      <c r="K86" s="513">
        <v>6</v>
      </c>
      <c r="L86" s="91">
        <f t="shared" si="7"/>
        <v>215.13</v>
      </c>
      <c r="M86" s="506">
        <v>303</v>
      </c>
      <c r="N86" s="506"/>
      <c r="O86" s="509" t="s">
        <v>129</v>
      </c>
      <c r="P86" s="507"/>
      <c r="Q86" s="262"/>
      <c r="R86" s="507"/>
      <c r="S86" s="507"/>
      <c r="T86" s="507"/>
      <c r="U86" s="507"/>
      <c r="V86" s="131">
        <v>0</v>
      </c>
      <c r="W86" s="132">
        <v>0</v>
      </c>
      <c r="X86" s="120">
        <v>0</v>
      </c>
      <c r="Y86" s="120">
        <v>0</v>
      </c>
      <c r="Z86" s="120">
        <v>0</v>
      </c>
      <c r="AA86" s="130"/>
      <c r="AB86" s="17">
        <v>0</v>
      </c>
      <c r="AC86" s="17">
        <v>0</v>
      </c>
      <c r="AD86" s="130"/>
      <c r="AE86" s="130"/>
      <c r="AF86" s="17">
        <v>0</v>
      </c>
      <c r="AG86" s="133">
        <v>0</v>
      </c>
      <c r="AH86" s="17">
        <v>0</v>
      </c>
      <c r="AI86" s="17">
        <v>0</v>
      </c>
      <c r="AJ86" s="17">
        <v>0</v>
      </c>
      <c r="AK86" s="17">
        <v>0</v>
      </c>
      <c r="AL86" s="32">
        <v>0</v>
      </c>
      <c r="AM86" s="509">
        <v>41.3</v>
      </c>
      <c r="AN86" s="89"/>
      <c r="AO86" s="89"/>
      <c r="AP86" s="416">
        <v>27700</v>
      </c>
      <c r="AQ86" s="133" t="s">
        <v>1653</v>
      </c>
      <c r="AR86" s="174">
        <v>152.5</v>
      </c>
      <c r="AS86" s="89"/>
      <c r="AT86" s="171" t="str">
        <f t="shared" si="5"/>
        <v>864</v>
      </c>
      <c r="AU86" s="255">
        <f t="shared" si="6"/>
        <v>64.81062469257256</v>
      </c>
      <c r="AV86" s="509">
        <v>99</v>
      </c>
      <c r="AW86" s="257">
        <v>8</v>
      </c>
      <c r="AX86" s="514"/>
      <c r="AY86" s="258">
        <v>20</v>
      </c>
      <c r="AZ86" s="261"/>
      <c r="BA86" s="175">
        <v>50</v>
      </c>
      <c r="BB86" s="259"/>
      <c r="BC86" s="176"/>
      <c r="BD86" s="179"/>
      <c r="BE86" s="177" t="s">
        <v>259</v>
      </c>
      <c r="BF86" s="178"/>
      <c r="BG86" s="27"/>
      <c r="BH86" s="27"/>
    </row>
    <row r="87" spans="1:60" ht="15" customHeight="1">
      <c r="A87" s="95">
        <v>86</v>
      </c>
      <c r="B87" s="96" t="s">
        <v>1652</v>
      </c>
      <c r="C87" s="73" t="s">
        <v>2638</v>
      </c>
      <c r="D87" s="257" t="s">
        <v>119</v>
      </c>
      <c r="E87" s="459" t="s">
        <v>3377</v>
      </c>
      <c r="F87" s="258">
        <v>1966</v>
      </c>
      <c r="G87" s="171">
        <v>48</v>
      </c>
      <c r="H87" s="57"/>
      <c r="I87" s="88"/>
      <c r="J87" s="508">
        <v>0.71</v>
      </c>
      <c r="K87" s="513">
        <v>6</v>
      </c>
      <c r="L87" s="91">
        <f t="shared" si="7"/>
        <v>215.13</v>
      </c>
      <c r="M87" s="506">
        <v>303</v>
      </c>
      <c r="N87" s="506"/>
      <c r="O87" s="509" t="s">
        <v>129</v>
      </c>
      <c r="P87" s="507"/>
      <c r="Q87" s="262"/>
      <c r="R87" s="507"/>
      <c r="S87" s="507"/>
      <c r="T87" s="507"/>
      <c r="U87" s="507"/>
      <c r="V87" s="131">
        <v>0</v>
      </c>
      <c r="W87" s="132">
        <v>0</v>
      </c>
      <c r="X87" s="120">
        <v>0</v>
      </c>
      <c r="Y87" s="120">
        <v>0</v>
      </c>
      <c r="Z87" s="120">
        <v>0</v>
      </c>
      <c r="AA87" s="130"/>
      <c r="AB87" s="17">
        <v>0</v>
      </c>
      <c r="AC87" s="17">
        <v>0</v>
      </c>
      <c r="AD87" s="130"/>
      <c r="AE87" s="130"/>
      <c r="AF87" s="17">
        <v>0</v>
      </c>
      <c r="AG87" s="133">
        <v>0</v>
      </c>
      <c r="AH87" s="17">
        <v>0</v>
      </c>
      <c r="AI87" s="17">
        <v>0</v>
      </c>
      <c r="AJ87" s="17">
        <v>0</v>
      </c>
      <c r="AK87" s="17">
        <v>0</v>
      </c>
      <c r="AL87" s="32">
        <v>0</v>
      </c>
      <c r="AM87" s="509">
        <v>41.3</v>
      </c>
      <c r="AN87" s="89"/>
      <c r="AO87" s="89"/>
      <c r="AP87" s="416">
        <v>27700</v>
      </c>
      <c r="AQ87" s="133" t="s">
        <v>135</v>
      </c>
      <c r="AR87" s="174">
        <v>203</v>
      </c>
      <c r="AS87" s="89"/>
      <c r="AT87" s="171" t="str">
        <f t="shared" si="5"/>
        <v>1067</v>
      </c>
      <c r="AU87" s="255">
        <f t="shared" si="6"/>
        <v>85.275984251968509</v>
      </c>
      <c r="AV87" s="509">
        <v>99</v>
      </c>
      <c r="AW87" s="257">
        <v>8</v>
      </c>
      <c r="AX87" s="514"/>
      <c r="AY87" s="258">
        <v>20</v>
      </c>
      <c r="AZ87" s="261"/>
      <c r="BA87" s="175">
        <v>50</v>
      </c>
      <c r="BB87" s="259"/>
      <c r="BC87" s="176"/>
      <c r="BD87" s="179"/>
      <c r="BE87" s="177" t="s">
        <v>259</v>
      </c>
      <c r="BF87" s="178"/>
      <c r="BG87" s="27"/>
      <c r="BH87" s="27"/>
    </row>
    <row r="88" spans="1:60" ht="15" customHeight="1">
      <c r="A88" s="95">
        <v>87</v>
      </c>
      <c r="B88" s="96" t="s">
        <v>1651</v>
      </c>
      <c r="C88" s="73" t="s">
        <v>2638</v>
      </c>
      <c r="D88" s="257" t="s">
        <v>119</v>
      </c>
      <c r="E88" s="459" t="s">
        <v>3377</v>
      </c>
      <c r="F88" s="258">
        <v>1966</v>
      </c>
      <c r="G88" s="171">
        <v>48</v>
      </c>
      <c r="H88" s="57"/>
      <c r="I88" s="88"/>
      <c r="J88" s="508">
        <v>0.71</v>
      </c>
      <c r="K88" s="513">
        <v>6</v>
      </c>
      <c r="L88" s="91">
        <f t="shared" si="7"/>
        <v>215.13</v>
      </c>
      <c r="M88" s="506">
        <v>303</v>
      </c>
      <c r="N88" s="506"/>
      <c r="O88" s="509" t="s">
        <v>129</v>
      </c>
      <c r="P88" s="507"/>
      <c r="Q88" s="262"/>
      <c r="R88" s="507"/>
      <c r="S88" s="507"/>
      <c r="T88" s="507"/>
      <c r="U88" s="507"/>
      <c r="V88" s="131">
        <v>0</v>
      </c>
      <c r="W88" s="132">
        <v>0</v>
      </c>
      <c r="X88" s="120">
        <v>0</v>
      </c>
      <c r="Y88" s="120">
        <v>0</v>
      </c>
      <c r="Z88" s="120">
        <v>0</v>
      </c>
      <c r="AA88" s="130"/>
      <c r="AB88" s="17">
        <v>0</v>
      </c>
      <c r="AC88" s="17">
        <v>0</v>
      </c>
      <c r="AD88" s="130"/>
      <c r="AE88" s="130"/>
      <c r="AF88" s="17">
        <v>0</v>
      </c>
      <c r="AG88" s="133">
        <v>0</v>
      </c>
      <c r="AH88" s="17">
        <v>0</v>
      </c>
      <c r="AI88" s="17">
        <v>0</v>
      </c>
      <c r="AJ88" s="17">
        <v>0</v>
      </c>
      <c r="AK88" s="17">
        <v>0</v>
      </c>
      <c r="AL88" s="32">
        <v>0</v>
      </c>
      <c r="AM88" s="509">
        <v>41.3</v>
      </c>
      <c r="AN88" s="89"/>
      <c r="AO88" s="89"/>
      <c r="AP88" s="416">
        <v>27700</v>
      </c>
      <c r="AQ88" s="133" t="s">
        <v>136</v>
      </c>
      <c r="AR88" s="174">
        <v>254</v>
      </c>
      <c r="AS88" s="89"/>
      <c r="AT88" s="171" t="str">
        <f t="shared" si="5"/>
        <v>1270</v>
      </c>
      <c r="AU88" s="255">
        <f t="shared" si="6"/>
        <v>105.83333333333333</v>
      </c>
      <c r="AV88" s="509">
        <v>99</v>
      </c>
      <c r="AW88" s="257">
        <v>8</v>
      </c>
      <c r="AX88" s="514"/>
      <c r="AY88" s="258">
        <v>20</v>
      </c>
      <c r="AZ88" s="261"/>
      <c r="BA88" s="175">
        <v>50</v>
      </c>
      <c r="BB88" s="259"/>
      <c r="BC88" s="176"/>
      <c r="BD88" s="179"/>
      <c r="BE88" s="177" t="s">
        <v>259</v>
      </c>
      <c r="BF88" s="178"/>
      <c r="BG88" s="27"/>
      <c r="BH88" s="27"/>
    </row>
    <row r="89" spans="1:60" ht="15" customHeight="1">
      <c r="A89" s="95">
        <v>88</v>
      </c>
      <c r="B89" s="96" t="s">
        <v>1650</v>
      </c>
      <c r="C89" s="73" t="s">
        <v>2638</v>
      </c>
      <c r="D89" s="257" t="s">
        <v>119</v>
      </c>
      <c r="E89" s="459" t="s">
        <v>3377</v>
      </c>
      <c r="F89" s="258">
        <v>1966</v>
      </c>
      <c r="G89" s="171">
        <v>48</v>
      </c>
      <c r="H89" s="57"/>
      <c r="I89" s="88"/>
      <c r="J89" s="508">
        <v>0.71</v>
      </c>
      <c r="K89" s="513">
        <v>6</v>
      </c>
      <c r="L89" s="91">
        <f t="shared" si="7"/>
        <v>215.13</v>
      </c>
      <c r="M89" s="506">
        <v>303</v>
      </c>
      <c r="N89" s="506"/>
      <c r="O89" s="509" t="s">
        <v>129</v>
      </c>
      <c r="P89" s="507"/>
      <c r="Q89" s="262"/>
      <c r="R89" s="507"/>
      <c r="S89" s="507"/>
      <c r="T89" s="507"/>
      <c r="U89" s="507"/>
      <c r="V89" s="131">
        <v>0</v>
      </c>
      <c r="W89" s="132">
        <v>0</v>
      </c>
      <c r="X89" s="120">
        <v>0</v>
      </c>
      <c r="Y89" s="120">
        <v>0</v>
      </c>
      <c r="Z89" s="120">
        <v>0</v>
      </c>
      <c r="AA89" s="130"/>
      <c r="AB89" s="17">
        <v>0</v>
      </c>
      <c r="AC89" s="17">
        <v>0</v>
      </c>
      <c r="AD89" s="130"/>
      <c r="AE89" s="130"/>
      <c r="AF89" s="17">
        <v>0</v>
      </c>
      <c r="AG89" s="133">
        <v>0</v>
      </c>
      <c r="AH89" s="17">
        <v>0</v>
      </c>
      <c r="AI89" s="17">
        <v>0</v>
      </c>
      <c r="AJ89" s="17">
        <v>0</v>
      </c>
      <c r="AK89" s="17">
        <v>0</v>
      </c>
      <c r="AL89" s="32">
        <v>0</v>
      </c>
      <c r="AM89" s="509">
        <v>41.3</v>
      </c>
      <c r="AN89" s="89"/>
      <c r="AO89" s="89"/>
      <c r="AP89" s="416">
        <v>27700</v>
      </c>
      <c r="AQ89" s="133" t="s">
        <v>1649</v>
      </c>
      <c r="AR89" s="174">
        <v>303.5</v>
      </c>
      <c r="AS89" s="89"/>
      <c r="AT89" s="171" t="str">
        <f t="shared" si="5"/>
        <v>1473</v>
      </c>
      <c r="AU89" s="255">
        <f t="shared" si="6"/>
        <v>125.82479594708697</v>
      </c>
      <c r="AV89" s="509">
        <v>99</v>
      </c>
      <c r="AW89" s="257">
        <v>8</v>
      </c>
      <c r="AX89" s="514"/>
      <c r="AY89" s="258">
        <v>20</v>
      </c>
      <c r="AZ89" s="261"/>
      <c r="BA89" s="175">
        <v>50</v>
      </c>
      <c r="BB89" s="259"/>
      <c r="BC89" s="176"/>
      <c r="BD89" s="179"/>
      <c r="BE89" s="177" t="s">
        <v>259</v>
      </c>
      <c r="BF89" s="178"/>
      <c r="BG89" s="27"/>
      <c r="BH89" s="27"/>
    </row>
    <row r="90" spans="1:60" ht="15" customHeight="1">
      <c r="A90" s="95">
        <v>89</v>
      </c>
      <c r="B90" s="96" t="s">
        <v>1648</v>
      </c>
      <c r="C90" s="73" t="s">
        <v>2638</v>
      </c>
      <c r="D90" s="257" t="s">
        <v>119</v>
      </c>
      <c r="E90" s="459" t="s">
        <v>3377</v>
      </c>
      <c r="F90" s="258">
        <v>1966</v>
      </c>
      <c r="G90" s="171">
        <v>48</v>
      </c>
      <c r="H90" s="57"/>
      <c r="I90" s="88"/>
      <c r="J90" s="508">
        <v>0.71</v>
      </c>
      <c r="K90" s="513">
        <v>6</v>
      </c>
      <c r="L90" s="91">
        <f t="shared" si="7"/>
        <v>215.13</v>
      </c>
      <c r="M90" s="506">
        <v>303</v>
      </c>
      <c r="N90" s="506"/>
      <c r="O90" s="509" t="s">
        <v>129</v>
      </c>
      <c r="P90" s="507"/>
      <c r="Q90" s="262"/>
      <c r="R90" s="507"/>
      <c r="S90" s="507"/>
      <c r="T90" s="507"/>
      <c r="U90" s="507"/>
      <c r="V90" s="131">
        <v>0</v>
      </c>
      <c r="W90" s="132">
        <v>0</v>
      </c>
      <c r="X90" s="120">
        <v>0</v>
      </c>
      <c r="Y90" s="120">
        <v>0</v>
      </c>
      <c r="Z90" s="120">
        <v>0</v>
      </c>
      <c r="AA90" s="130"/>
      <c r="AB90" s="17">
        <v>0</v>
      </c>
      <c r="AC90" s="17">
        <v>0</v>
      </c>
      <c r="AD90" s="130"/>
      <c r="AE90" s="130"/>
      <c r="AF90" s="17">
        <v>0</v>
      </c>
      <c r="AG90" s="133">
        <v>0</v>
      </c>
      <c r="AH90" s="17">
        <v>0</v>
      </c>
      <c r="AI90" s="17">
        <v>0</v>
      </c>
      <c r="AJ90" s="17">
        <v>0</v>
      </c>
      <c r="AK90" s="17">
        <v>0</v>
      </c>
      <c r="AL90" s="32">
        <v>0</v>
      </c>
      <c r="AM90" s="509">
        <v>41.3</v>
      </c>
      <c r="AN90" s="89"/>
      <c r="AO90" s="89"/>
      <c r="AP90" s="416">
        <v>27700</v>
      </c>
      <c r="AQ90" s="89"/>
      <c r="AR90" s="89"/>
      <c r="AS90" s="89"/>
      <c r="AT90" s="89"/>
      <c r="AU90" s="265"/>
      <c r="AV90" s="509">
        <v>99</v>
      </c>
      <c r="AW90" s="257">
        <v>8</v>
      </c>
      <c r="AX90" s="514"/>
      <c r="AY90" s="258">
        <v>20</v>
      </c>
      <c r="AZ90" s="261"/>
      <c r="BA90" s="175">
        <v>50</v>
      </c>
      <c r="BB90" s="259"/>
      <c r="BC90" s="176"/>
      <c r="BD90" s="179"/>
      <c r="BE90" s="177" t="s">
        <v>259</v>
      </c>
      <c r="BF90" s="178"/>
      <c r="BG90" s="27"/>
      <c r="BH90" s="27"/>
    </row>
    <row r="91" spans="1:60" ht="15" customHeight="1">
      <c r="A91" s="95">
        <v>90</v>
      </c>
      <c r="B91" s="96" t="s">
        <v>1647</v>
      </c>
      <c r="C91" s="73" t="s">
        <v>2638</v>
      </c>
      <c r="D91" s="257" t="s">
        <v>119</v>
      </c>
      <c r="E91" s="459" t="s">
        <v>3377</v>
      </c>
      <c r="F91" s="258">
        <v>1966</v>
      </c>
      <c r="G91" s="171">
        <v>48</v>
      </c>
      <c r="H91" s="57"/>
      <c r="I91" s="88"/>
      <c r="J91" s="508">
        <v>0.71</v>
      </c>
      <c r="K91" s="513">
        <v>6</v>
      </c>
      <c r="L91" s="91">
        <f t="shared" si="7"/>
        <v>215.13</v>
      </c>
      <c r="M91" s="506">
        <v>303</v>
      </c>
      <c r="N91" s="506"/>
      <c r="O91" s="509" t="s">
        <v>129</v>
      </c>
      <c r="P91" s="507"/>
      <c r="Q91" s="262"/>
      <c r="R91" s="507"/>
      <c r="S91" s="507"/>
      <c r="T91" s="507"/>
      <c r="U91" s="507"/>
      <c r="V91" s="131">
        <v>0</v>
      </c>
      <c r="W91" s="132">
        <v>0</v>
      </c>
      <c r="X91" s="120">
        <v>0</v>
      </c>
      <c r="Y91" s="120">
        <v>0</v>
      </c>
      <c r="Z91" s="120">
        <v>0</v>
      </c>
      <c r="AA91" s="130"/>
      <c r="AB91" s="17">
        <v>0</v>
      </c>
      <c r="AC91" s="17">
        <v>0</v>
      </c>
      <c r="AD91" s="130"/>
      <c r="AE91" s="130"/>
      <c r="AF91" s="17">
        <v>0</v>
      </c>
      <c r="AG91" s="133">
        <v>0</v>
      </c>
      <c r="AH91" s="17">
        <v>0</v>
      </c>
      <c r="AI91" s="17">
        <v>0</v>
      </c>
      <c r="AJ91" s="17">
        <v>0</v>
      </c>
      <c r="AK91" s="17">
        <v>0</v>
      </c>
      <c r="AL91" s="32">
        <v>0</v>
      </c>
      <c r="AM91" s="509">
        <v>41.3</v>
      </c>
      <c r="AN91" s="89"/>
      <c r="AO91" s="89"/>
      <c r="AP91" s="416">
        <v>27700</v>
      </c>
      <c r="AQ91" s="89"/>
      <c r="AR91" s="89"/>
      <c r="AS91" s="89"/>
      <c r="AT91" s="89"/>
      <c r="AU91" s="265"/>
      <c r="AV91" s="509">
        <v>99</v>
      </c>
      <c r="AW91" s="257">
        <v>8</v>
      </c>
      <c r="AX91" s="514"/>
      <c r="AY91" s="258">
        <v>20</v>
      </c>
      <c r="AZ91" s="261"/>
      <c r="BA91" s="175">
        <v>50</v>
      </c>
      <c r="BB91" s="259"/>
      <c r="BC91" s="176"/>
      <c r="BD91" s="179"/>
      <c r="BE91" s="177" t="s">
        <v>259</v>
      </c>
      <c r="BF91" s="178"/>
      <c r="BG91" s="27"/>
      <c r="BH91" s="27"/>
    </row>
    <row r="92" spans="1:60" ht="15" customHeight="1">
      <c r="A92" s="95">
        <v>91</v>
      </c>
      <c r="B92" s="96" t="s">
        <v>1646</v>
      </c>
      <c r="C92" s="73" t="s">
        <v>2638</v>
      </c>
      <c r="D92" s="257" t="s">
        <v>119</v>
      </c>
      <c r="E92" s="459" t="s">
        <v>3377</v>
      </c>
      <c r="F92" s="258">
        <v>1966</v>
      </c>
      <c r="G92" s="171">
        <v>48</v>
      </c>
      <c r="H92" s="57"/>
      <c r="I92" s="88"/>
      <c r="J92" s="508">
        <v>0.71</v>
      </c>
      <c r="K92" s="513">
        <v>6</v>
      </c>
      <c r="L92" s="91">
        <f t="shared" si="7"/>
        <v>215.13</v>
      </c>
      <c r="M92" s="506">
        <v>303</v>
      </c>
      <c r="N92" s="506"/>
      <c r="O92" s="509" t="s">
        <v>129</v>
      </c>
      <c r="P92" s="507"/>
      <c r="Q92" s="262"/>
      <c r="R92" s="507"/>
      <c r="S92" s="507"/>
      <c r="T92" s="507"/>
      <c r="U92" s="507"/>
      <c r="V92" s="131">
        <v>0</v>
      </c>
      <c r="W92" s="132">
        <v>0</v>
      </c>
      <c r="X92" s="120">
        <v>0</v>
      </c>
      <c r="Y92" s="120">
        <v>0</v>
      </c>
      <c r="Z92" s="120">
        <v>0</v>
      </c>
      <c r="AA92" s="130"/>
      <c r="AB92" s="17">
        <v>0</v>
      </c>
      <c r="AC92" s="17">
        <v>0</v>
      </c>
      <c r="AD92" s="130"/>
      <c r="AE92" s="130"/>
      <c r="AF92" s="17">
        <v>0</v>
      </c>
      <c r="AG92" s="133">
        <v>0</v>
      </c>
      <c r="AH92" s="17">
        <v>0</v>
      </c>
      <c r="AI92" s="17">
        <v>0</v>
      </c>
      <c r="AJ92" s="17">
        <v>0</v>
      </c>
      <c r="AK92" s="17">
        <v>0</v>
      </c>
      <c r="AL92" s="32">
        <v>0</v>
      </c>
      <c r="AM92" s="509">
        <v>41.3</v>
      </c>
      <c r="AN92" s="89"/>
      <c r="AO92" s="89"/>
      <c r="AP92" s="416">
        <v>27700</v>
      </c>
      <c r="AQ92" s="89"/>
      <c r="AR92" s="89"/>
      <c r="AS92" s="89"/>
      <c r="AT92" s="89"/>
      <c r="AU92" s="265"/>
      <c r="AV92" s="509">
        <v>99</v>
      </c>
      <c r="AW92" s="257">
        <v>8</v>
      </c>
      <c r="AX92" s="514"/>
      <c r="AY92" s="258">
        <v>20</v>
      </c>
      <c r="AZ92" s="261"/>
      <c r="BA92" s="175">
        <v>50</v>
      </c>
      <c r="BB92" s="259"/>
      <c r="BC92" s="176"/>
      <c r="BD92" s="179"/>
      <c r="BE92" s="177" t="s">
        <v>259</v>
      </c>
      <c r="BF92" s="178"/>
      <c r="BG92" s="27"/>
      <c r="BH92" s="27"/>
    </row>
    <row r="93" spans="1:60" ht="15" customHeight="1">
      <c r="A93" s="95">
        <v>92</v>
      </c>
      <c r="B93" s="96" t="s">
        <v>1645</v>
      </c>
      <c r="C93" s="73" t="s">
        <v>2581</v>
      </c>
      <c r="D93" s="257" t="s">
        <v>119</v>
      </c>
      <c r="E93" s="459" t="s">
        <v>3377</v>
      </c>
      <c r="F93" s="258">
        <v>1966</v>
      </c>
      <c r="G93" s="171">
        <v>111</v>
      </c>
      <c r="H93" s="57"/>
      <c r="I93" s="88"/>
      <c r="J93" s="508">
        <v>0.5</v>
      </c>
      <c r="K93" s="513">
        <v>4.4000000000000004</v>
      </c>
      <c r="L93" s="91">
        <f t="shared" si="7"/>
        <v>198</v>
      </c>
      <c r="M93" s="506">
        <v>396</v>
      </c>
      <c r="N93" s="506"/>
      <c r="O93" s="509" t="s">
        <v>12</v>
      </c>
      <c r="P93" s="507"/>
      <c r="Q93" s="262"/>
      <c r="R93" s="507"/>
      <c r="S93" s="507"/>
      <c r="T93" s="507"/>
      <c r="U93" s="507"/>
      <c r="V93" s="131">
        <v>0</v>
      </c>
      <c r="W93" s="132">
        <v>0</v>
      </c>
      <c r="X93" s="120">
        <v>0</v>
      </c>
      <c r="Y93" s="120">
        <v>0</v>
      </c>
      <c r="Z93" s="120">
        <v>0</v>
      </c>
      <c r="AA93" s="130"/>
      <c r="AB93" s="17">
        <v>0</v>
      </c>
      <c r="AC93" s="17">
        <v>0</v>
      </c>
      <c r="AD93" s="130"/>
      <c r="AE93" s="130"/>
      <c r="AF93" s="17">
        <v>0</v>
      </c>
      <c r="AG93" s="133">
        <v>0</v>
      </c>
      <c r="AH93" s="17">
        <v>0</v>
      </c>
      <c r="AI93" s="17">
        <v>0</v>
      </c>
      <c r="AJ93" s="17">
        <v>0</v>
      </c>
      <c r="AK93" s="17">
        <v>0</v>
      </c>
      <c r="AL93" s="32">
        <v>0</v>
      </c>
      <c r="AM93" s="509">
        <v>46.2</v>
      </c>
      <c r="AN93" s="89"/>
      <c r="AO93" s="89"/>
      <c r="AP93" s="88"/>
      <c r="AQ93" s="133" t="s">
        <v>1629</v>
      </c>
      <c r="AR93" s="174">
        <v>38</v>
      </c>
      <c r="AS93" s="89"/>
      <c r="AT93" s="171" t="str">
        <f t="shared" ref="AT93:AT110" si="8">RIGHT(AQ93,LEN(AQ93)-FIND("x",AQ93,1))</f>
        <v>305</v>
      </c>
      <c r="AU93" s="255">
        <f>(AR93*AT93)/((2*AT93)+(2*AR93))</f>
        <v>16.895043731778426</v>
      </c>
      <c r="AV93" s="509">
        <v>99</v>
      </c>
      <c r="AW93" s="257">
        <v>28</v>
      </c>
      <c r="AX93" s="514"/>
      <c r="AY93" s="266">
        <v>21</v>
      </c>
      <c r="AZ93" s="261"/>
      <c r="BA93" s="175">
        <v>50</v>
      </c>
      <c r="BB93" s="189" t="s">
        <v>2567</v>
      </c>
      <c r="BC93" s="176"/>
      <c r="BD93" s="179"/>
      <c r="BE93" s="177"/>
      <c r="BF93" s="178"/>
      <c r="BG93" s="27"/>
      <c r="BH93" s="27"/>
    </row>
    <row r="94" spans="1:60" ht="15" customHeight="1">
      <c r="A94" s="95">
        <v>93</v>
      </c>
      <c r="B94" s="96" t="s">
        <v>1644</v>
      </c>
      <c r="C94" s="73" t="s">
        <v>2581</v>
      </c>
      <c r="D94" s="257" t="s">
        <v>119</v>
      </c>
      <c r="E94" s="459" t="s">
        <v>3377</v>
      </c>
      <c r="F94" s="258">
        <v>1966</v>
      </c>
      <c r="G94" s="171">
        <v>111</v>
      </c>
      <c r="H94" s="57"/>
      <c r="I94" s="88"/>
      <c r="J94" s="508">
        <v>0.5</v>
      </c>
      <c r="K94" s="513">
        <v>4.4000000000000004</v>
      </c>
      <c r="L94" s="91">
        <f t="shared" si="7"/>
        <v>198</v>
      </c>
      <c r="M94" s="506">
        <v>396</v>
      </c>
      <c r="N94" s="506"/>
      <c r="O94" s="509" t="s">
        <v>12</v>
      </c>
      <c r="P94" s="507"/>
      <c r="Q94" s="262"/>
      <c r="R94" s="507"/>
      <c r="S94" s="507"/>
      <c r="T94" s="507"/>
      <c r="U94" s="507"/>
      <c r="V94" s="131">
        <v>0</v>
      </c>
      <c r="W94" s="132">
        <v>0</v>
      </c>
      <c r="X94" s="120">
        <v>0</v>
      </c>
      <c r="Y94" s="120">
        <v>0</v>
      </c>
      <c r="Z94" s="120">
        <v>0</v>
      </c>
      <c r="AA94" s="130"/>
      <c r="AB94" s="17">
        <v>0</v>
      </c>
      <c r="AC94" s="17">
        <v>0</v>
      </c>
      <c r="AD94" s="130"/>
      <c r="AE94" s="130"/>
      <c r="AF94" s="17">
        <v>0</v>
      </c>
      <c r="AG94" s="133">
        <v>0</v>
      </c>
      <c r="AH94" s="17">
        <v>0</v>
      </c>
      <c r="AI94" s="17">
        <v>0</v>
      </c>
      <c r="AJ94" s="17">
        <v>0</v>
      </c>
      <c r="AK94" s="17">
        <v>0</v>
      </c>
      <c r="AL94" s="32">
        <v>0</v>
      </c>
      <c r="AM94" s="509">
        <v>46.2</v>
      </c>
      <c r="AN94" s="89"/>
      <c r="AO94" s="89"/>
      <c r="AP94" s="88"/>
      <c r="AQ94" s="133" t="s">
        <v>1627</v>
      </c>
      <c r="AR94" s="174">
        <v>51</v>
      </c>
      <c r="AS94" s="89"/>
      <c r="AT94" s="171" t="str">
        <f t="shared" si="8"/>
        <v>305</v>
      </c>
      <c r="AU94" s="255">
        <f>(AR94*AT94)/((2*AT94)+(2*AR94))</f>
        <v>21.846910112359552</v>
      </c>
      <c r="AV94" s="509">
        <v>99</v>
      </c>
      <c r="AW94" s="257">
        <v>28</v>
      </c>
      <c r="AX94" s="514"/>
      <c r="AY94" s="266">
        <v>21</v>
      </c>
      <c r="AZ94" s="261"/>
      <c r="BA94" s="175">
        <v>50</v>
      </c>
      <c r="BB94" s="189" t="s">
        <v>2567</v>
      </c>
      <c r="BC94" s="176"/>
      <c r="BD94" s="179"/>
      <c r="BE94" s="177"/>
      <c r="BF94" s="178"/>
      <c r="BG94" s="27"/>
      <c r="BH94" s="27"/>
    </row>
    <row r="95" spans="1:60" ht="15" customHeight="1">
      <c r="A95" s="95">
        <v>94</v>
      </c>
      <c r="B95" s="96" t="s">
        <v>1643</v>
      </c>
      <c r="C95" s="73" t="s">
        <v>2581</v>
      </c>
      <c r="D95" s="257" t="s">
        <v>119</v>
      </c>
      <c r="E95" s="459" t="s">
        <v>3377</v>
      </c>
      <c r="F95" s="258">
        <v>1966</v>
      </c>
      <c r="G95" s="171">
        <v>111</v>
      </c>
      <c r="H95" s="57"/>
      <c r="I95" s="88"/>
      <c r="J95" s="508">
        <v>0.5</v>
      </c>
      <c r="K95" s="513">
        <v>4.4000000000000004</v>
      </c>
      <c r="L95" s="91">
        <f t="shared" si="7"/>
        <v>198</v>
      </c>
      <c r="M95" s="506">
        <v>396</v>
      </c>
      <c r="N95" s="506"/>
      <c r="O95" s="509" t="s">
        <v>12</v>
      </c>
      <c r="P95" s="507"/>
      <c r="Q95" s="262"/>
      <c r="R95" s="507"/>
      <c r="S95" s="507"/>
      <c r="T95" s="507"/>
      <c r="U95" s="507"/>
      <c r="V95" s="131">
        <v>0</v>
      </c>
      <c r="W95" s="132">
        <v>0</v>
      </c>
      <c r="X95" s="120">
        <v>0</v>
      </c>
      <c r="Y95" s="120">
        <v>0</v>
      </c>
      <c r="Z95" s="120">
        <v>0</v>
      </c>
      <c r="AA95" s="130"/>
      <c r="AB95" s="17">
        <v>0</v>
      </c>
      <c r="AC95" s="17">
        <v>0</v>
      </c>
      <c r="AD95" s="130"/>
      <c r="AE95" s="130"/>
      <c r="AF95" s="17">
        <v>0</v>
      </c>
      <c r="AG95" s="133">
        <v>0</v>
      </c>
      <c r="AH95" s="17">
        <v>0</v>
      </c>
      <c r="AI95" s="17">
        <v>0</v>
      </c>
      <c r="AJ95" s="17">
        <v>0</v>
      </c>
      <c r="AK95" s="17">
        <v>0</v>
      </c>
      <c r="AL95" s="32">
        <v>0</v>
      </c>
      <c r="AM95" s="509">
        <v>46.2</v>
      </c>
      <c r="AN95" s="89"/>
      <c r="AO95" s="89"/>
      <c r="AP95" s="88"/>
      <c r="AQ95" s="133" t="s">
        <v>154</v>
      </c>
      <c r="AR95" s="174">
        <v>76</v>
      </c>
      <c r="AS95" s="89"/>
      <c r="AT95" s="171" t="str">
        <f t="shared" si="8"/>
        <v>305</v>
      </c>
      <c r="AU95" s="255">
        <f>(AR95*AT95)/((2*AT95)+(2*AR95))</f>
        <v>30.41994750656168</v>
      </c>
      <c r="AV95" s="509">
        <v>99</v>
      </c>
      <c r="AW95" s="257">
        <v>28</v>
      </c>
      <c r="AX95" s="514"/>
      <c r="AY95" s="266">
        <v>21</v>
      </c>
      <c r="AZ95" s="261"/>
      <c r="BA95" s="175">
        <v>50</v>
      </c>
      <c r="BB95" s="189" t="s">
        <v>2567</v>
      </c>
      <c r="BC95" s="176"/>
      <c r="BD95" s="179"/>
      <c r="BE95" s="177"/>
      <c r="BF95" s="178"/>
      <c r="BG95" s="27"/>
      <c r="BH95" s="27"/>
    </row>
    <row r="96" spans="1:60" ht="15" customHeight="1">
      <c r="A96" s="95">
        <v>95</v>
      </c>
      <c r="B96" s="96" t="s">
        <v>1642</v>
      </c>
      <c r="C96" s="73" t="s">
        <v>2581</v>
      </c>
      <c r="D96" s="257" t="s">
        <v>119</v>
      </c>
      <c r="E96" s="459" t="s">
        <v>3377</v>
      </c>
      <c r="F96" s="258">
        <v>1966</v>
      </c>
      <c r="G96" s="171">
        <v>111</v>
      </c>
      <c r="H96" s="57"/>
      <c r="I96" s="88"/>
      <c r="J96" s="508">
        <v>0.5</v>
      </c>
      <c r="K96" s="513">
        <v>4.4000000000000004</v>
      </c>
      <c r="L96" s="91">
        <f t="shared" si="7"/>
        <v>198</v>
      </c>
      <c r="M96" s="506">
        <v>396</v>
      </c>
      <c r="N96" s="506"/>
      <c r="O96" s="509" t="s">
        <v>12</v>
      </c>
      <c r="P96" s="507"/>
      <c r="Q96" s="262"/>
      <c r="R96" s="507"/>
      <c r="S96" s="507"/>
      <c r="T96" s="507"/>
      <c r="U96" s="507"/>
      <c r="V96" s="131">
        <v>0</v>
      </c>
      <c r="W96" s="132">
        <v>0</v>
      </c>
      <c r="X96" s="120">
        <v>0</v>
      </c>
      <c r="Y96" s="120">
        <v>0</v>
      </c>
      <c r="Z96" s="120">
        <v>0</v>
      </c>
      <c r="AA96" s="130"/>
      <c r="AB96" s="17">
        <v>0</v>
      </c>
      <c r="AC96" s="17">
        <v>0</v>
      </c>
      <c r="AD96" s="130"/>
      <c r="AE96" s="130"/>
      <c r="AF96" s="17">
        <v>0</v>
      </c>
      <c r="AG96" s="133">
        <v>0</v>
      </c>
      <c r="AH96" s="17">
        <v>0</v>
      </c>
      <c r="AI96" s="17">
        <v>0</v>
      </c>
      <c r="AJ96" s="17">
        <v>0</v>
      </c>
      <c r="AK96" s="17">
        <v>0</v>
      </c>
      <c r="AL96" s="32">
        <v>0</v>
      </c>
      <c r="AM96" s="509">
        <v>46.2</v>
      </c>
      <c r="AN96" s="89"/>
      <c r="AO96" s="89"/>
      <c r="AP96" s="88"/>
      <c r="AQ96" s="133" t="s">
        <v>1635</v>
      </c>
      <c r="AR96" s="188">
        <v>76</v>
      </c>
      <c r="AS96" s="89"/>
      <c r="AT96" s="171" t="str">
        <f t="shared" si="8"/>
        <v>305</v>
      </c>
      <c r="AU96" s="255">
        <f>IF(ISBLANK(AS96),(AR96*AT96)/((4*AT96)+(2*AR96)),AR96*AS96*AT96/2/(AR96*AS96+AR96*AT96+AS96*AT96))</f>
        <v>16.895043731778426</v>
      </c>
      <c r="AV96" s="509">
        <v>99</v>
      </c>
      <c r="AW96" s="257">
        <v>28</v>
      </c>
      <c r="AX96" s="514"/>
      <c r="AY96" s="266">
        <v>21</v>
      </c>
      <c r="AZ96" s="261"/>
      <c r="BA96" s="175">
        <v>50</v>
      </c>
      <c r="BB96" s="189" t="s">
        <v>2567</v>
      </c>
      <c r="BC96" s="176"/>
      <c r="BD96" s="179"/>
      <c r="BE96" s="177"/>
      <c r="BF96" s="178"/>
      <c r="BG96" s="27"/>
      <c r="BH96" s="27"/>
    </row>
    <row r="97" spans="1:82" ht="15" customHeight="1">
      <c r="A97" s="95">
        <v>96</v>
      </c>
      <c r="B97" s="96" t="s">
        <v>1641</v>
      </c>
      <c r="C97" s="73" t="s">
        <v>2581</v>
      </c>
      <c r="D97" s="257" t="s">
        <v>119</v>
      </c>
      <c r="E97" s="459" t="s">
        <v>3377</v>
      </c>
      <c r="F97" s="258">
        <v>1966</v>
      </c>
      <c r="G97" s="171">
        <v>111</v>
      </c>
      <c r="H97" s="57"/>
      <c r="I97" s="88"/>
      <c r="J97" s="508">
        <v>0.5</v>
      </c>
      <c r="K97" s="513">
        <v>4.4000000000000004</v>
      </c>
      <c r="L97" s="91">
        <f t="shared" si="7"/>
        <v>198</v>
      </c>
      <c r="M97" s="506">
        <v>396</v>
      </c>
      <c r="N97" s="506"/>
      <c r="O97" s="509" t="s">
        <v>12</v>
      </c>
      <c r="P97" s="507"/>
      <c r="Q97" s="262"/>
      <c r="R97" s="507"/>
      <c r="S97" s="507"/>
      <c r="T97" s="507"/>
      <c r="U97" s="507"/>
      <c r="V97" s="131">
        <v>0</v>
      </c>
      <c r="W97" s="132">
        <v>0</v>
      </c>
      <c r="X97" s="120">
        <v>0</v>
      </c>
      <c r="Y97" s="120">
        <v>0</v>
      </c>
      <c r="Z97" s="120">
        <v>0</v>
      </c>
      <c r="AA97" s="130"/>
      <c r="AB97" s="17">
        <v>0</v>
      </c>
      <c r="AC97" s="17">
        <v>0</v>
      </c>
      <c r="AD97" s="130"/>
      <c r="AE97" s="130"/>
      <c r="AF97" s="17">
        <v>0</v>
      </c>
      <c r="AG97" s="133">
        <v>0</v>
      </c>
      <c r="AH97" s="17">
        <v>0</v>
      </c>
      <c r="AI97" s="17">
        <v>0</v>
      </c>
      <c r="AJ97" s="17">
        <v>0</v>
      </c>
      <c r="AK97" s="17">
        <v>0</v>
      </c>
      <c r="AL97" s="32">
        <v>0</v>
      </c>
      <c r="AM97" s="509">
        <v>46.2</v>
      </c>
      <c r="AN97" s="89"/>
      <c r="AO97" s="89"/>
      <c r="AP97" s="88"/>
      <c r="AQ97" s="133" t="s">
        <v>1633</v>
      </c>
      <c r="AR97" s="188">
        <v>102</v>
      </c>
      <c r="AS97" s="89"/>
      <c r="AT97" s="171" t="str">
        <f t="shared" si="8"/>
        <v>305</v>
      </c>
      <c r="AU97" s="255">
        <f>IF(ISBLANK(AS97),(AR97*AT97)/((4*AT97)+(2*AR97)),AR97*AS97*AT97/2/(AR97*AS97+AR97*AT97+AS97*AT97))</f>
        <v>21.846910112359552</v>
      </c>
      <c r="AV97" s="509">
        <v>99</v>
      </c>
      <c r="AW97" s="257">
        <v>28</v>
      </c>
      <c r="AX97" s="514"/>
      <c r="AY97" s="266">
        <v>21</v>
      </c>
      <c r="AZ97" s="261"/>
      <c r="BA97" s="175">
        <v>50</v>
      </c>
      <c r="BB97" s="189" t="s">
        <v>2567</v>
      </c>
      <c r="BC97" s="176"/>
      <c r="BD97" s="179"/>
      <c r="BE97" s="177"/>
      <c r="BF97" s="178"/>
      <c r="BG97" s="27"/>
      <c r="BH97" s="27"/>
    </row>
    <row r="98" spans="1:82" ht="15" customHeight="1">
      <c r="A98" s="95">
        <v>97</v>
      </c>
      <c r="B98" s="96" t="s">
        <v>1640</v>
      </c>
      <c r="C98" s="73" t="s">
        <v>2581</v>
      </c>
      <c r="D98" s="257" t="s">
        <v>119</v>
      </c>
      <c r="E98" s="459" t="s">
        <v>3377</v>
      </c>
      <c r="F98" s="258">
        <v>1966</v>
      </c>
      <c r="G98" s="171">
        <v>111</v>
      </c>
      <c r="H98" s="57"/>
      <c r="I98" s="88"/>
      <c r="J98" s="508">
        <v>0.5</v>
      </c>
      <c r="K98" s="513">
        <v>4.4000000000000004</v>
      </c>
      <c r="L98" s="91">
        <f t="shared" si="7"/>
        <v>198</v>
      </c>
      <c r="M98" s="506">
        <v>396</v>
      </c>
      <c r="N98" s="506"/>
      <c r="O98" s="509" t="s">
        <v>12</v>
      </c>
      <c r="P98" s="507"/>
      <c r="Q98" s="262"/>
      <c r="R98" s="507"/>
      <c r="S98" s="507"/>
      <c r="T98" s="507"/>
      <c r="U98" s="507"/>
      <c r="V98" s="131">
        <v>0</v>
      </c>
      <c r="W98" s="132">
        <v>0</v>
      </c>
      <c r="X98" s="120">
        <v>0</v>
      </c>
      <c r="Y98" s="120">
        <v>0</v>
      </c>
      <c r="Z98" s="120">
        <v>0</v>
      </c>
      <c r="AA98" s="130"/>
      <c r="AB98" s="17">
        <v>0</v>
      </c>
      <c r="AC98" s="17">
        <v>0</v>
      </c>
      <c r="AD98" s="130"/>
      <c r="AE98" s="130"/>
      <c r="AF98" s="17">
        <v>0</v>
      </c>
      <c r="AG98" s="133">
        <v>0</v>
      </c>
      <c r="AH98" s="17">
        <v>0</v>
      </c>
      <c r="AI98" s="17">
        <v>0</v>
      </c>
      <c r="AJ98" s="17">
        <v>0</v>
      </c>
      <c r="AK98" s="17">
        <v>0</v>
      </c>
      <c r="AL98" s="32">
        <v>0</v>
      </c>
      <c r="AM98" s="509">
        <v>46.2</v>
      </c>
      <c r="AN98" s="89"/>
      <c r="AO98" s="89"/>
      <c r="AP98" s="88"/>
      <c r="AQ98" s="133" t="s">
        <v>1631</v>
      </c>
      <c r="AR98" s="188">
        <v>152</v>
      </c>
      <c r="AS98" s="89"/>
      <c r="AT98" s="171" t="str">
        <f t="shared" si="8"/>
        <v>305</v>
      </c>
      <c r="AU98" s="255">
        <f>IF(ISBLANK(AS98),(AR98*AT98)/((4*AT98)+(2*AR98)),AR98*AS98*AT98/2/(AR98*AS98+AR98*AT98+AS98*AT98))</f>
        <v>30.41994750656168</v>
      </c>
      <c r="AV98" s="509">
        <v>99</v>
      </c>
      <c r="AW98" s="257">
        <v>28</v>
      </c>
      <c r="AX98" s="514"/>
      <c r="AY98" s="266">
        <v>21</v>
      </c>
      <c r="AZ98" s="261"/>
      <c r="BA98" s="175">
        <v>50</v>
      </c>
      <c r="BB98" s="189" t="s">
        <v>2567</v>
      </c>
      <c r="BC98" s="176"/>
      <c r="BD98" s="179"/>
      <c r="BE98" s="177"/>
      <c r="BF98" s="178"/>
      <c r="BG98" s="27"/>
      <c r="BH98" s="27"/>
    </row>
    <row r="99" spans="1:82" ht="15" customHeight="1">
      <c r="A99" s="95">
        <v>98</v>
      </c>
      <c r="B99" s="96" t="s">
        <v>1639</v>
      </c>
      <c r="C99" s="73" t="s">
        <v>2581</v>
      </c>
      <c r="D99" s="257" t="s">
        <v>119</v>
      </c>
      <c r="E99" s="459" t="s">
        <v>3377</v>
      </c>
      <c r="F99" s="258">
        <v>1966</v>
      </c>
      <c r="G99" s="171">
        <v>111</v>
      </c>
      <c r="H99" s="57"/>
      <c r="I99" s="88"/>
      <c r="J99" s="508">
        <v>0.8</v>
      </c>
      <c r="K99" s="513">
        <v>9</v>
      </c>
      <c r="L99" s="91">
        <f t="shared" si="7"/>
        <v>174.4</v>
      </c>
      <c r="M99" s="506">
        <v>218</v>
      </c>
      <c r="N99" s="506"/>
      <c r="O99" s="509" t="s">
        <v>12</v>
      </c>
      <c r="P99" s="507"/>
      <c r="Q99" s="262"/>
      <c r="R99" s="507"/>
      <c r="S99" s="507"/>
      <c r="T99" s="507"/>
      <c r="U99" s="507"/>
      <c r="V99" s="131">
        <v>0</v>
      </c>
      <c r="W99" s="132">
        <v>0</v>
      </c>
      <c r="X99" s="120">
        <v>0</v>
      </c>
      <c r="Y99" s="120">
        <v>0</v>
      </c>
      <c r="Z99" s="120">
        <v>0</v>
      </c>
      <c r="AA99" s="130"/>
      <c r="AB99" s="17">
        <v>0</v>
      </c>
      <c r="AC99" s="17">
        <v>0</v>
      </c>
      <c r="AD99" s="130"/>
      <c r="AE99" s="130"/>
      <c r="AF99" s="17">
        <v>0</v>
      </c>
      <c r="AG99" s="133">
        <v>0</v>
      </c>
      <c r="AH99" s="17">
        <v>0</v>
      </c>
      <c r="AI99" s="17">
        <v>0</v>
      </c>
      <c r="AJ99" s="17">
        <v>0</v>
      </c>
      <c r="AK99" s="17">
        <v>0</v>
      </c>
      <c r="AL99" s="32">
        <v>0</v>
      </c>
      <c r="AM99" s="509">
        <v>24.6</v>
      </c>
      <c r="AN99" s="89"/>
      <c r="AO99" s="89"/>
      <c r="AP99" s="88"/>
      <c r="AQ99" s="133" t="s">
        <v>1629</v>
      </c>
      <c r="AR99" s="174">
        <v>38</v>
      </c>
      <c r="AS99" s="89"/>
      <c r="AT99" s="171" t="str">
        <f t="shared" si="8"/>
        <v>305</v>
      </c>
      <c r="AU99" s="255">
        <f>(AR99*AT99)/((2*AT99)+(2*AR99))</f>
        <v>16.895043731778426</v>
      </c>
      <c r="AV99" s="509">
        <v>99</v>
      </c>
      <c r="AW99" s="257">
        <v>28</v>
      </c>
      <c r="AX99" s="514"/>
      <c r="AY99" s="266">
        <v>21</v>
      </c>
      <c r="AZ99" s="261"/>
      <c r="BA99" s="175">
        <v>50</v>
      </c>
      <c r="BB99" s="189" t="s">
        <v>2567</v>
      </c>
      <c r="BC99" s="176"/>
      <c r="BD99" s="179"/>
      <c r="BE99" s="177"/>
      <c r="BF99" s="178"/>
      <c r="BG99" s="27"/>
      <c r="BH99" s="27"/>
    </row>
    <row r="100" spans="1:82" ht="15" customHeight="1">
      <c r="A100" s="95">
        <v>99</v>
      </c>
      <c r="B100" s="96" t="s">
        <v>1638</v>
      </c>
      <c r="C100" s="73" t="s">
        <v>2581</v>
      </c>
      <c r="D100" s="257" t="s">
        <v>119</v>
      </c>
      <c r="E100" s="459" t="s">
        <v>3377</v>
      </c>
      <c r="F100" s="258">
        <v>1966</v>
      </c>
      <c r="G100" s="171">
        <v>111</v>
      </c>
      <c r="H100" s="57"/>
      <c r="I100" s="88"/>
      <c r="J100" s="508">
        <v>0.8</v>
      </c>
      <c r="K100" s="513">
        <v>9</v>
      </c>
      <c r="L100" s="91">
        <f t="shared" si="7"/>
        <v>174.4</v>
      </c>
      <c r="M100" s="506">
        <v>218</v>
      </c>
      <c r="N100" s="506"/>
      <c r="O100" s="509" t="s">
        <v>12</v>
      </c>
      <c r="P100" s="507"/>
      <c r="Q100" s="262"/>
      <c r="R100" s="507"/>
      <c r="S100" s="507"/>
      <c r="T100" s="507"/>
      <c r="U100" s="507"/>
      <c r="V100" s="131">
        <v>0</v>
      </c>
      <c r="W100" s="132">
        <v>0</v>
      </c>
      <c r="X100" s="120">
        <v>0</v>
      </c>
      <c r="Y100" s="120">
        <v>0</v>
      </c>
      <c r="Z100" s="120">
        <v>0</v>
      </c>
      <c r="AA100" s="130"/>
      <c r="AB100" s="17">
        <v>0</v>
      </c>
      <c r="AC100" s="17">
        <v>0</v>
      </c>
      <c r="AD100" s="130"/>
      <c r="AE100" s="130"/>
      <c r="AF100" s="17">
        <v>0</v>
      </c>
      <c r="AG100" s="133">
        <v>0</v>
      </c>
      <c r="AH100" s="17">
        <v>0</v>
      </c>
      <c r="AI100" s="17">
        <v>0</v>
      </c>
      <c r="AJ100" s="17">
        <v>0</v>
      </c>
      <c r="AK100" s="17">
        <v>0</v>
      </c>
      <c r="AL100" s="32">
        <v>0</v>
      </c>
      <c r="AM100" s="509">
        <v>24.6</v>
      </c>
      <c r="AN100" s="89"/>
      <c r="AO100" s="89"/>
      <c r="AP100" s="88"/>
      <c r="AQ100" s="133" t="s">
        <v>1627</v>
      </c>
      <c r="AR100" s="174">
        <v>51</v>
      </c>
      <c r="AS100" s="89"/>
      <c r="AT100" s="171" t="str">
        <f t="shared" si="8"/>
        <v>305</v>
      </c>
      <c r="AU100" s="255">
        <f>(AR100*AT100)/((2*AT100)+(2*AR100))</f>
        <v>21.846910112359552</v>
      </c>
      <c r="AV100" s="509">
        <v>99</v>
      </c>
      <c r="AW100" s="257">
        <v>28</v>
      </c>
      <c r="AX100" s="514"/>
      <c r="AY100" s="266">
        <v>21</v>
      </c>
      <c r="AZ100" s="261"/>
      <c r="BA100" s="175">
        <v>50</v>
      </c>
      <c r="BB100" s="189" t="s">
        <v>2567</v>
      </c>
      <c r="BC100" s="176"/>
      <c r="BD100" s="179"/>
      <c r="BE100" s="177"/>
      <c r="BF100" s="178"/>
      <c r="BG100" s="27"/>
      <c r="BH100" s="27"/>
    </row>
    <row r="101" spans="1:82" ht="15" customHeight="1">
      <c r="A101" s="95">
        <v>100</v>
      </c>
      <c r="B101" s="96" t="s">
        <v>1637</v>
      </c>
      <c r="C101" s="73" t="s">
        <v>2581</v>
      </c>
      <c r="D101" s="257" t="s">
        <v>119</v>
      </c>
      <c r="E101" s="459" t="s">
        <v>3377</v>
      </c>
      <c r="F101" s="258">
        <v>1966</v>
      </c>
      <c r="G101" s="171">
        <v>111</v>
      </c>
      <c r="H101" s="57"/>
      <c r="I101" s="88"/>
      <c r="J101" s="508">
        <v>0.8</v>
      </c>
      <c r="K101" s="513">
        <v>9</v>
      </c>
      <c r="L101" s="91">
        <f t="shared" si="7"/>
        <v>174.4</v>
      </c>
      <c r="M101" s="506">
        <v>218</v>
      </c>
      <c r="N101" s="506"/>
      <c r="O101" s="509" t="s">
        <v>12</v>
      </c>
      <c r="P101" s="507"/>
      <c r="Q101" s="262"/>
      <c r="R101" s="507"/>
      <c r="S101" s="507"/>
      <c r="T101" s="507"/>
      <c r="U101" s="507"/>
      <c r="V101" s="131">
        <v>0</v>
      </c>
      <c r="W101" s="132">
        <v>0</v>
      </c>
      <c r="X101" s="120">
        <v>0</v>
      </c>
      <c r="Y101" s="120">
        <v>0</v>
      </c>
      <c r="Z101" s="120">
        <v>0</v>
      </c>
      <c r="AA101" s="130"/>
      <c r="AB101" s="17">
        <v>0</v>
      </c>
      <c r="AC101" s="17">
        <v>0</v>
      </c>
      <c r="AD101" s="130"/>
      <c r="AE101" s="130"/>
      <c r="AF101" s="17">
        <v>0</v>
      </c>
      <c r="AG101" s="133">
        <v>0</v>
      </c>
      <c r="AH101" s="17">
        <v>0</v>
      </c>
      <c r="AI101" s="17">
        <v>0</v>
      </c>
      <c r="AJ101" s="17">
        <v>0</v>
      </c>
      <c r="AK101" s="17">
        <v>0</v>
      </c>
      <c r="AL101" s="32">
        <v>0</v>
      </c>
      <c r="AM101" s="509">
        <v>24.6</v>
      </c>
      <c r="AN101" s="89"/>
      <c r="AO101" s="89"/>
      <c r="AP101" s="88"/>
      <c r="AQ101" s="133" t="s">
        <v>154</v>
      </c>
      <c r="AR101" s="174">
        <v>76</v>
      </c>
      <c r="AS101" s="89"/>
      <c r="AT101" s="171" t="str">
        <f t="shared" si="8"/>
        <v>305</v>
      </c>
      <c r="AU101" s="255">
        <f>(AR101*AT101)/((2*AT101)+(2*AR101))</f>
        <v>30.41994750656168</v>
      </c>
      <c r="AV101" s="509">
        <v>99</v>
      </c>
      <c r="AW101" s="257">
        <v>28</v>
      </c>
      <c r="AX101" s="514"/>
      <c r="AY101" s="266">
        <v>21</v>
      </c>
      <c r="AZ101" s="261"/>
      <c r="BA101" s="175">
        <v>50</v>
      </c>
      <c r="BB101" s="189" t="s">
        <v>2567</v>
      </c>
      <c r="BC101" s="176"/>
      <c r="BD101" s="179"/>
      <c r="BE101" s="177"/>
      <c r="BF101" s="178"/>
      <c r="BG101" s="27"/>
      <c r="BH101" s="27"/>
    </row>
    <row r="102" spans="1:82" ht="15" customHeight="1">
      <c r="A102" s="95">
        <v>101</v>
      </c>
      <c r="B102" s="96" t="s">
        <v>1636</v>
      </c>
      <c r="C102" s="73" t="s">
        <v>2581</v>
      </c>
      <c r="D102" s="257" t="s">
        <v>119</v>
      </c>
      <c r="E102" s="459" t="s">
        <v>3377</v>
      </c>
      <c r="F102" s="258">
        <v>1966</v>
      </c>
      <c r="G102" s="171">
        <v>111</v>
      </c>
      <c r="H102" s="57"/>
      <c r="I102" s="88"/>
      <c r="J102" s="508">
        <v>0.8</v>
      </c>
      <c r="K102" s="513">
        <v>9</v>
      </c>
      <c r="L102" s="91">
        <f t="shared" si="7"/>
        <v>174.4</v>
      </c>
      <c r="M102" s="506">
        <v>218</v>
      </c>
      <c r="N102" s="506"/>
      <c r="O102" s="509" t="s">
        <v>12</v>
      </c>
      <c r="P102" s="507"/>
      <c r="Q102" s="262"/>
      <c r="R102" s="507"/>
      <c r="S102" s="507"/>
      <c r="T102" s="507"/>
      <c r="U102" s="507"/>
      <c r="V102" s="131">
        <v>0</v>
      </c>
      <c r="W102" s="132">
        <v>0</v>
      </c>
      <c r="X102" s="120">
        <v>0</v>
      </c>
      <c r="Y102" s="120">
        <v>0</v>
      </c>
      <c r="Z102" s="120">
        <v>0</v>
      </c>
      <c r="AA102" s="130"/>
      <c r="AB102" s="17">
        <v>0</v>
      </c>
      <c r="AC102" s="17">
        <v>0</v>
      </c>
      <c r="AD102" s="130"/>
      <c r="AE102" s="130"/>
      <c r="AF102" s="17">
        <v>0</v>
      </c>
      <c r="AG102" s="133">
        <v>0</v>
      </c>
      <c r="AH102" s="17">
        <v>0</v>
      </c>
      <c r="AI102" s="17">
        <v>0</v>
      </c>
      <c r="AJ102" s="17">
        <v>0</v>
      </c>
      <c r="AK102" s="17">
        <v>0</v>
      </c>
      <c r="AL102" s="32">
        <v>0</v>
      </c>
      <c r="AM102" s="509">
        <v>24.6</v>
      </c>
      <c r="AN102" s="89"/>
      <c r="AO102" s="89"/>
      <c r="AP102" s="88"/>
      <c r="AQ102" s="133" t="s">
        <v>1635</v>
      </c>
      <c r="AR102" s="188">
        <v>76</v>
      </c>
      <c r="AS102" s="89"/>
      <c r="AT102" s="171" t="str">
        <f t="shared" si="8"/>
        <v>305</v>
      </c>
      <c r="AU102" s="255">
        <f>IF(ISBLANK(AS102),(AR102*AT102)/((4*AT102)+(2*AR102)),AR102*AS102*AT102/2/(AR102*AS102+AR102*AT102+AS102*AT102))</f>
        <v>16.895043731778426</v>
      </c>
      <c r="AV102" s="509">
        <v>99</v>
      </c>
      <c r="AW102" s="257">
        <v>28</v>
      </c>
      <c r="AX102" s="514"/>
      <c r="AY102" s="266">
        <v>21</v>
      </c>
      <c r="AZ102" s="261"/>
      <c r="BA102" s="175">
        <v>50</v>
      </c>
      <c r="BB102" s="189" t="s">
        <v>2567</v>
      </c>
      <c r="BC102" s="176"/>
      <c r="BD102" s="179"/>
      <c r="BE102" s="177"/>
      <c r="BF102" s="178"/>
      <c r="BG102" s="27"/>
      <c r="BH102" s="27"/>
    </row>
    <row r="103" spans="1:82" ht="15" customHeight="1">
      <c r="A103" s="95">
        <v>102</v>
      </c>
      <c r="B103" s="96" t="s">
        <v>1634</v>
      </c>
      <c r="C103" s="73" t="s">
        <v>2581</v>
      </c>
      <c r="D103" s="257" t="s">
        <v>119</v>
      </c>
      <c r="E103" s="459" t="s">
        <v>3377</v>
      </c>
      <c r="F103" s="258">
        <v>1966</v>
      </c>
      <c r="G103" s="171">
        <v>111</v>
      </c>
      <c r="H103" s="57"/>
      <c r="I103" s="88"/>
      <c r="J103" s="508">
        <v>0.8</v>
      </c>
      <c r="K103" s="513">
        <v>9</v>
      </c>
      <c r="L103" s="91">
        <f t="shared" si="7"/>
        <v>174.4</v>
      </c>
      <c r="M103" s="506">
        <v>218</v>
      </c>
      <c r="N103" s="506"/>
      <c r="O103" s="509" t="s">
        <v>12</v>
      </c>
      <c r="P103" s="507"/>
      <c r="Q103" s="262"/>
      <c r="R103" s="507"/>
      <c r="S103" s="507"/>
      <c r="T103" s="507"/>
      <c r="U103" s="507"/>
      <c r="V103" s="131">
        <v>0</v>
      </c>
      <c r="W103" s="132">
        <v>0</v>
      </c>
      <c r="X103" s="120">
        <v>0</v>
      </c>
      <c r="Y103" s="120">
        <v>0</v>
      </c>
      <c r="Z103" s="120">
        <v>0</v>
      </c>
      <c r="AA103" s="130"/>
      <c r="AB103" s="17">
        <v>0</v>
      </c>
      <c r="AC103" s="17">
        <v>0</v>
      </c>
      <c r="AD103" s="130"/>
      <c r="AE103" s="130"/>
      <c r="AF103" s="17">
        <v>0</v>
      </c>
      <c r="AG103" s="133">
        <v>0</v>
      </c>
      <c r="AH103" s="17">
        <v>0</v>
      </c>
      <c r="AI103" s="17">
        <v>0</v>
      </c>
      <c r="AJ103" s="17">
        <v>0</v>
      </c>
      <c r="AK103" s="17">
        <v>0</v>
      </c>
      <c r="AL103" s="32">
        <v>0</v>
      </c>
      <c r="AM103" s="509">
        <v>24.6</v>
      </c>
      <c r="AN103" s="89"/>
      <c r="AO103" s="89"/>
      <c r="AP103" s="88"/>
      <c r="AQ103" s="133" t="s">
        <v>1633</v>
      </c>
      <c r="AR103" s="188">
        <v>102</v>
      </c>
      <c r="AS103" s="89"/>
      <c r="AT103" s="171" t="str">
        <f t="shared" si="8"/>
        <v>305</v>
      </c>
      <c r="AU103" s="255">
        <f>IF(ISBLANK(AS103),(AR103*AT103)/((4*AT103)+(2*AR103)),AR103*AS103*AT103/2/(AR103*AS103+AR103*AT103+AS103*AT103))</f>
        <v>21.846910112359552</v>
      </c>
      <c r="AV103" s="509">
        <v>99</v>
      </c>
      <c r="AW103" s="257">
        <v>28</v>
      </c>
      <c r="AX103" s="514"/>
      <c r="AY103" s="266">
        <v>21</v>
      </c>
      <c r="AZ103" s="261"/>
      <c r="BA103" s="175">
        <v>50</v>
      </c>
      <c r="BB103" s="189" t="s">
        <v>2567</v>
      </c>
      <c r="BC103" s="176"/>
      <c r="BD103" s="179"/>
      <c r="BE103" s="177"/>
      <c r="BF103" s="178"/>
      <c r="BG103" s="27"/>
      <c r="BH103" s="27"/>
    </row>
    <row r="104" spans="1:82" ht="15" customHeight="1">
      <c r="A104" s="95">
        <v>103</v>
      </c>
      <c r="B104" s="96" t="s">
        <v>1632</v>
      </c>
      <c r="C104" s="73" t="s">
        <v>2581</v>
      </c>
      <c r="D104" s="257" t="s">
        <v>119</v>
      </c>
      <c r="E104" s="459" t="s">
        <v>3377</v>
      </c>
      <c r="F104" s="258">
        <v>1966</v>
      </c>
      <c r="G104" s="171">
        <v>111</v>
      </c>
      <c r="H104" s="57"/>
      <c r="I104" s="88"/>
      <c r="J104" s="508">
        <v>0.8</v>
      </c>
      <c r="K104" s="513">
        <v>9</v>
      </c>
      <c r="L104" s="91">
        <f t="shared" si="7"/>
        <v>174.4</v>
      </c>
      <c r="M104" s="506">
        <v>218</v>
      </c>
      <c r="N104" s="506"/>
      <c r="O104" s="509" t="s">
        <v>12</v>
      </c>
      <c r="P104" s="507"/>
      <c r="Q104" s="262"/>
      <c r="R104" s="507"/>
      <c r="S104" s="507"/>
      <c r="T104" s="507"/>
      <c r="U104" s="507"/>
      <c r="V104" s="131">
        <v>0</v>
      </c>
      <c r="W104" s="132">
        <v>0</v>
      </c>
      <c r="X104" s="120">
        <v>0</v>
      </c>
      <c r="Y104" s="120">
        <v>0</v>
      </c>
      <c r="Z104" s="120">
        <v>0</v>
      </c>
      <c r="AA104" s="130"/>
      <c r="AB104" s="17">
        <v>0</v>
      </c>
      <c r="AC104" s="17">
        <v>0</v>
      </c>
      <c r="AD104" s="130"/>
      <c r="AE104" s="130"/>
      <c r="AF104" s="17">
        <v>0</v>
      </c>
      <c r="AG104" s="133">
        <v>0</v>
      </c>
      <c r="AH104" s="17">
        <v>0</v>
      </c>
      <c r="AI104" s="17">
        <v>0</v>
      </c>
      <c r="AJ104" s="17">
        <v>0</v>
      </c>
      <c r="AK104" s="17">
        <v>0</v>
      </c>
      <c r="AL104" s="32">
        <v>0</v>
      </c>
      <c r="AM104" s="509">
        <v>24.6</v>
      </c>
      <c r="AN104" s="89"/>
      <c r="AO104" s="89"/>
      <c r="AP104" s="88"/>
      <c r="AQ104" s="133" t="s">
        <v>1631</v>
      </c>
      <c r="AR104" s="188">
        <v>152</v>
      </c>
      <c r="AS104" s="89"/>
      <c r="AT104" s="171" t="str">
        <f t="shared" si="8"/>
        <v>305</v>
      </c>
      <c r="AU104" s="255">
        <f>IF(ISBLANK(AS104),(AR104*AT104)/((4*AT104)+(2*AR104)),AR104*AS104*AT104/2/(AR104*AS104+AR104*AT104+AS104*AT104))</f>
        <v>30.41994750656168</v>
      </c>
      <c r="AV104" s="509">
        <v>99</v>
      </c>
      <c r="AW104" s="257">
        <v>28</v>
      </c>
      <c r="AX104" s="514"/>
      <c r="AY104" s="266">
        <v>21</v>
      </c>
      <c r="AZ104" s="261"/>
      <c r="BA104" s="175">
        <v>50</v>
      </c>
      <c r="BB104" s="189" t="s">
        <v>2567</v>
      </c>
      <c r="BC104" s="176"/>
      <c r="BD104" s="179"/>
      <c r="BE104" s="177"/>
      <c r="BF104" s="178"/>
      <c r="BG104" s="27"/>
      <c r="BH104" s="27"/>
    </row>
    <row r="105" spans="1:82" ht="15" customHeight="1">
      <c r="A105" s="95">
        <v>104</v>
      </c>
      <c r="B105" s="96" t="s">
        <v>1630</v>
      </c>
      <c r="C105" s="73" t="s">
        <v>2581</v>
      </c>
      <c r="D105" s="257" t="s">
        <v>119</v>
      </c>
      <c r="E105" s="459" t="s">
        <v>3377</v>
      </c>
      <c r="F105" s="258">
        <v>1966</v>
      </c>
      <c r="G105" s="171">
        <v>111</v>
      </c>
      <c r="H105" s="57"/>
      <c r="I105" s="88"/>
      <c r="J105" s="508">
        <v>0.8</v>
      </c>
      <c r="K105" s="513">
        <v>9</v>
      </c>
      <c r="L105" s="91">
        <f t="shared" si="7"/>
        <v>174.4</v>
      </c>
      <c r="M105" s="506">
        <v>218</v>
      </c>
      <c r="N105" s="506"/>
      <c r="O105" s="509" t="s">
        <v>12</v>
      </c>
      <c r="P105" s="507"/>
      <c r="Q105" s="262"/>
      <c r="R105" s="507"/>
      <c r="S105" s="507"/>
      <c r="T105" s="507"/>
      <c r="U105" s="507"/>
      <c r="V105" s="131">
        <v>0</v>
      </c>
      <c r="W105" s="132">
        <v>0</v>
      </c>
      <c r="X105" s="120">
        <v>0</v>
      </c>
      <c r="Y105" s="120">
        <v>0</v>
      </c>
      <c r="Z105" s="120">
        <v>0</v>
      </c>
      <c r="AA105" s="130"/>
      <c r="AB105" s="17">
        <v>0</v>
      </c>
      <c r="AC105" s="17">
        <v>0</v>
      </c>
      <c r="AD105" s="130"/>
      <c r="AE105" s="130"/>
      <c r="AF105" s="17">
        <v>0</v>
      </c>
      <c r="AG105" s="133">
        <v>0</v>
      </c>
      <c r="AH105" s="17">
        <v>0</v>
      </c>
      <c r="AI105" s="17">
        <v>0</v>
      </c>
      <c r="AJ105" s="17">
        <v>0</v>
      </c>
      <c r="AK105" s="17">
        <v>0</v>
      </c>
      <c r="AL105" s="32">
        <v>0</v>
      </c>
      <c r="AM105" s="509">
        <v>24.6</v>
      </c>
      <c r="AN105" s="89"/>
      <c r="AO105" s="89"/>
      <c r="AP105" s="88"/>
      <c r="AQ105" s="133" t="s">
        <v>1629</v>
      </c>
      <c r="AR105" s="174">
        <v>38</v>
      </c>
      <c r="AS105" s="89"/>
      <c r="AT105" s="171" t="str">
        <f t="shared" si="8"/>
        <v>305</v>
      </c>
      <c r="AU105" s="255">
        <f t="shared" ref="AU105:AU110" si="9">(AR105*AT105)/((2*AT105)+(2*AR105))</f>
        <v>16.895043731778426</v>
      </c>
      <c r="AV105" s="509">
        <v>99</v>
      </c>
      <c r="AW105" s="257">
        <v>28</v>
      </c>
      <c r="AX105" s="514"/>
      <c r="AY105" s="266">
        <v>21</v>
      </c>
      <c r="AZ105" s="261"/>
      <c r="BA105" s="175">
        <v>50</v>
      </c>
      <c r="BB105" s="189" t="s">
        <v>2567</v>
      </c>
      <c r="BC105" s="176"/>
      <c r="BD105" s="179"/>
      <c r="BE105" s="177"/>
      <c r="BF105" s="178"/>
      <c r="BG105" s="27"/>
      <c r="BH105" s="27"/>
    </row>
    <row r="106" spans="1:82" ht="15" customHeight="1">
      <c r="A106" s="95">
        <v>105</v>
      </c>
      <c r="B106" s="96" t="s">
        <v>1628</v>
      </c>
      <c r="C106" s="73" t="s">
        <v>2581</v>
      </c>
      <c r="D106" s="257" t="s">
        <v>119</v>
      </c>
      <c r="E106" s="459" t="s">
        <v>3377</v>
      </c>
      <c r="F106" s="258">
        <v>1966</v>
      </c>
      <c r="G106" s="171">
        <v>111</v>
      </c>
      <c r="H106" s="57"/>
      <c r="I106" s="88"/>
      <c r="J106" s="508">
        <v>0.8</v>
      </c>
      <c r="K106" s="513">
        <v>9</v>
      </c>
      <c r="L106" s="91">
        <f t="shared" si="7"/>
        <v>174.4</v>
      </c>
      <c r="M106" s="506">
        <v>218</v>
      </c>
      <c r="N106" s="506"/>
      <c r="O106" s="509" t="s">
        <v>12</v>
      </c>
      <c r="P106" s="507"/>
      <c r="Q106" s="262"/>
      <c r="R106" s="507"/>
      <c r="S106" s="507"/>
      <c r="T106" s="507"/>
      <c r="U106" s="507"/>
      <c r="V106" s="131">
        <v>0</v>
      </c>
      <c r="W106" s="132">
        <v>0</v>
      </c>
      <c r="X106" s="120">
        <v>0</v>
      </c>
      <c r="Y106" s="120">
        <v>0</v>
      </c>
      <c r="Z106" s="120">
        <v>0</v>
      </c>
      <c r="AA106" s="130"/>
      <c r="AB106" s="17">
        <v>0</v>
      </c>
      <c r="AC106" s="17">
        <v>0</v>
      </c>
      <c r="AD106" s="130"/>
      <c r="AE106" s="130"/>
      <c r="AF106" s="17">
        <v>0</v>
      </c>
      <c r="AG106" s="133">
        <v>0</v>
      </c>
      <c r="AH106" s="17">
        <v>0</v>
      </c>
      <c r="AI106" s="17">
        <v>0</v>
      </c>
      <c r="AJ106" s="17">
        <v>0</v>
      </c>
      <c r="AK106" s="17">
        <v>0</v>
      </c>
      <c r="AL106" s="32">
        <v>0</v>
      </c>
      <c r="AM106" s="509">
        <v>24.6</v>
      </c>
      <c r="AN106" s="89"/>
      <c r="AO106" s="89"/>
      <c r="AP106" s="88"/>
      <c r="AQ106" s="133" t="s">
        <v>1627</v>
      </c>
      <c r="AR106" s="174">
        <v>51</v>
      </c>
      <c r="AS106" s="89"/>
      <c r="AT106" s="171" t="str">
        <f t="shared" si="8"/>
        <v>305</v>
      </c>
      <c r="AU106" s="255">
        <f t="shared" si="9"/>
        <v>21.846910112359552</v>
      </c>
      <c r="AV106" s="509">
        <v>99</v>
      </c>
      <c r="AW106" s="257">
        <v>28</v>
      </c>
      <c r="AX106" s="514"/>
      <c r="AY106" s="266">
        <v>21</v>
      </c>
      <c r="AZ106" s="261"/>
      <c r="BA106" s="175">
        <v>50</v>
      </c>
      <c r="BB106" s="189" t="s">
        <v>2567</v>
      </c>
      <c r="BC106" s="176"/>
      <c r="BD106" s="179"/>
      <c r="BE106" s="177"/>
      <c r="BF106" s="178"/>
      <c r="BG106" s="27"/>
      <c r="BH106" s="27"/>
    </row>
    <row r="107" spans="1:82" ht="15" customHeight="1">
      <c r="A107" s="95">
        <v>106</v>
      </c>
      <c r="B107" s="96" t="s">
        <v>1626</v>
      </c>
      <c r="C107" s="73" t="s">
        <v>2581</v>
      </c>
      <c r="D107" s="257" t="s">
        <v>119</v>
      </c>
      <c r="E107" s="459" t="s">
        <v>3377</v>
      </c>
      <c r="F107" s="258">
        <v>1966</v>
      </c>
      <c r="G107" s="171">
        <v>111</v>
      </c>
      <c r="H107" s="57"/>
      <c r="I107" s="88"/>
      <c r="J107" s="508">
        <v>0.8</v>
      </c>
      <c r="K107" s="513">
        <v>9</v>
      </c>
      <c r="L107" s="91">
        <f t="shared" ref="L107" si="10">(J107)*(M107)</f>
        <v>174.4</v>
      </c>
      <c r="M107" s="506">
        <v>218</v>
      </c>
      <c r="N107" s="506"/>
      <c r="O107" s="509" t="s">
        <v>12</v>
      </c>
      <c r="P107" s="507"/>
      <c r="Q107" s="262"/>
      <c r="R107" s="507"/>
      <c r="S107" s="507"/>
      <c r="T107" s="507"/>
      <c r="U107" s="507"/>
      <c r="V107" s="131">
        <v>0</v>
      </c>
      <c r="W107" s="132">
        <v>0</v>
      </c>
      <c r="X107" s="120">
        <v>0</v>
      </c>
      <c r="Y107" s="120">
        <v>0</v>
      </c>
      <c r="Z107" s="120">
        <v>0</v>
      </c>
      <c r="AA107" s="130"/>
      <c r="AB107" s="17">
        <v>0</v>
      </c>
      <c r="AC107" s="17">
        <v>0</v>
      </c>
      <c r="AD107" s="130"/>
      <c r="AE107" s="130"/>
      <c r="AF107" s="17">
        <v>0</v>
      </c>
      <c r="AG107" s="133">
        <v>0</v>
      </c>
      <c r="AH107" s="17">
        <v>0</v>
      </c>
      <c r="AI107" s="17">
        <v>0</v>
      </c>
      <c r="AJ107" s="17">
        <v>0</v>
      </c>
      <c r="AK107" s="17">
        <v>0</v>
      </c>
      <c r="AL107" s="32">
        <v>0</v>
      </c>
      <c r="AM107" s="509">
        <v>24.6</v>
      </c>
      <c r="AN107" s="89"/>
      <c r="AO107" s="89"/>
      <c r="AP107" s="88"/>
      <c r="AQ107" s="133" t="s">
        <v>154</v>
      </c>
      <c r="AR107" s="174">
        <v>76</v>
      </c>
      <c r="AS107" s="89"/>
      <c r="AT107" s="171" t="str">
        <f t="shared" si="8"/>
        <v>305</v>
      </c>
      <c r="AU107" s="255">
        <f t="shared" si="9"/>
        <v>30.41994750656168</v>
      </c>
      <c r="AV107" s="509">
        <v>99</v>
      </c>
      <c r="AW107" s="257">
        <v>28</v>
      </c>
      <c r="AX107" s="514"/>
      <c r="AY107" s="266">
        <v>21</v>
      </c>
      <c r="AZ107" s="261"/>
      <c r="BA107" s="175">
        <v>50</v>
      </c>
      <c r="BB107" s="189" t="s">
        <v>2567</v>
      </c>
      <c r="BC107" s="176"/>
      <c r="BD107" s="179"/>
      <c r="BE107" s="177"/>
      <c r="BF107" s="178"/>
      <c r="BG107" s="27"/>
      <c r="BH107" s="27"/>
    </row>
    <row r="108" spans="1:82" s="10" customFormat="1">
      <c r="A108" s="95">
        <v>107</v>
      </c>
      <c r="B108" s="97" t="s">
        <v>1625</v>
      </c>
      <c r="C108" s="74" t="s">
        <v>137</v>
      </c>
      <c r="D108" s="267" t="s">
        <v>1471</v>
      </c>
      <c r="E108" s="459" t="s">
        <v>3377</v>
      </c>
      <c r="F108" s="266">
        <v>1967</v>
      </c>
      <c r="G108" s="37">
        <v>46</v>
      </c>
      <c r="H108" s="172" t="s">
        <v>1738</v>
      </c>
      <c r="I108" s="173" t="s">
        <v>1739</v>
      </c>
      <c r="J108" s="264">
        <v>0.47</v>
      </c>
      <c r="K108" s="169">
        <v>4.5</v>
      </c>
      <c r="L108" s="91">
        <f>((J108)*(M108+((V108+W108+X108+Y108+Z108+AB108+AB108+AC108+AC108+AK108)/100)*(M108)))</f>
        <v>180.95</v>
      </c>
      <c r="M108" s="260">
        <v>385</v>
      </c>
      <c r="N108" s="260"/>
      <c r="O108" s="107" t="s">
        <v>12</v>
      </c>
      <c r="P108" s="507"/>
      <c r="Q108" s="262"/>
      <c r="R108" s="512" t="s">
        <v>2729</v>
      </c>
      <c r="S108" s="507"/>
      <c r="T108" s="507"/>
      <c r="U108" s="512" t="s">
        <v>2307</v>
      </c>
      <c r="V108" s="134">
        <v>0</v>
      </c>
      <c r="W108" s="132">
        <v>0</v>
      </c>
      <c r="X108" s="120">
        <v>0</v>
      </c>
      <c r="Y108" s="120">
        <v>0</v>
      </c>
      <c r="Z108" s="120">
        <v>0</v>
      </c>
      <c r="AA108" s="130"/>
      <c r="AB108" s="17">
        <v>0</v>
      </c>
      <c r="AC108" s="17">
        <v>0</v>
      </c>
      <c r="AD108" s="130"/>
      <c r="AE108" s="130"/>
      <c r="AF108" s="17">
        <v>0</v>
      </c>
      <c r="AG108" s="132">
        <v>5.0000000000000001E-3</v>
      </c>
      <c r="AH108" s="17">
        <v>0</v>
      </c>
      <c r="AI108" s="17">
        <v>0</v>
      </c>
      <c r="AJ108" s="17">
        <v>0</v>
      </c>
      <c r="AK108" s="17">
        <v>0</v>
      </c>
      <c r="AL108" s="32">
        <v>0</v>
      </c>
      <c r="AM108" s="107">
        <v>54.7</v>
      </c>
      <c r="AN108" s="89"/>
      <c r="AO108" s="89"/>
      <c r="AP108" s="775">
        <v>46300</v>
      </c>
      <c r="AQ108" s="132" t="s">
        <v>3416</v>
      </c>
      <c r="AR108" s="38">
        <v>52.4</v>
      </c>
      <c r="AS108" s="89"/>
      <c r="AT108" s="37" t="str">
        <f t="shared" si="8"/>
        <v>304,8</v>
      </c>
      <c r="AU108" s="255" t="e">
        <f t="shared" si="9"/>
        <v>#VALUE!</v>
      </c>
      <c r="AV108" s="107">
        <v>100</v>
      </c>
      <c r="AW108" s="267">
        <v>180</v>
      </c>
      <c r="AX108" s="514"/>
      <c r="AY108" s="266">
        <v>27</v>
      </c>
      <c r="AZ108" s="261"/>
      <c r="BA108" s="71">
        <v>99</v>
      </c>
      <c r="BB108" s="259"/>
      <c r="BC108" s="176"/>
      <c r="BD108" s="53"/>
      <c r="BE108" s="53"/>
      <c r="BF108" s="76"/>
      <c r="BG108" s="11"/>
      <c r="BH108" s="11"/>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row>
    <row r="109" spans="1:82" s="10" customFormat="1">
      <c r="A109" s="95">
        <v>108</v>
      </c>
      <c r="B109" s="97" t="s">
        <v>1624</v>
      </c>
      <c r="C109" s="74" t="s">
        <v>137</v>
      </c>
      <c r="D109" s="267" t="s">
        <v>1471</v>
      </c>
      <c r="E109" s="459" t="s">
        <v>3377</v>
      </c>
      <c r="F109" s="266">
        <v>1967</v>
      </c>
      <c r="G109" s="37">
        <v>46</v>
      </c>
      <c r="H109" s="172" t="s">
        <v>1738</v>
      </c>
      <c r="I109" s="173" t="s">
        <v>1739</v>
      </c>
      <c r="J109" s="264">
        <v>0.47</v>
      </c>
      <c r="K109" s="169">
        <v>4.5</v>
      </c>
      <c r="L109" s="91">
        <f>((J109)*(M109+((V109+W109+X109+Y109+Z109+AB109+AB109+AC109+AC109+AK109)/100)*(M109)))</f>
        <v>180.95</v>
      </c>
      <c r="M109" s="260">
        <v>385</v>
      </c>
      <c r="N109" s="260"/>
      <c r="O109" s="107" t="s">
        <v>12</v>
      </c>
      <c r="P109" s="507"/>
      <c r="Q109" s="262"/>
      <c r="R109" s="512" t="s">
        <v>2729</v>
      </c>
      <c r="S109" s="507"/>
      <c r="T109" s="507"/>
      <c r="U109" s="512" t="s">
        <v>2307</v>
      </c>
      <c r="V109" s="134">
        <v>0</v>
      </c>
      <c r="W109" s="132">
        <v>0</v>
      </c>
      <c r="X109" s="120">
        <v>0</v>
      </c>
      <c r="Y109" s="120">
        <v>0</v>
      </c>
      <c r="Z109" s="120">
        <v>0</v>
      </c>
      <c r="AA109" s="130"/>
      <c r="AB109" s="17">
        <v>0</v>
      </c>
      <c r="AC109" s="17">
        <v>0</v>
      </c>
      <c r="AD109" s="130"/>
      <c r="AE109" s="130"/>
      <c r="AF109" s="17">
        <v>0</v>
      </c>
      <c r="AG109" s="132">
        <v>5.0000000000000001E-3</v>
      </c>
      <c r="AH109" s="17">
        <v>0</v>
      </c>
      <c r="AI109" s="17">
        <v>0</v>
      </c>
      <c r="AJ109" s="17">
        <v>0</v>
      </c>
      <c r="AK109" s="17">
        <v>0</v>
      </c>
      <c r="AL109" s="32">
        <v>0</v>
      </c>
      <c r="AM109" s="107">
        <v>54.7</v>
      </c>
      <c r="AN109" s="89"/>
      <c r="AO109" s="89"/>
      <c r="AP109" s="775">
        <v>32500</v>
      </c>
      <c r="AQ109" s="132" t="s">
        <v>3417</v>
      </c>
      <c r="AR109" s="38">
        <v>52.4</v>
      </c>
      <c r="AS109" s="89"/>
      <c r="AT109" s="37" t="str">
        <f t="shared" si="8"/>
        <v>304,9</v>
      </c>
      <c r="AU109" s="255" t="e">
        <f t="shared" si="9"/>
        <v>#VALUE!</v>
      </c>
      <c r="AV109" s="107">
        <v>100</v>
      </c>
      <c r="AW109" s="267">
        <v>180</v>
      </c>
      <c r="AX109" s="514"/>
      <c r="AY109" s="514">
        <v>53</v>
      </c>
      <c r="AZ109" s="261"/>
      <c r="BA109" s="71">
        <v>99</v>
      </c>
      <c r="BB109" s="259"/>
      <c r="BC109" s="176" t="s">
        <v>558</v>
      </c>
      <c r="BD109" s="53"/>
      <c r="BE109" s="53"/>
      <c r="BF109" s="76"/>
      <c r="BG109" s="11"/>
      <c r="BH109" s="11"/>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row>
    <row r="110" spans="1:82" s="10" customFormat="1">
      <c r="A110" s="95">
        <v>109</v>
      </c>
      <c r="B110" s="97" t="s">
        <v>1623</v>
      </c>
      <c r="C110" s="74" t="s">
        <v>137</v>
      </c>
      <c r="D110" s="267" t="s">
        <v>1471</v>
      </c>
      <c r="E110" s="459" t="s">
        <v>3377</v>
      </c>
      <c r="F110" s="266">
        <v>1967</v>
      </c>
      <c r="G110" s="37">
        <v>46</v>
      </c>
      <c r="H110" s="172" t="s">
        <v>1738</v>
      </c>
      <c r="I110" s="173" t="s">
        <v>1739</v>
      </c>
      <c r="J110" s="264">
        <v>0.47</v>
      </c>
      <c r="K110" s="169">
        <v>4.5</v>
      </c>
      <c r="L110" s="91">
        <f>((J110)*(M110+((V110+W110+X110+Y110+Z110+AB110+AB110+AC110+AC110+AK110)/100)*(M110)))</f>
        <v>180.95</v>
      </c>
      <c r="M110" s="260">
        <v>385</v>
      </c>
      <c r="N110" s="260"/>
      <c r="O110" s="107" t="s">
        <v>12</v>
      </c>
      <c r="P110" s="507"/>
      <c r="Q110" s="262"/>
      <c r="R110" s="512" t="s">
        <v>2729</v>
      </c>
      <c r="S110" s="507"/>
      <c r="T110" s="507"/>
      <c r="U110" s="512" t="s">
        <v>2307</v>
      </c>
      <c r="V110" s="134">
        <v>0</v>
      </c>
      <c r="W110" s="132">
        <v>0</v>
      </c>
      <c r="X110" s="120">
        <v>0</v>
      </c>
      <c r="Y110" s="120">
        <v>0</v>
      </c>
      <c r="Z110" s="120">
        <v>0</v>
      </c>
      <c r="AA110" s="130"/>
      <c r="AB110" s="17">
        <v>0</v>
      </c>
      <c r="AC110" s="17">
        <v>0</v>
      </c>
      <c r="AD110" s="130"/>
      <c r="AE110" s="130"/>
      <c r="AF110" s="17">
        <v>0</v>
      </c>
      <c r="AG110" s="132">
        <v>5.0000000000000001E-3</v>
      </c>
      <c r="AH110" s="17">
        <v>0</v>
      </c>
      <c r="AI110" s="17">
        <v>0</v>
      </c>
      <c r="AJ110" s="17">
        <v>0</v>
      </c>
      <c r="AK110" s="17">
        <v>0</v>
      </c>
      <c r="AL110" s="32">
        <v>0</v>
      </c>
      <c r="AM110" s="107">
        <v>54.7</v>
      </c>
      <c r="AN110" s="89"/>
      <c r="AO110" s="89"/>
      <c r="AP110" s="775">
        <v>22500</v>
      </c>
      <c r="AQ110" s="132" t="s">
        <v>3418</v>
      </c>
      <c r="AR110" s="38">
        <v>52.4</v>
      </c>
      <c r="AS110" s="89"/>
      <c r="AT110" s="37" t="str">
        <f t="shared" si="8"/>
        <v>304,10</v>
      </c>
      <c r="AU110" s="255" t="e">
        <f t="shared" si="9"/>
        <v>#VALUE!</v>
      </c>
      <c r="AV110" s="107">
        <v>100</v>
      </c>
      <c r="AW110" s="267">
        <v>180</v>
      </c>
      <c r="AX110" s="514"/>
      <c r="AY110" s="514">
        <v>82</v>
      </c>
      <c r="AZ110" s="261"/>
      <c r="BA110" s="71">
        <v>99</v>
      </c>
      <c r="BB110" s="259"/>
      <c r="BC110" s="176" t="s">
        <v>558</v>
      </c>
      <c r="BD110" s="53"/>
      <c r="BE110" s="53"/>
      <c r="BF110" s="76"/>
      <c r="BG110" s="11"/>
      <c r="BH110" s="11"/>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row>
    <row r="111" spans="1:82" ht="15" customHeight="1">
      <c r="A111" s="95">
        <v>110</v>
      </c>
      <c r="B111" s="96" t="s">
        <v>1622</v>
      </c>
      <c r="C111" s="73" t="s">
        <v>2582</v>
      </c>
      <c r="D111" s="257" t="s">
        <v>122</v>
      </c>
      <c r="E111" s="459" t="s">
        <v>3377</v>
      </c>
      <c r="F111" s="258">
        <v>1968</v>
      </c>
      <c r="G111" s="171">
        <v>110</v>
      </c>
      <c r="H111" s="57"/>
      <c r="I111" s="88"/>
      <c r="J111" s="508">
        <v>0.85</v>
      </c>
      <c r="K111" s="513">
        <v>7.69</v>
      </c>
      <c r="L111" s="91"/>
      <c r="M111" s="506">
        <v>239</v>
      </c>
      <c r="N111" s="506"/>
      <c r="O111" s="509" t="s">
        <v>12</v>
      </c>
      <c r="P111" s="507"/>
      <c r="Q111" s="262"/>
      <c r="R111" s="512" t="s">
        <v>2729</v>
      </c>
      <c r="S111" s="507"/>
      <c r="T111" s="507"/>
      <c r="U111" s="506" t="s">
        <v>2307</v>
      </c>
      <c r="V111" s="131">
        <v>0</v>
      </c>
      <c r="W111" s="132">
        <v>0</v>
      </c>
      <c r="X111" s="120">
        <v>0</v>
      </c>
      <c r="Y111" s="120">
        <v>0</v>
      </c>
      <c r="Z111" s="120">
        <v>0</v>
      </c>
      <c r="AA111" s="130"/>
      <c r="AB111" s="17">
        <v>0</v>
      </c>
      <c r="AC111" s="17">
        <v>0</v>
      </c>
      <c r="AD111" s="130"/>
      <c r="AE111" s="130"/>
      <c r="AF111" s="17">
        <v>0</v>
      </c>
      <c r="AG111" s="133">
        <v>0</v>
      </c>
      <c r="AH111" s="17">
        <v>0</v>
      </c>
      <c r="AI111" s="17">
        <v>0</v>
      </c>
      <c r="AJ111" s="17">
        <v>0</v>
      </c>
      <c r="AK111" s="17">
        <v>0</v>
      </c>
      <c r="AL111" s="32">
        <v>0</v>
      </c>
      <c r="AM111" s="509">
        <v>16.8</v>
      </c>
      <c r="AN111" s="89"/>
      <c r="AO111" s="89"/>
      <c r="AP111" s="416">
        <v>25600</v>
      </c>
      <c r="AQ111" s="133" t="s">
        <v>139</v>
      </c>
      <c r="AR111" s="188">
        <v>100</v>
      </c>
      <c r="AS111" s="171">
        <v>150</v>
      </c>
      <c r="AT111" s="171">
        <v>600</v>
      </c>
      <c r="AU111" s="255">
        <f t="shared" ref="AU111:AU127" si="11">IF(ISBLANK(AS111),(AR111*AT111)/((4*AT111)+(2*AR111)),AR111*AS111*AT111/2/(AR111*AS111+AR111*AT111+AS111*AT111))</f>
        <v>27.272727272727273</v>
      </c>
      <c r="AV111" s="509">
        <v>65</v>
      </c>
      <c r="AW111" s="257">
        <v>7</v>
      </c>
      <c r="AX111" s="514"/>
      <c r="AY111" s="258">
        <v>20</v>
      </c>
      <c r="AZ111" s="261"/>
      <c r="BA111" s="175">
        <v>65</v>
      </c>
      <c r="BB111" s="259"/>
      <c r="BC111" s="176"/>
      <c r="BD111" s="177"/>
      <c r="BE111" s="177" t="s">
        <v>259</v>
      </c>
      <c r="BF111" s="178"/>
      <c r="BG111" s="27"/>
      <c r="BH111" s="27"/>
    </row>
    <row r="112" spans="1:82" ht="15" customHeight="1">
      <c r="A112" s="95">
        <v>111</v>
      </c>
      <c r="B112" s="96" t="s">
        <v>1621</v>
      </c>
      <c r="C112" s="73" t="s">
        <v>2582</v>
      </c>
      <c r="D112" s="257" t="s">
        <v>122</v>
      </c>
      <c r="E112" s="459" t="s">
        <v>3377</v>
      </c>
      <c r="F112" s="258">
        <v>1968</v>
      </c>
      <c r="G112" s="171">
        <v>110</v>
      </c>
      <c r="H112" s="57"/>
      <c r="I112" s="88"/>
      <c r="J112" s="508">
        <v>0.55000000000000004</v>
      </c>
      <c r="K112" s="513">
        <v>5.35</v>
      </c>
      <c r="L112" s="91"/>
      <c r="M112" s="506">
        <v>336</v>
      </c>
      <c r="N112" s="506"/>
      <c r="O112" s="509" t="s">
        <v>12</v>
      </c>
      <c r="P112" s="507"/>
      <c r="Q112" s="262"/>
      <c r="R112" s="512" t="s">
        <v>2729</v>
      </c>
      <c r="S112" s="507"/>
      <c r="T112" s="507"/>
      <c r="U112" s="506" t="s">
        <v>2307</v>
      </c>
      <c r="V112" s="131">
        <v>0</v>
      </c>
      <c r="W112" s="132">
        <v>0</v>
      </c>
      <c r="X112" s="120">
        <v>0</v>
      </c>
      <c r="Y112" s="120">
        <v>0</v>
      </c>
      <c r="Z112" s="120">
        <v>0</v>
      </c>
      <c r="AA112" s="130"/>
      <c r="AB112" s="17">
        <v>0</v>
      </c>
      <c r="AC112" s="17">
        <v>0</v>
      </c>
      <c r="AD112" s="130"/>
      <c r="AE112" s="130"/>
      <c r="AF112" s="17">
        <v>0</v>
      </c>
      <c r="AG112" s="133">
        <v>0</v>
      </c>
      <c r="AH112" s="17">
        <v>0</v>
      </c>
      <c r="AI112" s="17">
        <v>0</v>
      </c>
      <c r="AJ112" s="17">
        <v>0</v>
      </c>
      <c r="AK112" s="17">
        <v>0</v>
      </c>
      <c r="AL112" s="32">
        <v>0</v>
      </c>
      <c r="AM112" s="107">
        <v>28.3</v>
      </c>
      <c r="AN112" s="89"/>
      <c r="AO112" s="89"/>
      <c r="AP112" s="776">
        <v>28700</v>
      </c>
      <c r="AQ112" s="132" t="s">
        <v>139</v>
      </c>
      <c r="AR112" s="36">
        <v>100</v>
      </c>
      <c r="AS112" s="37">
        <v>150</v>
      </c>
      <c r="AT112" s="37">
        <v>600</v>
      </c>
      <c r="AU112" s="269">
        <f t="shared" si="11"/>
        <v>27.272727272727273</v>
      </c>
      <c r="AV112" s="107">
        <v>65</v>
      </c>
      <c r="AW112" s="267">
        <v>7</v>
      </c>
      <c r="AX112" s="514"/>
      <c r="AY112" s="266">
        <v>20</v>
      </c>
      <c r="AZ112" s="261"/>
      <c r="BA112" s="175">
        <v>65</v>
      </c>
      <c r="BB112" s="259"/>
      <c r="BC112" s="176"/>
      <c r="BD112" s="177"/>
      <c r="BE112" s="177" t="s">
        <v>259</v>
      </c>
      <c r="BF112" s="178"/>
      <c r="BG112" s="27"/>
      <c r="BH112" s="27"/>
    </row>
    <row r="113" spans="1:60" ht="15" customHeight="1">
      <c r="A113" s="95">
        <v>112</v>
      </c>
      <c r="B113" s="96" t="s">
        <v>1620</v>
      </c>
      <c r="C113" s="73" t="s">
        <v>2582</v>
      </c>
      <c r="D113" s="257" t="s">
        <v>122</v>
      </c>
      <c r="E113" s="459" t="s">
        <v>3377</v>
      </c>
      <c r="F113" s="258">
        <v>1968</v>
      </c>
      <c r="G113" s="171">
        <v>110</v>
      </c>
      <c r="H113" s="57"/>
      <c r="I113" s="88"/>
      <c r="J113" s="508">
        <v>0.49</v>
      </c>
      <c r="K113" s="513">
        <v>5.34</v>
      </c>
      <c r="L113" s="91"/>
      <c r="M113" s="506">
        <v>344</v>
      </c>
      <c r="N113" s="506"/>
      <c r="O113" s="509" t="s">
        <v>12</v>
      </c>
      <c r="P113" s="507"/>
      <c r="Q113" s="262"/>
      <c r="R113" s="512" t="s">
        <v>2729</v>
      </c>
      <c r="S113" s="507"/>
      <c r="T113" s="507"/>
      <c r="U113" s="506" t="s">
        <v>2307</v>
      </c>
      <c r="V113" s="131">
        <v>0</v>
      </c>
      <c r="W113" s="132">
        <v>0</v>
      </c>
      <c r="X113" s="120">
        <v>0</v>
      </c>
      <c r="Y113" s="120">
        <v>0</v>
      </c>
      <c r="Z113" s="120">
        <v>0</v>
      </c>
      <c r="AA113" s="130"/>
      <c r="AB113" s="17">
        <v>0</v>
      </c>
      <c r="AC113" s="17">
        <v>0</v>
      </c>
      <c r="AD113" s="130"/>
      <c r="AE113" s="130"/>
      <c r="AF113" s="17">
        <v>0</v>
      </c>
      <c r="AG113" s="133">
        <v>0</v>
      </c>
      <c r="AH113" s="17">
        <v>0</v>
      </c>
      <c r="AI113" s="17">
        <v>0</v>
      </c>
      <c r="AJ113" s="17">
        <v>0</v>
      </c>
      <c r="AK113" s="17">
        <v>0</v>
      </c>
      <c r="AL113" s="32">
        <v>0</v>
      </c>
      <c r="AM113" s="107">
        <v>47.8</v>
      </c>
      <c r="AN113" s="89"/>
      <c r="AO113" s="89"/>
      <c r="AP113" s="776">
        <v>35600</v>
      </c>
      <c r="AQ113" s="132" t="s">
        <v>139</v>
      </c>
      <c r="AR113" s="36">
        <v>100</v>
      </c>
      <c r="AS113" s="37">
        <v>150</v>
      </c>
      <c r="AT113" s="37">
        <v>600</v>
      </c>
      <c r="AU113" s="269">
        <f t="shared" si="11"/>
        <v>27.272727272727273</v>
      </c>
      <c r="AV113" s="107">
        <v>65</v>
      </c>
      <c r="AW113" s="267">
        <v>7</v>
      </c>
      <c r="AX113" s="514"/>
      <c r="AY113" s="266">
        <v>20</v>
      </c>
      <c r="AZ113" s="261"/>
      <c r="BA113" s="175">
        <v>65</v>
      </c>
      <c r="BB113" s="259"/>
      <c r="BC113" s="176"/>
      <c r="BD113" s="177"/>
      <c r="BE113" s="177" t="s">
        <v>259</v>
      </c>
      <c r="BF113" s="178"/>
      <c r="BG113" s="27"/>
      <c r="BH113" s="27"/>
    </row>
    <row r="114" spans="1:60" ht="15" customHeight="1">
      <c r="A114" s="95">
        <v>113</v>
      </c>
      <c r="B114" s="96" t="s">
        <v>1619</v>
      </c>
      <c r="C114" s="73" t="s">
        <v>2582</v>
      </c>
      <c r="D114" s="257" t="s">
        <v>122</v>
      </c>
      <c r="E114" s="459" t="s">
        <v>3377</v>
      </c>
      <c r="F114" s="258">
        <v>1968</v>
      </c>
      <c r="G114" s="171">
        <v>110</v>
      </c>
      <c r="H114" s="57"/>
      <c r="I114" s="88"/>
      <c r="J114" s="508">
        <v>0.6</v>
      </c>
      <c r="K114" s="513">
        <v>6.1</v>
      </c>
      <c r="L114" s="91"/>
      <c r="M114" s="506">
        <v>304</v>
      </c>
      <c r="N114" s="506"/>
      <c r="O114" s="509" t="s">
        <v>129</v>
      </c>
      <c r="P114" s="507"/>
      <c r="Q114" s="262"/>
      <c r="R114" s="512" t="s">
        <v>2729</v>
      </c>
      <c r="S114" s="507"/>
      <c r="T114" s="507"/>
      <c r="U114" s="506" t="s">
        <v>2307</v>
      </c>
      <c r="V114" s="131">
        <v>0</v>
      </c>
      <c r="W114" s="132">
        <v>0</v>
      </c>
      <c r="X114" s="120">
        <v>0</v>
      </c>
      <c r="Y114" s="120">
        <v>0</v>
      </c>
      <c r="Z114" s="120">
        <v>0</v>
      </c>
      <c r="AA114" s="130"/>
      <c r="AB114" s="17">
        <v>0</v>
      </c>
      <c r="AC114" s="17">
        <v>0</v>
      </c>
      <c r="AD114" s="130"/>
      <c r="AE114" s="130"/>
      <c r="AF114" s="17">
        <v>0</v>
      </c>
      <c r="AG114" s="133">
        <v>0</v>
      </c>
      <c r="AH114" s="17">
        <v>0</v>
      </c>
      <c r="AI114" s="17">
        <v>0</v>
      </c>
      <c r="AJ114" s="17">
        <v>0</v>
      </c>
      <c r="AK114" s="17">
        <v>0</v>
      </c>
      <c r="AL114" s="32">
        <v>0</v>
      </c>
      <c r="AM114" s="107">
        <v>38.5</v>
      </c>
      <c r="AN114" s="89"/>
      <c r="AO114" s="89"/>
      <c r="AP114" s="777"/>
      <c r="AQ114" s="132" t="s">
        <v>139</v>
      </c>
      <c r="AR114" s="36">
        <v>100</v>
      </c>
      <c r="AS114" s="37">
        <v>150</v>
      </c>
      <c r="AT114" s="37">
        <v>600</v>
      </c>
      <c r="AU114" s="269">
        <f t="shared" si="11"/>
        <v>27.272727272727273</v>
      </c>
      <c r="AV114" s="107">
        <v>65</v>
      </c>
      <c r="AW114" s="267">
        <v>1</v>
      </c>
      <c r="AX114" s="514"/>
      <c r="AY114" s="266">
        <v>20</v>
      </c>
      <c r="AZ114" s="261"/>
      <c r="BA114" s="175">
        <v>65</v>
      </c>
      <c r="BB114" s="259"/>
      <c r="BC114" s="176"/>
      <c r="BD114" s="177"/>
      <c r="BE114" s="177" t="s">
        <v>259</v>
      </c>
      <c r="BF114" s="178"/>
      <c r="BG114" s="27"/>
      <c r="BH114" s="27"/>
    </row>
    <row r="115" spans="1:60" ht="15" customHeight="1">
      <c r="A115" s="95">
        <v>114</v>
      </c>
      <c r="B115" s="96" t="s">
        <v>1618</v>
      </c>
      <c r="C115" s="73" t="s">
        <v>2582</v>
      </c>
      <c r="D115" s="257" t="s">
        <v>122</v>
      </c>
      <c r="E115" s="459" t="s">
        <v>3377</v>
      </c>
      <c r="F115" s="258">
        <v>1968</v>
      </c>
      <c r="G115" s="171">
        <v>110</v>
      </c>
      <c r="H115" s="57"/>
      <c r="I115" s="88"/>
      <c r="J115" s="508">
        <v>0.45</v>
      </c>
      <c r="K115" s="513">
        <v>5.41</v>
      </c>
      <c r="L115" s="91"/>
      <c r="M115" s="506">
        <v>350</v>
      </c>
      <c r="N115" s="506"/>
      <c r="O115" s="509" t="s">
        <v>129</v>
      </c>
      <c r="P115" s="507"/>
      <c r="Q115" s="262"/>
      <c r="R115" s="506"/>
      <c r="S115" s="507"/>
      <c r="T115" s="507"/>
      <c r="U115" s="506"/>
      <c r="V115" s="131">
        <v>0</v>
      </c>
      <c r="W115" s="132">
        <v>0</v>
      </c>
      <c r="X115" s="120">
        <v>0</v>
      </c>
      <c r="Y115" s="120">
        <v>0</v>
      </c>
      <c r="Z115" s="120">
        <v>0</v>
      </c>
      <c r="AA115" s="130"/>
      <c r="AB115" s="17">
        <v>0</v>
      </c>
      <c r="AC115" s="17">
        <v>0</v>
      </c>
      <c r="AD115" s="130"/>
      <c r="AE115" s="130"/>
      <c r="AF115" s="17">
        <v>0</v>
      </c>
      <c r="AG115" s="133">
        <v>0</v>
      </c>
      <c r="AH115" s="17">
        <v>0</v>
      </c>
      <c r="AI115" s="17">
        <v>0</v>
      </c>
      <c r="AJ115" s="17">
        <v>0</v>
      </c>
      <c r="AK115" s="17">
        <v>0</v>
      </c>
      <c r="AL115" s="32">
        <v>0</v>
      </c>
      <c r="AM115" s="107">
        <v>50.4</v>
      </c>
      <c r="AN115" s="89"/>
      <c r="AO115" s="89"/>
      <c r="AP115" s="777"/>
      <c r="AQ115" s="132" t="s">
        <v>139</v>
      </c>
      <c r="AR115" s="36">
        <v>100</v>
      </c>
      <c r="AS115" s="37">
        <v>150</v>
      </c>
      <c r="AT115" s="37">
        <v>600</v>
      </c>
      <c r="AU115" s="269">
        <f t="shared" si="11"/>
        <v>27.272727272727273</v>
      </c>
      <c r="AV115" s="107">
        <v>65</v>
      </c>
      <c r="AW115" s="267">
        <v>1</v>
      </c>
      <c r="AX115" s="514"/>
      <c r="AY115" s="266">
        <v>20</v>
      </c>
      <c r="AZ115" s="261"/>
      <c r="BA115" s="175">
        <v>65</v>
      </c>
      <c r="BB115" s="259"/>
      <c r="BC115" s="176"/>
      <c r="BD115" s="171"/>
      <c r="BE115" s="171" t="s">
        <v>259</v>
      </c>
      <c r="BF115" s="190"/>
      <c r="BG115" s="27"/>
      <c r="BH115" s="27"/>
    </row>
    <row r="116" spans="1:60" ht="15" customHeight="1">
      <c r="A116" s="95">
        <v>115</v>
      </c>
      <c r="B116" s="96" t="s">
        <v>1617</v>
      </c>
      <c r="C116" s="73" t="s">
        <v>2582</v>
      </c>
      <c r="D116" s="257" t="s">
        <v>122</v>
      </c>
      <c r="E116" s="459" t="s">
        <v>3377</v>
      </c>
      <c r="F116" s="258">
        <v>1968</v>
      </c>
      <c r="G116" s="171">
        <v>110</v>
      </c>
      <c r="H116" s="57"/>
      <c r="I116" s="88"/>
      <c r="J116" s="508">
        <v>0.87</v>
      </c>
      <c r="K116" s="513">
        <v>8.1300000000000008</v>
      </c>
      <c r="L116" s="91"/>
      <c r="M116" s="506">
        <v>234</v>
      </c>
      <c r="N116" s="506"/>
      <c r="O116" s="509" t="s">
        <v>129</v>
      </c>
      <c r="P116" s="507"/>
      <c r="Q116" s="262"/>
      <c r="R116" s="506"/>
      <c r="S116" s="507"/>
      <c r="T116" s="507"/>
      <c r="U116" s="506"/>
      <c r="V116" s="131">
        <v>0</v>
      </c>
      <c r="W116" s="132">
        <v>0</v>
      </c>
      <c r="X116" s="120">
        <v>0</v>
      </c>
      <c r="Y116" s="120">
        <v>0</v>
      </c>
      <c r="Z116" s="120">
        <v>0</v>
      </c>
      <c r="AA116" s="130"/>
      <c r="AB116" s="17">
        <v>0</v>
      </c>
      <c r="AC116" s="17">
        <v>0</v>
      </c>
      <c r="AD116" s="130"/>
      <c r="AE116" s="130"/>
      <c r="AF116" s="17">
        <v>0</v>
      </c>
      <c r="AG116" s="133">
        <v>0</v>
      </c>
      <c r="AH116" s="17">
        <v>0</v>
      </c>
      <c r="AI116" s="17">
        <v>0</v>
      </c>
      <c r="AJ116" s="17">
        <v>0</v>
      </c>
      <c r="AK116" s="17">
        <v>0</v>
      </c>
      <c r="AL116" s="32">
        <v>0</v>
      </c>
      <c r="AM116" s="263"/>
      <c r="AN116" s="89"/>
      <c r="AO116" s="89"/>
      <c r="AP116" s="777"/>
      <c r="AQ116" s="132" t="s">
        <v>139</v>
      </c>
      <c r="AR116" s="36">
        <v>100</v>
      </c>
      <c r="AS116" s="37">
        <v>150</v>
      </c>
      <c r="AT116" s="37">
        <v>600</v>
      </c>
      <c r="AU116" s="269">
        <f t="shared" si="11"/>
        <v>27.272727272727273</v>
      </c>
      <c r="AV116" s="107">
        <v>65</v>
      </c>
      <c r="AW116" s="267">
        <v>7</v>
      </c>
      <c r="AX116" s="514"/>
      <c r="AY116" s="266">
        <v>20</v>
      </c>
      <c r="AZ116" s="261"/>
      <c r="BA116" s="175">
        <v>65</v>
      </c>
      <c r="BB116" s="259"/>
      <c r="BC116" s="176"/>
      <c r="BD116" s="177"/>
      <c r="BE116" s="177" t="s">
        <v>259</v>
      </c>
      <c r="BF116" s="178"/>
      <c r="BG116" s="27"/>
      <c r="BH116" s="27"/>
    </row>
    <row r="117" spans="1:60" ht="15" customHeight="1">
      <c r="A117" s="95">
        <v>116</v>
      </c>
      <c r="B117" s="96" t="s">
        <v>1616</v>
      </c>
      <c r="C117" s="73" t="s">
        <v>2582</v>
      </c>
      <c r="D117" s="257" t="s">
        <v>122</v>
      </c>
      <c r="E117" s="459" t="s">
        <v>3377</v>
      </c>
      <c r="F117" s="258">
        <v>1968</v>
      </c>
      <c r="G117" s="171">
        <v>110</v>
      </c>
      <c r="H117" s="57"/>
      <c r="I117" s="88"/>
      <c r="J117" s="508">
        <v>0.49</v>
      </c>
      <c r="K117" s="513">
        <v>4.3899999999999997</v>
      </c>
      <c r="L117" s="91"/>
      <c r="M117" s="506">
        <v>401</v>
      </c>
      <c r="N117" s="506"/>
      <c r="O117" s="509" t="s">
        <v>129</v>
      </c>
      <c r="P117" s="507"/>
      <c r="Q117" s="262"/>
      <c r="R117" s="506"/>
      <c r="S117" s="507"/>
      <c r="T117" s="507"/>
      <c r="U117" s="506"/>
      <c r="V117" s="131">
        <v>0</v>
      </c>
      <c r="W117" s="132">
        <v>0</v>
      </c>
      <c r="X117" s="120">
        <v>0</v>
      </c>
      <c r="Y117" s="120">
        <v>0</v>
      </c>
      <c r="Z117" s="120">
        <v>0</v>
      </c>
      <c r="AA117" s="130"/>
      <c r="AB117" s="17">
        <v>0</v>
      </c>
      <c r="AC117" s="17">
        <v>0</v>
      </c>
      <c r="AD117" s="130"/>
      <c r="AE117" s="130"/>
      <c r="AF117" s="17">
        <v>0</v>
      </c>
      <c r="AG117" s="133">
        <v>0</v>
      </c>
      <c r="AH117" s="17">
        <v>0</v>
      </c>
      <c r="AI117" s="17">
        <v>0</v>
      </c>
      <c r="AJ117" s="17">
        <v>0</v>
      </c>
      <c r="AK117" s="17">
        <v>0</v>
      </c>
      <c r="AL117" s="32">
        <v>0</v>
      </c>
      <c r="AM117" s="107">
        <v>43.8</v>
      </c>
      <c r="AN117" s="89"/>
      <c r="AO117" s="89"/>
      <c r="AP117" s="776">
        <v>37000</v>
      </c>
      <c r="AQ117" s="132" t="s">
        <v>139</v>
      </c>
      <c r="AR117" s="36">
        <v>100</v>
      </c>
      <c r="AS117" s="37">
        <v>150</v>
      </c>
      <c r="AT117" s="37">
        <v>600</v>
      </c>
      <c r="AU117" s="269">
        <f t="shared" si="11"/>
        <v>27.272727272727273</v>
      </c>
      <c r="AV117" s="107">
        <v>65</v>
      </c>
      <c r="AW117" s="267">
        <v>7</v>
      </c>
      <c r="AX117" s="514"/>
      <c r="AY117" s="266">
        <v>20</v>
      </c>
      <c r="AZ117" s="261"/>
      <c r="BA117" s="175">
        <v>65</v>
      </c>
      <c r="BB117" s="259"/>
      <c r="BC117" s="176"/>
      <c r="BD117" s="177"/>
      <c r="BE117" s="177" t="s">
        <v>259</v>
      </c>
      <c r="BF117" s="178"/>
      <c r="BG117" s="27"/>
      <c r="BH117" s="27"/>
    </row>
    <row r="118" spans="1:60" ht="15" customHeight="1">
      <c r="A118" s="95">
        <v>117</v>
      </c>
      <c r="B118" s="96" t="s">
        <v>1615</v>
      </c>
      <c r="C118" s="73" t="s">
        <v>2583</v>
      </c>
      <c r="D118" s="257" t="s">
        <v>130</v>
      </c>
      <c r="E118" s="459" t="s">
        <v>3377</v>
      </c>
      <c r="F118" s="258">
        <v>1970</v>
      </c>
      <c r="G118" s="171">
        <v>113</v>
      </c>
      <c r="H118" s="172" t="s">
        <v>1745</v>
      </c>
      <c r="I118" s="173" t="s">
        <v>1743</v>
      </c>
      <c r="J118" s="508">
        <v>0.51</v>
      </c>
      <c r="K118" s="513">
        <v>5.0599999999999996</v>
      </c>
      <c r="L118" s="91"/>
      <c r="M118" s="506">
        <v>350</v>
      </c>
      <c r="N118" s="506"/>
      <c r="O118" s="509" t="s">
        <v>12</v>
      </c>
      <c r="P118" s="507"/>
      <c r="Q118" s="262"/>
      <c r="R118" s="506" t="s">
        <v>2308</v>
      </c>
      <c r="S118" s="507"/>
      <c r="T118" s="507"/>
      <c r="U118" s="171" t="s">
        <v>2308</v>
      </c>
      <c r="V118" s="131">
        <v>0</v>
      </c>
      <c r="W118" s="132">
        <v>0</v>
      </c>
      <c r="X118" s="120">
        <v>0</v>
      </c>
      <c r="Y118" s="120">
        <v>0</v>
      </c>
      <c r="Z118" s="120">
        <v>0</v>
      </c>
      <c r="AA118" s="130"/>
      <c r="AB118" s="17">
        <v>0</v>
      </c>
      <c r="AC118" s="17">
        <v>0</v>
      </c>
      <c r="AD118" s="130"/>
      <c r="AE118" s="130"/>
      <c r="AF118" s="17">
        <v>0</v>
      </c>
      <c r="AG118" s="133">
        <v>0</v>
      </c>
      <c r="AH118" s="17">
        <v>0</v>
      </c>
      <c r="AI118" s="17">
        <v>0</v>
      </c>
      <c r="AJ118" s="17">
        <v>0</v>
      </c>
      <c r="AK118" s="17">
        <v>0</v>
      </c>
      <c r="AL118" s="32">
        <v>0</v>
      </c>
      <c r="AM118" s="263"/>
      <c r="AN118" s="89"/>
      <c r="AO118" s="89"/>
      <c r="AP118" s="777"/>
      <c r="AQ118" s="132" t="s">
        <v>131</v>
      </c>
      <c r="AR118" s="36">
        <v>70</v>
      </c>
      <c r="AS118" s="270"/>
      <c r="AT118" s="37" t="str">
        <f t="shared" ref="AT118:AT127" si="12">RIGHT(AQ118,LEN(AQ118)-FIND("x",AQ118,1))</f>
        <v>280</v>
      </c>
      <c r="AU118" s="269">
        <f t="shared" si="11"/>
        <v>15.555555555555555</v>
      </c>
      <c r="AV118" s="263"/>
      <c r="AW118" s="267">
        <v>1</v>
      </c>
      <c r="AX118" s="514"/>
      <c r="AY118" s="266">
        <v>21</v>
      </c>
      <c r="AZ118" s="261"/>
      <c r="BA118" s="175">
        <v>55</v>
      </c>
      <c r="BB118" s="259"/>
      <c r="BC118" s="176"/>
      <c r="BD118" s="177"/>
      <c r="BE118" s="177"/>
      <c r="BF118" s="178"/>
      <c r="BG118" s="27"/>
      <c r="BH118" s="27"/>
    </row>
    <row r="119" spans="1:60" ht="15" customHeight="1">
      <c r="A119" s="95">
        <v>118</v>
      </c>
      <c r="B119" s="96" t="s">
        <v>1614</v>
      </c>
      <c r="C119" s="73" t="s">
        <v>2583</v>
      </c>
      <c r="D119" s="257" t="s">
        <v>130</v>
      </c>
      <c r="E119" s="459" t="s">
        <v>3377</v>
      </c>
      <c r="F119" s="258">
        <v>1970</v>
      </c>
      <c r="G119" s="171">
        <v>113</v>
      </c>
      <c r="H119" s="172" t="s">
        <v>1745</v>
      </c>
      <c r="I119" s="173" t="s">
        <v>1743</v>
      </c>
      <c r="J119" s="508">
        <v>0.51</v>
      </c>
      <c r="K119" s="513">
        <v>5.0599999999999996</v>
      </c>
      <c r="L119" s="91"/>
      <c r="M119" s="506">
        <v>350</v>
      </c>
      <c r="N119" s="506"/>
      <c r="O119" s="509" t="s">
        <v>12</v>
      </c>
      <c r="P119" s="507"/>
      <c r="Q119" s="262"/>
      <c r="R119" s="506" t="s">
        <v>2308</v>
      </c>
      <c r="S119" s="507"/>
      <c r="T119" s="507"/>
      <c r="U119" s="171" t="s">
        <v>2308</v>
      </c>
      <c r="V119" s="131">
        <v>0</v>
      </c>
      <c r="W119" s="132">
        <v>0</v>
      </c>
      <c r="X119" s="120">
        <v>0</v>
      </c>
      <c r="Y119" s="120">
        <v>0</v>
      </c>
      <c r="Z119" s="120">
        <v>0</v>
      </c>
      <c r="AA119" s="130"/>
      <c r="AB119" s="17">
        <v>0</v>
      </c>
      <c r="AC119" s="17">
        <v>0</v>
      </c>
      <c r="AD119" s="130"/>
      <c r="AE119" s="130"/>
      <c r="AF119" s="17">
        <v>0</v>
      </c>
      <c r="AG119" s="133">
        <v>0</v>
      </c>
      <c r="AH119" s="17">
        <v>0</v>
      </c>
      <c r="AI119" s="17">
        <v>0</v>
      </c>
      <c r="AJ119" s="17">
        <v>0</v>
      </c>
      <c r="AK119" s="17">
        <v>0</v>
      </c>
      <c r="AL119" s="32">
        <v>0</v>
      </c>
      <c r="AM119" s="263"/>
      <c r="AN119" s="89"/>
      <c r="AO119" s="89"/>
      <c r="AP119" s="777"/>
      <c r="AQ119" s="132" t="s">
        <v>1613</v>
      </c>
      <c r="AR119" s="36">
        <v>140</v>
      </c>
      <c r="AS119" s="270"/>
      <c r="AT119" s="37" t="str">
        <f t="shared" si="12"/>
        <v>560</v>
      </c>
      <c r="AU119" s="269">
        <f t="shared" si="11"/>
        <v>31.111111111111111</v>
      </c>
      <c r="AV119" s="263"/>
      <c r="AW119" s="267">
        <v>1</v>
      </c>
      <c r="AX119" s="514"/>
      <c r="AY119" s="266">
        <v>21</v>
      </c>
      <c r="AZ119" s="261"/>
      <c r="BA119" s="175">
        <v>55</v>
      </c>
      <c r="BB119" s="259"/>
      <c r="BC119" s="176"/>
      <c r="BD119" s="177"/>
      <c r="BE119" s="177"/>
      <c r="BF119" s="178"/>
      <c r="BG119" s="27"/>
      <c r="BH119" s="27"/>
    </row>
    <row r="120" spans="1:60" ht="15" customHeight="1">
      <c r="A120" s="95">
        <v>119</v>
      </c>
      <c r="B120" s="96" t="s">
        <v>1612</v>
      </c>
      <c r="C120" s="73" t="s">
        <v>2583</v>
      </c>
      <c r="D120" s="257" t="s">
        <v>130</v>
      </c>
      <c r="E120" s="459" t="s">
        <v>3377</v>
      </c>
      <c r="F120" s="258">
        <v>1970</v>
      </c>
      <c r="G120" s="171">
        <v>113</v>
      </c>
      <c r="H120" s="172" t="s">
        <v>1745</v>
      </c>
      <c r="I120" s="173" t="s">
        <v>1743</v>
      </c>
      <c r="J120" s="508">
        <v>0.51</v>
      </c>
      <c r="K120" s="513">
        <v>5.0599999999999996</v>
      </c>
      <c r="L120" s="91"/>
      <c r="M120" s="506">
        <v>350</v>
      </c>
      <c r="N120" s="506"/>
      <c r="O120" s="509" t="s">
        <v>12</v>
      </c>
      <c r="P120" s="507"/>
      <c r="Q120" s="262"/>
      <c r="R120" s="506" t="s">
        <v>2308</v>
      </c>
      <c r="S120" s="507"/>
      <c r="T120" s="507"/>
      <c r="U120" s="171" t="s">
        <v>2308</v>
      </c>
      <c r="V120" s="131">
        <v>0</v>
      </c>
      <c r="W120" s="132">
        <v>0</v>
      </c>
      <c r="X120" s="120">
        <v>0</v>
      </c>
      <c r="Y120" s="120">
        <v>0</v>
      </c>
      <c r="Z120" s="120">
        <v>0</v>
      </c>
      <c r="AA120" s="130"/>
      <c r="AB120" s="17">
        <v>0</v>
      </c>
      <c r="AC120" s="17">
        <v>0</v>
      </c>
      <c r="AD120" s="130"/>
      <c r="AE120" s="130"/>
      <c r="AF120" s="17">
        <v>0</v>
      </c>
      <c r="AG120" s="133">
        <v>0</v>
      </c>
      <c r="AH120" s="17">
        <v>0</v>
      </c>
      <c r="AI120" s="17">
        <v>0</v>
      </c>
      <c r="AJ120" s="17">
        <v>0</v>
      </c>
      <c r="AK120" s="17">
        <v>0</v>
      </c>
      <c r="AL120" s="32">
        <v>0</v>
      </c>
      <c r="AM120" s="263"/>
      <c r="AN120" s="89"/>
      <c r="AO120" s="89"/>
      <c r="AP120" s="777"/>
      <c r="AQ120" s="132" t="s">
        <v>1611</v>
      </c>
      <c r="AR120" s="36">
        <v>1000</v>
      </c>
      <c r="AS120" s="270"/>
      <c r="AT120" s="37" t="str">
        <f t="shared" si="12"/>
        <v>140</v>
      </c>
      <c r="AU120" s="269">
        <f t="shared" si="11"/>
        <v>54.6875</v>
      </c>
      <c r="AV120" s="263"/>
      <c r="AW120" s="267">
        <v>1</v>
      </c>
      <c r="AX120" s="514"/>
      <c r="AY120" s="266">
        <v>21</v>
      </c>
      <c r="AZ120" s="261"/>
      <c r="BA120" s="175">
        <v>55</v>
      </c>
      <c r="BB120" s="259"/>
      <c r="BC120" s="176"/>
      <c r="BD120" s="177"/>
      <c r="BE120" s="177"/>
      <c r="BF120" s="178"/>
      <c r="BG120" s="27"/>
      <c r="BH120" s="27"/>
    </row>
    <row r="121" spans="1:60" ht="15" customHeight="1">
      <c r="A121" s="95">
        <v>120</v>
      </c>
      <c r="B121" s="96" t="s">
        <v>1610</v>
      </c>
      <c r="C121" s="73" t="s">
        <v>2583</v>
      </c>
      <c r="D121" s="257" t="s">
        <v>130</v>
      </c>
      <c r="E121" s="459" t="s">
        <v>3377</v>
      </c>
      <c r="F121" s="258">
        <v>1970</v>
      </c>
      <c r="G121" s="171">
        <v>113</v>
      </c>
      <c r="H121" s="172" t="s">
        <v>1745</v>
      </c>
      <c r="I121" s="173" t="s">
        <v>1743</v>
      </c>
      <c r="J121" s="508">
        <v>0.51</v>
      </c>
      <c r="K121" s="513">
        <v>5.0599999999999996</v>
      </c>
      <c r="L121" s="91"/>
      <c r="M121" s="506">
        <v>350</v>
      </c>
      <c r="N121" s="506"/>
      <c r="O121" s="509" t="s">
        <v>12</v>
      </c>
      <c r="P121" s="507"/>
      <c r="Q121" s="262"/>
      <c r="R121" s="506" t="s">
        <v>2308</v>
      </c>
      <c r="S121" s="507"/>
      <c r="T121" s="507"/>
      <c r="U121" s="171" t="s">
        <v>2308</v>
      </c>
      <c r="V121" s="131">
        <v>0</v>
      </c>
      <c r="W121" s="132">
        <v>0</v>
      </c>
      <c r="X121" s="120">
        <v>0</v>
      </c>
      <c r="Y121" s="120">
        <v>0</v>
      </c>
      <c r="Z121" s="120">
        <v>0</v>
      </c>
      <c r="AA121" s="130"/>
      <c r="AB121" s="17">
        <v>0</v>
      </c>
      <c r="AC121" s="17">
        <v>0</v>
      </c>
      <c r="AD121" s="130"/>
      <c r="AE121" s="130"/>
      <c r="AF121" s="17">
        <v>0</v>
      </c>
      <c r="AG121" s="133">
        <v>0</v>
      </c>
      <c r="AH121" s="17">
        <v>0</v>
      </c>
      <c r="AI121" s="17">
        <v>0</v>
      </c>
      <c r="AJ121" s="17">
        <v>0</v>
      </c>
      <c r="AK121" s="17">
        <v>0</v>
      </c>
      <c r="AL121" s="32">
        <v>0</v>
      </c>
      <c r="AM121" s="263"/>
      <c r="AN121" s="89"/>
      <c r="AO121" s="89"/>
      <c r="AP121" s="777"/>
      <c r="AQ121" s="132" t="s">
        <v>1609</v>
      </c>
      <c r="AR121" s="36">
        <v>210</v>
      </c>
      <c r="AS121" s="270"/>
      <c r="AT121" s="37" t="str">
        <f t="shared" si="12"/>
        <v>840</v>
      </c>
      <c r="AU121" s="269">
        <f t="shared" si="11"/>
        <v>46.666666666666664</v>
      </c>
      <c r="AV121" s="263"/>
      <c r="AW121" s="267">
        <v>1</v>
      </c>
      <c r="AX121" s="514"/>
      <c r="AY121" s="266">
        <v>21</v>
      </c>
      <c r="AZ121" s="261"/>
      <c r="BA121" s="175">
        <v>55</v>
      </c>
      <c r="BB121" s="259"/>
      <c r="BC121" s="176"/>
      <c r="BD121" s="177"/>
      <c r="BE121" s="177"/>
      <c r="BF121" s="178"/>
      <c r="BG121" s="27"/>
      <c r="BH121" s="27"/>
    </row>
    <row r="122" spans="1:60" ht="15" customHeight="1">
      <c r="A122" s="95">
        <v>121</v>
      </c>
      <c r="B122" s="96" t="s">
        <v>1608</v>
      </c>
      <c r="C122" s="73" t="s">
        <v>2583</v>
      </c>
      <c r="D122" s="257" t="s">
        <v>130</v>
      </c>
      <c r="E122" s="459" t="s">
        <v>3377</v>
      </c>
      <c r="F122" s="258">
        <v>1970</v>
      </c>
      <c r="G122" s="171">
        <v>113</v>
      </c>
      <c r="H122" s="172" t="s">
        <v>1745</v>
      </c>
      <c r="I122" s="173" t="s">
        <v>1743</v>
      </c>
      <c r="J122" s="508">
        <v>0.51</v>
      </c>
      <c r="K122" s="513">
        <v>5.0599999999999996</v>
      </c>
      <c r="L122" s="91"/>
      <c r="M122" s="506">
        <v>350</v>
      </c>
      <c r="N122" s="506"/>
      <c r="O122" s="509" t="s">
        <v>12</v>
      </c>
      <c r="P122" s="507"/>
      <c r="Q122" s="262"/>
      <c r="R122" s="506" t="s">
        <v>2308</v>
      </c>
      <c r="S122" s="507"/>
      <c r="T122" s="507"/>
      <c r="U122" s="171" t="s">
        <v>2308</v>
      </c>
      <c r="V122" s="131">
        <v>0</v>
      </c>
      <c r="W122" s="132">
        <v>0</v>
      </c>
      <c r="X122" s="120">
        <v>0</v>
      </c>
      <c r="Y122" s="120">
        <v>0</v>
      </c>
      <c r="Z122" s="120">
        <v>0</v>
      </c>
      <c r="AA122" s="130"/>
      <c r="AB122" s="17">
        <v>0</v>
      </c>
      <c r="AC122" s="17">
        <v>0</v>
      </c>
      <c r="AD122" s="130"/>
      <c r="AE122" s="130"/>
      <c r="AF122" s="17">
        <v>0</v>
      </c>
      <c r="AG122" s="133">
        <v>0</v>
      </c>
      <c r="AH122" s="17">
        <v>0</v>
      </c>
      <c r="AI122" s="17">
        <v>0</v>
      </c>
      <c r="AJ122" s="17">
        <v>0</v>
      </c>
      <c r="AK122" s="17">
        <v>0</v>
      </c>
      <c r="AL122" s="32">
        <v>0</v>
      </c>
      <c r="AM122" s="263"/>
      <c r="AN122" s="89"/>
      <c r="AO122" s="89"/>
      <c r="AP122" s="777"/>
      <c r="AQ122" s="132" t="s">
        <v>1607</v>
      </c>
      <c r="AR122" s="36">
        <v>320</v>
      </c>
      <c r="AS122" s="270"/>
      <c r="AT122" s="37" t="str">
        <f t="shared" si="12"/>
        <v>320</v>
      </c>
      <c r="AU122" s="269">
        <f t="shared" si="11"/>
        <v>53.333333333333336</v>
      </c>
      <c r="AV122" s="263"/>
      <c r="AW122" s="267">
        <v>1</v>
      </c>
      <c r="AX122" s="514"/>
      <c r="AY122" s="266">
        <v>21</v>
      </c>
      <c r="AZ122" s="261"/>
      <c r="BA122" s="175">
        <v>55</v>
      </c>
      <c r="BB122" s="259"/>
      <c r="BC122" s="176"/>
      <c r="BD122" s="177"/>
      <c r="BE122" s="177"/>
      <c r="BF122" s="178"/>
      <c r="BG122" s="27"/>
      <c r="BH122" s="27"/>
    </row>
    <row r="123" spans="1:60" ht="15" customHeight="1">
      <c r="A123" s="95">
        <v>122</v>
      </c>
      <c r="B123" s="96" t="s">
        <v>1606</v>
      </c>
      <c r="C123" s="73" t="s">
        <v>2583</v>
      </c>
      <c r="D123" s="257" t="s">
        <v>130</v>
      </c>
      <c r="E123" s="459" t="s">
        <v>3377</v>
      </c>
      <c r="F123" s="258">
        <v>1970</v>
      </c>
      <c r="G123" s="171">
        <v>113</v>
      </c>
      <c r="H123" s="172" t="s">
        <v>1745</v>
      </c>
      <c r="I123" s="173" t="s">
        <v>1743</v>
      </c>
      <c r="J123" s="508">
        <v>0.51</v>
      </c>
      <c r="K123" s="513">
        <v>5.0599999999999996</v>
      </c>
      <c r="L123" s="91"/>
      <c r="M123" s="506">
        <v>350</v>
      </c>
      <c r="N123" s="506"/>
      <c r="O123" s="509" t="s">
        <v>12</v>
      </c>
      <c r="P123" s="507"/>
      <c r="Q123" s="262"/>
      <c r="R123" s="506" t="s">
        <v>2308</v>
      </c>
      <c r="S123" s="507"/>
      <c r="T123" s="507"/>
      <c r="U123" s="171" t="s">
        <v>2308</v>
      </c>
      <c r="V123" s="131">
        <v>0</v>
      </c>
      <c r="W123" s="132">
        <v>0</v>
      </c>
      <c r="X123" s="120">
        <v>0</v>
      </c>
      <c r="Y123" s="120">
        <v>0</v>
      </c>
      <c r="Z123" s="120">
        <v>0</v>
      </c>
      <c r="AA123" s="130"/>
      <c r="AB123" s="17">
        <v>0</v>
      </c>
      <c r="AC123" s="17">
        <v>0</v>
      </c>
      <c r="AD123" s="130"/>
      <c r="AE123" s="130"/>
      <c r="AF123" s="17">
        <v>0</v>
      </c>
      <c r="AG123" s="133">
        <v>0</v>
      </c>
      <c r="AH123" s="17">
        <v>0</v>
      </c>
      <c r="AI123" s="17">
        <v>0</v>
      </c>
      <c r="AJ123" s="17">
        <v>0</v>
      </c>
      <c r="AK123" s="17">
        <v>0</v>
      </c>
      <c r="AL123" s="32">
        <v>0</v>
      </c>
      <c r="AM123" s="263"/>
      <c r="AN123" s="89"/>
      <c r="AO123" s="89"/>
      <c r="AP123" s="777"/>
      <c r="AQ123" s="132" t="s">
        <v>1605</v>
      </c>
      <c r="AR123" s="36">
        <v>700</v>
      </c>
      <c r="AS123" s="270"/>
      <c r="AT123" s="37" t="str">
        <f t="shared" si="12"/>
        <v>2800</v>
      </c>
      <c r="AU123" s="269">
        <f t="shared" si="11"/>
        <v>155.55555555555554</v>
      </c>
      <c r="AV123" s="263"/>
      <c r="AW123" s="267">
        <v>1</v>
      </c>
      <c r="AX123" s="514"/>
      <c r="AY123" s="266">
        <v>21</v>
      </c>
      <c r="AZ123" s="261"/>
      <c r="BA123" s="175">
        <v>55</v>
      </c>
      <c r="BB123" s="259"/>
      <c r="BC123" s="176"/>
      <c r="BD123" s="177"/>
      <c r="BE123" s="177"/>
      <c r="BF123" s="178"/>
      <c r="BG123" s="27"/>
      <c r="BH123" s="27"/>
    </row>
    <row r="124" spans="1:60" ht="15" customHeight="1">
      <c r="A124" s="95">
        <v>123</v>
      </c>
      <c r="B124" s="96" t="s">
        <v>1604</v>
      </c>
      <c r="C124" s="73" t="s">
        <v>140</v>
      </c>
      <c r="D124" s="257" t="s">
        <v>119</v>
      </c>
      <c r="E124" s="459" t="s">
        <v>3377</v>
      </c>
      <c r="F124" s="258">
        <v>1970</v>
      </c>
      <c r="G124" s="171">
        <v>106</v>
      </c>
      <c r="H124" s="57"/>
      <c r="I124" s="88"/>
      <c r="J124" s="508">
        <v>0.42599999999999999</v>
      </c>
      <c r="K124" s="513">
        <v>4.6239999999999997</v>
      </c>
      <c r="L124" s="91"/>
      <c r="M124" s="506">
        <v>404</v>
      </c>
      <c r="N124" s="506"/>
      <c r="O124" s="509" t="s">
        <v>120</v>
      </c>
      <c r="P124" s="511"/>
      <c r="Q124" s="510" t="s">
        <v>2568</v>
      </c>
      <c r="R124" s="512" t="s">
        <v>2729</v>
      </c>
      <c r="S124" s="507"/>
      <c r="T124" s="507"/>
      <c r="U124" s="506" t="s">
        <v>2307</v>
      </c>
      <c r="V124" s="135">
        <v>0</v>
      </c>
      <c r="W124" s="129"/>
      <c r="X124" s="129"/>
      <c r="Y124" s="120">
        <v>0</v>
      </c>
      <c r="Z124" s="120">
        <v>0</v>
      </c>
      <c r="AA124" s="130"/>
      <c r="AB124" s="17">
        <v>0</v>
      </c>
      <c r="AC124" s="17">
        <v>0</v>
      </c>
      <c r="AD124" s="130"/>
      <c r="AE124" s="130"/>
      <c r="AF124" s="17">
        <v>0</v>
      </c>
      <c r="AG124" s="130"/>
      <c r="AH124" s="17">
        <v>0</v>
      </c>
      <c r="AI124" s="17">
        <v>0</v>
      </c>
      <c r="AJ124" s="17">
        <v>0</v>
      </c>
      <c r="AK124" s="17">
        <v>0</v>
      </c>
      <c r="AL124" s="32">
        <v>0</v>
      </c>
      <c r="AM124" s="107">
        <v>44.2</v>
      </c>
      <c r="AN124" s="89"/>
      <c r="AO124" s="89"/>
      <c r="AP124" s="777"/>
      <c r="AQ124" s="132" t="s">
        <v>3420</v>
      </c>
      <c r="AR124" s="38">
        <v>76.2</v>
      </c>
      <c r="AS124" s="270"/>
      <c r="AT124" s="37" t="str">
        <f t="shared" si="12"/>
        <v>406,4</v>
      </c>
      <c r="AU124" s="269" t="e">
        <f t="shared" si="11"/>
        <v>#VALUE!</v>
      </c>
      <c r="AV124" s="107">
        <v>60</v>
      </c>
      <c r="AW124" s="267">
        <v>90</v>
      </c>
      <c r="AX124" s="514"/>
      <c r="AY124" s="266">
        <v>24</v>
      </c>
      <c r="AZ124" s="261"/>
      <c r="BA124" s="175">
        <v>60</v>
      </c>
      <c r="BB124" s="259"/>
      <c r="BC124" s="176"/>
      <c r="BD124" s="177" t="s">
        <v>259</v>
      </c>
      <c r="BE124" s="177" t="s">
        <v>259</v>
      </c>
      <c r="BF124" s="178"/>
      <c r="BG124" s="27"/>
      <c r="BH124" s="27"/>
    </row>
    <row r="125" spans="1:60" ht="15" customHeight="1">
      <c r="A125" s="95">
        <v>124</v>
      </c>
      <c r="B125" s="96" t="s">
        <v>1603</v>
      </c>
      <c r="C125" s="73" t="s">
        <v>140</v>
      </c>
      <c r="D125" s="257" t="s">
        <v>119</v>
      </c>
      <c r="E125" s="459" t="s">
        <v>3377</v>
      </c>
      <c r="F125" s="258">
        <v>1970</v>
      </c>
      <c r="G125" s="171">
        <v>106</v>
      </c>
      <c r="H125" s="57"/>
      <c r="I125" s="88"/>
      <c r="J125" s="508">
        <v>0.42599999999999999</v>
      </c>
      <c r="K125" s="513">
        <v>4.6239999999999997</v>
      </c>
      <c r="L125" s="91"/>
      <c r="M125" s="506">
        <v>404</v>
      </c>
      <c r="N125" s="506"/>
      <c r="O125" s="509" t="s">
        <v>120</v>
      </c>
      <c r="P125" s="511"/>
      <c r="Q125" s="510" t="s">
        <v>2568</v>
      </c>
      <c r="R125" s="512" t="s">
        <v>2729</v>
      </c>
      <c r="S125" s="507"/>
      <c r="T125" s="507"/>
      <c r="U125" s="506" t="s">
        <v>2307</v>
      </c>
      <c r="V125" s="135">
        <v>0</v>
      </c>
      <c r="W125" s="129"/>
      <c r="X125" s="129"/>
      <c r="Y125" s="120">
        <v>0</v>
      </c>
      <c r="Z125" s="120">
        <v>0</v>
      </c>
      <c r="AA125" s="130"/>
      <c r="AB125" s="17">
        <v>0</v>
      </c>
      <c r="AC125" s="17">
        <v>0</v>
      </c>
      <c r="AD125" s="130"/>
      <c r="AE125" s="130"/>
      <c r="AF125" s="17">
        <v>0</v>
      </c>
      <c r="AG125" s="130"/>
      <c r="AH125" s="17">
        <v>0</v>
      </c>
      <c r="AI125" s="17">
        <v>0</v>
      </c>
      <c r="AJ125" s="17">
        <v>0</v>
      </c>
      <c r="AK125" s="17">
        <v>0</v>
      </c>
      <c r="AL125" s="32">
        <v>0</v>
      </c>
      <c r="AM125" s="107">
        <v>44.2</v>
      </c>
      <c r="AN125" s="89"/>
      <c r="AO125" s="89"/>
      <c r="AP125" s="777"/>
      <c r="AQ125" s="132" t="s">
        <v>3421</v>
      </c>
      <c r="AR125" s="38">
        <v>76.2</v>
      </c>
      <c r="AS125" s="270"/>
      <c r="AT125" s="37" t="str">
        <f t="shared" si="12"/>
        <v>406,5</v>
      </c>
      <c r="AU125" s="269" t="e">
        <f t="shared" si="11"/>
        <v>#VALUE!</v>
      </c>
      <c r="AV125" s="107">
        <v>60</v>
      </c>
      <c r="AW125" s="267">
        <v>90</v>
      </c>
      <c r="AX125" s="514"/>
      <c r="AY125" s="266">
        <v>66</v>
      </c>
      <c r="AZ125" s="261"/>
      <c r="BA125" s="175">
        <v>99</v>
      </c>
      <c r="BB125" s="259"/>
      <c r="BC125" s="176"/>
      <c r="BD125" s="177" t="s">
        <v>259</v>
      </c>
      <c r="BE125" s="177" t="s">
        <v>259</v>
      </c>
      <c r="BF125" s="178"/>
      <c r="BG125" s="27"/>
      <c r="BH125" s="27"/>
    </row>
    <row r="126" spans="1:60">
      <c r="A126" s="95">
        <v>125</v>
      </c>
      <c r="B126" s="96" t="s">
        <v>1602</v>
      </c>
      <c r="C126" s="73" t="s">
        <v>140</v>
      </c>
      <c r="D126" s="257" t="s">
        <v>119</v>
      </c>
      <c r="E126" s="459" t="s">
        <v>3377</v>
      </c>
      <c r="F126" s="258">
        <v>1970</v>
      </c>
      <c r="G126" s="171">
        <v>106</v>
      </c>
      <c r="H126" s="57"/>
      <c r="I126" s="173" t="s">
        <v>1739</v>
      </c>
      <c r="J126" s="508">
        <v>0.42599999999999999</v>
      </c>
      <c r="K126" s="513">
        <v>4.6239999999999997</v>
      </c>
      <c r="L126" s="91"/>
      <c r="M126" s="506">
        <v>404</v>
      </c>
      <c r="N126" s="506"/>
      <c r="O126" s="509" t="s">
        <v>120</v>
      </c>
      <c r="P126" s="511"/>
      <c r="Q126" s="510" t="s">
        <v>2568</v>
      </c>
      <c r="R126" s="512" t="s">
        <v>2729</v>
      </c>
      <c r="S126" s="507"/>
      <c r="T126" s="507"/>
      <c r="U126" s="506" t="s">
        <v>2307</v>
      </c>
      <c r="V126" s="135">
        <v>0</v>
      </c>
      <c r="W126" s="129"/>
      <c r="X126" s="129"/>
      <c r="Y126" s="120">
        <v>0</v>
      </c>
      <c r="Z126" s="120">
        <v>0</v>
      </c>
      <c r="AA126" s="130"/>
      <c r="AB126" s="17">
        <v>0</v>
      </c>
      <c r="AC126" s="17">
        <v>0</v>
      </c>
      <c r="AD126" s="130"/>
      <c r="AE126" s="130"/>
      <c r="AF126" s="17">
        <v>0</v>
      </c>
      <c r="AG126" s="130"/>
      <c r="AH126" s="17">
        <v>0</v>
      </c>
      <c r="AI126" s="17">
        <v>0</v>
      </c>
      <c r="AJ126" s="17">
        <v>0</v>
      </c>
      <c r="AK126" s="17">
        <v>0</v>
      </c>
      <c r="AL126" s="32">
        <v>0</v>
      </c>
      <c r="AM126" s="107">
        <v>44.2</v>
      </c>
      <c r="AN126" s="89"/>
      <c r="AO126" s="89"/>
      <c r="AP126" s="777"/>
      <c r="AQ126" s="132" t="s">
        <v>3422</v>
      </c>
      <c r="AR126" s="38">
        <v>76.2</v>
      </c>
      <c r="AS126" s="270"/>
      <c r="AT126" s="37" t="str">
        <f t="shared" si="12"/>
        <v>406,6</v>
      </c>
      <c r="AU126" s="269" t="e">
        <f t="shared" si="11"/>
        <v>#VALUE!</v>
      </c>
      <c r="AV126" s="107">
        <v>100</v>
      </c>
      <c r="AW126" s="267">
        <v>90</v>
      </c>
      <c r="AX126" s="514"/>
      <c r="AY126" s="266">
        <v>24</v>
      </c>
      <c r="AZ126" s="261"/>
      <c r="BA126" s="175">
        <v>99</v>
      </c>
      <c r="BB126" s="259"/>
      <c r="BC126" s="176"/>
      <c r="BD126" s="177" t="s">
        <v>259</v>
      </c>
      <c r="BE126" s="177" t="s">
        <v>259</v>
      </c>
      <c r="BF126" s="178"/>
      <c r="BG126" s="27"/>
      <c r="BH126" s="27"/>
    </row>
    <row r="127" spans="1:60">
      <c r="A127" s="95">
        <v>126</v>
      </c>
      <c r="B127" s="96" t="s">
        <v>1601</v>
      </c>
      <c r="C127" s="73" t="s">
        <v>140</v>
      </c>
      <c r="D127" s="257" t="s">
        <v>119</v>
      </c>
      <c r="E127" s="459" t="s">
        <v>3377</v>
      </c>
      <c r="F127" s="258">
        <v>1970</v>
      </c>
      <c r="G127" s="171">
        <v>106</v>
      </c>
      <c r="H127" s="57"/>
      <c r="I127" s="173" t="s">
        <v>1739</v>
      </c>
      <c r="J127" s="508">
        <v>0.42599999999999999</v>
      </c>
      <c r="K127" s="513">
        <v>4.6239999999999997</v>
      </c>
      <c r="L127" s="91"/>
      <c r="M127" s="506">
        <v>404</v>
      </c>
      <c r="N127" s="506"/>
      <c r="O127" s="509" t="s">
        <v>120</v>
      </c>
      <c r="P127" s="511"/>
      <c r="Q127" s="510" t="s">
        <v>2568</v>
      </c>
      <c r="R127" s="512" t="s">
        <v>2729</v>
      </c>
      <c r="S127" s="507"/>
      <c r="T127" s="507"/>
      <c r="U127" s="506" t="s">
        <v>2307</v>
      </c>
      <c r="V127" s="135">
        <v>0</v>
      </c>
      <c r="W127" s="129"/>
      <c r="X127" s="129"/>
      <c r="Y127" s="120">
        <v>0</v>
      </c>
      <c r="Z127" s="120">
        <v>0</v>
      </c>
      <c r="AA127" s="130"/>
      <c r="AB127" s="17">
        <v>0</v>
      </c>
      <c r="AC127" s="17">
        <v>0</v>
      </c>
      <c r="AD127" s="130"/>
      <c r="AE127" s="130"/>
      <c r="AF127" s="17">
        <v>0</v>
      </c>
      <c r="AG127" s="130"/>
      <c r="AH127" s="17">
        <v>0</v>
      </c>
      <c r="AI127" s="17">
        <v>0</v>
      </c>
      <c r="AJ127" s="17">
        <v>0</v>
      </c>
      <c r="AK127" s="17">
        <v>0</v>
      </c>
      <c r="AL127" s="32">
        <v>0</v>
      </c>
      <c r="AM127" s="107">
        <v>44.2</v>
      </c>
      <c r="AN127" s="89"/>
      <c r="AO127" s="89"/>
      <c r="AP127" s="777"/>
      <c r="AQ127" s="132" t="s">
        <v>3423</v>
      </c>
      <c r="AR127" s="38">
        <v>76.2</v>
      </c>
      <c r="AS127" s="270"/>
      <c r="AT127" s="37" t="str">
        <f t="shared" si="12"/>
        <v>406,7</v>
      </c>
      <c r="AU127" s="269" t="e">
        <f t="shared" si="11"/>
        <v>#VALUE!</v>
      </c>
      <c r="AV127" s="107">
        <v>100</v>
      </c>
      <c r="AW127" s="267">
        <v>90</v>
      </c>
      <c r="AX127" s="514"/>
      <c r="AY127" s="266">
        <v>66</v>
      </c>
      <c r="AZ127" s="261"/>
      <c r="BA127" s="175">
        <v>99</v>
      </c>
      <c r="BB127" s="191" t="s">
        <v>2305</v>
      </c>
      <c r="BC127" s="176"/>
      <c r="BD127" s="177" t="s">
        <v>259</v>
      </c>
      <c r="BE127" s="177" t="s">
        <v>259</v>
      </c>
      <c r="BF127" s="178" t="s">
        <v>2305</v>
      </c>
      <c r="BG127" s="27"/>
      <c r="BH127" s="27"/>
    </row>
    <row r="128" spans="1:60">
      <c r="A128" s="95">
        <v>127</v>
      </c>
      <c r="B128" s="96" t="s">
        <v>1600</v>
      </c>
      <c r="C128" s="73" t="s">
        <v>141</v>
      </c>
      <c r="D128" s="257" t="s">
        <v>119</v>
      </c>
      <c r="E128" s="459" t="s">
        <v>3377</v>
      </c>
      <c r="F128" s="258">
        <v>1975</v>
      </c>
      <c r="G128" s="192">
        <v>69</v>
      </c>
      <c r="H128" s="193" t="s">
        <v>1738</v>
      </c>
      <c r="I128" s="194" t="s">
        <v>1739</v>
      </c>
      <c r="J128" s="508">
        <v>0.33100000000000002</v>
      </c>
      <c r="K128" s="513">
        <v>3.8330000000000002</v>
      </c>
      <c r="L128" s="169"/>
      <c r="M128" s="506">
        <v>465.6</v>
      </c>
      <c r="N128" s="506"/>
      <c r="O128" s="509" t="s">
        <v>120</v>
      </c>
      <c r="P128" s="507"/>
      <c r="Q128" s="262"/>
      <c r="R128" s="506" t="s">
        <v>2724</v>
      </c>
      <c r="S128" s="507"/>
      <c r="T128" s="507"/>
      <c r="U128" s="506" t="s">
        <v>2511</v>
      </c>
      <c r="V128" s="131">
        <v>0</v>
      </c>
      <c r="W128" s="132">
        <v>0</v>
      </c>
      <c r="X128" s="120">
        <v>0</v>
      </c>
      <c r="Y128" s="120">
        <v>0</v>
      </c>
      <c r="Z128" s="120">
        <v>0</v>
      </c>
      <c r="AA128" s="133">
        <v>0</v>
      </c>
      <c r="AB128" s="17">
        <v>0</v>
      </c>
      <c r="AC128" s="17">
        <v>0</v>
      </c>
      <c r="AD128" s="133">
        <v>0</v>
      </c>
      <c r="AE128" s="133">
        <v>0</v>
      </c>
      <c r="AF128" s="17">
        <v>0</v>
      </c>
      <c r="AG128" s="133">
        <v>0</v>
      </c>
      <c r="AH128" s="17">
        <v>0</v>
      </c>
      <c r="AI128" s="133">
        <v>0</v>
      </c>
      <c r="AJ128" s="133">
        <v>0</v>
      </c>
      <c r="AK128" s="17">
        <v>0</v>
      </c>
      <c r="AL128" s="137">
        <v>0</v>
      </c>
      <c r="AM128" s="107">
        <v>46.1</v>
      </c>
      <c r="AN128" s="89"/>
      <c r="AO128" s="39">
        <v>54</v>
      </c>
      <c r="AP128" s="775">
        <v>52500</v>
      </c>
      <c r="AQ128" s="132" t="s">
        <v>138</v>
      </c>
      <c r="AR128" s="40">
        <v>76.2</v>
      </c>
      <c r="AS128" s="270"/>
      <c r="AT128" s="41">
        <v>406.4</v>
      </c>
      <c r="AU128" s="269">
        <f t="shared" ref="AU128:AU159" si="13">(AR128*AT128)/((2*AT128)+(2*AR128))</f>
        <v>32.084210526315793</v>
      </c>
      <c r="AV128" s="107">
        <v>100</v>
      </c>
      <c r="AW128" s="267">
        <v>90</v>
      </c>
      <c r="AX128" s="514"/>
      <c r="AY128" s="266">
        <v>23</v>
      </c>
      <c r="AZ128" s="261"/>
      <c r="BA128" s="195">
        <v>99</v>
      </c>
      <c r="BB128" s="259"/>
      <c r="BC128" s="196"/>
      <c r="BD128" s="197"/>
      <c r="BE128" s="197"/>
      <c r="BF128" s="198"/>
      <c r="BG128" s="27"/>
      <c r="BH128" s="27"/>
    </row>
    <row r="129" spans="1:60">
      <c r="A129" s="95">
        <v>128</v>
      </c>
      <c r="B129" s="96" t="s">
        <v>1599</v>
      </c>
      <c r="C129" s="73" t="s">
        <v>141</v>
      </c>
      <c r="D129" s="257" t="s">
        <v>119</v>
      </c>
      <c r="E129" s="459" t="s">
        <v>3377</v>
      </c>
      <c r="F129" s="258">
        <v>1975</v>
      </c>
      <c r="G129" s="192">
        <v>69</v>
      </c>
      <c r="H129" s="193" t="s">
        <v>1738</v>
      </c>
      <c r="I129" s="194" t="s">
        <v>1739</v>
      </c>
      <c r="J129" s="508">
        <v>0.33100000000000002</v>
      </c>
      <c r="K129" s="513">
        <v>3.8330000000000002</v>
      </c>
      <c r="L129" s="169"/>
      <c r="M129" s="506">
        <v>465.6</v>
      </c>
      <c r="N129" s="506"/>
      <c r="O129" s="509" t="s">
        <v>120</v>
      </c>
      <c r="P129" s="507"/>
      <c r="Q129" s="262"/>
      <c r="R129" s="506" t="s">
        <v>2724</v>
      </c>
      <c r="S129" s="507"/>
      <c r="T129" s="507"/>
      <c r="U129" s="506" t="s">
        <v>2511</v>
      </c>
      <c r="V129" s="131">
        <v>0</v>
      </c>
      <c r="W129" s="132">
        <v>0</v>
      </c>
      <c r="X129" s="120">
        <v>0</v>
      </c>
      <c r="Y129" s="120">
        <v>0</v>
      </c>
      <c r="Z129" s="120">
        <v>0</v>
      </c>
      <c r="AA129" s="133">
        <v>0</v>
      </c>
      <c r="AB129" s="17">
        <v>0</v>
      </c>
      <c r="AC129" s="17">
        <v>0</v>
      </c>
      <c r="AD129" s="133">
        <v>0</v>
      </c>
      <c r="AE129" s="133">
        <v>0</v>
      </c>
      <c r="AF129" s="17">
        <v>0</v>
      </c>
      <c r="AG129" s="133">
        <v>0</v>
      </c>
      <c r="AH129" s="17">
        <v>0</v>
      </c>
      <c r="AI129" s="133">
        <v>0</v>
      </c>
      <c r="AJ129" s="133">
        <v>0</v>
      </c>
      <c r="AK129" s="17">
        <v>0</v>
      </c>
      <c r="AL129" s="137">
        <v>0</v>
      </c>
      <c r="AM129" s="509">
        <v>46.1</v>
      </c>
      <c r="AN129" s="89"/>
      <c r="AO129" s="192">
        <v>54</v>
      </c>
      <c r="AP129" s="775">
        <v>52500</v>
      </c>
      <c r="AQ129" s="133" t="s">
        <v>138</v>
      </c>
      <c r="AR129" s="199">
        <v>76.2</v>
      </c>
      <c r="AS129" s="270"/>
      <c r="AT129" s="200">
        <v>406.4</v>
      </c>
      <c r="AU129" s="255">
        <f t="shared" si="13"/>
        <v>32.084210526315793</v>
      </c>
      <c r="AV129" s="509">
        <v>100</v>
      </c>
      <c r="AW129" s="257">
        <v>90</v>
      </c>
      <c r="AX129" s="514"/>
      <c r="AY129" s="258">
        <v>23</v>
      </c>
      <c r="AZ129" s="261"/>
      <c r="BA129" s="195">
        <v>99</v>
      </c>
      <c r="BB129" s="259"/>
      <c r="BC129" s="196"/>
      <c r="BD129" s="197"/>
      <c r="BE129" s="197"/>
      <c r="BF129" s="198"/>
      <c r="BG129" s="27"/>
      <c r="BH129" s="27"/>
    </row>
    <row r="130" spans="1:60">
      <c r="A130" s="95">
        <v>129</v>
      </c>
      <c r="B130" s="96" t="s">
        <v>1598</v>
      </c>
      <c r="C130" s="73" t="s">
        <v>141</v>
      </c>
      <c r="D130" s="257" t="s">
        <v>119</v>
      </c>
      <c r="E130" s="459" t="s">
        <v>3377</v>
      </c>
      <c r="F130" s="258">
        <v>1975</v>
      </c>
      <c r="G130" s="192">
        <v>69</v>
      </c>
      <c r="H130" s="193" t="s">
        <v>1738</v>
      </c>
      <c r="I130" s="194" t="s">
        <v>1739</v>
      </c>
      <c r="J130" s="508">
        <v>0.33100000000000002</v>
      </c>
      <c r="K130" s="513">
        <v>3.8330000000000002</v>
      </c>
      <c r="L130" s="169"/>
      <c r="M130" s="506">
        <v>465.6</v>
      </c>
      <c r="N130" s="506"/>
      <c r="O130" s="509" t="s">
        <v>120</v>
      </c>
      <c r="P130" s="507"/>
      <c r="Q130" s="262"/>
      <c r="R130" s="506" t="s">
        <v>2724</v>
      </c>
      <c r="S130" s="507"/>
      <c r="T130" s="507"/>
      <c r="U130" s="506" t="s">
        <v>2511</v>
      </c>
      <c r="V130" s="131">
        <v>0</v>
      </c>
      <c r="W130" s="132">
        <v>0</v>
      </c>
      <c r="X130" s="120">
        <v>0</v>
      </c>
      <c r="Y130" s="120">
        <v>0</v>
      </c>
      <c r="Z130" s="120">
        <v>0</v>
      </c>
      <c r="AA130" s="133">
        <v>0</v>
      </c>
      <c r="AB130" s="17">
        <v>0</v>
      </c>
      <c r="AC130" s="17">
        <v>0</v>
      </c>
      <c r="AD130" s="133">
        <v>0</v>
      </c>
      <c r="AE130" s="133">
        <v>0</v>
      </c>
      <c r="AF130" s="17">
        <v>0</v>
      </c>
      <c r="AG130" s="133">
        <v>0</v>
      </c>
      <c r="AH130" s="17">
        <v>0</v>
      </c>
      <c r="AI130" s="133">
        <v>0</v>
      </c>
      <c r="AJ130" s="133">
        <v>0</v>
      </c>
      <c r="AK130" s="17">
        <v>0</v>
      </c>
      <c r="AL130" s="137">
        <v>0</v>
      </c>
      <c r="AM130" s="509">
        <v>46.1</v>
      </c>
      <c r="AN130" s="89"/>
      <c r="AO130" s="192">
        <v>54</v>
      </c>
      <c r="AP130" s="775">
        <v>52500</v>
      </c>
      <c r="AQ130" s="133" t="s">
        <v>138</v>
      </c>
      <c r="AR130" s="199">
        <v>76.2</v>
      </c>
      <c r="AS130" s="270"/>
      <c r="AT130" s="200">
        <v>406.4</v>
      </c>
      <c r="AU130" s="255">
        <f t="shared" si="13"/>
        <v>32.084210526315793</v>
      </c>
      <c r="AV130" s="509">
        <v>100</v>
      </c>
      <c r="AW130" s="257">
        <v>90</v>
      </c>
      <c r="AX130" s="514"/>
      <c r="AY130" s="258">
        <v>23</v>
      </c>
      <c r="AZ130" s="261"/>
      <c r="BA130" s="195">
        <v>99</v>
      </c>
      <c r="BB130" s="259"/>
      <c r="BC130" s="196"/>
      <c r="BD130" s="197"/>
      <c r="BE130" s="197"/>
      <c r="BF130" s="198"/>
      <c r="BG130" s="27"/>
      <c r="BH130" s="27"/>
    </row>
    <row r="131" spans="1:60">
      <c r="A131" s="95">
        <v>130</v>
      </c>
      <c r="B131" s="96" t="s">
        <v>1597</v>
      </c>
      <c r="C131" s="73" t="s">
        <v>141</v>
      </c>
      <c r="D131" s="257" t="s">
        <v>119</v>
      </c>
      <c r="E131" s="459" t="s">
        <v>3377</v>
      </c>
      <c r="F131" s="258">
        <v>1975</v>
      </c>
      <c r="G131" s="192">
        <v>69</v>
      </c>
      <c r="H131" s="193" t="s">
        <v>1738</v>
      </c>
      <c r="I131" s="194" t="s">
        <v>1739</v>
      </c>
      <c r="J131" s="508">
        <v>0.33100000000000002</v>
      </c>
      <c r="K131" s="513">
        <v>3.8330000000000002</v>
      </c>
      <c r="L131" s="169"/>
      <c r="M131" s="506">
        <v>465.6</v>
      </c>
      <c r="N131" s="506"/>
      <c r="O131" s="509" t="s">
        <v>120</v>
      </c>
      <c r="P131" s="507"/>
      <c r="Q131" s="262"/>
      <c r="R131" s="506" t="s">
        <v>2724</v>
      </c>
      <c r="S131" s="507"/>
      <c r="T131" s="507"/>
      <c r="U131" s="506" t="s">
        <v>2511</v>
      </c>
      <c r="V131" s="131">
        <v>0</v>
      </c>
      <c r="W131" s="132">
        <v>0</v>
      </c>
      <c r="X131" s="120">
        <v>0</v>
      </c>
      <c r="Y131" s="120">
        <v>0</v>
      </c>
      <c r="Z131" s="120">
        <v>0</v>
      </c>
      <c r="AA131" s="133">
        <v>0</v>
      </c>
      <c r="AB131" s="17">
        <v>0</v>
      </c>
      <c r="AC131" s="17">
        <v>0</v>
      </c>
      <c r="AD131" s="133">
        <v>0</v>
      </c>
      <c r="AE131" s="133">
        <v>0</v>
      </c>
      <c r="AF131" s="17">
        <v>0</v>
      </c>
      <c r="AG131" s="133">
        <v>0</v>
      </c>
      <c r="AH131" s="17">
        <v>0</v>
      </c>
      <c r="AI131" s="133">
        <v>0</v>
      </c>
      <c r="AJ131" s="133">
        <v>0</v>
      </c>
      <c r="AK131" s="17">
        <v>0</v>
      </c>
      <c r="AL131" s="137">
        <v>0</v>
      </c>
      <c r="AM131" s="509">
        <v>46.1</v>
      </c>
      <c r="AN131" s="89"/>
      <c r="AO131" s="192">
        <v>54</v>
      </c>
      <c r="AP131" s="775">
        <v>47000</v>
      </c>
      <c r="AQ131" s="133" t="s">
        <v>138</v>
      </c>
      <c r="AR131" s="199">
        <v>76.2</v>
      </c>
      <c r="AS131" s="270"/>
      <c r="AT131" s="200">
        <v>406.4</v>
      </c>
      <c r="AU131" s="255">
        <f t="shared" si="13"/>
        <v>32.084210526315793</v>
      </c>
      <c r="AV131" s="509">
        <v>100</v>
      </c>
      <c r="AW131" s="257">
        <v>90</v>
      </c>
      <c r="AX131" s="514"/>
      <c r="AY131" s="258">
        <v>66</v>
      </c>
      <c r="AZ131" s="261"/>
      <c r="BA131" s="195">
        <v>99</v>
      </c>
      <c r="BB131" s="259"/>
      <c r="BC131" s="196"/>
      <c r="BD131" s="197"/>
      <c r="BE131" s="197"/>
      <c r="BF131" s="198"/>
      <c r="BG131" s="27"/>
      <c r="BH131" s="27"/>
    </row>
    <row r="132" spans="1:60">
      <c r="A132" s="95">
        <v>131</v>
      </c>
      <c r="B132" s="96" t="s">
        <v>1596</v>
      </c>
      <c r="C132" s="73" t="s">
        <v>141</v>
      </c>
      <c r="D132" s="257" t="s">
        <v>119</v>
      </c>
      <c r="E132" s="459" t="s">
        <v>3377</v>
      </c>
      <c r="F132" s="258">
        <v>1975</v>
      </c>
      <c r="G132" s="192">
        <v>69</v>
      </c>
      <c r="H132" s="193" t="s">
        <v>1738</v>
      </c>
      <c r="I132" s="194" t="s">
        <v>1739</v>
      </c>
      <c r="J132" s="508">
        <v>0.33100000000000002</v>
      </c>
      <c r="K132" s="513">
        <v>3.8330000000000002</v>
      </c>
      <c r="L132" s="169"/>
      <c r="M132" s="506">
        <v>465.6</v>
      </c>
      <c r="N132" s="506"/>
      <c r="O132" s="509" t="s">
        <v>120</v>
      </c>
      <c r="P132" s="507"/>
      <c r="Q132" s="262"/>
      <c r="R132" s="506" t="s">
        <v>2724</v>
      </c>
      <c r="S132" s="507"/>
      <c r="T132" s="507"/>
      <c r="U132" s="506" t="s">
        <v>2511</v>
      </c>
      <c r="V132" s="131">
        <v>0</v>
      </c>
      <c r="W132" s="132">
        <v>0</v>
      </c>
      <c r="X132" s="120">
        <v>0</v>
      </c>
      <c r="Y132" s="120">
        <v>0</v>
      </c>
      <c r="Z132" s="120">
        <v>0</v>
      </c>
      <c r="AA132" s="133">
        <v>0</v>
      </c>
      <c r="AB132" s="17">
        <v>0</v>
      </c>
      <c r="AC132" s="17">
        <v>0</v>
      </c>
      <c r="AD132" s="133">
        <v>0</v>
      </c>
      <c r="AE132" s="133">
        <v>0</v>
      </c>
      <c r="AF132" s="17">
        <v>0</v>
      </c>
      <c r="AG132" s="133">
        <v>0</v>
      </c>
      <c r="AH132" s="17">
        <v>0</v>
      </c>
      <c r="AI132" s="133">
        <v>0</v>
      </c>
      <c r="AJ132" s="133">
        <v>0</v>
      </c>
      <c r="AK132" s="17">
        <v>0</v>
      </c>
      <c r="AL132" s="137">
        <v>0</v>
      </c>
      <c r="AM132" s="509">
        <v>46.1</v>
      </c>
      <c r="AN132" s="89"/>
      <c r="AO132" s="192">
        <v>54</v>
      </c>
      <c r="AP132" s="775">
        <v>47000</v>
      </c>
      <c r="AQ132" s="133" t="s">
        <v>138</v>
      </c>
      <c r="AR132" s="199">
        <v>76.2</v>
      </c>
      <c r="AS132" s="270"/>
      <c r="AT132" s="200">
        <v>406.4</v>
      </c>
      <c r="AU132" s="255">
        <f t="shared" si="13"/>
        <v>32.084210526315793</v>
      </c>
      <c r="AV132" s="509">
        <v>100</v>
      </c>
      <c r="AW132" s="257">
        <v>90</v>
      </c>
      <c r="AX132" s="514"/>
      <c r="AY132" s="258">
        <v>66</v>
      </c>
      <c r="AZ132" s="261"/>
      <c r="BA132" s="195">
        <v>99</v>
      </c>
      <c r="BB132" s="259"/>
      <c r="BC132" s="196"/>
      <c r="BD132" s="192"/>
      <c r="BE132" s="192"/>
      <c r="BF132" s="201"/>
      <c r="BG132" s="27"/>
      <c r="BH132" s="27"/>
    </row>
    <row r="133" spans="1:60">
      <c r="A133" s="95">
        <v>132</v>
      </c>
      <c r="B133" s="96" t="s">
        <v>1595</v>
      </c>
      <c r="C133" s="73" t="s">
        <v>141</v>
      </c>
      <c r="D133" s="257" t="s">
        <v>119</v>
      </c>
      <c r="E133" s="459" t="s">
        <v>3377</v>
      </c>
      <c r="F133" s="258">
        <v>1975</v>
      </c>
      <c r="G133" s="192">
        <v>69</v>
      </c>
      <c r="H133" s="193" t="s">
        <v>1738</v>
      </c>
      <c r="I133" s="194" t="s">
        <v>1739</v>
      </c>
      <c r="J133" s="508">
        <v>0.33100000000000002</v>
      </c>
      <c r="K133" s="513">
        <v>3.8330000000000002</v>
      </c>
      <c r="L133" s="169"/>
      <c r="M133" s="506">
        <v>465.6</v>
      </c>
      <c r="N133" s="506"/>
      <c r="O133" s="509" t="s">
        <v>120</v>
      </c>
      <c r="P133" s="507"/>
      <c r="Q133" s="262"/>
      <c r="R133" s="506" t="s">
        <v>2724</v>
      </c>
      <c r="S133" s="507"/>
      <c r="T133" s="507"/>
      <c r="U133" s="506" t="s">
        <v>2511</v>
      </c>
      <c r="V133" s="131">
        <v>0</v>
      </c>
      <c r="W133" s="132">
        <v>0</v>
      </c>
      <c r="X133" s="120">
        <v>0</v>
      </c>
      <c r="Y133" s="120">
        <v>0</v>
      </c>
      <c r="Z133" s="120">
        <v>0</v>
      </c>
      <c r="AA133" s="133">
        <v>0</v>
      </c>
      <c r="AB133" s="17">
        <v>0</v>
      </c>
      <c r="AC133" s="17">
        <v>0</v>
      </c>
      <c r="AD133" s="133">
        <v>0</v>
      </c>
      <c r="AE133" s="133">
        <v>0</v>
      </c>
      <c r="AF133" s="17">
        <v>0</v>
      </c>
      <c r="AG133" s="133">
        <v>0</v>
      </c>
      <c r="AH133" s="17">
        <v>0</v>
      </c>
      <c r="AI133" s="133">
        <v>0</v>
      </c>
      <c r="AJ133" s="133">
        <v>0</v>
      </c>
      <c r="AK133" s="17">
        <v>0</v>
      </c>
      <c r="AL133" s="137">
        <v>0</v>
      </c>
      <c r="AM133" s="509">
        <v>46.1</v>
      </c>
      <c r="AN133" s="89"/>
      <c r="AO133" s="192">
        <v>54</v>
      </c>
      <c r="AP133" s="775">
        <v>47000</v>
      </c>
      <c r="AQ133" s="133" t="s">
        <v>138</v>
      </c>
      <c r="AR133" s="199">
        <v>76.2</v>
      </c>
      <c r="AS133" s="270"/>
      <c r="AT133" s="200">
        <v>406.4</v>
      </c>
      <c r="AU133" s="255">
        <f t="shared" si="13"/>
        <v>32.084210526315793</v>
      </c>
      <c r="AV133" s="509">
        <v>100</v>
      </c>
      <c r="AW133" s="257">
        <v>90</v>
      </c>
      <c r="AX133" s="514"/>
      <c r="AY133" s="258">
        <v>66</v>
      </c>
      <c r="AZ133" s="261"/>
      <c r="BA133" s="195">
        <v>99</v>
      </c>
      <c r="BB133" s="259"/>
      <c r="BC133" s="196"/>
      <c r="BD133" s="192"/>
      <c r="BE133" s="192"/>
      <c r="BF133" s="201"/>
      <c r="BG133" s="27"/>
      <c r="BH133" s="27"/>
    </row>
    <row r="134" spans="1:60">
      <c r="A134" s="95">
        <v>133</v>
      </c>
      <c r="B134" s="96" t="s">
        <v>1594</v>
      </c>
      <c r="C134" s="73" t="s">
        <v>141</v>
      </c>
      <c r="D134" s="257" t="s">
        <v>119</v>
      </c>
      <c r="E134" s="459" t="s">
        <v>3377</v>
      </c>
      <c r="F134" s="258">
        <v>1975</v>
      </c>
      <c r="G134" s="192">
        <v>69</v>
      </c>
      <c r="H134" s="193" t="s">
        <v>1738</v>
      </c>
      <c r="I134" s="194" t="s">
        <v>1743</v>
      </c>
      <c r="J134" s="508">
        <v>0.33100000000000002</v>
      </c>
      <c r="K134" s="513">
        <v>3.8330000000000002</v>
      </c>
      <c r="L134" s="169"/>
      <c r="M134" s="506">
        <v>465.6</v>
      </c>
      <c r="N134" s="506"/>
      <c r="O134" s="509" t="s">
        <v>120</v>
      </c>
      <c r="P134" s="507"/>
      <c r="Q134" s="262"/>
      <c r="R134" s="506" t="s">
        <v>2724</v>
      </c>
      <c r="S134" s="507"/>
      <c r="T134" s="507"/>
      <c r="U134" s="506" t="s">
        <v>2511</v>
      </c>
      <c r="V134" s="131">
        <v>0</v>
      </c>
      <c r="W134" s="132">
        <v>0</v>
      </c>
      <c r="X134" s="120">
        <v>0</v>
      </c>
      <c r="Y134" s="120">
        <v>0</v>
      </c>
      <c r="Z134" s="120">
        <v>0</v>
      </c>
      <c r="AA134" s="133">
        <v>0</v>
      </c>
      <c r="AB134" s="17">
        <v>0</v>
      </c>
      <c r="AC134" s="17">
        <v>0</v>
      </c>
      <c r="AD134" s="133">
        <v>0</v>
      </c>
      <c r="AE134" s="133">
        <v>0</v>
      </c>
      <c r="AF134" s="17">
        <v>0</v>
      </c>
      <c r="AG134" s="133">
        <v>0</v>
      </c>
      <c r="AH134" s="17">
        <v>0</v>
      </c>
      <c r="AI134" s="133">
        <v>0</v>
      </c>
      <c r="AJ134" s="133">
        <v>0</v>
      </c>
      <c r="AK134" s="17">
        <v>0</v>
      </c>
      <c r="AL134" s="137">
        <v>0</v>
      </c>
      <c r="AM134" s="509">
        <v>46.1</v>
      </c>
      <c r="AN134" s="89"/>
      <c r="AO134" s="192">
        <v>54</v>
      </c>
      <c r="AP134" s="775">
        <v>43000</v>
      </c>
      <c r="AQ134" s="133" t="s">
        <v>138</v>
      </c>
      <c r="AR134" s="199">
        <v>76.2</v>
      </c>
      <c r="AS134" s="270"/>
      <c r="AT134" s="200">
        <v>406.4</v>
      </c>
      <c r="AU134" s="255">
        <f t="shared" si="13"/>
        <v>32.084210526315793</v>
      </c>
      <c r="AV134" s="509">
        <v>99</v>
      </c>
      <c r="AW134" s="257">
        <v>90</v>
      </c>
      <c r="AX134" s="514"/>
      <c r="AY134" s="258">
        <v>23</v>
      </c>
      <c r="AZ134" s="261"/>
      <c r="BA134" s="195">
        <v>50</v>
      </c>
      <c r="BB134" s="259"/>
      <c r="BC134" s="196"/>
      <c r="BD134" s="197"/>
      <c r="BE134" s="197"/>
      <c r="BF134" s="198"/>
      <c r="BG134" s="27"/>
      <c r="BH134" s="27"/>
    </row>
    <row r="135" spans="1:60">
      <c r="A135" s="95">
        <v>134</v>
      </c>
      <c r="B135" s="96" t="s">
        <v>1593</v>
      </c>
      <c r="C135" s="73" t="s">
        <v>141</v>
      </c>
      <c r="D135" s="257" t="s">
        <v>119</v>
      </c>
      <c r="E135" s="459" t="s">
        <v>3377</v>
      </c>
      <c r="F135" s="258">
        <v>1975</v>
      </c>
      <c r="G135" s="192">
        <v>69</v>
      </c>
      <c r="H135" s="193" t="s">
        <v>1738</v>
      </c>
      <c r="I135" s="194" t="s">
        <v>1743</v>
      </c>
      <c r="J135" s="508">
        <v>0.33100000000000002</v>
      </c>
      <c r="K135" s="513">
        <v>3.8330000000000002</v>
      </c>
      <c r="L135" s="169"/>
      <c r="M135" s="506">
        <v>465.6</v>
      </c>
      <c r="N135" s="506"/>
      <c r="O135" s="509" t="s">
        <v>120</v>
      </c>
      <c r="P135" s="507"/>
      <c r="Q135" s="262"/>
      <c r="R135" s="506" t="s">
        <v>2724</v>
      </c>
      <c r="S135" s="507"/>
      <c r="T135" s="507"/>
      <c r="U135" s="506" t="s">
        <v>2511</v>
      </c>
      <c r="V135" s="131">
        <v>0</v>
      </c>
      <c r="W135" s="132">
        <v>0</v>
      </c>
      <c r="X135" s="120">
        <v>0</v>
      </c>
      <c r="Y135" s="120">
        <v>0</v>
      </c>
      <c r="Z135" s="120">
        <v>0</v>
      </c>
      <c r="AA135" s="133">
        <v>0</v>
      </c>
      <c r="AB135" s="17">
        <v>0</v>
      </c>
      <c r="AC135" s="17">
        <v>0</v>
      </c>
      <c r="AD135" s="133">
        <v>0</v>
      </c>
      <c r="AE135" s="133">
        <v>0</v>
      </c>
      <c r="AF135" s="17">
        <v>0</v>
      </c>
      <c r="AG135" s="133">
        <v>0</v>
      </c>
      <c r="AH135" s="17">
        <v>0</v>
      </c>
      <c r="AI135" s="133">
        <v>0</v>
      </c>
      <c r="AJ135" s="133">
        <v>0</v>
      </c>
      <c r="AK135" s="17">
        <v>0</v>
      </c>
      <c r="AL135" s="137">
        <v>0</v>
      </c>
      <c r="AM135" s="509">
        <v>46.1</v>
      </c>
      <c r="AN135" s="89"/>
      <c r="AO135" s="192">
        <v>54</v>
      </c>
      <c r="AP135" s="775">
        <v>43000</v>
      </c>
      <c r="AQ135" s="133" t="s">
        <v>138</v>
      </c>
      <c r="AR135" s="199">
        <v>76.2</v>
      </c>
      <c r="AS135" s="270"/>
      <c r="AT135" s="200">
        <v>406.4</v>
      </c>
      <c r="AU135" s="255">
        <f t="shared" si="13"/>
        <v>32.084210526315793</v>
      </c>
      <c r="AV135" s="509">
        <v>99</v>
      </c>
      <c r="AW135" s="257">
        <v>90</v>
      </c>
      <c r="AX135" s="514"/>
      <c r="AY135" s="258">
        <v>23</v>
      </c>
      <c r="AZ135" s="261"/>
      <c r="BA135" s="195">
        <v>50</v>
      </c>
      <c r="BB135" s="259"/>
      <c r="BC135" s="196"/>
      <c r="BD135" s="197"/>
      <c r="BE135" s="197"/>
      <c r="BF135" s="198"/>
      <c r="BG135" s="27"/>
      <c r="BH135" s="27"/>
    </row>
    <row r="136" spans="1:60">
      <c r="A136" s="95">
        <v>135</v>
      </c>
      <c r="B136" s="96" t="s">
        <v>1592</v>
      </c>
      <c r="C136" s="73" t="s">
        <v>141</v>
      </c>
      <c r="D136" s="257" t="s">
        <v>119</v>
      </c>
      <c r="E136" s="459" t="s">
        <v>3377</v>
      </c>
      <c r="F136" s="258">
        <v>1975</v>
      </c>
      <c r="G136" s="192">
        <v>69</v>
      </c>
      <c r="H136" s="193" t="s">
        <v>1738</v>
      </c>
      <c r="I136" s="194" t="s">
        <v>1743</v>
      </c>
      <c r="J136" s="508">
        <v>0.33100000000000002</v>
      </c>
      <c r="K136" s="513">
        <v>3.8330000000000002</v>
      </c>
      <c r="L136" s="169"/>
      <c r="M136" s="506">
        <v>465.6</v>
      </c>
      <c r="N136" s="506"/>
      <c r="O136" s="509" t="s">
        <v>120</v>
      </c>
      <c r="P136" s="507"/>
      <c r="Q136" s="262"/>
      <c r="R136" s="506" t="s">
        <v>2724</v>
      </c>
      <c r="S136" s="507"/>
      <c r="T136" s="507"/>
      <c r="U136" s="506" t="s">
        <v>2511</v>
      </c>
      <c r="V136" s="131">
        <v>0</v>
      </c>
      <c r="W136" s="132">
        <v>0</v>
      </c>
      <c r="X136" s="120">
        <v>0</v>
      </c>
      <c r="Y136" s="120">
        <v>0</v>
      </c>
      <c r="Z136" s="120">
        <v>0</v>
      </c>
      <c r="AA136" s="133">
        <v>0</v>
      </c>
      <c r="AB136" s="17">
        <v>0</v>
      </c>
      <c r="AC136" s="17">
        <v>0</v>
      </c>
      <c r="AD136" s="133">
        <v>0</v>
      </c>
      <c r="AE136" s="133">
        <v>0</v>
      </c>
      <c r="AF136" s="17">
        <v>0</v>
      </c>
      <c r="AG136" s="133">
        <v>0</v>
      </c>
      <c r="AH136" s="17">
        <v>0</v>
      </c>
      <c r="AI136" s="133">
        <v>0</v>
      </c>
      <c r="AJ136" s="133">
        <v>0</v>
      </c>
      <c r="AK136" s="17">
        <v>0</v>
      </c>
      <c r="AL136" s="137">
        <v>0</v>
      </c>
      <c r="AM136" s="509">
        <v>46.1</v>
      </c>
      <c r="AN136" s="89"/>
      <c r="AO136" s="192">
        <v>54</v>
      </c>
      <c r="AP136" s="775">
        <v>43000</v>
      </c>
      <c r="AQ136" s="133" t="s">
        <v>138</v>
      </c>
      <c r="AR136" s="199">
        <v>76.2</v>
      </c>
      <c r="AS136" s="270"/>
      <c r="AT136" s="200">
        <v>406.4</v>
      </c>
      <c r="AU136" s="255">
        <f t="shared" si="13"/>
        <v>32.084210526315793</v>
      </c>
      <c r="AV136" s="509">
        <v>99</v>
      </c>
      <c r="AW136" s="257">
        <v>90</v>
      </c>
      <c r="AX136" s="514"/>
      <c r="AY136" s="258">
        <v>23</v>
      </c>
      <c r="AZ136" s="261"/>
      <c r="BA136" s="195">
        <v>50</v>
      </c>
      <c r="BB136" s="259"/>
      <c r="BC136" s="196"/>
      <c r="BD136" s="197"/>
      <c r="BE136" s="197"/>
      <c r="BF136" s="198"/>
      <c r="BG136" s="27"/>
      <c r="BH136" s="27"/>
    </row>
    <row r="137" spans="1:60">
      <c r="A137" s="95">
        <v>136</v>
      </c>
      <c r="B137" s="96" t="s">
        <v>1591</v>
      </c>
      <c r="C137" s="73" t="s">
        <v>141</v>
      </c>
      <c r="D137" s="257" t="s">
        <v>119</v>
      </c>
      <c r="E137" s="459" t="s">
        <v>3377</v>
      </c>
      <c r="F137" s="258">
        <v>1975</v>
      </c>
      <c r="G137" s="192">
        <v>69</v>
      </c>
      <c r="H137" s="193" t="s">
        <v>1738</v>
      </c>
      <c r="I137" s="194" t="s">
        <v>1743</v>
      </c>
      <c r="J137" s="508">
        <v>0.33100000000000002</v>
      </c>
      <c r="K137" s="513">
        <v>3.8330000000000002</v>
      </c>
      <c r="L137" s="169"/>
      <c r="M137" s="506">
        <v>465.6</v>
      </c>
      <c r="N137" s="506"/>
      <c r="O137" s="509" t="s">
        <v>120</v>
      </c>
      <c r="P137" s="507"/>
      <c r="Q137" s="262"/>
      <c r="R137" s="506" t="s">
        <v>2724</v>
      </c>
      <c r="S137" s="507"/>
      <c r="T137" s="507"/>
      <c r="U137" s="506" t="s">
        <v>2511</v>
      </c>
      <c r="V137" s="131">
        <v>0</v>
      </c>
      <c r="W137" s="132">
        <v>0</v>
      </c>
      <c r="X137" s="120">
        <v>0</v>
      </c>
      <c r="Y137" s="120">
        <v>0</v>
      </c>
      <c r="Z137" s="120">
        <v>0</v>
      </c>
      <c r="AA137" s="133">
        <v>0</v>
      </c>
      <c r="AB137" s="17">
        <v>0</v>
      </c>
      <c r="AC137" s="17">
        <v>0</v>
      </c>
      <c r="AD137" s="133">
        <v>0</v>
      </c>
      <c r="AE137" s="133">
        <v>0</v>
      </c>
      <c r="AF137" s="17">
        <v>0</v>
      </c>
      <c r="AG137" s="133">
        <v>0</v>
      </c>
      <c r="AH137" s="17">
        <v>0</v>
      </c>
      <c r="AI137" s="133">
        <v>0</v>
      </c>
      <c r="AJ137" s="133">
        <v>0</v>
      </c>
      <c r="AK137" s="17">
        <v>0</v>
      </c>
      <c r="AL137" s="137">
        <v>0</v>
      </c>
      <c r="AM137" s="509">
        <v>46.1</v>
      </c>
      <c r="AN137" s="89"/>
      <c r="AO137" s="192">
        <v>54</v>
      </c>
      <c r="AP137" s="775">
        <v>44900</v>
      </c>
      <c r="AQ137" s="133" t="s">
        <v>138</v>
      </c>
      <c r="AR137" s="199">
        <v>76.2</v>
      </c>
      <c r="AS137" s="270"/>
      <c r="AT137" s="200">
        <v>406.4</v>
      </c>
      <c r="AU137" s="255">
        <f t="shared" si="13"/>
        <v>32.084210526315793</v>
      </c>
      <c r="AV137" s="509">
        <v>99</v>
      </c>
      <c r="AW137" s="257">
        <v>90</v>
      </c>
      <c r="AX137" s="514"/>
      <c r="AY137" s="258">
        <v>66</v>
      </c>
      <c r="AZ137" s="261"/>
      <c r="BA137" s="195">
        <v>50</v>
      </c>
      <c r="BB137" s="259"/>
      <c r="BC137" s="196"/>
      <c r="BD137" s="197"/>
      <c r="BE137" s="197"/>
      <c r="BF137" s="198"/>
      <c r="BG137" s="27"/>
      <c r="BH137" s="27"/>
    </row>
    <row r="138" spans="1:60">
      <c r="A138" s="95">
        <v>137</v>
      </c>
      <c r="B138" s="96" t="s">
        <v>1590</v>
      </c>
      <c r="C138" s="73" t="s">
        <v>141</v>
      </c>
      <c r="D138" s="257" t="s">
        <v>119</v>
      </c>
      <c r="E138" s="459" t="s">
        <v>3377</v>
      </c>
      <c r="F138" s="258">
        <v>1975</v>
      </c>
      <c r="G138" s="192">
        <v>69</v>
      </c>
      <c r="H138" s="193" t="s">
        <v>1738</v>
      </c>
      <c r="I138" s="194" t="s">
        <v>1743</v>
      </c>
      <c r="J138" s="508">
        <v>0.33100000000000002</v>
      </c>
      <c r="K138" s="513">
        <v>3.8330000000000002</v>
      </c>
      <c r="L138" s="169"/>
      <c r="M138" s="506">
        <v>465.6</v>
      </c>
      <c r="N138" s="506"/>
      <c r="O138" s="509" t="s">
        <v>120</v>
      </c>
      <c r="P138" s="507"/>
      <c r="Q138" s="262"/>
      <c r="R138" s="506" t="s">
        <v>2724</v>
      </c>
      <c r="S138" s="507"/>
      <c r="T138" s="507"/>
      <c r="U138" s="506" t="s">
        <v>2511</v>
      </c>
      <c r="V138" s="131">
        <v>0</v>
      </c>
      <c r="W138" s="132">
        <v>0</v>
      </c>
      <c r="X138" s="120">
        <v>0</v>
      </c>
      <c r="Y138" s="120">
        <v>0</v>
      </c>
      <c r="Z138" s="120">
        <v>0</v>
      </c>
      <c r="AA138" s="133">
        <v>0</v>
      </c>
      <c r="AB138" s="17">
        <v>0</v>
      </c>
      <c r="AC138" s="17">
        <v>0</v>
      </c>
      <c r="AD138" s="133">
        <v>0</v>
      </c>
      <c r="AE138" s="133">
        <v>0</v>
      </c>
      <c r="AF138" s="17">
        <v>0</v>
      </c>
      <c r="AG138" s="133">
        <v>0</v>
      </c>
      <c r="AH138" s="17">
        <v>0</v>
      </c>
      <c r="AI138" s="133">
        <v>0</v>
      </c>
      <c r="AJ138" s="133">
        <v>0</v>
      </c>
      <c r="AK138" s="17">
        <v>0</v>
      </c>
      <c r="AL138" s="137">
        <v>0</v>
      </c>
      <c r="AM138" s="509">
        <v>46.1</v>
      </c>
      <c r="AN138" s="89"/>
      <c r="AO138" s="192">
        <v>54</v>
      </c>
      <c r="AP138" s="775">
        <v>44900</v>
      </c>
      <c r="AQ138" s="133" t="s">
        <v>138</v>
      </c>
      <c r="AR138" s="199">
        <v>76.2</v>
      </c>
      <c r="AS138" s="270"/>
      <c r="AT138" s="200">
        <v>406.4</v>
      </c>
      <c r="AU138" s="255">
        <f t="shared" si="13"/>
        <v>32.084210526315793</v>
      </c>
      <c r="AV138" s="509">
        <v>99</v>
      </c>
      <c r="AW138" s="257">
        <v>90</v>
      </c>
      <c r="AX138" s="514"/>
      <c r="AY138" s="258">
        <v>66</v>
      </c>
      <c r="AZ138" s="261"/>
      <c r="BA138" s="195">
        <v>50</v>
      </c>
      <c r="BB138" s="259"/>
      <c r="BC138" s="196"/>
      <c r="BD138" s="197"/>
      <c r="BE138" s="197"/>
      <c r="BF138" s="198"/>
      <c r="BG138" s="27"/>
      <c r="BH138" s="27"/>
    </row>
    <row r="139" spans="1:60">
      <c r="A139" s="95">
        <v>138</v>
      </c>
      <c r="B139" s="96" t="s">
        <v>1589</v>
      </c>
      <c r="C139" s="73" t="s">
        <v>141</v>
      </c>
      <c r="D139" s="257" t="s">
        <v>119</v>
      </c>
      <c r="E139" s="459" t="s">
        <v>3377</v>
      </c>
      <c r="F139" s="258">
        <v>1975</v>
      </c>
      <c r="G139" s="192">
        <v>69</v>
      </c>
      <c r="H139" s="193" t="s">
        <v>1738</v>
      </c>
      <c r="I139" s="194" t="s">
        <v>1743</v>
      </c>
      <c r="J139" s="508">
        <v>0.33100000000000002</v>
      </c>
      <c r="K139" s="513">
        <v>3.8330000000000002</v>
      </c>
      <c r="L139" s="169"/>
      <c r="M139" s="506">
        <v>465.6</v>
      </c>
      <c r="N139" s="506"/>
      <c r="O139" s="509" t="s">
        <v>120</v>
      </c>
      <c r="P139" s="507"/>
      <c r="Q139" s="262"/>
      <c r="R139" s="506" t="s">
        <v>2724</v>
      </c>
      <c r="S139" s="507"/>
      <c r="T139" s="507"/>
      <c r="U139" s="506" t="s">
        <v>2511</v>
      </c>
      <c r="V139" s="131">
        <v>0</v>
      </c>
      <c r="W139" s="132">
        <v>0</v>
      </c>
      <c r="X139" s="120">
        <v>0</v>
      </c>
      <c r="Y139" s="120">
        <v>0</v>
      </c>
      <c r="Z139" s="120">
        <v>0</v>
      </c>
      <c r="AA139" s="133">
        <v>0</v>
      </c>
      <c r="AB139" s="17">
        <v>0</v>
      </c>
      <c r="AC139" s="17">
        <v>0</v>
      </c>
      <c r="AD139" s="133">
        <v>0</v>
      </c>
      <c r="AE139" s="133">
        <v>0</v>
      </c>
      <c r="AF139" s="17">
        <v>0</v>
      </c>
      <c r="AG139" s="133">
        <v>0</v>
      </c>
      <c r="AH139" s="17">
        <v>0</v>
      </c>
      <c r="AI139" s="133">
        <v>0</v>
      </c>
      <c r="AJ139" s="133">
        <v>0</v>
      </c>
      <c r="AK139" s="17">
        <v>0</v>
      </c>
      <c r="AL139" s="137">
        <v>0</v>
      </c>
      <c r="AM139" s="509">
        <v>46.1</v>
      </c>
      <c r="AN139" s="89"/>
      <c r="AO139" s="192">
        <v>54</v>
      </c>
      <c r="AP139" s="775">
        <v>44900</v>
      </c>
      <c r="AQ139" s="133" t="s">
        <v>138</v>
      </c>
      <c r="AR139" s="199">
        <v>76.2</v>
      </c>
      <c r="AS139" s="270"/>
      <c r="AT139" s="200">
        <v>406.4</v>
      </c>
      <c r="AU139" s="255">
        <f t="shared" si="13"/>
        <v>32.084210526315793</v>
      </c>
      <c r="AV139" s="509">
        <v>99</v>
      </c>
      <c r="AW139" s="257">
        <v>90</v>
      </c>
      <c r="AX139" s="514"/>
      <c r="AY139" s="258">
        <v>66</v>
      </c>
      <c r="AZ139" s="261"/>
      <c r="BA139" s="195">
        <v>50</v>
      </c>
      <c r="BB139" s="259"/>
      <c r="BC139" s="196"/>
      <c r="BD139" s="197"/>
      <c r="BE139" s="197"/>
      <c r="BF139" s="198"/>
      <c r="BG139" s="27"/>
      <c r="BH139" s="27"/>
    </row>
    <row r="140" spans="1:60">
      <c r="A140" s="95">
        <v>139</v>
      </c>
      <c r="B140" s="96" t="s">
        <v>2598</v>
      </c>
      <c r="C140" s="73" t="s">
        <v>141</v>
      </c>
      <c r="D140" s="257" t="s">
        <v>119</v>
      </c>
      <c r="E140" s="459" t="s">
        <v>3377</v>
      </c>
      <c r="F140" s="258">
        <v>1975</v>
      </c>
      <c r="G140" s="192">
        <v>69</v>
      </c>
      <c r="H140" s="193" t="s">
        <v>1738</v>
      </c>
      <c r="I140" s="194" t="s">
        <v>1739</v>
      </c>
      <c r="J140" s="508">
        <v>0.42499999999999999</v>
      </c>
      <c r="K140" s="513">
        <v>4.6449999999999996</v>
      </c>
      <c r="L140" s="169"/>
      <c r="M140" s="506">
        <v>404</v>
      </c>
      <c r="N140" s="506"/>
      <c r="O140" s="509" t="s">
        <v>120</v>
      </c>
      <c r="P140" s="507"/>
      <c r="Q140" s="262"/>
      <c r="R140" s="512" t="s">
        <v>2729</v>
      </c>
      <c r="S140" s="507"/>
      <c r="T140" s="507"/>
      <c r="U140" s="512" t="s">
        <v>2307</v>
      </c>
      <c r="V140" s="131">
        <v>0</v>
      </c>
      <c r="W140" s="132">
        <v>0</v>
      </c>
      <c r="X140" s="120">
        <v>0</v>
      </c>
      <c r="Y140" s="120">
        <v>0</v>
      </c>
      <c r="Z140" s="120">
        <v>0</v>
      </c>
      <c r="AA140" s="133">
        <v>0</v>
      </c>
      <c r="AB140" s="17">
        <v>0</v>
      </c>
      <c r="AC140" s="17">
        <v>0</v>
      </c>
      <c r="AD140" s="133">
        <v>0</v>
      </c>
      <c r="AE140" s="133">
        <v>0</v>
      </c>
      <c r="AF140" s="17">
        <v>0</v>
      </c>
      <c r="AG140" s="133">
        <v>0</v>
      </c>
      <c r="AH140" s="17">
        <v>0</v>
      </c>
      <c r="AI140" s="133">
        <v>0</v>
      </c>
      <c r="AJ140" s="133">
        <v>0</v>
      </c>
      <c r="AK140" s="17">
        <v>0</v>
      </c>
      <c r="AL140" s="137">
        <v>0</v>
      </c>
      <c r="AM140" s="509">
        <v>51.2</v>
      </c>
      <c r="AN140" s="89"/>
      <c r="AO140" s="506">
        <v>56</v>
      </c>
      <c r="AP140" s="775">
        <v>40500</v>
      </c>
      <c r="AQ140" s="133" t="s">
        <v>138</v>
      </c>
      <c r="AR140" s="199">
        <v>76.2</v>
      </c>
      <c r="AS140" s="270"/>
      <c r="AT140" s="200">
        <v>406.4</v>
      </c>
      <c r="AU140" s="255">
        <f t="shared" si="13"/>
        <v>32.084210526315793</v>
      </c>
      <c r="AV140" s="509">
        <v>100</v>
      </c>
      <c r="AW140" s="257">
        <v>90</v>
      </c>
      <c r="AX140" s="514"/>
      <c r="AY140" s="258">
        <v>23</v>
      </c>
      <c r="AZ140" s="261"/>
      <c r="BA140" s="195">
        <v>99</v>
      </c>
      <c r="BB140" s="259"/>
      <c r="BC140" s="196"/>
      <c r="BD140" s="197"/>
      <c r="BE140" s="197"/>
      <c r="BF140" s="198"/>
      <c r="BG140" s="27"/>
      <c r="BH140" s="27"/>
    </row>
    <row r="141" spans="1:60">
      <c r="A141" s="95">
        <v>140</v>
      </c>
      <c r="B141" s="96" t="s">
        <v>2599</v>
      </c>
      <c r="C141" s="73" t="s">
        <v>141</v>
      </c>
      <c r="D141" s="257" t="s">
        <v>119</v>
      </c>
      <c r="E141" s="459" t="s">
        <v>3377</v>
      </c>
      <c r="F141" s="258">
        <v>1975</v>
      </c>
      <c r="G141" s="192">
        <v>69</v>
      </c>
      <c r="H141" s="193" t="s">
        <v>1738</v>
      </c>
      <c r="I141" s="194" t="s">
        <v>1739</v>
      </c>
      <c r="J141" s="508">
        <v>0.42499999999999999</v>
      </c>
      <c r="K141" s="513">
        <v>4.6449999999999996</v>
      </c>
      <c r="L141" s="169"/>
      <c r="M141" s="506">
        <v>404</v>
      </c>
      <c r="N141" s="506"/>
      <c r="O141" s="509" t="s">
        <v>120</v>
      </c>
      <c r="P141" s="507"/>
      <c r="Q141" s="262"/>
      <c r="R141" s="512" t="s">
        <v>2729</v>
      </c>
      <c r="S141" s="507"/>
      <c r="T141" s="507"/>
      <c r="U141" s="512" t="s">
        <v>2307</v>
      </c>
      <c r="V141" s="131">
        <v>0</v>
      </c>
      <c r="W141" s="132">
        <v>0</v>
      </c>
      <c r="X141" s="120">
        <v>0</v>
      </c>
      <c r="Y141" s="120">
        <v>0</v>
      </c>
      <c r="Z141" s="120">
        <v>0</v>
      </c>
      <c r="AA141" s="133">
        <v>0</v>
      </c>
      <c r="AB141" s="17">
        <v>0</v>
      </c>
      <c r="AC141" s="17">
        <v>0</v>
      </c>
      <c r="AD141" s="133">
        <v>0</v>
      </c>
      <c r="AE141" s="133">
        <v>0</v>
      </c>
      <c r="AF141" s="17">
        <v>0</v>
      </c>
      <c r="AG141" s="133">
        <v>0</v>
      </c>
      <c r="AH141" s="17">
        <v>0</v>
      </c>
      <c r="AI141" s="133">
        <v>0</v>
      </c>
      <c r="AJ141" s="133">
        <v>0</v>
      </c>
      <c r="AK141" s="17">
        <v>0</v>
      </c>
      <c r="AL141" s="137">
        <v>0</v>
      </c>
      <c r="AM141" s="509">
        <v>51.2</v>
      </c>
      <c r="AN141" s="89"/>
      <c r="AO141" s="506">
        <v>56</v>
      </c>
      <c r="AP141" s="775">
        <v>40500</v>
      </c>
      <c r="AQ141" s="133" t="s">
        <v>138</v>
      </c>
      <c r="AR141" s="199">
        <v>76.2</v>
      </c>
      <c r="AS141" s="270"/>
      <c r="AT141" s="200">
        <v>406.4</v>
      </c>
      <c r="AU141" s="255">
        <f t="shared" si="13"/>
        <v>32.084210526315793</v>
      </c>
      <c r="AV141" s="509">
        <v>100</v>
      </c>
      <c r="AW141" s="257">
        <v>90</v>
      </c>
      <c r="AX141" s="514"/>
      <c r="AY141" s="258">
        <v>23</v>
      </c>
      <c r="AZ141" s="261"/>
      <c r="BA141" s="195">
        <v>99</v>
      </c>
      <c r="BB141" s="259"/>
      <c r="BC141" s="196"/>
      <c r="BD141" s="197"/>
      <c r="BE141" s="197"/>
      <c r="BF141" s="198"/>
      <c r="BG141" s="27"/>
      <c r="BH141" s="27"/>
    </row>
    <row r="142" spans="1:60">
      <c r="A142" s="95">
        <v>141</v>
      </c>
      <c r="B142" s="96" t="s">
        <v>2600</v>
      </c>
      <c r="C142" s="73" t="s">
        <v>141</v>
      </c>
      <c r="D142" s="257" t="s">
        <v>119</v>
      </c>
      <c r="E142" s="459" t="s">
        <v>3377</v>
      </c>
      <c r="F142" s="258">
        <v>1975</v>
      </c>
      <c r="G142" s="192">
        <v>69</v>
      </c>
      <c r="H142" s="193" t="s">
        <v>1738</v>
      </c>
      <c r="I142" s="194" t="s">
        <v>1739</v>
      </c>
      <c r="J142" s="508">
        <v>0.42499999999999999</v>
      </c>
      <c r="K142" s="513">
        <v>4.6449999999999996</v>
      </c>
      <c r="L142" s="169"/>
      <c r="M142" s="506">
        <v>404</v>
      </c>
      <c r="N142" s="506"/>
      <c r="O142" s="509" t="s">
        <v>120</v>
      </c>
      <c r="P142" s="507"/>
      <c r="Q142" s="262"/>
      <c r="R142" s="512" t="s">
        <v>2729</v>
      </c>
      <c r="S142" s="507"/>
      <c r="T142" s="507"/>
      <c r="U142" s="512" t="s">
        <v>2307</v>
      </c>
      <c r="V142" s="131">
        <v>0</v>
      </c>
      <c r="W142" s="132">
        <v>0</v>
      </c>
      <c r="X142" s="120">
        <v>0</v>
      </c>
      <c r="Y142" s="120">
        <v>0</v>
      </c>
      <c r="Z142" s="120">
        <v>0</v>
      </c>
      <c r="AA142" s="133">
        <v>0</v>
      </c>
      <c r="AB142" s="17">
        <v>0</v>
      </c>
      <c r="AC142" s="17">
        <v>0</v>
      </c>
      <c r="AD142" s="133">
        <v>0</v>
      </c>
      <c r="AE142" s="133">
        <v>0</v>
      </c>
      <c r="AF142" s="17">
        <v>0</v>
      </c>
      <c r="AG142" s="133">
        <v>0</v>
      </c>
      <c r="AH142" s="17">
        <v>0</v>
      </c>
      <c r="AI142" s="133">
        <v>0</v>
      </c>
      <c r="AJ142" s="133">
        <v>0</v>
      </c>
      <c r="AK142" s="17">
        <v>0</v>
      </c>
      <c r="AL142" s="137">
        <v>0</v>
      </c>
      <c r="AM142" s="509">
        <v>51.2</v>
      </c>
      <c r="AN142" s="89"/>
      <c r="AO142" s="506">
        <v>56</v>
      </c>
      <c r="AP142" s="775">
        <v>40500</v>
      </c>
      <c r="AQ142" s="133" t="s">
        <v>138</v>
      </c>
      <c r="AR142" s="199">
        <v>76.2</v>
      </c>
      <c r="AS142" s="270"/>
      <c r="AT142" s="200">
        <v>406.4</v>
      </c>
      <c r="AU142" s="255">
        <f t="shared" si="13"/>
        <v>32.084210526315793</v>
      </c>
      <c r="AV142" s="509">
        <v>100</v>
      </c>
      <c r="AW142" s="257">
        <v>90</v>
      </c>
      <c r="AX142" s="514"/>
      <c r="AY142" s="258">
        <v>23</v>
      </c>
      <c r="AZ142" s="261"/>
      <c r="BA142" s="195">
        <v>99</v>
      </c>
      <c r="BB142" s="259"/>
      <c r="BC142" s="196"/>
      <c r="BD142" s="197"/>
      <c r="BE142" s="197"/>
      <c r="BF142" s="198"/>
      <c r="BG142" s="27"/>
      <c r="BH142" s="27"/>
    </row>
    <row r="143" spans="1:60">
      <c r="A143" s="95">
        <v>142</v>
      </c>
      <c r="B143" s="96" t="s">
        <v>2601</v>
      </c>
      <c r="C143" s="73" t="s">
        <v>141</v>
      </c>
      <c r="D143" s="257" t="s">
        <v>119</v>
      </c>
      <c r="E143" s="459" t="s">
        <v>3377</v>
      </c>
      <c r="F143" s="258">
        <v>1975</v>
      </c>
      <c r="G143" s="192">
        <v>69</v>
      </c>
      <c r="H143" s="193" t="s">
        <v>1738</v>
      </c>
      <c r="I143" s="194" t="s">
        <v>1739</v>
      </c>
      <c r="J143" s="508">
        <v>0.42499999999999999</v>
      </c>
      <c r="K143" s="513">
        <v>4.6449999999999996</v>
      </c>
      <c r="L143" s="169"/>
      <c r="M143" s="506">
        <v>404</v>
      </c>
      <c r="N143" s="506"/>
      <c r="O143" s="509" t="s">
        <v>120</v>
      </c>
      <c r="P143" s="507"/>
      <c r="Q143" s="262"/>
      <c r="R143" s="512" t="s">
        <v>2729</v>
      </c>
      <c r="S143" s="507"/>
      <c r="T143" s="507"/>
      <c r="U143" s="512" t="s">
        <v>2307</v>
      </c>
      <c r="V143" s="131">
        <v>0</v>
      </c>
      <c r="W143" s="132">
        <v>0</v>
      </c>
      <c r="X143" s="120">
        <v>0</v>
      </c>
      <c r="Y143" s="120">
        <v>0</v>
      </c>
      <c r="Z143" s="120">
        <v>0</v>
      </c>
      <c r="AA143" s="133">
        <v>0</v>
      </c>
      <c r="AB143" s="17">
        <v>0</v>
      </c>
      <c r="AC143" s="17">
        <v>0</v>
      </c>
      <c r="AD143" s="133">
        <v>0</v>
      </c>
      <c r="AE143" s="133">
        <v>0</v>
      </c>
      <c r="AF143" s="17">
        <v>0</v>
      </c>
      <c r="AG143" s="133">
        <v>0</v>
      </c>
      <c r="AH143" s="17">
        <v>0</v>
      </c>
      <c r="AI143" s="133">
        <v>0</v>
      </c>
      <c r="AJ143" s="133">
        <v>0</v>
      </c>
      <c r="AK143" s="17">
        <v>0</v>
      </c>
      <c r="AL143" s="137">
        <v>0</v>
      </c>
      <c r="AM143" s="509">
        <v>51.2</v>
      </c>
      <c r="AN143" s="89"/>
      <c r="AO143" s="506">
        <v>56</v>
      </c>
      <c r="AP143" s="775">
        <v>41500</v>
      </c>
      <c r="AQ143" s="133" t="s">
        <v>138</v>
      </c>
      <c r="AR143" s="199">
        <v>76.2</v>
      </c>
      <c r="AS143" s="270"/>
      <c r="AT143" s="200">
        <v>406.4</v>
      </c>
      <c r="AU143" s="255">
        <f t="shared" si="13"/>
        <v>32.084210526315793</v>
      </c>
      <c r="AV143" s="509">
        <v>100</v>
      </c>
      <c r="AW143" s="257">
        <v>90</v>
      </c>
      <c r="AX143" s="514"/>
      <c r="AY143" s="258">
        <v>66</v>
      </c>
      <c r="AZ143" s="261"/>
      <c r="BA143" s="195">
        <v>99</v>
      </c>
      <c r="BB143" s="259"/>
      <c r="BC143" s="196"/>
      <c r="BD143" s="197"/>
      <c r="BE143" s="197"/>
      <c r="BF143" s="198"/>
      <c r="BG143" s="27"/>
      <c r="BH143" s="27"/>
    </row>
    <row r="144" spans="1:60">
      <c r="A144" s="95">
        <v>143</v>
      </c>
      <c r="B144" s="96" t="s">
        <v>2602</v>
      </c>
      <c r="C144" s="73" t="s">
        <v>141</v>
      </c>
      <c r="D144" s="257" t="s">
        <v>119</v>
      </c>
      <c r="E144" s="459" t="s">
        <v>3377</v>
      </c>
      <c r="F144" s="258">
        <v>1975</v>
      </c>
      <c r="G144" s="192">
        <v>69</v>
      </c>
      <c r="H144" s="193" t="s">
        <v>1738</v>
      </c>
      <c r="I144" s="194" t="s">
        <v>1739</v>
      </c>
      <c r="J144" s="508">
        <v>0.42499999999999999</v>
      </c>
      <c r="K144" s="513">
        <v>4.6449999999999996</v>
      </c>
      <c r="L144" s="169"/>
      <c r="M144" s="506">
        <v>404</v>
      </c>
      <c r="N144" s="506"/>
      <c r="O144" s="509" t="s">
        <v>120</v>
      </c>
      <c r="P144" s="507"/>
      <c r="Q144" s="262"/>
      <c r="R144" s="512" t="s">
        <v>2729</v>
      </c>
      <c r="S144" s="507"/>
      <c r="T144" s="507"/>
      <c r="U144" s="512" t="s">
        <v>2307</v>
      </c>
      <c r="V144" s="131">
        <v>0</v>
      </c>
      <c r="W144" s="132">
        <v>0</v>
      </c>
      <c r="X144" s="120">
        <v>0</v>
      </c>
      <c r="Y144" s="120">
        <v>0</v>
      </c>
      <c r="Z144" s="120">
        <v>0</v>
      </c>
      <c r="AA144" s="133">
        <v>0</v>
      </c>
      <c r="AB144" s="17">
        <v>0</v>
      </c>
      <c r="AC144" s="17">
        <v>0</v>
      </c>
      <c r="AD144" s="133">
        <v>0</v>
      </c>
      <c r="AE144" s="133">
        <v>0</v>
      </c>
      <c r="AF144" s="17">
        <v>0</v>
      </c>
      <c r="AG144" s="133">
        <v>0</v>
      </c>
      <c r="AH144" s="17">
        <v>0</v>
      </c>
      <c r="AI144" s="133">
        <v>0</v>
      </c>
      <c r="AJ144" s="133">
        <v>0</v>
      </c>
      <c r="AK144" s="17">
        <v>0</v>
      </c>
      <c r="AL144" s="137">
        <v>0</v>
      </c>
      <c r="AM144" s="509">
        <v>51.2</v>
      </c>
      <c r="AN144" s="89"/>
      <c r="AO144" s="506">
        <v>56</v>
      </c>
      <c r="AP144" s="775">
        <v>41500</v>
      </c>
      <c r="AQ144" s="133" t="s">
        <v>138</v>
      </c>
      <c r="AR144" s="199">
        <v>76.2</v>
      </c>
      <c r="AS144" s="270"/>
      <c r="AT144" s="200">
        <v>406.4</v>
      </c>
      <c r="AU144" s="255">
        <f t="shared" si="13"/>
        <v>32.084210526315793</v>
      </c>
      <c r="AV144" s="509">
        <v>100</v>
      </c>
      <c r="AW144" s="257">
        <v>90</v>
      </c>
      <c r="AX144" s="514"/>
      <c r="AY144" s="258">
        <v>66</v>
      </c>
      <c r="AZ144" s="261"/>
      <c r="BA144" s="195">
        <v>99</v>
      </c>
      <c r="BB144" s="259"/>
      <c r="BC144" s="196"/>
      <c r="BD144" s="197"/>
      <c r="BE144" s="197"/>
      <c r="BF144" s="198"/>
      <c r="BG144" s="27"/>
      <c r="BH144" s="27"/>
    </row>
    <row r="145" spans="1:60">
      <c r="A145" s="95">
        <v>144</v>
      </c>
      <c r="B145" s="96" t="s">
        <v>2603</v>
      </c>
      <c r="C145" s="73" t="s">
        <v>141</v>
      </c>
      <c r="D145" s="257" t="s">
        <v>119</v>
      </c>
      <c r="E145" s="459" t="s">
        <v>3377</v>
      </c>
      <c r="F145" s="258">
        <v>1975</v>
      </c>
      <c r="G145" s="192">
        <v>69</v>
      </c>
      <c r="H145" s="193" t="s">
        <v>1738</v>
      </c>
      <c r="I145" s="194" t="s">
        <v>1739</v>
      </c>
      <c r="J145" s="508">
        <v>0.42499999999999999</v>
      </c>
      <c r="K145" s="513">
        <v>4.6449999999999996</v>
      </c>
      <c r="L145" s="169"/>
      <c r="M145" s="506">
        <v>404</v>
      </c>
      <c r="N145" s="506"/>
      <c r="O145" s="509" t="s">
        <v>120</v>
      </c>
      <c r="P145" s="507"/>
      <c r="Q145" s="262"/>
      <c r="R145" s="512" t="s">
        <v>2729</v>
      </c>
      <c r="S145" s="507"/>
      <c r="T145" s="507"/>
      <c r="U145" s="512" t="s">
        <v>2307</v>
      </c>
      <c r="V145" s="131">
        <v>0</v>
      </c>
      <c r="W145" s="132">
        <v>0</v>
      </c>
      <c r="X145" s="120">
        <v>0</v>
      </c>
      <c r="Y145" s="120">
        <v>0</v>
      </c>
      <c r="Z145" s="120">
        <v>0</v>
      </c>
      <c r="AA145" s="133">
        <v>0</v>
      </c>
      <c r="AB145" s="17">
        <v>0</v>
      </c>
      <c r="AC145" s="17">
        <v>0</v>
      </c>
      <c r="AD145" s="133">
        <v>0</v>
      </c>
      <c r="AE145" s="133">
        <v>0</v>
      </c>
      <c r="AF145" s="17">
        <v>0</v>
      </c>
      <c r="AG145" s="133">
        <v>0</v>
      </c>
      <c r="AH145" s="17">
        <v>0</v>
      </c>
      <c r="AI145" s="133">
        <v>0</v>
      </c>
      <c r="AJ145" s="133">
        <v>0</v>
      </c>
      <c r="AK145" s="17">
        <v>0</v>
      </c>
      <c r="AL145" s="137">
        <v>0</v>
      </c>
      <c r="AM145" s="509">
        <v>51.2</v>
      </c>
      <c r="AN145" s="89"/>
      <c r="AO145" s="506">
        <v>56</v>
      </c>
      <c r="AP145" s="775">
        <v>41500</v>
      </c>
      <c r="AQ145" s="133" t="s">
        <v>138</v>
      </c>
      <c r="AR145" s="199">
        <v>76.2</v>
      </c>
      <c r="AS145" s="270"/>
      <c r="AT145" s="200">
        <v>406.4</v>
      </c>
      <c r="AU145" s="255">
        <f t="shared" si="13"/>
        <v>32.084210526315793</v>
      </c>
      <c r="AV145" s="509">
        <v>100</v>
      </c>
      <c r="AW145" s="257">
        <v>90</v>
      </c>
      <c r="AX145" s="514"/>
      <c r="AY145" s="258">
        <v>66</v>
      </c>
      <c r="AZ145" s="261"/>
      <c r="BA145" s="195">
        <v>99</v>
      </c>
      <c r="BB145" s="259"/>
      <c r="BC145" s="196"/>
      <c r="BD145" s="197"/>
      <c r="BE145" s="197"/>
      <c r="BF145" s="198"/>
      <c r="BG145" s="27"/>
      <c r="BH145" s="27"/>
    </row>
    <row r="146" spans="1:60">
      <c r="A146" s="95">
        <v>145</v>
      </c>
      <c r="B146" s="96" t="s">
        <v>2604</v>
      </c>
      <c r="C146" s="73" t="s">
        <v>141</v>
      </c>
      <c r="D146" s="257" t="s">
        <v>119</v>
      </c>
      <c r="E146" s="459" t="s">
        <v>3377</v>
      </c>
      <c r="F146" s="258">
        <v>1975</v>
      </c>
      <c r="G146" s="192">
        <v>69</v>
      </c>
      <c r="H146" s="193" t="s">
        <v>1738</v>
      </c>
      <c r="I146" s="194" t="s">
        <v>1743</v>
      </c>
      <c r="J146" s="508">
        <v>0.42499999999999999</v>
      </c>
      <c r="K146" s="513">
        <v>4.6449999999999996</v>
      </c>
      <c r="L146" s="169"/>
      <c r="M146" s="506">
        <v>404</v>
      </c>
      <c r="N146" s="506"/>
      <c r="O146" s="509" t="s">
        <v>120</v>
      </c>
      <c r="P146" s="507"/>
      <c r="Q146" s="262"/>
      <c r="R146" s="512" t="s">
        <v>2729</v>
      </c>
      <c r="S146" s="507"/>
      <c r="T146" s="507"/>
      <c r="U146" s="512" t="s">
        <v>2307</v>
      </c>
      <c r="V146" s="131">
        <v>0</v>
      </c>
      <c r="W146" s="132">
        <v>0</v>
      </c>
      <c r="X146" s="120">
        <v>0</v>
      </c>
      <c r="Y146" s="120">
        <v>0</v>
      </c>
      <c r="Z146" s="120">
        <v>0</v>
      </c>
      <c r="AA146" s="133">
        <v>0</v>
      </c>
      <c r="AB146" s="17">
        <v>0</v>
      </c>
      <c r="AC146" s="17">
        <v>0</v>
      </c>
      <c r="AD146" s="133">
        <v>0</v>
      </c>
      <c r="AE146" s="133">
        <v>0</v>
      </c>
      <c r="AF146" s="17">
        <v>0</v>
      </c>
      <c r="AG146" s="133">
        <v>0</v>
      </c>
      <c r="AH146" s="17">
        <v>0</v>
      </c>
      <c r="AI146" s="133">
        <v>0</v>
      </c>
      <c r="AJ146" s="133">
        <v>0</v>
      </c>
      <c r="AK146" s="17">
        <v>0</v>
      </c>
      <c r="AL146" s="137">
        <v>0</v>
      </c>
      <c r="AM146" s="509">
        <v>51.2</v>
      </c>
      <c r="AN146" s="89"/>
      <c r="AO146" s="506">
        <v>56</v>
      </c>
      <c r="AP146" s="775">
        <v>38000</v>
      </c>
      <c r="AQ146" s="133" t="s">
        <v>138</v>
      </c>
      <c r="AR146" s="199">
        <v>76.2</v>
      </c>
      <c r="AS146" s="270"/>
      <c r="AT146" s="200">
        <v>406.4</v>
      </c>
      <c r="AU146" s="255">
        <f t="shared" si="13"/>
        <v>32.084210526315793</v>
      </c>
      <c r="AV146" s="509">
        <v>99</v>
      </c>
      <c r="AW146" s="257">
        <v>90</v>
      </c>
      <c r="AX146" s="514"/>
      <c r="AY146" s="258">
        <v>23</v>
      </c>
      <c r="AZ146" s="261"/>
      <c r="BA146" s="195">
        <v>50</v>
      </c>
      <c r="BB146" s="259"/>
      <c r="BC146" s="196"/>
      <c r="BD146" s="197"/>
      <c r="BE146" s="197"/>
      <c r="BF146" s="198"/>
      <c r="BG146" s="27"/>
      <c r="BH146" s="27"/>
    </row>
    <row r="147" spans="1:60">
      <c r="A147" s="95">
        <v>146</v>
      </c>
      <c r="B147" s="96" t="s">
        <v>2605</v>
      </c>
      <c r="C147" s="73" t="s">
        <v>141</v>
      </c>
      <c r="D147" s="257" t="s">
        <v>119</v>
      </c>
      <c r="E147" s="459" t="s">
        <v>3377</v>
      </c>
      <c r="F147" s="258">
        <v>1975</v>
      </c>
      <c r="G147" s="192">
        <v>69</v>
      </c>
      <c r="H147" s="193" t="s">
        <v>1738</v>
      </c>
      <c r="I147" s="194" t="s">
        <v>1743</v>
      </c>
      <c r="J147" s="508">
        <v>0.42499999999999999</v>
      </c>
      <c r="K147" s="513">
        <v>4.6449999999999996</v>
      </c>
      <c r="L147" s="169"/>
      <c r="M147" s="506">
        <v>404</v>
      </c>
      <c r="N147" s="506"/>
      <c r="O147" s="509" t="s">
        <v>120</v>
      </c>
      <c r="P147" s="507"/>
      <c r="Q147" s="262"/>
      <c r="R147" s="512" t="s">
        <v>2729</v>
      </c>
      <c r="S147" s="507"/>
      <c r="T147" s="507"/>
      <c r="U147" s="512" t="s">
        <v>2307</v>
      </c>
      <c r="V147" s="131">
        <v>0</v>
      </c>
      <c r="W147" s="132">
        <v>0</v>
      </c>
      <c r="X147" s="120">
        <v>0</v>
      </c>
      <c r="Y147" s="120">
        <v>0</v>
      </c>
      <c r="Z147" s="120">
        <v>0</v>
      </c>
      <c r="AA147" s="133">
        <v>0</v>
      </c>
      <c r="AB147" s="17">
        <v>0</v>
      </c>
      <c r="AC147" s="17">
        <v>0</v>
      </c>
      <c r="AD147" s="133">
        <v>0</v>
      </c>
      <c r="AE147" s="133">
        <v>0</v>
      </c>
      <c r="AF147" s="17">
        <v>0</v>
      </c>
      <c r="AG147" s="133">
        <v>0</v>
      </c>
      <c r="AH147" s="17">
        <v>0</v>
      </c>
      <c r="AI147" s="133">
        <v>0</v>
      </c>
      <c r="AJ147" s="133">
        <v>0</v>
      </c>
      <c r="AK147" s="17">
        <v>0</v>
      </c>
      <c r="AL147" s="137">
        <v>0</v>
      </c>
      <c r="AM147" s="509">
        <v>51.2</v>
      </c>
      <c r="AN147" s="89"/>
      <c r="AO147" s="506">
        <v>56</v>
      </c>
      <c r="AP147" s="775">
        <v>38000</v>
      </c>
      <c r="AQ147" s="133" t="s">
        <v>138</v>
      </c>
      <c r="AR147" s="199">
        <v>76.2</v>
      </c>
      <c r="AS147" s="270"/>
      <c r="AT147" s="200">
        <v>406.4</v>
      </c>
      <c r="AU147" s="255">
        <f t="shared" si="13"/>
        <v>32.084210526315793</v>
      </c>
      <c r="AV147" s="509">
        <v>99</v>
      </c>
      <c r="AW147" s="257">
        <v>90</v>
      </c>
      <c r="AX147" s="514"/>
      <c r="AY147" s="258">
        <v>23</v>
      </c>
      <c r="AZ147" s="261"/>
      <c r="BA147" s="195">
        <v>50</v>
      </c>
      <c r="BB147" s="259"/>
      <c r="BC147" s="196"/>
      <c r="BD147" s="197"/>
      <c r="BE147" s="197"/>
      <c r="BF147" s="198"/>
      <c r="BG147" s="27"/>
      <c r="BH147" s="27"/>
    </row>
    <row r="148" spans="1:60">
      <c r="A148" s="95">
        <v>147</v>
      </c>
      <c r="B148" s="96" t="s">
        <v>2606</v>
      </c>
      <c r="C148" s="73" t="s">
        <v>141</v>
      </c>
      <c r="D148" s="257" t="s">
        <v>119</v>
      </c>
      <c r="E148" s="459" t="s">
        <v>3377</v>
      </c>
      <c r="F148" s="258">
        <v>1975</v>
      </c>
      <c r="G148" s="192">
        <v>69</v>
      </c>
      <c r="H148" s="193" t="s">
        <v>1738</v>
      </c>
      <c r="I148" s="194" t="s">
        <v>1743</v>
      </c>
      <c r="J148" s="508">
        <v>0.42499999999999999</v>
      </c>
      <c r="K148" s="513">
        <v>4.6449999999999996</v>
      </c>
      <c r="L148" s="169"/>
      <c r="M148" s="506">
        <v>404</v>
      </c>
      <c r="N148" s="506"/>
      <c r="O148" s="509" t="s">
        <v>120</v>
      </c>
      <c r="P148" s="507"/>
      <c r="Q148" s="262"/>
      <c r="R148" s="512" t="s">
        <v>2729</v>
      </c>
      <c r="S148" s="507"/>
      <c r="T148" s="507"/>
      <c r="U148" s="512" t="s">
        <v>2307</v>
      </c>
      <c r="V148" s="131">
        <v>0</v>
      </c>
      <c r="W148" s="132">
        <v>0</v>
      </c>
      <c r="X148" s="120">
        <v>0</v>
      </c>
      <c r="Y148" s="120">
        <v>0</v>
      </c>
      <c r="Z148" s="120">
        <v>0</v>
      </c>
      <c r="AA148" s="133">
        <v>0</v>
      </c>
      <c r="AB148" s="17">
        <v>0</v>
      </c>
      <c r="AC148" s="17">
        <v>0</v>
      </c>
      <c r="AD148" s="133">
        <v>0</v>
      </c>
      <c r="AE148" s="133">
        <v>0</v>
      </c>
      <c r="AF148" s="17">
        <v>0</v>
      </c>
      <c r="AG148" s="133">
        <v>0</v>
      </c>
      <c r="AH148" s="17">
        <v>0</v>
      </c>
      <c r="AI148" s="133">
        <v>0</v>
      </c>
      <c r="AJ148" s="133">
        <v>0</v>
      </c>
      <c r="AK148" s="17">
        <v>0</v>
      </c>
      <c r="AL148" s="137">
        <v>0</v>
      </c>
      <c r="AM148" s="509">
        <v>51.2</v>
      </c>
      <c r="AN148" s="89"/>
      <c r="AO148" s="506">
        <v>56</v>
      </c>
      <c r="AP148" s="775">
        <v>38000</v>
      </c>
      <c r="AQ148" s="133" t="s">
        <v>138</v>
      </c>
      <c r="AR148" s="199">
        <v>76.2</v>
      </c>
      <c r="AS148" s="270"/>
      <c r="AT148" s="200">
        <v>406.4</v>
      </c>
      <c r="AU148" s="255">
        <f t="shared" si="13"/>
        <v>32.084210526315793</v>
      </c>
      <c r="AV148" s="509">
        <v>99</v>
      </c>
      <c r="AW148" s="257">
        <v>90</v>
      </c>
      <c r="AX148" s="514"/>
      <c r="AY148" s="258">
        <v>23</v>
      </c>
      <c r="AZ148" s="261"/>
      <c r="BA148" s="195">
        <v>50</v>
      </c>
      <c r="BB148" s="259"/>
      <c r="BC148" s="196"/>
      <c r="BD148" s="197"/>
      <c r="BE148" s="197"/>
      <c r="BF148" s="198"/>
      <c r="BG148" s="27"/>
      <c r="BH148" s="27"/>
    </row>
    <row r="149" spans="1:60">
      <c r="A149" s="95">
        <v>148</v>
      </c>
      <c r="B149" s="96" t="s">
        <v>2607</v>
      </c>
      <c r="C149" s="73" t="s">
        <v>141</v>
      </c>
      <c r="D149" s="257" t="s">
        <v>119</v>
      </c>
      <c r="E149" s="459" t="s">
        <v>3377</v>
      </c>
      <c r="F149" s="258">
        <v>1975</v>
      </c>
      <c r="G149" s="192">
        <v>69</v>
      </c>
      <c r="H149" s="193" t="s">
        <v>1738</v>
      </c>
      <c r="I149" s="194" t="s">
        <v>1743</v>
      </c>
      <c r="J149" s="508">
        <v>0.42499999999999999</v>
      </c>
      <c r="K149" s="513">
        <v>4.6449999999999996</v>
      </c>
      <c r="L149" s="169"/>
      <c r="M149" s="506">
        <v>404</v>
      </c>
      <c r="N149" s="506"/>
      <c r="O149" s="509" t="s">
        <v>120</v>
      </c>
      <c r="P149" s="507"/>
      <c r="Q149" s="262"/>
      <c r="R149" s="512" t="s">
        <v>2729</v>
      </c>
      <c r="S149" s="507"/>
      <c r="T149" s="507"/>
      <c r="U149" s="512" t="s">
        <v>2307</v>
      </c>
      <c r="V149" s="131">
        <v>0</v>
      </c>
      <c r="W149" s="132">
        <v>0</v>
      </c>
      <c r="X149" s="120">
        <v>0</v>
      </c>
      <c r="Y149" s="120">
        <v>0</v>
      </c>
      <c r="Z149" s="120">
        <v>0</v>
      </c>
      <c r="AA149" s="133">
        <v>0</v>
      </c>
      <c r="AB149" s="17">
        <v>0</v>
      </c>
      <c r="AC149" s="17">
        <v>0</v>
      </c>
      <c r="AD149" s="133">
        <v>0</v>
      </c>
      <c r="AE149" s="133">
        <v>0</v>
      </c>
      <c r="AF149" s="17">
        <v>0</v>
      </c>
      <c r="AG149" s="133">
        <v>0</v>
      </c>
      <c r="AH149" s="17">
        <v>0</v>
      </c>
      <c r="AI149" s="133">
        <v>0</v>
      </c>
      <c r="AJ149" s="133">
        <v>0</v>
      </c>
      <c r="AK149" s="17">
        <v>0</v>
      </c>
      <c r="AL149" s="137">
        <v>0</v>
      </c>
      <c r="AM149" s="509">
        <v>51.2</v>
      </c>
      <c r="AN149" s="89"/>
      <c r="AO149" s="506">
        <v>56</v>
      </c>
      <c r="AP149" s="775">
        <v>40300</v>
      </c>
      <c r="AQ149" s="133" t="s">
        <v>138</v>
      </c>
      <c r="AR149" s="199">
        <v>76.2</v>
      </c>
      <c r="AS149" s="270"/>
      <c r="AT149" s="200">
        <v>406.4</v>
      </c>
      <c r="AU149" s="255">
        <f t="shared" si="13"/>
        <v>32.084210526315793</v>
      </c>
      <c r="AV149" s="509">
        <v>99</v>
      </c>
      <c r="AW149" s="257">
        <v>90</v>
      </c>
      <c r="AX149" s="514"/>
      <c r="AY149" s="258">
        <v>66</v>
      </c>
      <c r="AZ149" s="261"/>
      <c r="BA149" s="195">
        <v>50</v>
      </c>
      <c r="BB149" s="259"/>
      <c r="BC149" s="196"/>
      <c r="BD149" s="197"/>
      <c r="BE149" s="197"/>
      <c r="BF149" s="198"/>
      <c r="BG149" s="27"/>
      <c r="BH149" s="27"/>
    </row>
    <row r="150" spans="1:60">
      <c r="A150" s="95">
        <v>149</v>
      </c>
      <c r="B150" s="96" t="s">
        <v>2608</v>
      </c>
      <c r="C150" s="73" t="s">
        <v>141</v>
      </c>
      <c r="D150" s="257" t="s">
        <v>119</v>
      </c>
      <c r="E150" s="459" t="s">
        <v>3377</v>
      </c>
      <c r="F150" s="258">
        <v>1975</v>
      </c>
      <c r="G150" s="192">
        <v>69</v>
      </c>
      <c r="H150" s="193" t="s">
        <v>1738</v>
      </c>
      <c r="I150" s="194" t="s">
        <v>1743</v>
      </c>
      <c r="J150" s="508">
        <v>0.42499999999999999</v>
      </c>
      <c r="K150" s="513">
        <v>4.6449999999999996</v>
      </c>
      <c r="L150" s="169"/>
      <c r="M150" s="506">
        <v>404</v>
      </c>
      <c r="N150" s="506"/>
      <c r="O150" s="509" t="s">
        <v>120</v>
      </c>
      <c r="P150" s="507"/>
      <c r="Q150" s="262"/>
      <c r="R150" s="512" t="s">
        <v>2729</v>
      </c>
      <c r="S150" s="507"/>
      <c r="T150" s="507"/>
      <c r="U150" s="512" t="s">
        <v>2307</v>
      </c>
      <c r="V150" s="131">
        <v>0</v>
      </c>
      <c r="W150" s="132">
        <v>0</v>
      </c>
      <c r="X150" s="120">
        <v>0</v>
      </c>
      <c r="Y150" s="120">
        <v>0</v>
      </c>
      <c r="Z150" s="120">
        <v>0</v>
      </c>
      <c r="AA150" s="133">
        <v>0</v>
      </c>
      <c r="AB150" s="17">
        <v>0</v>
      </c>
      <c r="AC150" s="17">
        <v>0</v>
      </c>
      <c r="AD150" s="133">
        <v>0</v>
      </c>
      <c r="AE150" s="133">
        <v>0</v>
      </c>
      <c r="AF150" s="17">
        <v>0</v>
      </c>
      <c r="AG150" s="133">
        <v>0</v>
      </c>
      <c r="AH150" s="17">
        <v>0</v>
      </c>
      <c r="AI150" s="133">
        <v>0</v>
      </c>
      <c r="AJ150" s="133">
        <v>0</v>
      </c>
      <c r="AK150" s="17">
        <v>0</v>
      </c>
      <c r="AL150" s="137">
        <v>0</v>
      </c>
      <c r="AM150" s="509">
        <v>51.2</v>
      </c>
      <c r="AN150" s="89"/>
      <c r="AO150" s="506">
        <v>56</v>
      </c>
      <c r="AP150" s="775">
        <v>40300</v>
      </c>
      <c r="AQ150" s="133" t="s">
        <v>138</v>
      </c>
      <c r="AR150" s="199">
        <v>76.2</v>
      </c>
      <c r="AS150" s="270"/>
      <c r="AT150" s="200">
        <v>406.4</v>
      </c>
      <c r="AU150" s="255">
        <f t="shared" si="13"/>
        <v>32.084210526315793</v>
      </c>
      <c r="AV150" s="509">
        <v>99</v>
      </c>
      <c r="AW150" s="257">
        <v>90</v>
      </c>
      <c r="AX150" s="514"/>
      <c r="AY150" s="258">
        <v>66</v>
      </c>
      <c r="AZ150" s="261"/>
      <c r="BA150" s="195">
        <v>50</v>
      </c>
      <c r="BB150" s="259"/>
      <c r="BC150" s="196"/>
      <c r="BD150" s="197"/>
      <c r="BE150" s="197"/>
      <c r="BF150" s="198"/>
      <c r="BG150" s="27"/>
      <c r="BH150" s="27"/>
    </row>
    <row r="151" spans="1:60">
      <c r="A151" s="95">
        <v>150</v>
      </c>
      <c r="B151" s="96" t="s">
        <v>2609</v>
      </c>
      <c r="C151" s="73" t="s">
        <v>141</v>
      </c>
      <c r="D151" s="257" t="s">
        <v>119</v>
      </c>
      <c r="E151" s="459" t="s">
        <v>3377</v>
      </c>
      <c r="F151" s="258">
        <v>1975</v>
      </c>
      <c r="G151" s="192">
        <v>69</v>
      </c>
      <c r="H151" s="193" t="s">
        <v>1738</v>
      </c>
      <c r="I151" s="194" t="s">
        <v>1743</v>
      </c>
      <c r="J151" s="508">
        <v>0.42499999999999999</v>
      </c>
      <c r="K151" s="513">
        <v>4.6449999999999996</v>
      </c>
      <c r="L151" s="169"/>
      <c r="M151" s="506">
        <v>404</v>
      </c>
      <c r="N151" s="506"/>
      <c r="O151" s="509" t="s">
        <v>120</v>
      </c>
      <c r="P151" s="507"/>
      <c r="Q151" s="262"/>
      <c r="R151" s="512" t="s">
        <v>2729</v>
      </c>
      <c r="S151" s="507"/>
      <c r="T151" s="507"/>
      <c r="U151" s="512" t="s">
        <v>2307</v>
      </c>
      <c r="V151" s="131">
        <v>0</v>
      </c>
      <c r="W151" s="132">
        <v>0</v>
      </c>
      <c r="X151" s="120">
        <v>0</v>
      </c>
      <c r="Y151" s="120">
        <v>0</v>
      </c>
      <c r="Z151" s="120">
        <v>0</v>
      </c>
      <c r="AA151" s="133">
        <v>0</v>
      </c>
      <c r="AB151" s="17">
        <v>0</v>
      </c>
      <c r="AC151" s="17">
        <v>0</v>
      </c>
      <c r="AD151" s="133">
        <v>0</v>
      </c>
      <c r="AE151" s="133">
        <v>0</v>
      </c>
      <c r="AF151" s="17">
        <v>0</v>
      </c>
      <c r="AG151" s="133">
        <v>0</v>
      </c>
      <c r="AH151" s="17">
        <v>0</v>
      </c>
      <c r="AI151" s="133">
        <v>0</v>
      </c>
      <c r="AJ151" s="133">
        <v>0</v>
      </c>
      <c r="AK151" s="17">
        <v>0</v>
      </c>
      <c r="AL151" s="137">
        <v>0</v>
      </c>
      <c r="AM151" s="509">
        <v>51.2</v>
      </c>
      <c r="AN151" s="89"/>
      <c r="AO151" s="506">
        <v>56</v>
      </c>
      <c r="AP151" s="775">
        <v>40300</v>
      </c>
      <c r="AQ151" s="133" t="s">
        <v>138</v>
      </c>
      <c r="AR151" s="199">
        <v>76.2</v>
      </c>
      <c r="AS151" s="270"/>
      <c r="AT151" s="200">
        <v>406.4</v>
      </c>
      <c r="AU151" s="255">
        <f t="shared" si="13"/>
        <v>32.084210526315793</v>
      </c>
      <c r="AV151" s="509">
        <v>99</v>
      </c>
      <c r="AW151" s="257">
        <v>90</v>
      </c>
      <c r="AX151" s="514"/>
      <c r="AY151" s="258">
        <v>66</v>
      </c>
      <c r="AZ151" s="261"/>
      <c r="BA151" s="195">
        <v>50</v>
      </c>
      <c r="BB151" s="259"/>
      <c r="BC151" s="196"/>
      <c r="BD151" s="197"/>
      <c r="BE151" s="197"/>
      <c r="BF151" s="198"/>
      <c r="BG151" s="27"/>
      <c r="BH151" s="27"/>
    </row>
    <row r="152" spans="1:60">
      <c r="A152" s="95">
        <v>151</v>
      </c>
      <c r="B152" s="96" t="s">
        <v>2610</v>
      </c>
      <c r="C152" s="73" t="s">
        <v>141</v>
      </c>
      <c r="D152" s="257" t="s">
        <v>119</v>
      </c>
      <c r="E152" s="459" t="s">
        <v>3377</v>
      </c>
      <c r="F152" s="258">
        <v>1975</v>
      </c>
      <c r="G152" s="192">
        <v>69</v>
      </c>
      <c r="H152" s="193" t="s">
        <v>1738</v>
      </c>
      <c r="I152" s="194" t="s">
        <v>1739</v>
      </c>
      <c r="J152" s="508">
        <v>0.434</v>
      </c>
      <c r="K152" s="513">
        <v>3.6709999999999998</v>
      </c>
      <c r="L152" s="169"/>
      <c r="M152" s="506">
        <v>460.1</v>
      </c>
      <c r="N152" s="506"/>
      <c r="O152" s="509" t="s">
        <v>120</v>
      </c>
      <c r="P152" s="507"/>
      <c r="Q152" s="262"/>
      <c r="R152" s="506" t="s">
        <v>2728</v>
      </c>
      <c r="S152" s="507"/>
      <c r="T152" s="507"/>
      <c r="U152" s="506" t="s">
        <v>2512</v>
      </c>
      <c r="V152" s="131">
        <v>0</v>
      </c>
      <c r="W152" s="132">
        <v>0</v>
      </c>
      <c r="X152" s="120">
        <v>0</v>
      </c>
      <c r="Y152" s="120">
        <v>0</v>
      </c>
      <c r="Z152" s="120">
        <v>0</v>
      </c>
      <c r="AA152" s="133">
        <v>0</v>
      </c>
      <c r="AB152" s="17">
        <v>0</v>
      </c>
      <c r="AC152" s="17">
        <v>0</v>
      </c>
      <c r="AD152" s="133">
        <v>0</v>
      </c>
      <c r="AE152" s="133">
        <v>0</v>
      </c>
      <c r="AF152" s="17">
        <v>0</v>
      </c>
      <c r="AG152" s="133">
        <v>0</v>
      </c>
      <c r="AH152" s="17">
        <v>0</v>
      </c>
      <c r="AI152" s="133">
        <v>0</v>
      </c>
      <c r="AJ152" s="133">
        <v>0</v>
      </c>
      <c r="AK152" s="17">
        <v>0</v>
      </c>
      <c r="AL152" s="137">
        <v>0</v>
      </c>
      <c r="AM152" s="509">
        <v>46.1</v>
      </c>
      <c r="AN152" s="89"/>
      <c r="AO152" s="192">
        <v>54</v>
      </c>
      <c r="AP152" s="775">
        <v>21600</v>
      </c>
      <c r="AQ152" s="133" t="s">
        <v>138</v>
      </c>
      <c r="AR152" s="199">
        <v>76.2</v>
      </c>
      <c r="AS152" s="270"/>
      <c r="AT152" s="200">
        <v>406.4</v>
      </c>
      <c r="AU152" s="255">
        <f t="shared" si="13"/>
        <v>32.084210526315793</v>
      </c>
      <c r="AV152" s="509">
        <v>100</v>
      </c>
      <c r="AW152" s="257">
        <v>90</v>
      </c>
      <c r="AX152" s="514"/>
      <c r="AY152" s="258">
        <v>23</v>
      </c>
      <c r="AZ152" s="261"/>
      <c r="BA152" s="195">
        <v>99</v>
      </c>
      <c r="BB152" s="259"/>
      <c r="BC152" s="196"/>
      <c r="BD152" s="197"/>
      <c r="BE152" s="197"/>
      <c r="BF152" s="198"/>
      <c r="BG152" s="27"/>
      <c r="BH152" s="27"/>
    </row>
    <row r="153" spans="1:60">
      <c r="A153" s="95">
        <v>152</v>
      </c>
      <c r="B153" s="96" t="s">
        <v>2611</v>
      </c>
      <c r="C153" s="73" t="s">
        <v>141</v>
      </c>
      <c r="D153" s="257" t="s">
        <v>119</v>
      </c>
      <c r="E153" s="459" t="s">
        <v>3377</v>
      </c>
      <c r="F153" s="258">
        <v>1975</v>
      </c>
      <c r="G153" s="192">
        <v>69</v>
      </c>
      <c r="H153" s="193" t="s">
        <v>1738</v>
      </c>
      <c r="I153" s="194" t="s">
        <v>1739</v>
      </c>
      <c r="J153" s="508">
        <v>0.434</v>
      </c>
      <c r="K153" s="513">
        <v>3.6709999999999998</v>
      </c>
      <c r="L153" s="169"/>
      <c r="M153" s="506">
        <v>460.1</v>
      </c>
      <c r="N153" s="506"/>
      <c r="O153" s="509" t="s">
        <v>120</v>
      </c>
      <c r="P153" s="507"/>
      <c r="Q153" s="262"/>
      <c r="R153" s="506" t="s">
        <v>2728</v>
      </c>
      <c r="S153" s="507"/>
      <c r="T153" s="507"/>
      <c r="U153" s="506" t="s">
        <v>2512</v>
      </c>
      <c r="V153" s="131">
        <v>0</v>
      </c>
      <c r="W153" s="132">
        <v>0</v>
      </c>
      <c r="X153" s="120">
        <v>0</v>
      </c>
      <c r="Y153" s="120">
        <v>0</v>
      </c>
      <c r="Z153" s="120">
        <v>0</v>
      </c>
      <c r="AA153" s="133">
        <v>0</v>
      </c>
      <c r="AB153" s="17">
        <v>0</v>
      </c>
      <c r="AC153" s="17">
        <v>0</v>
      </c>
      <c r="AD153" s="133">
        <v>0</v>
      </c>
      <c r="AE153" s="133">
        <v>0</v>
      </c>
      <c r="AF153" s="17">
        <v>0</v>
      </c>
      <c r="AG153" s="133">
        <v>0</v>
      </c>
      <c r="AH153" s="17">
        <v>0</v>
      </c>
      <c r="AI153" s="133">
        <v>0</v>
      </c>
      <c r="AJ153" s="133">
        <v>0</v>
      </c>
      <c r="AK153" s="17">
        <v>0</v>
      </c>
      <c r="AL153" s="137">
        <v>0</v>
      </c>
      <c r="AM153" s="509">
        <v>46.1</v>
      </c>
      <c r="AN153" s="89"/>
      <c r="AO153" s="192">
        <v>54</v>
      </c>
      <c r="AP153" s="775">
        <v>21600</v>
      </c>
      <c r="AQ153" s="133" t="s">
        <v>138</v>
      </c>
      <c r="AR153" s="199">
        <v>76.2</v>
      </c>
      <c r="AS153" s="270"/>
      <c r="AT153" s="200">
        <v>406.4</v>
      </c>
      <c r="AU153" s="255">
        <f t="shared" si="13"/>
        <v>32.084210526315793</v>
      </c>
      <c r="AV153" s="509">
        <v>100</v>
      </c>
      <c r="AW153" s="257">
        <v>90</v>
      </c>
      <c r="AX153" s="514"/>
      <c r="AY153" s="258">
        <v>23</v>
      </c>
      <c r="AZ153" s="261"/>
      <c r="BA153" s="195">
        <v>99</v>
      </c>
      <c r="BB153" s="259"/>
      <c r="BC153" s="196"/>
      <c r="BD153" s="197"/>
      <c r="BE153" s="197"/>
      <c r="BF153" s="198"/>
      <c r="BG153" s="27"/>
      <c r="BH153" s="27"/>
    </row>
    <row r="154" spans="1:60">
      <c r="A154" s="95">
        <v>153</v>
      </c>
      <c r="B154" s="96" t="s">
        <v>2612</v>
      </c>
      <c r="C154" s="73" t="s">
        <v>141</v>
      </c>
      <c r="D154" s="257" t="s">
        <v>119</v>
      </c>
      <c r="E154" s="459" t="s">
        <v>3377</v>
      </c>
      <c r="F154" s="258">
        <v>1975</v>
      </c>
      <c r="G154" s="192">
        <v>69</v>
      </c>
      <c r="H154" s="193" t="s">
        <v>1738</v>
      </c>
      <c r="I154" s="194" t="s">
        <v>1739</v>
      </c>
      <c r="J154" s="508">
        <v>0.434</v>
      </c>
      <c r="K154" s="513">
        <v>3.6709999999999998</v>
      </c>
      <c r="L154" s="169"/>
      <c r="M154" s="506">
        <v>460.1</v>
      </c>
      <c r="N154" s="506"/>
      <c r="O154" s="509" t="s">
        <v>120</v>
      </c>
      <c r="P154" s="507"/>
      <c r="Q154" s="262"/>
      <c r="R154" s="506" t="s">
        <v>2728</v>
      </c>
      <c r="S154" s="507"/>
      <c r="T154" s="507"/>
      <c r="U154" s="506" t="s">
        <v>2512</v>
      </c>
      <c r="V154" s="131">
        <v>0</v>
      </c>
      <c r="W154" s="132">
        <v>0</v>
      </c>
      <c r="X154" s="120">
        <v>0</v>
      </c>
      <c r="Y154" s="120">
        <v>0</v>
      </c>
      <c r="Z154" s="120">
        <v>0</v>
      </c>
      <c r="AA154" s="133">
        <v>0</v>
      </c>
      <c r="AB154" s="17">
        <v>0</v>
      </c>
      <c r="AC154" s="17">
        <v>0</v>
      </c>
      <c r="AD154" s="133">
        <v>0</v>
      </c>
      <c r="AE154" s="133">
        <v>0</v>
      </c>
      <c r="AF154" s="17">
        <v>0</v>
      </c>
      <c r="AG154" s="133">
        <v>0</v>
      </c>
      <c r="AH154" s="17">
        <v>0</v>
      </c>
      <c r="AI154" s="133">
        <v>0</v>
      </c>
      <c r="AJ154" s="133">
        <v>0</v>
      </c>
      <c r="AK154" s="17">
        <v>0</v>
      </c>
      <c r="AL154" s="137">
        <v>0</v>
      </c>
      <c r="AM154" s="509">
        <v>46.1</v>
      </c>
      <c r="AN154" s="89"/>
      <c r="AO154" s="192">
        <v>54</v>
      </c>
      <c r="AP154" s="775">
        <v>21200</v>
      </c>
      <c r="AQ154" s="133" t="s">
        <v>138</v>
      </c>
      <c r="AR154" s="199">
        <v>76.2</v>
      </c>
      <c r="AS154" s="270"/>
      <c r="AT154" s="200">
        <v>406.4</v>
      </c>
      <c r="AU154" s="255">
        <f t="shared" si="13"/>
        <v>32.084210526315793</v>
      </c>
      <c r="AV154" s="509">
        <v>100</v>
      </c>
      <c r="AW154" s="257">
        <v>90</v>
      </c>
      <c r="AX154" s="514"/>
      <c r="AY154" s="258">
        <v>66</v>
      </c>
      <c r="AZ154" s="261"/>
      <c r="BA154" s="195">
        <v>99</v>
      </c>
      <c r="BB154" s="259"/>
      <c r="BC154" s="196"/>
      <c r="BD154" s="197"/>
      <c r="BE154" s="197"/>
      <c r="BF154" s="198"/>
      <c r="BG154" s="27"/>
      <c r="BH154" s="27"/>
    </row>
    <row r="155" spans="1:60">
      <c r="A155" s="95">
        <v>154</v>
      </c>
      <c r="B155" s="96" t="s">
        <v>2613</v>
      </c>
      <c r="C155" s="73" t="s">
        <v>141</v>
      </c>
      <c r="D155" s="257" t="s">
        <v>119</v>
      </c>
      <c r="E155" s="459" t="s">
        <v>3377</v>
      </c>
      <c r="F155" s="258">
        <v>1975</v>
      </c>
      <c r="G155" s="192">
        <v>69</v>
      </c>
      <c r="H155" s="193" t="s">
        <v>1738</v>
      </c>
      <c r="I155" s="194" t="s">
        <v>1739</v>
      </c>
      <c r="J155" s="508">
        <v>0.434</v>
      </c>
      <c r="K155" s="513">
        <v>3.6709999999999998</v>
      </c>
      <c r="L155" s="169"/>
      <c r="M155" s="506">
        <v>460.1</v>
      </c>
      <c r="N155" s="506"/>
      <c r="O155" s="509" t="s">
        <v>120</v>
      </c>
      <c r="P155" s="507"/>
      <c r="Q155" s="262"/>
      <c r="R155" s="506" t="s">
        <v>2728</v>
      </c>
      <c r="S155" s="507"/>
      <c r="T155" s="507"/>
      <c r="U155" s="506" t="s">
        <v>2512</v>
      </c>
      <c r="V155" s="131">
        <v>0</v>
      </c>
      <c r="W155" s="132">
        <v>0</v>
      </c>
      <c r="X155" s="120">
        <v>0</v>
      </c>
      <c r="Y155" s="120">
        <v>0</v>
      </c>
      <c r="Z155" s="120">
        <v>0</v>
      </c>
      <c r="AA155" s="133">
        <v>0</v>
      </c>
      <c r="AB155" s="17">
        <v>0</v>
      </c>
      <c r="AC155" s="17">
        <v>0</v>
      </c>
      <c r="AD155" s="133">
        <v>0</v>
      </c>
      <c r="AE155" s="133">
        <v>0</v>
      </c>
      <c r="AF155" s="17">
        <v>0</v>
      </c>
      <c r="AG155" s="133">
        <v>0</v>
      </c>
      <c r="AH155" s="17">
        <v>0</v>
      </c>
      <c r="AI155" s="133">
        <v>0</v>
      </c>
      <c r="AJ155" s="133">
        <v>0</v>
      </c>
      <c r="AK155" s="17">
        <v>0</v>
      </c>
      <c r="AL155" s="137">
        <v>0</v>
      </c>
      <c r="AM155" s="509">
        <v>46.1</v>
      </c>
      <c r="AN155" s="89"/>
      <c r="AO155" s="192">
        <v>54</v>
      </c>
      <c r="AP155" s="775">
        <v>21200</v>
      </c>
      <c r="AQ155" s="133" t="s">
        <v>138</v>
      </c>
      <c r="AR155" s="199">
        <v>76.2</v>
      </c>
      <c r="AS155" s="270"/>
      <c r="AT155" s="200">
        <v>406.4</v>
      </c>
      <c r="AU155" s="255">
        <f t="shared" si="13"/>
        <v>32.084210526315793</v>
      </c>
      <c r="AV155" s="509">
        <v>100</v>
      </c>
      <c r="AW155" s="257">
        <v>90</v>
      </c>
      <c r="AX155" s="514"/>
      <c r="AY155" s="258">
        <v>66</v>
      </c>
      <c r="AZ155" s="261"/>
      <c r="BA155" s="195">
        <v>99</v>
      </c>
      <c r="BB155" s="259"/>
      <c r="BC155" s="196"/>
      <c r="BD155" s="197"/>
      <c r="BE155" s="197"/>
      <c r="BF155" s="198"/>
      <c r="BG155" s="27"/>
      <c r="BH155" s="27"/>
    </row>
    <row r="156" spans="1:60">
      <c r="A156" s="95">
        <v>155</v>
      </c>
      <c r="B156" s="96" t="s">
        <v>2614</v>
      </c>
      <c r="C156" s="73" t="s">
        <v>141</v>
      </c>
      <c r="D156" s="257" t="s">
        <v>119</v>
      </c>
      <c r="E156" s="459" t="s">
        <v>3377</v>
      </c>
      <c r="F156" s="258">
        <v>1975</v>
      </c>
      <c r="G156" s="192">
        <v>69</v>
      </c>
      <c r="H156" s="193" t="s">
        <v>1738</v>
      </c>
      <c r="I156" s="194" t="s">
        <v>1743</v>
      </c>
      <c r="J156" s="508">
        <v>0.434</v>
      </c>
      <c r="K156" s="513">
        <v>3.6709999999999998</v>
      </c>
      <c r="L156" s="169"/>
      <c r="M156" s="506">
        <v>460.1</v>
      </c>
      <c r="N156" s="506"/>
      <c r="O156" s="509" t="s">
        <v>120</v>
      </c>
      <c r="P156" s="507"/>
      <c r="Q156" s="262"/>
      <c r="R156" s="506" t="s">
        <v>2728</v>
      </c>
      <c r="S156" s="507"/>
      <c r="T156" s="507"/>
      <c r="U156" s="506" t="s">
        <v>2512</v>
      </c>
      <c r="V156" s="131">
        <v>0</v>
      </c>
      <c r="W156" s="132">
        <v>0</v>
      </c>
      <c r="X156" s="120">
        <v>0</v>
      </c>
      <c r="Y156" s="120">
        <v>0</v>
      </c>
      <c r="Z156" s="120">
        <v>0</v>
      </c>
      <c r="AA156" s="133">
        <v>0</v>
      </c>
      <c r="AB156" s="17">
        <v>0</v>
      </c>
      <c r="AC156" s="17">
        <v>0</v>
      </c>
      <c r="AD156" s="133">
        <v>0</v>
      </c>
      <c r="AE156" s="133">
        <v>0</v>
      </c>
      <c r="AF156" s="17">
        <v>0</v>
      </c>
      <c r="AG156" s="133">
        <v>0</v>
      </c>
      <c r="AH156" s="17">
        <v>0</v>
      </c>
      <c r="AI156" s="133">
        <v>0</v>
      </c>
      <c r="AJ156" s="133">
        <v>0</v>
      </c>
      <c r="AK156" s="17">
        <v>0</v>
      </c>
      <c r="AL156" s="137">
        <v>0</v>
      </c>
      <c r="AM156" s="509">
        <v>46.1</v>
      </c>
      <c r="AN156" s="89"/>
      <c r="AO156" s="192">
        <v>54</v>
      </c>
      <c r="AP156" s="775">
        <v>20000</v>
      </c>
      <c r="AQ156" s="133" t="s">
        <v>138</v>
      </c>
      <c r="AR156" s="199">
        <v>76.2</v>
      </c>
      <c r="AS156" s="270"/>
      <c r="AT156" s="200">
        <v>406.4</v>
      </c>
      <c r="AU156" s="255">
        <f t="shared" si="13"/>
        <v>32.084210526315793</v>
      </c>
      <c r="AV156" s="509">
        <v>99</v>
      </c>
      <c r="AW156" s="257">
        <v>90</v>
      </c>
      <c r="AX156" s="514"/>
      <c r="AY156" s="258">
        <v>23</v>
      </c>
      <c r="AZ156" s="261"/>
      <c r="BA156" s="195">
        <v>50</v>
      </c>
      <c r="BB156" s="259"/>
      <c r="BC156" s="196"/>
      <c r="BD156" s="197"/>
      <c r="BE156" s="197"/>
      <c r="BF156" s="198"/>
      <c r="BG156" s="27"/>
      <c r="BH156" s="27"/>
    </row>
    <row r="157" spans="1:60">
      <c r="A157" s="95">
        <v>156</v>
      </c>
      <c r="B157" s="96" t="s">
        <v>2615</v>
      </c>
      <c r="C157" s="73" t="s">
        <v>141</v>
      </c>
      <c r="D157" s="257" t="s">
        <v>119</v>
      </c>
      <c r="E157" s="459" t="s">
        <v>3377</v>
      </c>
      <c r="F157" s="258">
        <v>1975</v>
      </c>
      <c r="G157" s="192">
        <v>69</v>
      </c>
      <c r="H157" s="193" t="s">
        <v>1738</v>
      </c>
      <c r="I157" s="194" t="s">
        <v>1743</v>
      </c>
      <c r="J157" s="508">
        <v>0.434</v>
      </c>
      <c r="K157" s="513">
        <v>3.6709999999999998</v>
      </c>
      <c r="L157" s="169"/>
      <c r="M157" s="506">
        <v>460.1</v>
      </c>
      <c r="N157" s="506"/>
      <c r="O157" s="509" t="s">
        <v>120</v>
      </c>
      <c r="P157" s="507"/>
      <c r="Q157" s="262"/>
      <c r="R157" s="506" t="s">
        <v>2728</v>
      </c>
      <c r="S157" s="507"/>
      <c r="T157" s="507"/>
      <c r="U157" s="506" t="s">
        <v>2512</v>
      </c>
      <c r="V157" s="131">
        <v>0</v>
      </c>
      <c r="W157" s="132">
        <v>0</v>
      </c>
      <c r="X157" s="120">
        <v>0</v>
      </c>
      <c r="Y157" s="120">
        <v>0</v>
      </c>
      <c r="Z157" s="120">
        <v>0</v>
      </c>
      <c r="AA157" s="133">
        <v>0</v>
      </c>
      <c r="AB157" s="17">
        <v>0</v>
      </c>
      <c r="AC157" s="17">
        <v>0</v>
      </c>
      <c r="AD157" s="133">
        <v>0</v>
      </c>
      <c r="AE157" s="133">
        <v>0</v>
      </c>
      <c r="AF157" s="17">
        <v>0</v>
      </c>
      <c r="AG157" s="133">
        <v>0</v>
      </c>
      <c r="AH157" s="17">
        <v>0</v>
      </c>
      <c r="AI157" s="133">
        <v>0</v>
      </c>
      <c r="AJ157" s="133">
        <v>0</v>
      </c>
      <c r="AK157" s="17">
        <v>0</v>
      </c>
      <c r="AL157" s="137">
        <v>0</v>
      </c>
      <c r="AM157" s="509">
        <v>46.1</v>
      </c>
      <c r="AN157" s="89"/>
      <c r="AO157" s="192">
        <v>54</v>
      </c>
      <c r="AP157" s="775">
        <v>20000</v>
      </c>
      <c r="AQ157" s="133" t="s">
        <v>138</v>
      </c>
      <c r="AR157" s="199">
        <v>76.2</v>
      </c>
      <c r="AS157" s="270"/>
      <c r="AT157" s="200">
        <v>406.4</v>
      </c>
      <c r="AU157" s="255">
        <f t="shared" si="13"/>
        <v>32.084210526315793</v>
      </c>
      <c r="AV157" s="509">
        <v>99</v>
      </c>
      <c r="AW157" s="257">
        <v>90</v>
      </c>
      <c r="AX157" s="514"/>
      <c r="AY157" s="258">
        <v>23</v>
      </c>
      <c r="AZ157" s="261"/>
      <c r="BA157" s="195">
        <v>50</v>
      </c>
      <c r="BB157" s="259"/>
      <c r="BC157" s="196"/>
      <c r="BD157" s="197"/>
      <c r="BE157" s="197"/>
      <c r="BF157" s="198"/>
      <c r="BG157" s="27"/>
      <c r="BH157" s="27"/>
    </row>
    <row r="158" spans="1:60">
      <c r="A158" s="95">
        <v>157</v>
      </c>
      <c r="B158" s="96" t="s">
        <v>2616</v>
      </c>
      <c r="C158" s="73" t="s">
        <v>141</v>
      </c>
      <c r="D158" s="257" t="s">
        <v>119</v>
      </c>
      <c r="E158" s="459" t="s">
        <v>3377</v>
      </c>
      <c r="F158" s="258">
        <v>1975</v>
      </c>
      <c r="G158" s="192">
        <v>69</v>
      </c>
      <c r="H158" s="193" t="s">
        <v>1738</v>
      </c>
      <c r="I158" s="194" t="s">
        <v>1743</v>
      </c>
      <c r="J158" s="508">
        <v>0.434</v>
      </c>
      <c r="K158" s="513">
        <v>3.6709999999999998</v>
      </c>
      <c r="L158" s="169"/>
      <c r="M158" s="506">
        <v>460.1</v>
      </c>
      <c r="N158" s="506"/>
      <c r="O158" s="509" t="s">
        <v>120</v>
      </c>
      <c r="P158" s="507"/>
      <c r="Q158" s="262"/>
      <c r="R158" s="506" t="s">
        <v>2728</v>
      </c>
      <c r="S158" s="507"/>
      <c r="T158" s="507"/>
      <c r="U158" s="506" t="s">
        <v>2512</v>
      </c>
      <c r="V158" s="131">
        <v>0</v>
      </c>
      <c r="W158" s="132">
        <v>0</v>
      </c>
      <c r="X158" s="120">
        <v>0</v>
      </c>
      <c r="Y158" s="120">
        <v>0</v>
      </c>
      <c r="Z158" s="120">
        <v>0</v>
      </c>
      <c r="AA158" s="133">
        <v>0</v>
      </c>
      <c r="AB158" s="17">
        <v>0</v>
      </c>
      <c r="AC158" s="17">
        <v>0</v>
      </c>
      <c r="AD158" s="133">
        <v>0</v>
      </c>
      <c r="AE158" s="133">
        <v>0</v>
      </c>
      <c r="AF158" s="17">
        <v>0</v>
      </c>
      <c r="AG158" s="133">
        <v>0</v>
      </c>
      <c r="AH158" s="17">
        <v>0</v>
      </c>
      <c r="AI158" s="133">
        <v>0</v>
      </c>
      <c r="AJ158" s="133">
        <v>0</v>
      </c>
      <c r="AK158" s="17">
        <v>0</v>
      </c>
      <c r="AL158" s="137">
        <v>0</v>
      </c>
      <c r="AM158" s="509">
        <v>46.1</v>
      </c>
      <c r="AN158" s="89"/>
      <c r="AO158" s="192">
        <v>54</v>
      </c>
      <c r="AP158" s="775">
        <v>20500</v>
      </c>
      <c r="AQ158" s="133" t="s">
        <v>138</v>
      </c>
      <c r="AR158" s="199">
        <v>76.2</v>
      </c>
      <c r="AS158" s="270"/>
      <c r="AT158" s="200">
        <v>406.4</v>
      </c>
      <c r="AU158" s="255">
        <f t="shared" si="13"/>
        <v>32.084210526315793</v>
      </c>
      <c r="AV158" s="509">
        <v>99</v>
      </c>
      <c r="AW158" s="257">
        <v>90</v>
      </c>
      <c r="AX158" s="514"/>
      <c r="AY158" s="258">
        <v>66</v>
      </c>
      <c r="AZ158" s="261"/>
      <c r="BA158" s="195">
        <v>50</v>
      </c>
      <c r="BB158" s="259"/>
      <c r="BC158" s="196"/>
      <c r="BD158" s="197"/>
      <c r="BE158" s="197"/>
      <c r="BF158" s="198"/>
      <c r="BG158" s="27"/>
      <c r="BH158" s="27"/>
    </row>
    <row r="159" spans="1:60">
      <c r="A159" s="95">
        <v>158</v>
      </c>
      <c r="B159" s="96" t="s">
        <v>2617</v>
      </c>
      <c r="C159" s="73" t="s">
        <v>141</v>
      </c>
      <c r="D159" s="257" t="s">
        <v>119</v>
      </c>
      <c r="E159" s="459" t="s">
        <v>3377</v>
      </c>
      <c r="F159" s="258">
        <v>1975</v>
      </c>
      <c r="G159" s="192">
        <v>69</v>
      </c>
      <c r="H159" s="193" t="s">
        <v>1738</v>
      </c>
      <c r="I159" s="194" t="s">
        <v>1743</v>
      </c>
      <c r="J159" s="508">
        <v>0.434</v>
      </c>
      <c r="K159" s="513">
        <v>3.6709999999999998</v>
      </c>
      <c r="L159" s="169"/>
      <c r="M159" s="506">
        <v>460.1</v>
      </c>
      <c r="N159" s="506"/>
      <c r="O159" s="509" t="s">
        <v>120</v>
      </c>
      <c r="P159" s="507"/>
      <c r="Q159" s="262"/>
      <c r="R159" s="506" t="s">
        <v>2728</v>
      </c>
      <c r="S159" s="507"/>
      <c r="T159" s="507"/>
      <c r="U159" s="506" t="s">
        <v>2512</v>
      </c>
      <c r="V159" s="131">
        <v>0</v>
      </c>
      <c r="W159" s="132">
        <v>0</v>
      </c>
      <c r="X159" s="120">
        <v>0</v>
      </c>
      <c r="Y159" s="120">
        <v>0</v>
      </c>
      <c r="Z159" s="120">
        <v>0</v>
      </c>
      <c r="AA159" s="133">
        <v>0</v>
      </c>
      <c r="AB159" s="17">
        <v>0</v>
      </c>
      <c r="AC159" s="17">
        <v>0</v>
      </c>
      <c r="AD159" s="133">
        <v>0</v>
      </c>
      <c r="AE159" s="133">
        <v>0</v>
      </c>
      <c r="AF159" s="17">
        <v>0</v>
      </c>
      <c r="AG159" s="133">
        <v>0</v>
      </c>
      <c r="AH159" s="17">
        <v>0</v>
      </c>
      <c r="AI159" s="133">
        <v>0</v>
      </c>
      <c r="AJ159" s="133">
        <v>0</v>
      </c>
      <c r="AK159" s="17">
        <v>0</v>
      </c>
      <c r="AL159" s="137">
        <v>0</v>
      </c>
      <c r="AM159" s="509">
        <v>46.1</v>
      </c>
      <c r="AN159" s="89"/>
      <c r="AO159" s="192">
        <v>54</v>
      </c>
      <c r="AP159" s="775">
        <v>20500</v>
      </c>
      <c r="AQ159" s="133" t="s">
        <v>138</v>
      </c>
      <c r="AR159" s="199">
        <v>76.2</v>
      </c>
      <c r="AS159" s="270"/>
      <c r="AT159" s="200">
        <v>406.4</v>
      </c>
      <c r="AU159" s="255">
        <f t="shared" si="13"/>
        <v>32.084210526315793</v>
      </c>
      <c r="AV159" s="509">
        <v>99</v>
      </c>
      <c r="AW159" s="257">
        <v>90</v>
      </c>
      <c r="AX159" s="514"/>
      <c r="AY159" s="258">
        <v>66</v>
      </c>
      <c r="AZ159" s="261"/>
      <c r="BA159" s="195">
        <v>50</v>
      </c>
      <c r="BB159" s="259"/>
      <c r="BC159" s="176"/>
      <c r="BD159" s="177"/>
      <c r="BE159" s="177"/>
      <c r="BF159" s="178"/>
      <c r="BG159" s="27"/>
      <c r="BH159" s="27"/>
    </row>
    <row r="160" spans="1:60">
      <c r="A160" s="95">
        <v>159</v>
      </c>
      <c r="B160" s="96" t="s">
        <v>1588</v>
      </c>
      <c r="C160" s="73" t="s">
        <v>142</v>
      </c>
      <c r="D160" s="257" t="s">
        <v>119</v>
      </c>
      <c r="E160" s="459" t="s">
        <v>3377</v>
      </c>
      <c r="F160" s="258">
        <v>1976</v>
      </c>
      <c r="G160" s="192">
        <v>60</v>
      </c>
      <c r="H160" s="202" t="s">
        <v>1811</v>
      </c>
      <c r="I160" s="194" t="s">
        <v>1739</v>
      </c>
      <c r="J160" s="508">
        <v>0.38100000000000001</v>
      </c>
      <c r="K160" s="513">
        <v>4.3390000000000004</v>
      </c>
      <c r="L160" s="169"/>
      <c r="M160" s="506">
        <v>418.8</v>
      </c>
      <c r="N160" s="506"/>
      <c r="O160" s="509" t="s">
        <v>120</v>
      </c>
      <c r="P160" s="507"/>
      <c r="Q160" s="262"/>
      <c r="R160" s="507"/>
      <c r="S160" s="507"/>
      <c r="T160" s="192" t="s">
        <v>2306</v>
      </c>
      <c r="U160" s="506" t="s">
        <v>2530</v>
      </c>
      <c r="V160" s="131">
        <v>0</v>
      </c>
      <c r="W160" s="132">
        <v>0</v>
      </c>
      <c r="X160" s="120">
        <v>0</v>
      </c>
      <c r="Y160" s="120">
        <v>0</v>
      </c>
      <c r="Z160" s="120">
        <v>0</v>
      </c>
      <c r="AA160" s="133">
        <v>0</v>
      </c>
      <c r="AB160" s="17">
        <v>0</v>
      </c>
      <c r="AC160" s="17">
        <v>0</v>
      </c>
      <c r="AD160" s="133">
        <v>0</v>
      </c>
      <c r="AE160" s="133">
        <v>0</v>
      </c>
      <c r="AF160" s="17">
        <v>0</v>
      </c>
      <c r="AG160" s="133">
        <v>5.0000000000000001E-3</v>
      </c>
      <c r="AH160" s="17">
        <v>0</v>
      </c>
      <c r="AI160" s="133">
        <v>0</v>
      </c>
      <c r="AJ160" s="133">
        <v>0</v>
      </c>
      <c r="AK160" s="17">
        <v>0</v>
      </c>
      <c r="AL160" s="137">
        <v>0</v>
      </c>
      <c r="AM160" s="778">
        <v>43.3</v>
      </c>
      <c r="AN160" s="89"/>
      <c r="AO160" s="272"/>
      <c r="AP160" s="775">
        <v>40680</v>
      </c>
      <c r="AQ160" s="133" t="s">
        <v>138</v>
      </c>
      <c r="AR160" s="199">
        <v>76.2</v>
      </c>
      <c r="AS160" s="270"/>
      <c r="AT160" s="200">
        <v>406.4</v>
      </c>
      <c r="AU160" s="255">
        <f t="shared" ref="AU160:AU187" si="14">(AR160*AT160)/((2*AT160)+(2*AR160))</f>
        <v>32.084210526315793</v>
      </c>
      <c r="AV160" s="509">
        <v>100</v>
      </c>
      <c r="AW160" s="257">
        <v>1</v>
      </c>
      <c r="AX160" s="514"/>
      <c r="AY160" s="258">
        <v>23</v>
      </c>
      <c r="AZ160" s="261"/>
      <c r="BA160" s="203">
        <v>99</v>
      </c>
      <c r="BB160" s="259"/>
      <c r="BC160" s="196"/>
      <c r="BD160" s="204"/>
      <c r="BE160" s="204"/>
      <c r="BF160" s="198"/>
      <c r="BG160" s="28"/>
      <c r="BH160" s="28"/>
    </row>
    <row r="161" spans="1:60" ht="15" customHeight="1">
      <c r="A161" s="95">
        <v>160</v>
      </c>
      <c r="B161" s="96" t="s">
        <v>1587</v>
      </c>
      <c r="C161" s="73" t="s">
        <v>142</v>
      </c>
      <c r="D161" s="257" t="s">
        <v>119</v>
      </c>
      <c r="E161" s="459" t="s">
        <v>3377</v>
      </c>
      <c r="F161" s="258">
        <v>1976</v>
      </c>
      <c r="G161" s="192">
        <v>60</v>
      </c>
      <c r="H161" s="202" t="s">
        <v>1811</v>
      </c>
      <c r="I161" s="205" t="s">
        <v>1743</v>
      </c>
      <c r="J161" s="508">
        <v>0.38100000000000001</v>
      </c>
      <c r="K161" s="513">
        <v>4.3390000000000004</v>
      </c>
      <c r="L161" s="169"/>
      <c r="M161" s="506">
        <v>418.8</v>
      </c>
      <c r="N161" s="506"/>
      <c r="O161" s="509" t="s">
        <v>120</v>
      </c>
      <c r="P161" s="507"/>
      <c r="Q161" s="262"/>
      <c r="R161" s="507"/>
      <c r="S161" s="507"/>
      <c r="T161" s="192" t="s">
        <v>2306</v>
      </c>
      <c r="U161" s="506" t="s">
        <v>2530</v>
      </c>
      <c r="V161" s="131">
        <v>0</v>
      </c>
      <c r="W161" s="132">
        <v>0</v>
      </c>
      <c r="X161" s="120">
        <v>0</v>
      </c>
      <c r="Y161" s="120">
        <v>0</v>
      </c>
      <c r="Z161" s="120">
        <v>0</v>
      </c>
      <c r="AA161" s="133">
        <v>0</v>
      </c>
      <c r="AB161" s="17">
        <v>0</v>
      </c>
      <c r="AC161" s="17">
        <v>0</v>
      </c>
      <c r="AD161" s="133">
        <v>0</v>
      </c>
      <c r="AE161" s="133">
        <v>0</v>
      </c>
      <c r="AF161" s="17">
        <v>0</v>
      </c>
      <c r="AG161" s="133">
        <v>5.0000000000000001E-3</v>
      </c>
      <c r="AH161" s="17">
        <v>0</v>
      </c>
      <c r="AI161" s="133">
        <v>0</v>
      </c>
      <c r="AJ161" s="133">
        <v>0</v>
      </c>
      <c r="AK161" s="17">
        <v>0</v>
      </c>
      <c r="AL161" s="137">
        <v>0</v>
      </c>
      <c r="AM161" s="778">
        <v>45.92</v>
      </c>
      <c r="AN161" s="89"/>
      <c r="AO161" s="271">
        <v>45.92</v>
      </c>
      <c r="AP161" s="775">
        <v>41370</v>
      </c>
      <c r="AQ161" s="133" t="s">
        <v>138</v>
      </c>
      <c r="AR161" s="199">
        <v>76.2</v>
      </c>
      <c r="AS161" s="270"/>
      <c r="AT161" s="200">
        <v>406.4</v>
      </c>
      <c r="AU161" s="255">
        <f t="shared" si="14"/>
        <v>32.084210526315793</v>
      </c>
      <c r="AV161" s="509">
        <v>100</v>
      </c>
      <c r="AW161" s="257">
        <v>28</v>
      </c>
      <c r="AX161" s="514"/>
      <c r="AY161" s="258">
        <v>23</v>
      </c>
      <c r="AZ161" s="261"/>
      <c r="BA161" s="203">
        <v>50</v>
      </c>
      <c r="BB161" s="259"/>
      <c r="BC161" s="196"/>
      <c r="BD161" s="204"/>
      <c r="BE161" s="204"/>
      <c r="BF161" s="198"/>
      <c r="BG161" s="28"/>
      <c r="BH161" s="28"/>
    </row>
    <row r="162" spans="1:60">
      <c r="A162" s="95">
        <v>161</v>
      </c>
      <c r="B162" s="96" t="s">
        <v>1586</v>
      </c>
      <c r="C162" s="73" t="s">
        <v>142</v>
      </c>
      <c r="D162" s="257" t="s">
        <v>119</v>
      </c>
      <c r="E162" s="459" t="s">
        <v>3377</v>
      </c>
      <c r="F162" s="258">
        <v>1976</v>
      </c>
      <c r="G162" s="192">
        <v>60</v>
      </c>
      <c r="H162" s="202" t="s">
        <v>1811</v>
      </c>
      <c r="I162" s="194" t="s">
        <v>1739</v>
      </c>
      <c r="J162" s="508">
        <v>0.38400000000000001</v>
      </c>
      <c r="K162" s="513">
        <v>4.0289999999999999</v>
      </c>
      <c r="L162" s="169"/>
      <c r="M162" s="506">
        <v>448.5</v>
      </c>
      <c r="N162" s="506"/>
      <c r="O162" s="509" t="s">
        <v>120</v>
      </c>
      <c r="P162" s="507"/>
      <c r="Q162" s="262"/>
      <c r="R162" s="507"/>
      <c r="S162" s="507"/>
      <c r="T162" s="192" t="s">
        <v>2306</v>
      </c>
      <c r="U162" s="506" t="s">
        <v>2530</v>
      </c>
      <c r="V162" s="131">
        <v>0</v>
      </c>
      <c r="W162" s="132">
        <v>0</v>
      </c>
      <c r="X162" s="120">
        <v>0</v>
      </c>
      <c r="Y162" s="120">
        <v>0</v>
      </c>
      <c r="Z162" s="120">
        <v>0</v>
      </c>
      <c r="AA162" s="133">
        <v>0</v>
      </c>
      <c r="AB162" s="17">
        <v>0</v>
      </c>
      <c r="AC162" s="17">
        <v>0</v>
      </c>
      <c r="AD162" s="133">
        <v>0</v>
      </c>
      <c r="AE162" s="133">
        <v>0</v>
      </c>
      <c r="AF162" s="17">
        <v>0</v>
      </c>
      <c r="AG162" s="133">
        <v>0</v>
      </c>
      <c r="AH162" s="17">
        <v>0</v>
      </c>
      <c r="AI162" s="133">
        <v>0</v>
      </c>
      <c r="AJ162" s="133">
        <v>0</v>
      </c>
      <c r="AK162" s="17">
        <v>0</v>
      </c>
      <c r="AL162" s="137">
        <v>0</v>
      </c>
      <c r="AM162" s="778">
        <v>45.44</v>
      </c>
      <c r="AN162" s="89"/>
      <c r="AO162" s="272"/>
      <c r="AP162" s="775">
        <v>42750</v>
      </c>
      <c r="AQ162" s="133" t="s">
        <v>138</v>
      </c>
      <c r="AR162" s="199">
        <v>76.2</v>
      </c>
      <c r="AS162" s="270"/>
      <c r="AT162" s="200">
        <v>406.4</v>
      </c>
      <c r="AU162" s="255">
        <f t="shared" si="14"/>
        <v>32.084210526315793</v>
      </c>
      <c r="AV162" s="509">
        <v>100</v>
      </c>
      <c r="AW162" s="257">
        <v>1</v>
      </c>
      <c r="AX162" s="514"/>
      <c r="AY162" s="258">
        <v>23</v>
      </c>
      <c r="AZ162" s="261"/>
      <c r="BA162" s="203">
        <v>99</v>
      </c>
      <c r="BB162" s="259"/>
      <c r="BC162" s="196"/>
      <c r="BD162" s="204"/>
      <c r="BE162" s="204"/>
      <c r="BF162" s="198"/>
      <c r="BG162" s="28"/>
      <c r="BH162" s="28"/>
    </row>
    <row r="163" spans="1:60" ht="15" customHeight="1">
      <c r="A163" s="95">
        <v>162</v>
      </c>
      <c r="B163" s="96" t="s">
        <v>1585</v>
      </c>
      <c r="C163" s="73" t="s">
        <v>142</v>
      </c>
      <c r="D163" s="257" t="s">
        <v>119</v>
      </c>
      <c r="E163" s="459" t="s">
        <v>3377</v>
      </c>
      <c r="F163" s="258">
        <v>1976</v>
      </c>
      <c r="G163" s="192">
        <v>60</v>
      </c>
      <c r="H163" s="202" t="s">
        <v>1811</v>
      </c>
      <c r="I163" s="205" t="s">
        <v>1743</v>
      </c>
      <c r="J163" s="508">
        <v>0.38400000000000001</v>
      </c>
      <c r="K163" s="513">
        <v>4.0289999999999999</v>
      </c>
      <c r="L163" s="169"/>
      <c r="M163" s="506">
        <v>448.5</v>
      </c>
      <c r="N163" s="506"/>
      <c r="O163" s="509" t="s">
        <v>120</v>
      </c>
      <c r="P163" s="507"/>
      <c r="Q163" s="262"/>
      <c r="R163" s="507"/>
      <c r="S163" s="507"/>
      <c r="T163" s="192" t="s">
        <v>2306</v>
      </c>
      <c r="U163" s="506" t="s">
        <v>2530</v>
      </c>
      <c r="V163" s="131">
        <v>0</v>
      </c>
      <c r="W163" s="132">
        <v>0</v>
      </c>
      <c r="X163" s="120">
        <v>0</v>
      </c>
      <c r="Y163" s="120">
        <v>0</v>
      </c>
      <c r="Z163" s="120">
        <v>0</v>
      </c>
      <c r="AA163" s="133">
        <v>0</v>
      </c>
      <c r="AB163" s="17">
        <v>0</v>
      </c>
      <c r="AC163" s="17">
        <v>0</v>
      </c>
      <c r="AD163" s="133">
        <v>0</v>
      </c>
      <c r="AE163" s="133">
        <v>0</v>
      </c>
      <c r="AF163" s="17">
        <v>0</v>
      </c>
      <c r="AG163" s="133">
        <v>0</v>
      </c>
      <c r="AH163" s="17">
        <v>0</v>
      </c>
      <c r="AI163" s="133">
        <v>0</v>
      </c>
      <c r="AJ163" s="133">
        <v>0</v>
      </c>
      <c r="AK163" s="17">
        <v>0</v>
      </c>
      <c r="AL163" s="137">
        <v>0</v>
      </c>
      <c r="AM163" s="778">
        <v>45.23</v>
      </c>
      <c r="AN163" s="89"/>
      <c r="AO163" s="271">
        <v>45.23</v>
      </c>
      <c r="AP163" s="775">
        <v>43440</v>
      </c>
      <c r="AQ163" s="133" t="s">
        <v>138</v>
      </c>
      <c r="AR163" s="199">
        <v>76.2</v>
      </c>
      <c r="AS163" s="270"/>
      <c r="AT163" s="200">
        <v>406.4</v>
      </c>
      <c r="AU163" s="255">
        <f t="shared" si="14"/>
        <v>32.084210526315793</v>
      </c>
      <c r="AV163" s="509">
        <v>100</v>
      </c>
      <c r="AW163" s="257">
        <v>28</v>
      </c>
      <c r="AX163" s="514"/>
      <c r="AY163" s="258">
        <v>23</v>
      </c>
      <c r="AZ163" s="261"/>
      <c r="BA163" s="203">
        <v>50</v>
      </c>
      <c r="BB163" s="259"/>
      <c r="BC163" s="196"/>
      <c r="BD163" s="204"/>
      <c r="BE163" s="204"/>
      <c r="BF163" s="198"/>
      <c r="BG163" s="28"/>
      <c r="BH163" s="28"/>
    </row>
    <row r="164" spans="1:60">
      <c r="A164" s="95">
        <v>163</v>
      </c>
      <c r="B164" s="96" t="s">
        <v>1584</v>
      </c>
      <c r="C164" s="73" t="s">
        <v>142</v>
      </c>
      <c r="D164" s="257" t="s">
        <v>119</v>
      </c>
      <c r="E164" s="459" t="s">
        <v>3377</v>
      </c>
      <c r="F164" s="258">
        <v>1976</v>
      </c>
      <c r="G164" s="192">
        <v>60</v>
      </c>
      <c r="H164" s="202" t="s">
        <v>1811</v>
      </c>
      <c r="I164" s="194" t="s">
        <v>1739</v>
      </c>
      <c r="J164" s="508">
        <v>0.38100000000000001</v>
      </c>
      <c r="K164" s="513">
        <v>4.3390000000000004</v>
      </c>
      <c r="L164" s="169"/>
      <c r="M164" s="506">
        <v>418.8</v>
      </c>
      <c r="N164" s="506"/>
      <c r="O164" s="509" t="s">
        <v>120</v>
      </c>
      <c r="P164" s="507"/>
      <c r="Q164" s="262"/>
      <c r="R164" s="507"/>
      <c r="S164" s="507"/>
      <c r="T164" s="192" t="s">
        <v>2306</v>
      </c>
      <c r="U164" s="506" t="s">
        <v>2530</v>
      </c>
      <c r="V164" s="131">
        <v>0</v>
      </c>
      <c r="W164" s="132">
        <v>0</v>
      </c>
      <c r="X164" s="120">
        <v>0</v>
      </c>
      <c r="Y164" s="120">
        <v>0</v>
      </c>
      <c r="Z164" s="120">
        <v>0</v>
      </c>
      <c r="AA164" s="133">
        <v>0</v>
      </c>
      <c r="AB164" s="17">
        <v>0</v>
      </c>
      <c r="AC164" s="17">
        <v>0</v>
      </c>
      <c r="AD164" s="133">
        <v>0</v>
      </c>
      <c r="AE164" s="133">
        <v>0</v>
      </c>
      <c r="AF164" s="17">
        <v>0</v>
      </c>
      <c r="AG164" s="133">
        <v>5.0000000000000001E-3</v>
      </c>
      <c r="AH164" s="17">
        <v>0</v>
      </c>
      <c r="AI164" s="133">
        <v>0</v>
      </c>
      <c r="AJ164" s="133">
        <v>0</v>
      </c>
      <c r="AK164" s="17">
        <v>0</v>
      </c>
      <c r="AL164" s="137">
        <v>0</v>
      </c>
      <c r="AM164" s="778">
        <v>43.3</v>
      </c>
      <c r="AN164" s="89"/>
      <c r="AO164" s="271">
        <v>43.3</v>
      </c>
      <c r="AP164" s="775">
        <v>40680</v>
      </c>
      <c r="AQ164" s="133" t="s">
        <v>138</v>
      </c>
      <c r="AR164" s="199">
        <v>76.2</v>
      </c>
      <c r="AS164" s="270"/>
      <c r="AT164" s="200">
        <v>406.4</v>
      </c>
      <c r="AU164" s="255">
        <f t="shared" si="14"/>
        <v>32.084210526315793</v>
      </c>
      <c r="AV164" s="509">
        <v>100</v>
      </c>
      <c r="AW164" s="257">
        <v>28</v>
      </c>
      <c r="AX164" s="514"/>
      <c r="AY164" s="258">
        <v>43</v>
      </c>
      <c r="AZ164" s="261"/>
      <c r="BA164" s="203">
        <v>99</v>
      </c>
      <c r="BB164" s="259"/>
      <c r="BC164" s="196"/>
      <c r="BD164" s="204"/>
      <c r="BE164" s="204"/>
      <c r="BF164" s="198"/>
      <c r="BG164" s="28"/>
      <c r="BH164" s="28"/>
    </row>
    <row r="165" spans="1:60" ht="15" customHeight="1">
      <c r="A165" s="95">
        <v>164</v>
      </c>
      <c r="B165" s="96" t="s">
        <v>1583</v>
      </c>
      <c r="C165" s="73" t="s">
        <v>142</v>
      </c>
      <c r="D165" s="257" t="s">
        <v>119</v>
      </c>
      <c r="E165" s="459" t="s">
        <v>3377</v>
      </c>
      <c r="F165" s="258">
        <v>1976</v>
      </c>
      <c r="G165" s="192">
        <v>60</v>
      </c>
      <c r="H165" s="202" t="s">
        <v>1811</v>
      </c>
      <c r="I165" s="205" t="s">
        <v>1743</v>
      </c>
      <c r="J165" s="508">
        <v>0.38100000000000001</v>
      </c>
      <c r="K165" s="513">
        <v>4.3390000000000004</v>
      </c>
      <c r="L165" s="169"/>
      <c r="M165" s="506">
        <v>418.8</v>
      </c>
      <c r="N165" s="506"/>
      <c r="O165" s="509" t="s">
        <v>120</v>
      </c>
      <c r="P165" s="507"/>
      <c r="Q165" s="262"/>
      <c r="R165" s="507"/>
      <c r="S165" s="507"/>
      <c r="T165" s="192" t="s">
        <v>2306</v>
      </c>
      <c r="U165" s="506" t="s">
        <v>2530</v>
      </c>
      <c r="V165" s="131">
        <v>0</v>
      </c>
      <c r="W165" s="132">
        <v>0</v>
      </c>
      <c r="X165" s="120">
        <v>0</v>
      </c>
      <c r="Y165" s="120">
        <v>0</v>
      </c>
      <c r="Z165" s="120">
        <v>0</v>
      </c>
      <c r="AA165" s="133">
        <v>0</v>
      </c>
      <c r="AB165" s="17">
        <v>0</v>
      </c>
      <c r="AC165" s="17">
        <v>0</v>
      </c>
      <c r="AD165" s="133">
        <v>0</v>
      </c>
      <c r="AE165" s="133">
        <v>0</v>
      </c>
      <c r="AF165" s="17">
        <v>0</v>
      </c>
      <c r="AG165" s="133">
        <v>5.0000000000000001E-3</v>
      </c>
      <c r="AH165" s="17">
        <v>0</v>
      </c>
      <c r="AI165" s="133">
        <v>0</v>
      </c>
      <c r="AJ165" s="133">
        <v>0</v>
      </c>
      <c r="AK165" s="17">
        <v>0</v>
      </c>
      <c r="AL165" s="137">
        <v>0</v>
      </c>
      <c r="AM165" s="778">
        <v>45.92</v>
      </c>
      <c r="AN165" s="89"/>
      <c r="AO165" s="271">
        <v>45.92</v>
      </c>
      <c r="AP165" s="775">
        <v>41370</v>
      </c>
      <c r="AQ165" s="133" t="s">
        <v>138</v>
      </c>
      <c r="AR165" s="199">
        <v>76.2</v>
      </c>
      <c r="AS165" s="270"/>
      <c r="AT165" s="200">
        <v>406.4</v>
      </c>
      <c r="AU165" s="255">
        <f t="shared" si="14"/>
        <v>32.084210526315793</v>
      </c>
      <c r="AV165" s="509">
        <v>100</v>
      </c>
      <c r="AW165" s="257">
        <v>28</v>
      </c>
      <c r="AX165" s="514"/>
      <c r="AY165" s="258">
        <v>43</v>
      </c>
      <c r="AZ165" s="261"/>
      <c r="BA165" s="203">
        <v>10</v>
      </c>
      <c r="BB165" s="259"/>
      <c r="BC165" s="196"/>
      <c r="BD165" s="204"/>
      <c r="BE165" s="204"/>
      <c r="BF165" s="198"/>
      <c r="BG165" s="28"/>
      <c r="BH165" s="28"/>
    </row>
    <row r="166" spans="1:60">
      <c r="A166" s="95">
        <v>165</v>
      </c>
      <c r="B166" s="96" t="s">
        <v>1582</v>
      </c>
      <c r="C166" s="73" t="s">
        <v>142</v>
      </c>
      <c r="D166" s="257" t="s">
        <v>119</v>
      </c>
      <c r="E166" s="459" t="s">
        <v>3377</v>
      </c>
      <c r="F166" s="258">
        <v>1976</v>
      </c>
      <c r="G166" s="192">
        <v>60</v>
      </c>
      <c r="H166" s="202" t="s">
        <v>1811</v>
      </c>
      <c r="I166" s="194" t="s">
        <v>1739</v>
      </c>
      <c r="J166" s="508">
        <v>0.38400000000000001</v>
      </c>
      <c r="K166" s="513">
        <v>4.0289999999999999</v>
      </c>
      <c r="L166" s="169"/>
      <c r="M166" s="506">
        <v>448.5</v>
      </c>
      <c r="N166" s="506"/>
      <c r="O166" s="509" t="s">
        <v>120</v>
      </c>
      <c r="P166" s="507"/>
      <c r="Q166" s="262"/>
      <c r="R166" s="507"/>
      <c r="S166" s="507"/>
      <c r="T166" s="192" t="s">
        <v>2306</v>
      </c>
      <c r="U166" s="506" t="s">
        <v>2530</v>
      </c>
      <c r="V166" s="131">
        <v>0</v>
      </c>
      <c r="W166" s="132">
        <v>0</v>
      </c>
      <c r="X166" s="120">
        <v>0</v>
      </c>
      <c r="Y166" s="120">
        <v>0</v>
      </c>
      <c r="Z166" s="120">
        <v>0</v>
      </c>
      <c r="AA166" s="133">
        <v>0</v>
      </c>
      <c r="AB166" s="17">
        <v>0</v>
      </c>
      <c r="AC166" s="17">
        <v>0</v>
      </c>
      <c r="AD166" s="133">
        <v>0</v>
      </c>
      <c r="AE166" s="133">
        <v>0</v>
      </c>
      <c r="AF166" s="17">
        <v>0</v>
      </c>
      <c r="AG166" s="133">
        <v>0</v>
      </c>
      <c r="AH166" s="17">
        <v>0</v>
      </c>
      <c r="AI166" s="133">
        <v>0</v>
      </c>
      <c r="AJ166" s="133">
        <v>0</v>
      </c>
      <c r="AK166" s="17">
        <v>0</v>
      </c>
      <c r="AL166" s="137">
        <v>0</v>
      </c>
      <c r="AM166" s="778">
        <v>45.44</v>
      </c>
      <c r="AN166" s="89"/>
      <c r="AO166" s="271">
        <v>45.44</v>
      </c>
      <c r="AP166" s="775">
        <v>42750</v>
      </c>
      <c r="AQ166" s="133" t="s">
        <v>138</v>
      </c>
      <c r="AR166" s="199">
        <v>76.2</v>
      </c>
      <c r="AS166" s="270"/>
      <c r="AT166" s="200">
        <v>406.4</v>
      </c>
      <c r="AU166" s="255">
        <f t="shared" si="14"/>
        <v>32.084210526315793</v>
      </c>
      <c r="AV166" s="509">
        <v>100</v>
      </c>
      <c r="AW166" s="257">
        <v>28</v>
      </c>
      <c r="AX166" s="514"/>
      <c r="AY166" s="258">
        <v>43</v>
      </c>
      <c r="AZ166" s="261"/>
      <c r="BA166" s="203">
        <v>99</v>
      </c>
      <c r="BB166" s="259"/>
      <c r="BC166" s="196"/>
      <c r="BD166" s="204"/>
      <c r="BE166" s="204"/>
      <c r="BF166" s="198"/>
      <c r="BG166" s="28"/>
      <c r="BH166" s="28"/>
    </row>
    <row r="167" spans="1:60" ht="15" customHeight="1">
      <c r="A167" s="95">
        <v>166</v>
      </c>
      <c r="B167" s="96" t="s">
        <v>1581</v>
      </c>
      <c r="C167" s="73" t="s">
        <v>142</v>
      </c>
      <c r="D167" s="257" t="s">
        <v>119</v>
      </c>
      <c r="E167" s="459" t="s">
        <v>3377</v>
      </c>
      <c r="F167" s="258">
        <v>1976</v>
      </c>
      <c r="G167" s="192">
        <v>60</v>
      </c>
      <c r="H167" s="202" t="s">
        <v>1811</v>
      </c>
      <c r="I167" s="205" t="s">
        <v>1743</v>
      </c>
      <c r="J167" s="508">
        <v>0.38400000000000001</v>
      </c>
      <c r="K167" s="513">
        <v>4.0289999999999999</v>
      </c>
      <c r="L167" s="169"/>
      <c r="M167" s="506">
        <v>448.5</v>
      </c>
      <c r="N167" s="506"/>
      <c r="O167" s="509" t="s">
        <v>120</v>
      </c>
      <c r="P167" s="507"/>
      <c r="Q167" s="262"/>
      <c r="R167" s="507"/>
      <c r="S167" s="507"/>
      <c r="T167" s="192" t="s">
        <v>2306</v>
      </c>
      <c r="U167" s="506" t="s">
        <v>2530</v>
      </c>
      <c r="V167" s="131">
        <v>0</v>
      </c>
      <c r="W167" s="132">
        <v>0</v>
      </c>
      <c r="X167" s="120">
        <v>0</v>
      </c>
      <c r="Y167" s="120">
        <v>0</v>
      </c>
      <c r="Z167" s="120">
        <v>0</v>
      </c>
      <c r="AA167" s="133">
        <v>0</v>
      </c>
      <c r="AB167" s="17">
        <v>0</v>
      </c>
      <c r="AC167" s="17">
        <v>0</v>
      </c>
      <c r="AD167" s="133">
        <v>0</v>
      </c>
      <c r="AE167" s="133">
        <v>0</v>
      </c>
      <c r="AF167" s="17">
        <v>0</v>
      </c>
      <c r="AG167" s="133">
        <v>0</v>
      </c>
      <c r="AH167" s="17">
        <v>0</v>
      </c>
      <c r="AI167" s="133">
        <v>0</v>
      </c>
      <c r="AJ167" s="133">
        <v>0</v>
      </c>
      <c r="AK167" s="17">
        <v>0</v>
      </c>
      <c r="AL167" s="137">
        <v>0</v>
      </c>
      <c r="AM167" s="778">
        <v>45.23</v>
      </c>
      <c r="AN167" s="89"/>
      <c r="AO167" s="271">
        <v>45.23</v>
      </c>
      <c r="AP167" s="775">
        <v>43440</v>
      </c>
      <c r="AQ167" s="133" t="s">
        <v>138</v>
      </c>
      <c r="AR167" s="199">
        <v>76.2</v>
      </c>
      <c r="AS167" s="270"/>
      <c r="AT167" s="200">
        <v>406.4</v>
      </c>
      <c r="AU167" s="255">
        <f t="shared" si="14"/>
        <v>32.084210526315793</v>
      </c>
      <c r="AV167" s="509">
        <v>100</v>
      </c>
      <c r="AW167" s="257">
        <v>28</v>
      </c>
      <c r="AX167" s="514"/>
      <c r="AY167" s="258">
        <v>43</v>
      </c>
      <c r="AZ167" s="261"/>
      <c r="BA167" s="203">
        <v>10</v>
      </c>
      <c r="BB167" s="259"/>
      <c r="BC167" s="196"/>
      <c r="BD167" s="204"/>
      <c r="BE167" s="204"/>
      <c r="BF167" s="198"/>
      <c r="BG167" s="28"/>
      <c r="BH167" s="28"/>
    </row>
    <row r="168" spans="1:60">
      <c r="A168" s="95">
        <v>167</v>
      </c>
      <c r="B168" s="96" t="s">
        <v>1580</v>
      </c>
      <c r="C168" s="73" t="s">
        <v>142</v>
      </c>
      <c r="D168" s="257" t="s">
        <v>119</v>
      </c>
      <c r="E168" s="459" t="s">
        <v>3377</v>
      </c>
      <c r="F168" s="258">
        <v>1976</v>
      </c>
      <c r="G168" s="192">
        <v>60</v>
      </c>
      <c r="H168" s="202" t="s">
        <v>1811</v>
      </c>
      <c r="I168" s="194" t="s">
        <v>1739</v>
      </c>
      <c r="J168" s="508">
        <v>0.38100000000000001</v>
      </c>
      <c r="K168" s="513">
        <v>4.3390000000000004</v>
      </c>
      <c r="L168" s="169"/>
      <c r="M168" s="506">
        <v>418.8</v>
      </c>
      <c r="N168" s="506"/>
      <c r="O168" s="509" t="s">
        <v>120</v>
      </c>
      <c r="P168" s="507"/>
      <c r="Q168" s="262"/>
      <c r="R168" s="507"/>
      <c r="S168" s="507"/>
      <c r="T168" s="192" t="s">
        <v>2306</v>
      </c>
      <c r="U168" s="506" t="s">
        <v>2530</v>
      </c>
      <c r="V168" s="131">
        <v>0</v>
      </c>
      <c r="W168" s="132">
        <v>0</v>
      </c>
      <c r="X168" s="120">
        <v>0</v>
      </c>
      <c r="Y168" s="120">
        <v>0</v>
      </c>
      <c r="Z168" s="120">
        <v>0</v>
      </c>
      <c r="AA168" s="133">
        <v>0</v>
      </c>
      <c r="AB168" s="17">
        <v>0</v>
      </c>
      <c r="AC168" s="17">
        <v>0</v>
      </c>
      <c r="AD168" s="133">
        <v>0</v>
      </c>
      <c r="AE168" s="133">
        <v>0</v>
      </c>
      <c r="AF168" s="17">
        <v>0</v>
      </c>
      <c r="AG168" s="133">
        <v>5.0000000000000001E-3</v>
      </c>
      <c r="AH168" s="17">
        <v>0</v>
      </c>
      <c r="AI168" s="133">
        <v>0</v>
      </c>
      <c r="AJ168" s="133">
        <v>0</v>
      </c>
      <c r="AK168" s="17">
        <v>0</v>
      </c>
      <c r="AL168" s="137">
        <v>0</v>
      </c>
      <c r="AM168" s="778">
        <v>43.3</v>
      </c>
      <c r="AN168" s="89"/>
      <c r="AO168" s="271">
        <v>49.64</v>
      </c>
      <c r="AP168" s="775">
        <v>40680</v>
      </c>
      <c r="AQ168" s="133" t="s">
        <v>138</v>
      </c>
      <c r="AR168" s="199">
        <v>76.2</v>
      </c>
      <c r="AS168" s="270"/>
      <c r="AT168" s="200">
        <v>406.4</v>
      </c>
      <c r="AU168" s="255">
        <f t="shared" si="14"/>
        <v>32.084210526315793</v>
      </c>
      <c r="AV168" s="509">
        <v>100</v>
      </c>
      <c r="AW168" s="257">
        <v>90</v>
      </c>
      <c r="AX168" s="514"/>
      <c r="AY168" s="258">
        <v>43</v>
      </c>
      <c r="AZ168" s="261"/>
      <c r="BA168" s="203">
        <v>99</v>
      </c>
      <c r="BB168" s="259"/>
      <c r="BC168" s="196"/>
      <c r="BD168" s="204"/>
      <c r="BE168" s="204"/>
      <c r="BF168" s="198"/>
      <c r="BG168" s="28"/>
      <c r="BH168" s="28"/>
    </row>
    <row r="169" spans="1:60" ht="15" customHeight="1">
      <c r="A169" s="95">
        <v>168</v>
      </c>
      <c r="B169" s="96" t="s">
        <v>1579</v>
      </c>
      <c r="C169" s="73" t="s">
        <v>142</v>
      </c>
      <c r="D169" s="257" t="s">
        <v>119</v>
      </c>
      <c r="E169" s="459" t="s">
        <v>3377</v>
      </c>
      <c r="F169" s="258">
        <v>1976</v>
      </c>
      <c r="G169" s="192">
        <v>60</v>
      </c>
      <c r="H169" s="202" t="s">
        <v>1811</v>
      </c>
      <c r="I169" s="205" t="s">
        <v>1743</v>
      </c>
      <c r="J169" s="508">
        <v>0.38100000000000001</v>
      </c>
      <c r="K169" s="513">
        <v>4.3390000000000004</v>
      </c>
      <c r="L169" s="169"/>
      <c r="M169" s="506">
        <v>418.8</v>
      </c>
      <c r="N169" s="506"/>
      <c r="O169" s="509" t="s">
        <v>120</v>
      </c>
      <c r="P169" s="507"/>
      <c r="Q169" s="262"/>
      <c r="R169" s="507"/>
      <c r="S169" s="507"/>
      <c r="T169" s="192" t="s">
        <v>2306</v>
      </c>
      <c r="U169" s="506" t="s">
        <v>2530</v>
      </c>
      <c r="V169" s="131">
        <v>0</v>
      </c>
      <c r="W169" s="132">
        <v>0</v>
      </c>
      <c r="X169" s="120">
        <v>0</v>
      </c>
      <c r="Y169" s="120">
        <v>0</v>
      </c>
      <c r="Z169" s="120">
        <v>0</v>
      </c>
      <c r="AA169" s="133">
        <v>0</v>
      </c>
      <c r="AB169" s="17">
        <v>0</v>
      </c>
      <c r="AC169" s="17">
        <v>0</v>
      </c>
      <c r="AD169" s="133">
        <v>0</v>
      </c>
      <c r="AE169" s="133">
        <v>0</v>
      </c>
      <c r="AF169" s="17">
        <v>0</v>
      </c>
      <c r="AG169" s="133">
        <v>5.0000000000000001E-3</v>
      </c>
      <c r="AH169" s="17">
        <v>0</v>
      </c>
      <c r="AI169" s="133">
        <v>0</v>
      </c>
      <c r="AJ169" s="133">
        <v>0</v>
      </c>
      <c r="AK169" s="17">
        <v>0</v>
      </c>
      <c r="AL169" s="137">
        <v>0</v>
      </c>
      <c r="AM169" s="778">
        <v>45.92</v>
      </c>
      <c r="AN169" s="89"/>
      <c r="AO169" s="271">
        <v>55.36</v>
      </c>
      <c r="AP169" s="775">
        <v>41370</v>
      </c>
      <c r="AQ169" s="133" t="s">
        <v>138</v>
      </c>
      <c r="AR169" s="199">
        <v>76.2</v>
      </c>
      <c r="AS169" s="270"/>
      <c r="AT169" s="200">
        <v>406.4</v>
      </c>
      <c r="AU169" s="255">
        <f t="shared" si="14"/>
        <v>32.084210526315793</v>
      </c>
      <c r="AV169" s="509">
        <v>100</v>
      </c>
      <c r="AW169" s="257">
        <v>191</v>
      </c>
      <c r="AX169" s="514"/>
      <c r="AY169" s="258">
        <v>43</v>
      </c>
      <c r="AZ169" s="261"/>
      <c r="BA169" s="203">
        <v>10</v>
      </c>
      <c r="BB169" s="259"/>
      <c r="BC169" s="196"/>
      <c r="BD169" s="204"/>
      <c r="BE169" s="204"/>
      <c r="BF169" s="198"/>
      <c r="BG169" s="28"/>
      <c r="BH169" s="28"/>
    </row>
    <row r="170" spans="1:60">
      <c r="A170" s="95">
        <v>169</v>
      </c>
      <c r="B170" s="96" t="s">
        <v>1578</v>
      </c>
      <c r="C170" s="73" t="s">
        <v>142</v>
      </c>
      <c r="D170" s="257" t="s">
        <v>119</v>
      </c>
      <c r="E170" s="459" t="s">
        <v>3377</v>
      </c>
      <c r="F170" s="258">
        <v>1976</v>
      </c>
      <c r="G170" s="192">
        <v>60</v>
      </c>
      <c r="H170" s="202" t="s">
        <v>1811</v>
      </c>
      <c r="I170" s="194" t="s">
        <v>1739</v>
      </c>
      <c r="J170" s="508">
        <v>0.38400000000000001</v>
      </c>
      <c r="K170" s="513">
        <v>4.0289999999999999</v>
      </c>
      <c r="L170" s="169"/>
      <c r="M170" s="506">
        <v>448.5</v>
      </c>
      <c r="N170" s="506"/>
      <c r="O170" s="509" t="s">
        <v>120</v>
      </c>
      <c r="P170" s="507"/>
      <c r="Q170" s="262"/>
      <c r="R170" s="507"/>
      <c r="S170" s="507"/>
      <c r="T170" s="192" t="s">
        <v>2306</v>
      </c>
      <c r="U170" s="506" t="s">
        <v>2530</v>
      </c>
      <c r="V170" s="131">
        <v>0</v>
      </c>
      <c r="W170" s="132">
        <v>0</v>
      </c>
      <c r="X170" s="120">
        <v>0</v>
      </c>
      <c r="Y170" s="120">
        <v>0</v>
      </c>
      <c r="Z170" s="120">
        <v>0</v>
      </c>
      <c r="AA170" s="133">
        <v>0</v>
      </c>
      <c r="AB170" s="17">
        <v>0</v>
      </c>
      <c r="AC170" s="17">
        <v>0</v>
      </c>
      <c r="AD170" s="133">
        <v>0</v>
      </c>
      <c r="AE170" s="133">
        <v>0</v>
      </c>
      <c r="AF170" s="17">
        <v>0</v>
      </c>
      <c r="AG170" s="133">
        <v>0</v>
      </c>
      <c r="AH170" s="17">
        <v>0</v>
      </c>
      <c r="AI170" s="133">
        <v>0</v>
      </c>
      <c r="AJ170" s="133">
        <v>0</v>
      </c>
      <c r="AK170" s="17">
        <v>0</v>
      </c>
      <c r="AL170" s="137">
        <v>0</v>
      </c>
      <c r="AM170" s="778">
        <v>45.44</v>
      </c>
      <c r="AN170" s="89"/>
      <c r="AO170" s="271">
        <v>51.78</v>
      </c>
      <c r="AP170" s="775">
        <v>42750</v>
      </c>
      <c r="AQ170" s="133" t="s">
        <v>138</v>
      </c>
      <c r="AR170" s="199">
        <v>76.2</v>
      </c>
      <c r="AS170" s="270"/>
      <c r="AT170" s="200">
        <v>406.4</v>
      </c>
      <c r="AU170" s="255">
        <f t="shared" si="14"/>
        <v>32.084210526315793</v>
      </c>
      <c r="AV170" s="509">
        <v>100</v>
      </c>
      <c r="AW170" s="257">
        <v>90</v>
      </c>
      <c r="AX170" s="514"/>
      <c r="AY170" s="258">
        <v>43</v>
      </c>
      <c r="AZ170" s="261"/>
      <c r="BA170" s="203">
        <v>99</v>
      </c>
      <c r="BB170" s="259"/>
      <c r="BC170" s="196"/>
      <c r="BD170" s="204"/>
      <c r="BE170" s="204"/>
      <c r="BF170" s="198"/>
      <c r="BG170" s="28"/>
      <c r="BH170" s="28"/>
    </row>
    <row r="171" spans="1:60" ht="15" customHeight="1">
      <c r="A171" s="95">
        <v>170</v>
      </c>
      <c r="B171" s="96" t="s">
        <v>1577</v>
      </c>
      <c r="C171" s="73" t="s">
        <v>142</v>
      </c>
      <c r="D171" s="257" t="s">
        <v>119</v>
      </c>
      <c r="E171" s="459" t="s">
        <v>3377</v>
      </c>
      <c r="F171" s="258">
        <v>1976</v>
      </c>
      <c r="G171" s="192">
        <v>60</v>
      </c>
      <c r="H171" s="202" t="s">
        <v>1811</v>
      </c>
      <c r="I171" s="205" t="s">
        <v>1743</v>
      </c>
      <c r="J171" s="508">
        <v>0.38400000000000001</v>
      </c>
      <c r="K171" s="513">
        <v>4.0289999999999999</v>
      </c>
      <c r="L171" s="169"/>
      <c r="M171" s="506">
        <v>448.5</v>
      </c>
      <c r="N171" s="506"/>
      <c r="O171" s="509" t="s">
        <v>120</v>
      </c>
      <c r="P171" s="507"/>
      <c r="Q171" s="262"/>
      <c r="R171" s="507"/>
      <c r="S171" s="507"/>
      <c r="T171" s="192" t="s">
        <v>2306</v>
      </c>
      <c r="U171" s="506" t="s">
        <v>2530</v>
      </c>
      <c r="V171" s="131">
        <v>0</v>
      </c>
      <c r="W171" s="132">
        <v>0</v>
      </c>
      <c r="X171" s="120">
        <v>0</v>
      </c>
      <c r="Y171" s="120">
        <v>0</v>
      </c>
      <c r="Z171" s="120">
        <v>0</v>
      </c>
      <c r="AA171" s="133">
        <v>0</v>
      </c>
      <c r="AB171" s="17">
        <v>0</v>
      </c>
      <c r="AC171" s="17">
        <v>0</v>
      </c>
      <c r="AD171" s="133">
        <v>0</v>
      </c>
      <c r="AE171" s="133">
        <v>0</v>
      </c>
      <c r="AF171" s="17">
        <v>0</v>
      </c>
      <c r="AG171" s="133">
        <v>0</v>
      </c>
      <c r="AH171" s="17">
        <v>0</v>
      </c>
      <c r="AI171" s="133">
        <v>0</v>
      </c>
      <c r="AJ171" s="133">
        <v>0</v>
      </c>
      <c r="AK171" s="17">
        <v>0</v>
      </c>
      <c r="AL171" s="137">
        <v>0</v>
      </c>
      <c r="AM171" s="778">
        <v>45.23</v>
      </c>
      <c r="AN171" s="89"/>
      <c r="AO171" s="271">
        <v>54.88</v>
      </c>
      <c r="AP171" s="775">
        <v>43440</v>
      </c>
      <c r="AQ171" s="133" t="s">
        <v>138</v>
      </c>
      <c r="AR171" s="199">
        <v>76.2</v>
      </c>
      <c r="AS171" s="270"/>
      <c r="AT171" s="200">
        <v>406.4</v>
      </c>
      <c r="AU171" s="255">
        <f t="shared" si="14"/>
        <v>32.084210526315793</v>
      </c>
      <c r="AV171" s="509">
        <v>100</v>
      </c>
      <c r="AW171" s="257">
        <v>90</v>
      </c>
      <c r="AX171" s="514"/>
      <c r="AY171" s="258">
        <v>43</v>
      </c>
      <c r="AZ171" s="261"/>
      <c r="BA171" s="203">
        <v>10</v>
      </c>
      <c r="BB171" s="259"/>
      <c r="BC171" s="196"/>
      <c r="BD171" s="204"/>
      <c r="BE171" s="204"/>
      <c r="BF171" s="198"/>
      <c r="BG171" s="28"/>
      <c r="BH171" s="28"/>
    </row>
    <row r="172" spans="1:60">
      <c r="A172" s="95">
        <v>171</v>
      </c>
      <c r="B172" s="96" t="s">
        <v>1576</v>
      </c>
      <c r="C172" s="73" t="s">
        <v>142</v>
      </c>
      <c r="D172" s="257" t="s">
        <v>119</v>
      </c>
      <c r="E172" s="459" t="s">
        <v>3377</v>
      </c>
      <c r="F172" s="258">
        <v>1976</v>
      </c>
      <c r="G172" s="192">
        <v>60</v>
      </c>
      <c r="H172" s="202" t="s">
        <v>1811</v>
      </c>
      <c r="I172" s="194" t="s">
        <v>1739</v>
      </c>
      <c r="J172" s="508">
        <v>0.38100000000000001</v>
      </c>
      <c r="K172" s="513">
        <v>4.3390000000000004</v>
      </c>
      <c r="L172" s="169"/>
      <c r="M172" s="506">
        <v>418.8</v>
      </c>
      <c r="N172" s="506"/>
      <c r="O172" s="509" t="s">
        <v>120</v>
      </c>
      <c r="P172" s="507"/>
      <c r="Q172" s="262"/>
      <c r="R172" s="507"/>
      <c r="S172" s="507"/>
      <c r="T172" s="192" t="s">
        <v>2306</v>
      </c>
      <c r="U172" s="506" t="s">
        <v>2530</v>
      </c>
      <c r="V172" s="131">
        <v>0</v>
      </c>
      <c r="W172" s="132">
        <v>0</v>
      </c>
      <c r="X172" s="120">
        <v>0</v>
      </c>
      <c r="Y172" s="120">
        <v>0</v>
      </c>
      <c r="Z172" s="120">
        <v>0</v>
      </c>
      <c r="AA172" s="133">
        <v>0</v>
      </c>
      <c r="AB172" s="17">
        <v>0</v>
      </c>
      <c r="AC172" s="17">
        <v>0</v>
      </c>
      <c r="AD172" s="133">
        <v>0</v>
      </c>
      <c r="AE172" s="133">
        <v>0</v>
      </c>
      <c r="AF172" s="17">
        <v>0</v>
      </c>
      <c r="AG172" s="133">
        <v>5.0000000000000001E-3</v>
      </c>
      <c r="AH172" s="17">
        <v>0</v>
      </c>
      <c r="AI172" s="133">
        <v>0</v>
      </c>
      <c r="AJ172" s="133">
        <v>0</v>
      </c>
      <c r="AK172" s="17">
        <v>0</v>
      </c>
      <c r="AL172" s="137">
        <v>0</v>
      </c>
      <c r="AM172" s="778">
        <v>43.3</v>
      </c>
      <c r="AN172" s="89"/>
      <c r="AO172" s="271">
        <v>56.54</v>
      </c>
      <c r="AP172" s="775">
        <v>40680</v>
      </c>
      <c r="AQ172" s="133" t="s">
        <v>138</v>
      </c>
      <c r="AR172" s="199">
        <v>76.2</v>
      </c>
      <c r="AS172" s="270"/>
      <c r="AT172" s="200">
        <v>406.4</v>
      </c>
      <c r="AU172" s="255">
        <f t="shared" si="14"/>
        <v>32.084210526315793</v>
      </c>
      <c r="AV172" s="509">
        <v>100</v>
      </c>
      <c r="AW172" s="257">
        <v>270</v>
      </c>
      <c r="AX172" s="514"/>
      <c r="AY172" s="258">
        <v>43</v>
      </c>
      <c r="AZ172" s="261"/>
      <c r="BA172" s="203">
        <v>99</v>
      </c>
      <c r="BB172" s="259"/>
      <c r="BC172" s="196"/>
      <c r="BD172" s="204"/>
      <c r="BE172" s="204"/>
      <c r="BF172" s="198"/>
      <c r="BG172" s="28"/>
      <c r="BH172" s="28"/>
    </row>
    <row r="173" spans="1:60" ht="15" customHeight="1">
      <c r="A173" s="95">
        <v>172</v>
      </c>
      <c r="B173" s="96" t="s">
        <v>1575</v>
      </c>
      <c r="C173" s="73" t="s">
        <v>142</v>
      </c>
      <c r="D173" s="257" t="s">
        <v>119</v>
      </c>
      <c r="E173" s="459" t="s">
        <v>3377</v>
      </c>
      <c r="F173" s="258">
        <v>1976</v>
      </c>
      <c r="G173" s="192">
        <v>60</v>
      </c>
      <c r="H173" s="202" t="s">
        <v>1811</v>
      </c>
      <c r="I173" s="205" t="s">
        <v>1743</v>
      </c>
      <c r="J173" s="508">
        <v>0.38100000000000001</v>
      </c>
      <c r="K173" s="513">
        <v>4.3390000000000004</v>
      </c>
      <c r="L173" s="169"/>
      <c r="M173" s="506">
        <v>418.8</v>
      </c>
      <c r="N173" s="506"/>
      <c r="O173" s="509" t="s">
        <v>120</v>
      </c>
      <c r="P173" s="507"/>
      <c r="Q173" s="262"/>
      <c r="R173" s="507"/>
      <c r="S173" s="507"/>
      <c r="T173" s="192" t="s">
        <v>2306</v>
      </c>
      <c r="U173" s="506" t="s">
        <v>2530</v>
      </c>
      <c r="V173" s="131">
        <v>0</v>
      </c>
      <c r="W173" s="132">
        <v>0</v>
      </c>
      <c r="X173" s="120">
        <v>0</v>
      </c>
      <c r="Y173" s="120">
        <v>0</v>
      </c>
      <c r="Z173" s="120">
        <v>0</v>
      </c>
      <c r="AA173" s="133">
        <v>0</v>
      </c>
      <c r="AB173" s="17">
        <v>0</v>
      </c>
      <c r="AC173" s="17">
        <v>0</v>
      </c>
      <c r="AD173" s="133">
        <v>0</v>
      </c>
      <c r="AE173" s="133">
        <v>0</v>
      </c>
      <c r="AF173" s="17">
        <v>0</v>
      </c>
      <c r="AG173" s="133">
        <v>5.0000000000000001E-3</v>
      </c>
      <c r="AH173" s="17">
        <v>0</v>
      </c>
      <c r="AI173" s="133">
        <v>0</v>
      </c>
      <c r="AJ173" s="133">
        <v>0</v>
      </c>
      <c r="AK173" s="17">
        <v>0</v>
      </c>
      <c r="AL173" s="137">
        <v>0</v>
      </c>
      <c r="AM173" s="778">
        <v>45.92</v>
      </c>
      <c r="AN173" s="89"/>
      <c r="AO173" s="271">
        <v>61.36</v>
      </c>
      <c r="AP173" s="775">
        <v>41370</v>
      </c>
      <c r="AQ173" s="133" t="s">
        <v>138</v>
      </c>
      <c r="AR173" s="199">
        <v>76.2</v>
      </c>
      <c r="AS173" s="270"/>
      <c r="AT173" s="200">
        <v>406.4</v>
      </c>
      <c r="AU173" s="255">
        <f t="shared" si="14"/>
        <v>32.084210526315793</v>
      </c>
      <c r="AV173" s="509">
        <v>100</v>
      </c>
      <c r="AW173" s="257">
        <v>270</v>
      </c>
      <c r="AX173" s="514"/>
      <c r="AY173" s="258">
        <v>43</v>
      </c>
      <c r="AZ173" s="261"/>
      <c r="BA173" s="203">
        <v>10</v>
      </c>
      <c r="BB173" s="259"/>
      <c r="BC173" s="196"/>
      <c r="BD173" s="204"/>
      <c r="BE173" s="204"/>
      <c r="BF173" s="198"/>
      <c r="BG173" s="28"/>
      <c r="BH173" s="28"/>
    </row>
    <row r="174" spans="1:60">
      <c r="A174" s="95">
        <v>173</v>
      </c>
      <c r="B174" s="96" t="s">
        <v>1574</v>
      </c>
      <c r="C174" s="73" t="s">
        <v>142</v>
      </c>
      <c r="D174" s="257" t="s">
        <v>119</v>
      </c>
      <c r="E174" s="459" t="s">
        <v>3377</v>
      </c>
      <c r="F174" s="258">
        <v>1976</v>
      </c>
      <c r="G174" s="192">
        <v>60</v>
      </c>
      <c r="H174" s="202" t="s">
        <v>1811</v>
      </c>
      <c r="I174" s="194" t="s">
        <v>1739</v>
      </c>
      <c r="J174" s="508">
        <v>0.38400000000000001</v>
      </c>
      <c r="K174" s="513">
        <v>4.0289999999999999</v>
      </c>
      <c r="L174" s="169"/>
      <c r="M174" s="506">
        <v>448.5</v>
      </c>
      <c r="N174" s="506"/>
      <c r="O174" s="509" t="s">
        <v>120</v>
      </c>
      <c r="P174" s="507"/>
      <c r="Q174" s="262"/>
      <c r="R174" s="507"/>
      <c r="S174" s="507"/>
      <c r="T174" s="192" t="s">
        <v>2306</v>
      </c>
      <c r="U174" s="506" t="s">
        <v>2530</v>
      </c>
      <c r="V174" s="131">
        <v>0</v>
      </c>
      <c r="W174" s="132">
        <v>0</v>
      </c>
      <c r="X174" s="120">
        <v>0</v>
      </c>
      <c r="Y174" s="120">
        <v>0</v>
      </c>
      <c r="Z174" s="120">
        <v>0</v>
      </c>
      <c r="AA174" s="133">
        <v>0</v>
      </c>
      <c r="AB174" s="17">
        <v>0</v>
      </c>
      <c r="AC174" s="17">
        <v>0</v>
      </c>
      <c r="AD174" s="133">
        <v>0</v>
      </c>
      <c r="AE174" s="133">
        <v>0</v>
      </c>
      <c r="AF174" s="17">
        <v>0</v>
      </c>
      <c r="AG174" s="133">
        <v>0</v>
      </c>
      <c r="AH174" s="17">
        <v>0</v>
      </c>
      <c r="AI174" s="133">
        <v>0</v>
      </c>
      <c r="AJ174" s="133">
        <v>0</v>
      </c>
      <c r="AK174" s="17">
        <v>0</v>
      </c>
      <c r="AL174" s="137">
        <v>0</v>
      </c>
      <c r="AM174" s="778">
        <v>45.44</v>
      </c>
      <c r="AN174" s="89"/>
      <c r="AO174" s="271">
        <v>56.67</v>
      </c>
      <c r="AP174" s="775">
        <v>42750</v>
      </c>
      <c r="AQ174" s="133" t="s">
        <v>138</v>
      </c>
      <c r="AR174" s="199">
        <v>76.2</v>
      </c>
      <c r="AS174" s="270"/>
      <c r="AT174" s="200">
        <v>406.4</v>
      </c>
      <c r="AU174" s="255">
        <f t="shared" si="14"/>
        <v>32.084210526315793</v>
      </c>
      <c r="AV174" s="509">
        <v>100</v>
      </c>
      <c r="AW174" s="257">
        <v>270</v>
      </c>
      <c r="AX174" s="514"/>
      <c r="AY174" s="258">
        <v>43</v>
      </c>
      <c r="AZ174" s="261"/>
      <c r="BA174" s="203">
        <v>99</v>
      </c>
      <c r="BB174" s="259"/>
      <c r="BC174" s="196"/>
      <c r="BD174" s="204"/>
      <c r="BE174" s="204"/>
      <c r="BF174" s="198"/>
      <c r="BG174" s="28"/>
      <c r="BH174" s="28"/>
    </row>
    <row r="175" spans="1:60" ht="15" customHeight="1">
      <c r="A175" s="95">
        <v>174</v>
      </c>
      <c r="B175" s="96" t="s">
        <v>1573</v>
      </c>
      <c r="C175" s="73" t="s">
        <v>142</v>
      </c>
      <c r="D175" s="257" t="s">
        <v>119</v>
      </c>
      <c r="E175" s="459" t="s">
        <v>3377</v>
      </c>
      <c r="F175" s="258">
        <v>1976</v>
      </c>
      <c r="G175" s="192">
        <v>60</v>
      </c>
      <c r="H175" s="202" t="s">
        <v>1811</v>
      </c>
      <c r="I175" s="205" t="s">
        <v>1743</v>
      </c>
      <c r="J175" s="508">
        <v>0.38400000000000001</v>
      </c>
      <c r="K175" s="513">
        <v>4.0289999999999999</v>
      </c>
      <c r="L175" s="169"/>
      <c r="M175" s="506">
        <v>448.5</v>
      </c>
      <c r="N175" s="506"/>
      <c r="O175" s="509" t="s">
        <v>120</v>
      </c>
      <c r="P175" s="507"/>
      <c r="Q175" s="262"/>
      <c r="R175" s="507"/>
      <c r="S175" s="507"/>
      <c r="T175" s="192" t="s">
        <v>2306</v>
      </c>
      <c r="U175" s="506" t="s">
        <v>2530</v>
      </c>
      <c r="V175" s="131">
        <v>0</v>
      </c>
      <c r="W175" s="132">
        <v>0</v>
      </c>
      <c r="X175" s="120">
        <v>0</v>
      </c>
      <c r="Y175" s="120">
        <v>0</v>
      </c>
      <c r="Z175" s="120">
        <v>0</v>
      </c>
      <c r="AA175" s="133">
        <v>0</v>
      </c>
      <c r="AB175" s="17">
        <v>0</v>
      </c>
      <c r="AC175" s="17">
        <v>0</v>
      </c>
      <c r="AD175" s="133">
        <v>0</v>
      </c>
      <c r="AE175" s="133">
        <v>0</v>
      </c>
      <c r="AF175" s="17">
        <v>0</v>
      </c>
      <c r="AG175" s="133">
        <v>0</v>
      </c>
      <c r="AH175" s="17">
        <v>0</v>
      </c>
      <c r="AI175" s="133">
        <v>0</v>
      </c>
      <c r="AJ175" s="133">
        <v>0</v>
      </c>
      <c r="AK175" s="17">
        <v>0</v>
      </c>
      <c r="AL175" s="137">
        <v>0</v>
      </c>
      <c r="AM175" s="778">
        <v>45.23</v>
      </c>
      <c r="AN175" s="89"/>
      <c r="AO175" s="271">
        <v>58.12</v>
      </c>
      <c r="AP175" s="775">
        <v>43440</v>
      </c>
      <c r="AQ175" s="133" t="s">
        <v>138</v>
      </c>
      <c r="AR175" s="199">
        <v>76.2</v>
      </c>
      <c r="AS175" s="270"/>
      <c r="AT175" s="200">
        <v>406.4</v>
      </c>
      <c r="AU175" s="255">
        <f t="shared" si="14"/>
        <v>32.084210526315793</v>
      </c>
      <c r="AV175" s="509">
        <v>100</v>
      </c>
      <c r="AW175" s="257">
        <v>270</v>
      </c>
      <c r="AX175" s="514"/>
      <c r="AY175" s="258">
        <v>43</v>
      </c>
      <c r="AZ175" s="261"/>
      <c r="BA175" s="203">
        <v>10</v>
      </c>
      <c r="BB175" s="259"/>
      <c r="BC175" s="176"/>
      <c r="BD175" s="179"/>
      <c r="BE175" s="179"/>
      <c r="BF175" s="178"/>
      <c r="BG175" s="27"/>
      <c r="BH175" s="27"/>
    </row>
    <row r="176" spans="1:60">
      <c r="A176" s="95">
        <v>175</v>
      </c>
      <c r="B176" s="96" t="s">
        <v>1572</v>
      </c>
      <c r="C176" s="73" t="s">
        <v>142</v>
      </c>
      <c r="D176" s="257" t="s">
        <v>119</v>
      </c>
      <c r="E176" s="459" t="s">
        <v>3377</v>
      </c>
      <c r="F176" s="258">
        <v>1976</v>
      </c>
      <c r="G176" s="192">
        <v>60</v>
      </c>
      <c r="H176" s="202" t="s">
        <v>1811</v>
      </c>
      <c r="I176" s="194" t="s">
        <v>1739</v>
      </c>
      <c r="J176" s="508">
        <v>0.38100000000000001</v>
      </c>
      <c r="K176" s="513">
        <v>4.3390000000000004</v>
      </c>
      <c r="L176" s="169"/>
      <c r="M176" s="506">
        <v>418.8</v>
      </c>
      <c r="N176" s="506"/>
      <c r="O176" s="509" t="s">
        <v>120</v>
      </c>
      <c r="P176" s="507"/>
      <c r="Q176" s="262"/>
      <c r="R176" s="507"/>
      <c r="S176" s="507"/>
      <c r="T176" s="192" t="s">
        <v>2306</v>
      </c>
      <c r="U176" s="506" t="s">
        <v>2530</v>
      </c>
      <c r="V176" s="131">
        <v>0</v>
      </c>
      <c r="W176" s="132">
        <v>0</v>
      </c>
      <c r="X176" s="120">
        <v>0</v>
      </c>
      <c r="Y176" s="120">
        <v>0</v>
      </c>
      <c r="Z176" s="120">
        <v>0</v>
      </c>
      <c r="AA176" s="133">
        <v>0</v>
      </c>
      <c r="AB176" s="17">
        <v>0</v>
      </c>
      <c r="AC176" s="17">
        <v>0</v>
      </c>
      <c r="AD176" s="133">
        <v>0</v>
      </c>
      <c r="AE176" s="133">
        <v>0</v>
      </c>
      <c r="AF176" s="17">
        <v>0</v>
      </c>
      <c r="AG176" s="133">
        <v>5.0000000000000001E-3</v>
      </c>
      <c r="AH176" s="17">
        <v>0</v>
      </c>
      <c r="AI176" s="133">
        <v>0</v>
      </c>
      <c r="AJ176" s="133">
        <v>0</v>
      </c>
      <c r="AK176" s="17">
        <v>0</v>
      </c>
      <c r="AL176" s="137">
        <v>0</v>
      </c>
      <c r="AM176" s="778">
        <v>43.3</v>
      </c>
      <c r="AN176" s="89"/>
      <c r="AO176" s="271">
        <v>43.3</v>
      </c>
      <c r="AP176" s="775">
        <v>40680</v>
      </c>
      <c r="AQ176" s="133" t="s">
        <v>138</v>
      </c>
      <c r="AR176" s="199">
        <v>76.2</v>
      </c>
      <c r="AS176" s="270"/>
      <c r="AT176" s="200">
        <v>406.4</v>
      </c>
      <c r="AU176" s="255">
        <f t="shared" si="14"/>
        <v>32.084210526315793</v>
      </c>
      <c r="AV176" s="509">
        <v>100</v>
      </c>
      <c r="AW176" s="257">
        <v>28</v>
      </c>
      <c r="AX176" s="514"/>
      <c r="AY176" s="258">
        <v>71</v>
      </c>
      <c r="AZ176" s="261"/>
      <c r="BA176" s="203">
        <v>99</v>
      </c>
      <c r="BB176" s="259"/>
      <c r="BC176" s="176"/>
      <c r="BD176" s="177"/>
      <c r="BE176" s="177"/>
      <c r="BF176" s="178"/>
      <c r="BG176" s="27"/>
      <c r="BH176" s="27"/>
    </row>
    <row r="177" spans="1:60" ht="15" customHeight="1">
      <c r="A177" s="95">
        <v>176</v>
      </c>
      <c r="B177" s="96" t="s">
        <v>1571</v>
      </c>
      <c r="C177" s="73" t="s">
        <v>142</v>
      </c>
      <c r="D177" s="257" t="s">
        <v>119</v>
      </c>
      <c r="E177" s="459" t="s">
        <v>3377</v>
      </c>
      <c r="F177" s="258">
        <v>1976</v>
      </c>
      <c r="G177" s="192">
        <v>60</v>
      </c>
      <c r="H177" s="202" t="s">
        <v>1811</v>
      </c>
      <c r="I177" s="205" t="s">
        <v>1743</v>
      </c>
      <c r="J177" s="508">
        <v>0.38100000000000001</v>
      </c>
      <c r="K177" s="513">
        <v>4.3390000000000004</v>
      </c>
      <c r="L177" s="169"/>
      <c r="M177" s="506">
        <v>418.8</v>
      </c>
      <c r="N177" s="506"/>
      <c r="O177" s="509" t="s">
        <v>120</v>
      </c>
      <c r="P177" s="507"/>
      <c r="Q177" s="262"/>
      <c r="R177" s="507"/>
      <c r="S177" s="507"/>
      <c r="T177" s="192" t="s">
        <v>2306</v>
      </c>
      <c r="U177" s="506" t="s">
        <v>2530</v>
      </c>
      <c r="V177" s="131">
        <v>0</v>
      </c>
      <c r="W177" s="132">
        <v>0</v>
      </c>
      <c r="X177" s="120">
        <v>0</v>
      </c>
      <c r="Y177" s="120">
        <v>0</v>
      </c>
      <c r="Z177" s="120">
        <v>0</v>
      </c>
      <c r="AA177" s="133">
        <v>0</v>
      </c>
      <c r="AB177" s="17">
        <v>0</v>
      </c>
      <c r="AC177" s="17">
        <v>0</v>
      </c>
      <c r="AD177" s="133">
        <v>0</v>
      </c>
      <c r="AE177" s="133">
        <v>0</v>
      </c>
      <c r="AF177" s="17">
        <v>0</v>
      </c>
      <c r="AG177" s="133">
        <v>5.0000000000000001E-3</v>
      </c>
      <c r="AH177" s="17">
        <v>0</v>
      </c>
      <c r="AI177" s="133">
        <v>0</v>
      </c>
      <c r="AJ177" s="133">
        <v>0</v>
      </c>
      <c r="AK177" s="17">
        <v>0</v>
      </c>
      <c r="AL177" s="137">
        <v>0</v>
      </c>
      <c r="AM177" s="778">
        <v>45.92</v>
      </c>
      <c r="AN177" s="89"/>
      <c r="AO177" s="271">
        <v>45.92</v>
      </c>
      <c r="AP177" s="775">
        <v>41370</v>
      </c>
      <c r="AQ177" s="133" t="s">
        <v>138</v>
      </c>
      <c r="AR177" s="199">
        <v>76.2</v>
      </c>
      <c r="AS177" s="270"/>
      <c r="AT177" s="200">
        <v>406.4</v>
      </c>
      <c r="AU177" s="255">
        <f t="shared" si="14"/>
        <v>32.084210526315793</v>
      </c>
      <c r="AV177" s="509">
        <v>100</v>
      </c>
      <c r="AW177" s="257">
        <v>28</v>
      </c>
      <c r="AX177" s="514"/>
      <c r="AY177" s="258">
        <v>71</v>
      </c>
      <c r="AZ177" s="261"/>
      <c r="BA177" s="203">
        <v>10</v>
      </c>
      <c r="BB177" s="259"/>
      <c r="BC177" s="176"/>
      <c r="BD177" s="177"/>
      <c r="BE177" s="177"/>
      <c r="BF177" s="178"/>
      <c r="BG177" s="27"/>
      <c r="BH177" s="27"/>
    </row>
    <row r="178" spans="1:60">
      <c r="A178" s="95">
        <v>177</v>
      </c>
      <c r="B178" s="96" t="s">
        <v>1570</v>
      </c>
      <c r="C178" s="73" t="s">
        <v>142</v>
      </c>
      <c r="D178" s="257" t="s">
        <v>119</v>
      </c>
      <c r="E178" s="459" t="s">
        <v>3377</v>
      </c>
      <c r="F178" s="258">
        <v>1976</v>
      </c>
      <c r="G178" s="192">
        <v>60</v>
      </c>
      <c r="H178" s="202" t="s">
        <v>1811</v>
      </c>
      <c r="I178" s="194" t="s">
        <v>1739</v>
      </c>
      <c r="J178" s="508">
        <v>0.38400000000000001</v>
      </c>
      <c r="K178" s="513">
        <v>4.0289999999999999</v>
      </c>
      <c r="L178" s="169"/>
      <c r="M178" s="506">
        <v>448.5</v>
      </c>
      <c r="N178" s="506"/>
      <c r="O178" s="509" t="s">
        <v>120</v>
      </c>
      <c r="P178" s="507"/>
      <c r="Q178" s="262"/>
      <c r="R178" s="507"/>
      <c r="S178" s="507"/>
      <c r="T178" s="192" t="s">
        <v>2306</v>
      </c>
      <c r="U178" s="506" t="s">
        <v>2530</v>
      </c>
      <c r="V178" s="131">
        <v>0</v>
      </c>
      <c r="W178" s="132">
        <v>0</v>
      </c>
      <c r="X178" s="120">
        <v>0</v>
      </c>
      <c r="Y178" s="120">
        <v>0</v>
      </c>
      <c r="Z178" s="120">
        <v>0</v>
      </c>
      <c r="AA178" s="133">
        <v>0</v>
      </c>
      <c r="AB178" s="17">
        <v>0</v>
      </c>
      <c r="AC178" s="17">
        <v>0</v>
      </c>
      <c r="AD178" s="133">
        <v>0</v>
      </c>
      <c r="AE178" s="133">
        <v>0</v>
      </c>
      <c r="AF178" s="17">
        <v>0</v>
      </c>
      <c r="AG178" s="133">
        <v>0</v>
      </c>
      <c r="AH178" s="17">
        <v>0</v>
      </c>
      <c r="AI178" s="133">
        <v>0</v>
      </c>
      <c r="AJ178" s="133">
        <v>0</v>
      </c>
      <c r="AK178" s="17">
        <v>0</v>
      </c>
      <c r="AL178" s="137">
        <v>0</v>
      </c>
      <c r="AM178" s="778">
        <v>45.44</v>
      </c>
      <c r="AN178" s="89"/>
      <c r="AO178" s="271">
        <v>45.44</v>
      </c>
      <c r="AP178" s="775">
        <v>42750</v>
      </c>
      <c r="AQ178" s="133" t="s">
        <v>138</v>
      </c>
      <c r="AR178" s="199">
        <v>76.2</v>
      </c>
      <c r="AS178" s="270"/>
      <c r="AT178" s="200">
        <v>406.4</v>
      </c>
      <c r="AU178" s="255">
        <f t="shared" si="14"/>
        <v>32.084210526315793</v>
      </c>
      <c r="AV178" s="509">
        <v>100</v>
      </c>
      <c r="AW178" s="257">
        <v>28</v>
      </c>
      <c r="AX178" s="514"/>
      <c r="AY178" s="258">
        <v>71</v>
      </c>
      <c r="AZ178" s="261"/>
      <c r="BA178" s="203">
        <v>99</v>
      </c>
      <c r="BB178" s="259"/>
      <c r="BC178" s="176"/>
      <c r="BD178" s="177"/>
      <c r="BE178" s="177"/>
      <c r="BF178" s="178"/>
      <c r="BG178" s="27"/>
      <c r="BH178" s="27"/>
    </row>
    <row r="179" spans="1:60" ht="15" customHeight="1">
      <c r="A179" s="95">
        <v>178</v>
      </c>
      <c r="B179" s="96" t="s">
        <v>1569</v>
      </c>
      <c r="C179" s="73" t="s">
        <v>142</v>
      </c>
      <c r="D179" s="257" t="s">
        <v>119</v>
      </c>
      <c r="E179" s="459" t="s">
        <v>3377</v>
      </c>
      <c r="F179" s="258">
        <v>1976</v>
      </c>
      <c r="G179" s="192">
        <v>60</v>
      </c>
      <c r="H179" s="202" t="s">
        <v>1811</v>
      </c>
      <c r="I179" s="205" t="s">
        <v>1743</v>
      </c>
      <c r="J179" s="508">
        <v>0.38400000000000001</v>
      </c>
      <c r="K179" s="513">
        <v>4.0289999999999999</v>
      </c>
      <c r="L179" s="169"/>
      <c r="M179" s="506">
        <v>448.5</v>
      </c>
      <c r="N179" s="506"/>
      <c r="O179" s="509" t="s">
        <v>120</v>
      </c>
      <c r="P179" s="507"/>
      <c r="Q179" s="262"/>
      <c r="R179" s="507"/>
      <c r="S179" s="507"/>
      <c r="T179" s="192" t="s">
        <v>2306</v>
      </c>
      <c r="U179" s="506" t="s">
        <v>2530</v>
      </c>
      <c r="V179" s="131">
        <v>0</v>
      </c>
      <c r="W179" s="132">
        <v>0</v>
      </c>
      <c r="X179" s="120">
        <v>0</v>
      </c>
      <c r="Y179" s="120">
        <v>0</v>
      </c>
      <c r="Z179" s="120">
        <v>0</v>
      </c>
      <c r="AA179" s="133">
        <v>0</v>
      </c>
      <c r="AB179" s="17">
        <v>0</v>
      </c>
      <c r="AC179" s="17">
        <v>0</v>
      </c>
      <c r="AD179" s="133">
        <v>0</v>
      </c>
      <c r="AE179" s="133">
        <v>0</v>
      </c>
      <c r="AF179" s="17">
        <v>0</v>
      </c>
      <c r="AG179" s="133">
        <v>0</v>
      </c>
      <c r="AH179" s="17">
        <v>0</v>
      </c>
      <c r="AI179" s="133">
        <v>0</v>
      </c>
      <c r="AJ179" s="133">
        <v>0</v>
      </c>
      <c r="AK179" s="17">
        <v>0</v>
      </c>
      <c r="AL179" s="137">
        <v>0</v>
      </c>
      <c r="AM179" s="778">
        <v>45.23</v>
      </c>
      <c r="AN179" s="89"/>
      <c r="AO179" s="271">
        <v>45.23</v>
      </c>
      <c r="AP179" s="775">
        <v>43440</v>
      </c>
      <c r="AQ179" s="133" t="s">
        <v>138</v>
      </c>
      <c r="AR179" s="199">
        <v>76.2</v>
      </c>
      <c r="AS179" s="270"/>
      <c r="AT179" s="200">
        <v>406.4</v>
      </c>
      <c r="AU179" s="255">
        <f t="shared" si="14"/>
        <v>32.084210526315793</v>
      </c>
      <c r="AV179" s="509">
        <v>100</v>
      </c>
      <c r="AW179" s="257">
        <v>28</v>
      </c>
      <c r="AX179" s="514"/>
      <c r="AY179" s="258">
        <v>71</v>
      </c>
      <c r="AZ179" s="261"/>
      <c r="BA179" s="203">
        <v>10</v>
      </c>
      <c r="BB179" s="259"/>
      <c r="BC179" s="176"/>
      <c r="BD179" s="177"/>
      <c r="BE179" s="177"/>
      <c r="BF179" s="178"/>
      <c r="BG179" s="27"/>
      <c r="BH179" s="27"/>
    </row>
    <row r="180" spans="1:60">
      <c r="A180" s="95">
        <v>179</v>
      </c>
      <c r="B180" s="96" t="s">
        <v>1568</v>
      </c>
      <c r="C180" s="73" t="s">
        <v>142</v>
      </c>
      <c r="D180" s="257" t="s">
        <v>119</v>
      </c>
      <c r="E180" s="459" t="s">
        <v>3377</v>
      </c>
      <c r="F180" s="258">
        <v>1976</v>
      </c>
      <c r="G180" s="192">
        <v>60</v>
      </c>
      <c r="H180" s="202" t="s">
        <v>1811</v>
      </c>
      <c r="I180" s="194" t="s">
        <v>1739</v>
      </c>
      <c r="J180" s="508">
        <v>0.38100000000000001</v>
      </c>
      <c r="K180" s="513">
        <v>4.3390000000000004</v>
      </c>
      <c r="L180" s="169"/>
      <c r="M180" s="506">
        <v>418.8</v>
      </c>
      <c r="N180" s="506"/>
      <c r="O180" s="509" t="s">
        <v>120</v>
      </c>
      <c r="P180" s="507"/>
      <c r="Q180" s="262"/>
      <c r="R180" s="507"/>
      <c r="S180" s="507"/>
      <c r="T180" s="192" t="s">
        <v>2306</v>
      </c>
      <c r="U180" s="506" t="s">
        <v>2530</v>
      </c>
      <c r="V180" s="131">
        <v>0</v>
      </c>
      <c r="W180" s="132">
        <v>0</v>
      </c>
      <c r="X180" s="120">
        <v>0</v>
      </c>
      <c r="Y180" s="120">
        <v>0</v>
      </c>
      <c r="Z180" s="120">
        <v>0</v>
      </c>
      <c r="AA180" s="133">
        <v>0</v>
      </c>
      <c r="AB180" s="17">
        <v>0</v>
      </c>
      <c r="AC180" s="17">
        <v>0</v>
      </c>
      <c r="AD180" s="133">
        <v>0</v>
      </c>
      <c r="AE180" s="133">
        <v>0</v>
      </c>
      <c r="AF180" s="17">
        <v>0</v>
      </c>
      <c r="AG180" s="133">
        <v>5.0000000000000001E-3</v>
      </c>
      <c r="AH180" s="17">
        <v>0</v>
      </c>
      <c r="AI180" s="133">
        <v>0</v>
      </c>
      <c r="AJ180" s="133">
        <v>0</v>
      </c>
      <c r="AK180" s="17">
        <v>0</v>
      </c>
      <c r="AL180" s="137">
        <v>0</v>
      </c>
      <c r="AM180" s="778">
        <v>43.3</v>
      </c>
      <c r="AN180" s="89"/>
      <c r="AO180" s="271">
        <v>49.64</v>
      </c>
      <c r="AP180" s="775">
        <v>40680</v>
      </c>
      <c r="AQ180" s="133" t="s">
        <v>138</v>
      </c>
      <c r="AR180" s="199">
        <v>76.2</v>
      </c>
      <c r="AS180" s="270"/>
      <c r="AT180" s="200">
        <v>406.4</v>
      </c>
      <c r="AU180" s="255">
        <f t="shared" si="14"/>
        <v>32.084210526315793</v>
      </c>
      <c r="AV180" s="509">
        <v>100</v>
      </c>
      <c r="AW180" s="257">
        <v>90</v>
      </c>
      <c r="AX180" s="514"/>
      <c r="AY180" s="258">
        <v>71</v>
      </c>
      <c r="AZ180" s="261"/>
      <c r="BA180" s="203">
        <v>99</v>
      </c>
      <c r="BB180" s="259"/>
      <c r="BC180" s="176"/>
      <c r="BD180" s="177"/>
      <c r="BE180" s="177"/>
      <c r="BF180" s="178"/>
      <c r="BG180" s="27"/>
      <c r="BH180" s="27"/>
    </row>
    <row r="181" spans="1:60" ht="15" customHeight="1">
      <c r="A181" s="95">
        <v>180</v>
      </c>
      <c r="B181" s="96" t="s">
        <v>1567</v>
      </c>
      <c r="C181" s="73" t="s">
        <v>142</v>
      </c>
      <c r="D181" s="257" t="s">
        <v>119</v>
      </c>
      <c r="E181" s="459" t="s">
        <v>3377</v>
      </c>
      <c r="F181" s="258">
        <v>1976</v>
      </c>
      <c r="G181" s="192">
        <v>60</v>
      </c>
      <c r="H181" s="202" t="s">
        <v>1811</v>
      </c>
      <c r="I181" s="205" t="s">
        <v>1743</v>
      </c>
      <c r="J181" s="508">
        <v>0.38100000000000001</v>
      </c>
      <c r="K181" s="513">
        <v>4.3390000000000004</v>
      </c>
      <c r="L181" s="169"/>
      <c r="M181" s="506">
        <v>418.8</v>
      </c>
      <c r="N181" s="506"/>
      <c r="O181" s="509" t="s">
        <v>120</v>
      </c>
      <c r="P181" s="507"/>
      <c r="Q181" s="262"/>
      <c r="R181" s="507"/>
      <c r="S181" s="507"/>
      <c r="T181" s="192" t="s">
        <v>2306</v>
      </c>
      <c r="U181" s="506" t="s">
        <v>2530</v>
      </c>
      <c r="V181" s="131">
        <v>0</v>
      </c>
      <c r="W181" s="132">
        <v>0</v>
      </c>
      <c r="X181" s="120">
        <v>0</v>
      </c>
      <c r="Y181" s="120">
        <v>0</v>
      </c>
      <c r="Z181" s="120">
        <v>0</v>
      </c>
      <c r="AA181" s="133">
        <v>0</v>
      </c>
      <c r="AB181" s="17">
        <v>0</v>
      </c>
      <c r="AC181" s="17">
        <v>0</v>
      </c>
      <c r="AD181" s="133">
        <v>0</v>
      </c>
      <c r="AE181" s="133">
        <v>0</v>
      </c>
      <c r="AF181" s="17">
        <v>0</v>
      </c>
      <c r="AG181" s="133">
        <v>5.0000000000000001E-3</v>
      </c>
      <c r="AH181" s="17">
        <v>0</v>
      </c>
      <c r="AI181" s="133">
        <v>0</v>
      </c>
      <c r="AJ181" s="133">
        <v>0</v>
      </c>
      <c r="AK181" s="17">
        <v>0</v>
      </c>
      <c r="AL181" s="137">
        <v>0</v>
      </c>
      <c r="AM181" s="778">
        <v>45.92</v>
      </c>
      <c r="AN181" s="89"/>
      <c r="AO181" s="271">
        <v>55.36</v>
      </c>
      <c r="AP181" s="775">
        <v>41370</v>
      </c>
      <c r="AQ181" s="133" t="s">
        <v>138</v>
      </c>
      <c r="AR181" s="199">
        <v>76.2</v>
      </c>
      <c r="AS181" s="270"/>
      <c r="AT181" s="200">
        <v>406.4</v>
      </c>
      <c r="AU181" s="255">
        <f t="shared" si="14"/>
        <v>32.084210526315793</v>
      </c>
      <c r="AV181" s="509">
        <v>100</v>
      </c>
      <c r="AW181" s="257">
        <v>90</v>
      </c>
      <c r="AX181" s="514"/>
      <c r="AY181" s="258">
        <v>71</v>
      </c>
      <c r="AZ181" s="261"/>
      <c r="BA181" s="203">
        <v>10</v>
      </c>
      <c r="BB181" s="259"/>
      <c r="BC181" s="176"/>
      <c r="BD181" s="177"/>
      <c r="BE181" s="177"/>
      <c r="BF181" s="178"/>
      <c r="BG181" s="27"/>
      <c r="BH181" s="27"/>
    </row>
    <row r="182" spans="1:60">
      <c r="A182" s="95">
        <v>181</v>
      </c>
      <c r="B182" s="96" t="s">
        <v>1566</v>
      </c>
      <c r="C182" s="73" t="s">
        <v>142</v>
      </c>
      <c r="D182" s="257" t="s">
        <v>119</v>
      </c>
      <c r="E182" s="459" t="s">
        <v>3377</v>
      </c>
      <c r="F182" s="258">
        <v>1976</v>
      </c>
      <c r="G182" s="192">
        <v>60</v>
      </c>
      <c r="H182" s="202" t="s">
        <v>1811</v>
      </c>
      <c r="I182" s="194" t="s">
        <v>1739</v>
      </c>
      <c r="J182" s="508">
        <v>0.38400000000000001</v>
      </c>
      <c r="K182" s="513">
        <v>4.0289999999999999</v>
      </c>
      <c r="L182" s="169"/>
      <c r="M182" s="506">
        <v>448.5</v>
      </c>
      <c r="N182" s="506"/>
      <c r="O182" s="509" t="s">
        <v>120</v>
      </c>
      <c r="P182" s="507"/>
      <c r="Q182" s="262"/>
      <c r="R182" s="507"/>
      <c r="S182" s="507"/>
      <c r="T182" s="192" t="s">
        <v>2306</v>
      </c>
      <c r="U182" s="506" t="s">
        <v>2530</v>
      </c>
      <c r="V182" s="131">
        <v>0</v>
      </c>
      <c r="W182" s="132">
        <v>0</v>
      </c>
      <c r="X182" s="120">
        <v>0</v>
      </c>
      <c r="Y182" s="120">
        <v>0</v>
      </c>
      <c r="Z182" s="120">
        <v>0</v>
      </c>
      <c r="AA182" s="133">
        <v>0</v>
      </c>
      <c r="AB182" s="17">
        <v>0</v>
      </c>
      <c r="AC182" s="17">
        <v>0</v>
      </c>
      <c r="AD182" s="133">
        <v>0</v>
      </c>
      <c r="AE182" s="133">
        <v>0</v>
      </c>
      <c r="AF182" s="17">
        <v>0</v>
      </c>
      <c r="AG182" s="133">
        <v>0</v>
      </c>
      <c r="AH182" s="17">
        <v>0</v>
      </c>
      <c r="AI182" s="133">
        <v>0</v>
      </c>
      <c r="AJ182" s="133">
        <v>0</v>
      </c>
      <c r="AK182" s="17">
        <v>0</v>
      </c>
      <c r="AL182" s="137">
        <v>0</v>
      </c>
      <c r="AM182" s="778">
        <v>45.44</v>
      </c>
      <c r="AN182" s="89"/>
      <c r="AO182" s="271">
        <v>51.78</v>
      </c>
      <c r="AP182" s="775">
        <v>42750</v>
      </c>
      <c r="AQ182" s="133" t="s">
        <v>138</v>
      </c>
      <c r="AR182" s="199">
        <v>76.2</v>
      </c>
      <c r="AS182" s="270"/>
      <c r="AT182" s="200">
        <v>406.4</v>
      </c>
      <c r="AU182" s="255">
        <f t="shared" si="14"/>
        <v>32.084210526315793</v>
      </c>
      <c r="AV182" s="509">
        <v>100</v>
      </c>
      <c r="AW182" s="257">
        <v>90</v>
      </c>
      <c r="AX182" s="514"/>
      <c r="AY182" s="258">
        <v>71</v>
      </c>
      <c r="AZ182" s="261"/>
      <c r="BA182" s="203">
        <v>99</v>
      </c>
      <c r="BB182" s="259"/>
      <c r="BC182" s="176"/>
      <c r="BD182" s="177"/>
      <c r="BE182" s="177"/>
      <c r="BF182" s="178"/>
      <c r="BG182" s="27"/>
      <c r="BH182" s="27"/>
    </row>
    <row r="183" spans="1:60" ht="15" customHeight="1">
      <c r="A183" s="95">
        <v>182</v>
      </c>
      <c r="B183" s="96" t="s">
        <v>1565</v>
      </c>
      <c r="C183" s="73" t="s">
        <v>142</v>
      </c>
      <c r="D183" s="257" t="s">
        <v>119</v>
      </c>
      <c r="E183" s="459" t="s">
        <v>3377</v>
      </c>
      <c r="F183" s="258">
        <v>1976</v>
      </c>
      <c r="G183" s="192">
        <v>60</v>
      </c>
      <c r="H183" s="202" t="s">
        <v>1811</v>
      </c>
      <c r="I183" s="205" t="s">
        <v>1743</v>
      </c>
      <c r="J183" s="508">
        <v>0.38400000000000001</v>
      </c>
      <c r="K183" s="513">
        <v>4.0289999999999999</v>
      </c>
      <c r="L183" s="169"/>
      <c r="M183" s="506">
        <v>448.5</v>
      </c>
      <c r="N183" s="506"/>
      <c r="O183" s="509" t="s">
        <v>120</v>
      </c>
      <c r="P183" s="507"/>
      <c r="Q183" s="262"/>
      <c r="R183" s="507"/>
      <c r="S183" s="507"/>
      <c r="T183" s="192" t="s">
        <v>2306</v>
      </c>
      <c r="U183" s="506" t="s">
        <v>2530</v>
      </c>
      <c r="V183" s="131">
        <v>0</v>
      </c>
      <c r="W183" s="132">
        <v>0</v>
      </c>
      <c r="X183" s="120">
        <v>0</v>
      </c>
      <c r="Y183" s="120">
        <v>0</v>
      </c>
      <c r="Z183" s="120">
        <v>0</v>
      </c>
      <c r="AA183" s="133">
        <v>0</v>
      </c>
      <c r="AB183" s="17">
        <v>0</v>
      </c>
      <c r="AC183" s="17">
        <v>0</v>
      </c>
      <c r="AD183" s="133">
        <v>0</v>
      </c>
      <c r="AE183" s="133">
        <v>0</v>
      </c>
      <c r="AF183" s="17">
        <v>0</v>
      </c>
      <c r="AG183" s="133">
        <v>0</v>
      </c>
      <c r="AH183" s="17">
        <v>0</v>
      </c>
      <c r="AI183" s="133">
        <v>0</v>
      </c>
      <c r="AJ183" s="133">
        <v>0</v>
      </c>
      <c r="AK183" s="17">
        <v>0</v>
      </c>
      <c r="AL183" s="137">
        <v>0</v>
      </c>
      <c r="AM183" s="778">
        <v>45.23</v>
      </c>
      <c r="AN183" s="89"/>
      <c r="AO183" s="271">
        <v>54.88</v>
      </c>
      <c r="AP183" s="775">
        <v>43440</v>
      </c>
      <c r="AQ183" s="133" t="s">
        <v>138</v>
      </c>
      <c r="AR183" s="199">
        <v>76.2</v>
      </c>
      <c r="AS183" s="270"/>
      <c r="AT183" s="200">
        <v>406.4</v>
      </c>
      <c r="AU183" s="255">
        <f t="shared" si="14"/>
        <v>32.084210526315793</v>
      </c>
      <c r="AV183" s="509">
        <v>100</v>
      </c>
      <c r="AW183" s="257">
        <v>191</v>
      </c>
      <c r="AX183" s="514"/>
      <c r="AY183" s="258">
        <v>71</v>
      </c>
      <c r="AZ183" s="261"/>
      <c r="BA183" s="203">
        <v>10</v>
      </c>
      <c r="BB183" s="259"/>
      <c r="BC183" s="176"/>
      <c r="BD183" s="177"/>
      <c r="BE183" s="177"/>
      <c r="BF183" s="178"/>
      <c r="BG183" s="27"/>
      <c r="BH183" s="27"/>
    </row>
    <row r="184" spans="1:60">
      <c r="A184" s="95">
        <v>183</v>
      </c>
      <c r="B184" s="96" t="s">
        <v>1564</v>
      </c>
      <c r="C184" s="73" t="s">
        <v>142</v>
      </c>
      <c r="D184" s="257" t="s">
        <v>119</v>
      </c>
      <c r="E184" s="459" t="s">
        <v>3377</v>
      </c>
      <c r="F184" s="258">
        <v>1976</v>
      </c>
      <c r="G184" s="192">
        <v>60</v>
      </c>
      <c r="H184" s="202" t="s">
        <v>1811</v>
      </c>
      <c r="I184" s="194" t="s">
        <v>1739</v>
      </c>
      <c r="J184" s="508">
        <v>0.38100000000000001</v>
      </c>
      <c r="K184" s="513">
        <v>4.3390000000000004</v>
      </c>
      <c r="L184" s="169"/>
      <c r="M184" s="506">
        <v>418.8</v>
      </c>
      <c r="N184" s="506"/>
      <c r="O184" s="509" t="s">
        <v>120</v>
      </c>
      <c r="P184" s="507"/>
      <c r="Q184" s="262"/>
      <c r="R184" s="507"/>
      <c r="S184" s="507"/>
      <c r="T184" s="192" t="s">
        <v>2306</v>
      </c>
      <c r="U184" s="506" t="s">
        <v>2530</v>
      </c>
      <c r="V184" s="131">
        <v>0</v>
      </c>
      <c r="W184" s="132">
        <v>0</v>
      </c>
      <c r="X184" s="120">
        <v>0</v>
      </c>
      <c r="Y184" s="120">
        <v>0</v>
      </c>
      <c r="Z184" s="120">
        <v>0</v>
      </c>
      <c r="AA184" s="133">
        <v>0</v>
      </c>
      <c r="AB184" s="17">
        <v>0</v>
      </c>
      <c r="AC184" s="17">
        <v>0</v>
      </c>
      <c r="AD184" s="133">
        <v>0</v>
      </c>
      <c r="AE184" s="133">
        <v>0</v>
      </c>
      <c r="AF184" s="17">
        <v>0</v>
      </c>
      <c r="AG184" s="133">
        <v>5.0000000000000001E-3</v>
      </c>
      <c r="AH184" s="17">
        <v>0</v>
      </c>
      <c r="AI184" s="133">
        <v>0</v>
      </c>
      <c r="AJ184" s="133">
        <v>0</v>
      </c>
      <c r="AK184" s="17">
        <v>0</v>
      </c>
      <c r="AL184" s="137">
        <v>0</v>
      </c>
      <c r="AM184" s="778">
        <v>43.3</v>
      </c>
      <c r="AN184" s="89"/>
      <c r="AO184" s="271">
        <v>56.54</v>
      </c>
      <c r="AP184" s="775">
        <v>40680</v>
      </c>
      <c r="AQ184" s="133" t="s">
        <v>138</v>
      </c>
      <c r="AR184" s="199">
        <v>76.2</v>
      </c>
      <c r="AS184" s="270"/>
      <c r="AT184" s="200">
        <v>406.4</v>
      </c>
      <c r="AU184" s="255">
        <f t="shared" si="14"/>
        <v>32.084210526315793</v>
      </c>
      <c r="AV184" s="509">
        <v>100</v>
      </c>
      <c r="AW184" s="257">
        <v>270</v>
      </c>
      <c r="AX184" s="514"/>
      <c r="AY184" s="258">
        <v>71</v>
      </c>
      <c r="AZ184" s="261"/>
      <c r="BA184" s="203">
        <v>99</v>
      </c>
      <c r="BB184" s="259"/>
      <c r="BC184" s="176"/>
      <c r="BD184" s="177"/>
      <c r="BE184" s="177"/>
      <c r="BF184" s="178"/>
      <c r="BG184" s="27"/>
      <c r="BH184" s="27"/>
    </row>
    <row r="185" spans="1:60" ht="15" customHeight="1">
      <c r="A185" s="95">
        <v>184</v>
      </c>
      <c r="B185" s="96" t="s">
        <v>1563</v>
      </c>
      <c r="C185" s="73" t="s">
        <v>142</v>
      </c>
      <c r="D185" s="257" t="s">
        <v>119</v>
      </c>
      <c r="E185" s="459" t="s">
        <v>3377</v>
      </c>
      <c r="F185" s="258">
        <v>1976</v>
      </c>
      <c r="G185" s="192">
        <v>60</v>
      </c>
      <c r="H185" s="202" t="s">
        <v>1811</v>
      </c>
      <c r="I185" s="205" t="s">
        <v>1743</v>
      </c>
      <c r="J185" s="508">
        <v>0.38100000000000001</v>
      </c>
      <c r="K185" s="513">
        <v>4.3390000000000004</v>
      </c>
      <c r="L185" s="169"/>
      <c r="M185" s="506">
        <v>418.8</v>
      </c>
      <c r="N185" s="506"/>
      <c r="O185" s="509" t="s">
        <v>120</v>
      </c>
      <c r="P185" s="507"/>
      <c r="Q185" s="262"/>
      <c r="R185" s="507"/>
      <c r="S185" s="507"/>
      <c r="T185" s="192" t="s">
        <v>2306</v>
      </c>
      <c r="U185" s="506" t="s">
        <v>2530</v>
      </c>
      <c r="V185" s="131">
        <v>0</v>
      </c>
      <c r="W185" s="132">
        <v>0</v>
      </c>
      <c r="X185" s="120">
        <v>0</v>
      </c>
      <c r="Y185" s="120">
        <v>0</v>
      </c>
      <c r="Z185" s="120">
        <v>0</v>
      </c>
      <c r="AA185" s="133">
        <v>0</v>
      </c>
      <c r="AB185" s="17">
        <v>0</v>
      </c>
      <c r="AC185" s="17">
        <v>0</v>
      </c>
      <c r="AD185" s="133">
        <v>0</v>
      </c>
      <c r="AE185" s="133">
        <v>0</v>
      </c>
      <c r="AF185" s="17">
        <v>0</v>
      </c>
      <c r="AG185" s="133">
        <v>5.0000000000000001E-3</v>
      </c>
      <c r="AH185" s="17">
        <v>0</v>
      </c>
      <c r="AI185" s="133">
        <v>0</v>
      </c>
      <c r="AJ185" s="133">
        <v>0</v>
      </c>
      <c r="AK185" s="17">
        <v>0</v>
      </c>
      <c r="AL185" s="137">
        <v>0</v>
      </c>
      <c r="AM185" s="778">
        <v>45.92</v>
      </c>
      <c r="AN185" s="89"/>
      <c r="AO185" s="271">
        <v>61.36</v>
      </c>
      <c r="AP185" s="775">
        <v>41370</v>
      </c>
      <c r="AQ185" s="133" t="s">
        <v>138</v>
      </c>
      <c r="AR185" s="199">
        <v>76.2</v>
      </c>
      <c r="AS185" s="270"/>
      <c r="AT185" s="200">
        <v>406.4</v>
      </c>
      <c r="AU185" s="255">
        <f t="shared" si="14"/>
        <v>32.084210526315793</v>
      </c>
      <c r="AV185" s="509">
        <v>100</v>
      </c>
      <c r="AW185" s="257">
        <v>270</v>
      </c>
      <c r="AX185" s="514"/>
      <c r="AY185" s="258">
        <v>71</v>
      </c>
      <c r="AZ185" s="261"/>
      <c r="BA185" s="203">
        <v>10</v>
      </c>
      <c r="BB185" s="259"/>
      <c r="BC185" s="176"/>
      <c r="BD185" s="177"/>
      <c r="BE185" s="177"/>
      <c r="BF185" s="178"/>
      <c r="BG185" s="27"/>
      <c r="BH185" s="27"/>
    </row>
    <row r="186" spans="1:60">
      <c r="A186" s="95">
        <v>185</v>
      </c>
      <c r="B186" s="96" t="s">
        <v>1562</v>
      </c>
      <c r="C186" s="73" t="s">
        <v>142</v>
      </c>
      <c r="D186" s="257" t="s">
        <v>119</v>
      </c>
      <c r="E186" s="459" t="s">
        <v>3377</v>
      </c>
      <c r="F186" s="258">
        <v>1976</v>
      </c>
      <c r="G186" s="192">
        <v>60</v>
      </c>
      <c r="H186" s="202" t="s">
        <v>1811</v>
      </c>
      <c r="I186" s="194" t="s">
        <v>1739</v>
      </c>
      <c r="J186" s="508">
        <v>0.38400000000000001</v>
      </c>
      <c r="K186" s="513">
        <v>4.0289999999999999</v>
      </c>
      <c r="L186" s="169"/>
      <c r="M186" s="506">
        <v>448.5</v>
      </c>
      <c r="N186" s="506"/>
      <c r="O186" s="509" t="s">
        <v>120</v>
      </c>
      <c r="P186" s="507"/>
      <c r="Q186" s="262"/>
      <c r="R186" s="507"/>
      <c r="S186" s="507"/>
      <c r="T186" s="192" t="s">
        <v>2306</v>
      </c>
      <c r="U186" s="506" t="s">
        <v>2530</v>
      </c>
      <c r="V186" s="131">
        <v>0</v>
      </c>
      <c r="W186" s="132">
        <v>0</v>
      </c>
      <c r="X186" s="120">
        <v>0</v>
      </c>
      <c r="Y186" s="120">
        <v>0</v>
      </c>
      <c r="Z186" s="120">
        <v>0</v>
      </c>
      <c r="AA186" s="133">
        <v>0</v>
      </c>
      <c r="AB186" s="17">
        <v>0</v>
      </c>
      <c r="AC186" s="17">
        <v>0</v>
      </c>
      <c r="AD186" s="133">
        <v>0</v>
      </c>
      <c r="AE186" s="133">
        <v>0</v>
      </c>
      <c r="AF186" s="17">
        <v>0</v>
      </c>
      <c r="AG186" s="133">
        <v>0</v>
      </c>
      <c r="AH186" s="17">
        <v>0</v>
      </c>
      <c r="AI186" s="133">
        <v>0</v>
      </c>
      <c r="AJ186" s="133">
        <v>0</v>
      </c>
      <c r="AK186" s="17">
        <v>0</v>
      </c>
      <c r="AL186" s="137">
        <v>0</v>
      </c>
      <c r="AM186" s="778">
        <v>45.44</v>
      </c>
      <c r="AN186" s="89"/>
      <c r="AO186" s="271">
        <v>56.67</v>
      </c>
      <c r="AP186" s="775">
        <v>42750</v>
      </c>
      <c r="AQ186" s="133" t="s">
        <v>138</v>
      </c>
      <c r="AR186" s="199">
        <v>76.2</v>
      </c>
      <c r="AS186" s="270"/>
      <c r="AT186" s="200">
        <v>406.4</v>
      </c>
      <c r="AU186" s="255">
        <f t="shared" si="14"/>
        <v>32.084210526315793</v>
      </c>
      <c r="AV186" s="509">
        <v>100</v>
      </c>
      <c r="AW186" s="257">
        <v>270</v>
      </c>
      <c r="AX186" s="514"/>
      <c r="AY186" s="258">
        <v>71</v>
      </c>
      <c r="AZ186" s="261"/>
      <c r="BA186" s="203">
        <v>99</v>
      </c>
      <c r="BB186" s="259"/>
      <c r="BC186" s="176"/>
      <c r="BD186" s="177"/>
      <c r="BE186" s="177"/>
      <c r="BF186" s="178"/>
      <c r="BG186" s="27"/>
      <c r="BH186" s="27"/>
    </row>
    <row r="187" spans="1:60" ht="15" customHeight="1">
      <c r="A187" s="95">
        <v>186</v>
      </c>
      <c r="B187" s="96" t="s">
        <v>1561</v>
      </c>
      <c r="C187" s="73" t="s">
        <v>142</v>
      </c>
      <c r="D187" s="257" t="s">
        <v>119</v>
      </c>
      <c r="E187" s="459" t="s">
        <v>3377</v>
      </c>
      <c r="F187" s="258">
        <v>1976</v>
      </c>
      <c r="G187" s="192">
        <v>60</v>
      </c>
      <c r="H187" s="202" t="s">
        <v>1811</v>
      </c>
      <c r="I187" s="205" t="s">
        <v>1743</v>
      </c>
      <c r="J187" s="508">
        <v>0.38400000000000001</v>
      </c>
      <c r="K187" s="513">
        <v>4.0289999999999999</v>
      </c>
      <c r="L187" s="169"/>
      <c r="M187" s="506">
        <v>448.5</v>
      </c>
      <c r="N187" s="506"/>
      <c r="O187" s="509" t="s">
        <v>120</v>
      </c>
      <c r="P187" s="507"/>
      <c r="Q187" s="262"/>
      <c r="R187" s="507"/>
      <c r="S187" s="507"/>
      <c r="T187" s="192" t="s">
        <v>2306</v>
      </c>
      <c r="U187" s="506" t="s">
        <v>2530</v>
      </c>
      <c r="V187" s="131">
        <v>0</v>
      </c>
      <c r="W187" s="132">
        <v>0</v>
      </c>
      <c r="X187" s="120">
        <v>0</v>
      </c>
      <c r="Y187" s="120">
        <v>0</v>
      </c>
      <c r="Z187" s="120">
        <v>0</v>
      </c>
      <c r="AA187" s="133">
        <v>0</v>
      </c>
      <c r="AB187" s="17">
        <v>0</v>
      </c>
      <c r="AC187" s="17">
        <v>0</v>
      </c>
      <c r="AD187" s="133">
        <v>0</v>
      </c>
      <c r="AE187" s="133">
        <v>0</v>
      </c>
      <c r="AF187" s="17">
        <v>0</v>
      </c>
      <c r="AG187" s="133">
        <v>0</v>
      </c>
      <c r="AH187" s="17">
        <v>0</v>
      </c>
      <c r="AI187" s="133">
        <v>0</v>
      </c>
      <c r="AJ187" s="133">
        <v>0</v>
      </c>
      <c r="AK187" s="17">
        <v>0</v>
      </c>
      <c r="AL187" s="137">
        <v>0</v>
      </c>
      <c r="AM187" s="778">
        <v>45.23</v>
      </c>
      <c r="AN187" s="89"/>
      <c r="AO187" s="271">
        <v>58.12</v>
      </c>
      <c r="AP187" s="775">
        <v>43440</v>
      </c>
      <c r="AQ187" s="133" t="s">
        <v>138</v>
      </c>
      <c r="AR187" s="199">
        <v>76.2</v>
      </c>
      <c r="AS187" s="270"/>
      <c r="AT187" s="200">
        <v>406.4</v>
      </c>
      <c r="AU187" s="255">
        <f t="shared" si="14"/>
        <v>32.084210526315793</v>
      </c>
      <c r="AV187" s="509">
        <v>100</v>
      </c>
      <c r="AW187" s="257">
        <v>270</v>
      </c>
      <c r="AX187" s="514"/>
      <c r="AY187" s="258">
        <v>71</v>
      </c>
      <c r="AZ187" s="261"/>
      <c r="BA187" s="203">
        <v>10</v>
      </c>
      <c r="BB187" s="259"/>
      <c r="BC187" s="176"/>
      <c r="BD187" s="171"/>
      <c r="BE187" s="171"/>
      <c r="BF187" s="190"/>
      <c r="BG187" s="27"/>
      <c r="BH187" s="27"/>
    </row>
    <row r="188" spans="1:60" ht="15" customHeight="1">
      <c r="A188" s="95">
        <v>187</v>
      </c>
      <c r="B188" s="96" t="s">
        <v>1560</v>
      </c>
      <c r="C188" s="73" t="s">
        <v>143</v>
      </c>
      <c r="D188" s="257" t="s">
        <v>2515</v>
      </c>
      <c r="E188" s="459" t="s">
        <v>3377</v>
      </c>
      <c r="F188" s="258">
        <v>1977</v>
      </c>
      <c r="G188" s="171">
        <v>114</v>
      </c>
      <c r="H188" s="172" t="s">
        <v>1745</v>
      </c>
      <c r="I188" s="173" t="s">
        <v>1743</v>
      </c>
      <c r="J188" s="508">
        <v>0.55000000000000004</v>
      </c>
      <c r="K188" s="513">
        <v>6.51</v>
      </c>
      <c r="L188" s="91"/>
      <c r="M188" s="506">
        <v>300</v>
      </c>
      <c r="N188" s="506"/>
      <c r="O188" s="509" t="s">
        <v>12</v>
      </c>
      <c r="P188" s="507"/>
      <c r="Q188" s="262"/>
      <c r="R188" s="512" t="s">
        <v>2729</v>
      </c>
      <c r="S188" s="507"/>
      <c r="T188" s="171" t="s">
        <v>2306</v>
      </c>
      <c r="U188" s="506" t="s">
        <v>2307</v>
      </c>
      <c r="V188" s="135"/>
      <c r="W188" s="129"/>
      <c r="X188" s="129"/>
      <c r="Y188" s="120">
        <v>0</v>
      </c>
      <c r="Z188" s="120">
        <v>0</v>
      </c>
      <c r="AA188" s="130"/>
      <c r="AB188" s="17">
        <v>0</v>
      </c>
      <c r="AC188" s="17">
        <v>0</v>
      </c>
      <c r="AD188" s="130"/>
      <c r="AE188" s="130"/>
      <c r="AF188" s="17">
        <v>0</v>
      </c>
      <c r="AG188" s="130"/>
      <c r="AH188" s="17">
        <v>0</v>
      </c>
      <c r="AI188" s="17">
        <v>0</v>
      </c>
      <c r="AJ188" s="17">
        <v>0</v>
      </c>
      <c r="AK188" s="17">
        <v>0</v>
      </c>
      <c r="AL188" s="32">
        <v>0</v>
      </c>
      <c r="AM188" s="509">
        <v>30.6</v>
      </c>
      <c r="AN188" s="89"/>
      <c r="AO188" s="507"/>
      <c r="AP188" s="416">
        <v>39100</v>
      </c>
      <c r="AQ188" s="133" t="s">
        <v>1556</v>
      </c>
      <c r="AR188" s="188">
        <v>100</v>
      </c>
      <c r="AS188" s="270"/>
      <c r="AT188" s="171" t="str">
        <f t="shared" ref="AT188:AT219" si="15">RIGHT(AQ188,LEN(AQ188)-FIND("x",AQ188,1))</f>
        <v>280</v>
      </c>
      <c r="AU188" s="255">
        <f>IF(ISBLANK(AS188),(AR188*AT188)/((4*AT188)+(2*AR188)),AR188*AS188*AT188/2/(AR188*AS188+AR188*AT188+AS188*AT188))</f>
        <v>21.212121212121211</v>
      </c>
      <c r="AV188" s="263"/>
      <c r="AW188" s="748">
        <v>1</v>
      </c>
      <c r="AX188" s="260">
        <v>20</v>
      </c>
      <c r="AY188" s="257">
        <v>20</v>
      </c>
      <c r="AZ188" s="261"/>
      <c r="BA188" s="175">
        <v>60</v>
      </c>
      <c r="BB188" s="259"/>
      <c r="BC188" s="176"/>
      <c r="BD188" s="177" t="s">
        <v>259</v>
      </c>
      <c r="BE188" s="177" t="s">
        <v>259</v>
      </c>
      <c r="BF188" s="178" t="s">
        <v>2516</v>
      </c>
      <c r="BG188" s="27"/>
      <c r="BH188" s="27"/>
    </row>
    <row r="189" spans="1:60" ht="15" customHeight="1">
      <c r="A189" s="95">
        <v>188</v>
      </c>
      <c r="B189" s="96" t="s">
        <v>1559</v>
      </c>
      <c r="C189" s="73" t="s">
        <v>143</v>
      </c>
      <c r="D189" s="257" t="s">
        <v>2515</v>
      </c>
      <c r="E189" s="459" t="s">
        <v>3377</v>
      </c>
      <c r="F189" s="258">
        <v>1977</v>
      </c>
      <c r="G189" s="171">
        <v>114</v>
      </c>
      <c r="H189" s="172" t="s">
        <v>1745</v>
      </c>
      <c r="I189" s="173" t="s">
        <v>1743</v>
      </c>
      <c r="J189" s="508">
        <v>0.5</v>
      </c>
      <c r="K189" s="513">
        <v>6.3</v>
      </c>
      <c r="L189" s="91"/>
      <c r="M189" s="506">
        <v>300</v>
      </c>
      <c r="N189" s="506"/>
      <c r="O189" s="509" t="s">
        <v>12</v>
      </c>
      <c r="P189" s="507"/>
      <c r="Q189" s="262"/>
      <c r="R189" s="512" t="s">
        <v>2729</v>
      </c>
      <c r="S189" s="507"/>
      <c r="T189" s="171" t="s">
        <v>2306</v>
      </c>
      <c r="U189" s="506" t="s">
        <v>2307</v>
      </c>
      <c r="V189" s="135"/>
      <c r="W189" s="129"/>
      <c r="X189" s="129"/>
      <c r="Y189" s="120">
        <v>0</v>
      </c>
      <c r="Z189" s="120">
        <v>0</v>
      </c>
      <c r="AA189" s="130"/>
      <c r="AB189" s="17">
        <v>0</v>
      </c>
      <c r="AC189" s="17">
        <v>0</v>
      </c>
      <c r="AD189" s="130"/>
      <c r="AE189" s="130"/>
      <c r="AF189" s="17">
        <v>0</v>
      </c>
      <c r="AG189" s="130"/>
      <c r="AH189" s="17">
        <v>0</v>
      </c>
      <c r="AI189" s="17">
        <v>0</v>
      </c>
      <c r="AJ189" s="17">
        <v>0</v>
      </c>
      <c r="AK189" s="17">
        <v>0</v>
      </c>
      <c r="AL189" s="32">
        <v>0</v>
      </c>
      <c r="AM189" s="509">
        <v>29.2</v>
      </c>
      <c r="AN189" s="89"/>
      <c r="AO189" s="507"/>
      <c r="AP189" s="416">
        <v>25000</v>
      </c>
      <c r="AQ189" s="133" t="s">
        <v>1556</v>
      </c>
      <c r="AR189" s="188">
        <v>100</v>
      </c>
      <c r="AS189" s="270"/>
      <c r="AT189" s="171" t="str">
        <f t="shared" si="15"/>
        <v>280</v>
      </c>
      <c r="AU189" s="255">
        <f>IF(ISBLANK(AS189),(AR189*AT189)/((4*AT189)+(2*AR189)),AR189*AS189*AT189/2/(AR189*AS189+AR189*AT189+AS189*AT189))</f>
        <v>21.212121212121211</v>
      </c>
      <c r="AV189" s="263"/>
      <c r="AW189" s="748">
        <v>1</v>
      </c>
      <c r="AX189" s="260">
        <v>20</v>
      </c>
      <c r="AY189" s="257">
        <v>20</v>
      </c>
      <c r="AZ189" s="261"/>
      <c r="BA189" s="175">
        <v>60</v>
      </c>
      <c r="BB189" s="259"/>
      <c r="BC189" s="176" t="s">
        <v>558</v>
      </c>
      <c r="BD189" s="177" t="s">
        <v>259</v>
      </c>
      <c r="BE189" s="177" t="s">
        <v>259</v>
      </c>
      <c r="BF189" s="178" t="s">
        <v>2516</v>
      </c>
      <c r="BG189" s="27"/>
      <c r="BH189" s="27"/>
    </row>
    <row r="190" spans="1:60" ht="15" customHeight="1">
      <c r="A190" s="95">
        <v>189</v>
      </c>
      <c r="B190" s="96" t="s">
        <v>1558</v>
      </c>
      <c r="C190" s="73" t="s">
        <v>143</v>
      </c>
      <c r="D190" s="257" t="s">
        <v>2515</v>
      </c>
      <c r="E190" s="459" t="s">
        <v>3377</v>
      </c>
      <c r="F190" s="258">
        <v>1977</v>
      </c>
      <c r="G190" s="171">
        <v>114</v>
      </c>
      <c r="H190" s="172" t="s">
        <v>1745</v>
      </c>
      <c r="I190" s="173" t="s">
        <v>1743</v>
      </c>
      <c r="J190" s="508">
        <v>0.44500000000000001</v>
      </c>
      <c r="K190" s="513">
        <v>5.27</v>
      </c>
      <c r="L190" s="91"/>
      <c r="M190" s="506">
        <v>360</v>
      </c>
      <c r="N190" s="506"/>
      <c r="O190" s="509" t="s">
        <v>12</v>
      </c>
      <c r="P190" s="507"/>
      <c r="Q190" s="262"/>
      <c r="R190" s="512" t="s">
        <v>2729</v>
      </c>
      <c r="S190" s="507"/>
      <c r="T190" s="171" t="s">
        <v>2306</v>
      </c>
      <c r="U190" s="506" t="s">
        <v>2307</v>
      </c>
      <c r="V190" s="135"/>
      <c r="W190" s="129"/>
      <c r="X190" s="129"/>
      <c r="Y190" s="120">
        <v>0</v>
      </c>
      <c r="Z190" s="120">
        <v>0</v>
      </c>
      <c r="AA190" s="130"/>
      <c r="AB190" s="17">
        <v>0</v>
      </c>
      <c r="AC190" s="17">
        <v>0</v>
      </c>
      <c r="AD190" s="130"/>
      <c r="AE190" s="130"/>
      <c r="AF190" s="17">
        <v>0</v>
      </c>
      <c r="AG190" s="130"/>
      <c r="AH190" s="17">
        <v>0</v>
      </c>
      <c r="AI190" s="17">
        <v>0</v>
      </c>
      <c r="AJ190" s="17">
        <v>0</v>
      </c>
      <c r="AK190" s="17">
        <v>0</v>
      </c>
      <c r="AL190" s="32">
        <v>0</v>
      </c>
      <c r="AM190" s="509">
        <v>41.9</v>
      </c>
      <c r="AN190" s="89"/>
      <c r="AO190" s="507"/>
      <c r="AP190" s="416">
        <v>31550</v>
      </c>
      <c r="AQ190" s="133" t="s">
        <v>1556</v>
      </c>
      <c r="AR190" s="188">
        <v>100</v>
      </c>
      <c r="AS190" s="270"/>
      <c r="AT190" s="171" t="str">
        <f t="shared" si="15"/>
        <v>280</v>
      </c>
      <c r="AU190" s="255">
        <f>IF(ISBLANK(AS190),(AR190*AT190)/((4*AT190)+(2*AR190)),AR190*AS190*AT190/2/(AR190*AS190+AR190*AT190+AS190*AT190))</f>
        <v>21.212121212121211</v>
      </c>
      <c r="AV190" s="263"/>
      <c r="AW190" s="748">
        <v>1</v>
      </c>
      <c r="AX190" s="260">
        <v>20</v>
      </c>
      <c r="AY190" s="257">
        <v>20</v>
      </c>
      <c r="AZ190" s="261"/>
      <c r="BA190" s="175">
        <v>60</v>
      </c>
      <c r="BB190" s="259"/>
      <c r="BC190" s="176"/>
      <c r="BD190" s="177" t="s">
        <v>259</v>
      </c>
      <c r="BE190" s="177" t="s">
        <v>259</v>
      </c>
      <c r="BF190" s="178" t="s">
        <v>2516</v>
      </c>
      <c r="BG190" s="27"/>
      <c r="BH190" s="27"/>
    </row>
    <row r="191" spans="1:60" ht="15" customHeight="1">
      <c r="A191" s="95">
        <v>190</v>
      </c>
      <c r="B191" s="96" t="s">
        <v>1557</v>
      </c>
      <c r="C191" s="73" t="s">
        <v>143</v>
      </c>
      <c r="D191" s="257" t="s">
        <v>2515</v>
      </c>
      <c r="E191" s="459" t="s">
        <v>3377</v>
      </c>
      <c r="F191" s="258">
        <v>1977</v>
      </c>
      <c r="G191" s="171">
        <v>114</v>
      </c>
      <c r="H191" s="172" t="s">
        <v>1745</v>
      </c>
      <c r="I191" s="173" t="s">
        <v>1743</v>
      </c>
      <c r="J191" s="508">
        <v>0.47</v>
      </c>
      <c r="K191" s="513">
        <v>5.23</v>
      </c>
      <c r="L191" s="91"/>
      <c r="M191" s="506">
        <v>375</v>
      </c>
      <c r="N191" s="506"/>
      <c r="O191" s="509" t="s">
        <v>12</v>
      </c>
      <c r="P191" s="507"/>
      <c r="Q191" s="262"/>
      <c r="R191" s="512" t="s">
        <v>2729</v>
      </c>
      <c r="S191" s="507"/>
      <c r="T191" s="171" t="s">
        <v>2306</v>
      </c>
      <c r="U191" s="506" t="s">
        <v>2307</v>
      </c>
      <c r="V191" s="135"/>
      <c r="W191" s="129"/>
      <c r="X191" s="129"/>
      <c r="Y191" s="120">
        <v>0</v>
      </c>
      <c r="Z191" s="120">
        <v>0</v>
      </c>
      <c r="AA191" s="130"/>
      <c r="AB191" s="17">
        <v>0</v>
      </c>
      <c r="AC191" s="17">
        <v>0</v>
      </c>
      <c r="AD191" s="130"/>
      <c r="AE191" s="130"/>
      <c r="AF191" s="17">
        <v>0</v>
      </c>
      <c r="AG191" s="130"/>
      <c r="AH191" s="17">
        <v>0</v>
      </c>
      <c r="AI191" s="17">
        <v>0</v>
      </c>
      <c r="AJ191" s="17">
        <v>0</v>
      </c>
      <c r="AK191" s="17">
        <v>0</v>
      </c>
      <c r="AL191" s="32">
        <v>0</v>
      </c>
      <c r="AM191" s="509">
        <v>39</v>
      </c>
      <c r="AN191" s="89"/>
      <c r="AO191" s="507"/>
      <c r="AP191" s="416">
        <v>34360</v>
      </c>
      <c r="AQ191" s="133" t="s">
        <v>1556</v>
      </c>
      <c r="AR191" s="188">
        <v>100</v>
      </c>
      <c r="AS191" s="270"/>
      <c r="AT191" s="171" t="str">
        <f t="shared" si="15"/>
        <v>280</v>
      </c>
      <c r="AU191" s="255">
        <f>IF(ISBLANK(AS191),(AR191*AT191)/((4*AT191)+(2*AR191)),AR191*AS191*AT191/2/(AR191*AS191+AR191*AT191+AS191*AT191))</f>
        <v>21.212121212121211</v>
      </c>
      <c r="AV191" s="263"/>
      <c r="AW191" s="748">
        <v>1</v>
      </c>
      <c r="AX191" s="260">
        <v>20</v>
      </c>
      <c r="AY191" s="257">
        <v>20</v>
      </c>
      <c r="AZ191" s="261"/>
      <c r="BA191" s="175">
        <v>60</v>
      </c>
      <c r="BB191" s="259"/>
      <c r="BC191" s="176"/>
      <c r="BD191" s="177" t="s">
        <v>259</v>
      </c>
      <c r="BE191" s="177" t="s">
        <v>259</v>
      </c>
      <c r="BF191" s="178" t="s">
        <v>2516</v>
      </c>
      <c r="BG191" s="27"/>
      <c r="BH191" s="27"/>
    </row>
    <row r="192" spans="1:60" ht="15" customHeight="1">
      <c r="A192" s="95">
        <v>191</v>
      </c>
      <c r="B192" s="96" t="s">
        <v>1555</v>
      </c>
      <c r="C192" s="73" t="s">
        <v>2755</v>
      </c>
      <c r="D192" s="257" t="s">
        <v>122</v>
      </c>
      <c r="E192" s="459" t="s">
        <v>3377</v>
      </c>
      <c r="F192" s="258">
        <v>1977</v>
      </c>
      <c r="G192" s="171">
        <v>115</v>
      </c>
      <c r="H192" s="57"/>
      <c r="I192" s="88"/>
      <c r="J192" s="508">
        <v>0.48</v>
      </c>
      <c r="K192" s="513">
        <v>5.8620000000000001</v>
      </c>
      <c r="L192" s="91"/>
      <c r="M192" s="506">
        <v>325</v>
      </c>
      <c r="N192" s="506"/>
      <c r="O192" s="509" t="s">
        <v>12</v>
      </c>
      <c r="P192" s="507"/>
      <c r="Q192" s="262"/>
      <c r="R192" s="507"/>
      <c r="S192" s="507"/>
      <c r="T192" s="506"/>
      <c r="U192" s="506"/>
      <c r="V192" s="131">
        <v>0</v>
      </c>
      <c r="W192" s="132">
        <v>0</v>
      </c>
      <c r="X192" s="120">
        <v>0</v>
      </c>
      <c r="Y192" s="120">
        <v>0</v>
      </c>
      <c r="Z192" s="120">
        <v>0</v>
      </c>
      <c r="AA192" s="130"/>
      <c r="AB192" s="17">
        <v>0</v>
      </c>
      <c r="AC192" s="17">
        <v>0</v>
      </c>
      <c r="AD192" s="130"/>
      <c r="AE192" s="130"/>
      <c r="AF192" s="17">
        <v>0</v>
      </c>
      <c r="AG192" s="133">
        <v>0</v>
      </c>
      <c r="AH192" s="17">
        <v>0</v>
      </c>
      <c r="AI192" s="17">
        <v>0</v>
      </c>
      <c r="AJ192" s="17">
        <v>0</v>
      </c>
      <c r="AK192" s="17">
        <v>0</v>
      </c>
      <c r="AL192" s="32">
        <v>0</v>
      </c>
      <c r="AM192" s="509">
        <v>50.3</v>
      </c>
      <c r="AN192" s="89"/>
      <c r="AO192" s="507"/>
      <c r="AP192" s="416">
        <v>35020</v>
      </c>
      <c r="AQ192" s="133" t="s">
        <v>13</v>
      </c>
      <c r="AR192" s="174">
        <v>75</v>
      </c>
      <c r="AS192" s="270"/>
      <c r="AT192" s="171" t="str">
        <f t="shared" si="15"/>
        <v>600</v>
      </c>
      <c r="AU192" s="255">
        <f t="shared" ref="AU192:AU216" si="16">(AR192*AT192)/((2*AT192)+(2*AR192))</f>
        <v>33.333333333333336</v>
      </c>
      <c r="AV192" s="509">
        <v>100</v>
      </c>
      <c r="AW192" s="748">
        <v>4.54</v>
      </c>
      <c r="AX192" s="261"/>
      <c r="AY192" s="257">
        <v>20</v>
      </c>
      <c r="AZ192" s="261"/>
      <c r="BA192" s="175">
        <v>65</v>
      </c>
      <c r="BB192" s="259"/>
      <c r="BC192" s="176"/>
      <c r="BD192" s="179"/>
      <c r="BE192" s="177" t="s">
        <v>259</v>
      </c>
      <c r="BF192" s="178"/>
      <c r="BG192" s="27"/>
      <c r="BH192" s="27"/>
    </row>
    <row r="193" spans="1:60" ht="15" customHeight="1">
      <c r="A193" s="95">
        <v>192</v>
      </c>
      <c r="B193" s="96" t="s">
        <v>1554</v>
      </c>
      <c r="C193" s="73" t="s">
        <v>2755</v>
      </c>
      <c r="D193" s="257" t="s">
        <v>122</v>
      </c>
      <c r="E193" s="459" t="s">
        <v>3377</v>
      </c>
      <c r="F193" s="258">
        <v>1977</v>
      </c>
      <c r="G193" s="171">
        <v>115</v>
      </c>
      <c r="H193" s="57"/>
      <c r="I193" s="88"/>
      <c r="J193" s="508">
        <v>0.48</v>
      </c>
      <c r="K193" s="513">
        <v>5.8620000000000001</v>
      </c>
      <c r="L193" s="91"/>
      <c r="M193" s="506">
        <v>325</v>
      </c>
      <c r="N193" s="506"/>
      <c r="O193" s="509" t="s">
        <v>12</v>
      </c>
      <c r="P193" s="507"/>
      <c r="Q193" s="262"/>
      <c r="R193" s="507"/>
      <c r="S193" s="507"/>
      <c r="T193" s="506"/>
      <c r="U193" s="506"/>
      <c r="V193" s="131">
        <v>0</v>
      </c>
      <c r="W193" s="132">
        <v>0</v>
      </c>
      <c r="X193" s="120">
        <v>0</v>
      </c>
      <c r="Y193" s="120">
        <v>0</v>
      </c>
      <c r="Z193" s="120">
        <v>0</v>
      </c>
      <c r="AA193" s="130"/>
      <c r="AB193" s="17">
        <v>0</v>
      </c>
      <c r="AC193" s="17">
        <v>0</v>
      </c>
      <c r="AD193" s="130"/>
      <c r="AE193" s="130"/>
      <c r="AF193" s="17">
        <v>0</v>
      </c>
      <c r="AG193" s="133">
        <v>0</v>
      </c>
      <c r="AH193" s="17">
        <v>0</v>
      </c>
      <c r="AI193" s="17">
        <v>0</v>
      </c>
      <c r="AJ193" s="17">
        <v>0</v>
      </c>
      <c r="AK193" s="17">
        <v>0</v>
      </c>
      <c r="AL193" s="32">
        <v>0</v>
      </c>
      <c r="AM193" s="509">
        <v>50.3</v>
      </c>
      <c r="AN193" s="89"/>
      <c r="AO193" s="507"/>
      <c r="AP193" s="416">
        <v>35020</v>
      </c>
      <c r="AQ193" s="133" t="s">
        <v>13</v>
      </c>
      <c r="AR193" s="174">
        <v>75</v>
      </c>
      <c r="AS193" s="270"/>
      <c r="AT193" s="171" t="str">
        <f t="shared" si="15"/>
        <v>600</v>
      </c>
      <c r="AU193" s="255">
        <f t="shared" si="16"/>
        <v>33.333333333333336</v>
      </c>
      <c r="AV193" s="509">
        <v>100</v>
      </c>
      <c r="AW193" s="748">
        <v>8</v>
      </c>
      <c r="AX193" s="261"/>
      <c r="AY193" s="257">
        <v>20</v>
      </c>
      <c r="AZ193" s="261"/>
      <c r="BA193" s="175">
        <v>65</v>
      </c>
      <c r="BB193" s="259"/>
      <c r="BC193" s="176"/>
      <c r="BD193" s="179"/>
      <c r="BE193" s="177" t="s">
        <v>259</v>
      </c>
      <c r="BF193" s="178"/>
      <c r="BG193" s="27"/>
      <c r="BH193" s="27"/>
    </row>
    <row r="194" spans="1:60" ht="15" customHeight="1">
      <c r="A194" s="95">
        <v>193</v>
      </c>
      <c r="B194" s="96" t="s">
        <v>1553</v>
      </c>
      <c r="C194" s="73" t="s">
        <v>2755</v>
      </c>
      <c r="D194" s="257" t="s">
        <v>122</v>
      </c>
      <c r="E194" s="459" t="s">
        <v>3377</v>
      </c>
      <c r="F194" s="258">
        <v>1977</v>
      </c>
      <c r="G194" s="171">
        <v>115</v>
      </c>
      <c r="H194" s="57"/>
      <c r="I194" s="88"/>
      <c r="J194" s="508">
        <v>0.48</v>
      </c>
      <c r="K194" s="513">
        <v>5.8620000000000001</v>
      </c>
      <c r="L194" s="91"/>
      <c r="M194" s="506">
        <v>325</v>
      </c>
      <c r="N194" s="506"/>
      <c r="O194" s="509" t="s">
        <v>12</v>
      </c>
      <c r="P194" s="507"/>
      <c r="Q194" s="262"/>
      <c r="R194" s="507"/>
      <c r="S194" s="507"/>
      <c r="T194" s="506"/>
      <c r="U194" s="506"/>
      <c r="V194" s="131">
        <v>0</v>
      </c>
      <c r="W194" s="132">
        <v>0</v>
      </c>
      <c r="X194" s="120">
        <v>0</v>
      </c>
      <c r="Y194" s="120">
        <v>0</v>
      </c>
      <c r="Z194" s="120">
        <v>0</v>
      </c>
      <c r="AA194" s="130"/>
      <c r="AB194" s="17">
        <v>0</v>
      </c>
      <c r="AC194" s="17">
        <v>0</v>
      </c>
      <c r="AD194" s="130"/>
      <c r="AE194" s="130"/>
      <c r="AF194" s="17">
        <v>0</v>
      </c>
      <c r="AG194" s="133">
        <v>0</v>
      </c>
      <c r="AH194" s="17">
        <v>0</v>
      </c>
      <c r="AI194" s="17">
        <v>0</v>
      </c>
      <c r="AJ194" s="17">
        <v>0</v>
      </c>
      <c r="AK194" s="17">
        <v>0</v>
      </c>
      <c r="AL194" s="32">
        <v>0</v>
      </c>
      <c r="AM194" s="509">
        <v>50.3</v>
      </c>
      <c r="AN194" s="89"/>
      <c r="AO194" s="507"/>
      <c r="AP194" s="416">
        <v>35020</v>
      </c>
      <c r="AQ194" s="133" t="s">
        <v>13</v>
      </c>
      <c r="AR194" s="174">
        <v>75</v>
      </c>
      <c r="AS194" s="270"/>
      <c r="AT194" s="171" t="str">
        <f t="shared" si="15"/>
        <v>600</v>
      </c>
      <c r="AU194" s="255">
        <f t="shared" si="16"/>
        <v>33.333333333333336</v>
      </c>
      <c r="AV194" s="509">
        <v>100</v>
      </c>
      <c r="AW194" s="748">
        <v>28</v>
      </c>
      <c r="AX194" s="261"/>
      <c r="AY194" s="257">
        <v>20</v>
      </c>
      <c r="AZ194" s="261"/>
      <c r="BA194" s="175">
        <v>65</v>
      </c>
      <c r="BB194" s="259"/>
      <c r="BC194" s="176"/>
      <c r="BD194" s="179"/>
      <c r="BE194" s="177" t="s">
        <v>259</v>
      </c>
      <c r="BF194" s="178"/>
      <c r="BG194" s="27"/>
      <c r="BH194" s="27"/>
    </row>
    <row r="195" spans="1:60" ht="15" customHeight="1">
      <c r="A195" s="95">
        <v>194</v>
      </c>
      <c r="B195" s="96" t="s">
        <v>1552</v>
      </c>
      <c r="C195" s="73" t="s">
        <v>2755</v>
      </c>
      <c r="D195" s="257" t="s">
        <v>122</v>
      </c>
      <c r="E195" s="459" t="s">
        <v>3377</v>
      </c>
      <c r="F195" s="258">
        <v>1977</v>
      </c>
      <c r="G195" s="171">
        <v>115</v>
      </c>
      <c r="H195" s="57"/>
      <c r="I195" s="88"/>
      <c r="J195" s="508">
        <v>0.48</v>
      </c>
      <c r="K195" s="513">
        <v>4.2389999999999999</v>
      </c>
      <c r="L195" s="91"/>
      <c r="M195" s="506">
        <v>410</v>
      </c>
      <c r="N195" s="506"/>
      <c r="O195" s="509" t="s">
        <v>12</v>
      </c>
      <c r="P195" s="507"/>
      <c r="Q195" s="262"/>
      <c r="R195" s="507"/>
      <c r="S195" s="507"/>
      <c r="T195" s="506"/>
      <c r="U195" s="506"/>
      <c r="V195" s="131">
        <v>0</v>
      </c>
      <c r="W195" s="132">
        <v>0</v>
      </c>
      <c r="X195" s="120">
        <v>0</v>
      </c>
      <c r="Y195" s="120">
        <v>0</v>
      </c>
      <c r="Z195" s="120">
        <v>0</v>
      </c>
      <c r="AA195" s="130"/>
      <c r="AB195" s="17">
        <v>0</v>
      </c>
      <c r="AC195" s="17">
        <v>0</v>
      </c>
      <c r="AD195" s="130"/>
      <c r="AE195" s="130"/>
      <c r="AF195" s="17">
        <v>0</v>
      </c>
      <c r="AG195" s="133">
        <v>0</v>
      </c>
      <c r="AH195" s="17">
        <v>0</v>
      </c>
      <c r="AI195" s="17">
        <v>0</v>
      </c>
      <c r="AJ195" s="17">
        <v>0</v>
      </c>
      <c r="AK195" s="17">
        <v>0</v>
      </c>
      <c r="AL195" s="32">
        <v>0</v>
      </c>
      <c r="AM195" s="509">
        <v>46.4</v>
      </c>
      <c r="AN195" s="89"/>
      <c r="AO195" s="507"/>
      <c r="AP195" s="416">
        <v>32790</v>
      </c>
      <c r="AQ195" s="133" t="s">
        <v>13</v>
      </c>
      <c r="AR195" s="174">
        <v>75</v>
      </c>
      <c r="AS195" s="270"/>
      <c r="AT195" s="171" t="str">
        <f t="shared" si="15"/>
        <v>600</v>
      </c>
      <c r="AU195" s="255">
        <f t="shared" si="16"/>
        <v>33.333333333333336</v>
      </c>
      <c r="AV195" s="509">
        <v>100</v>
      </c>
      <c r="AW195" s="748">
        <v>4.92</v>
      </c>
      <c r="AX195" s="261"/>
      <c r="AY195" s="257">
        <v>20</v>
      </c>
      <c r="AZ195" s="261"/>
      <c r="BA195" s="175">
        <v>65</v>
      </c>
      <c r="BB195" s="259"/>
      <c r="BC195" s="176"/>
      <c r="BD195" s="179"/>
      <c r="BE195" s="177" t="s">
        <v>259</v>
      </c>
      <c r="BF195" s="178"/>
      <c r="BG195" s="27"/>
      <c r="BH195" s="27"/>
    </row>
    <row r="196" spans="1:60" ht="15" customHeight="1">
      <c r="A196" s="95">
        <v>195</v>
      </c>
      <c r="B196" s="96" t="s">
        <v>1551</v>
      </c>
      <c r="C196" s="73" t="s">
        <v>2755</v>
      </c>
      <c r="D196" s="257" t="s">
        <v>122</v>
      </c>
      <c r="E196" s="459" t="s">
        <v>3377</v>
      </c>
      <c r="F196" s="258">
        <v>1977</v>
      </c>
      <c r="G196" s="171">
        <v>115</v>
      </c>
      <c r="H196" s="57"/>
      <c r="I196" s="88"/>
      <c r="J196" s="508">
        <v>0.48</v>
      </c>
      <c r="K196" s="513">
        <v>4.2389999999999999</v>
      </c>
      <c r="L196" s="91"/>
      <c r="M196" s="506">
        <v>410</v>
      </c>
      <c r="N196" s="506"/>
      <c r="O196" s="509" t="s">
        <v>12</v>
      </c>
      <c r="P196" s="507"/>
      <c r="Q196" s="262"/>
      <c r="R196" s="507"/>
      <c r="S196" s="507"/>
      <c r="T196" s="506"/>
      <c r="U196" s="506"/>
      <c r="V196" s="131">
        <v>0</v>
      </c>
      <c r="W196" s="132">
        <v>0</v>
      </c>
      <c r="X196" s="120">
        <v>0</v>
      </c>
      <c r="Y196" s="120">
        <v>0</v>
      </c>
      <c r="Z196" s="120">
        <v>0</v>
      </c>
      <c r="AA196" s="130"/>
      <c r="AB196" s="17">
        <v>0</v>
      </c>
      <c r="AC196" s="17">
        <v>0</v>
      </c>
      <c r="AD196" s="130"/>
      <c r="AE196" s="130"/>
      <c r="AF196" s="17">
        <v>0</v>
      </c>
      <c r="AG196" s="133">
        <v>0</v>
      </c>
      <c r="AH196" s="17">
        <v>0</v>
      </c>
      <c r="AI196" s="17">
        <v>0</v>
      </c>
      <c r="AJ196" s="17">
        <v>0</v>
      </c>
      <c r="AK196" s="17">
        <v>0</v>
      </c>
      <c r="AL196" s="32">
        <v>0</v>
      </c>
      <c r="AM196" s="509">
        <v>46.4</v>
      </c>
      <c r="AN196" s="89"/>
      <c r="AO196" s="507"/>
      <c r="AP196" s="416">
        <v>32790</v>
      </c>
      <c r="AQ196" s="133" t="s">
        <v>13</v>
      </c>
      <c r="AR196" s="174">
        <v>75</v>
      </c>
      <c r="AS196" s="270"/>
      <c r="AT196" s="171" t="str">
        <f t="shared" si="15"/>
        <v>600</v>
      </c>
      <c r="AU196" s="255">
        <f t="shared" si="16"/>
        <v>33.333333333333336</v>
      </c>
      <c r="AV196" s="509">
        <v>100</v>
      </c>
      <c r="AW196" s="257">
        <v>10</v>
      </c>
      <c r="AX196" s="261"/>
      <c r="AY196" s="258">
        <v>20</v>
      </c>
      <c r="AZ196" s="261"/>
      <c r="BA196" s="175">
        <v>65</v>
      </c>
      <c r="BB196" s="259"/>
      <c r="BC196" s="176"/>
      <c r="BD196" s="179"/>
      <c r="BE196" s="177" t="s">
        <v>259</v>
      </c>
      <c r="BF196" s="178"/>
      <c r="BG196" s="27"/>
      <c r="BH196" s="27"/>
    </row>
    <row r="197" spans="1:60" ht="15" customHeight="1">
      <c r="A197" s="95">
        <v>196</v>
      </c>
      <c r="B197" s="96" t="s">
        <v>1550</v>
      </c>
      <c r="C197" s="73" t="s">
        <v>2755</v>
      </c>
      <c r="D197" s="257" t="s">
        <v>122</v>
      </c>
      <c r="E197" s="459" t="s">
        <v>3377</v>
      </c>
      <c r="F197" s="258">
        <v>1977</v>
      </c>
      <c r="G197" s="171">
        <v>115</v>
      </c>
      <c r="H197" s="57"/>
      <c r="I197" s="88"/>
      <c r="J197" s="508">
        <v>0.48</v>
      </c>
      <c r="K197" s="513">
        <v>4.2389999999999999</v>
      </c>
      <c r="L197" s="91"/>
      <c r="M197" s="506">
        <v>410</v>
      </c>
      <c r="N197" s="506"/>
      <c r="O197" s="509" t="s">
        <v>12</v>
      </c>
      <c r="P197" s="507"/>
      <c r="Q197" s="262"/>
      <c r="R197" s="507"/>
      <c r="S197" s="507"/>
      <c r="T197" s="506"/>
      <c r="U197" s="506"/>
      <c r="V197" s="131">
        <v>0</v>
      </c>
      <c r="W197" s="132">
        <v>0</v>
      </c>
      <c r="X197" s="120">
        <v>0</v>
      </c>
      <c r="Y197" s="120">
        <v>0</v>
      </c>
      <c r="Z197" s="120">
        <v>0</v>
      </c>
      <c r="AA197" s="130"/>
      <c r="AB197" s="17">
        <v>0</v>
      </c>
      <c r="AC197" s="17">
        <v>0</v>
      </c>
      <c r="AD197" s="130"/>
      <c r="AE197" s="130"/>
      <c r="AF197" s="17">
        <v>0</v>
      </c>
      <c r="AG197" s="133">
        <v>0</v>
      </c>
      <c r="AH197" s="17">
        <v>0</v>
      </c>
      <c r="AI197" s="17">
        <v>0</v>
      </c>
      <c r="AJ197" s="17">
        <v>0</v>
      </c>
      <c r="AK197" s="17">
        <v>0</v>
      </c>
      <c r="AL197" s="32">
        <v>0</v>
      </c>
      <c r="AM197" s="509">
        <v>46.4</v>
      </c>
      <c r="AN197" s="89"/>
      <c r="AO197" s="507"/>
      <c r="AP197" s="416">
        <v>32790</v>
      </c>
      <c r="AQ197" s="133" t="s">
        <v>13</v>
      </c>
      <c r="AR197" s="174">
        <v>75</v>
      </c>
      <c r="AS197" s="270"/>
      <c r="AT197" s="171" t="str">
        <f t="shared" si="15"/>
        <v>600</v>
      </c>
      <c r="AU197" s="255">
        <f t="shared" si="16"/>
        <v>33.333333333333336</v>
      </c>
      <c r="AV197" s="509">
        <v>100</v>
      </c>
      <c r="AW197" s="257">
        <v>28</v>
      </c>
      <c r="AX197" s="261"/>
      <c r="AY197" s="258">
        <v>20</v>
      </c>
      <c r="AZ197" s="261"/>
      <c r="BA197" s="175">
        <v>65</v>
      </c>
      <c r="BB197" s="259"/>
      <c r="BC197" s="176"/>
      <c r="BD197" s="179"/>
      <c r="BE197" s="177" t="s">
        <v>259</v>
      </c>
      <c r="BF197" s="178"/>
      <c r="BG197" s="27"/>
      <c r="BH197" s="27"/>
    </row>
    <row r="198" spans="1:60" ht="15" customHeight="1">
      <c r="A198" s="95">
        <v>197</v>
      </c>
      <c r="B198" s="96" t="s">
        <v>1549</v>
      </c>
      <c r="C198" s="73" t="s">
        <v>2755</v>
      </c>
      <c r="D198" s="257" t="s">
        <v>122</v>
      </c>
      <c r="E198" s="459" t="s">
        <v>3377</v>
      </c>
      <c r="F198" s="258">
        <v>1977</v>
      </c>
      <c r="G198" s="171">
        <v>115</v>
      </c>
      <c r="H198" s="57"/>
      <c r="I198" s="88"/>
      <c r="J198" s="508">
        <v>0.48</v>
      </c>
      <c r="K198" s="513">
        <v>5.8620000000000001</v>
      </c>
      <c r="L198" s="91"/>
      <c r="M198" s="506">
        <v>325</v>
      </c>
      <c r="N198" s="506"/>
      <c r="O198" s="509" t="s">
        <v>129</v>
      </c>
      <c r="P198" s="507"/>
      <c r="Q198" s="262"/>
      <c r="R198" s="507"/>
      <c r="S198" s="507"/>
      <c r="T198" s="506"/>
      <c r="U198" s="506"/>
      <c r="V198" s="131">
        <v>0</v>
      </c>
      <c r="W198" s="132">
        <v>0</v>
      </c>
      <c r="X198" s="120">
        <v>0</v>
      </c>
      <c r="Y198" s="120">
        <v>0</v>
      </c>
      <c r="Z198" s="120">
        <v>0</v>
      </c>
      <c r="AA198" s="130"/>
      <c r="AB198" s="17">
        <v>0</v>
      </c>
      <c r="AC198" s="17">
        <v>0</v>
      </c>
      <c r="AD198" s="130"/>
      <c r="AE198" s="130"/>
      <c r="AF198" s="17">
        <v>0</v>
      </c>
      <c r="AG198" s="133">
        <v>0</v>
      </c>
      <c r="AH198" s="17">
        <v>0</v>
      </c>
      <c r="AI198" s="17">
        <v>0</v>
      </c>
      <c r="AJ198" s="17">
        <v>0</v>
      </c>
      <c r="AK198" s="17">
        <v>0</v>
      </c>
      <c r="AL198" s="32">
        <v>0</v>
      </c>
      <c r="AM198" s="509">
        <v>56.3</v>
      </c>
      <c r="AN198" s="89"/>
      <c r="AO198" s="507"/>
      <c r="AP198" s="416">
        <v>37450</v>
      </c>
      <c r="AQ198" s="133" t="s">
        <v>13</v>
      </c>
      <c r="AR198" s="174">
        <v>75</v>
      </c>
      <c r="AS198" s="270"/>
      <c r="AT198" s="171" t="str">
        <f t="shared" si="15"/>
        <v>600</v>
      </c>
      <c r="AU198" s="255">
        <f t="shared" si="16"/>
        <v>33.333333333333336</v>
      </c>
      <c r="AV198" s="509">
        <v>100</v>
      </c>
      <c r="AW198" s="257">
        <v>0.83</v>
      </c>
      <c r="AX198" s="261"/>
      <c r="AY198" s="258">
        <v>20</v>
      </c>
      <c r="AZ198" s="261"/>
      <c r="BA198" s="175">
        <v>65</v>
      </c>
      <c r="BB198" s="259"/>
      <c r="BC198" s="176"/>
      <c r="BD198" s="179"/>
      <c r="BE198" s="177" t="s">
        <v>259</v>
      </c>
      <c r="BF198" s="178"/>
      <c r="BG198" s="27"/>
      <c r="BH198" s="27"/>
    </row>
    <row r="199" spans="1:60" ht="15" customHeight="1">
      <c r="A199" s="95">
        <v>198</v>
      </c>
      <c r="B199" s="96" t="s">
        <v>1548</v>
      </c>
      <c r="C199" s="73" t="s">
        <v>2755</v>
      </c>
      <c r="D199" s="257" t="s">
        <v>122</v>
      </c>
      <c r="E199" s="459" t="s">
        <v>3377</v>
      </c>
      <c r="F199" s="258">
        <v>1977</v>
      </c>
      <c r="G199" s="171">
        <v>115</v>
      </c>
      <c r="H199" s="57"/>
      <c r="I199" s="88"/>
      <c r="J199" s="508">
        <v>0.48</v>
      </c>
      <c r="K199" s="513">
        <v>5.8620000000000001</v>
      </c>
      <c r="L199" s="91"/>
      <c r="M199" s="506">
        <v>325</v>
      </c>
      <c r="N199" s="506"/>
      <c r="O199" s="509" t="s">
        <v>129</v>
      </c>
      <c r="P199" s="507"/>
      <c r="Q199" s="262"/>
      <c r="R199" s="507"/>
      <c r="S199" s="507"/>
      <c r="T199" s="506"/>
      <c r="U199" s="506"/>
      <c r="V199" s="131">
        <v>0</v>
      </c>
      <c r="W199" s="132">
        <v>0</v>
      </c>
      <c r="X199" s="120">
        <v>0</v>
      </c>
      <c r="Y199" s="120">
        <v>0</v>
      </c>
      <c r="Z199" s="120">
        <v>0</v>
      </c>
      <c r="AA199" s="130"/>
      <c r="AB199" s="17">
        <v>0</v>
      </c>
      <c r="AC199" s="17">
        <v>0</v>
      </c>
      <c r="AD199" s="130"/>
      <c r="AE199" s="130"/>
      <c r="AF199" s="17">
        <v>0</v>
      </c>
      <c r="AG199" s="133">
        <v>0</v>
      </c>
      <c r="AH199" s="17">
        <v>0</v>
      </c>
      <c r="AI199" s="17">
        <v>0</v>
      </c>
      <c r="AJ199" s="17">
        <v>0</v>
      </c>
      <c r="AK199" s="17">
        <v>0</v>
      </c>
      <c r="AL199" s="32">
        <v>0</v>
      </c>
      <c r="AM199" s="509">
        <v>56.3</v>
      </c>
      <c r="AN199" s="89"/>
      <c r="AO199" s="507"/>
      <c r="AP199" s="416">
        <v>37450</v>
      </c>
      <c r="AQ199" s="133" t="s">
        <v>13</v>
      </c>
      <c r="AR199" s="174">
        <v>75</v>
      </c>
      <c r="AS199" s="270"/>
      <c r="AT199" s="171" t="str">
        <f t="shared" si="15"/>
        <v>600</v>
      </c>
      <c r="AU199" s="255">
        <f t="shared" si="16"/>
        <v>33.333333333333336</v>
      </c>
      <c r="AV199" s="509">
        <v>100</v>
      </c>
      <c r="AW199" s="257">
        <v>2.92</v>
      </c>
      <c r="AX199" s="261"/>
      <c r="AY199" s="258">
        <v>20</v>
      </c>
      <c r="AZ199" s="261"/>
      <c r="BA199" s="175">
        <v>65</v>
      </c>
      <c r="BB199" s="259"/>
      <c r="BC199" s="176"/>
      <c r="BD199" s="179"/>
      <c r="BE199" s="177" t="s">
        <v>259</v>
      </c>
      <c r="BF199" s="178"/>
      <c r="BG199" s="27"/>
      <c r="BH199" s="27"/>
    </row>
    <row r="200" spans="1:60" ht="15" customHeight="1">
      <c r="A200" s="95">
        <v>199</v>
      </c>
      <c r="B200" s="96" t="s">
        <v>1547</v>
      </c>
      <c r="C200" s="73" t="s">
        <v>2755</v>
      </c>
      <c r="D200" s="257" t="s">
        <v>122</v>
      </c>
      <c r="E200" s="459" t="s">
        <v>3377</v>
      </c>
      <c r="F200" s="258">
        <v>1977</v>
      </c>
      <c r="G200" s="171">
        <v>115</v>
      </c>
      <c r="H200" s="57"/>
      <c r="I200" s="88"/>
      <c r="J200" s="508">
        <v>0.48</v>
      </c>
      <c r="K200" s="513">
        <v>5.8620000000000001</v>
      </c>
      <c r="L200" s="91"/>
      <c r="M200" s="506">
        <v>325</v>
      </c>
      <c r="N200" s="506"/>
      <c r="O200" s="509" t="s">
        <v>129</v>
      </c>
      <c r="P200" s="507"/>
      <c r="Q200" s="262"/>
      <c r="R200" s="507"/>
      <c r="S200" s="507"/>
      <c r="T200" s="506"/>
      <c r="U200" s="506"/>
      <c r="V200" s="131">
        <v>0</v>
      </c>
      <c r="W200" s="132">
        <v>0</v>
      </c>
      <c r="X200" s="120">
        <v>0</v>
      </c>
      <c r="Y200" s="120">
        <v>0</v>
      </c>
      <c r="Z200" s="120">
        <v>0</v>
      </c>
      <c r="AA200" s="130"/>
      <c r="AB200" s="17">
        <v>0</v>
      </c>
      <c r="AC200" s="17">
        <v>0</v>
      </c>
      <c r="AD200" s="130"/>
      <c r="AE200" s="130"/>
      <c r="AF200" s="17">
        <v>0</v>
      </c>
      <c r="AG200" s="133">
        <v>0</v>
      </c>
      <c r="AH200" s="17">
        <v>0</v>
      </c>
      <c r="AI200" s="17">
        <v>0</v>
      </c>
      <c r="AJ200" s="17">
        <v>0</v>
      </c>
      <c r="AK200" s="17">
        <v>0</v>
      </c>
      <c r="AL200" s="32">
        <v>0</v>
      </c>
      <c r="AM200" s="509">
        <v>56.3</v>
      </c>
      <c r="AN200" s="89"/>
      <c r="AO200" s="507"/>
      <c r="AP200" s="416">
        <v>37450</v>
      </c>
      <c r="AQ200" s="133" t="s">
        <v>13</v>
      </c>
      <c r="AR200" s="174">
        <v>75</v>
      </c>
      <c r="AS200" s="270"/>
      <c r="AT200" s="171" t="str">
        <f t="shared" si="15"/>
        <v>600</v>
      </c>
      <c r="AU200" s="255">
        <f t="shared" si="16"/>
        <v>33.333333333333336</v>
      </c>
      <c r="AV200" s="509">
        <v>100</v>
      </c>
      <c r="AW200" s="257">
        <v>28</v>
      </c>
      <c r="AX200" s="261"/>
      <c r="AY200" s="258">
        <v>20</v>
      </c>
      <c r="AZ200" s="261"/>
      <c r="BA200" s="175">
        <v>65</v>
      </c>
      <c r="BB200" s="259"/>
      <c r="BC200" s="176"/>
      <c r="BD200" s="179"/>
      <c r="BE200" s="177" t="s">
        <v>259</v>
      </c>
      <c r="BF200" s="178"/>
      <c r="BG200" s="27"/>
      <c r="BH200" s="27"/>
    </row>
    <row r="201" spans="1:60" ht="15" customHeight="1">
      <c r="A201" s="95">
        <v>200</v>
      </c>
      <c r="B201" s="96" t="s">
        <v>1546</v>
      </c>
      <c r="C201" s="73" t="s">
        <v>2755</v>
      </c>
      <c r="D201" s="257" t="s">
        <v>122</v>
      </c>
      <c r="E201" s="459" t="s">
        <v>3377</v>
      </c>
      <c r="F201" s="258">
        <v>1977</v>
      </c>
      <c r="G201" s="171">
        <v>115</v>
      </c>
      <c r="H201" s="57"/>
      <c r="I201" s="88"/>
      <c r="J201" s="508">
        <v>0.48</v>
      </c>
      <c r="K201" s="513">
        <v>4.2389999999999999</v>
      </c>
      <c r="L201" s="91"/>
      <c r="M201" s="506">
        <v>410</v>
      </c>
      <c r="N201" s="506"/>
      <c r="O201" s="509" t="s">
        <v>129</v>
      </c>
      <c r="P201" s="507"/>
      <c r="Q201" s="262"/>
      <c r="R201" s="507"/>
      <c r="S201" s="507"/>
      <c r="T201" s="506"/>
      <c r="U201" s="506"/>
      <c r="V201" s="131">
        <v>0</v>
      </c>
      <c r="W201" s="132">
        <v>0</v>
      </c>
      <c r="X201" s="120">
        <v>0</v>
      </c>
      <c r="Y201" s="120">
        <v>0</v>
      </c>
      <c r="Z201" s="120">
        <v>0</v>
      </c>
      <c r="AA201" s="130"/>
      <c r="AB201" s="17">
        <v>0</v>
      </c>
      <c r="AC201" s="17">
        <v>0</v>
      </c>
      <c r="AD201" s="130"/>
      <c r="AE201" s="130"/>
      <c r="AF201" s="17">
        <v>0</v>
      </c>
      <c r="AG201" s="133">
        <v>0</v>
      </c>
      <c r="AH201" s="17">
        <v>0</v>
      </c>
      <c r="AI201" s="17">
        <v>0</v>
      </c>
      <c r="AJ201" s="17">
        <v>0</v>
      </c>
      <c r="AK201" s="17">
        <v>0</v>
      </c>
      <c r="AL201" s="32">
        <v>0</v>
      </c>
      <c r="AM201" s="509">
        <v>50.8</v>
      </c>
      <c r="AN201" s="89"/>
      <c r="AO201" s="507"/>
      <c r="AP201" s="416">
        <v>30700</v>
      </c>
      <c r="AQ201" s="133" t="s">
        <v>13</v>
      </c>
      <c r="AR201" s="174">
        <v>75</v>
      </c>
      <c r="AS201" s="270"/>
      <c r="AT201" s="171" t="str">
        <f t="shared" si="15"/>
        <v>600</v>
      </c>
      <c r="AU201" s="255">
        <f t="shared" si="16"/>
        <v>33.333333333333336</v>
      </c>
      <c r="AV201" s="509">
        <v>100</v>
      </c>
      <c r="AW201" s="257">
        <v>1.42</v>
      </c>
      <c r="AX201" s="261"/>
      <c r="AY201" s="258">
        <v>20</v>
      </c>
      <c r="AZ201" s="261"/>
      <c r="BA201" s="175">
        <v>65</v>
      </c>
      <c r="BB201" s="259"/>
      <c r="BC201" s="176"/>
      <c r="BD201" s="179"/>
      <c r="BE201" s="177" t="s">
        <v>259</v>
      </c>
      <c r="BF201" s="178"/>
      <c r="BG201" s="27"/>
      <c r="BH201" s="27"/>
    </row>
    <row r="202" spans="1:60" ht="15" customHeight="1">
      <c r="A202" s="95">
        <v>201</v>
      </c>
      <c r="B202" s="96" t="s">
        <v>1545</v>
      </c>
      <c r="C202" s="73" t="s">
        <v>2755</v>
      </c>
      <c r="D202" s="257" t="s">
        <v>122</v>
      </c>
      <c r="E202" s="459" t="s">
        <v>3377</v>
      </c>
      <c r="F202" s="258">
        <v>1977</v>
      </c>
      <c r="G202" s="171">
        <v>115</v>
      </c>
      <c r="H202" s="57"/>
      <c r="I202" s="88"/>
      <c r="J202" s="508">
        <v>0.48</v>
      </c>
      <c r="K202" s="513">
        <v>4.2389999999999999</v>
      </c>
      <c r="L202" s="91"/>
      <c r="M202" s="506">
        <v>410</v>
      </c>
      <c r="N202" s="506"/>
      <c r="O202" s="509" t="s">
        <v>129</v>
      </c>
      <c r="P202" s="507"/>
      <c r="Q202" s="262"/>
      <c r="R202" s="507"/>
      <c r="S202" s="507"/>
      <c r="T202" s="506"/>
      <c r="U202" s="506"/>
      <c r="V202" s="131">
        <v>0</v>
      </c>
      <c r="W202" s="132">
        <v>0</v>
      </c>
      <c r="X202" s="120">
        <v>0</v>
      </c>
      <c r="Y202" s="120">
        <v>0</v>
      </c>
      <c r="Z202" s="120">
        <v>0</v>
      </c>
      <c r="AA202" s="130"/>
      <c r="AB202" s="17">
        <v>0</v>
      </c>
      <c r="AC202" s="17">
        <v>0</v>
      </c>
      <c r="AD202" s="130"/>
      <c r="AE202" s="130"/>
      <c r="AF202" s="17">
        <v>0</v>
      </c>
      <c r="AG202" s="133">
        <v>0</v>
      </c>
      <c r="AH202" s="17">
        <v>0</v>
      </c>
      <c r="AI202" s="17">
        <v>0</v>
      </c>
      <c r="AJ202" s="17">
        <v>0</v>
      </c>
      <c r="AK202" s="17">
        <v>0</v>
      </c>
      <c r="AL202" s="32">
        <v>0</v>
      </c>
      <c r="AM202" s="509">
        <v>50.8</v>
      </c>
      <c r="AN202" s="89"/>
      <c r="AO202" s="507"/>
      <c r="AP202" s="416">
        <v>30700</v>
      </c>
      <c r="AQ202" s="133" t="s">
        <v>13</v>
      </c>
      <c r="AR202" s="174">
        <v>75</v>
      </c>
      <c r="AS202" s="270"/>
      <c r="AT202" s="171" t="str">
        <f t="shared" si="15"/>
        <v>600</v>
      </c>
      <c r="AU202" s="255">
        <f t="shared" si="16"/>
        <v>33.333333333333336</v>
      </c>
      <c r="AV202" s="509">
        <v>100</v>
      </c>
      <c r="AW202" s="257">
        <v>2.92</v>
      </c>
      <c r="AX202" s="261"/>
      <c r="AY202" s="258">
        <v>20</v>
      </c>
      <c r="AZ202" s="261"/>
      <c r="BA202" s="175">
        <v>65</v>
      </c>
      <c r="BB202" s="259"/>
      <c r="BC202" s="176"/>
      <c r="BD202" s="179"/>
      <c r="BE202" s="177" t="s">
        <v>259</v>
      </c>
      <c r="BF202" s="178"/>
      <c r="BG202" s="27"/>
      <c r="BH202" s="27"/>
    </row>
    <row r="203" spans="1:60" ht="15" customHeight="1">
      <c r="A203" s="95">
        <v>202</v>
      </c>
      <c r="B203" s="96" t="s">
        <v>1544</v>
      </c>
      <c r="C203" s="73" t="s">
        <v>2755</v>
      </c>
      <c r="D203" s="257" t="s">
        <v>122</v>
      </c>
      <c r="E203" s="459" t="s">
        <v>3377</v>
      </c>
      <c r="F203" s="258">
        <v>1977</v>
      </c>
      <c r="G203" s="171">
        <v>115</v>
      </c>
      <c r="H203" s="57"/>
      <c r="I203" s="88"/>
      <c r="J203" s="508">
        <v>0.48</v>
      </c>
      <c r="K203" s="513">
        <v>4.2389999999999999</v>
      </c>
      <c r="L203" s="91"/>
      <c r="M203" s="506">
        <v>410</v>
      </c>
      <c r="N203" s="506"/>
      <c r="O203" s="509" t="s">
        <v>129</v>
      </c>
      <c r="P203" s="507"/>
      <c r="Q203" s="262"/>
      <c r="R203" s="507"/>
      <c r="S203" s="507"/>
      <c r="T203" s="506"/>
      <c r="U203" s="506"/>
      <c r="V203" s="131">
        <v>0</v>
      </c>
      <c r="W203" s="132">
        <v>0</v>
      </c>
      <c r="X203" s="120">
        <v>0</v>
      </c>
      <c r="Y203" s="120">
        <v>0</v>
      </c>
      <c r="Z203" s="120">
        <v>0</v>
      </c>
      <c r="AA203" s="130"/>
      <c r="AB203" s="17">
        <v>0</v>
      </c>
      <c r="AC203" s="17">
        <v>0</v>
      </c>
      <c r="AD203" s="130"/>
      <c r="AE203" s="130"/>
      <c r="AF203" s="17">
        <v>0</v>
      </c>
      <c r="AG203" s="133">
        <v>0</v>
      </c>
      <c r="AH203" s="17">
        <v>0</v>
      </c>
      <c r="AI203" s="17">
        <v>0</v>
      </c>
      <c r="AJ203" s="17">
        <v>0</v>
      </c>
      <c r="AK203" s="17">
        <v>0</v>
      </c>
      <c r="AL203" s="32">
        <v>0</v>
      </c>
      <c r="AM203" s="509">
        <v>50.8</v>
      </c>
      <c r="AN203" s="89"/>
      <c r="AO203" s="507"/>
      <c r="AP203" s="416">
        <v>30700</v>
      </c>
      <c r="AQ203" s="133" t="s">
        <v>13</v>
      </c>
      <c r="AR203" s="174">
        <v>75</v>
      </c>
      <c r="AS203" s="270"/>
      <c r="AT203" s="171" t="str">
        <f t="shared" si="15"/>
        <v>600</v>
      </c>
      <c r="AU203" s="255">
        <f t="shared" si="16"/>
        <v>33.333333333333336</v>
      </c>
      <c r="AV203" s="509">
        <v>100</v>
      </c>
      <c r="AW203" s="257">
        <v>28</v>
      </c>
      <c r="AX203" s="261"/>
      <c r="AY203" s="258">
        <v>20</v>
      </c>
      <c r="AZ203" s="261"/>
      <c r="BA203" s="175">
        <v>65</v>
      </c>
      <c r="BB203" s="259"/>
      <c r="BC203" s="176"/>
      <c r="BD203" s="179"/>
      <c r="BE203" s="177" t="s">
        <v>259</v>
      </c>
      <c r="BF203" s="178"/>
      <c r="BG203" s="27"/>
      <c r="BH203" s="27"/>
    </row>
    <row r="204" spans="1:60" ht="15" customHeight="1">
      <c r="A204" s="95">
        <v>203</v>
      </c>
      <c r="B204" s="96" t="s">
        <v>1543</v>
      </c>
      <c r="C204" s="73" t="s">
        <v>2755</v>
      </c>
      <c r="D204" s="257" t="s">
        <v>122</v>
      </c>
      <c r="E204" s="459" t="s">
        <v>3377</v>
      </c>
      <c r="F204" s="258">
        <v>1977</v>
      </c>
      <c r="G204" s="171">
        <v>115</v>
      </c>
      <c r="H204" s="57"/>
      <c r="I204" s="88"/>
      <c r="J204" s="508">
        <v>0.4</v>
      </c>
      <c r="K204" s="513">
        <v>4.5330000000000004</v>
      </c>
      <c r="L204" s="91"/>
      <c r="M204" s="506">
        <v>400</v>
      </c>
      <c r="N204" s="506"/>
      <c r="O204" s="509" t="s">
        <v>129</v>
      </c>
      <c r="P204" s="507"/>
      <c r="Q204" s="262"/>
      <c r="R204" s="507"/>
      <c r="S204" s="507"/>
      <c r="T204" s="506"/>
      <c r="U204" s="506"/>
      <c r="V204" s="131">
        <v>0</v>
      </c>
      <c r="W204" s="132">
        <v>0</v>
      </c>
      <c r="X204" s="120">
        <v>0</v>
      </c>
      <c r="Y204" s="120">
        <v>0</v>
      </c>
      <c r="Z204" s="120">
        <v>0</v>
      </c>
      <c r="AA204" s="130"/>
      <c r="AB204" s="17">
        <v>0</v>
      </c>
      <c r="AC204" s="17">
        <v>0</v>
      </c>
      <c r="AD204" s="130"/>
      <c r="AE204" s="130"/>
      <c r="AF204" s="17">
        <v>0</v>
      </c>
      <c r="AG204" s="133">
        <v>0</v>
      </c>
      <c r="AH204" s="17">
        <v>0</v>
      </c>
      <c r="AI204" s="17">
        <v>0</v>
      </c>
      <c r="AJ204" s="17">
        <v>0</v>
      </c>
      <c r="AK204" s="17">
        <v>0</v>
      </c>
      <c r="AL204" s="32">
        <v>0</v>
      </c>
      <c r="AM204" s="509">
        <v>60.3</v>
      </c>
      <c r="AN204" s="89"/>
      <c r="AO204" s="507"/>
      <c r="AP204" s="416">
        <v>38910</v>
      </c>
      <c r="AQ204" s="133" t="s">
        <v>13</v>
      </c>
      <c r="AR204" s="174">
        <v>75</v>
      </c>
      <c r="AS204" s="270"/>
      <c r="AT204" s="171" t="str">
        <f t="shared" si="15"/>
        <v>600</v>
      </c>
      <c r="AU204" s="255">
        <f t="shared" si="16"/>
        <v>33.333333333333336</v>
      </c>
      <c r="AV204" s="509">
        <v>100</v>
      </c>
      <c r="AW204" s="257">
        <v>0.42</v>
      </c>
      <c r="AX204" s="261"/>
      <c r="AY204" s="258">
        <v>20</v>
      </c>
      <c r="AZ204" s="261"/>
      <c r="BA204" s="175">
        <v>65</v>
      </c>
      <c r="BB204" s="259"/>
      <c r="BC204" s="176"/>
      <c r="BD204" s="179"/>
      <c r="BE204" s="177" t="s">
        <v>259</v>
      </c>
      <c r="BF204" s="178"/>
      <c r="BG204" s="27"/>
      <c r="BH204" s="27"/>
    </row>
    <row r="205" spans="1:60" ht="15" customHeight="1">
      <c r="A205" s="95">
        <v>204</v>
      </c>
      <c r="B205" s="96" t="s">
        <v>1542</v>
      </c>
      <c r="C205" s="73" t="s">
        <v>2755</v>
      </c>
      <c r="D205" s="257" t="s">
        <v>122</v>
      </c>
      <c r="E205" s="459" t="s">
        <v>3377</v>
      </c>
      <c r="F205" s="258">
        <v>1977</v>
      </c>
      <c r="G205" s="171">
        <v>115</v>
      </c>
      <c r="H205" s="57"/>
      <c r="I205" s="88"/>
      <c r="J205" s="508">
        <v>0.4</v>
      </c>
      <c r="K205" s="513">
        <v>4.5330000000000004</v>
      </c>
      <c r="L205" s="91"/>
      <c r="M205" s="506">
        <v>400</v>
      </c>
      <c r="N205" s="506"/>
      <c r="O205" s="509" t="s">
        <v>129</v>
      </c>
      <c r="P205" s="507"/>
      <c r="Q205" s="262"/>
      <c r="R205" s="507"/>
      <c r="S205" s="507"/>
      <c r="T205" s="506"/>
      <c r="U205" s="506"/>
      <c r="V205" s="131">
        <v>0</v>
      </c>
      <c r="W205" s="132">
        <v>0</v>
      </c>
      <c r="X205" s="120">
        <v>0</v>
      </c>
      <c r="Y205" s="120">
        <v>0</v>
      </c>
      <c r="Z205" s="120">
        <v>0</v>
      </c>
      <c r="AA205" s="130"/>
      <c r="AB205" s="17">
        <v>0</v>
      </c>
      <c r="AC205" s="17">
        <v>0</v>
      </c>
      <c r="AD205" s="130"/>
      <c r="AE205" s="130"/>
      <c r="AF205" s="17">
        <v>0</v>
      </c>
      <c r="AG205" s="133">
        <v>0</v>
      </c>
      <c r="AH205" s="17">
        <v>0</v>
      </c>
      <c r="AI205" s="17">
        <v>0</v>
      </c>
      <c r="AJ205" s="17">
        <v>0</v>
      </c>
      <c r="AK205" s="17">
        <v>0</v>
      </c>
      <c r="AL205" s="32">
        <v>0</v>
      </c>
      <c r="AM205" s="509">
        <v>60.3</v>
      </c>
      <c r="AN205" s="89"/>
      <c r="AO205" s="507"/>
      <c r="AP205" s="416">
        <v>38910</v>
      </c>
      <c r="AQ205" s="133" t="s">
        <v>13</v>
      </c>
      <c r="AR205" s="174">
        <v>75</v>
      </c>
      <c r="AS205" s="270"/>
      <c r="AT205" s="171" t="str">
        <f t="shared" si="15"/>
        <v>600</v>
      </c>
      <c r="AU205" s="255">
        <f t="shared" si="16"/>
        <v>33.333333333333336</v>
      </c>
      <c r="AV205" s="509">
        <v>100</v>
      </c>
      <c r="AW205" s="257">
        <v>1.5</v>
      </c>
      <c r="AX205" s="261"/>
      <c r="AY205" s="258">
        <v>20</v>
      </c>
      <c r="AZ205" s="261"/>
      <c r="BA205" s="175">
        <v>65</v>
      </c>
      <c r="BB205" s="259"/>
      <c r="BC205" s="176"/>
      <c r="BD205" s="179"/>
      <c r="BE205" s="177" t="s">
        <v>259</v>
      </c>
      <c r="BF205" s="178"/>
      <c r="BG205" s="27"/>
      <c r="BH205" s="27"/>
    </row>
    <row r="206" spans="1:60" ht="15" customHeight="1">
      <c r="A206" s="95">
        <v>205</v>
      </c>
      <c r="B206" s="96" t="s">
        <v>1541</v>
      </c>
      <c r="C206" s="73" t="s">
        <v>2755</v>
      </c>
      <c r="D206" s="257" t="s">
        <v>122</v>
      </c>
      <c r="E206" s="459" t="s">
        <v>3377</v>
      </c>
      <c r="F206" s="258">
        <v>1977</v>
      </c>
      <c r="G206" s="171">
        <v>115</v>
      </c>
      <c r="H206" s="57"/>
      <c r="I206" s="88"/>
      <c r="J206" s="508">
        <v>0.4</v>
      </c>
      <c r="K206" s="513">
        <v>4.5330000000000004</v>
      </c>
      <c r="L206" s="91"/>
      <c r="M206" s="506">
        <v>400</v>
      </c>
      <c r="N206" s="506"/>
      <c r="O206" s="509" t="s">
        <v>129</v>
      </c>
      <c r="P206" s="507"/>
      <c r="Q206" s="262"/>
      <c r="R206" s="507"/>
      <c r="S206" s="507"/>
      <c r="T206" s="506"/>
      <c r="U206" s="506"/>
      <c r="V206" s="131">
        <v>0</v>
      </c>
      <c r="W206" s="132">
        <v>0</v>
      </c>
      <c r="X206" s="120">
        <v>0</v>
      </c>
      <c r="Y206" s="120">
        <v>0</v>
      </c>
      <c r="Z206" s="120">
        <v>0</v>
      </c>
      <c r="AA206" s="130"/>
      <c r="AB206" s="17">
        <v>0</v>
      </c>
      <c r="AC206" s="17">
        <v>0</v>
      </c>
      <c r="AD206" s="130"/>
      <c r="AE206" s="130"/>
      <c r="AF206" s="17">
        <v>0</v>
      </c>
      <c r="AG206" s="133">
        <v>0</v>
      </c>
      <c r="AH206" s="17">
        <v>0</v>
      </c>
      <c r="AI206" s="17">
        <v>0</v>
      </c>
      <c r="AJ206" s="17">
        <v>0</v>
      </c>
      <c r="AK206" s="17">
        <v>0</v>
      </c>
      <c r="AL206" s="32">
        <v>0</v>
      </c>
      <c r="AM206" s="509">
        <v>60.3</v>
      </c>
      <c r="AN206" s="89"/>
      <c r="AO206" s="507"/>
      <c r="AP206" s="416">
        <v>38910</v>
      </c>
      <c r="AQ206" s="133" t="s">
        <v>13</v>
      </c>
      <c r="AR206" s="174">
        <v>75</v>
      </c>
      <c r="AS206" s="270"/>
      <c r="AT206" s="171" t="str">
        <f t="shared" si="15"/>
        <v>600</v>
      </c>
      <c r="AU206" s="255">
        <f t="shared" si="16"/>
        <v>33.333333333333336</v>
      </c>
      <c r="AV206" s="509">
        <v>100</v>
      </c>
      <c r="AW206" s="257">
        <v>28</v>
      </c>
      <c r="AX206" s="261"/>
      <c r="AY206" s="258">
        <v>20</v>
      </c>
      <c r="AZ206" s="261"/>
      <c r="BA206" s="175">
        <v>65</v>
      </c>
      <c r="BB206" s="259"/>
      <c r="BC206" s="176"/>
      <c r="BD206" s="179"/>
      <c r="BE206" s="177" t="s">
        <v>259</v>
      </c>
      <c r="BF206" s="178"/>
      <c r="BG206" s="27"/>
      <c r="BH206" s="27"/>
    </row>
    <row r="207" spans="1:60" ht="15" customHeight="1">
      <c r="A207" s="95">
        <v>206</v>
      </c>
      <c r="B207" s="96" t="s">
        <v>1540</v>
      </c>
      <c r="C207" s="73" t="s">
        <v>250</v>
      </c>
      <c r="D207" s="257" t="s">
        <v>122</v>
      </c>
      <c r="E207" s="459" t="s">
        <v>3377</v>
      </c>
      <c r="F207" s="258">
        <v>1978</v>
      </c>
      <c r="G207" s="171">
        <v>116</v>
      </c>
      <c r="H207" s="57"/>
      <c r="I207" s="88"/>
      <c r="J207" s="508">
        <v>0.55000000000000004</v>
      </c>
      <c r="K207" s="513">
        <v>5.3869999999999996</v>
      </c>
      <c r="L207" s="91"/>
      <c r="M207" s="506">
        <v>336</v>
      </c>
      <c r="N207" s="506"/>
      <c r="O207" s="509" t="s">
        <v>12</v>
      </c>
      <c r="P207" s="507"/>
      <c r="Q207" s="262"/>
      <c r="R207" s="507"/>
      <c r="S207" s="507"/>
      <c r="T207" s="506"/>
      <c r="U207" s="506"/>
      <c r="V207" s="131">
        <v>0</v>
      </c>
      <c r="W207" s="132">
        <v>0</v>
      </c>
      <c r="X207" s="120">
        <v>0</v>
      </c>
      <c r="Y207" s="120">
        <v>0</v>
      </c>
      <c r="Z207" s="120">
        <v>0</v>
      </c>
      <c r="AA207" s="130"/>
      <c r="AB207" s="17">
        <v>0</v>
      </c>
      <c r="AC207" s="17">
        <v>0</v>
      </c>
      <c r="AD207" s="130"/>
      <c r="AE207" s="130"/>
      <c r="AF207" s="17">
        <v>0</v>
      </c>
      <c r="AG207" s="133">
        <v>0</v>
      </c>
      <c r="AH207" s="17">
        <v>0</v>
      </c>
      <c r="AI207" s="17">
        <v>0</v>
      </c>
      <c r="AJ207" s="17">
        <v>0</v>
      </c>
      <c r="AK207" s="17">
        <v>0</v>
      </c>
      <c r="AL207" s="32">
        <v>0</v>
      </c>
      <c r="AM207" s="509">
        <v>33.200000000000003</v>
      </c>
      <c r="AN207" s="89"/>
      <c r="AO207" s="507"/>
      <c r="AP207" s="416">
        <v>32200</v>
      </c>
      <c r="AQ207" s="133" t="s">
        <v>124</v>
      </c>
      <c r="AR207" s="174">
        <v>100</v>
      </c>
      <c r="AS207" s="270"/>
      <c r="AT207" s="171" t="str">
        <f t="shared" si="15"/>
        <v>800</v>
      </c>
      <c r="AU207" s="255">
        <f t="shared" si="16"/>
        <v>44.444444444444443</v>
      </c>
      <c r="AV207" s="509">
        <v>65</v>
      </c>
      <c r="AW207" s="257">
        <v>3</v>
      </c>
      <c r="AX207" s="261"/>
      <c r="AY207" s="258">
        <v>20</v>
      </c>
      <c r="AZ207" s="261"/>
      <c r="BA207" s="175">
        <v>65</v>
      </c>
      <c r="BB207" s="259"/>
      <c r="BC207" s="176"/>
      <c r="BD207" s="179"/>
      <c r="BE207" s="177" t="s">
        <v>259</v>
      </c>
      <c r="BF207" s="178"/>
      <c r="BG207" s="27"/>
      <c r="BH207" s="27"/>
    </row>
    <row r="208" spans="1:60" ht="15" customHeight="1">
      <c r="A208" s="95">
        <v>207</v>
      </c>
      <c r="B208" s="96" t="s">
        <v>1539</v>
      </c>
      <c r="C208" s="73" t="s">
        <v>250</v>
      </c>
      <c r="D208" s="257" t="s">
        <v>122</v>
      </c>
      <c r="E208" s="459" t="s">
        <v>3377</v>
      </c>
      <c r="F208" s="258">
        <v>1978</v>
      </c>
      <c r="G208" s="171">
        <v>116</v>
      </c>
      <c r="H208" s="57"/>
      <c r="I208" s="88"/>
      <c r="J208" s="508">
        <v>0.55000000000000004</v>
      </c>
      <c r="K208" s="513">
        <v>5.3869999999999996</v>
      </c>
      <c r="L208" s="91"/>
      <c r="M208" s="506">
        <v>336</v>
      </c>
      <c r="N208" s="506"/>
      <c r="O208" s="509" t="s">
        <v>12</v>
      </c>
      <c r="P208" s="507"/>
      <c r="Q208" s="262"/>
      <c r="R208" s="507"/>
      <c r="S208" s="507"/>
      <c r="T208" s="506"/>
      <c r="U208" s="506"/>
      <c r="V208" s="131">
        <v>0</v>
      </c>
      <c r="W208" s="132">
        <v>0</v>
      </c>
      <c r="X208" s="120">
        <v>0</v>
      </c>
      <c r="Y208" s="120">
        <v>0</v>
      </c>
      <c r="Z208" s="120">
        <v>0</v>
      </c>
      <c r="AA208" s="130"/>
      <c r="AB208" s="17">
        <v>0</v>
      </c>
      <c r="AC208" s="17">
        <v>0</v>
      </c>
      <c r="AD208" s="130"/>
      <c r="AE208" s="130"/>
      <c r="AF208" s="17">
        <v>0</v>
      </c>
      <c r="AG208" s="133">
        <v>0</v>
      </c>
      <c r="AH208" s="17">
        <v>0</v>
      </c>
      <c r="AI208" s="17">
        <v>0</v>
      </c>
      <c r="AJ208" s="17">
        <v>0</v>
      </c>
      <c r="AK208" s="17">
        <v>0</v>
      </c>
      <c r="AL208" s="32">
        <v>0</v>
      </c>
      <c r="AM208" s="509">
        <v>33.200000000000003</v>
      </c>
      <c r="AN208" s="89"/>
      <c r="AO208" s="507"/>
      <c r="AP208" s="416">
        <v>32200</v>
      </c>
      <c r="AQ208" s="133" t="s">
        <v>124</v>
      </c>
      <c r="AR208" s="174">
        <v>100</v>
      </c>
      <c r="AS208" s="270"/>
      <c r="AT208" s="171" t="str">
        <f t="shared" si="15"/>
        <v>800</v>
      </c>
      <c r="AU208" s="255">
        <f t="shared" si="16"/>
        <v>44.444444444444443</v>
      </c>
      <c r="AV208" s="509">
        <v>65</v>
      </c>
      <c r="AW208" s="257">
        <v>7</v>
      </c>
      <c r="AX208" s="261"/>
      <c r="AY208" s="258">
        <v>20</v>
      </c>
      <c r="AZ208" s="261"/>
      <c r="BA208" s="175">
        <v>65</v>
      </c>
      <c r="BB208" s="259"/>
      <c r="BC208" s="176"/>
      <c r="BD208" s="177"/>
      <c r="BE208" s="177" t="s">
        <v>259</v>
      </c>
      <c r="BF208" s="178"/>
      <c r="BG208" s="27"/>
      <c r="BH208" s="27"/>
    </row>
    <row r="209" spans="1:60" ht="15" customHeight="1">
      <c r="A209" s="95">
        <v>208</v>
      </c>
      <c r="B209" s="96" t="s">
        <v>1538</v>
      </c>
      <c r="C209" s="73" t="s">
        <v>250</v>
      </c>
      <c r="D209" s="257" t="s">
        <v>122</v>
      </c>
      <c r="E209" s="459" t="s">
        <v>3377</v>
      </c>
      <c r="F209" s="258">
        <v>1978</v>
      </c>
      <c r="G209" s="171">
        <v>116</v>
      </c>
      <c r="H209" s="57"/>
      <c r="I209" s="88"/>
      <c r="J209" s="508">
        <v>0.55000000000000004</v>
      </c>
      <c r="K209" s="513">
        <v>5.3949999999999996</v>
      </c>
      <c r="L209" s="91"/>
      <c r="M209" s="506">
        <v>337</v>
      </c>
      <c r="N209" s="506"/>
      <c r="O209" s="509" t="s">
        <v>129</v>
      </c>
      <c r="P209" s="507"/>
      <c r="Q209" s="262"/>
      <c r="R209" s="507"/>
      <c r="S209" s="507"/>
      <c r="T209" s="506"/>
      <c r="U209" s="506"/>
      <c r="V209" s="131">
        <v>0</v>
      </c>
      <c r="W209" s="132">
        <v>0</v>
      </c>
      <c r="X209" s="120">
        <v>0</v>
      </c>
      <c r="Y209" s="120">
        <v>0</v>
      </c>
      <c r="Z209" s="120">
        <v>0</v>
      </c>
      <c r="AA209" s="130"/>
      <c r="AB209" s="17">
        <v>0</v>
      </c>
      <c r="AC209" s="17">
        <v>0</v>
      </c>
      <c r="AD209" s="130"/>
      <c r="AE209" s="130"/>
      <c r="AF209" s="17">
        <v>0</v>
      </c>
      <c r="AG209" s="133">
        <v>0</v>
      </c>
      <c r="AH209" s="17">
        <v>0</v>
      </c>
      <c r="AI209" s="17">
        <v>0</v>
      </c>
      <c r="AJ209" s="17">
        <v>0</v>
      </c>
      <c r="AK209" s="17">
        <v>0</v>
      </c>
      <c r="AL209" s="32">
        <v>0</v>
      </c>
      <c r="AM209" s="509">
        <v>46.5</v>
      </c>
      <c r="AN209" s="89"/>
      <c r="AO209" s="507"/>
      <c r="AP209" s="416">
        <v>37500</v>
      </c>
      <c r="AQ209" s="133" t="s">
        <v>124</v>
      </c>
      <c r="AR209" s="174">
        <v>100</v>
      </c>
      <c r="AS209" s="270"/>
      <c r="AT209" s="171" t="str">
        <f t="shared" si="15"/>
        <v>800</v>
      </c>
      <c r="AU209" s="255">
        <f t="shared" si="16"/>
        <v>44.444444444444443</v>
      </c>
      <c r="AV209" s="509">
        <v>65</v>
      </c>
      <c r="AW209" s="257">
        <v>1</v>
      </c>
      <c r="AX209" s="261"/>
      <c r="AY209" s="258">
        <v>20</v>
      </c>
      <c r="AZ209" s="261"/>
      <c r="BA209" s="175">
        <v>65</v>
      </c>
      <c r="BB209" s="259"/>
      <c r="BC209" s="176" t="s">
        <v>558</v>
      </c>
      <c r="BD209" s="177"/>
      <c r="BE209" s="177" t="s">
        <v>259</v>
      </c>
      <c r="BF209" s="178"/>
      <c r="BG209" s="27"/>
      <c r="BH209" s="27"/>
    </row>
    <row r="210" spans="1:60" ht="15" customHeight="1">
      <c r="A210" s="95">
        <v>209</v>
      </c>
      <c r="B210" s="96" t="s">
        <v>1537</v>
      </c>
      <c r="C210" s="73" t="s">
        <v>250</v>
      </c>
      <c r="D210" s="257" t="s">
        <v>122</v>
      </c>
      <c r="E210" s="459" t="s">
        <v>3377</v>
      </c>
      <c r="F210" s="258">
        <v>1978</v>
      </c>
      <c r="G210" s="171">
        <v>116</v>
      </c>
      <c r="H210" s="57"/>
      <c r="I210" s="88"/>
      <c r="J210" s="508">
        <v>0.55000000000000004</v>
      </c>
      <c r="K210" s="513">
        <v>5.3949999999999996</v>
      </c>
      <c r="L210" s="91"/>
      <c r="M210" s="506">
        <v>337</v>
      </c>
      <c r="N210" s="506"/>
      <c r="O210" s="509" t="s">
        <v>129</v>
      </c>
      <c r="P210" s="507"/>
      <c r="Q210" s="262"/>
      <c r="R210" s="507"/>
      <c r="S210" s="507"/>
      <c r="T210" s="506"/>
      <c r="U210" s="506"/>
      <c r="V210" s="131">
        <v>0</v>
      </c>
      <c r="W210" s="132">
        <v>0</v>
      </c>
      <c r="X210" s="120">
        <v>0</v>
      </c>
      <c r="Y210" s="120">
        <v>0</v>
      </c>
      <c r="Z210" s="120">
        <v>0</v>
      </c>
      <c r="AA210" s="130"/>
      <c r="AB210" s="17">
        <v>0</v>
      </c>
      <c r="AC210" s="17">
        <v>0</v>
      </c>
      <c r="AD210" s="130"/>
      <c r="AE210" s="130"/>
      <c r="AF210" s="17">
        <v>0</v>
      </c>
      <c r="AG210" s="133">
        <v>0</v>
      </c>
      <c r="AH210" s="17">
        <v>0</v>
      </c>
      <c r="AI210" s="17">
        <v>0</v>
      </c>
      <c r="AJ210" s="17">
        <v>0</v>
      </c>
      <c r="AK210" s="17">
        <v>0</v>
      </c>
      <c r="AL210" s="32">
        <v>0</v>
      </c>
      <c r="AM210" s="509">
        <v>46.5</v>
      </c>
      <c r="AN210" s="89"/>
      <c r="AO210" s="507"/>
      <c r="AP210" s="416">
        <v>37500</v>
      </c>
      <c r="AQ210" s="133" t="s">
        <v>124</v>
      </c>
      <c r="AR210" s="174">
        <v>100</v>
      </c>
      <c r="AS210" s="270"/>
      <c r="AT210" s="171" t="str">
        <f t="shared" si="15"/>
        <v>800</v>
      </c>
      <c r="AU210" s="255">
        <f t="shared" si="16"/>
        <v>44.444444444444443</v>
      </c>
      <c r="AV210" s="509">
        <v>65</v>
      </c>
      <c r="AW210" s="257">
        <v>3</v>
      </c>
      <c r="AX210" s="261"/>
      <c r="AY210" s="258">
        <v>20</v>
      </c>
      <c r="AZ210" s="261"/>
      <c r="BA210" s="175">
        <v>65</v>
      </c>
      <c r="BB210" s="259"/>
      <c r="BC210" s="176" t="s">
        <v>558</v>
      </c>
      <c r="BD210" s="177"/>
      <c r="BE210" s="177" t="s">
        <v>259</v>
      </c>
      <c r="BF210" s="178"/>
      <c r="BG210" s="27"/>
      <c r="BH210" s="27"/>
    </row>
    <row r="211" spans="1:60" ht="15" customHeight="1">
      <c r="A211" s="95">
        <v>210</v>
      </c>
      <c r="B211" s="96" t="s">
        <v>1536</v>
      </c>
      <c r="C211" s="73" t="s">
        <v>250</v>
      </c>
      <c r="D211" s="257" t="s">
        <v>122</v>
      </c>
      <c r="E211" s="459" t="s">
        <v>3377</v>
      </c>
      <c r="F211" s="258">
        <v>1978</v>
      </c>
      <c r="G211" s="171">
        <v>116</v>
      </c>
      <c r="H211" s="57"/>
      <c r="I211" s="88"/>
      <c r="J211" s="508">
        <v>0.55000000000000004</v>
      </c>
      <c r="K211" s="513">
        <v>5.3949999999999996</v>
      </c>
      <c r="L211" s="91"/>
      <c r="M211" s="506">
        <v>337</v>
      </c>
      <c r="N211" s="506"/>
      <c r="O211" s="509" t="s">
        <v>129</v>
      </c>
      <c r="P211" s="507"/>
      <c r="Q211" s="262"/>
      <c r="R211" s="507"/>
      <c r="S211" s="507"/>
      <c r="T211" s="506"/>
      <c r="U211" s="506"/>
      <c r="V211" s="131">
        <v>0</v>
      </c>
      <c r="W211" s="132">
        <v>0</v>
      </c>
      <c r="X211" s="120">
        <v>0</v>
      </c>
      <c r="Y211" s="120">
        <v>0</v>
      </c>
      <c r="Z211" s="120">
        <v>0</v>
      </c>
      <c r="AA211" s="130"/>
      <c r="AB211" s="17">
        <v>0</v>
      </c>
      <c r="AC211" s="17">
        <v>0</v>
      </c>
      <c r="AD211" s="130"/>
      <c r="AE211" s="130"/>
      <c r="AF211" s="17">
        <v>0</v>
      </c>
      <c r="AG211" s="133">
        <v>0</v>
      </c>
      <c r="AH211" s="17">
        <v>0</v>
      </c>
      <c r="AI211" s="17">
        <v>0</v>
      </c>
      <c r="AJ211" s="17">
        <v>0</v>
      </c>
      <c r="AK211" s="17">
        <v>0</v>
      </c>
      <c r="AL211" s="32">
        <v>0</v>
      </c>
      <c r="AM211" s="509">
        <v>46.5</v>
      </c>
      <c r="AN211" s="89"/>
      <c r="AO211" s="507"/>
      <c r="AP211" s="416">
        <v>37500</v>
      </c>
      <c r="AQ211" s="133" t="s">
        <v>124</v>
      </c>
      <c r="AR211" s="174">
        <v>100</v>
      </c>
      <c r="AS211" s="270"/>
      <c r="AT211" s="171" t="str">
        <f t="shared" si="15"/>
        <v>800</v>
      </c>
      <c r="AU211" s="255">
        <f t="shared" si="16"/>
        <v>44.444444444444443</v>
      </c>
      <c r="AV211" s="509">
        <v>65</v>
      </c>
      <c r="AW211" s="257">
        <v>7</v>
      </c>
      <c r="AX211" s="261"/>
      <c r="AY211" s="258">
        <v>20</v>
      </c>
      <c r="AZ211" s="261"/>
      <c r="BA211" s="175">
        <v>65</v>
      </c>
      <c r="BB211" s="259"/>
      <c r="BC211" s="176" t="s">
        <v>558</v>
      </c>
      <c r="BD211" s="177"/>
      <c r="BE211" s="177" t="s">
        <v>259</v>
      </c>
      <c r="BF211" s="178"/>
      <c r="BG211" s="27"/>
      <c r="BH211" s="27"/>
    </row>
    <row r="212" spans="1:60" ht="15" customHeight="1">
      <c r="A212" s="95">
        <v>211</v>
      </c>
      <c r="B212" s="96" t="s">
        <v>1535</v>
      </c>
      <c r="C212" s="73" t="s">
        <v>250</v>
      </c>
      <c r="D212" s="257" t="s">
        <v>122</v>
      </c>
      <c r="E212" s="459" t="s">
        <v>3377</v>
      </c>
      <c r="F212" s="258">
        <v>1978</v>
      </c>
      <c r="G212" s="171">
        <v>116</v>
      </c>
      <c r="H212" s="57"/>
      <c r="I212" s="88"/>
      <c r="J212" s="508">
        <v>0.55000000000000004</v>
      </c>
      <c r="K212" s="513">
        <v>5.3860000000000001</v>
      </c>
      <c r="L212" s="91"/>
      <c r="M212" s="506">
        <v>336</v>
      </c>
      <c r="N212" s="506"/>
      <c r="O212" s="509" t="s">
        <v>120</v>
      </c>
      <c r="P212" s="507"/>
      <c r="Q212" s="262"/>
      <c r="R212" s="507"/>
      <c r="S212" s="507"/>
      <c r="T212" s="506"/>
      <c r="U212" s="506"/>
      <c r="V212" s="131">
        <v>0</v>
      </c>
      <c r="W212" s="132">
        <v>0</v>
      </c>
      <c r="X212" s="120">
        <v>0</v>
      </c>
      <c r="Y212" s="120">
        <v>0</v>
      </c>
      <c r="Z212" s="120">
        <v>0</v>
      </c>
      <c r="AA212" s="130"/>
      <c r="AB212" s="17">
        <v>0</v>
      </c>
      <c r="AC212" s="17">
        <v>0</v>
      </c>
      <c r="AD212" s="130"/>
      <c r="AE212" s="130"/>
      <c r="AF212" s="17">
        <v>0</v>
      </c>
      <c r="AG212" s="133">
        <v>0</v>
      </c>
      <c r="AH212" s="17">
        <v>0</v>
      </c>
      <c r="AI212" s="17">
        <v>0</v>
      </c>
      <c r="AJ212" s="17">
        <v>0</v>
      </c>
      <c r="AK212" s="17">
        <v>0</v>
      </c>
      <c r="AL212" s="32">
        <v>0</v>
      </c>
      <c r="AM212" s="509">
        <v>33.9</v>
      </c>
      <c r="AN212" s="89"/>
      <c r="AO212" s="507"/>
      <c r="AP212" s="416">
        <v>27800</v>
      </c>
      <c r="AQ212" s="133" t="s">
        <v>124</v>
      </c>
      <c r="AR212" s="174">
        <v>100</v>
      </c>
      <c r="AS212" s="270"/>
      <c r="AT212" s="171" t="str">
        <f t="shared" si="15"/>
        <v>800</v>
      </c>
      <c r="AU212" s="255">
        <f t="shared" si="16"/>
        <v>44.444444444444443</v>
      </c>
      <c r="AV212" s="509">
        <v>65</v>
      </c>
      <c r="AW212" s="257">
        <v>3</v>
      </c>
      <c r="AX212" s="261"/>
      <c r="AY212" s="258">
        <v>20</v>
      </c>
      <c r="AZ212" s="261"/>
      <c r="BA212" s="175">
        <v>65</v>
      </c>
      <c r="BB212" s="259"/>
      <c r="BC212" s="176"/>
      <c r="BD212" s="177"/>
      <c r="BE212" s="177" t="s">
        <v>259</v>
      </c>
      <c r="BF212" s="178"/>
      <c r="BG212" s="27"/>
      <c r="BH212" s="27"/>
    </row>
    <row r="213" spans="1:60" ht="15" customHeight="1">
      <c r="A213" s="95">
        <v>212</v>
      </c>
      <c r="B213" s="96" t="s">
        <v>1534</v>
      </c>
      <c r="C213" s="73" t="s">
        <v>250</v>
      </c>
      <c r="D213" s="257" t="s">
        <v>122</v>
      </c>
      <c r="E213" s="459" t="s">
        <v>3377</v>
      </c>
      <c r="F213" s="258">
        <v>1978</v>
      </c>
      <c r="G213" s="171">
        <v>116</v>
      </c>
      <c r="H213" s="57"/>
      <c r="I213" s="88"/>
      <c r="J213" s="508">
        <v>0.55000000000000004</v>
      </c>
      <c r="K213" s="513">
        <v>5.3860000000000001</v>
      </c>
      <c r="L213" s="91"/>
      <c r="M213" s="506">
        <v>336</v>
      </c>
      <c r="N213" s="506"/>
      <c r="O213" s="509" t="s">
        <v>120</v>
      </c>
      <c r="P213" s="507"/>
      <c r="Q213" s="262"/>
      <c r="R213" s="507"/>
      <c r="S213" s="507"/>
      <c r="T213" s="506"/>
      <c r="U213" s="506"/>
      <c r="V213" s="131">
        <v>0</v>
      </c>
      <c r="W213" s="132">
        <v>0</v>
      </c>
      <c r="X213" s="120">
        <v>0</v>
      </c>
      <c r="Y213" s="120">
        <v>0</v>
      </c>
      <c r="Z213" s="120">
        <v>0</v>
      </c>
      <c r="AA213" s="130"/>
      <c r="AB213" s="17">
        <v>0</v>
      </c>
      <c r="AC213" s="17">
        <v>0</v>
      </c>
      <c r="AD213" s="130"/>
      <c r="AE213" s="130"/>
      <c r="AF213" s="17">
        <v>0</v>
      </c>
      <c r="AG213" s="133">
        <v>0</v>
      </c>
      <c r="AH213" s="17">
        <v>0</v>
      </c>
      <c r="AI213" s="17">
        <v>0</v>
      </c>
      <c r="AJ213" s="17">
        <v>0</v>
      </c>
      <c r="AK213" s="17">
        <v>0</v>
      </c>
      <c r="AL213" s="32">
        <v>0</v>
      </c>
      <c r="AM213" s="509">
        <v>33.9</v>
      </c>
      <c r="AN213" s="89"/>
      <c r="AO213" s="507"/>
      <c r="AP213" s="416">
        <v>27800</v>
      </c>
      <c r="AQ213" s="133" t="s">
        <v>124</v>
      </c>
      <c r="AR213" s="174">
        <v>100</v>
      </c>
      <c r="AS213" s="270"/>
      <c r="AT213" s="171" t="str">
        <f t="shared" si="15"/>
        <v>800</v>
      </c>
      <c r="AU213" s="255">
        <f t="shared" si="16"/>
        <v>44.444444444444443</v>
      </c>
      <c r="AV213" s="509">
        <v>65</v>
      </c>
      <c r="AW213" s="257">
        <v>7</v>
      </c>
      <c r="AX213" s="261"/>
      <c r="AY213" s="258">
        <v>20</v>
      </c>
      <c r="AZ213" s="261"/>
      <c r="BA213" s="175">
        <v>65</v>
      </c>
      <c r="BB213" s="259"/>
      <c r="BC213" s="176"/>
      <c r="BD213" s="177"/>
      <c r="BE213" s="177" t="s">
        <v>259</v>
      </c>
      <c r="BF213" s="178"/>
      <c r="BG213" s="27"/>
      <c r="BH213" s="27"/>
    </row>
    <row r="214" spans="1:60" ht="15" customHeight="1">
      <c r="A214" s="95">
        <v>213</v>
      </c>
      <c r="B214" s="96" t="s">
        <v>1533</v>
      </c>
      <c r="C214" s="73" t="s">
        <v>250</v>
      </c>
      <c r="D214" s="257" t="s">
        <v>122</v>
      </c>
      <c r="E214" s="459" t="s">
        <v>3377</v>
      </c>
      <c r="F214" s="258">
        <v>1978</v>
      </c>
      <c r="G214" s="171">
        <v>116</v>
      </c>
      <c r="H214" s="57"/>
      <c r="I214" s="88"/>
      <c r="J214" s="508">
        <v>0.55000000000000004</v>
      </c>
      <c r="K214" s="513">
        <v>5.3860000000000001</v>
      </c>
      <c r="L214" s="91"/>
      <c r="M214" s="506">
        <v>336</v>
      </c>
      <c r="N214" s="506"/>
      <c r="O214" s="509" t="s">
        <v>120</v>
      </c>
      <c r="P214" s="507"/>
      <c r="Q214" s="262"/>
      <c r="R214" s="507"/>
      <c r="S214" s="507"/>
      <c r="T214" s="506"/>
      <c r="U214" s="506"/>
      <c r="V214" s="131">
        <v>0</v>
      </c>
      <c r="W214" s="132">
        <v>0</v>
      </c>
      <c r="X214" s="120">
        <v>0</v>
      </c>
      <c r="Y214" s="120">
        <v>0</v>
      </c>
      <c r="Z214" s="120">
        <v>0</v>
      </c>
      <c r="AA214" s="130"/>
      <c r="AB214" s="17">
        <v>0</v>
      </c>
      <c r="AC214" s="17">
        <v>0</v>
      </c>
      <c r="AD214" s="130"/>
      <c r="AE214" s="130"/>
      <c r="AF214" s="17">
        <v>0</v>
      </c>
      <c r="AG214" s="133">
        <v>0</v>
      </c>
      <c r="AH214" s="17">
        <v>0</v>
      </c>
      <c r="AI214" s="17">
        <v>0</v>
      </c>
      <c r="AJ214" s="17">
        <v>0</v>
      </c>
      <c r="AK214" s="17">
        <v>0</v>
      </c>
      <c r="AL214" s="32">
        <v>0</v>
      </c>
      <c r="AM214" s="509">
        <v>33.1</v>
      </c>
      <c r="AN214" s="89"/>
      <c r="AO214" s="507"/>
      <c r="AP214" s="416">
        <v>35400</v>
      </c>
      <c r="AQ214" s="133" t="s">
        <v>124</v>
      </c>
      <c r="AR214" s="174">
        <v>100</v>
      </c>
      <c r="AS214" s="270"/>
      <c r="AT214" s="171" t="str">
        <f t="shared" si="15"/>
        <v>800</v>
      </c>
      <c r="AU214" s="255">
        <f t="shared" si="16"/>
        <v>44.444444444444443</v>
      </c>
      <c r="AV214" s="509">
        <v>65</v>
      </c>
      <c r="AW214" s="257">
        <v>7</v>
      </c>
      <c r="AX214" s="261"/>
      <c r="AY214" s="258">
        <v>20</v>
      </c>
      <c r="AZ214" s="261"/>
      <c r="BA214" s="175">
        <v>65</v>
      </c>
      <c r="BB214" s="259"/>
      <c r="BC214" s="176"/>
      <c r="BD214" s="177"/>
      <c r="BE214" s="177" t="s">
        <v>259</v>
      </c>
      <c r="BF214" s="178"/>
      <c r="BG214" s="27"/>
      <c r="BH214" s="27"/>
    </row>
    <row r="215" spans="1:60" ht="15" customHeight="1">
      <c r="A215" s="95">
        <v>214</v>
      </c>
      <c r="B215" s="96" t="s">
        <v>1532</v>
      </c>
      <c r="C215" s="73" t="s">
        <v>250</v>
      </c>
      <c r="D215" s="257" t="s">
        <v>122</v>
      </c>
      <c r="E215" s="459" t="s">
        <v>3377</v>
      </c>
      <c r="F215" s="258">
        <v>1978</v>
      </c>
      <c r="G215" s="171">
        <v>116</v>
      </c>
      <c r="H215" s="57"/>
      <c r="I215" s="88"/>
      <c r="J215" s="508">
        <v>0.55000000000000004</v>
      </c>
      <c r="K215" s="513">
        <v>5.3860000000000001</v>
      </c>
      <c r="L215" s="91"/>
      <c r="M215" s="506">
        <v>336</v>
      </c>
      <c r="N215" s="506"/>
      <c r="O215" s="509" t="s">
        <v>120</v>
      </c>
      <c r="P215" s="507"/>
      <c r="Q215" s="262"/>
      <c r="R215" s="507"/>
      <c r="S215" s="507"/>
      <c r="T215" s="506"/>
      <c r="U215" s="506"/>
      <c r="V215" s="131">
        <v>0</v>
      </c>
      <c r="W215" s="132">
        <v>0</v>
      </c>
      <c r="X215" s="120">
        <v>0</v>
      </c>
      <c r="Y215" s="120">
        <v>0</v>
      </c>
      <c r="Z215" s="120">
        <v>0</v>
      </c>
      <c r="AA215" s="130"/>
      <c r="AB215" s="17">
        <v>0</v>
      </c>
      <c r="AC215" s="17">
        <v>0</v>
      </c>
      <c r="AD215" s="130"/>
      <c r="AE215" s="130"/>
      <c r="AF215" s="17">
        <v>0</v>
      </c>
      <c r="AG215" s="133">
        <v>0</v>
      </c>
      <c r="AH215" s="17">
        <v>0</v>
      </c>
      <c r="AI215" s="17">
        <v>0</v>
      </c>
      <c r="AJ215" s="17">
        <v>0</v>
      </c>
      <c r="AK215" s="17">
        <v>0</v>
      </c>
      <c r="AL215" s="32">
        <v>0</v>
      </c>
      <c r="AM215" s="509">
        <v>30.5</v>
      </c>
      <c r="AN215" s="89"/>
      <c r="AO215" s="507"/>
      <c r="AP215" s="416">
        <v>28400</v>
      </c>
      <c r="AQ215" s="133" t="s">
        <v>124</v>
      </c>
      <c r="AR215" s="174">
        <v>100</v>
      </c>
      <c r="AS215" s="270"/>
      <c r="AT215" s="171" t="str">
        <f t="shared" si="15"/>
        <v>800</v>
      </c>
      <c r="AU215" s="255">
        <f t="shared" si="16"/>
        <v>44.444444444444443</v>
      </c>
      <c r="AV215" s="509">
        <v>65</v>
      </c>
      <c r="AW215" s="273">
        <v>7</v>
      </c>
      <c r="AX215" s="261"/>
      <c r="AY215" s="258">
        <v>20</v>
      </c>
      <c r="AZ215" s="261"/>
      <c r="BA215" s="175">
        <v>65</v>
      </c>
      <c r="BB215" s="259"/>
      <c r="BC215" s="176"/>
      <c r="BD215" s="177"/>
      <c r="BE215" s="177" t="s">
        <v>259</v>
      </c>
      <c r="BF215" s="178"/>
      <c r="BG215" s="27"/>
      <c r="BH215" s="27"/>
    </row>
    <row r="216" spans="1:60" ht="15" customHeight="1">
      <c r="A216" s="95">
        <v>215</v>
      </c>
      <c r="B216" s="96" t="s">
        <v>1531</v>
      </c>
      <c r="C216" s="73" t="s">
        <v>145</v>
      </c>
      <c r="D216" s="257" t="s">
        <v>122</v>
      </c>
      <c r="E216" s="459" t="s">
        <v>3377</v>
      </c>
      <c r="F216" s="258">
        <v>1981</v>
      </c>
      <c r="G216" s="171">
        <v>376</v>
      </c>
      <c r="H216" s="57"/>
      <c r="I216" s="88"/>
      <c r="J216" s="508">
        <v>0.52</v>
      </c>
      <c r="K216" s="513">
        <v>5.0659999999999998</v>
      </c>
      <c r="L216" s="91">
        <f>((J216)*(M216+((V216+W216+X216+Y216+Z216+Z216+AB216+AC216+AC216+AK216)/100)*(M216)))</f>
        <v>213.7199688</v>
      </c>
      <c r="M216" s="506">
        <v>351</v>
      </c>
      <c r="N216" s="506"/>
      <c r="O216" s="509" t="s">
        <v>120</v>
      </c>
      <c r="P216" s="507"/>
      <c r="Q216" s="262"/>
      <c r="R216" s="507"/>
      <c r="S216" s="507"/>
      <c r="T216" s="506"/>
      <c r="U216" s="506"/>
      <c r="V216" s="131">
        <v>0</v>
      </c>
      <c r="W216" s="132">
        <v>17.094000000000001</v>
      </c>
      <c r="X216" s="120">
        <v>0</v>
      </c>
      <c r="Y216" s="120">
        <v>0</v>
      </c>
      <c r="Z216" s="120">
        <v>0</v>
      </c>
      <c r="AA216" s="130"/>
      <c r="AB216" s="17">
        <v>0</v>
      </c>
      <c r="AC216" s="17">
        <v>0</v>
      </c>
      <c r="AD216" s="130"/>
      <c r="AE216" s="130"/>
      <c r="AF216" s="17">
        <v>0</v>
      </c>
      <c r="AG216" s="133">
        <v>0.39900000000000002</v>
      </c>
      <c r="AH216" s="17">
        <v>0</v>
      </c>
      <c r="AI216" s="17">
        <v>0</v>
      </c>
      <c r="AJ216" s="17">
        <v>0</v>
      </c>
      <c r="AK216" s="17">
        <v>0</v>
      </c>
      <c r="AL216" s="32">
        <v>0</v>
      </c>
      <c r="AM216" s="509">
        <v>55.1</v>
      </c>
      <c r="AN216" s="89"/>
      <c r="AO216" s="507"/>
      <c r="AP216" s="775"/>
      <c r="AQ216" s="133" t="s">
        <v>146</v>
      </c>
      <c r="AR216" s="174">
        <v>75</v>
      </c>
      <c r="AS216" s="270"/>
      <c r="AT216" s="171" t="str">
        <f t="shared" si="15"/>
        <v>620</v>
      </c>
      <c r="AU216" s="255">
        <f t="shared" si="16"/>
        <v>33.453237410071942</v>
      </c>
      <c r="AV216" s="263"/>
      <c r="AW216" s="261"/>
      <c r="AX216" s="261"/>
      <c r="AY216" s="258">
        <v>20</v>
      </c>
      <c r="AZ216" s="261"/>
      <c r="BA216" s="175">
        <v>65</v>
      </c>
      <c r="BB216" s="259"/>
      <c r="BC216" s="176"/>
      <c r="BD216" s="177"/>
      <c r="BE216" s="177" t="s">
        <v>259</v>
      </c>
      <c r="BF216" s="178"/>
      <c r="BG216" s="27"/>
      <c r="BH216" s="27"/>
    </row>
    <row r="217" spans="1:60" ht="15" customHeight="1">
      <c r="A217" s="95">
        <v>216</v>
      </c>
      <c r="B217" s="96" t="s">
        <v>1530</v>
      </c>
      <c r="C217" s="73" t="s">
        <v>147</v>
      </c>
      <c r="D217" s="257" t="s">
        <v>119</v>
      </c>
      <c r="E217" s="459" t="s">
        <v>3377</v>
      </c>
      <c r="F217" s="258">
        <v>1981</v>
      </c>
      <c r="G217" s="171">
        <v>77</v>
      </c>
      <c r="H217" s="57"/>
      <c r="I217" s="173" t="s">
        <v>2304</v>
      </c>
      <c r="J217" s="508">
        <v>0.32</v>
      </c>
      <c r="K217" s="513">
        <v>2.81</v>
      </c>
      <c r="L217" s="260"/>
      <c r="M217" s="261"/>
      <c r="N217" s="261"/>
      <c r="O217" s="509" t="s">
        <v>12</v>
      </c>
      <c r="P217" s="507"/>
      <c r="Q217" s="262"/>
      <c r="R217" s="507"/>
      <c r="S217" s="507"/>
      <c r="T217" s="506"/>
      <c r="U217" s="506"/>
      <c r="V217" s="131">
        <v>0</v>
      </c>
      <c r="W217" s="132">
        <v>0</v>
      </c>
      <c r="X217" s="120">
        <v>0</v>
      </c>
      <c r="Y217" s="120">
        <v>0</v>
      </c>
      <c r="Z217" s="120">
        <v>0</v>
      </c>
      <c r="AA217" s="130"/>
      <c r="AB217" s="17">
        <v>0</v>
      </c>
      <c r="AC217" s="17">
        <v>0</v>
      </c>
      <c r="AD217" s="130"/>
      <c r="AE217" s="130"/>
      <c r="AF217" s="17">
        <v>0</v>
      </c>
      <c r="AG217" s="136">
        <v>1</v>
      </c>
      <c r="AH217" s="17">
        <v>0</v>
      </c>
      <c r="AI217" s="17">
        <v>0</v>
      </c>
      <c r="AJ217" s="17">
        <v>0</v>
      </c>
      <c r="AK217" s="17">
        <v>0</v>
      </c>
      <c r="AL217" s="32">
        <v>0</v>
      </c>
      <c r="AM217" s="509">
        <v>62</v>
      </c>
      <c r="AN217" s="89"/>
      <c r="AO217" s="507"/>
      <c r="AP217" s="775"/>
      <c r="AQ217" s="133" t="s">
        <v>3419</v>
      </c>
      <c r="AR217" s="188">
        <v>88.4</v>
      </c>
      <c r="AS217" s="270"/>
      <c r="AT217" s="171" t="str">
        <f t="shared" si="15"/>
        <v>266,7</v>
      </c>
      <c r="AU217" s="255" t="e">
        <f>IF(ISBLANK(AS217),(AR217*AT217)/((4*AT217)+(2*AR217)),AR217*AS217*AT217/2/(AR217*AS217+AR217*AT217+AS217*AT217))</f>
        <v>#VALUE!</v>
      </c>
      <c r="AV217" s="509">
        <v>99</v>
      </c>
      <c r="AW217" s="251">
        <v>30</v>
      </c>
      <c r="AX217" s="261"/>
      <c r="AY217" s="258">
        <v>20</v>
      </c>
      <c r="AZ217" s="261"/>
      <c r="BA217" s="175">
        <v>99</v>
      </c>
      <c r="BB217" s="259"/>
      <c r="BC217" s="176"/>
      <c r="BD217" s="177"/>
      <c r="BE217" s="177"/>
      <c r="BF217" s="178" t="s">
        <v>1529</v>
      </c>
      <c r="BG217" s="27"/>
      <c r="BH217" s="27"/>
    </row>
    <row r="218" spans="1:60" ht="15" customHeight="1">
      <c r="A218" s="95">
        <v>217</v>
      </c>
      <c r="B218" s="96" t="s">
        <v>1528</v>
      </c>
      <c r="C218" s="73" t="s">
        <v>148</v>
      </c>
      <c r="D218" s="257" t="s">
        <v>122</v>
      </c>
      <c r="E218" s="459" t="s">
        <v>3377</v>
      </c>
      <c r="F218" s="258">
        <v>1967</v>
      </c>
      <c r="G218" s="171">
        <v>117</v>
      </c>
      <c r="H218" s="57"/>
      <c r="I218" s="88"/>
      <c r="J218" s="508">
        <v>0.60099999999999998</v>
      </c>
      <c r="K218" s="513">
        <v>5.0199999999999996</v>
      </c>
      <c r="L218" s="91">
        <f t="shared" ref="L218:L230" si="17">(J218)*(M218)</f>
        <v>215.15799999999999</v>
      </c>
      <c r="M218" s="506">
        <v>358</v>
      </c>
      <c r="N218" s="506"/>
      <c r="O218" s="509" t="s">
        <v>120</v>
      </c>
      <c r="P218" s="507"/>
      <c r="Q218" s="262"/>
      <c r="R218" s="507"/>
      <c r="S218" s="507"/>
      <c r="T218" s="506"/>
      <c r="U218" s="506"/>
      <c r="V218" s="131">
        <v>0</v>
      </c>
      <c r="W218" s="132">
        <v>0</v>
      </c>
      <c r="X218" s="120">
        <v>0</v>
      </c>
      <c r="Y218" s="120">
        <v>0</v>
      </c>
      <c r="Z218" s="120">
        <v>0</v>
      </c>
      <c r="AA218" s="130"/>
      <c r="AB218" s="17">
        <v>0</v>
      </c>
      <c r="AC218" s="17">
        <v>0</v>
      </c>
      <c r="AD218" s="130"/>
      <c r="AE218" s="130"/>
      <c r="AF218" s="17">
        <v>0</v>
      </c>
      <c r="AG218" s="133">
        <v>0</v>
      </c>
      <c r="AH218" s="17">
        <v>0</v>
      </c>
      <c r="AI218" s="17">
        <v>0</v>
      </c>
      <c r="AJ218" s="17">
        <v>0</v>
      </c>
      <c r="AK218" s="17">
        <v>0</v>
      </c>
      <c r="AL218" s="32">
        <v>0</v>
      </c>
      <c r="AM218" s="509">
        <v>17.7</v>
      </c>
      <c r="AN218" s="89"/>
      <c r="AO218" s="507"/>
      <c r="AP218" s="416">
        <v>26500</v>
      </c>
      <c r="AQ218" s="133" t="s">
        <v>127</v>
      </c>
      <c r="AR218" s="174">
        <v>75</v>
      </c>
      <c r="AS218" s="270"/>
      <c r="AT218" s="171" t="str">
        <f t="shared" si="15"/>
        <v>300</v>
      </c>
      <c r="AU218" s="255">
        <f t="shared" ref="AU218:AU249" si="18">(AR218*AT218)/((2*AT218)+(2*AR218))</f>
        <v>30</v>
      </c>
      <c r="AV218" s="509">
        <v>65</v>
      </c>
      <c r="AW218" s="257">
        <v>7</v>
      </c>
      <c r="AX218" s="261"/>
      <c r="AY218" s="258">
        <v>20</v>
      </c>
      <c r="AZ218" s="261"/>
      <c r="BA218" s="175">
        <v>65</v>
      </c>
      <c r="BB218" s="259"/>
      <c r="BC218" s="176" t="s">
        <v>558</v>
      </c>
      <c r="BD218" s="177"/>
      <c r="BE218" s="177" t="s">
        <v>259</v>
      </c>
      <c r="BF218" s="178"/>
      <c r="BG218" s="27"/>
      <c r="BH218" s="27"/>
    </row>
    <row r="219" spans="1:60" ht="15" customHeight="1">
      <c r="A219" s="95">
        <v>218</v>
      </c>
      <c r="B219" s="96" t="s">
        <v>1527</v>
      </c>
      <c r="C219" s="73" t="s">
        <v>148</v>
      </c>
      <c r="D219" s="257" t="s">
        <v>122</v>
      </c>
      <c r="E219" s="459" t="s">
        <v>3377</v>
      </c>
      <c r="F219" s="258">
        <v>1967</v>
      </c>
      <c r="G219" s="171">
        <v>117</v>
      </c>
      <c r="H219" s="57"/>
      <c r="I219" s="88"/>
      <c r="J219" s="508">
        <v>0.59899999999999998</v>
      </c>
      <c r="K219" s="513">
        <v>8.32</v>
      </c>
      <c r="L219" s="91">
        <f t="shared" si="17"/>
        <v>147.953</v>
      </c>
      <c r="M219" s="506">
        <v>247</v>
      </c>
      <c r="N219" s="506"/>
      <c r="O219" s="509" t="s">
        <v>120</v>
      </c>
      <c r="P219" s="507"/>
      <c r="Q219" s="262"/>
      <c r="R219" s="507"/>
      <c r="S219" s="507"/>
      <c r="T219" s="506"/>
      <c r="U219" s="506"/>
      <c r="V219" s="131">
        <v>0</v>
      </c>
      <c r="W219" s="132">
        <v>0</v>
      </c>
      <c r="X219" s="120">
        <v>0</v>
      </c>
      <c r="Y219" s="120">
        <v>0</v>
      </c>
      <c r="Z219" s="120">
        <v>0</v>
      </c>
      <c r="AA219" s="130"/>
      <c r="AB219" s="17">
        <v>0</v>
      </c>
      <c r="AC219" s="17">
        <v>0</v>
      </c>
      <c r="AD219" s="130"/>
      <c r="AE219" s="130"/>
      <c r="AF219" s="17">
        <v>0</v>
      </c>
      <c r="AG219" s="133">
        <v>0</v>
      </c>
      <c r="AH219" s="17">
        <v>0</v>
      </c>
      <c r="AI219" s="17">
        <v>0</v>
      </c>
      <c r="AJ219" s="17">
        <v>0</v>
      </c>
      <c r="AK219" s="17">
        <v>0</v>
      </c>
      <c r="AL219" s="32">
        <v>0</v>
      </c>
      <c r="AM219" s="509">
        <v>19</v>
      </c>
      <c r="AN219" s="89"/>
      <c r="AO219" s="507"/>
      <c r="AP219" s="416">
        <v>27100</v>
      </c>
      <c r="AQ219" s="133" t="s">
        <v>127</v>
      </c>
      <c r="AR219" s="174">
        <v>75</v>
      </c>
      <c r="AS219" s="270"/>
      <c r="AT219" s="171" t="str">
        <f t="shared" si="15"/>
        <v>300</v>
      </c>
      <c r="AU219" s="255">
        <f t="shared" si="18"/>
        <v>30</v>
      </c>
      <c r="AV219" s="509">
        <v>65</v>
      </c>
      <c r="AW219" s="257">
        <v>7</v>
      </c>
      <c r="AX219" s="261"/>
      <c r="AY219" s="258">
        <v>20</v>
      </c>
      <c r="AZ219" s="261"/>
      <c r="BA219" s="175">
        <v>65</v>
      </c>
      <c r="BB219" s="259"/>
      <c r="BC219" s="176"/>
      <c r="BD219" s="177"/>
      <c r="BE219" s="177" t="s">
        <v>259</v>
      </c>
      <c r="BF219" s="178"/>
      <c r="BG219" s="27"/>
      <c r="BH219" s="27"/>
    </row>
    <row r="220" spans="1:60" ht="15" customHeight="1">
      <c r="A220" s="95">
        <v>219</v>
      </c>
      <c r="B220" s="96" t="s">
        <v>1526</v>
      </c>
      <c r="C220" s="73" t="s">
        <v>148</v>
      </c>
      <c r="D220" s="257" t="s">
        <v>122</v>
      </c>
      <c r="E220" s="459" t="s">
        <v>3377</v>
      </c>
      <c r="F220" s="258">
        <v>1967</v>
      </c>
      <c r="G220" s="171">
        <v>117</v>
      </c>
      <c r="H220" s="57"/>
      <c r="I220" s="88"/>
      <c r="J220" s="508">
        <v>0.45</v>
      </c>
      <c r="K220" s="513">
        <v>5.4050000000000002</v>
      </c>
      <c r="L220" s="91">
        <f t="shared" si="17"/>
        <v>158.85</v>
      </c>
      <c r="M220" s="506">
        <v>353</v>
      </c>
      <c r="N220" s="506"/>
      <c r="O220" s="509" t="s">
        <v>120</v>
      </c>
      <c r="P220" s="507"/>
      <c r="Q220" s="262"/>
      <c r="R220" s="507"/>
      <c r="S220" s="507"/>
      <c r="T220" s="506"/>
      <c r="U220" s="506"/>
      <c r="V220" s="131">
        <v>0</v>
      </c>
      <c r="W220" s="132">
        <v>0</v>
      </c>
      <c r="X220" s="120">
        <v>0</v>
      </c>
      <c r="Y220" s="120">
        <v>0</v>
      </c>
      <c r="Z220" s="120">
        <v>0</v>
      </c>
      <c r="AA220" s="130"/>
      <c r="AB220" s="17">
        <v>0</v>
      </c>
      <c r="AC220" s="17">
        <v>0</v>
      </c>
      <c r="AD220" s="130"/>
      <c r="AE220" s="130"/>
      <c r="AF220" s="17">
        <v>0</v>
      </c>
      <c r="AG220" s="133">
        <v>0</v>
      </c>
      <c r="AH220" s="17">
        <v>0</v>
      </c>
      <c r="AI220" s="17">
        <v>0</v>
      </c>
      <c r="AJ220" s="17">
        <v>0</v>
      </c>
      <c r="AK220" s="17">
        <v>0</v>
      </c>
      <c r="AL220" s="32">
        <v>0</v>
      </c>
      <c r="AM220" s="509">
        <v>23.9</v>
      </c>
      <c r="AN220" s="89"/>
      <c r="AO220" s="507"/>
      <c r="AP220" s="416">
        <v>24090</v>
      </c>
      <c r="AQ220" s="133" t="s">
        <v>127</v>
      </c>
      <c r="AR220" s="174">
        <v>75</v>
      </c>
      <c r="AS220" s="270"/>
      <c r="AT220" s="171" t="str">
        <f t="shared" ref="AT220:AT239" si="19">RIGHT(AQ220,LEN(AQ220)-FIND("x",AQ220,1))</f>
        <v>300</v>
      </c>
      <c r="AU220" s="255">
        <f t="shared" si="18"/>
        <v>30</v>
      </c>
      <c r="AV220" s="509">
        <v>65</v>
      </c>
      <c r="AW220" s="257">
        <v>7</v>
      </c>
      <c r="AX220" s="261"/>
      <c r="AY220" s="258">
        <v>20</v>
      </c>
      <c r="AZ220" s="261"/>
      <c r="BA220" s="175">
        <v>65</v>
      </c>
      <c r="BB220" s="259"/>
      <c r="BC220" s="176"/>
      <c r="BD220" s="177"/>
      <c r="BE220" s="177" t="s">
        <v>259</v>
      </c>
      <c r="BF220" s="178"/>
      <c r="BG220" s="27"/>
      <c r="BH220" s="27"/>
    </row>
    <row r="221" spans="1:60" ht="15" customHeight="1">
      <c r="A221" s="95">
        <v>220</v>
      </c>
      <c r="B221" s="96" t="s">
        <v>1525</v>
      </c>
      <c r="C221" s="73" t="s">
        <v>148</v>
      </c>
      <c r="D221" s="257" t="s">
        <v>122</v>
      </c>
      <c r="E221" s="459" t="s">
        <v>3377</v>
      </c>
      <c r="F221" s="258">
        <v>1967</v>
      </c>
      <c r="G221" s="171">
        <v>117</v>
      </c>
      <c r="H221" s="57"/>
      <c r="I221" s="88"/>
      <c r="J221" s="508">
        <v>0.8</v>
      </c>
      <c r="K221" s="513">
        <v>7.76</v>
      </c>
      <c r="L221" s="91">
        <f t="shared" si="17"/>
        <v>200</v>
      </c>
      <c r="M221" s="506">
        <v>250</v>
      </c>
      <c r="N221" s="506"/>
      <c r="O221" s="509" t="s">
        <v>120</v>
      </c>
      <c r="P221" s="507"/>
      <c r="Q221" s="262"/>
      <c r="R221" s="507"/>
      <c r="S221" s="507"/>
      <c r="T221" s="506"/>
      <c r="U221" s="506"/>
      <c r="V221" s="131">
        <v>0</v>
      </c>
      <c r="W221" s="132">
        <v>0</v>
      </c>
      <c r="X221" s="120">
        <v>0</v>
      </c>
      <c r="Y221" s="120">
        <v>0</v>
      </c>
      <c r="Z221" s="120">
        <v>0</v>
      </c>
      <c r="AA221" s="130"/>
      <c r="AB221" s="17">
        <v>0</v>
      </c>
      <c r="AC221" s="17">
        <v>0</v>
      </c>
      <c r="AD221" s="130"/>
      <c r="AE221" s="130"/>
      <c r="AF221" s="17">
        <v>0</v>
      </c>
      <c r="AG221" s="133">
        <v>0</v>
      </c>
      <c r="AH221" s="17">
        <v>0</v>
      </c>
      <c r="AI221" s="17">
        <v>0</v>
      </c>
      <c r="AJ221" s="17">
        <v>0</v>
      </c>
      <c r="AK221" s="17">
        <v>0</v>
      </c>
      <c r="AL221" s="32">
        <v>0</v>
      </c>
      <c r="AM221" s="509">
        <v>10.8</v>
      </c>
      <c r="AN221" s="89"/>
      <c r="AO221" s="507"/>
      <c r="AP221" s="416">
        <v>20800</v>
      </c>
      <c r="AQ221" s="133" t="s">
        <v>127</v>
      </c>
      <c r="AR221" s="174">
        <v>75</v>
      </c>
      <c r="AS221" s="270"/>
      <c r="AT221" s="171" t="str">
        <f t="shared" si="19"/>
        <v>300</v>
      </c>
      <c r="AU221" s="255">
        <f t="shared" si="18"/>
        <v>30</v>
      </c>
      <c r="AV221" s="509">
        <v>65</v>
      </c>
      <c r="AW221" s="257">
        <v>7</v>
      </c>
      <c r="AX221" s="261"/>
      <c r="AY221" s="258">
        <v>20</v>
      </c>
      <c r="AZ221" s="261"/>
      <c r="BA221" s="175">
        <v>65</v>
      </c>
      <c r="BB221" s="259"/>
      <c r="BC221" s="176"/>
      <c r="BD221" s="177"/>
      <c r="BE221" s="177" t="s">
        <v>259</v>
      </c>
      <c r="BF221" s="178"/>
      <c r="BG221" s="27"/>
      <c r="BH221" s="27"/>
    </row>
    <row r="222" spans="1:60" ht="15" customHeight="1">
      <c r="A222" s="95">
        <v>221</v>
      </c>
      <c r="B222" s="96" t="s">
        <v>1524</v>
      </c>
      <c r="C222" s="73" t="s">
        <v>2584</v>
      </c>
      <c r="D222" s="257" t="s">
        <v>122</v>
      </c>
      <c r="E222" s="459" t="s">
        <v>3377</v>
      </c>
      <c r="F222" s="258">
        <v>1981</v>
      </c>
      <c r="G222" s="171">
        <v>118</v>
      </c>
      <c r="H222" s="57"/>
      <c r="I222" s="88"/>
      <c r="J222" s="508">
        <v>0.5</v>
      </c>
      <c r="K222" s="272"/>
      <c r="L222" s="91">
        <f t="shared" si="17"/>
        <v>175</v>
      </c>
      <c r="M222" s="506">
        <v>350</v>
      </c>
      <c r="N222" s="506"/>
      <c r="O222" s="509" t="s">
        <v>120</v>
      </c>
      <c r="P222" s="507"/>
      <c r="Q222" s="262"/>
      <c r="R222" s="507"/>
      <c r="S222" s="507"/>
      <c r="T222" s="506"/>
      <c r="U222" s="506"/>
      <c r="V222" s="135"/>
      <c r="W222" s="129"/>
      <c r="X222" s="129"/>
      <c r="Y222" s="120">
        <v>0</v>
      </c>
      <c r="Z222" s="120">
        <v>0</v>
      </c>
      <c r="AA222" s="130"/>
      <c r="AB222" s="17">
        <v>0</v>
      </c>
      <c r="AC222" s="17">
        <v>0</v>
      </c>
      <c r="AD222" s="130"/>
      <c r="AE222" s="130"/>
      <c r="AF222" s="17">
        <v>0</v>
      </c>
      <c r="AG222" s="130"/>
      <c r="AH222" s="17">
        <v>0</v>
      </c>
      <c r="AI222" s="17">
        <v>0</v>
      </c>
      <c r="AJ222" s="17">
        <v>0</v>
      </c>
      <c r="AK222" s="17">
        <v>0</v>
      </c>
      <c r="AL222" s="32">
        <v>0</v>
      </c>
      <c r="AM222" s="509">
        <v>41.3</v>
      </c>
      <c r="AN222" s="89"/>
      <c r="AO222" s="507"/>
      <c r="AP222" s="416">
        <v>31120</v>
      </c>
      <c r="AQ222" s="133" t="s">
        <v>13</v>
      </c>
      <c r="AR222" s="174">
        <v>75</v>
      </c>
      <c r="AS222" s="270"/>
      <c r="AT222" s="171" t="str">
        <f t="shared" si="19"/>
        <v>600</v>
      </c>
      <c r="AU222" s="255">
        <f t="shared" si="18"/>
        <v>33.333333333333336</v>
      </c>
      <c r="AV222" s="263"/>
      <c r="AW222" s="257">
        <v>3</v>
      </c>
      <c r="AX222" s="261"/>
      <c r="AY222" s="258">
        <v>22</v>
      </c>
      <c r="AZ222" s="261"/>
      <c r="BA222" s="175">
        <v>65</v>
      </c>
      <c r="BB222" s="259"/>
      <c r="BC222" s="176"/>
      <c r="BD222" s="177" t="s">
        <v>259</v>
      </c>
      <c r="BE222" s="177" t="s">
        <v>259</v>
      </c>
      <c r="BF222" s="178"/>
      <c r="BG222" s="27"/>
      <c r="BH222" s="27"/>
    </row>
    <row r="223" spans="1:60" ht="15" customHeight="1">
      <c r="A223" s="95">
        <v>222</v>
      </c>
      <c r="B223" s="96" t="s">
        <v>1523</v>
      </c>
      <c r="C223" s="73" t="s">
        <v>2584</v>
      </c>
      <c r="D223" s="257" t="s">
        <v>122</v>
      </c>
      <c r="E223" s="459" t="s">
        <v>3377</v>
      </c>
      <c r="F223" s="258">
        <v>1981</v>
      </c>
      <c r="G223" s="171">
        <v>118</v>
      </c>
      <c r="H223" s="57"/>
      <c r="I223" s="88"/>
      <c r="J223" s="508">
        <v>0.5</v>
      </c>
      <c r="K223" s="272"/>
      <c r="L223" s="91">
        <f t="shared" si="17"/>
        <v>175</v>
      </c>
      <c r="M223" s="506">
        <v>350</v>
      </c>
      <c r="N223" s="506"/>
      <c r="O223" s="509" t="s">
        <v>12</v>
      </c>
      <c r="P223" s="507"/>
      <c r="Q223" s="262"/>
      <c r="R223" s="507"/>
      <c r="S223" s="507"/>
      <c r="T223" s="506"/>
      <c r="U223" s="506"/>
      <c r="V223" s="135"/>
      <c r="W223" s="129"/>
      <c r="X223" s="129"/>
      <c r="Y223" s="120">
        <v>0</v>
      </c>
      <c r="Z223" s="120">
        <v>0</v>
      </c>
      <c r="AA223" s="130"/>
      <c r="AB223" s="17">
        <v>0</v>
      </c>
      <c r="AC223" s="17">
        <v>0</v>
      </c>
      <c r="AD223" s="130"/>
      <c r="AE223" s="130"/>
      <c r="AF223" s="17">
        <v>0</v>
      </c>
      <c r="AG223" s="130"/>
      <c r="AH223" s="17">
        <v>0</v>
      </c>
      <c r="AI223" s="17">
        <v>0</v>
      </c>
      <c r="AJ223" s="17">
        <v>0</v>
      </c>
      <c r="AK223" s="17">
        <v>0</v>
      </c>
      <c r="AL223" s="32">
        <v>0</v>
      </c>
      <c r="AM223" s="509">
        <v>40.700000000000003</v>
      </c>
      <c r="AN223" s="89"/>
      <c r="AO223" s="507"/>
      <c r="AP223" s="416">
        <v>32710</v>
      </c>
      <c r="AQ223" s="133" t="s">
        <v>13</v>
      </c>
      <c r="AR223" s="174">
        <v>75</v>
      </c>
      <c r="AS223" s="270"/>
      <c r="AT223" s="171" t="str">
        <f t="shared" si="19"/>
        <v>600</v>
      </c>
      <c r="AU223" s="255">
        <f t="shared" si="18"/>
        <v>33.333333333333336</v>
      </c>
      <c r="AV223" s="263"/>
      <c r="AW223" s="257">
        <v>3</v>
      </c>
      <c r="AX223" s="261"/>
      <c r="AY223" s="258">
        <v>22</v>
      </c>
      <c r="AZ223" s="261"/>
      <c r="BA223" s="175">
        <v>65</v>
      </c>
      <c r="BB223" s="259"/>
      <c r="BC223" s="176"/>
      <c r="BD223" s="177" t="s">
        <v>259</v>
      </c>
      <c r="BE223" s="177" t="s">
        <v>259</v>
      </c>
      <c r="BF223" s="178"/>
      <c r="BG223" s="27"/>
      <c r="BH223" s="27"/>
    </row>
    <row r="224" spans="1:60" ht="15" customHeight="1">
      <c r="A224" s="95">
        <v>223</v>
      </c>
      <c r="B224" s="96" t="s">
        <v>1522</v>
      </c>
      <c r="C224" s="73" t="s">
        <v>2584</v>
      </c>
      <c r="D224" s="257" t="s">
        <v>122</v>
      </c>
      <c r="E224" s="459" t="s">
        <v>3377</v>
      </c>
      <c r="F224" s="258">
        <v>1981</v>
      </c>
      <c r="G224" s="171">
        <v>118</v>
      </c>
      <c r="H224" s="57"/>
      <c r="I224" s="88"/>
      <c r="J224" s="508">
        <v>0.5</v>
      </c>
      <c r="K224" s="272"/>
      <c r="L224" s="91">
        <f t="shared" si="17"/>
        <v>175</v>
      </c>
      <c r="M224" s="506">
        <v>350</v>
      </c>
      <c r="N224" s="506"/>
      <c r="O224" s="509" t="s">
        <v>120</v>
      </c>
      <c r="P224" s="507"/>
      <c r="Q224" s="262"/>
      <c r="R224" s="507"/>
      <c r="S224" s="507"/>
      <c r="T224" s="506"/>
      <c r="U224" s="506"/>
      <c r="V224" s="135"/>
      <c r="W224" s="129"/>
      <c r="X224" s="129"/>
      <c r="Y224" s="120">
        <v>0</v>
      </c>
      <c r="Z224" s="120">
        <v>0</v>
      </c>
      <c r="AA224" s="130"/>
      <c r="AB224" s="17">
        <v>0</v>
      </c>
      <c r="AC224" s="17">
        <v>0</v>
      </c>
      <c r="AD224" s="130"/>
      <c r="AE224" s="130"/>
      <c r="AF224" s="17">
        <v>0</v>
      </c>
      <c r="AG224" s="130"/>
      <c r="AH224" s="17">
        <v>0</v>
      </c>
      <c r="AI224" s="17">
        <v>0</v>
      </c>
      <c r="AJ224" s="17">
        <v>0</v>
      </c>
      <c r="AK224" s="17">
        <v>0</v>
      </c>
      <c r="AL224" s="32">
        <v>0</v>
      </c>
      <c r="AM224" s="509">
        <v>37.5</v>
      </c>
      <c r="AN224" s="89"/>
      <c r="AO224" s="507"/>
      <c r="AP224" s="416">
        <v>32900</v>
      </c>
      <c r="AQ224" s="133" t="s">
        <v>13</v>
      </c>
      <c r="AR224" s="174">
        <v>75</v>
      </c>
      <c r="AS224" s="270"/>
      <c r="AT224" s="171" t="str">
        <f t="shared" si="19"/>
        <v>600</v>
      </c>
      <c r="AU224" s="255">
        <f t="shared" si="18"/>
        <v>33.333333333333336</v>
      </c>
      <c r="AV224" s="263"/>
      <c r="AW224" s="257">
        <v>3</v>
      </c>
      <c r="AX224" s="261"/>
      <c r="AY224" s="258">
        <v>22</v>
      </c>
      <c r="AZ224" s="261"/>
      <c r="BA224" s="175">
        <v>65</v>
      </c>
      <c r="BB224" s="259"/>
      <c r="BC224" s="176"/>
      <c r="BD224" s="177" t="s">
        <v>259</v>
      </c>
      <c r="BE224" s="177" t="s">
        <v>259</v>
      </c>
      <c r="BF224" s="178"/>
      <c r="BG224" s="27"/>
      <c r="BH224" s="27"/>
    </row>
    <row r="225" spans="1:60" ht="15" customHeight="1">
      <c r="A225" s="95">
        <v>224</v>
      </c>
      <c r="B225" s="96" t="s">
        <v>1521</v>
      </c>
      <c r="C225" s="73" t="s">
        <v>2584</v>
      </c>
      <c r="D225" s="257" t="s">
        <v>122</v>
      </c>
      <c r="E225" s="459" t="s">
        <v>3377</v>
      </c>
      <c r="F225" s="258">
        <v>1981</v>
      </c>
      <c r="G225" s="171">
        <v>118</v>
      </c>
      <c r="H225" s="57"/>
      <c r="I225" s="88"/>
      <c r="J225" s="508">
        <v>0.5</v>
      </c>
      <c r="K225" s="272"/>
      <c r="L225" s="91">
        <f t="shared" si="17"/>
        <v>175</v>
      </c>
      <c r="M225" s="506">
        <v>350</v>
      </c>
      <c r="N225" s="506"/>
      <c r="O225" s="509" t="s">
        <v>12</v>
      </c>
      <c r="P225" s="507"/>
      <c r="Q225" s="262"/>
      <c r="R225" s="507"/>
      <c r="S225" s="507"/>
      <c r="T225" s="506"/>
      <c r="U225" s="506"/>
      <c r="V225" s="135"/>
      <c r="W225" s="129"/>
      <c r="X225" s="129"/>
      <c r="Y225" s="120">
        <v>0</v>
      </c>
      <c r="Z225" s="120">
        <v>0</v>
      </c>
      <c r="AA225" s="130"/>
      <c r="AB225" s="17">
        <v>0</v>
      </c>
      <c r="AC225" s="17">
        <v>0</v>
      </c>
      <c r="AD225" s="130"/>
      <c r="AE225" s="130"/>
      <c r="AF225" s="17">
        <v>0</v>
      </c>
      <c r="AG225" s="130"/>
      <c r="AH225" s="17">
        <v>0</v>
      </c>
      <c r="AI225" s="17">
        <v>0</v>
      </c>
      <c r="AJ225" s="17">
        <v>0</v>
      </c>
      <c r="AK225" s="17">
        <v>0</v>
      </c>
      <c r="AL225" s="32">
        <v>0</v>
      </c>
      <c r="AM225" s="509">
        <v>44.7</v>
      </c>
      <c r="AN225" s="89"/>
      <c r="AO225" s="507"/>
      <c r="AP225" s="416">
        <v>36180</v>
      </c>
      <c r="AQ225" s="133" t="s">
        <v>13</v>
      </c>
      <c r="AR225" s="174">
        <v>75</v>
      </c>
      <c r="AS225" s="270"/>
      <c r="AT225" s="171" t="str">
        <f t="shared" si="19"/>
        <v>600</v>
      </c>
      <c r="AU225" s="255">
        <f t="shared" si="18"/>
        <v>33.333333333333336</v>
      </c>
      <c r="AV225" s="263"/>
      <c r="AW225" s="257">
        <v>3</v>
      </c>
      <c r="AX225" s="261"/>
      <c r="AY225" s="258">
        <v>22</v>
      </c>
      <c r="AZ225" s="261"/>
      <c r="BA225" s="175">
        <v>65</v>
      </c>
      <c r="BB225" s="259"/>
      <c r="BC225" s="176"/>
      <c r="BD225" s="177" t="s">
        <v>259</v>
      </c>
      <c r="BE225" s="177" t="s">
        <v>259</v>
      </c>
      <c r="BF225" s="178"/>
      <c r="BG225" s="27"/>
      <c r="BH225" s="27"/>
    </row>
    <row r="226" spans="1:60" ht="15" customHeight="1">
      <c r="A226" s="95">
        <v>225</v>
      </c>
      <c r="B226" s="96" t="s">
        <v>1520</v>
      </c>
      <c r="C226" s="73" t="s">
        <v>2584</v>
      </c>
      <c r="D226" s="257" t="s">
        <v>122</v>
      </c>
      <c r="E226" s="459" t="s">
        <v>3377</v>
      </c>
      <c r="F226" s="258">
        <v>1981</v>
      </c>
      <c r="G226" s="171">
        <v>118</v>
      </c>
      <c r="H226" s="57"/>
      <c r="I226" s="88"/>
      <c r="J226" s="508">
        <v>0.5</v>
      </c>
      <c r="K226" s="272"/>
      <c r="L226" s="91">
        <f t="shared" si="17"/>
        <v>175</v>
      </c>
      <c r="M226" s="506">
        <v>350</v>
      </c>
      <c r="N226" s="506"/>
      <c r="O226" s="509" t="s">
        <v>129</v>
      </c>
      <c r="P226" s="507"/>
      <c r="Q226" s="262"/>
      <c r="R226" s="507"/>
      <c r="S226" s="507"/>
      <c r="T226" s="506"/>
      <c r="U226" s="506"/>
      <c r="V226" s="135"/>
      <c r="W226" s="129"/>
      <c r="X226" s="129"/>
      <c r="Y226" s="120">
        <v>0</v>
      </c>
      <c r="Z226" s="120">
        <v>0</v>
      </c>
      <c r="AA226" s="130"/>
      <c r="AB226" s="17">
        <v>0</v>
      </c>
      <c r="AC226" s="17">
        <v>0</v>
      </c>
      <c r="AD226" s="130"/>
      <c r="AE226" s="130"/>
      <c r="AF226" s="17">
        <v>0</v>
      </c>
      <c r="AG226" s="130"/>
      <c r="AH226" s="17">
        <v>0</v>
      </c>
      <c r="AI226" s="17">
        <v>0</v>
      </c>
      <c r="AJ226" s="17">
        <v>0</v>
      </c>
      <c r="AK226" s="17">
        <v>0</v>
      </c>
      <c r="AL226" s="32">
        <v>0</v>
      </c>
      <c r="AM226" s="509">
        <v>59.4</v>
      </c>
      <c r="AN226" s="89"/>
      <c r="AO226" s="507"/>
      <c r="AP226" s="416">
        <v>35490</v>
      </c>
      <c r="AQ226" s="133" t="s">
        <v>13</v>
      </c>
      <c r="AR226" s="174">
        <v>75</v>
      </c>
      <c r="AS226" s="270"/>
      <c r="AT226" s="171" t="str">
        <f t="shared" si="19"/>
        <v>600</v>
      </c>
      <c r="AU226" s="255">
        <f t="shared" si="18"/>
        <v>33.333333333333336</v>
      </c>
      <c r="AV226" s="263"/>
      <c r="AW226" s="257">
        <v>3</v>
      </c>
      <c r="AX226" s="261"/>
      <c r="AY226" s="258">
        <v>22</v>
      </c>
      <c r="AZ226" s="261"/>
      <c r="BA226" s="175">
        <v>65</v>
      </c>
      <c r="BB226" s="259"/>
      <c r="BC226" s="176"/>
      <c r="BD226" s="177" t="s">
        <v>259</v>
      </c>
      <c r="BE226" s="177" t="s">
        <v>259</v>
      </c>
      <c r="BF226" s="178"/>
      <c r="BG226" s="27"/>
      <c r="BH226" s="27"/>
    </row>
    <row r="227" spans="1:60" ht="15" customHeight="1">
      <c r="A227" s="95">
        <v>226</v>
      </c>
      <c r="B227" s="96" t="s">
        <v>1519</v>
      </c>
      <c r="C227" s="73" t="s">
        <v>2584</v>
      </c>
      <c r="D227" s="257" t="s">
        <v>122</v>
      </c>
      <c r="E227" s="459" t="s">
        <v>3377</v>
      </c>
      <c r="F227" s="258">
        <v>1981</v>
      </c>
      <c r="G227" s="171">
        <v>118</v>
      </c>
      <c r="H227" s="57"/>
      <c r="I227" s="88"/>
      <c r="J227" s="508">
        <v>0.6</v>
      </c>
      <c r="K227" s="272"/>
      <c r="L227" s="91">
        <f t="shared" si="17"/>
        <v>175.2</v>
      </c>
      <c r="M227" s="506">
        <v>292</v>
      </c>
      <c r="N227" s="506"/>
      <c r="O227" s="509" t="s">
        <v>120</v>
      </c>
      <c r="P227" s="507"/>
      <c r="Q227" s="262"/>
      <c r="R227" s="507"/>
      <c r="S227" s="507"/>
      <c r="T227" s="506"/>
      <c r="U227" s="506"/>
      <c r="V227" s="135"/>
      <c r="W227" s="129"/>
      <c r="X227" s="129"/>
      <c r="Y227" s="120">
        <v>0</v>
      </c>
      <c r="Z227" s="120">
        <v>0</v>
      </c>
      <c r="AA227" s="130"/>
      <c r="AB227" s="17">
        <v>0</v>
      </c>
      <c r="AC227" s="17">
        <v>0</v>
      </c>
      <c r="AD227" s="130"/>
      <c r="AE227" s="130"/>
      <c r="AF227" s="17">
        <v>0</v>
      </c>
      <c r="AG227" s="130"/>
      <c r="AH227" s="17">
        <v>0</v>
      </c>
      <c r="AI227" s="17">
        <v>0</v>
      </c>
      <c r="AJ227" s="17">
        <v>0</v>
      </c>
      <c r="AK227" s="17">
        <v>0</v>
      </c>
      <c r="AL227" s="32">
        <v>0</v>
      </c>
      <c r="AM227" s="509">
        <v>34.200000000000003</v>
      </c>
      <c r="AN227" s="89"/>
      <c r="AO227" s="507"/>
      <c r="AP227" s="416">
        <v>30940</v>
      </c>
      <c r="AQ227" s="133" t="s">
        <v>13</v>
      </c>
      <c r="AR227" s="174">
        <v>75</v>
      </c>
      <c r="AS227" s="270"/>
      <c r="AT227" s="171" t="str">
        <f t="shared" si="19"/>
        <v>600</v>
      </c>
      <c r="AU227" s="255">
        <f t="shared" si="18"/>
        <v>33.333333333333336</v>
      </c>
      <c r="AV227" s="263"/>
      <c r="AW227" s="257">
        <v>3</v>
      </c>
      <c r="AX227" s="261"/>
      <c r="AY227" s="258">
        <v>22</v>
      </c>
      <c r="AZ227" s="261"/>
      <c r="BA227" s="175">
        <v>65</v>
      </c>
      <c r="BB227" s="259"/>
      <c r="BC227" s="176"/>
      <c r="BD227" s="177" t="s">
        <v>259</v>
      </c>
      <c r="BE227" s="177" t="s">
        <v>259</v>
      </c>
      <c r="BF227" s="178"/>
      <c r="BG227" s="27"/>
      <c r="BH227" s="27"/>
    </row>
    <row r="228" spans="1:60" ht="15" customHeight="1">
      <c r="A228" s="95">
        <v>227</v>
      </c>
      <c r="B228" s="96" t="s">
        <v>1518</v>
      </c>
      <c r="C228" s="73" t="s">
        <v>2584</v>
      </c>
      <c r="D228" s="257" t="s">
        <v>122</v>
      </c>
      <c r="E228" s="459" t="s">
        <v>3377</v>
      </c>
      <c r="F228" s="258">
        <v>1981</v>
      </c>
      <c r="G228" s="171">
        <v>118</v>
      </c>
      <c r="H228" s="57"/>
      <c r="I228" s="88"/>
      <c r="J228" s="508">
        <v>0.6</v>
      </c>
      <c r="K228" s="272"/>
      <c r="L228" s="91">
        <f t="shared" si="17"/>
        <v>175.2</v>
      </c>
      <c r="M228" s="506">
        <v>292</v>
      </c>
      <c r="N228" s="506"/>
      <c r="O228" s="509" t="s">
        <v>12</v>
      </c>
      <c r="P228" s="507"/>
      <c r="Q228" s="262"/>
      <c r="R228" s="507"/>
      <c r="S228" s="507"/>
      <c r="T228" s="506"/>
      <c r="U228" s="506"/>
      <c r="V228" s="135"/>
      <c r="W228" s="129"/>
      <c r="X228" s="129"/>
      <c r="Y228" s="120">
        <v>0</v>
      </c>
      <c r="Z228" s="120">
        <v>0</v>
      </c>
      <c r="AA228" s="130"/>
      <c r="AB228" s="17">
        <v>0</v>
      </c>
      <c r="AC228" s="17">
        <v>0</v>
      </c>
      <c r="AD228" s="130"/>
      <c r="AE228" s="130"/>
      <c r="AF228" s="17">
        <v>0</v>
      </c>
      <c r="AG228" s="130"/>
      <c r="AH228" s="17">
        <v>0</v>
      </c>
      <c r="AI228" s="17">
        <v>0</v>
      </c>
      <c r="AJ228" s="17">
        <v>0</v>
      </c>
      <c r="AK228" s="17">
        <v>0</v>
      </c>
      <c r="AL228" s="32">
        <v>0</v>
      </c>
      <c r="AM228" s="509">
        <v>38.4</v>
      </c>
      <c r="AN228" s="89"/>
      <c r="AO228" s="507"/>
      <c r="AP228" s="416">
        <v>32350</v>
      </c>
      <c r="AQ228" s="133" t="s">
        <v>13</v>
      </c>
      <c r="AR228" s="174">
        <v>75</v>
      </c>
      <c r="AS228" s="270"/>
      <c r="AT228" s="171" t="str">
        <f t="shared" si="19"/>
        <v>600</v>
      </c>
      <c r="AU228" s="255">
        <f t="shared" si="18"/>
        <v>33.333333333333336</v>
      </c>
      <c r="AV228" s="263"/>
      <c r="AW228" s="257">
        <v>3</v>
      </c>
      <c r="AX228" s="261"/>
      <c r="AY228" s="258">
        <v>22</v>
      </c>
      <c r="AZ228" s="261"/>
      <c r="BA228" s="175">
        <v>65</v>
      </c>
      <c r="BB228" s="259"/>
      <c r="BC228" s="176"/>
      <c r="BD228" s="177" t="s">
        <v>259</v>
      </c>
      <c r="BE228" s="177" t="s">
        <v>259</v>
      </c>
      <c r="BF228" s="178"/>
      <c r="BG228" s="27"/>
      <c r="BH228" s="27"/>
    </row>
    <row r="229" spans="1:60" ht="15" customHeight="1">
      <c r="A229" s="95">
        <v>228</v>
      </c>
      <c r="B229" s="96" t="s">
        <v>1517</v>
      </c>
      <c r="C229" s="73" t="s">
        <v>2584</v>
      </c>
      <c r="D229" s="257" t="s">
        <v>122</v>
      </c>
      <c r="E229" s="459" t="s">
        <v>3377</v>
      </c>
      <c r="F229" s="258">
        <v>1981</v>
      </c>
      <c r="G229" s="171">
        <v>118</v>
      </c>
      <c r="H229" s="57"/>
      <c r="I229" s="88"/>
      <c r="J229" s="508">
        <v>0.65</v>
      </c>
      <c r="K229" s="272"/>
      <c r="L229" s="91">
        <f t="shared" si="17"/>
        <v>174.85</v>
      </c>
      <c r="M229" s="506">
        <v>269</v>
      </c>
      <c r="N229" s="506"/>
      <c r="O229" s="509" t="s">
        <v>129</v>
      </c>
      <c r="P229" s="507"/>
      <c r="Q229" s="262"/>
      <c r="R229" s="507"/>
      <c r="S229" s="507"/>
      <c r="T229" s="506"/>
      <c r="U229" s="506"/>
      <c r="V229" s="135"/>
      <c r="W229" s="129"/>
      <c r="X229" s="129"/>
      <c r="Y229" s="120">
        <v>0</v>
      </c>
      <c r="Z229" s="120">
        <v>0</v>
      </c>
      <c r="AA229" s="130"/>
      <c r="AB229" s="17">
        <v>0</v>
      </c>
      <c r="AC229" s="17">
        <v>0</v>
      </c>
      <c r="AD229" s="130"/>
      <c r="AE229" s="130"/>
      <c r="AF229" s="17">
        <v>0</v>
      </c>
      <c r="AG229" s="130"/>
      <c r="AH229" s="17">
        <v>0</v>
      </c>
      <c r="AI229" s="17">
        <v>0</v>
      </c>
      <c r="AJ229" s="17">
        <v>0</v>
      </c>
      <c r="AK229" s="17">
        <v>0</v>
      </c>
      <c r="AL229" s="32">
        <v>0</v>
      </c>
      <c r="AM229" s="509">
        <v>40.299999999999997</v>
      </c>
      <c r="AN229" s="89"/>
      <c r="AO229" s="507"/>
      <c r="AP229" s="416">
        <v>33290</v>
      </c>
      <c r="AQ229" s="133" t="s">
        <v>13</v>
      </c>
      <c r="AR229" s="174">
        <v>75</v>
      </c>
      <c r="AS229" s="270"/>
      <c r="AT229" s="171" t="str">
        <f t="shared" si="19"/>
        <v>600</v>
      </c>
      <c r="AU229" s="255">
        <f t="shared" si="18"/>
        <v>33.333333333333336</v>
      </c>
      <c r="AV229" s="263"/>
      <c r="AW229" s="257">
        <v>3</v>
      </c>
      <c r="AX229" s="261"/>
      <c r="AY229" s="258">
        <v>22</v>
      </c>
      <c r="AZ229" s="261"/>
      <c r="BA229" s="175">
        <v>65</v>
      </c>
      <c r="BB229" s="259"/>
      <c r="BC229" s="176"/>
      <c r="BD229" s="177" t="s">
        <v>259</v>
      </c>
      <c r="BE229" s="177" t="s">
        <v>259</v>
      </c>
      <c r="BF229" s="178"/>
      <c r="BG229" s="27"/>
      <c r="BH229" s="27"/>
    </row>
    <row r="230" spans="1:60" s="14" customFormat="1" ht="15" customHeight="1">
      <c r="A230" s="95">
        <v>229</v>
      </c>
      <c r="B230" s="96" t="s">
        <v>1516</v>
      </c>
      <c r="C230" s="73" t="s">
        <v>149</v>
      </c>
      <c r="D230" s="257" t="s">
        <v>1471</v>
      </c>
      <c r="E230" s="459" t="s">
        <v>3377</v>
      </c>
      <c r="F230" s="258">
        <v>1983</v>
      </c>
      <c r="G230" s="171">
        <v>27</v>
      </c>
      <c r="H230" s="57"/>
      <c r="I230" s="88"/>
      <c r="J230" s="508">
        <v>0.36</v>
      </c>
      <c r="K230" s="513">
        <v>3.3</v>
      </c>
      <c r="L230" s="91">
        <f t="shared" si="17"/>
        <v>187.2</v>
      </c>
      <c r="M230" s="506">
        <v>520</v>
      </c>
      <c r="N230" s="506"/>
      <c r="O230" s="509" t="s">
        <v>12</v>
      </c>
      <c r="P230" s="507"/>
      <c r="Q230" s="262"/>
      <c r="R230" s="507"/>
      <c r="S230" s="507"/>
      <c r="T230" s="506"/>
      <c r="U230" s="506"/>
      <c r="V230" s="131">
        <v>0</v>
      </c>
      <c r="W230" s="132">
        <v>0</v>
      </c>
      <c r="X230" s="120">
        <v>0</v>
      </c>
      <c r="Y230" s="120">
        <v>0</v>
      </c>
      <c r="Z230" s="120">
        <v>0</v>
      </c>
      <c r="AA230" s="130"/>
      <c r="AB230" s="17">
        <v>0</v>
      </c>
      <c r="AC230" s="17">
        <v>0</v>
      </c>
      <c r="AD230" s="130"/>
      <c r="AE230" s="130"/>
      <c r="AF230" s="17">
        <v>0</v>
      </c>
      <c r="AG230" s="133">
        <v>0</v>
      </c>
      <c r="AH230" s="17">
        <v>0</v>
      </c>
      <c r="AI230" s="17">
        <v>0</v>
      </c>
      <c r="AJ230" s="17">
        <v>0</v>
      </c>
      <c r="AK230" s="17">
        <v>0</v>
      </c>
      <c r="AL230" s="32">
        <v>0</v>
      </c>
      <c r="AM230" s="509">
        <v>70.900000000000006</v>
      </c>
      <c r="AN230" s="89"/>
      <c r="AO230" s="507"/>
      <c r="AP230" s="416">
        <v>38100</v>
      </c>
      <c r="AQ230" s="133" t="s">
        <v>150</v>
      </c>
      <c r="AR230" s="174">
        <v>38</v>
      </c>
      <c r="AS230" s="270"/>
      <c r="AT230" s="171" t="str">
        <f t="shared" si="19"/>
        <v>255</v>
      </c>
      <c r="AU230" s="255">
        <f t="shared" si="18"/>
        <v>16.535836177474401</v>
      </c>
      <c r="AV230" s="509">
        <v>100</v>
      </c>
      <c r="AW230" s="257">
        <v>28</v>
      </c>
      <c r="AX230" s="261"/>
      <c r="AY230" s="258">
        <v>20</v>
      </c>
      <c r="AZ230" s="261"/>
      <c r="BA230" s="175">
        <v>100</v>
      </c>
      <c r="BB230" s="259"/>
      <c r="BC230" s="176"/>
      <c r="BD230" s="177"/>
      <c r="BE230" s="177"/>
      <c r="BF230" s="178"/>
      <c r="BG230" s="27"/>
      <c r="BH230" s="27"/>
    </row>
    <row r="231" spans="1:60" s="14" customFormat="1" ht="15" customHeight="1">
      <c r="A231" s="95">
        <v>230</v>
      </c>
      <c r="B231" s="96" t="s">
        <v>1515</v>
      </c>
      <c r="C231" s="73" t="s">
        <v>149</v>
      </c>
      <c r="D231" s="257" t="s">
        <v>1471</v>
      </c>
      <c r="E231" s="459" t="s">
        <v>3377</v>
      </c>
      <c r="F231" s="258">
        <v>1983</v>
      </c>
      <c r="G231" s="171">
        <v>27</v>
      </c>
      <c r="H231" s="57"/>
      <c r="I231" s="88"/>
      <c r="J231" s="508">
        <v>0.27</v>
      </c>
      <c r="K231" s="513">
        <v>3.3</v>
      </c>
      <c r="L231" s="91">
        <f>((J231)*(M231+((V231+W231+X231+Y231+Z231+Z231+AB231+AC231+AC231+AK231)/100)*(M231)))</f>
        <v>144.45000000000002</v>
      </c>
      <c r="M231" s="506">
        <v>535</v>
      </c>
      <c r="N231" s="506"/>
      <c r="O231" s="509" t="s">
        <v>12</v>
      </c>
      <c r="P231" s="507"/>
      <c r="Q231" s="262"/>
      <c r="R231" s="507"/>
      <c r="S231" s="507"/>
      <c r="T231" s="506"/>
      <c r="U231" s="506"/>
      <c r="V231" s="131">
        <v>0</v>
      </c>
      <c r="W231" s="132">
        <v>0</v>
      </c>
      <c r="X231" s="120">
        <v>0</v>
      </c>
      <c r="Y231" s="120">
        <v>0</v>
      </c>
      <c r="Z231" s="120">
        <v>0</v>
      </c>
      <c r="AA231" s="130"/>
      <c r="AB231" s="17">
        <v>0</v>
      </c>
      <c r="AC231" s="17">
        <v>0</v>
      </c>
      <c r="AD231" s="130"/>
      <c r="AE231" s="130"/>
      <c r="AF231" s="17">
        <v>0</v>
      </c>
      <c r="AG231" s="133">
        <v>1.5</v>
      </c>
      <c r="AH231" s="17">
        <v>0</v>
      </c>
      <c r="AI231" s="17">
        <v>0</v>
      </c>
      <c r="AJ231" s="17">
        <v>0</v>
      </c>
      <c r="AK231" s="17">
        <v>0</v>
      </c>
      <c r="AL231" s="32">
        <v>0</v>
      </c>
      <c r="AM231" s="509">
        <v>85.5</v>
      </c>
      <c r="AN231" s="89"/>
      <c r="AO231" s="507"/>
      <c r="AP231" s="416">
        <v>42800</v>
      </c>
      <c r="AQ231" s="133" t="s">
        <v>150</v>
      </c>
      <c r="AR231" s="174">
        <v>38</v>
      </c>
      <c r="AS231" s="270"/>
      <c r="AT231" s="171" t="str">
        <f t="shared" si="19"/>
        <v>255</v>
      </c>
      <c r="AU231" s="255">
        <f t="shared" si="18"/>
        <v>16.535836177474401</v>
      </c>
      <c r="AV231" s="509">
        <v>100</v>
      </c>
      <c r="AW231" s="257">
        <v>28</v>
      </c>
      <c r="AX231" s="261"/>
      <c r="AY231" s="258">
        <v>20</v>
      </c>
      <c r="AZ231" s="261"/>
      <c r="BA231" s="175">
        <v>100</v>
      </c>
      <c r="BB231" s="259"/>
      <c r="BC231" s="176" t="s">
        <v>558</v>
      </c>
      <c r="BD231" s="177"/>
      <c r="BE231" s="177"/>
      <c r="BF231" s="178"/>
      <c r="BG231" s="27"/>
      <c r="BH231" s="27"/>
    </row>
    <row r="232" spans="1:60" s="14" customFormat="1" ht="15" customHeight="1">
      <c r="A232" s="95">
        <v>231</v>
      </c>
      <c r="B232" s="96" t="s">
        <v>1514</v>
      </c>
      <c r="C232" s="73" t="s">
        <v>149</v>
      </c>
      <c r="D232" s="257" t="s">
        <v>1471</v>
      </c>
      <c r="E232" s="459" t="s">
        <v>3377</v>
      </c>
      <c r="F232" s="258">
        <v>1983</v>
      </c>
      <c r="G232" s="171">
        <v>27</v>
      </c>
      <c r="H232" s="57"/>
      <c r="I232" s="88"/>
      <c r="J232" s="508">
        <v>0.34</v>
      </c>
      <c r="K232" s="513">
        <v>2.6</v>
      </c>
      <c r="L232" s="91">
        <f>(J232)*(M232)</f>
        <v>206.72000000000003</v>
      </c>
      <c r="M232" s="506">
        <v>608</v>
      </c>
      <c r="N232" s="506"/>
      <c r="O232" s="509" t="s">
        <v>12</v>
      </c>
      <c r="P232" s="507"/>
      <c r="Q232" s="262"/>
      <c r="R232" s="507"/>
      <c r="S232" s="507"/>
      <c r="T232" s="506"/>
      <c r="U232" s="506"/>
      <c r="V232" s="131">
        <v>0</v>
      </c>
      <c r="W232" s="132">
        <v>0</v>
      </c>
      <c r="X232" s="120">
        <v>0</v>
      </c>
      <c r="Y232" s="120">
        <v>0</v>
      </c>
      <c r="Z232" s="120">
        <v>0</v>
      </c>
      <c r="AA232" s="130"/>
      <c r="AB232" s="17">
        <v>0</v>
      </c>
      <c r="AC232" s="17">
        <v>0</v>
      </c>
      <c r="AD232" s="130"/>
      <c r="AE232" s="130"/>
      <c r="AF232" s="17">
        <v>0</v>
      </c>
      <c r="AG232" s="133">
        <v>0</v>
      </c>
      <c r="AH232" s="17">
        <v>0</v>
      </c>
      <c r="AI232" s="17">
        <v>0</v>
      </c>
      <c r="AJ232" s="17">
        <v>0</v>
      </c>
      <c r="AK232" s="17">
        <v>0</v>
      </c>
      <c r="AL232" s="32">
        <v>0</v>
      </c>
      <c r="AM232" s="509">
        <v>69.099999999999994</v>
      </c>
      <c r="AN232" s="89"/>
      <c r="AO232" s="507"/>
      <c r="AP232" s="416">
        <v>37500</v>
      </c>
      <c r="AQ232" s="133" t="s">
        <v>150</v>
      </c>
      <c r="AR232" s="174">
        <v>38</v>
      </c>
      <c r="AS232" s="270"/>
      <c r="AT232" s="171" t="str">
        <f t="shared" si="19"/>
        <v>255</v>
      </c>
      <c r="AU232" s="255">
        <f t="shared" si="18"/>
        <v>16.535836177474401</v>
      </c>
      <c r="AV232" s="509">
        <v>100</v>
      </c>
      <c r="AW232" s="257">
        <v>28</v>
      </c>
      <c r="AX232" s="261"/>
      <c r="AY232" s="258">
        <v>20</v>
      </c>
      <c r="AZ232" s="261"/>
      <c r="BA232" s="175">
        <v>100</v>
      </c>
      <c r="BB232" s="259"/>
      <c r="BC232" s="176" t="s">
        <v>558</v>
      </c>
      <c r="BD232" s="177"/>
      <c r="BE232" s="177"/>
      <c r="BF232" s="178"/>
      <c r="BG232" s="27"/>
      <c r="BH232" s="27"/>
    </row>
    <row r="233" spans="1:60" s="14" customFormat="1" ht="15" customHeight="1">
      <c r="A233" s="95">
        <v>232</v>
      </c>
      <c r="B233" s="96" t="s">
        <v>1513</v>
      </c>
      <c r="C233" s="73" t="s">
        <v>149</v>
      </c>
      <c r="D233" s="257" t="s">
        <v>1471</v>
      </c>
      <c r="E233" s="459" t="s">
        <v>3377</v>
      </c>
      <c r="F233" s="258">
        <v>1983</v>
      </c>
      <c r="G233" s="171">
        <v>27</v>
      </c>
      <c r="H233" s="57"/>
      <c r="I233" s="88"/>
      <c r="J233" s="508">
        <v>0.27</v>
      </c>
      <c r="K233" s="513">
        <v>2.6</v>
      </c>
      <c r="L233" s="91">
        <f>((J233)*(M233+((V233+W233+X233+Y233+Z233+Z233+AB233+AC233+AC233+AK233)/100)*(M233)))</f>
        <v>169.56</v>
      </c>
      <c r="M233" s="506">
        <v>628</v>
      </c>
      <c r="N233" s="506"/>
      <c r="O233" s="509" t="s">
        <v>12</v>
      </c>
      <c r="P233" s="507"/>
      <c r="Q233" s="262"/>
      <c r="R233" s="507"/>
      <c r="S233" s="507"/>
      <c r="T233" s="506"/>
      <c r="U233" s="506"/>
      <c r="V233" s="131">
        <v>0</v>
      </c>
      <c r="W233" s="132">
        <v>0</v>
      </c>
      <c r="X233" s="120">
        <v>0</v>
      </c>
      <c r="Y233" s="120">
        <v>0</v>
      </c>
      <c r="Z233" s="120">
        <v>0</v>
      </c>
      <c r="AA233" s="130"/>
      <c r="AB233" s="17">
        <v>0</v>
      </c>
      <c r="AC233" s="17">
        <v>0</v>
      </c>
      <c r="AD233" s="130"/>
      <c r="AE233" s="130"/>
      <c r="AF233" s="17">
        <v>0</v>
      </c>
      <c r="AG233" s="133">
        <v>1.3</v>
      </c>
      <c r="AH233" s="17">
        <v>0</v>
      </c>
      <c r="AI233" s="17">
        <v>0</v>
      </c>
      <c r="AJ233" s="17">
        <v>0</v>
      </c>
      <c r="AK233" s="17">
        <v>0</v>
      </c>
      <c r="AL233" s="32">
        <v>0</v>
      </c>
      <c r="AM233" s="509">
        <v>80.900000000000006</v>
      </c>
      <c r="AN233" s="89"/>
      <c r="AO233" s="507"/>
      <c r="AP233" s="416">
        <v>40700</v>
      </c>
      <c r="AQ233" s="133" t="s">
        <v>150</v>
      </c>
      <c r="AR233" s="174">
        <v>38</v>
      </c>
      <c r="AS233" s="270"/>
      <c r="AT233" s="171" t="str">
        <f t="shared" si="19"/>
        <v>255</v>
      </c>
      <c r="AU233" s="255">
        <f t="shared" si="18"/>
        <v>16.535836177474401</v>
      </c>
      <c r="AV233" s="509">
        <v>100</v>
      </c>
      <c r="AW233" s="257">
        <v>28</v>
      </c>
      <c r="AX233" s="261"/>
      <c r="AY233" s="258">
        <v>20</v>
      </c>
      <c r="AZ233" s="261"/>
      <c r="BA233" s="175">
        <v>100</v>
      </c>
      <c r="BB233" s="259"/>
      <c r="BC233" s="176" t="s">
        <v>558</v>
      </c>
      <c r="BD233" s="177"/>
      <c r="BE233" s="177"/>
      <c r="BF233" s="178"/>
      <c r="BG233" s="27"/>
      <c r="BH233" s="27"/>
    </row>
    <row r="234" spans="1:60" s="14" customFormat="1" ht="15" customHeight="1">
      <c r="A234" s="95">
        <v>233</v>
      </c>
      <c r="B234" s="96" t="s">
        <v>1512</v>
      </c>
      <c r="C234" s="73" t="s">
        <v>149</v>
      </c>
      <c r="D234" s="257" t="s">
        <v>1471</v>
      </c>
      <c r="E234" s="459" t="s">
        <v>3377</v>
      </c>
      <c r="F234" s="258">
        <v>1983</v>
      </c>
      <c r="G234" s="171">
        <v>27</v>
      </c>
      <c r="H234" s="57"/>
      <c r="I234" s="88"/>
      <c r="J234" s="508">
        <v>0.3</v>
      </c>
      <c r="K234" s="513">
        <v>2.08</v>
      </c>
      <c r="L234" s="91"/>
      <c r="M234" s="506">
        <v>725</v>
      </c>
      <c r="N234" s="506"/>
      <c r="O234" s="509" t="s">
        <v>12</v>
      </c>
      <c r="P234" s="507"/>
      <c r="Q234" s="262"/>
      <c r="R234" s="507"/>
      <c r="S234" s="507"/>
      <c r="T234" s="506"/>
      <c r="U234" s="506"/>
      <c r="V234" s="131">
        <v>0</v>
      </c>
      <c r="W234" s="132">
        <v>0</v>
      </c>
      <c r="X234" s="120">
        <v>0</v>
      </c>
      <c r="Y234" s="120">
        <v>0</v>
      </c>
      <c r="Z234" s="120">
        <v>0</v>
      </c>
      <c r="AA234" s="130"/>
      <c r="AB234" s="17">
        <v>0</v>
      </c>
      <c r="AC234" s="17">
        <v>0</v>
      </c>
      <c r="AD234" s="130"/>
      <c r="AE234" s="130"/>
      <c r="AF234" s="17">
        <v>0</v>
      </c>
      <c r="AG234" s="133">
        <v>0</v>
      </c>
      <c r="AH234" s="17">
        <v>0</v>
      </c>
      <c r="AI234" s="17">
        <v>0</v>
      </c>
      <c r="AJ234" s="17">
        <v>0</v>
      </c>
      <c r="AK234" s="17">
        <v>0</v>
      </c>
      <c r="AL234" s="32">
        <v>0</v>
      </c>
      <c r="AM234" s="509">
        <v>67.3</v>
      </c>
      <c r="AN234" s="89"/>
      <c r="AO234" s="507"/>
      <c r="AP234" s="416">
        <v>37000</v>
      </c>
      <c r="AQ234" s="133" t="s">
        <v>150</v>
      </c>
      <c r="AR234" s="174">
        <v>38</v>
      </c>
      <c r="AS234" s="270"/>
      <c r="AT234" s="171" t="str">
        <f t="shared" si="19"/>
        <v>255</v>
      </c>
      <c r="AU234" s="255">
        <f t="shared" si="18"/>
        <v>16.535836177474401</v>
      </c>
      <c r="AV234" s="509">
        <v>100</v>
      </c>
      <c r="AW234" s="257">
        <v>28</v>
      </c>
      <c r="AX234" s="261"/>
      <c r="AY234" s="258">
        <v>20</v>
      </c>
      <c r="AZ234" s="261"/>
      <c r="BA234" s="175">
        <v>100</v>
      </c>
      <c r="BB234" s="259"/>
      <c r="BC234" s="176" t="s">
        <v>558</v>
      </c>
      <c r="BD234" s="177"/>
      <c r="BE234" s="177"/>
      <c r="BF234" s="178"/>
      <c r="BG234" s="27"/>
      <c r="BH234" s="27"/>
    </row>
    <row r="235" spans="1:60" s="14" customFormat="1" ht="15" customHeight="1">
      <c r="A235" s="95">
        <v>234</v>
      </c>
      <c r="B235" s="96" t="s">
        <v>1511</v>
      </c>
      <c r="C235" s="73" t="s">
        <v>149</v>
      </c>
      <c r="D235" s="257" t="s">
        <v>1471</v>
      </c>
      <c r="E235" s="459" t="s">
        <v>3377</v>
      </c>
      <c r="F235" s="258">
        <v>1983</v>
      </c>
      <c r="G235" s="171">
        <v>27</v>
      </c>
      <c r="H235" s="57"/>
      <c r="I235" s="88"/>
      <c r="J235" s="508">
        <v>0.36</v>
      </c>
      <c r="K235" s="513">
        <v>3.3</v>
      </c>
      <c r="L235" s="91"/>
      <c r="M235" s="506">
        <v>520</v>
      </c>
      <c r="N235" s="506"/>
      <c r="O235" s="509" t="s">
        <v>12</v>
      </c>
      <c r="P235" s="507"/>
      <c r="Q235" s="262"/>
      <c r="R235" s="507"/>
      <c r="S235" s="507"/>
      <c r="T235" s="506"/>
      <c r="U235" s="506"/>
      <c r="V235" s="131">
        <v>0</v>
      </c>
      <c r="W235" s="132">
        <v>0</v>
      </c>
      <c r="X235" s="120">
        <v>0</v>
      </c>
      <c r="Y235" s="120">
        <v>0</v>
      </c>
      <c r="Z235" s="120">
        <v>0</v>
      </c>
      <c r="AA235" s="130"/>
      <c r="AB235" s="17">
        <v>0</v>
      </c>
      <c r="AC235" s="17">
        <v>0</v>
      </c>
      <c r="AD235" s="130"/>
      <c r="AE235" s="130"/>
      <c r="AF235" s="17">
        <v>0</v>
      </c>
      <c r="AG235" s="133">
        <v>0</v>
      </c>
      <c r="AH235" s="17">
        <v>0</v>
      </c>
      <c r="AI235" s="17">
        <v>0</v>
      </c>
      <c r="AJ235" s="17">
        <v>0</v>
      </c>
      <c r="AK235" s="17">
        <v>0</v>
      </c>
      <c r="AL235" s="32">
        <v>0</v>
      </c>
      <c r="AM235" s="509">
        <v>70.900000000000006</v>
      </c>
      <c r="AN235" s="89"/>
      <c r="AO235" s="507"/>
      <c r="AP235" s="416">
        <v>38100</v>
      </c>
      <c r="AQ235" s="133" t="s">
        <v>150</v>
      </c>
      <c r="AR235" s="174">
        <v>38</v>
      </c>
      <c r="AS235" s="270"/>
      <c r="AT235" s="171" t="str">
        <f t="shared" si="19"/>
        <v>255</v>
      </c>
      <c r="AU235" s="255">
        <f t="shared" si="18"/>
        <v>16.535836177474401</v>
      </c>
      <c r="AV235" s="509">
        <v>100</v>
      </c>
      <c r="AW235" s="257">
        <v>28</v>
      </c>
      <c r="AX235" s="261"/>
      <c r="AY235" s="258">
        <v>20</v>
      </c>
      <c r="AZ235" s="261"/>
      <c r="BA235" s="175">
        <v>65</v>
      </c>
      <c r="BB235" s="259"/>
      <c r="BC235" s="176"/>
      <c r="BD235" s="177"/>
      <c r="BE235" s="177"/>
      <c r="BF235" s="178"/>
      <c r="BG235" s="27"/>
      <c r="BH235" s="27"/>
    </row>
    <row r="236" spans="1:60" s="14" customFormat="1" ht="15" customHeight="1">
      <c r="A236" s="95">
        <v>235</v>
      </c>
      <c r="B236" s="96" t="s">
        <v>1510</v>
      </c>
      <c r="C236" s="73" t="s">
        <v>149</v>
      </c>
      <c r="D236" s="257" t="s">
        <v>1471</v>
      </c>
      <c r="E236" s="459" t="s">
        <v>3377</v>
      </c>
      <c r="F236" s="258">
        <v>1983</v>
      </c>
      <c r="G236" s="171">
        <v>27</v>
      </c>
      <c r="H236" s="57"/>
      <c r="I236" s="88"/>
      <c r="J236" s="508">
        <v>0.27</v>
      </c>
      <c r="K236" s="513">
        <v>3.3</v>
      </c>
      <c r="L236" s="91"/>
      <c r="M236" s="506">
        <v>535</v>
      </c>
      <c r="N236" s="506"/>
      <c r="O236" s="509" t="s">
        <v>12</v>
      </c>
      <c r="P236" s="507"/>
      <c r="Q236" s="262"/>
      <c r="R236" s="507"/>
      <c r="S236" s="507"/>
      <c r="T236" s="506"/>
      <c r="U236" s="506"/>
      <c r="V236" s="131">
        <v>0</v>
      </c>
      <c r="W236" s="132">
        <v>0</v>
      </c>
      <c r="X236" s="120">
        <v>0</v>
      </c>
      <c r="Y236" s="120">
        <v>0</v>
      </c>
      <c r="Z236" s="120">
        <v>0</v>
      </c>
      <c r="AA236" s="130"/>
      <c r="AB236" s="17">
        <v>0</v>
      </c>
      <c r="AC236" s="17">
        <v>0</v>
      </c>
      <c r="AD236" s="130"/>
      <c r="AE236" s="130"/>
      <c r="AF236" s="17">
        <v>0</v>
      </c>
      <c r="AG236" s="133">
        <v>1.5</v>
      </c>
      <c r="AH236" s="17">
        <v>0</v>
      </c>
      <c r="AI236" s="17">
        <v>0</v>
      </c>
      <c r="AJ236" s="17">
        <v>0</v>
      </c>
      <c r="AK236" s="17">
        <v>0</v>
      </c>
      <c r="AL236" s="32">
        <v>0</v>
      </c>
      <c r="AM236" s="509">
        <v>85.5</v>
      </c>
      <c r="AN236" s="89"/>
      <c r="AO236" s="507"/>
      <c r="AP236" s="416">
        <v>42800</v>
      </c>
      <c r="AQ236" s="133" t="s">
        <v>150</v>
      </c>
      <c r="AR236" s="174">
        <v>38</v>
      </c>
      <c r="AS236" s="270"/>
      <c r="AT236" s="171" t="str">
        <f t="shared" si="19"/>
        <v>255</v>
      </c>
      <c r="AU236" s="255">
        <f t="shared" si="18"/>
        <v>16.535836177474401</v>
      </c>
      <c r="AV236" s="509">
        <v>100</v>
      </c>
      <c r="AW236" s="257">
        <v>28</v>
      </c>
      <c r="AX236" s="261"/>
      <c r="AY236" s="258">
        <v>20</v>
      </c>
      <c r="AZ236" s="261"/>
      <c r="BA236" s="175">
        <v>65</v>
      </c>
      <c r="BB236" s="259"/>
      <c r="BC236" s="176"/>
      <c r="BD236" s="177"/>
      <c r="BE236" s="177"/>
      <c r="BF236" s="178"/>
      <c r="BG236" s="27"/>
      <c r="BH236" s="27"/>
    </row>
    <row r="237" spans="1:60" s="14" customFormat="1" ht="15" customHeight="1">
      <c r="A237" s="95">
        <v>236</v>
      </c>
      <c r="B237" s="96" t="s">
        <v>1509</v>
      </c>
      <c r="C237" s="73" t="s">
        <v>149</v>
      </c>
      <c r="D237" s="257" t="s">
        <v>1471</v>
      </c>
      <c r="E237" s="459" t="s">
        <v>3377</v>
      </c>
      <c r="F237" s="258">
        <v>1983</v>
      </c>
      <c r="G237" s="171">
        <v>27</v>
      </c>
      <c r="H237" s="57"/>
      <c r="I237" s="88"/>
      <c r="J237" s="508">
        <v>0.34</v>
      </c>
      <c r="K237" s="513">
        <v>2.6</v>
      </c>
      <c r="L237" s="91"/>
      <c r="M237" s="506">
        <v>608</v>
      </c>
      <c r="N237" s="506"/>
      <c r="O237" s="509" t="s">
        <v>12</v>
      </c>
      <c r="P237" s="507"/>
      <c r="Q237" s="262"/>
      <c r="R237" s="507"/>
      <c r="S237" s="507"/>
      <c r="T237" s="506"/>
      <c r="U237" s="506"/>
      <c r="V237" s="131">
        <v>0</v>
      </c>
      <c r="W237" s="132">
        <v>0</v>
      </c>
      <c r="X237" s="120">
        <v>0</v>
      </c>
      <c r="Y237" s="120">
        <v>0</v>
      </c>
      <c r="Z237" s="120">
        <v>0</v>
      </c>
      <c r="AA237" s="130"/>
      <c r="AB237" s="17">
        <v>0</v>
      </c>
      <c r="AC237" s="17">
        <v>0</v>
      </c>
      <c r="AD237" s="130"/>
      <c r="AE237" s="130"/>
      <c r="AF237" s="17">
        <v>0</v>
      </c>
      <c r="AG237" s="133">
        <v>0</v>
      </c>
      <c r="AH237" s="17">
        <v>0</v>
      </c>
      <c r="AI237" s="17">
        <v>0</v>
      </c>
      <c r="AJ237" s="17">
        <v>0</v>
      </c>
      <c r="AK237" s="17">
        <v>0</v>
      </c>
      <c r="AL237" s="32">
        <v>0</v>
      </c>
      <c r="AM237" s="509">
        <v>69.099999999999994</v>
      </c>
      <c r="AN237" s="89"/>
      <c r="AO237" s="507"/>
      <c r="AP237" s="416">
        <v>37500</v>
      </c>
      <c r="AQ237" s="133" t="s">
        <v>150</v>
      </c>
      <c r="AR237" s="174">
        <v>38</v>
      </c>
      <c r="AS237" s="270"/>
      <c r="AT237" s="171" t="str">
        <f t="shared" si="19"/>
        <v>255</v>
      </c>
      <c r="AU237" s="255">
        <f t="shared" si="18"/>
        <v>16.535836177474401</v>
      </c>
      <c r="AV237" s="509">
        <v>100</v>
      </c>
      <c r="AW237" s="257">
        <v>28</v>
      </c>
      <c r="AX237" s="261"/>
      <c r="AY237" s="258">
        <v>20</v>
      </c>
      <c r="AZ237" s="261"/>
      <c r="BA237" s="175">
        <v>65</v>
      </c>
      <c r="BB237" s="259"/>
      <c r="BC237" s="176"/>
      <c r="BD237" s="177"/>
      <c r="BE237" s="177"/>
      <c r="BF237" s="178"/>
      <c r="BG237" s="27"/>
      <c r="BH237" s="27"/>
    </row>
    <row r="238" spans="1:60" s="14" customFormat="1" ht="15" customHeight="1">
      <c r="A238" s="95">
        <v>237</v>
      </c>
      <c r="B238" s="96" t="s">
        <v>1508</v>
      </c>
      <c r="C238" s="73" t="s">
        <v>149</v>
      </c>
      <c r="D238" s="257" t="s">
        <v>1471</v>
      </c>
      <c r="E238" s="459" t="s">
        <v>3377</v>
      </c>
      <c r="F238" s="258">
        <v>1983</v>
      </c>
      <c r="G238" s="171">
        <v>27</v>
      </c>
      <c r="H238" s="57"/>
      <c r="I238" s="88"/>
      <c r="J238" s="508">
        <v>0.27</v>
      </c>
      <c r="K238" s="513">
        <v>2.6</v>
      </c>
      <c r="L238" s="91"/>
      <c r="M238" s="506">
        <v>628</v>
      </c>
      <c r="N238" s="506"/>
      <c r="O238" s="509" t="s">
        <v>12</v>
      </c>
      <c r="P238" s="507"/>
      <c r="Q238" s="262"/>
      <c r="R238" s="507"/>
      <c r="S238" s="507"/>
      <c r="T238" s="506"/>
      <c r="U238" s="506"/>
      <c r="V238" s="131">
        <v>0</v>
      </c>
      <c r="W238" s="132">
        <v>0</v>
      </c>
      <c r="X238" s="120">
        <v>0</v>
      </c>
      <c r="Y238" s="120">
        <v>0</v>
      </c>
      <c r="Z238" s="120">
        <v>0</v>
      </c>
      <c r="AA238" s="130"/>
      <c r="AB238" s="17">
        <v>0</v>
      </c>
      <c r="AC238" s="17">
        <v>0</v>
      </c>
      <c r="AD238" s="130"/>
      <c r="AE238" s="130"/>
      <c r="AF238" s="17">
        <v>0</v>
      </c>
      <c r="AG238" s="133">
        <v>1.3</v>
      </c>
      <c r="AH238" s="17">
        <v>0</v>
      </c>
      <c r="AI238" s="17">
        <v>0</v>
      </c>
      <c r="AJ238" s="17">
        <v>0</v>
      </c>
      <c r="AK238" s="17">
        <v>0</v>
      </c>
      <c r="AL238" s="32">
        <v>0</v>
      </c>
      <c r="AM238" s="509">
        <v>80.900000000000006</v>
      </c>
      <c r="AN238" s="89"/>
      <c r="AO238" s="507"/>
      <c r="AP238" s="416">
        <v>40700</v>
      </c>
      <c r="AQ238" s="133" t="s">
        <v>150</v>
      </c>
      <c r="AR238" s="174">
        <v>38</v>
      </c>
      <c r="AS238" s="270"/>
      <c r="AT238" s="171" t="str">
        <f t="shared" si="19"/>
        <v>255</v>
      </c>
      <c r="AU238" s="255">
        <f t="shared" si="18"/>
        <v>16.535836177474401</v>
      </c>
      <c r="AV238" s="509">
        <v>100</v>
      </c>
      <c r="AW238" s="257">
        <v>28</v>
      </c>
      <c r="AX238" s="261"/>
      <c r="AY238" s="258">
        <v>20</v>
      </c>
      <c r="AZ238" s="261"/>
      <c r="BA238" s="175">
        <v>65</v>
      </c>
      <c r="BB238" s="259"/>
      <c r="BC238" s="176"/>
      <c r="BD238" s="177"/>
      <c r="BE238" s="177"/>
      <c r="BF238" s="178"/>
      <c r="BG238" s="27"/>
      <c r="BH238" s="27"/>
    </row>
    <row r="239" spans="1:60" s="14" customFormat="1" ht="15" customHeight="1">
      <c r="A239" s="95">
        <v>238</v>
      </c>
      <c r="B239" s="96" t="s">
        <v>1507</v>
      </c>
      <c r="C239" s="73" t="s">
        <v>149</v>
      </c>
      <c r="D239" s="257" t="s">
        <v>1471</v>
      </c>
      <c r="E239" s="459" t="s">
        <v>3377</v>
      </c>
      <c r="F239" s="258">
        <v>1983</v>
      </c>
      <c r="G239" s="171">
        <v>27</v>
      </c>
      <c r="H239" s="57"/>
      <c r="I239" s="88"/>
      <c r="J239" s="508">
        <v>0.3</v>
      </c>
      <c r="K239" s="513">
        <v>2.08</v>
      </c>
      <c r="L239" s="91"/>
      <c r="M239" s="506">
        <v>725</v>
      </c>
      <c r="N239" s="506"/>
      <c r="O239" s="509" t="s">
        <v>12</v>
      </c>
      <c r="P239" s="507"/>
      <c r="Q239" s="262"/>
      <c r="R239" s="507"/>
      <c r="S239" s="507"/>
      <c r="T239" s="506"/>
      <c r="U239" s="506"/>
      <c r="V239" s="131">
        <v>0</v>
      </c>
      <c r="W239" s="132">
        <v>0</v>
      </c>
      <c r="X239" s="120">
        <v>0</v>
      </c>
      <c r="Y239" s="120">
        <v>0</v>
      </c>
      <c r="Z239" s="120">
        <v>0</v>
      </c>
      <c r="AA239" s="130"/>
      <c r="AB239" s="17">
        <v>0</v>
      </c>
      <c r="AC239" s="17">
        <v>0</v>
      </c>
      <c r="AD239" s="130"/>
      <c r="AE239" s="130"/>
      <c r="AF239" s="17">
        <v>0</v>
      </c>
      <c r="AG239" s="133">
        <v>0</v>
      </c>
      <c r="AH239" s="17">
        <v>0</v>
      </c>
      <c r="AI239" s="17">
        <v>0</v>
      </c>
      <c r="AJ239" s="17">
        <v>0</v>
      </c>
      <c r="AK239" s="17">
        <v>0</v>
      </c>
      <c r="AL239" s="32">
        <v>0</v>
      </c>
      <c r="AM239" s="509">
        <v>67.3</v>
      </c>
      <c r="AN239" s="89"/>
      <c r="AO239" s="507"/>
      <c r="AP239" s="416">
        <v>37000</v>
      </c>
      <c r="AQ239" s="133" t="s">
        <v>150</v>
      </c>
      <c r="AR239" s="174">
        <v>38</v>
      </c>
      <c r="AS239" s="270"/>
      <c r="AT239" s="171" t="str">
        <f t="shared" si="19"/>
        <v>255</v>
      </c>
      <c r="AU239" s="255">
        <f t="shared" si="18"/>
        <v>16.535836177474401</v>
      </c>
      <c r="AV239" s="509">
        <v>100</v>
      </c>
      <c r="AW239" s="257">
        <v>28</v>
      </c>
      <c r="AX239" s="261"/>
      <c r="AY239" s="258">
        <v>20</v>
      </c>
      <c r="AZ239" s="261"/>
      <c r="BA239" s="175">
        <v>65</v>
      </c>
      <c r="BB239" s="259"/>
      <c r="BC239" s="176"/>
      <c r="BD239" s="177"/>
      <c r="BE239" s="177"/>
      <c r="BF239" s="178"/>
      <c r="BG239" s="27"/>
      <c r="BH239" s="27"/>
    </row>
    <row r="240" spans="1:60" ht="15" customHeight="1">
      <c r="A240" s="95">
        <v>239</v>
      </c>
      <c r="B240" s="96" t="s">
        <v>1506</v>
      </c>
      <c r="C240" s="73" t="s">
        <v>149</v>
      </c>
      <c r="D240" s="257" t="s">
        <v>1471</v>
      </c>
      <c r="E240" s="459" t="s">
        <v>3377</v>
      </c>
      <c r="F240" s="258">
        <v>1984</v>
      </c>
      <c r="G240" s="192">
        <v>24</v>
      </c>
      <c r="H240" s="193" t="s">
        <v>1745</v>
      </c>
      <c r="I240" s="194" t="s">
        <v>1751</v>
      </c>
      <c r="J240" s="508">
        <v>0.8</v>
      </c>
      <c r="K240" s="513">
        <v>4.75</v>
      </c>
      <c r="L240" s="169"/>
      <c r="M240" s="206">
        <v>405</v>
      </c>
      <c r="N240" s="206"/>
      <c r="O240" s="509" t="s">
        <v>12</v>
      </c>
      <c r="P240" s="507"/>
      <c r="Q240" s="262"/>
      <c r="R240" s="507"/>
      <c r="S240" s="507"/>
      <c r="T240" s="192"/>
      <c r="U240" s="506" t="s">
        <v>2618</v>
      </c>
      <c r="V240" s="131">
        <v>0</v>
      </c>
      <c r="W240" s="132">
        <v>0</v>
      </c>
      <c r="X240" s="120">
        <v>0</v>
      </c>
      <c r="Y240" s="120">
        <v>0</v>
      </c>
      <c r="Z240" s="120">
        <v>0</v>
      </c>
      <c r="AA240" s="133">
        <v>0</v>
      </c>
      <c r="AB240" s="17">
        <v>0</v>
      </c>
      <c r="AC240" s="17">
        <v>0</v>
      </c>
      <c r="AD240" s="133">
        <v>0</v>
      </c>
      <c r="AE240" s="133">
        <v>0</v>
      </c>
      <c r="AF240" s="17">
        <v>0</v>
      </c>
      <c r="AG240" s="133">
        <v>0</v>
      </c>
      <c r="AH240" s="17">
        <v>0</v>
      </c>
      <c r="AI240" s="133">
        <v>0</v>
      </c>
      <c r="AJ240" s="133">
        <v>0</v>
      </c>
      <c r="AK240" s="17">
        <v>0</v>
      </c>
      <c r="AL240" s="137">
        <v>0</v>
      </c>
      <c r="AM240" s="779">
        <v>16.695</v>
      </c>
      <c r="AN240" s="89"/>
      <c r="AO240" s="507"/>
      <c r="AP240" s="262"/>
      <c r="AQ240" s="133" t="s">
        <v>150</v>
      </c>
      <c r="AR240" s="199">
        <v>38</v>
      </c>
      <c r="AS240" s="270"/>
      <c r="AT240" s="200">
        <v>255</v>
      </c>
      <c r="AU240" s="255">
        <f t="shared" si="18"/>
        <v>16.535836177474401</v>
      </c>
      <c r="AV240" s="509">
        <v>100</v>
      </c>
      <c r="AW240" s="257">
        <v>14</v>
      </c>
      <c r="AX240" s="261"/>
      <c r="AY240" s="258">
        <v>23</v>
      </c>
      <c r="AZ240" s="261"/>
      <c r="BA240" s="195">
        <v>60</v>
      </c>
      <c r="BB240" s="259"/>
      <c r="BC240" s="196"/>
      <c r="BD240" s="204"/>
      <c r="BE240" s="204"/>
      <c r="BF240" s="198"/>
      <c r="BG240" s="27"/>
      <c r="BH240" s="27"/>
    </row>
    <row r="241" spans="1:60" ht="15" customHeight="1">
      <c r="A241" s="95">
        <v>240</v>
      </c>
      <c r="B241" s="96" t="s">
        <v>1505</v>
      </c>
      <c r="C241" s="73" t="s">
        <v>149</v>
      </c>
      <c r="D241" s="257" t="s">
        <v>1471</v>
      </c>
      <c r="E241" s="459" t="s">
        <v>3377</v>
      </c>
      <c r="F241" s="258">
        <v>1984</v>
      </c>
      <c r="G241" s="192">
        <v>24</v>
      </c>
      <c r="H241" s="193" t="s">
        <v>1745</v>
      </c>
      <c r="I241" s="194" t="s">
        <v>1751</v>
      </c>
      <c r="J241" s="508">
        <v>0.67</v>
      </c>
      <c r="K241" s="513">
        <v>4.75</v>
      </c>
      <c r="L241" s="169"/>
      <c r="M241" s="206">
        <v>366</v>
      </c>
      <c r="N241" s="206"/>
      <c r="O241" s="509" t="s">
        <v>12</v>
      </c>
      <c r="P241" s="507"/>
      <c r="Q241" s="262"/>
      <c r="R241" s="507"/>
      <c r="S241" s="507"/>
      <c r="T241" s="192"/>
      <c r="U241" s="506" t="s">
        <v>2618</v>
      </c>
      <c r="V241" s="131">
        <v>0</v>
      </c>
      <c r="W241" s="132">
        <v>0</v>
      </c>
      <c r="X241" s="120">
        <v>0</v>
      </c>
      <c r="Y241" s="120">
        <v>0</v>
      </c>
      <c r="Z241" s="120">
        <v>0</v>
      </c>
      <c r="AA241" s="133">
        <v>0</v>
      </c>
      <c r="AB241" s="17">
        <v>0</v>
      </c>
      <c r="AC241" s="17">
        <v>0</v>
      </c>
      <c r="AD241" s="133">
        <v>0</v>
      </c>
      <c r="AE241" s="133">
        <v>0</v>
      </c>
      <c r="AF241" s="17">
        <v>0</v>
      </c>
      <c r="AG241" s="133">
        <v>0</v>
      </c>
      <c r="AH241" s="17">
        <v>0</v>
      </c>
      <c r="AI241" s="133">
        <v>0</v>
      </c>
      <c r="AJ241" s="133">
        <v>0</v>
      </c>
      <c r="AK241" s="17">
        <v>0</v>
      </c>
      <c r="AL241" s="137">
        <v>0</v>
      </c>
      <c r="AM241" s="779">
        <v>22.26</v>
      </c>
      <c r="AN241" s="89"/>
      <c r="AO241" s="507"/>
      <c r="AP241" s="262"/>
      <c r="AQ241" s="133" t="s">
        <v>150</v>
      </c>
      <c r="AR241" s="199">
        <v>38</v>
      </c>
      <c r="AS241" s="270"/>
      <c r="AT241" s="200">
        <v>255</v>
      </c>
      <c r="AU241" s="255">
        <f t="shared" si="18"/>
        <v>16.535836177474401</v>
      </c>
      <c r="AV241" s="509">
        <v>100</v>
      </c>
      <c r="AW241" s="257">
        <v>14</v>
      </c>
      <c r="AX241" s="261"/>
      <c r="AY241" s="258">
        <v>23</v>
      </c>
      <c r="AZ241" s="261"/>
      <c r="BA241" s="195">
        <v>60</v>
      </c>
      <c r="BB241" s="259"/>
      <c r="BC241" s="196"/>
      <c r="BD241" s="204"/>
      <c r="BE241" s="204"/>
      <c r="BF241" s="198"/>
      <c r="BG241" s="27"/>
      <c r="BH241" s="27"/>
    </row>
    <row r="242" spans="1:60" ht="15" customHeight="1">
      <c r="A242" s="95">
        <v>241</v>
      </c>
      <c r="B242" s="96" t="s">
        <v>1504</v>
      </c>
      <c r="C242" s="73" t="s">
        <v>149</v>
      </c>
      <c r="D242" s="257" t="s">
        <v>1471</v>
      </c>
      <c r="E242" s="459" t="s">
        <v>3377</v>
      </c>
      <c r="F242" s="258">
        <v>1984</v>
      </c>
      <c r="G242" s="192">
        <v>24</v>
      </c>
      <c r="H242" s="193" t="s">
        <v>1745</v>
      </c>
      <c r="I242" s="194" t="s">
        <v>1751</v>
      </c>
      <c r="J242" s="508">
        <v>0.57999999999999996</v>
      </c>
      <c r="K242" s="513">
        <v>4.75</v>
      </c>
      <c r="L242" s="169"/>
      <c r="M242" s="206">
        <v>337</v>
      </c>
      <c r="N242" s="206"/>
      <c r="O242" s="509" t="s">
        <v>12</v>
      </c>
      <c r="P242" s="507"/>
      <c r="Q242" s="262"/>
      <c r="R242" s="507"/>
      <c r="S242" s="507"/>
      <c r="T242" s="192"/>
      <c r="U242" s="506" t="s">
        <v>2618</v>
      </c>
      <c r="V242" s="131">
        <v>0</v>
      </c>
      <c r="W242" s="132">
        <v>0</v>
      </c>
      <c r="X242" s="120">
        <v>0</v>
      </c>
      <c r="Y242" s="120">
        <v>0</v>
      </c>
      <c r="Z242" s="120">
        <v>0</v>
      </c>
      <c r="AA242" s="133">
        <v>0</v>
      </c>
      <c r="AB242" s="17">
        <v>0</v>
      </c>
      <c r="AC242" s="17">
        <v>0</v>
      </c>
      <c r="AD242" s="133">
        <v>0</v>
      </c>
      <c r="AE242" s="133">
        <v>0</v>
      </c>
      <c r="AF242" s="17">
        <v>0</v>
      </c>
      <c r="AG242" s="133">
        <v>0</v>
      </c>
      <c r="AH242" s="17">
        <v>0</v>
      </c>
      <c r="AI242" s="133">
        <v>0</v>
      </c>
      <c r="AJ242" s="133">
        <v>0</v>
      </c>
      <c r="AK242" s="17">
        <v>0</v>
      </c>
      <c r="AL242" s="137">
        <v>0</v>
      </c>
      <c r="AM242" s="779">
        <v>35.093571428571423</v>
      </c>
      <c r="AN242" s="89"/>
      <c r="AO242" s="507"/>
      <c r="AP242" s="262"/>
      <c r="AQ242" s="133" t="s">
        <v>150</v>
      </c>
      <c r="AR242" s="199">
        <v>38</v>
      </c>
      <c r="AS242" s="270"/>
      <c r="AT242" s="200">
        <v>255</v>
      </c>
      <c r="AU242" s="255">
        <f t="shared" si="18"/>
        <v>16.535836177474401</v>
      </c>
      <c r="AV242" s="509">
        <v>100</v>
      </c>
      <c r="AW242" s="257">
        <v>14</v>
      </c>
      <c r="AX242" s="261"/>
      <c r="AY242" s="258">
        <v>23</v>
      </c>
      <c r="AZ242" s="261"/>
      <c r="BA242" s="195">
        <v>60</v>
      </c>
      <c r="BB242" s="259"/>
      <c r="BC242" s="196"/>
      <c r="BD242" s="204"/>
      <c r="BE242" s="204"/>
      <c r="BF242" s="198"/>
      <c r="BG242" s="27"/>
      <c r="BH242" s="27"/>
    </row>
    <row r="243" spans="1:60" ht="15" customHeight="1">
      <c r="A243" s="95">
        <v>242</v>
      </c>
      <c r="B243" s="96" t="s">
        <v>1503</v>
      </c>
      <c r="C243" s="73" t="s">
        <v>149</v>
      </c>
      <c r="D243" s="257" t="s">
        <v>1471</v>
      </c>
      <c r="E243" s="459" t="s">
        <v>3377</v>
      </c>
      <c r="F243" s="258">
        <v>1984</v>
      </c>
      <c r="G243" s="192">
        <v>24</v>
      </c>
      <c r="H243" s="193" t="s">
        <v>1745</v>
      </c>
      <c r="I243" s="194" t="s">
        <v>1751</v>
      </c>
      <c r="J243" s="508">
        <v>0.54</v>
      </c>
      <c r="K243" s="513">
        <v>4.75</v>
      </c>
      <c r="L243" s="169"/>
      <c r="M243" s="206">
        <v>326</v>
      </c>
      <c r="N243" s="206"/>
      <c r="O243" s="509" t="s">
        <v>12</v>
      </c>
      <c r="P243" s="507"/>
      <c r="Q243" s="262"/>
      <c r="R243" s="507"/>
      <c r="S243" s="507"/>
      <c r="T243" s="192"/>
      <c r="U243" s="506" t="s">
        <v>2618</v>
      </c>
      <c r="V243" s="131">
        <v>0</v>
      </c>
      <c r="W243" s="132">
        <v>0</v>
      </c>
      <c r="X243" s="120">
        <v>0</v>
      </c>
      <c r="Y243" s="120">
        <v>0</v>
      </c>
      <c r="Z243" s="120">
        <v>0</v>
      </c>
      <c r="AA243" s="133">
        <v>0</v>
      </c>
      <c r="AB243" s="17">
        <v>0</v>
      </c>
      <c r="AC243" s="17">
        <v>0</v>
      </c>
      <c r="AD243" s="133">
        <v>0</v>
      </c>
      <c r="AE243" s="133">
        <v>0</v>
      </c>
      <c r="AF243" s="17">
        <v>0</v>
      </c>
      <c r="AG243" s="133">
        <v>0</v>
      </c>
      <c r="AH243" s="17">
        <v>0</v>
      </c>
      <c r="AI243" s="133">
        <v>0</v>
      </c>
      <c r="AJ243" s="133">
        <v>0</v>
      </c>
      <c r="AK243" s="17">
        <v>0</v>
      </c>
      <c r="AL243" s="137">
        <v>0</v>
      </c>
      <c r="AM243" s="779">
        <v>37.251428571428569</v>
      </c>
      <c r="AN243" s="89"/>
      <c r="AO243" s="507"/>
      <c r="AP243" s="262"/>
      <c r="AQ243" s="133" t="s">
        <v>150</v>
      </c>
      <c r="AR243" s="199">
        <v>38</v>
      </c>
      <c r="AS243" s="270"/>
      <c r="AT243" s="200">
        <v>255</v>
      </c>
      <c r="AU243" s="255">
        <f t="shared" si="18"/>
        <v>16.535836177474401</v>
      </c>
      <c r="AV243" s="509">
        <v>100</v>
      </c>
      <c r="AW243" s="257">
        <v>14</v>
      </c>
      <c r="AX243" s="261"/>
      <c r="AY243" s="258">
        <v>23</v>
      </c>
      <c r="AZ243" s="261"/>
      <c r="BA243" s="195">
        <v>60</v>
      </c>
      <c r="BB243" s="259"/>
      <c r="BC243" s="196"/>
      <c r="BD243" s="204"/>
      <c r="BE243" s="204"/>
      <c r="BF243" s="198"/>
      <c r="BG243" s="27"/>
      <c r="BH243" s="27"/>
    </row>
    <row r="244" spans="1:60" ht="15" customHeight="1">
      <c r="A244" s="95">
        <v>243</v>
      </c>
      <c r="B244" s="96" t="s">
        <v>1502</v>
      </c>
      <c r="C244" s="73" t="s">
        <v>149</v>
      </c>
      <c r="D244" s="257" t="s">
        <v>1471</v>
      </c>
      <c r="E244" s="459" t="s">
        <v>3377</v>
      </c>
      <c r="F244" s="258">
        <v>1984</v>
      </c>
      <c r="G244" s="192">
        <v>24</v>
      </c>
      <c r="H244" s="193" t="s">
        <v>1745</v>
      </c>
      <c r="I244" s="194" t="s">
        <v>1751</v>
      </c>
      <c r="J244" s="508">
        <v>0.5</v>
      </c>
      <c r="K244" s="513">
        <v>4.75</v>
      </c>
      <c r="L244" s="169"/>
      <c r="M244" s="206">
        <v>311</v>
      </c>
      <c r="N244" s="206"/>
      <c r="O244" s="509" t="s">
        <v>12</v>
      </c>
      <c r="P244" s="507"/>
      <c r="Q244" s="262"/>
      <c r="R244" s="507"/>
      <c r="S244" s="507"/>
      <c r="T244" s="192"/>
      <c r="U244" s="506" t="s">
        <v>2618</v>
      </c>
      <c r="V244" s="131">
        <v>0</v>
      </c>
      <c r="W244" s="132">
        <v>0</v>
      </c>
      <c r="X244" s="120">
        <v>0</v>
      </c>
      <c r="Y244" s="120">
        <v>0</v>
      </c>
      <c r="Z244" s="120">
        <v>0</v>
      </c>
      <c r="AA244" s="133">
        <v>0</v>
      </c>
      <c r="AB244" s="17">
        <v>0</v>
      </c>
      <c r="AC244" s="17">
        <v>0</v>
      </c>
      <c r="AD244" s="133">
        <v>0</v>
      </c>
      <c r="AE244" s="133">
        <v>0</v>
      </c>
      <c r="AF244" s="17">
        <v>0</v>
      </c>
      <c r="AG244" s="133">
        <v>0</v>
      </c>
      <c r="AH244" s="17">
        <v>0</v>
      </c>
      <c r="AI244" s="133">
        <v>0</v>
      </c>
      <c r="AJ244" s="133">
        <v>0</v>
      </c>
      <c r="AK244" s="17">
        <v>0</v>
      </c>
      <c r="AL244" s="137">
        <v>0</v>
      </c>
      <c r="AM244" s="779">
        <v>41.794285714285706</v>
      </c>
      <c r="AN244" s="89"/>
      <c r="AO244" s="507"/>
      <c r="AP244" s="262"/>
      <c r="AQ244" s="133" t="s">
        <v>150</v>
      </c>
      <c r="AR244" s="199">
        <v>38</v>
      </c>
      <c r="AS244" s="270"/>
      <c r="AT244" s="200">
        <v>255</v>
      </c>
      <c r="AU244" s="255">
        <f t="shared" si="18"/>
        <v>16.535836177474401</v>
      </c>
      <c r="AV244" s="509">
        <v>100</v>
      </c>
      <c r="AW244" s="257">
        <v>14</v>
      </c>
      <c r="AX244" s="261"/>
      <c r="AY244" s="258">
        <v>23</v>
      </c>
      <c r="AZ244" s="261"/>
      <c r="BA244" s="195">
        <v>60</v>
      </c>
      <c r="BB244" s="259"/>
      <c r="BC244" s="196"/>
      <c r="BD244" s="204"/>
      <c r="BE244" s="204"/>
      <c r="BF244" s="198"/>
      <c r="BG244" s="27"/>
      <c r="BH244" s="27"/>
    </row>
    <row r="245" spans="1:60" ht="15" customHeight="1">
      <c r="A245" s="95">
        <v>244</v>
      </c>
      <c r="B245" s="96" t="s">
        <v>1501</v>
      </c>
      <c r="C245" s="73" t="s">
        <v>149</v>
      </c>
      <c r="D245" s="257" t="s">
        <v>1471</v>
      </c>
      <c r="E245" s="459" t="s">
        <v>3377</v>
      </c>
      <c r="F245" s="258">
        <v>1984</v>
      </c>
      <c r="G245" s="192">
        <v>24</v>
      </c>
      <c r="H245" s="193" t="s">
        <v>1745</v>
      </c>
      <c r="I245" s="194" t="s">
        <v>1751</v>
      </c>
      <c r="J245" s="508">
        <v>0.8</v>
      </c>
      <c r="K245" s="513">
        <v>4.75</v>
      </c>
      <c r="L245" s="169"/>
      <c r="M245" s="206">
        <v>389</v>
      </c>
      <c r="N245" s="206"/>
      <c r="O245" s="509" t="s">
        <v>12</v>
      </c>
      <c r="P245" s="507"/>
      <c r="Q245" s="262"/>
      <c r="R245" s="507"/>
      <c r="S245" s="507"/>
      <c r="T245" s="192"/>
      <c r="U245" s="506" t="s">
        <v>2619</v>
      </c>
      <c r="V245" s="131">
        <v>0</v>
      </c>
      <c r="W245" s="132">
        <v>0</v>
      </c>
      <c r="X245" s="120">
        <v>0</v>
      </c>
      <c r="Y245" s="120">
        <v>0</v>
      </c>
      <c r="Z245" s="120">
        <v>0</v>
      </c>
      <c r="AA245" s="133">
        <v>0</v>
      </c>
      <c r="AB245" s="17">
        <v>0</v>
      </c>
      <c r="AC245" s="17">
        <v>0</v>
      </c>
      <c r="AD245" s="133">
        <v>0</v>
      </c>
      <c r="AE245" s="133">
        <v>0</v>
      </c>
      <c r="AF245" s="17">
        <v>0</v>
      </c>
      <c r="AG245" s="133">
        <v>0</v>
      </c>
      <c r="AH245" s="17">
        <v>0</v>
      </c>
      <c r="AI245" s="133">
        <v>0</v>
      </c>
      <c r="AJ245" s="133">
        <v>0</v>
      </c>
      <c r="AK245" s="17">
        <v>0</v>
      </c>
      <c r="AL245" s="137">
        <v>0</v>
      </c>
      <c r="AM245" s="779">
        <v>16.581428571428571</v>
      </c>
      <c r="AN245" s="89"/>
      <c r="AO245" s="507"/>
      <c r="AP245" s="262"/>
      <c r="AQ245" s="133" t="s">
        <v>150</v>
      </c>
      <c r="AR245" s="199">
        <v>38</v>
      </c>
      <c r="AS245" s="270"/>
      <c r="AT245" s="200">
        <v>255</v>
      </c>
      <c r="AU245" s="255">
        <f t="shared" si="18"/>
        <v>16.535836177474401</v>
      </c>
      <c r="AV245" s="509">
        <v>100</v>
      </c>
      <c r="AW245" s="257">
        <v>14</v>
      </c>
      <c r="AX245" s="261"/>
      <c r="AY245" s="258">
        <v>23</v>
      </c>
      <c r="AZ245" s="261"/>
      <c r="BA245" s="195">
        <v>60</v>
      </c>
      <c r="BB245" s="259"/>
      <c r="BC245" s="196"/>
      <c r="BD245" s="204"/>
      <c r="BE245" s="204"/>
      <c r="BF245" s="198"/>
      <c r="BG245" s="27"/>
      <c r="BH245" s="27"/>
    </row>
    <row r="246" spans="1:60" ht="15" customHeight="1">
      <c r="A246" s="95">
        <v>245</v>
      </c>
      <c r="B246" s="96" t="s">
        <v>1500</v>
      </c>
      <c r="C246" s="73" t="s">
        <v>149</v>
      </c>
      <c r="D246" s="257" t="s">
        <v>1471</v>
      </c>
      <c r="E246" s="459" t="s">
        <v>3377</v>
      </c>
      <c r="F246" s="258">
        <v>1984</v>
      </c>
      <c r="G246" s="192">
        <v>24</v>
      </c>
      <c r="H246" s="193" t="s">
        <v>1745</v>
      </c>
      <c r="I246" s="194" t="s">
        <v>1751</v>
      </c>
      <c r="J246" s="508">
        <v>0.67</v>
      </c>
      <c r="K246" s="513">
        <v>4.75</v>
      </c>
      <c r="L246" s="169"/>
      <c r="M246" s="206">
        <v>351</v>
      </c>
      <c r="N246" s="206"/>
      <c r="O246" s="509" t="s">
        <v>12</v>
      </c>
      <c r="P246" s="507"/>
      <c r="Q246" s="262"/>
      <c r="R246" s="507"/>
      <c r="S246" s="507"/>
      <c r="T246" s="192"/>
      <c r="U246" s="506" t="s">
        <v>2619</v>
      </c>
      <c r="V246" s="131">
        <v>0</v>
      </c>
      <c r="W246" s="132">
        <v>0</v>
      </c>
      <c r="X246" s="120">
        <v>0</v>
      </c>
      <c r="Y246" s="120">
        <v>0</v>
      </c>
      <c r="Z246" s="120">
        <v>0</v>
      </c>
      <c r="AA246" s="133">
        <v>0</v>
      </c>
      <c r="AB246" s="17">
        <v>0</v>
      </c>
      <c r="AC246" s="17">
        <v>0</v>
      </c>
      <c r="AD246" s="133">
        <v>0</v>
      </c>
      <c r="AE246" s="133">
        <v>0</v>
      </c>
      <c r="AF246" s="17">
        <v>0</v>
      </c>
      <c r="AG246" s="133">
        <v>0</v>
      </c>
      <c r="AH246" s="17">
        <v>0</v>
      </c>
      <c r="AI246" s="133">
        <v>0</v>
      </c>
      <c r="AJ246" s="133">
        <v>0</v>
      </c>
      <c r="AK246" s="17">
        <v>0</v>
      </c>
      <c r="AL246" s="137">
        <v>0</v>
      </c>
      <c r="AM246" s="779">
        <v>23.055</v>
      </c>
      <c r="AN246" s="89"/>
      <c r="AO246" s="507"/>
      <c r="AP246" s="262"/>
      <c r="AQ246" s="133" t="s">
        <v>150</v>
      </c>
      <c r="AR246" s="199">
        <v>38</v>
      </c>
      <c r="AS246" s="270"/>
      <c r="AT246" s="200">
        <v>255</v>
      </c>
      <c r="AU246" s="255">
        <f t="shared" si="18"/>
        <v>16.535836177474401</v>
      </c>
      <c r="AV246" s="509">
        <v>100</v>
      </c>
      <c r="AW246" s="257">
        <v>14</v>
      </c>
      <c r="AX246" s="261"/>
      <c r="AY246" s="258">
        <v>23</v>
      </c>
      <c r="AZ246" s="261"/>
      <c r="BA246" s="195">
        <v>60</v>
      </c>
      <c r="BB246" s="259"/>
      <c r="BC246" s="196"/>
      <c r="BD246" s="204"/>
      <c r="BE246" s="204"/>
      <c r="BF246" s="198"/>
      <c r="BG246" s="27"/>
      <c r="BH246" s="27"/>
    </row>
    <row r="247" spans="1:60" ht="15" customHeight="1">
      <c r="A247" s="95">
        <v>246</v>
      </c>
      <c r="B247" s="96" t="s">
        <v>1499</v>
      </c>
      <c r="C247" s="73" t="s">
        <v>149</v>
      </c>
      <c r="D247" s="257" t="s">
        <v>1471</v>
      </c>
      <c r="E247" s="459" t="s">
        <v>3377</v>
      </c>
      <c r="F247" s="258">
        <v>1984</v>
      </c>
      <c r="G247" s="192">
        <v>24</v>
      </c>
      <c r="H247" s="193" t="s">
        <v>1745</v>
      </c>
      <c r="I247" s="194" t="s">
        <v>1751</v>
      </c>
      <c r="J247" s="508">
        <v>0.56000000000000005</v>
      </c>
      <c r="K247" s="513">
        <v>4.75</v>
      </c>
      <c r="L247" s="169"/>
      <c r="M247" s="206">
        <v>317</v>
      </c>
      <c r="N247" s="206"/>
      <c r="O247" s="509" t="s">
        <v>12</v>
      </c>
      <c r="P247" s="507"/>
      <c r="Q247" s="262"/>
      <c r="R247" s="507"/>
      <c r="S247" s="507"/>
      <c r="T247" s="192"/>
      <c r="U247" s="506" t="s">
        <v>2619</v>
      </c>
      <c r="V247" s="131">
        <v>0</v>
      </c>
      <c r="W247" s="132">
        <v>0</v>
      </c>
      <c r="X247" s="120">
        <v>0</v>
      </c>
      <c r="Y247" s="120">
        <v>0</v>
      </c>
      <c r="Z247" s="120">
        <v>0</v>
      </c>
      <c r="AA247" s="133">
        <v>0</v>
      </c>
      <c r="AB247" s="17">
        <v>0</v>
      </c>
      <c r="AC247" s="17">
        <v>0</v>
      </c>
      <c r="AD247" s="133">
        <v>0</v>
      </c>
      <c r="AE247" s="133">
        <v>0</v>
      </c>
      <c r="AF247" s="17">
        <v>0</v>
      </c>
      <c r="AG247" s="133">
        <v>0</v>
      </c>
      <c r="AH247" s="17">
        <v>0</v>
      </c>
      <c r="AI247" s="133">
        <v>0</v>
      </c>
      <c r="AJ247" s="133">
        <v>0</v>
      </c>
      <c r="AK247" s="17">
        <v>0</v>
      </c>
      <c r="AL247" s="137">
        <v>0</v>
      </c>
      <c r="AM247" s="779">
        <v>31.459285714285713</v>
      </c>
      <c r="AN247" s="89"/>
      <c r="AO247" s="507"/>
      <c r="AP247" s="262"/>
      <c r="AQ247" s="133" t="s">
        <v>150</v>
      </c>
      <c r="AR247" s="199">
        <v>38</v>
      </c>
      <c r="AS247" s="270"/>
      <c r="AT247" s="200">
        <v>255</v>
      </c>
      <c r="AU247" s="255">
        <f t="shared" si="18"/>
        <v>16.535836177474401</v>
      </c>
      <c r="AV247" s="509">
        <v>100</v>
      </c>
      <c r="AW247" s="257">
        <v>14</v>
      </c>
      <c r="AX247" s="261"/>
      <c r="AY247" s="258">
        <v>23</v>
      </c>
      <c r="AZ247" s="261"/>
      <c r="BA247" s="195">
        <v>60</v>
      </c>
      <c r="BB247" s="259"/>
      <c r="BC247" s="196"/>
      <c r="BD247" s="204"/>
      <c r="BE247" s="204"/>
      <c r="BF247" s="198"/>
      <c r="BG247" s="27"/>
      <c r="BH247" s="27"/>
    </row>
    <row r="248" spans="1:60" ht="15" customHeight="1">
      <c r="A248" s="95">
        <v>247</v>
      </c>
      <c r="B248" s="96" t="s">
        <v>1498</v>
      </c>
      <c r="C248" s="73" t="s">
        <v>149</v>
      </c>
      <c r="D248" s="257" t="s">
        <v>1471</v>
      </c>
      <c r="E248" s="459" t="s">
        <v>3377</v>
      </c>
      <c r="F248" s="258">
        <v>1984</v>
      </c>
      <c r="G248" s="192">
        <v>24</v>
      </c>
      <c r="H248" s="193" t="s">
        <v>1745</v>
      </c>
      <c r="I248" s="194" t="s">
        <v>1751</v>
      </c>
      <c r="J248" s="508">
        <v>0.48</v>
      </c>
      <c r="K248" s="513">
        <v>4.75</v>
      </c>
      <c r="L248" s="169"/>
      <c r="M248" s="206">
        <v>292</v>
      </c>
      <c r="N248" s="206"/>
      <c r="O248" s="509" t="s">
        <v>12</v>
      </c>
      <c r="P248" s="507"/>
      <c r="Q248" s="262"/>
      <c r="R248" s="507"/>
      <c r="S248" s="507"/>
      <c r="T248" s="192"/>
      <c r="U248" s="506" t="s">
        <v>2619</v>
      </c>
      <c r="V248" s="131">
        <v>0</v>
      </c>
      <c r="W248" s="132">
        <v>0</v>
      </c>
      <c r="X248" s="120">
        <v>0</v>
      </c>
      <c r="Y248" s="120">
        <v>0</v>
      </c>
      <c r="Z248" s="120">
        <v>0</v>
      </c>
      <c r="AA248" s="133">
        <v>0</v>
      </c>
      <c r="AB248" s="17">
        <v>0</v>
      </c>
      <c r="AC248" s="17">
        <v>0</v>
      </c>
      <c r="AD248" s="133">
        <v>0</v>
      </c>
      <c r="AE248" s="133">
        <v>0</v>
      </c>
      <c r="AF248" s="17">
        <v>0</v>
      </c>
      <c r="AG248" s="133">
        <v>0</v>
      </c>
      <c r="AH248" s="17">
        <v>0</v>
      </c>
      <c r="AI248" s="133">
        <v>0</v>
      </c>
      <c r="AJ248" s="133">
        <v>0</v>
      </c>
      <c r="AK248" s="17">
        <v>0</v>
      </c>
      <c r="AL248" s="137">
        <v>0</v>
      </c>
      <c r="AM248" s="779">
        <v>33.957857142857144</v>
      </c>
      <c r="AN248" s="89"/>
      <c r="AO248" s="507"/>
      <c r="AP248" s="262"/>
      <c r="AQ248" s="133" t="s">
        <v>150</v>
      </c>
      <c r="AR248" s="199">
        <v>38</v>
      </c>
      <c r="AS248" s="270"/>
      <c r="AT248" s="200">
        <v>255</v>
      </c>
      <c r="AU248" s="255">
        <f t="shared" si="18"/>
        <v>16.535836177474401</v>
      </c>
      <c r="AV248" s="509">
        <v>100</v>
      </c>
      <c r="AW248" s="257">
        <v>14</v>
      </c>
      <c r="AX248" s="261"/>
      <c r="AY248" s="258">
        <v>23</v>
      </c>
      <c r="AZ248" s="261"/>
      <c r="BA248" s="195">
        <v>60</v>
      </c>
      <c r="BB248" s="259"/>
      <c r="BC248" s="196"/>
      <c r="BD248" s="204"/>
      <c r="BE248" s="204"/>
      <c r="BF248" s="198"/>
      <c r="BG248" s="27"/>
      <c r="BH248" s="27"/>
    </row>
    <row r="249" spans="1:60" ht="15" customHeight="1">
      <c r="A249" s="95">
        <v>248</v>
      </c>
      <c r="B249" s="96" t="s">
        <v>1497</v>
      </c>
      <c r="C249" s="73" t="s">
        <v>149</v>
      </c>
      <c r="D249" s="257" t="s">
        <v>1471</v>
      </c>
      <c r="E249" s="459" t="s">
        <v>3377</v>
      </c>
      <c r="F249" s="258">
        <v>1984</v>
      </c>
      <c r="G249" s="192">
        <v>24</v>
      </c>
      <c r="H249" s="193" t="s">
        <v>1745</v>
      </c>
      <c r="I249" s="194" t="s">
        <v>1751</v>
      </c>
      <c r="J249" s="508">
        <v>0.4</v>
      </c>
      <c r="K249" s="513">
        <v>4.75</v>
      </c>
      <c r="L249" s="169"/>
      <c r="M249" s="206">
        <v>267</v>
      </c>
      <c r="N249" s="206"/>
      <c r="O249" s="509" t="s">
        <v>12</v>
      </c>
      <c r="P249" s="507"/>
      <c r="Q249" s="262"/>
      <c r="R249" s="507"/>
      <c r="S249" s="507"/>
      <c r="T249" s="192"/>
      <c r="U249" s="506" t="s">
        <v>2619</v>
      </c>
      <c r="V249" s="131">
        <v>0</v>
      </c>
      <c r="W249" s="132">
        <v>0</v>
      </c>
      <c r="X249" s="120">
        <v>0</v>
      </c>
      <c r="Y249" s="120">
        <v>0</v>
      </c>
      <c r="Z249" s="120">
        <v>0</v>
      </c>
      <c r="AA249" s="133">
        <v>0</v>
      </c>
      <c r="AB249" s="17">
        <v>0</v>
      </c>
      <c r="AC249" s="17">
        <v>0</v>
      </c>
      <c r="AD249" s="133">
        <v>0</v>
      </c>
      <c r="AE249" s="133">
        <v>0</v>
      </c>
      <c r="AF249" s="17">
        <v>0</v>
      </c>
      <c r="AG249" s="133">
        <v>0</v>
      </c>
      <c r="AH249" s="17">
        <v>0</v>
      </c>
      <c r="AI249" s="133">
        <v>0</v>
      </c>
      <c r="AJ249" s="133">
        <v>0</v>
      </c>
      <c r="AK249" s="17">
        <v>0</v>
      </c>
      <c r="AL249" s="137">
        <v>0</v>
      </c>
      <c r="AM249" s="779">
        <v>41.567142857142855</v>
      </c>
      <c r="AN249" s="89"/>
      <c r="AO249" s="507"/>
      <c r="AP249" s="262"/>
      <c r="AQ249" s="133" t="s">
        <v>150</v>
      </c>
      <c r="AR249" s="199">
        <v>38</v>
      </c>
      <c r="AS249" s="270"/>
      <c r="AT249" s="200">
        <v>255</v>
      </c>
      <c r="AU249" s="255">
        <f t="shared" si="18"/>
        <v>16.535836177474401</v>
      </c>
      <c r="AV249" s="509">
        <v>100</v>
      </c>
      <c r="AW249" s="257">
        <v>14</v>
      </c>
      <c r="AX249" s="261"/>
      <c r="AY249" s="258">
        <v>23</v>
      </c>
      <c r="AZ249" s="261"/>
      <c r="BA249" s="195">
        <v>60</v>
      </c>
      <c r="BB249" s="259"/>
      <c r="BC249" s="196"/>
      <c r="BD249" s="204"/>
      <c r="BE249" s="204"/>
      <c r="BF249" s="198"/>
      <c r="BG249" s="27"/>
      <c r="BH249" s="27"/>
    </row>
    <row r="250" spans="1:60" ht="15" customHeight="1">
      <c r="A250" s="95">
        <v>249</v>
      </c>
      <c r="B250" s="96" t="s">
        <v>1496</v>
      </c>
      <c r="C250" s="73" t="s">
        <v>149</v>
      </c>
      <c r="D250" s="257" t="s">
        <v>1471</v>
      </c>
      <c r="E250" s="459" t="s">
        <v>3377</v>
      </c>
      <c r="F250" s="258">
        <v>1984</v>
      </c>
      <c r="G250" s="192">
        <v>24</v>
      </c>
      <c r="H250" s="193" t="s">
        <v>1745</v>
      </c>
      <c r="I250" s="194" t="s">
        <v>1751</v>
      </c>
      <c r="J250" s="508">
        <v>0.76</v>
      </c>
      <c r="K250" s="513">
        <v>4.75</v>
      </c>
      <c r="L250" s="169"/>
      <c r="M250" s="206">
        <v>383</v>
      </c>
      <c r="N250" s="206"/>
      <c r="O250" s="509" t="s">
        <v>12</v>
      </c>
      <c r="P250" s="507"/>
      <c r="Q250" s="262"/>
      <c r="R250" s="507"/>
      <c r="S250" s="507"/>
      <c r="T250" s="192" t="s">
        <v>2620</v>
      </c>
      <c r="U250" s="506" t="s">
        <v>2621</v>
      </c>
      <c r="V250" s="131">
        <v>0</v>
      </c>
      <c r="W250" s="132">
        <v>0</v>
      </c>
      <c r="X250" s="120">
        <v>0</v>
      </c>
      <c r="Y250" s="120">
        <v>0</v>
      </c>
      <c r="Z250" s="120">
        <v>0</v>
      </c>
      <c r="AA250" s="133">
        <v>0</v>
      </c>
      <c r="AB250" s="17">
        <v>0</v>
      </c>
      <c r="AC250" s="17">
        <v>0</v>
      </c>
      <c r="AD250" s="133">
        <v>0</v>
      </c>
      <c r="AE250" s="133">
        <v>0</v>
      </c>
      <c r="AF250" s="17">
        <v>0</v>
      </c>
      <c r="AG250" s="133">
        <v>0</v>
      </c>
      <c r="AH250" s="17">
        <v>0</v>
      </c>
      <c r="AI250" s="133">
        <v>0</v>
      </c>
      <c r="AJ250" s="133">
        <v>0</v>
      </c>
      <c r="AK250" s="17">
        <v>0</v>
      </c>
      <c r="AL250" s="137">
        <v>0</v>
      </c>
      <c r="AM250" s="779">
        <v>20.669999999999998</v>
      </c>
      <c r="AN250" s="89"/>
      <c r="AO250" s="507"/>
      <c r="AP250" s="262"/>
      <c r="AQ250" s="133" t="s">
        <v>150</v>
      </c>
      <c r="AR250" s="199">
        <v>38</v>
      </c>
      <c r="AS250" s="270"/>
      <c r="AT250" s="200">
        <v>255</v>
      </c>
      <c r="AU250" s="255">
        <f t="shared" ref="AU250:AU281" si="20">(AR250*AT250)/((2*AT250)+(2*AR250))</f>
        <v>16.535836177474401</v>
      </c>
      <c r="AV250" s="509">
        <v>100</v>
      </c>
      <c r="AW250" s="257">
        <v>14</v>
      </c>
      <c r="AX250" s="261"/>
      <c r="AY250" s="258">
        <v>23</v>
      </c>
      <c r="AZ250" s="261"/>
      <c r="BA250" s="195">
        <v>60</v>
      </c>
      <c r="BB250" s="259"/>
      <c r="BC250" s="196"/>
      <c r="BD250" s="204"/>
      <c r="BE250" s="204"/>
      <c r="BF250" s="198"/>
      <c r="BG250" s="27"/>
      <c r="BH250" s="27"/>
    </row>
    <row r="251" spans="1:60" ht="15" customHeight="1">
      <c r="A251" s="95">
        <v>250</v>
      </c>
      <c r="B251" s="96" t="s">
        <v>1495</v>
      </c>
      <c r="C251" s="73" t="s">
        <v>149</v>
      </c>
      <c r="D251" s="257" t="s">
        <v>1471</v>
      </c>
      <c r="E251" s="459" t="s">
        <v>3377</v>
      </c>
      <c r="F251" s="258">
        <v>1984</v>
      </c>
      <c r="G251" s="192">
        <v>24</v>
      </c>
      <c r="H251" s="193" t="s">
        <v>1745</v>
      </c>
      <c r="I251" s="194" t="s">
        <v>1751</v>
      </c>
      <c r="J251" s="508">
        <v>0.62</v>
      </c>
      <c r="K251" s="513">
        <v>4.75</v>
      </c>
      <c r="L251" s="169"/>
      <c r="M251" s="206">
        <v>344</v>
      </c>
      <c r="N251" s="206"/>
      <c r="O251" s="509" t="s">
        <v>12</v>
      </c>
      <c r="P251" s="507"/>
      <c r="Q251" s="262"/>
      <c r="R251" s="507"/>
      <c r="S251" s="507"/>
      <c r="T251" s="192" t="s">
        <v>2620</v>
      </c>
      <c r="U251" s="506" t="s">
        <v>2621</v>
      </c>
      <c r="V251" s="131">
        <v>0</v>
      </c>
      <c r="W251" s="132">
        <v>0</v>
      </c>
      <c r="X251" s="120">
        <v>0</v>
      </c>
      <c r="Y251" s="120">
        <v>0</v>
      </c>
      <c r="Z251" s="120">
        <v>0</v>
      </c>
      <c r="AA251" s="133">
        <v>0</v>
      </c>
      <c r="AB251" s="17">
        <v>0</v>
      </c>
      <c r="AC251" s="17">
        <v>0</v>
      </c>
      <c r="AD251" s="133">
        <v>0</v>
      </c>
      <c r="AE251" s="133">
        <v>0</v>
      </c>
      <c r="AF251" s="17">
        <v>0</v>
      </c>
      <c r="AG251" s="133">
        <v>0</v>
      </c>
      <c r="AH251" s="17">
        <v>0</v>
      </c>
      <c r="AI251" s="133">
        <v>0</v>
      </c>
      <c r="AJ251" s="133">
        <v>0</v>
      </c>
      <c r="AK251" s="17">
        <v>0</v>
      </c>
      <c r="AL251" s="137">
        <v>0</v>
      </c>
      <c r="AM251" s="779">
        <v>29.869285714285713</v>
      </c>
      <c r="AN251" s="89"/>
      <c r="AO251" s="507"/>
      <c r="AP251" s="262"/>
      <c r="AQ251" s="133" t="s">
        <v>150</v>
      </c>
      <c r="AR251" s="199">
        <v>38</v>
      </c>
      <c r="AS251" s="270"/>
      <c r="AT251" s="200">
        <v>255</v>
      </c>
      <c r="AU251" s="255">
        <f t="shared" si="20"/>
        <v>16.535836177474401</v>
      </c>
      <c r="AV251" s="509">
        <v>100</v>
      </c>
      <c r="AW251" s="257">
        <v>14</v>
      </c>
      <c r="AX251" s="261"/>
      <c r="AY251" s="258">
        <v>23</v>
      </c>
      <c r="AZ251" s="261"/>
      <c r="BA251" s="195">
        <v>60</v>
      </c>
      <c r="BB251" s="259"/>
      <c r="BC251" s="196"/>
      <c r="BD251" s="204"/>
      <c r="BE251" s="204"/>
      <c r="BF251" s="198"/>
      <c r="BG251" s="27"/>
      <c r="BH251" s="27"/>
    </row>
    <row r="252" spans="1:60" ht="15" customHeight="1">
      <c r="A252" s="95">
        <v>251</v>
      </c>
      <c r="B252" s="96" t="s">
        <v>1494</v>
      </c>
      <c r="C252" s="73" t="s">
        <v>149</v>
      </c>
      <c r="D252" s="257" t="s">
        <v>1471</v>
      </c>
      <c r="E252" s="459" t="s">
        <v>3377</v>
      </c>
      <c r="F252" s="258">
        <v>1984</v>
      </c>
      <c r="G252" s="192">
        <v>24</v>
      </c>
      <c r="H252" s="193" t="s">
        <v>1745</v>
      </c>
      <c r="I252" s="194" t="s">
        <v>1751</v>
      </c>
      <c r="J252" s="508">
        <v>0.55000000000000004</v>
      </c>
      <c r="K252" s="513">
        <v>4.75</v>
      </c>
      <c r="L252" s="169"/>
      <c r="M252" s="206">
        <v>323</v>
      </c>
      <c r="N252" s="206"/>
      <c r="O252" s="509" t="s">
        <v>12</v>
      </c>
      <c r="P252" s="507"/>
      <c r="Q252" s="262"/>
      <c r="R252" s="507"/>
      <c r="S252" s="507"/>
      <c r="T252" s="192" t="s">
        <v>2620</v>
      </c>
      <c r="U252" s="506" t="s">
        <v>2621</v>
      </c>
      <c r="V252" s="131">
        <v>0</v>
      </c>
      <c r="W252" s="132">
        <v>0</v>
      </c>
      <c r="X252" s="120">
        <v>0</v>
      </c>
      <c r="Y252" s="120">
        <v>0</v>
      </c>
      <c r="Z252" s="120">
        <v>0</v>
      </c>
      <c r="AA252" s="133">
        <v>0</v>
      </c>
      <c r="AB252" s="17">
        <v>0</v>
      </c>
      <c r="AC252" s="17">
        <v>0</v>
      </c>
      <c r="AD252" s="133">
        <v>0</v>
      </c>
      <c r="AE252" s="133">
        <v>0</v>
      </c>
      <c r="AF252" s="17">
        <v>0</v>
      </c>
      <c r="AG252" s="133">
        <v>0</v>
      </c>
      <c r="AH252" s="17">
        <v>0</v>
      </c>
      <c r="AI252" s="133">
        <v>0</v>
      </c>
      <c r="AJ252" s="133">
        <v>0</v>
      </c>
      <c r="AK252" s="17">
        <v>0</v>
      </c>
      <c r="AL252" s="137">
        <v>0</v>
      </c>
      <c r="AM252" s="779">
        <v>28.052142857142854</v>
      </c>
      <c r="AN252" s="89"/>
      <c r="AO252" s="507"/>
      <c r="AP252" s="262"/>
      <c r="AQ252" s="133" t="s">
        <v>150</v>
      </c>
      <c r="AR252" s="199">
        <v>38</v>
      </c>
      <c r="AS252" s="270"/>
      <c r="AT252" s="200">
        <v>255</v>
      </c>
      <c r="AU252" s="255">
        <f t="shared" si="20"/>
        <v>16.535836177474401</v>
      </c>
      <c r="AV252" s="509">
        <v>100</v>
      </c>
      <c r="AW252" s="257">
        <v>14</v>
      </c>
      <c r="AX252" s="261"/>
      <c r="AY252" s="258">
        <v>23</v>
      </c>
      <c r="AZ252" s="261"/>
      <c r="BA252" s="195">
        <v>60</v>
      </c>
      <c r="BB252" s="259"/>
      <c r="BC252" s="196"/>
      <c r="BD252" s="204"/>
      <c r="BE252" s="204"/>
      <c r="BF252" s="198"/>
      <c r="BG252" s="27"/>
      <c r="BH252" s="27"/>
    </row>
    <row r="253" spans="1:60" ht="15" customHeight="1">
      <c r="A253" s="95">
        <v>252</v>
      </c>
      <c r="B253" s="96" t="s">
        <v>1493</v>
      </c>
      <c r="C253" s="73" t="s">
        <v>149</v>
      </c>
      <c r="D253" s="257" t="s">
        <v>1471</v>
      </c>
      <c r="E253" s="459" t="s">
        <v>3377</v>
      </c>
      <c r="F253" s="258">
        <v>1984</v>
      </c>
      <c r="G253" s="192">
        <v>24</v>
      </c>
      <c r="H253" s="193" t="s">
        <v>1745</v>
      </c>
      <c r="I253" s="194" t="s">
        <v>1751</v>
      </c>
      <c r="J253" s="508">
        <v>0.45</v>
      </c>
      <c r="K253" s="513">
        <v>4.75</v>
      </c>
      <c r="L253" s="169"/>
      <c r="M253" s="206">
        <v>291</v>
      </c>
      <c r="N253" s="206"/>
      <c r="O253" s="509" t="s">
        <v>12</v>
      </c>
      <c r="P253" s="507"/>
      <c r="Q253" s="262"/>
      <c r="R253" s="507"/>
      <c r="S253" s="507"/>
      <c r="T253" s="192" t="s">
        <v>2620</v>
      </c>
      <c r="U253" s="506" t="s">
        <v>2621</v>
      </c>
      <c r="V253" s="131">
        <v>0</v>
      </c>
      <c r="W253" s="132">
        <v>0</v>
      </c>
      <c r="X253" s="120">
        <v>0</v>
      </c>
      <c r="Y253" s="120">
        <v>0</v>
      </c>
      <c r="Z253" s="120">
        <v>0</v>
      </c>
      <c r="AA253" s="133">
        <v>0</v>
      </c>
      <c r="AB253" s="17">
        <v>0</v>
      </c>
      <c r="AC253" s="17">
        <v>0</v>
      </c>
      <c r="AD253" s="133">
        <v>0</v>
      </c>
      <c r="AE253" s="133">
        <v>0</v>
      </c>
      <c r="AF253" s="17">
        <v>0</v>
      </c>
      <c r="AG253" s="133">
        <v>0</v>
      </c>
      <c r="AH253" s="17">
        <v>0</v>
      </c>
      <c r="AI253" s="133">
        <v>0</v>
      </c>
      <c r="AJ253" s="133">
        <v>0</v>
      </c>
      <c r="AK253" s="17">
        <v>0</v>
      </c>
      <c r="AL253" s="137">
        <v>0</v>
      </c>
      <c r="AM253" s="779">
        <v>26.689285714285713</v>
      </c>
      <c r="AN253" s="89"/>
      <c r="AO253" s="507"/>
      <c r="AP253" s="262"/>
      <c r="AQ253" s="133" t="s">
        <v>150</v>
      </c>
      <c r="AR253" s="199">
        <v>38</v>
      </c>
      <c r="AS253" s="270"/>
      <c r="AT253" s="200">
        <v>255</v>
      </c>
      <c r="AU253" s="255">
        <f t="shared" si="20"/>
        <v>16.535836177474401</v>
      </c>
      <c r="AV253" s="509">
        <v>100</v>
      </c>
      <c r="AW253" s="257">
        <v>14</v>
      </c>
      <c r="AX253" s="261"/>
      <c r="AY253" s="258">
        <v>23</v>
      </c>
      <c r="AZ253" s="261"/>
      <c r="BA253" s="195">
        <v>60</v>
      </c>
      <c r="BB253" s="259"/>
      <c r="BC253" s="196"/>
      <c r="BD253" s="204"/>
      <c r="BE253" s="204"/>
      <c r="BF253" s="198"/>
      <c r="BG253" s="27"/>
      <c r="BH253" s="27"/>
    </row>
    <row r="254" spans="1:60" ht="15" customHeight="1">
      <c r="A254" s="95">
        <v>253</v>
      </c>
      <c r="B254" s="96" t="s">
        <v>1492</v>
      </c>
      <c r="C254" s="73" t="s">
        <v>149</v>
      </c>
      <c r="D254" s="257" t="s">
        <v>1471</v>
      </c>
      <c r="E254" s="459" t="s">
        <v>3377</v>
      </c>
      <c r="F254" s="258">
        <v>1984</v>
      </c>
      <c r="G254" s="192">
        <v>24</v>
      </c>
      <c r="H254" s="193" t="s">
        <v>1745</v>
      </c>
      <c r="I254" s="194" t="s">
        <v>1751</v>
      </c>
      <c r="J254" s="508">
        <v>0.86</v>
      </c>
      <c r="K254" s="513">
        <v>4.75</v>
      </c>
      <c r="L254" s="169"/>
      <c r="M254" s="206">
        <v>457</v>
      </c>
      <c r="N254" s="206"/>
      <c r="O254" s="509" t="s">
        <v>12</v>
      </c>
      <c r="P254" s="507"/>
      <c r="Q254" s="262"/>
      <c r="R254" s="507"/>
      <c r="S254" s="507"/>
      <c r="T254" s="192" t="s">
        <v>2622</v>
      </c>
      <c r="U254" s="506" t="s">
        <v>2623</v>
      </c>
      <c r="V254" s="131">
        <v>0</v>
      </c>
      <c r="W254" s="132">
        <v>0</v>
      </c>
      <c r="X254" s="120">
        <v>0</v>
      </c>
      <c r="Y254" s="120">
        <v>0</v>
      </c>
      <c r="Z254" s="120">
        <v>0</v>
      </c>
      <c r="AA254" s="133">
        <v>0</v>
      </c>
      <c r="AB254" s="17">
        <v>0</v>
      </c>
      <c r="AC254" s="17">
        <v>0</v>
      </c>
      <c r="AD254" s="133">
        <v>0</v>
      </c>
      <c r="AE254" s="133">
        <v>0</v>
      </c>
      <c r="AF254" s="17">
        <v>0</v>
      </c>
      <c r="AG254" s="133">
        <v>0</v>
      </c>
      <c r="AH254" s="17">
        <v>0</v>
      </c>
      <c r="AI254" s="133">
        <v>0</v>
      </c>
      <c r="AJ254" s="133">
        <v>0</v>
      </c>
      <c r="AK254" s="17">
        <v>0</v>
      </c>
      <c r="AL254" s="137">
        <v>0</v>
      </c>
      <c r="AM254" s="779">
        <v>19.988571428571429</v>
      </c>
      <c r="AN254" s="89"/>
      <c r="AO254" s="507"/>
      <c r="AP254" s="262"/>
      <c r="AQ254" s="133" t="s">
        <v>150</v>
      </c>
      <c r="AR254" s="199">
        <v>38</v>
      </c>
      <c r="AS254" s="270"/>
      <c r="AT254" s="200">
        <v>255</v>
      </c>
      <c r="AU254" s="255">
        <f t="shared" si="20"/>
        <v>16.535836177474401</v>
      </c>
      <c r="AV254" s="509">
        <v>100</v>
      </c>
      <c r="AW254" s="257">
        <v>14</v>
      </c>
      <c r="AX254" s="261"/>
      <c r="AY254" s="258">
        <v>23</v>
      </c>
      <c r="AZ254" s="261"/>
      <c r="BA254" s="195">
        <v>60</v>
      </c>
      <c r="BB254" s="259"/>
      <c r="BC254" s="196"/>
      <c r="BD254" s="204"/>
      <c r="BE254" s="204"/>
      <c r="BF254" s="198"/>
      <c r="BG254" s="27"/>
      <c r="BH254" s="27"/>
    </row>
    <row r="255" spans="1:60" ht="15" customHeight="1">
      <c r="A255" s="95">
        <v>254</v>
      </c>
      <c r="B255" s="96" t="s">
        <v>1491</v>
      </c>
      <c r="C255" s="73" t="s">
        <v>149</v>
      </c>
      <c r="D255" s="257" t="s">
        <v>1471</v>
      </c>
      <c r="E255" s="459" t="s">
        <v>3377</v>
      </c>
      <c r="F255" s="258">
        <v>1984</v>
      </c>
      <c r="G255" s="192">
        <v>24</v>
      </c>
      <c r="H255" s="193" t="s">
        <v>1745</v>
      </c>
      <c r="I255" s="194" t="s">
        <v>1751</v>
      </c>
      <c r="J255" s="508">
        <v>0.75</v>
      </c>
      <c r="K255" s="513">
        <v>4.75</v>
      </c>
      <c r="L255" s="169"/>
      <c r="M255" s="206">
        <v>425</v>
      </c>
      <c r="N255" s="206"/>
      <c r="O255" s="509" t="s">
        <v>12</v>
      </c>
      <c r="P255" s="507"/>
      <c r="Q255" s="262"/>
      <c r="R255" s="507"/>
      <c r="S255" s="507"/>
      <c r="T255" s="192" t="s">
        <v>2622</v>
      </c>
      <c r="U255" s="506" t="s">
        <v>2623</v>
      </c>
      <c r="V255" s="131">
        <v>0</v>
      </c>
      <c r="W255" s="132">
        <v>0</v>
      </c>
      <c r="X255" s="120">
        <v>0</v>
      </c>
      <c r="Y255" s="120">
        <v>0</v>
      </c>
      <c r="Z255" s="120">
        <v>0</v>
      </c>
      <c r="AA255" s="133">
        <v>0</v>
      </c>
      <c r="AB255" s="17">
        <v>0</v>
      </c>
      <c r="AC255" s="17">
        <v>0</v>
      </c>
      <c r="AD255" s="133">
        <v>0</v>
      </c>
      <c r="AE255" s="133">
        <v>0</v>
      </c>
      <c r="AF255" s="17">
        <v>0</v>
      </c>
      <c r="AG255" s="133">
        <v>0</v>
      </c>
      <c r="AH255" s="17">
        <v>0</v>
      </c>
      <c r="AI255" s="133">
        <v>0</v>
      </c>
      <c r="AJ255" s="133">
        <v>0</v>
      </c>
      <c r="AK255" s="17">
        <v>0</v>
      </c>
      <c r="AL255" s="137">
        <v>0</v>
      </c>
      <c r="AM255" s="779">
        <v>29.414999999999999</v>
      </c>
      <c r="AN255" s="89"/>
      <c r="AO255" s="507"/>
      <c r="AP255" s="262"/>
      <c r="AQ255" s="133" t="s">
        <v>150</v>
      </c>
      <c r="AR255" s="199">
        <v>38</v>
      </c>
      <c r="AS255" s="270"/>
      <c r="AT255" s="200">
        <v>255</v>
      </c>
      <c r="AU255" s="255">
        <f t="shared" si="20"/>
        <v>16.535836177474401</v>
      </c>
      <c r="AV255" s="509">
        <v>100</v>
      </c>
      <c r="AW255" s="257">
        <v>14</v>
      </c>
      <c r="AX255" s="261"/>
      <c r="AY255" s="258">
        <v>23</v>
      </c>
      <c r="AZ255" s="261"/>
      <c r="BA255" s="195">
        <v>60</v>
      </c>
      <c r="BB255" s="259"/>
      <c r="BC255" s="196"/>
      <c r="BD255" s="204"/>
      <c r="BE255" s="204"/>
      <c r="BF255" s="198"/>
      <c r="BG255" s="27"/>
      <c r="BH255" s="27"/>
    </row>
    <row r="256" spans="1:60" ht="15" customHeight="1">
      <c r="A256" s="95">
        <v>255</v>
      </c>
      <c r="B256" s="96" t="s">
        <v>1490</v>
      </c>
      <c r="C256" s="73" t="s">
        <v>149</v>
      </c>
      <c r="D256" s="257" t="s">
        <v>1471</v>
      </c>
      <c r="E256" s="459" t="s">
        <v>3377</v>
      </c>
      <c r="F256" s="258">
        <v>1984</v>
      </c>
      <c r="G256" s="192">
        <v>24</v>
      </c>
      <c r="H256" s="193" t="s">
        <v>1745</v>
      </c>
      <c r="I256" s="194" t="s">
        <v>1751</v>
      </c>
      <c r="J256" s="508">
        <v>0.63</v>
      </c>
      <c r="K256" s="513">
        <v>4.75</v>
      </c>
      <c r="L256" s="169"/>
      <c r="M256" s="206">
        <v>387</v>
      </c>
      <c r="N256" s="206"/>
      <c r="O256" s="509" t="s">
        <v>12</v>
      </c>
      <c r="P256" s="507"/>
      <c r="Q256" s="262"/>
      <c r="R256" s="507"/>
      <c r="S256" s="507"/>
      <c r="T256" s="192" t="s">
        <v>2622</v>
      </c>
      <c r="U256" s="506" t="s">
        <v>2623</v>
      </c>
      <c r="V256" s="131">
        <v>0</v>
      </c>
      <c r="W256" s="132">
        <v>0</v>
      </c>
      <c r="X256" s="120">
        <v>0</v>
      </c>
      <c r="Y256" s="120">
        <v>0</v>
      </c>
      <c r="Z256" s="120">
        <v>0</v>
      </c>
      <c r="AA256" s="133">
        <v>0</v>
      </c>
      <c r="AB256" s="17">
        <v>0</v>
      </c>
      <c r="AC256" s="17">
        <v>0</v>
      </c>
      <c r="AD256" s="133">
        <v>0</v>
      </c>
      <c r="AE256" s="133">
        <v>0</v>
      </c>
      <c r="AF256" s="17">
        <v>0</v>
      </c>
      <c r="AG256" s="133">
        <v>0</v>
      </c>
      <c r="AH256" s="17">
        <v>0</v>
      </c>
      <c r="AI256" s="133">
        <v>0</v>
      </c>
      <c r="AJ256" s="133">
        <v>0</v>
      </c>
      <c r="AK256" s="17">
        <v>0</v>
      </c>
      <c r="AL256" s="137">
        <v>0</v>
      </c>
      <c r="AM256" s="779">
        <v>34.298571428571428</v>
      </c>
      <c r="AN256" s="89"/>
      <c r="AO256" s="507"/>
      <c r="AP256" s="262"/>
      <c r="AQ256" s="133" t="s">
        <v>150</v>
      </c>
      <c r="AR256" s="199">
        <v>38</v>
      </c>
      <c r="AS256" s="270"/>
      <c r="AT256" s="200">
        <v>255</v>
      </c>
      <c r="AU256" s="255">
        <f t="shared" si="20"/>
        <v>16.535836177474401</v>
      </c>
      <c r="AV256" s="509">
        <v>100</v>
      </c>
      <c r="AW256" s="257">
        <v>14</v>
      </c>
      <c r="AX256" s="261"/>
      <c r="AY256" s="258">
        <v>23</v>
      </c>
      <c r="AZ256" s="261"/>
      <c r="BA256" s="195">
        <v>60</v>
      </c>
      <c r="BB256" s="259"/>
      <c r="BC256" s="196"/>
      <c r="BD256" s="204"/>
      <c r="BE256" s="204"/>
      <c r="BF256" s="198"/>
      <c r="BG256" s="27"/>
      <c r="BH256" s="27"/>
    </row>
    <row r="257" spans="1:60" ht="15" customHeight="1">
      <c r="A257" s="95">
        <v>256</v>
      </c>
      <c r="B257" s="96" t="s">
        <v>1489</v>
      </c>
      <c r="C257" s="73" t="s">
        <v>149</v>
      </c>
      <c r="D257" s="257" t="s">
        <v>1471</v>
      </c>
      <c r="E257" s="459" t="s">
        <v>3377</v>
      </c>
      <c r="F257" s="258">
        <v>1984</v>
      </c>
      <c r="G257" s="192">
        <v>24</v>
      </c>
      <c r="H257" s="193" t="s">
        <v>1745</v>
      </c>
      <c r="I257" s="194" t="s">
        <v>1751</v>
      </c>
      <c r="J257" s="508">
        <v>0.55000000000000004</v>
      </c>
      <c r="K257" s="513">
        <v>4.75</v>
      </c>
      <c r="L257" s="169"/>
      <c r="M257" s="206">
        <v>360</v>
      </c>
      <c r="N257" s="206"/>
      <c r="O257" s="509" t="s">
        <v>12</v>
      </c>
      <c r="P257" s="507"/>
      <c r="Q257" s="262"/>
      <c r="R257" s="507"/>
      <c r="S257" s="507"/>
      <c r="T257" s="192" t="s">
        <v>2622</v>
      </c>
      <c r="U257" s="506" t="s">
        <v>2623</v>
      </c>
      <c r="V257" s="131">
        <v>0</v>
      </c>
      <c r="W257" s="132">
        <v>0</v>
      </c>
      <c r="X257" s="120">
        <v>0</v>
      </c>
      <c r="Y257" s="120">
        <v>0</v>
      </c>
      <c r="Z257" s="120">
        <v>0</v>
      </c>
      <c r="AA257" s="133">
        <v>0</v>
      </c>
      <c r="AB257" s="17">
        <v>0</v>
      </c>
      <c r="AC257" s="17">
        <v>0</v>
      </c>
      <c r="AD257" s="133">
        <v>0</v>
      </c>
      <c r="AE257" s="133">
        <v>0</v>
      </c>
      <c r="AF257" s="17">
        <v>0</v>
      </c>
      <c r="AG257" s="133">
        <v>0</v>
      </c>
      <c r="AH257" s="17">
        <v>0</v>
      </c>
      <c r="AI257" s="133">
        <v>0</v>
      </c>
      <c r="AJ257" s="133">
        <v>0</v>
      </c>
      <c r="AK257" s="17">
        <v>0</v>
      </c>
      <c r="AL257" s="137">
        <v>0</v>
      </c>
      <c r="AM257" s="779">
        <v>35.434285714285714</v>
      </c>
      <c r="AN257" s="89"/>
      <c r="AO257" s="507"/>
      <c r="AP257" s="262"/>
      <c r="AQ257" s="133" t="s">
        <v>150</v>
      </c>
      <c r="AR257" s="199">
        <v>38</v>
      </c>
      <c r="AS257" s="270"/>
      <c r="AT257" s="200">
        <v>255</v>
      </c>
      <c r="AU257" s="255">
        <f t="shared" si="20"/>
        <v>16.535836177474401</v>
      </c>
      <c r="AV257" s="509">
        <v>100</v>
      </c>
      <c r="AW257" s="257">
        <v>14</v>
      </c>
      <c r="AX257" s="261"/>
      <c r="AY257" s="258">
        <v>23</v>
      </c>
      <c r="AZ257" s="261"/>
      <c r="BA257" s="195">
        <v>60</v>
      </c>
      <c r="BB257" s="259"/>
      <c r="BC257" s="196"/>
      <c r="BD257" s="204"/>
      <c r="BE257" s="204"/>
      <c r="BF257" s="198"/>
      <c r="BG257" s="27"/>
      <c r="BH257" s="27"/>
    </row>
    <row r="258" spans="1:60" ht="15" customHeight="1">
      <c r="A258" s="95">
        <v>257</v>
      </c>
      <c r="B258" s="96" t="s">
        <v>1488</v>
      </c>
      <c r="C258" s="73" t="s">
        <v>149</v>
      </c>
      <c r="D258" s="257" t="s">
        <v>1471</v>
      </c>
      <c r="E258" s="459" t="s">
        <v>3377</v>
      </c>
      <c r="F258" s="258">
        <v>1984</v>
      </c>
      <c r="G258" s="192">
        <v>24</v>
      </c>
      <c r="H258" s="193" t="s">
        <v>1745</v>
      </c>
      <c r="I258" s="194" t="s">
        <v>1739</v>
      </c>
      <c r="J258" s="508">
        <v>0.8</v>
      </c>
      <c r="K258" s="513">
        <v>4.75</v>
      </c>
      <c r="L258" s="169"/>
      <c r="M258" s="206">
        <v>405</v>
      </c>
      <c r="N258" s="206"/>
      <c r="O258" s="509" t="s">
        <v>12</v>
      </c>
      <c r="P258" s="507"/>
      <c r="Q258" s="262"/>
      <c r="R258" s="507"/>
      <c r="S258" s="507"/>
      <c r="T258" s="192"/>
      <c r="U258" s="506" t="s">
        <v>2618</v>
      </c>
      <c r="V258" s="131">
        <v>0</v>
      </c>
      <c r="W258" s="132">
        <v>0</v>
      </c>
      <c r="X258" s="120">
        <v>0</v>
      </c>
      <c r="Y258" s="120">
        <v>0</v>
      </c>
      <c r="Z258" s="120">
        <v>0</v>
      </c>
      <c r="AA258" s="133">
        <v>0</v>
      </c>
      <c r="AB258" s="17">
        <v>0</v>
      </c>
      <c r="AC258" s="17">
        <v>0</v>
      </c>
      <c r="AD258" s="133">
        <v>0</v>
      </c>
      <c r="AE258" s="133">
        <v>0</v>
      </c>
      <c r="AF258" s="17">
        <v>0</v>
      </c>
      <c r="AG258" s="133">
        <v>0</v>
      </c>
      <c r="AH258" s="17">
        <v>0</v>
      </c>
      <c r="AI258" s="133">
        <v>0</v>
      </c>
      <c r="AJ258" s="133">
        <v>0</v>
      </c>
      <c r="AK258" s="17">
        <v>0</v>
      </c>
      <c r="AL258" s="137">
        <v>0</v>
      </c>
      <c r="AM258" s="779">
        <v>16.695</v>
      </c>
      <c r="AN258" s="89"/>
      <c r="AO258" s="507"/>
      <c r="AP258" s="262"/>
      <c r="AQ258" s="133" t="s">
        <v>150</v>
      </c>
      <c r="AR258" s="199">
        <v>38</v>
      </c>
      <c r="AS258" s="270"/>
      <c r="AT258" s="200">
        <v>255</v>
      </c>
      <c r="AU258" s="255">
        <f t="shared" si="20"/>
        <v>16.535836177474401</v>
      </c>
      <c r="AV258" s="509">
        <v>100</v>
      </c>
      <c r="AW258" s="257">
        <v>14</v>
      </c>
      <c r="AX258" s="261"/>
      <c r="AY258" s="258">
        <v>21</v>
      </c>
      <c r="AZ258" s="261"/>
      <c r="BA258" s="195">
        <v>100</v>
      </c>
      <c r="BB258" s="259"/>
      <c r="BC258" s="196"/>
      <c r="BD258" s="204"/>
      <c r="BE258" s="204"/>
      <c r="BF258" s="198"/>
      <c r="BG258" s="27"/>
      <c r="BH258" s="27"/>
    </row>
    <row r="259" spans="1:60" ht="15" customHeight="1">
      <c r="A259" s="95">
        <v>258</v>
      </c>
      <c r="B259" s="96" t="s">
        <v>1487</v>
      </c>
      <c r="C259" s="73" t="s">
        <v>149</v>
      </c>
      <c r="D259" s="257" t="s">
        <v>1471</v>
      </c>
      <c r="E259" s="459" t="s">
        <v>3377</v>
      </c>
      <c r="F259" s="258">
        <v>1984</v>
      </c>
      <c r="G259" s="192">
        <v>24</v>
      </c>
      <c r="H259" s="193" t="s">
        <v>1745</v>
      </c>
      <c r="I259" s="194" t="s">
        <v>1739</v>
      </c>
      <c r="J259" s="508">
        <v>0.67</v>
      </c>
      <c r="K259" s="513">
        <v>4.75</v>
      </c>
      <c r="L259" s="169"/>
      <c r="M259" s="206">
        <v>366</v>
      </c>
      <c r="N259" s="206"/>
      <c r="O259" s="509" t="s">
        <v>12</v>
      </c>
      <c r="P259" s="507"/>
      <c r="Q259" s="262"/>
      <c r="R259" s="507"/>
      <c r="S259" s="507"/>
      <c r="T259" s="192"/>
      <c r="U259" s="506" t="s">
        <v>2618</v>
      </c>
      <c r="V259" s="131">
        <v>0</v>
      </c>
      <c r="W259" s="132">
        <v>0</v>
      </c>
      <c r="X259" s="120">
        <v>0</v>
      </c>
      <c r="Y259" s="120">
        <v>0</v>
      </c>
      <c r="Z259" s="120">
        <v>0</v>
      </c>
      <c r="AA259" s="133">
        <v>0</v>
      </c>
      <c r="AB259" s="17">
        <v>0</v>
      </c>
      <c r="AC259" s="17">
        <v>0</v>
      </c>
      <c r="AD259" s="133">
        <v>0</v>
      </c>
      <c r="AE259" s="133">
        <v>0</v>
      </c>
      <c r="AF259" s="17">
        <v>0</v>
      </c>
      <c r="AG259" s="133">
        <v>0</v>
      </c>
      <c r="AH259" s="17">
        <v>0</v>
      </c>
      <c r="AI259" s="133">
        <v>0</v>
      </c>
      <c r="AJ259" s="133">
        <v>0</v>
      </c>
      <c r="AK259" s="17">
        <v>0</v>
      </c>
      <c r="AL259" s="137">
        <v>0</v>
      </c>
      <c r="AM259" s="779">
        <v>22.26</v>
      </c>
      <c r="AN259" s="89"/>
      <c r="AO259" s="507"/>
      <c r="AP259" s="262"/>
      <c r="AQ259" s="133" t="s">
        <v>150</v>
      </c>
      <c r="AR259" s="199">
        <v>38</v>
      </c>
      <c r="AS259" s="270"/>
      <c r="AT259" s="200">
        <v>255</v>
      </c>
      <c r="AU259" s="255">
        <f t="shared" si="20"/>
        <v>16.535836177474401</v>
      </c>
      <c r="AV259" s="509">
        <v>100</v>
      </c>
      <c r="AW259" s="257">
        <v>14</v>
      </c>
      <c r="AX259" s="261"/>
      <c r="AY259" s="258">
        <v>21</v>
      </c>
      <c r="AZ259" s="261"/>
      <c r="BA259" s="195">
        <v>100</v>
      </c>
      <c r="BB259" s="259"/>
      <c r="BC259" s="196"/>
      <c r="BD259" s="204"/>
      <c r="BE259" s="204"/>
      <c r="BF259" s="198"/>
      <c r="BG259" s="27"/>
      <c r="BH259" s="27"/>
    </row>
    <row r="260" spans="1:60" ht="15" customHeight="1">
      <c r="A260" s="95">
        <v>259</v>
      </c>
      <c r="B260" s="96" t="s">
        <v>1486</v>
      </c>
      <c r="C260" s="73" t="s">
        <v>149</v>
      </c>
      <c r="D260" s="257" t="s">
        <v>1471</v>
      </c>
      <c r="E260" s="459" t="s">
        <v>3377</v>
      </c>
      <c r="F260" s="258">
        <v>1984</v>
      </c>
      <c r="G260" s="192">
        <v>24</v>
      </c>
      <c r="H260" s="193" t="s">
        <v>1745</v>
      </c>
      <c r="I260" s="194" t="s">
        <v>1739</v>
      </c>
      <c r="J260" s="508">
        <v>0.57999999999999996</v>
      </c>
      <c r="K260" s="513">
        <v>4.75</v>
      </c>
      <c r="L260" s="169"/>
      <c r="M260" s="206">
        <v>337</v>
      </c>
      <c r="N260" s="206"/>
      <c r="O260" s="509" t="s">
        <v>12</v>
      </c>
      <c r="P260" s="507"/>
      <c r="Q260" s="262"/>
      <c r="R260" s="507"/>
      <c r="S260" s="507"/>
      <c r="T260" s="192"/>
      <c r="U260" s="506" t="s">
        <v>2618</v>
      </c>
      <c r="V260" s="131">
        <v>0</v>
      </c>
      <c r="W260" s="132">
        <v>0</v>
      </c>
      <c r="X260" s="120">
        <v>0</v>
      </c>
      <c r="Y260" s="120">
        <v>0</v>
      </c>
      <c r="Z260" s="120">
        <v>0</v>
      </c>
      <c r="AA260" s="133">
        <v>0</v>
      </c>
      <c r="AB260" s="17">
        <v>0</v>
      </c>
      <c r="AC260" s="17">
        <v>0</v>
      </c>
      <c r="AD260" s="133">
        <v>0</v>
      </c>
      <c r="AE260" s="133">
        <v>0</v>
      </c>
      <c r="AF260" s="17">
        <v>0</v>
      </c>
      <c r="AG260" s="133">
        <v>0</v>
      </c>
      <c r="AH260" s="17">
        <v>0</v>
      </c>
      <c r="AI260" s="133">
        <v>0</v>
      </c>
      <c r="AJ260" s="133">
        <v>0</v>
      </c>
      <c r="AK260" s="17">
        <v>0</v>
      </c>
      <c r="AL260" s="137">
        <v>0</v>
      </c>
      <c r="AM260" s="779">
        <v>35.093571428571423</v>
      </c>
      <c r="AN260" s="89"/>
      <c r="AO260" s="507"/>
      <c r="AP260" s="262"/>
      <c r="AQ260" s="133" t="s">
        <v>150</v>
      </c>
      <c r="AR260" s="199">
        <v>38</v>
      </c>
      <c r="AS260" s="270"/>
      <c r="AT260" s="200">
        <v>255</v>
      </c>
      <c r="AU260" s="255">
        <f t="shared" si="20"/>
        <v>16.535836177474401</v>
      </c>
      <c r="AV260" s="509">
        <v>100</v>
      </c>
      <c r="AW260" s="257">
        <v>14</v>
      </c>
      <c r="AX260" s="261"/>
      <c r="AY260" s="258">
        <v>21</v>
      </c>
      <c r="AZ260" s="261"/>
      <c r="BA260" s="195">
        <v>100</v>
      </c>
      <c r="BB260" s="259"/>
      <c r="BC260" s="196"/>
      <c r="BD260" s="204"/>
      <c r="BE260" s="204"/>
      <c r="BF260" s="198"/>
      <c r="BG260" s="27"/>
      <c r="BH260" s="27"/>
    </row>
    <row r="261" spans="1:60" ht="15" customHeight="1">
      <c r="A261" s="95">
        <v>260</v>
      </c>
      <c r="B261" s="96" t="s">
        <v>1485</v>
      </c>
      <c r="C261" s="73" t="s">
        <v>149</v>
      </c>
      <c r="D261" s="257" t="s">
        <v>1471</v>
      </c>
      <c r="E261" s="459" t="s">
        <v>3377</v>
      </c>
      <c r="F261" s="258">
        <v>1984</v>
      </c>
      <c r="G261" s="192">
        <v>24</v>
      </c>
      <c r="H261" s="193" t="s">
        <v>1745</v>
      </c>
      <c r="I261" s="194" t="s">
        <v>1739</v>
      </c>
      <c r="J261" s="508">
        <v>0.54</v>
      </c>
      <c r="K261" s="513">
        <v>4.75</v>
      </c>
      <c r="L261" s="169"/>
      <c r="M261" s="206">
        <v>326</v>
      </c>
      <c r="N261" s="206"/>
      <c r="O261" s="509" t="s">
        <v>12</v>
      </c>
      <c r="P261" s="507"/>
      <c r="Q261" s="262"/>
      <c r="R261" s="507"/>
      <c r="S261" s="507"/>
      <c r="T261" s="192"/>
      <c r="U261" s="506" t="s">
        <v>2618</v>
      </c>
      <c r="V261" s="131">
        <v>0</v>
      </c>
      <c r="W261" s="132">
        <v>0</v>
      </c>
      <c r="X261" s="120">
        <v>0</v>
      </c>
      <c r="Y261" s="120">
        <v>0</v>
      </c>
      <c r="Z261" s="120">
        <v>0</v>
      </c>
      <c r="AA261" s="133">
        <v>0</v>
      </c>
      <c r="AB261" s="17">
        <v>0</v>
      </c>
      <c r="AC261" s="17">
        <v>0</v>
      </c>
      <c r="AD261" s="133">
        <v>0</v>
      </c>
      <c r="AE261" s="133">
        <v>0</v>
      </c>
      <c r="AF261" s="17">
        <v>0</v>
      </c>
      <c r="AG261" s="133">
        <v>0</v>
      </c>
      <c r="AH261" s="17">
        <v>0</v>
      </c>
      <c r="AI261" s="133">
        <v>0</v>
      </c>
      <c r="AJ261" s="133">
        <v>0</v>
      </c>
      <c r="AK261" s="17">
        <v>0</v>
      </c>
      <c r="AL261" s="137">
        <v>0</v>
      </c>
      <c r="AM261" s="779">
        <v>37.251428571428569</v>
      </c>
      <c r="AN261" s="89"/>
      <c r="AO261" s="507"/>
      <c r="AP261" s="262"/>
      <c r="AQ261" s="133" t="s">
        <v>150</v>
      </c>
      <c r="AR261" s="199">
        <v>38</v>
      </c>
      <c r="AS261" s="270"/>
      <c r="AT261" s="200">
        <v>255</v>
      </c>
      <c r="AU261" s="255">
        <f t="shared" si="20"/>
        <v>16.535836177474401</v>
      </c>
      <c r="AV261" s="509">
        <v>100</v>
      </c>
      <c r="AW261" s="257">
        <v>14</v>
      </c>
      <c r="AX261" s="261"/>
      <c r="AY261" s="258">
        <v>21</v>
      </c>
      <c r="AZ261" s="261"/>
      <c r="BA261" s="195">
        <v>100</v>
      </c>
      <c r="BB261" s="259"/>
      <c r="BC261" s="196"/>
      <c r="BD261" s="204"/>
      <c r="BE261" s="204"/>
      <c r="BF261" s="198"/>
      <c r="BG261" s="27"/>
      <c r="BH261" s="27"/>
    </row>
    <row r="262" spans="1:60" ht="15" customHeight="1">
      <c r="A262" s="95">
        <v>261</v>
      </c>
      <c r="B262" s="96" t="s">
        <v>1484</v>
      </c>
      <c r="C262" s="73" t="s">
        <v>149</v>
      </c>
      <c r="D262" s="257" t="s">
        <v>1471</v>
      </c>
      <c r="E262" s="459" t="s">
        <v>3377</v>
      </c>
      <c r="F262" s="258">
        <v>1984</v>
      </c>
      <c r="G262" s="192">
        <v>24</v>
      </c>
      <c r="H262" s="193" t="s">
        <v>1745</v>
      </c>
      <c r="I262" s="194" t="s">
        <v>1739</v>
      </c>
      <c r="J262" s="508">
        <v>0.5</v>
      </c>
      <c r="K262" s="513">
        <v>4.75</v>
      </c>
      <c r="L262" s="169"/>
      <c r="M262" s="206">
        <v>311</v>
      </c>
      <c r="N262" s="206"/>
      <c r="O262" s="509" t="s">
        <v>12</v>
      </c>
      <c r="P262" s="507"/>
      <c r="Q262" s="262"/>
      <c r="R262" s="507"/>
      <c r="S262" s="507"/>
      <c r="T262" s="192"/>
      <c r="U262" s="506" t="s">
        <v>2618</v>
      </c>
      <c r="V262" s="131">
        <v>0</v>
      </c>
      <c r="W262" s="132">
        <v>0</v>
      </c>
      <c r="X262" s="120">
        <v>0</v>
      </c>
      <c r="Y262" s="120">
        <v>0</v>
      </c>
      <c r="Z262" s="120">
        <v>0</v>
      </c>
      <c r="AA262" s="133">
        <v>0</v>
      </c>
      <c r="AB262" s="17">
        <v>0</v>
      </c>
      <c r="AC262" s="17">
        <v>0</v>
      </c>
      <c r="AD262" s="133">
        <v>0</v>
      </c>
      <c r="AE262" s="133">
        <v>0</v>
      </c>
      <c r="AF262" s="17">
        <v>0</v>
      </c>
      <c r="AG262" s="133">
        <v>0</v>
      </c>
      <c r="AH262" s="17">
        <v>0</v>
      </c>
      <c r="AI262" s="133">
        <v>0</v>
      </c>
      <c r="AJ262" s="133">
        <v>0</v>
      </c>
      <c r="AK262" s="17">
        <v>0</v>
      </c>
      <c r="AL262" s="137">
        <v>0</v>
      </c>
      <c r="AM262" s="779">
        <v>41.794285714285706</v>
      </c>
      <c r="AN262" s="89"/>
      <c r="AO262" s="507"/>
      <c r="AP262" s="262"/>
      <c r="AQ262" s="133" t="s">
        <v>150</v>
      </c>
      <c r="AR262" s="199">
        <v>38</v>
      </c>
      <c r="AS262" s="270"/>
      <c r="AT262" s="200">
        <v>255</v>
      </c>
      <c r="AU262" s="255">
        <f t="shared" si="20"/>
        <v>16.535836177474401</v>
      </c>
      <c r="AV262" s="509">
        <v>100</v>
      </c>
      <c r="AW262" s="257">
        <v>14</v>
      </c>
      <c r="AX262" s="261"/>
      <c r="AY262" s="258">
        <v>21</v>
      </c>
      <c r="AZ262" s="261"/>
      <c r="BA262" s="195">
        <v>100</v>
      </c>
      <c r="BB262" s="259"/>
      <c r="BC262" s="196"/>
      <c r="BD262" s="204"/>
      <c r="BE262" s="204"/>
      <c r="BF262" s="198"/>
      <c r="BG262" s="27"/>
      <c r="BH262" s="27"/>
    </row>
    <row r="263" spans="1:60" ht="15" customHeight="1">
      <c r="A263" s="95">
        <v>262</v>
      </c>
      <c r="B263" s="96" t="s">
        <v>1483</v>
      </c>
      <c r="C263" s="73" t="s">
        <v>149</v>
      </c>
      <c r="D263" s="257" t="s">
        <v>1471</v>
      </c>
      <c r="E263" s="459" t="s">
        <v>3377</v>
      </c>
      <c r="F263" s="258">
        <v>1984</v>
      </c>
      <c r="G263" s="192">
        <v>24</v>
      </c>
      <c r="H263" s="193" t="s">
        <v>1745</v>
      </c>
      <c r="I263" s="194" t="s">
        <v>1739</v>
      </c>
      <c r="J263" s="508">
        <v>0.8</v>
      </c>
      <c r="K263" s="513">
        <v>4.75</v>
      </c>
      <c r="L263" s="169"/>
      <c r="M263" s="206">
        <v>389</v>
      </c>
      <c r="N263" s="206"/>
      <c r="O263" s="509" t="s">
        <v>12</v>
      </c>
      <c r="P263" s="507"/>
      <c r="Q263" s="262"/>
      <c r="R263" s="507"/>
      <c r="S263" s="507"/>
      <c r="T263" s="192"/>
      <c r="U263" s="506" t="s">
        <v>2619</v>
      </c>
      <c r="V263" s="131">
        <v>0</v>
      </c>
      <c r="W263" s="132">
        <v>0</v>
      </c>
      <c r="X263" s="120">
        <v>0</v>
      </c>
      <c r="Y263" s="120">
        <v>0</v>
      </c>
      <c r="Z263" s="120">
        <v>0</v>
      </c>
      <c r="AA263" s="133">
        <v>0</v>
      </c>
      <c r="AB263" s="17">
        <v>0</v>
      </c>
      <c r="AC263" s="17">
        <v>0</v>
      </c>
      <c r="AD263" s="133">
        <v>0</v>
      </c>
      <c r="AE263" s="133">
        <v>0</v>
      </c>
      <c r="AF263" s="17">
        <v>0</v>
      </c>
      <c r="AG263" s="133">
        <v>0</v>
      </c>
      <c r="AH263" s="17">
        <v>0</v>
      </c>
      <c r="AI263" s="133">
        <v>0</v>
      </c>
      <c r="AJ263" s="133">
        <v>0</v>
      </c>
      <c r="AK263" s="17">
        <v>0</v>
      </c>
      <c r="AL263" s="137">
        <v>0</v>
      </c>
      <c r="AM263" s="779">
        <v>16.581428571428571</v>
      </c>
      <c r="AN263" s="89"/>
      <c r="AO263" s="507"/>
      <c r="AP263" s="262"/>
      <c r="AQ263" s="133" t="s">
        <v>150</v>
      </c>
      <c r="AR263" s="199">
        <v>38</v>
      </c>
      <c r="AS263" s="270"/>
      <c r="AT263" s="200">
        <v>255</v>
      </c>
      <c r="AU263" s="255">
        <f t="shared" si="20"/>
        <v>16.535836177474401</v>
      </c>
      <c r="AV263" s="509">
        <v>100</v>
      </c>
      <c r="AW263" s="257">
        <v>14</v>
      </c>
      <c r="AX263" s="261"/>
      <c r="AY263" s="258">
        <v>21</v>
      </c>
      <c r="AZ263" s="261"/>
      <c r="BA263" s="195">
        <v>100</v>
      </c>
      <c r="BB263" s="259"/>
      <c r="BC263" s="196"/>
      <c r="BD263" s="204"/>
      <c r="BE263" s="204"/>
      <c r="BF263" s="198"/>
      <c r="BG263" s="27"/>
      <c r="BH263" s="27"/>
    </row>
    <row r="264" spans="1:60" ht="15" customHeight="1">
      <c r="A264" s="95">
        <v>263</v>
      </c>
      <c r="B264" s="96" t="s">
        <v>1482</v>
      </c>
      <c r="C264" s="73" t="s">
        <v>149</v>
      </c>
      <c r="D264" s="257" t="s">
        <v>1471</v>
      </c>
      <c r="E264" s="459" t="s">
        <v>3377</v>
      </c>
      <c r="F264" s="258">
        <v>1984</v>
      </c>
      <c r="G264" s="192">
        <v>24</v>
      </c>
      <c r="H264" s="193" t="s">
        <v>1745</v>
      </c>
      <c r="I264" s="194" t="s">
        <v>1739</v>
      </c>
      <c r="J264" s="508">
        <v>0.67</v>
      </c>
      <c r="K264" s="513">
        <v>4.75</v>
      </c>
      <c r="L264" s="169"/>
      <c r="M264" s="206">
        <v>351</v>
      </c>
      <c r="N264" s="206"/>
      <c r="O264" s="509" t="s">
        <v>12</v>
      </c>
      <c r="P264" s="507"/>
      <c r="Q264" s="262"/>
      <c r="R264" s="507"/>
      <c r="S264" s="507"/>
      <c r="T264" s="192"/>
      <c r="U264" s="506" t="s">
        <v>2619</v>
      </c>
      <c r="V264" s="131">
        <v>0</v>
      </c>
      <c r="W264" s="132">
        <v>0</v>
      </c>
      <c r="X264" s="120">
        <v>0</v>
      </c>
      <c r="Y264" s="120">
        <v>0</v>
      </c>
      <c r="Z264" s="120">
        <v>0</v>
      </c>
      <c r="AA264" s="133">
        <v>0</v>
      </c>
      <c r="AB264" s="17">
        <v>0</v>
      </c>
      <c r="AC264" s="17">
        <v>0</v>
      </c>
      <c r="AD264" s="133">
        <v>0</v>
      </c>
      <c r="AE264" s="133">
        <v>0</v>
      </c>
      <c r="AF264" s="17">
        <v>0</v>
      </c>
      <c r="AG264" s="133">
        <v>0</v>
      </c>
      <c r="AH264" s="17">
        <v>0</v>
      </c>
      <c r="AI264" s="133">
        <v>0</v>
      </c>
      <c r="AJ264" s="133">
        <v>0</v>
      </c>
      <c r="AK264" s="17">
        <v>0</v>
      </c>
      <c r="AL264" s="137">
        <v>0</v>
      </c>
      <c r="AM264" s="779">
        <v>23.055</v>
      </c>
      <c r="AN264" s="89"/>
      <c r="AO264" s="507"/>
      <c r="AP264" s="262"/>
      <c r="AQ264" s="133" t="s">
        <v>150</v>
      </c>
      <c r="AR264" s="199">
        <v>38</v>
      </c>
      <c r="AS264" s="270"/>
      <c r="AT264" s="200">
        <v>255</v>
      </c>
      <c r="AU264" s="255">
        <f t="shared" si="20"/>
        <v>16.535836177474401</v>
      </c>
      <c r="AV264" s="509">
        <v>100</v>
      </c>
      <c r="AW264" s="257">
        <v>14</v>
      </c>
      <c r="AX264" s="261"/>
      <c r="AY264" s="258">
        <v>21</v>
      </c>
      <c r="AZ264" s="261"/>
      <c r="BA264" s="195">
        <v>100</v>
      </c>
      <c r="BB264" s="259"/>
      <c r="BC264" s="196"/>
      <c r="BD264" s="204"/>
      <c r="BE264" s="204"/>
      <c r="BF264" s="198"/>
      <c r="BG264" s="27"/>
      <c r="BH264" s="27"/>
    </row>
    <row r="265" spans="1:60" ht="15" customHeight="1">
      <c r="A265" s="95">
        <v>264</v>
      </c>
      <c r="B265" s="96" t="s">
        <v>1481</v>
      </c>
      <c r="C265" s="73" t="s">
        <v>149</v>
      </c>
      <c r="D265" s="257" t="s">
        <v>1471</v>
      </c>
      <c r="E265" s="459" t="s">
        <v>3377</v>
      </c>
      <c r="F265" s="258">
        <v>1984</v>
      </c>
      <c r="G265" s="192">
        <v>24</v>
      </c>
      <c r="H265" s="193" t="s">
        <v>1745</v>
      </c>
      <c r="I265" s="194" t="s">
        <v>1739</v>
      </c>
      <c r="J265" s="508">
        <v>0.56000000000000005</v>
      </c>
      <c r="K265" s="513">
        <v>4.75</v>
      </c>
      <c r="L265" s="169"/>
      <c r="M265" s="206">
        <v>317</v>
      </c>
      <c r="N265" s="206"/>
      <c r="O265" s="509" t="s">
        <v>12</v>
      </c>
      <c r="P265" s="507"/>
      <c r="Q265" s="262"/>
      <c r="R265" s="507"/>
      <c r="S265" s="507"/>
      <c r="T265" s="192"/>
      <c r="U265" s="506" t="s">
        <v>2619</v>
      </c>
      <c r="V265" s="131">
        <v>0</v>
      </c>
      <c r="W265" s="132">
        <v>0</v>
      </c>
      <c r="X265" s="120">
        <v>0</v>
      </c>
      <c r="Y265" s="120">
        <v>0</v>
      </c>
      <c r="Z265" s="120">
        <v>0</v>
      </c>
      <c r="AA265" s="133">
        <v>0</v>
      </c>
      <c r="AB265" s="17">
        <v>0</v>
      </c>
      <c r="AC265" s="17">
        <v>0</v>
      </c>
      <c r="AD265" s="133">
        <v>0</v>
      </c>
      <c r="AE265" s="133">
        <v>0</v>
      </c>
      <c r="AF265" s="17">
        <v>0</v>
      </c>
      <c r="AG265" s="133">
        <v>0</v>
      </c>
      <c r="AH265" s="17">
        <v>0</v>
      </c>
      <c r="AI265" s="133">
        <v>0</v>
      </c>
      <c r="AJ265" s="133">
        <v>0</v>
      </c>
      <c r="AK265" s="17">
        <v>0</v>
      </c>
      <c r="AL265" s="137">
        <v>0</v>
      </c>
      <c r="AM265" s="779">
        <v>31.459285714285713</v>
      </c>
      <c r="AN265" s="89"/>
      <c r="AO265" s="507"/>
      <c r="AP265" s="262"/>
      <c r="AQ265" s="133" t="s">
        <v>150</v>
      </c>
      <c r="AR265" s="199">
        <v>38</v>
      </c>
      <c r="AS265" s="270"/>
      <c r="AT265" s="200">
        <v>255</v>
      </c>
      <c r="AU265" s="255">
        <f t="shared" si="20"/>
        <v>16.535836177474401</v>
      </c>
      <c r="AV265" s="509">
        <v>100</v>
      </c>
      <c r="AW265" s="257">
        <v>14</v>
      </c>
      <c r="AX265" s="261"/>
      <c r="AY265" s="258">
        <v>21</v>
      </c>
      <c r="AZ265" s="261"/>
      <c r="BA265" s="195">
        <v>100</v>
      </c>
      <c r="BB265" s="259"/>
      <c r="BC265" s="196"/>
      <c r="BD265" s="204"/>
      <c r="BE265" s="204"/>
      <c r="BF265" s="198"/>
      <c r="BG265" s="27"/>
      <c r="BH265" s="27"/>
    </row>
    <row r="266" spans="1:60" ht="15" customHeight="1">
      <c r="A266" s="95">
        <v>265</v>
      </c>
      <c r="B266" s="96" t="s">
        <v>1480</v>
      </c>
      <c r="C266" s="73" t="s">
        <v>149</v>
      </c>
      <c r="D266" s="257" t="s">
        <v>1471</v>
      </c>
      <c r="E266" s="459" t="s">
        <v>3377</v>
      </c>
      <c r="F266" s="258">
        <v>1984</v>
      </c>
      <c r="G266" s="192">
        <v>24</v>
      </c>
      <c r="H266" s="193" t="s">
        <v>1745</v>
      </c>
      <c r="I266" s="194" t="s">
        <v>1739</v>
      </c>
      <c r="J266" s="508">
        <v>0.48</v>
      </c>
      <c r="K266" s="513">
        <v>4.75</v>
      </c>
      <c r="L266" s="169"/>
      <c r="M266" s="206">
        <v>292</v>
      </c>
      <c r="N266" s="206"/>
      <c r="O266" s="509" t="s">
        <v>12</v>
      </c>
      <c r="P266" s="507"/>
      <c r="Q266" s="262"/>
      <c r="R266" s="507"/>
      <c r="S266" s="507"/>
      <c r="T266" s="192"/>
      <c r="U266" s="506" t="s">
        <v>2619</v>
      </c>
      <c r="V266" s="131">
        <v>0</v>
      </c>
      <c r="W266" s="132">
        <v>0</v>
      </c>
      <c r="X266" s="120">
        <v>0</v>
      </c>
      <c r="Y266" s="120">
        <v>0</v>
      </c>
      <c r="Z266" s="120">
        <v>0</v>
      </c>
      <c r="AA266" s="133">
        <v>0</v>
      </c>
      <c r="AB266" s="17">
        <v>0</v>
      </c>
      <c r="AC266" s="17">
        <v>0</v>
      </c>
      <c r="AD266" s="133">
        <v>0</v>
      </c>
      <c r="AE266" s="133">
        <v>0</v>
      </c>
      <c r="AF266" s="17">
        <v>0</v>
      </c>
      <c r="AG266" s="133">
        <v>0</v>
      </c>
      <c r="AH266" s="17">
        <v>0</v>
      </c>
      <c r="AI266" s="133">
        <v>0</v>
      </c>
      <c r="AJ266" s="133">
        <v>0</v>
      </c>
      <c r="AK266" s="17">
        <v>0</v>
      </c>
      <c r="AL266" s="137">
        <v>0</v>
      </c>
      <c r="AM266" s="779">
        <v>33.957857142857144</v>
      </c>
      <c r="AN266" s="89"/>
      <c r="AO266" s="507"/>
      <c r="AP266" s="262"/>
      <c r="AQ266" s="133" t="s">
        <v>150</v>
      </c>
      <c r="AR266" s="199">
        <v>38</v>
      </c>
      <c r="AS266" s="270"/>
      <c r="AT266" s="200">
        <v>255</v>
      </c>
      <c r="AU266" s="255">
        <f t="shared" si="20"/>
        <v>16.535836177474401</v>
      </c>
      <c r="AV266" s="509">
        <v>100</v>
      </c>
      <c r="AW266" s="257">
        <v>14</v>
      </c>
      <c r="AX266" s="261"/>
      <c r="AY266" s="258">
        <v>21</v>
      </c>
      <c r="AZ266" s="261"/>
      <c r="BA266" s="195">
        <v>100</v>
      </c>
      <c r="BB266" s="259"/>
      <c r="BC266" s="196"/>
      <c r="BD266" s="204"/>
      <c r="BE266" s="204"/>
      <c r="BF266" s="198"/>
      <c r="BG266" s="27"/>
      <c r="BH266" s="27"/>
    </row>
    <row r="267" spans="1:60" ht="15" customHeight="1">
      <c r="A267" s="95">
        <v>266</v>
      </c>
      <c r="B267" s="96" t="s">
        <v>1479</v>
      </c>
      <c r="C267" s="73" t="s">
        <v>149</v>
      </c>
      <c r="D267" s="257" t="s">
        <v>1471</v>
      </c>
      <c r="E267" s="459" t="s">
        <v>3377</v>
      </c>
      <c r="F267" s="258">
        <v>1984</v>
      </c>
      <c r="G267" s="192">
        <v>24</v>
      </c>
      <c r="H267" s="193" t="s">
        <v>1745</v>
      </c>
      <c r="I267" s="194" t="s">
        <v>1739</v>
      </c>
      <c r="J267" s="508">
        <v>0.4</v>
      </c>
      <c r="K267" s="513">
        <v>4.75</v>
      </c>
      <c r="L267" s="169"/>
      <c r="M267" s="206">
        <v>267</v>
      </c>
      <c r="N267" s="206"/>
      <c r="O267" s="509" t="s">
        <v>12</v>
      </c>
      <c r="P267" s="507"/>
      <c r="Q267" s="262"/>
      <c r="R267" s="507"/>
      <c r="S267" s="507"/>
      <c r="T267" s="192"/>
      <c r="U267" s="506" t="s">
        <v>2619</v>
      </c>
      <c r="V267" s="131">
        <v>0</v>
      </c>
      <c r="W267" s="132">
        <v>0</v>
      </c>
      <c r="X267" s="120">
        <v>0</v>
      </c>
      <c r="Y267" s="120">
        <v>0</v>
      </c>
      <c r="Z267" s="120">
        <v>0</v>
      </c>
      <c r="AA267" s="133">
        <v>0</v>
      </c>
      <c r="AB267" s="17">
        <v>0</v>
      </c>
      <c r="AC267" s="17">
        <v>0</v>
      </c>
      <c r="AD267" s="133">
        <v>0</v>
      </c>
      <c r="AE267" s="133">
        <v>0</v>
      </c>
      <c r="AF267" s="17">
        <v>0</v>
      </c>
      <c r="AG267" s="133">
        <v>0</v>
      </c>
      <c r="AH267" s="17">
        <v>0</v>
      </c>
      <c r="AI267" s="133">
        <v>0</v>
      </c>
      <c r="AJ267" s="133">
        <v>0</v>
      </c>
      <c r="AK267" s="17">
        <v>0</v>
      </c>
      <c r="AL267" s="137">
        <v>0</v>
      </c>
      <c r="AM267" s="779">
        <v>41.567142857142855</v>
      </c>
      <c r="AN267" s="89"/>
      <c r="AO267" s="507"/>
      <c r="AP267" s="262"/>
      <c r="AQ267" s="133" t="s">
        <v>150</v>
      </c>
      <c r="AR267" s="199">
        <v>38</v>
      </c>
      <c r="AS267" s="270"/>
      <c r="AT267" s="200">
        <v>255</v>
      </c>
      <c r="AU267" s="255">
        <f t="shared" si="20"/>
        <v>16.535836177474401</v>
      </c>
      <c r="AV267" s="509">
        <v>100</v>
      </c>
      <c r="AW267" s="257">
        <v>14</v>
      </c>
      <c r="AX267" s="261"/>
      <c r="AY267" s="258">
        <v>21</v>
      </c>
      <c r="AZ267" s="261"/>
      <c r="BA267" s="195">
        <v>100</v>
      </c>
      <c r="BB267" s="259"/>
      <c r="BC267" s="196"/>
      <c r="BD267" s="204"/>
      <c r="BE267" s="204"/>
      <c r="BF267" s="198"/>
      <c r="BG267" s="27"/>
      <c r="BH267" s="27"/>
    </row>
    <row r="268" spans="1:60" ht="15" customHeight="1">
      <c r="A268" s="95">
        <v>267</v>
      </c>
      <c r="B268" s="96" t="s">
        <v>1478</v>
      </c>
      <c r="C268" s="73" t="s">
        <v>149</v>
      </c>
      <c r="D268" s="257" t="s">
        <v>1471</v>
      </c>
      <c r="E268" s="459" t="s">
        <v>3377</v>
      </c>
      <c r="F268" s="258">
        <v>1984</v>
      </c>
      <c r="G268" s="192">
        <v>24</v>
      </c>
      <c r="H268" s="193" t="s">
        <v>1745</v>
      </c>
      <c r="I268" s="194" t="s">
        <v>1739</v>
      </c>
      <c r="J268" s="508">
        <v>0.76</v>
      </c>
      <c r="K268" s="513">
        <v>4.75</v>
      </c>
      <c r="L268" s="169"/>
      <c r="M268" s="206">
        <v>383</v>
      </c>
      <c r="N268" s="206"/>
      <c r="O268" s="509" t="s">
        <v>12</v>
      </c>
      <c r="P268" s="507"/>
      <c r="Q268" s="262"/>
      <c r="R268" s="507"/>
      <c r="S268" s="507"/>
      <c r="T268" s="192" t="s">
        <v>2620</v>
      </c>
      <c r="U268" s="506" t="s">
        <v>2621</v>
      </c>
      <c r="V268" s="131">
        <v>0</v>
      </c>
      <c r="W268" s="132">
        <v>0</v>
      </c>
      <c r="X268" s="120">
        <v>0</v>
      </c>
      <c r="Y268" s="120">
        <v>0</v>
      </c>
      <c r="Z268" s="120">
        <v>0</v>
      </c>
      <c r="AA268" s="133">
        <v>0</v>
      </c>
      <c r="AB268" s="17">
        <v>0</v>
      </c>
      <c r="AC268" s="17">
        <v>0</v>
      </c>
      <c r="AD268" s="133">
        <v>0</v>
      </c>
      <c r="AE268" s="133">
        <v>0</v>
      </c>
      <c r="AF268" s="17">
        <v>0</v>
      </c>
      <c r="AG268" s="133">
        <v>0</v>
      </c>
      <c r="AH268" s="17">
        <v>0</v>
      </c>
      <c r="AI268" s="133">
        <v>0</v>
      </c>
      <c r="AJ268" s="133">
        <v>0</v>
      </c>
      <c r="AK268" s="17">
        <v>0</v>
      </c>
      <c r="AL268" s="137">
        <v>0</v>
      </c>
      <c r="AM268" s="779">
        <v>20.669999999999998</v>
      </c>
      <c r="AN268" s="89"/>
      <c r="AO268" s="507"/>
      <c r="AP268" s="262"/>
      <c r="AQ268" s="133" t="s">
        <v>150</v>
      </c>
      <c r="AR268" s="199">
        <v>38</v>
      </c>
      <c r="AS268" s="270"/>
      <c r="AT268" s="200">
        <v>255</v>
      </c>
      <c r="AU268" s="255">
        <f t="shared" si="20"/>
        <v>16.535836177474401</v>
      </c>
      <c r="AV268" s="509">
        <v>100</v>
      </c>
      <c r="AW268" s="257">
        <v>14</v>
      </c>
      <c r="AX268" s="261"/>
      <c r="AY268" s="258">
        <v>21</v>
      </c>
      <c r="AZ268" s="261"/>
      <c r="BA268" s="195">
        <v>100</v>
      </c>
      <c r="BB268" s="259"/>
      <c r="BC268" s="196"/>
      <c r="BD268" s="204"/>
      <c r="BE268" s="204"/>
      <c r="BF268" s="198"/>
      <c r="BG268" s="27"/>
      <c r="BH268" s="27"/>
    </row>
    <row r="269" spans="1:60" ht="15" customHeight="1">
      <c r="A269" s="95">
        <v>268</v>
      </c>
      <c r="B269" s="96" t="s">
        <v>1477</v>
      </c>
      <c r="C269" s="73" t="s">
        <v>149</v>
      </c>
      <c r="D269" s="257" t="s">
        <v>1471</v>
      </c>
      <c r="E269" s="459" t="s">
        <v>3377</v>
      </c>
      <c r="F269" s="258">
        <v>1984</v>
      </c>
      <c r="G269" s="192">
        <v>24</v>
      </c>
      <c r="H269" s="193" t="s">
        <v>1745</v>
      </c>
      <c r="I269" s="194" t="s">
        <v>1739</v>
      </c>
      <c r="J269" s="508">
        <v>0.62</v>
      </c>
      <c r="K269" s="513">
        <v>4.75</v>
      </c>
      <c r="L269" s="169"/>
      <c r="M269" s="206">
        <v>344</v>
      </c>
      <c r="N269" s="206"/>
      <c r="O269" s="509" t="s">
        <v>12</v>
      </c>
      <c r="P269" s="507"/>
      <c r="Q269" s="262"/>
      <c r="R269" s="507"/>
      <c r="S269" s="507"/>
      <c r="T269" s="192" t="s">
        <v>2620</v>
      </c>
      <c r="U269" s="506" t="s">
        <v>2621</v>
      </c>
      <c r="V269" s="131">
        <v>0</v>
      </c>
      <c r="W269" s="132">
        <v>0</v>
      </c>
      <c r="X269" s="120">
        <v>0</v>
      </c>
      <c r="Y269" s="120">
        <v>0</v>
      </c>
      <c r="Z269" s="120">
        <v>0</v>
      </c>
      <c r="AA269" s="133">
        <v>0</v>
      </c>
      <c r="AB269" s="17">
        <v>0</v>
      </c>
      <c r="AC269" s="17">
        <v>0</v>
      </c>
      <c r="AD269" s="133">
        <v>0</v>
      </c>
      <c r="AE269" s="133">
        <v>0</v>
      </c>
      <c r="AF269" s="17">
        <v>0</v>
      </c>
      <c r="AG269" s="133">
        <v>0</v>
      </c>
      <c r="AH269" s="17">
        <v>0</v>
      </c>
      <c r="AI269" s="133">
        <v>0</v>
      </c>
      <c r="AJ269" s="133">
        <v>0</v>
      </c>
      <c r="AK269" s="17">
        <v>0</v>
      </c>
      <c r="AL269" s="137">
        <v>0</v>
      </c>
      <c r="AM269" s="779">
        <v>29.869285714285713</v>
      </c>
      <c r="AN269" s="89"/>
      <c r="AO269" s="507"/>
      <c r="AP269" s="262"/>
      <c r="AQ269" s="133" t="s">
        <v>150</v>
      </c>
      <c r="AR269" s="199">
        <v>38</v>
      </c>
      <c r="AS269" s="270"/>
      <c r="AT269" s="200">
        <v>255</v>
      </c>
      <c r="AU269" s="255">
        <f t="shared" si="20"/>
        <v>16.535836177474401</v>
      </c>
      <c r="AV269" s="509">
        <v>100</v>
      </c>
      <c r="AW269" s="257">
        <v>14</v>
      </c>
      <c r="AX269" s="261"/>
      <c r="AY269" s="258">
        <v>21</v>
      </c>
      <c r="AZ269" s="261"/>
      <c r="BA269" s="195">
        <v>100</v>
      </c>
      <c r="BB269" s="259"/>
      <c r="BC269" s="196"/>
      <c r="BD269" s="204"/>
      <c r="BE269" s="204"/>
      <c r="BF269" s="198"/>
      <c r="BG269" s="27"/>
      <c r="BH269" s="27"/>
    </row>
    <row r="270" spans="1:60" ht="15" customHeight="1">
      <c r="A270" s="95">
        <v>269</v>
      </c>
      <c r="B270" s="96" t="s">
        <v>1476</v>
      </c>
      <c r="C270" s="73" t="s">
        <v>149</v>
      </c>
      <c r="D270" s="257" t="s">
        <v>1471</v>
      </c>
      <c r="E270" s="459" t="s">
        <v>3377</v>
      </c>
      <c r="F270" s="258">
        <v>1984</v>
      </c>
      <c r="G270" s="192">
        <v>24</v>
      </c>
      <c r="H270" s="193" t="s">
        <v>1745</v>
      </c>
      <c r="I270" s="194" t="s">
        <v>1739</v>
      </c>
      <c r="J270" s="508">
        <v>0.55000000000000004</v>
      </c>
      <c r="K270" s="513">
        <v>4.75</v>
      </c>
      <c r="L270" s="169"/>
      <c r="M270" s="206">
        <v>323</v>
      </c>
      <c r="N270" s="206"/>
      <c r="O270" s="509" t="s">
        <v>12</v>
      </c>
      <c r="P270" s="507"/>
      <c r="Q270" s="262"/>
      <c r="R270" s="507"/>
      <c r="S270" s="507"/>
      <c r="T270" s="192" t="s">
        <v>2620</v>
      </c>
      <c r="U270" s="506" t="s">
        <v>2621</v>
      </c>
      <c r="V270" s="131">
        <v>0</v>
      </c>
      <c r="W270" s="132">
        <v>0</v>
      </c>
      <c r="X270" s="120">
        <v>0</v>
      </c>
      <c r="Y270" s="120">
        <v>0</v>
      </c>
      <c r="Z270" s="120">
        <v>0</v>
      </c>
      <c r="AA270" s="133">
        <v>0</v>
      </c>
      <c r="AB270" s="17">
        <v>0</v>
      </c>
      <c r="AC270" s="17">
        <v>0</v>
      </c>
      <c r="AD270" s="133">
        <v>0</v>
      </c>
      <c r="AE270" s="133">
        <v>0</v>
      </c>
      <c r="AF270" s="17">
        <v>0</v>
      </c>
      <c r="AG270" s="133">
        <v>0</v>
      </c>
      <c r="AH270" s="17">
        <v>0</v>
      </c>
      <c r="AI270" s="133">
        <v>0</v>
      </c>
      <c r="AJ270" s="133">
        <v>0</v>
      </c>
      <c r="AK270" s="17">
        <v>0</v>
      </c>
      <c r="AL270" s="137">
        <v>0</v>
      </c>
      <c r="AM270" s="779">
        <v>28.052142857142854</v>
      </c>
      <c r="AN270" s="89"/>
      <c r="AO270" s="507"/>
      <c r="AP270" s="262"/>
      <c r="AQ270" s="133" t="s">
        <v>150</v>
      </c>
      <c r="AR270" s="199">
        <v>38</v>
      </c>
      <c r="AS270" s="270"/>
      <c r="AT270" s="200">
        <v>255</v>
      </c>
      <c r="AU270" s="255">
        <f t="shared" si="20"/>
        <v>16.535836177474401</v>
      </c>
      <c r="AV270" s="509">
        <v>100</v>
      </c>
      <c r="AW270" s="257">
        <v>14</v>
      </c>
      <c r="AX270" s="261"/>
      <c r="AY270" s="258">
        <v>21</v>
      </c>
      <c r="AZ270" s="261"/>
      <c r="BA270" s="195">
        <v>100</v>
      </c>
      <c r="BB270" s="259"/>
      <c r="BC270" s="196"/>
      <c r="BD270" s="204"/>
      <c r="BE270" s="204"/>
      <c r="BF270" s="198"/>
      <c r="BG270" s="27"/>
      <c r="BH270" s="27"/>
    </row>
    <row r="271" spans="1:60" ht="15" customHeight="1">
      <c r="A271" s="95">
        <v>270</v>
      </c>
      <c r="B271" s="96" t="s">
        <v>1475</v>
      </c>
      <c r="C271" s="73" t="s">
        <v>149</v>
      </c>
      <c r="D271" s="257" t="s">
        <v>1471</v>
      </c>
      <c r="E271" s="459" t="s">
        <v>3377</v>
      </c>
      <c r="F271" s="258">
        <v>1984</v>
      </c>
      <c r="G271" s="192">
        <v>24</v>
      </c>
      <c r="H271" s="193" t="s">
        <v>1745</v>
      </c>
      <c r="I271" s="194" t="s">
        <v>1739</v>
      </c>
      <c r="J271" s="508">
        <v>0.45</v>
      </c>
      <c r="K271" s="513">
        <v>4.75</v>
      </c>
      <c r="L271" s="169"/>
      <c r="M271" s="206">
        <v>291</v>
      </c>
      <c r="N271" s="206"/>
      <c r="O271" s="509" t="s">
        <v>12</v>
      </c>
      <c r="P271" s="507"/>
      <c r="Q271" s="262"/>
      <c r="R271" s="507"/>
      <c r="S271" s="507"/>
      <c r="T271" s="192" t="s">
        <v>2620</v>
      </c>
      <c r="U271" s="506" t="s">
        <v>2621</v>
      </c>
      <c r="V271" s="131">
        <v>0</v>
      </c>
      <c r="W271" s="132">
        <v>0</v>
      </c>
      <c r="X271" s="120">
        <v>0</v>
      </c>
      <c r="Y271" s="120">
        <v>0</v>
      </c>
      <c r="Z271" s="120">
        <v>0</v>
      </c>
      <c r="AA271" s="133">
        <v>0</v>
      </c>
      <c r="AB271" s="17">
        <v>0</v>
      </c>
      <c r="AC271" s="17">
        <v>0</v>
      </c>
      <c r="AD271" s="133">
        <v>0</v>
      </c>
      <c r="AE271" s="133">
        <v>0</v>
      </c>
      <c r="AF271" s="17">
        <v>0</v>
      </c>
      <c r="AG271" s="133">
        <v>0</v>
      </c>
      <c r="AH271" s="17">
        <v>0</v>
      </c>
      <c r="AI271" s="133">
        <v>0</v>
      </c>
      <c r="AJ271" s="133">
        <v>0</v>
      </c>
      <c r="AK271" s="17">
        <v>0</v>
      </c>
      <c r="AL271" s="137">
        <v>0</v>
      </c>
      <c r="AM271" s="779">
        <v>26.689285714285713</v>
      </c>
      <c r="AN271" s="89"/>
      <c r="AO271" s="507"/>
      <c r="AP271" s="262"/>
      <c r="AQ271" s="133" t="s">
        <v>150</v>
      </c>
      <c r="AR271" s="199">
        <v>38</v>
      </c>
      <c r="AS271" s="270"/>
      <c r="AT271" s="200">
        <v>255</v>
      </c>
      <c r="AU271" s="255">
        <f t="shared" si="20"/>
        <v>16.535836177474401</v>
      </c>
      <c r="AV271" s="509">
        <v>100</v>
      </c>
      <c r="AW271" s="257">
        <v>14</v>
      </c>
      <c r="AX271" s="261"/>
      <c r="AY271" s="258">
        <v>21</v>
      </c>
      <c r="AZ271" s="261"/>
      <c r="BA271" s="195">
        <v>100</v>
      </c>
      <c r="BB271" s="259"/>
      <c r="BC271" s="196"/>
      <c r="BD271" s="204"/>
      <c r="BE271" s="204"/>
      <c r="BF271" s="198"/>
      <c r="BG271" s="27"/>
      <c r="BH271" s="27"/>
    </row>
    <row r="272" spans="1:60" ht="15" customHeight="1">
      <c r="A272" s="95">
        <v>271</v>
      </c>
      <c r="B272" s="96" t="s">
        <v>1474</v>
      </c>
      <c r="C272" s="73" t="s">
        <v>149</v>
      </c>
      <c r="D272" s="257" t="s">
        <v>1471</v>
      </c>
      <c r="E272" s="459" t="s">
        <v>3377</v>
      </c>
      <c r="F272" s="258">
        <v>1984</v>
      </c>
      <c r="G272" s="192">
        <v>24</v>
      </c>
      <c r="H272" s="193" t="s">
        <v>1745</v>
      </c>
      <c r="I272" s="194" t="s">
        <v>1739</v>
      </c>
      <c r="J272" s="508">
        <v>0.86</v>
      </c>
      <c r="K272" s="513">
        <v>4.75</v>
      </c>
      <c r="L272" s="169"/>
      <c r="M272" s="206">
        <v>457</v>
      </c>
      <c r="N272" s="206"/>
      <c r="O272" s="509" t="s">
        <v>12</v>
      </c>
      <c r="P272" s="507"/>
      <c r="Q272" s="262"/>
      <c r="R272" s="507"/>
      <c r="S272" s="507"/>
      <c r="T272" s="192" t="s">
        <v>2622</v>
      </c>
      <c r="U272" s="506" t="s">
        <v>2623</v>
      </c>
      <c r="V272" s="131">
        <v>0</v>
      </c>
      <c r="W272" s="132">
        <v>0</v>
      </c>
      <c r="X272" s="120">
        <v>0</v>
      </c>
      <c r="Y272" s="120">
        <v>0</v>
      </c>
      <c r="Z272" s="120">
        <v>0</v>
      </c>
      <c r="AA272" s="133">
        <v>0</v>
      </c>
      <c r="AB272" s="17">
        <v>0</v>
      </c>
      <c r="AC272" s="17">
        <v>0</v>
      </c>
      <c r="AD272" s="133">
        <v>0</v>
      </c>
      <c r="AE272" s="133">
        <v>0</v>
      </c>
      <c r="AF272" s="17">
        <v>0</v>
      </c>
      <c r="AG272" s="133">
        <v>0</v>
      </c>
      <c r="AH272" s="17">
        <v>0</v>
      </c>
      <c r="AI272" s="133">
        <v>0</v>
      </c>
      <c r="AJ272" s="133">
        <v>0</v>
      </c>
      <c r="AK272" s="17">
        <v>0</v>
      </c>
      <c r="AL272" s="137">
        <v>0</v>
      </c>
      <c r="AM272" s="779">
        <v>19.988571428571429</v>
      </c>
      <c r="AN272" s="89"/>
      <c r="AO272" s="507"/>
      <c r="AP272" s="262"/>
      <c r="AQ272" s="133" t="s">
        <v>150</v>
      </c>
      <c r="AR272" s="199">
        <v>38</v>
      </c>
      <c r="AS272" s="270"/>
      <c r="AT272" s="200">
        <v>255</v>
      </c>
      <c r="AU272" s="255">
        <f t="shared" si="20"/>
        <v>16.535836177474401</v>
      </c>
      <c r="AV272" s="509">
        <v>100</v>
      </c>
      <c r="AW272" s="257">
        <v>14</v>
      </c>
      <c r="AX272" s="261"/>
      <c r="AY272" s="258">
        <v>21</v>
      </c>
      <c r="AZ272" s="261"/>
      <c r="BA272" s="195">
        <v>100</v>
      </c>
      <c r="BB272" s="259"/>
      <c r="BC272" s="196"/>
      <c r="BD272" s="204"/>
      <c r="BE272" s="197"/>
      <c r="BF272" s="198"/>
      <c r="BG272" s="27"/>
      <c r="BH272" s="27"/>
    </row>
    <row r="273" spans="1:60" ht="15" customHeight="1">
      <c r="A273" s="95">
        <v>272</v>
      </c>
      <c r="B273" s="96" t="s">
        <v>1473</v>
      </c>
      <c r="C273" s="73" t="s">
        <v>149</v>
      </c>
      <c r="D273" s="257" t="s">
        <v>1471</v>
      </c>
      <c r="E273" s="459" t="s">
        <v>3377</v>
      </c>
      <c r="F273" s="258">
        <v>1984</v>
      </c>
      <c r="G273" s="192">
        <v>24</v>
      </c>
      <c r="H273" s="193" t="s">
        <v>1745</v>
      </c>
      <c r="I273" s="194" t="s">
        <v>1739</v>
      </c>
      <c r="J273" s="508">
        <v>0.75</v>
      </c>
      <c r="K273" s="513">
        <v>4.75</v>
      </c>
      <c r="L273" s="169"/>
      <c r="M273" s="206">
        <v>425</v>
      </c>
      <c r="N273" s="206"/>
      <c r="O273" s="509" t="s">
        <v>12</v>
      </c>
      <c r="P273" s="507"/>
      <c r="Q273" s="262"/>
      <c r="R273" s="507"/>
      <c r="S273" s="507"/>
      <c r="T273" s="192" t="s">
        <v>2622</v>
      </c>
      <c r="U273" s="506" t="s">
        <v>2623</v>
      </c>
      <c r="V273" s="131">
        <v>0</v>
      </c>
      <c r="W273" s="132">
        <v>0</v>
      </c>
      <c r="X273" s="120">
        <v>0</v>
      </c>
      <c r="Y273" s="120">
        <v>0</v>
      </c>
      <c r="Z273" s="120">
        <v>0</v>
      </c>
      <c r="AA273" s="133">
        <v>0</v>
      </c>
      <c r="AB273" s="17">
        <v>0</v>
      </c>
      <c r="AC273" s="17">
        <v>0</v>
      </c>
      <c r="AD273" s="133">
        <v>0</v>
      </c>
      <c r="AE273" s="133">
        <v>0</v>
      </c>
      <c r="AF273" s="17">
        <v>0</v>
      </c>
      <c r="AG273" s="133">
        <v>0</v>
      </c>
      <c r="AH273" s="17">
        <v>0</v>
      </c>
      <c r="AI273" s="133">
        <v>0</v>
      </c>
      <c r="AJ273" s="133">
        <v>0</v>
      </c>
      <c r="AK273" s="17">
        <v>0</v>
      </c>
      <c r="AL273" s="137">
        <v>0</v>
      </c>
      <c r="AM273" s="779">
        <v>29.414999999999999</v>
      </c>
      <c r="AN273" s="89"/>
      <c r="AO273" s="507"/>
      <c r="AP273" s="262"/>
      <c r="AQ273" s="133" t="s">
        <v>150</v>
      </c>
      <c r="AR273" s="199">
        <v>38</v>
      </c>
      <c r="AS273" s="270"/>
      <c r="AT273" s="200">
        <v>255</v>
      </c>
      <c r="AU273" s="255">
        <f t="shared" si="20"/>
        <v>16.535836177474401</v>
      </c>
      <c r="AV273" s="509">
        <v>100</v>
      </c>
      <c r="AW273" s="257">
        <v>14</v>
      </c>
      <c r="AX273" s="261"/>
      <c r="AY273" s="258">
        <v>21</v>
      </c>
      <c r="AZ273" s="261"/>
      <c r="BA273" s="195">
        <v>100</v>
      </c>
      <c r="BB273" s="259"/>
      <c r="BC273" s="196"/>
      <c r="BD273" s="204"/>
      <c r="BE273" s="197"/>
      <c r="BF273" s="198"/>
      <c r="BG273" s="27"/>
      <c r="BH273" s="27"/>
    </row>
    <row r="274" spans="1:60" ht="15" customHeight="1">
      <c r="A274" s="95">
        <v>273</v>
      </c>
      <c r="B274" s="96" t="s">
        <v>1472</v>
      </c>
      <c r="C274" s="73" t="s">
        <v>149</v>
      </c>
      <c r="D274" s="257" t="s">
        <v>1471</v>
      </c>
      <c r="E274" s="459" t="s">
        <v>3377</v>
      </c>
      <c r="F274" s="258">
        <v>1984</v>
      </c>
      <c r="G274" s="192">
        <v>24</v>
      </c>
      <c r="H274" s="193" t="s">
        <v>1745</v>
      </c>
      <c r="I274" s="194" t="s">
        <v>1739</v>
      </c>
      <c r="J274" s="508">
        <v>0.63</v>
      </c>
      <c r="K274" s="513">
        <v>4.75</v>
      </c>
      <c r="L274" s="169"/>
      <c r="M274" s="206">
        <v>387</v>
      </c>
      <c r="N274" s="206"/>
      <c r="O274" s="509" t="s">
        <v>12</v>
      </c>
      <c r="P274" s="507"/>
      <c r="Q274" s="262"/>
      <c r="R274" s="507"/>
      <c r="S274" s="507"/>
      <c r="T274" s="192" t="s">
        <v>2622</v>
      </c>
      <c r="U274" s="506" t="s">
        <v>2623</v>
      </c>
      <c r="V274" s="131">
        <v>0</v>
      </c>
      <c r="W274" s="132">
        <v>0</v>
      </c>
      <c r="X274" s="120">
        <v>0</v>
      </c>
      <c r="Y274" s="120">
        <v>0</v>
      </c>
      <c r="Z274" s="120">
        <v>0</v>
      </c>
      <c r="AA274" s="133">
        <v>0</v>
      </c>
      <c r="AB274" s="17">
        <v>0</v>
      </c>
      <c r="AC274" s="17">
        <v>0</v>
      </c>
      <c r="AD274" s="133">
        <v>0</v>
      </c>
      <c r="AE274" s="133">
        <v>0</v>
      </c>
      <c r="AF274" s="17">
        <v>0</v>
      </c>
      <c r="AG274" s="133">
        <v>0</v>
      </c>
      <c r="AH274" s="17">
        <v>0</v>
      </c>
      <c r="AI274" s="133">
        <v>0</v>
      </c>
      <c r="AJ274" s="133">
        <v>0</v>
      </c>
      <c r="AK274" s="17">
        <v>0</v>
      </c>
      <c r="AL274" s="137">
        <v>0</v>
      </c>
      <c r="AM274" s="779">
        <v>34.298571428571428</v>
      </c>
      <c r="AN274" s="89"/>
      <c r="AO274" s="507"/>
      <c r="AP274" s="262"/>
      <c r="AQ274" s="133" t="s">
        <v>150</v>
      </c>
      <c r="AR274" s="199">
        <v>38</v>
      </c>
      <c r="AS274" s="270"/>
      <c r="AT274" s="200">
        <v>255</v>
      </c>
      <c r="AU274" s="255">
        <f t="shared" si="20"/>
        <v>16.535836177474401</v>
      </c>
      <c r="AV274" s="509">
        <v>100</v>
      </c>
      <c r="AW274" s="257">
        <v>14</v>
      </c>
      <c r="AX274" s="261"/>
      <c r="AY274" s="258">
        <v>21</v>
      </c>
      <c r="AZ274" s="261"/>
      <c r="BA274" s="195">
        <v>100</v>
      </c>
      <c r="BB274" s="259"/>
      <c r="BC274" s="196"/>
      <c r="BD274" s="204"/>
      <c r="BE274" s="197"/>
      <c r="BF274" s="198"/>
      <c r="BG274" s="27"/>
      <c r="BH274" s="27"/>
    </row>
    <row r="275" spans="1:60" ht="15" customHeight="1">
      <c r="A275" s="95">
        <v>274</v>
      </c>
      <c r="B275" s="96" t="s">
        <v>1470</v>
      </c>
      <c r="C275" s="73" t="s">
        <v>149</v>
      </c>
      <c r="D275" s="257" t="s">
        <v>1471</v>
      </c>
      <c r="E275" s="459" t="s">
        <v>3377</v>
      </c>
      <c r="F275" s="258">
        <v>1984</v>
      </c>
      <c r="G275" s="192">
        <v>24</v>
      </c>
      <c r="H275" s="193" t="s">
        <v>1745</v>
      </c>
      <c r="I275" s="194" t="s">
        <v>1739</v>
      </c>
      <c r="J275" s="508">
        <v>0.55000000000000004</v>
      </c>
      <c r="K275" s="513">
        <v>4.75</v>
      </c>
      <c r="L275" s="169"/>
      <c r="M275" s="206">
        <v>360</v>
      </c>
      <c r="N275" s="206"/>
      <c r="O275" s="509" t="s">
        <v>12</v>
      </c>
      <c r="P275" s="507"/>
      <c r="Q275" s="262"/>
      <c r="R275" s="507"/>
      <c r="S275" s="507"/>
      <c r="T275" s="192" t="s">
        <v>2622</v>
      </c>
      <c r="U275" s="506" t="s">
        <v>2623</v>
      </c>
      <c r="V275" s="131">
        <v>0</v>
      </c>
      <c r="W275" s="132">
        <v>0</v>
      </c>
      <c r="X275" s="120">
        <v>0</v>
      </c>
      <c r="Y275" s="120">
        <v>0</v>
      </c>
      <c r="Z275" s="120">
        <v>0</v>
      </c>
      <c r="AA275" s="133">
        <v>0</v>
      </c>
      <c r="AB275" s="17">
        <v>0</v>
      </c>
      <c r="AC275" s="17">
        <v>0</v>
      </c>
      <c r="AD275" s="133">
        <v>0</v>
      </c>
      <c r="AE275" s="133">
        <v>0</v>
      </c>
      <c r="AF275" s="17">
        <v>0</v>
      </c>
      <c r="AG275" s="133">
        <v>0</v>
      </c>
      <c r="AH275" s="17">
        <v>0</v>
      </c>
      <c r="AI275" s="133">
        <v>0</v>
      </c>
      <c r="AJ275" s="133">
        <v>0</v>
      </c>
      <c r="AK275" s="17">
        <v>0</v>
      </c>
      <c r="AL275" s="137">
        <v>0</v>
      </c>
      <c r="AM275" s="779">
        <v>35.434285714285714</v>
      </c>
      <c r="AN275" s="89"/>
      <c r="AO275" s="507"/>
      <c r="AP275" s="262"/>
      <c r="AQ275" s="133" t="s">
        <v>150</v>
      </c>
      <c r="AR275" s="199">
        <v>38</v>
      </c>
      <c r="AS275" s="270"/>
      <c r="AT275" s="200">
        <v>255</v>
      </c>
      <c r="AU275" s="255">
        <f t="shared" si="20"/>
        <v>16.535836177474401</v>
      </c>
      <c r="AV275" s="509">
        <v>100</v>
      </c>
      <c r="AW275" s="257">
        <v>14</v>
      </c>
      <c r="AX275" s="261"/>
      <c r="AY275" s="258">
        <v>21</v>
      </c>
      <c r="AZ275" s="261"/>
      <c r="BA275" s="195">
        <v>100</v>
      </c>
      <c r="BB275" s="259"/>
      <c r="BC275" s="196"/>
      <c r="BD275" s="204"/>
      <c r="BE275" s="197"/>
      <c r="BF275" s="198"/>
      <c r="BG275" s="27"/>
      <c r="BH275" s="27"/>
    </row>
    <row r="276" spans="1:60">
      <c r="A276" s="95">
        <v>275</v>
      </c>
      <c r="B276" s="96" t="s">
        <v>1469</v>
      </c>
      <c r="C276" s="73" t="s">
        <v>151</v>
      </c>
      <c r="D276" s="257" t="s">
        <v>122</v>
      </c>
      <c r="E276" s="459" t="s">
        <v>3377</v>
      </c>
      <c r="F276" s="258">
        <v>1987</v>
      </c>
      <c r="G276" s="171">
        <v>96</v>
      </c>
      <c r="H276" s="57"/>
      <c r="I276" s="173" t="s">
        <v>1739</v>
      </c>
      <c r="J276" s="508">
        <v>0.68</v>
      </c>
      <c r="K276" s="513">
        <v>6.0469999999999997</v>
      </c>
      <c r="L276" s="91"/>
      <c r="M276" s="506">
        <v>300</v>
      </c>
      <c r="N276" s="506"/>
      <c r="O276" s="509" t="s">
        <v>12</v>
      </c>
      <c r="P276" s="507"/>
      <c r="Q276" s="262"/>
      <c r="R276" s="507"/>
      <c r="S276" s="507"/>
      <c r="T276" s="506"/>
      <c r="U276" s="506"/>
      <c r="V276" s="131">
        <v>0</v>
      </c>
      <c r="W276" s="132">
        <v>0</v>
      </c>
      <c r="X276" s="120">
        <v>0</v>
      </c>
      <c r="Y276" s="120">
        <v>0</v>
      </c>
      <c r="Z276" s="120">
        <v>0</v>
      </c>
      <c r="AA276" s="130"/>
      <c r="AB276" s="17">
        <v>0</v>
      </c>
      <c r="AC276" s="17">
        <v>0</v>
      </c>
      <c r="AD276" s="130"/>
      <c r="AE276" s="130"/>
      <c r="AF276" s="17">
        <v>0</v>
      </c>
      <c r="AG276" s="133">
        <v>0</v>
      </c>
      <c r="AH276" s="17">
        <v>0</v>
      </c>
      <c r="AI276" s="133">
        <v>3.0000000000000001E-3</v>
      </c>
      <c r="AJ276" s="133">
        <v>0</v>
      </c>
      <c r="AK276" s="17">
        <v>0</v>
      </c>
      <c r="AL276" s="137">
        <v>0</v>
      </c>
      <c r="AM276" s="509">
        <v>15.5</v>
      </c>
      <c r="AN276" s="89"/>
      <c r="AO276" s="507"/>
      <c r="AP276" s="416">
        <v>27000</v>
      </c>
      <c r="AQ276" s="133" t="s">
        <v>13</v>
      </c>
      <c r="AR276" s="174">
        <v>75</v>
      </c>
      <c r="AS276" s="270"/>
      <c r="AT276" s="171" t="str">
        <f t="shared" ref="AT276:AT307" si="21">RIGHT(AQ276,LEN(AQ276)-FIND("x",AQ276,1))</f>
        <v>600</v>
      </c>
      <c r="AU276" s="255">
        <f t="shared" si="20"/>
        <v>33.333333333333336</v>
      </c>
      <c r="AV276" s="509">
        <v>100</v>
      </c>
      <c r="AW276" s="257">
        <v>1</v>
      </c>
      <c r="AX276" s="261"/>
      <c r="AY276" s="258">
        <v>20</v>
      </c>
      <c r="AZ276" s="261"/>
      <c r="BA276" s="175">
        <v>99</v>
      </c>
      <c r="BB276" s="259"/>
      <c r="BC276" s="176"/>
      <c r="BD276" s="179"/>
      <c r="BE276" s="177" t="s">
        <v>259</v>
      </c>
      <c r="BF276" s="178"/>
      <c r="BG276" s="27"/>
      <c r="BH276" s="27"/>
    </row>
    <row r="277" spans="1:60" ht="15" customHeight="1">
      <c r="A277" s="95">
        <v>276</v>
      </c>
      <c r="B277" s="96" t="s">
        <v>1468</v>
      </c>
      <c r="C277" s="73" t="s">
        <v>151</v>
      </c>
      <c r="D277" s="257" t="s">
        <v>122</v>
      </c>
      <c r="E277" s="459" t="s">
        <v>3377</v>
      </c>
      <c r="F277" s="258">
        <v>1987</v>
      </c>
      <c r="G277" s="171">
        <v>96</v>
      </c>
      <c r="H277" s="57"/>
      <c r="I277" s="88"/>
      <c r="J277" s="508">
        <v>0.68</v>
      </c>
      <c r="K277" s="513">
        <v>6.0469999999999997</v>
      </c>
      <c r="L277" s="91"/>
      <c r="M277" s="506">
        <v>300</v>
      </c>
      <c r="N277" s="506"/>
      <c r="O277" s="509" t="s">
        <v>12</v>
      </c>
      <c r="P277" s="507"/>
      <c r="Q277" s="262"/>
      <c r="R277" s="507"/>
      <c r="S277" s="507"/>
      <c r="T277" s="506"/>
      <c r="U277" s="506"/>
      <c r="V277" s="131">
        <v>0</v>
      </c>
      <c r="W277" s="132">
        <v>0</v>
      </c>
      <c r="X277" s="120">
        <v>0</v>
      </c>
      <c r="Y277" s="120">
        <v>0</v>
      </c>
      <c r="Z277" s="120">
        <v>0</v>
      </c>
      <c r="AA277" s="130"/>
      <c r="AB277" s="17">
        <v>0</v>
      </c>
      <c r="AC277" s="17">
        <v>0</v>
      </c>
      <c r="AD277" s="130"/>
      <c r="AE277" s="130"/>
      <c r="AF277" s="17">
        <v>0</v>
      </c>
      <c r="AG277" s="133">
        <v>0</v>
      </c>
      <c r="AH277" s="17">
        <v>0</v>
      </c>
      <c r="AI277" s="133">
        <v>3.0000000000000001E-3</v>
      </c>
      <c r="AJ277" s="133">
        <v>0</v>
      </c>
      <c r="AK277" s="17">
        <v>0</v>
      </c>
      <c r="AL277" s="137">
        <v>0</v>
      </c>
      <c r="AM277" s="509">
        <v>15.5</v>
      </c>
      <c r="AN277" s="89"/>
      <c r="AO277" s="507"/>
      <c r="AP277" s="416">
        <v>27000</v>
      </c>
      <c r="AQ277" s="133" t="s">
        <v>13</v>
      </c>
      <c r="AR277" s="174">
        <v>75</v>
      </c>
      <c r="AS277" s="270"/>
      <c r="AT277" s="171" t="str">
        <f t="shared" si="21"/>
        <v>600</v>
      </c>
      <c r="AU277" s="255">
        <f t="shared" si="20"/>
        <v>33.333333333333336</v>
      </c>
      <c r="AV277" s="509">
        <v>65</v>
      </c>
      <c r="AW277" s="257">
        <v>28</v>
      </c>
      <c r="AX277" s="261"/>
      <c r="AY277" s="258">
        <v>20</v>
      </c>
      <c r="AZ277" s="261"/>
      <c r="BA277" s="175">
        <v>65</v>
      </c>
      <c r="BB277" s="259"/>
      <c r="BC277" s="176" t="s">
        <v>558</v>
      </c>
      <c r="BD277" s="179"/>
      <c r="BE277" s="177" t="s">
        <v>259</v>
      </c>
      <c r="BF277" s="178"/>
      <c r="BG277" s="27"/>
      <c r="BH277" s="27"/>
    </row>
    <row r="278" spans="1:60">
      <c r="A278" s="95">
        <v>277</v>
      </c>
      <c r="B278" s="96" t="s">
        <v>1467</v>
      </c>
      <c r="C278" s="73" t="s">
        <v>151</v>
      </c>
      <c r="D278" s="257" t="s">
        <v>122</v>
      </c>
      <c r="E278" s="459" t="s">
        <v>3377</v>
      </c>
      <c r="F278" s="258">
        <v>1987</v>
      </c>
      <c r="G278" s="171">
        <v>96</v>
      </c>
      <c r="H278" s="57"/>
      <c r="I278" s="173" t="s">
        <v>1739</v>
      </c>
      <c r="J278" s="508">
        <v>0.68</v>
      </c>
      <c r="K278" s="513">
        <v>6.0469999999999997</v>
      </c>
      <c r="L278" s="91"/>
      <c r="M278" s="506">
        <v>300</v>
      </c>
      <c r="N278" s="506"/>
      <c r="O278" s="509" t="s">
        <v>12</v>
      </c>
      <c r="P278" s="507"/>
      <c r="Q278" s="262"/>
      <c r="R278" s="507"/>
      <c r="S278" s="507"/>
      <c r="T278" s="506"/>
      <c r="U278" s="506"/>
      <c r="V278" s="131">
        <v>0</v>
      </c>
      <c r="W278" s="132">
        <v>0</v>
      </c>
      <c r="X278" s="120">
        <v>0</v>
      </c>
      <c r="Y278" s="120">
        <v>0</v>
      </c>
      <c r="Z278" s="120">
        <v>0</v>
      </c>
      <c r="AA278" s="130"/>
      <c r="AB278" s="17">
        <v>0</v>
      </c>
      <c r="AC278" s="17">
        <v>0</v>
      </c>
      <c r="AD278" s="130"/>
      <c r="AE278" s="130"/>
      <c r="AF278" s="17">
        <v>0</v>
      </c>
      <c r="AG278" s="133">
        <v>0</v>
      </c>
      <c r="AH278" s="17">
        <v>0</v>
      </c>
      <c r="AI278" s="133">
        <v>3.0000000000000001E-3</v>
      </c>
      <c r="AJ278" s="133">
        <v>0</v>
      </c>
      <c r="AK278" s="17">
        <v>0</v>
      </c>
      <c r="AL278" s="137">
        <v>0</v>
      </c>
      <c r="AM278" s="509">
        <v>15.5</v>
      </c>
      <c r="AN278" s="89"/>
      <c r="AO278" s="507"/>
      <c r="AP278" s="416">
        <v>27000</v>
      </c>
      <c r="AQ278" s="133" t="s">
        <v>13</v>
      </c>
      <c r="AR278" s="174">
        <v>75</v>
      </c>
      <c r="AS278" s="270"/>
      <c r="AT278" s="171" t="str">
        <f t="shared" si="21"/>
        <v>600</v>
      </c>
      <c r="AU278" s="255">
        <f t="shared" si="20"/>
        <v>33.333333333333336</v>
      </c>
      <c r="AV278" s="509">
        <v>100</v>
      </c>
      <c r="AW278" s="257">
        <v>28</v>
      </c>
      <c r="AX278" s="261"/>
      <c r="AY278" s="258">
        <v>60</v>
      </c>
      <c r="AZ278" s="261"/>
      <c r="BA278" s="175">
        <v>99</v>
      </c>
      <c r="BB278" s="259"/>
      <c r="BC278" s="176"/>
      <c r="BD278" s="179"/>
      <c r="BE278" s="177" t="s">
        <v>259</v>
      </c>
      <c r="BF278" s="178"/>
      <c r="BG278" s="27"/>
      <c r="BH278" s="27"/>
    </row>
    <row r="279" spans="1:60" ht="15" customHeight="1">
      <c r="A279" s="95">
        <v>278</v>
      </c>
      <c r="B279" s="96" t="s">
        <v>1466</v>
      </c>
      <c r="C279" s="73" t="s">
        <v>151</v>
      </c>
      <c r="D279" s="257" t="s">
        <v>122</v>
      </c>
      <c r="E279" s="459" t="s">
        <v>3377</v>
      </c>
      <c r="F279" s="258">
        <v>1987</v>
      </c>
      <c r="G279" s="171">
        <v>96</v>
      </c>
      <c r="H279" s="57"/>
      <c r="I279" s="88"/>
      <c r="J279" s="508">
        <v>0.68</v>
      </c>
      <c r="K279" s="513">
        <v>6.0469999999999997</v>
      </c>
      <c r="L279" s="91"/>
      <c r="M279" s="506">
        <v>300</v>
      </c>
      <c r="N279" s="506"/>
      <c r="O279" s="509" t="s">
        <v>12</v>
      </c>
      <c r="P279" s="507"/>
      <c r="Q279" s="262"/>
      <c r="R279" s="507"/>
      <c r="S279" s="507"/>
      <c r="T279" s="506"/>
      <c r="U279" s="506"/>
      <c r="V279" s="131">
        <v>0</v>
      </c>
      <c r="W279" s="132">
        <v>0</v>
      </c>
      <c r="X279" s="120">
        <v>0</v>
      </c>
      <c r="Y279" s="120">
        <v>0</v>
      </c>
      <c r="Z279" s="120">
        <v>0</v>
      </c>
      <c r="AA279" s="130"/>
      <c r="AB279" s="17">
        <v>0</v>
      </c>
      <c r="AC279" s="17">
        <v>0</v>
      </c>
      <c r="AD279" s="130"/>
      <c r="AE279" s="130"/>
      <c r="AF279" s="17">
        <v>0</v>
      </c>
      <c r="AG279" s="133">
        <v>0</v>
      </c>
      <c r="AH279" s="17">
        <v>0</v>
      </c>
      <c r="AI279" s="133">
        <v>3.0000000000000001E-3</v>
      </c>
      <c r="AJ279" s="133">
        <v>0</v>
      </c>
      <c r="AK279" s="17">
        <v>0</v>
      </c>
      <c r="AL279" s="137">
        <v>0</v>
      </c>
      <c r="AM279" s="509">
        <v>15.5</v>
      </c>
      <c r="AN279" s="89"/>
      <c r="AO279" s="507"/>
      <c r="AP279" s="416">
        <v>27000</v>
      </c>
      <c r="AQ279" s="133" t="s">
        <v>13</v>
      </c>
      <c r="AR279" s="174">
        <v>75</v>
      </c>
      <c r="AS279" s="270"/>
      <c r="AT279" s="171" t="str">
        <f t="shared" si="21"/>
        <v>600</v>
      </c>
      <c r="AU279" s="255">
        <f t="shared" si="20"/>
        <v>33.333333333333336</v>
      </c>
      <c r="AV279" s="509">
        <v>65</v>
      </c>
      <c r="AW279" s="257">
        <v>28</v>
      </c>
      <c r="AX279" s="261"/>
      <c r="AY279" s="258">
        <v>60</v>
      </c>
      <c r="AZ279" s="261"/>
      <c r="BA279" s="175">
        <v>99</v>
      </c>
      <c r="BB279" s="259"/>
      <c r="BC279" s="176" t="s">
        <v>558</v>
      </c>
      <c r="BD279" s="179"/>
      <c r="BE279" s="177" t="s">
        <v>259</v>
      </c>
      <c r="BF279" s="178"/>
      <c r="BG279" s="27"/>
      <c r="BH279" s="27"/>
    </row>
    <row r="280" spans="1:60">
      <c r="A280" s="95">
        <v>279</v>
      </c>
      <c r="B280" s="96" t="s">
        <v>1465</v>
      </c>
      <c r="C280" s="73" t="s">
        <v>151</v>
      </c>
      <c r="D280" s="257" t="s">
        <v>122</v>
      </c>
      <c r="E280" s="459" t="s">
        <v>3377</v>
      </c>
      <c r="F280" s="258">
        <v>1987</v>
      </c>
      <c r="G280" s="171">
        <v>96</v>
      </c>
      <c r="H280" s="57"/>
      <c r="I280" s="173" t="s">
        <v>1739</v>
      </c>
      <c r="J280" s="508">
        <v>0.68</v>
      </c>
      <c r="K280" s="513">
        <v>6.0469999999999997</v>
      </c>
      <c r="L280" s="91"/>
      <c r="M280" s="506">
        <v>300</v>
      </c>
      <c r="N280" s="506"/>
      <c r="O280" s="509" t="s">
        <v>12</v>
      </c>
      <c r="P280" s="507"/>
      <c r="Q280" s="262"/>
      <c r="R280" s="507"/>
      <c r="S280" s="507"/>
      <c r="T280" s="506"/>
      <c r="U280" s="506"/>
      <c r="V280" s="131">
        <v>0</v>
      </c>
      <c r="W280" s="132">
        <v>0</v>
      </c>
      <c r="X280" s="120">
        <v>0</v>
      </c>
      <c r="Y280" s="120">
        <v>0</v>
      </c>
      <c r="Z280" s="120">
        <v>0</v>
      </c>
      <c r="AA280" s="130"/>
      <c r="AB280" s="17">
        <v>0</v>
      </c>
      <c r="AC280" s="17">
        <v>0</v>
      </c>
      <c r="AD280" s="130"/>
      <c r="AE280" s="130"/>
      <c r="AF280" s="17">
        <v>0</v>
      </c>
      <c r="AG280" s="133">
        <v>0</v>
      </c>
      <c r="AH280" s="17">
        <v>0</v>
      </c>
      <c r="AI280" s="133">
        <v>3.0000000000000001E-3</v>
      </c>
      <c r="AJ280" s="133">
        <v>0</v>
      </c>
      <c r="AK280" s="17">
        <v>0</v>
      </c>
      <c r="AL280" s="137">
        <v>0</v>
      </c>
      <c r="AM280" s="509">
        <v>15.5</v>
      </c>
      <c r="AN280" s="89"/>
      <c r="AO280" s="507"/>
      <c r="AP280" s="416">
        <v>27000</v>
      </c>
      <c r="AQ280" s="133" t="s">
        <v>13</v>
      </c>
      <c r="AR280" s="174">
        <v>75</v>
      </c>
      <c r="AS280" s="270"/>
      <c r="AT280" s="171" t="str">
        <f t="shared" si="21"/>
        <v>600</v>
      </c>
      <c r="AU280" s="255">
        <f t="shared" si="20"/>
        <v>33.333333333333336</v>
      </c>
      <c r="AV280" s="509">
        <v>100</v>
      </c>
      <c r="AW280" s="257">
        <v>28</v>
      </c>
      <c r="AX280" s="261"/>
      <c r="AY280" s="258">
        <v>100</v>
      </c>
      <c r="AZ280" s="261"/>
      <c r="BA280" s="175">
        <v>99</v>
      </c>
      <c r="BB280" s="259"/>
      <c r="BC280" s="176"/>
      <c r="BD280" s="179"/>
      <c r="BE280" s="177" t="s">
        <v>259</v>
      </c>
      <c r="BF280" s="178"/>
      <c r="BG280" s="27"/>
      <c r="BH280" s="27"/>
    </row>
    <row r="281" spans="1:60" ht="15" customHeight="1">
      <c r="A281" s="95">
        <v>280</v>
      </c>
      <c r="B281" s="96" t="s">
        <v>1464</v>
      </c>
      <c r="C281" s="73" t="s">
        <v>151</v>
      </c>
      <c r="D281" s="257" t="s">
        <v>122</v>
      </c>
      <c r="E281" s="459" t="s">
        <v>3377</v>
      </c>
      <c r="F281" s="258">
        <v>1987</v>
      </c>
      <c r="G281" s="171">
        <v>96</v>
      </c>
      <c r="H281" s="57"/>
      <c r="I281" s="88"/>
      <c r="J281" s="508">
        <v>0.68</v>
      </c>
      <c r="K281" s="513">
        <v>6.0469999999999997</v>
      </c>
      <c r="L281" s="91"/>
      <c r="M281" s="506">
        <v>300</v>
      </c>
      <c r="N281" s="506"/>
      <c r="O281" s="509" t="s">
        <v>12</v>
      </c>
      <c r="P281" s="507"/>
      <c r="Q281" s="262"/>
      <c r="R281" s="507"/>
      <c r="S281" s="507"/>
      <c r="T281" s="506"/>
      <c r="U281" s="506"/>
      <c r="V281" s="131">
        <v>0</v>
      </c>
      <c r="W281" s="132">
        <v>0</v>
      </c>
      <c r="X281" s="120">
        <v>0</v>
      </c>
      <c r="Y281" s="120">
        <v>0</v>
      </c>
      <c r="Z281" s="120">
        <v>0</v>
      </c>
      <c r="AA281" s="130"/>
      <c r="AB281" s="17">
        <v>0</v>
      </c>
      <c r="AC281" s="17">
        <v>0</v>
      </c>
      <c r="AD281" s="130"/>
      <c r="AE281" s="130"/>
      <c r="AF281" s="17">
        <v>0</v>
      </c>
      <c r="AG281" s="133">
        <v>0</v>
      </c>
      <c r="AH281" s="17">
        <v>0</v>
      </c>
      <c r="AI281" s="133">
        <v>3.0000000000000001E-3</v>
      </c>
      <c r="AJ281" s="133">
        <v>0</v>
      </c>
      <c r="AK281" s="17">
        <v>0</v>
      </c>
      <c r="AL281" s="137">
        <v>0</v>
      </c>
      <c r="AM281" s="509">
        <v>15.5</v>
      </c>
      <c r="AN281" s="89"/>
      <c r="AO281" s="507"/>
      <c r="AP281" s="416">
        <v>27000</v>
      </c>
      <c r="AQ281" s="133" t="s">
        <v>13</v>
      </c>
      <c r="AR281" s="174">
        <v>75</v>
      </c>
      <c r="AS281" s="270"/>
      <c r="AT281" s="171" t="str">
        <f t="shared" si="21"/>
        <v>600</v>
      </c>
      <c r="AU281" s="255">
        <f t="shared" si="20"/>
        <v>33.333333333333336</v>
      </c>
      <c r="AV281" s="509">
        <v>65</v>
      </c>
      <c r="AW281" s="257">
        <v>28</v>
      </c>
      <c r="AX281" s="261"/>
      <c r="AY281" s="258">
        <v>100</v>
      </c>
      <c r="AZ281" s="261"/>
      <c r="BA281" s="175">
        <v>99</v>
      </c>
      <c r="BB281" s="259"/>
      <c r="BC281" s="176"/>
      <c r="BD281" s="179"/>
      <c r="BE281" s="177" t="s">
        <v>259</v>
      </c>
      <c r="BF281" s="178"/>
      <c r="BG281" s="27"/>
      <c r="BH281" s="27"/>
    </row>
    <row r="282" spans="1:60">
      <c r="A282" s="95">
        <v>281</v>
      </c>
      <c r="B282" s="96" t="s">
        <v>1463</v>
      </c>
      <c r="C282" s="73" t="s">
        <v>151</v>
      </c>
      <c r="D282" s="257" t="s">
        <v>122</v>
      </c>
      <c r="E282" s="459" t="s">
        <v>3377</v>
      </c>
      <c r="F282" s="258">
        <v>1987</v>
      </c>
      <c r="G282" s="171">
        <v>96</v>
      </c>
      <c r="H282" s="57"/>
      <c r="I282" s="173" t="s">
        <v>1739</v>
      </c>
      <c r="J282" s="508">
        <v>0.68</v>
      </c>
      <c r="K282" s="513">
        <v>6.0469999999999997</v>
      </c>
      <c r="L282" s="91"/>
      <c r="M282" s="506">
        <v>300</v>
      </c>
      <c r="N282" s="506"/>
      <c r="O282" s="509" t="s">
        <v>12</v>
      </c>
      <c r="P282" s="507"/>
      <c r="Q282" s="262"/>
      <c r="R282" s="507"/>
      <c r="S282" s="507"/>
      <c r="T282" s="506"/>
      <c r="U282" s="506"/>
      <c r="V282" s="131">
        <v>0</v>
      </c>
      <c r="W282" s="132">
        <v>0</v>
      </c>
      <c r="X282" s="120">
        <v>0</v>
      </c>
      <c r="Y282" s="120">
        <v>0</v>
      </c>
      <c r="Z282" s="120">
        <v>0</v>
      </c>
      <c r="AA282" s="130"/>
      <c r="AB282" s="17">
        <v>0</v>
      </c>
      <c r="AC282" s="17">
        <v>0</v>
      </c>
      <c r="AD282" s="130"/>
      <c r="AE282" s="130"/>
      <c r="AF282" s="17">
        <v>0</v>
      </c>
      <c r="AG282" s="133">
        <v>0</v>
      </c>
      <c r="AH282" s="17">
        <v>0</v>
      </c>
      <c r="AI282" s="133">
        <v>3.0000000000000001E-3</v>
      </c>
      <c r="AJ282" s="133">
        <v>0</v>
      </c>
      <c r="AK282" s="17">
        <v>0</v>
      </c>
      <c r="AL282" s="137">
        <v>0</v>
      </c>
      <c r="AM282" s="509">
        <v>15.5</v>
      </c>
      <c r="AN282" s="89"/>
      <c r="AO282" s="507"/>
      <c r="AP282" s="416">
        <v>27000</v>
      </c>
      <c r="AQ282" s="133" t="s">
        <v>13</v>
      </c>
      <c r="AR282" s="174">
        <v>75</v>
      </c>
      <c r="AS282" s="270"/>
      <c r="AT282" s="171" t="str">
        <f t="shared" si="21"/>
        <v>600</v>
      </c>
      <c r="AU282" s="255">
        <f t="shared" ref="AU282:AU288" si="22">(AR282*AT282)/((2*AT282)+(2*AR282))</f>
        <v>33.333333333333336</v>
      </c>
      <c r="AV282" s="509">
        <v>100</v>
      </c>
      <c r="AW282" s="257">
        <v>28</v>
      </c>
      <c r="AX282" s="261"/>
      <c r="AY282" s="258">
        <v>130</v>
      </c>
      <c r="AZ282" s="261"/>
      <c r="BA282" s="175">
        <v>99</v>
      </c>
      <c r="BB282" s="259"/>
      <c r="BC282" s="176"/>
      <c r="BD282" s="179"/>
      <c r="BE282" s="177" t="s">
        <v>259</v>
      </c>
      <c r="BF282" s="178"/>
      <c r="BG282" s="27"/>
      <c r="BH282" s="27"/>
    </row>
    <row r="283" spans="1:60" ht="15" customHeight="1">
      <c r="A283" s="95">
        <v>282</v>
      </c>
      <c r="B283" s="96" t="s">
        <v>1462</v>
      </c>
      <c r="C283" s="73" t="s">
        <v>151</v>
      </c>
      <c r="D283" s="257" t="s">
        <v>122</v>
      </c>
      <c r="E283" s="459" t="s">
        <v>3377</v>
      </c>
      <c r="F283" s="258">
        <v>1987</v>
      </c>
      <c r="G283" s="171">
        <v>96</v>
      </c>
      <c r="H283" s="57"/>
      <c r="I283" s="88"/>
      <c r="J283" s="508">
        <v>0.68</v>
      </c>
      <c r="K283" s="513">
        <v>6.0469999999999997</v>
      </c>
      <c r="L283" s="91"/>
      <c r="M283" s="506">
        <v>300</v>
      </c>
      <c r="N283" s="506"/>
      <c r="O283" s="509" t="s">
        <v>12</v>
      </c>
      <c r="P283" s="507"/>
      <c r="Q283" s="262"/>
      <c r="R283" s="507"/>
      <c r="S283" s="507"/>
      <c r="T283" s="506"/>
      <c r="U283" s="506"/>
      <c r="V283" s="131">
        <v>0</v>
      </c>
      <c r="W283" s="132">
        <v>0</v>
      </c>
      <c r="X283" s="120">
        <v>0</v>
      </c>
      <c r="Y283" s="120">
        <v>0</v>
      </c>
      <c r="Z283" s="120">
        <v>0</v>
      </c>
      <c r="AA283" s="130"/>
      <c r="AB283" s="17">
        <v>0</v>
      </c>
      <c r="AC283" s="17">
        <v>0</v>
      </c>
      <c r="AD283" s="130"/>
      <c r="AE283" s="130"/>
      <c r="AF283" s="17">
        <v>0</v>
      </c>
      <c r="AG283" s="133">
        <v>0</v>
      </c>
      <c r="AH283" s="17">
        <v>0</v>
      </c>
      <c r="AI283" s="133">
        <v>3.0000000000000001E-3</v>
      </c>
      <c r="AJ283" s="133">
        <v>0</v>
      </c>
      <c r="AK283" s="17">
        <v>0</v>
      </c>
      <c r="AL283" s="137">
        <v>0</v>
      </c>
      <c r="AM283" s="509">
        <v>15.5</v>
      </c>
      <c r="AN283" s="89"/>
      <c r="AO283" s="507"/>
      <c r="AP283" s="416">
        <v>27000</v>
      </c>
      <c r="AQ283" s="133" t="s">
        <v>13</v>
      </c>
      <c r="AR283" s="174">
        <v>75</v>
      </c>
      <c r="AS283" s="270"/>
      <c r="AT283" s="171" t="str">
        <f t="shared" si="21"/>
        <v>600</v>
      </c>
      <c r="AU283" s="255">
        <f t="shared" si="22"/>
        <v>33.333333333333336</v>
      </c>
      <c r="AV283" s="509">
        <v>65</v>
      </c>
      <c r="AW283" s="257">
        <v>28</v>
      </c>
      <c r="AX283" s="261"/>
      <c r="AY283" s="258">
        <v>130</v>
      </c>
      <c r="AZ283" s="261"/>
      <c r="BA283" s="175">
        <v>99</v>
      </c>
      <c r="BB283" s="259"/>
      <c r="BC283" s="176"/>
      <c r="BD283" s="179"/>
      <c r="BE283" s="177" t="s">
        <v>259</v>
      </c>
      <c r="BF283" s="178"/>
      <c r="BG283" s="27"/>
      <c r="BH283" s="27"/>
    </row>
    <row r="284" spans="1:60">
      <c r="A284" s="95">
        <v>283</v>
      </c>
      <c r="B284" s="96" t="s">
        <v>1461</v>
      </c>
      <c r="C284" s="73" t="s">
        <v>151</v>
      </c>
      <c r="D284" s="257" t="s">
        <v>122</v>
      </c>
      <c r="E284" s="459" t="s">
        <v>3377</v>
      </c>
      <c r="F284" s="258">
        <v>1987</v>
      </c>
      <c r="G284" s="171">
        <v>96</v>
      </c>
      <c r="H284" s="57"/>
      <c r="I284" s="173" t="s">
        <v>1739</v>
      </c>
      <c r="J284" s="508">
        <v>0.68</v>
      </c>
      <c r="K284" s="513">
        <v>6.0469999999999997</v>
      </c>
      <c r="L284" s="91"/>
      <c r="M284" s="506">
        <v>300</v>
      </c>
      <c r="N284" s="506"/>
      <c r="O284" s="509" t="s">
        <v>12</v>
      </c>
      <c r="P284" s="507"/>
      <c r="Q284" s="262"/>
      <c r="R284" s="507"/>
      <c r="S284" s="507"/>
      <c r="T284" s="506"/>
      <c r="U284" s="506"/>
      <c r="V284" s="131">
        <v>0</v>
      </c>
      <c r="W284" s="132">
        <v>0</v>
      </c>
      <c r="X284" s="120">
        <v>0</v>
      </c>
      <c r="Y284" s="120">
        <v>0</v>
      </c>
      <c r="Z284" s="120">
        <v>0</v>
      </c>
      <c r="AA284" s="130"/>
      <c r="AB284" s="17">
        <v>0</v>
      </c>
      <c r="AC284" s="17">
        <v>0</v>
      </c>
      <c r="AD284" s="130"/>
      <c r="AE284" s="130"/>
      <c r="AF284" s="17">
        <v>0</v>
      </c>
      <c r="AG284" s="133">
        <v>0</v>
      </c>
      <c r="AH284" s="17">
        <v>0</v>
      </c>
      <c r="AI284" s="133">
        <v>3.0000000000000001E-3</v>
      </c>
      <c r="AJ284" s="133">
        <v>0</v>
      </c>
      <c r="AK284" s="17">
        <v>0</v>
      </c>
      <c r="AL284" s="137">
        <v>0</v>
      </c>
      <c r="AM284" s="509">
        <v>15.5</v>
      </c>
      <c r="AN284" s="89"/>
      <c r="AO284" s="507"/>
      <c r="AP284" s="416">
        <v>27000</v>
      </c>
      <c r="AQ284" s="133" t="s">
        <v>13</v>
      </c>
      <c r="AR284" s="174">
        <v>75</v>
      </c>
      <c r="AS284" s="270"/>
      <c r="AT284" s="171" t="str">
        <f t="shared" si="21"/>
        <v>600</v>
      </c>
      <c r="AU284" s="255">
        <f t="shared" si="22"/>
        <v>33.333333333333336</v>
      </c>
      <c r="AV284" s="509">
        <v>100</v>
      </c>
      <c r="AW284" s="257">
        <v>28</v>
      </c>
      <c r="AX284" s="261"/>
      <c r="AY284" s="258">
        <v>60</v>
      </c>
      <c r="AZ284" s="261"/>
      <c r="BA284" s="175">
        <v>99</v>
      </c>
      <c r="BB284" s="259"/>
      <c r="BC284" s="176"/>
      <c r="BD284" s="179"/>
      <c r="BE284" s="177" t="s">
        <v>259</v>
      </c>
      <c r="BF284" s="178"/>
      <c r="BG284" s="27"/>
      <c r="BH284" s="27"/>
    </row>
    <row r="285" spans="1:60" ht="15" customHeight="1">
      <c r="A285" s="95">
        <v>284</v>
      </c>
      <c r="B285" s="96" t="s">
        <v>1460</v>
      </c>
      <c r="C285" s="73" t="s">
        <v>151</v>
      </c>
      <c r="D285" s="257" t="s">
        <v>122</v>
      </c>
      <c r="E285" s="459" t="s">
        <v>3377</v>
      </c>
      <c r="F285" s="258">
        <v>1987</v>
      </c>
      <c r="G285" s="171">
        <v>96</v>
      </c>
      <c r="H285" s="57"/>
      <c r="I285" s="88"/>
      <c r="J285" s="508">
        <v>0.68</v>
      </c>
      <c r="K285" s="513">
        <v>6.0469999999999997</v>
      </c>
      <c r="L285" s="91"/>
      <c r="M285" s="506">
        <v>300</v>
      </c>
      <c r="N285" s="506"/>
      <c r="O285" s="509" t="s">
        <v>12</v>
      </c>
      <c r="P285" s="507"/>
      <c r="Q285" s="262"/>
      <c r="R285" s="507"/>
      <c r="S285" s="507"/>
      <c r="T285" s="506"/>
      <c r="U285" s="506"/>
      <c r="V285" s="131">
        <v>0</v>
      </c>
      <c r="W285" s="132">
        <v>0</v>
      </c>
      <c r="X285" s="120">
        <v>0</v>
      </c>
      <c r="Y285" s="120">
        <v>0</v>
      </c>
      <c r="Z285" s="120">
        <v>0</v>
      </c>
      <c r="AA285" s="130"/>
      <c r="AB285" s="17">
        <v>0</v>
      </c>
      <c r="AC285" s="17">
        <v>0</v>
      </c>
      <c r="AD285" s="130"/>
      <c r="AE285" s="130"/>
      <c r="AF285" s="17">
        <v>0</v>
      </c>
      <c r="AG285" s="133">
        <v>0</v>
      </c>
      <c r="AH285" s="17">
        <v>0</v>
      </c>
      <c r="AI285" s="133">
        <v>3.0000000000000001E-3</v>
      </c>
      <c r="AJ285" s="133">
        <v>0</v>
      </c>
      <c r="AK285" s="17">
        <v>0</v>
      </c>
      <c r="AL285" s="137">
        <v>0</v>
      </c>
      <c r="AM285" s="509">
        <v>15.5</v>
      </c>
      <c r="AN285" s="89"/>
      <c r="AO285" s="507"/>
      <c r="AP285" s="416">
        <v>27000</v>
      </c>
      <c r="AQ285" s="133" t="s">
        <v>13</v>
      </c>
      <c r="AR285" s="174">
        <v>75</v>
      </c>
      <c r="AS285" s="270"/>
      <c r="AT285" s="171" t="str">
        <f t="shared" si="21"/>
        <v>600</v>
      </c>
      <c r="AU285" s="255">
        <f t="shared" si="22"/>
        <v>33.333333333333336</v>
      </c>
      <c r="AV285" s="509">
        <v>65</v>
      </c>
      <c r="AW285" s="257">
        <v>365</v>
      </c>
      <c r="AX285" s="261"/>
      <c r="AY285" s="258">
        <v>20</v>
      </c>
      <c r="AZ285" s="261"/>
      <c r="BA285" s="175">
        <v>65</v>
      </c>
      <c r="BB285" s="259"/>
      <c r="BC285" s="176" t="s">
        <v>558</v>
      </c>
      <c r="BD285" s="179"/>
      <c r="BE285" s="177" t="s">
        <v>259</v>
      </c>
      <c r="BF285" s="178"/>
      <c r="BG285" s="27"/>
      <c r="BH285" s="27"/>
    </row>
    <row r="286" spans="1:60">
      <c r="A286" s="95">
        <v>285</v>
      </c>
      <c r="B286" s="96" t="s">
        <v>1459</v>
      </c>
      <c r="C286" s="73" t="s">
        <v>151</v>
      </c>
      <c r="D286" s="257" t="s">
        <v>122</v>
      </c>
      <c r="E286" s="459" t="s">
        <v>3377</v>
      </c>
      <c r="F286" s="258">
        <v>1987</v>
      </c>
      <c r="G286" s="171">
        <v>96</v>
      </c>
      <c r="H286" s="57"/>
      <c r="I286" s="173" t="s">
        <v>1739</v>
      </c>
      <c r="J286" s="508">
        <v>0.68</v>
      </c>
      <c r="K286" s="513">
        <v>6.0469999999999997</v>
      </c>
      <c r="L286" s="91"/>
      <c r="M286" s="506">
        <v>300</v>
      </c>
      <c r="N286" s="506"/>
      <c r="O286" s="509" t="s">
        <v>12</v>
      </c>
      <c r="P286" s="507"/>
      <c r="Q286" s="262"/>
      <c r="R286" s="507"/>
      <c r="S286" s="507"/>
      <c r="T286" s="506"/>
      <c r="U286" s="506"/>
      <c r="V286" s="131">
        <v>0</v>
      </c>
      <c r="W286" s="132">
        <v>0</v>
      </c>
      <c r="X286" s="120">
        <v>0</v>
      </c>
      <c r="Y286" s="120">
        <v>0</v>
      </c>
      <c r="Z286" s="120">
        <v>0</v>
      </c>
      <c r="AA286" s="130"/>
      <c r="AB286" s="17">
        <v>0</v>
      </c>
      <c r="AC286" s="17">
        <v>0</v>
      </c>
      <c r="AD286" s="130"/>
      <c r="AE286" s="130"/>
      <c r="AF286" s="17">
        <v>0</v>
      </c>
      <c r="AG286" s="133">
        <v>0</v>
      </c>
      <c r="AH286" s="17">
        <v>0</v>
      </c>
      <c r="AI286" s="133">
        <v>3.0000000000000001E-3</v>
      </c>
      <c r="AJ286" s="133">
        <v>0</v>
      </c>
      <c r="AK286" s="17">
        <v>0</v>
      </c>
      <c r="AL286" s="137">
        <v>0</v>
      </c>
      <c r="AM286" s="509">
        <v>15.5</v>
      </c>
      <c r="AN286" s="89"/>
      <c r="AO286" s="507"/>
      <c r="AP286" s="416">
        <v>27000</v>
      </c>
      <c r="AQ286" s="133" t="s">
        <v>13</v>
      </c>
      <c r="AR286" s="174">
        <v>75</v>
      </c>
      <c r="AS286" s="270"/>
      <c r="AT286" s="171" t="str">
        <f t="shared" si="21"/>
        <v>600</v>
      </c>
      <c r="AU286" s="255">
        <f t="shared" si="22"/>
        <v>33.333333333333336</v>
      </c>
      <c r="AV286" s="509">
        <v>100</v>
      </c>
      <c r="AW286" s="257">
        <v>365</v>
      </c>
      <c r="AX286" s="261"/>
      <c r="AY286" s="258">
        <v>130</v>
      </c>
      <c r="AZ286" s="261"/>
      <c r="BA286" s="175">
        <v>99</v>
      </c>
      <c r="BB286" s="259"/>
      <c r="BC286" s="176"/>
      <c r="BD286" s="179"/>
      <c r="BE286" s="177" t="s">
        <v>259</v>
      </c>
      <c r="BF286" s="178"/>
      <c r="BG286" s="27"/>
      <c r="BH286" s="27"/>
    </row>
    <row r="287" spans="1:60" ht="15" customHeight="1">
      <c r="A287" s="95">
        <v>286</v>
      </c>
      <c r="B287" s="96" t="s">
        <v>1458</v>
      </c>
      <c r="C287" s="73" t="s">
        <v>151</v>
      </c>
      <c r="D287" s="257" t="s">
        <v>122</v>
      </c>
      <c r="E287" s="459" t="s">
        <v>3377</v>
      </c>
      <c r="F287" s="258">
        <v>1987</v>
      </c>
      <c r="G287" s="171">
        <v>96</v>
      </c>
      <c r="H287" s="57"/>
      <c r="I287" s="88"/>
      <c r="J287" s="508">
        <v>0.68</v>
      </c>
      <c r="K287" s="513">
        <v>6.0469999999999997</v>
      </c>
      <c r="L287" s="91"/>
      <c r="M287" s="506">
        <v>300</v>
      </c>
      <c r="N287" s="506"/>
      <c r="O287" s="509" t="s">
        <v>12</v>
      </c>
      <c r="P287" s="507"/>
      <c r="Q287" s="262"/>
      <c r="R287" s="507"/>
      <c r="S287" s="507"/>
      <c r="T287" s="506"/>
      <c r="U287" s="506"/>
      <c r="V287" s="131">
        <v>0</v>
      </c>
      <c r="W287" s="132">
        <v>0</v>
      </c>
      <c r="X287" s="120">
        <v>0</v>
      </c>
      <c r="Y287" s="120">
        <v>0</v>
      </c>
      <c r="Z287" s="120">
        <v>0</v>
      </c>
      <c r="AA287" s="130"/>
      <c r="AB287" s="17">
        <v>0</v>
      </c>
      <c r="AC287" s="17">
        <v>0</v>
      </c>
      <c r="AD287" s="130"/>
      <c r="AE287" s="130"/>
      <c r="AF287" s="17">
        <v>0</v>
      </c>
      <c r="AG287" s="133">
        <v>0</v>
      </c>
      <c r="AH287" s="17">
        <v>0</v>
      </c>
      <c r="AI287" s="133">
        <v>3.0000000000000001E-3</v>
      </c>
      <c r="AJ287" s="133">
        <v>0</v>
      </c>
      <c r="AK287" s="17">
        <v>0</v>
      </c>
      <c r="AL287" s="137">
        <v>0</v>
      </c>
      <c r="AM287" s="509">
        <v>15.5</v>
      </c>
      <c r="AN287" s="89"/>
      <c r="AO287" s="507"/>
      <c r="AP287" s="416">
        <v>27000</v>
      </c>
      <c r="AQ287" s="133" t="s">
        <v>13</v>
      </c>
      <c r="AR287" s="174">
        <v>75</v>
      </c>
      <c r="AS287" s="270"/>
      <c r="AT287" s="171" t="str">
        <f t="shared" si="21"/>
        <v>600</v>
      </c>
      <c r="AU287" s="255">
        <f t="shared" si="22"/>
        <v>33.333333333333336</v>
      </c>
      <c r="AV287" s="509">
        <v>65</v>
      </c>
      <c r="AW287" s="257">
        <v>365</v>
      </c>
      <c r="AX287" s="261"/>
      <c r="AY287" s="258">
        <v>60</v>
      </c>
      <c r="AZ287" s="261"/>
      <c r="BA287" s="175">
        <v>99</v>
      </c>
      <c r="BB287" s="259"/>
      <c r="BC287" s="176"/>
      <c r="BD287" s="179"/>
      <c r="BE287" s="177" t="s">
        <v>259</v>
      </c>
      <c r="BF287" s="178"/>
      <c r="BG287" s="27"/>
      <c r="BH287" s="27"/>
    </row>
    <row r="288" spans="1:60" ht="15" customHeight="1">
      <c r="A288" s="95">
        <v>287</v>
      </c>
      <c r="B288" s="96" t="s">
        <v>1457</v>
      </c>
      <c r="C288" s="73" t="s">
        <v>151</v>
      </c>
      <c r="D288" s="257" t="s">
        <v>122</v>
      </c>
      <c r="E288" s="459" t="s">
        <v>3377</v>
      </c>
      <c r="F288" s="258">
        <v>1987</v>
      </c>
      <c r="G288" s="171">
        <v>96</v>
      </c>
      <c r="H288" s="57"/>
      <c r="I288" s="173" t="s">
        <v>1739</v>
      </c>
      <c r="J288" s="508">
        <v>0.68</v>
      </c>
      <c r="K288" s="513">
        <v>6.0469999999999997</v>
      </c>
      <c r="L288" s="91"/>
      <c r="M288" s="506">
        <v>300</v>
      </c>
      <c r="N288" s="506"/>
      <c r="O288" s="509" t="s">
        <v>12</v>
      </c>
      <c r="P288" s="507"/>
      <c r="Q288" s="262"/>
      <c r="R288" s="507"/>
      <c r="S288" s="507"/>
      <c r="T288" s="506"/>
      <c r="U288" s="506"/>
      <c r="V288" s="131">
        <v>0</v>
      </c>
      <c r="W288" s="132">
        <v>0</v>
      </c>
      <c r="X288" s="120">
        <v>0</v>
      </c>
      <c r="Y288" s="120">
        <v>0</v>
      </c>
      <c r="Z288" s="120">
        <v>0</v>
      </c>
      <c r="AA288" s="130"/>
      <c r="AB288" s="17">
        <v>0</v>
      </c>
      <c r="AC288" s="17">
        <v>0</v>
      </c>
      <c r="AD288" s="130"/>
      <c r="AE288" s="130"/>
      <c r="AF288" s="17">
        <v>0</v>
      </c>
      <c r="AG288" s="133">
        <v>0</v>
      </c>
      <c r="AH288" s="17">
        <v>0</v>
      </c>
      <c r="AI288" s="133">
        <v>3.0000000000000001E-3</v>
      </c>
      <c r="AJ288" s="133">
        <v>0</v>
      </c>
      <c r="AK288" s="17">
        <v>0</v>
      </c>
      <c r="AL288" s="137">
        <v>0</v>
      </c>
      <c r="AM288" s="509">
        <v>15.5</v>
      </c>
      <c r="AN288" s="89"/>
      <c r="AO288" s="507"/>
      <c r="AP288" s="416">
        <v>27000</v>
      </c>
      <c r="AQ288" s="133" t="s">
        <v>13</v>
      </c>
      <c r="AR288" s="174">
        <v>75</v>
      </c>
      <c r="AS288" s="270"/>
      <c r="AT288" s="171" t="str">
        <f t="shared" si="21"/>
        <v>600</v>
      </c>
      <c r="AU288" s="255">
        <f t="shared" si="22"/>
        <v>33.333333333333336</v>
      </c>
      <c r="AV288" s="509">
        <v>65</v>
      </c>
      <c r="AW288" s="257">
        <v>365</v>
      </c>
      <c r="AX288" s="261"/>
      <c r="AY288" s="258">
        <v>130</v>
      </c>
      <c r="AZ288" s="261"/>
      <c r="BA288" s="175">
        <v>99</v>
      </c>
      <c r="BB288" s="259"/>
      <c r="BC288" s="176"/>
      <c r="BD288" s="177"/>
      <c r="BE288" s="177" t="s">
        <v>259</v>
      </c>
      <c r="BF288" s="178"/>
      <c r="BG288" s="27"/>
      <c r="BH288" s="27"/>
    </row>
    <row r="289" spans="1:60" ht="15" customHeight="1">
      <c r="A289" s="95">
        <v>288</v>
      </c>
      <c r="B289" s="96" t="s">
        <v>1456</v>
      </c>
      <c r="C289" s="73" t="s">
        <v>152</v>
      </c>
      <c r="D289" s="257" t="s">
        <v>116</v>
      </c>
      <c r="E289" s="459" t="s">
        <v>3377</v>
      </c>
      <c r="F289" s="258">
        <v>1989</v>
      </c>
      <c r="G289" s="171">
        <v>40</v>
      </c>
      <c r="H289" s="57"/>
      <c r="I289" s="88"/>
      <c r="J289" s="274"/>
      <c r="K289" s="272"/>
      <c r="L289" s="91"/>
      <c r="M289" s="506">
        <v>375</v>
      </c>
      <c r="N289" s="506"/>
      <c r="O289" s="509" t="s">
        <v>12</v>
      </c>
      <c r="P289" s="507"/>
      <c r="Q289" s="262"/>
      <c r="R289" s="507"/>
      <c r="S289" s="507"/>
      <c r="T289" s="506"/>
      <c r="U289" s="506"/>
      <c r="V289" s="135"/>
      <c r="W289" s="129"/>
      <c r="X289" s="129"/>
      <c r="Y289" s="120">
        <v>0</v>
      </c>
      <c r="Z289" s="120">
        <v>0</v>
      </c>
      <c r="AA289" s="130"/>
      <c r="AB289" s="17">
        <v>0</v>
      </c>
      <c r="AC289" s="17">
        <v>0</v>
      </c>
      <c r="AD289" s="130"/>
      <c r="AE289" s="130"/>
      <c r="AF289" s="17">
        <v>0</v>
      </c>
      <c r="AG289" s="130"/>
      <c r="AH289" s="17">
        <v>0</v>
      </c>
      <c r="AI289" s="138"/>
      <c r="AJ289" s="138"/>
      <c r="AK289" s="17">
        <v>0</v>
      </c>
      <c r="AL289" s="139"/>
      <c r="AM289" s="509">
        <v>36</v>
      </c>
      <c r="AN289" s="89"/>
      <c r="AO289" s="507"/>
      <c r="AP289" s="262"/>
      <c r="AQ289" s="133" t="s">
        <v>144</v>
      </c>
      <c r="AR289" s="188">
        <v>150</v>
      </c>
      <c r="AS289" s="270"/>
      <c r="AT289" s="171" t="str">
        <f t="shared" si="21"/>
        <v>600</v>
      </c>
      <c r="AU289" s="255">
        <f>IF(ISBLANK(AS289),(AR289*AT289)/((4*AT289)+(2*AR289)),AR289*AS289*AT289/2/(AR289*AS289+AR289*AT289+AS289*AT289))</f>
        <v>33.333333333333336</v>
      </c>
      <c r="AV289" s="509">
        <v>60</v>
      </c>
      <c r="AW289" s="257">
        <v>1</v>
      </c>
      <c r="AX289" s="261"/>
      <c r="AY289" s="258">
        <v>20</v>
      </c>
      <c r="AZ289" s="261"/>
      <c r="BA289" s="175">
        <v>60</v>
      </c>
      <c r="BB289" s="259"/>
      <c r="BC289" s="176"/>
      <c r="BD289" s="177" t="s">
        <v>259</v>
      </c>
      <c r="BE289" s="177" t="s">
        <v>259</v>
      </c>
      <c r="BF289" s="178"/>
      <c r="BG289" s="27"/>
      <c r="BH289" s="27"/>
    </row>
    <row r="290" spans="1:60" ht="15" customHeight="1">
      <c r="A290" s="95">
        <v>289</v>
      </c>
      <c r="B290" s="96" t="s">
        <v>1455</v>
      </c>
      <c r="C290" s="73" t="s">
        <v>153</v>
      </c>
      <c r="D290" s="257" t="s">
        <v>119</v>
      </c>
      <c r="E290" s="459" t="s">
        <v>3377</v>
      </c>
      <c r="F290" s="258">
        <v>1989</v>
      </c>
      <c r="G290" s="171">
        <v>91</v>
      </c>
      <c r="H290" s="57"/>
      <c r="I290" s="88"/>
      <c r="J290" s="508">
        <v>0.432</v>
      </c>
      <c r="K290" s="513">
        <v>4.04</v>
      </c>
      <c r="L290" s="91"/>
      <c r="M290" s="506">
        <v>432.3</v>
      </c>
      <c r="N290" s="506"/>
      <c r="O290" s="509" t="s">
        <v>12</v>
      </c>
      <c r="P290" s="507"/>
      <c r="Q290" s="262"/>
      <c r="R290" s="507"/>
      <c r="S290" s="507"/>
      <c r="T290" s="506"/>
      <c r="U290" s="506"/>
      <c r="V290" s="131">
        <v>0</v>
      </c>
      <c r="W290" s="132">
        <v>13.72</v>
      </c>
      <c r="X290" s="120">
        <v>0</v>
      </c>
      <c r="Y290" s="120">
        <v>0</v>
      </c>
      <c r="Z290" s="120">
        <v>0</v>
      </c>
      <c r="AA290" s="130"/>
      <c r="AB290" s="17">
        <v>0</v>
      </c>
      <c r="AC290" s="17">
        <v>0</v>
      </c>
      <c r="AD290" s="130"/>
      <c r="AE290" s="130"/>
      <c r="AF290" s="17">
        <v>0</v>
      </c>
      <c r="AG290" s="133">
        <v>0</v>
      </c>
      <c r="AH290" s="17">
        <v>0</v>
      </c>
      <c r="AI290" s="133">
        <v>0.19</v>
      </c>
      <c r="AJ290" s="133">
        <v>0</v>
      </c>
      <c r="AK290" s="17">
        <v>0</v>
      </c>
      <c r="AL290" s="137">
        <v>0</v>
      </c>
      <c r="AM290" s="509">
        <v>52.4</v>
      </c>
      <c r="AN290" s="89"/>
      <c r="AO290" s="507"/>
      <c r="AP290" s="416">
        <v>31556</v>
      </c>
      <c r="AQ290" s="133" t="s">
        <v>154</v>
      </c>
      <c r="AR290" s="174">
        <v>76</v>
      </c>
      <c r="AS290" s="270"/>
      <c r="AT290" s="171" t="str">
        <f t="shared" si="21"/>
        <v>305</v>
      </c>
      <c r="AU290" s="255">
        <f>(AR290*AT290)/((2*AT290)+(2*AR290))</f>
        <v>30.41994750656168</v>
      </c>
      <c r="AV290" s="509">
        <v>98</v>
      </c>
      <c r="AW290" s="257">
        <v>7</v>
      </c>
      <c r="AX290" s="261"/>
      <c r="AY290" s="258">
        <v>23</v>
      </c>
      <c r="AZ290" s="261"/>
      <c r="BA290" s="175">
        <v>50</v>
      </c>
      <c r="BB290" s="259"/>
      <c r="BC290" s="176"/>
      <c r="BD290" s="177"/>
      <c r="BE290" s="177" t="s">
        <v>259</v>
      </c>
      <c r="BF290" s="178"/>
      <c r="BG290" s="27"/>
      <c r="BH290" s="27"/>
    </row>
    <row r="291" spans="1:60" ht="15" customHeight="1">
      <c r="A291" s="95">
        <v>290</v>
      </c>
      <c r="B291" s="96" t="s">
        <v>1454</v>
      </c>
      <c r="C291" s="73" t="s">
        <v>153</v>
      </c>
      <c r="D291" s="257" t="s">
        <v>119</v>
      </c>
      <c r="E291" s="459" t="s">
        <v>3377</v>
      </c>
      <c r="F291" s="258">
        <v>1989</v>
      </c>
      <c r="G291" s="171">
        <v>91</v>
      </c>
      <c r="H291" s="57"/>
      <c r="I291" s="88"/>
      <c r="J291" s="508">
        <v>0.39</v>
      </c>
      <c r="K291" s="513">
        <v>3.34</v>
      </c>
      <c r="L291" s="91"/>
      <c r="M291" s="506">
        <v>501.7</v>
      </c>
      <c r="N291" s="506"/>
      <c r="O291" s="509" t="s">
        <v>12</v>
      </c>
      <c r="P291" s="507"/>
      <c r="Q291" s="262"/>
      <c r="R291" s="507"/>
      <c r="S291" s="507"/>
      <c r="T291" s="506"/>
      <c r="U291" s="506"/>
      <c r="V291" s="131">
        <v>0</v>
      </c>
      <c r="W291" s="132">
        <v>11.82</v>
      </c>
      <c r="X291" s="120">
        <v>0</v>
      </c>
      <c r="Y291" s="120">
        <v>0</v>
      </c>
      <c r="Z291" s="120">
        <v>0</v>
      </c>
      <c r="AA291" s="130"/>
      <c r="AB291" s="17">
        <v>0</v>
      </c>
      <c r="AC291" s="17">
        <v>0</v>
      </c>
      <c r="AD291" s="130"/>
      <c r="AE291" s="130"/>
      <c r="AF291" s="17">
        <v>0</v>
      </c>
      <c r="AG291" s="133">
        <v>0</v>
      </c>
      <c r="AH291" s="17">
        <v>0</v>
      </c>
      <c r="AI291" s="133">
        <v>0.19</v>
      </c>
      <c r="AJ291" s="133">
        <v>0</v>
      </c>
      <c r="AK291" s="17">
        <v>0</v>
      </c>
      <c r="AL291" s="137">
        <v>0</v>
      </c>
      <c r="AM291" s="509">
        <v>63</v>
      </c>
      <c r="AN291" s="89"/>
      <c r="AO291" s="507"/>
      <c r="AP291" s="416">
        <v>36241</v>
      </c>
      <c r="AQ291" s="133" t="s">
        <v>154</v>
      </c>
      <c r="AR291" s="174">
        <v>76</v>
      </c>
      <c r="AS291" s="270"/>
      <c r="AT291" s="171" t="str">
        <f t="shared" si="21"/>
        <v>305</v>
      </c>
      <c r="AU291" s="255">
        <f>(AR291*AT291)/((2*AT291)+(2*AR291))</f>
        <v>30.41994750656168</v>
      </c>
      <c r="AV291" s="509">
        <v>98</v>
      </c>
      <c r="AW291" s="257">
        <v>7</v>
      </c>
      <c r="AX291" s="261"/>
      <c r="AY291" s="258">
        <v>23</v>
      </c>
      <c r="AZ291" s="261"/>
      <c r="BA291" s="175">
        <v>50</v>
      </c>
      <c r="BB291" s="259"/>
      <c r="BC291" s="176"/>
      <c r="BD291" s="177"/>
      <c r="BE291" s="177" t="s">
        <v>259</v>
      </c>
      <c r="BF291" s="178"/>
      <c r="BG291" s="27"/>
      <c r="BH291" s="27"/>
    </row>
    <row r="292" spans="1:60" ht="15" customHeight="1">
      <c r="A292" s="95">
        <v>291</v>
      </c>
      <c r="B292" s="96" t="s">
        <v>1453</v>
      </c>
      <c r="C292" s="73" t="s">
        <v>2901</v>
      </c>
      <c r="D292" s="257" t="s">
        <v>1448</v>
      </c>
      <c r="E292" s="459" t="s">
        <v>3377</v>
      </c>
      <c r="F292" s="258">
        <v>1989</v>
      </c>
      <c r="G292" s="171">
        <v>95</v>
      </c>
      <c r="H292" s="57"/>
      <c r="I292" s="88"/>
      <c r="J292" s="508">
        <v>0.47</v>
      </c>
      <c r="K292" s="513">
        <v>5.09</v>
      </c>
      <c r="L292" s="91"/>
      <c r="M292" s="506">
        <v>390</v>
      </c>
      <c r="N292" s="506"/>
      <c r="O292" s="509" t="s">
        <v>12</v>
      </c>
      <c r="P292" s="507"/>
      <c r="Q292" s="262"/>
      <c r="R292" s="507"/>
      <c r="S292" s="507"/>
      <c r="T292" s="506"/>
      <c r="U292" s="506"/>
      <c r="V292" s="131">
        <v>0</v>
      </c>
      <c r="W292" s="132">
        <v>0</v>
      </c>
      <c r="X292" s="120">
        <v>0</v>
      </c>
      <c r="Y292" s="120">
        <v>0</v>
      </c>
      <c r="Z292" s="120">
        <v>0</v>
      </c>
      <c r="AA292" s="130"/>
      <c r="AB292" s="17">
        <v>0</v>
      </c>
      <c r="AC292" s="17">
        <v>0</v>
      </c>
      <c r="AD292" s="130"/>
      <c r="AE292" s="130"/>
      <c r="AF292" s="17">
        <v>0</v>
      </c>
      <c r="AG292" s="133">
        <v>0</v>
      </c>
      <c r="AH292" s="17">
        <v>0</v>
      </c>
      <c r="AI292" s="133">
        <v>0</v>
      </c>
      <c r="AJ292" s="133">
        <v>0</v>
      </c>
      <c r="AK292" s="17">
        <v>0</v>
      </c>
      <c r="AL292" s="137">
        <v>0</v>
      </c>
      <c r="AM292" s="509">
        <v>50.1</v>
      </c>
      <c r="AN292" s="89"/>
      <c r="AO292" s="507"/>
      <c r="AP292" s="416">
        <v>29800</v>
      </c>
      <c r="AQ292" s="133" t="s">
        <v>117</v>
      </c>
      <c r="AR292" s="188">
        <v>100</v>
      </c>
      <c r="AS292" s="270"/>
      <c r="AT292" s="171" t="str">
        <f t="shared" si="21"/>
        <v>400</v>
      </c>
      <c r="AU292" s="255">
        <f t="shared" ref="AU292:AU297" si="23">IF(ISBLANK(AS292),(AR292*AT292)/((4*AT292)+(2*AR292)),AR292*AS292*AT292/2/(AR292*AS292+AR292*AT292+AS292*AT292))</f>
        <v>22.222222222222221</v>
      </c>
      <c r="AV292" s="509">
        <v>95</v>
      </c>
      <c r="AW292" s="257">
        <v>8</v>
      </c>
      <c r="AX292" s="261"/>
      <c r="AY292" s="258">
        <v>20</v>
      </c>
      <c r="AZ292" s="261"/>
      <c r="BA292" s="175">
        <v>60</v>
      </c>
      <c r="BB292" s="259"/>
      <c r="BC292" s="176"/>
      <c r="BD292" s="177"/>
      <c r="BE292" s="177" t="s">
        <v>259</v>
      </c>
      <c r="BF292" s="178"/>
      <c r="BG292" s="27"/>
      <c r="BH292" s="27"/>
    </row>
    <row r="293" spans="1:60" ht="15" customHeight="1">
      <c r="A293" s="95">
        <v>292</v>
      </c>
      <c r="B293" s="96" t="s">
        <v>1452</v>
      </c>
      <c r="C293" s="73" t="s">
        <v>2901</v>
      </c>
      <c r="D293" s="257" t="s">
        <v>1448</v>
      </c>
      <c r="E293" s="459" t="s">
        <v>3377</v>
      </c>
      <c r="F293" s="258">
        <v>1989</v>
      </c>
      <c r="G293" s="171">
        <v>95</v>
      </c>
      <c r="H293" s="57"/>
      <c r="I293" s="88"/>
      <c r="J293" s="508">
        <v>0.47</v>
      </c>
      <c r="K293" s="44">
        <v>5.09</v>
      </c>
      <c r="L293" s="91"/>
      <c r="M293" s="506">
        <v>391</v>
      </c>
      <c r="N293" s="506"/>
      <c r="O293" s="106" t="s">
        <v>12</v>
      </c>
      <c r="P293" s="94"/>
      <c r="Q293" s="262"/>
      <c r="R293" s="94"/>
      <c r="S293" s="94"/>
      <c r="T293" s="506"/>
      <c r="U293" s="65"/>
      <c r="V293" s="131">
        <v>0</v>
      </c>
      <c r="W293" s="132">
        <v>0</v>
      </c>
      <c r="X293" s="120">
        <v>0</v>
      </c>
      <c r="Y293" s="120">
        <v>0</v>
      </c>
      <c r="Z293" s="120">
        <v>0</v>
      </c>
      <c r="AA293" s="130"/>
      <c r="AB293" s="17">
        <v>0</v>
      </c>
      <c r="AC293" s="17">
        <v>0</v>
      </c>
      <c r="AD293" s="130"/>
      <c r="AE293" s="130"/>
      <c r="AF293" s="17">
        <v>0</v>
      </c>
      <c r="AG293" s="133">
        <v>0</v>
      </c>
      <c r="AH293" s="17">
        <v>0</v>
      </c>
      <c r="AI293" s="133">
        <v>0</v>
      </c>
      <c r="AJ293" s="133">
        <v>0</v>
      </c>
      <c r="AK293" s="17">
        <v>0</v>
      </c>
      <c r="AL293" s="137">
        <v>0</v>
      </c>
      <c r="AM293" s="509">
        <v>50.1</v>
      </c>
      <c r="AN293" s="89"/>
      <c r="AO293" s="507"/>
      <c r="AP293" s="416">
        <v>29800</v>
      </c>
      <c r="AQ293" s="133" t="s">
        <v>144</v>
      </c>
      <c r="AR293" s="188">
        <v>150</v>
      </c>
      <c r="AS293" s="270"/>
      <c r="AT293" s="171" t="str">
        <f t="shared" si="21"/>
        <v>600</v>
      </c>
      <c r="AU293" s="255">
        <f t="shared" si="23"/>
        <v>33.333333333333336</v>
      </c>
      <c r="AV293" s="106">
        <v>95</v>
      </c>
      <c r="AW293" s="257">
        <v>8</v>
      </c>
      <c r="AX293" s="261"/>
      <c r="AY293" s="258">
        <v>20</v>
      </c>
      <c r="AZ293" s="261"/>
      <c r="BA293" s="175">
        <v>60</v>
      </c>
      <c r="BB293" s="259"/>
      <c r="BC293" s="176"/>
      <c r="BD293" s="177"/>
      <c r="BE293" s="177" t="s">
        <v>259</v>
      </c>
      <c r="BF293" s="178"/>
      <c r="BG293" s="27"/>
      <c r="BH293" s="27"/>
    </row>
    <row r="294" spans="1:60" ht="15" customHeight="1">
      <c r="A294" s="95">
        <v>293</v>
      </c>
      <c r="B294" s="96" t="s">
        <v>1451</v>
      </c>
      <c r="C294" s="73" t="s">
        <v>2901</v>
      </c>
      <c r="D294" s="257" t="s">
        <v>1448</v>
      </c>
      <c r="E294" s="459" t="s">
        <v>3377</v>
      </c>
      <c r="F294" s="258">
        <v>1989</v>
      </c>
      <c r="G294" s="171">
        <v>95</v>
      </c>
      <c r="H294" s="57"/>
      <c r="I294" s="88"/>
      <c r="J294" s="508">
        <v>0.47</v>
      </c>
      <c r="K294" s="44">
        <v>5.09</v>
      </c>
      <c r="L294" s="91"/>
      <c r="M294" s="506">
        <v>392</v>
      </c>
      <c r="N294" s="506"/>
      <c r="O294" s="106" t="s">
        <v>12</v>
      </c>
      <c r="P294" s="94"/>
      <c r="Q294" s="262"/>
      <c r="R294" s="94"/>
      <c r="S294" s="94"/>
      <c r="T294" s="506"/>
      <c r="U294" s="65"/>
      <c r="V294" s="131">
        <v>0</v>
      </c>
      <c r="W294" s="132">
        <v>0</v>
      </c>
      <c r="X294" s="120">
        <v>0</v>
      </c>
      <c r="Y294" s="120">
        <v>0</v>
      </c>
      <c r="Z294" s="120">
        <v>0</v>
      </c>
      <c r="AA294" s="130"/>
      <c r="AB294" s="17">
        <v>0</v>
      </c>
      <c r="AC294" s="17">
        <v>0</v>
      </c>
      <c r="AD294" s="130"/>
      <c r="AE294" s="130"/>
      <c r="AF294" s="17">
        <v>0</v>
      </c>
      <c r="AG294" s="133">
        <v>0</v>
      </c>
      <c r="AH294" s="17">
        <v>0</v>
      </c>
      <c r="AI294" s="133">
        <v>0</v>
      </c>
      <c r="AJ294" s="133">
        <v>0</v>
      </c>
      <c r="AK294" s="17">
        <v>0</v>
      </c>
      <c r="AL294" s="137">
        <v>0</v>
      </c>
      <c r="AM294" s="509">
        <v>50.1</v>
      </c>
      <c r="AN294" s="89"/>
      <c r="AO294" s="507"/>
      <c r="AP294" s="416">
        <v>29800</v>
      </c>
      <c r="AQ294" s="133" t="s">
        <v>155</v>
      </c>
      <c r="AR294" s="188">
        <v>200</v>
      </c>
      <c r="AS294" s="270"/>
      <c r="AT294" s="171" t="str">
        <f t="shared" si="21"/>
        <v>800</v>
      </c>
      <c r="AU294" s="255">
        <f t="shared" si="23"/>
        <v>44.444444444444443</v>
      </c>
      <c r="AV294" s="106">
        <v>95</v>
      </c>
      <c r="AW294" s="257">
        <v>8</v>
      </c>
      <c r="AX294" s="261"/>
      <c r="AY294" s="258">
        <v>20</v>
      </c>
      <c r="AZ294" s="261"/>
      <c r="BA294" s="175">
        <v>60</v>
      </c>
      <c r="BB294" s="259"/>
      <c r="BC294" s="176"/>
      <c r="BD294" s="177"/>
      <c r="BE294" s="177" t="s">
        <v>259</v>
      </c>
      <c r="BF294" s="178"/>
      <c r="BG294" s="27"/>
      <c r="BH294" s="27"/>
    </row>
    <row r="295" spans="1:60" ht="15" customHeight="1">
      <c r="A295" s="95">
        <v>294</v>
      </c>
      <c r="B295" s="96" t="s">
        <v>1450</v>
      </c>
      <c r="C295" s="73" t="s">
        <v>2901</v>
      </c>
      <c r="D295" s="257" t="s">
        <v>1448</v>
      </c>
      <c r="E295" s="459" t="s">
        <v>3377</v>
      </c>
      <c r="F295" s="258">
        <v>1989</v>
      </c>
      <c r="G295" s="171">
        <v>95</v>
      </c>
      <c r="H295" s="57"/>
      <c r="I295" s="88"/>
      <c r="J295" s="508">
        <v>0.47</v>
      </c>
      <c r="K295" s="44">
        <v>5.09</v>
      </c>
      <c r="L295" s="91"/>
      <c r="M295" s="506">
        <v>393</v>
      </c>
      <c r="N295" s="506"/>
      <c r="O295" s="106" t="s">
        <v>12</v>
      </c>
      <c r="P295" s="94"/>
      <c r="Q295" s="262"/>
      <c r="R295" s="94"/>
      <c r="S295" s="94"/>
      <c r="T295" s="506"/>
      <c r="U295" s="65"/>
      <c r="V295" s="131">
        <v>0</v>
      </c>
      <c r="W295" s="132">
        <v>0</v>
      </c>
      <c r="X295" s="120">
        <v>0</v>
      </c>
      <c r="Y295" s="120">
        <v>0</v>
      </c>
      <c r="Z295" s="120">
        <v>0</v>
      </c>
      <c r="AA295" s="130"/>
      <c r="AB295" s="17">
        <v>0</v>
      </c>
      <c r="AC295" s="17">
        <v>0</v>
      </c>
      <c r="AD295" s="130"/>
      <c r="AE295" s="130"/>
      <c r="AF295" s="17">
        <v>0</v>
      </c>
      <c r="AG295" s="133">
        <v>0</v>
      </c>
      <c r="AH295" s="17">
        <v>0</v>
      </c>
      <c r="AI295" s="133">
        <v>0</v>
      </c>
      <c r="AJ295" s="133">
        <v>0</v>
      </c>
      <c r="AK295" s="17">
        <v>0</v>
      </c>
      <c r="AL295" s="137">
        <v>0</v>
      </c>
      <c r="AM295" s="509">
        <v>50.1</v>
      </c>
      <c r="AN295" s="89"/>
      <c r="AO295" s="507"/>
      <c r="AP295" s="416">
        <v>29800</v>
      </c>
      <c r="AQ295" s="133" t="s">
        <v>261</v>
      </c>
      <c r="AR295" s="188">
        <v>300</v>
      </c>
      <c r="AS295" s="270"/>
      <c r="AT295" s="171" t="str">
        <f t="shared" si="21"/>
        <v>1200</v>
      </c>
      <c r="AU295" s="255">
        <f t="shared" si="23"/>
        <v>66.666666666666671</v>
      </c>
      <c r="AV295" s="106">
        <v>95</v>
      </c>
      <c r="AW295" s="257">
        <v>8</v>
      </c>
      <c r="AX295" s="261"/>
      <c r="AY295" s="258">
        <v>20</v>
      </c>
      <c r="AZ295" s="261"/>
      <c r="BA295" s="175">
        <v>60</v>
      </c>
      <c r="BB295" s="259"/>
      <c r="BC295" s="176"/>
      <c r="BD295" s="177"/>
      <c r="BE295" s="177" t="s">
        <v>259</v>
      </c>
      <c r="BF295" s="178"/>
      <c r="BG295" s="27"/>
      <c r="BH295" s="27"/>
    </row>
    <row r="296" spans="1:60" ht="15" customHeight="1">
      <c r="A296" s="95">
        <v>295</v>
      </c>
      <c r="B296" s="96" t="s">
        <v>1449</v>
      </c>
      <c r="C296" s="73" t="s">
        <v>2901</v>
      </c>
      <c r="D296" s="257" t="s">
        <v>1448</v>
      </c>
      <c r="E296" s="459" t="s">
        <v>3377</v>
      </c>
      <c r="F296" s="258">
        <v>1989</v>
      </c>
      <c r="G296" s="171">
        <v>95</v>
      </c>
      <c r="H296" s="57"/>
      <c r="I296" s="88"/>
      <c r="J296" s="508">
        <v>0.47</v>
      </c>
      <c r="K296" s="44">
        <v>5.09</v>
      </c>
      <c r="L296" s="91"/>
      <c r="M296" s="506">
        <v>393</v>
      </c>
      <c r="N296" s="506"/>
      <c r="O296" s="106" t="s">
        <v>12</v>
      </c>
      <c r="P296" s="94"/>
      <c r="Q296" s="262"/>
      <c r="R296" s="94"/>
      <c r="S296" s="94"/>
      <c r="T296" s="506"/>
      <c r="U296" s="65"/>
      <c r="V296" s="131">
        <v>0</v>
      </c>
      <c r="W296" s="132">
        <v>0</v>
      </c>
      <c r="X296" s="120">
        <v>0</v>
      </c>
      <c r="Y296" s="120">
        <v>0</v>
      </c>
      <c r="Z296" s="120">
        <v>0</v>
      </c>
      <c r="AA296" s="130"/>
      <c r="AB296" s="17">
        <v>0</v>
      </c>
      <c r="AC296" s="17">
        <v>0</v>
      </c>
      <c r="AD296" s="130"/>
      <c r="AE296" s="130"/>
      <c r="AF296" s="17">
        <v>0</v>
      </c>
      <c r="AG296" s="133">
        <v>0</v>
      </c>
      <c r="AH296" s="17">
        <v>0</v>
      </c>
      <c r="AI296" s="133">
        <v>0</v>
      </c>
      <c r="AJ296" s="133">
        <v>0</v>
      </c>
      <c r="AK296" s="17">
        <v>0</v>
      </c>
      <c r="AL296" s="137">
        <v>0</v>
      </c>
      <c r="AM296" s="509">
        <v>50.1</v>
      </c>
      <c r="AN296" s="89"/>
      <c r="AO296" s="507"/>
      <c r="AP296" s="416">
        <v>29800</v>
      </c>
      <c r="AQ296" s="133" t="s">
        <v>262</v>
      </c>
      <c r="AR296" s="188">
        <v>400</v>
      </c>
      <c r="AS296" s="270"/>
      <c r="AT296" s="171" t="str">
        <f t="shared" si="21"/>
        <v>1600</v>
      </c>
      <c r="AU296" s="255">
        <f t="shared" si="23"/>
        <v>88.888888888888886</v>
      </c>
      <c r="AV296" s="106">
        <v>95</v>
      </c>
      <c r="AW296" s="257">
        <v>8</v>
      </c>
      <c r="AX296" s="261"/>
      <c r="AY296" s="258">
        <v>20</v>
      </c>
      <c r="AZ296" s="261"/>
      <c r="BA296" s="175">
        <v>60</v>
      </c>
      <c r="BB296" s="259"/>
      <c r="BC296" s="176"/>
      <c r="BD296" s="177"/>
      <c r="BE296" s="177" t="s">
        <v>259</v>
      </c>
      <c r="BF296" s="178"/>
      <c r="BG296" s="27"/>
      <c r="BH296" s="27"/>
    </row>
    <row r="297" spans="1:60" ht="15" customHeight="1">
      <c r="A297" s="95">
        <v>296</v>
      </c>
      <c r="B297" s="96" t="s">
        <v>1447</v>
      </c>
      <c r="C297" s="73" t="s">
        <v>2901</v>
      </c>
      <c r="D297" s="257" t="s">
        <v>1448</v>
      </c>
      <c r="E297" s="459" t="s">
        <v>3377</v>
      </c>
      <c r="F297" s="258">
        <v>1989</v>
      </c>
      <c r="G297" s="171">
        <v>95</v>
      </c>
      <c r="H297" s="57"/>
      <c r="I297" s="173" t="s">
        <v>2304</v>
      </c>
      <c r="J297" s="508">
        <v>0.47</v>
      </c>
      <c r="K297" s="44">
        <v>5.09</v>
      </c>
      <c r="L297" s="91"/>
      <c r="M297" s="506">
        <v>393</v>
      </c>
      <c r="N297" s="506"/>
      <c r="O297" s="106" t="s">
        <v>12</v>
      </c>
      <c r="P297" s="94"/>
      <c r="Q297" s="262"/>
      <c r="R297" s="94"/>
      <c r="S297" s="94"/>
      <c r="T297" s="506"/>
      <c r="U297" s="65"/>
      <c r="V297" s="131">
        <v>0</v>
      </c>
      <c r="W297" s="132">
        <v>0</v>
      </c>
      <c r="X297" s="120">
        <v>0</v>
      </c>
      <c r="Y297" s="120">
        <v>0</v>
      </c>
      <c r="Z297" s="120">
        <v>0</v>
      </c>
      <c r="AA297" s="130"/>
      <c r="AB297" s="17">
        <v>0</v>
      </c>
      <c r="AC297" s="17">
        <v>0</v>
      </c>
      <c r="AD297" s="130"/>
      <c r="AE297" s="130"/>
      <c r="AF297" s="17">
        <v>0</v>
      </c>
      <c r="AG297" s="133">
        <v>0</v>
      </c>
      <c r="AH297" s="17">
        <v>0</v>
      </c>
      <c r="AI297" s="133">
        <v>0</v>
      </c>
      <c r="AJ297" s="133">
        <v>0</v>
      </c>
      <c r="AK297" s="17">
        <v>0</v>
      </c>
      <c r="AL297" s="137">
        <v>0</v>
      </c>
      <c r="AM297" s="509">
        <v>50.1</v>
      </c>
      <c r="AN297" s="89"/>
      <c r="AO297" s="507"/>
      <c r="AP297" s="416">
        <v>29800</v>
      </c>
      <c r="AQ297" s="133" t="s">
        <v>144</v>
      </c>
      <c r="AR297" s="188">
        <v>150</v>
      </c>
      <c r="AS297" s="270"/>
      <c r="AT297" s="171" t="str">
        <f t="shared" si="21"/>
        <v>600</v>
      </c>
      <c r="AU297" s="255">
        <f t="shared" si="23"/>
        <v>33.333333333333336</v>
      </c>
      <c r="AV297" s="106">
        <v>95</v>
      </c>
      <c r="AW297" s="257">
        <v>8</v>
      </c>
      <c r="AX297" s="261"/>
      <c r="AY297" s="258">
        <v>20</v>
      </c>
      <c r="AZ297" s="261"/>
      <c r="BA297" s="175">
        <v>99</v>
      </c>
      <c r="BB297" s="259"/>
      <c r="BC297" s="176" t="s">
        <v>558</v>
      </c>
      <c r="BD297" s="177"/>
      <c r="BE297" s="177" t="s">
        <v>259</v>
      </c>
      <c r="BF297" s="178"/>
      <c r="BG297" s="27"/>
      <c r="BH297" s="27"/>
    </row>
    <row r="298" spans="1:60" ht="15" customHeight="1">
      <c r="A298" s="95">
        <v>297</v>
      </c>
      <c r="B298" s="96" t="s">
        <v>1446</v>
      </c>
      <c r="C298" s="73" t="s">
        <v>2585</v>
      </c>
      <c r="D298" s="257" t="s">
        <v>1439</v>
      </c>
      <c r="E298" s="459" t="s">
        <v>3377</v>
      </c>
      <c r="F298" s="258">
        <v>1990</v>
      </c>
      <c r="G298" s="171">
        <v>83</v>
      </c>
      <c r="H298" s="57"/>
      <c r="I298" s="173" t="s">
        <v>2565</v>
      </c>
      <c r="J298" s="100">
        <v>0.29699999999999999</v>
      </c>
      <c r="K298" s="44">
        <v>3.524</v>
      </c>
      <c r="L298" s="91"/>
      <c r="M298" s="506">
        <v>500</v>
      </c>
      <c r="N298" s="506"/>
      <c r="O298" s="106" t="s">
        <v>120</v>
      </c>
      <c r="P298" s="94"/>
      <c r="Q298" s="262"/>
      <c r="R298" s="94"/>
      <c r="S298" s="94"/>
      <c r="T298" s="506"/>
      <c r="U298" s="65"/>
      <c r="V298" s="131">
        <v>10</v>
      </c>
      <c r="W298" s="132">
        <v>0</v>
      </c>
      <c r="X298" s="120">
        <v>0</v>
      </c>
      <c r="Y298" s="120">
        <v>0</v>
      </c>
      <c r="Z298" s="120">
        <v>0</v>
      </c>
      <c r="AA298" s="130"/>
      <c r="AB298" s="17">
        <v>0</v>
      </c>
      <c r="AC298" s="17">
        <v>0</v>
      </c>
      <c r="AD298" s="130"/>
      <c r="AE298" s="130"/>
      <c r="AF298" s="17">
        <v>0</v>
      </c>
      <c r="AG298" s="133">
        <v>2.76</v>
      </c>
      <c r="AH298" s="17">
        <v>0</v>
      </c>
      <c r="AI298" s="133">
        <v>0</v>
      </c>
      <c r="AJ298" s="133">
        <v>0</v>
      </c>
      <c r="AK298" s="17">
        <v>0</v>
      </c>
      <c r="AL298" s="137">
        <v>0</v>
      </c>
      <c r="AM298" s="509">
        <v>111.3</v>
      </c>
      <c r="AN298" s="89"/>
      <c r="AO298" s="507"/>
      <c r="AP298" s="262"/>
      <c r="AQ298" s="133" t="s">
        <v>536</v>
      </c>
      <c r="AR298" s="174">
        <v>51.5</v>
      </c>
      <c r="AS298" s="270"/>
      <c r="AT298" s="171" t="str">
        <f t="shared" si="21"/>
        <v>206</v>
      </c>
      <c r="AU298" s="255">
        <f t="shared" ref="AU298:AU305" si="24">(AR298*AT298)/((2*AT298)+(2*AR298))</f>
        <v>20.6</v>
      </c>
      <c r="AV298" s="106">
        <v>100</v>
      </c>
      <c r="AW298" s="257">
        <v>7</v>
      </c>
      <c r="AX298" s="261"/>
      <c r="AY298" s="258">
        <v>20</v>
      </c>
      <c r="AZ298" s="261"/>
      <c r="BA298" s="175">
        <v>60</v>
      </c>
      <c r="BB298" s="259"/>
      <c r="BC298" s="176"/>
      <c r="BD298" s="177"/>
      <c r="BE298" s="177" t="s">
        <v>259</v>
      </c>
      <c r="BF298" s="178"/>
      <c r="BG298" s="27"/>
      <c r="BH298" s="27"/>
    </row>
    <row r="299" spans="1:60" ht="15" customHeight="1">
      <c r="A299" s="95">
        <v>298</v>
      </c>
      <c r="B299" s="96" t="s">
        <v>1445</v>
      </c>
      <c r="C299" s="73" t="s">
        <v>2585</v>
      </c>
      <c r="D299" s="257" t="s">
        <v>1439</v>
      </c>
      <c r="E299" s="459" t="s">
        <v>3377</v>
      </c>
      <c r="F299" s="258">
        <v>1990</v>
      </c>
      <c r="G299" s="171">
        <v>83</v>
      </c>
      <c r="H299" s="57"/>
      <c r="I299" s="173" t="s">
        <v>2565</v>
      </c>
      <c r="J299" s="100">
        <v>0.29699999999999999</v>
      </c>
      <c r="K299" s="44">
        <v>3.524</v>
      </c>
      <c r="L299" s="91"/>
      <c r="M299" s="506">
        <v>500</v>
      </c>
      <c r="N299" s="506"/>
      <c r="O299" s="106" t="s">
        <v>120</v>
      </c>
      <c r="P299" s="94"/>
      <c r="Q299" s="262"/>
      <c r="R299" s="94"/>
      <c r="S299" s="94"/>
      <c r="T299" s="506"/>
      <c r="U299" s="65"/>
      <c r="V299" s="131">
        <v>10</v>
      </c>
      <c r="W299" s="132">
        <v>0</v>
      </c>
      <c r="X299" s="120">
        <v>0</v>
      </c>
      <c r="Y299" s="120">
        <v>0</v>
      </c>
      <c r="Z299" s="120">
        <v>0</v>
      </c>
      <c r="AA299" s="130"/>
      <c r="AB299" s="17">
        <v>0</v>
      </c>
      <c r="AC299" s="17">
        <v>0</v>
      </c>
      <c r="AD299" s="130"/>
      <c r="AE299" s="130"/>
      <c r="AF299" s="17">
        <v>0</v>
      </c>
      <c r="AG299" s="133">
        <v>2.76</v>
      </c>
      <c r="AH299" s="17">
        <v>0</v>
      </c>
      <c r="AI299" s="133">
        <v>0</v>
      </c>
      <c r="AJ299" s="133">
        <v>0</v>
      </c>
      <c r="AK299" s="17">
        <v>0</v>
      </c>
      <c r="AL299" s="137">
        <v>0</v>
      </c>
      <c r="AM299" s="509">
        <v>111.3</v>
      </c>
      <c r="AN299" s="89"/>
      <c r="AO299" s="507"/>
      <c r="AP299" s="262"/>
      <c r="AQ299" s="133" t="s">
        <v>536</v>
      </c>
      <c r="AR299" s="174">
        <v>51.5</v>
      </c>
      <c r="AS299" s="270"/>
      <c r="AT299" s="171" t="str">
        <f t="shared" si="21"/>
        <v>206</v>
      </c>
      <c r="AU299" s="255">
        <f t="shared" si="24"/>
        <v>20.6</v>
      </c>
      <c r="AV299" s="106">
        <v>100</v>
      </c>
      <c r="AW299" s="257">
        <v>7</v>
      </c>
      <c r="AX299" s="261"/>
      <c r="AY299" s="258">
        <v>20</v>
      </c>
      <c r="AZ299" s="261"/>
      <c r="BA299" s="175">
        <v>45</v>
      </c>
      <c r="BB299" s="259"/>
      <c r="BC299" s="176"/>
      <c r="BD299" s="177"/>
      <c r="BE299" s="177" t="s">
        <v>259</v>
      </c>
      <c r="BF299" s="178"/>
      <c r="BG299" s="27"/>
      <c r="BH299" s="27"/>
    </row>
    <row r="300" spans="1:60" ht="15" customHeight="1">
      <c r="A300" s="95">
        <v>299</v>
      </c>
      <c r="B300" s="96" t="s">
        <v>1444</v>
      </c>
      <c r="C300" s="73" t="s">
        <v>2585</v>
      </c>
      <c r="D300" s="257" t="s">
        <v>1439</v>
      </c>
      <c r="E300" s="459" t="s">
        <v>3377</v>
      </c>
      <c r="F300" s="258">
        <v>1990</v>
      </c>
      <c r="G300" s="171">
        <v>83</v>
      </c>
      <c r="H300" s="57"/>
      <c r="I300" s="173" t="s">
        <v>2565</v>
      </c>
      <c r="J300" s="100">
        <v>0.30499999999999999</v>
      </c>
      <c r="K300" s="44">
        <v>3.6240000000000001</v>
      </c>
      <c r="L300" s="91"/>
      <c r="M300" s="506">
        <v>500</v>
      </c>
      <c r="N300" s="506"/>
      <c r="O300" s="106" t="s">
        <v>120</v>
      </c>
      <c r="P300" s="94"/>
      <c r="Q300" s="262"/>
      <c r="R300" s="94"/>
      <c r="S300" s="94"/>
      <c r="T300" s="506"/>
      <c r="U300" s="65"/>
      <c r="V300" s="131">
        <v>0</v>
      </c>
      <c r="W300" s="132">
        <v>0</v>
      </c>
      <c r="X300" s="120">
        <v>0</v>
      </c>
      <c r="Y300" s="120">
        <v>0</v>
      </c>
      <c r="Z300" s="120">
        <v>0</v>
      </c>
      <c r="AA300" s="130"/>
      <c r="AB300" s="17">
        <v>0</v>
      </c>
      <c r="AC300" s="17">
        <v>0</v>
      </c>
      <c r="AD300" s="130"/>
      <c r="AE300" s="130"/>
      <c r="AF300" s="17">
        <v>0</v>
      </c>
      <c r="AG300" s="133">
        <v>3</v>
      </c>
      <c r="AH300" s="17">
        <v>0</v>
      </c>
      <c r="AI300" s="133">
        <v>0</v>
      </c>
      <c r="AJ300" s="133">
        <v>0</v>
      </c>
      <c r="AK300" s="17">
        <v>0</v>
      </c>
      <c r="AL300" s="137">
        <v>0</v>
      </c>
      <c r="AM300" s="509">
        <v>90.9</v>
      </c>
      <c r="AN300" s="89"/>
      <c r="AO300" s="507"/>
      <c r="AP300" s="262"/>
      <c r="AQ300" s="133" t="s">
        <v>536</v>
      </c>
      <c r="AR300" s="174">
        <v>51.5</v>
      </c>
      <c r="AS300" s="270"/>
      <c r="AT300" s="171" t="str">
        <f t="shared" si="21"/>
        <v>206</v>
      </c>
      <c r="AU300" s="255">
        <f t="shared" si="24"/>
        <v>20.6</v>
      </c>
      <c r="AV300" s="106">
        <v>100</v>
      </c>
      <c r="AW300" s="257">
        <v>7</v>
      </c>
      <c r="AX300" s="261"/>
      <c r="AY300" s="258">
        <v>20</v>
      </c>
      <c r="AZ300" s="261"/>
      <c r="BA300" s="175">
        <v>60</v>
      </c>
      <c r="BB300" s="259"/>
      <c r="BC300" s="176"/>
      <c r="BD300" s="177"/>
      <c r="BE300" s="177" t="s">
        <v>259</v>
      </c>
      <c r="BF300" s="178"/>
      <c r="BG300" s="27"/>
      <c r="BH300" s="27"/>
    </row>
    <row r="301" spans="1:60" ht="15" customHeight="1">
      <c r="A301" s="95">
        <v>300</v>
      </c>
      <c r="B301" s="96" t="s">
        <v>1443</v>
      </c>
      <c r="C301" s="73" t="s">
        <v>2585</v>
      </c>
      <c r="D301" s="257" t="s">
        <v>1439</v>
      </c>
      <c r="E301" s="459" t="s">
        <v>3377</v>
      </c>
      <c r="F301" s="258">
        <v>1990</v>
      </c>
      <c r="G301" s="171">
        <v>83</v>
      </c>
      <c r="H301" s="57"/>
      <c r="I301" s="173" t="s">
        <v>2565</v>
      </c>
      <c r="J301" s="100">
        <v>0.30499999999999999</v>
      </c>
      <c r="K301" s="44">
        <v>3.6240000000000001</v>
      </c>
      <c r="L301" s="91"/>
      <c r="M301" s="506">
        <v>500</v>
      </c>
      <c r="N301" s="506"/>
      <c r="O301" s="106" t="s">
        <v>120</v>
      </c>
      <c r="P301" s="94"/>
      <c r="Q301" s="262"/>
      <c r="R301" s="94"/>
      <c r="S301" s="94"/>
      <c r="T301" s="506"/>
      <c r="U301" s="65"/>
      <c r="V301" s="131">
        <v>0</v>
      </c>
      <c r="W301" s="132">
        <v>0</v>
      </c>
      <c r="X301" s="120">
        <v>0</v>
      </c>
      <c r="Y301" s="120">
        <v>0</v>
      </c>
      <c r="Z301" s="120">
        <v>0</v>
      </c>
      <c r="AA301" s="130"/>
      <c r="AB301" s="17">
        <v>0</v>
      </c>
      <c r="AC301" s="17">
        <v>0</v>
      </c>
      <c r="AD301" s="130"/>
      <c r="AE301" s="130"/>
      <c r="AF301" s="17">
        <v>0</v>
      </c>
      <c r="AG301" s="133">
        <v>3</v>
      </c>
      <c r="AH301" s="17">
        <v>0</v>
      </c>
      <c r="AI301" s="133">
        <v>0</v>
      </c>
      <c r="AJ301" s="133">
        <v>0</v>
      </c>
      <c r="AK301" s="17">
        <v>0</v>
      </c>
      <c r="AL301" s="137">
        <v>0</v>
      </c>
      <c r="AM301" s="509">
        <v>90.9</v>
      </c>
      <c r="AN301" s="89"/>
      <c r="AO301" s="507"/>
      <c r="AP301" s="262"/>
      <c r="AQ301" s="133" t="s">
        <v>536</v>
      </c>
      <c r="AR301" s="174">
        <v>51.5</v>
      </c>
      <c r="AS301" s="270"/>
      <c r="AT301" s="171" t="str">
        <f t="shared" si="21"/>
        <v>206</v>
      </c>
      <c r="AU301" s="255">
        <f t="shared" si="24"/>
        <v>20.6</v>
      </c>
      <c r="AV301" s="106">
        <v>100</v>
      </c>
      <c r="AW301" s="257">
        <v>7</v>
      </c>
      <c r="AX301" s="261"/>
      <c r="AY301" s="258">
        <v>20</v>
      </c>
      <c r="AZ301" s="261"/>
      <c r="BA301" s="175">
        <v>45</v>
      </c>
      <c r="BB301" s="259"/>
      <c r="BC301" s="176"/>
      <c r="BD301" s="177"/>
      <c r="BE301" s="177" t="s">
        <v>259</v>
      </c>
      <c r="BF301" s="178"/>
      <c r="BG301" s="27"/>
      <c r="BH301" s="27"/>
    </row>
    <row r="302" spans="1:60" ht="15" customHeight="1">
      <c r="A302" s="95">
        <v>301</v>
      </c>
      <c r="B302" s="96" t="s">
        <v>1442</v>
      </c>
      <c r="C302" s="73" t="s">
        <v>2585</v>
      </c>
      <c r="D302" s="257" t="s">
        <v>1439</v>
      </c>
      <c r="E302" s="459" t="s">
        <v>3377</v>
      </c>
      <c r="F302" s="258">
        <v>1990</v>
      </c>
      <c r="G302" s="171">
        <v>83</v>
      </c>
      <c r="H302" s="57"/>
      <c r="I302" s="173" t="s">
        <v>2565</v>
      </c>
      <c r="J302" s="100">
        <v>0.31</v>
      </c>
      <c r="K302" s="44">
        <v>3.6120000000000001</v>
      </c>
      <c r="L302" s="91"/>
      <c r="M302" s="506">
        <v>500</v>
      </c>
      <c r="N302" s="506"/>
      <c r="O302" s="106" t="s">
        <v>12</v>
      </c>
      <c r="P302" s="94"/>
      <c r="Q302" s="262"/>
      <c r="R302" s="94"/>
      <c r="S302" s="94"/>
      <c r="T302" s="506"/>
      <c r="U302" s="65"/>
      <c r="V302" s="131">
        <v>0</v>
      </c>
      <c r="W302" s="132">
        <v>0</v>
      </c>
      <c r="X302" s="120">
        <v>0</v>
      </c>
      <c r="Y302" s="120">
        <v>0</v>
      </c>
      <c r="Z302" s="120">
        <v>0</v>
      </c>
      <c r="AA302" s="130"/>
      <c r="AB302" s="17">
        <v>0</v>
      </c>
      <c r="AC302" s="17">
        <v>0</v>
      </c>
      <c r="AD302" s="130"/>
      <c r="AE302" s="130"/>
      <c r="AF302" s="17">
        <v>0</v>
      </c>
      <c r="AG302" s="133">
        <v>2.5</v>
      </c>
      <c r="AH302" s="17">
        <v>0</v>
      </c>
      <c r="AI302" s="133">
        <v>0</v>
      </c>
      <c r="AJ302" s="133">
        <v>0</v>
      </c>
      <c r="AK302" s="17">
        <v>0</v>
      </c>
      <c r="AL302" s="137">
        <v>0</v>
      </c>
      <c r="AM302" s="509">
        <v>87</v>
      </c>
      <c r="AN302" s="89"/>
      <c r="AO302" s="507"/>
      <c r="AP302" s="262"/>
      <c r="AQ302" s="133" t="s">
        <v>536</v>
      </c>
      <c r="AR302" s="174">
        <v>51.5</v>
      </c>
      <c r="AS302" s="270"/>
      <c r="AT302" s="171" t="str">
        <f t="shared" si="21"/>
        <v>206</v>
      </c>
      <c r="AU302" s="255">
        <f t="shared" si="24"/>
        <v>20.6</v>
      </c>
      <c r="AV302" s="106">
        <v>100</v>
      </c>
      <c r="AW302" s="257">
        <v>7</v>
      </c>
      <c r="AX302" s="261"/>
      <c r="AY302" s="258">
        <v>20</v>
      </c>
      <c r="AZ302" s="261"/>
      <c r="BA302" s="175">
        <v>60</v>
      </c>
      <c r="BB302" s="259"/>
      <c r="BC302" s="176"/>
      <c r="BD302" s="177"/>
      <c r="BE302" s="177" t="s">
        <v>259</v>
      </c>
      <c r="BF302" s="178"/>
      <c r="BG302" s="27"/>
      <c r="BH302" s="27"/>
    </row>
    <row r="303" spans="1:60" ht="15" customHeight="1">
      <c r="A303" s="95">
        <v>302</v>
      </c>
      <c r="B303" s="96" t="s">
        <v>1441</v>
      </c>
      <c r="C303" s="73" t="s">
        <v>2585</v>
      </c>
      <c r="D303" s="257" t="s">
        <v>1439</v>
      </c>
      <c r="E303" s="459" t="s">
        <v>3377</v>
      </c>
      <c r="F303" s="258">
        <v>1990</v>
      </c>
      <c r="G303" s="171">
        <v>83</v>
      </c>
      <c r="H303" s="57"/>
      <c r="I303" s="173" t="s">
        <v>2565</v>
      </c>
      <c r="J303" s="100">
        <v>0.31</v>
      </c>
      <c r="K303" s="44">
        <v>3.6120000000000001</v>
      </c>
      <c r="L303" s="91"/>
      <c r="M303" s="506">
        <v>500</v>
      </c>
      <c r="N303" s="506"/>
      <c r="O303" s="106" t="s">
        <v>12</v>
      </c>
      <c r="P303" s="94"/>
      <c r="Q303" s="262"/>
      <c r="R303" s="94"/>
      <c r="S303" s="94"/>
      <c r="T303" s="506"/>
      <c r="U303" s="65"/>
      <c r="V303" s="131">
        <v>0</v>
      </c>
      <c r="W303" s="132">
        <v>0</v>
      </c>
      <c r="X303" s="120">
        <v>0</v>
      </c>
      <c r="Y303" s="120">
        <v>0</v>
      </c>
      <c r="Z303" s="120">
        <v>0</v>
      </c>
      <c r="AA303" s="130"/>
      <c r="AB303" s="17">
        <v>0</v>
      </c>
      <c r="AC303" s="17">
        <v>0</v>
      </c>
      <c r="AD303" s="130"/>
      <c r="AE303" s="130"/>
      <c r="AF303" s="17">
        <v>0</v>
      </c>
      <c r="AG303" s="133">
        <v>2.5</v>
      </c>
      <c r="AH303" s="17">
        <v>0</v>
      </c>
      <c r="AI303" s="133">
        <v>0</v>
      </c>
      <c r="AJ303" s="133">
        <v>0</v>
      </c>
      <c r="AK303" s="17">
        <v>0</v>
      </c>
      <c r="AL303" s="137">
        <v>0</v>
      </c>
      <c r="AM303" s="509">
        <v>87</v>
      </c>
      <c r="AN303" s="89"/>
      <c r="AO303" s="507"/>
      <c r="AP303" s="262"/>
      <c r="AQ303" s="133" t="s">
        <v>536</v>
      </c>
      <c r="AR303" s="174">
        <v>51.5</v>
      </c>
      <c r="AS303" s="270"/>
      <c r="AT303" s="171" t="str">
        <f t="shared" si="21"/>
        <v>206</v>
      </c>
      <c r="AU303" s="255">
        <f t="shared" si="24"/>
        <v>20.6</v>
      </c>
      <c r="AV303" s="106">
        <v>100</v>
      </c>
      <c r="AW303" s="257">
        <v>7</v>
      </c>
      <c r="AX303" s="261"/>
      <c r="AY303" s="258">
        <v>20</v>
      </c>
      <c r="AZ303" s="261"/>
      <c r="BA303" s="175">
        <v>45</v>
      </c>
      <c r="BB303" s="259"/>
      <c r="BC303" s="176"/>
      <c r="BD303" s="177"/>
      <c r="BE303" s="177" t="s">
        <v>259</v>
      </c>
      <c r="BF303" s="178"/>
      <c r="BG303" s="27"/>
      <c r="BH303" s="27"/>
    </row>
    <row r="304" spans="1:60" ht="15" customHeight="1">
      <c r="A304" s="95">
        <v>303</v>
      </c>
      <c r="B304" s="96" t="s">
        <v>1440</v>
      </c>
      <c r="C304" s="73" t="s">
        <v>2585</v>
      </c>
      <c r="D304" s="257" t="s">
        <v>1439</v>
      </c>
      <c r="E304" s="459" t="s">
        <v>3377</v>
      </c>
      <c r="F304" s="258">
        <v>1990</v>
      </c>
      <c r="G304" s="171">
        <v>83</v>
      </c>
      <c r="H304" s="57"/>
      <c r="I304" s="173" t="s">
        <v>2565</v>
      </c>
      <c r="J304" s="100">
        <v>0.52</v>
      </c>
      <c r="K304" s="44">
        <v>5.2460000000000004</v>
      </c>
      <c r="L304" s="91"/>
      <c r="M304" s="506">
        <v>350</v>
      </c>
      <c r="N304" s="506"/>
      <c r="O304" s="106" t="s">
        <v>12</v>
      </c>
      <c r="P304" s="94"/>
      <c r="Q304" s="262"/>
      <c r="R304" s="94"/>
      <c r="S304" s="94"/>
      <c r="T304" s="506"/>
      <c r="U304" s="65"/>
      <c r="V304" s="131">
        <v>0</v>
      </c>
      <c r="W304" s="132">
        <v>0</v>
      </c>
      <c r="X304" s="120">
        <v>0</v>
      </c>
      <c r="Y304" s="120">
        <v>0</v>
      </c>
      <c r="Z304" s="120">
        <v>0</v>
      </c>
      <c r="AA304" s="130"/>
      <c r="AB304" s="17">
        <v>0</v>
      </c>
      <c r="AC304" s="17">
        <v>0</v>
      </c>
      <c r="AD304" s="130"/>
      <c r="AE304" s="130"/>
      <c r="AF304" s="17">
        <v>0</v>
      </c>
      <c r="AG304" s="133">
        <v>0</v>
      </c>
      <c r="AH304" s="17">
        <v>0</v>
      </c>
      <c r="AI304" s="133">
        <v>0</v>
      </c>
      <c r="AJ304" s="133">
        <v>0</v>
      </c>
      <c r="AK304" s="17">
        <v>0</v>
      </c>
      <c r="AL304" s="137">
        <v>0</v>
      </c>
      <c r="AM304" s="509">
        <v>59.1</v>
      </c>
      <c r="AN304" s="89"/>
      <c r="AO304" s="507"/>
      <c r="AP304" s="262"/>
      <c r="AQ304" s="133" t="s">
        <v>536</v>
      </c>
      <c r="AR304" s="174">
        <v>51.5</v>
      </c>
      <c r="AS304" s="270"/>
      <c r="AT304" s="171" t="str">
        <f t="shared" si="21"/>
        <v>206</v>
      </c>
      <c r="AU304" s="255">
        <f t="shared" si="24"/>
        <v>20.6</v>
      </c>
      <c r="AV304" s="106">
        <v>100</v>
      </c>
      <c r="AW304" s="257">
        <v>7</v>
      </c>
      <c r="AX304" s="261"/>
      <c r="AY304" s="258">
        <v>20</v>
      </c>
      <c r="AZ304" s="261"/>
      <c r="BA304" s="175">
        <v>60</v>
      </c>
      <c r="BB304" s="259"/>
      <c r="BC304" s="176"/>
      <c r="BD304" s="177"/>
      <c r="BE304" s="177" t="s">
        <v>259</v>
      </c>
      <c r="BF304" s="178"/>
      <c r="BG304" s="27"/>
      <c r="BH304" s="27"/>
    </row>
    <row r="305" spans="1:82" ht="15" customHeight="1">
      <c r="A305" s="95">
        <v>304</v>
      </c>
      <c r="B305" s="96" t="s">
        <v>1438</v>
      </c>
      <c r="C305" s="73" t="s">
        <v>2585</v>
      </c>
      <c r="D305" s="257" t="s">
        <v>1439</v>
      </c>
      <c r="E305" s="459" t="s">
        <v>3377</v>
      </c>
      <c r="F305" s="258">
        <v>1990</v>
      </c>
      <c r="G305" s="171">
        <v>83</v>
      </c>
      <c r="H305" s="57"/>
      <c r="I305" s="173" t="s">
        <v>2565</v>
      </c>
      <c r="J305" s="100">
        <v>0.52</v>
      </c>
      <c r="K305" s="44">
        <v>5.2460000000000004</v>
      </c>
      <c r="L305" s="91"/>
      <c r="M305" s="506">
        <v>350</v>
      </c>
      <c r="N305" s="506"/>
      <c r="O305" s="106" t="s">
        <v>12</v>
      </c>
      <c r="P305" s="94"/>
      <c r="Q305" s="262"/>
      <c r="R305" s="94"/>
      <c r="S305" s="94"/>
      <c r="T305" s="506"/>
      <c r="U305" s="65"/>
      <c r="V305" s="131">
        <v>0</v>
      </c>
      <c r="W305" s="132">
        <v>0</v>
      </c>
      <c r="X305" s="120">
        <v>0</v>
      </c>
      <c r="Y305" s="120">
        <v>0</v>
      </c>
      <c r="Z305" s="120">
        <v>0</v>
      </c>
      <c r="AA305" s="130"/>
      <c r="AB305" s="17">
        <v>0</v>
      </c>
      <c r="AC305" s="17">
        <v>0</v>
      </c>
      <c r="AD305" s="130"/>
      <c r="AE305" s="130"/>
      <c r="AF305" s="17">
        <v>0</v>
      </c>
      <c r="AG305" s="133">
        <v>0</v>
      </c>
      <c r="AH305" s="17">
        <v>0</v>
      </c>
      <c r="AI305" s="133">
        <v>0</v>
      </c>
      <c r="AJ305" s="133">
        <v>0</v>
      </c>
      <c r="AK305" s="17">
        <v>0</v>
      </c>
      <c r="AL305" s="137">
        <v>0</v>
      </c>
      <c r="AM305" s="509">
        <v>59.1</v>
      </c>
      <c r="AN305" s="89"/>
      <c r="AO305" s="507"/>
      <c r="AP305" s="262"/>
      <c r="AQ305" s="133" t="s">
        <v>536</v>
      </c>
      <c r="AR305" s="174">
        <v>51.5</v>
      </c>
      <c r="AS305" s="270"/>
      <c r="AT305" s="171" t="str">
        <f t="shared" si="21"/>
        <v>206</v>
      </c>
      <c r="AU305" s="255">
        <f t="shared" si="24"/>
        <v>20.6</v>
      </c>
      <c r="AV305" s="106">
        <v>100</v>
      </c>
      <c r="AW305" s="257">
        <v>7</v>
      </c>
      <c r="AX305" s="261"/>
      <c r="AY305" s="258">
        <v>20</v>
      </c>
      <c r="AZ305" s="261"/>
      <c r="BA305" s="175">
        <v>45</v>
      </c>
      <c r="BB305" s="259"/>
      <c r="BC305" s="176"/>
      <c r="BD305" s="177"/>
      <c r="BE305" s="177" t="s">
        <v>259</v>
      </c>
      <c r="BF305" s="178"/>
      <c r="BG305" s="27"/>
      <c r="BH305" s="27"/>
    </row>
    <row r="306" spans="1:82" s="9" customFormat="1" ht="15" customHeight="1">
      <c r="A306" s="95">
        <v>305</v>
      </c>
      <c r="B306" s="96" t="s">
        <v>1437</v>
      </c>
      <c r="C306" s="73" t="s">
        <v>156</v>
      </c>
      <c r="D306" s="257" t="s">
        <v>122</v>
      </c>
      <c r="E306" s="459" t="s">
        <v>3377</v>
      </c>
      <c r="F306" s="258">
        <v>1991</v>
      </c>
      <c r="G306" s="171">
        <v>378</v>
      </c>
      <c r="H306" s="57"/>
      <c r="I306" s="88"/>
      <c r="J306" s="100">
        <v>0.54</v>
      </c>
      <c r="K306" s="272"/>
      <c r="L306" s="91"/>
      <c r="M306" s="506">
        <v>350</v>
      </c>
      <c r="N306" s="506"/>
      <c r="O306" s="106" t="s">
        <v>12</v>
      </c>
      <c r="P306" s="94"/>
      <c r="Q306" s="262"/>
      <c r="R306" s="94"/>
      <c r="S306" s="94"/>
      <c r="T306" s="506"/>
      <c r="U306" s="65"/>
      <c r="V306" s="140"/>
      <c r="W306" s="141"/>
      <c r="X306" s="120">
        <v>0</v>
      </c>
      <c r="Y306" s="120">
        <v>0</v>
      </c>
      <c r="Z306" s="120">
        <v>0</v>
      </c>
      <c r="AA306" s="130"/>
      <c r="AB306" s="17">
        <v>0</v>
      </c>
      <c r="AC306" s="17">
        <v>0</v>
      </c>
      <c r="AD306" s="130"/>
      <c r="AE306" s="130"/>
      <c r="AF306" s="17">
        <v>0</v>
      </c>
      <c r="AG306" s="17">
        <v>0</v>
      </c>
      <c r="AH306" s="17">
        <v>0</v>
      </c>
      <c r="AI306" s="133">
        <v>0</v>
      </c>
      <c r="AJ306" s="133">
        <v>0</v>
      </c>
      <c r="AK306" s="17">
        <v>0</v>
      </c>
      <c r="AL306" s="137">
        <v>0</v>
      </c>
      <c r="AM306" s="509">
        <v>44.1</v>
      </c>
      <c r="AN306" s="89"/>
      <c r="AO306" s="507"/>
      <c r="AP306" s="262"/>
      <c r="AQ306" s="133" t="s">
        <v>157</v>
      </c>
      <c r="AR306" s="174" t="s">
        <v>2627</v>
      </c>
      <c r="AS306" s="270"/>
      <c r="AT306" s="171" t="str">
        <f t="shared" si="21"/>
        <v>600</v>
      </c>
      <c r="AU306" s="255">
        <f t="shared" ref="AU306:AU313" si="25">(((75^2)*600)-((25^2)*600))/(2*(75*600+25*600+(75^2)-(25^2)))</f>
        <v>23.076923076923077</v>
      </c>
      <c r="AV306" s="106">
        <v>100</v>
      </c>
      <c r="AW306" s="257">
        <v>90</v>
      </c>
      <c r="AX306" s="261"/>
      <c r="AY306" s="258">
        <v>20</v>
      </c>
      <c r="AZ306" s="261"/>
      <c r="BA306" s="175">
        <v>65</v>
      </c>
      <c r="BB306" s="259"/>
      <c r="BC306" s="207"/>
      <c r="BD306" s="177" t="s">
        <v>259</v>
      </c>
      <c r="BE306" s="177" t="s">
        <v>259</v>
      </c>
      <c r="BF306" s="208"/>
      <c r="BG306" s="27"/>
      <c r="BH306" s="27"/>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row>
    <row r="307" spans="1:82" s="9" customFormat="1" ht="15" customHeight="1">
      <c r="A307" s="95">
        <v>306</v>
      </c>
      <c r="B307" s="96" t="s">
        <v>1436</v>
      </c>
      <c r="C307" s="73" t="s">
        <v>156</v>
      </c>
      <c r="D307" s="257" t="s">
        <v>122</v>
      </c>
      <c r="E307" s="459" t="s">
        <v>3377</v>
      </c>
      <c r="F307" s="258">
        <v>1991</v>
      </c>
      <c r="G307" s="171">
        <v>378</v>
      </c>
      <c r="H307" s="57"/>
      <c r="I307" s="88"/>
      <c r="J307" s="100">
        <v>0.54</v>
      </c>
      <c r="K307" s="272"/>
      <c r="L307" s="91"/>
      <c r="M307" s="506">
        <v>350</v>
      </c>
      <c r="N307" s="506"/>
      <c r="O307" s="106" t="s">
        <v>12</v>
      </c>
      <c r="P307" s="94"/>
      <c r="Q307" s="262"/>
      <c r="R307" s="94"/>
      <c r="S307" s="94"/>
      <c r="T307" s="506"/>
      <c r="U307" s="65"/>
      <c r="V307" s="140"/>
      <c r="W307" s="141"/>
      <c r="X307" s="120">
        <v>0</v>
      </c>
      <c r="Y307" s="120">
        <v>0</v>
      </c>
      <c r="Z307" s="120">
        <v>0</v>
      </c>
      <c r="AA307" s="130"/>
      <c r="AB307" s="17">
        <v>0</v>
      </c>
      <c r="AC307" s="17">
        <v>0</v>
      </c>
      <c r="AD307" s="130"/>
      <c r="AE307" s="130"/>
      <c r="AF307" s="17">
        <v>0</v>
      </c>
      <c r="AG307" s="17">
        <v>0</v>
      </c>
      <c r="AH307" s="17">
        <v>0</v>
      </c>
      <c r="AI307" s="133">
        <v>0</v>
      </c>
      <c r="AJ307" s="133">
        <v>0</v>
      </c>
      <c r="AK307" s="17">
        <v>0</v>
      </c>
      <c r="AL307" s="137">
        <v>0</v>
      </c>
      <c r="AM307" s="509">
        <v>44.1</v>
      </c>
      <c r="AN307" s="89"/>
      <c r="AO307" s="507"/>
      <c r="AP307" s="262"/>
      <c r="AQ307" s="133" t="s">
        <v>157</v>
      </c>
      <c r="AR307" s="174" t="s">
        <v>2627</v>
      </c>
      <c r="AS307" s="270"/>
      <c r="AT307" s="171" t="str">
        <f t="shared" si="21"/>
        <v>600</v>
      </c>
      <c r="AU307" s="255">
        <f t="shared" si="25"/>
        <v>23.076923076923077</v>
      </c>
      <c r="AV307" s="106">
        <v>65</v>
      </c>
      <c r="AW307" s="257">
        <v>150</v>
      </c>
      <c r="AX307" s="261"/>
      <c r="AY307" s="258">
        <v>50</v>
      </c>
      <c r="AZ307" s="261"/>
      <c r="BA307" s="175">
        <v>65</v>
      </c>
      <c r="BB307" s="259"/>
      <c r="BC307" s="207"/>
      <c r="BD307" s="177" t="s">
        <v>259</v>
      </c>
      <c r="BE307" s="177" t="s">
        <v>259</v>
      </c>
      <c r="BF307" s="208"/>
      <c r="BG307" s="27"/>
      <c r="BH307" s="27"/>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row>
    <row r="308" spans="1:82" s="9" customFormat="1" ht="15" customHeight="1">
      <c r="A308" s="95">
        <v>307</v>
      </c>
      <c r="B308" s="96" t="s">
        <v>1435</v>
      </c>
      <c r="C308" s="73" t="s">
        <v>156</v>
      </c>
      <c r="D308" s="257" t="s">
        <v>122</v>
      </c>
      <c r="E308" s="459" t="s">
        <v>3377</v>
      </c>
      <c r="F308" s="258">
        <v>1991</v>
      </c>
      <c r="G308" s="171">
        <v>378</v>
      </c>
      <c r="H308" s="57"/>
      <c r="I308" s="88"/>
      <c r="J308" s="100">
        <v>0.54</v>
      </c>
      <c r="K308" s="272"/>
      <c r="L308" s="91"/>
      <c r="M308" s="506">
        <v>350</v>
      </c>
      <c r="N308" s="506"/>
      <c r="O308" s="106" t="s">
        <v>12</v>
      </c>
      <c r="P308" s="94"/>
      <c r="Q308" s="262"/>
      <c r="R308" s="94"/>
      <c r="S308" s="94"/>
      <c r="T308" s="506"/>
      <c r="U308" s="65"/>
      <c r="V308" s="140"/>
      <c r="W308" s="141"/>
      <c r="X308" s="120">
        <v>0</v>
      </c>
      <c r="Y308" s="120">
        <v>0</v>
      </c>
      <c r="Z308" s="120">
        <v>0</v>
      </c>
      <c r="AA308" s="130"/>
      <c r="AB308" s="17">
        <v>0</v>
      </c>
      <c r="AC308" s="17">
        <v>0</v>
      </c>
      <c r="AD308" s="130"/>
      <c r="AE308" s="130"/>
      <c r="AF308" s="17">
        <v>0</v>
      </c>
      <c r="AG308" s="17">
        <v>0</v>
      </c>
      <c r="AH308" s="17">
        <v>0</v>
      </c>
      <c r="AI308" s="133">
        <v>0</v>
      </c>
      <c r="AJ308" s="133">
        <v>0</v>
      </c>
      <c r="AK308" s="17">
        <v>0</v>
      </c>
      <c r="AL308" s="137">
        <v>0</v>
      </c>
      <c r="AM308" s="509">
        <v>44.1</v>
      </c>
      <c r="AN308" s="89"/>
      <c r="AO308" s="507"/>
      <c r="AP308" s="262"/>
      <c r="AQ308" s="133" t="s">
        <v>157</v>
      </c>
      <c r="AR308" s="174" t="s">
        <v>2627</v>
      </c>
      <c r="AS308" s="270"/>
      <c r="AT308" s="171" t="str">
        <f t="shared" ref="AT308:AT339" si="26">RIGHT(AQ308,LEN(AQ308)-FIND("x",AQ308,1))</f>
        <v>600</v>
      </c>
      <c r="AU308" s="255">
        <f t="shared" si="25"/>
        <v>23.076923076923077</v>
      </c>
      <c r="AV308" s="106">
        <v>65</v>
      </c>
      <c r="AW308" s="257">
        <v>150</v>
      </c>
      <c r="AX308" s="261"/>
      <c r="AY308" s="258">
        <v>70</v>
      </c>
      <c r="AZ308" s="261"/>
      <c r="BA308" s="175">
        <v>65</v>
      </c>
      <c r="BB308" s="259"/>
      <c r="BC308" s="207"/>
      <c r="BD308" s="177" t="s">
        <v>259</v>
      </c>
      <c r="BE308" s="177" t="s">
        <v>259</v>
      </c>
      <c r="BF308" s="208"/>
      <c r="BG308" s="27"/>
      <c r="BH308" s="27"/>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row>
    <row r="309" spans="1:82" s="9" customFormat="1" ht="15" customHeight="1">
      <c r="A309" s="95">
        <v>308</v>
      </c>
      <c r="B309" s="96" t="s">
        <v>1434</v>
      </c>
      <c r="C309" s="73" t="s">
        <v>156</v>
      </c>
      <c r="D309" s="257" t="s">
        <v>122</v>
      </c>
      <c r="E309" s="459" t="s">
        <v>3377</v>
      </c>
      <c r="F309" s="258">
        <v>1991</v>
      </c>
      <c r="G309" s="171">
        <v>378</v>
      </c>
      <c r="H309" s="57"/>
      <c r="I309" s="88"/>
      <c r="J309" s="100">
        <v>0.54</v>
      </c>
      <c r="K309" s="272"/>
      <c r="L309" s="91"/>
      <c r="M309" s="506">
        <v>350</v>
      </c>
      <c r="N309" s="506"/>
      <c r="O309" s="106" t="s">
        <v>12</v>
      </c>
      <c r="P309" s="94"/>
      <c r="Q309" s="262"/>
      <c r="R309" s="94"/>
      <c r="S309" s="94"/>
      <c r="T309" s="506"/>
      <c r="U309" s="65"/>
      <c r="V309" s="140"/>
      <c r="W309" s="141"/>
      <c r="X309" s="120">
        <v>0</v>
      </c>
      <c r="Y309" s="120">
        <v>0</v>
      </c>
      <c r="Z309" s="120">
        <v>0</v>
      </c>
      <c r="AA309" s="130"/>
      <c r="AB309" s="17">
        <v>0</v>
      </c>
      <c r="AC309" s="17">
        <v>0</v>
      </c>
      <c r="AD309" s="130"/>
      <c r="AE309" s="130"/>
      <c r="AF309" s="17">
        <v>0</v>
      </c>
      <c r="AG309" s="17">
        <v>0</v>
      </c>
      <c r="AH309" s="17">
        <v>0</v>
      </c>
      <c r="AI309" s="133">
        <v>0</v>
      </c>
      <c r="AJ309" s="133">
        <v>0</v>
      </c>
      <c r="AK309" s="17">
        <v>0</v>
      </c>
      <c r="AL309" s="137">
        <v>0</v>
      </c>
      <c r="AM309" s="509">
        <v>44.1</v>
      </c>
      <c r="AN309" s="89"/>
      <c r="AO309" s="507"/>
      <c r="AP309" s="262"/>
      <c r="AQ309" s="133" t="s">
        <v>157</v>
      </c>
      <c r="AR309" s="174" t="s">
        <v>2627</v>
      </c>
      <c r="AS309" s="270"/>
      <c r="AT309" s="171" t="str">
        <f t="shared" si="26"/>
        <v>600</v>
      </c>
      <c r="AU309" s="255">
        <f t="shared" si="25"/>
        <v>23.076923076923077</v>
      </c>
      <c r="AV309" s="106">
        <v>65</v>
      </c>
      <c r="AW309" s="257">
        <v>150</v>
      </c>
      <c r="AX309" s="261"/>
      <c r="AY309" s="258">
        <v>90</v>
      </c>
      <c r="AZ309" s="261"/>
      <c r="BA309" s="175">
        <v>65</v>
      </c>
      <c r="BB309" s="259"/>
      <c r="BC309" s="207"/>
      <c r="BD309" s="177" t="s">
        <v>259</v>
      </c>
      <c r="BE309" s="177" t="s">
        <v>259</v>
      </c>
      <c r="BF309" s="208"/>
      <c r="BG309" s="27"/>
      <c r="BH309" s="27"/>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row>
    <row r="310" spans="1:82" s="9" customFormat="1" ht="15" customHeight="1">
      <c r="A310" s="95">
        <v>309</v>
      </c>
      <c r="B310" s="96" t="s">
        <v>1433</v>
      </c>
      <c r="C310" s="73" t="s">
        <v>156</v>
      </c>
      <c r="D310" s="257" t="s">
        <v>122</v>
      </c>
      <c r="E310" s="459" t="s">
        <v>3377</v>
      </c>
      <c r="F310" s="258">
        <v>1991</v>
      </c>
      <c r="G310" s="171">
        <v>378</v>
      </c>
      <c r="H310" s="57"/>
      <c r="I310" s="88"/>
      <c r="J310" s="100">
        <v>0.54</v>
      </c>
      <c r="K310" s="272"/>
      <c r="L310" s="91"/>
      <c r="M310" s="506">
        <v>350</v>
      </c>
      <c r="N310" s="506"/>
      <c r="O310" s="106" t="s">
        <v>12</v>
      </c>
      <c r="P310" s="94"/>
      <c r="Q310" s="262"/>
      <c r="R310" s="94"/>
      <c r="S310" s="94"/>
      <c r="T310" s="506"/>
      <c r="U310" s="65"/>
      <c r="V310" s="140"/>
      <c r="W310" s="141"/>
      <c r="X310" s="120">
        <v>0</v>
      </c>
      <c r="Y310" s="120">
        <v>0</v>
      </c>
      <c r="Z310" s="120">
        <v>0</v>
      </c>
      <c r="AA310" s="130"/>
      <c r="AB310" s="17">
        <v>0</v>
      </c>
      <c r="AC310" s="17">
        <v>0</v>
      </c>
      <c r="AD310" s="130"/>
      <c r="AE310" s="130"/>
      <c r="AF310" s="17">
        <v>0</v>
      </c>
      <c r="AG310" s="17">
        <v>0</v>
      </c>
      <c r="AH310" s="17">
        <v>0</v>
      </c>
      <c r="AI310" s="133">
        <v>0</v>
      </c>
      <c r="AJ310" s="133">
        <v>0</v>
      </c>
      <c r="AK310" s="17">
        <v>0</v>
      </c>
      <c r="AL310" s="137">
        <v>0</v>
      </c>
      <c r="AM310" s="509">
        <v>44.1</v>
      </c>
      <c r="AN310" s="89"/>
      <c r="AO310" s="507"/>
      <c r="AP310" s="262"/>
      <c r="AQ310" s="133" t="s">
        <v>157</v>
      </c>
      <c r="AR310" s="174" t="s">
        <v>2627</v>
      </c>
      <c r="AS310" s="270"/>
      <c r="AT310" s="171" t="str">
        <f t="shared" si="26"/>
        <v>600</v>
      </c>
      <c r="AU310" s="255">
        <f t="shared" si="25"/>
        <v>23.076923076923077</v>
      </c>
      <c r="AV310" s="106">
        <v>100</v>
      </c>
      <c r="AW310" s="257">
        <v>90</v>
      </c>
      <c r="AX310" s="261"/>
      <c r="AY310" s="258">
        <v>20</v>
      </c>
      <c r="AZ310" s="261"/>
      <c r="BA310" s="175">
        <v>95</v>
      </c>
      <c r="BB310" s="259"/>
      <c r="BC310" s="207"/>
      <c r="BD310" s="177" t="s">
        <v>259</v>
      </c>
      <c r="BE310" s="177" t="s">
        <v>259</v>
      </c>
      <c r="BF310" s="208"/>
      <c r="BG310" s="27"/>
      <c r="BH310" s="27"/>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row>
    <row r="311" spans="1:82" s="9" customFormat="1" ht="15" customHeight="1">
      <c r="A311" s="95">
        <v>310</v>
      </c>
      <c r="B311" s="96" t="s">
        <v>1432</v>
      </c>
      <c r="C311" s="73" t="s">
        <v>156</v>
      </c>
      <c r="D311" s="257" t="s">
        <v>122</v>
      </c>
      <c r="E311" s="459" t="s">
        <v>3377</v>
      </c>
      <c r="F311" s="258">
        <v>1991</v>
      </c>
      <c r="G311" s="171">
        <v>378</v>
      </c>
      <c r="H311" s="57"/>
      <c r="I311" s="88"/>
      <c r="J311" s="100">
        <v>0.54</v>
      </c>
      <c r="K311" s="272"/>
      <c r="L311" s="91"/>
      <c r="M311" s="506">
        <v>350</v>
      </c>
      <c r="N311" s="506"/>
      <c r="O311" s="106" t="s">
        <v>12</v>
      </c>
      <c r="P311" s="94"/>
      <c r="Q311" s="262"/>
      <c r="R311" s="94"/>
      <c r="S311" s="94"/>
      <c r="T311" s="506"/>
      <c r="U311" s="65"/>
      <c r="V311" s="140"/>
      <c r="W311" s="141"/>
      <c r="X311" s="120">
        <v>0</v>
      </c>
      <c r="Y311" s="120">
        <v>0</v>
      </c>
      <c r="Z311" s="120">
        <v>0</v>
      </c>
      <c r="AA311" s="130"/>
      <c r="AB311" s="17">
        <v>0</v>
      </c>
      <c r="AC311" s="17">
        <v>0</v>
      </c>
      <c r="AD311" s="130"/>
      <c r="AE311" s="130"/>
      <c r="AF311" s="17">
        <v>0</v>
      </c>
      <c r="AG311" s="17">
        <v>0</v>
      </c>
      <c r="AH311" s="17">
        <v>0</v>
      </c>
      <c r="AI311" s="133">
        <v>0</v>
      </c>
      <c r="AJ311" s="133">
        <v>0</v>
      </c>
      <c r="AK311" s="17">
        <v>0</v>
      </c>
      <c r="AL311" s="137">
        <v>0</v>
      </c>
      <c r="AM311" s="509">
        <v>44.1</v>
      </c>
      <c r="AN311" s="89"/>
      <c r="AO311" s="507"/>
      <c r="AP311" s="262"/>
      <c r="AQ311" s="133" t="s">
        <v>157</v>
      </c>
      <c r="AR311" s="174" t="s">
        <v>2627</v>
      </c>
      <c r="AS311" s="270"/>
      <c r="AT311" s="171" t="str">
        <f t="shared" si="26"/>
        <v>600</v>
      </c>
      <c r="AU311" s="255">
        <f t="shared" si="25"/>
        <v>23.076923076923077</v>
      </c>
      <c r="AV311" s="106">
        <v>95</v>
      </c>
      <c r="AW311" s="257">
        <v>150</v>
      </c>
      <c r="AX311" s="261"/>
      <c r="AY311" s="258">
        <v>50</v>
      </c>
      <c r="AZ311" s="261"/>
      <c r="BA311" s="175">
        <v>95</v>
      </c>
      <c r="BB311" s="259"/>
      <c r="BC311" s="207"/>
      <c r="BD311" s="177" t="s">
        <v>259</v>
      </c>
      <c r="BE311" s="177" t="s">
        <v>259</v>
      </c>
      <c r="BF311" s="208"/>
      <c r="BG311" s="27"/>
      <c r="BH311" s="27"/>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row>
    <row r="312" spans="1:82" s="9" customFormat="1" ht="15" customHeight="1">
      <c r="A312" s="95">
        <v>311</v>
      </c>
      <c r="B312" s="96" t="s">
        <v>1431</v>
      </c>
      <c r="C312" s="73" t="s">
        <v>156</v>
      </c>
      <c r="D312" s="257" t="s">
        <v>122</v>
      </c>
      <c r="E312" s="459" t="s">
        <v>3377</v>
      </c>
      <c r="F312" s="258">
        <v>1991</v>
      </c>
      <c r="G312" s="171">
        <v>378</v>
      </c>
      <c r="H312" s="57"/>
      <c r="I312" s="88"/>
      <c r="J312" s="100">
        <v>0.54</v>
      </c>
      <c r="K312" s="272"/>
      <c r="L312" s="91"/>
      <c r="M312" s="506">
        <v>350</v>
      </c>
      <c r="N312" s="506"/>
      <c r="O312" s="106" t="s">
        <v>12</v>
      </c>
      <c r="P312" s="94"/>
      <c r="Q312" s="262"/>
      <c r="R312" s="94"/>
      <c r="S312" s="94"/>
      <c r="T312" s="506"/>
      <c r="U312" s="65"/>
      <c r="V312" s="140"/>
      <c r="W312" s="141"/>
      <c r="X312" s="120">
        <v>0</v>
      </c>
      <c r="Y312" s="120">
        <v>0</v>
      </c>
      <c r="Z312" s="120">
        <v>0</v>
      </c>
      <c r="AA312" s="130"/>
      <c r="AB312" s="17">
        <v>0</v>
      </c>
      <c r="AC312" s="17">
        <v>0</v>
      </c>
      <c r="AD312" s="130"/>
      <c r="AE312" s="130"/>
      <c r="AF312" s="17">
        <v>0</v>
      </c>
      <c r="AG312" s="17">
        <v>0</v>
      </c>
      <c r="AH312" s="17">
        <v>0</v>
      </c>
      <c r="AI312" s="133">
        <v>0</v>
      </c>
      <c r="AJ312" s="133">
        <v>0</v>
      </c>
      <c r="AK312" s="17">
        <v>0</v>
      </c>
      <c r="AL312" s="137">
        <v>0</v>
      </c>
      <c r="AM312" s="509">
        <v>44.1</v>
      </c>
      <c r="AN312" s="89"/>
      <c r="AO312" s="507"/>
      <c r="AP312" s="262"/>
      <c r="AQ312" s="133" t="s">
        <v>157</v>
      </c>
      <c r="AR312" s="174" t="s">
        <v>2627</v>
      </c>
      <c r="AS312" s="270"/>
      <c r="AT312" s="171" t="str">
        <f t="shared" si="26"/>
        <v>600</v>
      </c>
      <c r="AU312" s="255">
        <f t="shared" si="25"/>
        <v>23.076923076923077</v>
      </c>
      <c r="AV312" s="106">
        <v>95</v>
      </c>
      <c r="AW312" s="257">
        <v>150</v>
      </c>
      <c r="AX312" s="261"/>
      <c r="AY312" s="258">
        <v>70</v>
      </c>
      <c r="AZ312" s="261"/>
      <c r="BA312" s="175">
        <v>95</v>
      </c>
      <c r="BB312" s="259"/>
      <c r="BC312" s="207"/>
      <c r="BD312" s="177" t="s">
        <v>259</v>
      </c>
      <c r="BE312" s="177" t="s">
        <v>259</v>
      </c>
      <c r="BF312" s="208"/>
      <c r="BG312" s="27"/>
      <c r="BH312" s="27"/>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row>
    <row r="313" spans="1:82" s="9" customFormat="1" ht="15" customHeight="1">
      <c r="A313" s="95">
        <v>312</v>
      </c>
      <c r="B313" s="96" t="s">
        <v>1430</v>
      </c>
      <c r="C313" s="73" t="s">
        <v>156</v>
      </c>
      <c r="D313" s="257" t="s">
        <v>122</v>
      </c>
      <c r="E313" s="459" t="s">
        <v>3377</v>
      </c>
      <c r="F313" s="258">
        <v>1991</v>
      </c>
      <c r="G313" s="171">
        <v>378</v>
      </c>
      <c r="H313" s="57"/>
      <c r="I313" s="88"/>
      <c r="J313" s="100">
        <v>0.54</v>
      </c>
      <c r="K313" s="272"/>
      <c r="L313" s="91"/>
      <c r="M313" s="506">
        <v>350</v>
      </c>
      <c r="N313" s="506"/>
      <c r="O313" s="106" t="s">
        <v>12</v>
      </c>
      <c r="P313" s="94"/>
      <c r="Q313" s="262"/>
      <c r="R313" s="94"/>
      <c r="S313" s="94"/>
      <c r="T313" s="506"/>
      <c r="U313" s="65"/>
      <c r="V313" s="140"/>
      <c r="W313" s="141"/>
      <c r="X313" s="120">
        <v>0</v>
      </c>
      <c r="Y313" s="120">
        <v>0</v>
      </c>
      <c r="Z313" s="120">
        <v>0</v>
      </c>
      <c r="AA313" s="130"/>
      <c r="AB313" s="17">
        <v>0</v>
      </c>
      <c r="AC313" s="17">
        <v>0</v>
      </c>
      <c r="AD313" s="130"/>
      <c r="AE313" s="130"/>
      <c r="AF313" s="17">
        <v>0</v>
      </c>
      <c r="AG313" s="17">
        <v>0</v>
      </c>
      <c r="AH313" s="17">
        <v>0</v>
      </c>
      <c r="AI313" s="133">
        <v>0</v>
      </c>
      <c r="AJ313" s="133">
        <v>0</v>
      </c>
      <c r="AK313" s="17">
        <v>0</v>
      </c>
      <c r="AL313" s="137">
        <v>0</v>
      </c>
      <c r="AM313" s="509">
        <v>44.1</v>
      </c>
      <c r="AN313" s="89"/>
      <c r="AO313" s="507"/>
      <c r="AP313" s="262"/>
      <c r="AQ313" s="133" t="s">
        <v>157</v>
      </c>
      <c r="AR313" s="174" t="s">
        <v>2627</v>
      </c>
      <c r="AS313" s="270"/>
      <c r="AT313" s="171" t="str">
        <f t="shared" si="26"/>
        <v>600</v>
      </c>
      <c r="AU313" s="255">
        <f t="shared" si="25"/>
        <v>23.076923076923077</v>
      </c>
      <c r="AV313" s="106">
        <v>95</v>
      </c>
      <c r="AW313" s="257">
        <v>150</v>
      </c>
      <c r="AX313" s="261"/>
      <c r="AY313" s="258">
        <v>90</v>
      </c>
      <c r="AZ313" s="261"/>
      <c r="BA313" s="175">
        <v>95</v>
      </c>
      <c r="BB313" s="259"/>
      <c r="BC313" s="207"/>
      <c r="BD313" s="177" t="s">
        <v>259</v>
      </c>
      <c r="BE313" s="177" t="s">
        <v>259</v>
      </c>
      <c r="BF313" s="208"/>
      <c r="BG313" s="27"/>
      <c r="BH313" s="27"/>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row>
    <row r="314" spans="1:82" s="9" customFormat="1" ht="15" customHeight="1">
      <c r="A314" s="95">
        <v>313</v>
      </c>
      <c r="B314" s="96" t="s">
        <v>1429</v>
      </c>
      <c r="C314" s="73" t="s">
        <v>2586</v>
      </c>
      <c r="D314" s="257" t="s">
        <v>130</v>
      </c>
      <c r="E314" s="459" t="s">
        <v>3377</v>
      </c>
      <c r="F314" s="258">
        <v>1992</v>
      </c>
      <c r="G314" s="171">
        <v>36</v>
      </c>
      <c r="H314" s="57"/>
      <c r="I314" s="88"/>
      <c r="J314" s="100">
        <v>0.33200000000000002</v>
      </c>
      <c r="K314" s="44">
        <v>3.7869999999999999</v>
      </c>
      <c r="L314" s="91"/>
      <c r="M314" s="506">
        <v>456</v>
      </c>
      <c r="N314" s="506"/>
      <c r="O314" s="106" t="s">
        <v>12</v>
      </c>
      <c r="P314" s="94"/>
      <c r="Q314" s="262"/>
      <c r="R314" s="94"/>
      <c r="S314" s="94"/>
      <c r="T314" s="506"/>
      <c r="U314" s="65"/>
      <c r="V314" s="131">
        <v>7.8949999999999996</v>
      </c>
      <c r="W314" s="132">
        <v>0</v>
      </c>
      <c r="X314" s="120">
        <v>0</v>
      </c>
      <c r="Y314" s="120">
        <v>0</v>
      </c>
      <c r="Z314" s="120">
        <v>0</v>
      </c>
      <c r="AA314" s="130"/>
      <c r="AB314" s="17">
        <v>0</v>
      </c>
      <c r="AC314" s="17">
        <v>0</v>
      </c>
      <c r="AD314" s="130"/>
      <c r="AE314" s="130"/>
      <c r="AF314" s="17">
        <v>0</v>
      </c>
      <c r="AG314" s="133">
        <v>7.6749999999999998</v>
      </c>
      <c r="AH314" s="17">
        <v>0</v>
      </c>
      <c r="AI314" s="133">
        <v>0.498</v>
      </c>
      <c r="AJ314" s="133">
        <v>0</v>
      </c>
      <c r="AK314" s="17">
        <v>0</v>
      </c>
      <c r="AL314" s="137">
        <v>0</v>
      </c>
      <c r="AM314" s="509">
        <v>94.5</v>
      </c>
      <c r="AN314" s="89"/>
      <c r="AO314" s="507"/>
      <c r="AP314" s="262"/>
      <c r="AQ314" s="133" t="s">
        <v>1396</v>
      </c>
      <c r="AR314" s="174">
        <v>80</v>
      </c>
      <c r="AS314" s="270"/>
      <c r="AT314" s="171" t="str">
        <f t="shared" si="26"/>
        <v>1000</v>
      </c>
      <c r="AU314" s="255">
        <f t="shared" ref="AU314:AU326" si="27">(AR314*AT314)/((2*AT314)+(2*AR314))</f>
        <v>37.037037037037038</v>
      </c>
      <c r="AV314" s="275"/>
      <c r="AW314" s="257">
        <v>1</v>
      </c>
      <c r="AX314" s="261"/>
      <c r="AY314" s="258">
        <v>20</v>
      </c>
      <c r="AZ314" s="261"/>
      <c r="BA314" s="175">
        <v>50</v>
      </c>
      <c r="BB314" s="259"/>
      <c r="BC314" s="207"/>
      <c r="BD314" s="209"/>
      <c r="BE314" s="177" t="s">
        <v>259</v>
      </c>
      <c r="BF314" s="208"/>
      <c r="BG314" s="27"/>
      <c r="BH314" s="27"/>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row>
    <row r="315" spans="1:82" s="9" customFormat="1" ht="15" customHeight="1">
      <c r="A315" s="95">
        <v>314</v>
      </c>
      <c r="B315" s="96" t="s">
        <v>1428</v>
      </c>
      <c r="C315" s="73" t="s">
        <v>2586</v>
      </c>
      <c r="D315" s="257" t="s">
        <v>130</v>
      </c>
      <c r="E315" s="459" t="s">
        <v>3377</v>
      </c>
      <c r="F315" s="258">
        <v>1992</v>
      </c>
      <c r="G315" s="171">
        <v>36</v>
      </c>
      <c r="H315" s="57"/>
      <c r="I315" s="88"/>
      <c r="J315" s="100">
        <v>0.33200000000000002</v>
      </c>
      <c r="K315" s="44">
        <v>3.7869999999999999</v>
      </c>
      <c r="L315" s="91"/>
      <c r="M315" s="506">
        <v>456</v>
      </c>
      <c r="N315" s="506"/>
      <c r="O315" s="106" t="s">
        <v>12</v>
      </c>
      <c r="P315" s="94"/>
      <c r="Q315" s="262"/>
      <c r="R315" s="94"/>
      <c r="S315" s="94"/>
      <c r="T315" s="506"/>
      <c r="U315" s="65"/>
      <c r="V315" s="131">
        <v>7.8949999999999996</v>
      </c>
      <c r="W315" s="132">
        <v>0</v>
      </c>
      <c r="X315" s="120">
        <v>0</v>
      </c>
      <c r="Y315" s="120">
        <v>0</v>
      </c>
      <c r="Z315" s="120">
        <v>0</v>
      </c>
      <c r="AA315" s="130"/>
      <c r="AB315" s="17">
        <v>0</v>
      </c>
      <c r="AC315" s="17">
        <v>0</v>
      </c>
      <c r="AD315" s="130"/>
      <c r="AE315" s="130"/>
      <c r="AF315" s="17">
        <v>0</v>
      </c>
      <c r="AG315" s="133">
        <v>7.6749999999999998</v>
      </c>
      <c r="AH315" s="17">
        <v>0</v>
      </c>
      <c r="AI315" s="133">
        <v>0.498</v>
      </c>
      <c r="AJ315" s="133">
        <v>0</v>
      </c>
      <c r="AK315" s="17">
        <v>0</v>
      </c>
      <c r="AL315" s="137">
        <v>0</v>
      </c>
      <c r="AM315" s="509">
        <v>94.5</v>
      </c>
      <c r="AN315" s="89"/>
      <c r="AO315" s="507"/>
      <c r="AP315" s="262"/>
      <c r="AQ315" s="133" t="s">
        <v>1396</v>
      </c>
      <c r="AR315" s="174">
        <v>80</v>
      </c>
      <c r="AS315" s="270"/>
      <c r="AT315" s="171" t="str">
        <f t="shared" si="26"/>
        <v>1000</v>
      </c>
      <c r="AU315" s="255">
        <f t="shared" si="27"/>
        <v>37.037037037037038</v>
      </c>
      <c r="AV315" s="275"/>
      <c r="AW315" s="257">
        <v>1</v>
      </c>
      <c r="AX315" s="261"/>
      <c r="AY315" s="258">
        <v>20</v>
      </c>
      <c r="AZ315" s="261"/>
      <c r="BA315" s="175">
        <v>99</v>
      </c>
      <c r="BB315" s="259"/>
      <c r="BC315" s="207"/>
      <c r="BD315" s="209"/>
      <c r="BE315" s="177" t="s">
        <v>259</v>
      </c>
      <c r="BF315" s="208"/>
      <c r="BG315" s="27"/>
      <c r="BH315" s="27"/>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row>
    <row r="316" spans="1:82" s="9" customFormat="1" ht="15" customHeight="1">
      <c r="A316" s="95">
        <v>315</v>
      </c>
      <c r="B316" s="96" t="s">
        <v>1427</v>
      </c>
      <c r="C316" s="73" t="s">
        <v>2586</v>
      </c>
      <c r="D316" s="257" t="s">
        <v>130</v>
      </c>
      <c r="E316" s="459" t="s">
        <v>3377</v>
      </c>
      <c r="F316" s="258">
        <v>1992</v>
      </c>
      <c r="G316" s="171">
        <v>36</v>
      </c>
      <c r="H316" s="57"/>
      <c r="I316" s="88"/>
      <c r="J316" s="100">
        <v>0.38800000000000001</v>
      </c>
      <c r="K316" s="44">
        <v>3.77</v>
      </c>
      <c r="L316" s="91"/>
      <c r="M316" s="506">
        <v>453</v>
      </c>
      <c r="N316" s="506"/>
      <c r="O316" s="106" t="s">
        <v>12</v>
      </c>
      <c r="P316" s="94"/>
      <c r="Q316" s="262"/>
      <c r="R316" s="94"/>
      <c r="S316" s="94"/>
      <c r="T316" s="506"/>
      <c r="U316" s="65"/>
      <c r="V316" s="131">
        <v>7.9470000000000001</v>
      </c>
      <c r="W316" s="132">
        <v>0</v>
      </c>
      <c r="X316" s="120">
        <v>0</v>
      </c>
      <c r="Y316" s="120">
        <v>0</v>
      </c>
      <c r="Z316" s="120">
        <v>0</v>
      </c>
      <c r="AA316" s="130"/>
      <c r="AB316" s="17">
        <v>0</v>
      </c>
      <c r="AC316" s="17">
        <v>0</v>
      </c>
      <c r="AD316" s="130"/>
      <c r="AE316" s="130"/>
      <c r="AF316" s="17">
        <v>0</v>
      </c>
      <c r="AG316" s="133">
        <v>7.2850000000000001</v>
      </c>
      <c r="AH316" s="17">
        <v>0</v>
      </c>
      <c r="AI316" s="133">
        <v>0.501</v>
      </c>
      <c r="AJ316" s="133">
        <v>0</v>
      </c>
      <c r="AK316" s="17">
        <v>0</v>
      </c>
      <c r="AL316" s="137">
        <v>0</v>
      </c>
      <c r="AM316" s="509">
        <v>83.3</v>
      </c>
      <c r="AN316" s="89"/>
      <c r="AO316" s="507"/>
      <c r="AP316" s="262"/>
      <c r="AQ316" s="133" t="s">
        <v>1396</v>
      </c>
      <c r="AR316" s="174">
        <v>80</v>
      </c>
      <c r="AS316" s="270"/>
      <c r="AT316" s="171" t="str">
        <f t="shared" si="26"/>
        <v>1000</v>
      </c>
      <c r="AU316" s="255">
        <f t="shared" si="27"/>
        <v>37.037037037037038</v>
      </c>
      <c r="AV316" s="275"/>
      <c r="AW316" s="257">
        <v>1</v>
      </c>
      <c r="AX316" s="261"/>
      <c r="AY316" s="258">
        <v>20</v>
      </c>
      <c r="AZ316" s="261"/>
      <c r="BA316" s="175">
        <v>50</v>
      </c>
      <c r="BB316" s="259"/>
      <c r="BC316" s="207"/>
      <c r="BD316" s="209"/>
      <c r="BE316" s="177" t="s">
        <v>259</v>
      </c>
      <c r="BF316" s="208"/>
      <c r="BG316" s="27"/>
      <c r="BH316" s="27"/>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row>
    <row r="317" spans="1:82" s="9" customFormat="1" ht="15" customHeight="1">
      <c r="A317" s="95">
        <v>316</v>
      </c>
      <c r="B317" s="96" t="s">
        <v>1426</v>
      </c>
      <c r="C317" s="73" t="s">
        <v>2586</v>
      </c>
      <c r="D317" s="257" t="s">
        <v>130</v>
      </c>
      <c r="E317" s="459" t="s">
        <v>3377</v>
      </c>
      <c r="F317" s="258">
        <v>1992</v>
      </c>
      <c r="G317" s="171">
        <v>36</v>
      </c>
      <c r="H317" s="57"/>
      <c r="I317" s="88"/>
      <c r="J317" s="100">
        <v>0.38800000000000001</v>
      </c>
      <c r="K317" s="44">
        <v>3.77</v>
      </c>
      <c r="L317" s="91"/>
      <c r="M317" s="506">
        <v>453</v>
      </c>
      <c r="N317" s="506"/>
      <c r="O317" s="106" t="s">
        <v>12</v>
      </c>
      <c r="P317" s="94"/>
      <c r="Q317" s="262"/>
      <c r="R317" s="94"/>
      <c r="S317" s="94"/>
      <c r="T317" s="506"/>
      <c r="U317" s="65"/>
      <c r="V317" s="131">
        <v>7.9470000000000001</v>
      </c>
      <c r="W317" s="132">
        <v>0</v>
      </c>
      <c r="X317" s="120">
        <v>0</v>
      </c>
      <c r="Y317" s="120">
        <v>0</v>
      </c>
      <c r="Z317" s="120">
        <v>0</v>
      </c>
      <c r="AA317" s="130"/>
      <c r="AB317" s="17">
        <v>0</v>
      </c>
      <c r="AC317" s="17">
        <v>0</v>
      </c>
      <c r="AD317" s="130"/>
      <c r="AE317" s="130"/>
      <c r="AF317" s="17">
        <v>0</v>
      </c>
      <c r="AG317" s="133">
        <v>7.2850000000000001</v>
      </c>
      <c r="AH317" s="17">
        <v>0</v>
      </c>
      <c r="AI317" s="133">
        <v>0.501</v>
      </c>
      <c r="AJ317" s="133">
        <v>0</v>
      </c>
      <c r="AK317" s="17">
        <v>0</v>
      </c>
      <c r="AL317" s="137">
        <v>0</v>
      </c>
      <c r="AM317" s="509">
        <v>83.3</v>
      </c>
      <c r="AN317" s="89"/>
      <c r="AO317" s="507"/>
      <c r="AP317" s="262"/>
      <c r="AQ317" s="133" t="s">
        <v>1396</v>
      </c>
      <c r="AR317" s="174">
        <v>80</v>
      </c>
      <c r="AS317" s="270"/>
      <c r="AT317" s="171" t="str">
        <f t="shared" si="26"/>
        <v>1000</v>
      </c>
      <c r="AU317" s="255">
        <f t="shared" si="27"/>
        <v>37.037037037037038</v>
      </c>
      <c r="AV317" s="275"/>
      <c r="AW317" s="257">
        <v>1</v>
      </c>
      <c r="AX317" s="261"/>
      <c r="AY317" s="258">
        <v>20</v>
      </c>
      <c r="AZ317" s="261"/>
      <c r="BA317" s="175">
        <v>99</v>
      </c>
      <c r="BB317" s="259"/>
      <c r="BC317" s="207"/>
      <c r="BD317" s="209"/>
      <c r="BE317" s="177" t="s">
        <v>259</v>
      </c>
      <c r="BF317" s="208"/>
      <c r="BG317" s="27"/>
      <c r="BH317" s="27"/>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row>
    <row r="318" spans="1:82" s="9" customFormat="1" ht="15" customHeight="1">
      <c r="A318" s="95">
        <v>317</v>
      </c>
      <c r="B318" s="96" t="s">
        <v>1425</v>
      </c>
      <c r="C318" s="73" t="s">
        <v>2586</v>
      </c>
      <c r="D318" s="257" t="s">
        <v>130</v>
      </c>
      <c r="E318" s="459" t="s">
        <v>3377</v>
      </c>
      <c r="F318" s="258">
        <v>1992</v>
      </c>
      <c r="G318" s="171">
        <v>36</v>
      </c>
      <c r="H318" s="57"/>
      <c r="I318" s="88"/>
      <c r="J318" s="100">
        <v>0.41599999999999998</v>
      </c>
      <c r="K318" s="44">
        <v>3.77</v>
      </c>
      <c r="L318" s="91"/>
      <c r="M318" s="506">
        <v>453</v>
      </c>
      <c r="N318" s="506"/>
      <c r="O318" s="106" t="s">
        <v>12</v>
      </c>
      <c r="P318" s="94"/>
      <c r="Q318" s="262"/>
      <c r="R318" s="94"/>
      <c r="S318" s="94"/>
      <c r="T318" s="506"/>
      <c r="U318" s="65"/>
      <c r="V318" s="131">
        <v>7.9470000000000001</v>
      </c>
      <c r="W318" s="132">
        <v>0</v>
      </c>
      <c r="X318" s="120">
        <v>0</v>
      </c>
      <c r="Y318" s="120">
        <v>0</v>
      </c>
      <c r="Z318" s="120">
        <v>0</v>
      </c>
      <c r="AA318" s="130"/>
      <c r="AB318" s="17">
        <v>0</v>
      </c>
      <c r="AC318" s="17">
        <v>0</v>
      </c>
      <c r="AD318" s="130"/>
      <c r="AE318" s="130"/>
      <c r="AF318" s="17">
        <v>0</v>
      </c>
      <c r="AG318" s="133">
        <v>3.9740000000000002</v>
      </c>
      <c r="AH318" s="17">
        <v>0</v>
      </c>
      <c r="AI318" s="133">
        <v>0.501</v>
      </c>
      <c r="AJ318" s="133">
        <v>0</v>
      </c>
      <c r="AK318" s="17">
        <v>0</v>
      </c>
      <c r="AL318" s="137">
        <v>0</v>
      </c>
      <c r="AM318" s="509">
        <v>73.8</v>
      </c>
      <c r="AN318" s="89"/>
      <c r="AO318" s="507"/>
      <c r="AP318" s="262"/>
      <c r="AQ318" s="133" t="s">
        <v>1396</v>
      </c>
      <c r="AR318" s="174">
        <v>80</v>
      </c>
      <c r="AS318" s="270"/>
      <c r="AT318" s="171" t="str">
        <f t="shared" si="26"/>
        <v>1000</v>
      </c>
      <c r="AU318" s="255">
        <f t="shared" si="27"/>
        <v>37.037037037037038</v>
      </c>
      <c r="AV318" s="275"/>
      <c r="AW318" s="257">
        <v>1</v>
      </c>
      <c r="AX318" s="261"/>
      <c r="AY318" s="258">
        <v>20</v>
      </c>
      <c r="AZ318" s="261"/>
      <c r="BA318" s="175">
        <v>50</v>
      </c>
      <c r="BB318" s="259"/>
      <c r="BC318" s="207" t="s">
        <v>558</v>
      </c>
      <c r="BD318" s="209"/>
      <c r="BE318" s="177" t="s">
        <v>259</v>
      </c>
      <c r="BF318" s="208"/>
      <c r="BG318" s="27"/>
      <c r="BH318" s="27"/>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row>
    <row r="319" spans="1:82" s="9" customFormat="1" ht="15" customHeight="1">
      <c r="A319" s="95">
        <v>318</v>
      </c>
      <c r="B319" s="96" t="s">
        <v>1424</v>
      </c>
      <c r="C319" s="73" t="s">
        <v>2586</v>
      </c>
      <c r="D319" s="257" t="s">
        <v>130</v>
      </c>
      <c r="E319" s="459" t="s">
        <v>3377</v>
      </c>
      <c r="F319" s="258">
        <v>1992</v>
      </c>
      <c r="G319" s="171">
        <v>36</v>
      </c>
      <c r="H319" s="57"/>
      <c r="I319" s="88"/>
      <c r="J319" s="100">
        <v>0.41599999999999998</v>
      </c>
      <c r="K319" s="44">
        <v>3.77</v>
      </c>
      <c r="L319" s="91"/>
      <c r="M319" s="506">
        <v>453</v>
      </c>
      <c r="N319" s="506"/>
      <c r="O319" s="106" t="s">
        <v>12</v>
      </c>
      <c r="P319" s="94"/>
      <c r="Q319" s="262"/>
      <c r="R319" s="94"/>
      <c r="S319" s="94"/>
      <c r="T319" s="506"/>
      <c r="U319" s="65"/>
      <c r="V319" s="131">
        <v>7.9470000000000001</v>
      </c>
      <c r="W319" s="132">
        <v>0</v>
      </c>
      <c r="X319" s="120">
        <v>0</v>
      </c>
      <c r="Y319" s="120">
        <v>0</v>
      </c>
      <c r="Z319" s="120">
        <v>0</v>
      </c>
      <c r="AA319" s="130"/>
      <c r="AB319" s="17">
        <v>0</v>
      </c>
      <c r="AC319" s="17">
        <v>0</v>
      </c>
      <c r="AD319" s="130"/>
      <c r="AE319" s="130"/>
      <c r="AF319" s="17">
        <v>0</v>
      </c>
      <c r="AG319" s="133">
        <v>3.9740000000000002</v>
      </c>
      <c r="AH319" s="17">
        <v>0</v>
      </c>
      <c r="AI319" s="133">
        <v>0.501</v>
      </c>
      <c r="AJ319" s="133">
        <v>0</v>
      </c>
      <c r="AK319" s="17">
        <v>0</v>
      </c>
      <c r="AL319" s="137">
        <v>0</v>
      </c>
      <c r="AM319" s="509">
        <v>73.8</v>
      </c>
      <c r="AN319" s="89"/>
      <c r="AO319" s="507"/>
      <c r="AP319" s="262"/>
      <c r="AQ319" s="133" t="s">
        <v>1396</v>
      </c>
      <c r="AR319" s="174">
        <v>80</v>
      </c>
      <c r="AS319" s="270"/>
      <c r="AT319" s="171" t="str">
        <f t="shared" si="26"/>
        <v>1000</v>
      </c>
      <c r="AU319" s="255">
        <f t="shared" si="27"/>
        <v>37.037037037037038</v>
      </c>
      <c r="AV319" s="275"/>
      <c r="AW319" s="257">
        <v>1</v>
      </c>
      <c r="AX319" s="261"/>
      <c r="AY319" s="258">
        <v>20</v>
      </c>
      <c r="AZ319" s="261"/>
      <c r="BA319" s="175">
        <v>99</v>
      </c>
      <c r="BB319" s="259"/>
      <c r="BC319" s="207"/>
      <c r="BD319" s="209"/>
      <c r="BE319" s="177" t="s">
        <v>259</v>
      </c>
      <c r="BF319" s="208"/>
      <c r="BG319" s="27"/>
      <c r="BH319" s="27"/>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row>
    <row r="320" spans="1:82" s="9" customFormat="1" ht="15" customHeight="1">
      <c r="A320" s="95">
        <v>319</v>
      </c>
      <c r="B320" s="96" t="s">
        <v>1423</v>
      </c>
      <c r="C320" s="73" t="s">
        <v>2586</v>
      </c>
      <c r="D320" s="257" t="s">
        <v>130</v>
      </c>
      <c r="E320" s="459" t="s">
        <v>3377</v>
      </c>
      <c r="F320" s="258">
        <v>1992</v>
      </c>
      <c r="G320" s="171">
        <v>36</v>
      </c>
      <c r="H320" s="57"/>
      <c r="I320" s="88"/>
      <c r="J320" s="100">
        <v>0.38500000000000001</v>
      </c>
      <c r="K320" s="44">
        <v>3.77</v>
      </c>
      <c r="L320" s="91"/>
      <c r="M320" s="506">
        <v>453</v>
      </c>
      <c r="N320" s="506"/>
      <c r="O320" s="106" t="s">
        <v>12</v>
      </c>
      <c r="P320" s="94"/>
      <c r="Q320" s="262"/>
      <c r="R320" s="94"/>
      <c r="S320" s="94"/>
      <c r="T320" s="506"/>
      <c r="U320" s="65"/>
      <c r="V320" s="131">
        <v>0</v>
      </c>
      <c r="W320" s="132">
        <v>0</v>
      </c>
      <c r="X320" s="120">
        <v>0</v>
      </c>
      <c r="Y320" s="120">
        <v>0</v>
      </c>
      <c r="Z320" s="120">
        <v>0</v>
      </c>
      <c r="AA320" s="130"/>
      <c r="AB320" s="17">
        <v>0</v>
      </c>
      <c r="AC320" s="17">
        <v>0</v>
      </c>
      <c r="AD320" s="130"/>
      <c r="AE320" s="130"/>
      <c r="AF320" s="17">
        <v>0</v>
      </c>
      <c r="AG320" s="133">
        <v>4.415</v>
      </c>
      <c r="AH320" s="17">
        <v>0</v>
      </c>
      <c r="AI320" s="133">
        <v>0.501</v>
      </c>
      <c r="AJ320" s="133">
        <v>0</v>
      </c>
      <c r="AK320" s="17">
        <v>0</v>
      </c>
      <c r="AL320" s="137">
        <v>0</v>
      </c>
      <c r="AM320" s="509">
        <v>72.5</v>
      </c>
      <c r="AN320" s="89"/>
      <c r="AO320" s="507"/>
      <c r="AP320" s="262"/>
      <c r="AQ320" s="133" t="s">
        <v>1396</v>
      </c>
      <c r="AR320" s="174">
        <v>80</v>
      </c>
      <c r="AS320" s="270"/>
      <c r="AT320" s="171" t="str">
        <f t="shared" si="26"/>
        <v>1000</v>
      </c>
      <c r="AU320" s="255">
        <f t="shared" si="27"/>
        <v>37.037037037037038</v>
      </c>
      <c r="AV320" s="275"/>
      <c r="AW320" s="257">
        <v>1</v>
      </c>
      <c r="AX320" s="261"/>
      <c r="AY320" s="258">
        <v>20</v>
      </c>
      <c r="AZ320" s="261"/>
      <c r="BA320" s="175">
        <v>50</v>
      </c>
      <c r="BB320" s="259"/>
      <c r="BC320" s="207" t="s">
        <v>558</v>
      </c>
      <c r="BD320" s="209"/>
      <c r="BE320" s="177" t="s">
        <v>259</v>
      </c>
      <c r="BF320" s="208"/>
      <c r="BG320" s="27"/>
      <c r="BH320" s="27"/>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row>
    <row r="321" spans="1:82" s="9" customFormat="1" ht="15" customHeight="1">
      <c r="A321" s="95">
        <v>320</v>
      </c>
      <c r="B321" s="96" t="s">
        <v>1422</v>
      </c>
      <c r="C321" s="73" t="s">
        <v>2586</v>
      </c>
      <c r="D321" s="257" t="s">
        <v>130</v>
      </c>
      <c r="E321" s="459" t="s">
        <v>3377</v>
      </c>
      <c r="F321" s="258">
        <v>1992</v>
      </c>
      <c r="G321" s="171">
        <v>36</v>
      </c>
      <c r="H321" s="57"/>
      <c r="I321" s="88"/>
      <c r="J321" s="100">
        <v>0.38500000000000001</v>
      </c>
      <c r="K321" s="44">
        <v>3.77</v>
      </c>
      <c r="L321" s="91"/>
      <c r="M321" s="506">
        <v>453</v>
      </c>
      <c r="N321" s="506"/>
      <c r="O321" s="106" t="s">
        <v>12</v>
      </c>
      <c r="P321" s="94"/>
      <c r="Q321" s="262"/>
      <c r="R321" s="94"/>
      <c r="S321" s="94"/>
      <c r="T321" s="506"/>
      <c r="U321" s="65"/>
      <c r="V321" s="131">
        <v>0</v>
      </c>
      <c r="W321" s="132">
        <v>0</v>
      </c>
      <c r="X321" s="120">
        <v>0</v>
      </c>
      <c r="Y321" s="120">
        <v>0</v>
      </c>
      <c r="Z321" s="120">
        <v>0</v>
      </c>
      <c r="AA321" s="130"/>
      <c r="AB321" s="17">
        <v>0</v>
      </c>
      <c r="AC321" s="17">
        <v>0</v>
      </c>
      <c r="AD321" s="130"/>
      <c r="AE321" s="130"/>
      <c r="AF321" s="17">
        <v>0</v>
      </c>
      <c r="AG321" s="133">
        <v>4.415</v>
      </c>
      <c r="AH321" s="17">
        <v>0</v>
      </c>
      <c r="AI321" s="133">
        <v>0.501</v>
      </c>
      <c r="AJ321" s="133">
        <v>0</v>
      </c>
      <c r="AK321" s="17">
        <v>0</v>
      </c>
      <c r="AL321" s="137">
        <v>0</v>
      </c>
      <c r="AM321" s="509">
        <v>72.5</v>
      </c>
      <c r="AN321" s="89"/>
      <c r="AO321" s="507"/>
      <c r="AP321" s="262"/>
      <c r="AQ321" s="133" t="s">
        <v>1396</v>
      </c>
      <c r="AR321" s="174">
        <v>80</v>
      </c>
      <c r="AS321" s="270"/>
      <c r="AT321" s="171" t="str">
        <f t="shared" si="26"/>
        <v>1000</v>
      </c>
      <c r="AU321" s="255">
        <f t="shared" si="27"/>
        <v>37.037037037037038</v>
      </c>
      <c r="AV321" s="275"/>
      <c r="AW321" s="257">
        <v>1</v>
      </c>
      <c r="AX321" s="261"/>
      <c r="AY321" s="258">
        <v>20</v>
      </c>
      <c r="AZ321" s="261"/>
      <c r="BA321" s="175">
        <v>99</v>
      </c>
      <c r="BB321" s="259"/>
      <c r="BC321" s="207"/>
      <c r="BD321" s="209"/>
      <c r="BE321" s="177" t="s">
        <v>259</v>
      </c>
      <c r="BF321" s="208"/>
      <c r="BG321" s="27"/>
      <c r="BH321" s="27"/>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row>
    <row r="322" spans="1:82" s="9" customFormat="1" ht="15" customHeight="1">
      <c r="A322" s="95">
        <v>321</v>
      </c>
      <c r="B322" s="96" t="s">
        <v>1421</v>
      </c>
      <c r="C322" s="73" t="s">
        <v>2586</v>
      </c>
      <c r="D322" s="257" t="s">
        <v>130</v>
      </c>
      <c r="E322" s="459" t="s">
        <v>3377</v>
      </c>
      <c r="F322" s="258">
        <v>1992</v>
      </c>
      <c r="G322" s="171">
        <v>36</v>
      </c>
      <c r="H322" s="57"/>
      <c r="I322" s="88"/>
      <c r="J322" s="100">
        <v>0.41099999999999998</v>
      </c>
      <c r="K322" s="44">
        <v>3.7690000000000001</v>
      </c>
      <c r="L322" s="91"/>
      <c r="M322" s="506">
        <v>455</v>
      </c>
      <c r="N322" s="506"/>
      <c r="O322" s="106" t="s">
        <v>12</v>
      </c>
      <c r="P322" s="94"/>
      <c r="Q322" s="262"/>
      <c r="R322" s="94"/>
      <c r="S322" s="94"/>
      <c r="T322" s="506"/>
      <c r="U322" s="65"/>
      <c r="V322" s="131">
        <v>0</v>
      </c>
      <c r="W322" s="132">
        <v>0</v>
      </c>
      <c r="X322" s="120">
        <v>0</v>
      </c>
      <c r="Y322" s="120">
        <v>0</v>
      </c>
      <c r="Z322" s="120">
        <v>0</v>
      </c>
      <c r="AA322" s="130"/>
      <c r="AB322" s="17">
        <v>0</v>
      </c>
      <c r="AC322" s="17">
        <v>0</v>
      </c>
      <c r="AD322" s="130"/>
      <c r="AE322" s="130"/>
      <c r="AF322" s="17">
        <v>0</v>
      </c>
      <c r="AG322" s="133">
        <v>2.637</v>
      </c>
      <c r="AH322" s="17">
        <v>0</v>
      </c>
      <c r="AI322" s="133">
        <v>0.499</v>
      </c>
      <c r="AJ322" s="133">
        <v>0</v>
      </c>
      <c r="AK322" s="17">
        <v>0</v>
      </c>
      <c r="AL322" s="137">
        <v>0</v>
      </c>
      <c r="AM322" s="509">
        <v>64</v>
      </c>
      <c r="AN322" s="89"/>
      <c r="AO322" s="507"/>
      <c r="AP322" s="262"/>
      <c r="AQ322" s="133" t="s">
        <v>1396</v>
      </c>
      <c r="AR322" s="174">
        <v>80</v>
      </c>
      <c r="AS322" s="270"/>
      <c r="AT322" s="171" t="str">
        <f t="shared" si="26"/>
        <v>1000</v>
      </c>
      <c r="AU322" s="255">
        <f t="shared" si="27"/>
        <v>37.037037037037038</v>
      </c>
      <c r="AV322" s="275"/>
      <c r="AW322" s="257">
        <v>1</v>
      </c>
      <c r="AX322" s="261"/>
      <c r="AY322" s="258">
        <v>20</v>
      </c>
      <c r="AZ322" s="261"/>
      <c r="BA322" s="175">
        <v>50</v>
      </c>
      <c r="BB322" s="259"/>
      <c r="BC322" s="207" t="s">
        <v>558</v>
      </c>
      <c r="BD322" s="209"/>
      <c r="BE322" s="177" t="s">
        <v>259</v>
      </c>
      <c r="BF322" s="208"/>
      <c r="BG322" s="27"/>
      <c r="BH322" s="27"/>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row>
    <row r="323" spans="1:82" s="9" customFormat="1" ht="15" customHeight="1">
      <c r="A323" s="95">
        <v>322</v>
      </c>
      <c r="B323" s="96" t="s">
        <v>1420</v>
      </c>
      <c r="C323" s="73" t="s">
        <v>2586</v>
      </c>
      <c r="D323" s="257" t="s">
        <v>130</v>
      </c>
      <c r="E323" s="459" t="s">
        <v>3377</v>
      </c>
      <c r="F323" s="258">
        <v>1992</v>
      </c>
      <c r="G323" s="171">
        <v>36</v>
      </c>
      <c r="H323" s="57"/>
      <c r="I323" s="88"/>
      <c r="J323" s="100">
        <v>0.41099999999999998</v>
      </c>
      <c r="K323" s="44">
        <v>3.7690000000000001</v>
      </c>
      <c r="L323" s="91"/>
      <c r="M323" s="506">
        <v>455</v>
      </c>
      <c r="N323" s="506"/>
      <c r="O323" s="106" t="s">
        <v>12</v>
      </c>
      <c r="P323" s="94"/>
      <c r="Q323" s="262"/>
      <c r="R323" s="94"/>
      <c r="S323" s="94"/>
      <c r="T323" s="506"/>
      <c r="U323" s="65"/>
      <c r="V323" s="131">
        <v>0</v>
      </c>
      <c r="W323" s="132">
        <v>0</v>
      </c>
      <c r="X323" s="120">
        <v>0</v>
      </c>
      <c r="Y323" s="120">
        <v>0</v>
      </c>
      <c r="Z323" s="120">
        <v>0</v>
      </c>
      <c r="AA323" s="130"/>
      <c r="AB323" s="17">
        <v>0</v>
      </c>
      <c r="AC323" s="17">
        <v>0</v>
      </c>
      <c r="AD323" s="130"/>
      <c r="AE323" s="130"/>
      <c r="AF323" s="17">
        <v>0</v>
      </c>
      <c r="AG323" s="133">
        <v>2.637</v>
      </c>
      <c r="AH323" s="17">
        <v>0</v>
      </c>
      <c r="AI323" s="133">
        <v>0.499</v>
      </c>
      <c r="AJ323" s="133">
        <v>0</v>
      </c>
      <c r="AK323" s="17">
        <v>0</v>
      </c>
      <c r="AL323" s="137">
        <v>0</v>
      </c>
      <c r="AM323" s="509">
        <v>64</v>
      </c>
      <c r="AN323" s="89"/>
      <c r="AO323" s="507"/>
      <c r="AP323" s="262"/>
      <c r="AQ323" s="133" t="s">
        <v>1396</v>
      </c>
      <c r="AR323" s="174">
        <v>80</v>
      </c>
      <c r="AS323" s="270"/>
      <c r="AT323" s="171" t="str">
        <f t="shared" si="26"/>
        <v>1000</v>
      </c>
      <c r="AU323" s="255">
        <f t="shared" si="27"/>
        <v>37.037037037037038</v>
      </c>
      <c r="AV323" s="275"/>
      <c r="AW323" s="257">
        <v>1</v>
      </c>
      <c r="AX323" s="261"/>
      <c r="AY323" s="258">
        <v>20</v>
      </c>
      <c r="AZ323" s="261"/>
      <c r="BA323" s="175">
        <v>99</v>
      </c>
      <c r="BB323" s="259"/>
      <c r="BC323" s="207"/>
      <c r="BD323" s="209"/>
      <c r="BE323" s="177" t="s">
        <v>259</v>
      </c>
      <c r="BF323" s="208"/>
      <c r="BG323" s="27"/>
      <c r="BH323" s="27"/>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row>
    <row r="324" spans="1:82" ht="15" customHeight="1">
      <c r="A324" s="95">
        <v>323</v>
      </c>
      <c r="B324" s="96" t="s">
        <v>1419</v>
      </c>
      <c r="C324" s="73" t="s">
        <v>2587</v>
      </c>
      <c r="D324" s="257" t="s">
        <v>119</v>
      </c>
      <c r="E324" s="459" t="s">
        <v>3377</v>
      </c>
      <c r="F324" s="258">
        <v>1991</v>
      </c>
      <c r="G324" s="24">
        <v>380</v>
      </c>
      <c r="H324" s="57"/>
      <c r="I324" s="88"/>
      <c r="J324" s="100">
        <v>0.48</v>
      </c>
      <c r="K324" s="44">
        <v>5.4279999999999999</v>
      </c>
      <c r="L324" s="91"/>
      <c r="M324" s="506">
        <v>350</v>
      </c>
      <c r="N324" s="506"/>
      <c r="O324" s="106" t="s">
        <v>12</v>
      </c>
      <c r="P324" s="94"/>
      <c r="Q324" s="262"/>
      <c r="R324" s="94"/>
      <c r="S324" s="94"/>
      <c r="T324" s="506"/>
      <c r="U324" s="65"/>
      <c r="V324" s="135"/>
      <c r="W324" s="129"/>
      <c r="X324" s="120">
        <v>0</v>
      </c>
      <c r="Y324" s="120">
        <v>0</v>
      </c>
      <c r="Z324" s="120">
        <v>0</v>
      </c>
      <c r="AA324" s="130"/>
      <c r="AB324" s="17">
        <v>0</v>
      </c>
      <c r="AC324" s="17">
        <v>0</v>
      </c>
      <c r="AD324" s="130"/>
      <c r="AE324" s="130"/>
      <c r="AF324" s="17">
        <v>0</v>
      </c>
      <c r="AG324" s="17">
        <v>0</v>
      </c>
      <c r="AH324" s="17">
        <v>0</v>
      </c>
      <c r="AI324" s="129">
        <v>0</v>
      </c>
      <c r="AJ324" s="129">
        <v>0</v>
      </c>
      <c r="AK324" s="130">
        <v>0</v>
      </c>
      <c r="AL324" s="142">
        <v>0</v>
      </c>
      <c r="AM324" s="509">
        <v>33.200000000000003</v>
      </c>
      <c r="AN324" s="89"/>
      <c r="AO324" s="507"/>
      <c r="AP324" s="416">
        <v>36300</v>
      </c>
      <c r="AQ324" s="133" t="s">
        <v>1418</v>
      </c>
      <c r="AR324" s="174">
        <v>41.5</v>
      </c>
      <c r="AS324" s="270"/>
      <c r="AT324" s="171" t="str">
        <f t="shared" si="26"/>
        <v>166</v>
      </c>
      <c r="AU324" s="255">
        <f t="shared" si="27"/>
        <v>16.600000000000001</v>
      </c>
      <c r="AV324" s="106">
        <v>100</v>
      </c>
      <c r="AW324" s="257">
        <v>7</v>
      </c>
      <c r="AX324" s="261"/>
      <c r="AY324" s="258">
        <v>18</v>
      </c>
      <c r="AZ324" s="261"/>
      <c r="BA324" s="175">
        <v>65</v>
      </c>
      <c r="BB324" s="259"/>
      <c r="BC324" s="176"/>
      <c r="BD324" s="177" t="s">
        <v>259</v>
      </c>
      <c r="BE324" s="177" t="s">
        <v>259</v>
      </c>
      <c r="BF324" s="178"/>
      <c r="BG324" s="27"/>
      <c r="BH324" s="27"/>
    </row>
    <row r="325" spans="1:82" ht="15" customHeight="1">
      <c r="A325" s="95">
        <v>324</v>
      </c>
      <c r="B325" s="96" t="s">
        <v>1417</v>
      </c>
      <c r="C325" s="73" t="s">
        <v>2587</v>
      </c>
      <c r="D325" s="257" t="s">
        <v>119</v>
      </c>
      <c r="E325" s="459" t="s">
        <v>3377</v>
      </c>
      <c r="F325" s="258">
        <v>1991</v>
      </c>
      <c r="G325" s="24">
        <v>380</v>
      </c>
      <c r="H325" s="57"/>
      <c r="I325" s="88"/>
      <c r="J325" s="100">
        <v>0.48</v>
      </c>
      <c r="K325" s="44">
        <v>5.4279999999999999</v>
      </c>
      <c r="L325" s="91"/>
      <c r="M325" s="506">
        <v>350</v>
      </c>
      <c r="N325" s="506"/>
      <c r="O325" s="106" t="s">
        <v>12</v>
      </c>
      <c r="P325" s="94"/>
      <c r="Q325" s="262"/>
      <c r="R325" s="94"/>
      <c r="S325" s="94"/>
      <c r="T325" s="506"/>
      <c r="U325" s="65"/>
      <c r="V325" s="135"/>
      <c r="W325" s="129"/>
      <c r="X325" s="120">
        <v>0</v>
      </c>
      <c r="Y325" s="120">
        <v>0</v>
      </c>
      <c r="Z325" s="120">
        <v>0</v>
      </c>
      <c r="AA325" s="130"/>
      <c r="AB325" s="17">
        <v>0</v>
      </c>
      <c r="AC325" s="17">
        <v>0</v>
      </c>
      <c r="AD325" s="130"/>
      <c r="AE325" s="130"/>
      <c r="AF325" s="17">
        <v>0</v>
      </c>
      <c r="AG325" s="17">
        <v>0</v>
      </c>
      <c r="AH325" s="17">
        <v>0</v>
      </c>
      <c r="AI325" s="129">
        <v>0</v>
      </c>
      <c r="AJ325" s="129">
        <v>0</v>
      </c>
      <c r="AK325" s="130">
        <v>0</v>
      </c>
      <c r="AL325" s="142">
        <v>0</v>
      </c>
      <c r="AM325" s="509">
        <v>33.200000000000003</v>
      </c>
      <c r="AN325" s="89"/>
      <c r="AO325" s="507"/>
      <c r="AP325" s="416">
        <v>36300</v>
      </c>
      <c r="AQ325" s="133" t="s">
        <v>1416</v>
      </c>
      <c r="AR325" s="174">
        <v>80</v>
      </c>
      <c r="AS325" s="270"/>
      <c r="AT325" s="171" t="str">
        <f t="shared" si="26"/>
        <v>320</v>
      </c>
      <c r="AU325" s="255">
        <f t="shared" si="27"/>
        <v>32</v>
      </c>
      <c r="AV325" s="106">
        <v>100</v>
      </c>
      <c r="AW325" s="257">
        <v>7</v>
      </c>
      <c r="AX325" s="261"/>
      <c r="AY325" s="258">
        <v>18</v>
      </c>
      <c r="AZ325" s="261"/>
      <c r="BA325" s="175">
        <v>65</v>
      </c>
      <c r="BB325" s="259"/>
      <c r="BC325" s="176"/>
      <c r="BD325" s="177" t="s">
        <v>259</v>
      </c>
      <c r="BE325" s="177" t="s">
        <v>259</v>
      </c>
      <c r="BF325" s="178"/>
      <c r="BG325" s="27"/>
      <c r="BH325" s="27"/>
    </row>
    <row r="326" spans="1:82" ht="15" customHeight="1">
      <c r="A326" s="95">
        <v>325</v>
      </c>
      <c r="B326" s="96" t="s">
        <v>1415</v>
      </c>
      <c r="C326" s="73" t="s">
        <v>2587</v>
      </c>
      <c r="D326" s="257" t="s">
        <v>119</v>
      </c>
      <c r="E326" s="459" t="s">
        <v>3377</v>
      </c>
      <c r="F326" s="258">
        <v>1991</v>
      </c>
      <c r="G326" s="24">
        <v>380</v>
      </c>
      <c r="H326" s="57"/>
      <c r="I326" s="88"/>
      <c r="J326" s="100">
        <v>0.48</v>
      </c>
      <c r="K326" s="44">
        <v>5.4279999999999999</v>
      </c>
      <c r="L326" s="91"/>
      <c r="M326" s="506">
        <v>350</v>
      </c>
      <c r="N326" s="506"/>
      <c r="O326" s="106" t="s">
        <v>12</v>
      </c>
      <c r="P326" s="94"/>
      <c r="Q326" s="262"/>
      <c r="R326" s="94"/>
      <c r="S326" s="94"/>
      <c r="T326" s="506"/>
      <c r="U326" s="65"/>
      <c r="V326" s="135"/>
      <c r="W326" s="129"/>
      <c r="X326" s="120">
        <v>0</v>
      </c>
      <c r="Y326" s="120">
        <v>0</v>
      </c>
      <c r="Z326" s="120">
        <v>0</v>
      </c>
      <c r="AA326" s="130"/>
      <c r="AB326" s="17">
        <v>0</v>
      </c>
      <c r="AC326" s="17">
        <v>0</v>
      </c>
      <c r="AD326" s="130"/>
      <c r="AE326" s="130"/>
      <c r="AF326" s="17">
        <v>0</v>
      </c>
      <c r="AG326" s="17">
        <v>0</v>
      </c>
      <c r="AH326" s="17">
        <v>0</v>
      </c>
      <c r="AI326" s="129">
        <v>0</v>
      </c>
      <c r="AJ326" s="129">
        <v>0</v>
      </c>
      <c r="AK326" s="130">
        <v>0</v>
      </c>
      <c r="AL326" s="142">
        <v>0</v>
      </c>
      <c r="AM326" s="509">
        <v>33.200000000000003</v>
      </c>
      <c r="AN326" s="89"/>
      <c r="AO326" s="507"/>
      <c r="AP326" s="416">
        <v>36300</v>
      </c>
      <c r="AQ326" s="133" t="s">
        <v>1414</v>
      </c>
      <c r="AR326" s="174">
        <v>150</v>
      </c>
      <c r="AS326" s="270"/>
      <c r="AT326" s="171" t="str">
        <f t="shared" si="26"/>
        <v>600</v>
      </c>
      <c r="AU326" s="255">
        <f t="shared" si="27"/>
        <v>60</v>
      </c>
      <c r="AV326" s="106">
        <v>100</v>
      </c>
      <c r="AW326" s="257">
        <v>7</v>
      </c>
      <c r="AX326" s="261"/>
      <c r="AY326" s="258">
        <v>18</v>
      </c>
      <c r="AZ326" s="261"/>
      <c r="BA326" s="175">
        <v>65</v>
      </c>
      <c r="BB326" s="259"/>
      <c r="BC326" s="176"/>
      <c r="BD326" s="177" t="s">
        <v>259</v>
      </c>
      <c r="BE326" s="177" t="s">
        <v>259</v>
      </c>
      <c r="BF326" s="178"/>
      <c r="BG326" s="27"/>
      <c r="BH326" s="27"/>
    </row>
    <row r="327" spans="1:82" ht="15" customHeight="1">
      <c r="A327" s="95">
        <v>326</v>
      </c>
      <c r="B327" s="96" t="s">
        <v>1413</v>
      </c>
      <c r="C327" s="73" t="s">
        <v>158</v>
      </c>
      <c r="D327" s="257" t="s">
        <v>119</v>
      </c>
      <c r="E327" s="459" t="s">
        <v>3377</v>
      </c>
      <c r="F327" s="258">
        <v>1992</v>
      </c>
      <c r="G327" s="171">
        <v>32</v>
      </c>
      <c r="H327" s="57"/>
      <c r="I327" s="88"/>
      <c r="J327" s="100">
        <v>0.28100000000000003</v>
      </c>
      <c r="K327" s="44">
        <v>3.0409999999999999</v>
      </c>
      <c r="L327" s="91"/>
      <c r="M327" s="506">
        <v>564</v>
      </c>
      <c r="N327" s="506"/>
      <c r="O327" s="106" t="s">
        <v>12</v>
      </c>
      <c r="P327" s="94"/>
      <c r="Q327" s="262"/>
      <c r="R327" s="94"/>
      <c r="S327" s="94"/>
      <c r="T327" s="506"/>
      <c r="U327" s="65"/>
      <c r="V327" s="131">
        <v>0</v>
      </c>
      <c r="W327" s="132">
        <v>0</v>
      </c>
      <c r="X327" s="120">
        <v>0</v>
      </c>
      <c r="Y327" s="120">
        <v>0</v>
      </c>
      <c r="Z327" s="120">
        <v>0</v>
      </c>
      <c r="AA327" s="130"/>
      <c r="AB327" s="17">
        <v>0</v>
      </c>
      <c r="AC327" s="17">
        <v>0</v>
      </c>
      <c r="AD327" s="130"/>
      <c r="AE327" s="130"/>
      <c r="AF327" s="17">
        <v>0</v>
      </c>
      <c r="AG327" s="133">
        <v>1.573</v>
      </c>
      <c r="AH327" s="17">
        <v>0</v>
      </c>
      <c r="AI327" s="133">
        <v>0.152</v>
      </c>
      <c r="AJ327" s="133">
        <v>0</v>
      </c>
      <c r="AK327" s="17">
        <v>0</v>
      </c>
      <c r="AL327" s="137">
        <v>0</v>
      </c>
      <c r="AM327" s="509">
        <v>78.599999999999994</v>
      </c>
      <c r="AN327" s="89"/>
      <c r="AO327" s="507"/>
      <c r="AP327" s="416">
        <v>43200</v>
      </c>
      <c r="AQ327" s="133" t="s">
        <v>1408</v>
      </c>
      <c r="AR327" s="188">
        <v>76</v>
      </c>
      <c r="AS327" s="270"/>
      <c r="AT327" s="171" t="str">
        <f t="shared" si="26"/>
        <v>280</v>
      </c>
      <c r="AU327" s="255">
        <f>IF(ISBLANK(AS327),(AR327*AT327)/((4*AT327)+(2*AR327)),AR327*AS327*AT327/2/(AR327*AS327+AR327*AT327+AS327*AT327))</f>
        <v>16.729559748427672</v>
      </c>
      <c r="AV327" s="106">
        <v>98</v>
      </c>
      <c r="AW327" s="257">
        <v>28</v>
      </c>
      <c r="AX327" s="261"/>
      <c r="AY327" s="258">
        <v>23</v>
      </c>
      <c r="AZ327" s="261"/>
      <c r="BA327" s="175">
        <v>50</v>
      </c>
      <c r="BB327" s="259"/>
      <c r="BC327" s="176"/>
      <c r="BD327" s="177"/>
      <c r="BE327" s="177" t="s">
        <v>259</v>
      </c>
      <c r="BF327" s="178"/>
      <c r="BG327" s="27"/>
      <c r="BH327" s="27"/>
    </row>
    <row r="328" spans="1:82" ht="15" customHeight="1">
      <c r="A328" s="95">
        <v>327</v>
      </c>
      <c r="B328" s="96" t="s">
        <v>1412</v>
      </c>
      <c r="C328" s="73" t="s">
        <v>158</v>
      </c>
      <c r="D328" s="257" t="s">
        <v>119</v>
      </c>
      <c r="E328" s="459" t="s">
        <v>3377</v>
      </c>
      <c r="F328" s="258">
        <v>1992</v>
      </c>
      <c r="G328" s="171">
        <v>32</v>
      </c>
      <c r="H328" s="57"/>
      <c r="I328" s="88"/>
      <c r="J328" s="100">
        <v>0.33800000000000002</v>
      </c>
      <c r="K328" s="44">
        <v>3.6349999999999998</v>
      </c>
      <c r="L328" s="91"/>
      <c r="M328" s="506">
        <v>475</v>
      </c>
      <c r="N328" s="506"/>
      <c r="O328" s="106" t="s">
        <v>12</v>
      </c>
      <c r="P328" s="94"/>
      <c r="Q328" s="262"/>
      <c r="R328" s="94"/>
      <c r="S328" s="94"/>
      <c r="T328" s="506"/>
      <c r="U328" s="65"/>
      <c r="V328" s="131">
        <v>5.0529999999999999</v>
      </c>
      <c r="W328" s="132">
        <v>12.420999999999999</v>
      </c>
      <c r="X328" s="120">
        <v>0</v>
      </c>
      <c r="Y328" s="120">
        <v>0</v>
      </c>
      <c r="Z328" s="120">
        <v>0</v>
      </c>
      <c r="AA328" s="130"/>
      <c r="AB328" s="17">
        <v>0</v>
      </c>
      <c r="AC328" s="17">
        <v>0</v>
      </c>
      <c r="AD328" s="130"/>
      <c r="AE328" s="130"/>
      <c r="AF328" s="17">
        <v>0</v>
      </c>
      <c r="AG328" s="133">
        <v>1.867</v>
      </c>
      <c r="AH328" s="17">
        <v>0</v>
      </c>
      <c r="AI328" s="133">
        <v>0.16800000000000001</v>
      </c>
      <c r="AJ328" s="133">
        <v>0</v>
      </c>
      <c r="AK328" s="17">
        <v>0</v>
      </c>
      <c r="AL328" s="137">
        <v>0</v>
      </c>
      <c r="AM328" s="509">
        <v>88.5</v>
      </c>
      <c r="AN328" s="89"/>
      <c r="AO328" s="507"/>
      <c r="AP328" s="416">
        <v>44500</v>
      </c>
      <c r="AQ328" s="133" t="s">
        <v>1408</v>
      </c>
      <c r="AR328" s="188">
        <v>76</v>
      </c>
      <c r="AS328" s="270"/>
      <c r="AT328" s="171" t="str">
        <f t="shared" si="26"/>
        <v>280</v>
      </c>
      <c r="AU328" s="255">
        <f>IF(ISBLANK(AS328),(AR328*AT328)/((4*AT328)+(2*AR328)),AR328*AS328*AT328/2/(AR328*AS328+AR328*AT328+AS328*AT328))</f>
        <v>16.729559748427672</v>
      </c>
      <c r="AV328" s="106">
        <v>98</v>
      </c>
      <c r="AW328" s="257">
        <v>28</v>
      </c>
      <c r="AX328" s="261"/>
      <c r="AY328" s="258">
        <v>23</v>
      </c>
      <c r="AZ328" s="261"/>
      <c r="BA328" s="175">
        <v>50</v>
      </c>
      <c r="BB328" s="259"/>
      <c r="BC328" s="176"/>
      <c r="BD328" s="177"/>
      <c r="BE328" s="177" t="s">
        <v>259</v>
      </c>
      <c r="BF328" s="178"/>
      <c r="BG328" s="27"/>
      <c r="BH328" s="27"/>
    </row>
    <row r="329" spans="1:82" ht="15" customHeight="1">
      <c r="A329" s="95">
        <v>328</v>
      </c>
      <c r="B329" s="96" t="s">
        <v>1411</v>
      </c>
      <c r="C329" s="73" t="s">
        <v>158</v>
      </c>
      <c r="D329" s="257" t="s">
        <v>119</v>
      </c>
      <c r="E329" s="459" t="s">
        <v>3377</v>
      </c>
      <c r="F329" s="258">
        <v>1992</v>
      </c>
      <c r="G329" s="171">
        <v>32</v>
      </c>
      <c r="H329" s="57"/>
      <c r="I329" s="88"/>
      <c r="J329" s="100">
        <v>0.32</v>
      </c>
      <c r="K329" s="44">
        <v>3.581</v>
      </c>
      <c r="L329" s="91"/>
      <c r="M329" s="65">
        <v>487</v>
      </c>
      <c r="N329" s="65"/>
      <c r="O329" s="106" t="s">
        <v>129</v>
      </c>
      <c r="P329" s="94"/>
      <c r="Q329" s="262"/>
      <c r="R329" s="94"/>
      <c r="S329" s="94"/>
      <c r="T329" s="65"/>
      <c r="U329" s="65"/>
      <c r="V329" s="131">
        <v>9.6509999999999998</v>
      </c>
      <c r="W329" s="132">
        <v>0</v>
      </c>
      <c r="X329" s="120">
        <v>0</v>
      </c>
      <c r="Y329" s="120">
        <v>0</v>
      </c>
      <c r="Z329" s="120">
        <v>0</v>
      </c>
      <c r="AA329" s="130"/>
      <c r="AB329" s="17">
        <v>0</v>
      </c>
      <c r="AC329" s="17">
        <v>0</v>
      </c>
      <c r="AD329" s="130"/>
      <c r="AE329" s="130"/>
      <c r="AF329" s="17">
        <v>0</v>
      </c>
      <c r="AG329" s="133">
        <v>1.762</v>
      </c>
      <c r="AH329" s="17">
        <v>0</v>
      </c>
      <c r="AI329" s="133">
        <v>0.152</v>
      </c>
      <c r="AJ329" s="133">
        <v>0</v>
      </c>
      <c r="AK329" s="17">
        <v>0</v>
      </c>
      <c r="AL329" s="137">
        <v>0</v>
      </c>
      <c r="AM329" s="509">
        <v>91.9</v>
      </c>
      <c r="AN329" s="89"/>
      <c r="AO329" s="507"/>
      <c r="AP329" s="416">
        <v>45500</v>
      </c>
      <c r="AQ329" s="133" t="s">
        <v>1408</v>
      </c>
      <c r="AR329" s="188">
        <v>76</v>
      </c>
      <c r="AS329" s="270"/>
      <c r="AT329" s="171" t="str">
        <f t="shared" si="26"/>
        <v>280</v>
      </c>
      <c r="AU329" s="255">
        <f>IF(ISBLANK(AS329),(AR329*AT329)/((4*AT329)+(2*AR329)),AR329*AS329*AT329/2/(AR329*AS329+AR329*AT329+AS329*AT329))</f>
        <v>16.729559748427672</v>
      </c>
      <c r="AV329" s="106">
        <v>98</v>
      </c>
      <c r="AW329" s="257">
        <v>28</v>
      </c>
      <c r="AX329" s="261"/>
      <c r="AY329" s="258">
        <v>23</v>
      </c>
      <c r="AZ329" s="261"/>
      <c r="BA329" s="175">
        <v>50</v>
      </c>
      <c r="BB329" s="259"/>
      <c r="BC329" s="176"/>
      <c r="BD329" s="177"/>
      <c r="BE329" s="177" t="s">
        <v>259</v>
      </c>
      <c r="BF329" s="178"/>
      <c r="BG329" s="27"/>
      <c r="BH329" s="27"/>
    </row>
    <row r="330" spans="1:82" ht="15" customHeight="1">
      <c r="A330" s="95">
        <v>329</v>
      </c>
      <c r="B330" s="96" t="s">
        <v>1410</v>
      </c>
      <c r="C330" s="73" t="s">
        <v>158</v>
      </c>
      <c r="D330" s="257" t="s">
        <v>119</v>
      </c>
      <c r="E330" s="459" t="s">
        <v>3377</v>
      </c>
      <c r="F330" s="258">
        <v>1992</v>
      </c>
      <c r="G330" s="171">
        <v>32</v>
      </c>
      <c r="H330" s="57"/>
      <c r="I330" s="88"/>
      <c r="J330" s="100">
        <v>0.255</v>
      </c>
      <c r="K330" s="44">
        <v>2.9449999999999998</v>
      </c>
      <c r="L330" s="91"/>
      <c r="M330" s="65">
        <v>564</v>
      </c>
      <c r="N330" s="65"/>
      <c r="O330" s="106" t="s">
        <v>129</v>
      </c>
      <c r="P330" s="94"/>
      <c r="Q330" s="262"/>
      <c r="R330" s="94"/>
      <c r="S330" s="94"/>
      <c r="T330" s="65"/>
      <c r="U330" s="65"/>
      <c r="V330" s="131">
        <v>15.78</v>
      </c>
      <c r="W330" s="132">
        <v>0</v>
      </c>
      <c r="X330" s="120">
        <v>0</v>
      </c>
      <c r="Y330" s="120">
        <v>0</v>
      </c>
      <c r="Z330" s="120">
        <v>0</v>
      </c>
      <c r="AA330" s="130"/>
      <c r="AB330" s="17">
        <v>0</v>
      </c>
      <c r="AC330" s="17">
        <v>0</v>
      </c>
      <c r="AD330" s="130"/>
      <c r="AE330" s="130"/>
      <c r="AF330" s="17">
        <v>0</v>
      </c>
      <c r="AG330" s="133">
        <v>2.7269999999999999</v>
      </c>
      <c r="AH330" s="17">
        <v>0</v>
      </c>
      <c r="AI330" s="133">
        <v>0.19900000000000001</v>
      </c>
      <c r="AJ330" s="133">
        <v>0</v>
      </c>
      <c r="AK330" s="17">
        <v>0</v>
      </c>
      <c r="AL330" s="137">
        <v>0</v>
      </c>
      <c r="AM330" s="509">
        <v>118.9</v>
      </c>
      <c r="AN330" s="89"/>
      <c r="AO330" s="507"/>
      <c r="AP330" s="416">
        <v>50800</v>
      </c>
      <c r="AQ330" s="133" t="s">
        <v>1408</v>
      </c>
      <c r="AR330" s="188">
        <v>76</v>
      </c>
      <c r="AS330" s="270"/>
      <c r="AT330" s="171" t="str">
        <f t="shared" si="26"/>
        <v>280</v>
      </c>
      <c r="AU330" s="255">
        <f>IF(ISBLANK(AS330),(AR330*AT330)/((4*AT330)+(2*AR330)),AR330*AS330*AT330/2/(AR330*AS330+AR330*AT330+AS330*AT330))</f>
        <v>16.729559748427672</v>
      </c>
      <c r="AV330" s="106">
        <v>98</v>
      </c>
      <c r="AW330" s="257">
        <v>28</v>
      </c>
      <c r="AX330" s="261"/>
      <c r="AY330" s="258">
        <v>23</v>
      </c>
      <c r="AZ330" s="261"/>
      <c r="BA330" s="175">
        <v>50</v>
      </c>
      <c r="BB330" s="259"/>
      <c r="BC330" s="176"/>
      <c r="BD330" s="177"/>
      <c r="BE330" s="177" t="s">
        <v>259</v>
      </c>
      <c r="BF330" s="178"/>
      <c r="BG330" s="27"/>
      <c r="BH330" s="27"/>
    </row>
    <row r="331" spans="1:82" ht="15" customHeight="1">
      <c r="A331" s="95">
        <v>330</v>
      </c>
      <c r="B331" s="96" t="s">
        <v>1409</v>
      </c>
      <c r="C331" s="73" t="s">
        <v>158</v>
      </c>
      <c r="D331" s="257" t="s">
        <v>119</v>
      </c>
      <c r="E331" s="459" t="s">
        <v>3377</v>
      </c>
      <c r="F331" s="258">
        <v>1992</v>
      </c>
      <c r="G331" s="171">
        <v>32</v>
      </c>
      <c r="H331" s="57"/>
      <c r="I331" s="88"/>
      <c r="J331" s="100">
        <v>0.318</v>
      </c>
      <c r="K331" s="44">
        <v>3.496</v>
      </c>
      <c r="L331" s="91"/>
      <c r="M331" s="65">
        <v>475</v>
      </c>
      <c r="N331" s="65"/>
      <c r="O331" s="106" t="s">
        <v>129</v>
      </c>
      <c r="P331" s="94"/>
      <c r="Q331" s="262"/>
      <c r="R331" s="94"/>
      <c r="S331" s="94"/>
      <c r="T331" s="65"/>
      <c r="U331" s="65"/>
      <c r="V331" s="131">
        <v>15.579000000000001</v>
      </c>
      <c r="W331" s="132">
        <v>21.895</v>
      </c>
      <c r="X331" s="120">
        <v>0</v>
      </c>
      <c r="Y331" s="120">
        <v>0</v>
      </c>
      <c r="Z331" s="120">
        <v>0</v>
      </c>
      <c r="AA331" s="130"/>
      <c r="AB331" s="17">
        <v>0</v>
      </c>
      <c r="AC331" s="17">
        <v>0</v>
      </c>
      <c r="AD331" s="130"/>
      <c r="AE331" s="130"/>
      <c r="AF331" s="17">
        <v>0</v>
      </c>
      <c r="AG331" s="133">
        <v>2.6459999999999999</v>
      </c>
      <c r="AH331" s="17">
        <v>0</v>
      </c>
      <c r="AI331" s="133">
        <v>0.24199999999999999</v>
      </c>
      <c r="AJ331" s="133">
        <v>0</v>
      </c>
      <c r="AK331" s="17">
        <v>0</v>
      </c>
      <c r="AL331" s="137">
        <v>0</v>
      </c>
      <c r="AM331" s="509">
        <v>107</v>
      </c>
      <c r="AN331" s="89"/>
      <c r="AO331" s="507"/>
      <c r="AP331" s="416">
        <v>48400</v>
      </c>
      <c r="AQ331" s="133" t="s">
        <v>1408</v>
      </c>
      <c r="AR331" s="188">
        <v>76</v>
      </c>
      <c r="AS331" s="270"/>
      <c r="AT331" s="171" t="str">
        <f t="shared" si="26"/>
        <v>280</v>
      </c>
      <c r="AU331" s="255">
        <f>IF(ISBLANK(AS331),(AR331*AT331)/((4*AT331)+(2*AR331)),AR331*AS331*AT331/2/(AR331*AS331+AR331*AT331+AS331*AT331))</f>
        <v>16.729559748427672</v>
      </c>
      <c r="AV331" s="106">
        <v>98</v>
      </c>
      <c r="AW331" s="257">
        <v>28</v>
      </c>
      <c r="AX331" s="261"/>
      <c r="AY331" s="258">
        <v>23</v>
      </c>
      <c r="AZ331" s="261"/>
      <c r="BA331" s="175">
        <v>50</v>
      </c>
      <c r="BB331" s="259"/>
      <c r="BC331" s="176"/>
      <c r="BD331" s="177"/>
      <c r="BE331" s="177" t="s">
        <v>259</v>
      </c>
      <c r="BF331" s="178"/>
      <c r="BG331" s="27"/>
      <c r="BH331" s="27"/>
    </row>
    <row r="332" spans="1:82" ht="15" customHeight="1">
      <c r="A332" s="95">
        <v>331</v>
      </c>
      <c r="B332" s="96" t="s">
        <v>1407</v>
      </c>
      <c r="C332" s="73" t="s">
        <v>158</v>
      </c>
      <c r="D332" s="257" t="s">
        <v>119</v>
      </c>
      <c r="E332" s="459" t="s">
        <v>3377</v>
      </c>
      <c r="F332" s="258">
        <v>1992</v>
      </c>
      <c r="G332" s="171">
        <v>32</v>
      </c>
      <c r="H332" s="57"/>
      <c r="I332" s="88"/>
      <c r="J332" s="100">
        <v>0.28100000000000003</v>
      </c>
      <c r="K332" s="44">
        <v>3.0409999999999999</v>
      </c>
      <c r="L332" s="91"/>
      <c r="M332" s="65">
        <v>564</v>
      </c>
      <c r="N332" s="65"/>
      <c r="O332" s="106" t="s">
        <v>12</v>
      </c>
      <c r="P332" s="94"/>
      <c r="Q332" s="262"/>
      <c r="R332" s="94"/>
      <c r="S332" s="94"/>
      <c r="T332" s="65"/>
      <c r="U332" s="65"/>
      <c r="V332" s="131">
        <v>0</v>
      </c>
      <c r="W332" s="132">
        <v>0</v>
      </c>
      <c r="X332" s="120">
        <v>0</v>
      </c>
      <c r="Y332" s="120">
        <v>0</v>
      </c>
      <c r="Z332" s="120">
        <v>0</v>
      </c>
      <c r="AA332" s="130"/>
      <c r="AB332" s="17">
        <v>0</v>
      </c>
      <c r="AC332" s="17">
        <v>0</v>
      </c>
      <c r="AD332" s="130"/>
      <c r="AE332" s="130"/>
      <c r="AF332" s="17">
        <v>0</v>
      </c>
      <c r="AG332" s="133">
        <v>1.573</v>
      </c>
      <c r="AH332" s="17">
        <v>0</v>
      </c>
      <c r="AI332" s="133">
        <v>0.152</v>
      </c>
      <c r="AJ332" s="133">
        <v>0</v>
      </c>
      <c r="AK332" s="17">
        <v>0</v>
      </c>
      <c r="AL332" s="137">
        <v>0</v>
      </c>
      <c r="AM332" s="509">
        <v>78.599999999999994</v>
      </c>
      <c r="AN332" s="89"/>
      <c r="AO332" s="507"/>
      <c r="AP332" s="416">
        <v>43200</v>
      </c>
      <c r="AQ332" s="133" t="s">
        <v>154</v>
      </c>
      <c r="AR332" s="174">
        <v>76</v>
      </c>
      <c r="AS332" s="270"/>
      <c r="AT332" s="171" t="str">
        <f t="shared" si="26"/>
        <v>305</v>
      </c>
      <c r="AU332" s="255">
        <f t="shared" ref="AU332:AU342" si="28">(AR332*AT332)/((2*AT332)+(2*AR332))</f>
        <v>30.41994750656168</v>
      </c>
      <c r="AV332" s="106">
        <v>98</v>
      </c>
      <c r="AW332" s="257">
        <v>28</v>
      </c>
      <c r="AX332" s="261"/>
      <c r="AY332" s="258">
        <v>23</v>
      </c>
      <c r="AZ332" s="261"/>
      <c r="BA332" s="175">
        <v>50</v>
      </c>
      <c r="BB332" s="259"/>
      <c r="BC332" s="176" t="s">
        <v>558</v>
      </c>
      <c r="BD332" s="177"/>
      <c r="BE332" s="177" t="s">
        <v>259</v>
      </c>
      <c r="BF332" s="178"/>
      <c r="BG332" s="27"/>
      <c r="BH332" s="27"/>
    </row>
    <row r="333" spans="1:82" ht="15" customHeight="1">
      <c r="A333" s="95">
        <v>332</v>
      </c>
      <c r="B333" s="96" t="s">
        <v>1406</v>
      </c>
      <c r="C333" s="73" t="s">
        <v>158</v>
      </c>
      <c r="D333" s="257" t="s">
        <v>119</v>
      </c>
      <c r="E333" s="459" t="s">
        <v>3377</v>
      </c>
      <c r="F333" s="258">
        <v>1992</v>
      </c>
      <c r="G333" s="171">
        <v>32</v>
      </c>
      <c r="H333" s="57"/>
      <c r="I333" s="88"/>
      <c r="J333" s="100">
        <v>0.33800000000000002</v>
      </c>
      <c r="K333" s="44">
        <v>3.6349999999999998</v>
      </c>
      <c r="L333" s="91"/>
      <c r="M333" s="65">
        <v>475</v>
      </c>
      <c r="N333" s="65"/>
      <c r="O333" s="106" t="s">
        <v>12</v>
      </c>
      <c r="P333" s="94"/>
      <c r="Q333" s="262"/>
      <c r="R333" s="94"/>
      <c r="S333" s="94"/>
      <c r="T333" s="65"/>
      <c r="U333" s="65"/>
      <c r="V333" s="131">
        <v>5.0529999999999999</v>
      </c>
      <c r="W333" s="132">
        <v>12.420999999999999</v>
      </c>
      <c r="X333" s="120">
        <v>0</v>
      </c>
      <c r="Y333" s="120">
        <v>0</v>
      </c>
      <c r="Z333" s="120">
        <v>0</v>
      </c>
      <c r="AA333" s="130"/>
      <c r="AB333" s="17">
        <v>0</v>
      </c>
      <c r="AC333" s="17">
        <v>0</v>
      </c>
      <c r="AD333" s="130"/>
      <c r="AE333" s="130"/>
      <c r="AF333" s="17">
        <v>0</v>
      </c>
      <c r="AG333" s="133">
        <v>1.867</v>
      </c>
      <c r="AH333" s="17">
        <v>0</v>
      </c>
      <c r="AI333" s="133">
        <v>0.16800000000000001</v>
      </c>
      <c r="AJ333" s="133">
        <v>0</v>
      </c>
      <c r="AK333" s="17">
        <v>0</v>
      </c>
      <c r="AL333" s="137">
        <v>0</v>
      </c>
      <c r="AM333" s="509">
        <v>88.5</v>
      </c>
      <c r="AN333" s="89"/>
      <c r="AO333" s="507"/>
      <c r="AP333" s="416">
        <v>44500</v>
      </c>
      <c r="AQ333" s="133" t="s">
        <v>154</v>
      </c>
      <c r="AR333" s="174">
        <v>76</v>
      </c>
      <c r="AS333" s="270"/>
      <c r="AT333" s="171" t="str">
        <f t="shared" si="26"/>
        <v>305</v>
      </c>
      <c r="AU333" s="255">
        <f t="shared" si="28"/>
        <v>30.41994750656168</v>
      </c>
      <c r="AV333" s="106">
        <v>98</v>
      </c>
      <c r="AW333" s="257">
        <v>28</v>
      </c>
      <c r="AX333" s="261"/>
      <c r="AY333" s="258">
        <v>23</v>
      </c>
      <c r="AZ333" s="261"/>
      <c r="BA333" s="175">
        <v>50</v>
      </c>
      <c r="BB333" s="259"/>
      <c r="BC333" s="176" t="s">
        <v>558</v>
      </c>
      <c r="BD333" s="177"/>
      <c r="BE333" s="177" t="s">
        <v>259</v>
      </c>
      <c r="BF333" s="178"/>
      <c r="BG333" s="27"/>
      <c r="BH333" s="27"/>
    </row>
    <row r="334" spans="1:82" ht="15" customHeight="1">
      <c r="A334" s="95">
        <v>333</v>
      </c>
      <c r="B334" s="96" t="s">
        <v>1405</v>
      </c>
      <c r="C334" s="73" t="s">
        <v>158</v>
      </c>
      <c r="D334" s="257" t="s">
        <v>119</v>
      </c>
      <c r="E334" s="459" t="s">
        <v>3377</v>
      </c>
      <c r="F334" s="258">
        <v>1992</v>
      </c>
      <c r="G334" s="171">
        <v>32</v>
      </c>
      <c r="H334" s="57"/>
      <c r="I334" s="88"/>
      <c r="J334" s="100">
        <v>0.32</v>
      </c>
      <c r="K334" s="44">
        <v>3.581</v>
      </c>
      <c r="L334" s="91"/>
      <c r="M334" s="65">
        <v>487</v>
      </c>
      <c r="N334" s="65"/>
      <c r="O334" s="106" t="s">
        <v>129</v>
      </c>
      <c r="P334" s="94"/>
      <c r="Q334" s="262"/>
      <c r="R334" s="94"/>
      <c r="S334" s="94"/>
      <c r="T334" s="65"/>
      <c r="U334" s="65"/>
      <c r="V334" s="131">
        <v>9.6509999999999998</v>
      </c>
      <c r="W334" s="132">
        <v>0</v>
      </c>
      <c r="X334" s="120">
        <v>0</v>
      </c>
      <c r="Y334" s="120">
        <v>0</v>
      </c>
      <c r="Z334" s="120">
        <v>0</v>
      </c>
      <c r="AA334" s="130"/>
      <c r="AB334" s="17">
        <v>0</v>
      </c>
      <c r="AC334" s="17">
        <v>0</v>
      </c>
      <c r="AD334" s="130"/>
      <c r="AE334" s="130"/>
      <c r="AF334" s="17">
        <v>0</v>
      </c>
      <c r="AG334" s="133">
        <v>1.762</v>
      </c>
      <c r="AH334" s="17">
        <v>0</v>
      </c>
      <c r="AI334" s="133">
        <v>0.152</v>
      </c>
      <c r="AJ334" s="133">
        <v>0</v>
      </c>
      <c r="AK334" s="17">
        <v>0</v>
      </c>
      <c r="AL334" s="137">
        <v>0</v>
      </c>
      <c r="AM334" s="509">
        <v>91.9</v>
      </c>
      <c r="AN334" s="89"/>
      <c r="AO334" s="507"/>
      <c r="AP334" s="416">
        <v>45500</v>
      </c>
      <c r="AQ334" s="133" t="s">
        <v>154</v>
      </c>
      <c r="AR334" s="174">
        <v>76</v>
      </c>
      <c r="AS334" s="270"/>
      <c r="AT334" s="171" t="str">
        <f t="shared" si="26"/>
        <v>305</v>
      </c>
      <c r="AU334" s="255">
        <f t="shared" si="28"/>
        <v>30.41994750656168</v>
      </c>
      <c r="AV334" s="106">
        <v>98</v>
      </c>
      <c r="AW334" s="257">
        <v>28</v>
      </c>
      <c r="AX334" s="261"/>
      <c r="AY334" s="258">
        <v>23</v>
      </c>
      <c r="AZ334" s="261"/>
      <c r="BA334" s="175">
        <v>50</v>
      </c>
      <c r="BB334" s="259"/>
      <c r="BC334" s="176" t="s">
        <v>558</v>
      </c>
      <c r="BD334" s="177"/>
      <c r="BE334" s="177" t="s">
        <v>259</v>
      </c>
      <c r="BF334" s="178"/>
      <c r="BG334" s="27"/>
      <c r="BH334" s="27"/>
    </row>
    <row r="335" spans="1:82" ht="15" customHeight="1">
      <c r="A335" s="95">
        <v>334</v>
      </c>
      <c r="B335" s="96" t="s">
        <v>1404</v>
      </c>
      <c r="C335" s="73" t="s">
        <v>158</v>
      </c>
      <c r="D335" s="257" t="s">
        <v>119</v>
      </c>
      <c r="E335" s="459" t="s">
        <v>3377</v>
      </c>
      <c r="F335" s="258">
        <v>1992</v>
      </c>
      <c r="G335" s="171">
        <v>32</v>
      </c>
      <c r="H335" s="57"/>
      <c r="I335" s="88"/>
      <c r="J335" s="100">
        <v>0.255</v>
      </c>
      <c r="K335" s="44">
        <v>2.9449999999999998</v>
      </c>
      <c r="L335" s="91"/>
      <c r="M335" s="65">
        <v>564</v>
      </c>
      <c r="N335" s="65"/>
      <c r="O335" s="106" t="s">
        <v>129</v>
      </c>
      <c r="P335" s="94"/>
      <c r="Q335" s="262"/>
      <c r="R335" s="94"/>
      <c r="S335" s="94"/>
      <c r="T335" s="65"/>
      <c r="U335" s="65"/>
      <c r="V335" s="131">
        <v>15.78</v>
      </c>
      <c r="W335" s="132">
        <v>0</v>
      </c>
      <c r="X335" s="120">
        <v>0</v>
      </c>
      <c r="Y335" s="120">
        <v>0</v>
      </c>
      <c r="Z335" s="120">
        <v>0</v>
      </c>
      <c r="AA335" s="130"/>
      <c r="AB335" s="17">
        <v>0</v>
      </c>
      <c r="AC335" s="17">
        <v>0</v>
      </c>
      <c r="AD335" s="130"/>
      <c r="AE335" s="130"/>
      <c r="AF335" s="17">
        <v>0</v>
      </c>
      <c r="AG335" s="133">
        <v>2.7269999999999999</v>
      </c>
      <c r="AH335" s="17">
        <v>0</v>
      </c>
      <c r="AI335" s="133">
        <v>0.19900000000000001</v>
      </c>
      <c r="AJ335" s="133">
        <v>0</v>
      </c>
      <c r="AK335" s="17">
        <v>0</v>
      </c>
      <c r="AL335" s="137">
        <v>0</v>
      </c>
      <c r="AM335" s="509">
        <v>118.9</v>
      </c>
      <c r="AN335" s="89"/>
      <c r="AO335" s="507"/>
      <c r="AP335" s="416">
        <v>50800</v>
      </c>
      <c r="AQ335" s="133" t="s">
        <v>154</v>
      </c>
      <c r="AR335" s="174">
        <v>76</v>
      </c>
      <c r="AS335" s="270"/>
      <c r="AT335" s="171" t="str">
        <f t="shared" si="26"/>
        <v>305</v>
      </c>
      <c r="AU335" s="255">
        <f t="shared" si="28"/>
        <v>30.41994750656168</v>
      </c>
      <c r="AV335" s="106">
        <v>98</v>
      </c>
      <c r="AW335" s="257">
        <v>28</v>
      </c>
      <c r="AX335" s="261"/>
      <c r="AY335" s="258">
        <v>23</v>
      </c>
      <c r="AZ335" s="261"/>
      <c r="BA335" s="175">
        <v>50</v>
      </c>
      <c r="BB335" s="259"/>
      <c r="BC335" s="176" t="s">
        <v>558</v>
      </c>
      <c r="BD335" s="177"/>
      <c r="BE335" s="177" t="s">
        <v>259</v>
      </c>
      <c r="BF335" s="178"/>
      <c r="BG335" s="27"/>
      <c r="BH335" s="27"/>
    </row>
    <row r="336" spans="1:82" ht="15" customHeight="1">
      <c r="A336" s="95">
        <v>335</v>
      </c>
      <c r="B336" s="96" t="s">
        <v>1403</v>
      </c>
      <c r="C336" s="73" t="s">
        <v>158</v>
      </c>
      <c r="D336" s="257" t="s">
        <v>119</v>
      </c>
      <c r="E336" s="459" t="s">
        <v>3377</v>
      </c>
      <c r="F336" s="258">
        <v>1992</v>
      </c>
      <c r="G336" s="171">
        <v>32</v>
      </c>
      <c r="H336" s="57"/>
      <c r="I336" s="88"/>
      <c r="J336" s="100">
        <v>0.318</v>
      </c>
      <c r="K336" s="44">
        <v>3.496</v>
      </c>
      <c r="L336" s="91"/>
      <c r="M336" s="65">
        <v>475</v>
      </c>
      <c r="N336" s="65"/>
      <c r="O336" s="106" t="s">
        <v>129</v>
      </c>
      <c r="P336" s="94"/>
      <c r="Q336" s="262"/>
      <c r="R336" s="94"/>
      <c r="S336" s="94"/>
      <c r="T336" s="65"/>
      <c r="U336" s="65"/>
      <c r="V336" s="131">
        <v>15.579000000000001</v>
      </c>
      <c r="W336" s="132">
        <v>21.895</v>
      </c>
      <c r="X336" s="120">
        <v>0</v>
      </c>
      <c r="Y336" s="120">
        <v>0</v>
      </c>
      <c r="Z336" s="120">
        <v>0</v>
      </c>
      <c r="AA336" s="130"/>
      <c r="AB336" s="17">
        <v>0</v>
      </c>
      <c r="AC336" s="17">
        <v>0</v>
      </c>
      <c r="AD336" s="130"/>
      <c r="AE336" s="130"/>
      <c r="AF336" s="17">
        <v>0</v>
      </c>
      <c r="AG336" s="133">
        <v>2.6459999999999999</v>
      </c>
      <c r="AH336" s="17">
        <v>0</v>
      </c>
      <c r="AI336" s="133">
        <v>0.24199999999999999</v>
      </c>
      <c r="AJ336" s="133">
        <v>0</v>
      </c>
      <c r="AK336" s="17">
        <v>0</v>
      </c>
      <c r="AL336" s="137">
        <v>0</v>
      </c>
      <c r="AM336" s="509">
        <v>107</v>
      </c>
      <c r="AN336" s="89"/>
      <c r="AO336" s="507"/>
      <c r="AP336" s="416">
        <v>48400</v>
      </c>
      <c r="AQ336" s="133" t="s">
        <v>154</v>
      </c>
      <c r="AR336" s="174">
        <v>76</v>
      </c>
      <c r="AS336" s="270"/>
      <c r="AT336" s="171" t="str">
        <f t="shared" si="26"/>
        <v>305</v>
      </c>
      <c r="AU336" s="255">
        <f t="shared" si="28"/>
        <v>30.41994750656168</v>
      </c>
      <c r="AV336" s="106">
        <v>98</v>
      </c>
      <c r="AW336" s="257">
        <v>28</v>
      </c>
      <c r="AX336" s="261"/>
      <c r="AY336" s="258">
        <v>23</v>
      </c>
      <c r="AZ336" s="261"/>
      <c r="BA336" s="175">
        <v>50</v>
      </c>
      <c r="BB336" s="259"/>
      <c r="BC336" s="176" t="s">
        <v>558</v>
      </c>
      <c r="BD336" s="177"/>
      <c r="BE336" s="177" t="s">
        <v>259</v>
      </c>
      <c r="BF336" s="178"/>
      <c r="BG336" s="27"/>
      <c r="BH336" s="27"/>
    </row>
    <row r="337" spans="1:60" ht="16.5" customHeight="1">
      <c r="A337" s="95">
        <v>336</v>
      </c>
      <c r="B337" s="96" t="s">
        <v>1402</v>
      </c>
      <c r="C337" s="73" t="s">
        <v>2586</v>
      </c>
      <c r="D337" s="257" t="s">
        <v>130</v>
      </c>
      <c r="E337" s="459" t="s">
        <v>3377</v>
      </c>
      <c r="F337" s="258">
        <v>1992</v>
      </c>
      <c r="G337" s="171">
        <v>37</v>
      </c>
      <c r="H337" s="57"/>
      <c r="I337" s="88"/>
      <c r="J337" s="100">
        <v>0.26700000000000002</v>
      </c>
      <c r="K337" s="44">
        <v>4.556</v>
      </c>
      <c r="L337" s="91"/>
      <c r="M337" s="65">
        <v>421</v>
      </c>
      <c r="N337" s="65"/>
      <c r="O337" s="106" t="s">
        <v>12</v>
      </c>
      <c r="P337" s="94"/>
      <c r="Q337" s="262"/>
      <c r="R337" s="94"/>
      <c r="S337" s="94"/>
      <c r="T337" s="65"/>
      <c r="U337" s="65"/>
      <c r="V337" s="131">
        <v>10</v>
      </c>
      <c r="W337" s="132">
        <v>0</v>
      </c>
      <c r="X337" s="120">
        <v>0</v>
      </c>
      <c r="Y337" s="120">
        <v>0</v>
      </c>
      <c r="Z337" s="120">
        <v>0</v>
      </c>
      <c r="AA337" s="130"/>
      <c r="AB337" s="17">
        <v>0</v>
      </c>
      <c r="AC337" s="17">
        <v>0</v>
      </c>
      <c r="AD337" s="130"/>
      <c r="AE337" s="130"/>
      <c r="AF337" s="17">
        <v>0</v>
      </c>
      <c r="AG337" s="133">
        <v>1.802</v>
      </c>
      <c r="AH337" s="17">
        <v>0</v>
      </c>
      <c r="AI337" s="133">
        <v>0</v>
      </c>
      <c r="AJ337" s="133">
        <v>0</v>
      </c>
      <c r="AK337" s="130">
        <v>0</v>
      </c>
      <c r="AL337" s="137">
        <v>0</v>
      </c>
      <c r="AM337" s="509">
        <v>101</v>
      </c>
      <c r="AN337" s="89"/>
      <c r="AO337" s="507"/>
      <c r="AP337" s="416">
        <v>53400</v>
      </c>
      <c r="AQ337" s="133" t="s">
        <v>1396</v>
      </c>
      <c r="AR337" s="174">
        <v>80</v>
      </c>
      <c r="AS337" s="270"/>
      <c r="AT337" s="171" t="str">
        <f t="shared" si="26"/>
        <v>1000</v>
      </c>
      <c r="AU337" s="255">
        <f t="shared" si="28"/>
        <v>37.037037037037038</v>
      </c>
      <c r="AV337" s="106">
        <v>100</v>
      </c>
      <c r="AW337" s="257">
        <v>1</v>
      </c>
      <c r="AX337" s="261"/>
      <c r="AY337" s="258">
        <v>20</v>
      </c>
      <c r="AZ337" s="261"/>
      <c r="BA337" s="175">
        <v>50</v>
      </c>
      <c r="BB337" s="259"/>
      <c r="BC337" s="176"/>
      <c r="BD337" s="177"/>
      <c r="BE337" s="177" t="s">
        <v>259</v>
      </c>
      <c r="BF337" s="178"/>
      <c r="BG337" s="27"/>
      <c r="BH337" s="27"/>
    </row>
    <row r="338" spans="1:60" ht="16.5" customHeight="1">
      <c r="A338" s="95">
        <v>337</v>
      </c>
      <c r="B338" s="96" t="s">
        <v>1401</v>
      </c>
      <c r="C338" s="73" t="s">
        <v>2586</v>
      </c>
      <c r="D338" s="257" t="s">
        <v>130</v>
      </c>
      <c r="E338" s="459" t="s">
        <v>3377</v>
      </c>
      <c r="F338" s="258">
        <v>1992</v>
      </c>
      <c r="G338" s="171">
        <v>37</v>
      </c>
      <c r="H338" s="57"/>
      <c r="I338" s="88"/>
      <c r="J338" s="100">
        <v>0.441</v>
      </c>
      <c r="K338" s="44">
        <v>4.5220000000000002</v>
      </c>
      <c r="L338" s="91"/>
      <c r="M338" s="65">
        <v>410</v>
      </c>
      <c r="N338" s="65"/>
      <c r="O338" s="106" t="s">
        <v>12</v>
      </c>
      <c r="P338" s="94"/>
      <c r="Q338" s="262"/>
      <c r="R338" s="94"/>
      <c r="S338" s="94"/>
      <c r="T338" s="65"/>
      <c r="U338" s="65"/>
      <c r="V338" s="131"/>
      <c r="W338" s="132"/>
      <c r="X338" s="120">
        <v>0</v>
      </c>
      <c r="Y338" s="120">
        <v>0</v>
      </c>
      <c r="Z338" s="120">
        <v>0</v>
      </c>
      <c r="AA338" s="130"/>
      <c r="AB338" s="17">
        <v>0</v>
      </c>
      <c r="AC338" s="17">
        <v>0</v>
      </c>
      <c r="AD338" s="130"/>
      <c r="AE338" s="130"/>
      <c r="AF338" s="17">
        <v>0</v>
      </c>
      <c r="AG338" s="17">
        <v>0</v>
      </c>
      <c r="AH338" s="17">
        <v>0</v>
      </c>
      <c r="AI338" s="133">
        <v>0</v>
      </c>
      <c r="AJ338" s="133">
        <v>0</v>
      </c>
      <c r="AK338" s="130">
        <v>0</v>
      </c>
      <c r="AL338" s="137">
        <v>0</v>
      </c>
      <c r="AM338" s="263"/>
      <c r="AN338" s="89"/>
      <c r="AO338" s="507"/>
      <c r="AP338" s="262"/>
      <c r="AQ338" s="133" t="s">
        <v>1396</v>
      </c>
      <c r="AR338" s="174">
        <v>80</v>
      </c>
      <c r="AS338" s="270"/>
      <c r="AT338" s="171" t="str">
        <f t="shared" si="26"/>
        <v>1000</v>
      </c>
      <c r="AU338" s="255">
        <f t="shared" si="28"/>
        <v>37.037037037037038</v>
      </c>
      <c r="AV338" s="106">
        <v>100</v>
      </c>
      <c r="AW338" s="257">
        <v>1</v>
      </c>
      <c r="AX338" s="261"/>
      <c r="AY338" s="258">
        <v>20</v>
      </c>
      <c r="AZ338" s="261"/>
      <c r="BA338" s="175">
        <v>50</v>
      </c>
      <c r="BB338" s="259"/>
      <c r="BC338" s="176"/>
      <c r="BD338" s="177" t="s">
        <v>259</v>
      </c>
      <c r="BE338" s="177" t="s">
        <v>259</v>
      </c>
      <c r="BF338" s="178"/>
      <c r="BG338" s="27"/>
      <c r="BH338" s="27"/>
    </row>
    <row r="339" spans="1:60" ht="16.5" customHeight="1">
      <c r="A339" s="95">
        <v>338</v>
      </c>
      <c r="B339" s="96" t="s">
        <v>1400</v>
      </c>
      <c r="C339" s="73" t="s">
        <v>2586</v>
      </c>
      <c r="D339" s="257" t="s">
        <v>130</v>
      </c>
      <c r="E339" s="459" t="s">
        <v>3377</v>
      </c>
      <c r="F339" s="258">
        <v>1992</v>
      </c>
      <c r="G339" s="171">
        <v>37</v>
      </c>
      <c r="H339" s="57"/>
      <c r="I339" s="173" t="s">
        <v>1739</v>
      </c>
      <c r="J339" s="100">
        <v>0.26700000000000002</v>
      </c>
      <c r="K339" s="44">
        <v>4.556</v>
      </c>
      <c r="L339" s="91"/>
      <c r="M339" s="65">
        <v>421</v>
      </c>
      <c r="N339" s="65"/>
      <c r="O339" s="106" t="s">
        <v>12</v>
      </c>
      <c r="P339" s="94"/>
      <c r="Q339" s="262"/>
      <c r="R339" s="94"/>
      <c r="S339" s="94"/>
      <c r="T339" s="65"/>
      <c r="U339" s="65"/>
      <c r="V339" s="131">
        <v>10</v>
      </c>
      <c r="W339" s="132">
        <v>0</v>
      </c>
      <c r="X339" s="120">
        <v>0</v>
      </c>
      <c r="Y339" s="120">
        <v>0</v>
      </c>
      <c r="Z339" s="120">
        <v>0</v>
      </c>
      <c r="AA339" s="130"/>
      <c r="AB339" s="17">
        <v>0</v>
      </c>
      <c r="AC339" s="17">
        <v>0</v>
      </c>
      <c r="AD339" s="130"/>
      <c r="AE339" s="130"/>
      <c r="AF339" s="17">
        <v>0</v>
      </c>
      <c r="AG339" s="133">
        <v>1.802</v>
      </c>
      <c r="AH339" s="17">
        <v>0</v>
      </c>
      <c r="AI339" s="133">
        <v>0</v>
      </c>
      <c r="AJ339" s="133">
        <v>0</v>
      </c>
      <c r="AK339" s="130">
        <v>0</v>
      </c>
      <c r="AL339" s="137">
        <v>0</v>
      </c>
      <c r="AM339" s="509">
        <v>101</v>
      </c>
      <c r="AN339" s="89"/>
      <c r="AO339" s="507"/>
      <c r="AP339" s="416">
        <v>53400</v>
      </c>
      <c r="AQ339" s="133" t="s">
        <v>1396</v>
      </c>
      <c r="AR339" s="174">
        <v>80</v>
      </c>
      <c r="AS339" s="270"/>
      <c r="AT339" s="171" t="str">
        <f t="shared" si="26"/>
        <v>1000</v>
      </c>
      <c r="AU339" s="255">
        <f t="shared" si="28"/>
        <v>37.037037037037038</v>
      </c>
      <c r="AV339" s="106">
        <v>100</v>
      </c>
      <c r="AW339" s="257">
        <v>28</v>
      </c>
      <c r="AX339" s="261"/>
      <c r="AY339" s="258">
        <v>20</v>
      </c>
      <c r="AZ339" s="261"/>
      <c r="BA339" s="175">
        <v>99</v>
      </c>
      <c r="BB339" s="259"/>
      <c r="BC339" s="176"/>
      <c r="BD339" s="177"/>
      <c r="BE339" s="177" t="s">
        <v>259</v>
      </c>
      <c r="BF339" s="178"/>
      <c r="BG339" s="27"/>
      <c r="BH339" s="27"/>
    </row>
    <row r="340" spans="1:60" ht="16.5" customHeight="1">
      <c r="A340" s="95">
        <v>339</v>
      </c>
      <c r="B340" s="96" t="s">
        <v>1399</v>
      </c>
      <c r="C340" s="73" t="s">
        <v>2586</v>
      </c>
      <c r="D340" s="257" t="s">
        <v>130</v>
      </c>
      <c r="E340" s="459" t="s">
        <v>3377</v>
      </c>
      <c r="F340" s="258">
        <v>1992</v>
      </c>
      <c r="G340" s="171">
        <v>37</v>
      </c>
      <c r="H340" s="57"/>
      <c r="I340" s="173" t="s">
        <v>1739</v>
      </c>
      <c r="J340" s="100">
        <v>0.441</v>
      </c>
      <c r="K340" s="44">
        <v>4.5220000000000002</v>
      </c>
      <c r="L340" s="91"/>
      <c r="M340" s="65">
        <v>410</v>
      </c>
      <c r="N340" s="65"/>
      <c r="O340" s="106" t="s">
        <v>12</v>
      </c>
      <c r="P340" s="94"/>
      <c r="Q340" s="262"/>
      <c r="R340" s="94"/>
      <c r="S340" s="94"/>
      <c r="T340" s="65"/>
      <c r="U340" s="65"/>
      <c r="V340" s="131"/>
      <c r="W340" s="132"/>
      <c r="X340" s="120">
        <v>0</v>
      </c>
      <c r="Y340" s="120">
        <v>0</v>
      </c>
      <c r="Z340" s="120">
        <v>0</v>
      </c>
      <c r="AA340" s="130"/>
      <c r="AB340" s="17">
        <v>0</v>
      </c>
      <c r="AC340" s="17">
        <v>0</v>
      </c>
      <c r="AD340" s="130"/>
      <c r="AE340" s="130"/>
      <c r="AF340" s="17">
        <v>0</v>
      </c>
      <c r="AG340" s="17">
        <v>0</v>
      </c>
      <c r="AH340" s="17">
        <v>0</v>
      </c>
      <c r="AI340" s="133">
        <v>0</v>
      </c>
      <c r="AJ340" s="133">
        <v>0</v>
      </c>
      <c r="AK340" s="130">
        <v>0</v>
      </c>
      <c r="AL340" s="137">
        <v>0</v>
      </c>
      <c r="AM340" s="263"/>
      <c r="AN340" s="89"/>
      <c r="AO340" s="507"/>
      <c r="AP340" s="262"/>
      <c r="AQ340" s="133" t="s">
        <v>1396</v>
      </c>
      <c r="AR340" s="174">
        <v>80</v>
      </c>
      <c r="AS340" s="270"/>
      <c r="AT340" s="171" t="str">
        <f t="shared" ref="AT340:AT348" si="29">RIGHT(AQ340,LEN(AQ340)-FIND("x",AQ340,1))</f>
        <v>1000</v>
      </c>
      <c r="AU340" s="255">
        <f t="shared" si="28"/>
        <v>37.037037037037038</v>
      </c>
      <c r="AV340" s="106">
        <v>100</v>
      </c>
      <c r="AW340" s="257">
        <v>28</v>
      </c>
      <c r="AX340" s="261"/>
      <c r="AY340" s="258">
        <v>20</v>
      </c>
      <c r="AZ340" s="261"/>
      <c r="BA340" s="175">
        <v>99</v>
      </c>
      <c r="BB340" s="259"/>
      <c r="BC340" s="176"/>
      <c r="BD340" s="177" t="s">
        <v>259</v>
      </c>
      <c r="BE340" s="177" t="s">
        <v>259</v>
      </c>
      <c r="BF340" s="178"/>
      <c r="BG340" s="27"/>
      <c r="BH340" s="27"/>
    </row>
    <row r="341" spans="1:60" ht="16.5" customHeight="1">
      <c r="A341" s="95">
        <v>340</v>
      </c>
      <c r="B341" s="96" t="s">
        <v>1398</v>
      </c>
      <c r="C341" s="73" t="s">
        <v>2586</v>
      </c>
      <c r="D341" s="257" t="s">
        <v>130</v>
      </c>
      <c r="E341" s="459" t="s">
        <v>3377</v>
      </c>
      <c r="F341" s="258">
        <v>1992</v>
      </c>
      <c r="G341" s="171">
        <v>37</v>
      </c>
      <c r="H341" s="57"/>
      <c r="I341" s="88"/>
      <c r="J341" s="100">
        <v>0.26700000000000002</v>
      </c>
      <c r="K341" s="44">
        <v>4.556</v>
      </c>
      <c r="L341" s="91"/>
      <c r="M341" s="65">
        <v>421</v>
      </c>
      <c r="N341" s="65"/>
      <c r="O341" s="106" t="s">
        <v>12</v>
      </c>
      <c r="P341" s="94"/>
      <c r="Q341" s="262"/>
      <c r="R341" s="94"/>
      <c r="S341" s="94"/>
      <c r="T341" s="65"/>
      <c r="U341" s="65"/>
      <c r="V341" s="131">
        <v>10</v>
      </c>
      <c r="W341" s="132">
        <v>0</v>
      </c>
      <c r="X341" s="120">
        <v>0</v>
      </c>
      <c r="Y341" s="120">
        <v>0</v>
      </c>
      <c r="Z341" s="120">
        <v>0</v>
      </c>
      <c r="AA341" s="130"/>
      <c r="AB341" s="17">
        <v>0</v>
      </c>
      <c r="AC341" s="17">
        <v>0</v>
      </c>
      <c r="AD341" s="130"/>
      <c r="AE341" s="130"/>
      <c r="AF341" s="17">
        <v>0</v>
      </c>
      <c r="AG341" s="133">
        <v>1.802</v>
      </c>
      <c r="AH341" s="17">
        <v>0</v>
      </c>
      <c r="AI341" s="133">
        <v>0</v>
      </c>
      <c r="AJ341" s="133">
        <v>0</v>
      </c>
      <c r="AK341" s="130">
        <v>0</v>
      </c>
      <c r="AL341" s="137">
        <v>0</v>
      </c>
      <c r="AM341" s="509">
        <v>101</v>
      </c>
      <c r="AN341" s="89"/>
      <c r="AO341" s="507"/>
      <c r="AP341" s="416">
        <v>53400</v>
      </c>
      <c r="AQ341" s="133" t="s">
        <v>1396</v>
      </c>
      <c r="AR341" s="174">
        <v>80</v>
      </c>
      <c r="AS341" s="270"/>
      <c r="AT341" s="171" t="str">
        <f t="shared" si="29"/>
        <v>1000</v>
      </c>
      <c r="AU341" s="255">
        <f t="shared" si="28"/>
        <v>37.037037037037038</v>
      </c>
      <c r="AV341" s="106">
        <v>100</v>
      </c>
      <c r="AW341" s="257">
        <v>28</v>
      </c>
      <c r="AX341" s="261"/>
      <c r="AY341" s="258">
        <v>20</v>
      </c>
      <c r="AZ341" s="261"/>
      <c r="BA341" s="175">
        <v>50</v>
      </c>
      <c r="BB341" s="259"/>
      <c r="BC341" s="176"/>
      <c r="BD341" s="177"/>
      <c r="BE341" s="177" t="s">
        <v>259</v>
      </c>
      <c r="BF341" s="178"/>
      <c r="BG341" s="27"/>
      <c r="BH341" s="27"/>
    </row>
    <row r="342" spans="1:60" ht="16.5" customHeight="1">
      <c r="A342" s="95">
        <v>341</v>
      </c>
      <c r="B342" s="96" t="s">
        <v>1397</v>
      </c>
      <c r="C342" s="73" t="s">
        <v>2586</v>
      </c>
      <c r="D342" s="257" t="s">
        <v>130</v>
      </c>
      <c r="E342" s="459" t="s">
        <v>3377</v>
      </c>
      <c r="F342" s="258">
        <v>1992</v>
      </c>
      <c r="G342" s="171">
        <v>37</v>
      </c>
      <c r="H342" s="57"/>
      <c r="I342" s="88"/>
      <c r="J342" s="100">
        <v>0.441</v>
      </c>
      <c r="K342" s="44">
        <v>4.5220000000000002</v>
      </c>
      <c r="L342" s="91"/>
      <c r="M342" s="65">
        <v>410</v>
      </c>
      <c r="N342" s="65"/>
      <c r="O342" s="106" t="s">
        <v>12</v>
      </c>
      <c r="P342" s="94"/>
      <c r="Q342" s="262"/>
      <c r="R342" s="94"/>
      <c r="S342" s="94"/>
      <c r="T342" s="65"/>
      <c r="U342" s="65"/>
      <c r="V342" s="131"/>
      <c r="W342" s="132"/>
      <c r="X342" s="120">
        <v>0</v>
      </c>
      <c r="Y342" s="120">
        <v>0</v>
      </c>
      <c r="Z342" s="120">
        <v>0</v>
      </c>
      <c r="AA342" s="130"/>
      <c r="AB342" s="17">
        <v>0</v>
      </c>
      <c r="AC342" s="17">
        <v>0</v>
      </c>
      <c r="AD342" s="130"/>
      <c r="AE342" s="130"/>
      <c r="AF342" s="17">
        <v>0</v>
      </c>
      <c r="AG342" s="17">
        <v>0</v>
      </c>
      <c r="AH342" s="17">
        <v>0</v>
      </c>
      <c r="AI342" s="133">
        <v>0</v>
      </c>
      <c r="AJ342" s="133">
        <v>0</v>
      </c>
      <c r="AK342" s="130">
        <v>0</v>
      </c>
      <c r="AL342" s="137">
        <v>0</v>
      </c>
      <c r="AM342" s="263"/>
      <c r="AN342" s="89"/>
      <c r="AO342" s="507"/>
      <c r="AP342" s="262"/>
      <c r="AQ342" s="133" t="s">
        <v>1396</v>
      </c>
      <c r="AR342" s="174">
        <v>80</v>
      </c>
      <c r="AS342" s="270"/>
      <c r="AT342" s="171" t="str">
        <f t="shared" si="29"/>
        <v>1000</v>
      </c>
      <c r="AU342" s="255">
        <f t="shared" si="28"/>
        <v>37.037037037037038</v>
      </c>
      <c r="AV342" s="106">
        <v>100</v>
      </c>
      <c r="AW342" s="257">
        <v>28</v>
      </c>
      <c r="AX342" s="261"/>
      <c r="AY342" s="258">
        <v>20</v>
      </c>
      <c r="AZ342" s="261"/>
      <c r="BA342" s="175">
        <v>50</v>
      </c>
      <c r="BB342" s="259"/>
      <c r="BC342" s="176"/>
      <c r="BD342" s="177" t="s">
        <v>259</v>
      </c>
      <c r="BE342" s="177" t="s">
        <v>259</v>
      </c>
      <c r="BF342" s="178"/>
      <c r="BG342" s="27"/>
      <c r="BH342" s="27"/>
    </row>
    <row r="343" spans="1:60" ht="15" customHeight="1">
      <c r="A343" s="95">
        <v>342</v>
      </c>
      <c r="B343" s="96" t="s">
        <v>1395</v>
      </c>
      <c r="C343" s="73" t="s">
        <v>2588</v>
      </c>
      <c r="D343" s="257" t="s">
        <v>126</v>
      </c>
      <c r="E343" s="459" t="s">
        <v>3377</v>
      </c>
      <c r="F343" s="258">
        <v>1993</v>
      </c>
      <c r="G343" s="171">
        <v>44</v>
      </c>
      <c r="H343" s="57"/>
      <c r="I343" s="88"/>
      <c r="J343" s="100">
        <v>0.53300000000000003</v>
      </c>
      <c r="K343" s="44">
        <v>5.306</v>
      </c>
      <c r="L343" s="91"/>
      <c r="M343" s="65">
        <v>346</v>
      </c>
      <c r="N343" s="65"/>
      <c r="O343" s="106" t="s">
        <v>12</v>
      </c>
      <c r="P343" s="94"/>
      <c r="Q343" s="262"/>
      <c r="R343" s="94"/>
      <c r="S343" s="94"/>
      <c r="T343" s="65"/>
      <c r="U343" s="65"/>
      <c r="V343" s="131">
        <v>5.202</v>
      </c>
      <c r="W343" s="132">
        <v>0</v>
      </c>
      <c r="X343" s="120">
        <v>0</v>
      </c>
      <c r="Y343" s="120">
        <v>0</v>
      </c>
      <c r="Z343" s="120">
        <v>0</v>
      </c>
      <c r="AA343" s="130"/>
      <c r="AB343" s="17">
        <v>0</v>
      </c>
      <c r="AC343" s="17">
        <v>0</v>
      </c>
      <c r="AD343" s="130"/>
      <c r="AE343" s="130"/>
      <c r="AF343" s="17">
        <v>0</v>
      </c>
      <c r="AG343" s="133">
        <v>0.72299999999999998</v>
      </c>
      <c r="AH343" s="17">
        <v>0</v>
      </c>
      <c r="AI343" s="133">
        <v>0</v>
      </c>
      <c r="AJ343" s="132">
        <v>0.11600000000000001</v>
      </c>
      <c r="AK343" s="17">
        <v>0</v>
      </c>
      <c r="AL343" s="137">
        <v>0</v>
      </c>
      <c r="AM343" s="509">
        <v>54.3</v>
      </c>
      <c r="AN343" s="89"/>
      <c r="AO343" s="507"/>
      <c r="AP343" s="262"/>
      <c r="AQ343" s="133" t="s">
        <v>1285</v>
      </c>
      <c r="AR343" s="188">
        <v>100</v>
      </c>
      <c r="AS343" s="270"/>
      <c r="AT343" s="171" t="str">
        <f t="shared" si="29"/>
        <v>500</v>
      </c>
      <c r="AU343" s="255">
        <f t="shared" ref="AU343:AU353" si="30">IF(ISBLANK(AS343),(AR343*AT343)/((4*AT343)+(2*AR343)),AR343*AS343*AT343/2/(AR343*AS343+AR343*AT343+AS343*AT343))</f>
        <v>22.727272727272727</v>
      </c>
      <c r="AV343" s="275"/>
      <c r="AW343" s="257">
        <v>1</v>
      </c>
      <c r="AX343" s="261"/>
      <c r="AY343" s="258">
        <v>20</v>
      </c>
      <c r="AZ343" s="261"/>
      <c r="BA343" s="175">
        <v>50</v>
      </c>
      <c r="BB343" s="259"/>
      <c r="BC343" s="176" t="s">
        <v>558</v>
      </c>
      <c r="BD343" s="177"/>
      <c r="BE343" s="177" t="s">
        <v>259</v>
      </c>
      <c r="BF343" s="178"/>
      <c r="BG343" s="27"/>
      <c r="BH343" s="27"/>
    </row>
    <row r="344" spans="1:60" ht="15" customHeight="1">
      <c r="A344" s="95">
        <v>343</v>
      </c>
      <c r="B344" s="96" t="s">
        <v>1394</v>
      </c>
      <c r="C344" s="73" t="s">
        <v>2588</v>
      </c>
      <c r="D344" s="257" t="s">
        <v>126</v>
      </c>
      <c r="E344" s="459" t="s">
        <v>3377</v>
      </c>
      <c r="F344" s="258">
        <v>1993</v>
      </c>
      <c r="G344" s="171">
        <v>44</v>
      </c>
      <c r="H344" s="57"/>
      <c r="I344" s="88"/>
      <c r="J344" s="100">
        <v>0.39400000000000002</v>
      </c>
      <c r="K344" s="44">
        <v>4.4130000000000003</v>
      </c>
      <c r="L344" s="91"/>
      <c r="M344" s="65">
        <v>416</v>
      </c>
      <c r="N344" s="65"/>
      <c r="O344" s="106" t="s">
        <v>12</v>
      </c>
      <c r="P344" s="94"/>
      <c r="Q344" s="262"/>
      <c r="R344" s="94"/>
      <c r="S344" s="94"/>
      <c r="T344" s="65"/>
      <c r="U344" s="65"/>
      <c r="V344" s="131">
        <v>5.2880000000000003</v>
      </c>
      <c r="W344" s="132">
        <v>0</v>
      </c>
      <c r="X344" s="120">
        <v>0</v>
      </c>
      <c r="Y344" s="120">
        <v>0</v>
      </c>
      <c r="Z344" s="120">
        <v>0</v>
      </c>
      <c r="AA344" s="130"/>
      <c r="AB344" s="17">
        <v>0</v>
      </c>
      <c r="AC344" s="17">
        <v>0</v>
      </c>
      <c r="AD344" s="130"/>
      <c r="AE344" s="130"/>
      <c r="AF344" s="17">
        <v>0</v>
      </c>
      <c r="AG344" s="133">
        <v>1.4419999999999999</v>
      </c>
      <c r="AH344" s="17">
        <v>0</v>
      </c>
      <c r="AI344" s="133">
        <v>0</v>
      </c>
      <c r="AJ344" s="132">
        <v>9.6000000000000002E-2</v>
      </c>
      <c r="AK344" s="17">
        <v>0</v>
      </c>
      <c r="AL344" s="137">
        <v>0</v>
      </c>
      <c r="AM344" s="509">
        <v>79.400000000000006</v>
      </c>
      <c r="AN344" s="89"/>
      <c r="AO344" s="507"/>
      <c r="AP344" s="262"/>
      <c r="AQ344" s="133" t="s">
        <v>1285</v>
      </c>
      <c r="AR344" s="188">
        <v>100</v>
      </c>
      <c r="AS344" s="270"/>
      <c r="AT344" s="171" t="str">
        <f t="shared" si="29"/>
        <v>500</v>
      </c>
      <c r="AU344" s="255">
        <f t="shared" si="30"/>
        <v>22.727272727272727</v>
      </c>
      <c r="AV344" s="275"/>
      <c r="AW344" s="257">
        <v>1</v>
      </c>
      <c r="AX344" s="261"/>
      <c r="AY344" s="258">
        <v>20</v>
      </c>
      <c r="AZ344" s="261"/>
      <c r="BA344" s="175">
        <v>50</v>
      </c>
      <c r="BB344" s="259"/>
      <c r="BC344" s="176" t="s">
        <v>558</v>
      </c>
      <c r="BD344" s="177"/>
      <c r="BE344" s="177" t="s">
        <v>259</v>
      </c>
      <c r="BF344" s="178"/>
      <c r="BG344" s="27"/>
      <c r="BH344" s="27"/>
    </row>
    <row r="345" spans="1:60" ht="15" customHeight="1">
      <c r="A345" s="95">
        <v>344</v>
      </c>
      <c r="B345" s="96" t="s">
        <v>1393</v>
      </c>
      <c r="C345" s="73" t="s">
        <v>2588</v>
      </c>
      <c r="D345" s="257" t="s">
        <v>126</v>
      </c>
      <c r="E345" s="459" t="s">
        <v>3377</v>
      </c>
      <c r="F345" s="258">
        <v>1993</v>
      </c>
      <c r="G345" s="171">
        <v>44</v>
      </c>
      <c r="H345" s="57"/>
      <c r="I345" s="88"/>
      <c r="J345" s="100">
        <v>0.309</v>
      </c>
      <c r="K345" s="44">
        <v>3.8410000000000002</v>
      </c>
      <c r="L345" s="91"/>
      <c r="M345" s="65">
        <v>478</v>
      </c>
      <c r="N345" s="65"/>
      <c r="O345" s="106" t="s">
        <v>12</v>
      </c>
      <c r="P345" s="94"/>
      <c r="Q345" s="262"/>
      <c r="R345" s="94"/>
      <c r="S345" s="94"/>
      <c r="T345" s="65"/>
      <c r="U345" s="65"/>
      <c r="V345" s="131">
        <v>5.23</v>
      </c>
      <c r="W345" s="132">
        <v>0</v>
      </c>
      <c r="X345" s="120">
        <v>0</v>
      </c>
      <c r="Y345" s="120">
        <v>0</v>
      </c>
      <c r="Z345" s="120">
        <v>0</v>
      </c>
      <c r="AA345" s="130"/>
      <c r="AB345" s="17">
        <v>0</v>
      </c>
      <c r="AC345" s="17">
        <v>0</v>
      </c>
      <c r="AD345" s="130"/>
      <c r="AE345" s="130"/>
      <c r="AF345" s="17">
        <v>0</v>
      </c>
      <c r="AG345" s="133">
        <v>2.427</v>
      </c>
      <c r="AH345" s="17">
        <v>0</v>
      </c>
      <c r="AI345" s="133">
        <v>0</v>
      </c>
      <c r="AJ345" s="132">
        <v>8.4000000000000005E-2</v>
      </c>
      <c r="AK345" s="17">
        <v>0</v>
      </c>
      <c r="AL345" s="137">
        <v>0</v>
      </c>
      <c r="AM345" s="509">
        <v>96.2</v>
      </c>
      <c r="AN345" s="89"/>
      <c r="AO345" s="507"/>
      <c r="AP345" s="262"/>
      <c r="AQ345" s="133" t="s">
        <v>1285</v>
      </c>
      <c r="AR345" s="188">
        <v>100</v>
      </c>
      <c r="AS345" s="270"/>
      <c r="AT345" s="171" t="str">
        <f t="shared" si="29"/>
        <v>500</v>
      </c>
      <c r="AU345" s="255">
        <f t="shared" si="30"/>
        <v>22.727272727272727</v>
      </c>
      <c r="AV345" s="275"/>
      <c r="AW345" s="257">
        <v>1</v>
      </c>
      <c r="AX345" s="261"/>
      <c r="AY345" s="258">
        <v>20</v>
      </c>
      <c r="AZ345" s="261"/>
      <c r="BA345" s="175">
        <v>50</v>
      </c>
      <c r="BB345" s="259"/>
      <c r="BC345" s="176" t="s">
        <v>558</v>
      </c>
      <c r="BD345" s="177"/>
      <c r="BE345" s="177" t="s">
        <v>259</v>
      </c>
      <c r="BF345" s="178"/>
      <c r="BG345" s="27"/>
      <c r="BH345" s="27"/>
    </row>
    <row r="346" spans="1:60" ht="15" customHeight="1">
      <c r="A346" s="95">
        <v>345</v>
      </c>
      <c r="B346" s="96" t="s">
        <v>1392</v>
      </c>
      <c r="C346" s="73" t="s">
        <v>2588</v>
      </c>
      <c r="D346" s="257" t="s">
        <v>126</v>
      </c>
      <c r="E346" s="459" t="s">
        <v>3377</v>
      </c>
      <c r="F346" s="258">
        <v>1993</v>
      </c>
      <c r="G346" s="171">
        <v>44</v>
      </c>
      <c r="H346" s="57"/>
      <c r="I346" s="88"/>
      <c r="J346" s="100">
        <v>0.53300000000000003</v>
      </c>
      <c r="K346" s="44">
        <v>5.306</v>
      </c>
      <c r="L346" s="91"/>
      <c r="M346" s="65">
        <v>346</v>
      </c>
      <c r="N346" s="65"/>
      <c r="O346" s="106" t="s">
        <v>12</v>
      </c>
      <c r="P346" s="94"/>
      <c r="Q346" s="262"/>
      <c r="R346" s="94"/>
      <c r="S346" s="94"/>
      <c r="T346" s="65"/>
      <c r="U346" s="65"/>
      <c r="V346" s="131">
        <v>5.202</v>
      </c>
      <c r="W346" s="132">
        <v>0</v>
      </c>
      <c r="X346" s="120">
        <v>0</v>
      </c>
      <c r="Y346" s="120">
        <v>0</v>
      </c>
      <c r="Z346" s="120">
        <v>0</v>
      </c>
      <c r="AA346" s="130"/>
      <c r="AB346" s="17">
        <v>0</v>
      </c>
      <c r="AC346" s="17">
        <v>0</v>
      </c>
      <c r="AD346" s="130"/>
      <c r="AE346" s="130"/>
      <c r="AF346" s="17">
        <v>0</v>
      </c>
      <c r="AG346" s="133">
        <v>0.72299999999999998</v>
      </c>
      <c r="AH346" s="17">
        <v>0</v>
      </c>
      <c r="AI346" s="133">
        <v>0</v>
      </c>
      <c r="AJ346" s="132">
        <v>0.11600000000000001</v>
      </c>
      <c r="AK346" s="17">
        <v>0</v>
      </c>
      <c r="AL346" s="137">
        <v>0</v>
      </c>
      <c r="AM346" s="509">
        <v>54.3</v>
      </c>
      <c r="AN346" s="89"/>
      <c r="AO346" s="507"/>
      <c r="AP346" s="262"/>
      <c r="AQ346" s="133" t="s">
        <v>1285</v>
      </c>
      <c r="AR346" s="188">
        <v>100</v>
      </c>
      <c r="AS346" s="270"/>
      <c r="AT346" s="171" t="str">
        <f t="shared" si="29"/>
        <v>500</v>
      </c>
      <c r="AU346" s="255">
        <f t="shared" si="30"/>
        <v>22.727272727272727</v>
      </c>
      <c r="AV346" s="275"/>
      <c r="AW346" s="257">
        <v>1</v>
      </c>
      <c r="AX346" s="261"/>
      <c r="AY346" s="258">
        <v>20</v>
      </c>
      <c r="AZ346" s="261"/>
      <c r="BA346" s="175">
        <v>99</v>
      </c>
      <c r="BB346" s="259"/>
      <c r="BC346" s="176" t="s">
        <v>558</v>
      </c>
      <c r="BD346" s="177"/>
      <c r="BE346" s="177" t="s">
        <v>259</v>
      </c>
      <c r="BF346" s="178"/>
      <c r="BG346" s="27"/>
      <c r="BH346" s="27"/>
    </row>
    <row r="347" spans="1:60" ht="15" customHeight="1">
      <c r="A347" s="95">
        <v>346</v>
      </c>
      <c r="B347" s="96" t="s">
        <v>1391</v>
      </c>
      <c r="C347" s="73" t="s">
        <v>2588</v>
      </c>
      <c r="D347" s="257" t="s">
        <v>126</v>
      </c>
      <c r="E347" s="459" t="s">
        <v>3377</v>
      </c>
      <c r="F347" s="258">
        <v>1993</v>
      </c>
      <c r="G347" s="171">
        <v>44</v>
      </c>
      <c r="H347" s="57"/>
      <c r="I347" s="88"/>
      <c r="J347" s="100">
        <v>0.39400000000000002</v>
      </c>
      <c r="K347" s="44">
        <v>4.4130000000000003</v>
      </c>
      <c r="L347" s="91"/>
      <c r="M347" s="65">
        <v>416</v>
      </c>
      <c r="N347" s="65"/>
      <c r="O347" s="106" t="s">
        <v>12</v>
      </c>
      <c r="P347" s="94"/>
      <c r="Q347" s="262"/>
      <c r="R347" s="94"/>
      <c r="S347" s="94"/>
      <c r="T347" s="65"/>
      <c r="U347" s="65"/>
      <c r="V347" s="131">
        <v>5.2880000000000003</v>
      </c>
      <c r="W347" s="132">
        <v>0</v>
      </c>
      <c r="X347" s="120">
        <v>0</v>
      </c>
      <c r="Y347" s="120">
        <v>0</v>
      </c>
      <c r="Z347" s="120">
        <v>0</v>
      </c>
      <c r="AA347" s="130"/>
      <c r="AB347" s="17">
        <v>0</v>
      </c>
      <c r="AC347" s="17">
        <v>0</v>
      </c>
      <c r="AD347" s="130"/>
      <c r="AE347" s="130"/>
      <c r="AF347" s="17">
        <v>0</v>
      </c>
      <c r="AG347" s="133">
        <v>1.4419999999999999</v>
      </c>
      <c r="AH347" s="17">
        <v>0</v>
      </c>
      <c r="AI347" s="133">
        <v>0</v>
      </c>
      <c r="AJ347" s="132">
        <v>9.6000000000000002E-2</v>
      </c>
      <c r="AK347" s="17">
        <v>0</v>
      </c>
      <c r="AL347" s="137">
        <v>0</v>
      </c>
      <c r="AM347" s="509">
        <v>79.400000000000006</v>
      </c>
      <c r="AN347" s="89"/>
      <c r="AO347" s="507"/>
      <c r="AP347" s="262"/>
      <c r="AQ347" s="133" t="s">
        <v>1285</v>
      </c>
      <c r="AR347" s="188">
        <v>100</v>
      </c>
      <c r="AS347" s="270"/>
      <c r="AT347" s="171" t="str">
        <f t="shared" si="29"/>
        <v>500</v>
      </c>
      <c r="AU347" s="255">
        <f t="shared" si="30"/>
        <v>22.727272727272727</v>
      </c>
      <c r="AV347" s="275"/>
      <c r="AW347" s="257">
        <v>1</v>
      </c>
      <c r="AX347" s="261"/>
      <c r="AY347" s="258">
        <v>20</v>
      </c>
      <c r="AZ347" s="261"/>
      <c r="BA347" s="175">
        <v>99</v>
      </c>
      <c r="BB347" s="259"/>
      <c r="BC347" s="176" t="s">
        <v>558</v>
      </c>
      <c r="BD347" s="177"/>
      <c r="BE347" s="177" t="s">
        <v>259</v>
      </c>
      <c r="BF347" s="178"/>
      <c r="BG347" s="27"/>
      <c r="BH347" s="27"/>
    </row>
    <row r="348" spans="1:60" ht="15" customHeight="1">
      <c r="A348" s="95">
        <v>347</v>
      </c>
      <c r="B348" s="96" t="s">
        <v>1390</v>
      </c>
      <c r="C348" s="73" t="s">
        <v>2588</v>
      </c>
      <c r="D348" s="257" t="s">
        <v>126</v>
      </c>
      <c r="E348" s="459" t="s">
        <v>3377</v>
      </c>
      <c r="F348" s="258">
        <v>1993</v>
      </c>
      <c r="G348" s="171">
        <v>44</v>
      </c>
      <c r="H348" s="57"/>
      <c r="I348" s="88"/>
      <c r="J348" s="100">
        <v>0.309</v>
      </c>
      <c r="K348" s="44">
        <v>3.8410000000000002</v>
      </c>
      <c r="L348" s="91"/>
      <c r="M348" s="65">
        <v>478</v>
      </c>
      <c r="N348" s="65"/>
      <c r="O348" s="106" t="s">
        <v>12</v>
      </c>
      <c r="P348" s="94"/>
      <c r="Q348" s="262"/>
      <c r="R348" s="94"/>
      <c r="S348" s="94"/>
      <c r="T348" s="65"/>
      <c r="U348" s="65"/>
      <c r="V348" s="131">
        <v>5.23</v>
      </c>
      <c r="W348" s="132">
        <v>0</v>
      </c>
      <c r="X348" s="120">
        <v>0</v>
      </c>
      <c r="Y348" s="120">
        <v>0</v>
      </c>
      <c r="Z348" s="120">
        <v>0</v>
      </c>
      <c r="AA348" s="130"/>
      <c r="AB348" s="17">
        <v>0</v>
      </c>
      <c r="AC348" s="17">
        <v>0</v>
      </c>
      <c r="AD348" s="130"/>
      <c r="AE348" s="130"/>
      <c r="AF348" s="17">
        <v>0</v>
      </c>
      <c r="AG348" s="133">
        <v>2.427</v>
      </c>
      <c r="AH348" s="17">
        <v>0</v>
      </c>
      <c r="AI348" s="133">
        <v>0</v>
      </c>
      <c r="AJ348" s="132">
        <v>8.4000000000000005E-2</v>
      </c>
      <c r="AK348" s="17">
        <v>0</v>
      </c>
      <c r="AL348" s="137">
        <v>0</v>
      </c>
      <c r="AM348" s="509">
        <v>96.2</v>
      </c>
      <c r="AN348" s="89"/>
      <c r="AO348" s="507"/>
      <c r="AP348" s="262"/>
      <c r="AQ348" s="133" t="s">
        <v>1285</v>
      </c>
      <c r="AR348" s="188">
        <v>100</v>
      </c>
      <c r="AS348" s="270"/>
      <c r="AT348" s="171" t="str">
        <f t="shared" si="29"/>
        <v>500</v>
      </c>
      <c r="AU348" s="255">
        <f t="shared" si="30"/>
        <v>22.727272727272727</v>
      </c>
      <c r="AV348" s="275"/>
      <c r="AW348" s="257">
        <v>1</v>
      </c>
      <c r="AX348" s="261"/>
      <c r="AY348" s="258">
        <v>20</v>
      </c>
      <c r="AZ348" s="261"/>
      <c r="BA348" s="175">
        <v>99</v>
      </c>
      <c r="BB348" s="259"/>
      <c r="BC348" s="176" t="s">
        <v>558</v>
      </c>
      <c r="BD348" s="177"/>
      <c r="BE348" s="177" t="s">
        <v>259</v>
      </c>
      <c r="BF348" s="178"/>
      <c r="BG348" s="27"/>
      <c r="BH348" s="27"/>
    </row>
    <row r="349" spans="1:60" ht="15" customHeight="1">
      <c r="A349" s="95">
        <v>348</v>
      </c>
      <c r="B349" s="96" t="s">
        <v>1389</v>
      </c>
      <c r="C349" s="73" t="s">
        <v>2589</v>
      </c>
      <c r="D349" s="257" t="s">
        <v>1384</v>
      </c>
      <c r="E349" s="459" t="s">
        <v>3377</v>
      </c>
      <c r="F349" s="258">
        <v>1993</v>
      </c>
      <c r="G349" s="171">
        <v>55</v>
      </c>
      <c r="H349" s="57"/>
      <c r="I349" s="88"/>
      <c r="J349" s="100">
        <v>0.36099999999999999</v>
      </c>
      <c r="K349" s="44">
        <v>4.8380000000000001</v>
      </c>
      <c r="L349" s="91"/>
      <c r="M349" s="65">
        <v>401</v>
      </c>
      <c r="N349" s="65"/>
      <c r="O349" s="106" t="s">
        <v>12</v>
      </c>
      <c r="P349" s="94"/>
      <c r="Q349" s="262"/>
      <c r="R349" s="94"/>
      <c r="S349" s="94"/>
      <c r="T349" s="65"/>
      <c r="U349" s="65"/>
      <c r="V349" s="131">
        <v>0</v>
      </c>
      <c r="W349" s="132">
        <v>0</v>
      </c>
      <c r="X349" s="120">
        <v>0</v>
      </c>
      <c r="Y349" s="120">
        <v>0</v>
      </c>
      <c r="Z349" s="120">
        <v>0</v>
      </c>
      <c r="AA349" s="130"/>
      <c r="AB349" s="17">
        <v>0</v>
      </c>
      <c r="AC349" s="17">
        <v>0</v>
      </c>
      <c r="AD349" s="130"/>
      <c r="AE349" s="130"/>
      <c r="AF349" s="17">
        <v>0</v>
      </c>
      <c r="AG349" s="133">
        <v>1.1100000000000001</v>
      </c>
      <c r="AH349" s="17">
        <v>0</v>
      </c>
      <c r="AI349" s="133">
        <v>0</v>
      </c>
      <c r="AJ349" s="133">
        <v>0</v>
      </c>
      <c r="AK349" s="17">
        <v>0</v>
      </c>
      <c r="AL349" s="137">
        <v>0</v>
      </c>
      <c r="AM349" s="509">
        <v>55.6</v>
      </c>
      <c r="AN349" s="89"/>
      <c r="AO349" s="507"/>
      <c r="AP349" s="416">
        <v>43200</v>
      </c>
      <c r="AQ349" s="133" t="s">
        <v>1388</v>
      </c>
      <c r="AR349" s="36">
        <v>76.2</v>
      </c>
      <c r="AS349" s="37">
        <v>101.6</v>
      </c>
      <c r="AT349" s="37">
        <v>152</v>
      </c>
      <c r="AU349" s="255">
        <f t="shared" si="30"/>
        <v>16.923436586791354</v>
      </c>
      <c r="AV349" s="107">
        <v>100</v>
      </c>
      <c r="AW349" s="257">
        <v>28</v>
      </c>
      <c r="AX349" s="261"/>
      <c r="AY349" s="258">
        <v>23</v>
      </c>
      <c r="AZ349" s="261"/>
      <c r="BA349" s="175">
        <v>50</v>
      </c>
      <c r="BB349" s="259"/>
      <c r="BC349" s="176" t="s">
        <v>558</v>
      </c>
      <c r="BD349" s="177"/>
      <c r="BE349" s="177" t="s">
        <v>259</v>
      </c>
      <c r="BF349" s="178"/>
      <c r="BG349" s="27"/>
      <c r="BH349" s="27"/>
    </row>
    <row r="350" spans="1:60" ht="15" customHeight="1">
      <c r="A350" s="95">
        <v>349</v>
      </c>
      <c r="B350" s="96" t="s">
        <v>1387</v>
      </c>
      <c r="C350" s="73" t="s">
        <v>2589</v>
      </c>
      <c r="D350" s="257" t="s">
        <v>1384</v>
      </c>
      <c r="E350" s="459" t="s">
        <v>3377</v>
      </c>
      <c r="F350" s="258">
        <v>1993</v>
      </c>
      <c r="G350" s="171">
        <v>55</v>
      </c>
      <c r="H350" s="57"/>
      <c r="I350" s="88"/>
      <c r="J350" s="100">
        <v>0.40500000000000003</v>
      </c>
      <c r="K350" s="44">
        <v>5.3460000000000001</v>
      </c>
      <c r="L350" s="91"/>
      <c r="M350" s="65">
        <v>361</v>
      </c>
      <c r="N350" s="65"/>
      <c r="O350" s="106" t="s">
        <v>12</v>
      </c>
      <c r="P350" s="94"/>
      <c r="Q350" s="262"/>
      <c r="R350" s="94"/>
      <c r="S350" s="94"/>
      <c r="T350" s="65"/>
      <c r="U350" s="65"/>
      <c r="V350" s="131">
        <v>11.08</v>
      </c>
      <c r="W350" s="132">
        <v>0</v>
      </c>
      <c r="X350" s="120">
        <v>0</v>
      </c>
      <c r="Y350" s="120">
        <v>0</v>
      </c>
      <c r="Z350" s="120">
        <v>0</v>
      </c>
      <c r="AA350" s="130"/>
      <c r="AB350" s="17">
        <v>0</v>
      </c>
      <c r="AC350" s="17">
        <v>0</v>
      </c>
      <c r="AD350" s="130"/>
      <c r="AE350" s="130"/>
      <c r="AF350" s="17">
        <v>0</v>
      </c>
      <c r="AG350" s="133">
        <v>1.82</v>
      </c>
      <c r="AH350" s="17">
        <v>0</v>
      </c>
      <c r="AI350" s="133">
        <v>0</v>
      </c>
      <c r="AJ350" s="133">
        <v>0</v>
      </c>
      <c r="AK350" s="17">
        <v>0</v>
      </c>
      <c r="AL350" s="137">
        <v>0</v>
      </c>
      <c r="AM350" s="509">
        <v>70.7</v>
      </c>
      <c r="AN350" s="89"/>
      <c r="AO350" s="507"/>
      <c r="AP350" s="416">
        <v>43700</v>
      </c>
      <c r="AQ350" s="133" t="s">
        <v>1388</v>
      </c>
      <c r="AR350" s="36">
        <v>76.2</v>
      </c>
      <c r="AS350" s="37">
        <v>101.6</v>
      </c>
      <c r="AT350" s="37">
        <v>152</v>
      </c>
      <c r="AU350" s="255">
        <f t="shared" si="30"/>
        <v>16.923436586791354</v>
      </c>
      <c r="AV350" s="107">
        <v>100</v>
      </c>
      <c r="AW350" s="257">
        <v>28</v>
      </c>
      <c r="AX350" s="261"/>
      <c r="AY350" s="258">
        <v>23</v>
      </c>
      <c r="AZ350" s="261"/>
      <c r="BA350" s="175">
        <v>50</v>
      </c>
      <c r="BB350" s="259"/>
      <c r="BC350" s="176" t="s">
        <v>558</v>
      </c>
      <c r="BD350" s="177"/>
      <c r="BE350" s="177" t="s">
        <v>259</v>
      </c>
      <c r="BF350" s="178"/>
      <c r="BG350" s="27"/>
      <c r="BH350" s="27"/>
    </row>
    <row r="351" spans="1:60" ht="15" customHeight="1">
      <c r="A351" s="95">
        <v>350</v>
      </c>
      <c r="B351" s="96" t="s">
        <v>1386</v>
      </c>
      <c r="C351" s="73" t="s">
        <v>2589</v>
      </c>
      <c r="D351" s="257" t="s">
        <v>1384</v>
      </c>
      <c r="E351" s="459" t="s">
        <v>3377</v>
      </c>
      <c r="F351" s="258">
        <v>1993</v>
      </c>
      <c r="G351" s="171">
        <v>55</v>
      </c>
      <c r="H351" s="57"/>
      <c r="I351" s="88"/>
      <c r="J351" s="100">
        <v>0.42799999999999999</v>
      </c>
      <c r="K351" s="44">
        <v>5.6159999999999997</v>
      </c>
      <c r="L351" s="91"/>
      <c r="M351" s="65">
        <v>341</v>
      </c>
      <c r="N351" s="65"/>
      <c r="O351" s="106" t="s">
        <v>12</v>
      </c>
      <c r="P351" s="94"/>
      <c r="Q351" s="262"/>
      <c r="R351" s="94"/>
      <c r="S351" s="94"/>
      <c r="T351" s="65"/>
      <c r="U351" s="65"/>
      <c r="V351" s="131">
        <v>17.594999999999999</v>
      </c>
      <c r="W351" s="132">
        <v>0</v>
      </c>
      <c r="X351" s="120">
        <v>0</v>
      </c>
      <c r="Y351" s="120">
        <v>0</v>
      </c>
      <c r="Z351" s="120">
        <v>0</v>
      </c>
      <c r="AA351" s="130"/>
      <c r="AB351" s="17">
        <v>0</v>
      </c>
      <c r="AC351" s="17">
        <v>0</v>
      </c>
      <c r="AD351" s="130"/>
      <c r="AE351" s="130"/>
      <c r="AF351" s="17">
        <v>0</v>
      </c>
      <c r="AG351" s="133">
        <v>2.14</v>
      </c>
      <c r="AH351" s="17">
        <v>0</v>
      </c>
      <c r="AI351" s="133">
        <v>0</v>
      </c>
      <c r="AJ351" s="133">
        <v>0</v>
      </c>
      <c r="AK351" s="17">
        <v>0</v>
      </c>
      <c r="AL351" s="137">
        <v>0</v>
      </c>
      <c r="AM351" s="509">
        <v>75.2</v>
      </c>
      <c r="AN351" s="89"/>
      <c r="AO351" s="507"/>
      <c r="AP351" s="416">
        <v>42800</v>
      </c>
      <c r="AQ351" s="133" t="s">
        <v>1388</v>
      </c>
      <c r="AR351" s="36">
        <v>76.2</v>
      </c>
      <c r="AS351" s="37">
        <v>101.6</v>
      </c>
      <c r="AT351" s="37">
        <v>152</v>
      </c>
      <c r="AU351" s="255">
        <f t="shared" si="30"/>
        <v>16.923436586791354</v>
      </c>
      <c r="AV351" s="107">
        <v>100</v>
      </c>
      <c r="AW351" s="257">
        <v>28</v>
      </c>
      <c r="AX351" s="261"/>
      <c r="AY351" s="258">
        <v>23</v>
      </c>
      <c r="AZ351" s="261"/>
      <c r="BA351" s="175">
        <v>50</v>
      </c>
      <c r="BB351" s="259"/>
      <c r="BC351" s="176" t="s">
        <v>558</v>
      </c>
      <c r="BD351" s="177"/>
      <c r="BE351" s="177" t="s">
        <v>259</v>
      </c>
      <c r="BF351" s="178"/>
      <c r="BG351" s="27"/>
      <c r="BH351" s="27"/>
    </row>
    <row r="352" spans="1:60" ht="15" customHeight="1">
      <c r="A352" s="95">
        <v>351</v>
      </c>
      <c r="B352" s="96" t="s">
        <v>1385</v>
      </c>
      <c r="C352" s="73" t="s">
        <v>2589</v>
      </c>
      <c r="D352" s="257" t="s">
        <v>1384</v>
      </c>
      <c r="E352" s="459" t="s">
        <v>3377</v>
      </c>
      <c r="F352" s="258">
        <v>1993</v>
      </c>
      <c r="G352" s="171">
        <v>55</v>
      </c>
      <c r="H352" s="57"/>
      <c r="I352" s="88"/>
      <c r="J352" s="100">
        <v>0.45500000000000002</v>
      </c>
      <c r="K352" s="44">
        <v>5.96</v>
      </c>
      <c r="L352" s="91"/>
      <c r="M352" s="65">
        <v>320</v>
      </c>
      <c r="N352" s="65"/>
      <c r="O352" s="106" t="s">
        <v>12</v>
      </c>
      <c r="P352" s="94"/>
      <c r="Q352" s="262"/>
      <c r="R352" s="94"/>
      <c r="S352" s="94"/>
      <c r="T352" s="65"/>
      <c r="U352" s="65"/>
      <c r="V352" s="131">
        <v>25</v>
      </c>
      <c r="W352" s="132">
        <v>0</v>
      </c>
      <c r="X352" s="120">
        <v>0</v>
      </c>
      <c r="Y352" s="120">
        <v>0</v>
      </c>
      <c r="Z352" s="120">
        <v>0</v>
      </c>
      <c r="AA352" s="130"/>
      <c r="AB352" s="17">
        <v>0</v>
      </c>
      <c r="AC352" s="17">
        <v>0</v>
      </c>
      <c r="AD352" s="130"/>
      <c r="AE352" s="130"/>
      <c r="AF352" s="17">
        <v>0</v>
      </c>
      <c r="AG352" s="133">
        <v>2.62</v>
      </c>
      <c r="AH352" s="17">
        <v>0</v>
      </c>
      <c r="AI352" s="133">
        <v>0</v>
      </c>
      <c r="AJ352" s="133">
        <v>0</v>
      </c>
      <c r="AK352" s="17">
        <v>0</v>
      </c>
      <c r="AL352" s="137">
        <v>0</v>
      </c>
      <c r="AM352" s="509">
        <v>74.2</v>
      </c>
      <c r="AN352" s="89"/>
      <c r="AO352" s="507"/>
      <c r="AP352" s="416">
        <v>43400</v>
      </c>
      <c r="AQ352" s="133" t="s">
        <v>1388</v>
      </c>
      <c r="AR352" s="36">
        <v>76.2</v>
      </c>
      <c r="AS352" s="37">
        <v>101.6</v>
      </c>
      <c r="AT352" s="37">
        <v>152</v>
      </c>
      <c r="AU352" s="255">
        <f t="shared" si="30"/>
        <v>16.923436586791354</v>
      </c>
      <c r="AV352" s="107">
        <v>100</v>
      </c>
      <c r="AW352" s="257">
        <v>28</v>
      </c>
      <c r="AX352" s="261"/>
      <c r="AY352" s="258">
        <v>23</v>
      </c>
      <c r="AZ352" s="261"/>
      <c r="BA352" s="175">
        <v>50</v>
      </c>
      <c r="BB352" s="259"/>
      <c r="BC352" s="176" t="s">
        <v>558</v>
      </c>
      <c r="BD352" s="179"/>
      <c r="BE352" s="177" t="s">
        <v>259</v>
      </c>
      <c r="BF352" s="178"/>
      <c r="BG352" s="27"/>
      <c r="BH352" s="27"/>
    </row>
    <row r="353" spans="1:60" ht="15" customHeight="1">
      <c r="A353" s="95">
        <v>352</v>
      </c>
      <c r="B353" s="96" t="s">
        <v>1383</v>
      </c>
      <c r="C353" s="73" t="s">
        <v>2589</v>
      </c>
      <c r="D353" s="257" t="s">
        <v>1384</v>
      </c>
      <c r="E353" s="459" t="s">
        <v>3377</v>
      </c>
      <c r="F353" s="258">
        <v>1993</v>
      </c>
      <c r="G353" s="171">
        <v>55</v>
      </c>
      <c r="H353" s="57"/>
      <c r="I353" s="88"/>
      <c r="J353" s="100">
        <v>0.48599999999999999</v>
      </c>
      <c r="K353" s="44">
        <v>5.3419999999999996</v>
      </c>
      <c r="L353" s="91"/>
      <c r="M353" s="65">
        <v>363</v>
      </c>
      <c r="N353" s="65"/>
      <c r="O353" s="106" t="s">
        <v>12</v>
      </c>
      <c r="P353" s="94"/>
      <c r="Q353" s="262"/>
      <c r="R353" s="94"/>
      <c r="S353" s="94"/>
      <c r="T353" s="65"/>
      <c r="U353" s="65"/>
      <c r="V353" s="131">
        <v>11.295</v>
      </c>
      <c r="W353" s="132">
        <v>0</v>
      </c>
      <c r="X353" s="120">
        <v>0</v>
      </c>
      <c r="Y353" s="120">
        <v>0</v>
      </c>
      <c r="Z353" s="120">
        <v>0</v>
      </c>
      <c r="AA353" s="130"/>
      <c r="AB353" s="17">
        <v>0</v>
      </c>
      <c r="AC353" s="17">
        <v>0</v>
      </c>
      <c r="AD353" s="130"/>
      <c r="AE353" s="130"/>
      <c r="AF353" s="17">
        <v>0</v>
      </c>
      <c r="AG353" s="133">
        <v>1E-3</v>
      </c>
      <c r="AH353" s="17">
        <v>0</v>
      </c>
      <c r="AI353" s="133">
        <v>0</v>
      </c>
      <c r="AJ353" s="133">
        <v>0</v>
      </c>
      <c r="AK353" s="17">
        <v>0</v>
      </c>
      <c r="AL353" s="137">
        <v>0</v>
      </c>
      <c r="AM353" s="509">
        <v>85</v>
      </c>
      <c r="AN353" s="89"/>
      <c r="AO353" s="507"/>
      <c r="AP353" s="416">
        <v>43400</v>
      </c>
      <c r="AQ353" s="133" t="s">
        <v>1388</v>
      </c>
      <c r="AR353" s="36">
        <v>76.2</v>
      </c>
      <c r="AS353" s="37">
        <v>101.6</v>
      </c>
      <c r="AT353" s="37">
        <v>152</v>
      </c>
      <c r="AU353" s="255">
        <f t="shared" si="30"/>
        <v>16.923436586791354</v>
      </c>
      <c r="AV353" s="107">
        <v>100</v>
      </c>
      <c r="AW353" s="257">
        <v>28</v>
      </c>
      <c r="AX353" s="261"/>
      <c r="AY353" s="258">
        <v>23</v>
      </c>
      <c r="AZ353" s="261"/>
      <c r="BA353" s="175">
        <v>50</v>
      </c>
      <c r="BB353" s="259"/>
      <c r="BC353" s="176" t="s">
        <v>558</v>
      </c>
      <c r="BD353" s="179"/>
      <c r="BE353" s="177" t="s">
        <v>259</v>
      </c>
      <c r="BF353" s="178"/>
      <c r="BG353" s="27"/>
      <c r="BH353" s="27"/>
    </row>
    <row r="354" spans="1:60" ht="14.25" customHeight="1">
      <c r="A354" s="95">
        <v>353</v>
      </c>
      <c r="B354" s="96" t="s">
        <v>1382</v>
      </c>
      <c r="C354" s="73" t="s">
        <v>2590</v>
      </c>
      <c r="D354" s="257" t="s">
        <v>1381</v>
      </c>
      <c r="E354" s="459" t="s">
        <v>3377</v>
      </c>
      <c r="F354" s="258">
        <v>1993</v>
      </c>
      <c r="G354" s="171">
        <v>78</v>
      </c>
      <c r="H354" s="57"/>
      <c r="I354" s="88"/>
      <c r="J354" s="100">
        <v>0.39500000000000002</v>
      </c>
      <c r="K354" s="44">
        <v>3.2829999999999999</v>
      </c>
      <c r="L354" s="91"/>
      <c r="M354" s="65">
        <v>516</v>
      </c>
      <c r="N354" s="65"/>
      <c r="O354" s="106" t="s">
        <v>129</v>
      </c>
      <c r="P354" s="94"/>
      <c r="Q354" s="262"/>
      <c r="R354" s="94"/>
      <c r="S354" s="94"/>
      <c r="T354" s="65"/>
      <c r="U354" s="65"/>
      <c r="V354" s="131">
        <v>0</v>
      </c>
      <c r="W354" s="132">
        <v>0</v>
      </c>
      <c r="X354" s="120">
        <v>0</v>
      </c>
      <c r="Y354" s="120">
        <v>0</v>
      </c>
      <c r="Z354" s="120">
        <v>0</v>
      </c>
      <c r="AA354" s="130"/>
      <c r="AB354" s="17">
        <v>0</v>
      </c>
      <c r="AC354" s="17">
        <v>0</v>
      </c>
      <c r="AD354" s="130"/>
      <c r="AE354" s="130"/>
      <c r="AF354" s="17">
        <v>0</v>
      </c>
      <c r="AG354" s="133">
        <v>1.5</v>
      </c>
      <c r="AH354" s="17">
        <v>0</v>
      </c>
      <c r="AI354" s="133">
        <v>0</v>
      </c>
      <c r="AJ354" s="133">
        <v>0</v>
      </c>
      <c r="AK354" s="17">
        <v>0</v>
      </c>
      <c r="AL354" s="137">
        <v>0</v>
      </c>
      <c r="AM354" s="509">
        <v>46</v>
      </c>
      <c r="AN354" s="89"/>
      <c r="AO354" s="507"/>
      <c r="AP354" s="262"/>
      <c r="AQ354" s="133" t="s">
        <v>127</v>
      </c>
      <c r="AR354" s="174">
        <v>75</v>
      </c>
      <c r="AS354" s="171"/>
      <c r="AT354" s="171" t="str">
        <f t="shared" ref="AT354:AT385" si="31">RIGHT(AQ354,LEN(AQ354)-FIND("x",AQ354,1))</f>
        <v>300</v>
      </c>
      <c r="AU354" s="255">
        <f t="shared" ref="AU354:AU395" si="32">(AR354*AT354)/((2*AT354)+(2*AR354))</f>
        <v>30</v>
      </c>
      <c r="AV354" s="107">
        <v>100</v>
      </c>
      <c r="AW354" s="257">
        <v>28</v>
      </c>
      <c r="AX354" s="261"/>
      <c r="AY354" s="258">
        <v>23</v>
      </c>
      <c r="AZ354" s="261"/>
      <c r="BA354" s="175">
        <v>50</v>
      </c>
      <c r="BB354" s="259"/>
      <c r="BC354" s="176" t="s">
        <v>558</v>
      </c>
      <c r="BD354" s="179"/>
      <c r="BE354" s="177" t="s">
        <v>259</v>
      </c>
      <c r="BF354" s="178"/>
      <c r="BG354" s="27"/>
      <c r="BH354" s="27"/>
    </row>
    <row r="355" spans="1:60" ht="17.25" customHeight="1">
      <c r="A355" s="95">
        <v>354</v>
      </c>
      <c r="B355" s="96" t="s">
        <v>1380</v>
      </c>
      <c r="C355" s="73" t="s">
        <v>2590</v>
      </c>
      <c r="D355" s="257" t="s">
        <v>1381</v>
      </c>
      <c r="E355" s="459" t="s">
        <v>3377</v>
      </c>
      <c r="F355" s="258">
        <v>1993</v>
      </c>
      <c r="G355" s="171">
        <v>78</v>
      </c>
      <c r="H355" s="57"/>
      <c r="I355" s="173" t="s">
        <v>2304</v>
      </c>
      <c r="J355" s="100">
        <v>0.39500000000000002</v>
      </c>
      <c r="K355" s="44">
        <v>3.2829999999999999</v>
      </c>
      <c r="L355" s="91"/>
      <c r="M355" s="65">
        <v>516</v>
      </c>
      <c r="N355" s="65"/>
      <c r="O355" s="106" t="s">
        <v>129</v>
      </c>
      <c r="P355" s="94"/>
      <c r="Q355" s="262"/>
      <c r="R355" s="94"/>
      <c r="S355" s="94"/>
      <c r="T355" s="65"/>
      <c r="U355" s="65"/>
      <c r="V355" s="131">
        <v>0</v>
      </c>
      <c r="W355" s="132">
        <v>0</v>
      </c>
      <c r="X355" s="120">
        <v>0</v>
      </c>
      <c r="Y355" s="120">
        <v>0</v>
      </c>
      <c r="Z355" s="120">
        <v>0</v>
      </c>
      <c r="AA355" s="130"/>
      <c r="AB355" s="17">
        <v>0</v>
      </c>
      <c r="AC355" s="17">
        <v>0</v>
      </c>
      <c r="AD355" s="130"/>
      <c r="AE355" s="130"/>
      <c r="AF355" s="17">
        <v>0</v>
      </c>
      <c r="AG355" s="133">
        <v>1.5</v>
      </c>
      <c r="AH355" s="17">
        <v>0</v>
      </c>
      <c r="AI355" s="133">
        <v>0</v>
      </c>
      <c r="AJ355" s="133">
        <v>0</v>
      </c>
      <c r="AK355" s="17">
        <v>0</v>
      </c>
      <c r="AL355" s="137">
        <v>0</v>
      </c>
      <c r="AM355" s="509">
        <v>46</v>
      </c>
      <c r="AN355" s="89"/>
      <c r="AO355" s="507"/>
      <c r="AP355" s="262"/>
      <c r="AQ355" s="133" t="s">
        <v>127</v>
      </c>
      <c r="AR355" s="174">
        <v>75</v>
      </c>
      <c r="AS355" s="171"/>
      <c r="AT355" s="171" t="str">
        <f t="shared" si="31"/>
        <v>300</v>
      </c>
      <c r="AU355" s="255">
        <f t="shared" si="32"/>
        <v>30</v>
      </c>
      <c r="AV355" s="107">
        <v>100</v>
      </c>
      <c r="AW355" s="257">
        <v>28</v>
      </c>
      <c r="AX355" s="261"/>
      <c r="AY355" s="258">
        <v>23</v>
      </c>
      <c r="AZ355" s="261"/>
      <c r="BA355" s="175">
        <v>99</v>
      </c>
      <c r="BB355" s="259"/>
      <c r="BC355" s="176" t="s">
        <v>558</v>
      </c>
      <c r="BD355" s="179"/>
      <c r="BE355" s="177" t="s">
        <v>259</v>
      </c>
      <c r="BF355" s="178"/>
      <c r="BG355" s="27"/>
      <c r="BH355" s="27"/>
    </row>
    <row r="356" spans="1:60">
      <c r="A356" s="95">
        <v>355</v>
      </c>
      <c r="B356" s="96" t="s">
        <v>1379</v>
      </c>
      <c r="C356" s="73" t="s">
        <v>2591</v>
      </c>
      <c r="D356" s="257" t="s">
        <v>122</v>
      </c>
      <c r="E356" s="459" t="s">
        <v>3377</v>
      </c>
      <c r="F356" s="258">
        <v>1993</v>
      </c>
      <c r="G356" s="89"/>
      <c r="H356" s="57"/>
      <c r="I356" s="173" t="s">
        <v>2304</v>
      </c>
      <c r="J356" s="100">
        <v>0.3</v>
      </c>
      <c r="K356" s="44">
        <v>4.2169999999999996</v>
      </c>
      <c r="L356" s="91"/>
      <c r="M356" s="65">
        <v>450</v>
      </c>
      <c r="N356" s="65"/>
      <c r="O356" s="106" t="s">
        <v>12</v>
      </c>
      <c r="P356" s="94"/>
      <c r="Q356" s="262"/>
      <c r="R356" s="94"/>
      <c r="S356" s="94"/>
      <c r="T356" s="65"/>
      <c r="U356" s="65"/>
      <c r="V356" s="131">
        <v>0</v>
      </c>
      <c r="W356" s="132">
        <v>0</v>
      </c>
      <c r="X356" s="120">
        <v>0</v>
      </c>
      <c r="Y356" s="120">
        <v>0</v>
      </c>
      <c r="Z356" s="120">
        <v>0</v>
      </c>
      <c r="AA356" s="130"/>
      <c r="AB356" s="17">
        <v>0</v>
      </c>
      <c r="AC356" s="17">
        <v>0</v>
      </c>
      <c r="AD356" s="130"/>
      <c r="AE356" s="130"/>
      <c r="AF356" s="17">
        <v>0</v>
      </c>
      <c r="AG356" s="133">
        <v>3</v>
      </c>
      <c r="AH356" s="17">
        <v>0</v>
      </c>
      <c r="AI356" s="133">
        <v>0</v>
      </c>
      <c r="AJ356" s="133">
        <v>0</v>
      </c>
      <c r="AK356" s="17">
        <v>0</v>
      </c>
      <c r="AL356" s="137">
        <v>0</v>
      </c>
      <c r="AM356" s="509">
        <v>70.900000000000006</v>
      </c>
      <c r="AN356" s="89"/>
      <c r="AO356" s="507"/>
      <c r="AP356" s="416">
        <v>52100</v>
      </c>
      <c r="AQ356" s="133" t="s">
        <v>123</v>
      </c>
      <c r="AR356" s="174">
        <v>50</v>
      </c>
      <c r="AS356" s="171"/>
      <c r="AT356" s="171" t="str">
        <f t="shared" si="31"/>
        <v>400</v>
      </c>
      <c r="AU356" s="255">
        <f t="shared" si="32"/>
        <v>22.222222222222221</v>
      </c>
      <c r="AV356" s="509">
        <v>100</v>
      </c>
      <c r="AW356" s="257">
        <v>1</v>
      </c>
      <c r="AX356" s="261"/>
      <c r="AY356" s="258">
        <v>20</v>
      </c>
      <c r="AZ356" s="261"/>
      <c r="BA356" s="175">
        <v>99</v>
      </c>
      <c r="BB356" s="259"/>
      <c r="BC356" s="176" t="s">
        <v>558</v>
      </c>
      <c r="BD356" s="176"/>
      <c r="BE356" s="171" t="s">
        <v>259</v>
      </c>
      <c r="BF356" s="190"/>
      <c r="BG356" s="27"/>
      <c r="BH356" s="27"/>
    </row>
    <row r="357" spans="1:60" ht="15" customHeight="1">
      <c r="A357" s="95">
        <v>356</v>
      </c>
      <c r="B357" s="96" t="s">
        <v>1378</v>
      </c>
      <c r="C357" s="73" t="s">
        <v>2591</v>
      </c>
      <c r="D357" s="257" t="s">
        <v>122</v>
      </c>
      <c r="E357" s="459" t="s">
        <v>3377</v>
      </c>
      <c r="F357" s="258">
        <v>1993</v>
      </c>
      <c r="G357" s="89"/>
      <c r="H357" s="57"/>
      <c r="I357" s="88"/>
      <c r="J357" s="100">
        <v>0.3</v>
      </c>
      <c r="K357" s="44">
        <v>4.2169999999999996</v>
      </c>
      <c r="L357" s="91"/>
      <c r="M357" s="65">
        <v>450</v>
      </c>
      <c r="N357" s="65"/>
      <c r="O357" s="106" t="s">
        <v>12</v>
      </c>
      <c r="P357" s="94"/>
      <c r="Q357" s="262"/>
      <c r="R357" s="94"/>
      <c r="S357" s="94"/>
      <c r="T357" s="65"/>
      <c r="U357" s="65"/>
      <c r="V357" s="131">
        <v>0</v>
      </c>
      <c r="W357" s="132">
        <v>0</v>
      </c>
      <c r="X357" s="120">
        <v>0</v>
      </c>
      <c r="Y357" s="120">
        <v>0</v>
      </c>
      <c r="Z357" s="120">
        <v>0</v>
      </c>
      <c r="AA357" s="130"/>
      <c r="AB357" s="17">
        <v>0</v>
      </c>
      <c r="AC357" s="17">
        <v>0</v>
      </c>
      <c r="AD357" s="130"/>
      <c r="AE357" s="130"/>
      <c r="AF357" s="17">
        <v>0</v>
      </c>
      <c r="AG357" s="133">
        <v>3</v>
      </c>
      <c r="AH357" s="17">
        <v>0</v>
      </c>
      <c r="AI357" s="133">
        <v>0</v>
      </c>
      <c r="AJ357" s="133">
        <v>0</v>
      </c>
      <c r="AK357" s="17">
        <v>0</v>
      </c>
      <c r="AL357" s="137">
        <v>0</v>
      </c>
      <c r="AM357" s="509">
        <v>70.900000000000006</v>
      </c>
      <c r="AN357" s="89"/>
      <c r="AO357" s="507"/>
      <c r="AP357" s="416">
        <v>52100</v>
      </c>
      <c r="AQ357" s="133" t="s">
        <v>123</v>
      </c>
      <c r="AR357" s="174">
        <v>50</v>
      </c>
      <c r="AS357" s="171"/>
      <c r="AT357" s="171" t="str">
        <f t="shared" si="31"/>
        <v>400</v>
      </c>
      <c r="AU357" s="255">
        <f t="shared" si="32"/>
        <v>22.222222222222221</v>
      </c>
      <c r="AV357" s="509">
        <v>100</v>
      </c>
      <c r="AW357" s="257">
        <v>30</v>
      </c>
      <c r="AX357" s="261"/>
      <c r="AY357" s="258">
        <v>20</v>
      </c>
      <c r="AZ357" s="261"/>
      <c r="BA357" s="175">
        <v>65</v>
      </c>
      <c r="BB357" s="259"/>
      <c r="BC357" s="176" t="s">
        <v>558</v>
      </c>
      <c r="BD357" s="176"/>
      <c r="BE357" s="171" t="s">
        <v>259</v>
      </c>
      <c r="BF357" s="190"/>
      <c r="BG357" s="27"/>
      <c r="BH357" s="27"/>
    </row>
    <row r="358" spans="1:60" ht="15" customHeight="1">
      <c r="A358" s="95">
        <v>357</v>
      </c>
      <c r="B358" s="96" t="s">
        <v>1377</v>
      </c>
      <c r="C358" s="73" t="s">
        <v>2591</v>
      </c>
      <c r="D358" s="257" t="s">
        <v>122</v>
      </c>
      <c r="E358" s="459" t="s">
        <v>3377</v>
      </c>
      <c r="F358" s="258">
        <v>1993</v>
      </c>
      <c r="G358" s="89"/>
      <c r="H358" s="57"/>
      <c r="I358" s="88"/>
      <c r="J358" s="100">
        <v>0.3</v>
      </c>
      <c r="K358" s="44">
        <v>4.2169999999999996</v>
      </c>
      <c r="L358" s="91"/>
      <c r="M358" s="65">
        <v>450</v>
      </c>
      <c r="N358" s="65"/>
      <c r="O358" s="106" t="s">
        <v>12</v>
      </c>
      <c r="P358" s="94"/>
      <c r="Q358" s="262"/>
      <c r="R358" s="94"/>
      <c r="S358" s="94"/>
      <c r="T358" s="65"/>
      <c r="U358" s="65"/>
      <c r="V358" s="131">
        <v>0</v>
      </c>
      <c r="W358" s="132">
        <v>0</v>
      </c>
      <c r="X358" s="120">
        <v>0</v>
      </c>
      <c r="Y358" s="120">
        <v>0</v>
      </c>
      <c r="Z358" s="120">
        <v>0</v>
      </c>
      <c r="AA358" s="130"/>
      <c r="AB358" s="17">
        <v>0</v>
      </c>
      <c r="AC358" s="17">
        <v>0</v>
      </c>
      <c r="AD358" s="130"/>
      <c r="AE358" s="130"/>
      <c r="AF358" s="17">
        <v>0</v>
      </c>
      <c r="AG358" s="133">
        <v>3</v>
      </c>
      <c r="AH358" s="17">
        <v>0</v>
      </c>
      <c r="AI358" s="133">
        <v>0</v>
      </c>
      <c r="AJ358" s="133">
        <v>0</v>
      </c>
      <c r="AK358" s="17">
        <v>0</v>
      </c>
      <c r="AL358" s="137">
        <v>0</v>
      </c>
      <c r="AM358" s="509">
        <v>70.900000000000006</v>
      </c>
      <c r="AN358" s="89"/>
      <c r="AO358" s="507"/>
      <c r="AP358" s="416">
        <v>43700</v>
      </c>
      <c r="AQ358" s="133" t="s">
        <v>123</v>
      </c>
      <c r="AR358" s="174">
        <v>50</v>
      </c>
      <c r="AS358" s="171"/>
      <c r="AT358" s="171" t="str">
        <f t="shared" si="31"/>
        <v>400</v>
      </c>
      <c r="AU358" s="255">
        <f t="shared" si="32"/>
        <v>22.222222222222221</v>
      </c>
      <c r="AV358" s="509">
        <v>100</v>
      </c>
      <c r="AW358" s="257">
        <v>1</v>
      </c>
      <c r="AX358" s="261"/>
      <c r="AY358" s="258">
        <v>20</v>
      </c>
      <c r="AZ358" s="261"/>
      <c r="BA358" s="175">
        <v>65</v>
      </c>
      <c r="BB358" s="259"/>
      <c r="BC358" s="176"/>
      <c r="BD358" s="179"/>
      <c r="BE358" s="177" t="s">
        <v>259</v>
      </c>
      <c r="BF358" s="178"/>
      <c r="BG358" s="27"/>
      <c r="BH358" s="27"/>
    </row>
    <row r="359" spans="1:60">
      <c r="A359" s="95">
        <v>358</v>
      </c>
      <c r="B359" s="96" t="s">
        <v>1376</v>
      </c>
      <c r="C359" s="73" t="s">
        <v>2591</v>
      </c>
      <c r="D359" s="257" t="s">
        <v>122</v>
      </c>
      <c r="E359" s="459" t="s">
        <v>3377</v>
      </c>
      <c r="F359" s="258">
        <v>1993</v>
      </c>
      <c r="G359" s="89"/>
      <c r="H359" s="57"/>
      <c r="I359" s="173" t="s">
        <v>2304</v>
      </c>
      <c r="J359" s="100">
        <v>0.3</v>
      </c>
      <c r="K359" s="44">
        <v>4.2169999999999996</v>
      </c>
      <c r="L359" s="91"/>
      <c r="M359" s="65">
        <v>450</v>
      </c>
      <c r="N359" s="65"/>
      <c r="O359" s="106" t="s">
        <v>12</v>
      </c>
      <c r="P359" s="94"/>
      <c r="Q359" s="262"/>
      <c r="R359" s="94"/>
      <c r="S359" s="94"/>
      <c r="T359" s="65"/>
      <c r="U359" s="65"/>
      <c r="V359" s="131">
        <v>0</v>
      </c>
      <c r="W359" s="132">
        <v>0</v>
      </c>
      <c r="X359" s="120">
        <v>0</v>
      </c>
      <c r="Y359" s="120">
        <v>0</v>
      </c>
      <c r="Z359" s="120">
        <v>0</v>
      </c>
      <c r="AA359" s="130"/>
      <c r="AB359" s="17">
        <v>0</v>
      </c>
      <c r="AC359" s="17">
        <v>0</v>
      </c>
      <c r="AD359" s="130"/>
      <c r="AE359" s="130"/>
      <c r="AF359" s="17">
        <v>0</v>
      </c>
      <c r="AG359" s="133">
        <v>3</v>
      </c>
      <c r="AH359" s="17">
        <v>0</v>
      </c>
      <c r="AI359" s="133">
        <v>0</v>
      </c>
      <c r="AJ359" s="133">
        <v>0</v>
      </c>
      <c r="AK359" s="17">
        <v>0</v>
      </c>
      <c r="AL359" s="137">
        <v>0</v>
      </c>
      <c r="AM359" s="509">
        <v>65.099999999999994</v>
      </c>
      <c r="AN359" s="89"/>
      <c r="AO359" s="507"/>
      <c r="AP359" s="416">
        <v>43700</v>
      </c>
      <c r="AQ359" s="133" t="s">
        <v>123</v>
      </c>
      <c r="AR359" s="174">
        <v>50</v>
      </c>
      <c r="AS359" s="171"/>
      <c r="AT359" s="171" t="str">
        <f t="shared" si="31"/>
        <v>400</v>
      </c>
      <c r="AU359" s="255">
        <f t="shared" si="32"/>
        <v>22.222222222222221</v>
      </c>
      <c r="AV359" s="509">
        <v>100</v>
      </c>
      <c r="AW359" s="257">
        <v>6</v>
      </c>
      <c r="AX359" s="261"/>
      <c r="AY359" s="258">
        <v>20</v>
      </c>
      <c r="AZ359" s="261"/>
      <c r="BA359" s="175">
        <v>99</v>
      </c>
      <c r="BB359" s="259"/>
      <c r="BC359" s="176"/>
      <c r="BD359" s="179"/>
      <c r="BE359" s="177" t="s">
        <v>259</v>
      </c>
      <c r="BF359" s="178"/>
      <c r="BG359" s="27"/>
      <c r="BH359" s="27"/>
    </row>
    <row r="360" spans="1:60">
      <c r="A360" s="95">
        <v>359</v>
      </c>
      <c r="B360" s="96" t="s">
        <v>1375</v>
      </c>
      <c r="C360" s="73" t="s">
        <v>2591</v>
      </c>
      <c r="D360" s="257" t="s">
        <v>122</v>
      </c>
      <c r="E360" s="459" t="s">
        <v>3377</v>
      </c>
      <c r="F360" s="258">
        <v>1993</v>
      </c>
      <c r="G360" s="89"/>
      <c r="H360" s="57"/>
      <c r="I360" s="173" t="s">
        <v>2304</v>
      </c>
      <c r="J360" s="100">
        <v>0.3</v>
      </c>
      <c r="K360" s="44">
        <v>3.625</v>
      </c>
      <c r="L360" s="91"/>
      <c r="M360" s="65">
        <v>500</v>
      </c>
      <c r="N360" s="65"/>
      <c r="O360" s="106" t="s">
        <v>12</v>
      </c>
      <c r="P360" s="94"/>
      <c r="Q360" s="262"/>
      <c r="R360" s="94"/>
      <c r="S360" s="94"/>
      <c r="T360" s="65"/>
      <c r="U360" s="65"/>
      <c r="V360" s="131">
        <v>0</v>
      </c>
      <c r="W360" s="132">
        <v>0</v>
      </c>
      <c r="X360" s="120">
        <v>0</v>
      </c>
      <c r="Y360" s="120">
        <v>0</v>
      </c>
      <c r="Z360" s="120">
        <v>0</v>
      </c>
      <c r="AA360" s="130"/>
      <c r="AB360" s="17">
        <v>0</v>
      </c>
      <c r="AC360" s="17">
        <v>0</v>
      </c>
      <c r="AD360" s="130"/>
      <c r="AE360" s="130"/>
      <c r="AF360" s="17">
        <v>0</v>
      </c>
      <c r="AG360" s="133">
        <v>2</v>
      </c>
      <c r="AH360" s="17">
        <v>0</v>
      </c>
      <c r="AI360" s="133">
        <v>0</v>
      </c>
      <c r="AJ360" s="133">
        <v>0</v>
      </c>
      <c r="AK360" s="17">
        <v>0</v>
      </c>
      <c r="AL360" s="137">
        <v>0</v>
      </c>
      <c r="AM360" s="509">
        <v>75.599999999999994</v>
      </c>
      <c r="AN360" s="89"/>
      <c r="AO360" s="507"/>
      <c r="AP360" s="416">
        <v>43700</v>
      </c>
      <c r="AQ360" s="133" t="s">
        <v>123</v>
      </c>
      <c r="AR360" s="174">
        <v>50</v>
      </c>
      <c r="AS360" s="171"/>
      <c r="AT360" s="171" t="str">
        <f t="shared" si="31"/>
        <v>400</v>
      </c>
      <c r="AU360" s="255">
        <f t="shared" si="32"/>
        <v>22.222222222222221</v>
      </c>
      <c r="AV360" s="106">
        <v>100</v>
      </c>
      <c r="AW360" s="257">
        <v>1</v>
      </c>
      <c r="AX360" s="261"/>
      <c r="AY360" s="258">
        <v>20</v>
      </c>
      <c r="AZ360" s="261"/>
      <c r="BA360" s="175">
        <v>99</v>
      </c>
      <c r="BB360" s="259"/>
      <c r="BC360" s="176" t="s">
        <v>558</v>
      </c>
      <c r="BD360" s="179"/>
      <c r="BE360" s="177" t="s">
        <v>259</v>
      </c>
      <c r="BF360" s="178"/>
      <c r="BG360" s="27"/>
      <c r="BH360" s="27"/>
    </row>
    <row r="361" spans="1:60" ht="15" customHeight="1">
      <c r="A361" s="95">
        <v>360</v>
      </c>
      <c r="B361" s="96" t="s">
        <v>1374</v>
      </c>
      <c r="C361" s="73" t="s">
        <v>2591</v>
      </c>
      <c r="D361" s="257" t="s">
        <v>122</v>
      </c>
      <c r="E361" s="459" t="s">
        <v>3377</v>
      </c>
      <c r="F361" s="258">
        <v>1993</v>
      </c>
      <c r="G361" s="89"/>
      <c r="H361" s="57"/>
      <c r="I361" s="88"/>
      <c r="J361" s="100">
        <v>0.3</v>
      </c>
      <c r="K361" s="44">
        <v>3.625</v>
      </c>
      <c r="L361" s="91"/>
      <c r="M361" s="65">
        <v>500</v>
      </c>
      <c r="N361" s="65"/>
      <c r="O361" s="106" t="s">
        <v>12</v>
      </c>
      <c r="P361" s="94"/>
      <c r="Q361" s="262"/>
      <c r="R361" s="94"/>
      <c r="S361" s="94"/>
      <c r="T361" s="65"/>
      <c r="U361" s="65"/>
      <c r="V361" s="131">
        <v>0</v>
      </c>
      <c r="W361" s="132">
        <v>0</v>
      </c>
      <c r="X361" s="120">
        <v>0</v>
      </c>
      <c r="Y361" s="120">
        <v>0</v>
      </c>
      <c r="Z361" s="120">
        <v>0</v>
      </c>
      <c r="AA361" s="130"/>
      <c r="AB361" s="17">
        <v>0</v>
      </c>
      <c r="AC361" s="17">
        <v>0</v>
      </c>
      <c r="AD361" s="130"/>
      <c r="AE361" s="130"/>
      <c r="AF361" s="17">
        <v>0</v>
      </c>
      <c r="AG361" s="133">
        <v>2</v>
      </c>
      <c r="AH361" s="17">
        <v>0</v>
      </c>
      <c r="AI361" s="133">
        <v>0</v>
      </c>
      <c r="AJ361" s="133">
        <v>0</v>
      </c>
      <c r="AK361" s="17">
        <v>0</v>
      </c>
      <c r="AL361" s="137">
        <v>0</v>
      </c>
      <c r="AM361" s="509">
        <v>75.599999999999994</v>
      </c>
      <c r="AN361" s="89"/>
      <c r="AO361" s="507"/>
      <c r="AP361" s="416">
        <v>43700</v>
      </c>
      <c r="AQ361" s="133" t="s">
        <v>123</v>
      </c>
      <c r="AR361" s="174">
        <v>50</v>
      </c>
      <c r="AS361" s="171"/>
      <c r="AT361" s="171" t="str">
        <f t="shared" si="31"/>
        <v>400</v>
      </c>
      <c r="AU361" s="255">
        <f t="shared" si="32"/>
        <v>22.222222222222221</v>
      </c>
      <c r="AV361" s="106">
        <v>100</v>
      </c>
      <c r="AW361" s="257">
        <v>28</v>
      </c>
      <c r="AX361" s="261"/>
      <c r="AY361" s="258">
        <v>20</v>
      </c>
      <c r="AZ361" s="261"/>
      <c r="BA361" s="175">
        <v>65</v>
      </c>
      <c r="BB361" s="259"/>
      <c r="BC361" s="176" t="s">
        <v>558</v>
      </c>
      <c r="BD361" s="179"/>
      <c r="BE361" s="177" t="s">
        <v>259</v>
      </c>
      <c r="BF361" s="178"/>
      <c r="BG361" s="27"/>
      <c r="BH361" s="27"/>
    </row>
    <row r="362" spans="1:60" ht="15" customHeight="1">
      <c r="A362" s="95">
        <v>361</v>
      </c>
      <c r="B362" s="96" t="s">
        <v>1373</v>
      </c>
      <c r="C362" s="73" t="s">
        <v>2591</v>
      </c>
      <c r="D362" s="257" t="s">
        <v>122</v>
      </c>
      <c r="E362" s="459" t="s">
        <v>3377</v>
      </c>
      <c r="F362" s="258">
        <v>1993</v>
      </c>
      <c r="G362" s="89"/>
      <c r="H362" s="57"/>
      <c r="I362" s="88"/>
      <c r="J362" s="100">
        <v>0.3</v>
      </c>
      <c r="K362" s="44">
        <v>3.625</v>
      </c>
      <c r="L362" s="91"/>
      <c r="M362" s="65">
        <v>500</v>
      </c>
      <c r="N362" s="65"/>
      <c r="O362" s="106" t="s">
        <v>12</v>
      </c>
      <c r="P362" s="94"/>
      <c r="Q362" s="262"/>
      <c r="R362" s="94"/>
      <c r="S362" s="94"/>
      <c r="T362" s="65"/>
      <c r="U362" s="65"/>
      <c r="V362" s="131">
        <v>0</v>
      </c>
      <c r="W362" s="132">
        <v>0</v>
      </c>
      <c r="X362" s="120">
        <v>0</v>
      </c>
      <c r="Y362" s="120">
        <v>0</v>
      </c>
      <c r="Z362" s="120">
        <v>0</v>
      </c>
      <c r="AA362" s="130"/>
      <c r="AB362" s="17">
        <v>0</v>
      </c>
      <c r="AC362" s="17">
        <v>0</v>
      </c>
      <c r="AD362" s="130"/>
      <c r="AE362" s="130"/>
      <c r="AF362" s="17">
        <v>0</v>
      </c>
      <c r="AG362" s="133">
        <v>2</v>
      </c>
      <c r="AH362" s="17">
        <v>0</v>
      </c>
      <c r="AI362" s="133">
        <v>0</v>
      </c>
      <c r="AJ362" s="133">
        <v>0</v>
      </c>
      <c r="AK362" s="17">
        <v>0</v>
      </c>
      <c r="AL362" s="137">
        <v>0</v>
      </c>
      <c r="AM362" s="509">
        <v>75.599999999999994</v>
      </c>
      <c r="AN362" s="89"/>
      <c r="AO362" s="507"/>
      <c r="AP362" s="416">
        <v>38300</v>
      </c>
      <c r="AQ362" s="133" t="s">
        <v>123</v>
      </c>
      <c r="AR362" s="174">
        <v>50</v>
      </c>
      <c r="AS362" s="171"/>
      <c r="AT362" s="171" t="str">
        <f t="shared" si="31"/>
        <v>400</v>
      </c>
      <c r="AU362" s="255">
        <f t="shared" si="32"/>
        <v>22.222222222222221</v>
      </c>
      <c r="AV362" s="106">
        <v>100</v>
      </c>
      <c r="AW362" s="257">
        <v>1</v>
      </c>
      <c r="AX362" s="261"/>
      <c r="AY362" s="258">
        <v>20</v>
      </c>
      <c r="AZ362" s="261"/>
      <c r="BA362" s="175">
        <v>65</v>
      </c>
      <c r="BB362" s="259"/>
      <c r="BC362" s="176"/>
      <c r="BD362" s="179"/>
      <c r="BE362" s="177" t="s">
        <v>259</v>
      </c>
      <c r="BF362" s="178"/>
      <c r="BG362" s="27"/>
      <c r="BH362" s="27"/>
    </row>
    <row r="363" spans="1:60">
      <c r="A363" s="95">
        <v>362</v>
      </c>
      <c r="B363" s="96" t="s">
        <v>1372</v>
      </c>
      <c r="C363" s="73" t="s">
        <v>2591</v>
      </c>
      <c r="D363" s="257" t="s">
        <v>122</v>
      </c>
      <c r="E363" s="459" t="s">
        <v>3377</v>
      </c>
      <c r="F363" s="258">
        <v>1993</v>
      </c>
      <c r="G363" s="89"/>
      <c r="H363" s="57"/>
      <c r="I363" s="173" t="s">
        <v>2304</v>
      </c>
      <c r="J363" s="100">
        <v>0.27100000000000002</v>
      </c>
      <c r="K363" s="44">
        <v>4.375</v>
      </c>
      <c r="L363" s="91"/>
      <c r="M363" s="65">
        <v>432</v>
      </c>
      <c r="N363" s="65"/>
      <c r="O363" s="106" t="s">
        <v>12</v>
      </c>
      <c r="P363" s="94"/>
      <c r="Q363" s="262"/>
      <c r="R363" s="94"/>
      <c r="S363" s="94"/>
      <c r="T363" s="65"/>
      <c r="U363" s="65"/>
      <c r="V363" s="131">
        <v>4.1669999999999998</v>
      </c>
      <c r="W363" s="132">
        <v>0</v>
      </c>
      <c r="X363" s="120">
        <v>0</v>
      </c>
      <c r="Y363" s="120">
        <v>0</v>
      </c>
      <c r="Z363" s="120">
        <v>0</v>
      </c>
      <c r="AA363" s="130"/>
      <c r="AB363" s="17">
        <v>0</v>
      </c>
      <c r="AC363" s="17">
        <v>0</v>
      </c>
      <c r="AD363" s="130"/>
      <c r="AE363" s="130"/>
      <c r="AF363" s="17">
        <v>0</v>
      </c>
      <c r="AG363" s="133">
        <v>2.0830000000000002</v>
      </c>
      <c r="AH363" s="17">
        <v>0</v>
      </c>
      <c r="AI363" s="133">
        <v>0</v>
      </c>
      <c r="AJ363" s="133">
        <v>0</v>
      </c>
      <c r="AK363" s="17">
        <v>0</v>
      </c>
      <c r="AL363" s="137">
        <v>0</v>
      </c>
      <c r="AM363" s="509">
        <v>82.9</v>
      </c>
      <c r="AN363" s="89"/>
      <c r="AO363" s="507"/>
      <c r="AP363" s="416">
        <v>49300</v>
      </c>
      <c r="AQ363" s="133" t="s">
        <v>123</v>
      </c>
      <c r="AR363" s="174">
        <v>50</v>
      </c>
      <c r="AS363" s="171"/>
      <c r="AT363" s="171" t="str">
        <f t="shared" si="31"/>
        <v>400</v>
      </c>
      <c r="AU363" s="255">
        <f t="shared" si="32"/>
        <v>22.222222222222221</v>
      </c>
      <c r="AV363" s="106">
        <v>100</v>
      </c>
      <c r="AW363" s="257">
        <v>1</v>
      </c>
      <c r="AX363" s="261"/>
      <c r="AY363" s="258">
        <v>20</v>
      </c>
      <c r="AZ363" s="261"/>
      <c r="BA363" s="175">
        <v>99</v>
      </c>
      <c r="BB363" s="259"/>
      <c r="BC363" s="176"/>
      <c r="BD363" s="179"/>
      <c r="BE363" s="177" t="s">
        <v>259</v>
      </c>
      <c r="BF363" s="178"/>
      <c r="BG363" s="27"/>
      <c r="BH363" s="27"/>
    </row>
    <row r="364" spans="1:60" ht="15" customHeight="1">
      <c r="A364" s="95">
        <v>363</v>
      </c>
      <c r="B364" s="96" t="s">
        <v>1371</v>
      </c>
      <c r="C364" s="73" t="s">
        <v>2591</v>
      </c>
      <c r="D364" s="257" t="s">
        <v>122</v>
      </c>
      <c r="E364" s="459" t="s">
        <v>3377</v>
      </c>
      <c r="F364" s="258">
        <v>1993</v>
      </c>
      <c r="G364" s="89"/>
      <c r="H364" s="57"/>
      <c r="I364" s="88"/>
      <c r="J364" s="100">
        <v>0.27100000000000002</v>
      </c>
      <c r="K364" s="44">
        <v>4.375</v>
      </c>
      <c r="L364" s="91"/>
      <c r="M364" s="65">
        <v>432</v>
      </c>
      <c r="N364" s="65"/>
      <c r="O364" s="106" t="s">
        <v>12</v>
      </c>
      <c r="P364" s="94"/>
      <c r="Q364" s="262"/>
      <c r="R364" s="94"/>
      <c r="S364" s="94"/>
      <c r="T364" s="65"/>
      <c r="U364" s="65"/>
      <c r="V364" s="131">
        <v>4.1669999999999998</v>
      </c>
      <c r="W364" s="132">
        <v>0</v>
      </c>
      <c r="X364" s="120">
        <v>0</v>
      </c>
      <c r="Y364" s="120">
        <v>0</v>
      </c>
      <c r="Z364" s="120">
        <v>0</v>
      </c>
      <c r="AA364" s="130"/>
      <c r="AB364" s="17">
        <v>0</v>
      </c>
      <c r="AC364" s="17">
        <v>0</v>
      </c>
      <c r="AD364" s="130"/>
      <c r="AE364" s="130"/>
      <c r="AF364" s="17">
        <v>0</v>
      </c>
      <c r="AG364" s="133">
        <v>2.0830000000000002</v>
      </c>
      <c r="AH364" s="17">
        <v>0</v>
      </c>
      <c r="AI364" s="133">
        <v>0</v>
      </c>
      <c r="AJ364" s="133">
        <v>0</v>
      </c>
      <c r="AK364" s="17">
        <v>0</v>
      </c>
      <c r="AL364" s="137">
        <v>0</v>
      </c>
      <c r="AM364" s="509">
        <v>82.9</v>
      </c>
      <c r="AN364" s="89"/>
      <c r="AO364" s="507"/>
      <c r="AP364" s="416">
        <v>49300</v>
      </c>
      <c r="AQ364" s="133" t="s">
        <v>123</v>
      </c>
      <c r="AR364" s="174">
        <v>50</v>
      </c>
      <c r="AS364" s="171"/>
      <c r="AT364" s="171" t="str">
        <f t="shared" si="31"/>
        <v>400</v>
      </c>
      <c r="AU364" s="255">
        <f t="shared" si="32"/>
        <v>22.222222222222221</v>
      </c>
      <c r="AV364" s="106">
        <v>100</v>
      </c>
      <c r="AW364" s="257">
        <v>29</v>
      </c>
      <c r="AX364" s="261"/>
      <c r="AY364" s="258">
        <v>20</v>
      </c>
      <c r="AZ364" s="261"/>
      <c r="BA364" s="175">
        <v>65</v>
      </c>
      <c r="BB364" s="259"/>
      <c r="BC364" s="176"/>
      <c r="BD364" s="179"/>
      <c r="BE364" s="177" t="s">
        <v>259</v>
      </c>
      <c r="BF364" s="178"/>
      <c r="BG364" s="27"/>
      <c r="BH364" s="27"/>
    </row>
    <row r="365" spans="1:60" ht="15" customHeight="1">
      <c r="A365" s="95">
        <v>364</v>
      </c>
      <c r="B365" s="96" t="s">
        <v>1370</v>
      </c>
      <c r="C365" s="73" t="s">
        <v>2591</v>
      </c>
      <c r="D365" s="257" t="s">
        <v>122</v>
      </c>
      <c r="E365" s="459" t="s">
        <v>3377</v>
      </c>
      <c r="F365" s="258">
        <v>1993</v>
      </c>
      <c r="G365" s="89"/>
      <c r="H365" s="57"/>
      <c r="I365" s="88"/>
      <c r="J365" s="100">
        <v>0.27100000000000002</v>
      </c>
      <c r="K365" s="44">
        <v>4.375</v>
      </c>
      <c r="L365" s="91"/>
      <c r="M365" s="65">
        <v>432</v>
      </c>
      <c r="N365" s="65"/>
      <c r="O365" s="106" t="s">
        <v>12</v>
      </c>
      <c r="P365" s="94"/>
      <c r="Q365" s="262"/>
      <c r="R365" s="94"/>
      <c r="S365" s="94"/>
      <c r="T365" s="65"/>
      <c r="U365" s="65"/>
      <c r="V365" s="131">
        <v>4.1669999999999998</v>
      </c>
      <c r="W365" s="132">
        <v>0</v>
      </c>
      <c r="X365" s="120">
        <v>0</v>
      </c>
      <c r="Y365" s="120">
        <v>0</v>
      </c>
      <c r="Z365" s="120">
        <v>0</v>
      </c>
      <c r="AA365" s="130"/>
      <c r="AB365" s="17">
        <v>0</v>
      </c>
      <c r="AC365" s="17">
        <v>0</v>
      </c>
      <c r="AD365" s="130"/>
      <c r="AE365" s="130"/>
      <c r="AF365" s="17">
        <v>0</v>
      </c>
      <c r="AG365" s="133">
        <v>2.0830000000000002</v>
      </c>
      <c r="AH365" s="17">
        <v>0</v>
      </c>
      <c r="AI365" s="133">
        <v>0</v>
      </c>
      <c r="AJ365" s="133">
        <v>0</v>
      </c>
      <c r="AK365" s="17">
        <v>0</v>
      </c>
      <c r="AL365" s="137">
        <v>0</v>
      </c>
      <c r="AM365" s="509">
        <v>82.9</v>
      </c>
      <c r="AN365" s="89"/>
      <c r="AO365" s="507"/>
      <c r="AP365" s="416">
        <v>47600</v>
      </c>
      <c r="AQ365" s="133" t="s">
        <v>123</v>
      </c>
      <c r="AR365" s="174">
        <v>50</v>
      </c>
      <c r="AS365" s="171"/>
      <c r="AT365" s="171" t="str">
        <f t="shared" si="31"/>
        <v>400</v>
      </c>
      <c r="AU365" s="255">
        <f t="shared" si="32"/>
        <v>22.222222222222221</v>
      </c>
      <c r="AV365" s="106">
        <v>100</v>
      </c>
      <c r="AW365" s="257">
        <v>1</v>
      </c>
      <c r="AX365" s="261"/>
      <c r="AY365" s="258">
        <v>20</v>
      </c>
      <c r="AZ365" s="261"/>
      <c r="BA365" s="175">
        <v>65</v>
      </c>
      <c r="BB365" s="259"/>
      <c r="BC365" s="176"/>
      <c r="BD365" s="179"/>
      <c r="BE365" s="177" t="s">
        <v>259</v>
      </c>
      <c r="BF365" s="178"/>
      <c r="BG365" s="27"/>
      <c r="BH365" s="27"/>
    </row>
    <row r="366" spans="1:60">
      <c r="A366" s="95">
        <v>365</v>
      </c>
      <c r="B366" s="96" t="s">
        <v>1369</v>
      </c>
      <c r="C366" s="73" t="s">
        <v>2591</v>
      </c>
      <c r="D366" s="257" t="s">
        <v>122</v>
      </c>
      <c r="E366" s="459" t="s">
        <v>3377</v>
      </c>
      <c r="F366" s="258">
        <v>1993</v>
      </c>
      <c r="G366" s="89"/>
      <c r="H366" s="57"/>
      <c r="I366" s="173" t="s">
        <v>2304</v>
      </c>
      <c r="J366" s="100">
        <v>0.23899999999999999</v>
      </c>
      <c r="K366" s="44">
        <v>4.5590000000000002</v>
      </c>
      <c r="L366" s="91"/>
      <c r="M366" s="506">
        <v>414</v>
      </c>
      <c r="N366" s="506"/>
      <c r="O366" s="509" t="s">
        <v>12</v>
      </c>
      <c r="P366" s="94"/>
      <c r="Q366" s="262"/>
      <c r="R366" s="94"/>
      <c r="S366" s="94"/>
      <c r="T366" s="506"/>
      <c r="U366" s="506"/>
      <c r="V366" s="131">
        <v>8.6959999999999997</v>
      </c>
      <c r="W366" s="132">
        <v>0</v>
      </c>
      <c r="X366" s="120">
        <v>0</v>
      </c>
      <c r="Y366" s="120">
        <v>0</v>
      </c>
      <c r="Z366" s="120">
        <v>0</v>
      </c>
      <c r="AA366" s="130"/>
      <c r="AB366" s="17">
        <v>0</v>
      </c>
      <c r="AC366" s="17">
        <v>0</v>
      </c>
      <c r="AD366" s="130"/>
      <c r="AE366" s="130"/>
      <c r="AF366" s="17">
        <v>0</v>
      </c>
      <c r="AG366" s="133">
        <v>3.2610000000000001</v>
      </c>
      <c r="AH366" s="17">
        <v>0</v>
      </c>
      <c r="AI366" s="133">
        <v>0</v>
      </c>
      <c r="AJ366" s="133">
        <v>0</v>
      </c>
      <c r="AK366" s="17">
        <v>0</v>
      </c>
      <c r="AL366" s="137">
        <v>0</v>
      </c>
      <c r="AM366" s="509">
        <v>97</v>
      </c>
      <c r="AN366" s="89"/>
      <c r="AO366" s="507"/>
      <c r="AP366" s="416">
        <v>48800</v>
      </c>
      <c r="AQ366" s="133" t="s">
        <v>123</v>
      </c>
      <c r="AR366" s="174">
        <v>50</v>
      </c>
      <c r="AS366" s="171"/>
      <c r="AT366" s="171" t="str">
        <f t="shared" si="31"/>
        <v>400</v>
      </c>
      <c r="AU366" s="255">
        <f t="shared" si="32"/>
        <v>22.222222222222221</v>
      </c>
      <c r="AV366" s="106">
        <v>100</v>
      </c>
      <c r="AW366" s="257">
        <v>2</v>
      </c>
      <c r="AX366" s="261"/>
      <c r="AY366" s="258">
        <v>20</v>
      </c>
      <c r="AZ366" s="261"/>
      <c r="BA366" s="175">
        <v>99</v>
      </c>
      <c r="BB366" s="259"/>
      <c r="BC366" s="176"/>
      <c r="BD366" s="176"/>
      <c r="BE366" s="171" t="s">
        <v>259</v>
      </c>
      <c r="BF366" s="190"/>
      <c r="BG366" s="27"/>
      <c r="BH366" s="27"/>
    </row>
    <row r="367" spans="1:60" ht="15" customHeight="1">
      <c r="A367" s="95">
        <v>366</v>
      </c>
      <c r="B367" s="96" t="s">
        <v>1368</v>
      </c>
      <c r="C367" s="73" t="s">
        <v>2591</v>
      </c>
      <c r="D367" s="257" t="s">
        <v>122</v>
      </c>
      <c r="E367" s="459" t="s">
        <v>3377</v>
      </c>
      <c r="F367" s="258">
        <v>1993</v>
      </c>
      <c r="G367" s="89"/>
      <c r="H367" s="57"/>
      <c r="I367" s="88"/>
      <c r="J367" s="100">
        <v>0.23899999999999999</v>
      </c>
      <c r="K367" s="44">
        <v>4.5590000000000002</v>
      </c>
      <c r="L367" s="91"/>
      <c r="M367" s="506">
        <v>414</v>
      </c>
      <c r="N367" s="506"/>
      <c r="O367" s="509" t="s">
        <v>12</v>
      </c>
      <c r="P367" s="94"/>
      <c r="Q367" s="262"/>
      <c r="R367" s="94"/>
      <c r="S367" s="94"/>
      <c r="T367" s="506"/>
      <c r="U367" s="506"/>
      <c r="V367" s="131">
        <v>8.6959999999999997</v>
      </c>
      <c r="W367" s="132">
        <v>0</v>
      </c>
      <c r="X367" s="120">
        <v>0</v>
      </c>
      <c r="Y367" s="120">
        <v>0</v>
      </c>
      <c r="Z367" s="120">
        <v>0</v>
      </c>
      <c r="AA367" s="130"/>
      <c r="AB367" s="17">
        <v>0</v>
      </c>
      <c r="AC367" s="17">
        <v>0</v>
      </c>
      <c r="AD367" s="130"/>
      <c r="AE367" s="130"/>
      <c r="AF367" s="17">
        <v>0</v>
      </c>
      <c r="AG367" s="133">
        <v>3.2610000000000001</v>
      </c>
      <c r="AH367" s="17">
        <v>0</v>
      </c>
      <c r="AI367" s="133">
        <v>0</v>
      </c>
      <c r="AJ367" s="133">
        <v>0</v>
      </c>
      <c r="AK367" s="17">
        <v>0</v>
      </c>
      <c r="AL367" s="137">
        <v>0</v>
      </c>
      <c r="AM367" s="509">
        <v>97</v>
      </c>
      <c r="AN367" s="89"/>
      <c r="AO367" s="507"/>
      <c r="AP367" s="416">
        <v>48800</v>
      </c>
      <c r="AQ367" s="133" t="s">
        <v>123</v>
      </c>
      <c r="AR367" s="174">
        <v>50</v>
      </c>
      <c r="AS367" s="171"/>
      <c r="AT367" s="171" t="str">
        <f t="shared" si="31"/>
        <v>400</v>
      </c>
      <c r="AU367" s="255">
        <f t="shared" si="32"/>
        <v>22.222222222222221</v>
      </c>
      <c r="AV367" s="106">
        <v>100</v>
      </c>
      <c r="AW367" s="257">
        <v>28.5</v>
      </c>
      <c r="AX367" s="261"/>
      <c r="AY367" s="258">
        <v>20</v>
      </c>
      <c r="AZ367" s="261"/>
      <c r="BA367" s="175">
        <v>65</v>
      </c>
      <c r="BB367" s="259"/>
      <c r="BC367" s="176"/>
      <c r="BD367" s="179"/>
      <c r="BE367" s="177" t="s">
        <v>259</v>
      </c>
      <c r="BF367" s="178"/>
      <c r="BG367" s="27"/>
      <c r="BH367" s="27"/>
    </row>
    <row r="368" spans="1:60" ht="15" customHeight="1">
      <c r="A368" s="95">
        <v>367</v>
      </c>
      <c r="B368" s="96" t="s">
        <v>1367</v>
      </c>
      <c r="C368" s="73" t="s">
        <v>2591</v>
      </c>
      <c r="D368" s="257" t="s">
        <v>122</v>
      </c>
      <c r="E368" s="459" t="s">
        <v>3377</v>
      </c>
      <c r="F368" s="258">
        <v>1993</v>
      </c>
      <c r="G368" s="89"/>
      <c r="H368" s="57"/>
      <c r="I368" s="88"/>
      <c r="J368" s="100">
        <v>0.23899999999999999</v>
      </c>
      <c r="K368" s="44">
        <v>4.5590000000000002</v>
      </c>
      <c r="L368" s="91"/>
      <c r="M368" s="506">
        <v>414</v>
      </c>
      <c r="N368" s="506"/>
      <c r="O368" s="509" t="s">
        <v>12</v>
      </c>
      <c r="P368" s="94"/>
      <c r="Q368" s="262"/>
      <c r="R368" s="94"/>
      <c r="S368" s="94"/>
      <c r="T368" s="506"/>
      <c r="U368" s="506"/>
      <c r="V368" s="131">
        <v>8.6959999999999997</v>
      </c>
      <c r="W368" s="132">
        <v>0</v>
      </c>
      <c r="X368" s="120">
        <v>0</v>
      </c>
      <c r="Y368" s="120">
        <v>0</v>
      </c>
      <c r="Z368" s="120">
        <v>0</v>
      </c>
      <c r="AA368" s="130"/>
      <c r="AB368" s="17">
        <v>0</v>
      </c>
      <c r="AC368" s="17">
        <v>0</v>
      </c>
      <c r="AD368" s="130"/>
      <c r="AE368" s="130"/>
      <c r="AF368" s="17">
        <v>0</v>
      </c>
      <c r="AG368" s="133">
        <v>3.2610000000000001</v>
      </c>
      <c r="AH368" s="17">
        <v>0</v>
      </c>
      <c r="AI368" s="133">
        <v>0</v>
      </c>
      <c r="AJ368" s="133">
        <v>0</v>
      </c>
      <c r="AK368" s="17">
        <v>0</v>
      </c>
      <c r="AL368" s="137">
        <v>0</v>
      </c>
      <c r="AM368" s="509">
        <v>97</v>
      </c>
      <c r="AN368" s="89"/>
      <c r="AO368" s="507"/>
      <c r="AP368" s="416">
        <v>48500</v>
      </c>
      <c r="AQ368" s="133" t="s">
        <v>123</v>
      </c>
      <c r="AR368" s="174">
        <v>50</v>
      </c>
      <c r="AS368" s="171"/>
      <c r="AT368" s="171" t="str">
        <f t="shared" si="31"/>
        <v>400</v>
      </c>
      <c r="AU368" s="255">
        <f t="shared" si="32"/>
        <v>22.222222222222221</v>
      </c>
      <c r="AV368" s="106">
        <v>100</v>
      </c>
      <c r="AW368" s="257">
        <v>1</v>
      </c>
      <c r="AX368" s="261"/>
      <c r="AY368" s="258">
        <v>20</v>
      </c>
      <c r="AZ368" s="261"/>
      <c r="BA368" s="175">
        <v>65</v>
      </c>
      <c r="BB368" s="259"/>
      <c r="BC368" s="176"/>
      <c r="BD368" s="179"/>
      <c r="BE368" s="177" t="s">
        <v>259</v>
      </c>
      <c r="BF368" s="178"/>
      <c r="BG368" s="27"/>
      <c r="BH368" s="27"/>
    </row>
    <row r="369" spans="1:60">
      <c r="A369" s="95">
        <v>368</v>
      </c>
      <c r="B369" s="96" t="s">
        <v>1366</v>
      </c>
      <c r="C369" s="73" t="s">
        <v>2591</v>
      </c>
      <c r="D369" s="257" t="s">
        <v>122</v>
      </c>
      <c r="E369" s="459" t="s">
        <v>3377</v>
      </c>
      <c r="F369" s="258">
        <v>1993</v>
      </c>
      <c r="G369" s="89"/>
      <c r="H369" s="57"/>
      <c r="I369" s="173" t="s">
        <v>2304</v>
      </c>
      <c r="J369" s="100">
        <v>0.23899999999999999</v>
      </c>
      <c r="K369" s="44">
        <v>3.92</v>
      </c>
      <c r="L369" s="91"/>
      <c r="M369" s="506">
        <v>460</v>
      </c>
      <c r="N369" s="506"/>
      <c r="O369" s="509" t="s">
        <v>12</v>
      </c>
      <c r="P369" s="94"/>
      <c r="Q369" s="262"/>
      <c r="R369" s="94"/>
      <c r="S369" s="94"/>
      <c r="T369" s="506"/>
      <c r="U369" s="506"/>
      <c r="V369" s="131">
        <v>8.6959999999999997</v>
      </c>
      <c r="W369" s="132">
        <v>0</v>
      </c>
      <c r="X369" s="120">
        <v>0</v>
      </c>
      <c r="Y369" s="120">
        <v>0</v>
      </c>
      <c r="Z369" s="120">
        <v>0</v>
      </c>
      <c r="AA369" s="130"/>
      <c r="AB369" s="17">
        <v>0</v>
      </c>
      <c r="AC369" s="17">
        <v>0</v>
      </c>
      <c r="AD369" s="130"/>
      <c r="AE369" s="130"/>
      <c r="AF369" s="17">
        <v>0</v>
      </c>
      <c r="AG369" s="133">
        <v>2.891</v>
      </c>
      <c r="AH369" s="17">
        <v>0</v>
      </c>
      <c r="AI369" s="133">
        <v>0</v>
      </c>
      <c r="AJ369" s="133">
        <v>0</v>
      </c>
      <c r="AK369" s="17">
        <v>0</v>
      </c>
      <c r="AL369" s="137">
        <v>0</v>
      </c>
      <c r="AM369" s="509">
        <v>96.6</v>
      </c>
      <c r="AN369" s="89"/>
      <c r="AO369" s="507"/>
      <c r="AP369" s="416">
        <v>48800</v>
      </c>
      <c r="AQ369" s="133" t="s">
        <v>123</v>
      </c>
      <c r="AR369" s="174">
        <v>50</v>
      </c>
      <c r="AS369" s="171"/>
      <c r="AT369" s="171" t="str">
        <f t="shared" si="31"/>
        <v>400</v>
      </c>
      <c r="AU369" s="255">
        <f t="shared" si="32"/>
        <v>22.222222222222221</v>
      </c>
      <c r="AV369" s="106">
        <v>100</v>
      </c>
      <c r="AW369" s="257">
        <v>1</v>
      </c>
      <c r="AX369" s="261"/>
      <c r="AY369" s="258">
        <v>20</v>
      </c>
      <c r="AZ369" s="261"/>
      <c r="BA369" s="175">
        <v>99</v>
      </c>
      <c r="BB369" s="259"/>
      <c r="BC369" s="176" t="s">
        <v>558</v>
      </c>
      <c r="BD369" s="179"/>
      <c r="BE369" s="177" t="s">
        <v>259</v>
      </c>
      <c r="BF369" s="178"/>
      <c r="BG369" s="27"/>
      <c r="BH369" s="27"/>
    </row>
    <row r="370" spans="1:60">
      <c r="A370" s="95">
        <v>369</v>
      </c>
      <c r="B370" s="96" t="s">
        <v>1365</v>
      </c>
      <c r="C370" s="73" t="s">
        <v>2591</v>
      </c>
      <c r="D370" s="257" t="s">
        <v>122</v>
      </c>
      <c r="E370" s="459" t="s">
        <v>3377</v>
      </c>
      <c r="F370" s="258">
        <v>1993</v>
      </c>
      <c r="G370" s="89"/>
      <c r="H370" s="57"/>
      <c r="I370" s="173" t="s">
        <v>2304</v>
      </c>
      <c r="J370" s="508">
        <v>0.23899999999999999</v>
      </c>
      <c r="K370" s="513">
        <v>4.5590000000000002</v>
      </c>
      <c r="L370" s="91"/>
      <c r="M370" s="65">
        <v>414</v>
      </c>
      <c r="N370" s="65"/>
      <c r="O370" s="106" t="s">
        <v>12</v>
      </c>
      <c r="P370" s="94"/>
      <c r="Q370" s="262"/>
      <c r="R370" s="94"/>
      <c r="S370" s="94"/>
      <c r="T370" s="65"/>
      <c r="U370" s="65"/>
      <c r="V370" s="131">
        <v>8.6959999999999997</v>
      </c>
      <c r="W370" s="132">
        <v>0</v>
      </c>
      <c r="X370" s="120">
        <v>0</v>
      </c>
      <c r="Y370" s="120">
        <v>0</v>
      </c>
      <c r="Z370" s="120">
        <v>0</v>
      </c>
      <c r="AA370" s="130"/>
      <c r="AB370" s="17">
        <v>0</v>
      </c>
      <c r="AC370" s="17">
        <v>0</v>
      </c>
      <c r="AD370" s="130"/>
      <c r="AE370" s="130"/>
      <c r="AF370" s="17">
        <v>0</v>
      </c>
      <c r="AG370" s="133">
        <v>3.2610000000000001</v>
      </c>
      <c r="AH370" s="17">
        <v>0</v>
      </c>
      <c r="AI370" s="133">
        <v>0</v>
      </c>
      <c r="AJ370" s="133">
        <v>0</v>
      </c>
      <c r="AK370" s="17">
        <v>0</v>
      </c>
      <c r="AL370" s="137">
        <v>0</v>
      </c>
      <c r="AM370" s="509">
        <v>66.599999999999994</v>
      </c>
      <c r="AN370" s="89"/>
      <c r="AO370" s="507"/>
      <c r="AP370" s="416">
        <v>48800</v>
      </c>
      <c r="AQ370" s="133" t="s">
        <v>123</v>
      </c>
      <c r="AR370" s="174">
        <v>50</v>
      </c>
      <c r="AS370" s="171"/>
      <c r="AT370" s="171" t="str">
        <f t="shared" si="31"/>
        <v>400</v>
      </c>
      <c r="AU370" s="255">
        <f t="shared" si="32"/>
        <v>22.222222222222221</v>
      </c>
      <c r="AV370" s="106">
        <v>100</v>
      </c>
      <c r="AW370" s="257">
        <v>6</v>
      </c>
      <c r="AX370" s="261"/>
      <c r="AY370" s="258">
        <v>20</v>
      </c>
      <c r="AZ370" s="261"/>
      <c r="BA370" s="175">
        <v>99</v>
      </c>
      <c r="BB370" s="259"/>
      <c r="BC370" s="176"/>
      <c r="BD370" s="179"/>
      <c r="BE370" s="177" t="s">
        <v>259</v>
      </c>
      <c r="BF370" s="178"/>
      <c r="BG370" s="27"/>
      <c r="BH370" s="27"/>
    </row>
    <row r="371" spans="1:60">
      <c r="A371" s="95">
        <v>370</v>
      </c>
      <c r="B371" s="96" t="s">
        <v>1364</v>
      </c>
      <c r="C371" s="73" t="s">
        <v>2591</v>
      </c>
      <c r="D371" s="257" t="s">
        <v>122</v>
      </c>
      <c r="E371" s="459" t="s">
        <v>3377</v>
      </c>
      <c r="F371" s="258">
        <v>1993</v>
      </c>
      <c r="G371" s="89"/>
      <c r="H371" s="57"/>
      <c r="I371" s="173" t="s">
        <v>2304</v>
      </c>
      <c r="J371" s="100">
        <v>0.38</v>
      </c>
      <c r="K371" s="44">
        <v>3.9940000000000002</v>
      </c>
      <c r="L371" s="91"/>
      <c r="M371" s="65">
        <v>450</v>
      </c>
      <c r="N371" s="65"/>
      <c r="O371" s="106" t="s">
        <v>12</v>
      </c>
      <c r="P371" s="94"/>
      <c r="Q371" s="262"/>
      <c r="R371" s="94"/>
      <c r="S371" s="94"/>
      <c r="T371" s="65"/>
      <c r="U371" s="65"/>
      <c r="V371" s="131">
        <v>0</v>
      </c>
      <c r="W371" s="132">
        <v>0</v>
      </c>
      <c r="X371" s="120">
        <v>0</v>
      </c>
      <c r="Y371" s="120">
        <v>0</v>
      </c>
      <c r="Z371" s="120">
        <v>0</v>
      </c>
      <c r="AA371" s="130"/>
      <c r="AB371" s="17">
        <v>0</v>
      </c>
      <c r="AC371" s="17">
        <v>0</v>
      </c>
      <c r="AD371" s="130"/>
      <c r="AE371" s="130"/>
      <c r="AF371" s="17">
        <v>0</v>
      </c>
      <c r="AG371" s="133">
        <v>1</v>
      </c>
      <c r="AH371" s="17">
        <v>0</v>
      </c>
      <c r="AI371" s="133">
        <v>0</v>
      </c>
      <c r="AJ371" s="133">
        <v>0</v>
      </c>
      <c r="AK371" s="17">
        <v>0</v>
      </c>
      <c r="AL371" s="137">
        <v>0</v>
      </c>
      <c r="AM371" s="509">
        <v>57.7</v>
      </c>
      <c r="AN371" s="89"/>
      <c r="AO371" s="507"/>
      <c r="AP371" s="416">
        <v>39200</v>
      </c>
      <c r="AQ371" s="133" t="s">
        <v>123</v>
      </c>
      <c r="AR371" s="174">
        <v>50</v>
      </c>
      <c r="AS371" s="171"/>
      <c r="AT371" s="171" t="str">
        <f t="shared" si="31"/>
        <v>400</v>
      </c>
      <c r="AU371" s="255">
        <f t="shared" si="32"/>
        <v>22.222222222222221</v>
      </c>
      <c r="AV371" s="509">
        <v>100</v>
      </c>
      <c r="AW371" s="257">
        <v>1</v>
      </c>
      <c r="AX371" s="261"/>
      <c r="AY371" s="258">
        <v>20</v>
      </c>
      <c r="AZ371" s="261"/>
      <c r="BA371" s="175">
        <v>99</v>
      </c>
      <c r="BB371" s="259"/>
      <c r="BC371" s="176" t="s">
        <v>558</v>
      </c>
      <c r="BD371" s="179"/>
      <c r="BE371" s="177" t="s">
        <v>259</v>
      </c>
      <c r="BF371" s="178"/>
      <c r="BG371" s="27"/>
      <c r="BH371" s="27"/>
    </row>
    <row r="372" spans="1:60" ht="15" customHeight="1">
      <c r="A372" s="95">
        <v>371</v>
      </c>
      <c r="B372" s="96" t="s">
        <v>1363</v>
      </c>
      <c r="C372" s="73" t="s">
        <v>2591</v>
      </c>
      <c r="D372" s="257" t="s">
        <v>122</v>
      </c>
      <c r="E372" s="459" t="s">
        <v>3377</v>
      </c>
      <c r="F372" s="258">
        <v>1993</v>
      </c>
      <c r="G372" s="89"/>
      <c r="H372" s="57"/>
      <c r="I372" s="88"/>
      <c r="J372" s="100">
        <v>0.38</v>
      </c>
      <c r="K372" s="44">
        <v>3.9940000000000002</v>
      </c>
      <c r="L372" s="91"/>
      <c r="M372" s="65">
        <v>450</v>
      </c>
      <c r="N372" s="65"/>
      <c r="O372" s="106" t="s">
        <v>12</v>
      </c>
      <c r="P372" s="94"/>
      <c r="Q372" s="262"/>
      <c r="R372" s="94"/>
      <c r="S372" s="94"/>
      <c r="T372" s="65"/>
      <c r="U372" s="65"/>
      <c r="V372" s="131">
        <v>0</v>
      </c>
      <c r="W372" s="132">
        <v>0</v>
      </c>
      <c r="X372" s="120">
        <v>0</v>
      </c>
      <c r="Y372" s="120">
        <v>0</v>
      </c>
      <c r="Z372" s="120">
        <v>0</v>
      </c>
      <c r="AA372" s="130"/>
      <c r="AB372" s="17">
        <v>0</v>
      </c>
      <c r="AC372" s="17">
        <v>0</v>
      </c>
      <c r="AD372" s="130"/>
      <c r="AE372" s="130"/>
      <c r="AF372" s="17">
        <v>0</v>
      </c>
      <c r="AG372" s="133">
        <v>1</v>
      </c>
      <c r="AH372" s="17">
        <v>0</v>
      </c>
      <c r="AI372" s="133">
        <v>0</v>
      </c>
      <c r="AJ372" s="133">
        <v>0</v>
      </c>
      <c r="AK372" s="17">
        <v>0</v>
      </c>
      <c r="AL372" s="137">
        <v>0</v>
      </c>
      <c r="AM372" s="509">
        <v>57.7</v>
      </c>
      <c r="AN372" s="89"/>
      <c r="AO372" s="507"/>
      <c r="AP372" s="416">
        <v>39200</v>
      </c>
      <c r="AQ372" s="133" t="s">
        <v>123</v>
      </c>
      <c r="AR372" s="174">
        <v>50</v>
      </c>
      <c r="AS372" s="171"/>
      <c r="AT372" s="171" t="str">
        <f t="shared" si="31"/>
        <v>400</v>
      </c>
      <c r="AU372" s="255">
        <f t="shared" si="32"/>
        <v>22.222222222222221</v>
      </c>
      <c r="AV372" s="509">
        <v>100</v>
      </c>
      <c r="AW372" s="257">
        <v>32</v>
      </c>
      <c r="AX372" s="261"/>
      <c r="AY372" s="258">
        <v>20</v>
      </c>
      <c r="AZ372" s="261"/>
      <c r="BA372" s="175">
        <v>65</v>
      </c>
      <c r="BB372" s="259"/>
      <c r="BC372" s="176" t="s">
        <v>558</v>
      </c>
      <c r="BD372" s="179"/>
      <c r="BE372" s="177" t="s">
        <v>259</v>
      </c>
      <c r="BF372" s="178"/>
      <c r="BG372" s="27"/>
      <c r="BH372" s="27"/>
    </row>
    <row r="373" spans="1:60" ht="15" customHeight="1">
      <c r="A373" s="95">
        <v>372</v>
      </c>
      <c r="B373" s="96" t="s">
        <v>1362</v>
      </c>
      <c r="C373" s="73" t="s">
        <v>2591</v>
      </c>
      <c r="D373" s="257" t="s">
        <v>122</v>
      </c>
      <c r="E373" s="459" t="s">
        <v>3377</v>
      </c>
      <c r="F373" s="258">
        <v>1993</v>
      </c>
      <c r="G373" s="89"/>
      <c r="H373" s="57"/>
      <c r="I373" s="88"/>
      <c r="J373" s="100">
        <v>0.38</v>
      </c>
      <c r="K373" s="44">
        <v>3.9940000000000002</v>
      </c>
      <c r="L373" s="91"/>
      <c r="M373" s="65">
        <v>450</v>
      </c>
      <c r="N373" s="65"/>
      <c r="O373" s="106" t="s">
        <v>12</v>
      </c>
      <c r="P373" s="94"/>
      <c r="Q373" s="262"/>
      <c r="R373" s="94"/>
      <c r="S373" s="94"/>
      <c r="T373" s="65"/>
      <c r="U373" s="65"/>
      <c r="V373" s="131">
        <v>0</v>
      </c>
      <c r="W373" s="132">
        <v>0</v>
      </c>
      <c r="X373" s="120">
        <v>0</v>
      </c>
      <c r="Y373" s="120">
        <v>0</v>
      </c>
      <c r="Z373" s="120">
        <v>0</v>
      </c>
      <c r="AA373" s="130"/>
      <c r="AB373" s="17">
        <v>0</v>
      </c>
      <c r="AC373" s="17">
        <v>0</v>
      </c>
      <c r="AD373" s="130"/>
      <c r="AE373" s="130"/>
      <c r="AF373" s="17">
        <v>0</v>
      </c>
      <c r="AG373" s="133">
        <v>1</v>
      </c>
      <c r="AH373" s="17">
        <v>0</v>
      </c>
      <c r="AI373" s="133">
        <v>0</v>
      </c>
      <c r="AJ373" s="133">
        <v>0</v>
      </c>
      <c r="AK373" s="17">
        <v>0</v>
      </c>
      <c r="AL373" s="137">
        <v>0</v>
      </c>
      <c r="AM373" s="509">
        <v>57.7</v>
      </c>
      <c r="AN373" s="89"/>
      <c r="AO373" s="507"/>
      <c r="AP373" s="416">
        <v>34600</v>
      </c>
      <c r="AQ373" s="133" t="s">
        <v>123</v>
      </c>
      <c r="AR373" s="174">
        <v>50</v>
      </c>
      <c r="AS373" s="171"/>
      <c r="AT373" s="171" t="str">
        <f t="shared" si="31"/>
        <v>400</v>
      </c>
      <c r="AU373" s="255">
        <f t="shared" si="32"/>
        <v>22.222222222222221</v>
      </c>
      <c r="AV373" s="509">
        <v>100</v>
      </c>
      <c r="AW373" s="257">
        <v>1</v>
      </c>
      <c r="AX373" s="261"/>
      <c r="AY373" s="258">
        <v>20</v>
      </c>
      <c r="AZ373" s="261"/>
      <c r="BA373" s="175">
        <v>65</v>
      </c>
      <c r="BB373" s="259"/>
      <c r="BC373" s="176" t="s">
        <v>558</v>
      </c>
      <c r="BD373" s="179"/>
      <c r="BE373" s="177" t="s">
        <v>259</v>
      </c>
      <c r="BF373" s="178"/>
      <c r="BG373" s="27"/>
      <c r="BH373" s="27"/>
    </row>
    <row r="374" spans="1:60">
      <c r="A374" s="95">
        <v>373</v>
      </c>
      <c r="B374" s="96" t="s">
        <v>1361</v>
      </c>
      <c r="C374" s="73" t="s">
        <v>2591</v>
      </c>
      <c r="D374" s="257" t="s">
        <v>122</v>
      </c>
      <c r="E374" s="459" t="s">
        <v>3377</v>
      </c>
      <c r="F374" s="258">
        <v>1993</v>
      </c>
      <c r="G374" s="89"/>
      <c r="H374" s="57"/>
      <c r="I374" s="173" t="s">
        <v>2304</v>
      </c>
      <c r="J374" s="100">
        <v>0.3</v>
      </c>
      <c r="K374" s="44">
        <v>4.1929999999999996</v>
      </c>
      <c r="L374" s="91"/>
      <c r="M374" s="65">
        <v>450</v>
      </c>
      <c r="N374" s="65"/>
      <c r="O374" s="106" t="s">
        <v>120</v>
      </c>
      <c r="P374" s="94"/>
      <c r="Q374" s="262"/>
      <c r="R374" s="94"/>
      <c r="S374" s="94"/>
      <c r="T374" s="65"/>
      <c r="U374" s="65"/>
      <c r="V374" s="131">
        <v>0</v>
      </c>
      <c r="W374" s="132">
        <v>0</v>
      </c>
      <c r="X374" s="120">
        <v>0</v>
      </c>
      <c r="Y374" s="120">
        <v>0</v>
      </c>
      <c r="Z374" s="120">
        <v>0</v>
      </c>
      <c r="AA374" s="130"/>
      <c r="AB374" s="17">
        <v>0</v>
      </c>
      <c r="AC374" s="17">
        <v>0</v>
      </c>
      <c r="AD374" s="130"/>
      <c r="AE374" s="130"/>
      <c r="AF374" s="17">
        <v>0</v>
      </c>
      <c r="AG374" s="133">
        <v>4</v>
      </c>
      <c r="AH374" s="17">
        <v>0</v>
      </c>
      <c r="AI374" s="133">
        <v>0</v>
      </c>
      <c r="AJ374" s="133">
        <v>0</v>
      </c>
      <c r="AK374" s="17">
        <v>0</v>
      </c>
      <c r="AL374" s="137">
        <v>0</v>
      </c>
      <c r="AM374" s="509">
        <v>55.9</v>
      </c>
      <c r="AN374" s="89"/>
      <c r="AO374" s="507"/>
      <c r="AP374" s="416">
        <v>43100</v>
      </c>
      <c r="AQ374" s="133" t="s">
        <v>123</v>
      </c>
      <c r="AR374" s="174">
        <v>50</v>
      </c>
      <c r="AS374" s="171"/>
      <c r="AT374" s="171" t="str">
        <f t="shared" si="31"/>
        <v>400</v>
      </c>
      <c r="AU374" s="255">
        <f t="shared" si="32"/>
        <v>22.222222222222221</v>
      </c>
      <c r="AV374" s="509">
        <v>100</v>
      </c>
      <c r="AW374" s="257">
        <v>1</v>
      </c>
      <c r="AX374" s="261"/>
      <c r="AY374" s="258">
        <v>20</v>
      </c>
      <c r="AZ374" s="261"/>
      <c r="BA374" s="175">
        <v>99</v>
      </c>
      <c r="BB374" s="259"/>
      <c r="BC374" s="176" t="s">
        <v>558</v>
      </c>
      <c r="BD374" s="179"/>
      <c r="BE374" s="177" t="s">
        <v>259</v>
      </c>
      <c r="BF374" s="178"/>
      <c r="BG374" s="27"/>
      <c r="BH374" s="27"/>
    </row>
    <row r="375" spans="1:60" ht="15" customHeight="1">
      <c r="A375" s="95">
        <v>374</v>
      </c>
      <c r="B375" s="96" t="s">
        <v>1360</v>
      </c>
      <c r="C375" s="73" t="s">
        <v>2591</v>
      </c>
      <c r="D375" s="257" t="s">
        <v>122</v>
      </c>
      <c r="E375" s="459" t="s">
        <v>3377</v>
      </c>
      <c r="F375" s="258">
        <v>1993</v>
      </c>
      <c r="G375" s="89"/>
      <c r="H375" s="57"/>
      <c r="I375" s="88"/>
      <c r="J375" s="100">
        <v>0.3</v>
      </c>
      <c r="K375" s="44">
        <v>4.1929999999999996</v>
      </c>
      <c r="L375" s="91"/>
      <c r="M375" s="65">
        <v>450</v>
      </c>
      <c r="N375" s="65"/>
      <c r="O375" s="106" t="s">
        <v>120</v>
      </c>
      <c r="P375" s="94"/>
      <c r="Q375" s="262"/>
      <c r="R375" s="94"/>
      <c r="S375" s="94"/>
      <c r="T375" s="65"/>
      <c r="U375" s="65"/>
      <c r="V375" s="131">
        <v>0</v>
      </c>
      <c r="W375" s="132">
        <v>0</v>
      </c>
      <c r="X375" s="120">
        <v>0</v>
      </c>
      <c r="Y375" s="120">
        <v>0</v>
      </c>
      <c r="Z375" s="120">
        <v>0</v>
      </c>
      <c r="AA375" s="130"/>
      <c r="AB375" s="17">
        <v>0</v>
      </c>
      <c r="AC375" s="17">
        <v>0</v>
      </c>
      <c r="AD375" s="130"/>
      <c r="AE375" s="130"/>
      <c r="AF375" s="17">
        <v>0</v>
      </c>
      <c r="AG375" s="133">
        <v>4</v>
      </c>
      <c r="AH375" s="17">
        <v>0</v>
      </c>
      <c r="AI375" s="133">
        <v>0</v>
      </c>
      <c r="AJ375" s="133">
        <v>0</v>
      </c>
      <c r="AK375" s="17">
        <v>0</v>
      </c>
      <c r="AL375" s="137">
        <v>0</v>
      </c>
      <c r="AM375" s="509">
        <v>55.9</v>
      </c>
      <c r="AN375" s="89"/>
      <c r="AO375" s="507"/>
      <c r="AP375" s="416">
        <v>43100</v>
      </c>
      <c r="AQ375" s="133" t="s">
        <v>123</v>
      </c>
      <c r="AR375" s="174">
        <v>50</v>
      </c>
      <c r="AS375" s="171"/>
      <c r="AT375" s="171" t="str">
        <f t="shared" si="31"/>
        <v>400</v>
      </c>
      <c r="AU375" s="255">
        <f t="shared" si="32"/>
        <v>22.222222222222221</v>
      </c>
      <c r="AV375" s="509">
        <v>100</v>
      </c>
      <c r="AW375" s="257">
        <v>29</v>
      </c>
      <c r="AX375" s="261"/>
      <c r="AY375" s="258">
        <v>20</v>
      </c>
      <c r="AZ375" s="261"/>
      <c r="BA375" s="175">
        <v>65</v>
      </c>
      <c r="BB375" s="259"/>
      <c r="BC375" s="176" t="s">
        <v>558</v>
      </c>
      <c r="BD375" s="179"/>
      <c r="BE375" s="177" t="s">
        <v>259</v>
      </c>
      <c r="BF375" s="178"/>
      <c r="BG375" s="27"/>
      <c r="BH375" s="27"/>
    </row>
    <row r="376" spans="1:60" ht="15" customHeight="1">
      <c r="A376" s="95">
        <v>375</v>
      </c>
      <c r="B376" s="96" t="s">
        <v>1359</v>
      </c>
      <c r="C376" s="73" t="s">
        <v>2591</v>
      </c>
      <c r="D376" s="257" t="s">
        <v>122</v>
      </c>
      <c r="E376" s="459" t="s">
        <v>3377</v>
      </c>
      <c r="F376" s="258">
        <v>1993</v>
      </c>
      <c r="G376" s="89"/>
      <c r="H376" s="57"/>
      <c r="I376" s="88"/>
      <c r="J376" s="100">
        <v>0.3</v>
      </c>
      <c r="K376" s="44">
        <v>4.1929999999999996</v>
      </c>
      <c r="L376" s="91"/>
      <c r="M376" s="65">
        <v>450</v>
      </c>
      <c r="N376" s="65"/>
      <c r="O376" s="106" t="s">
        <v>120</v>
      </c>
      <c r="P376" s="94"/>
      <c r="Q376" s="262"/>
      <c r="R376" s="94"/>
      <c r="S376" s="94"/>
      <c r="T376" s="65"/>
      <c r="U376" s="65"/>
      <c r="V376" s="131">
        <v>0</v>
      </c>
      <c r="W376" s="132">
        <v>0</v>
      </c>
      <c r="X376" s="120">
        <v>0</v>
      </c>
      <c r="Y376" s="120">
        <v>0</v>
      </c>
      <c r="Z376" s="120">
        <v>0</v>
      </c>
      <c r="AA376" s="130"/>
      <c r="AB376" s="17">
        <v>0</v>
      </c>
      <c r="AC376" s="17">
        <v>0</v>
      </c>
      <c r="AD376" s="130"/>
      <c r="AE376" s="130"/>
      <c r="AF376" s="17">
        <v>0</v>
      </c>
      <c r="AG376" s="133">
        <v>4</v>
      </c>
      <c r="AH376" s="17">
        <v>0</v>
      </c>
      <c r="AI376" s="133">
        <v>0</v>
      </c>
      <c r="AJ376" s="133">
        <v>0</v>
      </c>
      <c r="AK376" s="17">
        <v>0</v>
      </c>
      <c r="AL376" s="137">
        <v>0</v>
      </c>
      <c r="AM376" s="509">
        <v>55.9</v>
      </c>
      <c r="AN376" s="89"/>
      <c r="AO376" s="507"/>
      <c r="AP376" s="416">
        <v>37600</v>
      </c>
      <c r="AQ376" s="133" t="s">
        <v>123</v>
      </c>
      <c r="AR376" s="174">
        <v>50</v>
      </c>
      <c r="AS376" s="171"/>
      <c r="AT376" s="171" t="str">
        <f t="shared" si="31"/>
        <v>400</v>
      </c>
      <c r="AU376" s="255">
        <f t="shared" si="32"/>
        <v>22.222222222222221</v>
      </c>
      <c r="AV376" s="509">
        <v>100</v>
      </c>
      <c r="AW376" s="257">
        <v>1</v>
      </c>
      <c r="AX376" s="261"/>
      <c r="AY376" s="258">
        <v>20</v>
      </c>
      <c r="AZ376" s="261"/>
      <c r="BA376" s="175">
        <v>65</v>
      </c>
      <c r="BB376" s="259"/>
      <c r="BC376" s="176"/>
      <c r="BD376" s="179"/>
      <c r="BE376" s="177" t="s">
        <v>259</v>
      </c>
      <c r="BF376" s="178"/>
      <c r="BG376" s="27"/>
      <c r="BH376" s="27"/>
    </row>
    <row r="377" spans="1:60">
      <c r="A377" s="95">
        <v>376</v>
      </c>
      <c r="B377" s="96" t="s">
        <v>1358</v>
      </c>
      <c r="C377" s="73" t="s">
        <v>2591</v>
      </c>
      <c r="D377" s="257" t="s">
        <v>122</v>
      </c>
      <c r="E377" s="459" t="s">
        <v>3377</v>
      </c>
      <c r="F377" s="258">
        <v>1993</v>
      </c>
      <c r="G377" s="89"/>
      <c r="H377" s="57"/>
      <c r="I377" s="173" t="s">
        <v>2304</v>
      </c>
      <c r="J377" s="100">
        <v>0.23899999999999999</v>
      </c>
      <c r="K377" s="44">
        <v>4.5350000000000001</v>
      </c>
      <c r="L377" s="91"/>
      <c r="M377" s="65">
        <v>414</v>
      </c>
      <c r="N377" s="65"/>
      <c r="O377" s="106" t="s">
        <v>120</v>
      </c>
      <c r="P377" s="94"/>
      <c r="Q377" s="262"/>
      <c r="R377" s="94"/>
      <c r="S377" s="94"/>
      <c r="T377" s="65"/>
      <c r="U377" s="65"/>
      <c r="V377" s="131">
        <v>8.6959999999999997</v>
      </c>
      <c r="W377" s="132">
        <v>0</v>
      </c>
      <c r="X377" s="120">
        <v>0</v>
      </c>
      <c r="Y377" s="120">
        <v>0</v>
      </c>
      <c r="Z377" s="120">
        <v>0</v>
      </c>
      <c r="AA377" s="130"/>
      <c r="AB377" s="17">
        <v>0</v>
      </c>
      <c r="AC377" s="17">
        <v>0</v>
      </c>
      <c r="AD377" s="130"/>
      <c r="AE377" s="130"/>
      <c r="AF377" s="17">
        <v>0</v>
      </c>
      <c r="AG377" s="133">
        <v>4.3479999999999999</v>
      </c>
      <c r="AH377" s="17">
        <v>0</v>
      </c>
      <c r="AI377" s="133">
        <v>0</v>
      </c>
      <c r="AJ377" s="133">
        <v>0</v>
      </c>
      <c r="AK377" s="17">
        <v>0</v>
      </c>
      <c r="AL377" s="137">
        <v>0</v>
      </c>
      <c r="AM377" s="509">
        <v>67.599999999999994</v>
      </c>
      <c r="AN377" s="89"/>
      <c r="AO377" s="507"/>
      <c r="AP377" s="416">
        <v>46700</v>
      </c>
      <c r="AQ377" s="133" t="s">
        <v>123</v>
      </c>
      <c r="AR377" s="174">
        <v>50</v>
      </c>
      <c r="AS377" s="171"/>
      <c r="AT377" s="171" t="str">
        <f t="shared" si="31"/>
        <v>400</v>
      </c>
      <c r="AU377" s="255">
        <f t="shared" si="32"/>
        <v>22.222222222222221</v>
      </c>
      <c r="AV377" s="106">
        <v>100</v>
      </c>
      <c r="AW377" s="257">
        <v>1</v>
      </c>
      <c r="AX377" s="261"/>
      <c r="AY377" s="258">
        <v>20</v>
      </c>
      <c r="AZ377" s="261"/>
      <c r="BA377" s="175">
        <v>99</v>
      </c>
      <c r="BB377" s="259"/>
      <c r="BC377" s="176" t="s">
        <v>558</v>
      </c>
      <c r="BD377" s="179"/>
      <c r="BE377" s="177" t="s">
        <v>259</v>
      </c>
      <c r="BF377" s="178"/>
      <c r="BG377" s="27"/>
      <c r="BH377" s="27"/>
    </row>
    <row r="378" spans="1:60">
      <c r="A378" s="95">
        <v>377</v>
      </c>
      <c r="B378" s="96" t="s">
        <v>1357</v>
      </c>
      <c r="C378" s="73" t="s">
        <v>2591</v>
      </c>
      <c r="D378" s="257" t="s">
        <v>122</v>
      </c>
      <c r="E378" s="459" t="s">
        <v>3377</v>
      </c>
      <c r="F378" s="258">
        <v>1993</v>
      </c>
      <c r="G378" s="89"/>
      <c r="H378" s="57"/>
      <c r="I378" s="173" t="s">
        <v>2304</v>
      </c>
      <c r="J378" s="100">
        <v>0.3</v>
      </c>
      <c r="K378" s="44">
        <v>4.1660000000000004</v>
      </c>
      <c r="L378" s="91"/>
      <c r="M378" s="65">
        <v>450</v>
      </c>
      <c r="N378" s="65"/>
      <c r="O378" s="106" t="s">
        <v>12</v>
      </c>
      <c r="P378" s="94"/>
      <c r="Q378" s="262"/>
      <c r="R378" s="94"/>
      <c r="S378" s="94"/>
      <c r="T378" s="65"/>
      <c r="U378" s="65"/>
      <c r="V378" s="131">
        <v>0</v>
      </c>
      <c r="W378" s="132">
        <v>0</v>
      </c>
      <c r="X378" s="120">
        <v>0</v>
      </c>
      <c r="Y378" s="120">
        <v>0</v>
      </c>
      <c r="Z378" s="120">
        <v>0</v>
      </c>
      <c r="AA378" s="130"/>
      <c r="AB378" s="17">
        <v>0</v>
      </c>
      <c r="AC378" s="17">
        <v>0</v>
      </c>
      <c r="AD378" s="130"/>
      <c r="AE378" s="130"/>
      <c r="AF378" s="17">
        <v>0</v>
      </c>
      <c r="AG378" s="133">
        <v>3</v>
      </c>
      <c r="AH378" s="17">
        <v>0</v>
      </c>
      <c r="AI378" s="133">
        <v>0</v>
      </c>
      <c r="AJ378" s="133">
        <v>0</v>
      </c>
      <c r="AK378" s="17">
        <v>0</v>
      </c>
      <c r="AL378" s="137">
        <v>0</v>
      </c>
      <c r="AM378" s="509">
        <v>75.900000000000006</v>
      </c>
      <c r="AN378" s="89"/>
      <c r="AO378" s="507"/>
      <c r="AP378" s="416">
        <v>44700</v>
      </c>
      <c r="AQ378" s="133" t="s">
        <v>123</v>
      </c>
      <c r="AR378" s="174">
        <v>50</v>
      </c>
      <c r="AS378" s="171"/>
      <c r="AT378" s="171" t="str">
        <f t="shared" si="31"/>
        <v>400</v>
      </c>
      <c r="AU378" s="255">
        <f t="shared" si="32"/>
        <v>22.222222222222221</v>
      </c>
      <c r="AV378" s="106">
        <v>100</v>
      </c>
      <c r="AW378" s="257">
        <v>1</v>
      </c>
      <c r="AX378" s="261"/>
      <c r="AY378" s="258">
        <v>20</v>
      </c>
      <c r="AZ378" s="261"/>
      <c r="BA378" s="175">
        <v>99</v>
      </c>
      <c r="BB378" s="259"/>
      <c r="BC378" s="176" t="s">
        <v>558</v>
      </c>
      <c r="BD378" s="179"/>
      <c r="BE378" s="177" t="s">
        <v>259</v>
      </c>
      <c r="BF378" s="178"/>
      <c r="BG378" s="27"/>
      <c r="BH378" s="27"/>
    </row>
    <row r="379" spans="1:60">
      <c r="A379" s="95">
        <v>378</v>
      </c>
      <c r="B379" s="96" t="s">
        <v>1356</v>
      </c>
      <c r="C379" s="73" t="s">
        <v>2591</v>
      </c>
      <c r="D379" s="257" t="s">
        <v>122</v>
      </c>
      <c r="E379" s="459" t="s">
        <v>3377</v>
      </c>
      <c r="F379" s="258">
        <v>1993</v>
      </c>
      <c r="G379" s="89"/>
      <c r="H379" s="57"/>
      <c r="I379" s="173" t="s">
        <v>2304</v>
      </c>
      <c r="J379" s="100">
        <v>0.23899999999999999</v>
      </c>
      <c r="K379" s="44">
        <v>4.5039999999999996</v>
      </c>
      <c r="L379" s="91"/>
      <c r="M379" s="65">
        <v>414</v>
      </c>
      <c r="N379" s="65"/>
      <c r="O379" s="106" t="s">
        <v>12</v>
      </c>
      <c r="P379" s="94"/>
      <c r="Q379" s="262"/>
      <c r="R379" s="94"/>
      <c r="S379" s="94"/>
      <c r="T379" s="65"/>
      <c r="U379" s="65"/>
      <c r="V379" s="131">
        <v>8.6959999999999997</v>
      </c>
      <c r="W379" s="132">
        <v>0</v>
      </c>
      <c r="X379" s="120">
        <v>0</v>
      </c>
      <c r="Y379" s="120">
        <v>0</v>
      </c>
      <c r="Z379" s="120">
        <v>0</v>
      </c>
      <c r="AA379" s="130"/>
      <c r="AB379" s="17">
        <v>0</v>
      </c>
      <c r="AC379" s="17">
        <v>0</v>
      </c>
      <c r="AD379" s="130"/>
      <c r="AE379" s="130"/>
      <c r="AF379" s="17">
        <v>0</v>
      </c>
      <c r="AG379" s="133">
        <v>3.2610000000000001</v>
      </c>
      <c r="AH379" s="17">
        <v>0</v>
      </c>
      <c r="AI379" s="133">
        <v>0</v>
      </c>
      <c r="AJ379" s="133">
        <v>0</v>
      </c>
      <c r="AK379" s="17">
        <v>0</v>
      </c>
      <c r="AL379" s="137">
        <v>0</v>
      </c>
      <c r="AM379" s="509">
        <v>88.1</v>
      </c>
      <c r="AN379" s="89"/>
      <c r="AO379" s="507"/>
      <c r="AP379" s="416">
        <v>47900</v>
      </c>
      <c r="AQ379" s="133" t="s">
        <v>123</v>
      </c>
      <c r="AR379" s="174">
        <v>50</v>
      </c>
      <c r="AS379" s="171"/>
      <c r="AT379" s="171" t="str">
        <f t="shared" si="31"/>
        <v>400</v>
      </c>
      <c r="AU379" s="255">
        <f t="shared" si="32"/>
        <v>22.222222222222221</v>
      </c>
      <c r="AV379" s="106">
        <v>100</v>
      </c>
      <c r="AW379" s="257">
        <v>1</v>
      </c>
      <c r="AX379" s="261"/>
      <c r="AY379" s="258">
        <v>20</v>
      </c>
      <c r="AZ379" s="261"/>
      <c r="BA379" s="175">
        <v>99</v>
      </c>
      <c r="BB379" s="259"/>
      <c r="BC379" s="176"/>
      <c r="BD379" s="179"/>
      <c r="BE379" s="177" t="s">
        <v>259</v>
      </c>
      <c r="BF379" s="178"/>
      <c r="BG379" s="27"/>
      <c r="BH379" s="27"/>
    </row>
    <row r="380" spans="1:60">
      <c r="A380" s="95">
        <v>379</v>
      </c>
      <c r="B380" s="96" t="s">
        <v>1355</v>
      </c>
      <c r="C380" s="73" t="s">
        <v>2591</v>
      </c>
      <c r="D380" s="257" t="s">
        <v>122</v>
      </c>
      <c r="E380" s="459" t="s">
        <v>3377</v>
      </c>
      <c r="F380" s="258">
        <v>1993</v>
      </c>
      <c r="G380" s="89"/>
      <c r="H380" s="57"/>
      <c r="I380" s="173" t="s">
        <v>2304</v>
      </c>
      <c r="J380" s="100">
        <v>0.3</v>
      </c>
      <c r="K380" s="44">
        <v>4.1660000000000004</v>
      </c>
      <c r="L380" s="91"/>
      <c r="M380" s="65">
        <v>450</v>
      </c>
      <c r="N380" s="65"/>
      <c r="O380" s="106" t="s">
        <v>12</v>
      </c>
      <c r="P380" s="94"/>
      <c r="Q380" s="262"/>
      <c r="R380" s="94"/>
      <c r="S380" s="94"/>
      <c r="T380" s="65"/>
      <c r="U380" s="65"/>
      <c r="V380" s="131">
        <v>0</v>
      </c>
      <c r="W380" s="132">
        <v>0</v>
      </c>
      <c r="X380" s="120">
        <v>0</v>
      </c>
      <c r="Y380" s="120">
        <v>0</v>
      </c>
      <c r="Z380" s="120">
        <v>0</v>
      </c>
      <c r="AA380" s="130"/>
      <c r="AB380" s="17">
        <v>0</v>
      </c>
      <c r="AC380" s="17">
        <v>0</v>
      </c>
      <c r="AD380" s="130"/>
      <c r="AE380" s="130"/>
      <c r="AF380" s="17">
        <v>0</v>
      </c>
      <c r="AG380" s="133">
        <v>3</v>
      </c>
      <c r="AH380" s="17">
        <v>0</v>
      </c>
      <c r="AI380" s="133">
        <v>0</v>
      </c>
      <c r="AJ380" s="133">
        <v>0</v>
      </c>
      <c r="AK380" s="17">
        <v>0</v>
      </c>
      <c r="AL380" s="137">
        <v>0</v>
      </c>
      <c r="AM380" s="509">
        <v>66.3</v>
      </c>
      <c r="AN380" s="89"/>
      <c r="AO380" s="507"/>
      <c r="AP380" s="262"/>
      <c r="AQ380" s="133" t="s">
        <v>123</v>
      </c>
      <c r="AR380" s="174">
        <v>50</v>
      </c>
      <c r="AS380" s="171"/>
      <c r="AT380" s="171" t="str">
        <f t="shared" si="31"/>
        <v>400</v>
      </c>
      <c r="AU380" s="255">
        <f t="shared" si="32"/>
        <v>22.222222222222221</v>
      </c>
      <c r="AV380" s="106">
        <v>100</v>
      </c>
      <c r="AW380" s="257">
        <v>7</v>
      </c>
      <c r="AX380" s="261"/>
      <c r="AY380" s="258">
        <v>20</v>
      </c>
      <c r="AZ380" s="261"/>
      <c r="BA380" s="175">
        <v>99</v>
      </c>
      <c r="BB380" s="259"/>
      <c r="BC380" s="176" t="s">
        <v>558</v>
      </c>
      <c r="BD380" s="179"/>
      <c r="BE380" s="177" t="s">
        <v>259</v>
      </c>
      <c r="BF380" s="178"/>
      <c r="BG380" s="27"/>
      <c r="BH380" s="27"/>
    </row>
    <row r="381" spans="1:60">
      <c r="A381" s="95">
        <v>380</v>
      </c>
      <c r="B381" s="96" t="s">
        <v>1354</v>
      </c>
      <c r="C381" s="73" t="s">
        <v>2591</v>
      </c>
      <c r="D381" s="257" t="s">
        <v>122</v>
      </c>
      <c r="E381" s="459" t="s">
        <v>3377</v>
      </c>
      <c r="F381" s="258">
        <v>1993</v>
      </c>
      <c r="G381" s="89"/>
      <c r="H381" s="57"/>
      <c r="I381" s="173" t="s">
        <v>2304</v>
      </c>
      <c r="J381" s="100">
        <v>0.3</v>
      </c>
      <c r="K381" s="44">
        <v>4.2130000000000001</v>
      </c>
      <c r="L381" s="91"/>
      <c r="M381" s="65">
        <v>450</v>
      </c>
      <c r="N381" s="65"/>
      <c r="O381" s="106" t="s">
        <v>12</v>
      </c>
      <c r="P381" s="94"/>
      <c r="Q381" s="262"/>
      <c r="R381" s="94"/>
      <c r="S381" s="94"/>
      <c r="T381" s="65"/>
      <c r="U381" s="65"/>
      <c r="V381" s="131">
        <v>0</v>
      </c>
      <c r="W381" s="132">
        <v>0</v>
      </c>
      <c r="X381" s="120">
        <v>0</v>
      </c>
      <c r="Y381" s="120">
        <v>0</v>
      </c>
      <c r="Z381" s="120">
        <v>0</v>
      </c>
      <c r="AA381" s="130"/>
      <c r="AB381" s="17">
        <v>0</v>
      </c>
      <c r="AC381" s="17">
        <v>0</v>
      </c>
      <c r="AD381" s="130"/>
      <c r="AE381" s="130"/>
      <c r="AF381" s="17">
        <v>0</v>
      </c>
      <c r="AG381" s="133">
        <v>3.5</v>
      </c>
      <c r="AH381" s="17">
        <v>0</v>
      </c>
      <c r="AI381" s="133">
        <v>0</v>
      </c>
      <c r="AJ381" s="133">
        <v>0</v>
      </c>
      <c r="AK381" s="17">
        <v>0</v>
      </c>
      <c r="AL381" s="137">
        <v>0</v>
      </c>
      <c r="AM381" s="509">
        <v>75</v>
      </c>
      <c r="AN381" s="89"/>
      <c r="AO381" s="507"/>
      <c r="AP381" s="416">
        <v>48100</v>
      </c>
      <c r="AQ381" s="133" t="s">
        <v>123</v>
      </c>
      <c r="AR381" s="174">
        <v>50</v>
      </c>
      <c r="AS381" s="171"/>
      <c r="AT381" s="171" t="str">
        <f t="shared" si="31"/>
        <v>400</v>
      </c>
      <c r="AU381" s="255">
        <f t="shared" si="32"/>
        <v>22.222222222222221</v>
      </c>
      <c r="AV381" s="106">
        <v>100</v>
      </c>
      <c r="AW381" s="257">
        <v>3</v>
      </c>
      <c r="AX381" s="261"/>
      <c r="AY381" s="258">
        <v>20</v>
      </c>
      <c r="AZ381" s="261"/>
      <c r="BA381" s="175">
        <v>99</v>
      </c>
      <c r="BB381" s="259"/>
      <c r="BC381" s="176" t="s">
        <v>558</v>
      </c>
      <c r="BD381" s="179"/>
      <c r="BE381" s="177" t="s">
        <v>259</v>
      </c>
      <c r="BF381" s="178"/>
      <c r="BG381" s="27"/>
      <c r="BH381" s="27"/>
    </row>
    <row r="382" spans="1:60">
      <c r="A382" s="95">
        <v>381</v>
      </c>
      <c r="B382" s="96" t="s">
        <v>1353</v>
      </c>
      <c r="C382" s="73" t="s">
        <v>2591</v>
      </c>
      <c r="D382" s="257" t="s">
        <v>122</v>
      </c>
      <c r="E382" s="459" t="s">
        <v>3377</v>
      </c>
      <c r="F382" s="258">
        <v>1993</v>
      </c>
      <c r="G382" s="89"/>
      <c r="H382" s="57"/>
      <c r="I382" s="173" t="s">
        <v>2304</v>
      </c>
      <c r="J382" s="100">
        <v>0.23899999999999999</v>
      </c>
      <c r="K382" s="44">
        <v>4.5529999999999999</v>
      </c>
      <c r="L382" s="91"/>
      <c r="M382" s="65">
        <v>414</v>
      </c>
      <c r="N382" s="65"/>
      <c r="O382" s="106" t="s">
        <v>12</v>
      </c>
      <c r="P382" s="94"/>
      <c r="Q382" s="262"/>
      <c r="R382" s="94"/>
      <c r="S382" s="94"/>
      <c r="T382" s="65"/>
      <c r="U382" s="65"/>
      <c r="V382" s="131">
        <v>8.6959999999999997</v>
      </c>
      <c r="W382" s="132">
        <v>0</v>
      </c>
      <c r="X382" s="120">
        <v>0</v>
      </c>
      <c r="Y382" s="120">
        <v>0</v>
      </c>
      <c r="Z382" s="120">
        <v>0</v>
      </c>
      <c r="AA382" s="130"/>
      <c r="AB382" s="17">
        <v>0</v>
      </c>
      <c r="AC382" s="17">
        <v>0</v>
      </c>
      <c r="AD382" s="130"/>
      <c r="AE382" s="130"/>
      <c r="AF382" s="17">
        <v>0</v>
      </c>
      <c r="AG382" s="133">
        <v>3.6230000000000002</v>
      </c>
      <c r="AH382" s="17">
        <v>0</v>
      </c>
      <c r="AI382" s="133">
        <v>0</v>
      </c>
      <c r="AJ382" s="133">
        <v>0</v>
      </c>
      <c r="AK382" s="17">
        <v>0</v>
      </c>
      <c r="AL382" s="137">
        <v>0</v>
      </c>
      <c r="AM382" s="509">
        <v>99.5</v>
      </c>
      <c r="AN382" s="89"/>
      <c r="AO382" s="507"/>
      <c r="AP382" s="416">
        <v>50500</v>
      </c>
      <c r="AQ382" s="133" t="s">
        <v>123</v>
      </c>
      <c r="AR382" s="174">
        <v>50</v>
      </c>
      <c r="AS382" s="171"/>
      <c r="AT382" s="171" t="str">
        <f t="shared" si="31"/>
        <v>400</v>
      </c>
      <c r="AU382" s="255">
        <f t="shared" si="32"/>
        <v>22.222222222222221</v>
      </c>
      <c r="AV382" s="106">
        <v>100</v>
      </c>
      <c r="AW382" s="257">
        <v>3</v>
      </c>
      <c r="AX382" s="261"/>
      <c r="AY382" s="258">
        <v>20</v>
      </c>
      <c r="AZ382" s="261"/>
      <c r="BA382" s="175">
        <v>99</v>
      </c>
      <c r="BB382" s="259"/>
      <c r="BC382" s="176" t="s">
        <v>558</v>
      </c>
      <c r="BD382" s="179"/>
      <c r="BE382" s="177" t="s">
        <v>259</v>
      </c>
      <c r="BF382" s="178"/>
      <c r="BG382" s="27"/>
      <c r="BH382" s="27"/>
    </row>
    <row r="383" spans="1:60">
      <c r="A383" s="95">
        <v>382</v>
      </c>
      <c r="B383" s="96" t="s">
        <v>1352</v>
      </c>
      <c r="C383" s="73" t="s">
        <v>2591</v>
      </c>
      <c r="D383" s="257" t="s">
        <v>122</v>
      </c>
      <c r="E383" s="459" t="s">
        <v>3377</v>
      </c>
      <c r="F383" s="258">
        <v>1993</v>
      </c>
      <c r="G383" s="89"/>
      <c r="H383" s="57"/>
      <c r="I383" s="173" t="s">
        <v>2304</v>
      </c>
      <c r="J383" s="508">
        <v>0.3</v>
      </c>
      <c r="K383" s="513">
        <v>3.1509999999999998</v>
      </c>
      <c r="L383" s="91"/>
      <c r="M383" s="506">
        <v>550</v>
      </c>
      <c r="N383" s="506"/>
      <c r="O383" s="509" t="s">
        <v>12</v>
      </c>
      <c r="P383" s="94"/>
      <c r="Q383" s="262"/>
      <c r="R383" s="507"/>
      <c r="S383" s="94"/>
      <c r="T383" s="506"/>
      <c r="U383" s="506"/>
      <c r="V383" s="131">
        <v>0</v>
      </c>
      <c r="W383" s="132">
        <v>0</v>
      </c>
      <c r="X383" s="120">
        <v>0</v>
      </c>
      <c r="Y383" s="120">
        <v>0</v>
      </c>
      <c r="Z383" s="120">
        <v>0</v>
      </c>
      <c r="AA383" s="130"/>
      <c r="AB383" s="17">
        <v>0</v>
      </c>
      <c r="AC383" s="17">
        <v>0</v>
      </c>
      <c r="AD383" s="130"/>
      <c r="AE383" s="130"/>
      <c r="AF383" s="17">
        <v>0</v>
      </c>
      <c r="AG383" s="133">
        <v>4</v>
      </c>
      <c r="AH383" s="17">
        <v>0</v>
      </c>
      <c r="AI383" s="133">
        <v>0</v>
      </c>
      <c r="AJ383" s="133">
        <v>0</v>
      </c>
      <c r="AK383" s="17">
        <v>0</v>
      </c>
      <c r="AL383" s="137">
        <v>0</v>
      </c>
      <c r="AM383" s="509">
        <v>83.4</v>
      </c>
      <c r="AN383" s="89"/>
      <c r="AO383" s="507"/>
      <c r="AP383" s="416">
        <v>44200</v>
      </c>
      <c r="AQ383" s="133" t="s">
        <v>123</v>
      </c>
      <c r="AR383" s="174">
        <v>50</v>
      </c>
      <c r="AS383" s="171"/>
      <c r="AT383" s="171" t="str">
        <f t="shared" si="31"/>
        <v>400</v>
      </c>
      <c r="AU383" s="255">
        <f t="shared" si="32"/>
        <v>22.222222222222221</v>
      </c>
      <c r="AV383" s="509">
        <v>100</v>
      </c>
      <c r="AW383" s="257">
        <v>1</v>
      </c>
      <c r="AX383" s="261"/>
      <c r="AY383" s="258">
        <v>20</v>
      </c>
      <c r="AZ383" s="261"/>
      <c r="BA383" s="175">
        <v>99</v>
      </c>
      <c r="BB383" s="259"/>
      <c r="BC383" s="176" t="s">
        <v>558</v>
      </c>
      <c r="BD383" s="179"/>
      <c r="BE383" s="177" t="s">
        <v>259</v>
      </c>
      <c r="BF383" s="178"/>
      <c r="BG383" s="27"/>
      <c r="BH383" s="27"/>
    </row>
    <row r="384" spans="1:60">
      <c r="A384" s="95">
        <v>383</v>
      </c>
      <c r="B384" s="96" t="s">
        <v>1351</v>
      </c>
      <c r="C384" s="73" t="s">
        <v>2591</v>
      </c>
      <c r="D384" s="257" t="s">
        <v>122</v>
      </c>
      <c r="E384" s="459" t="s">
        <v>3377</v>
      </c>
      <c r="F384" s="258">
        <v>1993</v>
      </c>
      <c r="G384" s="89"/>
      <c r="H384" s="57"/>
      <c r="I384" s="173" t="s">
        <v>2304</v>
      </c>
      <c r="J384" s="508">
        <v>0.23899999999999999</v>
      </c>
      <c r="K384" s="513">
        <v>4.1749999999999998</v>
      </c>
      <c r="L384" s="91"/>
      <c r="M384" s="506">
        <v>460</v>
      </c>
      <c r="N384" s="506"/>
      <c r="O384" s="509" t="s">
        <v>12</v>
      </c>
      <c r="P384" s="94"/>
      <c r="Q384" s="262"/>
      <c r="R384" s="507"/>
      <c r="S384" s="94"/>
      <c r="T384" s="506"/>
      <c r="U384" s="506"/>
      <c r="V384" s="131">
        <v>8.6959999999999997</v>
      </c>
      <c r="W384" s="132">
        <v>0</v>
      </c>
      <c r="X384" s="120">
        <v>0</v>
      </c>
      <c r="Y384" s="120">
        <v>0</v>
      </c>
      <c r="Z384" s="120">
        <v>0</v>
      </c>
      <c r="AA384" s="130"/>
      <c r="AB384" s="17">
        <v>0</v>
      </c>
      <c r="AC384" s="17">
        <v>0</v>
      </c>
      <c r="AD384" s="130"/>
      <c r="AE384" s="130"/>
      <c r="AF384" s="17">
        <v>0</v>
      </c>
      <c r="AG384" s="133">
        <v>2.1739999999999999</v>
      </c>
      <c r="AH384" s="17">
        <v>0</v>
      </c>
      <c r="AI384" s="133">
        <v>0</v>
      </c>
      <c r="AJ384" s="133">
        <v>0</v>
      </c>
      <c r="AK384" s="17">
        <v>0</v>
      </c>
      <c r="AL384" s="137">
        <v>0</v>
      </c>
      <c r="AM384" s="509">
        <v>104.7</v>
      </c>
      <c r="AN384" s="89"/>
      <c r="AO384" s="507"/>
      <c r="AP384" s="416">
        <v>57100</v>
      </c>
      <c r="AQ384" s="133" t="s">
        <v>123</v>
      </c>
      <c r="AR384" s="174">
        <v>50</v>
      </c>
      <c r="AS384" s="171"/>
      <c r="AT384" s="171" t="str">
        <f t="shared" si="31"/>
        <v>400</v>
      </c>
      <c r="AU384" s="255">
        <f t="shared" si="32"/>
        <v>22.222222222222221</v>
      </c>
      <c r="AV384" s="509">
        <v>100</v>
      </c>
      <c r="AW384" s="257">
        <v>1</v>
      </c>
      <c r="AX384" s="261"/>
      <c r="AY384" s="258">
        <v>20</v>
      </c>
      <c r="AZ384" s="261"/>
      <c r="BA384" s="175">
        <v>99</v>
      </c>
      <c r="BB384" s="259"/>
      <c r="BC384" s="176" t="s">
        <v>558</v>
      </c>
      <c r="BD384" s="177"/>
      <c r="BE384" s="177" t="s">
        <v>259</v>
      </c>
      <c r="BF384" s="178"/>
      <c r="BG384" s="27"/>
      <c r="BH384" s="27"/>
    </row>
    <row r="385" spans="1:60" ht="15" customHeight="1">
      <c r="A385" s="95">
        <v>384</v>
      </c>
      <c r="B385" s="96" t="s">
        <v>1350</v>
      </c>
      <c r="C385" s="73" t="s">
        <v>2591</v>
      </c>
      <c r="D385" s="257" t="s">
        <v>122</v>
      </c>
      <c r="E385" s="459" t="s">
        <v>3377</v>
      </c>
      <c r="F385" s="258">
        <v>1993</v>
      </c>
      <c r="G385" s="89"/>
      <c r="H385" s="57"/>
      <c r="I385" s="88"/>
      <c r="J385" s="508">
        <v>0.23899999999999999</v>
      </c>
      <c r="K385" s="513">
        <v>4.1749999999999998</v>
      </c>
      <c r="L385" s="91"/>
      <c r="M385" s="506">
        <v>460</v>
      </c>
      <c r="N385" s="506"/>
      <c r="O385" s="509" t="s">
        <v>12</v>
      </c>
      <c r="P385" s="94"/>
      <c r="Q385" s="262"/>
      <c r="R385" s="507"/>
      <c r="S385" s="94"/>
      <c r="T385" s="506"/>
      <c r="U385" s="506"/>
      <c r="V385" s="131">
        <v>8.6959999999999997</v>
      </c>
      <c r="W385" s="132">
        <v>0</v>
      </c>
      <c r="X385" s="120">
        <v>0</v>
      </c>
      <c r="Y385" s="120">
        <v>0</v>
      </c>
      <c r="Z385" s="120">
        <v>0</v>
      </c>
      <c r="AA385" s="130"/>
      <c r="AB385" s="17">
        <v>0</v>
      </c>
      <c r="AC385" s="17">
        <v>0</v>
      </c>
      <c r="AD385" s="130"/>
      <c r="AE385" s="130"/>
      <c r="AF385" s="17">
        <v>0</v>
      </c>
      <c r="AG385" s="133">
        <v>2.1739999999999999</v>
      </c>
      <c r="AH385" s="17">
        <v>0</v>
      </c>
      <c r="AI385" s="133">
        <v>0</v>
      </c>
      <c r="AJ385" s="133">
        <v>0</v>
      </c>
      <c r="AK385" s="17">
        <v>0</v>
      </c>
      <c r="AL385" s="137">
        <v>0</v>
      </c>
      <c r="AM385" s="509">
        <v>104.7</v>
      </c>
      <c r="AN385" s="89"/>
      <c r="AO385" s="507"/>
      <c r="AP385" s="416">
        <v>57100</v>
      </c>
      <c r="AQ385" s="133" t="s">
        <v>123</v>
      </c>
      <c r="AR385" s="174">
        <v>50</v>
      </c>
      <c r="AS385" s="171"/>
      <c r="AT385" s="171" t="str">
        <f t="shared" si="31"/>
        <v>400</v>
      </c>
      <c r="AU385" s="255">
        <f t="shared" si="32"/>
        <v>22.222222222222221</v>
      </c>
      <c r="AV385" s="509">
        <v>100</v>
      </c>
      <c r="AW385" s="257">
        <v>29</v>
      </c>
      <c r="AX385" s="261"/>
      <c r="AY385" s="258">
        <v>20</v>
      </c>
      <c r="AZ385" s="261"/>
      <c r="BA385" s="175">
        <v>65</v>
      </c>
      <c r="BB385" s="259"/>
      <c r="BC385" s="176" t="s">
        <v>558</v>
      </c>
      <c r="BD385" s="177"/>
      <c r="BE385" s="177" t="s">
        <v>259</v>
      </c>
      <c r="BF385" s="178"/>
      <c r="BG385" s="27"/>
      <c r="BH385" s="27"/>
    </row>
    <row r="386" spans="1:60" ht="15" customHeight="1">
      <c r="A386" s="95">
        <v>385</v>
      </c>
      <c r="B386" s="96" t="s">
        <v>1349</v>
      </c>
      <c r="C386" s="73" t="s">
        <v>2591</v>
      </c>
      <c r="D386" s="257" t="s">
        <v>122</v>
      </c>
      <c r="E386" s="459" t="s">
        <v>3377</v>
      </c>
      <c r="F386" s="258">
        <v>1993</v>
      </c>
      <c r="G386" s="89"/>
      <c r="H386" s="57"/>
      <c r="I386" s="88"/>
      <c r="J386" s="100">
        <v>0.23899999999999999</v>
      </c>
      <c r="K386" s="44">
        <v>4.1749999999999998</v>
      </c>
      <c r="L386" s="91"/>
      <c r="M386" s="65">
        <v>460</v>
      </c>
      <c r="N386" s="65"/>
      <c r="O386" s="106" t="s">
        <v>12</v>
      </c>
      <c r="P386" s="94"/>
      <c r="Q386" s="262"/>
      <c r="R386" s="94"/>
      <c r="S386" s="94"/>
      <c r="T386" s="506"/>
      <c r="U386" s="506"/>
      <c r="V386" s="131">
        <v>8.6959999999999997</v>
      </c>
      <c r="W386" s="132">
        <v>0</v>
      </c>
      <c r="X386" s="120">
        <v>0</v>
      </c>
      <c r="Y386" s="120">
        <v>0</v>
      </c>
      <c r="Z386" s="120">
        <v>0</v>
      </c>
      <c r="AA386" s="130"/>
      <c r="AB386" s="17">
        <v>0</v>
      </c>
      <c r="AC386" s="17">
        <v>0</v>
      </c>
      <c r="AD386" s="130"/>
      <c r="AE386" s="130"/>
      <c r="AF386" s="17">
        <v>0</v>
      </c>
      <c r="AG386" s="133">
        <v>2.1739999999999999</v>
      </c>
      <c r="AH386" s="17">
        <v>0</v>
      </c>
      <c r="AI386" s="133">
        <v>0</v>
      </c>
      <c r="AJ386" s="133">
        <v>0</v>
      </c>
      <c r="AK386" s="17">
        <v>0</v>
      </c>
      <c r="AL386" s="137">
        <v>0</v>
      </c>
      <c r="AM386" s="509">
        <v>104.7</v>
      </c>
      <c r="AN386" s="89"/>
      <c r="AO386" s="507"/>
      <c r="AP386" s="416">
        <v>55600</v>
      </c>
      <c r="AQ386" s="133" t="s">
        <v>123</v>
      </c>
      <c r="AR386" s="174">
        <v>50</v>
      </c>
      <c r="AS386" s="171"/>
      <c r="AT386" s="171" t="str">
        <f t="shared" ref="AT386:AT417" si="33">RIGHT(AQ386,LEN(AQ386)-FIND("x",AQ386,1))</f>
        <v>400</v>
      </c>
      <c r="AU386" s="255">
        <f t="shared" si="32"/>
        <v>22.222222222222221</v>
      </c>
      <c r="AV386" s="106">
        <v>100</v>
      </c>
      <c r="AW386" s="257">
        <v>1</v>
      </c>
      <c r="AX386" s="261"/>
      <c r="AY386" s="258">
        <v>20</v>
      </c>
      <c r="AZ386" s="261"/>
      <c r="BA386" s="175">
        <v>65</v>
      </c>
      <c r="BB386" s="259"/>
      <c r="BC386" s="176"/>
      <c r="BD386" s="177"/>
      <c r="BE386" s="177" t="s">
        <v>259</v>
      </c>
      <c r="BF386" s="178"/>
      <c r="BG386" s="27"/>
      <c r="BH386" s="27"/>
    </row>
    <row r="387" spans="1:60" ht="15" customHeight="1">
      <c r="A387" s="95">
        <v>386</v>
      </c>
      <c r="B387" s="96" t="s">
        <v>1348</v>
      </c>
      <c r="C387" s="73" t="s">
        <v>2591</v>
      </c>
      <c r="D387" s="257" t="s">
        <v>122</v>
      </c>
      <c r="E387" s="459" t="s">
        <v>3377</v>
      </c>
      <c r="F387" s="258">
        <v>1993</v>
      </c>
      <c r="G387" s="89"/>
      <c r="H387" s="57"/>
      <c r="I387" s="88"/>
      <c r="J387" s="100">
        <v>0.27100000000000002</v>
      </c>
      <c r="K387" s="44">
        <v>4.0170000000000003</v>
      </c>
      <c r="L387" s="91"/>
      <c r="M387" s="65">
        <v>480</v>
      </c>
      <c r="N387" s="65"/>
      <c r="O387" s="106" t="s">
        <v>12</v>
      </c>
      <c r="P387" s="94"/>
      <c r="Q387" s="262"/>
      <c r="R387" s="94"/>
      <c r="S387" s="94"/>
      <c r="T387" s="506"/>
      <c r="U387" s="506"/>
      <c r="V387" s="131">
        <v>4.1669999999999998</v>
      </c>
      <c r="W387" s="132">
        <v>0</v>
      </c>
      <c r="X387" s="120">
        <v>0</v>
      </c>
      <c r="Y387" s="120">
        <v>0</v>
      </c>
      <c r="Z387" s="120">
        <v>0</v>
      </c>
      <c r="AA387" s="130"/>
      <c r="AB387" s="17">
        <v>0</v>
      </c>
      <c r="AC387" s="17">
        <v>0</v>
      </c>
      <c r="AD387" s="130"/>
      <c r="AE387" s="130"/>
      <c r="AF387" s="17">
        <v>0</v>
      </c>
      <c r="AG387" s="133">
        <v>2.7770000000000001</v>
      </c>
      <c r="AH387" s="17">
        <v>0</v>
      </c>
      <c r="AI387" s="133">
        <v>0</v>
      </c>
      <c r="AJ387" s="133">
        <v>0</v>
      </c>
      <c r="AK387" s="17">
        <v>0</v>
      </c>
      <c r="AL387" s="137">
        <v>0</v>
      </c>
      <c r="AM387" s="509">
        <v>89.1</v>
      </c>
      <c r="AN387" s="89"/>
      <c r="AO387" s="507"/>
      <c r="AP387" s="416">
        <v>53200</v>
      </c>
      <c r="AQ387" s="133" t="s">
        <v>123</v>
      </c>
      <c r="AR387" s="174">
        <v>50</v>
      </c>
      <c r="AS387" s="171"/>
      <c r="AT387" s="171" t="str">
        <f t="shared" si="33"/>
        <v>400</v>
      </c>
      <c r="AU387" s="255">
        <f t="shared" si="32"/>
        <v>22.222222222222221</v>
      </c>
      <c r="AV387" s="106">
        <v>100</v>
      </c>
      <c r="AW387" s="257">
        <v>29</v>
      </c>
      <c r="AX387" s="261"/>
      <c r="AY387" s="258">
        <v>20</v>
      </c>
      <c r="AZ387" s="261"/>
      <c r="BA387" s="175">
        <v>65</v>
      </c>
      <c r="BB387" s="259"/>
      <c r="BC387" s="176" t="s">
        <v>558</v>
      </c>
      <c r="BD387" s="177"/>
      <c r="BE387" s="177" t="s">
        <v>259</v>
      </c>
      <c r="BF387" s="178"/>
      <c r="BG387" s="27"/>
      <c r="BH387" s="27"/>
    </row>
    <row r="388" spans="1:60" ht="15" customHeight="1">
      <c r="A388" s="95">
        <v>387</v>
      </c>
      <c r="B388" s="96" t="s">
        <v>1347</v>
      </c>
      <c r="C388" s="73" t="s">
        <v>2591</v>
      </c>
      <c r="D388" s="257" t="s">
        <v>122</v>
      </c>
      <c r="E388" s="459" t="s">
        <v>3377</v>
      </c>
      <c r="F388" s="258">
        <v>1993</v>
      </c>
      <c r="G388" s="89"/>
      <c r="H388" s="57"/>
      <c r="I388" s="88"/>
      <c r="J388" s="100">
        <v>0.27100000000000002</v>
      </c>
      <c r="K388" s="44">
        <v>4.0170000000000003</v>
      </c>
      <c r="L388" s="91"/>
      <c r="M388" s="65">
        <v>480</v>
      </c>
      <c r="N388" s="65"/>
      <c r="O388" s="106" t="s">
        <v>12</v>
      </c>
      <c r="P388" s="94"/>
      <c r="Q388" s="262"/>
      <c r="R388" s="94"/>
      <c r="S388" s="94"/>
      <c r="T388" s="506"/>
      <c r="U388" s="506"/>
      <c r="V388" s="131">
        <v>4.1669999999999998</v>
      </c>
      <c r="W388" s="132">
        <v>0</v>
      </c>
      <c r="X388" s="120">
        <v>0</v>
      </c>
      <c r="Y388" s="120">
        <v>0</v>
      </c>
      <c r="Z388" s="120">
        <v>0</v>
      </c>
      <c r="AA388" s="130"/>
      <c r="AB388" s="17">
        <v>0</v>
      </c>
      <c r="AC388" s="17">
        <v>0</v>
      </c>
      <c r="AD388" s="130"/>
      <c r="AE388" s="130"/>
      <c r="AF388" s="17">
        <v>0</v>
      </c>
      <c r="AG388" s="133">
        <v>2.7770000000000001</v>
      </c>
      <c r="AH388" s="17">
        <v>0</v>
      </c>
      <c r="AI388" s="133">
        <v>0</v>
      </c>
      <c r="AJ388" s="133">
        <v>0</v>
      </c>
      <c r="AK388" s="17">
        <v>0</v>
      </c>
      <c r="AL388" s="137">
        <v>0</v>
      </c>
      <c r="AM388" s="509">
        <v>89.1</v>
      </c>
      <c r="AN388" s="89"/>
      <c r="AO388" s="507"/>
      <c r="AP388" s="416">
        <v>53200</v>
      </c>
      <c r="AQ388" s="133" t="s">
        <v>123</v>
      </c>
      <c r="AR388" s="174">
        <v>50</v>
      </c>
      <c r="AS388" s="171"/>
      <c r="AT388" s="171" t="str">
        <f t="shared" si="33"/>
        <v>400</v>
      </c>
      <c r="AU388" s="255">
        <f t="shared" si="32"/>
        <v>22.222222222222221</v>
      </c>
      <c r="AV388" s="106">
        <v>100</v>
      </c>
      <c r="AW388" s="257">
        <v>1</v>
      </c>
      <c r="AX388" s="261"/>
      <c r="AY388" s="258">
        <v>20</v>
      </c>
      <c r="AZ388" s="261"/>
      <c r="BA388" s="175">
        <v>65</v>
      </c>
      <c r="BB388" s="259"/>
      <c r="BC388" s="176"/>
      <c r="BD388" s="177"/>
      <c r="BE388" s="177" t="s">
        <v>259</v>
      </c>
      <c r="BF388" s="178"/>
      <c r="BG388" s="27"/>
      <c r="BH388" s="27"/>
    </row>
    <row r="389" spans="1:60">
      <c r="A389" s="95">
        <v>388</v>
      </c>
      <c r="B389" s="96" t="s">
        <v>1346</v>
      </c>
      <c r="C389" s="73" t="s">
        <v>2591</v>
      </c>
      <c r="D389" s="257" t="s">
        <v>122</v>
      </c>
      <c r="E389" s="459" t="s">
        <v>3377</v>
      </c>
      <c r="F389" s="258">
        <v>1993</v>
      </c>
      <c r="G389" s="89"/>
      <c r="H389" s="57"/>
      <c r="I389" s="173" t="s">
        <v>2304</v>
      </c>
      <c r="J389" s="100">
        <v>0.23899999999999999</v>
      </c>
      <c r="K389" s="44">
        <v>4.1859999999999999</v>
      </c>
      <c r="L389" s="91"/>
      <c r="M389" s="65">
        <v>460</v>
      </c>
      <c r="N389" s="65"/>
      <c r="O389" s="106" t="s">
        <v>12</v>
      </c>
      <c r="P389" s="94"/>
      <c r="Q389" s="262"/>
      <c r="R389" s="94"/>
      <c r="S389" s="94"/>
      <c r="T389" s="506"/>
      <c r="U389" s="506"/>
      <c r="V389" s="131">
        <v>8.6959999999999997</v>
      </c>
      <c r="W389" s="132">
        <v>0</v>
      </c>
      <c r="X389" s="120">
        <v>0</v>
      </c>
      <c r="Y389" s="120">
        <v>0</v>
      </c>
      <c r="Z389" s="120">
        <v>0</v>
      </c>
      <c r="AA389" s="130"/>
      <c r="AB389" s="17">
        <v>0</v>
      </c>
      <c r="AC389" s="17">
        <v>0</v>
      </c>
      <c r="AD389" s="130"/>
      <c r="AE389" s="130"/>
      <c r="AF389" s="17">
        <v>0</v>
      </c>
      <c r="AG389" s="133">
        <v>4.3479999999999999</v>
      </c>
      <c r="AH389" s="17">
        <v>0</v>
      </c>
      <c r="AI389" s="133">
        <v>0</v>
      </c>
      <c r="AJ389" s="133">
        <v>0</v>
      </c>
      <c r="AK389" s="17">
        <v>0</v>
      </c>
      <c r="AL389" s="137">
        <v>0</v>
      </c>
      <c r="AM389" s="509">
        <v>104.6</v>
      </c>
      <c r="AN389" s="89"/>
      <c r="AO389" s="507"/>
      <c r="AP389" s="416">
        <v>64500</v>
      </c>
      <c r="AQ389" s="133" t="s">
        <v>123</v>
      </c>
      <c r="AR389" s="174">
        <v>50</v>
      </c>
      <c r="AS389" s="171"/>
      <c r="AT389" s="171" t="str">
        <f t="shared" si="33"/>
        <v>400</v>
      </c>
      <c r="AU389" s="255">
        <f t="shared" si="32"/>
        <v>22.222222222222221</v>
      </c>
      <c r="AV389" s="106">
        <v>100</v>
      </c>
      <c r="AW389" s="257">
        <v>1</v>
      </c>
      <c r="AX389" s="261"/>
      <c r="AY389" s="258">
        <v>20</v>
      </c>
      <c r="AZ389" s="261"/>
      <c r="BA389" s="175">
        <v>99</v>
      </c>
      <c r="BB389" s="259"/>
      <c r="BC389" s="176" t="s">
        <v>558</v>
      </c>
      <c r="BD389" s="177"/>
      <c r="BE389" s="177" t="s">
        <v>259</v>
      </c>
      <c r="BF389" s="178"/>
      <c r="BG389" s="27"/>
      <c r="BH389" s="27"/>
    </row>
    <row r="390" spans="1:60">
      <c r="A390" s="95">
        <v>389</v>
      </c>
      <c r="B390" s="96" t="s">
        <v>1345</v>
      </c>
      <c r="C390" s="73" t="s">
        <v>2591</v>
      </c>
      <c r="D390" s="257" t="s">
        <v>122</v>
      </c>
      <c r="E390" s="459" t="s">
        <v>3377</v>
      </c>
      <c r="F390" s="258">
        <v>1993</v>
      </c>
      <c r="G390" s="89"/>
      <c r="H390" s="57"/>
      <c r="I390" s="173" t="s">
        <v>2304</v>
      </c>
      <c r="J390" s="100">
        <v>0.23899999999999999</v>
      </c>
      <c r="K390" s="44">
        <v>4.1749999999999998</v>
      </c>
      <c r="L390" s="91"/>
      <c r="M390" s="65">
        <v>460</v>
      </c>
      <c r="N390" s="65"/>
      <c r="O390" s="106" t="s">
        <v>12</v>
      </c>
      <c r="P390" s="94"/>
      <c r="Q390" s="262"/>
      <c r="R390" s="94"/>
      <c r="S390" s="94"/>
      <c r="T390" s="506"/>
      <c r="U390" s="506"/>
      <c r="V390" s="131">
        <v>8.6959999999999997</v>
      </c>
      <c r="W390" s="132">
        <v>0</v>
      </c>
      <c r="X390" s="120">
        <v>0</v>
      </c>
      <c r="Y390" s="120">
        <v>0</v>
      </c>
      <c r="Z390" s="120">
        <v>0</v>
      </c>
      <c r="AA390" s="130"/>
      <c r="AB390" s="17">
        <v>0</v>
      </c>
      <c r="AC390" s="17">
        <v>0</v>
      </c>
      <c r="AD390" s="130"/>
      <c r="AE390" s="130"/>
      <c r="AF390" s="17">
        <v>0</v>
      </c>
      <c r="AG390" s="133">
        <v>2.1739999999999999</v>
      </c>
      <c r="AH390" s="17">
        <v>0</v>
      </c>
      <c r="AI390" s="133">
        <v>0</v>
      </c>
      <c r="AJ390" s="133">
        <v>0</v>
      </c>
      <c r="AK390" s="17">
        <v>0</v>
      </c>
      <c r="AL390" s="137">
        <v>0</v>
      </c>
      <c r="AM390" s="509">
        <v>104.7</v>
      </c>
      <c r="AN390" s="89"/>
      <c r="AO390" s="507"/>
      <c r="AP390" s="262"/>
      <c r="AQ390" s="133" t="s">
        <v>123</v>
      </c>
      <c r="AR390" s="174">
        <v>50</v>
      </c>
      <c r="AS390" s="171"/>
      <c r="AT390" s="171" t="str">
        <f t="shared" si="33"/>
        <v>400</v>
      </c>
      <c r="AU390" s="255">
        <f t="shared" si="32"/>
        <v>22.222222222222221</v>
      </c>
      <c r="AV390" s="106">
        <v>100</v>
      </c>
      <c r="AW390" s="257">
        <v>7</v>
      </c>
      <c r="AX390" s="261"/>
      <c r="AY390" s="258">
        <v>20</v>
      </c>
      <c r="AZ390" s="261"/>
      <c r="BA390" s="175">
        <v>99</v>
      </c>
      <c r="BB390" s="259"/>
      <c r="BC390" s="176"/>
      <c r="BD390" s="177"/>
      <c r="BE390" s="177" t="s">
        <v>259</v>
      </c>
      <c r="BF390" s="178"/>
      <c r="BG390" s="27"/>
      <c r="BH390" s="27"/>
    </row>
    <row r="391" spans="1:60">
      <c r="A391" s="95">
        <v>390</v>
      </c>
      <c r="B391" s="96" t="s">
        <v>1344</v>
      </c>
      <c r="C391" s="73" t="s">
        <v>2591</v>
      </c>
      <c r="D391" s="257" t="s">
        <v>122</v>
      </c>
      <c r="E391" s="459" t="s">
        <v>3377</v>
      </c>
      <c r="F391" s="258">
        <v>1993</v>
      </c>
      <c r="G391" s="89"/>
      <c r="H391" s="57"/>
      <c r="I391" s="173" t="s">
        <v>2304</v>
      </c>
      <c r="J391" s="100">
        <v>0.3</v>
      </c>
      <c r="K391" s="44">
        <v>3.8450000000000002</v>
      </c>
      <c r="L391" s="91"/>
      <c r="M391" s="65">
        <v>500</v>
      </c>
      <c r="N391" s="65"/>
      <c r="O391" s="106" t="s">
        <v>120</v>
      </c>
      <c r="P391" s="94"/>
      <c r="Q391" s="262"/>
      <c r="R391" s="94"/>
      <c r="S391" s="94"/>
      <c r="T391" s="506"/>
      <c r="U391" s="506"/>
      <c r="V391" s="131">
        <v>0</v>
      </c>
      <c r="W391" s="132">
        <v>0</v>
      </c>
      <c r="X391" s="120">
        <v>0</v>
      </c>
      <c r="Y391" s="120">
        <v>0</v>
      </c>
      <c r="Z391" s="120">
        <v>0</v>
      </c>
      <c r="AA391" s="130"/>
      <c r="AB391" s="17">
        <v>0</v>
      </c>
      <c r="AC391" s="17">
        <v>0</v>
      </c>
      <c r="AD391" s="130"/>
      <c r="AE391" s="130"/>
      <c r="AF391" s="17">
        <v>0</v>
      </c>
      <c r="AG391" s="133">
        <v>4</v>
      </c>
      <c r="AH391" s="17">
        <v>0</v>
      </c>
      <c r="AI391" s="133">
        <v>0</v>
      </c>
      <c r="AJ391" s="133">
        <v>0</v>
      </c>
      <c r="AK391" s="17">
        <v>0</v>
      </c>
      <c r="AL391" s="137">
        <v>0</v>
      </c>
      <c r="AM391" s="509">
        <v>61.9</v>
      </c>
      <c r="AN391" s="89"/>
      <c r="AO391" s="507"/>
      <c r="AP391" s="416">
        <v>48800</v>
      </c>
      <c r="AQ391" s="133" t="s">
        <v>123</v>
      </c>
      <c r="AR391" s="174">
        <v>50</v>
      </c>
      <c r="AS391" s="171"/>
      <c r="AT391" s="171" t="str">
        <f t="shared" si="33"/>
        <v>400</v>
      </c>
      <c r="AU391" s="255">
        <f t="shared" si="32"/>
        <v>22.222222222222221</v>
      </c>
      <c r="AV391" s="106">
        <v>100</v>
      </c>
      <c r="AW391" s="257">
        <v>1</v>
      </c>
      <c r="AX391" s="261"/>
      <c r="AY391" s="258">
        <v>20</v>
      </c>
      <c r="AZ391" s="261"/>
      <c r="BA391" s="175">
        <v>99</v>
      </c>
      <c r="BB391" s="259"/>
      <c r="BC391" s="176" t="s">
        <v>558</v>
      </c>
      <c r="BD391" s="177"/>
      <c r="BE391" s="177" t="s">
        <v>259</v>
      </c>
      <c r="BF391" s="178"/>
      <c r="BG391" s="27"/>
      <c r="BH391" s="27"/>
    </row>
    <row r="392" spans="1:60">
      <c r="A392" s="95">
        <v>391</v>
      </c>
      <c r="B392" s="96" t="s">
        <v>1343</v>
      </c>
      <c r="C392" s="73" t="s">
        <v>2591</v>
      </c>
      <c r="D392" s="257" t="s">
        <v>122</v>
      </c>
      <c r="E392" s="459" t="s">
        <v>3377</v>
      </c>
      <c r="F392" s="258">
        <v>1993</v>
      </c>
      <c r="G392" s="89"/>
      <c r="H392" s="57"/>
      <c r="I392" s="173" t="s">
        <v>2304</v>
      </c>
      <c r="J392" s="100">
        <v>0.23899999999999999</v>
      </c>
      <c r="K392" s="44">
        <v>4.1559999999999997</v>
      </c>
      <c r="L392" s="91"/>
      <c r="M392" s="65">
        <v>460</v>
      </c>
      <c r="N392" s="65"/>
      <c r="O392" s="106" t="s">
        <v>120</v>
      </c>
      <c r="P392" s="94"/>
      <c r="Q392" s="262"/>
      <c r="R392" s="94"/>
      <c r="S392" s="94"/>
      <c r="T392" s="506"/>
      <c r="U392" s="506"/>
      <c r="V392" s="131">
        <v>8.6959999999999997</v>
      </c>
      <c r="W392" s="132">
        <v>0</v>
      </c>
      <c r="X392" s="120">
        <v>0</v>
      </c>
      <c r="Y392" s="120">
        <v>0</v>
      </c>
      <c r="Z392" s="120">
        <v>0</v>
      </c>
      <c r="AA392" s="130"/>
      <c r="AB392" s="17">
        <v>0</v>
      </c>
      <c r="AC392" s="17">
        <v>0</v>
      </c>
      <c r="AD392" s="130"/>
      <c r="AE392" s="130"/>
      <c r="AF392" s="17">
        <v>0</v>
      </c>
      <c r="AG392" s="133">
        <v>4.3479999999999999</v>
      </c>
      <c r="AH392" s="17">
        <v>0</v>
      </c>
      <c r="AI392" s="133">
        <v>0</v>
      </c>
      <c r="AJ392" s="133">
        <v>0</v>
      </c>
      <c r="AK392" s="17">
        <v>0</v>
      </c>
      <c r="AL392" s="137">
        <v>0</v>
      </c>
      <c r="AM392" s="509">
        <v>71.099999999999994</v>
      </c>
      <c r="AN392" s="89"/>
      <c r="AO392" s="507"/>
      <c r="AP392" s="416">
        <v>55200</v>
      </c>
      <c r="AQ392" s="133" t="s">
        <v>123</v>
      </c>
      <c r="AR392" s="174">
        <v>50</v>
      </c>
      <c r="AS392" s="171"/>
      <c r="AT392" s="171" t="str">
        <f t="shared" si="33"/>
        <v>400</v>
      </c>
      <c r="AU392" s="255">
        <f t="shared" si="32"/>
        <v>22.222222222222221</v>
      </c>
      <c r="AV392" s="106">
        <v>100</v>
      </c>
      <c r="AW392" s="257">
        <v>1</v>
      </c>
      <c r="AX392" s="261"/>
      <c r="AY392" s="258">
        <v>20</v>
      </c>
      <c r="AZ392" s="261"/>
      <c r="BA392" s="175">
        <v>99</v>
      </c>
      <c r="BB392" s="259"/>
      <c r="BC392" s="176" t="s">
        <v>558</v>
      </c>
      <c r="BD392" s="177"/>
      <c r="BE392" s="177" t="s">
        <v>259</v>
      </c>
      <c r="BF392" s="178"/>
      <c r="BG392" s="27"/>
      <c r="BH392" s="27"/>
    </row>
    <row r="393" spans="1:60">
      <c r="A393" s="95">
        <v>392</v>
      </c>
      <c r="B393" s="96" t="s">
        <v>1342</v>
      </c>
      <c r="C393" s="73" t="s">
        <v>2591</v>
      </c>
      <c r="D393" s="257" t="s">
        <v>122</v>
      </c>
      <c r="E393" s="459" t="s">
        <v>3377</v>
      </c>
      <c r="F393" s="258">
        <v>1993</v>
      </c>
      <c r="G393" s="89"/>
      <c r="H393" s="57"/>
      <c r="I393" s="173" t="s">
        <v>2304</v>
      </c>
      <c r="J393" s="100">
        <v>0.27100000000000002</v>
      </c>
      <c r="K393" s="44">
        <v>4.0170000000000003</v>
      </c>
      <c r="L393" s="91"/>
      <c r="M393" s="65">
        <v>480</v>
      </c>
      <c r="N393" s="65"/>
      <c r="O393" s="106" t="s">
        <v>12</v>
      </c>
      <c r="P393" s="94"/>
      <c r="Q393" s="262"/>
      <c r="R393" s="94"/>
      <c r="S393" s="94"/>
      <c r="T393" s="506"/>
      <c r="U393" s="506"/>
      <c r="V393" s="131">
        <v>4.1669999999999998</v>
      </c>
      <c r="W393" s="132">
        <v>0</v>
      </c>
      <c r="X393" s="120">
        <v>0</v>
      </c>
      <c r="Y393" s="120">
        <v>0</v>
      </c>
      <c r="Z393" s="120">
        <v>0</v>
      </c>
      <c r="AA393" s="130"/>
      <c r="AB393" s="17">
        <v>0</v>
      </c>
      <c r="AC393" s="17">
        <v>0</v>
      </c>
      <c r="AD393" s="130"/>
      <c r="AE393" s="130"/>
      <c r="AF393" s="17">
        <v>0</v>
      </c>
      <c r="AG393" s="133">
        <v>2.7770000000000001</v>
      </c>
      <c r="AH393" s="17">
        <v>0</v>
      </c>
      <c r="AI393" s="133">
        <v>0</v>
      </c>
      <c r="AJ393" s="133">
        <v>0</v>
      </c>
      <c r="AK393" s="17">
        <v>0</v>
      </c>
      <c r="AL393" s="137">
        <v>0</v>
      </c>
      <c r="AM393" s="509">
        <v>89.1</v>
      </c>
      <c r="AN393" s="89"/>
      <c r="AO393" s="507"/>
      <c r="AP393" s="416">
        <v>53200</v>
      </c>
      <c r="AQ393" s="133" t="s">
        <v>123</v>
      </c>
      <c r="AR393" s="174">
        <v>50</v>
      </c>
      <c r="AS393" s="171"/>
      <c r="AT393" s="171" t="str">
        <f t="shared" si="33"/>
        <v>400</v>
      </c>
      <c r="AU393" s="255">
        <f t="shared" si="32"/>
        <v>22.222222222222221</v>
      </c>
      <c r="AV393" s="106">
        <v>100</v>
      </c>
      <c r="AW393" s="257">
        <v>1</v>
      </c>
      <c r="AX393" s="261"/>
      <c r="AY393" s="258">
        <v>20</v>
      </c>
      <c r="AZ393" s="261"/>
      <c r="BA393" s="175">
        <v>99</v>
      </c>
      <c r="BB393" s="259"/>
      <c r="BC393" s="176" t="s">
        <v>558</v>
      </c>
      <c r="BD393" s="177"/>
      <c r="BE393" s="177" t="s">
        <v>259</v>
      </c>
      <c r="BF393" s="178"/>
      <c r="BG393" s="27"/>
      <c r="BH393" s="27"/>
    </row>
    <row r="394" spans="1:60">
      <c r="A394" s="95">
        <v>393</v>
      </c>
      <c r="B394" s="96" t="s">
        <v>1341</v>
      </c>
      <c r="C394" s="73" t="s">
        <v>2591</v>
      </c>
      <c r="D394" s="257" t="s">
        <v>122</v>
      </c>
      <c r="E394" s="459" t="s">
        <v>3377</v>
      </c>
      <c r="F394" s="258">
        <v>1993</v>
      </c>
      <c r="G394" s="89"/>
      <c r="H394" s="57"/>
      <c r="I394" s="173" t="s">
        <v>2304</v>
      </c>
      <c r="J394" s="100">
        <v>0.48</v>
      </c>
      <c r="K394" s="44">
        <v>3.7229999999999999</v>
      </c>
      <c r="L394" s="91"/>
      <c r="M394" s="65">
        <v>450</v>
      </c>
      <c r="N394" s="65"/>
      <c r="O394" s="106" t="s">
        <v>12</v>
      </c>
      <c r="P394" s="94"/>
      <c r="Q394" s="262"/>
      <c r="R394" s="94"/>
      <c r="S394" s="94"/>
      <c r="T394" s="506"/>
      <c r="U394" s="506"/>
      <c r="V394" s="131"/>
      <c r="W394" s="132"/>
      <c r="X394" s="120">
        <v>0</v>
      </c>
      <c r="Y394" s="120">
        <v>0</v>
      </c>
      <c r="Z394" s="120">
        <v>0</v>
      </c>
      <c r="AA394" s="130"/>
      <c r="AB394" s="17">
        <v>0</v>
      </c>
      <c r="AC394" s="17">
        <v>0</v>
      </c>
      <c r="AD394" s="130"/>
      <c r="AE394" s="130"/>
      <c r="AF394" s="17">
        <v>0</v>
      </c>
      <c r="AG394" s="17">
        <v>0</v>
      </c>
      <c r="AH394" s="17">
        <v>0</v>
      </c>
      <c r="AI394" s="17">
        <v>0</v>
      </c>
      <c r="AJ394" s="17">
        <v>0</v>
      </c>
      <c r="AK394" s="17">
        <v>0</v>
      </c>
      <c r="AL394" s="32">
        <v>0</v>
      </c>
      <c r="AM394" s="509">
        <v>48.7</v>
      </c>
      <c r="AN394" s="89"/>
      <c r="AO394" s="507"/>
      <c r="AP394" s="262"/>
      <c r="AQ394" s="133" t="s">
        <v>123</v>
      </c>
      <c r="AR394" s="174">
        <v>50</v>
      </c>
      <c r="AS394" s="171"/>
      <c r="AT394" s="171" t="str">
        <f t="shared" si="33"/>
        <v>400</v>
      </c>
      <c r="AU394" s="255">
        <f t="shared" si="32"/>
        <v>22.222222222222221</v>
      </c>
      <c r="AV394" s="106">
        <v>100</v>
      </c>
      <c r="AW394" s="257">
        <v>1</v>
      </c>
      <c r="AX394" s="261"/>
      <c r="AY394" s="258">
        <v>20</v>
      </c>
      <c r="AZ394" s="261"/>
      <c r="BA394" s="175">
        <v>99</v>
      </c>
      <c r="BB394" s="259"/>
      <c r="BC394" s="176" t="s">
        <v>558</v>
      </c>
      <c r="BD394" s="177" t="s">
        <v>259</v>
      </c>
      <c r="BE394" s="177" t="s">
        <v>259</v>
      </c>
      <c r="BF394" s="178"/>
      <c r="BG394" s="27"/>
      <c r="BH394" s="27"/>
    </row>
    <row r="395" spans="1:60" ht="15" customHeight="1">
      <c r="A395" s="95">
        <v>394</v>
      </c>
      <c r="B395" s="96" t="s">
        <v>1340</v>
      </c>
      <c r="C395" s="73" t="s">
        <v>2591</v>
      </c>
      <c r="D395" s="257" t="s">
        <v>122</v>
      </c>
      <c r="E395" s="459" t="s">
        <v>3377</v>
      </c>
      <c r="F395" s="258">
        <v>1993</v>
      </c>
      <c r="G395" s="89"/>
      <c r="H395" s="57"/>
      <c r="I395" s="88"/>
      <c r="J395" s="100">
        <v>0.48</v>
      </c>
      <c r="K395" s="44">
        <v>3.7229999999999999</v>
      </c>
      <c r="L395" s="91"/>
      <c r="M395" s="65">
        <v>450</v>
      </c>
      <c r="N395" s="65"/>
      <c r="O395" s="106" t="s">
        <v>12</v>
      </c>
      <c r="P395" s="94"/>
      <c r="Q395" s="262"/>
      <c r="R395" s="94"/>
      <c r="S395" s="94"/>
      <c r="T395" s="506"/>
      <c r="U395" s="506"/>
      <c r="V395" s="131"/>
      <c r="W395" s="132"/>
      <c r="X395" s="120">
        <v>0</v>
      </c>
      <c r="Y395" s="120">
        <v>0</v>
      </c>
      <c r="Z395" s="120">
        <v>0</v>
      </c>
      <c r="AA395" s="130"/>
      <c r="AB395" s="17">
        <v>0</v>
      </c>
      <c r="AC395" s="17">
        <v>0</v>
      </c>
      <c r="AD395" s="130"/>
      <c r="AE395" s="130"/>
      <c r="AF395" s="17">
        <v>0</v>
      </c>
      <c r="AG395" s="17">
        <v>0</v>
      </c>
      <c r="AH395" s="17">
        <v>0</v>
      </c>
      <c r="AI395" s="17">
        <v>0</v>
      </c>
      <c r="AJ395" s="17">
        <v>0</v>
      </c>
      <c r="AK395" s="17">
        <v>0</v>
      </c>
      <c r="AL395" s="32">
        <v>0</v>
      </c>
      <c r="AM395" s="509">
        <v>48.7</v>
      </c>
      <c r="AN395" s="89"/>
      <c r="AO395" s="507"/>
      <c r="AP395" s="262"/>
      <c r="AQ395" s="133" t="s">
        <v>123</v>
      </c>
      <c r="AR395" s="174">
        <v>50</v>
      </c>
      <c r="AS395" s="171"/>
      <c r="AT395" s="171" t="str">
        <f t="shared" si="33"/>
        <v>400</v>
      </c>
      <c r="AU395" s="255">
        <f t="shared" si="32"/>
        <v>22.222222222222221</v>
      </c>
      <c r="AV395" s="106">
        <v>100</v>
      </c>
      <c r="AW395" s="257">
        <v>1</v>
      </c>
      <c r="AX395" s="261"/>
      <c r="AY395" s="258">
        <v>20</v>
      </c>
      <c r="AZ395" s="261"/>
      <c r="BA395" s="175">
        <v>65</v>
      </c>
      <c r="BB395" s="259"/>
      <c r="BC395" s="176" t="s">
        <v>558</v>
      </c>
      <c r="BD395" s="177" t="s">
        <v>259</v>
      </c>
      <c r="BE395" s="177" t="s">
        <v>259</v>
      </c>
      <c r="BF395" s="178"/>
      <c r="BG395" s="27"/>
      <c r="BH395" s="27"/>
    </row>
    <row r="396" spans="1:60" ht="15" customHeight="1">
      <c r="A396" s="95">
        <v>395</v>
      </c>
      <c r="B396" s="96" t="s">
        <v>1339</v>
      </c>
      <c r="C396" s="73" t="s">
        <v>159</v>
      </c>
      <c r="D396" s="257" t="s">
        <v>116</v>
      </c>
      <c r="E396" s="459" t="s">
        <v>3377</v>
      </c>
      <c r="F396" s="258">
        <v>1993</v>
      </c>
      <c r="G396" s="171">
        <v>107</v>
      </c>
      <c r="H396" s="57"/>
      <c r="I396" s="173" t="s">
        <v>2565</v>
      </c>
      <c r="J396" s="508">
        <v>0.32300000000000001</v>
      </c>
      <c r="K396" s="44">
        <v>4.875</v>
      </c>
      <c r="L396" s="91"/>
      <c r="M396" s="65">
        <v>400</v>
      </c>
      <c r="N396" s="65"/>
      <c r="O396" s="106" t="s">
        <v>129</v>
      </c>
      <c r="P396" s="94"/>
      <c r="Q396" s="262"/>
      <c r="R396" s="94"/>
      <c r="S396" s="94"/>
      <c r="T396" s="65"/>
      <c r="U396" s="65"/>
      <c r="V396" s="131">
        <v>0</v>
      </c>
      <c r="W396" s="132">
        <v>0</v>
      </c>
      <c r="X396" s="120">
        <v>0</v>
      </c>
      <c r="Y396" s="120">
        <v>0</v>
      </c>
      <c r="Z396" s="120">
        <v>0</v>
      </c>
      <c r="AA396" s="130"/>
      <c r="AB396" s="17">
        <v>0</v>
      </c>
      <c r="AC396" s="17">
        <v>0</v>
      </c>
      <c r="AD396" s="130"/>
      <c r="AE396" s="130"/>
      <c r="AF396" s="17">
        <v>0</v>
      </c>
      <c r="AG396" s="133">
        <v>3</v>
      </c>
      <c r="AH396" s="17">
        <v>0</v>
      </c>
      <c r="AI396" s="133">
        <v>0</v>
      </c>
      <c r="AJ396" s="133">
        <v>0</v>
      </c>
      <c r="AK396" s="17">
        <v>0</v>
      </c>
      <c r="AL396" s="137">
        <v>0</v>
      </c>
      <c r="AM396" s="509">
        <v>80.5</v>
      </c>
      <c r="AN396" s="89"/>
      <c r="AO396" s="507"/>
      <c r="AP396" s="262"/>
      <c r="AQ396" s="133" t="s">
        <v>144</v>
      </c>
      <c r="AR396" s="188">
        <v>150</v>
      </c>
      <c r="AS396" s="171"/>
      <c r="AT396" s="171" t="str">
        <f t="shared" si="33"/>
        <v>600</v>
      </c>
      <c r="AU396" s="255">
        <f>IF(ISBLANK(AS396),(AR396*AT396)/((4*AT396)+(2*AR396)),AR396*AS396*AT396/2/(AR396*AS396+AR396*AT396+AS396*AT396))</f>
        <v>33.333333333333336</v>
      </c>
      <c r="AV396" s="275"/>
      <c r="AW396" s="257">
        <v>1</v>
      </c>
      <c r="AX396" s="261"/>
      <c r="AY396" s="258">
        <v>20</v>
      </c>
      <c r="AZ396" s="261"/>
      <c r="BA396" s="175">
        <v>60</v>
      </c>
      <c r="BB396" s="259"/>
      <c r="BC396" s="176" t="s">
        <v>558</v>
      </c>
      <c r="BD396" s="177"/>
      <c r="BE396" s="177" t="s">
        <v>259</v>
      </c>
      <c r="BF396" s="178"/>
      <c r="BG396" s="27"/>
      <c r="BH396" s="27"/>
    </row>
    <row r="397" spans="1:60" ht="17.25" customHeight="1">
      <c r="A397" s="95">
        <v>396</v>
      </c>
      <c r="B397" s="96" t="s">
        <v>1337</v>
      </c>
      <c r="C397" s="73" t="s">
        <v>160</v>
      </c>
      <c r="D397" s="257" t="s">
        <v>1338</v>
      </c>
      <c r="E397" s="459" t="s">
        <v>3377</v>
      </c>
      <c r="F397" s="258">
        <v>1994</v>
      </c>
      <c r="G397" s="171">
        <v>33</v>
      </c>
      <c r="H397" s="57"/>
      <c r="I397" s="88"/>
      <c r="J397" s="100">
        <v>0.28000000000000003</v>
      </c>
      <c r="K397" s="44">
        <v>3.331</v>
      </c>
      <c r="L397" s="91"/>
      <c r="M397" s="65">
        <v>505</v>
      </c>
      <c r="N397" s="65"/>
      <c r="O397" s="106" t="s">
        <v>12</v>
      </c>
      <c r="P397" s="94"/>
      <c r="Q397" s="262"/>
      <c r="R397" s="94"/>
      <c r="S397" s="94"/>
      <c r="T397" s="65"/>
      <c r="U397" s="65"/>
      <c r="V397" s="131">
        <v>11.089</v>
      </c>
      <c r="W397" s="132">
        <v>0</v>
      </c>
      <c r="X397" s="120">
        <v>0</v>
      </c>
      <c r="Y397" s="120">
        <v>0</v>
      </c>
      <c r="Z397" s="120">
        <v>0</v>
      </c>
      <c r="AA397" s="130"/>
      <c r="AB397" s="17">
        <v>0</v>
      </c>
      <c r="AC397" s="17">
        <v>0</v>
      </c>
      <c r="AD397" s="130"/>
      <c r="AE397" s="130"/>
      <c r="AF397" s="17">
        <v>0</v>
      </c>
      <c r="AG397" s="133">
        <v>1.663</v>
      </c>
      <c r="AH397" s="17">
        <v>0</v>
      </c>
      <c r="AI397" s="133">
        <v>0</v>
      </c>
      <c r="AJ397" s="133">
        <v>0</v>
      </c>
      <c r="AK397" s="17">
        <v>0</v>
      </c>
      <c r="AL397" s="137">
        <v>0</v>
      </c>
      <c r="AM397" s="509">
        <v>53.5</v>
      </c>
      <c r="AN397" s="89"/>
      <c r="AO397" s="507"/>
      <c r="AP397" s="262"/>
      <c r="AQ397" s="133" t="s">
        <v>275</v>
      </c>
      <c r="AR397" s="174">
        <v>50</v>
      </c>
      <c r="AS397" s="171"/>
      <c r="AT397" s="171" t="str">
        <f t="shared" si="33"/>
        <v>300</v>
      </c>
      <c r="AU397" s="255">
        <f>(AR397*AT397)/((2*AT397)+(2*AR397))</f>
        <v>21.428571428571427</v>
      </c>
      <c r="AV397" s="509">
        <v>98</v>
      </c>
      <c r="AW397" s="257">
        <v>28</v>
      </c>
      <c r="AX397" s="261"/>
      <c r="AY397" s="258">
        <v>23</v>
      </c>
      <c r="AZ397" s="261"/>
      <c r="BA397" s="175">
        <v>50</v>
      </c>
      <c r="BB397" s="259"/>
      <c r="BC397" s="176"/>
      <c r="BD397" s="177"/>
      <c r="BE397" s="177" t="s">
        <v>259</v>
      </c>
      <c r="BF397" s="178"/>
      <c r="BG397" s="27"/>
      <c r="BH397" s="27"/>
    </row>
    <row r="398" spans="1:60" ht="15" customHeight="1">
      <c r="A398" s="95">
        <v>397</v>
      </c>
      <c r="B398" s="96" t="s">
        <v>1336</v>
      </c>
      <c r="C398" s="73" t="s">
        <v>2592</v>
      </c>
      <c r="D398" s="257" t="s">
        <v>1322</v>
      </c>
      <c r="E398" s="459" t="s">
        <v>3377</v>
      </c>
      <c r="F398" s="258">
        <v>1994</v>
      </c>
      <c r="G398" s="171">
        <v>87</v>
      </c>
      <c r="H398" s="57"/>
      <c r="I398" s="88"/>
      <c r="J398" s="100">
        <v>0.3</v>
      </c>
      <c r="K398" s="44">
        <v>3.67</v>
      </c>
      <c r="L398" s="91"/>
      <c r="M398" s="65">
        <v>500</v>
      </c>
      <c r="N398" s="65"/>
      <c r="O398" s="106" t="s">
        <v>12</v>
      </c>
      <c r="P398" s="94"/>
      <c r="Q398" s="262"/>
      <c r="R398" s="94"/>
      <c r="S398" s="94"/>
      <c r="T398" s="65"/>
      <c r="U398" s="65"/>
      <c r="V398" s="131">
        <v>0</v>
      </c>
      <c r="W398" s="132">
        <v>0</v>
      </c>
      <c r="X398" s="120">
        <v>0</v>
      </c>
      <c r="Y398" s="120">
        <v>0</v>
      </c>
      <c r="Z398" s="120">
        <v>0</v>
      </c>
      <c r="AA398" s="130"/>
      <c r="AB398" s="17">
        <v>0</v>
      </c>
      <c r="AC398" s="17">
        <v>0</v>
      </c>
      <c r="AD398" s="130"/>
      <c r="AE398" s="130"/>
      <c r="AF398" s="17">
        <v>0</v>
      </c>
      <c r="AG398" s="133">
        <v>1</v>
      </c>
      <c r="AH398" s="17">
        <v>0</v>
      </c>
      <c r="AI398" s="133">
        <v>0</v>
      </c>
      <c r="AJ398" s="133">
        <v>0</v>
      </c>
      <c r="AK398" s="17">
        <v>0</v>
      </c>
      <c r="AL398" s="137">
        <v>0</v>
      </c>
      <c r="AM398" s="509">
        <v>75</v>
      </c>
      <c r="AN398" s="89"/>
      <c r="AO398" s="507"/>
      <c r="AP398" s="262"/>
      <c r="AQ398" s="133" t="s">
        <v>1320</v>
      </c>
      <c r="AR398" s="188">
        <v>75</v>
      </c>
      <c r="AS398" s="171"/>
      <c r="AT398" s="171" t="str">
        <f t="shared" si="33"/>
        <v>280</v>
      </c>
      <c r="AU398" s="255">
        <f t="shared" ref="AU398:AU445" si="34">IF(ISBLANK(AS398),(AR398*AT398)/((4*AT398)+(2*AR398)),AR398*AS398*AT398/2/(AR398*AS398+AR398*AT398+AS398*AT398))</f>
        <v>16.535433070866141</v>
      </c>
      <c r="AV398" s="509">
        <v>100</v>
      </c>
      <c r="AW398" s="257">
        <v>3</v>
      </c>
      <c r="AX398" s="261"/>
      <c r="AY398" s="258">
        <v>20</v>
      </c>
      <c r="AZ398" s="261"/>
      <c r="BA398" s="175">
        <v>65</v>
      </c>
      <c r="BB398" s="259"/>
      <c r="BC398" s="176"/>
      <c r="BD398" s="171"/>
      <c r="BE398" s="171" t="s">
        <v>259</v>
      </c>
      <c r="BF398" s="190"/>
      <c r="BG398" s="27"/>
      <c r="BH398" s="27"/>
    </row>
    <row r="399" spans="1:60" ht="15" customHeight="1">
      <c r="A399" s="95">
        <v>398</v>
      </c>
      <c r="B399" s="96" t="s">
        <v>1335</v>
      </c>
      <c r="C399" s="73" t="s">
        <v>2592</v>
      </c>
      <c r="D399" s="257" t="s">
        <v>1322</v>
      </c>
      <c r="E399" s="459" t="s">
        <v>3377</v>
      </c>
      <c r="F399" s="258">
        <v>1994</v>
      </c>
      <c r="G399" s="171">
        <v>87</v>
      </c>
      <c r="H399" s="57"/>
      <c r="I399" s="88"/>
      <c r="J399" s="100">
        <v>0.38</v>
      </c>
      <c r="K399" s="44">
        <v>3.8479999999999999</v>
      </c>
      <c r="L399" s="91"/>
      <c r="M399" s="65">
        <v>473.8</v>
      </c>
      <c r="N399" s="65"/>
      <c r="O399" s="106" t="s">
        <v>12</v>
      </c>
      <c r="P399" s="94"/>
      <c r="Q399" s="262"/>
      <c r="R399" s="94"/>
      <c r="S399" s="94"/>
      <c r="T399" s="65"/>
      <c r="U399" s="65"/>
      <c r="V399" s="131">
        <v>8.6959999999999997</v>
      </c>
      <c r="W399" s="132">
        <v>0</v>
      </c>
      <c r="X399" s="120">
        <v>0</v>
      </c>
      <c r="Y399" s="120">
        <v>0</v>
      </c>
      <c r="Z399" s="120">
        <v>0</v>
      </c>
      <c r="AA399" s="130"/>
      <c r="AB399" s="17">
        <v>0</v>
      </c>
      <c r="AC399" s="17">
        <v>0</v>
      </c>
      <c r="AD399" s="130"/>
      <c r="AE399" s="130"/>
      <c r="AF399" s="17">
        <v>0</v>
      </c>
      <c r="AG399" s="133">
        <v>1</v>
      </c>
      <c r="AH399" s="17">
        <v>0</v>
      </c>
      <c r="AI399" s="133">
        <v>0</v>
      </c>
      <c r="AJ399" s="133">
        <v>0</v>
      </c>
      <c r="AK399" s="17">
        <v>0</v>
      </c>
      <c r="AL399" s="137">
        <v>0</v>
      </c>
      <c r="AM399" s="509">
        <v>72.7</v>
      </c>
      <c r="AN399" s="89"/>
      <c r="AO399" s="507"/>
      <c r="AP399" s="262"/>
      <c r="AQ399" s="133" t="s">
        <v>1320</v>
      </c>
      <c r="AR399" s="188">
        <v>75</v>
      </c>
      <c r="AS399" s="171"/>
      <c r="AT399" s="171" t="str">
        <f t="shared" si="33"/>
        <v>280</v>
      </c>
      <c r="AU399" s="255">
        <f t="shared" si="34"/>
        <v>16.535433070866141</v>
      </c>
      <c r="AV399" s="509">
        <v>100</v>
      </c>
      <c r="AW399" s="257">
        <v>3</v>
      </c>
      <c r="AX399" s="261"/>
      <c r="AY399" s="258">
        <v>20</v>
      </c>
      <c r="AZ399" s="261"/>
      <c r="BA399" s="175">
        <v>65</v>
      </c>
      <c r="BB399" s="259"/>
      <c r="BC399" s="176"/>
      <c r="BD399" s="177"/>
      <c r="BE399" s="177" t="s">
        <v>259</v>
      </c>
      <c r="BF399" s="178"/>
      <c r="BG399" s="27"/>
      <c r="BH399" s="27"/>
    </row>
    <row r="400" spans="1:60" ht="15" customHeight="1">
      <c r="A400" s="95">
        <v>399</v>
      </c>
      <c r="B400" s="96" t="s">
        <v>1334</v>
      </c>
      <c r="C400" s="73" t="s">
        <v>2592</v>
      </c>
      <c r="D400" s="257" t="s">
        <v>1322</v>
      </c>
      <c r="E400" s="459" t="s">
        <v>3377</v>
      </c>
      <c r="F400" s="258">
        <v>1994</v>
      </c>
      <c r="G400" s="171">
        <v>87</v>
      </c>
      <c r="H400" s="57"/>
      <c r="I400" s="88"/>
      <c r="J400" s="100">
        <v>0.27100000000000002</v>
      </c>
      <c r="K400" s="44">
        <v>3.5529999999999999</v>
      </c>
      <c r="L400" s="91"/>
      <c r="M400" s="65">
        <v>510</v>
      </c>
      <c r="N400" s="65"/>
      <c r="O400" s="106" t="s">
        <v>12</v>
      </c>
      <c r="P400" s="94"/>
      <c r="Q400" s="262"/>
      <c r="R400" s="94"/>
      <c r="S400" s="94"/>
      <c r="T400" s="65"/>
      <c r="U400" s="65"/>
      <c r="V400" s="131">
        <v>17.646999999999998</v>
      </c>
      <c r="W400" s="132">
        <v>0</v>
      </c>
      <c r="X400" s="120">
        <v>0</v>
      </c>
      <c r="Y400" s="120">
        <v>0</v>
      </c>
      <c r="Z400" s="120">
        <v>0</v>
      </c>
      <c r="AA400" s="130"/>
      <c r="AB400" s="17">
        <v>0</v>
      </c>
      <c r="AC400" s="17">
        <v>0</v>
      </c>
      <c r="AD400" s="130"/>
      <c r="AE400" s="130"/>
      <c r="AF400" s="17">
        <v>0</v>
      </c>
      <c r="AG400" s="133">
        <v>1</v>
      </c>
      <c r="AH400" s="17">
        <v>0</v>
      </c>
      <c r="AI400" s="133">
        <v>0</v>
      </c>
      <c r="AJ400" s="133">
        <v>0</v>
      </c>
      <c r="AK400" s="17">
        <v>0</v>
      </c>
      <c r="AL400" s="137">
        <v>0</v>
      </c>
      <c r="AM400" s="509">
        <v>89.5</v>
      </c>
      <c r="AN400" s="89"/>
      <c r="AO400" s="507"/>
      <c r="AP400" s="262"/>
      <c r="AQ400" s="133" t="s">
        <v>1320</v>
      </c>
      <c r="AR400" s="188">
        <v>75</v>
      </c>
      <c r="AS400" s="171"/>
      <c r="AT400" s="171" t="str">
        <f t="shared" si="33"/>
        <v>280</v>
      </c>
      <c r="AU400" s="255">
        <f t="shared" si="34"/>
        <v>16.535433070866141</v>
      </c>
      <c r="AV400" s="509">
        <v>100</v>
      </c>
      <c r="AW400" s="257">
        <v>3</v>
      </c>
      <c r="AX400" s="261"/>
      <c r="AY400" s="258">
        <v>20</v>
      </c>
      <c r="AZ400" s="261"/>
      <c r="BA400" s="175">
        <v>65</v>
      </c>
      <c r="BB400" s="259"/>
      <c r="BC400" s="176"/>
      <c r="BD400" s="179"/>
      <c r="BE400" s="177" t="s">
        <v>259</v>
      </c>
      <c r="BF400" s="178"/>
      <c r="BG400" s="27"/>
      <c r="BH400" s="27"/>
    </row>
    <row r="401" spans="1:60" ht="15" customHeight="1">
      <c r="A401" s="95">
        <v>400</v>
      </c>
      <c r="B401" s="96" t="s">
        <v>1333</v>
      </c>
      <c r="C401" s="73" t="s">
        <v>2592</v>
      </c>
      <c r="D401" s="257" t="s">
        <v>1322</v>
      </c>
      <c r="E401" s="459" t="s">
        <v>3377</v>
      </c>
      <c r="F401" s="258">
        <v>1994</v>
      </c>
      <c r="G401" s="171">
        <v>87</v>
      </c>
      <c r="H401" s="57"/>
      <c r="I401" s="88"/>
      <c r="J401" s="508">
        <v>0.3</v>
      </c>
      <c r="K401" s="44">
        <v>3.67</v>
      </c>
      <c r="L401" s="91"/>
      <c r="M401" s="65">
        <v>500</v>
      </c>
      <c r="N401" s="65"/>
      <c r="O401" s="106" t="s">
        <v>12</v>
      </c>
      <c r="P401" s="94"/>
      <c r="Q401" s="262"/>
      <c r="R401" s="507"/>
      <c r="S401" s="94"/>
      <c r="T401" s="506"/>
      <c r="U401" s="506"/>
      <c r="V401" s="131">
        <v>0</v>
      </c>
      <c r="W401" s="132">
        <v>0</v>
      </c>
      <c r="X401" s="120">
        <v>0</v>
      </c>
      <c r="Y401" s="120">
        <v>0</v>
      </c>
      <c r="Z401" s="120">
        <v>0</v>
      </c>
      <c r="AA401" s="130"/>
      <c r="AB401" s="17">
        <v>0</v>
      </c>
      <c r="AC401" s="17">
        <v>0</v>
      </c>
      <c r="AD401" s="130"/>
      <c r="AE401" s="130"/>
      <c r="AF401" s="17">
        <v>0</v>
      </c>
      <c r="AG401" s="133">
        <v>1</v>
      </c>
      <c r="AH401" s="17">
        <v>0</v>
      </c>
      <c r="AI401" s="133">
        <v>0</v>
      </c>
      <c r="AJ401" s="133">
        <v>0</v>
      </c>
      <c r="AK401" s="17">
        <v>0</v>
      </c>
      <c r="AL401" s="137">
        <v>0</v>
      </c>
      <c r="AM401" s="509">
        <v>75</v>
      </c>
      <c r="AN401" s="89"/>
      <c r="AO401" s="507"/>
      <c r="AP401" s="262"/>
      <c r="AQ401" s="133" t="s">
        <v>1320</v>
      </c>
      <c r="AR401" s="188">
        <v>75</v>
      </c>
      <c r="AS401" s="171"/>
      <c r="AT401" s="171" t="str">
        <f t="shared" si="33"/>
        <v>280</v>
      </c>
      <c r="AU401" s="255">
        <f t="shared" si="34"/>
        <v>16.535433070866141</v>
      </c>
      <c r="AV401" s="509">
        <v>100</v>
      </c>
      <c r="AW401" s="257">
        <v>460</v>
      </c>
      <c r="AX401" s="261"/>
      <c r="AY401" s="258">
        <v>20</v>
      </c>
      <c r="AZ401" s="261"/>
      <c r="BA401" s="175">
        <v>65</v>
      </c>
      <c r="BB401" s="259"/>
      <c r="BC401" s="176"/>
      <c r="BD401" s="179"/>
      <c r="BE401" s="177" t="s">
        <v>259</v>
      </c>
      <c r="BF401" s="178"/>
      <c r="BG401" s="27"/>
      <c r="BH401" s="27"/>
    </row>
    <row r="402" spans="1:60" ht="15" customHeight="1">
      <c r="A402" s="95">
        <v>401</v>
      </c>
      <c r="B402" s="96" t="s">
        <v>1332</v>
      </c>
      <c r="C402" s="73" t="s">
        <v>2592</v>
      </c>
      <c r="D402" s="257" t="s">
        <v>1322</v>
      </c>
      <c r="E402" s="459" t="s">
        <v>3377</v>
      </c>
      <c r="F402" s="258">
        <v>1994</v>
      </c>
      <c r="G402" s="171">
        <v>87</v>
      </c>
      <c r="H402" s="57"/>
      <c r="I402" s="88"/>
      <c r="J402" s="508">
        <v>0.38</v>
      </c>
      <c r="K402" s="44">
        <v>3.8479999999999999</v>
      </c>
      <c r="L402" s="91"/>
      <c r="M402" s="65">
        <v>473.8</v>
      </c>
      <c r="N402" s="65"/>
      <c r="O402" s="106" t="s">
        <v>12</v>
      </c>
      <c r="P402" s="94"/>
      <c r="Q402" s="262"/>
      <c r="R402" s="507"/>
      <c r="S402" s="94"/>
      <c r="T402" s="506"/>
      <c r="U402" s="506"/>
      <c r="V402" s="131">
        <v>8.6959999999999997</v>
      </c>
      <c r="W402" s="132">
        <v>0</v>
      </c>
      <c r="X402" s="120">
        <v>0</v>
      </c>
      <c r="Y402" s="120">
        <v>0</v>
      </c>
      <c r="Z402" s="120">
        <v>0</v>
      </c>
      <c r="AA402" s="130"/>
      <c r="AB402" s="17">
        <v>0</v>
      </c>
      <c r="AC402" s="17">
        <v>0</v>
      </c>
      <c r="AD402" s="130"/>
      <c r="AE402" s="130"/>
      <c r="AF402" s="17">
        <v>0</v>
      </c>
      <c r="AG402" s="133">
        <v>1</v>
      </c>
      <c r="AH402" s="17">
        <v>0</v>
      </c>
      <c r="AI402" s="133">
        <v>0</v>
      </c>
      <c r="AJ402" s="133">
        <v>0</v>
      </c>
      <c r="AK402" s="17">
        <v>0</v>
      </c>
      <c r="AL402" s="137">
        <v>0</v>
      </c>
      <c r="AM402" s="509">
        <v>72.7</v>
      </c>
      <c r="AN402" s="89"/>
      <c r="AO402" s="507"/>
      <c r="AP402" s="262"/>
      <c r="AQ402" s="133" t="s">
        <v>1320</v>
      </c>
      <c r="AR402" s="188">
        <v>75</v>
      </c>
      <c r="AS402" s="171"/>
      <c r="AT402" s="171" t="str">
        <f t="shared" si="33"/>
        <v>280</v>
      </c>
      <c r="AU402" s="255">
        <f t="shared" si="34"/>
        <v>16.535433070866141</v>
      </c>
      <c r="AV402" s="509">
        <v>100</v>
      </c>
      <c r="AW402" s="257">
        <v>460</v>
      </c>
      <c r="AX402" s="261"/>
      <c r="AY402" s="258">
        <v>20</v>
      </c>
      <c r="AZ402" s="261"/>
      <c r="BA402" s="175">
        <v>65</v>
      </c>
      <c r="BB402" s="259"/>
      <c r="BC402" s="176"/>
      <c r="BD402" s="179"/>
      <c r="BE402" s="177" t="s">
        <v>259</v>
      </c>
      <c r="BF402" s="178"/>
      <c r="BG402" s="27"/>
      <c r="BH402" s="27"/>
    </row>
    <row r="403" spans="1:60" ht="15" customHeight="1">
      <c r="A403" s="95">
        <v>402</v>
      </c>
      <c r="B403" s="96" t="s">
        <v>1331</v>
      </c>
      <c r="C403" s="73" t="s">
        <v>2592</v>
      </c>
      <c r="D403" s="257" t="s">
        <v>1322</v>
      </c>
      <c r="E403" s="459" t="s">
        <v>3377</v>
      </c>
      <c r="F403" s="258">
        <v>1994</v>
      </c>
      <c r="G403" s="171">
        <v>87</v>
      </c>
      <c r="H403" s="57"/>
      <c r="I403" s="88"/>
      <c r="J403" s="508">
        <v>0.27100000000000002</v>
      </c>
      <c r="K403" s="44">
        <v>3.5529999999999999</v>
      </c>
      <c r="L403" s="91"/>
      <c r="M403" s="65">
        <v>510</v>
      </c>
      <c r="N403" s="65"/>
      <c r="O403" s="106" t="s">
        <v>12</v>
      </c>
      <c r="P403" s="94"/>
      <c r="Q403" s="262"/>
      <c r="R403" s="507"/>
      <c r="S403" s="94"/>
      <c r="T403" s="506"/>
      <c r="U403" s="506"/>
      <c r="V403" s="131">
        <v>17.646999999999998</v>
      </c>
      <c r="W403" s="132">
        <v>0</v>
      </c>
      <c r="X403" s="120">
        <v>0</v>
      </c>
      <c r="Y403" s="120">
        <v>0</v>
      </c>
      <c r="Z403" s="120">
        <v>0</v>
      </c>
      <c r="AA403" s="130"/>
      <c r="AB403" s="17">
        <v>0</v>
      </c>
      <c r="AC403" s="17">
        <v>0</v>
      </c>
      <c r="AD403" s="130"/>
      <c r="AE403" s="130"/>
      <c r="AF403" s="17">
        <v>0</v>
      </c>
      <c r="AG403" s="133">
        <v>1</v>
      </c>
      <c r="AH403" s="17">
        <v>0</v>
      </c>
      <c r="AI403" s="133">
        <v>0</v>
      </c>
      <c r="AJ403" s="133">
        <v>0</v>
      </c>
      <c r="AK403" s="17">
        <v>0</v>
      </c>
      <c r="AL403" s="137">
        <v>0</v>
      </c>
      <c r="AM403" s="509">
        <v>89.5</v>
      </c>
      <c r="AN403" s="89"/>
      <c r="AO403" s="507"/>
      <c r="AP403" s="262"/>
      <c r="AQ403" s="133" t="s">
        <v>1320</v>
      </c>
      <c r="AR403" s="188">
        <v>75</v>
      </c>
      <c r="AS403" s="171"/>
      <c r="AT403" s="171" t="str">
        <f t="shared" si="33"/>
        <v>280</v>
      </c>
      <c r="AU403" s="255">
        <f t="shared" si="34"/>
        <v>16.535433070866141</v>
      </c>
      <c r="AV403" s="509">
        <v>100</v>
      </c>
      <c r="AW403" s="257">
        <v>460</v>
      </c>
      <c r="AX403" s="261"/>
      <c r="AY403" s="258">
        <v>20</v>
      </c>
      <c r="AZ403" s="261"/>
      <c r="BA403" s="175">
        <v>65</v>
      </c>
      <c r="BB403" s="259"/>
      <c r="BC403" s="176"/>
      <c r="BD403" s="179"/>
      <c r="BE403" s="177" t="s">
        <v>259</v>
      </c>
      <c r="BF403" s="178"/>
      <c r="BG403" s="27"/>
      <c r="BH403" s="27"/>
    </row>
    <row r="404" spans="1:60" ht="15" customHeight="1">
      <c r="A404" s="95">
        <v>403</v>
      </c>
      <c r="B404" s="96" t="s">
        <v>1330</v>
      </c>
      <c r="C404" s="73" t="s">
        <v>2592</v>
      </c>
      <c r="D404" s="257" t="s">
        <v>1322</v>
      </c>
      <c r="E404" s="459" t="s">
        <v>3377</v>
      </c>
      <c r="F404" s="258">
        <v>1994</v>
      </c>
      <c r="G404" s="171">
        <v>87</v>
      </c>
      <c r="H404" s="57"/>
      <c r="I404" s="88"/>
      <c r="J404" s="508">
        <v>0.311</v>
      </c>
      <c r="K404" s="44">
        <v>3.8780000000000001</v>
      </c>
      <c r="L404" s="91"/>
      <c r="M404" s="65">
        <v>477</v>
      </c>
      <c r="N404" s="65"/>
      <c r="O404" s="106" t="s">
        <v>12</v>
      </c>
      <c r="P404" s="94"/>
      <c r="Q404" s="262"/>
      <c r="R404" s="507"/>
      <c r="S404" s="94"/>
      <c r="T404" s="506"/>
      <c r="U404" s="506"/>
      <c r="V404" s="131">
        <v>5.556</v>
      </c>
      <c r="W404" s="132">
        <v>5.556</v>
      </c>
      <c r="X404" s="120">
        <v>0</v>
      </c>
      <c r="Y404" s="120">
        <v>0</v>
      </c>
      <c r="Z404" s="120">
        <v>0</v>
      </c>
      <c r="AA404" s="130"/>
      <c r="AB404" s="17">
        <v>0</v>
      </c>
      <c r="AC404" s="17">
        <v>0</v>
      </c>
      <c r="AD404" s="130"/>
      <c r="AE404" s="130"/>
      <c r="AF404" s="17">
        <v>0</v>
      </c>
      <c r="AG404" s="133">
        <v>1</v>
      </c>
      <c r="AH404" s="17">
        <v>0</v>
      </c>
      <c r="AI404" s="133">
        <v>0</v>
      </c>
      <c r="AJ404" s="133">
        <v>0</v>
      </c>
      <c r="AK404" s="17">
        <v>0</v>
      </c>
      <c r="AL404" s="137">
        <v>0</v>
      </c>
      <c r="AM404" s="509">
        <v>85.6</v>
      </c>
      <c r="AN404" s="89"/>
      <c r="AO404" s="507"/>
      <c r="AP404" s="262"/>
      <c r="AQ404" s="133" t="s">
        <v>1320</v>
      </c>
      <c r="AR404" s="188">
        <v>75</v>
      </c>
      <c r="AS404" s="171"/>
      <c r="AT404" s="171" t="str">
        <f t="shared" si="33"/>
        <v>280</v>
      </c>
      <c r="AU404" s="255">
        <f t="shared" si="34"/>
        <v>16.535433070866141</v>
      </c>
      <c r="AV404" s="509">
        <v>100</v>
      </c>
      <c r="AW404" s="257">
        <v>3</v>
      </c>
      <c r="AX404" s="261"/>
      <c r="AY404" s="258">
        <v>20</v>
      </c>
      <c r="AZ404" s="261"/>
      <c r="BA404" s="175">
        <v>65</v>
      </c>
      <c r="BB404" s="259"/>
      <c r="BC404" s="176"/>
      <c r="BD404" s="179"/>
      <c r="BE404" s="177" t="s">
        <v>259</v>
      </c>
      <c r="BF404" s="178"/>
      <c r="BG404" s="27"/>
      <c r="BH404" s="27"/>
    </row>
    <row r="405" spans="1:60" ht="15" customHeight="1">
      <c r="A405" s="95">
        <v>404</v>
      </c>
      <c r="B405" s="96" t="s">
        <v>1329</v>
      </c>
      <c r="C405" s="73" t="s">
        <v>2592</v>
      </c>
      <c r="D405" s="257" t="s">
        <v>1322</v>
      </c>
      <c r="E405" s="459" t="s">
        <v>3377</v>
      </c>
      <c r="F405" s="258">
        <v>1994</v>
      </c>
      <c r="G405" s="171">
        <v>87</v>
      </c>
      <c r="H405" s="57"/>
      <c r="I405" s="88"/>
      <c r="J405" s="508">
        <v>0.3</v>
      </c>
      <c r="K405" s="44">
        <v>3.67</v>
      </c>
      <c r="L405" s="91"/>
      <c r="M405" s="65">
        <v>500</v>
      </c>
      <c r="N405" s="65"/>
      <c r="O405" s="106" t="s">
        <v>120</v>
      </c>
      <c r="P405" s="94"/>
      <c r="Q405" s="262"/>
      <c r="R405" s="507"/>
      <c r="S405" s="94"/>
      <c r="T405" s="506"/>
      <c r="U405" s="506"/>
      <c r="V405" s="131">
        <v>0</v>
      </c>
      <c r="W405" s="132">
        <v>0</v>
      </c>
      <c r="X405" s="120">
        <v>0</v>
      </c>
      <c r="Y405" s="120">
        <v>0</v>
      </c>
      <c r="Z405" s="120">
        <v>0</v>
      </c>
      <c r="AA405" s="130"/>
      <c r="AB405" s="17">
        <v>0</v>
      </c>
      <c r="AC405" s="17">
        <v>0</v>
      </c>
      <c r="AD405" s="130"/>
      <c r="AE405" s="130"/>
      <c r="AF405" s="17">
        <v>0</v>
      </c>
      <c r="AG405" s="133">
        <v>1</v>
      </c>
      <c r="AH405" s="17">
        <v>0</v>
      </c>
      <c r="AI405" s="133">
        <v>0</v>
      </c>
      <c r="AJ405" s="133">
        <v>0</v>
      </c>
      <c r="AK405" s="17">
        <v>0</v>
      </c>
      <c r="AL405" s="137">
        <v>0</v>
      </c>
      <c r="AM405" s="509">
        <v>67.8</v>
      </c>
      <c r="AN405" s="89"/>
      <c r="AO405" s="507"/>
      <c r="AP405" s="262"/>
      <c r="AQ405" s="133" t="s">
        <v>1320</v>
      </c>
      <c r="AR405" s="188">
        <v>75</v>
      </c>
      <c r="AS405" s="171"/>
      <c r="AT405" s="171" t="str">
        <f t="shared" si="33"/>
        <v>280</v>
      </c>
      <c r="AU405" s="255">
        <f t="shared" si="34"/>
        <v>16.535433070866141</v>
      </c>
      <c r="AV405" s="509">
        <v>100</v>
      </c>
      <c r="AW405" s="257">
        <v>3</v>
      </c>
      <c r="AX405" s="261"/>
      <c r="AY405" s="258">
        <v>20</v>
      </c>
      <c r="AZ405" s="261"/>
      <c r="BA405" s="175">
        <v>65</v>
      </c>
      <c r="BB405" s="259"/>
      <c r="BC405" s="176"/>
      <c r="BD405" s="179"/>
      <c r="BE405" s="177" t="s">
        <v>259</v>
      </c>
      <c r="BF405" s="178"/>
      <c r="BG405" s="27"/>
      <c r="BH405" s="27"/>
    </row>
    <row r="406" spans="1:60" ht="15" customHeight="1">
      <c r="A406" s="95">
        <v>405</v>
      </c>
      <c r="B406" s="96" t="s">
        <v>1328</v>
      </c>
      <c r="C406" s="73" t="s">
        <v>2592</v>
      </c>
      <c r="D406" s="257" t="s">
        <v>1322</v>
      </c>
      <c r="E406" s="459" t="s">
        <v>3377</v>
      </c>
      <c r="F406" s="258">
        <v>1994</v>
      </c>
      <c r="G406" s="171">
        <v>87</v>
      </c>
      <c r="H406" s="57"/>
      <c r="I406" s="88"/>
      <c r="J406" s="508">
        <v>0.311</v>
      </c>
      <c r="K406" s="44">
        <v>3.8780000000000001</v>
      </c>
      <c r="L406" s="91"/>
      <c r="M406" s="65">
        <v>477</v>
      </c>
      <c r="N406" s="65"/>
      <c r="O406" s="106" t="s">
        <v>12</v>
      </c>
      <c r="P406" s="94"/>
      <c r="Q406" s="262"/>
      <c r="R406" s="507"/>
      <c r="S406" s="94"/>
      <c r="T406" s="506"/>
      <c r="U406" s="506"/>
      <c r="V406" s="131">
        <v>5.556</v>
      </c>
      <c r="W406" s="132">
        <v>5.556</v>
      </c>
      <c r="X406" s="120">
        <v>0</v>
      </c>
      <c r="Y406" s="120">
        <v>0</v>
      </c>
      <c r="Z406" s="120">
        <v>0</v>
      </c>
      <c r="AA406" s="130"/>
      <c r="AB406" s="17">
        <v>0</v>
      </c>
      <c r="AC406" s="17">
        <v>0</v>
      </c>
      <c r="AD406" s="130"/>
      <c r="AE406" s="130"/>
      <c r="AF406" s="17">
        <v>0</v>
      </c>
      <c r="AG406" s="133">
        <v>1</v>
      </c>
      <c r="AH406" s="17">
        <v>0</v>
      </c>
      <c r="AI406" s="133">
        <v>0</v>
      </c>
      <c r="AJ406" s="133">
        <v>0</v>
      </c>
      <c r="AK406" s="17">
        <v>0</v>
      </c>
      <c r="AL406" s="137">
        <v>0</v>
      </c>
      <c r="AM406" s="509">
        <v>85.6</v>
      </c>
      <c r="AN406" s="89"/>
      <c r="AO406" s="507"/>
      <c r="AP406" s="262"/>
      <c r="AQ406" s="133" t="s">
        <v>1320</v>
      </c>
      <c r="AR406" s="188">
        <v>75</v>
      </c>
      <c r="AS406" s="171"/>
      <c r="AT406" s="171" t="str">
        <f t="shared" si="33"/>
        <v>280</v>
      </c>
      <c r="AU406" s="255">
        <f t="shared" si="34"/>
        <v>16.535433070866141</v>
      </c>
      <c r="AV406" s="509">
        <v>100</v>
      </c>
      <c r="AW406" s="257">
        <v>460</v>
      </c>
      <c r="AX406" s="261"/>
      <c r="AY406" s="258">
        <v>20</v>
      </c>
      <c r="AZ406" s="261"/>
      <c r="BA406" s="175">
        <v>65</v>
      </c>
      <c r="BB406" s="259"/>
      <c r="BC406" s="176"/>
      <c r="BD406" s="179"/>
      <c r="BE406" s="177" t="s">
        <v>259</v>
      </c>
      <c r="BF406" s="178"/>
      <c r="BG406" s="27"/>
      <c r="BH406" s="27"/>
    </row>
    <row r="407" spans="1:60" ht="15" customHeight="1">
      <c r="A407" s="95">
        <v>406</v>
      </c>
      <c r="B407" s="96" t="s">
        <v>1327</v>
      </c>
      <c r="C407" s="73" t="s">
        <v>2592</v>
      </c>
      <c r="D407" s="257" t="s">
        <v>1322</v>
      </c>
      <c r="E407" s="459" t="s">
        <v>3377</v>
      </c>
      <c r="F407" s="258">
        <v>1994</v>
      </c>
      <c r="G407" s="171">
        <v>87</v>
      </c>
      <c r="H407" s="57"/>
      <c r="I407" s="88"/>
      <c r="J407" s="508">
        <v>0.3</v>
      </c>
      <c r="K407" s="44">
        <v>3.67</v>
      </c>
      <c r="L407" s="91"/>
      <c r="M407" s="65">
        <v>500</v>
      </c>
      <c r="N407" s="65"/>
      <c r="O407" s="106" t="s">
        <v>120</v>
      </c>
      <c r="P407" s="94"/>
      <c r="Q407" s="262"/>
      <c r="R407" s="507"/>
      <c r="S407" s="94"/>
      <c r="T407" s="506"/>
      <c r="U407" s="506"/>
      <c r="V407" s="131">
        <v>0</v>
      </c>
      <c r="W407" s="132">
        <v>0</v>
      </c>
      <c r="X407" s="120">
        <v>0</v>
      </c>
      <c r="Y407" s="120">
        <v>0</v>
      </c>
      <c r="Z407" s="120">
        <v>0</v>
      </c>
      <c r="AA407" s="130"/>
      <c r="AB407" s="17">
        <v>0</v>
      </c>
      <c r="AC407" s="17">
        <v>0</v>
      </c>
      <c r="AD407" s="130"/>
      <c r="AE407" s="130"/>
      <c r="AF407" s="17">
        <v>0</v>
      </c>
      <c r="AG407" s="133">
        <v>1</v>
      </c>
      <c r="AH407" s="17">
        <v>0</v>
      </c>
      <c r="AI407" s="133">
        <v>0</v>
      </c>
      <c r="AJ407" s="133">
        <v>0</v>
      </c>
      <c r="AK407" s="17">
        <v>0</v>
      </c>
      <c r="AL407" s="137">
        <v>0</v>
      </c>
      <c r="AM407" s="509">
        <v>67.8</v>
      </c>
      <c r="AN407" s="89"/>
      <c r="AO407" s="507"/>
      <c r="AP407" s="262"/>
      <c r="AQ407" s="133" t="s">
        <v>1320</v>
      </c>
      <c r="AR407" s="188">
        <v>75</v>
      </c>
      <c r="AS407" s="171"/>
      <c r="AT407" s="171" t="str">
        <f t="shared" si="33"/>
        <v>280</v>
      </c>
      <c r="AU407" s="255">
        <f t="shared" si="34"/>
        <v>16.535433070866141</v>
      </c>
      <c r="AV407" s="509">
        <v>100</v>
      </c>
      <c r="AW407" s="257">
        <v>460</v>
      </c>
      <c r="AX407" s="261"/>
      <c r="AY407" s="258">
        <v>20</v>
      </c>
      <c r="AZ407" s="261"/>
      <c r="BA407" s="175">
        <v>65</v>
      </c>
      <c r="BB407" s="259"/>
      <c r="BC407" s="176"/>
      <c r="BD407" s="179"/>
      <c r="BE407" s="177" t="s">
        <v>259</v>
      </c>
      <c r="BF407" s="178"/>
      <c r="BG407" s="27"/>
      <c r="BH407" s="27"/>
    </row>
    <row r="408" spans="1:60" ht="15" customHeight="1">
      <c r="A408" s="95">
        <v>407</v>
      </c>
      <c r="B408" s="96" t="s">
        <v>1326</v>
      </c>
      <c r="C408" s="73" t="s">
        <v>2592</v>
      </c>
      <c r="D408" s="257" t="s">
        <v>1322</v>
      </c>
      <c r="E408" s="459" t="s">
        <v>3377</v>
      </c>
      <c r="F408" s="258">
        <v>1994</v>
      </c>
      <c r="G408" s="171">
        <v>87</v>
      </c>
      <c r="H408" s="57"/>
      <c r="I408" s="88"/>
      <c r="J408" s="508">
        <v>0.3</v>
      </c>
      <c r="K408" s="44">
        <v>3.67</v>
      </c>
      <c r="L408" s="91"/>
      <c r="M408" s="65">
        <v>500</v>
      </c>
      <c r="N408" s="65"/>
      <c r="O408" s="106" t="s">
        <v>12</v>
      </c>
      <c r="P408" s="94"/>
      <c r="Q408" s="262"/>
      <c r="R408" s="507"/>
      <c r="S408" s="94"/>
      <c r="T408" s="506"/>
      <c r="U408" s="506"/>
      <c r="V408" s="131">
        <v>0</v>
      </c>
      <c r="W408" s="132">
        <v>0</v>
      </c>
      <c r="X408" s="120">
        <v>0</v>
      </c>
      <c r="Y408" s="120">
        <v>0</v>
      </c>
      <c r="Z408" s="120">
        <v>0</v>
      </c>
      <c r="AA408" s="130"/>
      <c r="AB408" s="17">
        <v>0</v>
      </c>
      <c r="AC408" s="17">
        <v>0</v>
      </c>
      <c r="AD408" s="130"/>
      <c r="AE408" s="130"/>
      <c r="AF408" s="17">
        <v>0</v>
      </c>
      <c r="AG408" s="133">
        <v>1</v>
      </c>
      <c r="AH408" s="17">
        <v>0</v>
      </c>
      <c r="AI408" s="133">
        <v>0</v>
      </c>
      <c r="AJ408" s="133">
        <v>0</v>
      </c>
      <c r="AK408" s="17">
        <v>0</v>
      </c>
      <c r="AL408" s="137">
        <v>0</v>
      </c>
      <c r="AM408" s="509">
        <v>75</v>
      </c>
      <c r="AN408" s="89"/>
      <c r="AO408" s="507"/>
      <c r="AP408" s="262"/>
      <c r="AQ408" s="133" t="s">
        <v>1320</v>
      </c>
      <c r="AR408" s="188">
        <v>75</v>
      </c>
      <c r="AS408" s="171"/>
      <c r="AT408" s="171" t="str">
        <f t="shared" si="33"/>
        <v>280</v>
      </c>
      <c r="AU408" s="255">
        <f t="shared" si="34"/>
        <v>16.535433070866141</v>
      </c>
      <c r="AV408" s="509">
        <v>65</v>
      </c>
      <c r="AW408" s="257">
        <v>460</v>
      </c>
      <c r="AX408" s="261"/>
      <c r="AY408" s="258">
        <v>20</v>
      </c>
      <c r="AZ408" s="261"/>
      <c r="BA408" s="175">
        <v>100</v>
      </c>
      <c r="BB408" s="259"/>
      <c r="BC408" s="176"/>
      <c r="BD408" s="179"/>
      <c r="BE408" s="177" t="s">
        <v>259</v>
      </c>
      <c r="BF408" s="178"/>
      <c r="BG408" s="27"/>
      <c r="BH408" s="27"/>
    </row>
    <row r="409" spans="1:60" ht="15" customHeight="1">
      <c r="A409" s="95">
        <v>408</v>
      </c>
      <c r="B409" s="96" t="s">
        <v>1325</v>
      </c>
      <c r="C409" s="73" t="s">
        <v>2592</v>
      </c>
      <c r="D409" s="257" t="s">
        <v>1322</v>
      </c>
      <c r="E409" s="459" t="s">
        <v>3377</v>
      </c>
      <c r="F409" s="258">
        <v>1994</v>
      </c>
      <c r="G409" s="171">
        <v>87</v>
      </c>
      <c r="H409" s="57"/>
      <c r="I409" s="88"/>
      <c r="J409" s="508">
        <v>0.38</v>
      </c>
      <c r="K409" s="44">
        <v>3.8479999999999999</v>
      </c>
      <c r="L409" s="91"/>
      <c r="M409" s="65">
        <v>473.8</v>
      </c>
      <c r="N409" s="65"/>
      <c r="O409" s="106" t="s">
        <v>12</v>
      </c>
      <c r="P409" s="94"/>
      <c r="Q409" s="262"/>
      <c r="R409" s="507"/>
      <c r="S409" s="94"/>
      <c r="T409" s="506"/>
      <c r="U409" s="506"/>
      <c r="V409" s="131">
        <v>8.6959999999999997</v>
      </c>
      <c r="W409" s="132">
        <v>0</v>
      </c>
      <c r="X409" s="120">
        <v>0</v>
      </c>
      <c r="Y409" s="120">
        <v>0</v>
      </c>
      <c r="Z409" s="120">
        <v>0</v>
      </c>
      <c r="AA409" s="130"/>
      <c r="AB409" s="17">
        <v>0</v>
      </c>
      <c r="AC409" s="17">
        <v>0</v>
      </c>
      <c r="AD409" s="130"/>
      <c r="AE409" s="130"/>
      <c r="AF409" s="17">
        <v>0</v>
      </c>
      <c r="AG409" s="133">
        <v>1</v>
      </c>
      <c r="AH409" s="17">
        <v>0</v>
      </c>
      <c r="AI409" s="133">
        <v>0</v>
      </c>
      <c r="AJ409" s="133">
        <v>0</v>
      </c>
      <c r="AK409" s="17">
        <v>0</v>
      </c>
      <c r="AL409" s="137">
        <v>0</v>
      </c>
      <c r="AM409" s="509">
        <v>72.7</v>
      </c>
      <c r="AN409" s="89"/>
      <c r="AO409" s="507"/>
      <c r="AP409" s="262"/>
      <c r="AQ409" s="133" t="s">
        <v>1320</v>
      </c>
      <c r="AR409" s="188">
        <v>75</v>
      </c>
      <c r="AS409" s="171"/>
      <c r="AT409" s="171" t="str">
        <f t="shared" si="33"/>
        <v>280</v>
      </c>
      <c r="AU409" s="255">
        <f t="shared" si="34"/>
        <v>16.535433070866141</v>
      </c>
      <c r="AV409" s="509">
        <v>65</v>
      </c>
      <c r="AW409" s="257">
        <v>460</v>
      </c>
      <c r="AX409" s="261"/>
      <c r="AY409" s="258">
        <v>20</v>
      </c>
      <c r="AZ409" s="261"/>
      <c r="BA409" s="175">
        <v>100</v>
      </c>
      <c r="BB409" s="259"/>
      <c r="BC409" s="176"/>
      <c r="BD409" s="179"/>
      <c r="BE409" s="177" t="s">
        <v>259</v>
      </c>
      <c r="BF409" s="178"/>
      <c r="BG409" s="27"/>
      <c r="BH409" s="27"/>
    </row>
    <row r="410" spans="1:60" ht="15" customHeight="1">
      <c r="A410" s="95">
        <v>409</v>
      </c>
      <c r="B410" s="96" t="s">
        <v>1324</v>
      </c>
      <c r="C410" s="73" t="s">
        <v>2592</v>
      </c>
      <c r="D410" s="257" t="s">
        <v>1322</v>
      </c>
      <c r="E410" s="459" t="s">
        <v>3377</v>
      </c>
      <c r="F410" s="258">
        <v>1994</v>
      </c>
      <c r="G410" s="171">
        <v>87</v>
      </c>
      <c r="H410" s="57"/>
      <c r="I410" s="88"/>
      <c r="J410" s="508">
        <v>0.27100000000000002</v>
      </c>
      <c r="K410" s="44">
        <v>3.5529999999999999</v>
      </c>
      <c r="L410" s="91"/>
      <c r="M410" s="65">
        <v>510</v>
      </c>
      <c r="N410" s="65"/>
      <c r="O410" s="106" t="s">
        <v>12</v>
      </c>
      <c r="P410" s="94"/>
      <c r="Q410" s="262"/>
      <c r="R410" s="507"/>
      <c r="S410" s="94"/>
      <c r="T410" s="506"/>
      <c r="U410" s="506"/>
      <c r="V410" s="131">
        <v>17.646999999999998</v>
      </c>
      <c r="W410" s="132">
        <v>0</v>
      </c>
      <c r="X410" s="120">
        <v>0</v>
      </c>
      <c r="Y410" s="120">
        <v>0</v>
      </c>
      <c r="Z410" s="120">
        <v>0</v>
      </c>
      <c r="AA410" s="130"/>
      <c r="AB410" s="17">
        <v>0</v>
      </c>
      <c r="AC410" s="17">
        <v>0</v>
      </c>
      <c r="AD410" s="130"/>
      <c r="AE410" s="130"/>
      <c r="AF410" s="17">
        <v>0</v>
      </c>
      <c r="AG410" s="133">
        <v>1</v>
      </c>
      <c r="AH410" s="17">
        <v>0</v>
      </c>
      <c r="AI410" s="133">
        <v>0</v>
      </c>
      <c r="AJ410" s="133">
        <v>0</v>
      </c>
      <c r="AK410" s="17">
        <v>0</v>
      </c>
      <c r="AL410" s="137">
        <v>0</v>
      </c>
      <c r="AM410" s="509">
        <v>89.5</v>
      </c>
      <c r="AN410" s="89"/>
      <c r="AO410" s="507"/>
      <c r="AP410" s="262"/>
      <c r="AQ410" s="133" t="s">
        <v>1320</v>
      </c>
      <c r="AR410" s="188">
        <v>75</v>
      </c>
      <c r="AS410" s="171"/>
      <c r="AT410" s="171" t="str">
        <f t="shared" si="33"/>
        <v>280</v>
      </c>
      <c r="AU410" s="255">
        <f t="shared" si="34"/>
        <v>16.535433070866141</v>
      </c>
      <c r="AV410" s="509">
        <v>65</v>
      </c>
      <c r="AW410" s="257">
        <v>460</v>
      </c>
      <c r="AX410" s="261"/>
      <c r="AY410" s="258">
        <v>20</v>
      </c>
      <c r="AZ410" s="261"/>
      <c r="BA410" s="175">
        <v>100</v>
      </c>
      <c r="BB410" s="259"/>
      <c r="BC410" s="176"/>
      <c r="BD410" s="179"/>
      <c r="BE410" s="177" t="s">
        <v>259</v>
      </c>
      <c r="BF410" s="178"/>
      <c r="BG410" s="27"/>
      <c r="BH410" s="27"/>
    </row>
    <row r="411" spans="1:60" ht="15" customHeight="1">
      <c r="A411" s="95">
        <v>410</v>
      </c>
      <c r="B411" s="96" t="s">
        <v>1323</v>
      </c>
      <c r="C411" s="73" t="s">
        <v>2592</v>
      </c>
      <c r="D411" s="257" t="s">
        <v>1322</v>
      </c>
      <c r="E411" s="459" t="s">
        <v>3377</v>
      </c>
      <c r="F411" s="258">
        <v>1994</v>
      </c>
      <c r="G411" s="171">
        <v>87</v>
      </c>
      <c r="H411" s="57"/>
      <c r="I411" s="88"/>
      <c r="J411" s="508">
        <v>0.311</v>
      </c>
      <c r="K411" s="44">
        <v>3.8780000000000001</v>
      </c>
      <c r="L411" s="91"/>
      <c r="M411" s="65">
        <v>477</v>
      </c>
      <c r="N411" s="65"/>
      <c r="O411" s="106" t="s">
        <v>12</v>
      </c>
      <c r="P411" s="94"/>
      <c r="Q411" s="262"/>
      <c r="R411" s="507"/>
      <c r="S411" s="94"/>
      <c r="T411" s="506"/>
      <c r="U411" s="506"/>
      <c r="V411" s="131">
        <v>5.556</v>
      </c>
      <c r="W411" s="132">
        <v>5.556</v>
      </c>
      <c r="X411" s="120">
        <v>0</v>
      </c>
      <c r="Y411" s="120">
        <v>0</v>
      </c>
      <c r="Z411" s="120">
        <v>0</v>
      </c>
      <c r="AA411" s="130"/>
      <c r="AB411" s="17">
        <v>0</v>
      </c>
      <c r="AC411" s="17">
        <v>0</v>
      </c>
      <c r="AD411" s="130"/>
      <c r="AE411" s="130"/>
      <c r="AF411" s="17">
        <v>0</v>
      </c>
      <c r="AG411" s="133">
        <v>1</v>
      </c>
      <c r="AH411" s="17">
        <v>0</v>
      </c>
      <c r="AI411" s="133">
        <v>0</v>
      </c>
      <c r="AJ411" s="133">
        <v>0</v>
      </c>
      <c r="AK411" s="17">
        <v>0</v>
      </c>
      <c r="AL411" s="137">
        <v>0</v>
      </c>
      <c r="AM411" s="509">
        <v>85.6</v>
      </c>
      <c r="AN411" s="89"/>
      <c r="AO411" s="507"/>
      <c r="AP411" s="262"/>
      <c r="AQ411" s="133" t="s">
        <v>1320</v>
      </c>
      <c r="AR411" s="188">
        <v>75</v>
      </c>
      <c r="AS411" s="171"/>
      <c r="AT411" s="171" t="str">
        <f t="shared" si="33"/>
        <v>280</v>
      </c>
      <c r="AU411" s="255">
        <f t="shared" si="34"/>
        <v>16.535433070866141</v>
      </c>
      <c r="AV411" s="509">
        <v>65</v>
      </c>
      <c r="AW411" s="257">
        <v>460</v>
      </c>
      <c r="AX411" s="261"/>
      <c r="AY411" s="258">
        <v>20</v>
      </c>
      <c r="AZ411" s="261"/>
      <c r="BA411" s="175">
        <v>100</v>
      </c>
      <c r="BB411" s="259"/>
      <c r="BC411" s="176"/>
      <c r="BD411" s="179"/>
      <c r="BE411" s="177" t="s">
        <v>259</v>
      </c>
      <c r="BF411" s="178"/>
      <c r="BG411" s="27"/>
      <c r="BH411" s="27"/>
    </row>
    <row r="412" spans="1:60" ht="15" customHeight="1">
      <c r="A412" s="95">
        <v>411</v>
      </c>
      <c r="B412" s="96" t="s">
        <v>1321</v>
      </c>
      <c r="C412" s="73" t="s">
        <v>2592</v>
      </c>
      <c r="D412" s="257" t="s">
        <v>1322</v>
      </c>
      <c r="E412" s="459" t="s">
        <v>3377</v>
      </c>
      <c r="F412" s="258">
        <v>1994</v>
      </c>
      <c r="G412" s="171">
        <v>87</v>
      </c>
      <c r="H412" s="57"/>
      <c r="I412" s="88"/>
      <c r="J412" s="508">
        <v>0.3</v>
      </c>
      <c r="K412" s="44">
        <v>3.67</v>
      </c>
      <c r="L412" s="91"/>
      <c r="M412" s="506">
        <v>500</v>
      </c>
      <c r="N412" s="65"/>
      <c r="O412" s="106" t="s">
        <v>120</v>
      </c>
      <c r="P412" s="94"/>
      <c r="Q412" s="262"/>
      <c r="R412" s="507"/>
      <c r="S412" s="94"/>
      <c r="T412" s="506"/>
      <c r="U412" s="506"/>
      <c r="V412" s="131">
        <v>0</v>
      </c>
      <c r="W412" s="132">
        <v>0</v>
      </c>
      <c r="X412" s="120">
        <v>0</v>
      </c>
      <c r="Y412" s="120">
        <v>0</v>
      </c>
      <c r="Z412" s="120">
        <v>0</v>
      </c>
      <c r="AA412" s="130"/>
      <c r="AB412" s="17">
        <v>0</v>
      </c>
      <c r="AC412" s="17">
        <v>0</v>
      </c>
      <c r="AD412" s="130"/>
      <c r="AE412" s="130"/>
      <c r="AF412" s="17">
        <v>0</v>
      </c>
      <c r="AG412" s="133">
        <v>1</v>
      </c>
      <c r="AH412" s="17">
        <v>0</v>
      </c>
      <c r="AI412" s="133">
        <v>0</v>
      </c>
      <c r="AJ412" s="133">
        <v>0</v>
      </c>
      <c r="AK412" s="17">
        <v>0</v>
      </c>
      <c r="AL412" s="137">
        <v>0</v>
      </c>
      <c r="AM412" s="509">
        <v>67.8</v>
      </c>
      <c r="AN412" s="89"/>
      <c r="AO412" s="507"/>
      <c r="AP412" s="262"/>
      <c r="AQ412" s="133" t="s">
        <v>1320</v>
      </c>
      <c r="AR412" s="188">
        <v>75</v>
      </c>
      <c r="AS412" s="171"/>
      <c r="AT412" s="171" t="str">
        <f t="shared" si="33"/>
        <v>280</v>
      </c>
      <c r="AU412" s="255">
        <f t="shared" si="34"/>
        <v>16.535433070866141</v>
      </c>
      <c r="AV412" s="509">
        <v>65</v>
      </c>
      <c r="AW412" s="257">
        <v>460</v>
      </c>
      <c r="AX412" s="261"/>
      <c r="AY412" s="258">
        <v>20</v>
      </c>
      <c r="AZ412" s="261"/>
      <c r="BA412" s="175">
        <v>100</v>
      </c>
      <c r="BB412" s="259"/>
      <c r="BC412" s="176"/>
      <c r="BD412" s="179"/>
      <c r="BE412" s="177" t="s">
        <v>259</v>
      </c>
      <c r="BF412" s="178"/>
      <c r="BG412" s="27"/>
      <c r="BH412" s="27"/>
    </row>
    <row r="413" spans="1:60" ht="16.5" customHeight="1">
      <c r="A413" s="95">
        <v>412</v>
      </c>
      <c r="B413" s="96" t="s">
        <v>1319</v>
      </c>
      <c r="C413" s="73" t="s">
        <v>161</v>
      </c>
      <c r="D413" s="257" t="s">
        <v>1314</v>
      </c>
      <c r="E413" s="459" t="s">
        <v>3377</v>
      </c>
      <c r="F413" s="258">
        <v>1995</v>
      </c>
      <c r="G413" s="171">
        <v>45</v>
      </c>
      <c r="H413" s="57"/>
      <c r="I413" s="88"/>
      <c r="J413" s="508">
        <v>0.316</v>
      </c>
      <c r="K413" s="44">
        <v>3.78</v>
      </c>
      <c r="L413" s="91"/>
      <c r="M413" s="65">
        <v>475</v>
      </c>
      <c r="N413" s="65"/>
      <c r="O413" s="106" t="s">
        <v>12</v>
      </c>
      <c r="P413" s="94"/>
      <c r="Q413" s="262"/>
      <c r="R413" s="507"/>
      <c r="S413" s="94"/>
      <c r="T413" s="506"/>
      <c r="U413" s="506"/>
      <c r="V413" s="131">
        <v>5.2629999999999999</v>
      </c>
      <c r="W413" s="132">
        <v>0</v>
      </c>
      <c r="X413" s="120">
        <v>0</v>
      </c>
      <c r="Y413" s="120">
        <v>0</v>
      </c>
      <c r="Z413" s="120">
        <v>0</v>
      </c>
      <c r="AA413" s="130"/>
      <c r="AB413" s="17">
        <v>0</v>
      </c>
      <c r="AC413" s="17">
        <v>0</v>
      </c>
      <c r="AD413" s="130"/>
      <c r="AE413" s="130"/>
      <c r="AF413" s="17">
        <v>0</v>
      </c>
      <c r="AG413" s="133">
        <v>3</v>
      </c>
      <c r="AH413" s="17">
        <v>0</v>
      </c>
      <c r="AI413" s="133">
        <v>0</v>
      </c>
      <c r="AJ413" s="133">
        <v>1</v>
      </c>
      <c r="AK413" s="17">
        <v>0</v>
      </c>
      <c r="AL413" s="137">
        <v>0</v>
      </c>
      <c r="AM413" s="509">
        <v>106.2</v>
      </c>
      <c r="AN413" s="89"/>
      <c r="AO413" s="507"/>
      <c r="AP413" s="262"/>
      <c r="AQ413" s="133" t="s">
        <v>117</v>
      </c>
      <c r="AR413" s="188">
        <v>100</v>
      </c>
      <c r="AS413" s="171"/>
      <c r="AT413" s="171" t="str">
        <f t="shared" si="33"/>
        <v>400</v>
      </c>
      <c r="AU413" s="255">
        <f t="shared" si="34"/>
        <v>22.222222222222221</v>
      </c>
      <c r="AV413" s="509">
        <v>100</v>
      </c>
      <c r="AW413" s="257">
        <v>28</v>
      </c>
      <c r="AX413" s="261"/>
      <c r="AY413" s="258">
        <v>20</v>
      </c>
      <c r="AZ413" s="261"/>
      <c r="BA413" s="175">
        <v>65</v>
      </c>
      <c r="BB413" s="259"/>
      <c r="BC413" s="176" t="s">
        <v>558</v>
      </c>
      <c r="BD413" s="179"/>
      <c r="BE413" s="177" t="s">
        <v>259</v>
      </c>
      <c r="BF413" s="178"/>
      <c r="BG413" s="27"/>
      <c r="BH413" s="27"/>
    </row>
    <row r="414" spans="1:60" ht="16.5" customHeight="1">
      <c r="A414" s="95">
        <v>413</v>
      </c>
      <c r="B414" s="96" t="s">
        <v>1318</v>
      </c>
      <c r="C414" s="73" t="s">
        <v>161</v>
      </c>
      <c r="D414" s="257" t="s">
        <v>1314</v>
      </c>
      <c r="E414" s="459" t="s">
        <v>3377</v>
      </c>
      <c r="F414" s="258">
        <v>1995</v>
      </c>
      <c r="G414" s="171">
        <v>45</v>
      </c>
      <c r="H414" s="57"/>
      <c r="I414" s="88"/>
      <c r="J414" s="508">
        <v>0.316</v>
      </c>
      <c r="K414" s="44">
        <v>3.7789999999999999</v>
      </c>
      <c r="L414" s="91"/>
      <c r="M414" s="65">
        <v>475</v>
      </c>
      <c r="N414" s="65"/>
      <c r="O414" s="106" t="s">
        <v>12</v>
      </c>
      <c r="P414" s="94"/>
      <c r="Q414" s="262"/>
      <c r="R414" s="507"/>
      <c r="S414" s="94"/>
      <c r="T414" s="506"/>
      <c r="U414" s="506"/>
      <c r="V414" s="131">
        <v>5.2629999999999999</v>
      </c>
      <c r="W414" s="132">
        <v>0</v>
      </c>
      <c r="X414" s="120">
        <v>0</v>
      </c>
      <c r="Y414" s="120">
        <v>0</v>
      </c>
      <c r="Z414" s="120">
        <v>0</v>
      </c>
      <c r="AA414" s="130"/>
      <c r="AB414" s="17">
        <v>0</v>
      </c>
      <c r="AC414" s="17">
        <v>0</v>
      </c>
      <c r="AD414" s="130"/>
      <c r="AE414" s="130"/>
      <c r="AF414" s="17">
        <v>0</v>
      </c>
      <c r="AG414" s="133">
        <v>3</v>
      </c>
      <c r="AH414" s="17">
        <v>0</v>
      </c>
      <c r="AI414" s="133">
        <v>0</v>
      </c>
      <c r="AJ414" s="133">
        <v>1.5</v>
      </c>
      <c r="AK414" s="17">
        <v>0</v>
      </c>
      <c r="AL414" s="137">
        <v>0</v>
      </c>
      <c r="AM414" s="509">
        <v>100.3</v>
      </c>
      <c r="AN414" s="89"/>
      <c r="AO414" s="507"/>
      <c r="AP414" s="262"/>
      <c r="AQ414" s="133" t="s">
        <v>117</v>
      </c>
      <c r="AR414" s="188">
        <v>100</v>
      </c>
      <c r="AS414" s="171"/>
      <c r="AT414" s="171" t="str">
        <f t="shared" si="33"/>
        <v>400</v>
      </c>
      <c r="AU414" s="255">
        <f t="shared" si="34"/>
        <v>22.222222222222221</v>
      </c>
      <c r="AV414" s="509">
        <v>100</v>
      </c>
      <c r="AW414" s="257">
        <v>0.67</v>
      </c>
      <c r="AX414" s="261"/>
      <c r="AY414" s="258">
        <v>20</v>
      </c>
      <c r="AZ414" s="261"/>
      <c r="BA414" s="175">
        <v>50</v>
      </c>
      <c r="BB414" s="259"/>
      <c r="BC414" s="176" t="s">
        <v>558</v>
      </c>
      <c r="BD414" s="179"/>
      <c r="BE414" s="177" t="s">
        <v>259</v>
      </c>
      <c r="BF414" s="178"/>
      <c r="BG414" s="27"/>
      <c r="BH414" s="27"/>
    </row>
    <row r="415" spans="1:60" ht="16.5" customHeight="1">
      <c r="A415" s="95">
        <v>414</v>
      </c>
      <c r="B415" s="96" t="s">
        <v>1317</v>
      </c>
      <c r="C415" s="73" t="s">
        <v>161</v>
      </c>
      <c r="D415" s="257" t="s">
        <v>1314</v>
      </c>
      <c r="E415" s="459" t="s">
        <v>3377</v>
      </c>
      <c r="F415" s="258">
        <v>1995</v>
      </c>
      <c r="G415" s="171">
        <v>45</v>
      </c>
      <c r="H415" s="57"/>
      <c r="I415" s="88"/>
      <c r="J415" s="508">
        <v>0.316</v>
      </c>
      <c r="K415" s="44">
        <v>3.7789999999999999</v>
      </c>
      <c r="L415" s="91"/>
      <c r="M415" s="65">
        <v>475</v>
      </c>
      <c r="N415" s="65"/>
      <c r="O415" s="106" t="s">
        <v>12</v>
      </c>
      <c r="P415" s="94"/>
      <c r="Q415" s="262"/>
      <c r="R415" s="507"/>
      <c r="S415" s="94"/>
      <c r="T415" s="506"/>
      <c r="U415" s="506"/>
      <c r="V415" s="131">
        <v>5.2629999999999999</v>
      </c>
      <c r="W415" s="132">
        <v>0</v>
      </c>
      <c r="X415" s="120">
        <v>0</v>
      </c>
      <c r="Y415" s="120">
        <v>0</v>
      </c>
      <c r="Z415" s="120">
        <v>0</v>
      </c>
      <c r="AA415" s="130"/>
      <c r="AB415" s="17">
        <v>0</v>
      </c>
      <c r="AC415" s="17">
        <v>0</v>
      </c>
      <c r="AD415" s="130"/>
      <c r="AE415" s="130"/>
      <c r="AF415" s="17">
        <v>0</v>
      </c>
      <c r="AG415" s="133">
        <v>3</v>
      </c>
      <c r="AH415" s="17">
        <v>0</v>
      </c>
      <c r="AI415" s="133">
        <v>0</v>
      </c>
      <c r="AJ415" s="133">
        <v>1.1000000000000001</v>
      </c>
      <c r="AK415" s="17">
        <v>0</v>
      </c>
      <c r="AL415" s="137">
        <v>0</v>
      </c>
      <c r="AM415" s="509">
        <v>100.3</v>
      </c>
      <c r="AN415" s="89"/>
      <c r="AO415" s="507"/>
      <c r="AP415" s="262"/>
      <c r="AQ415" s="133" t="s">
        <v>117</v>
      </c>
      <c r="AR415" s="188">
        <v>100</v>
      </c>
      <c r="AS415" s="171"/>
      <c r="AT415" s="171" t="str">
        <f t="shared" si="33"/>
        <v>400</v>
      </c>
      <c r="AU415" s="255">
        <f t="shared" si="34"/>
        <v>22.222222222222221</v>
      </c>
      <c r="AV415" s="509">
        <v>100</v>
      </c>
      <c r="AW415" s="257">
        <v>28</v>
      </c>
      <c r="AX415" s="261"/>
      <c r="AY415" s="258">
        <v>20</v>
      </c>
      <c r="AZ415" s="261"/>
      <c r="BA415" s="175">
        <v>65</v>
      </c>
      <c r="BB415" s="259"/>
      <c r="BC415" s="176" t="s">
        <v>558</v>
      </c>
      <c r="BD415" s="179"/>
      <c r="BE415" s="177" t="s">
        <v>259</v>
      </c>
      <c r="BF415" s="178"/>
      <c r="BG415" s="27"/>
      <c r="BH415" s="27"/>
    </row>
    <row r="416" spans="1:60" ht="16.5" customHeight="1">
      <c r="A416" s="95">
        <v>415</v>
      </c>
      <c r="B416" s="96" t="s">
        <v>1316</v>
      </c>
      <c r="C416" s="73" t="s">
        <v>161</v>
      </c>
      <c r="D416" s="257" t="s">
        <v>1314</v>
      </c>
      <c r="E416" s="459" t="s">
        <v>3377</v>
      </c>
      <c r="F416" s="258">
        <v>1995</v>
      </c>
      <c r="G416" s="171">
        <v>45</v>
      </c>
      <c r="H416" s="57"/>
      <c r="I416" s="88"/>
      <c r="J416" s="508">
        <v>0.316</v>
      </c>
      <c r="K416" s="44">
        <v>3.7829999999999999</v>
      </c>
      <c r="L416" s="91"/>
      <c r="M416" s="65">
        <v>475</v>
      </c>
      <c r="N416" s="65"/>
      <c r="O416" s="106" t="s">
        <v>12</v>
      </c>
      <c r="P416" s="94"/>
      <c r="Q416" s="262"/>
      <c r="R416" s="507"/>
      <c r="S416" s="94"/>
      <c r="T416" s="506"/>
      <c r="U416" s="506"/>
      <c r="V416" s="131">
        <v>5.2629999999999999</v>
      </c>
      <c r="W416" s="132">
        <v>0</v>
      </c>
      <c r="X416" s="120">
        <v>0</v>
      </c>
      <c r="Y416" s="120">
        <v>0</v>
      </c>
      <c r="Z416" s="120">
        <v>0</v>
      </c>
      <c r="AA416" s="130"/>
      <c r="AB416" s="17">
        <v>0</v>
      </c>
      <c r="AC416" s="17">
        <v>0</v>
      </c>
      <c r="AD416" s="130"/>
      <c r="AE416" s="130"/>
      <c r="AF416" s="17">
        <v>0</v>
      </c>
      <c r="AG416" s="133">
        <v>3</v>
      </c>
      <c r="AH416" s="17">
        <v>0</v>
      </c>
      <c r="AI416" s="133">
        <v>0</v>
      </c>
      <c r="AJ416" s="133">
        <v>0.8</v>
      </c>
      <c r="AK416" s="17">
        <v>0</v>
      </c>
      <c r="AL416" s="137">
        <v>0</v>
      </c>
      <c r="AM416" s="509">
        <v>92.8</v>
      </c>
      <c r="AN416" s="89"/>
      <c r="AO416" s="507"/>
      <c r="AP416" s="262"/>
      <c r="AQ416" s="133" t="s">
        <v>117</v>
      </c>
      <c r="AR416" s="188">
        <v>100</v>
      </c>
      <c r="AS416" s="171"/>
      <c r="AT416" s="171" t="str">
        <f t="shared" si="33"/>
        <v>400</v>
      </c>
      <c r="AU416" s="255">
        <f t="shared" si="34"/>
        <v>22.222222222222221</v>
      </c>
      <c r="AV416" s="509">
        <v>100</v>
      </c>
      <c r="AW416" s="257">
        <v>28</v>
      </c>
      <c r="AX416" s="261"/>
      <c r="AY416" s="258">
        <v>20</v>
      </c>
      <c r="AZ416" s="261"/>
      <c r="BA416" s="175">
        <v>65</v>
      </c>
      <c r="BB416" s="259"/>
      <c r="BC416" s="176" t="s">
        <v>558</v>
      </c>
      <c r="BD416" s="179"/>
      <c r="BE416" s="177" t="s">
        <v>259</v>
      </c>
      <c r="BF416" s="178"/>
      <c r="BG416" s="27"/>
      <c r="BH416" s="27"/>
    </row>
    <row r="417" spans="1:60" ht="16.5" customHeight="1">
      <c r="A417" s="95">
        <v>416</v>
      </c>
      <c r="B417" s="96" t="s">
        <v>1315</v>
      </c>
      <c r="C417" s="73" t="s">
        <v>161</v>
      </c>
      <c r="D417" s="257" t="s">
        <v>1314</v>
      </c>
      <c r="E417" s="459" t="s">
        <v>3377</v>
      </c>
      <c r="F417" s="258">
        <v>1995</v>
      </c>
      <c r="G417" s="171">
        <v>45</v>
      </c>
      <c r="H417" s="57"/>
      <c r="I417" s="88"/>
      <c r="J417" s="100">
        <v>0.316</v>
      </c>
      <c r="K417" s="44">
        <v>3.7789999999999999</v>
      </c>
      <c r="L417" s="91"/>
      <c r="M417" s="65">
        <v>475</v>
      </c>
      <c r="N417" s="65"/>
      <c r="O417" s="106" t="s">
        <v>12</v>
      </c>
      <c r="P417" s="94"/>
      <c r="Q417" s="262"/>
      <c r="R417" s="94"/>
      <c r="S417" s="94"/>
      <c r="T417" s="506"/>
      <c r="U417" s="65"/>
      <c r="V417" s="131">
        <v>5.2629999999999999</v>
      </c>
      <c r="W417" s="132">
        <v>0</v>
      </c>
      <c r="X417" s="120">
        <v>0</v>
      </c>
      <c r="Y417" s="120">
        <v>0</v>
      </c>
      <c r="Z417" s="120">
        <v>0</v>
      </c>
      <c r="AA417" s="130"/>
      <c r="AB417" s="17">
        <v>0</v>
      </c>
      <c r="AC417" s="17">
        <v>0</v>
      </c>
      <c r="AD417" s="130"/>
      <c r="AE417" s="130"/>
      <c r="AF417" s="17">
        <v>0</v>
      </c>
      <c r="AG417" s="133">
        <v>3</v>
      </c>
      <c r="AH417" s="17">
        <v>0</v>
      </c>
      <c r="AI417" s="133">
        <v>0</v>
      </c>
      <c r="AJ417" s="133">
        <v>1.1000000000000001</v>
      </c>
      <c r="AK417" s="17">
        <v>0</v>
      </c>
      <c r="AL417" s="137">
        <v>0</v>
      </c>
      <c r="AM417" s="509">
        <v>100.3</v>
      </c>
      <c r="AN417" s="89"/>
      <c r="AO417" s="507"/>
      <c r="AP417" s="262"/>
      <c r="AQ417" s="133" t="s">
        <v>117</v>
      </c>
      <c r="AR417" s="188">
        <v>100</v>
      </c>
      <c r="AS417" s="171"/>
      <c r="AT417" s="171" t="str">
        <f t="shared" si="33"/>
        <v>400</v>
      </c>
      <c r="AU417" s="255">
        <f t="shared" si="34"/>
        <v>22.222222222222221</v>
      </c>
      <c r="AV417" s="106">
        <v>100</v>
      </c>
      <c r="AW417" s="257">
        <v>0.67</v>
      </c>
      <c r="AX417" s="261"/>
      <c r="AY417" s="258">
        <v>20</v>
      </c>
      <c r="AZ417" s="261"/>
      <c r="BA417" s="175">
        <v>50</v>
      </c>
      <c r="BB417" s="259"/>
      <c r="BC417" s="176" t="s">
        <v>558</v>
      </c>
      <c r="BD417" s="179"/>
      <c r="BE417" s="177" t="s">
        <v>259</v>
      </c>
      <c r="BF417" s="178"/>
      <c r="BG417" s="27"/>
      <c r="BH417" s="27"/>
    </row>
    <row r="418" spans="1:60" ht="16.5" customHeight="1">
      <c r="A418" s="95">
        <v>417</v>
      </c>
      <c r="B418" s="96" t="s">
        <v>1313</v>
      </c>
      <c r="C418" s="73" t="s">
        <v>161</v>
      </c>
      <c r="D418" s="257" t="s">
        <v>1314</v>
      </c>
      <c r="E418" s="459" t="s">
        <v>3377</v>
      </c>
      <c r="F418" s="258">
        <v>1995</v>
      </c>
      <c r="G418" s="171">
        <v>45</v>
      </c>
      <c r="H418" s="57"/>
      <c r="I418" s="88"/>
      <c r="J418" s="100">
        <v>0.316</v>
      </c>
      <c r="K418" s="44">
        <v>3.7829999999999999</v>
      </c>
      <c r="L418" s="91"/>
      <c r="M418" s="65">
        <v>475</v>
      </c>
      <c r="N418" s="65"/>
      <c r="O418" s="106" t="s">
        <v>12</v>
      </c>
      <c r="P418" s="94"/>
      <c r="Q418" s="262"/>
      <c r="R418" s="94"/>
      <c r="S418" s="94"/>
      <c r="T418" s="506"/>
      <c r="U418" s="65"/>
      <c r="V418" s="131">
        <v>5.2629999999999999</v>
      </c>
      <c r="W418" s="132">
        <v>0</v>
      </c>
      <c r="X418" s="120">
        <v>0</v>
      </c>
      <c r="Y418" s="120">
        <v>0</v>
      </c>
      <c r="Z418" s="120">
        <v>0</v>
      </c>
      <c r="AA418" s="130"/>
      <c r="AB418" s="17">
        <v>0</v>
      </c>
      <c r="AC418" s="17">
        <v>0</v>
      </c>
      <c r="AD418" s="130"/>
      <c r="AE418" s="130"/>
      <c r="AF418" s="17">
        <v>0</v>
      </c>
      <c r="AG418" s="133">
        <v>3</v>
      </c>
      <c r="AH418" s="17">
        <v>0</v>
      </c>
      <c r="AI418" s="133">
        <v>0</v>
      </c>
      <c r="AJ418" s="133">
        <v>0.8</v>
      </c>
      <c r="AK418" s="17">
        <v>0</v>
      </c>
      <c r="AL418" s="137">
        <v>0</v>
      </c>
      <c r="AM418" s="509">
        <v>92.8</v>
      </c>
      <c r="AN418" s="89"/>
      <c r="AO418" s="507"/>
      <c r="AP418" s="262"/>
      <c r="AQ418" s="133" t="s">
        <v>117</v>
      </c>
      <c r="AR418" s="188">
        <v>100</v>
      </c>
      <c r="AS418" s="171"/>
      <c r="AT418" s="171" t="str">
        <f t="shared" ref="AT418:AT449" si="35">RIGHT(AQ418,LEN(AQ418)-FIND("x",AQ418,1))</f>
        <v>400</v>
      </c>
      <c r="AU418" s="255">
        <f t="shared" si="34"/>
        <v>22.222222222222221</v>
      </c>
      <c r="AV418" s="106">
        <v>100</v>
      </c>
      <c r="AW418" s="257">
        <v>0.67</v>
      </c>
      <c r="AX418" s="261"/>
      <c r="AY418" s="258">
        <v>20</v>
      </c>
      <c r="AZ418" s="261"/>
      <c r="BA418" s="175">
        <v>50</v>
      </c>
      <c r="BB418" s="259"/>
      <c r="BC418" s="176" t="s">
        <v>558</v>
      </c>
      <c r="BD418" s="179"/>
      <c r="BE418" s="177" t="s">
        <v>259</v>
      </c>
      <c r="BF418" s="178"/>
      <c r="BG418" s="27"/>
      <c r="BH418" s="27"/>
    </row>
    <row r="419" spans="1:60" ht="15" customHeight="1">
      <c r="A419" s="95">
        <v>418</v>
      </c>
      <c r="B419" s="96" t="s">
        <v>1312</v>
      </c>
      <c r="C419" s="73" t="s">
        <v>2593</v>
      </c>
      <c r="D419" s="257" t="s">
        <v>122</v>
      </c>
      <c r="E419" s="459" t="s">
        <v>3377</v>
      </c>
      <c r="F419" s="258">
        <v>1996</v>
      </c>
      <c r="G419" s="89"/>
      <c r="H419" s="57"/>
      <c r="I419" s="88"/>
      <c r="J419" s="100">
        <v>0.45</v>
      </c>
      <c r="K419" s="44">
        <v>5.3090000000000002</v>
      </c>
      <c r="L419" s="91"/>
      <c r="M419" s="65">
        <v>350</v>
      </c>
      <c r="N419" s="65"/>
      <c r="O419" s="106" t="s">
        <v>12</v>
      </c>
      <c r="P419" s="94"/>
      <c r="Q419" s="262"/>
      <c r="R419" s="94"/>
      <c r="S419" s="94"/>
      <c r="T419" s="506"/>
      <c r="U419" s="65"/>
      <c r="V419" s="131">
        <v>0</v>
      </c>
      <c r="W419" s="132">
        <v>0</v>
      </c>
      <c r="X419" s="120">
        <v>0</v>
      </c>
      <c r="Y419" s="120">
        <v>0</v>
      </c>
      <c r="Z419" s="120">
        <v>0</v>
      </c>
      <c r="AA419" s="130"/>
      <c r="AB419" s="17">
        <v>0</v>
      </c>
      <c r="AC419" s="17">
        <v>0</v>
      </c>
      <c r="AD419" s="130"/>
      <c r="AE419" s="130"/>
      <c r="AF419" s="17">
        <v>0</v>
      </c>
      <c r="AG419" s="133">
        <v>0</v>
      </c>
      <c r="AH419" s="17">
        <v>0</v>
      </c>
      <c r="AI419" s="133">
        <v>0</v>
      </c>
      <c r="AJ419" s="133">
        <v>0</v>
      </c>
      <c r="AK419" s="17">
        <v>0</v>
      </c>
      <c r="AL419" s="137">
        <v>0</v>
      </c>
      <c r="AM419" s="509">
        <v>72.099999999999994</v>
      </c>
      <c r="AN419" s="89"/>
      <c r="AO419" s="507"/>
      <c r="AP419" s="262"/>
      <c r="AQ419" s="133" t="s">
        <v>1285</v>
      </c>
      <c r="AR419" s="188">
        <v>100</v>
      </c>
      <c r="AS419" s="171"/>
      <c r="AT419" s="171" t="str">
        <f t="shared" si="35"/>
        <v>500</v>
      </c>
      <c r="AU419" s="255">
        <f t="shared" si="34"/>
        <v>22.727272727272727</v>
      </c>
      <c r="AV419" s="106">
        <v>100</v>
      </c>
      <c r="AW419" s="257">
        <v>3</v>
      </c>
      <c r="AX419" s="261"/>
      <c r="AY419" s="258">
        <v>20</v>
      </c>
      <c r="AZ419" s="261"/>
      <c r="BA419" s="175">
        <v>60</v>
      </c>
      <c r="BB419" s="259"/>
      <c r="BC419" s="176"/>
      <c r="BD419" s="179"/>
      <c r="BE419" s="177" t="s">
        <v>259</v>
      </c>
      <c r="BF419" s="178"/>
      <c r="BG419" s="27"/>
      <c r="BH419" s="27"/>
    </row>
    <row r="420" spans="1:60" ht="15" customHeight="1">
      <c r="A420" s="95">
        <v>419</v>
      </c>
      <c r="B420" s="96" t="s">
        <v>1311</v>
      </c>
      <c r="C420" s="73" t="s">
        <v>2593</v>
      </c>
      <c r="D420" s="257" t="s">
        <v>122</v>
      </c>
      <c r="E420" s="459" t="s">
        <v>3377</v>
      </c>
      <c r="F420" s="258">
        <v>1996</v>
      </c>
      <c r="G420" s="89"/>
      <c r="H420" s="57"/>
      <c r="I420" s="88"/>
      <c r="J420" s="100">
        <v>0.45</v>
      </c>
      <c r="K420" s="44">
        <v>5.3090000000000002</v>
      </c>
      <c r="L420" s="91"/>
      <c r="M420" s="65">
        <v>350</v>
      </c>
      <c r="N420" s="65"/>
      <c r="O420" s="106" t="s">
        <v>12</v>
      </c>
      <c r="P420" s="94"/>
      <c r="Q420" s="262"/>
      <c r="R420" s="94"/>
      <c r="S420" s="94"/>
      <c r="T420" s="506"/>
      <c r="U420" s="65"/>
      <c r="V420" s="131">
        <v>0</v>
      </c>
      <c r="W420" s="132">
        <v>0</v>
      </c>
      <c r="X420" s="120">
        <v>0</v>
      </c>
      <c r="Y420" s="120">
        <v>0</v>
      </c>
      <c r="Z420" s="120">
        <v>0</v>
      </c>
      <c r="AA420" s="130"/>
      <c r="AB420" s="17">
        <v>0</v>
      </c>
      <c r="AC420" s="17">
        <v>0</v>
      </c>
      <c r="AD420" s="130"/>
      <c r="AE420" s="130"/>
      <c r="AF420" s="17">
        <v>0</v>
      </c>
      <c r="AG420" s="133">
        <v>0</v>
      </c>
      <c r="AH420" s="17">
        <v>0</v>
      </c>
      <c r="AI420" s="133">
        <v>0</v>
      </c>
      <c r="AJ420" s="133">
        <v>0</v>
      </c>
      <c r="AK420" s="17">
        <v>0</v>
      </c>
      <c r="AL420" s="137">
        <v>0</v>
      </c>
      <c r="AM420" s="509">
        <v>67.099999999999994</v>
      </c>
      <c r="AN420" s="89"/>
      <c r="AO420" s="507"/>
      <c r="AP420" s="262"/>
      <c r="AQ420" s="133" t="s">
        <v>1285</v>
      </c>
      <c r="AR420" s="188">
        <v>100</v>
      </c>
      <c r="AS420" s="171"/>
      <c r="AT420" s="171" t="str">
        <f t="shared" si="35"/>
        <v>500</v>
      </c>
      <c r="AU420" s="255">
        <f t="shared" si="34"/>
        <v>22.727272727272727</v>
      </c>
      <c r="AV420" s="106">
        <v>100</v>
      </c>
      <c r="AW420" s="257">
        <v>3</v>
      </c>
      <c r="AX420" s="261"/>
      <c r="AY420" s="258">
        <v>20</v>
      </c>
      <c r="AZ420" s="261"/>
      <c r="BA420" s="175">
        <v>60</v>
      </c>
      <c r="BB420" s="259"/>
      <c r="BC420" s="176" t="s">
        <v>558</v>
      </c>
      <c r="BD420" s="179"/>
      <c r="BE420" s="177" t="s">
        <v>259</v>
      </c>
      <c r="BF420" s="178"/>
      <c r="BG420" s="27"/>
      <c r="BH420" s="27"/>
    </row>
    <row r="421" spans="1:60" ht="15" customHeight="1">
      <c r="A421" s="95">
        <v>420</v>
      </c>
      <c r="B421" s="96" t="s">
        <v>1310</v>
      </c>
      <c r="C421" s="73" t="s">
        <v>2593</v>
      </c>
      <c r="D421" s="257" t="s">
        <v>122</v>
      </c>
      <c r="E421" s="459" t="s">
        <v>3377</v>
      </c>
      <c r="F421" s="258">
        <v>1996</v>
      </c>
      <c r="G421" s="89"/>
      <c r="H421" s="57"/>
      <c r="I421" s="88"/>
      <c r="J421" s="100">
        <v>0.4</v>
      </c>
      <c r="K421" s="44">
        <v>5.44</v>
      </c>
      <c r="L421" s="91"/>
      <c r="M421" s="65">
        <v>350</v>
      </c>
      <c r="N421" s="65"/>
      <c r="O421" s="106" t="s">
        <v>12</v>
      </c>
      <c r="P421" s="94"/>
      <c r="Q421" s="262"/>
      <c r="R421" s="94"/>
      <c r="S421" s="94"/>
      <c r="T421" s="506"/>
      <c r="U421" s="65"/>
      <c r="V421" s="131">
        <v>0</v>
      </c>
      <c r="W421" s="132">
        <v>0</v>
      </c>
      <c r="X421" s="120">
        <v>0</v>
      </c>
      <c r="Y421" s="120">
        <v>0</v>
      </c>
      <c r="Z421" s="120">
        <v>0</v>
      </c>
      <c r="AA421" s="130"/>
      <c r="AB421" s="17">
        <v>0</v>
      </c>
      <c r="AC421" s="17">
        <v>0</v>
      </c>
      <c r="AD421" s="130"/>
      <c r="AE421" s="130"/>
      <c r="AF421" s="17">
        <v>0</v>
      </c>
      <c r="AG421" s="133">
        <v>0</v>
      </c>
      <c r="AH421" s="17">
        <v>0</v>
      </c>
      <c r="AI421" s="133">
        <v>0</v>
      </c>
      <c r="AJ421" s="133">
        <v>0</v>
      </c>
      <c r="AK421" s="17">
        <v>0</v>
      </c>
      <c r="AL421" s="137">
        <v>0</v>
      </c>
      <c r="AM421" s="509">
        <v>77.900000000000006</v>
      </c>
      <c r="AN421" s="89"/>
      <c r="AO421" s="507"/>
      <c r="AP421" s="262"/>
      <c r="AQ421" s="133" t="s">
        <v>1285</v>
      </c>
      <c r="AR421" s="188">
        <v>100</v>
      </c>
      <c r="AS421" s="171"/>
      <c r="AT421" s="171" t="str">
        <f t="shared" si="35"/>
        <v>500</v>
      </c>
      <c r="AU421" s="255">
        <f t="shared" si="34"/>
        <v>22.727272727272727</v>
      </c>
      <c r="AV421" s="106">
        <v>100</v>
      </c>
      <c r="AW421" s="257">
        <v>3</v>
      </c>
      <c r="AX421" s="261"/>
      <c r="AY421" s="258">
        <v>20</v>
      </c>
      <c r="AZ421" s="261"/>
      <c r="BA421" s="175">
        <v>60</v>
      </c>
      <c r="BB421" s="259"/>
      <c r="BC421" s="176"/>
      <c r="BD421" s="179"/>
      <c r="BE421" s="177" t="s">
        <v>259</v>
      </c>
      <c r="BF421" s="178"/>
      <c r="BG421" s="27"/>
      <c r="BH421" s="27"/>
    </row>
    <row r="422" spans="1:60" ht="15" customHeight="1">
      <c r="A422" s="95">
        <v>421</v>
      </c>
      <c r="B422" s="96" t="s">
        <v>1309</v>
      </c>
      <c r="C422" s="73" t="s">
        <v>2593</v>
      </c>
      <c r="D422" s="257" t="s">
        <v>122</v>
      </c>
      <c r="E422" s="459" t="s">
        <v>3377</v>
      </c>
      <c r="F422" s="258">
        <v>1996</v>
      </c>
      <c r="G422" s="89"/>
      <c r="H422" s="57"/>
      <c r="I422" s="88"/>
      <c r="J422" s="100">
        <v>0.5</v>
      </c>
      <c r="K422" s="44">
        <v>5.1769999999999996</v>
      </c>
      <c r="L422" s="91"/>
      <c r="M422" s="65">
        <v>350</v>
      </c>
      <c r="N422" s="65"/>
      <c r="O422" s="106" t="s">
        <v>12</v>
      </c>
      <c r="P422" s="94"/>
      <c r="Q422" s="262"/>
      <c r="R422" s="94"/>
      <c r="S422" s="94"/>
      <c r="T422" s="506"/>
      <c r="U422" s="65"/>
      <c r="V422" s="131">
        <v>0</v>
      </c>
      <c r="W422" s="132">
        <v>0</v>
      </c>
      <c r="X422" s="120">
        <v>0</v>
      </c>
      <c r="Y422" s="120">
        <v>0</v>
      </c>
      <c r="Z422" s="120">
        <v>0</v>
      </c>
      <c r="AA422" s="130"/>
      <c r="AB422" s="17">
        <v>0</v>
      </c>
      <c r="AC422" s="17">
        <v>0</v>
      </c>
      <c r="AD422" s="130"/>
      <c r="AE422" s="130"/>
      <c r="AF422" s="17">
        <v>0</v>
      </c>
      <c r="AG422" s="133">
        <v>0</v>
      </c>
      <c r="AH422" s="17">
        <v>0</v>
      </c>
      <c r="AI422" s="133">
        <v>0</v>
      </c>
      <c r="AJ422" s="133">
        <v>0</v>
      </c>
      <c r="AK422" s="17">
        <v>0</v>
      </c>
      <c r="AL422" s="137">
        <v>0</v>
      </c>
      <c r="AM422" s="509">
        <v>63.3</v>
      </c>
      <c r="AN422" s="89"/>
      <c r="AO422" s="507"/>
      <c r="AP422" s="262"/>
      <c r="AQ422" s="133" t="s">
        <v>1285</v>
      </c>
      <c r="AR422" s="188">
        <v>100</v>
      </c>
      <c r="AS422" s="171"/>
      <c r="AT422" s="171" t="str">
        <f t="shared" si="35"/>
        <v>500</v>
      </c>
      <c r="AU422" s="255">
        <f t="shared" si="34"/>
        <v>22.727272727272727</v>
      </c>
      <c r="AV422" s="106">
        <v>100</v>
      </c>
      <c r="AW422" s="257">
        <v>3</v>
      </c>
      <c r="AX422" s="261"/>
      <c r="AY422" s="258">
        <v>20</v>
      </c>
      <c r="AZ422" s="261"/>
      <c r="BA422" s="175">
        <v>60</v>
      </c>
      <c r="BB422" s="259"/>
      <c r="BC422" s="176"/>
      <c r="BD422" s="179"/>
      <c r="BE422" s="177" t="s">
        <v>259</v>
      </c>
      <c r="BF422" s="178"/>
      <c r="BG422" s="27"/>
      <c r="BH422" s="27"/>
    </row>
    <row r="423" spans="1:60" ht="15" customHeight="1">
      <c r="A423" s="95">
        <v>422</v>
      </c>
      <c r="B423" s="96" t="s">
        <v>1308</v>
      </c>
      <c r="C423" s="73" t="s">
        <v>2593</v>
      </c>
      <c r="D423" s="257" t="s">
        <v>122</v>
      </c>
      <c r="E423" s="459" t="s">
        <v>3377</v>
      </c>
      <c r="F423" s="258">
        <v>1996</v>
      </c>
      <c r="G423" s="89"/>
      <c r="H423" s="57"/>
      <c r="I423" s="88"/>
      <c r="J423" s="100">
        <v>0.45</v>
      </c>
      <c r="K423" s="44">
        <v>6.5270000000000001</v>
      </c>
      <c r="L423" s="91"/>
      <c r="M423" s="65">
        <v>300</v>
      </c>
      <c r="N423" s="65"/>
      <c r="O423" s="106" t="s">
        <v>12</v>
      </c>
      <c r="P423" s="94"/>
      <c r="Q423" s="262"/>
      <c r="R423" s="94"/>
      <c r="S423" s="94"/>
      <c r="T423" s="506"/>
      <c r="U423" s="65"/>
      <c r="V423" s="131">
        <v>0</v>
      </c>
      <c r="W423" s="132">
        <v>0</v>
      </c>
      <c r="X423" s="120">
        <v>0</v>
      </c>
      <c r="Y423" s="120">
        <v>0</v>
      </c>
      <c r="Z423" s="120">
        <v>0</v>
      </c>
      <c r="AA423" s="130"/>
      <c r="AB423" s="17">
        <v>0</v>
      </c>
      <c r="AC423" s="17">
        <v>0</v>
      </c>
      <c r="AD423" s="130"/>
      <c r="AE423" s="130"/>
      <c r="AF423" s="17">
        <v>0</v>
      </c>
      <c r="AG423" s="133">
        <v>0</v>
      </c>
      <c r="AH423" s="17">
        <v>0</v>
      </c>
      <c r="AI423" s="133">
        <v>0</v>
      </c>
      <c r="AJ423" s="133">
        <v>0</v>
      </c>
      <c r="AK423" s="17">
        <v>0</v>
      </c>
      <c r="AL423" s="137">
        <v>0</v>
      </c>
      <c r="AM423" s="509">
        <v>73.7</v>
      </c>
      <c r="AN423" s="89"/>
      <c r="AO423" s="507"/>
      <c r="AP423" s="262"/>
      <c r="AQ423" s="133" t="s">
        <v>1285</v>
      </c>
      <c r="AR423" s="188">
        <v>100</v>
      </c>
      <c r="AS423" s="171"/>
      <c r="AT423" s="171" t="str">
        <f t="shared" si="35"/>
        <v>500</v>
      </c>
      <c r="AU423" s="255">
        <f t="shared" si="34"/>
        <v>22.727272727272727</v>
      </c>
      <c r="AV423" s="106">
        <v>100</v>
      </c>
      <c r="AW423" s="257">
        <v>3</v>
      </c>
      <c r="AX423" s="261"/>
      <c r="AY423" s="258">
        <v>20</v>
      </c>
      <c r="AZ423" s="261"/>
      <c r="BA423" s="175">
        <v>60</v>
      </c>
      <c r="BB423" s="259"/>
      <c r="BC423" s="176"/>
      <c r="BD423" s="179"/>
      <c r="BE423" s="177" t="s">
        <v>259</v>
      </c>
      <c r="BF423" s="178"/>
      <c r="BG423" s="27"/>
      <c r="BH423" s="27"/>
    </row>
    <row r="424" spans="1:60" ht="15" customHeight="1">
      <c r="A424" s="95">
        <v>423</v>
      </c>
      <c r="B424" s="96" t="s">
        <v>1307</v>
      </c>
      <c r="C424" s="73" t="s">
        <v>2593</v>
      </c>
      <c r="D424" s="257" t="s">
        <v>122</v>
      </c>
      <c r="E424" s="459" t="s">
        <v>3377</v>
      </c>
      <c r="F424" s="258">
        <v>1996</v>
      </c>
      <c r="G424" s="89"/>
      <c r="H424" s="57"/>
      <c r="I424" s="88"/>
      <c r="J424" s="100">
        <v>0.45</v>
      </c>
      <c r="K424" s="44">
        <v>5.0510000000000002</v>
      </c>
      <c r="L424" s="91"/>
      <c r="M424" s="65">
        <v>350</v>
      </c>
      <c r="N424" s="65"/>
      <c r="O424" s="106" t="s">
        <v>12</v>
      </c>
      <c r="P424" s="94"/>
      <c r="Q424" s="262"/>
      <c r="R424" s="94"/>
      <c r="S424" s="94"/>
      <c r="T424" s="506"/>
      <c r="U424" s="65"/>
      <c r="V424" s="131">
        <v>0</v>
      </c>
      <c r="W424" s="132">
        <v>0</v>
      </c>
      <c r="X424" s="120">
        <v>0</v>
      </c>
      <c r="Y424" s="120">
        <v>0</v>
      </c>
      <c r="Z424" s="120">
        <v>0</v>
      </c>
      <c r="AA424" s="130"/>
      <c r="AB424" s="17">
        <v>0</v>
      </c>
      <c r="AC424" s="17">
        <v>0</v>
      </c>
      <c r="AD424" s="130"/>
      <c r="AE424" s="130"/>
      <c r="AF424" s="17">
        <v>0</v>
      </c>
      <c r="AG424" s="133">
        <v>0</v>
      </c>
      <c r="AH424" s="17">
        <v>0</v>
      </c>
      <c r="AI424" s="133">
        <v>0</v>
      </c>
      <c r="AJ424" s="133">
        <v>3.5000000000000003E-2</v>
      </c>
      <c r="AK424" s="17">
        <v>0</v>
      </c>
      <c r="AL424" s="137">
        <v>0</v>
      </c>
      <c r="AM424" s="509">
        <v>60.4</v>
      </c>
      <c r="AN424" s="89"/>
      <c r="AO424" s="507"/>
      <c r="AP424" s="262"/>
      <c r="AQ424" s="133" t="s">
        <v>1285</v>
      </c>
      <c r="AR424" s="188">
        <v>100</v>
      </c>
      <c r="AS424" s="171"/>
      <c r="AT424" s="171" t="str">
        <f t="shared" si="35"/>
        <v>500</v>
      </c>
      <c r="AU424" s="255">
        <f t="shared" si="34"/>
        <v>22.727272727272727</v>
      </c>
      <c r="AV424" s="106">
        <v>100</v>
      </c>
      <c r="AW424" s="257">
        <v>3</v>
      </c>
      <c r="AX424" s="261"/>
      <c r="AY424" s="258">
        <v>20</v>
      </c>
      <c r="AZ424" s="261"/>
      <c r="BA424" s="175">
        <v>60</v>
      </c>
      <c r="BB424" s="259"/>
      <c r="BC424" s="176"/>
      <c r="BD424" s="179"/>
      <c r="BE424" s="177" t="s">
        <v>259</v>
      </c>
      <c r="BF424" s="178"/>
      <c r="BG424" s="27"/>
      <c r="BH424" s="27"/>
    </row>
    <row r="425" spans="1:60" ht="15" customHeight="1">
      <c r="A425" s="95">
        <v>424</v>
      </c>
      <c r="B425" s="96" t="s">
        <v>1306</v>
      </c>
      <c r="C425" s="73" t="s">
        <v>2593</v>
      </c>
      <c r="D425" s="257" t="s">
        <v>122</v>
      </c>
      <c r="E425" s="459" t="s">
        <v>3377</v>
      </c>
      <c r="F425" s="258">
        <v>1996</v>
      </c>
      <c r="G425" s="89"/>
      <c r="H425" s="57"/>
      <c r="I425" s="88"/>
      <c r="J425" s="100">
        <v>0.45</v>
      </c>
      <c r="K425" s="44">
        <v>5.84</v>
      </c>
      <c r="L425" s="91"/>
      <c r="M425" s="65">
        <v>350</v>
      </c>
      <c r="N425" s="65"/>
      <c r="O425" s="106" t="s">
        <v>12</v>
      </c>
      <c r="P425" s="94"/>
      <c r="Q425" s="262"/>
      <c r="R425" s="94"/>
      <c r="S425" s="94"/>
      <c r="T425" s="506"/>
      <c r="U425" s="65"/>
      <c r="V425" s="131">
        <v>0</v>
      </c>
      <c r="W425" s="132">
        <v>0</v>
      </c>
      <c r="X425" s="120">
        <v>0</v>
      </c>
      <c r="Y425" s="120">
        <v>0</v>
      </c>
      <c r="Z425" s="120">
        <v>0</v>
      </c>
      <c r="AA425" s="130"/>
      <c r="AB425" s="17">
        <v>0</v>
      </c>
      <c r="AC425" s="17">
        <v>0</v>
      </c>
      <c r="AD425" s="130"/>
      <c r="AE425" s="130"/>
      <c r="AF425" s="17">
        <v>0</v>
      </c>
      <c r="AG425" s="133">
        <v>0</v>
      </c>
      <c r="AH425" s="17">
        <v>0</v>
      </c>
      <c r="AI425" s="133">
        <v>0</v>
      </c>
      <c r="AJ425" s="133">
        <v>0</v>
      </c>
      <c r="AK425" s="17">
        <v>0</v>
      </c>
      <c r="AL425" s="137">
        <v>0</v>
      </c>
      <c r="AM425" s="509">
        <v>71.7</v>
      </c>
      <c r="AN425" s="89"/>
      <c r="AO425" s="507"/>
      <c r="AP425" s="262"/>
      <c r="AQ425" s="133" t="s">
        <v>1285</v>
      </c>
      <c r="AR425" s="188">
        <v>100</v>
      </c>
      <c r="AS425" s="171"/>
      <c r="AT425" s="171" t="str">
        <f t="shared" si="35"/>
        <v>500</v>
      </c>
      <c r="AU425" s="255">
        <f t="shared" si="34"/>
        <v>22.727272727272727</v>
      </c>
      <c r="AV425" s="106">
        <v>100</v>
      </c>
      <c r="AW425" s="257">
        <v>3</v>
      </c>
      <c r="AX425" s="261"/>
      <c r="AY425" s="258">
        <v>20</v>
      </c>
      <c r="AZ425" s="261"/>
      <c r="BA425" s="175">
        <v>60</v>
      </c>
      <c r="BB425" s="259"/>
      <c r="BC425" s="176" t="s">
        <v>558</v>
      </c>
      <c r="BD425" s="179"/>
      <c r="BE425" s="177" t="s">
        <v>259</v>
      </c>
      <c r="BF425" s="178"/>
      <c r="BG425" s="27"/>
      <c r="BH425" s="27"/>
    </row>
    <row r="426" spans="1:60" ht="15" customHeight="1">
      <c r="A426" s="95">
        <v>425</v>
      </c>
      <c r="B426" s="96" t="s">
        <v>1305</v>
      </c>
      <c r="C426" s="73" t="s">
        <v>2593</v>
      </c>
      <c r="D426" s="257" t="s">
        <v>122</v>
      </c>
      <c r="E426" s="459" t="s">
        <v>3377</v>
      </c>
      <c r="F426" s="258">
        <v>1996</v>
      </c>
      <c r="G426" s="89"/>
      <c r="H426" s="57"/>
      <c r="I426" s="88"/>
      <c r="J426" s="100">
        <v>0.45</v>
      </c>
      <c r="K426" s="44">
        <v>5.3739999999999997</v>
      </c>
      <c r="L426" s="91"/>
      <c r="M426" s="65">
        <v>350</v>
      </c>
      <c r="N426" s="65"/>
      <c r="O426" s="106" t="s">
        <v>12</v>
      </c>
      <c r="P426" s="94"/>
      <c r="Q426" s="262"/>
      <c r="R426" s="94"/>
      <c r="S426" s="94"/>
      <c r="T426" s="506"/>
      <c r="U426" s="65"/>
      <c r="V426" s="131">
        <v>0</v>
      </c>
      <c r="W426" s="132">
        <v>0</v>
      </c>
      <c r="X426" s="120">
        <v>0</v>
      </c>
      <c r="Y426" s="120">
        <v>0</v>
      </c>
      <c r="Z426" s="120">
        <v>0</v>
      </c>
      <c r="AA426" s="130"/>
      <c r="AB426" s="17">
        <v>0</v>
      </c>
      <c r="AC426" s="17">
        <v>0</v>
      </c>
      <c r="AD426" s="130"/>
      <c r="AE426" s="130"/>
      <c r="AF426" s="17">
        <v>0</v>
      </c>
      <c r="AG426" s="133">
        <v>0</v>
      </c>
      <c r="AH426" s="17">
        <v>0</v>
      </c>
      <c r="AI426" s="133">
        <v>0</v>
      </c>
      <c r="AJ426" s="133">
        <v>0</v>
      </c>
      <c r="AK426" s="17">
        <v>0</v>
      </c>
      <c r="AL426" s="137">
        <v>0</v>
      </c>
      <c r="AM426" s="509">
        <v>68.599999999999994</v>
      </c>
      <c r="AN426" s="89"/>
      <c r="AO426" s="507"/>
      <c r="AP426" s="262"/>
      <c r="AQ426" s="133" t="s">
        <v>1285</v>
      </c>
      <c r="AR426" s="188">
        <v>100</v>
      </c>
      <c r="AS426" s="171"/>
      <c r="AT426" s="171" t="str">
        <f t="shared" si="35"/>
        <v>500</v>
      </c>
      <c r="AU426" s="255">
        <f t="shared" si="34"/>
        <v>22.727272727272727</v>
      </c>
      <c r="AV426" s="106">
        <v>100</v>
      </c>
      <c r="AW426" s="257">
        <v>3</v>
      </c>
      <c r="AX426" s="261"/>
      <c r="AY426" s="258">
        <v>20</v>
      </c>
      <c r="AZ426" s="261"/>
      <c r="BA426" s="175">
        <v>60</v>
      </c>
      <c r="BB426" s="259"/>
      <c r="BC426" s="176"/>
      <c r="BD426" s="179"/>
      <c r="BE426" s="177" t="s">
        <v>259</v>
      </c>
      <c r="BF426" s="178"/>
      <c r="BG426" s="27"/>
      <c r="BH426" s="27"/>
    </row>
    <row r="427" spans="1:60" ht="15" customHeight="1">
      <c r="A427" s="95">
        <v>426</v>
      </c>
      <c r="B427" s="96" t="s">
        <v>1304</v>
      </c>
      <c r="C427" s="73" t="s">
        <v>2593</v>
      </c>
      <c r="D427" s="257" t="s">
        <v>122</v>
      </c>
      <c r="E427" s="459" t="s">
        <v>3377</v>
      </c>
      <c r="F427" s="258">
        <v>1996</v>
      </c>
      <c r="G427" s="89"/>
      <c r="H427" s="57"/>
      <c r="I427" s="88"/>
      <c r="J427" s="100">
        <v>0.47299999999999998</v>
      </c>
      <c r="K427" s="44">
        <v>5.3739999999999997</v>
      </c>
      <c r="L427" s="91"/>
      <c r="M427" s="65">
        <v>350</v>
      </c>
      <c r="N427" s="65"/>
      <c r="O427" s="106" t="s">
        <v>12</v>
      </c>
      <c r="P427" s="94"/>
      <c r="Q427" s="262"/>
      <c r="R427" s="94"/>
      <c r="S427" s="94"/>
      <c r="T427" s="506"/>
      <c r="U427" s="65"/>
      <c r="V427" s="131">
        <v>0</v>
      </c>
      <c r="W427" s="132">
        <v>0</v>
      </c>
      <c r="X427" s="120">
        <v>0</v>
      </c>
      <c r="Y427" s="120">
        <v>0</v>
      </c>
      <c r="Z427" s="120">
        <v>0</v>
      </c>
      <c r="AA427" s="130"/>
      <c r="AB427" s="17">
        <v>0</v>
      </c>
      <c r="AC427" s="17">
        <v>0</v>
      </c>
      <c r="AD427" s="130"/>
      <c r="AE427" s="130"/>
      <c r="AF427" s="17">
        <v>0</v>
      </c>
      <c r="AG427" s="133">
        <v>0</v>
      </c>
      <c r="AH427" s="17">
        <v>0</v>
      </c>
      <c r="AI427" s="133">
        <v>0</v>
      </c>
      <c r="AJ427" s="133">
        <v>0</v>
      </c>
      <c r="AK427" s="17">
        <v>0</v>
      </c>
      <c r="AL427" s="137">
        <v>0</v>
      </c>
      <c r="AM427" s="509">
        <v>64.599999999999994</v>
      </c>
      <c r="AN427" s="89"/>
      <c r="AO427" s="507"/>
      <c r="AP427" s="262"/>
      <c r="AQ427" s="133" t="s">
        <v>1285</v>
      </c>
      <c r="AR427" s="188">
        <v>100</v>
      </c>
      <c r="AS427" s="171"/>
      <c r="AT427" s="171" t="str">
        <f t="shared" si="35"/>
        <v>500</v>
      </c>
      <c r="AU427" s="255">
        <f t="shared" si="34"/>
        <v>22.727272727272727</v>
      </c>
      <c r="AV427" s="106">
        <v>100</v>
      </c>
      <c r="AW427" s="257">
        <v>3</v>
      </c>
      <c r="AX427" s="261"/>
      <c r="AY427" s="258">
        <v>20</v>
      </c>
      <c r="AZ427" s="261"/>
      <c r="BA427" s="175">
        <v>60</v>
      </c>
      <c r="BB427" s="259"/>
      <c r="BC427" s="176"/>
      <c r="BD427" s="179"/>
      <c r="BE427" s="177" t="s">
        <v>259</v>
      </c>
      <c r="BF427" s="178"/>
      <c r="BG427" s="27"/>
      <c r="BH427" s="27"/>
    </row>
    <row r="428" spans="1:60" ht="15" customHeight="1">
      <c r="A428" s="95">
        <v>427</v>
      </c>
      <c r="B428" s="96" t="s">
        <v>1303</v>
      </c>
      <c r="C428" s="73" t="s">
        <v>2593</v>
      </c>
      <c r="D428" s="257" t="s">
        <v>122</v>
      </c>
      <c r="E428" s="459" t="s">
        <v>3377</v>
      </c>
      <c r="F428" s="258">
        <v>1996</v>
      </c>
      <c r="G428" s="89"/>
      <c r="H428" s="57"/>
      <c r="I428" s="88"/>
      <c r="J428" s="100">
        <v>0.45</v>
      </c>
      <c r="K428" s="44">
        <v>5.3090000000000002</v>
      </c>
      <c r="L428" s="91"/>
      <c r="M428" s="65">
        <v>350</v>
      </c>
      <c r="N428" s="65"/>
      <c r="O428" s="106" t="s">
        <v>12</v>
      </c>
      <c r="P428" s="94"/>
      <c r="Q428" s="262"/>
      <c r="R428" s="94"/>
      <c r="S428" s="94"/>
      <c r="T428" s="506"/>
      <c r="U428" s="65"/>
      <c r="V428" s="131">
        <v>0</v>
      </c>
      <c r="W428" s="132">
        <v>0</v>
      </c>
      <c r="X428" s="120">
        <v>0</v>
      </c>
      <c r="Y428" s="120">
        <v>0</v>
      </c>
      <c r="Z428" s="120">
        <v>0</v>
      </c>
      <c r="AA428" s="130"/>
      <c r="AB428" s="17">
        <v>0</v>
      </c>
      <c r="AC428" s="17">
        <v>0</v>
      </c>
      <c r="AD428" s="130"/>
      <c r="AE428" s="130"/>
      <c r="AF428" s="17">
        <v>0</v>
      </c>
      <c r="AG428" s="133">
        <v>0</v>
      </c>
      <c r="AH428" s="17">
        <v>0</v>
      </c>
      <c r="AI428" s="133">
        <v>0</v>
      </c>
      <c r="AJ428" s="133">
        <v>0</v>
      </c>
      <c r="AK428" s="17">
        <v>0</v>
      </c>
      <c r="AL428" s="137">
        <v>0</v>
      </c>
      <c r="AM428" s="509">
        <v>72.099999999999994</v>
      </c>
      <c r="AN428" s="89"/>
      <c r="AO428" s="507"/>
      <c r="AP428" s="262"/>
      <c r="AQ428" s="133" t="s">
        <v>1285</v>
      </c>
      <c r="AR428" s="188">
        <v>100</v>
      </c>
      <c r="AS428" s="171"/>
      <c r="AT428" s="171" t="str">
        <f t="shared" si="35"/>
        <v>500</v>
      </c>
      <c r="AU428" s="255">
        <f t="shared" si="34"/>
        <v>22.727272727272727</v>
      </c>
      <c r="AV428" s="106">
        <v>100</v>
      </c>
      <c r="AW428" s="257">
        <v>3</v>
      </c>
      <c r="AX428" s="261"/>
      <c r="AY428" s="258">
        <v>20</v>
      </c>
      <c r="AZ428" s="261"/>
      <c r="BA428" s="175">
        <v>100</v>
      </c>
      <c r="BB428" s="259"/>
      <c r="BC428" s="176"/>
      <c r="BD428" s="179"/>
      <c r="BE428" s="177" t="s">
        <v>259</v>
      </c>
      <c r="BF428" s="178"/>
      <c r="BG428" s="27"/>
      <c r="BH428" s="27"/>
    </row>
    <row r="429" spans="1:60" ht="15" customHeight="1">
      <c r="A429" s="95">
        <v>428</v>
      </c>
      <c r="B429" s="96" t="s">
        <v>1302</v>
      </c>
      <c r="C429" s="73" t="s">
        <v>2593</v>
      </c>
      <c r="D429" s="257" t="s">
        <v>122</v>
      </c>
      <c r="E429" s="459" t="s">
        <v>3377</v>
      </c>
      <c r="F429" s="258">
        <v>1996</v>
      </c>
      <c r="G429" s="89"/>
      <c r="H429" s="57"/>
      <c r="I429" s="88"/>
      <c r="J429" s="100">
        <v>0.45</v>
      </c>
      <c r="K429" s="44">
        <v>5.3090000000000002</v>
      </c>
      <c r="L429" s="91"/>
      <c r="M429" s="65">
        <v>350</v>
      </c>
      <c r="N429" s="65"/>
      <c r="O429" s="106" t="s">
        <v>12</v>
      </c>
      <c r="P429" s="94"/>
      <c r="Q429" s="262"/>
      <c r="R429" s="94"/>
      <c r="S429" s="94"/>
      <c r="T429" s="506"/>
      <c r="U429" s="65"/>
      <c r="V429" s="131">
        <v>0</v>
      </c>
      <c r="W429" s="132">
        <v>0</v>
      </c>
      <c r="X429" s="120">
        <v>0</v>
      </c>
      <c r="Y429" s="120">
        <v>0</v>
      </c>
      <c r="Z429" s="120">
        <v>0</v>
      </c>
      <c r="AA429" s="130"/>
      <c r="AB429" s="17">
        <v>0</v>
      </c>
      <c r="AC429" s="17">
        <v>0</v>
      </c>
      <c r="AD429" s="130"/>
      <c r="AE429" s="130"/>
      <c r="AF429" s="17">
        <v>0</v>
      </c>
      <c r="AG429" s="133">
        <v>0</v>
      </c>
      <c r="AH429" s="17">
        <v>0</v>
      </c>
      <c r="AI429" s="133">
        <v>0</v>
      </c>
      <c r="AJ429" s="133">
        <v>0</v>
      </c>
      <c r="AK429" s="17">
        <v>0</v>
      </c>
      <c r="AL429" s="137">
        <v>0</v>
      </c>
      <c r="AM429" s="509">
        <v>67.099999999999994</v>
      </c>
      <c r="AN429" s="89"/>
      <c r="AO429" s="507"/>
      <c r="AP429" s="262"/>
      <c r="AQ429" s="133" t="s">
        <v>1285</v>
      </c>
      <c r="AR429" s="188">
        <v>100</v>
      </c>
      <c r="AS429" s="171"/>
      <c r="AT429" s="171" t="str">
        <f t="shared" si="35"/>
        <v>500</v>
      </c>
      <c r="AU429" s="255">
        <f t="shared" si="34"/>
        <v>22.727272727272727</v>
      </c>
      <c r="AV429" s="106">
        <v>100</v>
      </c>
      <c r="AW429" s="257">
        <v>3</v>
      </c>
      <c r="AX429" s="261"/>
      <c r="AY429" s="258">
        <v>20</v>
      </c>
      <c r="AZ429" s="261"/>
      <c r="BA429" s="175">
        <v>100</v>
      </c>
      <c r="BB429" s="259"/>
      <c r="BC429" s="176"/>
      <c r="BD429" s="179"/>
      <c r="BE429" s="177" t="s">
        <v>259</v>
      </c>
      <c r="BF429" s="178"/>
      <c r="BG429" s="27"/>
      <c r="BH429" s="27"/>
    </row>
    <row r="430" spans="1:60" ht="15" customHeight="1">
      <c r="A430" s="95">
        <v>429</v>
      </c>
      <c r="B430" s="96" t="s">
        <v>1301</v>
      </c>
      <c r="C430" s="73" t="s">
        <v>2593</v>
      </c>
      <c r="D430" s="257" t="s">
        <v>122</v>
      </c>
      <c r="E430" s="459" t="s">
        <v>3377</v>
      </c>
      <c r="F430" s="258">
        <v>1996</v>
      </c>
      <c r="G430" s="89"/>
      <c r="H430" s="57"/>
      <c r="I430" s="88"/>
      <c r="J430" s="100">
        <v>0.4</v>
      </c>
      <c r="K430" s="44">
        <v>5.44</v>
      </c>
      <c r="L430" s="91"/>
      <c r="M430" s="65">
        <v>350</v>
      </c>
      <c r="N430" s="65"/>
      <c r="O430" s="106" t="s">
        <v>12</v>
      </c>
      <c r="P430" s="94"/>
      <c r="Q430" s="262"/>
      <c r="R430" s="94"/>
      <c r="S430" s="94"/>
      <c r="T430" s="506"/>
      <c r="U430" s="65"/>
      <c r="V430" s="131">
        <v>0</v>
      </c>
      <c r="W430" s="132">
        <v>0</v>
      </c>
      <c r="X430" s="120">
        <v>0</v>
      </c>
      <c r="Y430" s="120">
        <v>0</v>
      </c>
      <c r="Z430" s="120">
        <v>0</v>
      </c>
      <c r="AA430" s="130"/>
      <c r="AB430" s="17">
        <v>0</v>
      </c>
      <c r="AC430" s="17">
        <v>0</v>
      </c>
      <c r="AD430" s="130"/>
      <c r="AE430" s="130"/>
      <c r="AF430" s="17">
        <v>0</v>
      </c>
      <c r="AG430" s="133">
        <v>0</v>
      </c>
      <c r="AH430" s="17">
        <v>0</v>
      </c>
      <c r="AI430" s="133">
        <v>0</v>
      </c>
      <c r="AJ430" s="133">
        <v>0</v>
      </c>
      <c r="AK430" s="17">
        <v>0</v>
      </c>
      <c r="AL430" s="137">
        <v>0</v>
      </c>
      <c r="AM430" s="509">
        <v>77.900000000000006</v>
      </c>
      <c r="AN430" s="89"/>
      <c r="AO430" s="507"/>
      <c r="AP430" s="262"/>
      <c r="AQ430" s="133" t="s">
        <v>1285</v>
      </c>
      <c r="AR430" s="188">
        <v>100</v>
      </c>
      <c r="AS430" s="171"/>
      <c r="AT430" s="171" t="str">
        <f t="shared" si="35"/>
        <v>500</v>
      </c>
      <c r="AU430" s="255">
        <f t="shared" si="34"/>
        <v>22.727272727272727</v>
      </c>
      <c r="AV430" s="106">
        <v>100</v>
      </c>
      <c r="AW430" s="257">
        <v>3</v>
      </c>
      <c r="AX430" s="261"/>
      <c r="AY430" s="258">
        <v>20</v>
      </c>
      <c r="AZ430" s="261"/>
      <c r="BA430" s="175">
        <v>100</v>
      </c>
      <c r="BB430" s="259"/>
      <c r="BC430" s="176"/>
      <c r="BD430" s="179"/>
      <c r="BE430" s="177" t="s">
        <v>259</v>
      </c>
      <c r="BF430" s="178"/>
      <c r="BG430" s="27"/>
      <c r="BH430" s="27"/>
    </row>
    <row r="431" spans="1:60" ht="15" customHeight="1">
      <c r="A431" s="95">
        <v>430</v>
      </c>
      <c r="B431" s="96" t="s">
        <v>1300</v>
      </c>
      <c r="C431" s="73" t="s">
        <v>2593</v>
      </c>
      <c r="D431" s="257" t="s">
        <v>122</v>
      </c>
      <c r="E431" s="459" t="s">
        <v>3377</v>
      </c>
      <c r="F431" s="258">
        <v>1996</v>
      </c>
      <c r="G431" s="89"/>
      <c r="H431" s="57"/>
      <c r="I431" s="88"/>
      <c r="J431" s="100">
        <v>0.5</v>
      </c>
      <c r="K431" s="44">
        <v>5.1769999999999996</v>
      </c>
      <c r="L431" s="91"/>
      <c r="M431" s="65">
        <v>350</v>
      </c>
      <c r="N431" s="65"/>
      <c r="O431" s="106" t="s">
        <v>12</v>
      </c>
      <c r="P431" s="94"/>
      <c r="Q431" s="262"/>
      <c r="R431" s="94"/>
      <c r="S431" s="94"/>
      <c r="T431" s="506"/>
      <c r="U431" s="65"/>
      <c r="V431" s="131">
        <v>0</v>
      </c>
      <c r="W431" s="132">
        <v>0</v>
      </c>
      <c r="X431" s="120">
        <v>0</v>
      </c>
      <c r="Y431" s="120">
        <v>0</v>
      </c>
      <c r="Z431" s="120">
        <v>0</v>
      </c>
      <c r="AA431" s="130"/>
      <c r="AB431" s="17">
        <v>0</v>
      </c>
      <c r="AC431" s="17">
        <v>0</v>
      </c>
      <c r="AD431" s="130"/>
      <c r="AE431" s="130"/>
      <c r="AF431" s="17">
        <v>0</v>
      </c>
      <c r="AG431" s="133">
        <v>0</v>
      </c>
      <c r="AH431" s="17">
        <v>0</v>
      </c>
      <c r="AI431" s="133">
        <v>0</v>
      </c>
      <c r="AJ431" s="133">
        <v>0</v>
      </c>
      <c r="AK431" s="17">
        <v>0</v>
      </c>
      <c r="AL431" s="137">
        <v>0</v>
      </c>
      <c r="AM431" s="509">
        <v>63.3</v>
      </c>
      <c r="AN431" s="89"/>
      <c r="AO431" s="507"/>
      <c r="AP431" s="262"/>
      <c r="AQ431" s="133" t="s">
        <v>1285</v>
      </c>
      <c r="AR431" s="188">
        <v>100</v>
      </c>
      <c r="AS431" s="171"/>
      <c r="AT431" s="171" t="str">
        <f t="shared" si="35"/>
        <v>500</v>
      </c>
      <c r="AU431" s="255">
        <f t="shared" si="34"/>
        <v>22.727272727272727</v>
      </c>
      <c r="AV431" s="106">
        <v>100</v>
      </c>
      <c r="AW431" s="257">
        <v>3</v>
      </c>
      <c r="AX431" s="261"/>
      <c r="AY431" s="258">
        <v>20</v>
      </c>
      <c r="AZ431" s="261"/>
      <c r="BA431" s="175">
        <v>100</v>
      </c>
      <c r="BB431" s="259"/>
      <c r="BC431" s="176"/>
      <c r="BD431" s="179"/>
      <c r="BE431" s="177" t="s">
        <v>259</v>
      </c>
      <c r="BF431" s="178"/>
      <c r="BG431" s="27"/>
      <c r="BH431" s="27"/>
    </row>
    <row r="432" spans="1:60" ht="15" customHeight="1">
      <c r="A432" s="95">
        <v>431</v>
      </c>
      <c r="B432" s="96" t="s">
        <v>1299</v>
      </c>
      <c r="C432" s="73" t="s">
        <v>2593</v>
      </c>
      <c r="D432" s="257" t="s">
        <v>122</v>
      </c>
      <c r="E432" s="459" t="s">
        <v>3377</v>
      </c>
      <c r="F432" s="258">
        <v>1996</v>
      </c>
      <c r="G432" s="89"/>
      <c r="H432" s="57"/>
      <c r="I432" s="88"/>
      <c r="J432" s="100">
        <v>0.45</v>
      </c>
      <c r="K432" s="44">
        <v>6.5270000000000001</v>
      </c>
      <c r="L432" s="91"/>
      <c r="M432" s="65">
        <v>300</v>
      </c>
      <c r="N432" s="65"/>
      <c r="O432" s="106" t="s">
        <v>12</v>
      </c>
      <c r="P432" s="94"/>
      <c r="Q432" s="262"/>
      <c r="R432" s="94"/>
      <c r="S432" s="94"/>
      <c r="T432" s="506"/>
      <c r="U432" s="65"/>
      <c r="V432" s="131">
        <v>0</v>
      </c>
      <c r="W432" s="132">
        <v>0</v>
      </c>
      <c r="X432" s="120">
        <v>0</v>
      </c>
      <c r="Y432" s="120">
        <v>0</v>
      </c>
      <c r="Z432" s="120">
        <v>0</v>
      </c>
      <c r="AA432" s="130"/>
      <c r="AB432" s="17">
        <v>0</v>
      </c>
      <c r="AC432" s="17">
        <v>0</v>
      </c>
      <c r="AD432" s="130"/>
      <c r="AE432" s="130"/>
      <c r="AF432" s="17">
        <v>0</v>
      </c>
      <c r="AG432" s="133">
        <v>0</v>
      </c>
      <c r="AH432" s="17">
        <v>0</v>
      </c>
      <c r="AI432" s="133">
        <v>0</v>
      </c>
      <c r="AJ432" s="133">
        <v>0</v>
      </c>
      <c r="AK432" s="17">
        <v>0</v>
      </c>
      <c r="AL432" s="137">
        <v>0</v>
      </c>
      <c r="AM432" s="509">
        <v>73.7</v>
      </c>
      <c r="AN432" s="89"/>
      <c r="AO432" s="507"/>
      <c r="AP432" s="262"/>
      <c r="AQ432" s="133" t="s">
        <v>1285</v>
      </c>
      <c r="AR432" s="188">
        <v>100</v>
      </c>
      <c r="AS432" s="171"/>
      <c r="AT432" s="171" t="str">
        <f t="shared" si="35"/>
        <v>500</v>
      </c>
      <c r="AU432" s="255">
        <f t="shared" si="34"/>
        <v>22.727272727272727</v>
      </c>
      <c r="AV432" s="106">
        <v>100</v>
      </c>
      <c r="AW432" s="257">
        <v>3</v>
      </c>
      <c r="AX432" s="261"/>
      <c r="AY432" s="258">
        <v>20</v>
      </c>
      <c r="AZ432" s="261"/>
      <c r="BA432" s="175">
        <v>100</v>
      </c>
      <c r="BB432" s="259"/>
      <c r="BC432" s="176"/>
      <c r="BD432" s="171"/>
      <c r="BE432" s="171" t="s">
        <v>259</v>
      </c>
      <c r="BF432" s="190"/>
      <c r="BG432" s="27"/>
      <c r="BH432" s="27"/>
    </row>
    <row r="433" spans="1:60" ht="15" customHeight="1">
      <c r="A433" s="95">
        <v>432</v>
      </c>
      <c r="B433" s="96" t="s">
        <v>1298</v>
      </c>
      <c r="C433" s="73" t="s">
        <v>2593</v>
      </c>
      <c r="D433" s="257" t="s">
        <v>122</v>
      </c>
      <c r="E433" s="459" t="s">
        <v>3377</v>
      </c>
      <c r="F433" s="258">
        <v>1996</v>
      </c>
      <c r="G433" s="89"/>
      <c r="H433" s="57"/>
      <c r="I433" s="88"/>
      <c r="J433" s="100">
        <v>0.45</v>
      </c>
      <c r="K433" s="44">
        <v>5.0510000000000002</v>
      </c>
      <c r="L433" s="91"/>
      <c r="M433" s="65">
        <v>350</v>
      </c>
      <c r="N433" s="65"/>
      <c r="O433" s="106" t="s">
        <v>12</v>
      </c>
      <c r="P433" s="94"/>
      <c r="Q433" s="262"/>
      <c r="R433" s="94"/>
      <c r="S433" s="94"/>
      <c r="T433" s="506"/>
      <c r="U433" s="65"/>
      <c r="V433" s="131">
        <v>0</v>
      </c>
      <c r="W433" s="132">
        <v>0</v>
      </c>
      <c r="X433" s="120">
        <v>0</v>
      </c>
      <c r="Y433" s="120">
        <v>0</v>
      </c>
      <c r="Z433" s="120">
        <v>0</v>
      </c>
      <c r="AA433" s="130"/>
      <c r="AB433" s="17">
        <v>0</v>
      </c>
      <c r="AC433" s="17">
        <v>0</v>
      </c>
      <c r="AD433" s="130"/>
      <c r="AE433" s="130"/>
      <c r="AF433" s="17">
        <v>0</v>
      </c>
      <c r="AG433" s="133">
        <v>0</v>
      </c>
      <c r="AH433" s="17">
        <v>0</v>
      </c>
      <c r="AI433" s="133">
        <v>0</v>
      </c>
      <c r="AJ433" s="133">
        <v>3.5000000000000003E-2</v>
      </c>
      <c r="AK433" s="17">
        <v>0</v>
      </c>
      <c r="AL433" s="137">
        <v>0</v>
      </c>
      <c r="AM433" s="509">
        <v>60.4</v>
      </c>
      <c r="AN433" s="89"/>
      <c r="AO433" s="507"/>
      <c r="AP433" s="262"/>
      <c r="AQ433" s="133" t="s">
        <v>1285</v>
      </c>
      <c r="AR433" s="188">
        <v>100</v>
      </c>
      <c r="AS433" s="171"/>
      <c r="AT433" s="171" t="str">
        <f t="shared" si="35"/>
        <v>500</v>
      </c>
      <c r="AU433" s="255">
        <f t="shared" si="34"/>
        <v>22.727272727272727</v>
      </c>
      <c r="AV433" s="106">
        <v>100</v>
      </c>
      <c r="AW433" s="257">
        <v>3</v>
      </c>
      <c r="AX433" s="261"/>
      <c r="AY433" s="258">
        <v>20</v>
      </c>
      <c r="AZ433" s="261"/>
      <c r="BA433" s="175">
        <v>100</v>
      </c>
      <c r="BB433" s="259"/>
      <c r="BC433" s="176" t="s">
        <v>558</v>
      </c>
      <c r="BD433" s="177"/>
      <c r="BE433" s="177" t="s">
        <v>259</v>
      </c>
      <c r="BF433" s="178"/>
      <c r="BG433" s="27"/>
      <c r="BH433" s="27"/>
    </row>
    <row r="434" spans="1:60" ht="15" customHeight="1">
      <c r="A434" s="95">
        <v>433</v>
      </c>
      <c r="B434" s="96" t="s">
        <v>1297</v>
      </c>
      <c r="C434" s="73" t="s">
        <v>2593</v>
      </c>
      <c r="D434" s="257" t="s">
        <v>122</v>
      </c>
      <c r="E434" s="459" t="s">
        <v>3377</v>
      </c>
      <c r="F434" s="258">
        <v>1996</v>
      </c>
      <c r="G434" s="89"/>
      <c r="H434" s="57"/>
      <c r="I434" s="88"/>
      <c r="J434" s="100">
        <v>0.45</v>
      </c>
      <c r="K434" s="44">
        <v>5.84</v>
      </c>
      <c r="L434" s="91"/>
      <c r="M434" s="65">
        <v>350</v>
      </c>
      <c r="N434" s="65"/>
      <c r="O434" s="106" t="s">
        <v>12</v>
      </c>
      <c r="P434" s="94"/>
      <c r="Q434" s="262"/>
      <c r="R434" s="94"/>
      <c r="S434" s="94"/>
      <c r="T434" s="506"/>
      <c r="U434" s="65"/>
      <c r="V434" s="131">
        <v>0</v>
      </c>
      <c r="W434" s="132">
        <v>0</v>
      </c>
      <c r="X434" s="120">
        <v>0</v>
      </c>
      <c r="Y434" s="120">
        <v>0</v>
      </c>
      <c r="Z434" s="120">
        <v>0</v>
      </c>
      <c r="AA434" s="130"/>
      <c r="AB434" s="17">
        <v>0</v>
      </c>
      <c r="AC434" s="17">
        <v>0</v>
      </c>
      <c r="AD434" s="130"/>
      <c r="AE434" s="130"/>
      <c r="AF434" s="17">
        <v>0</v>
      </c>
      <c r="AG434" s="133">
        <v>0</v>
      </c>
      <c r="AH434" s="17">
        <v>0</v>
      </c>
      <c r="AI434" s="133">
        <v>0</v>
      </c>
      <c r="AJ434" s="133">
        <v>0</v>
      </c>
      <c r="AK434" s="17">
        <v>0</v>
      </c>
      <c r="AL434" s="137">
        <v>0</v>
      </c>
      <c r="AM434" s="509">
        <v>71.7</v>
      </c>
      <c r="AN434" s="89"/>
      <c r="AO434" s="507"/>
      <c r="AP434" s="262"/>
      <c r="AQ434" s="133" t="s">
        <v>1285</v>
      </c>
      <c r="AR434" s="188">
        <v>100</v>
      </c>
      <c r="AS434" s="171"/>
      <c r="AT434" s="171" t="str">
        <f t="shared" si="35"/>
        <v>500</v>
      </c>
      <c r="AU434" s="255">
        <f t="shared" si="34"/>
        <v>22.727272727272727</v>
      </c>
      <c r="AV434" s="106">
        <v>100</v>
      </c>
      <c r="AW434" s="257">
        <v>3</v>
      </c>
      <c r="AX434" s="261"/>
      <c r="AY434" s="258">
        <v>20</v>
      </c>
      <c r="AZ434" s="261"/>
      <c r="BA434" s="175">
        <v>100</v>
      </c>
      <c r="BB434" s="259"/>
      <c r="BC434" s="176" t="s">
        <v>558</v>
      </c>
      <c r="BD434" s="177"/>
      <c r="BE434" s="177" t="s">
        <v>259</v>
      </c>
      <c r="BF434" s="178"/>
      <c r="BG434" s="27"/>
      <c r="BH434" s="27"/>
    </row>
    <row r="435" spans="1:60" ht="15" customHeight="1">
      <c r="A435" s="95">
        <v>434</v>
      </c>
      <c r="B435" s="96" t="s">
        <v>1296</v>
      </c>
      <c r="C435" s="73" t="s">
        <v>2593</v>
      </c>
      <c r="D435" s="257" t="s">
        <v>122</v>
      </c>
      <c r="E435" s="459" t="s">
        <v>3377</v>
      </c>
      <c r="F435" s="258">
        <v>1996</v>
      </c>
      <c r="G435" s="89"/>
      <c r="H435" s="57"/>
      <c r="I435" s="88"/>
      <c r="J435" s="100">
        <v>0.45</v>
      </c>
      <c r="K435" s="44">
        <v>5.3739999999999997</v>
      </c>
      <c r="L435" s="91"/>
      <c r="M435" s="65">
        <v>350</v>
      </c>
      <c r="N435" s="65"/>
      <c r="O435" s="106" t="s">
        <v>12</v>
      </c>
      <c r="P435" s="94"/>
      <c r="Q435" s="262"/>
      <c r="R435" s="94"/>
      <c r="S435" s="94"/>
      <c r="T435" s="506"/>
      <c r="U435" s="65"/>
      <c r="V435" s="131">
        <v>0</v>
      </c>
      <c r="W435" s="132">
        <v>0</v>
      </c>
      <c r="X435" s="120">
        <v>0</v>
      </c>
      <c r="Y435" s="120">
        <v>0</v>
      </c>
      <c r="Z435" s="120">
        <v>0</v>
      </c>
      <c r="AA435" s="130"/>
      <c r="AB435" s="17">
        <v>0</v>
      </c>
      <c r="AC435" s="17">
        <v>0</v>
      </c>
      <c r="AD435" s="130"/>
      <c r="AE435" s="130"/>
      <c r="AF435" s="17">
        <v>0</v>
      </c>
      <c r="AG435" s="133">
        <v>0</v>
      </c>
      <c r="AH435" s="17">
        <v>0</v>
      </c>
      <c r="AI435" s="133">
        <v>0</v>
      </c>
      <c r="AJ435" s="133">
        <v>0</v>
      </c>
      <c r="AK435" s="17">
        <v>0</v>
      </c>
      <c r="AL435" s="137">
        <v>0</v>
      </c>
      <c r="AM435" s="509">
        <v>68.599999999999994</v>
      </c>
      <c r="AN435" s="89"/>
      <c r="AO435" s="507"/>
      <c r="AP435" s="262"/>
      <c r="AQ435" s="133" t="s">
        <v>1285</v>
      </c>
      <c r="AR435" s="188">
        <v>100</v>
      </c>
      <c r="AS435" s="171"/>
      <c r="AT435" s="171" t="str">
        <f t="shared" si="35"/>
        <v>500</v>
      </c>
      <c r="AU435" s="255">
        <f t="shared" si="34"/>
        <v>22.727272727272727</v>
      </c>
      <c r="AV435" s="106">
        <v>100</v>
      </c>
      <c r="AW435" s="257">
        <v>3</v>
      </c>
      <c r="AX435" s="261"/>
      <c r="AY435" s="258">
        <v>20</v>
      </c>
      <c r="AZ435" s="261"/>
      <c r="BA435" s="175">
        <v>100</v>
      </c>
      <c r="BB435" s="259"/>
      <c r="BC435" s="176" t="s">
        <v>558</v>
      </c>
      <c r="BD435" s="177"/>
      <c r="BE435" s="177" t="s">
        <v>259</v>
      </c>
      <c r="BF435" s="178"/>
      <c r="BG435" s="27"/>
      <c r="BH435" s="27"/>
    </row>
    <row r="436" spans="1:60" ht="15" customHeight="1">
      <c r="A436" s="95">
        <v>435</v>
      </c>
      <c r="B436" s="96" t="s">
        <v>1295</v>
      </c>
      <c r="C436" s="73" t="s">
        <v>2593</v>
      </c>
      <c r="D436" s="257" t="s">
        <v>122</v>
      </c>
      <c r="E436" s="459" t="s">
        <v>3377</v>
      </c>
      <c r="F436" s="258">
        <v>1996</v>
      </c>
      <c r="G436" s="89"/>
      <c r="H436" s="57"/>
      <c r="I436" s="88"/>
      <c r="J436" s="100">
        <v>0.47299999999999998</v>
      </c>
      <c r="K436" s="44">
        <v>5.3739999999999997</v>
      </c>
      <c r="L436" s="91"/>
      <c r="M436" s="65">
        <v>350</v>
      </c>
      <c r="N436" s="65"/>
      <c r="O436" s="106" t="s">
        <v>12</v>
      </c>
      <c r="P436" s="94"/>
      <c r="Q436" s="262"/>
      <c r="R436" s="94"/>
      <c r="S436" s="94"/>
      <c r="T436" s="506"/>
      <c r="U436" s="65"/>
      <c r="V436" s="131">
        <v>0</v>
      </c>
      <c r="W436" s="132">
        <v>0</v>
      </c>
      <c r="X436" s="120">
        <v>0</v>
      </c>
      <c r="Y436" s="120">
        <v>0</v>
      </c>
      <c r="Z436" s="120">
        <v>0</v>
      </c>
      <c r="AA436" s="130"/>
      <c r="AB436" s="17">
        <v>0</v>
      </c>
      <c r="AC436" s="17">
        <v>0</v>
      </c>
      <c r="AD436" s="130"/>
      <c r="AE436" s="130"/>
      <c r="AF436" s="17">
        <v>0</v>
      </c>
      <c r="AG436" s="133">
        <v>0</v>
      </c>
      <c r="AH436" s="17">
        <v>0</v>
      </c>
      <c r="AI436" s="133">
        <v>0</v>
      </c>
      <c r="AJ436" s="133">
        <v>0</v>
      </c>
      <c r="AK436" s="17">
        <v>0</v>
      </c>
      <c r="AL436" s="137">
        <v>0</v>
      </c>
      <c r="AM436" s="509">
        <v>64.599999999999994</v>
      </c>
      <c r="AN436" s="89"/>
      <c r="AO436" s="507"/>
      <c r="AP436" s="262"/>
      <c r="AQ436" s="133" t="s">
        <v>1285</v>
      </c>
      <c r="AR436" s="188">
        <v>100</v>
      </c>
      <c r="AS436" s="171"/>
      <c r="AT436" s="171" t="str">
        <f t="shared" si="35"/>
        <v>500</v>
      </c>
      <c r="AU436" s="255">
        <f t="shared" si="34"/>
        <v>22.727272727272727</v>
      </c>
      <c r="AV436" s="106">
        <v>100</v>
      </c>
      <c r="AW436" s="257">
        <v>3</v>
      </c>
      <c r="AX436" s="261"/>
      <c r="AY436" s="258">
        <v>20</v>
      </c>
      <c r="AZ436" s="261"/>
      <c r="BA436" s="175">
        <v>100</v>
      </c>
      <c r="BB436" s="259"/>
      <c r="BC436" s="176"/>
      <c r="BD436" s="177"/>
      <c r="BE436" s="177" t="s">
        <v>259</v>
      </c>
      <c r="BF436" s="178"/>
      <c r="BG436" s="27"/>
      <c r="BH436" s="27"/>
    </row>
    <row r="437" spans="1:60">
      <c r="A437" s="95">
        <v>436</v>
      </c>
      <c r="B437" s="96" t="s">
        <v>1294</v>
      </c>
      <c r="C437" s="73" t="s">
        <v>2593</v>
      </c>
      <c r="D437" s="257" t="s">
        <v>122</v>
      </c>
      <c r="E437" s="459" t="s">
        <v>3377</v>
      </c>
      <c r="F437" s="258">
        <v>1996</v>
      </c>
      <c r="G437" s="89"/>
      <c r="H437" s="57"/>
      <c r="I437" s="173" t="s">
        <v>1739</v>
      </c>
      <c r="J437" s="100">
        <v>0.45</v>
      </c>
      <c r="K437" s="44">
        <v>5.3090000000000002</v>
      </c>
      <c r="L437" s="91"/>
      <c r="M437" s="65">
        <v>350</v>
      </c>
      <c r="N437" s="65"/>
      <c r="O437" s="106" t="s">
        <v>12</v>
      </c>
      <c r="P437" s="94"/>
      <c r="Q437" s="262"/>
      <c r="R437" s="94"/>
      <c r="S437" s="94"/>
      <c r="T437" s="506"/>
      <c r="U437" s="65"/>
      <c r="V437" s="131">
        <v>0</v>
      </c>
      <c r="W437" s="132">
        <v>0</v>
      </c>
      <c r="X437" s="120">
        <v>0</v>
      </c>
      <c r="Y437" s="120">
        <v>0</v>
      </c>
      <c r="Z437" s="120">
        <v>0</v>
      </c>
      <c r="AA437" s="130"/>
      <c r="AB437" s="17">
        <v>0</v>
      </c>
      <c r="AC437" s="17">
        <v>0</v>
      </c>
      <c r="AD437" s="130"/>
      <c r="AE437" s="130"/>
      <c r="AF437" s="17">
        <v>0</v>
      </c>
      <c r="AG437" s="133">
        <v>0</v>
      </c>
      <c r="AH437" s="17">
        <v>0</v>
      </c>
      <c r="AI437" s="133">
        <v>0</v>
      </c>
      <c r="AJ437" s="133">
        <v>0</v>
      </c>
      <c r="AK437" s="17">
        <v>0</v>
      </c>
      <c r="AL437" s="137">
        <v>0</v>
      </c>
      <c r="AM437" s="509">
        <v>72.099999999999994</v>
      </c>
      <c r="AN437" s="89"/>
      <c r="AO437" s="507"/>
      <c r="AP437" s="262"/>
      <c r="AQ437" s="133" t="s">
        <v>1285</v>
      </c>
      <c r="AR437" s="188">
        <v>100</v>
      </c>
      <c r="AS437" s="171"/>
      <c r="AT437" s="171" t="str">
        <f t="shared" si="35"/>
        <v>500</v>
      </c>
      <c r="AU437" s="255">
        <f t="shared" si="34"/>
        <v>22.727272727272727</v>
      </c>
      <c r="AV437" s="106">
        <v>100</v>
      </c>
      <c r="AW437" s="257">
        <v>1</v>
      </c>
      <c r="AX437" s="261"/>
      <c r="AY437" s="258">
        <v>20</v>
      </c>
      <c r="AZ437" s="261"/>
      <c r="BA437" s="175">
        <v>99</v>
      </c>
      <c r="BB437" s="259"/>
      <c r="BC437" s="176" t="s">
        <v>558</v>
      </c>
      <c r="BD437" s="177"/>
      <c r="BE437" s="177" t="s">
        <v>259</v>
      </c>
      <c r="BF437" s="178"/>
      <c r="BG437" s="27"/>
      <c r="BH437" s="27"/>
    </row>
    <row r="438" spans="1:60">
      <c r="A438" s="95">
        <v>437</v>
      </c>
      <c r="B438" s="96" t="s">
        <v>1293</v>
      </c>
      <c r="C438" s="73" t="s">
        <v>2593</v>
      </c>
      <c r="D438" s="257" t="s">
        <v>122</v>
      </c>
      <c r="E438" s="459" t="s">
        <v>3377</v>
      </c>
      <c r="F438" s="258">
        <v>1996</v>
      </c>
      <c r="G438" s="89"/>
      <c r="H438" s="57"/>
      <c r="I438" s="173" t="s">
        <v>1739</v>
      </c>
      <c r="J438" s="100">
        <v>0.45</v>
      </c>
      <c r="K438" s="44">
        <v>5.3090000000000002</v>
      </c>
      <c r="L438" s="91"/>
      <c r="M438" s="65">
        <v>350</v>
      </c>
      <c r="N438" s="65"/>
      <c r="O438" s="106" t="s">
        <v>12</v>
      </c>
      <c r="P438" s="94"/>
      <c r="Q438" s="262"/>
      <c r="R438" s="94"/>
      <c r="S438" s="94"/>
      <c r="T438" s="506"/>
      <c r="U438" s="65"/>
      <c r="V438" s="131">
        <v>0</v>
      </c>
      <c r="W438" s="132">
        <v>0</v>
      </c>
      <c r="X438" s="120">
        <v>0</v>
      </c>
      <c r="Y438" s="120">
        <v>0</v>
      </c>
      <c r="Z438" s="120">
        <v>0</v>
      </c>
      <c r="AA438" s="130"/>
      <c r="AB438" s="17">
        <v>0</v>
      </c>
      <c r="AC438" s="17">
        <v>0</v>
      </c>
      <c r="AD438" s="130"/>
      <c r="AE438" s="130"/>
      <c r="AF438" s="17">
        <v>0</v>
      </c>
      <c r="AG438" s="133">
        <v>0</v>
      </c>
      <c r="AH438" s="17">
        <v>0</v>
      </c>
      <c r="AI438" s="133">
        <v>0</v>
      </c>
      <c r="AJ438" s="133">
        <v>0</v>
      </c>
      <c r="AK438" s="17">
        <v>0</v>
      </c>
      <c r="AL438" s="137">
        <v>0</v>
      </c>
      <c r="AM438" s="509">
        <v>67.099999999999994</v>
      </c>
      <c r="AN438" s="89"/>
      <c r="AO438" s="507"/>
      <c r="AP438" s="262"/>
      <c r="AQ438" s="133" t="s">
        <v>1285</v>
      </c>
      <c r="AR438" s="188">
        <v>100</v>
      </c>
      <c r="AS438" s="171"/>
      <c r="AT438" s="171" t="str">
        <f t="shared" si="35"/>
        <v>500</v>
      </c>
      <c r="AU438" s="255">
        <f t="shared" si="34"/>
        <v>22.727272727272727</v>
      </c>
      <c r="AV438" s="106">
        <v>100</v>
      </c>
      <c r="AW438" s="257">
        <v>1</v>
      </c>
      <c r="AX438" s="261"/>
      <c r="AY438" s="258">
        <v>20</v>
      </c>
      <c r="AZ438" s="261"/>
      <c r="BA438" s="175">
        <v>99</v>
      </c>
      <c r="BB438" s="259"/>
      <c r="BC438" s="176" t="s">
        <v>558</v>
      </c>
      <c r="BD438" s="177"/>
      <c r="BE438" s="177" t="s">
        <v>259</v>
      </c>
      <c r="BF438" s="178"/>
      <c r="BG438" s="27"/>
      <c r="BH438" s="27"/>
    </row>
    <row r="439" spans="1:60">
      <c r="A439" s="95">
        <v>438</v>
      </c>
      <c r="B439" s="96" t="s">
        <v>1292</v>
      </c>
      <c r="C439" s="73" t="s">
        <v>2593</v>
      </c>
      <c r="D439" s="257" t="s">
        <v>122</v>
      </c>
      <c r="E439" s="459" t="s">
        <v>3377</v>
      </c>
      <c r="F439" s="258">
        <v>1996</v>
      </c>
      <c r="G439" s="89"/>
      <c r="H439" s="57"/>
      <c r="I439" s="173" t="s">
        <v>1739</v>
      </c>
      <c r="J439" s="100">
        <v>0.4</v>
      </c>
      <c r="K439" s="44">
        <v>5.44</v>
      </c>
      <c r="L439" s="91"/>
      <c r="M439" s="65">
        <v>350</v>
      </c>
      <c r="N439" s="65"/>
      <c r="O439" s="106" t="s">
        <v>12</v>
      </c>
      <c r="P439" s="94"/>
      <c r="Q439" s="262"/>
      <c r="R439" s="94"/>
      <c r="S439" s="94"/>
      <c r="T439" s="506"/>
      <c r="U439" s="65"/>
      <c r="V439" s="131">
        <v>0</v>
      </c>
      <c r="W439" s="132">
        <v>0</v>
      </c>
      <c r="X439" s="120">
        <v>0</v>
      </c>
      <c r="Y439" s="120">
        <v>0</v>
      </c>
      <c r="Z439" s="120">
        <v>0</v>
      </c>
      <c r="AA439" s="130"/>
      <c r="AB439" s="17">
        <v>0</v>
      </c>
      <c r="AC439" s="17">
        <v>0</v>
      </c>
      <c r="AD439" s="130"/>
      <c r="AE439" s="130"/>
      <c r="AF439" s="17">
        <v>0</v>
      </c>
      <c r="AG439" s="133">
        <v>0</v>
      </c>
      <c r="AH439" s="17">
        <v>0</v>
      </c>
      <c r="AI439" s="133">
        <v>0</v>
      </c>
      <c r="AJ439" s="133">
        <v>0</v>
      </c>
      <c r="AK439" s="17">
        <v>0</v>
      </c>
      <c r="AL439" s="137">
        <v>0</v>
      </c>
      <c r="AM439" s="509">
        <v>77.900000000000006</v>
      </c>
      <c r="AN439" s="89"/>
      <c r="AO439" s="507"/>
      <c r="AP439" s="262"/>
      <c r="AQ439" s="133" t="s">
        <v>1285</v>
      </c>
      <c r="AR439" s="188">
        <v>100</v>
      </c>
      <c r="AS439" s="171"/>
      <c r="AT439" s="171" t="str">
        <f t="shared" si="35"/>
        <v>500</v>
      </c>
      <c r="AU439" s="255">
        <f t="shared" si="34"/>
        <v>22.727272727272727</v>
      </c>
      <c r="AV439" s="106">
        <v>100</v>
      </c>
      <c r="AW439" s="257">
        <v>1</v>
      </c>
      <c r="AX439" s="261"/>
      <c r="AY439" s="258">
        <v>20</v>
      </c>
      <c r="AZ439" s="261"/>
      <c r="BA439" s="175">
        <v>99</v>
      </c>
      <c r="BB439" s="259"/>
      <c r="BC439" s="176"/>
      <c r="BD439" s="177"/>
      <c r="BE439" s="177" t="s">
        <v>259</v>
      </c>
      <c r="BF439" s="178"/>
      <c r="BG439" s="27"/>
      <c r="BH439" s="27"/>
    </row>
    <row r="440" spans="1:60">
      <c r="A440" s="95">
        <v>439</v>
      </c>
      <c r="B440" s="96" t="s">
        <v>1291</v>
      </c>
      <c r="C440" s="73" t="s">
        <v>2593</v>
      </c>
      <c r="D440" s="257" t="s">
        <v>122</v>
      </c>
      <c r="E440" s="459" t="s">
        <v>3377</v>
      </c>
      <c r="F440" s="258">
        <v>1996</v>
      </c>
      <c r="G440" s="89"/>
      <c r="H440" s="57"/>
      <c r="I440" s="173" t="s">
        <v>1739</v>
      </c>
      <c r="J440" s="100">
        <v>0.5</v>
      </c>
      <c r="K440" s="44">
        <v>5.1769999999999996</v>
      </c>
      <c r="L440" s="91"/>
      <c r="M440" s="65">
        <v>350</v>
      </c>
      <c r="N440" s="65"/>
      <c r="O440" s="106" t="s">
        <v>12</v>
      </c>
      <c r="P440" s="94"/>
      <c r="Q440" s="262"/>
      <c r="R440" s="94"/>
      <c r="S440" s="94"/>
      <c r="T440" s="506"/>
      <c r="U440" s="65"/>
      <c r="V440" s="131">
        <v>0</v>
      </c>
      <c r="W440" s="132">
        <v>0</v>
      </c>
      <c r="X440" s="120">
        <v>0</v>
      </c>
      <c r="Y440" s="120">
        <v>0</v>
      </c>
      <c r="Z440" s="120">
        <v>0</v>
      </c>
      <c r="AA440" s="130"/>
      <c r="AB440" s="17">
        <v>0</v>
      </c>
      <c r="AC440" s="17">
        <v>0</v>
      </c>
      <c r="AD440" s="130"/>
      <c r="AE440" s="130"/>
      <c r="AF440" s="17">
        <v>0</v>
      </c>
      <c r="AG440" s="133">
        <v>0</v>
      </c>
      <c r="AH440" s="17">
        <v>0</v>
      </c>
      <c r="AI440" s="133">
        <v>0</v>
      </c>
      <c r="AJ440" s="133">
        <v>0</v>
      </c>
      <c r="AK440" s="17">
        <v>0</v>
      </c>
      <c r="AL440" s="137">
        <v>0</v>
      </c>
      <c r="AM440" s="509">
        <v>63.3</v>
      </c>
      <c r="AN440" s="89"/>
      <c r="AO440" s="507"/>
      <c r="AP440" s="262"/>
      <c r="AQ440" s="133" t="s">
        <v>1285</v>
      </c>
      <c r="AR440" s="188">
        <v>100</v>
      </c>
      <c r="AS440" s="171"/>
      <c r="AT440" s="171" t="str">
        <f t="shared" si="35"/>
        <v>500</v>
      </c>
      <c r="AU440" s="255">
        <f t="shared" si="34"/>
        <v>22.727272727272727</v>
      </c>
      <c r="AV440" s="106">
        <v>100</v>
      </c>
      <c r="AW440" s="257">
        <v>1</v>
      </c>
      <c r="AX440" s="261"/>
      <c r="AY440" s="258">
        <v>20</v>
      </c>
      <c r="AZ440" s="261"/>
      <c r="BA440" s="175">
        <v>99</v>
      </c>
      <c r="BB440" s="259"/>
      <c r="BC440" s="176"/>
      <c r="BD440" s="177"/>
      <c r="BE440" s="177" t="s">
        <v>259</v>
      </c>
      <c r="BF440" s="178"/>
      <c r="BG440" s="27"/>
      <c r="BH440" s="27"/>
    </row>
    <row r="441" spans="1:60">
      <c r="A441" s="95">
        <v>440</v>
      </c>
      <c r="B441" s="96" t="s">
        <v>1290</v>
      </c>
      <c r="C441" s="73" t="s">
        <v>2593</v>
      </c>
      <c r="D441" s="257" t="s">
        <v>122</v>
      </c>
      <c r="E441" s="459" t="s">
        <v>3377</v>
      </c>
      <c r="F441" s="258">
        <v>1996</v>
      </c>
      <c r="G441" s="89"/>
      <c r="H441" s="57"/>
      <c r="I441" s="173" t="s">
        <v>1739</v>
      </c>
      <c r="J441" s="100">
        <v>0.45</v>
      </c>
      <c r="K441" s="44">
        <v>6.5270000000000001</v>
      </c>
      <c r="L441" s="91"/>
      <c r="M441" s="65">
        <v>300</v>
      </c>
      <c r="N441" s="65"/>
      <c r="O441" s="106" t="s">
        <v>12</v>
      </c>
      <c r="P441" s="94"/>
      <c r="Q441" s="262"/>
      <c r="R441" s="94"/>
      <c r="S441" s="94"/>
      <c r="T441" s="506"/>
      <c r="U441" s="65"/>
      <c r="V441" s="131">
        <v>0</v>
      </c>
      <c r="W441" s="132">
        <v>0</v>
      </c>
      <c r="X441" s="120">
        <v>0</v>
      </c>
      <c r="Y441" s="120">
        <v>0</v>
      </c>
      <c r="Z441" s="120">
        <v>0</v>
      </c>
      <c r="AA441" s="130"/>
      <c r="AB441" s="17">
        <v>0</v>
      </c>
      <c r="AC441" s="17">
        <v>0</v>
      </c>
      <c r="AD441" s="130"/>
      <c r="AE441" s="130"/>
      <c r="AF441" s="17">
        <v>0</v>
      </c>
      <c r="AG441" s="133">
        <v>0</v>
      </c>
      <c r="AH441" s="17">
        <v>0</v>
      </c>
      <c r="AI441" s="133">
        <v>0</v>
      </c>
      <c r="AJ441" s="133">
        <v>0</v>
      </c>
      <c r="AK441" s="17">
        <v>0</v>
      </c>
      <c r="AL441" s="137">
        <v>0</v>
      </c>
      <c r="AM441" s="509">
        <v>73.7</v>
      </c>
      <c r="AN441" s="89"/>
      <c r="AO441" s="507"/>
      <c r="AP441" s="262"/>
      <c r="AQ441" s="133" t="s">
        <v>1285</v>
      </c>
      <c r="AR441" s="188">
        <v>100</v>
      </c>
      <c r="AS441" s="171"/>
      <c r="AT441" s="171" t="str">
        <f t="shared" si="35"/>
        <v>500</v>
      </c>
      <c r="AU441" s="255">
        <f t="shared" si="34"/>
        <v>22.727272727272727</v>
      </c>
      <c r="AV441" s="106">
        <v>100</v>
      </c>
      <c r="AW441" s="257">
        <v>1</v>
      </c>
      <c r="AX441" s="261"/>
      <c r="AY441" s="258">
        <v>20</v>
      </c>
      <c r="AZ441" s="261"/>
      <c r="BA441" s="175">
        <v>99</v>
      </c>
      <c r="BB441" s="259"/>
      <c r="BC441" s="176" t="s">
        <v>558</v>
      </c>
      <c r="BD441" s="177"/>
      <c r="BE441" s="177" t="s">
        <v>259</v>
      </c>
      <c r="BF441" s="178"/>
      <c r="BG441" s="27"/>
      <c r="BH441" s="27"/>
    </row>
    <row r="442" spans="1:60">
      <c r="A442" s="95">
        <v>441</v>
      </c>
      <c r="B442" s="96" t="s">
        <v>1289</v>
      </c>
      <c r="C442" s="73" t="s">
        <v>2593</v>
      </c>
      <c r="D442" s="257" t="s">
        <v>122</v>
      </c>
      <c r="E442" s="459" t="s">
        <v>3377</v>
      </c>
      <c r="F442" s="258">
        <v>1996</v>
      </c>
      <c r="G442" s="89"/>
      <c r="H442" s="57"/>
      <c r="I442" s="173" t="s">
        <v>1739</v>
      </c>
      <c r="J442" s="100">
        <v>0.45</v>
      </c>
      <c r="K442" s="44">
        <v>5.0510000000000002</v>
      </c>
      <c r="L442" s="91"/>
      <c r="M442" s="65">
        <v>350</v>
      </c>
      <c r="N442" s="65"/>
      <c r="O442" s="106" t="s">
        <v>12</v>
      </c>
      <c r="P442" s="94"/>
      <c r="Q442" s="262"/>
      <c r="R442" s="94"/>
      <c r="S442" s="94"/>
      <c r="T442" s="506"/>
      <c r="U442" s="65"/>
      <c r="V442" s="131">
        <v>0</v>
      </c>
      <c r="W442" s="132">
        <v>0</v>
      </c>
      <c r="X442" s="120">
        <v>0</v>
      </c>
      <c r="Y442" s="120">
        <v>0</v>
      </c>
      <c r="Z442" s="120">
        <v>0</v>
      </c>
      <c r="AA442" s="130"/>
      <c r="AB442" s="17">
        <v>0</v>
      </c>
      <c r="AC442" s="17">
        <v>0</v>
      </c>
      <c r="AD442" s="130"/>
      <c r="AE442" s="130"/>
      <c r="AF442" s="17">
        <v>0</v>
      </c>
      <c r="AG442" s="133">
        <v>0</v>
      </c>
      <c r="AH442" s="17">
        <v>0</v>
      </c>
      <c r="AI442" s="133">
        <v>0</v>
      </c>
      <c r="AJ442" s="133">
        <v>3.5000000000000003E-2</v>
      </c>
      <c r="AK442" s="17">
        <v>0</v>
      </c>
      <c r="AL442" s="137">
        <v>0</v>
      </c>
      <c r="AM442" s="509">
        <v>60.4</v>
      </c>
      <c r="AN442" s="89"/>
      <c r="AO442" s="507"/>
      <c r="AP442" s="262"/>
      <c r="AQ442" s="133" t="s">
        <v>1285</v>
      </c>
      <c r="AR442" s="188">
        <v>100</v>
      </c>
      <c r="AS442" s="171"/>
      <c r="AT442" s="171" t="str">
        <f t="shared" si="35"/>
        <v>500</v>
      </c>
      <c r="AU442" s="255">
        <f t="shared" si="34"/>
        <v>22.727272727272727</v>
      </c>
      <c r="AV442" s="106">
        <v>100</v>
      </c>
      <c r="AW442" s="257">
        <v>1</v>
      </c>
      <c r="AX442" s="261"/>
      <c r="AY442" s="258">
        <v>20</v>
      </c>
      <c r="AZ442" s="261"/>
      <c r="BA442" s="175">
        <v>99</v>
      </c>
      <c r="BB442" s="259"/>
      <c r="BC442" s="176" t="s">
        <v>558</v>
      </c>
      <c r="BD442" s="177"/>
      <c r="BE442" s="177" t="s">
        <v>259</v>
      </c>
      <c r="BF442" s="178"/>
      <c r="BG442" s="27"/>
      <c r="BH442" s="27"/>
    </row>
    <row r="443" spans="1:60">
      <c r="A443" s="95">
        <v>442</v>
      </c>
      <c r="B443" s="96" t="s">
        <v>1288</v>
      </c>
      <c r="C443" s="73" t="s">
        <v>2593</v>
      </c>
      <c r="D443" s="257" t="s">
        <v>122</v>
      </c>
      <c r="E443" s="459" t="s">
        <v>3377</v>
      </c>
      <c r="F443" s="258">
        <v>1996</v>
      </c>
      <c r="G443" s="89"/>
      <c r="H443" s="57"/>
      <c r="I443" s="173" t="s">
        <v>1739</v>
      </c>
      <c r="J443" s="100">
        <v>0.45</v>
      </c>
      <c r="K443" s="44">
        <v>5.84</v>
      </c>
      <c r="L443" s="91"/>
      <c r="M443" s="65">
        <v>350</v>
      </c>
      <c r="N443" s="65"/>
      <c r="O443" s="106" t="s">
        <v>12</v>
      </c>
      <c r="P443" s="94"/>
      <c r="Q443" s="262"/>
      <c r="R443" s="94"/>
      <c r="S443" s="94"/>
      <c r="T443" s="506"/>
      <c r="U443" s="65"/>
      <c r="V443" s="131">
        <v>0</v>
      </c>
      <c r="W443" s="132">
        <v>0</v>
      </c>
      <c r="X443" s="120">
        <v>0</v>
      </c>
      <c r="Y443" s="120">
        <v>0</v>
      </c>
      <c r="Z443" s="120">
        <v>0</v>
      </c>
      <c r="AA443" s="130"/>
      <c r="AB443" s="17">
        <v>0</v>
      </c>
      <c r="AC443" s="17">
        <v>0</v>
      </c>
      <c r="AD443" s="130"/>
      <c r="AE443" s="130"/>
      <c r="AF443" s="17">
        <v>0</v>
      </c>
      <c r="AG443" s="133">
        <v>0</v>
      </c>
      <c r="AH443" s="17">
        <v>0</v>
      </c>
      <c r="AI443" s="133">
        <v>0</v>
      </c>
      <c r="AJ443" s="133">
        <v>0</v>
      </c>
      <c r="AK443" s="17">
        <v>0</v>
      </c>
      <c r="AL443" s="137">
        <v>0</v>
      </c>
      <c r="AM443" s="509">
        <v>71.7</v>
      </c>
      <c r="AN443" s="89"/>
      <c r="AO443" s="507"/>
      <c r="AP443" s="262"/>
      <c r="AQ443" s="133" t="s">
        <v>1285</v>
      </c>
      <c r="AR443" s="188">
        <v>100</v>
      </c>
      <c r="AS443" s="171"/>
      <c r="AT443" s="171" t="str">
        <f t="shared" si="35"/>
        <v>500</v>
      </c>
      <c r="AU443" s="255">
        <f t="shared" si="34"/>
        <v>22.727272727272727</v>
      </c>
      <c r="AV443" s="106">
        <v>100</v>
      </c>
      <c r="AW443" s="257">
        <v>1</v>
      </c>
      <c r="AX443" s="261"/>
      <c r="AY443" s="258">
        <v>20</v>
      </c>
      <c r="AZ443" s="261"/>
      <c r="BA443" s="175">
        <v>99</v>
      </c>
      <c r="BB443" s="259"/>
      <c r="BC443" s="176"/>
      <c r="BD443" s="177"/>
      <c r="BE443" s="177" t="s">
        <v>259</v>
      </c>
      <c r="BF443" s="178"/>
      <c r="BG443" s="27"/>
      <c r="BH443" s="27"/>
    </row>
    <row r="444" spans="1:60">
      <c r="A444" s="95">
        <v>443</v>
      </c>
      <c r="B444" s="96" t="s">
        <v>1287</v>
      </c>
      <c r="C444" s="73" t="s">
        <v>2593</v>
      </c>
      <c r="D444" s="257" t="s">
        <v>122</v>
      </c>
      <c r="E444" s="459" t="s">
        <v>3377</v>
      </c>
      <c r="F444" s="258">
        <v>1996</v>
      </c>
      <c r="G444" s="89"/>
      <c r="H444" s="57"/>
      <c r="I444" s="173" t="s">
        <v>1739</v>
      </c>
      <c r="J444" s="100">
        <v>0.45</v>
      </c>
      <c r="K444" s="44">
        <v>5.3739999999999997</v>
      </c>
      <c r="L444" s="91"/>
      <c r="M444" s="65">
        <v>350</v>
      </c>
      <c r="N444" s="65"/>
      <c r="O444" s="106" t="s">
        <v>12</v>
      </c>
      <c r="P444" s="94"/>
      <c r="Q444" s="262"/>
      <c r="R444" s="94"/>
      <c r="S444" s="94"/>
      <c r="T444" s="506"/>
      <c r="U444" s="65"/>
      <c r="V444" s="131">
        <v>0</v>
      </c>
      <c r="W444" s="132">
        <v>0</v>
      </c>
      <c r="X444" s="120">
        <v>0</v>
      </c>
      <c r="Y444" s="120">
        <v>0</v>
      </c>
      <c r="Z444" s="120">
        <v>0</v>
      </c>
      <c r="AA444" s="130"/>
      <c r="AB444" s="17">
        <v>0</v>
      </c>
      <c r="AC444" s="17">
        <v>0</v>
      </c>
      <c r="AD444" s="130"/>
      <c r="AE444" s="130"/>
      <c r="AF444" s="17">
        <v>0</v>
      </c>
      <c r="AG444" s="133">
        <v>0</v>
      </c>
      <c r="AH444" s="17">
        <v>0</v>
      </c>
      <c r="AI444" s="133">
        <v>0</v>
      </c>
      <c r="AJ444" s="133">
        <v>0</v>
      </c>
      <c r="AK444" s="17">
        <v>0</v>
      </c>
      <c r="AL444" s="137">
        <v>0</v>
      </c>
      <c r="AM444" s="509">
        <v>68.599999999999994</v>
      </c>
      <c r="AN444" s="89"/>
      <c r="AO444" s="507"/>
      <c r="AP444" s="262"/>
      <c r="AQ444" s="133" t="s">
        <v>1285</v>
      </c>
      <c r="AR444" s="188">
        <v>100</v>
      </c>
      <c r="AS444" s="171"/>
      <c r="AT444" s="171" t="str">
        <f t="shared" si="35"/>
        <v>500</v>
      </c>
      <c r="AU444" s="255">
        <f t="shared" si="34"/>
        <v>22.727272727272727</v>
      </c>
      <c r="AV444" s="106">
        <v>100</v>
      </c>
      <c r="AW444" s="257">
        <v>1</v>
      </c>
      <c r="AX444" s="261"/>
      <c r="AY444" s="258">
        <v>20</v>
      </c>
      <c r="AZ444" s="261"/>
      <c r="BA444" s="175">
        <v>99</v>
      </c>
      <c r="BB444" s="259"/>
      <c r="BC444" s="176"/>
      <c r="BD444" s="177"/>
      <c r="BE444" s="177" t="s">
        <v>259</v>
      </c>
      <c r="BF444" s="178"/>
      <c r="BG444" s="27"/>
      <c r="BH444" s="27"/>
    </row>
    <row r="445" spans="1:60">
      <c r="A445" s="95">
        <v>444</v>
      </c>
      <c r="B445" s="96" t="s">
        <v>1286</v>
      </c>
      <c r="C445" s="73" t="s">
        <v>2593</v>
      </c>
      <c r="D445" s="257" t="s">
        <v>122</v>
      </c>
      <c r="E445" s="459" t="s">
        <v>3377</v>
      </c>
      <c r="F445" s="258">
        <v>1996</v>
      </c>
      <c r="G445" s="89"/>
      <c r="H445" s="57"/>
      <c r="I445" s="173" t="s">
        <v>1739</v>
      </c>
      <c r="J445" s="100">
        <v>0.47299999999999998</v>
      </c>
      <c r="K445" s="44">
        <v>5.3739999999999997</v>
      </c>
      <c r="L445" s="91"/>
      <c r="M445" s="65">
        <v>350</v>
      </c>
      <c r="N445" s="65"/>
      <c r="O445" s="106" t="s">
        <v>12</v>
      </c>
      <c r="P445" s="94"/>
      <c r="Q445" s="262"/>
      <c r="R445" s="507"/>
      <c r="S445" s="94"/>
      <c r="T445" s="506"/>
      <c r="U445" s="506"/>
      <c r="V445" s="131">
        <v>0</v>
      </c>
      <c r="W445" s="132">
        <v>0</v>
      </c>
      <c r="X445" s="120">
        <v>0</v>
      </c>
      <c r="Y445" s="120">
        <v>0</v>
      </c>
      <c r="Z445" s="120">
        <v>0</v>
      </c>
      <c r="AA445" s="130"/>
      <c r="AB445" s="17">
        <v>0</v>
      </c>
      <c r="AC445" s="17">
        <v>0</v>
      </c>
      <c r="AD445" s="130"/>
      <c r="AE445" s="130"/>
      <c r="AF445" s="17">
        <v>0</v>
      </c>
      <c r="AG445" s="133">
        <v>0</v>
      </c>
      <c r="AH445" s="17">
        <v>0</v>
      </c>
      <c r="AI445" s="133">
        <v>0</v>
      </c>
      <c r="AJ445" s="133">
        <v>0</v>
      </c>
      <c r="AK445" s="17">
        <v>0</v>
      </c>
      <c r="AL445" s="137">
        <v>0</v>
      </c>
      <c r="AM445" s="509">
        <v>64.599999999999994</v>
      </c>
      <c r="AN445" s="89"/>
      <c r="AO445" s="507"/>
      <c r="AP445" s="262"/>
      <c r="AQ445" s="133" t="s">
        <v>1285</v>
      </c>
      <c r="AR445" s="188">
        <v>100</v>
      </c>
      <c r="AS445" s="171"/>
      <c r="AT445" s="171" t="str">
        <f t="shared" si="35"/>
        <v>500</v>
      </c>
      <c r="AU445" s="255">
        <f t="shared" si="34"/>
        <v>22.727272727272727</v>
      </c>
      <c r="AV445" s="509">
        <v>100</v>
      </c>
      <c r="AW445" s="257">
        <v>1</v>
      </c>
      <c r="AX445" s="261"/>
      <c r="AY445" s="258">
        <v>20</v>
      </c>
      <c r="AZ445" s="261"/>
      <c r="BA445" s="175">
        <v>99</v>
      </c>
      <c r="BB445" s="259"/>
      <c r="BC445" s="176"/>
      <c r="BD445" s="177"/>
      <c r="BE445" s="177" t="s">
        <v>259</v>
      </c>
      <c r="BF445" s="178"/>
      <c r="BG445" s="27"/>
      <c r="BH445" s="27"/>
    </row>
    <row r="446" spans="1:60" ht="15" customHeight="1">
      <c r="A446" s="95">
        <v>445</v>
      </c>
      <c r="B446" s="96" t="s">
        <v>1284</v>
      </c>
      <c r="C446" s="73" t="s">
        <v>2594</v>
      </c>
      <c r="D446" s="257" t="s">
        <v>1278</v>
      </c>
      <c r="E446" s="459" t="s">
        <v>3377</v>
      </c>
      <c r="F446" s="258">
        <v>1998</v>
      </c>
      <c r="G446" s="89"/>
      <c r="H446" s="57"/>
      <c r="I446" s="88"/>
      <c r="J446" s="100">
        <v>0.34050000000000002</v>
      </c>
      <c r="K446" s="44">
        <v>4.33</v>
      </c>
      <c r="L446" s="260"/>
      <c r="M446" s="261"/>
      <c r="N446" s="261"/>
      <c r="O446" s="106" t="s">
        <v>12</v>
      </c>
      <c r="P446" s="94"/>
      <c r="Q446" s="262"/>
      <c r="R446" s="507"/>
      <c r="S446" s="94"/>
      <c r="T446" s="506"/>
      <c r="U446" s="506"/>
      <c r="V446" s="131"/>
      <c r="W446" s="132"/>
      <c r="X446" s="129"/>
      <c r="Y446" s="120">
        <v>0</v>
      </c>
      <c r="Z446" s="120">
        <v>0</v>
      </c>
      <c r="AA446" s="130"/>
      <c r="AB446" s="17">
        <v>0</v>
      </c>
      <c r="AC446" s="17">
        <v>0</v>
      </c>
      <c r="AD446" s="130"/>
      <c r="AE446" s="130"/>
      <c r="AF446" s="17">
        <v>0</v>
      </c>
      <c r="AG446" s="130"/>
      <c r="AH446" s="17">
        <v>0</v>
      </c>
      <c r="AI446" s="130"/>
      <c r="AJ446" s="130"/>
      <c r="AK446" s="17">
        <v>0</v>
      </c>
      <c r="AL446" s="143"/>
      <c r="AM446" s="509">
        <v>80</v>
      </c>
      <c r="AN446" s="89"/>
      <c r="AO446" s="507"/>
      <c r="AP446" s="262"/>
      <c r="AQ446" s="133" t="s">
        <v>123</v>
      </c>
      <c r="AR446" s="174">
        <v>50</v>
      </c>
      <c r="AS446" s="171"/>
      <c r="AT446" s="171" t="str">
        <f t="shared" si="35"/>
        <v>400</v>
      </c>
      <c r="AU446" s="255">
        <f t="shared" ref="AU446:AU457" si="36">(AR446*AT446)/((2*AT446)+(2*AR446))</f>
        <v>22.222222222222221</v>
      </c>
      <c r="AV446" s="509">
        <v>50</v>
      </c>
      <c r="AW446" s="257">
        <v>1</v>
      </c>
      <c r="AX446" s="261"/>
      <c r="AY446" s="258">
        <v>23</v>
      </c>
      <c r="AZ446" s="261"/>
      <c r="BA446" s="175">
        <v>99</v>
      </c>
      <c r="BB446" s="259"/>
      <c r="BC446" s="176"/>
      <c r="BD446" s="177" t="s">
        <v>259</v>
      </c>
      <c r="BE446" s="177" t="s">
        <v>259</v>
      </c>
      <c r="BF446" s="178"/>
      <c r="BG446" s="27"/>
      <c r="BH446" s="27"/>
    </row>
    <row r="447" spans="1:60" ht="15" customHeight="1">
      <c r="A447" s="95">
        <v>446</v>
      </c>
      <c r="B447" s="96" t="s">
        <v>1283</v>
      </c>
      <c r="C447" s="73" t="s">
        <v>2594</v>
      </c>
      <c r="D447" s="257" t="s">
        <v>1278</v>
      </c>
      <c r="E447" s="459" t="s">
        <v>3377</v>
      </c>
      <c r="F447" s="258">
        <v>1998</v>
      </c>
      <c r="G447" s="89"/>
      <c r="H447" s="57"/>
      <c r="I447" s="88"/>
      <c r="J447" s="100">
        <v>0.34050000000000002</v>
      </c>
      <c r="K447" s="44">
        <v>4.33</v>
      </c>
      <c r="L447" s="260"/>
      <c r="M447" s="261"/>
      <c r="N447" s="261"/>
      <c r="O447" s="106" t="s">
        <v>12</v>
      </c>
      <c r="P447" s="94"/>
      <c r="Q447" s="262"/>
      <c r="R447" s="507"/>
      <c r="S447" s="94"/>
      <c r="T447" s="506"/>
      <c r="U447" s="506"/>
      <c r="V447" s="131"/>
      <c r="W447" s="132"/>
      <c r="X447" s="129"/>
      <c r="Y447" s="120">
        <v>0</v>
      </c>
      <c r="Z447" s="120">
        <v>0</v>
      </c>
      <c r="AA447" s="130"/>
      <c r="AB447" s="17">
        <v>0</v>
      </c>
      <c r="AC447" s="17">
        <v>0</v>
      </c>
      <c r="AD447" s="130"/>
      <c r="AE447" s="130"/>
      <c r="AF447" s="17">
        <v>0</v>
      </c>
      <c r="AG447" s="130"/>
      <c r="AH447" s="17">
        <v>0</v>
      </c>
      <c r="AI447" s="130"/>
      <c r="AJ447" s="130"/>
      <c r="AK447" s="17">
        <v>0</v>
      </c>
      <c r="AL447" s="143"/>
      <c r="AM447" s="509">
        <v>80</v>
      </c>
      <c r="AN447" s="89"/>
      <c r="AO447" s="507"/>
      <c r="AP447" s="262"/>
      <c r="AQ447" s="133" t="s">
        <v>123</v>
      </c>
      <c r="AR447" s="174">
        <v>50</v>
      </c>
      <c r="AS447" s="171"/>
      <c r="AT447" s="171" t="str">
        <f t="shared" si="35"/>
        <v>400</v>
      </c>
      <c r="AU447" s="255">
        <f t="shared" si="36"/>
        <v>22.222222222222221</v>
      </c>
      <c r="AV447" s="509">
        <v>50</v>
      </c>
      <c r="AW447" s="257">
        <v>1</v>
      </c>
      <c r="AX447" s="261"/>
      <c r="AY447" s="258">
        <v>23</v>
      </c>
      <c r="AZ447" s="261"/>
      <c r="BA447" s="175">
        <v>50</v>
      </c>
      <c r="BB447" s="259"/>
      <c r="BC447" s="176"/>
      <c r="BD447" s="177" t="s">
        <v>259</v>
      </c>
      <c r="BE447" s="177" t="s">
        <v>259</v>
      </c>
      <c r="BF447" s="178"/>
      <c r="BG447" s="27"/>
      <c r="BH447" s="27"/>
    </row>
    <row r="448" spans="1:60" ht="15" customHeight="1">
      <c r="A448" s="95">
        <v>447</v>
      </c>
      <c r="B448" s="96" t="s">
        <v>1282</v>
      </c>
      <c r="C448" s="73" t="s">
        <v>2594</v>
      </c>
      <c r="D448" s="257" t="s">
        <v>1278</v>
      </c>
      <c r="E448" s="459" t="s">
        <v>3377</v>
      </c>
      <c r="F448" s="258">
        <v>1998</v>
      </c>
      <c r="G448" s="89"/>
      <c r="H448" s="57"/>
      <c r="I448" s="88"/>
      <c r="J448" s="100">
        <v>0.34050000000000002</v>
      </c>
      <c r="K448" s="44">
        <v>4.33</v>
      </c>
      <c r="L448" s="260"/>
      <c r="M448" s="261"/>
      <c r="N448" s="261"/>
      <c r="O448" s="106" t="s">
        <v>12</v>
      </c>
      <c r="P448" s="94"/>
      <c r="Q448" s="262"/>
      <c r="R448" s="507"/>
      <c r="S448" s="94"/>
      <c r="T448" s="506"/>
      <c r="U448" s="506"/>
      <c r="V448" s="131"/>
      <c r="W448" s="132"/>
      <c r="X448" s="129"/>
      <c r="Y448" s="120">
        <v>0</v>
      </c>
      <c r="Z448" s="120">
        <v>0</v>
      </c>
      <c r="AA448" s="130"/>
      <c r="AB448" s="17">
        <v>0</v>
      </c>
      <c r="AC448" s="17">
        <v>0</v>
      </c>
      <c r="AD448" s="130"/>
      <c r="AE448" s="130"/>
      <c r="AF448" s="17">
        <v>0</v>
      </c>
      <c r="AG448" s="130"/>
      <c r="AH448" s="17">
        <v>0</v>
      </c>
      <c r="AI448" s="130"/>
      <c r="AJ448" s="130"/>
      <c r="AK448" s="17">
        <v>0</v>
      </c>
      <c r="AL448" s="143"/>
      <c r="AM448" s="509">
        <v>80</v>
      </c>
      <c r="AN448" s="89"/>
      <c r="AO448" s="507"/>
      <c r="AP448" s="262"/>
      <c r="AQ448" s="133" t="s">
        <v>123</v>
      </c>
      <c r="AR448" s="174">
        <v>50</v>
      </c>
      <c r="AS448" s="171"/>
      <c r="AT448" s="171" t="str">
        <f t="shared" si="35"/>
        <v>400</v>
      </c>
      <c r="AU448" s="255">
        <f t="shared" si="36"/>
        <v>22.222222222222221</v>
      </c>
      <c r="AV448" s="509">
        <v>50</v>
      </c>
      <c r="AW448" s="257">
        <v>1</v>
      </c>
      <c r="AX448" s="261"/>
      <c r="AY448" s="258">
        <v>23</v>
      </c>
      <c r="AZ448" s="261"/>
      <c r="BA448" s="175">
        <v>99</v>
      </c>
      <c r="BB448" s="259"/>
      <c r="BC448" s="176"/>
      <c r="BD448" s="177" t="s">
        <v>259</v>
      </c>
      <c r="BE448" s="177" t="s">
        <v>259</v>
      </c>
      <c r="BF448" s="178"/>
      <c r="BG448" s="27"/>
      <c r="BH448" s="27"/>
    </row>
    <row r="449" spans="1:82">
      <c r="A449" s="95">
        <v>448</v>
      </c>
      <c r="B449" s="96" t="s">
        <v>1281</v>
      </c>
      <c r="C449" s="73" t="s">
        <v>2594</v>
      </c>
      <c r="D449" s="257" t="s">
        <v>1278</v>
      </c>
      <c r="E449" s="459" t="s">
        <v>3377</v>
      </c>
      <c r="F449" s="258">
        <v>1998</v>
      </c>
      <c r="G449" s="89"/>
      <c r="H449" s="57"/>
      <c r="I449" s="173" t="s">
        <v>2304</v>
      </c>
      <c r="J449" s="100">
        <v>0.34050000000000002</v>
      </c>
      <c r="K449" s="44">
        <v>4.33</v>
      </c>
      <c r="L449" s="260"/>
      <c r="M449" s="261"/>
      <c r="N449" s="261"/>
      <c r="O449" s="106" t="s">
        <v>12</v>
      </c>
      <c r="P449" s="94"/>
      <c r="Q449" s="262"/>
      <c r="R449" s="507"/>
      <c r="S449" s="94"/>
      <c r="T449" s="506"/>
      <c r="U449" s="506"/>
      <c r="V449" s="131"/>
      <c r="W449" s="132"/>
      <c r="X449" s="129"/>
      <c r="Y449" s="120">
        <v>0</v>
      </c>
      <c r="Z449" s="120">
        <v>0</v>
      </c>
      <c r="AA449" s="130"/>
      <c r="AB449" s="17">
        <v>0</v>
      </c>
      <c r="AC449" s="17">
        <v>0</v>
      </c>
      <c r="AD449" s="130"/>
      <c r="AE449" s="130"/>
      <c r="AF449" s="17">
        <v>0</v>
      </c>
      <c r="AG449" s="130"/>
      <c r="AH449" s="17">
        <v>0</v>
      </c>
      <c r="AI449" s="130"/>
      <c r="AJ449" s="130"/>
      <c r="AK449" s="17">
        <v>0</v>
      </c>
      <c r="AL449" s="143"/>
      <c r="AM449" s="509">
        <v>80</v>
      </c>
      <c r="AN449" s="89"/>
      <c r="AO449" s="507"/>
      <c r="AP449" s="262"/>
      <c r="AQ449" s="133" t="s">
        <v>123</v>
      </c>
      <c r="AR449" s="174">
        <v>50</v>
      </c>
      <c r="AS449" s="171"/>
      <c r="AT449" s="171" t="str">
        <f t="shared" si="35"/>
        <v>400</v>
      </c>
      <c r="AU449" s="255">
        <f t="shared" si="36"/>
        <v>22.222222222222221</v>
      </c>
      <c r="AV449" s="509">
        <v>99</v>
      </c>
      <c r="AW449" s="257">
        <v>3</v>
      </c>
      <c r="AX449" s="261"/>
      <c r="AY449" s="258">
        <v>23</v>
      </c>
      <c r="AZ449" s="261"/>
      <c r="BA449" s="175">
        <v>99</v>
      </c>
      <c r="BB449" s="259"/>
      <c r="BC449" s="176"/>
      <c r="BD449" s="177" t="s">
        <v>259</v>
      </c>
      <c r="BE449" s="177" t="s">
        <v>259</v>
      </c>
      <c r="BF449" s="178"/>
      <c r="BG449" s="27"/>
      <c r="BH449" s="27"/>
    </row>
    <row r="450" spans="1:82" ht="15" customHeight="1">
      <c r="A450" s="95">
        <v>449</v>
      </c>
      <c r="B450" s="96" t="s">
        <v>1280</v>
      </c>
      <c r="C450" s="73" t="s">
        <v>2594</v>
      </c>
      <c r="D450" s="257" t="s">
        <v>1278</v>
      </c>
      <c r="E450" s="459" t="s">
        <v>3377</v>
      </c>
      <c r="F450" s="258">
        <v>1998</v>
      </c>
      <c r="G450" s="89"/>
      <c r="H450" s="57"/>
      <c r="I450" s="88"/>
      <c r="J450" s="100">
        <v>0.34050000000000002</v>
      </c>
      <c r="K450" s="44">
        <v>4.33</v>
      </c>
      <c r="L450" s="260"/>
      <c r="M450" s="261"/>
      <c r="N450" s="261"/>
      <c r="O450" s="106" t="s">
        <v>12</v>
      </c>
      <c r="P450" s="94"/>
      <c r="Q450" s="262"/>
      <c r="R450" s="507"/>
      <c r="S450" s="94"/>
      <c r="T450" s="506"/>
      <c r="U450" s="506"/>
      <c r="V450" s="131"/>
      <c r="W450" s="132"/>
      <c r="X450" s="129"/>
      <c r="Y450" s="120">
        <v>0</v>
      </c>
      <c r="Z450" s="120">
        <v>0</v>
      </c>
      <c r="AA450" s="130"/>
      <c r="AB450" s="17">
        <v>0</v>
      </c>
      <c r="AC450" s="17">
        <v>0</v>
      </c>
      <c r="AD450" s="130"/>
      <c r="AE450" s="130"/>
      <c r="AF450" s="17">
        <v>0</v>
      </c>
      <c r="AG450" s="130"/>
      <c r="AH450" s="17">
        <v>0</v>
      </c>
      <c r="AI450" s="130"/>
      <c r="AJ450" s="130"/>
      <c r="AK450" s="17">
        <v>0</v>
      </c>
      <c r="AL450" s="143"/>
      <c r="AM450" s="509">
        <v>80</v>
      </c>
      <c r="AN450" s="89"/>
      <c r="AO450" s="507"/>
      <c r="AP450" s="262"/>
      <c r="AQ450" s="133" t="s">
        <v>123</v>
      </c>
      <c r="AR450" s="174">
        <v>50</v>
      </c>
      <c r="AS450" s="171"/>
      <c r="AT450" s="171" t="str">
        <f t="shared" ref="AT450:AT458" si="37">RIGHT(AQ450,LEN(AQ450)-FIND("x",AQ450,1))</f>
        <v>400</v>
      </c>
      <c r="AU450" s="255">
        <f t="shared" si="36"/>
        <v>22.222222222222221</v>
      </c>
      <c r="AV450" s="509">
        <v>99</v>
      </c>
      <c r="AW450" s="257">
        <v>3</v>
      </c>
      <c r="AX450" s="261"/>
      <c r="AY450" s="258">
        <v>23</v>
      </c>
      <c r="AZ450" s="261"/>
      <c r="BA450" s="175">
        <v>50</v>
      </c>
      <c r="BB450" s="259"/>
      <c r="BC450" s="176"/>
      <c r="BD450" s="177" t="s">
        <v>259</v>
      </c>
      <c r="BE450" s="177" t="s">
        <v>259</v>
      </c>
      <c r="BF450" s="178"/>
      <c r="BG450" s="27"/>
      <c r="BH450" s="27"/>
    </row>
    <row r="451" spans="1:82">
      <c r="A451" s="95">
        <v>450</v>
      </c>
      <c r="B451" s="96" t="s">
        <v>1279</v>
      </c>
      <c r="C451" s="73" t="s">
        <v>2594</v>
      </c>
      <c r="D451" s="257" t="s">
        <v>1278</v>
      </c>
      <c r="E451" s="459" t="s">
        <v>3377</v>
      </c>
      <c r="F451" s="258">
        <v>1998</v>
      </c>
      <c r="G451" s="89"/>
      <c r="H451" s="57"/>
      <c r="I451" s="173" t="s">
        <v>2304</v>
      </c>
      <c r="J451" s="100">
        <v>0.34050000000000002</v>
      </c>
      <c r="K451" s="44">
        <v>4.33</v>
      </c>
      <c r="L451" s="260"/>
      <c r="M451" s="261"/>
      <c r="N451" s="261"/>
      <c r="O451" s="106" t="s">
        <v>12</v>
      </c>
      <c r="P451" s="94"/>
      <c r="Q451" s="262"/>
      <c r="R451" s="507"/>
      <c r="S451" s="94"/>
      <c r="T451" s="506"/>
      <c r="U451" s="506"/>
      <c r="V451" s="131"/>
      <c r="W451" s="132"/>
      <c r="X451" s="129"/>
      <c r="Y451" s="120">
        <v>0</v>
      </c>
      <c r="Z451" s="120">
        <v>0</v>
      </c>
      <c r="AA451" s="130"/>
      <c r="AB451" s="17">
        <v>0</v>
      </c>
      <c r="AC451" s="17">
        <v>0</v>
      </c>
      <c r="AD451" s="130"/>
      <c r="AE451" s="130"/>
      <c r="AF451" s="17">
        <v>0</v>
      </c>
      <c r="AG451" s="130"/>
      <c r="AH451" s="17">
        <v>0</v>
      </c>
      <c r="AI451" s="130"/>
      <c r="AJ451" s="130"/>
      <c r="AK451" s="17">
        <v>0</v>
      </c>
      <c r="AL451" s="143"/>
      <c r="AM451" s="509">
        <v>80</v>
      </c>
      <c r="AN451" s="89"/>
      <c r="AO451" s="507"/>
      <c r="AP451" s="262"/>
      <c r="AQ451" s="133" t="s">
        <v>123</v>
      </c>
      <c r="AR451" s="174">
        <v>50</v>
      </c>
      <c r="AS451" s="171"/>
      <c r="AT451" s="171" t="str">
        <f t="shared" si="37"/>
        <v>400</v>
      </c>
      <c r="AU451" s="255">
        <f t="shared" si="36"/>
        <v>22.222222222222221</v>
      </c>
      <c r="AV451" s="509">
        <v>99</v>
      </c>
      <c r="AW451" s="257">
        <v>7</v>
      </c>
      <c r="AX451" s="261"/>
      <c r="AY451" s="258">
        <v>23</v>
      </c>
      <c r="AZ451" s="261"/>
      <c r="BA451" s="175">
        <v>99</v>
      </c>
      <c r="BB451" s="259"/>
      <c r="BC451" s="176"/>
      <c r="BD451" s="177" t="s">
        <v>259</v>
      </c>
      <c r="BE451" s="177" t="s">
        <v>259</v>
      </c>
      <c r="BF451" s="178"/>
      <c r="BG451" s="27"/>
      <c r="BH451" s="27"/>
    </row>
    <row r="452" spans="1:82" ht="15" customHeight="1">
      <c r="A452" s="95">
        <v>451</v>
      </c>
      <c r="B452" s="96" t="s">
        <v>1277</v>
      </c>
      <c r="C452" s="73" t="s">
        <v>2594</v>
      </c>
      <c r="D452" s="257" t="s">
        <v>1278</v>
      </c>
      <c r="E452" s="459" t="s">
        <v>3377</v>
      </c>
      <c r="F452" s="258">
        <v>1998</v>
      </c>
      <c r="G452" s="89"/>
      <c r="H452" s="57"/>
      <c r="I452" s="88"/>
      <c r="J452" s="100">
        <v>0.34050000000000002</v>
      </c>
      <c r="K452" s="44">
        <v>4.33</v>
      </c>
      <c r="L452" s="260"/>
      <c r="M452" s="261"/>
      <c r="N452" s="261"/>
      <c r="O452" s="106" t="s">
        <v>12</v>
      </c>
      <c r="P452" s="94"/>
      <c r="Q452" s="262"/>
      <c r="R452" s="507"/>
      <c r="S452" s="94"/>
      <c r="T452" s="506"/>
      <c r="U452" s="506"/>
      <c r="V452" s="131"/>
      <c r="W452" s="132"/>
      <c r="X452" s="129"/>
      <c r="Y452" s="120">
        <v>0</v>
      </c>
      <c r="Z452" s="120">
        <v>0</v>
      </c>
      <c r="AA452" s="130"/>
      <c r="AB452" s="17">
        <v>0</v>
      </c>
      <c r="AC452" s="17">
        <v>0</v>
      </c>
      <c r="AD452" s="130"/>
      <c r="AE452" s="130"/>
      <c r="AF452" s="17">
        <v>0</v>
      </c>
      <c r="AG452" s="130"/>
      <c r="AH452" s="17">
        <v>0</v>
      </c>
      <c r="AI452" s="130"/>
      <c r="AJ452" s="130"/>
      <c r="AK452" s="17">
        <v>0</v>
      </c>
      <c r="AL452" s="143"/>
      <c r="AM452" s="509">
        <v>80</v>
      </c>
      <c r="AN452" s="89"/>
      <c r="AO452" s="507"/>
      <c r="AP452" s="262"/>
      <c r="AQ452" s="133" t="s">
        <v>123</v>
      </c>
      <c r="AR452" s="174">
        <v>50</v>
      </c>
      <c r="AS452" s="171"/>
      <c r="AT452" s="171" t="str">
        <f t="shared" si="37"/>
        <v>400</v>
      </c>
      <c r="AU452" s="255">
        <f t="shared" si="36"/>
        <v>22.222222222222221</v>
      </c>
      <c r="AV452" s="509">
        <v>99</v>
      </c>
      <c r="AW452" s="257">
        <v>7</v>
      </c>
      <c r="AX452" s="261"/>
      <c r="AY452" s="258">
        <v>23</v>
      </c>
      <c r="AZ452" s="261"/>
      <c r="BA452" s="175">
        <v>50</v>
      </c>
      <c r="BB452" s="259"/>
      <c r="BC452" s="176"/>
      <c r="BD452" s="177" t="s">
        <v>259</v>
      </c>
      <c r="BE452" s="177" t="s">
        <v>259</v>
      </c>
      <c r="BF452" s="178"/>
      <c r="BG452" s="27"/>
      <c r="BH452" s="27"/>
    </row>
    <row r="453" spans="1:82" ht="15" customHeight="1">
      <c r="A453" s="95">
        <v>452</v>
      </c>
      <c r="B453" s="96" t="s">
        <v>1276</v>
      </c>
      <c r="C453" s="73" t="s">
        <v>162</v>
      </c>
      <c r="D453" s="257" t="s">
        <v>122</v>
      </c>
      <c r="E453" s="459" t="s">
        <v>3377</v>
      </c>
      <c r="F453" s="258">
        <v>1994</v>
      </c>
      <c r="G453" s="89"/>
      <c r="H453" s="57"/>
      <c r="I453" s="88"/>
      <c r="J453" s="100">
        <v>0.55000000000000004</v>
      </c>
      <c r="K453" s="44">
        <v>5.4009999999999998</v>
      </c>
      <c r="L453" s="91">
        <f t="shared" ref="L453:L461" si="38">(J453)*(M453)</f>
        <v>185.35000000000002</v>
      </c>
      <c r="M453" s="65">
        <v>337</v>
      </c>
      <c r="N453" s="65"/>
      <c r="O453" s="106" t="s">
        <v>129</v>
      </c>
      <c r="P453" s="94"/>
      <c r="Q453" s="262"/>
      <c r="R453" s="507"/>
      <c r="S453" s="94"/>
      <c r="T453" s="506"/>
      <c r="U453" s="506"/>
      <c r="V453" s="131">
        <v>0</v>
      </c>
      <c r="W453" s="132">
        <v>0</v>
      </c>
      <c r="X453" s="120">
        <v>0</v>
      </c>
      <c r="Y453" s="120">
        <v>0</v>
      </c>
      <c r="Z453" s="120">
        <v>0</v>
      </c>
      <c r="AA453" s="130"/>
      <c r="AB453" s="17">
        <v>0</v>
      </c>
      <c r="AC453" s="17">
        <v>0</v>
      </c>
      <c r="AD453" s="130"/>
      <c r="AE453" s="130"/>
      <c r="AF453" s="17">
        <v>0</v>
      </c>
      <c r="AG453" s="133">
        <v>0</v>
      </c>
      <c r="AH453" s="17">
        <v>0</v>
      </c>
      <c r="AI453" s="133">
        <v>0</v>
      </c>
      <c r="AJ453" s="133">
        <v>0</v>
      </c>
      <c r="AK453" s="17">
        <v>0</v>
      </c>
      <c r="AL453" s="137">
        <v>0</v>
      </c>
      <c r="AM453" s="509">
        <v>40.299999999999997</v>
      </c>
      <c r="AN453" s="89"/>
      <c r="AO453" s="507"/>
      <c r="AP453" s="416">
        <v>30200</v>
      </c>
      <c r="AQ453" s="133" t="s">
        <v>124</v>
      </c>
      <c r="AR453" s="174">
        <v>100</v>
      </c>
      <c r="AS453" s="171"/>
      <c r="AT453" s="171" t="str">
        <f t="shared" si="37"/>
        <v>800</v>
      </c>
      <c r="AU453" s="255">
        <f t="shared" si="36"/>
        <v>44.444444444444443</v>
      </c>
      <c r="AV453" s="275"/>
      <c r="AW453" s="257">
        <v>1</v>
      </c>
      <c r="AX453" s="261"/>
      <c r="AY453" s="258">
        <v>20</v>
      </c>
      <c r="AZ453" s="261"/>
      <c r="BA453" s="175">
        <v>65</v>
      </c>
      <c r="BB453" s="259"/>
      <c r="BC453" s="176"/>
      <c r="BD453" s="177"/>
      <c r="BE453" s="177" t="s">
        <v>259</v>
      </c>
      <c r="BF453" s="178"/>
      <c r="BG453" s="27"/>
      <c r="BH453" s="27"/>
    </row>
    <row r="454" spans="1:82" ht="15" customHeight="1">
      <c r="A454" s="95">
        <v>453</v>
      </c>
      <c r="B454" s="96" t="s">
        <v>1275</v>
      </c>
      <c r="C454" s="73" t="s">
        <v>162</v>
      </c>
      <c r="D454" s="257" t="s">
        <v>122</v>
      </c>
      <c r="E454" s="459" t="s">
        <v>3377</v>
      </c>
      <c r="F454" s="258">
        <v>1994</v>
      </c>
      <c r="G454" s="89"/>
      <c r="H454" s="57"/>
      <c r="I454" s="88"/>
      <c r="J454" s="100">
        <v>0.55000000000000004</v>
      </c>
      <c r="K454" s="44">
        <v>5.4009999999999998</v>
      </c>
      <c r="L454" s="91">
        <f t="shared" si="38"/>
        <v>185.35000000000002</v>
      </c>
      <c r="M454" s="65">
        <v>337</v>
      </c>
      <c r="N454" s="65"/>
      <c r="O454" s="106" t="s">
        <v>129</v>
      </c>
      <c r="P454" s="94"/>
      <c r="Q454" s="262"/>
      <c r="R454" s="507"/>
      <c r="S454" s="94"/>
      <c r="T454" s="506"/>
      <c r="U454" s="506"/>
      <c r="V454" s="131">
        <v>0</v>
      </c>
      <c r="W454" s="132">
        <v>0</v>
      </c>
      <c r="X454" s="120">
        <v>0</v>
      </c>
      <c r="Y454" s="120">
        <v>0</v>
      </c>
      <c r="Z454" s="120">
        <v>0</v>
      </c>
      <c r="AA454" s="130"/>
      <c r="AB454" s="17">
        <v>0</v>
      </c>
      <c r="AC454" s="17">
        <v>0</v>
      </c>
      <c r="AD454" s="130"/>
      <c r="AE454" s="130"/>
      <c r="AF454" s="17">
        <v>0</v>
      </c>
      <c r="AG454" s="133">
        <v>0</v>
      </c>
      <c r="AH454" s="17">
        <v>0</v>
      </c>
      <c r="AI454" s="133">
        <v>0</v>
      </c>
      <c r="AJ454" s="133">
        <v>0</v>
      </c>
      <c r="AK454" s="17">
        <v>0</v>
      </c>
      <c r="AL454" s="137">
        <v>0</v>
      </c>
      <c r="AM454" s="509">
        <v>40.299999999999997</v>
      </c>
      <c r="AN454" s="89"/>
      <c r="AO454" s="507"/>
      <c r="AP454" s="416">
        <v>30200</v>
      </c>
      <c r="AQ454" s="133" t="s">
        <v>124</v>
      </c>
      <c r="AR454" s="174">
        <v>100</v>
      </c>
      <c r="AS454" s="171"/>
      <c r="AT454" s="171" t="str">
        <f t="shared" si="37"/>
        <v>800</v>
      </c>
      <c r="AU454" s="255">
        <f t="shared" si="36"/>
        <v>44.444444444444443</v>
      </c>
      <c r="AV454" s="275"/>
      <c r="AW454" s="257">
        <v>3</v>
      </c>
      <c r="AX454" s="261"/>
      <c r="AY454" s="258">
        <v>20</v>
      </c>
      <c r="AZ454" s="261"/>
      <c r="BA454" s="175">
        <v>65</v>
      </c>
      <c r="BB454" s="259"/>
      <c r="BC454" s="176"/>
      <c r="BD454" s="177"/>
      <c r="BE454" s="177" t="s">
        <v>259</v>
      </c>
      <c r="BF454" s="178"/>
      <c r="BG454" s="27"/>
      <c r="BH454" s="27"/>
    </row>
    <row r="455" spans="1:82" ht="15" customHeight="1">
      <c r="A455" s="95">
        <v>454</v>
      </c>
      <c r="B455" s="96" t="s">
        <v>1274</v>
      </c>
      <c r="C455" s="73" t="s">
        <v>162</v>
      </c>
      <c r="D455" s="257" t="s">
        <v>122</v>
      </c>
      <c r="E455" s="459" t="s">
        <v>3377</v>
      </c>
      <c r="F455" s="258">
        <v>1994</v>
      </c>
      <c r="G455" s="89"/>
      <c r="H455" s="57"/>
      <c r="I455" s="88"/>
      <c r="J455" s="100">
        <v>0.55000000000000004</v>
      </c>
      <c r="K455" s="44">
        <v>5.4009999999999998</v>
      </c>
      <c r="L455" s="91">
        <f t="shared" si="38"/>
        <v>185.35000000000002</v>
      </c>
      <c r="M455" s="65">
        <v>337</v>
      </c>
      <c r="N455" s="65"/>
      <c r="O455" s="106" t="s">
        <v>129</v>
      </c>
      <c r="P455" s="94"/>
      <c r="Q455" s="262"/>
      <c r="R455" s="507"/>
      <c r="S455" s="94"/>
      <c r="T455" s="506"/>
      <c r="U455" s="506"/>
      <c r="V455" s="131">
        <v>0</v>
      </c>
      <c r="W455" s="132">
        <v>0</v>
      </c>
      <c r="X455" s="120">
        <v>0</v>
      </c>
      <c r="Y455" s="120">
        <v>0</v>
      </c>
      <c r="Z455" s="120">
        <v>0</v>
      </c>
      <c r="AA455" s="130"/>
      <c r="AB455" s="17">
        <v>0</v>
      </c>
      <c r="AC455" s="17">
        <v>0</v>
      </c>
      <c r="AD455" s="130"/>
      <c r="AE455" s="130"/>
      <c r="AF455" s="17">
        <v>0</v>
      </c>
      <c r="AG455" s="133">
        <v>0</v>
      </c>
      <c r="AH455" s="17">
        <v>0</v>
      </c>
      <c r="AI455" s="133">
        <v>0</v>
      </c>
      <c r="AJ455" s="133">
        <v>0</v>
      </c>
      <c r="AK455" s="17">
        <v>0</v>
      </c>
      <c r="AL455" s="137">
        <v>0</v>
      </c>
      <c r="AM455" s="509">
        <v>40.299999999999997</v>
      </c>
      <c r="AN455" s="89"/>
      <c r="AO455" s="507"/>
      <c r="AP455" s="416">
        <v>30200</v>
      </c>
      <c r="AQ455" s="133" t="s">
        <v>124</v>
      </c>
      <c r="AR455" s="174">
        <v>100</v>
      </c>
      <c r="AS455" s="171"/>
      <c r="AT455" s="171" t="str">
        <f t="shared" si="37"/>
        <v>800</v>
      </c>
      <c r="AU455" s="255">
        <f t="shared" si="36"/>
        <v>44.444444444444443</v>
      </c>
      <c r="AV455" s="275"/>
      <c r="AW455" s="257">
        <v>7</v>
      </c>
      <c r="AX455" s="261"/>
      <c r="AY455" s="258">
        <v>20</v>
      </c>
      <c r="AZ455" s="261"/>
      <c r="BA455" s="175">
        <v>65</v>
      </c>
      <c r="BB455" s="259"/>
      <c r="BC455" s="176" t="s">
        <v>558</v>
      </c>
      <c r="BD455" s="177"/>
      <c r="BE455" s="177" t="s">
        <v>259</v>
      </c>
      <c r="BF455" s="178"/>
      <c r="BG455" s="27"/>
      <c r="BH455" s="27"/>
    </row>
    <row r="456" spans="1:82" ht="15" customHeight="1">
      <c r="A456" s="95">
        <v>455</v>
      </c>
      <c r="B456" s="96" t="s">
        <v>1273</v>
      </c>
      <c r="C456" s="73" t="s">
        <v>162</v>
      </c>
      <c r="D456" s="257" t="s">
        <v>122</v>
      </c>
      <c r="E456" s="459" t="s">
        <v>3377</v>
      </c>
      <c r="F456" s="258">
        <v>1994</v>
      </c>
      <c r="G456" s="89"/>
      <c r="H456" s="57"/>
      <c r="I456" s="88"/>
      <c r="J456" s="100">
        <v>0.55000000000000004</v>
      </c>
      <c r="K456" s="44">
        <v>5.4009999999999998</v>
      </c>
      <c r="L456" s="91">
        <f t="shared" si="38"/>
        <v>185.35000000000002</v>
      </c>
      <c r="M456" s="65">
        <v>337</v>
      </c>
      <c r="N456" s="65"/>
      <c r="O456" s="106" t="s">
        <v>129</v>
      </c>
      <c r="P456" s="94"/>
      <c r="Q456" s="262"/>
      <c r="R456" s="507"/>
      <c r="S456" s="94"/>
      <c r="T456" s="506"/>
      <c r="U456" s="506"/>
      <c r="V456" s="131">
        <v>0</v>
      </c>
      <c r="W456" s="132">
        <v>0</v>
      </c>
      <c r="X456" s="120">
        <v>0</v>
      </c>
      <c r="Y456" s="120">
        <v>0</v>
      </c>
      <c r="Z456" s="120">
        <v>0</v>
      </c>
      <c r="AA456" s="130"/>
      <c r="AB456" s="17">
        <v>0</v>
      </c>
      <c r="AC456" s="17">
        <v>0</v>
      </c>
      <c r="AD456" s="130"/>
      <c r="AE456" s="130"/>
      <c r="AF456" s="17">
        <v>0</v>
      </c>
      <c r="AG456" s="133">
        <v>0</v>
      </c>
      <c r="AH456" s="17">
        <v>0</v>
      </c>
      <c r="AI456" s="133">
        <v>0</v>
      </c>
      <c r="AJ456" s="133">
        <v>0</v>
      </c>
      <c r="AK456" s="17">
        <v>0</v>
      </c>
      <c r="AL456" s="137">
        <v>0</v>
      </c>
      <c r="AM456" s="509">
        <v>40.299999999999997</v>
      </c>
      <c r="AN456" s="89"/>
      <c r="AO456" s="507"/>
      <c r="AP456" s="416">
        <v>30200</v>
      </c>
      <c r="AQ456" s="133" t="s">
        <v>124</v>
      </c>
      <c r="AR456" s="174">
        <v>100</v>
      </c>
      <c r="AS456" s="171"/>
      <c r="AT456" s="171" t="str">
        <f t="shared" si="37"/>
        <v>800</v>
      </c>
      <c r="AU456" s="255">
        <f t="shared" si="36"/>
        <v>44.444444444444443</v>
      </c>
      <c r="AV456" s="275"/>
      <c r="AW456" s="257">
        <v>28</v>
      </c>
      <c r="AX456" s="261"/>
      <c r="AY456" s="258">
        <v>20</v>
      </c>
      <c r="AZ456" s="261"/>
      <c r="BA456" s="175">
        <v>65</v>
      </c>
      <c r="BB456" s="259"/>
      <c r="BC456" s="176" t="s">
        <v>558</v>
      </c>
      <c r="BD456" s="177"/>
      <c r="BE456" s="177" t="s">
        <v>259</v>
      </c>
      <c r="BF456" s="178"/>
      <c r="BG456" s="27"/>
      <c r="BH456" s="27"/>
    </row>
    <row r="457" spans="1:82" ht="15" customHeight="1">
      <c r="A457" s="95">
        <v>456</v>
      </c>
      <c r="B457" s="96" t="s">
        <v>1272</v>
      </c>
      <c r="C457" s="73" t="s">
        <v>162</v>
      </c>
      <c r="D457" s="257" t="s">
        <v>122</v>
      </c>
      <c r="E457" s="459" t="s">
        <v>3377</v>
      </c>
      <c r="F457" s="258">
        <v>1994</v>
      </c>
      <c r="G457" s="89"/>
      <c r="H457" s="57"/>
      <c r="I457" s="88"/>
      <c r="J457" s="100">
        <v>0.55000000000000004</v>
      </c>
      <c r="K457" s="44">
        <v>5.4009999999999998</v>
      </c>
      <c r="L457" s="91">
        <f t="shared" si="38"/>
        <v>185.35000000000002</v>
      </c>
      <c r="M457" s="65">
        <v>337</v>
      </c>
      <c r="N457" s="65"/>
      <c r="O457" s="106" t="s">
        <v>129</v>
      </c>
      <c r="P457" s="94"/>
      <c r="Q457" s="262"/>
      <c r="R457" s="507"/>
      <c r="S457" s="94"/>
      <c r="T457" s="506"/>
      <c r="U457" s="506"/>
      <c r="V457" s="131">
        <v>0</v>
      </c>
      <c r="W457" s="132">
        <v>0</v>
      </c>
      <c r="X457" s="120">
        <v>0</v>
      </c>
      <c r="Y457" s="120">
        <v>0</v>
      </c>
      <c r="Z457" s="120">
        <v>0</v>
      </c>
      <c r="AA457" s="130"/>
      <c r="AB457" s="17">
        <v>0</v>
      </c>
      <c r="AC457" s="17">
        <v>0</v>
      </c>
      <c r="AD457" s="130"/>
      <c r="AE457" s="130"/>
      <c r="AF457" s="17">
        <v>0</v>
      </c>
      <c r="AG457" s="133">
        <v>0</v>
      </c>
      <c r="AH457" s="17">
        <v>0</v>
      </c>
      <c r="AI457" s="133">
        <v>0</v>
      </c>
      <c r="AJ457" s="133">
        <v>0</v>
      </c>
      <c r="AK457" s="17">
        <v>0</v>
      </c>
      <c r="AL457" s="137">
        <v>0</v>
      </c>
      <c r="AM457" s="509">
        <v>40.299999999999997</v>
      </c>
      <c r="AN457" s="89"/>
      <c r="AO457" s="507"/>
      <c r="AP457" s="416">
        <v>30200</v>
      </c>
      <c r="AQ457" s="133" t="s">
        <v>124</v>
      </c>
      <c r="AR457" s="174">
        <v>100</v>
      </c>
      <c r="AS457" s="171"/>
      <c r="AT457" s="171" t="str">
        <f t="shared" si="37"/>
        <v>800</v>
      </c>
      <c r="AU457" s="255">
        <f t="shared" si="36"/>
        <v>44.444444444444443</v>
      </c>
      <c r="AV457" s="275"/>
      <c r="AW457" s="257">
        <v>90</v>
      </c>
      <c r="AX457" s="261"/>
      <c r="AY457" s="258">
        <v>20</v>
      </c>
      <c r="AZ457" s="261"/>
      <c r="BA457" s="175">
        <v>65</v>
      </c>
      <c r="BB457" s="259"/>
      <c r="BC457" s="176"/>
      <c r="BD457" s="177"/>
      <c r="BE457" s="177" t="s">
        <v>259</v>
      </c>
      <c r="BF457" s="178"/>
      <c r="BG457" s="27"/>
      <c r="BH457" s="27"/>
    </row>
    <row r="458" spans="1:82" ht="15" customHeight="1">
      <c r="A458" s="95">
        <v>457</v>
      </c>
      <c r="B458" s="96" t="s">
        <v>1271</v>
      </c>
      <c r="C458" s="73" t="s">
        <v>162</v>
      </c>
      <c r="D458" s="257" t="s">
        <v>122</v>
      </c>
      <c r="E458" s="459" t="s">
        <v>3377</v>
      </c>
      <c r="F458" s="258">
        <v>1994</v>
      </c>
      <c r="G458" s="89"/>
      <c r="H458" s="57"/>
      <c r="I458" s="88"/>
      <c r="J458" s="100">
        <v>0.55000000000000004</v>
      </c>
      <c r="K458" s="44">
        <v>5.4009999999999998</v>
      </c>
      <c r="L458" s="91">
        <f t="shared" si="38"/>
        <v>185.35000000000002</v>
      </c>
      <c r="M458" s="65">
        <v>337</v>
      </c>
      <c r="N458" s="65"/>
      <c r="O458" s="106" t="s">
        <v>129</v>
      </c>
      <c r="P458" s="94"/>
      <c r="Q458" s="262"/>
      <c r="R458" s="507"/>
      <c r="S458" s="94"/>
      <c r="T458" s="506"/>
      <c r="U458" s="506"/>
      <c r="V458" s="131">
        <v>0</v>
      </c>
      <c r="W458" s="132">
        <v>0</v>
      </c>
      <c r="X458" s="120">
        <v>0</v>
      </c>
      <c r="Y458" s="120">
        <v>0</v>
      </c>
      <c r="Z458" s="120">
        <v>0</v>
      </c>
      <c r="AA458" s="130"/>
      <c r="AB458" s="17">
        <v>0</v>
      </c>
      <c r="AC458" s="17">
        <v>0</v>
      </c>
      <c r="AD458" s="130"/>
      <c r="AE458" s="130"/>
      <c r="AF458" s="17">
        <v>0</v>
      </c>
      <c r="AG458" s="133">
        <v>0</v>
      </c>
      <c r="AH458" s="17">
        <v>0</v>
      </c>
      <c r="AI458" s="133">
        <v>0</v>
      </c>
      <c r="AJ458" s="133">
        <v>0</v>
      </c>
      <c r="AK458" s="17">
        <v>0</v>
      </c>
      <c r="AL458" s="137">
        <v>0</v>
      </c>
      <c r="AM458" s="509">
        <v>40.299999999999997</v>
      </c>
      <c r="AN458" s="89"/>
      <c r="AO458" s="507"/>
      <c r="AP458" s="416">
        <v>30200</v>
      </c>
      <c r="AQ458" s="133" t="s">
        <v>1270</v>
      </c>
      <c r="AR458" s="188">
        <v>150</v>
      </c>
      <c r="AS458" s="171"/>
      <c r="AT458" s="171" t="str">
        <f t="shared" si="37"/>
        <v>700</v>
      </c>
      <c r="AU458" s="255">
        <f>IF(ISBLANK(AS458),(AR458*AT458)/((4*AT458)+(2*AR458)),AR458*AS458*AT458/2/(AR458*AS458+AR458*AT458+AS458*AT458))</f>
        <v>33.87096774193548</v>
      </c>
      <c r="AV458" s="275"/>
      <c r="AW458" s="257">
        <v>1</v>
      </c>
      <c r="AX458" s="261"/>
      <c r="AY458" s="258">
        <v>20</v>
      </c>
      <c r="AZ458" s="261"/>
      <c r="BA458" s="175">
        <v>65</v>
      </c>
      <c r="BB458" s="259"/>
      <c r="BC458" s="176"/>
      <c r="BD458" s="177"/>
      <c r="BE458" s="177" t="s">
        <v>259</v>
      </c>
      <c r="BF458" s="178"/>
      <c r="BG458" s="27"/>
      <c r="BH458" s="27"/>
    </row>
    <row r="459" spans="1:82" ht="15" customHeight="1">
      <c r="A459" s="95">
        <v>458</v>
      </c>
      <c r="B459" s="96" t="s">
        <v>1269</v>
      </c>
      <c r="C459" s="73" t="s">
        <v>2595</v>
      </c>
      <c r="D459" s="257" t="s">
        <v>444</v>
      </c>
      <c r="E459" s="459" t="s">
        <v>3377</v>
      </c>
      <c r="F459" s="260"/>
      <c r="G459" s="89"/>
      <c r="H459" s="57"/>
      <c r="I459" s="88"/>
      <c r="J459" s="100">
        <v>0.48</v>
      </c>
      <c r="K459" s="44">
        <v>5.4290000000000003</v>
      </c>
      <c r="L459" s="91">
        <f t="shared" si="38"/>
        <v>168</v>
      </c>
      <c r="M459" s="65">
        <v>350</v>
      </c>
      <c r="N459" s="65"/>
      <c r="O459" s="106" t="s">
        <v>120</v>
      </c>
      <c r="P459" s="94"/>
      <c r="Q459" s="262"/>
      <c r="R459" s="507"/>
      <c r="S459" s="94"/>
      <c r="T459" s="506"/>
      <c r="U459" s="65"/>
      <c r="V459" s="135"/>
      <c r="W459" s="129"/>
      <c r="X459" s="129"/>
      <c r="Y459" s="120">
        <v>0</v>
      </c>
      <c r="Z459" s="120">
        <v>0</v>
      </c>
      <c r="AA459" s="130"/>
      <c r="AB459" s="17">
        <v>0</v>
      </c>
      <c r="AC459" s="17">
        <v>0</v>
      </c>
      <c r="AD459" s="130"/>
      <c r="AE459" s="130"/>
      <c r="AF459" s="17">
        <v>0</v>
      </c>
      <c r="AG459" s="130"/>
      <c r="AH459" s="17">
        <v>0</v>
      </c>
      <c r="AI459" s="130"/>
      <c r="AJ459" s="130"/>
      <c r="AK459" s="17">
        <v>0</v>
      </c>
      <c r="AL459" s="143"/>
      <c r="AM459" s="509">
        <v>33.200000000000003</v>
      </c>
      <c r="AN459" s="89"/>
      <c r="AO459" s="507"/>
      <c r="AP459" s="416">
        <v>36300</v>
      </c>
      <c r="AQ459" s="507"/>
      <c r="AR459" s="507"/>
      <c r="AS459" s="507"/>
      <c r="AT459" s="507"/>
      <c r="AU459" s="507"/>
      <c r="AV459" s="275"/>
      <c r="AW459" s="257">
        <v>7</v>
      </c>
      <c r="AX459" s="261"/>
      <c r="AY459" s="261"/>
      <c r="AZ459" s="261"/>
      <c r="BA459" s="175">
        <v>65</v>
      </c>
      <c r="BB459" s="259"/>
      <c r="BC459" s="176"/>
      <c r="BD459" s="177"/>
      <c r="BE459" s="177"/>
      <c r="BF459" s="178"/>
      <c r="BG459" s="27"/>
      <c r="BH459" s="27"/>
    </row>
    <row r="460" spans="1:82" ht="15" customHeight="1">
      <c r="A460" s="95">
        <v>459</v>
      </c>
      <c r="B460" s="96" t="s">
        <v>1268</v>
      </c>
      <c r="C460" s="73" t="s">
        <v>2595</v>
      </c>
      <c r="D460" s="257" t="s">
        <v>444</v>
      </c>
      <c r="E460" s="459" t="s">
        <v>3377</v>
      </c>
      <c r="F460" s="260"/>
      <c r="G460" s="89"/>
      <c r="H460" s="57"/>
      <c r="I460" s="88"/>
      <c r="J460" s="100">
        <v>0.48</v>
      </c>
      <c r="K460" s="44">
        <v>5.4290000000000003</v>
      </c>
      <c r="L460" s="91">
        <f t="shared" si="38"/>
        <v>168</v>
      </c>
      <c r="M460" s="65">
        <v>350</v>
      </c>
      <c r="N460" s="65"/>
      <c r="O460" s="106" t="s">
        <v>120</v>
      </c>
      <c r="P460" s="94"/>
      <c r="Q460" s="262"/>
      <c r="R460" s="507"/>
      <c r="S460" s="94"/>
      <c r="T460" s="506"/>
      <c r="U460" s="65"/>
      <c r="V460" s="135"/>
      <c r="W460" s="129"/>
      <c r="X460" s="129"/>
      <c r="Y460" s="120">
        <v>0</v>
      </c>
      <c r="Z460" s="120">
        <v>0</v>
      </c>
      <c r="AA460" s="130"/>
      <c r="AB460" s="17">
        <v>0</v>
      </c>
      <c r="AC460" s="17">
        <v>0</v>
      </c>
      <c r="AD460" s="130"/>
      <c r="AE460" s="130"/>
      <c r="AF460" s="17">
        <v>0</v>
      </c>
      <c r="AG460" s="130"/>
      <c r="AH460" s="17">
        <v>0</v>
      </c>
      <c r="AI460" s="130"/>
      <c r="AJ460" s="130"/>
      <c r="AK460" s="17">
        <v>0</v>
      </c>
      <c r="AL460" s="143"/>
      <c r="AM460" s="509">
        <v>33.200000000000003</v>
      </c>
      <c r="AN460" s="89"/>
      <c r="AO460" s="507"/>
      <c r="AP460" s="416">
        <v>36300</v>
      </c>
      <c r="AQ460" s="507"/>
      <c r="AR460" s="507"/>
      <c r="AS460" s="507"/>
      <c r="AT460" s="507"/>
      <c r="AU460" s="507"/>
      <c r="AV460" s="275"/>
      <c r="AW460" s="257">
        <v>7</v>
      </c>
      <c r="AX460" s="261"/>
      <c r="AY460" s="261"/>
      <c r="AZ460" s="261"/>
      <c r="BA460" s="175">
        <v>65</v>
      </c>
      <c r="BB460" s="259"/>
      <c r="BC460" s="176"/>
      <c r="BD460" s="177"/>
      <c r="BE460" s="177"/>
      <c r="BF460" s="178"/>
      <c r="BG460" s="27"/>
      <c r="BH460" s="27"/>
    </row>
    <row r="461" spans="1:82" s="82" customFormat="1" ht="15" customHeight="1">
      <c r="A461" s="95">
        <v>460</v>
      </c>
      <c r="B461" s="96" t="s">
        <v>1267</v>
      </c>
      <c r="C461" s="73" t="s">
        <v>2595</v>
      </c>
      <c r="D461" s="273" t="s">
        <v>444</v>
      </c>
      <c r="E461" s="460" t="s">
        <v>3377</v>
      </c>
      <c r="F461" s="260"/>
      <c r="G461" s="89"/>
      <c r="H461" s="57"/>
      <c r="I461" s="88"/>
      <c r="J461" s="100">
        <v>0.48</v>
      </c>
      <c r="K461" s="44">
        <v>5.4290000000000003</v>
      </c>
      <c r="L461" s="91">
        <f t="shared" si="38"/>
        <v>168</v>
      </c>
      <c r="M461" s="65">
        <v>350</v>
      </c>
      <c r="N461" s="65"/>
      <c r="O461" s="106" t="s">
        <v>120</v>
      </c>
      <c r="P461" s="94"/>
      <c r="Q461" s="262"/>
      <c r="R461" s="507"/>
      <c r="S461" s="94"/>
      <c r="T461" s="506"/>
      <c r="U461" s="65"/>
      <c r="V461" s="135"/>
      <c r="W461" s="129"/>
      <c r="X461" s="129"/>
      <c r="Y461" s="120">
        <v>0</v>
      </c>
      <c r="Z461" s="120">
        <v>0</v>
      </c>
      <c r="AA461" s="130"/>
      <c r="AB461" s="17">
        <v>0</v>
      </c>
      <c r="AC461" s="17">
        <v>0</v>
      </c>
      <c r="AD461" s="130"/>
      <c r="AE461" s="130"/>
      <c r="AF461" s="17">
        <v>0</v>
      </c>
      <c r="AG461" s="130"/>
      <c r="AH461" s="17">
        <v>0</v>
      </c>
      <c r="AI461" s="130"/>
      <c r="AJ461" s="130"/>
      <c r="AK461" s="17">
        <v>0</v>
      </c>
      <c r="AL461" s="143"/>
      <c r="AM461" s="509">
        <v>33.200000000000003</v>
      </c>
      <c r="AN461" s="89"/>
      <c r="AO461" s="507"/>
      <c r="AP461" s="416">
        <v>36300</v>
      </c>
      <c r="AQ461" s="507"/>
      <c r="AR461" s="507"/>
      <c r="AS461" s="507"/>
      <c r="AT461" s="507"/>
      <c r="AU461" s="507"/>
      <c r="AV461" s="275"/>
      <c r="AW461" s="273">
        <v>7</v>
      </c>
      <c r="AX461" s="261"/>
      <c r="AY461" s="261"/>
      <c r="AZ461" s="261"/>
      <c r="BA461" s="175">
        <v>65</v>
      </c>
      <c r="BB461" s="259"/>
      <c r="BC461" s="176"/>
      <c r="BD461" s="171"/>
      <c r="BE461" s="171"/>
      <c r="BF461" s="190"/>
      <c r="BG461" s="85"/>
      <c r="BH461" s="8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row>
    <row r="462" spans="1:82" s="82" customFormat="1" ht="16.5" customHeight="1">
      <c r="A462" s="95">
        <v>461</v>
      </c>
      <c r="B462" s="96" t="s">
        <v>1266</v>
      </c>
      <c r="C462" s="73" t="s">
        <v>2650</v>
      </c>
      <c r="D462" s="506" t="s">
        <v>549</v>
      </c>
      <c r="E462" s="461" t="s">
        <v>3377</v>
      </c>
      <c r="F462" s="506">
        <v>1964</v>
      </c>
      <c r="G462" s="171">
        <v>164</v>
      </c>
      <c r="H462" s="57"/>
      <c r="I462" s="173" t="s">
        <v>2565</v>
      </c>
      <c r="J462" s="508">
        <v>0.35599999999999998</v>
      </c>
      <c r="K462" s="44">
        <v>1.57</v>
      </c>
      <c r="L462" s="169"/>
      <c r="M462" s="506">
        <v>790</v>
      </c>
      <c r="N462" s="65"/>
      <c r="O462" s="106" t="s">
        <v>120</v>
      </c>
      <c r="P462" s="511"/>
      <c r="Q462" s="510" t="s">
        <v>3454</v>
      </c>
      <c r="R462" s="65" t="s">
        <v>2308</v>
      </c>
      <c r="S462" s="94"/>
      <c r="T462" s="506"/>
      <c r="U462" s="65" t="s">
        <v>2308</v>
      </c>
      <c r="V462" s="131">
        <v>0</v>
      </c>
      <c r="W462" s="129">
        <v>0</v>
      </c>
      <c r="X462" s="120">
        <v>0</v>
      </c>
      <c r="Y462" s="120">
        <v>0</v>
      </c>
      <c r="Z462" s="120">
        <v>0</v>
      </c>
      <c r="AA462" s="133">
        <v>0</v>
      </c>
      <c r="AB462" s="17">
        <v>0</v>
      </c>
      <c r="AC462" s="17">
        <v>0</v>
      </c>
      <c r="AD462" s="133">
        <v>0</v>
      </c>
      <c r="AE462" s="133">
        <v>0</v>
      </c>
      <c r="AF462" s="17">
        <v>0</v>
      </c>
      <c r="AG462" s="133">
        <v>0</v>
      </c>
      <c r="AH462" s="17">
        <v>0</v>
      </c>
      <c r="AI462" s="133">
        <v>0</v>
      </c>
      <c r="AJ462" s="133">
        <v>0</v>
      </c>
      <c r="AK462" s="17">
        <v>0</v>
      </c>
      <c r="AL462" s="137">
        <v>0</v>
      </c>
      <c r="AM462" s="263"/>
      <c r="AN462" s="89"/>
      <c r="AO462" s="507"/>
      <c r="AP462" s="262"/>
      <c r="AQ462" s="133" t="s">
        <v>271</v>
      </c>
      <c r="AR462" s="188">
        <v>100</v>
      </c>
      <c r="AS462" s="171"/>
      <c r="AT462" s="171" t="str">
        <f t="shared" ref="AT462:AT493" si="39">RIGHT(AQ462,LEN(AQ462)-FIND("x",AQ462,8))</f>
        <v>400</v>
      </c>
      <c r="AU462" s="254">
        <f t="shared" ref="AU462:AU493" si="40">IF(ISBLANK(AS462),(AR462*AT462)/((4*AT462)+(2*AR462)),AR462*AS462*AT462/2/(AR462*AS462+AR462*AT462+AS462*AT462))</f>
        <v>22.222222222222221</v>
      </c>
      <c r="AV462" s="172">
        <v>100</v>
      </c>
      <c r="AW462" s="506">
        <v>7</v>
      </c>
      <c r="AX462" s="506">
        <v>21</v>
      </c>
      <c r="AY462" s="506">
        <v>21</v>
      </c>
      <c r="AZ462" s="261"/>
      <c r="BA462" s="175">
        <v>50</v>
      </c>
      <c r="BB462" s="73" t="s">
        <v>2528</v>
      </c>
      <c r="BC462" s="176"/>
      <c r="BD462" s="171"/>
      <c r="BE462" s="171"/>
      <c r="BF462" s="190"/>
      <c r="BG462" s="86"/>
      <c r="BH462" s="86"/>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row>
    <row r="463" spans="1:82" ht="16.5" customHeight="1">
      <c r="A463" s="95">
        <v>462</v>
      </c>
      <c r="B463" s="96" t="s">
        <v>1265</v>
      </c>
      <c r="C463" s="73" t="s">
        <v>2650</v>
      </c>
      <c r="D463" s="251" t="s">
        <v>549</v>
      </c>
      <c r="E463" s="462" t="s">
        <v>3377</v>
      </c>
      <c r="F463" s="252">
        <v>1964</v>
      </c>
      <c r="G463" s="171">
        <v>164</v>
      </c>
      <c r="H463" s="57"/>
      <c r="I463" s="173" t="s">
        <v>2565</v>
      </c>
      <c r="J463" s="508">
        <v>0.55200000000000005</v>
      </c>
      <c r="K463" s="44">
        <v>2.9620000000000002</v>
      </c>
      <c r="L463" s="169"/>
      <c r="M463" s="506">
        <v>502</v>
      </c>
      <c r="N463" s="65"/>
      <c r="O463" s="106" t="s">
        <v>120</v>
      </c>
      <c r="P463" s="511"/>
      <c r="Q463" s="510" t="s">
        <v>3454</v>
      </c>
      <c r="R463" s="65" t="s">
        <v>2308</v>
      </c>
      <c r="S463" s="94"/>
      <c r="T463" s="506"/>
      <c r="U463" s="65" t="s">
        <v>2308</v>
      </c>
      <c r="V463" s="131">
        <v>0</v>
      </c>
      <c r="W463" s="129">
        <v>0</v>
      </c>
      <c r="X463" s="120">
        <v>0</v>
      </c>
      <c r="Y463" s="120">
        <v>0</v>
      </c>
      <c r="Z463" s="120">
        <v>0</v>
      </c>
      <c r="AA463" s="133">
        <v>0</v>
      </c>
      <c r="AB463" s="17">
        <v>0</v>
      </c>
      <c r="AC463" s="17">
        <v>0</v>
      </c>
      <c r="AD463" s="133">
        <v>0</v>
      </c>
      <c r="AE463" s="133">
        <v>0</v>
      </c>
      <c r="AF463" s="17">
        <v>0</v>
      </c>
      <c r="AG463" s="133">
        <v>0</v>
      </c>
      <c r="AH463" s="17">
        <v>0</v>
      </c>
      <c r="AI463" s="133">
        <v>0</v>
      </c>
      <c r="AJ463" s="133">
        <v>0</v>
      </c>
      <c r="AK463" s="17">
        <v>0</v>
      </c>
      <c r="AL463" s="137">
        <v>0</v>
      </c>
      <c r="AM463" s="263"/>
      <c r="AN463" s="89"/>
      <c r="AO463" s="507"/>
      <c r="AP463" s="262"/>
      <c r="AQ463" s="133" t="s">
        <v>271</v>
      </c>
      <c r="AR463" s="188">
        <v>100</v>
      </c>
      <c r="AS463" s="171"/>
      <c r="AT463" s="171" t="str">
        <f t="shared" si="39"/>
        <v>400</v>
      </c>
      <c r="AU463" s="255">
        <f t="shared" si="40"/>
        <v>22.222222222222221</v>
      </c>
      <c r="AV463" s="172">
        <v>100</v>
      </c>
      <c r="AW463" s="251">
        <v>7</v>
      </c>
      <c r="AX463" s="252">
        <v>21</v>
      </c>
      <c r="AY463" s="252">
        <v>21</v>
      </c>
      <c r="AZ463" s="261"/>
      <c r="BA463" s="175">
        <v>50</v>
      </c>
      <c r="BB463" s="276" t="s">
        <v>2528</v>
      </c>
      <c r="BC463" s="176"/>
      <c r="BD463" s="177"/>
      <c r="BE463" s="177"/>
      <c r="BF463" s="178"/>
      <c r="BG463" s="12"/>
      <c r="BH463" s="8"/>
    </row>
    <row r="464" spans="1:82" ht="16.5" customHeight="1">
      <c r="A464" s="95">
        <v>463</v>
      </c>
      <c r="B464" s="96" t="s">
        <v>1264</v>
      </c>
      <c r="C464" s="73" t="s">
        <v>2650</v>
      </c>
      <c r="D464" s="257" t="s">
        <v>549</v>
      </c>
      <c r="E464" s="459" t="s">
        <v>3377</v>
      </c>
      <c r="F464" s="258">
        <v>1964</v>
      </c>
      <c r="G464" s="171">
        <v>164</v>
      </c>
      <c r="H464" s="57"/>
      <c r="I464" s="173" t="s">
        <v>2565</v>
      </c>
      <c r="J464" s="508">
        <v>0.753</v>
      </c>
      <c r="K464" s="44">
        <v>4.3479999999999999</v>
      </c>
      <c r="L464" s="169"/>
      <c r="M464" s="506">
        <v>368</v>
      </c>
      <c r="N464" s="65"/>
      <c r="O464" s="106" t="s">
        <v>120</v>
      </c>
      <c r="P464" s="511"/>
      <c r="Q464" s="510" t="s">
        <v>3454</v>
      </c>
      <c r="R464" s="65" t="s">
        <v>2308</v>
      </c>
      <c r="S464" s="94"/>
      <c r="T464" s="506"/>
      <c r="U464" s="65" t="s">
        <v>2308</v>
      </c>
      <c r="V464" s="131">
        <v>0</v>
      </c>
      <c r="W464" s="129">
        <v>0</v>
      </c>
      <c r="X464" s="120">
        <v>0</v>
      </c>
      <c r="Y464" s="120">
        <v>0</v>
      </c>
      <c r="Z464" s="120">
        <v>0</v>
      </c>
      <c r="AA464" s="133">
        <v>0</v>
      </c>
      <c r="AB464" s="17">
        <v>0</v>
      </c>
      <c r="AC464" s="17">
        <v>0</v>
      </c>
      <c r="AD464" s="133">
        <v>0</v>
      </c>
      <c r="AE464" s="133">
        <v>0</v>
      </c>
      <c r="AF464" s="17">
        <v>0</v>
      </c>
      <c r="AG464" s="133">
        <v>0</v>
      </c>
      <c r="AH464" s="17">
        <v>0</v>
      </c>
      <c r="AI464" s="133">
        <v>0</v>
      </c>
      <c r="AJ464" s="133">
        <v>0</v>
      </c>
      <c r="AK464" s="17">
        <v>0</v>
      </c>
      <c r="AL464" s="137">
        <v>0</v>
      </c>
      <c r="AM464" s="263"/>
      <c r="AN464" s="89"/>
      <c r="AO464" s="507"/>
      <c r="AP464" s="262"/>
      <c r="AQ464" s="133" t="s">
        <v>271</v>
      </c>
      <c r="AR464" s="188">
        <v>100</v>
      </c>
      <c r="AS464" s="171"/>
      <c r="AT464" s="171" t="str">
        <f t="shared" si="39"/>
        <v>400</v>
      </c>
      <c r="AU464" s="255">
        <f t="shared" si="40"/>
        <v>22.222222222222221</v>
      </c>
      <c r="AV464" s="172">
        <v>100</v>
      </c>
      <c r="AW464" s="257">
        <v>7</v>
      </c>
      <c r="AX464" s="258">
        <v>21</v>
      </c>
      <c r="AY464" s="258">
        <v>21</v>
      </c>
      <c r="AZ464" s="261"/>
      <c r="BA464" s="175">
        <v>50</v>
      </c>
      <c r="BB464" s="751" t="s">
        <v>2528</v>
      </c>
      <c r="BC464" s="176"/>
      <c r="BD464" s="179"/>
      <c r="BE464" s="179"/>
      <c r="BF464" s="178"/>
      <c r="BG464" s="27"/>
      <c r="BH464" s="55"/>
    </row>
    <row r="465" spans="1:60" ht="16.5" customHeight="1">
      <c r="A465" s="95">
        <v>464</v>
      </c>
      <c r="B465" s="96" t="s">
        <v>1263</v>
      </c>
      <c r="C465" s="73" t="s">
        <v>2650</v>
      </c>
      <c r="D465" s="257" t="s">
        <v>549</v>
      </c>
      <c r="E465" s="459" t="s">
        <v>3377</v>
      </c>
      <c r="F465" s="258">
        <v>1964</v>
      </c>
      <c r="G465" s="171">
        <v>164</v>
      </c>
      <c r="H465" s="57"/>
      <c r="I465" s="173" t="s">
        <v>2565</v>
      </c>
      <c r="J465" s="508">
        <v>0.35099999999999998</v>
      </c>
      <c r="K465" s="44">
        <v>3.1080000000000001</v>
      </c>
      <c r="L465" s="169"/>
      <c r="M465" s="506">
        <v>547</v>
      </c>
      <c r="N465" s="65"/>
      <c r="O465" s="106" t="s">
        <v>120</v>
      </c>
      <c r="P465" s="511"/>
      <c r="Q465" s="510" t="s">
        <v>3454</v>
      </c>
      <c r="R465" s="65" t="s">
        <v>2308</v>
      </c>
      <c r="S465" s="94"/>
      <c r="T465" s="506"/>
      <c r="U465" s="65" t="s">
        <v>2308</v>
      </c>
      <c r="V465" s="131">
        <v>0</v>
      </c>
      <c r="W465" s="129">
        <v>0</v>
      </c>
      <c r="X465" s="120">
        <v>0</v>
      </c>
      <c r="Y465" s="120">
        <v>0</v>
      </c>
      <c r="Z465" s="120">
        <v>0</v>
      </c>
      <c r="AA465" s="133">
        <v>0</v>
      </c>
      <c r="AB465" s="17">
        <v>0</v>
      </c>
      <c r="AC465" s="17">
        <v>0</v>
      </c>
      <c r="AD465" s="133">
        <v>0</v>
      </c>
      <c r="AE465" s="133">
        <v>0</v>
      </c>
      <c r="AF465" s="17">
        <v>0</v>
      </c>
      <c r="AG465" s="133">
        <v>0</v>
      </c>
      <c r="AH465" s="17">
        <v>0</v>
      </c>
      <c r="AI465" s="133">
        <v>0</v>
      </c>
      <c r="AJ465" s="133">
        <v>0</v>
      </c>
      <c r="AK465" s="17">
        <v>0</v>
      </c>
      <c r="AL465" s="137">
        <v>0</v>
      </c>
      <c r="AM465" s="263"/>
      <c r="AN465" s="89"/>
      <c r="AO465" s="507"/>
      <c r="AP465" s="262"/>
      <c r="AQ465" s="133" t="s">
        <v>271</v>
      </c>
      <c r="AR465" s="188">
        <v>100</v>
      </c>
      <c r="AS465" s="171"/>
      <c r="AT465" s="171" t="str">
        <f t="shared" si="39"/>
        <v>400</v>
      </c>
      <c r="AU465" s="255">
        <f t="shared" si="40"/>
        <v>22.222222222222221</v>
      </c>
      <c r="AV465" s="172">
        <v>100</v>
      </c>
      <c r="AW465" s="257">
        <v>7</v>
      </c>
      <c r="AX465" s="258">
        <v>21</v>
      </c>
      <c r="AY465" s="258">
        <v>21</v>
      </c>
      <c r="AZ465" s="261"/>
      <c r="BA465" s="175">
        <v>50</v>
      </c>
      <c r="BB465" s="751" t="s">
        <v>2528</v>
      </c>
      <c r="BC465" s="176"/>
      <c r="BD465" s="179"/>
      <c r="BE465" s="179"/>
      <c r="BF465" s="178"/>
      <c r="BG465" s="27"/>
      <c r="BH465" s="55"/>
    </row>
    <row r="466" spans="1:60" ht="16.5" customHeight="1">
      <c r="A466" s="95">
        <v>465</v>
      </c>
      <c r="B466" s="96" t="s">
        <v>1262</v>
      </c>
      <c r="C466" s="73" t="s">
        <v>2650</v>
      </c>
      <c r="D466" s="257" t="s">
        <v>549</v>
      </c>
      <c r="E466" s="459" t="s">
        <v>3377</v>
      </c>
      <c r="F466" s="258">
        <v>1964</v>
      </c>
      <c r="G466" s="171">
        <v>164</v>
      </c>
      <c r="H466" s="57"/>
      <c r="I466" s="173" t="s">
        <v>2565</v>
      </c>
      <c r="J466" s="508">
        <v>0.54400000000000004</v>
      </c>
      <c r="K466" s="44">
        <v>5.3520000000000003</v>
      </c>
      <c r="L466" s="169"/>
      <c r="M466" s="506">
        <v>349</v>
      </c>
      <c r="N466" s="65"/>
      <c r="O466" s="106" t="s">
        <v>120</v>
      </c>
      <c r="P466" s="511"/>
      <c r="Q466" s="510" t="s">
        <v>3454</v>
      </c>
      <c r="R466" s="65" t="s">
        <v>2308</v>
      </c>
      <c r="S466" s="94"/>
      <c r="T466" s="506"/>
      <c r="U466" s="65" t="s">
        <v>2308</v>
      </c>
      <c r="V466" s="131">
        <v>0</v>
      </c>
      <c r="W466" s="129">
        <v>0</v>
      </c>
      <c r="X466" s="120">
        <v>0</v>
      </c>
      <c r="Y466" s="120">
        <v>0</v>
      </c>
      <c r="Z466" s="120">
        <v>0</v>
      </c>
      <c r="AA466" s="133">
        <v>0</v>
      </c>
      <c r="AB466" s="17">
        <v>0</v>
      </c>
      <c r="AC466" s="17">
        <v>0</v>
      </c>
      <c r="AD466" s="133">
        <v>0</v>
      </c>
      <c r="AE466" s="133">
        <v>0</v>
      </c>
      <c r="AF466" s="17">
        <v>0</v>
      </c>
      <c r="AG466" s="133">
        <v>0</v>
      </c>
      <c r="AH466" s="17">
        <v>0</v>
      </c>
      <c r="AI466" s="133">
        <v>0</v>
      </c>
      <c r="AJ466" s="133">
        <v>0</v>
      </c>
      <c r="AK466" s="17">
        <v>0</v>
      </c>
      <c r="AL466" s="137">
        <v>0</v>
      </c>
      <c r="AM466" s="263"/>
      <c r="AN466" s="89"/>
      <c r="AO466" s="507"/>
      <c r="AP466" s="262"/>
      <c r="AQ466" s="133" t="s">
        <v>271</v>
      </c>
      <c r="AR466" s="188">
        <v>100</v>
      </c>
      <c r="AS466" s="171"/>
      <c r="AT466" s="171" t="str">
        <f t="shared" si="39"/>
        <v>400</v>
      </c>
      <c r="AU466" s="255">
        <f t="shared" si="40"/>
        <v>22.222222222222221</v>
      </c>
      <c r="AV466" s="172">
        <v>100</v>
      </c>
      <c r="AW466" s="257">
        <v>7</v>
      </c>
      <c r="AX466" s="258">
        <v>21</v>
      </c>
      <c r="AY466" s="258">
        <v>21</v>
      </c>
      <c r="AZ466" s="261"/>
      <c r="BA466" s="175">
        <v>50</v>
      </c>
      <c r="BB466" s="751" t="s">
        <v>2528</v>
      </c>
      <c r="BC466" s="176"/>
      <c r="BD466" s="179"/>
      <c r="BE466" s="179"/>
      <c r="BF466" s="178"/>
      <c r="BG466" s="27"/>
      <c r="BH466" s="55"/>
    </row>
    <row r="467" spans="1:60" ht="16.5" customHeight="1">
      <c r="A467" s="95">
        <v>466</v>
      </c>
      <c r="B467" s="96" t="s">
        <v>1261</v>
      </c>
      <c r="C467" s="73" t="s">
        <v>2650</v>
      </c>
      <c r="D467" s="257" t="s">
        <v>549</v>
      </c>
      <c r="E467" s="459" t="s">
        <v>3377</v>
      </c>
      <c r="F467" s="258">
        <v>1964</v>
      </c>
      <c r="G467" s="171">
        <v>164</v>
      </c>
      <c r="H467" s="57"/>
      <c r="I467" s="173" t="s">
        <v>2565</v>
      </c>
      <c r="J467" s="508">
        <v>0.74199999999999999</v>
      </c>
      <c r="K467" s="44">
        <v>7.5979999999999999</v>
      </c>
      <c r="L467" s="169"/>
      <c r="M467" s="506">
        <v>256</v>
      </c>
      <c r="N467" s="65"/>
      <c r="O467" s="106" t="s">
        <v>120</v>
      </c>
      <c r="P467" s="511"/>
      <c r="Q467" s="510" t="s">
        <v>3454</v>
      </c>
      <c r="R467" s="65" t="s">
        <v>2308</v>
      </c>
      <c r="S467" s="94"/>
      <c r="T467" s="506"/>
      <c r="U467" s="65" t="s">
        <v>2308</v>
      </c>
      <c r="V467" s="131">
        <v>0</v>
      </c>
      <c r="W467" s="129">
        <v>0</v>
      </c>
      <c r="X467" s="120">
        <v>0</v>
      </c>
      <c r="Y467" s="120">
        <v>0</v>
      </c>
      <c r="Z467" s="120">
        <v>0</v>
      </c>
      <c r="AA467" s="133">
        <v>0</v>
      </c>
      <c r="AB467" s="17">
        <v>0</v>
      </c>
      <c r="AC467" s="17">
        <v>0</v>
      </c>
      <c r="AD467" s="133">
        <v>0</v>
      </c>
      <c r="AE467" s="133">
        <v>0</v>
      </c>
      <c r="AF467" s="17">
        <v>0</v>
      </c>
      <c r="AG467" s="133">
        <v>0</v>
      </c>
      <c r="AH467" s="17">
        <v>0</v>
      </c>
      <c r="AI467" s="133">
        <v>0</v>
      </c>
      <c r="AJ467" s="133">
        <v>0</v>
      </c>
      <c r="AK467" s="17">
        <v>0</v>
      </c>
      <c r="AL467" s="137">
        <v>0</v>
      </c>
      <c r="AM467" s="263"/>
      <c r="AN467" s="89"/>
      <c r="AO467" s="507"/>
      <c r="AP467" s="262"/>
      <c r="AQ467" s="133" t="s">
        <v>271</v>
      </c>
      <c r="AR467" s="188">
        <v>100</v>
      </c>
      <c r="AS467" s="171"/>
      <c r="AT467" s="171" t="str">
        <f t="shared" si="39"/>
        <v>400</v>
      </c>
      <c r="AU467" s="255">
        <f t="shared" si="40"/>
        <v>22.222222222222221</v>
      </c>
      <c r="AV467" s="172">
        <v>100</v>
      </c>
      <c r="AW467" s="257">
        <v>7</v>
      </c>
      <c r="AX467" s="258">
        <v>21</v>
      </c>
      <c r="AY467" s="258">
        <v>21</v>
      </c>
      <c r="AZ467" s="261"/>
      <c r="BA467" s="175">
        <v>50</v>
      </c>
      <c r="BB467" s="751" t="s">
        <v>2528</v>
      </c>
      <c r="BC467" s="176"/>
      <c r="BD467" s="179"/>
      <c r="BE467" s="179"/>
      <c r="BF467" s="178"/>
      <c r="BG467" s="27"/>
      <c r="BH467" s="55"/>
    </row>
    <row r="468" spans="1:60" ht="16.5" customHeight="1">
      <c r="A468" s="95">
        <v>467</v>
      </c>
      <c r="B468" s="96" t="s">
        <v>1260</v>
      </c>
      <c r="C468" s="73" t="s">
        <v>2650</v>
      </c>
      <c r="D468" s="257" t="s">
        <v>549</v>
      </c>
      <c r="E468" s="459" t="s">
        <v>3377</v>
      </c>
      <c r="F468" s="258">
        <v>1964</v>
      </c>
      <c r="G468" s="171">
        <v>164</v>
      </c>
      <c r="H468" s="57"/>
      <c r="I468" s="173" t="s">
        <v>2565</v>
      </c>
      <c r="J468" s="508">
        <v>0.35499999999999998</v>
      </c>
      <c r="K468" s="44">
        <v>4.4320000000000004</v>
      </c>
      <c r="L468" s="169"/>
      <c r="M468" s="506">
        <v>431</v>
      </c>
      <c r="N468" s="65"/>
      <c r="O468" s="106" t="s">
        <v>120</v>
      </c>
      <c r="P468" s="511"/>
      <c r="Q468" s="510" t="s">
        <v>3454</v>
      </c>
      <c r="R468" s="65" t="s">
        <v>2308</v>
      </c>
      <c r="S468" s="94"/>
      <c r="T468" s="506"/>
      <c r="U468" s="65" t="s">
        <v>2308</v>
      </c>
      <c r="V468" s="131">
        <v>0</v>
      </c>
      <c r="W468" s="129">
        <v>0</v>
      </c>
      <c r="X468" s="120">
        <v>0</v>
      </c>
      <c r="Y468" s="120">
        <v>0</v>
      </c>
      <c r="Z468" s="120">
        <v>0</v>
      </c>
      <c r="AA468" s="133">
        <v>0</v>
      </c>
      <c r="AB468" s="17">
        <v>0</v>
      </c>
      <c r="AC468" s="17">
        <v>0</v>
      </c>
      <c r="AD468" s="133">
        <v>0</v>
      </c>
      <c r="AE468" s="133">
        <v>0</v>
      </c>
      <c r="AF468" s="17">
        <v>0</v>
      </c>
      <c r="AG468" s="133">
        <v>0</v>
      </c>
      <c r="AH468" s="17">
        <v>0</v>
      </c>
      <c r="AI468" s="133">
        <v>0</v>
      </c>
      <c r="AJ468" s="133">
        <v>0</v>
      </c>
      <c r="AK468" s="17">
        <v>0</v>
      </c>
      <c r="AL468" s="137">
        <v>0</v>
      </c>
      <c r="AM468" s="263"/>
      <c r="AN468" s="89"/>
      <c r="AO468" s="507"/>
      <c r="AP468" s="262"/>
      <c r="AQ468" s="133" t="s">
        <v>271</v>
      </c>
      <c r="AR468" s="188">
        <v>100</v>
      </c>
      <c r="AS468" s="171"/>
      <c r="AT468" s="171" t="str">
        <f t="shared" si="39"/>
        <v>400</v>
      </c>
      <c r="AU468" s="255">
        <f t="shared" si="40"/>
        <v>22.222222222222221</v>
      </c>
      <c r="AV468" s="172">
        <v>100</v>
      </c>
      <c r="AW468" s="257">
        <v>7</v>
      </c>
      <c r="AX468" s="258">
        <v>21</v>
      </c>
      <c r="AY468" s="258">
        <v>21</v>
      </c>
      <c r="AZ468" s="261"/>
      <c r="BA468" s="175">
        <v>50</v>
      </c>
      <c r="BB468" s="751" t="s">
        <v>2528</v>
      </c>
      <c r="BC468" s="176"/>
      <c r="BD468" s="179"/>
      <c r="BE468" s="179"/>
      <c r="BF468" s="178"/>
      <c r="BG468" s="27"/>
      <c r="BH468" s="55"/>
    </row>
    <row r="469" spans="1:60" ht="16.5" customHeight="1">
      <c r="A469" s="95">
        <v>468</v>
      </c>
      <c r="B469" s="96" t="s">
        <v>1259</v>
      </c>
      <c r="C469" s="73" t="s">
        <v>2650</v>
      </c>
      <c r="D469" s="257" t="s">
        <v>549</v>
      </c>
      <c r="E469" s="459" t="s">
        <v>3377</v>
      </c>
      <c r="F469" s="258">
        <v>1964</v>
      </c>
      <c r="G469" s="171">
        <v>164</v>
      </c>
      <c r="H469" s="57"/>
      <c r="I469" s="173" t="s">
        <v>2565</v>
      </c>
      <c r="J469" s="508">
        <v>0.54900000000000004</v>
      </c>
      <c r="K469" s="44">
        <v>7.4290000000000003</v>
      </c>
      <c r="L469" s="169"/>
      <c r="M469" s="506">
        <v>275</v>
      </c>
      <c r="N469" s="65"/>
      <c r="O469" s="106" t="s">
        <v>120</v>
      </c>
      <c r="P469" s="511"/>
      <c r="Q469" s="510" t="s">
        <v>3454</v>
      </c>
      <c r="R469" s="65" t="s">
        <v>2308</v>
      </c>
      <c r="S469" s="94"/>
      <c r="T469" s="506"/>
      <c r="U469" s="65" t="s">
        <v>2308</v>
      </c>
      <c r="V469" s="131">
        <v>0</v>
      </c>
      <c r="W469" s="129">
        <v>0</v>
      </c>
      <c r="X469" s="120">
        <v>0</v>
      </c>
      <c r="Y469" s="120">
        <v>0</v>
      </c>
      <c r="Z469" s="120">
        <v>0</v>
      </c>
      <c r="AA469" s="133">
        <v>0</v>
      </c>
      <c r="AB469" s="17">
        <v>0</v>
      </c>
      <c r="AC469" s="17">
        <v>0</v>
      </c>
      <c r="AD469" s="133">
        <v>0</v>
      </c>
      <c r="AE469" s="133">
        <v>0</v>
      </c>
      <c r="AF469" s="17">
        <v>0</v>
      </c>
      <c r="AG469" s="133">
        <v>0</v>
      </c>
      <c r="AH469" s="17">
        <v>0</v>
      </c>
      <c r="AI469" s="133">
        <v>0</v>
      </c>
      <c r="AJ469" s="133">
        <v>0</v>
      </c>
      <c r="AK469" s="17">
        <v>0</v>
      </c>
      <c r="AL469" s="137">
        <v>0</v>
      </c>
      <c r="AM469" s="263"/>
      <c r="AN469" s="89"/>
      <c r="AO469" s="507"/>
      <c r="AP469" s="262"/>
      <c r="AQ469" s="133" t="s">
        <v>271</v>
      </c>
      <c r="AR469" s="188">
        <v>100</v>
      </c>
      <c r="AS469" s="171"/>
      <c r="AT469" s="171" t="str">
        <f t="shared" si="39"/>
        <v>400</v>
      </c>
      <c r="AU469" s="255">
        <f t="shared" si="40"/>
        <v>22.222222222222221</v>
      </c>
      <c r="AV469" s="172">
        <v>100</v>
      </c>
      <c r="AW469" s="257">
        <v>7</v>
      </c>
      <c r="AX469" s="258">
        <v>21</v>
      </c>
      <c r="AY469" s="258">
        <v>21</v>
      </c>
      <c r="AZ469" s="261"/>
      <c r="BA469" s="175">
        <v>50</v>
      </c>
      <c r="BB469" s="751" t="s">
        <v>2528</v>
      </c>
      <c r="BC469" s="176"/>
      <c r="BD469" s="179"/>
      <c r="BE469" s="179"/>
      <c r="BF469" s="178"/>
      <c r="BG469" s="27"/>
      <c r="BH469" s="55"/>
    </row>
    <row r="470" spans="1:60" ht="16.5" customHeight="1">
      <c r="A470" s="95">
        <v>469</v>
      </c>
      <c r="B470" s="96" t="s">
        <v>1258</v>
      </c>
      <c r="C470" s="73" t="s">
        <v>2650</v>
      </c>
      <c r="D470" s="257" t="s">
        <v>549</v>
      </c>
      <c r="E470" s="459" t="s">
        <v>3377</v>
      </c>
      <c r="F470" s="258">
        <v>1964</v>
      </c>
      <c r="G470" s="171">
        <v>164</v>
      </c>
      <c r="H470" s="57"/>
      <c r="I470" s="173" t="s">
        <v>2565</v>
      </c>
      <c r="J470" s="508">
        <v>0.752</v>
      </c>
      <c r="K470" s="44">
        <v>10.462999999999999</v>
      </c>
      <c r="L470" s="169"/>
      <c r="M470" s="506">
        <v>201</v>
      </c>
      <c r="N470" s="65"/>
      <c r="O470" s="106" t="s">
        <v>120</v>
      </c>
      <c r="P470" s="511"/>
      <c r="Q470" s="510" t="s">
        <v>3454</v>
      </c>
      <c r="R470" s="65" t="s">
        <v>2308</v>
      </c>
      <c r="S470" s="94"/>
      <c r="T470" s="506"/>
      <c r="U470" s="65" t="s">
        <v>2308</v>
      </c>
      <c r="V470" s="131">
        <v>0</v>
      </c>
      <c r="W470" s="129">
        <v>0</v>
      </c>
      <c r="X470" s="120">
        <v>0</v>
      </c>
      <c r="Y470" s="120">
        <v>0</v>
      </c>
      <c r="Z470" s="120">
        <v>0</v>
      </c>
      <c r="AA470" s="133">
        <v>0</v>
      </c>
      <c r="AB470" s="17">
        <v>0</v>
      </c>
      <c r="AC470" s="17">
        <v>0</v>
      </c>
      <c r="AD470" s="133">
        <v>0</v>
      </c>
      <c r="AE470" s="133">
        <v>0</v>
      </c>
      <c r="AF470" s="17">
        <v>0</v>
      </c>
      <c r="AG470" s="133">
        <v>0</v>
      </c>
      <c r="AH470" s="17">
        <v>0</v>
      </c>
      <c r="AI470" s="133">
        <v>0</v>
      </c>
      <c r="AJ470" s="133">
        <v>0</v>
      </c>
      <c r="AK470" s="17">
        <v>0</v>
      </c>
      <c r="AL470" s="137">
        <v>0</v>
      </c>
      <c r="AM470" s="263"/>
      <c r="AN470" s="89"/>
      <c r="AO470" s="507"/>
      <c r="AP470" s="262"/>
      <c r="AQ470" s="133" t="s">
        <v>271</v>
      </c>
      <c r="AR470" s="188">
        <v>100</v>
      </c>
      <c r="AS470" s="171"/>
      <c r="AT470" s="171" t="str">
        <f t="shared" si="39"/>
        <v>400</v>
      </c>
      <c r="AU470" s="255">
        <f t="shared" si="40"/>
        <v>22.222222222222221</v>
      </c>
      <c r="AV470" s="172">
        <v>100</v>
      </c>
      <c r="AW470" s="257">
        <v>7</v>
      </c>
      <c r="AX470" s="258">
        <v>21</v>
      </c>
      <c r="AY470" s="258">
        <v>21</v>
      </c>
      <c r="AZ470" s="261"/>
      <c r="BA470" s="175">
        <v>50</v>
      </c>
      <c r="BB470" s="751" t="s">
        <v>2528</v>
      </c>
      <c r="BC470" s="176"/>
      <c r="BD470" s="179"/>
      <c r="BE470" s="179"/>
      <c r="BF470" s="178"/>
      <c r="BG470" s="27"/>
      <c r="BH470" s="55"/>
    </row>
    <row r="471" spans="1:60" ht="16.5" customHeight="1">
      <c r="A471" s="95">
        <v>470</v>
      </c>
      <c r="B471" s="96" t="s">
        <v>1257</v>
      </c>
      <c r="C471" s="73" t="s">
        <v>2650</v>
      </c>
      <c r="D471" s="257" t="s">
        <v>549</v>
      </c>
      <c r="E471" s="459" t="s">
        <v>3377</v>
      </c>
      <c r="F471" s="258">
        <v>1964</v>
      </c>
      <c r="G471" s="171">
        <v>164</v>
      </c>
      <c r="H471" s="57"/>
      <c r="I471" s="173" t="s">
        <v>2565</v>
      </c>
      <c r="J471" s="508">
        <v>0.35499999999999998</v>
      </c>
      <c r="K471" s="44">
        <v>7.27</v>
      </c>
      <c r="L471" s="169"/>
      <c r="M471" s="506">
        <v>296</v>
      </c>
      <c r="N471" s="65"/>
      <c r="O471" s="106" t="s">
        <v>120</v>
      </c>
      <c r="P471" s="511"/>
      <c r="Q471" s="510" t="s">
        <v>3454</v>
      </c>
      <c r="R471" s="506" t="s">
        <v>2308</v>
      </c>
      <c r="S471" s="94"/>
      <c r="T471" s="506"/>
      <c r="U471" s="506" t="s">
        <v>2308</v>
      </c>
      <c r="V471" s="131">
        <v>0</v>
      </c>
      <c r="W471" s="129">
        <v>0</v>
      </c>
      <c r="X471" s="120">
        <v>0</v>
      </c>
      <c r="Y471" s="120">
        <v>0</v>
      </c>
      <c r="Z471" s="120">
        <v>0</v>
      </c>
      <c r="AA471" s="133">
        <v>0</v>
      </c>
      <c r="AB471" s="17">
        <v>0</v>
      </c>
      <c r="AC471" s="17">
        <v>0</v>
      </c>
      <c r="AD471" s="133">
        <v>0</v>
      </c>
      <c r="AE471" s="133">
        <v>0</v>
      </c>
      <c r="AF471" s="17">
        <v>0</v>
      </c>
      <c r="AG471" s="133">
        <v>0</v>
      </c>
      <c r="AH471" s="17">
        <v>0</v>
      </c>
      <c r="AI471" s="133">
        <v>0</v>
      </c>
      <c r="AJ471" s="133">
        <v>0</v>
      </c>
      <c r="AK471" s="17">
        <v>0</v>
      </c>
      <c r="AL471" s="137">
        <v>0</v>
      </c>
      <c r="AM471" s="263"/>
      <c r="AN471" s="89"/>
      <c r="AO471" s="507"/>
      <c r="AP471" s="262"/>
      <c r="AQ471" s="133" t="s">
        <v>271</v>
      </c>
      <c r="AR471" s="188">
        <v>100</v>
      </c>
      <c r="AS471" s="171"/>
      <c r="AT471" s="171" t="str">
        <f t="shared" si="39"/>
        <v>400</v>
      </c>
      <c r="AU471" s="255">
        <f t="shared" si="40"/>
        <v>22.222222222222221</v>
      </c>
      <c r="AV471" s="172">
        <v>100</v>
      </c>
      <c r="AW471" s="257">
        <v>7</v>
      </c>
      <c r="AX471" s="258">
        <v>21</v>
      </c>
      <c r="AY471" s="258">
        <v>21</v>
      </c>
      <c r="AZ471" s="261"/>
      <c r="BA471" s="175">
        <v>50</v>
      </c>
      <c r="BB471" s="751" t="s">
        <v>2528</v>
      </c>
      <c r="BC471" s="176"/>
      <c r="BD471" s="179"/>
      <c r="BE471" s="179"/>
      <c r="BF471" s="178"/>
      <c r="BG471" s="27"/>
      <c r="BH471" s="55"/>
    </row>
    <row r="472" spans="1:60" ht="16.5" customHeight="1">
      <c r="A472" s="95">
        <v>471</v>
      </c>
      <c r="B472" s="96" t="s">
        <v>1256</v>
      </c>
      <c r="C472" s="73" t="s">
        <v>2650</v>
      </c>
      <c r="D472" s="257" t="s">
        <v>549</v>
      </c>
      <c r="E472" s="459" t="s">
        <v>3377</v>
      </c>
      <c r="F472" s="258">
        <v>1964</v>
      </c>
      <c r="G472" s="171">
        <v>164</v>
      </c>
      <c r="H472" s="57"/>
      <c r="I472" s="173" t="s">
        <v>2565</v>
      </c>
      <c r="J472" s="508">
        <v>0.55100000000000005</v>
      </c>
      <c r="K472" s="44">
        <v>11.872999999999999</v>
      </c>
      <c r="L472" s="169"/>
      <c r="M472" s="506">
        <v>189</v>
      </c>
      <c r="N472" s="65"/>
      <c r="O472" s="106" t="s">
        <v>120</v>
      </c>
      <c r="P472" s="511"/>
      <c r="Q472" s="510" t="s">
        <v>3454</v>
      </c>
      <c r="R472" s="506" t="s">
        <v>2308</v>
      </c>
      <c r="S472" s="94"/>
      <c r="T472" s="506"/>
      <c r="U472" s="506" t="s">
        <v>2308</v>
      </c>
      <c r="V472" s="131">
        <v>0</v>
      </c>
      <c r="W472" s="129">
        <v>0</v>
      </c>
      <c r="X472" s="120">
        <v>0</v>
      </c>
      <c r="Y472" s="120">
        <v>0</v>
      </c>
      <c r="Z472" s="120">
        <v>0</v>
      </c>
      <c r="AA472" s="133">
        <v>0</v>
      </c>
      <c r="AB472" s="17">
        <v>0</v>
      </c>
      <c r="AC472" s="17">
        <v>0</v>
      </c>
      <c r="AD472" s="133">
        <v>0</v>
      </c>
      <c r="AE472" s="133">
        <v>0</v>
      </c>
      <c r="AF472" s="17">
        <v>0</v>
      </c>
      <c r="AG472" s="133">
        <v>0</v>
      </c>
      <c r="AH472" s="17">
        <v>0</v>
      </c>
      <c r="AI472" s="133">
        <v>0</v>
      </c>
      <c r="AJ472" s="133">
        <v>0</v>
      </c>
      <c r="AK472" s="17">
        <v>0</v>
      </c>
      <c r="AL472" s="137">
        <v>0</v>
      </c>
      <c r="AM472" s="263"/>
      <c r="AN472" s="89"/>
      <c r="AO472" s="507"/>
      <c r="AP472" s="262"/>
      <c r="AQ472" s="133" t="s">
        <v>271</v>
      </c>
      <c r="AR472" s="188">
        <v>100</v>
      </c>
      <c r="AS472" s="171"/>
      <c r="AT472" s="171" t="str">
        <f t="shared" si="39"/>
        <v>400</v>
      </c>
      <c r="AU472" s="255">
        <f t="shared" si="40"/>
        <v>22.222222222222221</v>
      </c>
      <c r="AV472" s="172">
        <v>100</v>
      </c>
      <c r="AW472" s="257">
        <v>7</v>
      </c>
      <c r="AX472" s="258">
        <v>21</v>
      </c>
      <c r="AY472" s="258">
        <v>21</v>
      </c>
      <c r="AZ472" s="261"/>
      <c r="BA472" s="175">
        <v>50</v>
      </c>
      <c r="BB472" s="751" t="s">
        <v>2528</v>
      </c>
      <c r="BC472" s="176"/>
      <c r="BD472" s="179"/>
      <c r="BE472" s="179"/>
      <c r="BF472" s="178"/>
      <c r="BG472" s="27"/>
      <c r="BH472" s="55"/>
    </row>
    <row r="473" spans="1:60" ht="16.5" customHeight="1">
      <c r="A473" s="95">
        <v>472</v>
      </c>
      <c r="B473" s="96" t="s">
        <v>1255</v>
      </c>
      <c r="C473" s="73" t="s">
        <v>2650</v>
      </c>
      <c r="D473" s="257" t="s">
        <v>549</v>
      </c>
      <c r="E473" s="459" t="s">
        <v>3377</v>
      </c>
      <c r="F473" s="258">
        <v>1964</v>
      </c>
      <c r="G473" s="171">
        <v>164</v>
      </c>
      <c r="H473" s="57"/>
      <c r="I473" s="173" t="s">
        <v>2565</v>
      </c>
      <c r="J473" s="508">
        <v>0.48499999999999999</v>
      </c>
      <c r="K473" s="44">
        <v>2.0920000000000001</v>
      </c>
      <c r="L473" s="169"/>
      <c r="M473" s="506">
        <v>557</v>
      </c>
      <c r="N473" s="65"/>
      <c r="O473" s="106" t="s">
        <v>120</v>
      </c>
      <c r="P473" s="511"/>
      <c r="Q473" s="510" t="s">
        <v>3454</v>
      </c>
      <c r="R473" s="506" t="s">
        <v>2308</v>
      </c>
      <c r="S473" s="94"/>
      <c r="T473" s="506"/>
      <c r="U473" s="506" t="s">
        <v>2308</v>
      </c>
      <c r="V473" s="131">
        <v>0</v>
      </c>
      <c r="W473" s="129">
        <f>239/557*100</f>
        <v>42.908438061041295</v>
      </c>
      <c r="X473" s="120">
        <v>0</v>
      </c>
      <c r="Y473" s="120">
        <v>0</v>
      </c>
      <c r="Z473" s="120">
        <v>0</v>
      </c>
      <c r="AA473" s="133">
        <v>0</v>
      </c>
      <c r="AB473" s="17">
        <v>0</v>
      </c>
      <c r="AC473" s="17">
        <v>0</v>
      </c>
      <c r="AD473" s="133">
        <v>0</v>
      </c>
      <c r="AE473" s="133">
        <v>0</v>
      </c>
      <c r="AF473" s="17">
        <v>0</v>
      </c>
      <c r="AG473" s="133">
        <v>0</v>
      </c>
      <c r="AH473" s="17">
        <v>0</v>
      </c>
      <c r="AI473" s="133">
        <v>0</v>
      </c>
      <c r="AJ473" s="133">
        <v>0</v>
      </c>
      <c r="AK473" s="17">
        <v>0</v>
      </c>
      <c r="AL473" s="137">
        <v>0</v>
      </c>
      <c r="AM473" s="263"/>
      <c r="AN473" s="89"/>
      <c r="AO473" s="507"/>
      <c r="AP473" s="262"/>
      <c r="AQ473" s="133" t="s">
        <v>271</v>
      </c>
      <c r="AR473" s="188">
        <v>100</v>
      </c>
      <c r="AS473" s="171"/>
      <c r="AT473" s="171" t="str">
        <f t="shared" si="39"/>
        <v>400</v>
      </c>
      <c r="AU473" s="255">
        <f t="shared" si="40"/>
        <v>22.222222222222221</v>
      </c>
      <c r="AV473" s="172">
        <v>100</v>
      </c>
      <c r="AW473" s="257">
        <v>7</v>
      </c>
      <c r="AX473" s="258">
        <v>21</v>
      </c>
      <c r="AY473" s="258">
        <v>21</v>
      </c>
      <c r="AZ473" s="261"/>
      <c r="BA473" s="175">
        <v>50</v>
      </c>
      <c r="BB473" s="751" t="s">
        <v>2528</v>
      </c>
      <c r="BC473" s="176"/>
      <c r="BD473" s="179"/>
      <c r="BE473" s="179"/>
      <c r="BF473" s="178"/>
      <c r="BG473" s="27"/>
      <c r="BH473" s="55"/>
    </row>
    <row r="474" spans="1:60" ht="16.5" customHeight="1">
      <c r="A474" s="95">
        <v>473</v>
      </c>
      <c r="B474" s="96" t="s">
        <v>1254</v>
      </c>
      <c r="C474" s="73" t="s">
        <v>2650</v>
      </c>
      <c r="D474" s="257" t="s">
        <v>549</v>
      </c>
      <c r="E474" s="459" t="s">
        <v>3377</v>
      </c>
      <c r="F474" s="258">
        <v>1964</v>
      </c>
      <c r="G474" s="171">
        <v>164</v>
      </c>
      <c r="H474" s="57"/>
      <c r="I474" s="173" t="s">
        <v>2565</v>
      </c>
      <c r="J474" s="508">
        <v>0.71299999999999997</v>
      </c>
      <c r="K474" s="44">
        <v>4.18</v>
      </c>
      <c r="L474" s="169"/>
      <c r="M474" s="506">
        <v>355</v>
      </c>
      <c r="N474" s="65"/>
      <c r="O474" s="106" t="s">
        <v>120</v>
      </c>
      <c r="P474" s="511"/>
      <c r="Q474" s="510" t="s">
        <v>3454</v>
      </c>
      <c r="R474" s="506" t="s">
        <v>2308</v>
      </c>
      <c r="S474" s="94"/>
      <c r="T474" s="506"/>
      <c r="U474" s="506" t="s">
        <v>2308</v>
      </c>
      <c r="V474" s="131">
        <v>0</v>
      </c>
      <c r="W474" s="129">
        <f>152/355*100</f>
        <v>42.816901408450704</v>
      </c>
      <c r="X474" s="120">
        <v>0</v>
      </c>
      <c r="Y474" s="120">
        <v>0</v>
      </c>
      <c r="Z474" s="120">
        <v>0</v>
      </c>
      <c r="AA474" s="133">
        <v>0</v>
      </c>
      <c r="AB474" s="17">
        <v>0</v>
      </c>
      <c r="AC474" s="17">
        <v>0</v>
      </c>
      <c r="AD474" s="133">
        <v>0</v>
      </c>
      <c r="AE474" s="133">
        <v>0</v>
      </c>
      <c r="AF474" s="17">
        <v>0</v>
      </c>
      <c r="AG474" s="133">
        <v>0</v>
      </c>
      <c r="AH474" s="17">
        <v>0</v>
      </c>
      <c r="AI474" s="133">
        <v>0</v>
      </c>
      <c r="AJ474" s="133">
        <v>0</v>
      </c>
      <c r="AK474" s="17">
        <v>0</v>
      </c>
      <c r="AL474" s="137">
        <v>0</v>
      </c>
      <c r="AM474" s="263"/>
      <c r="AN474" s="89"/>
      <c r="AO474" s="507"/>
      <c r="AP474" s="262"/>
      <c r="AQ474" s="133" t="s">
        <v>271</v>
      </c>
      <c r="AR474" s="188">
        <v>100</v>
      </c>
      <c r="AS474" s="171"/>
      <c r="AT474" s="171" t="str">
        <f t="shared" si="39"/>
        <v>400</v>
      </c>
      <c r="AU474" s="255">
        <f t="shared" si="40"/>
        <v>22.222222222222221</v>
      </c>
      <c r="AV474" s="172">
        <v>100</v>
      </c>
      <c r="AW474" s="257">
        <v>7</v>
      </c>
      <c r="AX474" s="258">
        <v>21</v>
      </c>
      <c r="AY474" s="258">
        <v>21</v>
      </c>
      <c r="AZ474" s="261"/>
      <c r="BA474" s="175">
        <v>50</v>
      </c>
      <c r="BB474" s="751" t="s">
        <v>2528</v>
      </c>
      <c r="BC474" s="176"/>
      <c r="BD474" s="179"/>
      <c r="BE474" s="179"/>
      <c r="BF474" s="178"/>
      <c r="BG474" s="27"/>
      <c r="BH474" s="55"/>
    </row>
    <row r="475" spans="1:60" ht="16.5" customHeight="1">
      <c r="A475" s="95">
        <v>474</v>
      </c>
      <c r="B475" s="96" t="s">
        <v>1253</v>
      </c>
      <c r="C475" s="73" t="s">
        <v>2650</v>
      </c>
      <c r="D475" s="257" t="s">
        <v>549</v>
      </c>
      <c r="E475" s="459" t="s">
        <v>3377</v>
      </c>
      <c r="F475" s="258">
        <v>1964</v>
      </c>
      <c r="G475" s="171">
        <v>164</v>
      </c>
      <c r="H475" s="57"/>
      <c r="I475" s="173" t="s">
        <v>2565</v>
      </c>
      <c r="J475" s="508">
        <v>1.0149999999999999</v>
      </c>
      <c r="K475" s="44">
        <v>6.1310000000000002</v>
      </c>
      <c r="L475" s="169"/>
      <c r="M475" s="506">
        <v>259</v>
      </c>
      <c r="N475" s="65"/>
      <c r="O475" s="106" t="s">
        <v>120</v>
      </c>
      <c r="P475" s="511"/>
      <c r="Q475" s="510" t="s">
        <v>3454</v>
      </c>
      <c r="R475" s="506" t="s">
        <v>2308</v>
      </c>
      <c r="S475" s="94"/>
      <c r="T475" s="506"/>
      <c r="U475" s="506" t="s">
        <v>2308</v>
      </c>
      <c r="V475" s="131">
        <v>0</v>
      </c>
      <c r="W475" s="129">
        <f>110/259*100</f>
        <v>42.471042471042466</v>
      </c>
      <c r="X475" s="120">
        <v>0</v>
      </c>
      <c r="Y475" s="120">
        <v>0</v>
      </c>
      <c r="Z475" s="120">
        <v>0</v>
      </c>
      <c r="AA475" s="133">
        <v>0</v>
      </c>
      <c r="AB475" s="17">
        <v>0</v>
      </c>
      <c r="AC475" s="17">
        <v>0</v>
      </c>
      <c r="AD475" s="133">
        <v>0</v>
      </c>
      <c r="AE475" s="133">
        <v>0</v>
      </c>
      <c r="AF475" s="17">
        <v>0</v>
      </c>
      <c r="AG475" s="133">
        <v>0</v>
      </c>
      <c r="AH475" s="17">
        <v>0</v>
      </c>
      <c r="AI475" s="133">
        <v>0</v>
      </c>
      <c r="AJ475" s="133">
        <v>0</v>
      </c>
      <c r="AK475" s="17">
        <v>0</v>
      </c>
      <c r="AL475" s="137">
        <v>0</v>
      </c>
      <c r="AM475" s="263"/>
      <c r="AN475" s="89"/>
      <c r="AO475" s="507"/>
      <c r="AP475" s="262"/>
      <c r="AQ475" s="133" t="s">
        <v>271</v>
      </c>
      <c r="AR475" s="188">
        <v>100</v>
      </c>
      <c r="AS475" s="171"/>
      <c r="AT475" s="171" t="str">
        <f t="shared" si="39"/>
        <v>400</v>
      </c>
      <c r="AU475" s="255">
        <f t="shared" si="40"/>
        <v>22.222222222222221</v>
      </c>
      <c r="AV475" s="172">
        <v>100</v>
      </c>
      <c r="AW475" s="257">
        <v>7</v>
      </c>
      <c r="AX475" s="258">
        <v>21</v>
      </c>
      <c r="AY475" s="258">
        <v>21</v>
      </c>
      <c r="AZ475" s="261"/>
      <c r="BA475" s="175">
        <v>50</v>
      </c>
      <c r="BB475" s="751" t="s">
        <v>2528</v>
      </c>
      <c r="BC475" s="176"/>
      <c r="BD475" s="179"/>
      <c r="BE475" s="179"/>
      <c r="BF475" s="178"/>
      <c r="BG475" s="27"/>
      <c r="BH475" s="55"/>
    </row>
    <row r="476" spans="1:60" ht="16.5" customHeight="1">
      <c r="A476" s="95">
        <v>475</v>
      </c>
      <c r="B476" s="96" t="s">
        <v>1252</v>
      </c>
      <c r="C476" s="73" t="s">
        <v>2650</v>
      </c>
      <c r="D476" s="257" t="s">
        <v>549</v>
      </c>
      <c r="E476" s="459" t="s">
        <v>3377</v>
      </c>
      <c r="F476" s="258">
        <v>1964</v>
      </c>
      <c r="G476" s="171">
        <v>164</v>
      </c>
      <c r="H476" s="57"/>
      <c r="I476" s="173" t="s">
        <v>2565</v>
      </c>
      <c r="J476" s="508">
        <v>0.48699999999999999</v>
      </c>
      <c r="K476" s="44">
        <v>4.3920000000000003</v>
      </c>
      <c r="L476" s="169"/>
      <c r="M476" s="506">
        <v>378</v>
      </c>
      <c r="N476" s="65"/>
      <c r="O476" s="106" t="s">
        <v>120</v>
      </c>
      <c r="P476" s="511"/>
      <c r="Q476" s="510" t="s">
        <v>3454</v>
      </c>
      <c r="R476" s="506" t="s">
        <v>2308</v>
      </c>
      <c r="S476" s="94"/>
      <c r="T476" s="506"/>
      <c r="U476" s="506" t="s">
        <v>2308</v>
      </c>
      <c r="V476" s="131">
        <v>0</v>
      </c>
      <c r="W476" s="129">
        <f>162/378*100</f>
        <v>42.857142857142854</v>
      </c>
      <c r="X476" s="120">
        <v>0</v>
      </c>
      <c r="Y476" s="120">
        <v>0</v>
      </c>
      <c r="Z476" s="120">
        <v>0</v>
      </c>
      <c r="AA476" s="133">
        <v>0</v>
      </c>
      <c r="AB476" s="17">
        <v>0</v>
      </c>
      <c r="AC476" s="17">
        <v>0</v>
      </c>
      <c r="AD476" s="133">
        <v>0</v>
      </c>
      <c r="AE476" s="133">
        <v>0</v>
      </c>
      <c r="AF476" s="17">
        <v>0</v>
      </c>
      <c r="AG476" s="133">
        <v>0</v>
      </c>
      <c r="AH476" s="17">
        <v>0</v>
      </c>
      <c r="AI476" s="133">
        <v>0</v>
      </c>
      <c r="AJ476" s="133">
        <v>0</v>
      </c>
      <c r="AK476" s="17">
        <v>0</v>
      </c>
      <c r="AL476" s="137">
        <v>0</v>
      </c>
      <c r="AM476" s="263"/>
      <c r="AN476" s="89"/>
      <c r="AO476" s="507"/>
      <c r="AP476" s="262"/>
      <c r="AQ476" s="133" t="s">
        <v>271</v>
      </c>
      <c r="AR476" s="188">
        <v>100</v>
      </c>
      <c r="AS476" s="171"/>
      <c r="AT476" s="171" t="str">
        <f t="shared" si="39"/>
        <v>400</v>
      </c>
      <c r="AU476" s="255">
        <f t="shared" si="40"/>
        <v>22.222222222222221</v>
      </c>
      <c r="AV476" s="172">
        <v>100</v>
      </c>
      <c r="AW476" s="257">
        <v>7</v>
      </c>
      <c r="AX476" s="258">
        <v>21</v>
      </c>
      <c r="AY476" s="258">
        <v>21</v>
      </c>
      <c r="AZ476" s="261"/>
      <c r="BA476" s="175">
        <v>50</v>
      </c>
      <c r="BB476" s="751" t="s">
        <v>2528</v>
      </c>
      <c r="BC476" s="176"/>
      <c r="BD476" s="179"/>
      <c r="BE476" s="179"/>
      <c r="BF476" s="178"/>
      <c r="BG476" s="27"/>
      <c r="BH476" s="55"/>
    </row>
    <row r="477" spans="1:60" ht="16.5" customHeight="1">
      <c r="A477" s="95">
        <v>476</v>
      </c>
      <c r="B477" s="96" t="s">
        <v>1251</v>
      </c>
      <c r="C477" s="73" t="s">
        <v>2650</v>
      </c>
      <c r="D477" s="257" t="s">
        <v>549</v>
      </c>
      <c r="E477" s="459" t="s">
        <v>3377</v>
      </c>
      <c r="F477" s="258">
        <v>1964</v>
      </c>
      <c r="G477" s="171">
        <v>164</v>
      </c>
      <c r="H477" s="57"/>
      <c r="I477" s="173" t="s">
        <v>2565</v>
      </c>
      <c r="J477" s="508">
        <v>0.71199999999999997</v>
      </c>
      <c r="K477" s="44">
        <v>7.7080000000000002</v>
      </c>
      <c r="L477" s="169"/>
      <c r="M477" s="506">
        <v>243</v>
      </c>
      <c r="N477" s="65"/>
      <c r="O477" s="106" t="s">
        <v>120</v>
      </c>
      <c r="P477" s="511"/>
      <c r="Q477" s="510" t="s">
        <v>3454</v>
      </c>
      <c r="R477" s="506" t="s">
        <v>2308</v>
      </c>
      <c r="S477" s="94"/>
      <c r="T477" s="506"/>
      <c r="U477" s="506" t="s">
        <v>2308</v>
      </c>
      <c r="V477" s="131">
        <v>0</v>
      </c>
      <c r="W477" s="129">
        <f>103/243*100</f>
        <v>42.386831275720169</v>
      </c>
      <c r="X477" s="120">
        <v>0</v>
      </c>
      <c r="Y477" s="120">
        <v>0</v>
      </c>
      <c r="Z477" s="120">
        <v>0</v>
      </c>
      <c r="AA477" s="133">
        <v>0</v>
      </c>
      <c r="AB477" s="17">
        <v>0</v>
      </c>
      <c r="AC477" s="17">
        <v>0</v>
      </c>
      <c r="AD477" s="133">
        <v>0</v>
      </c>
      <c r="AE477" s="133">
        <v>0</v>
      </c>
      <c r="AF477" s="17">
        <v>0</v>
      </c>
      <c r="AG477" s="133">
        <v>0</v>
      </c>
      <c r="AH477" s="17">
        <v>0</v>
      </c>
      <c r="AI477" s="133">
        <v>0</v>
      </c>
      <c r="AJ477" s="133">
        <v>0</v>
      </c>
      <c r="AK477" s="17">
        <v>0</v>
      </c>
      <c r="AL477" s="137">
        <v>0</v>
      </c>
      <c r="AM477" s="263"/>
      <c r="AN477" s="89"/>
      <c r="AO477" s="507"/>
      <c r="AP477" s="262"/>
      <c r="AQ477" s="133" t="s">
        <v>271</v>
      </c>
      <c r="AR477" s="188">
        <v>100</v>
      </c>
      <c r="AS477" s="171"/>
      <c r="AT477" s="171" t="str">
        <f t="shared" si="39"/>
        <v>400</v>
      </c>
      <c r="AU477" s="255">
        <f t="shared" si="40"/>
        <v>22.222222222222221</v>
      </c>
      <c r="AV477" s="172">
        <v>100</v>
      </c>
      <c r="AW477" s="257">
        <v>7</v>
      </c>
      <c r="AX477" s="258">
        <v>21</v>
      </c>
      <c r="AY477" s="258">
        <v>21</v>
      </c>
      <c r="AZ477" s="261"/>
      <c r="BA477" s="175">
        <v>50</v>
      </c>
      <c r="BB477" s="751" t="s">
        <v>2528</v>
      </c>
      <c r="BC477" s="176"/>
      <c r="BD477" s="179"/>
      <c r="BE477" s="179"/>
      <c r="BF477" s="178"/>
      <c r="BG477" s="27"/>
      <c r="BH477" s="55"/>
    </row>
    <row r="478" spans="1:60" ht="16.5" customHeight="1">
      <c r="A478" s="95">
        <v>477</v>
      </c>
      <c r="B478" s="96" t="s">
        <v>1250</v>
      </c>
      <c r="C478" s="73" t="s">
        <v>2650</v>
      </c>
      <c r="D478" s="257" t="s">
        <v>549</v>
      </c>
      <c r="E478" s="459" t="s">
        <v>3377</v>
      </c>
      <c r="F478" s="258">
        <v>1964</v>
      </c>
      <c r="G478" s="171">
        <v>164</v>
      </c>
      <c r="H478" s="57"/>
      <c r="I478" s="173" t="s">
        <v>2565</v>
      </c>
      <c r="J478" s="508">
        <v>1.0169999999999999</v>
      </c>
      <c r="K478" s="44">
        <v>11.08</v>
      </c>
      <c r="L478" s="169"/>
      <c r="M478" s="506">
        <v>176</v>
      </c>
      <c r="N478" s="65"/>
      <c r="O478" s="106" t="s">
        <v>120</v>
      </c>
      <c r="P478" s="511"/>
      <c r="Q478" s="510" t="s">
        <v>3454</v>
      </c>
      <c r="R478" s="506" t="s">
        <v>2308</v>
      </c>
      <c r="S478" s="94"/>
      <c r="T478" s="506"/>
      <c r="U478" s="506" t="s">
        <v>2308</v>
      </c>
      <c r="V478" s="131">
        <v>0</v>
      </c>
      <c r="W478" s="129">
        <f>74/176*100</f>
        <v>42.045454545454547</v>
      </c>
      <c r="X478" s="120">
        <v>0</v>
      </c>
      <c r="Y478" s="120">
        <v>0</v>
      </c>
      <c r="Z478" s="120">
        <v>0</v>
      </c>
      <c r="AA478" s="133">
        <v>0</v>
      </c>
      <c r="AB478" s="17">
        <v>0</v>
      </c>
      <c r="AC478" s="17">
        <v>0</v>
      </c>
      <c r="AD478" s="133">
        <v>0</v>
      </c>
      <c r="AE478" s="133">
        <v>0</v>
      </c>
      <c r="AF478" s="17">
        <v>0</v>
      </c>
      <c r="AG478" s="133">
        <v>0</v>
      </c>
      <c r="AH478" s="17">
        <v>0</v>
      </c>
      <c r="AI478" s="133">
        <v>0</v>
      </c>
      <c r="AJ478" s="133">
        <v>0</v>
      </c>
      <c r="AK478" s="17">
        <v>0</v>
      </c>
      <c r="AL478" s="137">
        <v>0</v>
      </c>
      <c r="AM478" s="263"/>
      <c r="AN478" s="89"/>
      <c r="AO478" s="507"/>
      <c r="AP478" s="262"/>
      <c r="AQ478" s="133" t="s">
        <v>271</v>
      </c>
      <c r="AR478" s="188">
        <v>100</v>
      </c>
      <c r="AS478" s="171"/>
      <c r="AT478" s="171" t="str">
        <f t="shared" si="39"/>
        <v>400</v>
      </c>
      <c r="AU478" s="255">
        <f t="shared" si="40"/>
        <v>22.222222222222221</v>
      </c>
      <c r="AV478" s="172">
        <v>100</v>
      </c>
      <c r="AW478" s="257">
        <v>7</v>
      </c>
      <c r="AX478" s="258">
        <v>21</v>
      </c>
      <c r="AY478" s="258">
        <v>21</v>
      </c>
      <c r="AZ478" s="261"/>
      <c r="BA478" s="175">
        <v>50</v>
      </c>
      <c r="BB478" s="751" t="s">
        <v>2528</v>
      </c>
      <c r="BC478" s="176"/>
      <c r="BD478" s="179"/>
      <c r="BE478" s="179"/>
      <c r="BF478" s="178"/>
      <c r="BG478" s="27"/>
      <c r="BH478" s="55"/>
    </row>
    <row r="479" spans="1:60" ht="16.5" customHeight="1">
      <c r="A479" s="95">
        <v>478</v>
      </c>
      <c r="B479" s="96" t="s">
        <v>1249</v>
      </c>
      <c r="C479" s="73" t="s">
        <v>2650</v>
      </c>
      <c r="D479" s="257" t="s">
        <v>549</v>
      </c>
      <c r="E479" s="459" t="s">
        <v>3377</v>
      </c>
      <c r="F479" s="258">
        <v>1964</v>
      </c>
      <c r="G479" s="171">
        <v>164</v>
      </c>
      <c r="H479" s="57"/>
      <c r="I479" s="173" t="s">
        <v>2565</v>
      </c>
      <c r="J479" s="100">
        <v>0.48499999999999999</v>
      </c>
      <c r="K479" s="44">
        <v>6.2359999999999998</v>
      </c>
      <c r="L479" s="169"/>
      <c r="M479" s="506">
        <v>301</v>
      </c>
      <c r="N479" s="65"/>
      <c r="O479" s="106" t="s">
        <v>120</v>
      </c>
      <c r="P479" s="511"/>
      <c r="Q479" s="510" t="s">
        <v>3454</v>
      </c>
      <c r="R479" s="506" t="s">
        <v>2308</v>
      </c>
      <c r="S479" s="94"/>
      <c r="T479" s="506"/>
      <c r="U479" s="506" t="s">
        <v>2308</v>
      </c>
      <c r="V479" s="131">
        <v>0</v>
      </c>
      <c r="W479" s="129">
        <f>129/301*100</f>
        <v>42.857142857142854</v>
      </c>
      <c r="X479" s="120">
        <v>0</v>
      </c>
      <c r="Y479" s="120">
        <v>0</v>
      </c>
      <c r="Z479" s="120">
        <v>0</v>
      </c>
      <c r="AA479" s="133">
        <v>0</v>
      </c>
      <c r="AB479" s="17">
        <v>0</v>
      </c>
      <c r="AC479" s="17">
        <v>0</v>
      </c>
      <c r="AD479" s="133">
        <v>0</v>
      </c>
      <c r="AE479" s="133">
        <v>0</v>
      </c>
      <c r="AF479" s="17">
        <v>0</v>
      </c>
      <c r="AG479" s="133">
        <v>0</v>
      </c>
      <c r="AH479" s="17">
        <v>0</v>
      </c>
      <c r="AI479" s="133">
        <v>0</v>
      </c>
      <c r="AJ479" s="133">
        <v>0</v>
      </c>
      <c r="AK479" s="17">
        <v>0</v>
      </c>
      <c r="AL479" s="137">
        <v>0</v>
      </c>
      <c r="AM479" s="263"/>
      <c r="AN479" s="89"/>
      <c r="AO479" s="507"/>
      <c r="AP479" s="262"/>
      <c r="AQ479" s="133" t="s">
        <v>271</v>
      </c>
      <c r="AR479" s="188">
        <v>100</v>
      </c>
      <c r="AS479" s="171"/>
      <c r="AT479" s="171" t="str">
        <f t="shared" si="39"/>
        <v>400</v>
      </c>
      <c r="AU479" s="255">
        <f t="shared" si="40"/>
        <v>22.222222222222221</v>
      </c>
      <c r="AV479" s="172">
        <v>100</v>
      </c>
      <c r="AW479" s="257">
        <v>7</v>
      </c>
      <c r="AX479" s="258">
        <v>21</v>
      </c>
      <c r="AY479" s="258">
        <v>21</v>
      </c>
      <c r="AZ479" s="261"/>
      <c r="BA479" s="175">
        <v>50</v>
      </c>
      <c r="BB479" s="751" t="s">
        <v>2528</v>
      </c>
      <c r="BC479" s="176"/>
      <c r="BD479" s="179"/>
      <c r="BE479" s="179"/>
      <c r="BF479" s="178"/>
      <c r="BG479" s="27"/>
      <c r="BH479" s="55"/>
    </row>
    <row r="480" spans="1:60" ht="16.5" customHeight="1">
      <c r="A480" s="95">
        <v>479</v>
      </c>
      <c r="B480" s="96" t="s">
        <v>1248</v>
      </c>
      <c r="C480" s="73" t="s">
        <v>2650</v>
      </c>
      <c r="D480" s="257" t="s">
        <v>549</v>
      </c>
      <c r="E480" s="459" t="s">
        <v>3377</v>
      </c>
      <c r="F480" s="258">
        <v>1964</v>
      </c>
      <c r="G480" s="171">
        <v>164</v>
      </c>
      <c r="H480" s="57"/>
      <c r="I480" s="173" t="s">
        <v>2565</v>
      </c>
      <c r="J480" s="100">
        <v>0.71399999999999997</v>
      </c>
      <c r="K480" s="44">
        <v>10.667</v>
      </c>
      <c r="L480" s="169"/>
      <c r="M480" s="506">
        <v>192</v>
      </c>
      <c r="N480" s="65"/>
      <c r="O480" s="106" t="s">
        <v>120</v>
      </c>
      <c r="P480" s="511"/>
      <c r="Q480" s="510" t="s">
        <v>3454</v>
      </c>
      <c r="R480" s="506" t="s">
        <v>2308</v>
      </c>
      <c r="S480" s="94"/>
      <c r="T480" s="506"/>
      <c r="U480" s="506" t="s">
        <v>2308</v>
      </c>
      <c r="V480" s="131">
        <v>0</v>
      </c>
      <c r="W480" s="129">
        <f>83/192*100</f>
        <v>43.229166666666671</v>
      </c>
      <c r="X480" s="120">
        <v>0</v>
      </c>
      <c r="Y480" s="120">
        <v>0</v>
      </c>
      <c r="Z480" s="120">
        <v>0</v>
      </c>
      <c r="AA480" s="133">
        <v>0</v>
      </c>
      <c r="AB480" s="17">
        <v>0</v>
      </c>
      <c r="AC480" s="17">
        <v>0</v>
      </c>
      <c r="AD480" s="133">
        <v>0</v>
      </c>
      <c r="AE480" s="133">
        <v>0</v>
      </c>
      <c r="AF480" s="17">
        <v>0</v>
      </c>
      <c r="AG480" s="133">
        <v>0</v>
      </c>
      <c r="AH480" s="17">
        <v>0</v>
      </c>
      <c r="AI480" s="133">
        <v>0</v>
      </c>
      <c r="AJ480" s="133">
        <v>0</v>
      </c>
      <c r="AK480" s="17">
        <v>0</v>
      </c>
      <c r="AL480" s="137">
        <v>0</v>
      </c>
      <c r="AM480" s="263"/>
      <c r="AN480" s="89"/>
      <c r="AO480" s="507"/>
      <c r="AP480" s="262"/>
      <c r="AQ480" s="133" t="s">
        <v>271</v>
      </c>
      <c r="AR480" s="188">
        <v>100</v>
      </c>
      <c r="AS480" s="171"/>
      <c r="AT480" s="171" t="str">
        <f t="shared" si="39"/>
        <v>400</v>
      </c>
      <c r="AU480" s="255">
        <f t="shared" si="40"/>
        <v>22.222222222222221</v>
      </c>
      <c r="AV480" s="172">
        <v>100</v>
      </c>
      <c r="AW480" s="257">
        <v>7</v>
      </c>
      <c r="AX480" s="258">
        <v>21</v>
      </c>
      <c r="AY480" s="258">
        <v>21</v>
      </c>
      <c r="AZ480" s="261"/>
      <c r="BA480" s="175">
        <v>50</v>
      </c>
      <c r="BB480" s="751" t="s">
        <v>2528</v>
      </c>
      <c r="BC480" s="176"/>
      <c r="BD480" s="179"/>
      <c r="BE480" s="179"/>
      <c r="BF480" s="178"/>
      <c r="BG480" s="27"/>
      <c r="BH480" s="55"/>
    </row>
    <row r="481" spans="1:60" ht="16.5" customHeight="1">
      <c r="A481" s="95">
        <v>480</v>
      </c>
      <c r="B481" s="96" t="s">
        <v>1247</v>
      </c>
      <c r="C481" s="73" t="s">
        <v>2650</v>
      </c>
      <c r="D481" s="257" t="s">
        <v>549</v>
      </c>
      <c r="E481" s="459" t="s">
        <v>3377</v>
      </c>
      <c r="F481" s="258">
        <v>1964</v>
      </c>
      <c r="G481" s="171">
        <v>164</v>
      </c>
      <c r="H481" s="57"/>
      <c r="I481" s="173" t="s">
        <v>2565</v>
      </c>
      <c r="J481" s="100">
        <v>1.0069999999999999</v>
      </c>
      <c r="K481" s="44">
        <v>14.929</v>
      </c>
      <c r="L481" s="169"/>
      <c r="M481" s="506">
        <v>141</v>
      </c>
      <c r="N481" s="65"/>
      <c r="O481" s="106" t="s">
        <v>120</v>
      </c>
      <c r="P481" s="511"/>
      <c r="Q481" s="510" t="s">
        <v>3454</v>
      </c>
      <c r="R481" s="506" t="s">
        <v>2308</v>
      </c>
      <c r="S481" s="94"/>
      <c r="T481" s="506"/>
      <c r="U481" s="506" t="s">
        <v>2308</v>
      </c>
      <c r="V481" s="131">
        <v>0</v>
      </c>
      <c r="W481" s="129">
        <f>60/141*100</f>
        <v>42.553191489361701</v>
      </c>
      <c r="X481" s="120">
        <v>0</v>
      </c>
      <c r="Y481" s="120">
        <v>0</v>
      </c>
      <c r="Z481" s="120">
        <v>0</v>
      </c>
      <c r="AA481" s="133">
        <v>0</v>
      </c>
      <c r="AB481" s="17">
        <v>0</v>
      </c>
      <c r="AC481" s="17">
        <v>0</v>
      </c>
      <c r="AD481" s="133">
        <v>0</v>
      </c>
      <c r="AE481" s="133">
        <v>0</v>
      </c>
      <c r="AF481" s="17">
        <v>0</v>
      </c>
      <c r="AG481" s="133">
        <v>0</v>
      </c>
      <c r="AH481" s="17">
        <v>0</v>
      </c>
      <c r="AI481" s="133">
        <v>0</v>
      </c>
      <c r="AJ481" s="133">
        <v>0</v>
      </c>
      <c r="AK481" s="17">
        <v>0</v>
      </c>
      <c r="AL481" s="137">
        <v>0</v>
      </c>
      <c r="AM481" s="263"/>
      <c r="AN481" s="89"/>
      <c r="AO481" s="507"/>
      <c r="AP481" s="262"/>
      <c r="AQ481" s="133" t="s">
        <v>271</v>
      </c>
      <c r="AR481" s="188">
        <v>100</v>
      </c>
      <c r="AS481" s="171"/>
      <c r="AT481" s="171" t="str">
        <f t="shared" si="39"/>
        <v>400</v>
      </c>
      <c r="AU481" s="255">
        <f t="shared" si="40"/>
        <v>22.222222222222221</v>
      </c>
      <c r="AV481" s="172">
        <v>100</v>
      </c>
      <c r="AW481" s="257">
        <v>7</v>
      </c>
      <c r="AX481" s="258">
        <v>21</v>
      </c>
      <c r="AY481" s="258">
        <v>21</v>
      </c>
      <c r="AZ481" s="261"/>
      <c r="BA481" s="175">
        <v>50</v>
      </c>
      <c r="BB481" s="751" t="s">
        <v>2528</v>
      </c>
      <c r="BC481" s="176"/>
      <c r="BD481" s="179"/>
      <c r="BE481" s="179"/>
      <c r="BF481" s="178"/>
      <c r="BG481" s="27"/>
      <c r="BH481" s="55"/>
    </row>
    <row r="482" spans="1:60" ht="16.5" customHeight="1">
      <c r="A482" s="95">
        <v>481</v>
      </c>
      <c r="B482" s="96" t="s">
        <v>1246</v>
      </c>
      <c r="C482" s="73" t="s">
        <v>2650</v>
      </c>
      <c r="D482" s="257" t="s">
        <v>549</v>
      </c>
      <c r="E482" s="459" t="s">
        <v>3377</v>
      </c>
      <c r="F482" s="258">
        <v>1964</v>
      </c>
      <c r="G482" s="171">
        <v>164</v>
      </c>
      <c r="H482" s="57"/>
      <c r="I482" s="173" t="s">
        <v>2565</v>
      </c>
      <c r="J482" s="508">
        <v>0.48399999999999999</v>
      </c>
      <c r="K482" s="44">
        <v>9.4659999999999993</v>
      </c>
      <c r="L482" s="169"/>
      <c r="M482" s="506">
        <v>221</v>
      </c>
      <c r="N482" s="65"/>
      <c r="O482" s="106" t="s">
        <v>120</v>
      </c>
      <c r="P482" s="511"/>
      <c r="Q482" s="510" t="s">
        <v>3454</v>
      </c>
      <c r="R482" s="506" t="s">
        <v>2308</v>
      </c>
      <c r="S482" s="94"/>
      <c r="T482" s="506"/>
      <c r="U482" s="506" t="s">
        <v>2308</v>
      </c>
      <c r="V482" s="131">
        <v>0</v>
      </c>
      <c r="W482" s="129">
        <f>95/221*100</f>
        <v>42.986425339366519</v>
      </c>
      <c r="X482" s="120">
        <v>0</v>
      </c>
      <c r="Y482" s="120">
        <v>0</v>
      </c>
      <c r="Z482" s="120">
        <v>0</v>
      </c>
      <c r="AA482" s="133">
        <v>0</v>
      </c>
      <c r="AB482" s="17">
        <v>0</v>
      </c>
      <c r="AC482" s="17">
        <v>0</v>
      </c>
      <c r="AD482" s="133">
        <v>0</v>
      </c>
      <c r="AE482" s="133">
        <v>0</v>
      </c>
      <c r="AF482" s="17">
        <v>0</v>
      </c>
      <c r="AG482" s="133">
        <v>0</v>
      </c>
      <c r="AH482" s="17">
        <v>0</v>
      </c>
      <c r="AI482" s="133">
        <v>0</v>
      </c>
      <c r="AJ482" s="133">
        <v>0</v>
      </c>
      <c r="AK482" s="17">
        <v>0</v>
      </c>
      <c r="AL482" s="137">
        <v>0</v>
      </c>
      <c r="AM482" s="263"/>
      <c r="AN482" s="89"/>
      <c r="AO482" s="507"/>
      <c r="AP482" s="262"/>
      <c r="AQ482" s="133" t="s">
        <v>271</v>
      </c>
      <c r="AR482" s="188">
        <v>100</v>
      </c>
      <c r="AS482" s="171"/>
      <c r="AT482" s="171" t="str">
        <f t="shared" si="39"/>
        <v>400</v>
      </c>
      <c r="AU482" s="255">
        <f t="shared" si="40"/>
        <v>22.222222222222221</v>
      </c>
      <c r="AV482" s="172">
        <v>100</v>
      </c>
      <c r="AW482" s="257">
        <v>7</v>
      </c>
      <c r="AX482" s="258">
        <v>21</v>
      </c>
      <c r="AY482" s="258">
        <v>21</v>
      </c>
      <c r="AZ482" s="261"/>
      <c r="BA482" s="175">
        <v>50</v>
      </c>
      <c r="BB482" s="751" t="s">
        <v>2528</v>
      </c>
      <c r="BC482" s="176"/>
      <c r="BD482" s="179"/>
      <c r="BE482" s="179"/>
      <c r="BF482" s="178"/>
      <c r="BG482" s="27"/>
      <c r="BH482" s="55"/>
    </row>
    <row r="483" spans="1:60" ht="16.5" customHeight="1">
      <c r="A483" s="95">
        <v>482</v>
      </c>
      <c r="B483" s="96" t="s">
        <v>1245</v>
      </c>
      <c r="C483" s="73" t="s">
        <v>2650</v>
      </c>
      <c r="D483" s="257" t="s">
        <v>549</v>
      </c>
      <c r="E483" s="459" t="s">
        <v>3377</v>
      </c>
      <c r="F483" s="258">
        <v>1964</v>
      </c>
      <c r="G483" s="171">
        <v>164</v>
      </c>
      <c r="H483" s="57"/>
      <c r="I483" s="173" t="s">
        <v>2565</v>
      </c>
      <c r="J483" s="508">
        <v>0.71699999999999997</v>
      </c>
      <c r="K483" s="44">
        <v>17.818999999999999</v>
      </c>
      <c r="L483" s="169"/>
      <c r="M483" s="506">
        <v>127</v>
      </c>
      <c r="N483" s="65"/>
      <c r="O483" s="106" t="s">
        <v>120</v>
      </c>
      <c r="P483" s="511"/>
      <c r="Q483" s="510" t="s">
        <v>3454</v>
      </c>
      <c r="R483" s="65" t="s">
        <v>2308</v>
      </c>
      <c r="S483" s="94"/>
      <c r="T483" s="506"/>
      <c r="U483" s="65" t="s">
        <v>2308</v>
      </c>
      <c r="V483" s="131">
        <v>0</v>
      </c>
      <c r="W483" s="129">
        <f>54/127*100</f>
        <v>42.519685039370081</v>
      </c>
      <c r="X483" s="120">
        <v>0</v>
      </c>
      <c r="Y483" s="120">
        <v>0</v>
      </c>
      <c r="Z483" s="120">
        <v>0</v>
      </c>
      <c r="AA483" s="133">
        <v>0</v>
      </c>
      <c r="AB483" s="17">
        <v>0</v>
      </c>
      <c r="AC483" s="17">
        <v>0</v>
      </c>
      <c r="AD483" s="133">
        <v>0</v>
      </c>
      <c r="AE483" s="133">
        <v>0</v>
      </c>
      <c r="AF483" s="17">
        <v>0</v>
      </c>
      <c r="AG483" s="133">
        <v>0</v>
      </c>
      <c r="AH483" s="17">
        <v>0</v>
      </c>
      <c r="AI483" s="133">
        <v>0</v>
      </c>
      <c r="AJ483" s="133">
        <v>0</v>
      </c>
      <c r="AK483" s="17">
        <v>0</v>
      </c>
      <c r="AL483" s="137">
        <v>0</v>
      </c>
      <c r="AM483" s="263"/>
      <c r="AN483" s="89"/>
      <c r="AO483" s="507"/>
      <c r="AP483" s="262"/>
      <c r="AQ483" s="133" t="s">
        <v>271</v>
      </c>
      <c r="AR483" s="188">
        <v>100</v>
      </c>
      <c r="AS483" s="171"/>
      <c r="AT483" s="171" t="str">
        <f t="shared" si="39"/>
        <v>400</v>
      </c>
      <c r="AU483" s="255">
        <f t="shared" si="40"/>
        <v>22.222222222222221</v>
      </c>
      <c r="AV483" s="172">
        <v>100</v>
      </c>
      <c r="AW483" s="257">
        <v>7</v>
      </c>
      <c r="AX483" s="258">
        <v>21</v>
      </c>
      <c r="AY483" s="258">
        <v>21</v>
      </c>
      <c r="AZ483" s="261"/>
      <c r="BA483" s="175">
        <v>50</v>
      </c>
      <c r="BB483" s="751" t="s">
        <v>2528</v>
      </c>
      <c r="BC483" s="176"/>
      <c r="BD483" s="179"/>
      <c r="BE483" s="179"/>
      <c r="BF483" s="178"/>
      <c r="BG483" s="27"/>
      <c r="BH483" s="55"/>
    </row>
    <row r="484" spans="1:60" ht="16.5" customHeight="1">
      <c r="A484" s="95">
        <v>483</v>
      </c>
      <c r="B484" s="96" t="s">
        <v>1244</v>
      </c>
      <c r="C484" s="73" t="s">
        <v>2650</v>
      </c>
      <c r="D484" s="257" t="s">
        <v>549</v>
      </c>
      <c r="E484" s="459" t="s">
        <v>3377</v>
      </c>
      <c r="F484" s="258">
        <v>1964</v>
      </c>
      <c r="G484" s="171">
        <v>164</v>
      </c>
      <c r="H484" s="57"/>
      <c r="I484" s="173" t="s">
        <v>2565</v>
      </c>
      <c r="J484" s="508">
        <v>0.66400000000000003</v>
      </c>
      <c r="K484" s="44">
        <v>2.7290000000000001</v>
      </c>
      <c r="L484" s="169"/>
      <c r="M484" s="506">
        <v>402</v>
      </c>
      <c r="N484" s="65"/>
      <c r="O484" s="106" t="s">
        <v>120</v>
      </c>
      <c r="P484" s="511"/>
      <c r="Q484" s="510" t="s">
        <v>3454</v>
      </c>
      <c r="R484" s="65" t="s">
        <v>2308</v>
      </c>
      <c r="S484" s="94"/>
      <c r="T484" s="506"/>
      <c r="U484" s="65" t="s">
        <v>2308</v>
      </c>
      <c r="V484" s="131">
        <v>0</v>
      </c>
      <c r="W484" s="129">
        <f>402/402*100</f>
        <v>100</v>
      </c>
      <c r="X484" s="120">
        <v>0</v>
      </c>
      <c r="Y484" s="120">
        <v>0</v>
      </c>
      <c r="Z484" s="120">
        <v>0</v>
      </c>
      <c r="AA484" s="133">
        <v>0</v>
      </c>
      <c r="AB484" s="17">
        <v>0</v>
      </c>
      <c r="AC484" s="17">
        <v>0</v>
      </c>
      <c r="AD484" s="133">
        <v>0</v>
      </c>
      <c r="AE484" s="133">
        <v>0</v>
      </c>
      <c r="AF484" s="17">
        <v>0</v>
      </c>
      <c r="AG484" s="133">
        <v>0</v>
      </c>
      <c r="AH484" s="17">
        <v>0</v>
      </c>
      <c r="AI484" s="133">
        <v>0</v>
      </c>
      <c r="AJ484" s="133">
        <v>0</v>
      </c>
      <c r="AK484" s="17">
        <v>0</v>
      </c>
      <c r="AL484" s="137">
        <v>0</v>
      </c>
      <c r="AM484" s="263"/>
      <c r="AN484" s="89"/>
      <c r="AO484" s="507"/>
      <c r="AP484" s="262"/>
      <c r="AQ484" s="133" t="s">
        <v>271</v>
      </c>
      <c r="AR484" s="188">
        <v>100</v>
      </c>
      <c r="AS484" s="171"/>
      <c r="AT484" s="171" t="str">
        <f t="shared" si="39"/>
        <v>400</v>
      </c>
      <c r="AU484" s="255">
        <f t="shared" si="40"/>
        <v>22.222222222222221</v>
      </c>
      <c r="AV484" s="172">
        <v>100</v>
      </c>
      <c r="AW484" s="257">
        <v>7</v>
      </c>
      <c r="AX484" s="258">
        <v>21</v>
      </c>
      <c r="AY484" s="258">
        <v>21</v>
      </c>
      <c r="AZ484" s="261"/>
      <c r="BA484" s="175">
        <v>50</v>
      </c>
      <c r="BB484" s="751" t="s">
        <v>2528</v>
      </c>
      <c r="BC484" s="176"/>
      <c r="BD484" s="179"/>
      <c r="BE484" s="179"/>
      <c r="BF484" s="178"/>
      <c r="BG484" s="27"/>
      <c r="BH484" s="55"/>
    </row>
    <row r="485" spans="1:60" ht="16.5" customHeight="1">
      <c r="A485" s="95">
        <v>484</v>
      </c>
      <c r="B485" s="96" t="s">
        <v>1243</v>
      </c>
      <c r="C485" s="73" t="s">
        <v>2650</v>
      </c>
      <c r="D485" s="257" t="s">
        <v>549</v>
      </c>
      <c r="E485" s="459" t="s">
        <v>3377</v>
      </c>
      <c r="F485" s="258">
        <v>1964</v>
      </c>
      <c r="G485" s="171">
        <v>164</v>
      </c>
      <c r="H485" s="57"/>
      <c r="I485" s="173" t="s">
        <v>2565</v>
      </c>
      <c r="J485" s="508">
        <v>0.92600000000000005</v>
      </c>
      <c r="K485" s="44">
        <v>5.694</v>
      </c>
      <c r="L485" s="169"/>
      <c r="M485" s="506">
        <v>258</v>
      </c>
      <c r="N485" s="65"/>
      <c r="O485" s="106" t="s">
        <v>120</v>
      </c>
      <c r="P485" s="511"/>
      <c r="Q485" s="510" t="s">
        <v>3454</v>
      </c>
      <c r="R485" s="65" t="s">
        <v>2308</v>
      </c>
      <c r="S485" s="94"/>
      <c r="T485" s="506"/>
      <c r="U485" s="65" t="s">
        <v>2308</v>
      </c>
      <c r="V485" s="131">
        <v>0</v>
      </c>
      <c r="W485" s="129">
        <v>100</v>
      </c>
      <c r="X485" s="120">
        <v>0</v>
      </c>
      <c r="Y485" s="120">
        <v>0</v>
      </c>
      <c r="Z485" s="120">
        <v>0</v>
      </c>
      <c r="AA485" s="133">
        <v>0</v>
      </c>
      <c r="AB485" s="17">
        <v>0</v>
      </c>
      <c r="AC485" s="17">
        <v>0</v>
      </c>
      <c r="AD485" s="133">
        <v>0</v>
      </c>
      <c r="AE485" s="133">
        <v>0</v>
      </c>
      <c r="AF485" s="17">
        <v>0</v>
      </c>
      <c r="AG485" s="133">
        <v>0</v>
      </c>
      <c r="AH485" s="17">
        <v>0</v>
      </c>
      <c r="AI485" s="133">
        <v>0</v>
      </c>
      <c r="AJ485" s="133">
        <v>0</v>
      </c>
      <c r="AK485" s="17">
        <v>0</v>
      </c>
      <c r="AL485" s="137">
        <v>0</v>
      </c>
      <c r="AM485" s="263"/>
      <c r="AN485" s="89"/>
      <c r="AO485" s="507"/>
      <c r="AP485" s="262"/>
      <c r="AQ485" s="133" t="s">
        <v>271</v>
      </c>
      <c r="AR485" s="188">
        <v>100</v>
      </c>
      <c r="AS485" s="171"/>
      <c r="AT485" s="171" t="str">
        <f t="shared" si="39"/>
        <v>400</v>
      </c>
      <c r="AU485" s="255">
        <f t="shared" si="40"/>
        <v>22.222222222222221</v>
      </c>
      <c r="AV485" s="172">
        <v>100</v>
      </c>
      <c r="AW485" s="257">
        <v>7</v>
      </c>
      <c r="AX485" s="258">
        <v>21</v>
      </c>
      <c r="AY485" s="258">
        <v>21</v>
      </c>
      <c r="AZ485" s="261"/>
      <c r="BA485" s="175">
        <v>50</v>
      </c>
      <c r="BB485" s="751" t="s">
        <v>2528</v>
      </c>
      <c r="BC485" s="176"/>
      <c r="BD485" s="179"/>
      <c r="BE485" s="179"/>
      <c r="BF485" s="178"/>
      <c r="BG485" s="27"/>
      <c r="BH485" s="55"/>
    </row>
    <row r="486" spans="1:60" ht="16.5" customHeight="1">
      <c r="A486" s="95">
        <v>485</v>
      </c>
      <c r="B486" s="96" t="s">
        <v>1242</v>
      </c>
      <c r="C486" s="73" t="s">
        <v>2650</v>
      </c>
      <c r="D486" s="257" t="s">
        <v>549</v>
      </c>
      <c r="E486" s="459" t="s">
        <v>3377</v>
      </c>
      <c r="F486" s="258">
        <v>1964</v>
      </c>
      <c r="G486" s="171">
        <v>164</v>
      </c>
      <c r="H486" s="57"/>
      <c r="I486" s="173" t="s">
        <v>2565</v>
      </c>
      <c r="J486" s="508">
        <v>1.335</v>
      </c>
      <c r="K486" s="44">
        <v>8.6590000000000007</v>
      </c>
      <c r="L486" s="169"/>
      <c r="M486" s="506">
        <v>185</v>
      </c>
      <c r="N486" s="65"/>
      <c r="O486" s="106" t="s">
        <v>120</v>
      </c>
      <c r="P486" s="511"/>
      <c r="Q486" s="510" t="s">
        <v>3454</v>
      </c>
      <c r="R486" s="65" t="s">
        <v>2308</v>
      </c>
      <c r="S486" s="94"/>
      <c r="T486" s="506"/>
      <c r="U486" s="65" t="s">
        <v>2308</v>
      </c>
      <c r="V486" s="131">
        <v>0</v>
      </c>
      <c r="W486" s="129">
        <v>100</v>
      </c>
      <c r="X486" s="120">
        <v>0</v>
      </c>
      <c r="Y486" s="120">
        <v>0</v>
      </c>
      <c r="Z486" s="120">
        <v>0</v>
      </c>
      <c r="AA486" s="133">
        <v>0</v>
      </c>
      <c r="AB486" s="17">
        <v>0</v>
      </c>
      <c r="AC486" s="17">
        <v>0</v>
      </c>
      <c r="AD486" s="133">
        <v>0</v>
      </c>
      <c r="AE486" s="133">
        <v>0</v>
      </c>
      <c r="AF486" s="17">
        <v>0</v>
      </c>
      <c r="AG486" s="133">
        <v>0</v>
      </c>
      <c r="AH486" s="17">
        <v>0</v>
      </c>
      <c r="AI486" s="133">
        <v>0</v>
      </c>
      <c r="AJ486" s="133">
        <v>0</v>
      </c>
      <c r="AK486" s="17">
        <v>0</v>
      </c>
      <c r="AL486" s="137">
        <v>0</v>
      </c>
      <c r="AM486" s="263"/>
      <c r="AN486" s="89"/>
      <c r="AO486" s="507"/>
      <c r="AP486" s="262"/>
      <c r="AQ486" s="133" t="s">
        <v>271</v>
      </c>
      <c r="AR486" s="188">
        <v>100</v>
      </c>
      <c r="AS486" s="171"/>
      <c r="AT486" s="171" t="str">
        <f t="shared" si="39"/>
        <v>400</v>
      </c>
      <c r="AU486" s="255">
        <f t="shared" si="40"/>
        <v>22.222222222222221</v>
      </c>
      <c r="AV486" s="172">
        <v>100</v>
      </c>
      <c r="AW486" s="257">
        <v>7</v>
      </c>
      <c r="AX486" s="258">
        <v>21</v>
      </c>
      <c r="AY486" s="258">
        <v>21</v>
      </c>
      <c r="AZ486" s="261"/>
      <c r="BA486" s="175">
        <v>50</v>
      </c>
      <c r="BB486" s="751" t="s">
        <v>2528</v>
      </c>
      <c r="BC486" s="176"/>
      <c r="BD486" s="179"/>
      <c r="BE486" s="179"/>
      <c r="BF486" s="178"/>
      <c r="BG486" s="27"/>
      <c r="BH486" s="55"/>
    </row>
    <row r="487" spans="1:60" ht="16.5" customHeight="1">
      <c r="A487" s="95">
        <v>486</v>
      </c>
      <c r="B487" s="96" t="s">
        <v>1241</v>
      </c>
      <c r="C487" s="73" t="s">
        <v>2650</v>
      </c>
      <c r="D487" s="257" t="s">
        <v>549</v>
      </c>
      <c r="E487" s="459" t="s">
        <v>3377</v>
      </c>
      <c r="F487" s="258">
        <v>1964</v>
      </c>
      <c r="G487" s="171">
        <v>164</v>
      </c>
      <c r="H487" s="57"/>
      <c r="I487" s="173" t="s">
        <v>2565</v>
      </c>
      <c r="J487" s="508">
        <v>0.66500000000000004</v>
      </c>
      <c r="K487" s="44">
        <v>5.9450000000000003</v>
      </c>
      <c r="L487" s="169"/>
      <c r="M487" s="506">
        <v>272</v>
      </c>
      <c r="N487" s="65"/>
      <c r="O487" s="106" t="s">
        <v>120</v>
      </c>
      <c r="P487" s="511"/>
      <c r="Q487" s="510" t="s">
        <v>3454</v>
      </c>
      <c r="R487" s="65" t="s">
        <v>2308</v>
      </c>
      <c r="S487" s="94"/>
      <c r="T487" s="506"/>
      <c r="U487" s="65" t="s">
        <v>2308</v>
      </c>
      <c r="V487" s="131">
        <v>0</v>
      </c>
      <c r="W487" s="129">
        <v>100</v>
      </c>
      <c r="X487" s="120">
        <v>0</v>
      </c>
      <c r="Y487" s="120">
        <v>0</v>
      </c>
      <c r="Z487" s="120">
        <v>0</v>
      </c>
      <c r="AA487" s="133">
        <v>0</v>
      </c>
      <c r="AB487" s="17">
        <v>0</v>
      </c>
      <c r="AC487" s="17">
        <v>0</v>
      </c>
      <c r="AD487" s="133">
        <v>0</v>
      </c>
      <c r="AE487" s="133">
        <v>0</v>
      </c>
      <c r="AF487" s="17">
        <v>0</v>
      </c>
      <c r="AG487" s="133">
        <v>0</v>
      </c>
      <c r="AH487" s="17">
        <v>0</v>
      </c>
      <c r="AI487" s="133">
        <v>0</v>
      </c>
      <c r="AJ487" s="133">
        <v>0</v>
      </c>
      <c r="AK487" s="17">
        <v>0</v>
      </c>
      <c r="AL487" s="137">
        <v>0</v>
      </c>
      <c r="AM487" s="263"/>
      <c r="AN487" s="89"/>
      <c r="AO487" s="507"/>
      <c r="AP487" s="262"/>
      <c r="AQ487" s="133" t="s">
        <v>271</v>
      </c>
      <c r="AR487" s="188">
        <v>100</v>
      </c>
      <c r="AS487" s="171"/>
      <c r="AT487" s="171" t="str">
        <f t="shared" si="39"/>
        <v>400</v>
      </c>
      <c r="AU487" s="255">
        <f t="shared" si="40"/>
        <v>22.222222222222221</v>
      </c>
      <c r="AV487" s="172">
        <v>100</v>
      </c>
      <c r="AW487" s="257">
        <v>7</v>
      </c>
      <c r="AX487" s="258">
        <v>21</v>
      </c>
      <c r="AY487" s="258">
        <v>21</v>
      </c>
      <c r="AZ487" s="261"/>
      <c r="BA487" s="175">
        <v>50</v>
      </c>
      <c r="BB487" s="751" t="s">
        <v>2528</v>
      </c>
      <c r="BC487" s="176"/>
      <c r="BD487" s="179"/>
      <c r="BE487" s="179"/>
      <c r="BF487" s="178"/>
      <c r="BG487" s="27"/>
      <c r="BH487" s="55"/>
    </row>
    <row r="488" spans="1:60" ht="16.5" customHeight="1">
      <c r="A488" s="95">
        <v>487</v>
      </c>
      <c r="B488" s="96" t="s">
        <v>1240</v>
      </c>
      <c r="C488" s="73" t="s">
        <v>2650</v>
      </c>
      <c r="D488" s="257" t="s">
        <v>549</v>
      </c>
      <c r="E488" s="459" t="s">
        <v>3377</v>
      </c>
      <c r="F488" s="258">
        <v>1964</v>
      </c>
      <c r="G488" s="171">
        <v>164</v>
      </c>
      <c r="H488" s="57"/>
      <c r="I488" s="173" t="s">
        <v>2565</v>
      </c>
      <c r="J488" s="508">
        <v>0.93600000000000005</v>
      </c>
      <c r="K488" s="44">
        <v>10.821</v>
      </c>
      <c r="L488" s="169"/>
      <c r="M488" s="506">
        <v>173</v>
      </c>
      <c r="N488" s="65"/>
      <c r="O488" s="106" t="s">
        <v>120</v>
      </c>
      <c r="P488" s="511"/>
      <c r="Q488" s="510" t="s">
        <v>3454</v>
      </c>
      <c r="R488" s="65" t="s">
        <v>2308</v>
      </c>
      <c r="S488" s="94"/>
      <c r="T488" s="506"/>
      <c r="U488" s="65" t="s">
        <v>2308</v>
      </c>
      <c r="V488" s="131">
        <v>0</v>
      </c>
      <c r="W488" s="129">
        <v>100</v>
      </c>
      <c r="X488" s="120">
        <v>0</v>
      </c>
      <c r="Y488" s="120">
        <v>0</v>
      </c>
      <c r="Z488" s="120">
        <v>0</v>
      </c>
      <c r="AA488" s="133">
        <v>0</v>
      </c>
      <c r="AB488" s="17">
        <v>0</v>
      </c>
      <c r="AC488" s="17">
        <v>0</v>
      </c>
      <c r="AD488" s="133">
        <v>0</v>
      </c>
      <c r="AE488" s="133">
        <v>0</v>
      </c>
      <c r="AF488" s="17">
        <v>0</v>
      </c>
      <c r="AG488" s="133">
        <v>0</v>
      </c>
      <c r="AH488" s="17">
        <v>0</v>
      </c>
      <c r="AI488" s="133">
        <v>0</v>
      </c>
      <c r="AJ488" s="133">
        <v>0</v>
      </c>
      <c r="AK488" s="17">
        <v>0</v>
      </c>
      <c r="AL488" s="137">
        <v>0</v>
      </c>
      <c r="AM488" s="263"/>
      <c r="AN488" s="89"/>
      <c r="AO488" s="507"/>
      <c r="AP488" s="262"/>
      <c r="AQ488" s="133" t="s">
        <v>271</v>
      </c>
      <c r="AR488" s="188">
        <v>100</v>
      </c>
      <c r="AS488" s="171"/>
      <c r="AT488" s="171" t="str">
        <f t="shared" si="39"/>
        <v>400</v>
      </c>
      <c r="AU488" s="255">
        <f t="shared" si="40"/>
        <v>22.222222222222221</v>
      </c>
      <c r="AV488" s="172">
        <v>100</v>
      </c>
      <c r="AW488" s="257">
        <v>7</v>
      </c>
      <c r="AX488" s="258">
        <v>21</v>
      </c>
      <c r="AY488" s="258">
        <v>21</v>
      </c>
      <c r="AZ488" s="261"/>
      <c r="BA488" s="175">
        <v>50</v>
      </c>
      <c r="BB488" s="751" t="s">
        <v>2528</v>
      </c>
      <c r="BC488" s="176"/>
      <c r="BD488" s="179"/>
      <c r="BE488" s="179"/>
      <c r="BF488" s="178"/>
      <c r="BG488" s="27"/>
      <c r="BH488" s="55"/>
    </row>
    <row r="489" spans="1:60" ht="16.5" customHeight="1">
      <c r="A489" s="95">
        <v>488</v>
      </c>
      <c r="B489" s="96" t="s">
        <v>1239</v>
      </c>
      <c r="C489" s="73" t="s">
        <v>2650</v>
      </c>
      <c r="D489" s="257" t="s">
        <v>549</v>
      </c>
      <c r="E489" s="459" t="s">
        <v>3377</v>
      </c>
      <c r="F489" s="258">
        <v>1964</v>
      </c>
      <c r="G489" s="171">
        <v>164</v>
      </c>
      <c r="H489" s="57"/>
      <c r="I489" s="173" t="s">
        <v>2565</v>
      </c>
      <c r="J489" s="508">
        <v>1.325</v>
      </c>
      <c r="K489" s="44">
        <v>15.523999999999999</v>
      </c>
      <c r="L489" s="169"/>
      <c r="M489" s="506">
        <v>126</v>
      </c>
      <c r="N489" s="65"/>
      <c r="O489" s="106" t="s">
        <v>120</v>
      </c>
      <c r="P489" s="511"/>
      <c r="Q489" s="510" t="s">
        <v>3454</v>
      </c>
      <c r="R489" s="65" t="s">
        <v>2308</v>
      </c>
      <c r="S489" s="94"/>
      <c r="T489" s="506"/>
      <c r="U489" s="65" t="s">
        <v>2308</v>
      </c>
      <c r="V489" s="131">
        <v>0</v>
      </c>
      <c r="W489" s="129">
        <v>100</v>
      </c>
      <c r="X489" s="120">
        <v>0</v>
      </c>
      <c r="Y489" s="120">
        <v>0</v>
      </c>
      <c r="Z489" s="120">
        <v>0</v>
      </c>
      <c r="AA489" s="133">
        <v>0</v>
      </c>
      <c r="AB489" s="17">
        <v>0</v>
      </c>
      <c r="AC489" s="17">
        <v>0</v>
      </c>
      <c r="AD489" s="133">
        <v>0</v>
      </c>
      <c r="AE489" s="133">
        <v>0</v>
      </c>
      <c r="AF489" s="17">
        <v>0</v>
      </c>
      <c r="AG489" s="133">
        <v>0</v>
      </c>
      <c r="AH489" s="17">
        <v>0</v>
      </c>
      <c r="AI489" s="133">
        <v>0</v>
      </c>
      <c r="AJ489" s="133">
        <v>0</v>
      </c>
      <c r="AK489" s="17">
        <v>0</v>
      </c>
      <c r="AL489" s="137">
        <v>0</v>
      </c>
      <c r="AM489" s="263"/>
      <c r="AN489" s="89"/>
      <c r="AO489" s="507"/>
      <c r="AP489" s="262"/>
      <c r="AQ489" s="133" t="s">
        <v>271</v>
      </c>
      <c r="AR489" s="188">
        <v>100</v>
      </c>
      <c r="AS489" s="171"/>
      <c r="AT489" s="171" t="str">
        <f t="shared" si="39"/>
        <v>400</v>
      </c>
      <c r="AU489" s="255">
        <f t="shared" si="40"/>
        <v>22.222222222222221</v>
      </c>
      <c r="AV489" s="172">
        <v>100</v>
      </c>
      <c r="AW489" s="257">
        <v>7</v>
      </c>
      <c r="AX489" s="258">
        <v>21</v>
      </c>
      <c r="AY489" s="258">
        <v>21</v>
      </c>
      <c r="AZ489" s="261"/>
      <c r="BA489" s="175">
        <v>50</v>
      </c>
      <c r="BB489" s="751" t="s">
        <v>2528</v>
      </c>
      <c r="BC489" s="176"/>
      <c r="BD489" s="179"/>
      <c r="BE489" s="179"/>
      <c r="BF489" s="178"/>
      <c r="BG489" s="27"/>
      <c r="BH489" s="55"/>
    </row>
    <row r="490" spans="1:60" ht="16.5" customHeight="1">
      <c r="A490" s="95">
        <v>489</v>
      </c>
      <c r="B490" s="96" t="s">
        <v>1238</v>
      </c>
      <c r="C490" s="73" t="s">
        <v>2650</v>
      </c>
      <c r="D490" s="257" t="s">
        <v>549</v>
      </c>
      <c r="E490" s="459" t="s">
        <v>3377</v>
      </c>
      <c r="F490" s="258">
        <v>1964</v>
      </c>
      <c r="G490" s="171">
        <v>164</v>
      </c>
      <c r="H490" s="57"/>
      <c r="I490" s="173" t="s">
        <v>2565</v>
      </c>
      <c r="J490" s="508">
        <v>0.66500000000000004</v>
      </c>
      <c r="K490" s="44">
        <v>8.5909999999999993</v>
      </c>
      <c r="L490" s="169"/>
      <c r="M490" s="506">
        <v>215</v>
      </c>
      <c r="N490" s="65"/>
      <c r="O490" s="106" t="s">
        <v>120</v>
      </c>
      <c r="P490" s="511"/>
      <c r="Q490" s="510" t="s">
        <v>3454</v>
      </c>
      <c r="R490" s="65" t="s">
        <v>2308</v>
      </c>
      <c r="S490" s="94"/>
      <c r="T490" s="506"/>
      <c r="U490" s="65" t="s">
        <v>2308</v>
      </c>
      <c r="V490" s="131">
        <v>0</v>
      </c>
      <c r="W490" s="129">
        <v>100</v>
      </c>
      <c r="X490" s="120">
        <v>0</v>
      </c>
      <c r="Y490" s="120">
        <v>0</v>
      </c>
      <c r="Z490" s="120">
        <v>0</v>
      </c>
      <c r="AA490" s="133">
        <v>0</v>
      </c>
      <c r="AB490" s="17">
        <v>0</v>
      </c>
      <c r="AC490" s="17">
        <v>0</v>
      </c>
      <c r="AD490" s="133">
        <v>0</v>
      </c>
      <c r="AE490" s="133">
        <v>0</v>
      </c>
      <c r="AF490" s="17">
        <v>0</v>
      </c>
      <c r="AG490" s="133">
        <v>0</v>
      </c>
      <c r="AH490" s="17">
        <v>0</v>
      </c>
      <c r="AI490" s="133">
        <v>0</v>
      </c>
      <c r="AJ490" s="133">
        <v>0</v>
      </c>
      <c r="AK490" s="17">
        <v>0</v>
      </c>
      <c r="AL490" s="137">
        <v>0</v>
      </c>
      <c r="AM490" s="263"/>
      <c r="AN490" s="89"/>
      <c r="AO490" s="507"/>
      <c r="AP490" s="262"/>
      <c r="AQ490" s="133" t="s">
        <v>271</v>
      </c>
      <c r="AR490" s="188">
        <v>100</v>
      </c>
      <c r="AS490" s="171"/>
      <c r="AT490" s="171" t="str">
        <f t="shared" si="39"/>
        <v>400</v>
      </c>
      <c r="AU490" s="255">
        <f t="shared" si="40"/>
        <v>22.222222222222221</v>
      </c>
      <c r="AV490" s="172">
        <v>100</v>
      </c>
      <c r="AW490" s="257">
        <v>7</v>
      </c>
      <c r="AX490" s="258">
        <v>21</v>
      </c>
      <c r="AY490" s="258">
        <v>21</v>
      </c>
      <c r="AZ490" s="261"/>
      <c r="BA490" s="175">
        <v>50</v>
      </c>
      <c r="BB490" s="751" t="s">
        <v>2528</v>
      </c>
      <c r="BC490" s="176"/>
      <c r="BD490" s="179"/>
      <c r="BE490" s="179"/>
      <c r="BF490" s="178"/>
      <c r="BG490" s="27"/>
      <c r="BH490" s="55"/>
    </row>
    <row r="491" spans="1:60" ht="16.5" customHeight="1">
      <c r="A491" s="95">
        <v>490</v>
      </c>
      <c r="B491" s="96" t="s">
        <v>1237</v>
      </c>
      <c r="C491" s="73" t="s">
        <v>2650</v>
      </c>
      <c r="D491" s="257" t="s">
        <v>549</v>
      </c>
      <c r="E491" s="459" t="s">
        <v>3377</v>
      </c>
      <c r="F491" s="258">
        <v>1964</v>
      </c>
      <c r="G491" s="171">
        <v>164</v>
      </c>
      <c r="H491" s="57"/>
      <c r="I491" s="173" t="s">
        <v>2565</v>
      </c>
      <c r="J491" s="508">
        <v>0.93400000000000005</v>
      </c>
      <c r="K491" s="44">
        <v>14.942</v>
      </c>
      <c r="L491" s="169"/>
      <c r="M491" s="506">
        <v>137</v>
      </c>
      <c r="N491" s="506"/>
      <c r="O491" s="106" t="s">
        <v>120</v>
      </c>
      <c r="P491" s="511"/>
      <c r="Q491" s="510" t="s">
        <v>3454</v>
      </c>
      <c r="R491" s="506" t="s">
        <v>2308</v>
      </c>
      <c r="S491" s="94"/>
      <c r="T491" s="65"/>
      <c r="U491" s="65" t="s">
        <v>2308</v>
      </c>
      <c r="V491" s="131">
        <v>0</v>
      </c>
      <c r="W491" s="129">
        <v>100</v>
      </c>
      <c r="X491" s="120">
        <v>0</v>
      </c>
      <c r="Y491" s="120">
        <v>0</v>
      </c>
      <c r="Z491" s="120">
        <v>0</v>
      </c>
      <c r="AA491" s="133">
        <v>0</v>
      </c>
      <c r="AB491" s="17">
        <v>0</v>
      </c>
      <c r="AC491" s="17">
        <v>0</v>
      </c>
      <c r="AD491" s="133">
        <v>0</v>
      </c>
      <c r="AE491" s="133">
        <v>0</v>
      </c>
      <c r="AF491" s="17">
        <v>0</v>
      </c>
      <c r="AG491" s="133">
        <v>0</v>
      </c>
      <c r="AH491" s="17">
        <v>0</v>
      </c>
      <c r="AI491" s="133">
        <v>0</v>
      </c>
      <c r="AJ491" s="133">
        <v>0</v>
      </c>
      <c r="AK491" s="17">
        <v>0</v>
      </c>
      <c r="AL491" s="137">
        <v>0</v>
      </c>
      <c r="AM491" s="263"/>
      <c r="AN491" s="89"/>
      <c r="AO491" s="507"/>
      <c r="AP491" s="262"/>
      <c r="AQ491" s="133" t="s">
        <v>271</v>
      </c>
      <c r="AR491" s="188">
        <v>100</v>
      </c>
      <c r="AS491" s="171"/>
      <c r="AT491" s="171" t="str">
        <f t="shared" si="39"/>
        <v>400</v>
      </c>
      <c r="AU491" s="255">
        <f t="shared" si="40"/>
        <v>22.222222222222221</v>
      </c>
      <c r="AV491" s="172">
        <v>100</v>
      </c>
      <c r="AW491" s="257">
        <v>7</v>
      </c>
      <c r="AX491" s="258">
        <v>21</v>
      </c>
      <c r="AY491" s="258">
        <v>21</v>
      </c>
      <c r="AZ491" s="261"/>
      <c r="BA491" s="175">
        <v>50</v>
      </c>
      <c r="BB491" s="751" t="s">
        <v>2528</v>
      </c>
      <c r="BC491" s="176"/>
      <c r="BD491" s="179"/>
      <c r="BE491" s="179"/>
      <c r="BF491" s="178"/>
      <c r="BG491" s="27"/>
      <c r="BH491" s="55"/>
    </row>
    <row r="492" spans="1:60" ht="16.5" customHeight="1">
      <c r="A492" s="95">
        <v>491</v>
      </c>
      <c r="B492" s="96" t="s">
        <v>1236</v>
      </c>
      <c r="C492" s="73" t="s">
        <v>2650</v>
      </c>
      <c r="D492" s="257" t="s">
        <v>549</v>
      </c>
      <c r="E492" s="459" t="s">
        <v>3377</v>
      </c>
      <c r="F492" s="258">
        <v>1964</v>
      </c>
      <c r="G492" s="171">
        <v>164</v>
      </c>
      <c r="H492" s="57"/>
      <c r="I492" s="173" t="s">
        <v>2565</v>
      </c>
      <c r="J492" s="508">
        <v>1.32</v>
      </c>
      <c r="K492" s="44">
        <v>21.15</v>
      </c>
      <c r="L492" s="169"/>
      <c r="M492" s="506">
        <v>100</v>
      </c>
      <c r="N492" s="65"/>
      <c r="O492" s="106" t="s">
        <v>120</v>
      </c>
      <c r="P492" s="511"/>
      <c r="Q492" s="510" t="s">
        <v>3454</v>
      </c>
      <c r="R492" s="506" t="s">
        <v>2308</v>
      </c>
      <c r="S492" s="94"/>
      <c r="T492" s="65"/>
      <c r="U492" s="65" t="s">
        <v>2308</v>
      </c>
      <c r="V492" s="131">
        <v>0</v>
      </c>
      <c r="W492" s="129">
        <v>100</v>
      </c>
      <c r="X492" s="120">
        <v>0</v>
      </c>
      <c r="Y492" s="120">
        <v>0</v>
      </c>
      <c r="Z492" s="120">
        <v>0</v>
      </c>
      <c r="AA492" s="133">
        <v>0</v>
      </c>
      <c r="AB492" s="17">
        <v>0</v>
      </c>
      <c r="AC492" s="17">
        <v>0</v>
      </c>
      <c r="AD492" s="133">
        <v>0</v>
      </c>
      <c r="AE492" s="133">
        <v>0</v>
      </c>
      <c r="AF492" s="17">
        <v>0</v>
      </c>
      <c r="AG492" s="133">
        <v>0</v>
      </c>
      <c r="AH492" s="17">
        <v>0</v>
      </c>
      <c r="AI492" s="133">
        <v>0</v>
      </c>
      <c r="AJ492" s="133">
        <v>0</v>
      </c>
      <c r="AK492" s="17">
        <v>0</v>
      </c>
      <c r="AL492" s="137">
        <v>0</v>
      </c>
      <c r="AM492" s="263"/>
      <c r="AN492" s="89"/>
      <c r="AO492" s="507"/>
      <c r="AP492" s="262"/>
      <c r="AQ492" s="133" t="s">
        <v>271</v>
      </c>
      <c r="AR492" s="188">
        <v>100</v>
      </c>
      <c r="AS492" s="171"/>
      <c r="AT492" s="171" t="str">
        <f t="shared" si="39"/>
        <v>400</v>
      </c>
      <c r="AU492" s="255">
        <f t="shared" si="40"/>
        <v>22.222222222222221</v>
      </c>
      <c r="AV492" s="172">
        <v>100</v>
      </c>
      <c r="AW492" s="257">
        <v>7</v>
      </c>
      <c r="AX492" s="258">
        <v>21</v>
      </c>
      <c r="AY492" s="258">
        <v>21</v>
      </c>
      <c r="AZ492" s="261"/>
      <c r="BA492" s="175">
        <v>50</v>
      </c>
      <c r="BB492" s="751" t="s">
        <v>2528</v>
      </c>
      <c r="BC492" s="176"/>
      <c r="BD492" s="179"/>
      <c r="BE492" s="179"/>
      <c r="BF492" s="178"/>
      <c r="BG492" s="27"/>
      <c r="BH492" s="55"/>
    </row>
    <row r="493" spans="1:60" ht="16.5" customHeight="1">
      <c r="A493" s="95">
        <v>492</v>
      </c>
      <c r="B493" s="96" t="s">
        <v>1235</v>
      </c>
      <c r="C493" s="73" t="s">
        <v>2650</v>
      </c>
      <c r="D493" s="257" t="s">
        <v>549</v>
      </c>
      <c r="E493" s="459" t="s">
        <v>3377</v>
      </c>
      <c r="F493" s="258">
        <v>1964</v>
      </c>
      <c r="G493" s="171">
        <v>164</v>
      </c>
      <c r="H493" s="57"/>
      <c r="I493" s="173" t="s">
        <v>2565</v>
      </c>
      <c r="J493" s="508">
        <v>0.66900000000000004</v>
      </c>
      <c r="K493" s="44">
        <v>13.881</v>
      </c>
      <c r="L493" s="169"/>
      <c r="M493" s="506">
        <v>151</v>
      </c>
      <c r="N493" s="65"/>
      <c r="O493" s="106" t="s">
        <v>120</v>
      </c>
      <c r="P493" s="511"/>
      <c r="Q493" s="510" t="s">
        <v>3454</v>
      </c>
      <c r="R493" s="506" t="s">
        <v>2308</v>
      </c>
      <c r="S493" s="94"/>
      <c r="T493" s="65"/>
      <c r="U493" s="65" t="s">
        <v>2308</v>
      </c>
      <c r="V493" s="131">
        <v>0</v>
      </c>
      <c r="W493" s="129">
        <v>100</v>
      </c>
      <c r="X493" s="120">
        <v>0</v>
      </c>
      <c r="Y493" s="120">
        <v>0</v>
      </c>
      <c r="Z493" s="120">
        <v>0</v>
      </c>
      <c r="AA493" s="133">
        <v>0</v>
      </c>
      <c r="AB493" s="17">
        <v>0</v>
      </c>
      <c r="AC493" s="17">
        <v>0</v>
      </c>
      <c r="AD493" s="133">
        <v>0</v>
      </c>
      <c r="AE493" s="133">
        <v>0</v>
      </c>
      <c r="AF493" s="17">
        <v>0</v>
      </c>
      <c r="AG493" s="133">
        <v>0</v>
      </c>
      <c r="AH493" s="17">
        <v>0</v>
      </c>
      <c r="AI493" s="133">
        <v>0</v>
      </c>
      <c r="AJ493" s="133">
        <v>0</v>
      </c>
      <c r="AK493" s="17">
        <v>0</v>
      </c>
      <c r="AL493" s="137">
        <v>0</v>
      </c>
      <c r="AM493" s="263"/>
      <c r="AN493" s="89"/>
      <c r="AO493" s="507"/>
      <c r="AP493" s="262"/>
      <c r="AQ493" s="133" t="s">
        <v>271</v>
      </c>
      <c r="AR493" s="188">
        <v>100</v>
      </c>
      <c r="AS493" s="171"/>
      <c r="AT493" s="171" t="str">
        <f t="shared" si="39"/>
        <v>400</v>
      </c>
      <c r="AU493" s="255">
        <f t="shared" si="40"/>
        <v>22.222222222222221</v>
      </c>
      <c r="AV493" s="172">
        <v>100</v>
      </c>
      <c r="AW493" s="257">
        <v>7</v>
      </c>
      <c r="AX493" s="258">
        <v>21</v>
      </c>
      <c r="AY493" s="258">
        <v>21</v>
      </c>
      <c r="AZ493" s="261"/>
      <c r="BA493" s="175">
        <v>50</v>
      </c>
      <c r="BB493" s="751" t="s">
        <v>2528</v>
      </c>
      <c r="BC493" s="176"/>
      <c r="BD493" s="179"/>
      <c r="BE493" s="179"/>
      <c r="BF493" s="178"/>
      <c r="BG493" s="27"/>
      <c r="BH493" s="55"/>
    </row>
    <row r="494" spans="1:60" ht="16.5" customHeight="1">
      <c r="A494" s="95">
        <v>493</v>
      </c>
      <c r="B494" s="96" t="s">
        <v>1234</v>
      </c>
      <c r="C494" s="73" t="s">
        <v>2650</v>
      </c>
      <c r="D494" s="257" t="s">
        <v>549</v>
      </c>
      <c r="E494" s="459" t="s">
        <v>3377</v>
      </c>
      <c r="F494" s="258">
        <v>1964</v>
      </c>
      <c r="G494" s="171">
        <v>164</v>
      </c>
      <c r="H494" s="57"/>
      <c r="I494" s="173" t="s">
        <v>2565</v>
      </c>
      <c r="J494" s="508">
        <v>0.92900000000000005</v>
      </c>
      <c r="K494" s="44">
        <v>27.332999999999998</v>
      </c>
      <c r="L494" s="169"/>
      <c r="M494" s="506">
        <v>84</v>
      </c>
      <c r="N494" s="65"/>
      <c r="O494" s="106" t="s">
        <v>120</v>
      </c>
      <c r="P494" s="511"/>
      <c r="Q494" s="510" t="s">
        <v>3454</v>
      </c>
      <c r="R494" s="506" t="s">
        <v>2308</v>
      </c>
      <c r="S494" s="94"/>
      <c r="T494" s="65"/>
      <c r="U494" s="65" t="s">
        <v>2308</v>
      </c>
      <c r="V494" s="131">
        <v>0</v>
      </c>
      <c r="W494" s="129">
        <v>100</v>
      </c>
      <c r="X494" s="120">
        <v>0</v>
      </c>
      <c r="Y494" s="120">
        <v>0</v>
      </c>
      <c r="Z494" s="120">
        <v>0</v>
      </c>
      <c r="AA494" s="133">
        <v>0</v>
      </c>
      <c r="AB494" s="17">
        <v>0</v>
      </c>
      <c r="AC494" s="17">
        <v>0</v>
      </c>
      <c r="AD494" s="133">
        <v>0</v>
      </c>
      <c r="AE494" s="133">
        <v>0</v>
      </c>
      <c r="AF494" s="17">
        <v>0</v>
      </c>
      <c r="AG494" s="133">
        <v>0</v>
      </c>
      <c r="AH494" s="17">
        <v>0</v>
      </c>
      <c r="AI494" s="133">
        <v>0</v>
      </c>
      <c r="AJ494" s="133">
        <v>0</v>
      </c>
      <c r="AK494" s="17">
        <v>0</v>
      </c>
      <c r="AL494" s="137">
        <v>0</v>
      </c>
      <c r="AM494" s="263"/>
      <c r="AN494" s="89"/>
      <c r="AO494" s="507"/>
      <c r="AP494" s="262"/>
      <c r="AQ494" s="133" t="s">
        <v>271</v>
      </c>
      <c r="AR494" s="188">
        <v>100</v>
      </c>
      <c r="AS494" s="171"/>
      <c r="AT494" s="171" t="str">
        <f t="shared" ref="AT494:AT525" si="41">RIGHT(AQ494,LEN(AQ494)-FIND("x",AQ494,8))</f>
        <v>400</v>
      </c>
      <c r="AU494" s="255">
        <f t="shared" ref="AU494:AU525" si="42">IF(ISBLANK(AS494),(AR494*AT494)/((4*AT494)+(2*AR494)),AR494*AS494*AT494/2/(AR494*AS494+AR494*AT494+AS494*AT494))</f>
        <v>22.222222222222221</v>
      </c>
      <c r="AV494" s="172">
        <v>100</v>
      </c>
      <c r="AW494" s="257">
        <v>7</v>
      </c>
      <c r="AX494" s="258">
        <v>21</v>
      </c>
      <c r="AY494" s="258">
        <v>21</v>
      </c>
      <c r="AZ494" s="261"/>
      <c r="BA494" s="175">
        <v>50</v>
      </c>
      <c r="BB494" s="751" t="s">
        <v>2528</v>
      </c>
      <c r="BC494" s="176"/>
      <c r="BD494" s="179"/>
      <c r="BE494" s="179"/>
      <c r="BF494" s="178"/>
      <c r="BG494" s="27"/>
      <c r="BH494" s="55"/>
    </row>
    <row r="495" spans="1:60" ht="16.5" customHeight="1">
      <c r="A495" s="95">
        <v>494</v>
      </c>
      <c r="B495" s="96" t="s">
        <v>1233</v>
      </c>
      <c r="C495" s="73" t="s">
        <v>2650</v>
      </c>
      <c r="D495" s="257" t="s">
        <v>549</v>
      </c>
      <c r="E495" s="459" t="s">
        <v>3377</v>
      </c>
      <c r="F495" s="258">
        <v>1964</v>
      </c>
      <c r="G495" s="171">
        <v>164</v>
      </c>
      <c r="H495" s="57"/>
      <c r="I495" s="173" t="s">
        <v>2565</v>
      </c>
      <c r="J495" s="508">
        <v>0.35599999999999998</v>
      </c>
      <c r="K495" s="44">
        <v>1.57</v>
      </c>
      <c r="L495" s="169"/>
      <c r="M495" s="506">
        <v>790</v>
      </c>
      <c r="N495" s="65"/>
      <c r="O495" s="106" t="s">
        <v>120</v>
      </c>
      <c r="P495" s="511"/>
      <c r="Q495" s="510" t="s">
        <v>3454</v>
      </c>
      <c r="R495" s="506" t="s">
        <v>2308</v>
      </c>
      <c r="S495" s="94"/>
      <c r="T495" s="65"/>
      <c r="U495" s="65" t="s">
        <v>2308</v>
      </c>
      <c r="V495" s="131">
        <v>0</v>
      </c>
      <c r="W495" s="129">
        <v>0</v>
      </c>
      <c r="X495" s="120">
        <v>0</v>
      </c>
      <c r="Y495" s="120">
        <v>0</v>
      </c>
      <c r="Z495" s="120">
        <v>0</v>
      </c>
      <c r="AA495" s="133">
        <v>0</v>
      </c>
      <c r="AB495" s="17">
        <v>0</v>
      </c>
      <c r="AC495" s="17">
        <v>0</v>
      </c>
      <c r="AD495" s="133">
        <v>0</v>
      </c>
      <c r="AE495" s="133">
        <v>0</v>
      </c>
      <c r="AF495" s="17">
        <v>0</v>
      </c>
      <c r="AG495" s="133">
        <v>0</v>
      </c>
      <c r="AH495" s="17">
        <v>0</v>
      </c>
      <c r="AI495" s="133">
        <v>0</v>
      </c>
      <c r="AJ495" s="133">
        <v>0</v>
      </c>
      <c r="AK495" s="17">
        <v>0</v>
      </c>
      <c r="AL495" s="137">
        <v>0</v>
      </c>
      <c r="AM495" s="263"/>
      <c r="AN495" s="89"/>
      <c r="AO495" s="507"/>
      <c r="AP495" s="262"/>
      <c r="AQ495" s="133" t="s">
        <v>271</v>
      </c>
      <c r="AR495" s="188">
        <v>100</v>
      </c>
      <c r="AS495" s="171"/>
      <c r="AT495" s="171" t="str">
        <f t="shared" si="41"/>
        <v>400</v>
      </c>
      <c r="AU495" s="255">
        <f t="shared" si="42"/>
        <v>22.222222222222221</v>
      </c>
      <c r="AV495" s="172">
        <v>100</v>
      </c>
      <c r="AW495" s="257">
        <v>7</v>
      </c>
      <c r="AX495" s="258">
        <v>21</v>
      </c>
      <c r="AY495" s="258">
        <v>40</v>
      </c>
      <c r="AZ495" s="261"/>
      <c r="BA495" s="261"/>
      <c r="BB495" s="751" t="s">
        <v>2528</v>
      </c>
      <c r="BC495" s="176"/>
      <c r="BD495" s="179"/>
      <c r="BE495" s="179"/>
      <c r="BF495" s="178"/>
      <c r="BG495" s="27"/>
      <c r="BH495" s="55"/>
    </row>
    <row r="496" spans="1:60" ht="16.5" customHeight="1">
      <c r="A496" s="95">
        <v>495</v>
      </c>
      <c r="B496" s="96" t="s">
        <v>1232</v>
      </c>
      <c r="C496" s="73" t="s">
        <v>2650</v>
      </c>
      <c r="D496" s="257" t="s">
        <v>549</v>
      </c>
      <c r="E496" s="459" t="s">
        <v>3377</v>
      </c>
      <c r="F496" s="258">
        <v>1964</v>
      </c>
      <c r="G496" s="171">
        <v>164</v>
      </c>
      <c r="H496" s="57"/>
      <c r="I496" s="173" t="s">
        <v>2565</v>
      </c>
      <c r="J496" s="508">
        <v>0.55200000000000005</v>
      </c>
      <c r="K496" s="44">
        <v>2.9620000000000002</v>
      </c>
      <c r="L496" s="169"/>
      <c r="M496" s="506">
        <v>502</v>
      </c>
      <c r="N496" s="65"/>
      <c r="O496" s="106" t="s">
        <v>120</v>
      </c>
      <c r="P496" s="511"/>
      <c r="Q496" s="510" t="s">
        <v>3454</v>
      </c>
      <c r="R496" s="506" t="s">
        <v>2308</v>
      </c>
      <c r="S496" s="94"/>
      <c r="T496" s="65"/>
      <c r="U496" s="65" t="s">
        <v>2308</v>
      </c>
      <c r="V496" s="131">
        <v>0</v>
      </c>
      <c r="W496" s="129">
        <v>0</v>
      </c>
      <c r="X496" s="120">
        <v>0</v>
      </c>
      <c r="Y496" s="120">
        <v>0</v>
      </c>
      <c r="Z496" s="120">
        <v>0</v>
      </c>
      <c r="AA496" s="133">
        <v>0</v>
      </c>
      <c r="AB496" s="17">
        <v>0</v>
      </c>
      <c r="AC496" s="17">
        <v>0</v>
      </c>
      <c r="AD496" s="133">
        <v>0</v>
      </c>
      <c r="AE496" s="133">
        <v>0</v>
      </c>
      <c r="AF496" s="17">
        <v>0</v>
      </c>
      <c r="AG496" s="133">
        <v>0</v>
      </c>
      <c r="AH496" s="17">
        <v>0</v>
      </c>
      <c r="AI496" s="133">
        <v>0</v>
      </c>
      <c r="AJ496" s="133">
        <v>0</v>
      </c>
      <c r="AK496" s="17">
        <v>0</v>
      </c>
      <c r="AL496" s="137">
        <v>0</v>
      </c>
      <c r="AM496" s="263"/>
      <c r="AN496" s="89"/>
      <c r="AO496" s="507"/>
      <c r="AP496" s="262"/>
      <c r="AQ496" s="133" t="s">
        <v>271</v>
      </c>
      <c r="AR496" s="188">
        <v>100</v>
      </c>
      <c r="AS496" s="171"/>
      <c r="AT496" s="171" t="str">
        <f t="shared" si="41"/>
        <v>400</v>
      </c>
      <c r="AU496" s="255">
        <f t="shared" si="42"/>
        <v>22.222222222222221</v>
      </c>
      <c r="AV496" s="172">
        <v>100</v>
      </c>
      <c r="AW496" s="257">
        <v>7</v>
      </c>
      <c r="AX496" s="258">
        <v>21</v>
      </c>
      <c r="AY496" s="258">
        <v>40</v>
      </c>
      <c r="AZ496" s="261"/>
      <c r="BA496" s="261"/>
      <c r="BB496" s="751" t="s">
        <v>2528</v>
      </c>
      <c r="BC496" s="176"/>
      <c r="BD496" s="179"/>
      <c r="BE496" s="179"/>
      <c r="BF496" s="178"/>
      <c r="BG496" s="27"/>
      <c r="BH496" s="55"/>
    </row>
    <row r="497" spans="1:60" ht="16.5" customHeight="1">
      <c r="A497" s="95">
        <v>496</v>
      </c>
      <c r="B497" s="96" t="s">
        <v>1231</v>
      </c>
      <c r="C497" s="73" t="s">
        <v>2650</v>
      </c>
      <c r="D497" s="257" t="s">
        <v>549</v>
      </c>
      <c r="E497" s="459" t="s">
        <v>3377</v>
      </c>
      <c r="F497" s="258">
        <v>1964</v>
      </c>
      <c r="G497" s="171">
        <v>164</v>
      </c>
      <c r="H497" s="57"/>
      <c r="I497" s="173" t="s">
        <v>2565</v>
      </c>
      <c r="J497" s="508">
        <v>0.753</v>
      </c>
      <c r="K497" s="44">
        <v>4.3479999999999999</v>
      </c>
      <c r="L497" s="169"/>
      <c r="M497" s="506">
        <v>368</v>
      </c>
      <c r="N497" s="65"/>
      <c r="O497" s="106" t="s">
        <v>120</v>
      </c>
      <c r="P497" s="511"/>
      <c r="Q497" s="510" t="s">
        <v>3454</v>
      </c>
      <c r="R497" s="506" t="s">
        <v>2308</v>
      </c>
      <c r="S497" s="94"/>
      <c r="T497" s="65"/>
      <c r="U497" s="65" t="s">
        <v>2308</v>
      </c>
      <c r="V497" s="131">
        <v>0</v>
      </c>
      <c r="W497" s="129">
        <v>0</v>
      </c>
      <c r="X497" s="120">
        <v>0</v>
      </c>
      <c r="Y497" s="120">
        <v>0</v>
      </c>
      <c r="Z497" s="120">
        <v>0</v>
      </c>
      <c r="AA497" s="133">
        <v>0</v>
      </c>
      <c r="AB497" s="17">
        <v>0</v>
      </c>
      <c r="AC497" s="17">
        <v>0</v>
      </c>
      <c r="AD497" s="133">
        <v>0</v>
      </c>
      <c r="AE497" s="133">
        <v>0</v>
      </c>
      <c r="AF497" s="17">
        <v>0</v>
      </c>
      <c r="AG497" s="133">
        <v>0</v>
      </c>
      <c r="AH497" s="17">
        <v>0</v>
      </c>
      <c r="AI497" s="133">
        <v>0</v>
      </c>
      <c r="AJ497" s="133">
        <v>0</v>
      </c>
      <c r="AK497" s="17">
        <v>0</v>
      </c>
      <c r="AL497" s="137">
        <v>0</v>
      </c>
      <c r="AM497" s="263"/>
      <c r="AN497" s="89"/>
      <c r="AO497" s="507"/>
      <c r="AP497" s="262"/>
      <c r="AQ497" s="133" t="s">
        <v>271</v>
      </c>
      <c r="AR497" s="188">
        <v>100</v>
      </c>
      <c r="AS497" s="171"/>
      <c r="AT497" s="171" t="str">
        <f t="shared" si="41"/>
        <v>400</v>
      </c>
      <c r="AU497" s="255">
        <f t="shared" si="42"/>
        <v>22.222222222222221</v>
      </c>
      <c r="AV497" s="172">
        <v>100</v>
      </c>
      <c r="AW497" s="257">
        <v>7</v>
      </c>
      <c r="AX497" s="258">
        <v>21</v>
      </c>
      <c r="AY497" s="258">
        <v>40</v>
      </c>
      <c r="AZ497" s="261"/>
      <c r="BA497" s="261"/>
      <c r="BB497" s="751" t="s">
        <v>2528</v>
      </c>
      <c r="BC497" s="176"/>
      <c r="BD497" s="179"/>
      <c r="BE497" s="179"/>
      <c r="BF497" s="178"/>
      <c r="BG497" s="27"/>
      <c r="BH497" s="55"/>
    </row>
    <row r="498" spans="1:60" ht="16.5" customHeight="1">
      <c r="A498" s="95">
        <v>497</v>
      </c>
      <c r="B498" s="96" t="s">
        <v>1230</v>
      </c>
      <c r="C498" s="73" t="s">
        <v>2650</v>
      </c>
      <c r="D498" s="257" t="s">
        <v>549</v>
      </c>
      <c r="E498" s="459" t="s">
        <v>3377</v>
      </c>
      <c r="F498" s="258">
        <v>1964</v>
      </c>
      <c r="G498" s="171">
        <v>164</v>
      </c>
      <c r="H498" s="57"/>
      <c r="I498" s="173" t="s">
        <v>2565</v>
      </c>
      <c r="J498" s="508">
        <v>0.35099999999999998</v>
      </c>
      <c r="K498" s="44">
        <v>3.1080000000000001</v>
      </c>
      <c r="L498" s="169"/>
      <c r="M498" s="506">
        <v>547</v>
      </c>
      <c r="N498" s="65"/>
      <c r="O498" s="106" t="s">
        <v>120</v>
      </c>
      <c r="P498" s="511"/>
      <c r="Q498" s="510" t="s">
        <v>3454</v>
      </c>
      <c r="R498" s="506" t="s">
        <v>2308</v>
      </c>
      <c r="S498" s="94"/>
      <c r="T498" s="65"/>
      <c r="U498" s="65" t="s">
        <v>2308</v>
      </c>
      <c r="V498" s="131">
        <v>0</v>
      </c>
      <c r="W498" s="129">
        <v>0</v>
      </c>
      <c r="X498" s="120">
        <v>0</v>
      </c>
      <c r="Y498" s="120">
        <v>0</v>
      </c>
      <c r="Z498" s="120">
        <v>0</v>
      </c>
      <c r="AA498" s="133">
        <v>0</v>
      </c>
      <c r="AB498" s="17">
        <v>0</v>
      </c>
      <c r="AC498" s="17">
        <v>0</v>
      </c>
      <c r="AD498" s="133">
        <v>0</v>
      </c>
      <c r="AE498" s="133">
        <v>0</v>
      </c>
      <c r="AF498" s="17">
        <v>0</v>
      </c>
      <c r="AG498" s="133">
        <v>0</v>
      </c>
      <c r="AH498" s="17">
        <v>0</v>
      </c>
      <c r="AI498" s="133">
        <v>0</v>
      </c>
      <c r="AJ498" s="133">
        <v>0</v>
      </c>
      <c r="AK498" s="17">
        <v>0</v>
      </c>
      <c r="AL498" s="137">
        <v>0</v>
      </c>
      <c r="AM498" s="263"/>
      <c r="AN498" s="89"/>
      <c r="AO498" s="507"/>
      <c r="AP498" s="262"/>
      <c r="AQ498" s="133" t="s">
        <v>271</v>
      </c>
      <c r="AR498" s="188">
        <v>100</v>
      </c>
      <c r="AS498" s="171"/>
      <c r="AT498" s="171" t="str">
        <f t="shared" si="41"/>
        <v>400</v>
      </c>
      <c r="AU498" s="255">
        <f t="shared" si="42"/>
        <v>22.222222222222221</v>
      </c>
      <c r="AV498" s="172">
        <v>100</v>
      </c>
      <c r="AW498" s="257">
        <v>7</v>
      </c>
      <c r="AX498" s="258">
        <v>21</v>
      </c>
      <c r="AY498" s="258">
        <v>40</v>
      </c>
      <c r="AZ498" s="261"/>
      <c r="BA498" s="261"/>
      <c r="BB498" s="751" t="s">
        <v>2528</v>
      </c>
      <c r="BC498" s="176"/>
      <c r="BD498" s="179"/>
      <c r="BE498" s="179"/>
      <c r="BF498" s="178"/>
      <c r="BG498" s="27"/>
      <c r="BH498" s="55"/>
    </row>
    <row r="499" spans="1:60" ht="16.5" customHeight="1">
      <c r="A499" s="95">
        <v>498</v>
      </c>
      <c r="B499" s="96" t="s">
        <v>1229</v>
      </c>
      <c r="C499" s="73" t="s">
        <v>2650</v>
      </c>
      <c r="D499" s="257" t="s">
        <v>549</v>
      </c>
      <c r="E499" s="459" t="s">
        <v>3377</v>
      </c>
      <c r="F499" s="258">
        <v>1964</v>
      </c>
      <c r="G499" s="171">
        <v>164</v>
      </c>
      <c r="H499" s="57"/>
      <c r="I499" s="173" t="s">
        <v>2565</v>
      </c>
      <c r="J499" s="508">
        <v>0.54400000000000004</v>
      </c>
      <c r="K499" s="44">
        <v>5.3520000000000003</v>
      </c>
      <c r="L499" s="169"/>
      <c r="M499" s="506">
        <v>349</v>
      </c>
      <c r="N499" s="65"/>
      <c r="O499" s="106" t="s">
        <v>120</v>
      </c>
      <c r="P499" s="511"/>
      <c r="Q499" s="510" t="s">
        <v>3454</v>
      </c>
      <c r="R499" s="506" t="s">
        <v>2308</v>
      </c>
      <c r="S499" s="94"/>
      <c r="T499" s="65"/>
      <c r="U499" s="65" t="s">
        <v>2308</v>
      </c>
      <c r="V499" s="131">
        <v>0</v>
      </c>
      <c r="W499" s="129">
        <v>0</v>
      </c>
      <c r="X499" s="120">
        <v>0</v>
      </c>
      <c r="Y499" s="120">
        <v>0</v>
      </c>
      <c r="Z499" s="120">
        <v>0</v>
      </c>
      <c r="AA499" s="133">
        <v>0</v>
      </c>
      <c r="AB499" s="17">
        <v>0</v>
      </c>
      <c r="AC499" s="17">
        <v>0</v>
      </c>
      <c r="AD499" s="133">
        <v>0</v>
      </c>
      <c r="AE499" s="133">
        <v>0</v>
      </c>
      <c r="AF499" s="17">
        <v>0</v>
      </c>
      <c r="AG499" s="133">
        <v>0</v>
      </c>
      <c r="AH499" s="17">
        <v>0</v>
      </c>
      <c r="AI499" s="133">
        <v>0</v>
      </c>
      <c r="AJ499" s="133">
        <v>0</v>
      </c>
      <c r="AK499" s="17">
        <v>0</v>
      </c>
      <c r="AL499" s="137">
        <v>0</v>
      </c>
      <c r="AM499" s="263"/>
      <c r="AN499" s="89"/>
      <c r="AO499" s="507"/>
      <c r="AP499" s="262"/>
      <c r="AQ499" s="133" t="s">
        <v>271</v>
      </c>
      <c r="AR499" s="188">
        <v>100</v>
      </c>
      <c r="AS499" s="171"/>
      <c r="AT499" s="171" t="str">
        <f t="shared" si="41"/>
        <v>400</v>
      </c>
      <c r="AU499" s="255">
        <f t="shared" si="42"/>
        <v>22.222222222222221</v>
      </c>
      <c r="AV499" s="172">
        <v>100</v>
      </c>
      <c r="AW499" s="257">
        <v>7</v>
      </c>
      <c r="AX499" s="258">
        <v>21</v>
      </c>
      <c r="AY499" s="258">
        <v>40</v>
      </c>
      <c r="AZ499" s="261"/>
      <c r="BA499" s="261"/>
      <c r="BB499" s="751" t="s">
        <v>2528</v>
      </c>
      <c r="BC499" s="176"/>
      <c r="BD499" s="179"/>
      <c r="BE499" s="179"/>
      <c r="BF499" s="178"/>
      <c r="BG499" s="27"/>
      <c r="BH499" s="55"/>
    </row>
    <row r="500" spans="1:60" ht="16.5" customHeight="1">
      <c r="A500" s="95">
        <v>499</v>
      </c>
      <c r="B500" s="96" t="s">
        <v>1228</v>
      </c>
      <c r="C500" s="73" t="s">
        <v>2650</v>
      </c>
      <c r="D500" s="257" t="s">
        <v>549</v>
      </c>
      <c r="E500" s="459" t="s">
        <v>3377</v>
      </c>
      <c r="F500" s="258">
        <v>1964</v>
      </c>
      <c r="G500" s="171">
        <v>164</v>
      </c>
      <c r="H500" s="57"/>
      <c r="I500" s="173" t="s">
        <v>2565</v>
      </c>
      <c r="J500" s="508">
        <v>0.74199999999999999</v>
      </c>
      <c r="K500" s="44">
        <v>7.5979999999999999</v>
      </c>
      <c r="L500" s="169"/>
      <c r="M500" s="506">
        <v>256</v>
      </c>
      <c r="N500" s="65"/>
      <c r="O500" s="106" t="s">
        <v>120</v>
      </c>
      <c r="P500" s="511"/>
      <c r="Q500" s="510" t="s">
        <v>3454</v>
      </c>
      <c r="R500" s="506" t="s">
        <v>2308</v>
      </c>
      <c r="S500" s="94"/>
      <c r="T500" s="65"/>
      <c r="U500" s="65" t="s">
        <v>2308</v>
      </c>
      <c r="V500" s="131">
        <v>0</v>
      </c>
      <c r="W500" s="129">
        <v>0</v>
      </c>
      <c r="X500" s="120">
        <v>0</v>
      </c>
      <c r="Y500" s="120">
        <v>0</v>
      </c>
      <c r="Z500" s="120">
        <v>0</v>
      </c>
      <c r="AA500" s="133">
        <v>0</v>
      </c>
      <c r="AB500" s="17">
        <v>0</v>
      </c>
      <c r="AC500" s="17">
        <v>0</v>
      </c>
      <c r="AD500" s="133">
        <v>0</v>
      </c>
      <c r="AE500" s="133">
        <v>0</v>
      </c>
      <c r="AF500" s="17">
        <v>0</v>
      </c>
      <c r="AG500" s="133">
        <v>0</v>
      </c>
      <c r="AH500" s="17">
        <v>0</v>
      </c>
      <c r="AI500" s="133">
        <v>0</v>
      </c>
      <c r="AJ500" s="133">
        <v>0</v>
      </c>
      <c r="AK500" s="17">
        <v>0</v>
      </c>
      <c r="AL500" s="137">
        <v>0</v>
      </c>
      <c r="AM500" s="263"/>
      <c r="AN500" s="89"/>
      <c r="AO500" s="507"/>
      <c r="AP500" s="262"/>
      <c r="AQ500" s="133" t="s">
        <v>271</v>
      </c>
      <c r="AR500" s="188">
        <v>100</v>
      </c>
      <c r="AS500" s="171"/>
      <c r="AT500" s="171" t="str">
        <f t="shared" si="41"/>
        <v>400</v>
      </c>
      <c r="AU500" s="255">
        <f t="shared" si="42"/>
        <v>22.222222222222221</v>
      </c>
      <c r="AV500" s="172">
        <v>100</v>
      </c>
      <c r="AW500" s="257">
        <v>7</v>
      </c>
      <c r="AX500" s="258">
        <v>21</v>
      </c>
      <c r="AY500" s="258">
        <v>40</v>
      </c>
      <c r="AZ500" s="261"/>
      <c r="BA500" s="261"/>
      <c r="BB500" s="751" t="s">
        <v>2528</v>
      </c>
      <c r="BC500" s="176"/>
      <c r="BD500" s="179"/>
      <c r="BE500" s="179"/>
      <c r="BF500" s="178"/>
      <c r="BG500" s="27"/>
      <c r="BH500" s="55"/>
    </row>
    <row r="501" spans="1:60" ht="16.5" customHeight="1">
      <c r="A501" s="95">
        <v>500</v>
      </c>
      <c r="B501" s="96" t="s">
        <v>1227</v>
      </c>
      <c r="C501" s="73" t="s">
        <v>2650</v>
      </c>
      <c r="D501" s="257" t="s">
        <v>549</v>
      </c>
      <c r="E501" s="459" t="s">
        <v>3377</v>
      </c>
      <c r="F501" s="258">
        <v>1964</v>
      </c>
      <c r="G501" s="171">
        <v>164</v>
      </c>
      <c r="H501" s="57"/>
      <c r="I501" s="173" t="s">
        <v>2565</v>
      </c>
      <c r="J501" s="508">
        <v>0.48499999999999999</v>
      </c>
      <c r="K501" s="44">
        <v>2.0920000000000001</v>
      </c>
      <c r="L501" s="169"/>
      <c r="M501" s="506">
        <v>557</v>
      </c>
      <c r="N501" s="65"/>
      <c r="O501" s="106" t="s">
        <v>120</v>
      </c>
      <c r="P501" s="511"/>
      <c r="Q501" s="510" t="s">
        <v>3454</v>
      </c>
      <c r="R501" s="506" t="s">
        <v>2308</v>
      </c>
      <c r="S501" s="94"/>
      <c r="T501" s="65"/>
      <c r="U501" s="65" t="s">
        <v>2308</v>
      </c>
      <c r="V501" s="131">
        <v>0</v>
      </c>
      <c r="W501" s="129">
        <f>239/557*100</f>
        <v>42.908438061041295</v>
      </c>
      <c r="X501" s="120">
        <v>0</v>
      </c>
      <c r="Y501" s="120">
        <v>0</v>
      </c>
      <c r="Z501" s="120">
        <v>0</v>
      </c>
      <c r="AA501" s="133">
        <v>0</v>
      </c>
      <c r="AB501" s="17">
        <v>0</v>
      </c>
      <c r="AC501" s="17">
        <v>0</v>
      </c>
      <c r="AD501" s="133">
        <v>0</v>
      </c>
      <c r="AE501" s="133">
        <v>0</v>
      </c>
      <c r="AF501" s="17">
        <v>0</v>
      </c>
      <c r="AG501" s="133">
        <v>0</v>
      </c>
      <c r="AH501" s="17">
        <v>0</v>
      </c>
      <c r="AI501" s="133">
        <v>0</v>
      </c>
      <c r="AJ501" s="133">
        <v>0</v>
      </c>
      <c r="AK501" s="17">
        <v>0</v>
      </c>
      <c r="AL501" s="137">
        <v>0</v>
      </c>
      <c r="AM501" s="263"/>
      <c r="AN501" s="89"/>
      <c r="AO501" s="507"/>
      <c r="AP501" s="262"/>
      <c r="AQ501" s="133" t="s">
        <v>271</v>
      </c>
      <c r="AR501" s="188">
        <v>100</v>
      </c>
      <c r="AS501" s="171"/>
      <c r="AT501" s="171" t="str">
        <f t="shared" si="41"/>
        <v>400</v>
      </c>
      <c r="AU501" s="255">
        <f t="shared" si="42"/>
        <v>22.222222222222221</v>
      </c>
      <c r="AV501" s="172">
        <v>100</v>
      </c>
      <c r="AW501" s="257">
        <v>7</v>
      </c>
      <c r="AX501" s="258">
        <v>21</v>
      </c>
      <c r="AY501" s="258">
        <v>40</v>
      </c>
      <c r="AZ501" s="261"/>
      <c r="BA501" s="261"/>
      <c r="BB501" s="751" t="s">
        <v>2528</v>
      </c>
      <c r="BC501" s="176"/>
      <c r="BD501" s="179"/>
      <c r="BE501" s="179"/>
      <c r="BF501" s="178"/>
      <c r="BG501" s="27"/>
      <c r="BH501" s="55"/>
    </row>
    <row r="502" spans="1:60" ht="16.5" customHeight="1">
      <c r="A502" s="95">
        <v>501</v>
      </c>
      <c r="B502" s="96" t="s">
        <v>1226</v>
      </c>
      <c r="C502" s="73" t="s">
        <v>2650</v>
      </c>
      <c r="D502" s="257" t="s">
        <v>549</v>
      </c>
      <c r="E502" s="459" t="s">
        <v>3377</v>
      </c>
      <c r="F502" s="258">
        <v>1964</v>
      </c>
      <c r="G502" s="171">
        <v>164</v>
      </c>
      <c r="H502" s="57"/>
      <c r="I502" s="173" t="s">
        <v>2565</v>
      </c>
      <c r="J502" s="508">
        <v>0.71299999999999997</v>
      </c>
      <c r="K502" s="513">
        <v>4.18</v>
      </c>
      <c r="L502" s="169"/>
      <c r="M502" s="506">
        <v>355</v>
      </c>
      <c r="N502" s="506"/>
      <c r="O502" s="509" t="s">
        <v>120</v>
      </c>
      <c r="P502" s="92"/>
      <c r="Q502" s="510" t="s">
        <v>3454</v>
      </c>
      <c r="R502" s="65" t="s">
        <v>2308</v>
      </c>
      <c r="S502" s="507"/>
      <c r="T502" s="506"/>
      <c r="U502" s="506" t="s">
        <v>2308</v>
      </c>
      <c r="V502" s="131">
        <v>0</v>
      </c>
      <c r="W502" s="129">
        <f>152/355*100</f>
        <v>42.816901408450704</v>
      </c>
      <c r="X502" s="120">
        <v>0</v>
      </c>
      <c r="Y502" s="120">
        <v>0</v>
      </c>
      <c r="Z502" s="120">
        <v>0</v>
      </c>
      <c r="AA502" s="133">
        <v>0</v>
      </c>
      <c r="AB502" s="17">
        <v>0</v>
      </c>
      <c r="AC502" s="17">
        <v>0</v>
      </c>
      <c r="AD502" s="133">
        <v>0</v>
      </c>
      <c r="AE502" s="133">
        <v>0</v>
      </c>
      <c r="AF502" s="17">
        <v>0</v>
      </c>
      <c r="AG502" s="133">
        <v>0</v>
      </c>
      <c r="AH502" s="17">
        <v>0</v>
      </c>
      <c r="AI502" s="133">
        <v>0</v>
      </c>
      <c r="AJ502" s="133">
        <v>0</v>
      </c>
      <c r="AK502" s="17">
        <v>0</v>
      </c>
      <c r="AL502" s="137">
        <v>0</v>
      </c>
      <c r="AM502" s="263"/>
      <c r="AN502" s="89"/>
      <c r="AO502" s="507"/>
      <c r="AP502" s="262"/>
      <c r="AQ502" s="133" t="s">
        <v>271</v>
      </c>
      <c r="AR502" s="188">
        <v>100</v>
      </c>
      <c r="AS502" s="171"/>
      <c r="AT502" s="171" t="str">
        <f t="shared" si="41"/>
        <v>400</v>
      </c>
      <c r="AU502" s="255">
        <f t="shared" si="42"/>
        <v>22.222222222222221</v>
      </c>
      <c r="AV502" s="172">
        <v>100</v>
      </c>
      <c r="AW502" s="257">
        <v>7</v>
      </c>
      <c r="AX502" s="258">
        <v>21</v>
      </c>
      <c r="AY502" s="258">
        <v>40</v>
      </c>
      <c r="AZ502" s="261"/>
      <c r="BA502" s="261"/>
      <c r="BB502" s="751" t="s">
        <v>2528</v>
      </c>
      <c r="BC502" s="176"/>
      <c r="BD502" s="179"/>
      <c r="BE502" s="179"/>
      <c r="BF502" s="178"/>
      <c r="BG502" s="27"/>
      <c r="BH502" s="55"/>
    </row>
    <row r="503" spans="1:60" ht="16.5" customHeight="1">
      <c r="A503" s="95">
        <v>502</v>
      </c>
      <c r="B503" s="96" t="s">
        <v>1225</v>
      </c>
      <c r="C503" s="73" t="s">
        <v>2650</v>
      </c>
      <c r="D503" s="257" t="s">
        <v>549</v>
      </c>
      <c r="E503" s="459" t="s">
        <v>3377</v>
      </c>
      <c r="F503" s="258">
        <v>1964</v>
      </c>
      <c r="G503" s="171">
        <v>164</v>
      </c>
      <c r="H503" s="57"/>
      <c r="I503" s="173" t="s">
        <v>2565</v>
      </c>
      <c r="J503" s="508">
        <v>1.0149999999999999</v>
      </c>
      <c r="K503" s="513">
        <v>6.1310000000000002</v>
      </c>
      <c r="L503" s="169"/>
      <c r="M503" s="506">
        <v>259</v>
      </c>
      <c r="N503" s="506"/>
      <c r="O503" s="509" t="s">
        <v>120</v>
      </c>
      <c r="P503" s="92"/>
      <c r="Q503" s="510" t="s">
        <v>3454</v>
      </c>
      <c r="R503" s="65" t="s">
        <v>2308</v>
      </c>
      <c r="S503" s="507"/>
      <c r="T503" s="506"/>
      <c r="U503" s="506" t="s">
        <v>2308</v>
      </c>
      <c r="V503" s="131">
        <v>0</v>
      </c>
      <c r="W503" s="129">
        <f>110/259*100</f>
        <v>42.471042471042466</v>
      </c>
      <c r="X503" s="120">
        <v>0</v>
      </c>
      <c r="Y503" s="120">
        <v>0</v>
      </c>
      <c r="Z503" s="120">
        <v>0</v>
      </c>
      <c r="AA503" s="133">
        <v>0</v>
      </c>
      <c r="AB503" s="17">
        <v>0</v>
      </c>
      <c r="AC503" s="17">
        <v>0</v>
      </c>
      <c r="AD503" s="133">
        <v>0</v>
      </c>
      <c r="AE503" s="133">
        <v>0</v>
      </c>
      <c r="AF503" s="17">
        <v>0</v>
      </c>
      <c r="AG503" s="133">
        <v>0</v>
      </c>
      <c r="AH503" s="17">
        <v>0</v>
      </c>
      <c r="AI503" s="133">
        <v>0</v>
      </c>
      <c r="AJ503" s="133">
        <v>0</v>
      </c>
      <c r="AK503" s="17">
        <v>0</v>
      </c>
      <c r="AL503" s="137">
        <v>0</v>
      </c>
      <c r="AM503" s="263"/>
      <c r="AN503" s="89"/>
      <c r="AO503" s="507"/>
      <c r="AP503" s="262"/>
      <c r="AQ503" s="133" t="s">
        <v>271</v>
      </c>
      <c r="AR503" s="188">
        <v>100</v>
      </c>
      <c r="AS503" s="171"/>
      <c r="AT503" s="171" t="str">
        <f t="shared" si="41"/>
        <v>400</v>
      </c>
      <c r="AU503" s="255">
        <f t="shared" si="42"/>
        <v>22.222222222222221</v>
      </c>
      <c r="AV503" s="172">
        <v>100</v>
      </c>
      <c r="AW503" s="257">
        <v>7</v>
      </c>
      <c r="AX503" s="258">
        <v>21</v>
      </c>
      <c r="AY503" s="258">
        <v>40</v>
      </c>
      <c r="AZ503" s="261"/>
      <c r="BA503" s="261"/>
      <c r="BB503" s="751" t="s">
        <v>2528</v>
      </c>
      <c r="BC503" s="176"/>
      <c r="BD503" s="179"/>
      <c r="BE503" s="179"/>
      <c r="BF503" s="178"/>
      <c r="BG503" s="27"/>
      <c r="BH503" s="55"/>
    </row>
    <row r="504" spans="1:60" ht="16.5" customHeight="1">
      <c r="A504" s="95">
        <v>503</v>
      </c>
      <c r="B504" s="96" t="s">
        <v>1224</v>
      </c>
      <c r="C504" s="73" t="s">
        <v>2650</v>
      </c>
      <c r="D504" s="257" t="s">
        <v>549</v>
      </c>
      <c r="E504" s="459" t="s">
        <v>3377</v>
      </c>
      <c r="F504" s="258">
        <v>1964</v>
      </c>
      <c r="G504" s="171">
        <v>164</v>
      </c>
      <c r="H504" s="57"/>
      <c r="I504" s="173" t="s">
        <v>2565</v>
      </c>
      <c r="J504" s="508">
        <v>0.48699999999999999</v>
      </c>
      <c r="K504" s="513">
        <v>4.3920000000000003</v>
      </c>
      <c r="L504" s="169"/>
      <c r="M504" s="506">
        <v>378</v>
      </c>
      <c r="N504" s="506"/>
      <c r="O504" s="509" t="s">
        <v>120</v>
      </c>
      <c r="P504" s="92"/>
      <c r="Q504" s="510" t="s">
        <v>3454</v>
      </c>
      <c r="R504" s="65" t="s">
        <v>2308</v>
      </c>
      <c r="S504" s="507"/>
      <c r="T504" s="506"/>
      <c r="U504" s="506" t="s">
        <v>2308</v>
      </c>
      <c r="V504" s="131">
        <v>0</v>
      </c>
      <c r="W504" s="129">
        <f>162/378*100</f>
        <v>42.857142857142854</v>
      </c>
      <c r="X504" s="120">
        <v>0</v>
      </c>
      <c r="Y504" s="120">
        <v>0</v>
      </c>
      <c r="Z504" s="120">
        <v>0</v>
      </c>
      <c r="AA504" s="133">
        <v>0</v>
      </c>
      <c r="AB504" s="17">
        <v>0</v>
      </c>
      <c r="AC504" s="17">
        <v>0</v>
      </c>
      <c r="AD504" s="133">
        <v>0</v>
      </c>
      <c r="AE504" s="133">
        <v>0</v>
      </c>
      <c r="AF504" s="17">
        <v>0</v>
      </c>
      <c r="AG504" s="133">
        <v>0</v>
      </c>
      <c r="AH504" s="17">
        <v>0</v>
      </c>
      <c r="AI504" s="133">
        <v>0</v>
      </c>
      <c r="AJ504" s="133">
        <v>0</v>
      </c>
      <c r="AK504" s="17">
        <v>0</v>
      </c>
      <c r="AL504" s="137">
        <v>0</v>
      </c>
      <c r="AM504" s="263"/>
      <c r="AN504" s="89"/>
      <c r="AO504" s="507"/>
      <c r="AP504" s="262"/>
      <c r="AQ504" s="133" t="s">
        <v>271</v>
      </c>
      <c r="AR504" s="188">
        <v>100</v>
      </c>
      <c r="AS504" s="171"/>
      <c r="AT504" s="171" t="str">
        <f t="shared" si="41"/>
        <v>400</v>
      </c>
      <c r="AU504" s="255">
        <f t="shared" si="42"/>
        <v>22.222222222222221</v>
      </c>
      <c r="AV504" s="172">
        <v>100</v>
      </c>
      <c r="AW504" s="257">
        <v>7</v>
      </c>
      <c r="AX504" s="258">
        <v>21</v>
      </c>
      <c r="AY504" s="258">
        <v>40</v>
      </c>
      <c r="AZ504" s="261"/>
      <c r="BA504" s="261"/>
      <c r="BB504" s="751" t="s">
        <v>2528</v>
      </c>
      <c r="BC504" s="176"/>
      <c r="BD504" s="179"/>
      <c r="BE504" s="179"/>
      <c r="BF504" s="178"/>
      <c r="BG504" s="27"/>
      <c r="BH504" s="55"/>
    </row>
    <row r="505" spans="1:60" ht="16.5" customHeight="1">
      <c r="A505" s="95">
        <v>504</v>
      </c>
      <c r="B505" s="96" t="s">
        <v>1223</v>
      </c>
      <c r="C505" s="73" t="s">
        <v>2650</v>
      </c>
      <c r="D505" s="257" t="s">
        <v>549</v>
      </c>
      <c r="E505" s="459" t="s">
        <v>3377</v>
      </c>
      <c r="F505" s="258">
        <v>1964</v>
      </c>
      <c r="G505" s="171">
        <v>164</v>
      </c>
      <c r="H505" s="57"/>
      <c r="I505" s="173" t="s">
        <v>2565</v>
      </c>
      <c r="J505" s="508">
        <v>0.71199999999999997</v>
      </c>
      <c r="K505" s="513">
        <v>7.7080000000000002</v>
      </c>
      <c r="L505" s="169"/>
      <c r="M505" s="506">
        <v>243</v>
      </c>
      <c r="N505" s="506"/>
      <c r="O505" s="509" t="s">
        <v>120</v>
      </c>
      <c r="P505" s="92"/>
      <c r="Q505" s="510" t="s">
        <v>3454</v>
      </c>
      <c r="R505" s="65" t="s">
        <v>2308</v>
      </c>
      <c r="S505" s="507"/>
      <c r="T505" s="506"/>
      <c r="U505" s="506" t="s">
        <v>2308</v>
      </c>
      <c r="V505" s="131">
        <v>0</v>
      </c>
      <c r="W505" s="129">
        <f>103/243*100</f>
        <v>42.386831275720169</v>
      </c>
      <c r="X505" s="120">
        <v>0</v>
      </c>
      <c r="Y505" s="120">
        <v>0</v>
      </c>
      <c r="Z505" s="120">
        <v>0</v>
      </c>
      <c r="AA505" s="133">
        <v>0</v>
      </c>
      <c r="AB505" s="17">
        <v>0</v>
      </c>
      <c r="AC505" s="17">
        <v>0</v>
      </c>
      <c r="AD505" s="133">
        <v>0</v>
      </c>
      <c r="AE505" s="133">
        <v>0</v>
      </c>
      <c r="AF505" s="17">
        <v>0</v>
      </c>
      <c r="AG505" s="133">
        <v>0</v>
      </c>
      <c r="AH505" s="17">
        <v>0</v>
      </c>
      <c r="AI505" s="133">
        <v>0</v>
      </c>
      <c r="AJ505" s="133">
        <v>0</v>
      </c>
      <c r="AK505" s="17">
        <v>0</v>
      </c>
      <c r="AL505" s="137">
        <v>0</v>
      </c>
      <c r="AM505" s="263"/>
      <c r="AN505" s="89"/>
      <c r="AO505" s="507"/>
      <c r="AP505" s="262"/>
      <c r="AQ505" s="133" t="s">
        <v>271</v>
      </c>
      <c r="AR505" s="188">
        <v>100</v>
      </c>
      <c r="AS505" s="171"/>
      <c r="AT505" s="171" t="str">
        <f t="shared" si="41"/>
        <v>400</v>
      </c>
      <c r="AU505" s="255">
        <f t="shared" si="42"/>
        <v>22.222222222222221</v>
      </c>
      <c r="AV505" s="172">
        <v>100</v>
      </c>
      <c r="AW505" s="257">
        <v>7</v>
      </c>
      <c r="AX505" s="258">
        <v>21</v>
      </c>
      <c r="AY505" s="258">
        <v>40</v>
      </c>
      <c r="AZ505" s="261"/>
      <c r="BA505" s="261"/>
      <c r="BB505" s="751" t="s">
        <v>2528</v>
      </c>
      <c r="BC505" s="176"/>
      <c r="BD505" s="179"/>
      <c r="BE505" s="179"/>
      <c r="BF505" s="178"/>
      <c r="BG505" s="27"/>
      <c r="BH505" s="55"/>
    </row>
    <row r="506" spans="1:60" ht="16.5" customHeight="1">
      <c r="A506" s="95">
        <v>505</v>
      </c>
      <c r="B506" s="96" t="s">
        <v>1222</v>
      </c>
      <c r="C506" s="73" t="s">
        <v>2650</v>
      </c>
      <c r="D506" s="257" t="s">
        <v>549</v>
      </c>
      <c r="E506" s="459" t="s">
        <v>3377</v>
      </c>
      <c r="F506" s="258">
        <v>1964</v>
      </c>
      <c r="G506" s="171">
        <v>164</v>
      </c>
      <c r="H506" s="57"/>
      <c r="I506" s="173" t="s">
        <v>2565</v>
      </c>
      <c r="J506" s="508">
        <v>1.0169999999999999</v>
      </c>
      <c r="K506" s="513">
        <v>11.08</v>
      </c>
      <c r="L506" s="169"/>
      <c r="M506" s="506">
        <v>176</v>
      </c>
      <c r="N506" s="506"/>
      <c r="O506" s="509" t="s">
        <v>120</v>
      </c>
      <c r="P506" s="92"/>
      <c r="Q506" s="510" t="s">
        <v>3454</v>
      </c>
      <c r="R506" s="65" t="s">
        <v>2308</v>
      </c>
      <c r="S506" s="507"/>
      <c r="T506" s="506"/>
      <c r="U506" s="506" t="s">
        <v>2308</v>
      </c>
      <c r="V506" s="131">
        <v>0</v>
      </c>
      <c r="W506" s="129">
        <f>74/176*100</f>
        <v>42.045454545454547</v>
      </c>
      <c r="X506" s="120">
        <v>0</v>
      </c>
      <c r="Y506" s="120">
        <v>0</v>
      </c>
      <c r="Z506" s="120">
        <v>0</v>
      </c>
      <c r="AA506" s="133">
        <v>0</v>
      </c>
      <c r="AB506" s="17">
        <v>0</v>
      </c>
      <c r="AC506" s="17">
        <v>0</v>
      </c>
      <c r="AD506" s="133">
        <v>0</v>
      </c>
      <c r="AE506" s="133">
        <v>0</v>
      </c>
      <c r="AF506" s="17">
        <v>0</v>
      </c>
      <c r="AG506" s="133">
        <v>0</v>
      </c>
      <c r="AH506" s="17">
        <v>0</v>
      </c>
      <c r="AI506" s="133">
        <v>0</v>
      </c>
      <c r="AJ506" s="133">
        <v>0</v>
      </c>
      <c r="AK506" s="17">
        <v>0</v>
      </c>
      <c r="AL506" s="137">
        <v>0</v>
      </c>
      <c r="AM506" s="263"/>
      <c r="AN506" s="89"/>
      <c r="AO506" s="507"/>
      <c r="AP506" s="262"/>
      <c r="AQ506" s="133" t="s">
        <v>271</v>
      </c>
      <c r="AR506" s="188">
        <v>100</v>
      </c>
      <c r="AS506" s="171"/>
      <c r="AT506" s="171" t="str">
        <f t="shared" si="41"/>
        <v>400</v>
      </c>
      <c r="AU506" s="255">
        <f t="shared" si="42"/>
        <v>22.222222222222221</v>
      </c>
      <c r="AV506" s="172">
        <v>100</v>
      </c>
      <c r="AW506" s="257">
        <v>7</v>
      </c>
      <c r="AX506" s="258">
        <v>21</v>
      </c>
      <c r="AY506" s="258">
        <v>40</v>
      </c>
      <c r="AZ506" s="261"/>
      <c r="BA506" s="261"/>
      <c r="BB506" s="751" t="s">
        <v>2528</v>
      </c>
      <c r="BC506" s="176"/>
      <c r="BD506" s="179"/>
      <c r="BE506" s="179"/>
      <c r="BF506" s="178"/>
      <c r="BG506" s="27"/>
      <c r="BH506" s="55"/>
    </row>
    <row r="507" spans="1:60" ht="16.5" customHeight="1">
      <c r="A507" s="95">
        <v>506</v>
      </c>
      <c r="B507" s="96" t="s">
        <v>1221</v>
      </c>
      <c r="C507" s="73" t="s">
        <v>2650</v>
      </c>
      <c r="D507" s="257" t="s">
        <v>549</v>
      </c>
      <c r="E507" s="459" t="s">
        <v>3377</v>
      </c>
      <c r="F507" s="258">
        <v>1964</v>
      </c>
      <c r="G507" s="171">
        <v>164</v>
      </c>
      <c r="H507" s="57"/>
      <c r="I507" s="173" t="s">
        <v>2565</v>
      </c>
      <c r="J507" s="508">
        <v>0.66400000000000003</v>
      </c>
      <c r="K507" s="513">
        <v>2.7290000000000001</v>
      </c>
      <c r="L507" s="169"/>
      <c r="M507" s="506">
        <v>402</v>
      </c>
      <c r="N507" s="506"/>
      <c r="O507" s="509" t="s">
        <v>120</v>
      </c>
      <c r="P507" s="92"/>
      <c r="Q507" s="510" t="s">
        <v>3454</v>
      </c>
      <c r="R507" s="65" t="s">
        <v>2308</v>
      </c>
      <c r="S507" s="507"/>
      <c r="T507" s="506"/>
      <c r="U507" s="506" t="s">
        <v>2308</v>
      </c>
      <c r="V507" s="131">
        <v>0</v>
      </c>
      <c r="W507" s="129">
        <v>100</v>
      </c>
      <c r="X507" s="120">
        <v>0</v>
      </c>
      <c r="Y507" s="120">
        <v>0</v>
      </c>
      <c r="Z507" s="120">
        <v>0</v>
      </c>
      <c r="AA507" s="133">
        <v>0</v>
      </c>
      <c r="AB507" s="17">
        <v>0</v>
      </c>
      <c r="AC507" s="17">
        <v>0</v>
      </c>
      <c r="AD507" s="133">
        <v>0</v>
      </c>
      <c r="AE507" s="133">
        <v>0</v>
      </c>
      <c r="AF507" s="17">
        <v>0</v>
      </c>
      <c r="AG507" s="133">
        <v>0</v>
      </c>
      <c r="AH507" s="17">
        <v>0</v>
      </c>
      <c r="AI507" s="133">
        <v>0</v>
      </c>
      <c r="AJ507" s="133">
        <v>0</v>
      </c>
      <c r="AK507" s="17">
        <v>0</v>
      </c>
      <c r="AL507" s="137">
        <v>0</v>
      </c>
      <c r="AM507" s="263"/>
      <c r="AN507" s="89"/>
      <c r="AO507" s="507"/>
      <c r="AP507" s="262"/>
      <c r="AQ507" s="133" t="s">
        <v>271</v>
      </c>
      <c r="AR507" s="188">
        <v>100</v>
      </c>
      <c r="AS507" s="171"/>
      <c r="AT507" s="171" t="str">
        <f t="shared" si="41"/>
        <v>400</v>
      </c>
      <c r="AU507" s="255">
        <f t="shared" si="42"/>
        <v>22.222222222222221</v>
      </c>
      <c r="AV507" s="172">
        <v>100</v>
      </c>
      <c r="AW507" s="257">
        <v>7</v>
      </c>
      <c r="AX507" s="258">
        <v>21</v>
      </c>
      <c r="AY507" s="258">
        <v>40</v>
      </c>
      <c r="AZ507" s="261"/>
      <c r="BA507" s="261"/>
      <c r="BB507" s="751" t="s">
        <v>2528</v>
      </c>
      <c r="BC507" s="176"/>
      <c r="BD507" s="179"/>
      <c r="BE507" s="179"/>
      <c r="BF507" s="178"/>
      <c r="BG507" s="27"/>
      <c r="BH507" s="55"/>
    </row>
    <row r="508" spans="1:60" ht="16.5" customHeight="1">
      <c r="A508" s="95">
        <v>507</v>
      </c>
      <c r="B508" s="96" t="s">
        <v>1220</v>
      </c>
      <c r="C508" s="73" t="s">
        <v>2650</v>
      </c>
      <c r="D508" s="257" t="s">
        <v>549</v>
      </c>
      <c r="E508" s="459" t="s">
        <v>3377</v>
      </c>
      <c r="F508" s="258">
        <v>1964</v>
      </c>
      <c r="G508" s="171">
        <v>164</v>
      </c>
      <c r="H508" s="57"/>
      <c r="I508" s="173" t="s">
        <v>2565</v>
      </c>
      <c r="J508" s="508">
        <v>0.92600000000000005</v>
      </c>
      <c r="K508" s="44">
        <v>5.694</v>
      </c>
      <c r="L508" s="169"/>
      <c r="M508" s="506">
        <v>258</v>
      </c>
      <c r="N508" s="65"/>
      <c r="O508" s="106" t="s">
        <v>120</v>
      </c>
      <c r="P508" s="511"/>
      <c r="Q508" s="510" t="s">
        <v>3454</v>
      </c>
      <c r="R508" s="506" t="s">
        <v>2308</v>
      </c>
      <c r="S508" s="94"/>
      <c r="T508" s="65"/>
      <c r="U508" s="65" t="s">
        <v>2308</v>
      </c>
      <c r="V508" s="131">
        <v>0</v>
      </c>
      <c r="W508" s="129">
        <v>100</v>
      </c>
      <c r="X508" s="120">
        <v>0</v>
      </c>
      <c r="Y508" s="120">
        <v>0</v>
      </c>
      <c r="Z508" s="120">
        <v>0</v>
      </c>
      <c r="AA508" s="133">
        <v>0</v>
      </c>
      <c r="AB508" s="17">
        <v>0</v>
      </c>
      <c r="AC508" s="17">
        <v>0</v>
      </c>
      <c r="AD508" s="133">
        <v>0</v>
      </c>
      <c r="AE508" s="133">
        <v>0</v>
      </c>
      <c r="AF508" s="17">
        <v>0</v>
      </c>
      <c r="AG508" s="133">
        <v>0</v>
      </c>
      <c r="AH508" s="17">
        <v>0</v>
      </c>
      <c r="AI508" s="133">
        <v>0</v>
      </c>
      <c r="AJ508" s="133">
        <v>0</v>
      </c>
      <c r="AK508" s="17">
        <v>0</v>
      </c>
      <c r="AL508" s="137">
        <v>0</v>
      </c>
      <c r="AM508" s="263"/>
      <c r="AN508" s="89"/>
      <c r="AO508" s="507"/>
      <c r="AP508" s="262"/>
      <c r="AQ508" s="133" t="s">
        <v>271</v>
      </c>
      <c r="AR508" s="188">
        <v>100</v>
      </c>
      <c r="AS508" s="171"/>
      <c r="AT508" s="171" t="str">
        <f t="shared" si="41"/>
        <v>400</v>
      </c>
      <c r="AU508" s="255">
        <f t="shared" si="42"/>
        <v>22.222222222222221</v>
      </c>
      <c r="AV508" s="172">
        <v>100</v>
      </c>
      <c r="AW508" s="257">
        <v>7</v>
      </c>
      <c r="AX508" s="258">
        <v>21</v>
      </c>
      <c r="AY508" s="258">
        <v>40</v>
      </c>
      <c r="AZ508" s="261"/>
      <c r="BA508" s="261"/>
      <c r="BB508" s="751" t="s">
        <v>2528</v>
      </c>
      <c r="BC508" s="176"/>
      <c r="BD508" s="179"/>
      <c r="BE508" s="179"/>
      <c r="BF508" s="178"/>
      <c r="BG508" s="27"/>
      <c r="BH508" s="55"/>
    </row>
    <row r="509" spans="1:60" ht="16.5" customHeight="1">
      <c r="A509" s="95">
        <v>508</v>
      </c>
      <c r="B509" s="96" t="s">
        <v>1219</v>
      </c>
      <c r="C509" s="73" t="s">
        <v>2650</v>
      </c>
      <c r="D509" s="257" t="s">
        <v>549</v>
      </c>
      <c r="E509" s="459" t="s">
        <v>3377</v>
      </c>
      <c r="F509" s="258">
        <v>1964</v>
      </c>
      <c r="G509" s="171">
        <v>164</v>
      </c>
      <c r="H509" s="57"/>
      <c r="I509" s="173" t="s">
        <v>2565</v>
      </c>
      <c r="J509" s="508">
        <v>1.335</v>
      </c>
      <c r="K509" s="44">
        <v>8.6590000000000007</v>
      </c>
      <c r="L509" s="169"/>
      <c r="M509" s="506">
        <v>185</v>
      </c>
      <c r="N509" s="65"/>
      <c r="O509" s="106" t="s">
        <v>120</v>
      </c>
      <c r="P509" s="511"/>
      <c r="Q509" s="510" t="s">
        <v>3454</v>
      </c>
      <c r="R509" s="506" t="s">
        <v>2308</v>
      </c>
      <c r="S509" s="94"/>
      <c r="T509" s="65"/>
      <c r="U509" s="65" t="s">
        <v>2308</v>
      </c>
      <c r="V509" s="131">
        <v>0</v>
      </c>
      <c r="W509" s="129">
        <v>100</v>
      </c>
      <c r="X509" s="120">
        <v>0</v>
      </c>
      <c r="Y509" s="120">
        <v>0</v>
      </c>
      <c r="Z509" s="120">
        <v>0</v>
      </c>
      <c r="AA509" s="133">
        <v>0</v>
      </c>
      <c r="AB509" s="17">
        <v>0</v>
      </c>
      <c r="AC509" s="17">
        <v>0</v>
      </c>
      <c r="AD509" s="133">
        <v>0</v>
      </c>
      <c r="AE509" s="133">
        <v>0</v>
      </c>
      <c r="AF509" s="17">
        <v>0</v>
      </c>
      <c r="AG509" s="133">
        <v>0</v>
      </c>
      <c r="AH509" s="17">
        <v>0</v>
      </c>
      <c r="AI509" s="133">
        <v>0</v>
      </c>
      <c r="AJ509" s="133">
        <v>0</v>
      </c>
      <c r="AK509" s="17">
        <v>0</v>
      </c>
      <c r="AL509" s="137">
        <v>0</v>
      </c>
      <c r="AM509" s="263"/>
      <c r="AN509" s="89"/>
      <c r="AO509" s="507"/>
      <c r="AP509" s="262"/>
      <c r="AQ509" s="133" t="s">
        <v>271</v>
      </c>
      <c r="AR509" s="188">
        <v>100</v>
      </c>
      <c r="AS509" s="171"/>
      <c r="AT509" s="171" t="str">
        <f t="shared" si="41"/>
        <v>400</v>
      </c>
      <c r="AU509" s="255">
        <f t="shared" si="42"/>
        <v>22.222222222222221</v>
      </c>
      <c r="AV509" s="172">
        <v>100</v>
      </c>
      <c r="AW509" s="257">
        <v>7</v>
      </c>
      <c r="AX509" s="258">
        <v>21</v>
      </c>
      <c r="AY509" s="258">
        <v>40</v>
      </c>
      <c r="AZ509" s="261"/>
      <c r="BA509" s="261"/>
      <c r="BB509" s="751" t="s">
        <v>2528</v>
      </c>
      <c r="BC509" s="176"/>
      <c r="BD509" s="179"/>
      <c r="BE509" s="179"/>
      <c r="BF509" s="178"/>
      <c r="BG509" s="27"/>
      <c r="BH509" s="55"/>
    </row>
    <row r="510" spans="1:60" ht="16.5" customHeight="1">
      <c r="A510" s="95">
        <v>509</v>
      </c>
      <c r="B510" s="96" t="s">
        <v>1218</v>
      </c>
      <c r="C510" s="73" t="s">
        <v>2650</v>
      </c>
      <c r="D510" s="257" t="s">
        <v>549</v>
      </c>
      <c r="E510" s="459" t="s">
        <v>3377</v>
      </c>
      <c r="F510" s="258">
        <v>1964</v>
      </c>
      <c r="G510" s="171">
        <v>164</v>
      </c>
      <c r="H510" s="57"/>
      <c r="I510" s="173" t="s">
        <v>2565</v>
      </c>
      <c r="J510" s="508">
        <v>0.66500000000000004</v>
      </c>
      <c r="K510" s="44">
        <v>5.9450000000000003</v>
      </c>
      <c r="L510" s="169"/>
      <c r="M510" s="506">
        <v>272</v>
      </c>
      <c r="N510" s="65"/>
      <c r="O510" s="106" t="s">
        <v>120</v>
      </c>
      <c r="P510" s="511"/>
      <c r="Q510" s="510" t="s">
        <v>3454</v>
      </c>
      <c r="R510" s="506" t="s">
        <v>2308</v>
      </c>
      <c r="S510" s="94"/>
      <c r="T510" s="65"/>
      <c r="U510" s="65" t="s">
        <v>2308</v>
      </c>
      <c r="V510" s="131">
        <v>0</v>
      </c>
      <c r="W510" s="129">
        <v>100</v>
      </c>
      <c r="X510" s="120">
        <v>0</v>
      </c>
      <c r="Y510" s="120">
        <v>0</v>
      </c>
      <c r="Z510" s="120">
        <v>0</v>
      </c>
      <c r="AA510" s="133">
        <v>0</v>
      </c>
      <c r="AB510" s="17">
        <v>0</v>
      </c>
      <c r="AC510" s="17">
        <v>0</v>
      </c>
      <c r="AD510" s="133">
        <v>0</v>
      </c>
      <c r="AE510" s="133">
        <v>0</v>
      </c>
      <c r="AF510" s="17">
        <v>0</v>
      </c>
      <c r="AG510" s="133">
        <v>0</v>
      </c>
      <c r="AH510" s="17">
        <v>0</v>
      </c>
      <c r="AI510" s="133">
        <v>0</v>
      </c>
      <c r="AJ510" s="133">
        <v>0</v>
      </c>
      <c r="AK510" s="17">
        <v>0</v>
      </c>
      <c r="AL510" s="137">
        <v>0</v>
      </c>
      <c r="AM510" s="263"/>
      <c r="AN510" s="89"/>
      <c r="AO510" s="507"/>
      <c r="AP510" s="262"/>
      <c r="AQ510" s="133" t="s">
        <v>271</v>
      </c>
      <c r="AR510" s="188">
        <v>100</v>
      </c>
      <c r="AS510" s="171"/>
      <c r="AT510" s="171" t="str">
        <f t="shared" si="41"/>
        <v>400</v>
      </c>
      <c r="AU510" s="255">
        <f t="shared" si="42"/>
        <v>22.222222222222221</v>
      </c>
      <c r="AV510" s="172">
        <v>100</v>
      </c>
      <c r="AW510" s="257">
        <v>7</v>
      </c>
      <c r="AX510" s="258">
        <v>21</v>
      </c>
      <c r="AY510" s="258">
        <v>40</v>
      </c>
      <c r="AZ510" s="261"/>
      <c r="BA510" s="261"/>
      <c r="BB510" s="751" t="s">
        <v>2528</v>
      </c>
      <c r="BC510" s="176"/>
      <c r="BD510" s="179"/>
      <c r="BE510" s="179"/>
      <c r="BF510" s="178"/>
      <c r="BG510" s="27"/>
      <c r="BH510" s="55"/>
    </row>
    <row r="511" spans="1:60" ht="16.5" customHeight="1">
      <c r="A511" s="95">
        <v>510</v>
      </c>
      <c r="B511" s="96" t="s">
        <v>1217</v>
      </c>
      <c r="C511" s="73" t="s">
        <v>2650</v>
      </c>
      <c r="D511" s="257" t="s">
        <v>549</v>
      </c>
      <c r="E511" s="459" t="s">
        <v>3377</v>
      </c>
      <c r="F511" s="258">
        <v>1964</v>
      </c>
      <c r="G511" s="171">
        <v>164</v>
      </c>
      <c r="H511" s="57"/>
      <c r="I511" s="173" t="s">
        <v>2565</v>
      </c>
      <c r="J511" s="508">
        <v>0.93600000000000005</v>
      </c>
      <c r="K511" s="44">
        <v>10.821</v>
      </c>
      <c r="L511" s="169"/>
      <c r="M511" s="506">
        <v>173</v>
      </c>
      <c r="N511" s="65"/>
      <c r="O511" s="106" t="s">
        <v>120</v>
      </c>
      <c r="P511" s="511"/>
      <c r="Q511" s="510" t="s">
        <v>3454</v>
      </c>
      <c r="R511" s="506" t="s">
        <v>2308</v>
      </c>
      <c r="S511" s="94"/>
      <c r="T511" s="65"/>
      <c r="U511" s="65" t="s">
        <v>2308</v>
      </c>
      <c r="V511" s="131">
        <v>0</v>
      </c>
      <c r="W511" s="129">
        <v>100</v>
      </c>
      <c r="X511" s="120">
        <v>0</v>
      </c>
      <c r="Y511" s="120">
        <v>0</v>
      </c>
      <c r="Z511" s="120">
        <v>0</v>
      </c>
      <c r="AA511" s="133">
        <v>0</v>
      </c>
      <c r="AB511" s="17">
        <v>0</v>
      </c>
      <c r="AC511" s="17">
        <v>0</v>
      </c>
      <c r="AD511" s="133">
        <v>0</v>
      </c>
      <c r="AE511" s="133">
        <v>0</v>
      </c>
      <c r="AF511" s="17">
        <v>0</v>
      </c>
      <c r="AG511" s="133">
        <v>0</v>
      </c>
      <c r="AH511" s="17">
        <v>0</v>
      </c>
      <c r="AI511" s="133">
        <v>0</v>
      </c>
      <c r="AJ511" s="133">
        <v>0</v>
      </c>
      <c r="AK511" s="17">
        <v>0</v>
      </c>
      <c r="AL511" s="137">
        <v>0</v>
      </c>
      <c r="AM511" s="263"/>
      <c r="AN511" s="89"/>
      <c r="AO511" s="507"/>
      <c r="AP511" s="262"/>
      <c r="AQ511" s="133" t="s">
        <v>271</v>
      </c>
      <c r="AR511" s="188">
        <v>100</v>
      </c>
      <c r="AS511" s="171"/>
      <c r="AT511" s="171" t="str">
        <f t="shared" si="41"/>
        <v>400</v>
      </c>
      <c r="AU511" s="255">
        <f t="shared" si="42"/>
        <v>22.222222222222221</v>
      </c>
      <c r="AV511" s="172">
        <v>100</v>
      </c>
      <c r="AW511" s="257">
        <v>7</v>
      </c>
      <c r="AX511" s="258">
        <v>21</v>
      </c>
      <c r="AY511" s="258">
        <v>40</v>
      </c>
      <c r="AZ511" s="261"/>
      <c r="BA511" s="261"/>
      <c r="BB511" s="751" t="s">
        <v>2528</v>
      </c>
      <c r="BC511" s="176"/>
      <c r="BD511" s="179"/>
      <c r="BE511" s="179"/>
      <c r="BF511" s="178"/>
      <c r="BG511" s="27"/>
      <c r="BH511" s="55"/>
    </row>
    <row r="512" spans="1:60" ht="16.5" customHeight="1">
      <c r="A512" s="95">
        <v>511</v>
      </c>
      <c r="B512" s="96" t="s">
        <v>1216</v>
      </c>
      <c r="C512" s="73" t="s">
        <v>2650</v>
      </c>
      <c r="D512" s="257" t="s">
        <v>549</v>
      </c>
      <c r="E512" s="459" t="s">
        <v>3377</v>
      </c>
      <c r="F512" s="258">
        <v>1964</v>
      </c>
      <c r="G512" s="171">
        <v>164</v>
      </c>
      <c r="H512" s="57"/>
      <c r="I512" s="173" t="s">
        <v>2565</v>
      </c>
      <c r="J512" s="508">
        <v>1.325</v>
      </c>
      <c r="K512" s="44">
        <v>15.523999999999999</v>
      </c>
      <c r="L512" s="169"/>
      <c r="M512" s="506">
        <v>126</v>
      </c>
      <c r="N512" s="65"/>
      <c r="O512" s="106" t="s">
        <v>120</v>
      </c>
      <c r="P512" s="511"/>
      <c r="Q512" s="510" t="s">
        <v>3454</v>
      </c>
      <c r="R512" s="506" t="s">
        <v>2308</v>
      </c>
      <c r="S512" s="94"/>
      <c r="T512" s="65"/>
      <c r="U512" s="65" t="s">
        <v>2308</v>
      </c>
      <c r="V512" s="131">
        <v>0</v>
      </c>
      <c r="W512" s="129">
        <v>100</v>
      </c>
      <c r="X512" s="120">
        <v>0</v>
      </c>
      <c r="Y512" s="120">
        <v>0</v>
      </c>
      <c r="Z512" s="120">
        <v>0</v>
      </c>
      <c r="AA512" s="133">
        <v>0</v>
      </c>
      <c r="AB512" s="17">
        <v>0</v>
      </c>
      <c r="AC512" s="17">
        <v>0</v>
      </c>
      <c r="AD512" s="133">
        <v>0</v>
      </c>
      <c r="AE512" s="133">
        <v>0</v>
      </c>
      <c r="AF512" s="17">
        <v>0</v>
      </c>
      <c r="AG512" s="133">
        <v>0</v>
      </c>
      <c r="AH512" s="17">
        <v>0</v>
      </c>
      <c r="AI512" s="133">
        <v>0</v>
      </c>
      <c r="AJ512" s="133">
        <v>0</v>
      </c>
      <c r="AK512" s="17">
        <v>0</v>
      </c>
      <c r="AL512" s="137">
        <v>0</v>
      </c>
      <c r="AM512" s="263"/>
      <c r="AN512" s="89"/>
      <c r="AO512" s="507"/>
      <c r="AP512" s="262"/>
      <c r="AQ512" s="133" t="s">
        <v>271</v>
      </c>
      <c r="AR512" s="188">
        <v>100</v>
      </c>
      <c r="AS512" s="171"/>
      <c r="AT512" s="171" t="str">
        <f t="shared" si="41"/>
        <v>400</v>
      </c>
      <c r="AU512" s="255">
        <f t="shared" si="42"/>
        <v>22.222222222222221</v>
      </c>
      <c r="AV512" s="172">
        <v>100</v>
      </c>
      <c r="AW512" s="257">
        <v>7</v>
      </c>
      <c r="AX512" s="258">
        <v>21</v>
      </c>
      <c r="AY512" s="258">
        <v>40</v>
      </c>
      <c r="AZ512" s="261"/>
      <c r="BA512" s="261"/>
      <c r="BB512" s="751" t="s">
        <v>2528</v>
      </c>
      <c r="BC512" s="176"/>
      <c r="BD512" s="179"/>
      <c r="BE512" s="179"/>
      <c r="BF512" s="178"/>
      <c r="BG512" s="27"/>
      <c r="BH512" s="55"/>
    </row>
    <row r="513" spans="1:60" ht="16.5" customHeight="1">
      <c r="A513" s="95">
        <v>512</v>
      </c>
      <c r="B513" s="96" t="s">
        <v>1215</v>
      </c>
      <c r="C513" s="73" t="s">
        <v>2644</v>
      </c>
      <c r="D513" s="257" t="s">
        <v>549</v>
      </c>
      <c r="E513" s="459" t="s">
        <v>3377</v>
      </c>
      <c r="F513" s="258">
        <v>1995</v>
      </c>
      <c r="G513" s="171">
        <v>139</v>
      </c>
      <c r="H513" s="57"/>
      <c r="I513" s="173" t="s">
        <v>2565</v>
      </c>
      <c r="J513" s="508">
        <v>0.31</v>
      </c>
      <c r="K513" s="272"/>
      <c r="L513" s="91">
        <f>((J513)*(M513+((V513+W513+X513+Y513+Z513+AA513+AB513+AC513+AD513+AK513)/100)*(M513)))</f>
        <v>222.39400000000003</v>
      </c>
      <c r="M513" s="506">
        <v>538.1</v>
      </c>
      <c r="N513" s="65"/>
      <c r="O513" s="106" t="s">
        <v>120</v>
      </c>
      <c r="P513" s="511"/>
      <c r="Q513" s="510" t="s">
        <v>2529</v>
      </c>
      <c r="R513" s="94"/>
      <c r="S513" s="94"/>
      <c r="T513" s="65" t="s">
        <v>2306</v>
      </c>
      <c r="U513" s="65" t="s">
        <v>2530</v>
      </c>
      <c r="V513" s="150">
        <v>33.320944062441924</v>
      </c>
      <c r="W513" s="129">
        <v>0</v>
      </c>
      <c r="X513" s="120">
        <v>0</v>
      </c>
      <c r="Y513" s="120">
        <v>0</v>
      </c>
      <c r="Z513" s="120">
        <v>0</v>
      </c>
      <c r="AA513" s="129">
        <v>0</v>
      </c>
      <c r="AB513" s="17">
        <v>0</v>
      </c>
      <c r="AC513" s="17">
        <v>0</v>
      </c>
      <c r="AD513" s="129">
        <v>0</v>
      </c>
      <c r="AE513" s="129">
        <v>0</v>
      </c>
      <c r="AF513" s="129">
        <v>6</v>
      </c>
      <c r="AG513" s="133">
        <v>0</v>
      </c>
      <c r="AH513" s="17">
        <v>0</v>
      </c>
      <c r="AI513" s="129">
        <v>0</v>
      </c>
      <c r="AJ513" s="129">
        <v>0</v>
      </c>
      <c r="AK513" s="17">
        <v>0</v>
      </c>
      <c r="AL513" s="142">
        <v>0</v>
      </c>
      <c r="AM513" s="263"/>
      <c r="AN513" s="89"/>
      <c r="AO513" s="507"/>
      <c r="AP513" s="262"/>
      <c r="AQ513" s="133" t="s">
        <v>271</v>
      </c>
      <c r="AR513" s="188">
        <v>100</v>
      </c>
      <c r="AS513" s="171"/>
      <c r="AT513" s="171" t="str">
        <f t="shared" si="41"/>
        <v>400</v>
      </c>
      <c r="AU513" s="255">
        <f t="shared" si="42"/>
        <v>22.222222222222221</v>
      </c>
      <c r="AV513" s="57"/>
      <c r="AW513" s="260">
        <v>0</v>
      </c>
      <c r="AX513" s="89"/>
      <c r="AY513" s="258">
        <v>20</v>
      </c>
      <c r="AZ513" s="261"/>
      <c r="BA513" s="175">
        <v>60</v>
      </c>
      <c r="BB513" s="259"/>
      <c r="BC513" s="176"/>
      <c r="BD513" s="179"/>
      <c r="BE513" s="179"/>
      <c r="BF513" s="178" t="s">
        <v>2531</v>
      </c>
      <c r="BG513" s="27"/>
      <c r="BH513" s="55"/>
    </row>
    <row r="514" spans="1:60" ht="16.5" customHeight="1">
      <c r="A514" s="95">
        <v>513</v>
      </c>
      <c r="B514" s="96" t="s">
        <v>1214</v>
      </c>
      <c r="C514" s="73" t="s">
        <v>2644</v>
      </c>
      <c r="D514" s="257" t="s">
        <v>549</v>
      </c>
      <c r="E514" s="459" t="s">
        <v>3377</v>
      </c>
      <c r="F514" s="258">
        <v>1995</v>
      </c>
      <c r="G514" s="171">
        <v>139</v>
      </c>
      <c r="H514" s="57"/>
      <c r="I514" s="173" t="s">
        <v>2565</v>
      </c>
      <c r="J514" s="508">
        <v>0.23</v>
      </c>
      <c r="K514" s="272"/>
      <c r="L514" s="271"/>
      <c r="M514" s="506">
        <v>717.4</v>
      </c>
      <c r="N514" s="65"/>
      <c r="O514" s="106" t="s">
        <v>120</v>
      </c>
      <c r="P514" s="511"/>
      <c r="Q514" s="510" t="s">
        <v>10</v>
      </c>
      <c r="R514" s="94"/>
      <c r="S514" s="94"/>
      <c r="T514" s="65" t="s">
        <v>2306</v>
      </c>
      <c r="U514" s="65" t="s">
        <v>2530</v>
      </c>
      <c r="V514" s="135">
        <v>0</v>
      </c>
      <c r="W514" s="129">
        <v>0</v>
      </c>
      <c r="X514" s="120">
        <v>0</v>
      </c>
      <c r="Y514" s="120">
        <v>0</v>
      </c>
      <c r="Z514" s="120">
        <v>0</v>
      </c>
      <c r="AA514" s="129">
        <v>0</v>
      </c>
      <c r="AB514" s="17">
        <v>0</v>
      </c>
      <c r="AC514" s="17">
        <v>0</v>
      </c>
      <c r="AD514" s="129">
        <v>0</v>
      </c>
      <c r="AE514" s="129">
        <v>0</v>
      </c>
      <c r="AF514" s="129">
        <v>4.5</v>
      </c>
      <c r="AG514" s="133">
        <v>0</v>
      </c>
      <c r="AH514" s="17">
        <v>0</v>
      </c>
      <c r="AI514" s="129">
        <v>0</v>
      </c>
      <c r="AJ514" s="129">
        <v>0</v>
      </c>
      <c r="AK514" s="17">
        <v>0</v>
      </c>
      <c r="AL514" s="142">
        <v>0</v>
      </c>
      <c r="AM514" s="263"/>
      <c r="AN514" s="89"/>
      <c r="AO514" s="507"/>
      <c r="AP514" s="262"/>
      <c r="AQ514" s="133" t="s">
        <v>271</v>
      </c>
      <c r="AR514" s="188">
        <v>100</v>
      </c>
      <c r="AS514" s="171"/>
      <c r="AT514" s="171" t="str">
        <f t="shared" si="41"/>
        <v>400</v>
      </c>
      <c r="AU514" s="255">
        <f t="shared" si="42"/>
        <v>22.222222222222221</v>
      </c>
      <c r="AV514" s="57"/>
      <c r="AW514" s="260">
        <v>0</v>
      </c>
      <c r="AX514" s="89"/>
      <c r="AY514" s="258">
        <v>20</v>
      </c>
      <c r="AZ514" s="261"/>
      <c r="BA514" s="175">
        <v>60</v>
      </c>
      <c r="BB514" s="259"/>
      <c r="BC514" s="176"/>
      <c r="BD514" s="179"/>
      <c r="BE514" s="179"/>
      <c r="BF514" s="178" t="s">
        <v>2531</v>
      </c>
      <c r="BG514" s="27"/>
      <c r="BH514" s="55"/>
    </row>
    <row r="515" spans="1:60" ht="16.5" customHeight="1">
      <c r="A515" s="95">
        <v>514</v>
      </c>
      <c r="B515" s="96" t="s">
        <v>1213</v>
      </c>
      <c r="C515" s="73" t="s">
        <v>2644</v>
      </c>
      <c r="D515" s="257" t="s">
        <v>549</v>
      </c>
      <c r="E515" s="459" t="s">
        <v>3377</v>
      </c>
      <c r="F515" s="258">
        <v>1995</v>
      </c>
      <c r="G515" s="171">
        <v>139</v>
      </c>
      <c r="H515" s="57"/>
      <c r="I515" s="173" t="s">
        <v>2565</v>
      </c>
      <c r="J515" s="508">
        <v>0.26</v>
      </c>
      <c r="K515" s="272"/>
      <c r="L515" s="91">
        <f>((J515)*(M515+((V515+W515+X515+Y515+Z515+AA515+AB515+AC515+AD515+AK515)/100)*(M515)))</f>
        <v>186.52400000000003</v>
      </c>
      <c r="M515" s="506">
        <v>645.70000000000005</v>
      </c>
      <c r="N515" s="65"/>
      <c r="O515" s="106" t="s">
        <v>120</v>
      </c>
      <c r="P515" s="511"/>
      <c r="Q515" s="510" t="s">
        <v>10</v>
      </c>
      <c r="R515" s="94"/>
      <c r="S515" s="94"/>
      <c r="T515" s="65" t="s">
        <v>2306</v>
      </c>
      <c r="U515" s="65" t="s">
        <v>2530</v>
      </c>
      <c r="V515" s="150">
        <v>11.104227969645345</v>
      </c>
      <c r="W515" s="129">
        <v>0</v>
      </c>
      <c r="X515" s="120">
        <v>0</v>
      </c>
      <c r="Y515" s="120">
        <v>0</v>
      </c>
      <c r="Z515" s="120">
        <v>0</v>
      </c>
      <c r="AA515" s="129">
        <v>0</v>
      </c>
      <c r="AB515" s="17">
        <v>0</v>
      </c>
      <c r="AC515" s="17">
        <v>0</v>
      </c>
      <c r="AD515" s="129">
        <v>0</v>
      </c>
      <c r="AE515" s="129">
        <v>0</v>
      </c>
      <c r="AF515" s="129">
        <v>5</v>
      </c>
      <c r="AG515" s="133">
        <v>0</v>
      </c>
      <c r="AH515" s="17">
        <v>0</v>
      </c>
      <c r="AI515" s="129">
        <v>0</v>
      </c>
      <c r="AJ515" s="129">
        <v>0</v>
      </c>
      <c r="AK515" s="17">
        <v>0</v>
      </c>
      <c r="AL515" s="142">
        <v>0</v>
      </c>
      <c r="AM515" s="263"/>
      <c r="AN515" s="89"/>
      <c r="AO515" s="507"/>
      <c r="AP515" s="262"/>
      <c r="AQ515" s="133" t="s">
        <v>271</v>
      </c>
      <c r="AR515" s="188">
        <v>100</v>
      </c>
      <c r="AS515" s="171"/>
      <c r="AT515" s="171" t="str">
        <f t="shared" si="41"/>
        <v>400</v>
      </c>
      <c r="AU515" s="255">
        <f t="shared" si="42"/>
        <v>22.222222222222221</v>
      </c>
      <c r="AV515" s="57"/>
      <c r="AW515" s="260">
        <v>0</v>
      </c>
      <c r="AX515" s="89"/>
      <c r="AY515" s="258">
        <v>20</v>
      </c>
      <c r="AZ515" s="261"/>
      <c r="BA515" s="175">
        <v>60</v>
      </c>
      <c r="BB515" s="259"/>
      <c r="BC515" s="176"/>
      <c r="BD515" s="179"/>
      <c r="BE515" s="179"/>
      <c r="BF515" s="178" t="s">
        <v>2531</v>
      </c>
      <c r="BG515" s="27"/>
      <c r="BH515" s="55"/>
    </row>
    <row r="516" spans="1:60" ht="16.5" customHeight="1">
      <c r="A516" s="95">
        <v>515</v>
      </c>
      <c r="B516" s="96" t="s">
        <v>1212</v>
      </c>
      <c r="C516" s="73" t="s">
        <v>2644</v>
      </c>
      <c r="D516" s="257" t="s">
        <v>549</v>
      </c>
      <c r="E516" s="459" t="s">
        <v>3377</v>
      </c>
      <c r="F516" s="258">
        <v>1995</v>
      </c>
      <c r="G516" s="171">
        <v>139</v>
      </c>
      <c r="H516" s="57"/>
      <c r="I516" s="173" t="s">
        <v>2565</v>
      </c>
      <c r="J516" s="508">
        <v>0.23</v>
      </c>
      <c r="K516" s="272"/>
      <c r="L516" s="271"/>
      <c r="M516" s="506">
        <v>717.4</v>
      </c>
      <c r="N516" s="65"/>
      <c r="O516" s="106" t="s">
        <v>120</v>
      </c>
      <c r="P516" s="511"/>
      <c r="Q516" s="510" t="s">
        <v>10</v>
      </c>
      <c r="R516" s="94"/>
      <c r="S516" s="94"/>
      <c r="T516" s="65" t="s">
        <v>2306</v>
      </c>
      <c r="U516" s="65" t="s">
        <v>2530</v>
      </c>
      <c r="V516" s="135">
        <v>0</v>
      </c>
      <c r="W516" s="129">
        <v>0</v>
      </c>
      <c r="X516" s="120">
        <v>0</v>
      </c>
      <c r="Y516" s="120">
        <v>0</v>
      </c>
      <c r="Z516" s="120">
        <v>0</v>
      </c>
      <c r="AA516" s="129">
        <v>0</v>
      </c>
      <c r="AB516" s="17">
        <v>0</v>
      </c>
      <c r="AC516" s="17">
        <v>0</v>
      </c>
      <c r="AD516" s="129">
        <v>0</v>
      </c>
      <c r="AE516" s="129">
        <v>0</v>
      </c>
      <c r="AF516" s="129">
        <v>4.5</v>
      </c>
      <c r="AG516" s="133">
        <v>0</v>
      </c>
      <c r="AH516" s="17">
        <v>0</v>
      </c>
      <c r="AI516" s="129">
        <v>0</v>
      </c>
      <c r="AJ516" s="129">
        <v>0</v>
      </c>
      <c r="AK516" s="17">
        <v>0</v>
      </c>
      <c r="AL516" s="142">
        <v>0</v>
      </c>
      <c r="AM516" s="263"/>
      <c r="AN516" s="89"/>
      <c r="AO516" s="507"/>
      <c r="AP516" s="262"/>
      <c r="AQ516" s="133" t="s">
        <v>271</v>
      </c>
      <c r="AR516" s="188">
        <v>100</v>
      </c>
      <c r="AS516" s="171"/>
      <c r="AT516" s="171" t="str">
        <f t="shared" si="41"/>
        <v>400</v>
      </c>
      <c r="AU516" s="255">
        <f t="shared" si="42"/>
        <v>22.222222222222221</v>
      </c>
      <c r="AV516" s="57"/>
      <c r="AW516" s="260">
        <v>0</v>
      </c>
      <c r="AX516" s="89"/>
      <c r="AY516" s="258">
        <v>20</v>
      </c>
      <c r="AZ516" s="261"/>
      <c r="BA516" s="175">
        <v>60</v>
      </c>
      <c r="BB516" s="259"/>
      <c r="BC516" s="176"/>
      <c r="BD516" s="179"/>
      <c r="BE516" s="179"/>
      <c r="BF516" s="178" t="s">
        <v>2531</v>
      </c>
      <c r="BG516" s="27"/>
      <c r="BH516" s="55"/>
    </row>
    <row r="517" spans="1:60" ht="16.5" customHeight="1">
      <c r="A517" s="95">
        <v>516</v>
      </c>
      <c r="B517" s="96" t="s">
        <v>1211</v>
      </c>
      <c r="C517" s="73" t="s">
        <v>2644</v>
      </c>
      <c r="D517" s="257" t="s">
        <v>549</v>
      </c>
      <c r="E517" s="459" t="s">
        <v>3377</v>
      </c>
      <c r="F517" s="258">
        <v>1995</v>
      </c>
      <c r="G517" s="171">
        <v>139</v>
      </c>
      <c r="H517" s="57"/>
      <c r="I517" s="173" t="s">
        <v>2565</v>
      </c>
      <c r="J517" s="508">
        <v>0.26</v>
      </c>
      <c r="K517" s="272"/>
      <c r="L517" s="91">
        <f>((J517)*(M517+((V517+W517+X517+Y517+Z517+AA517+AB517+AC517+AD517+AK517)/100)*(M517)))</f>
        <v>186.52400000000003</v>
      </c>
      <c r="M517" s="506">
        <v>645.70000000000005</v>
      </c>
      <c r="N517" s="65"/>
      <c r="O517" s="106" t="s">
        <v>120</v>
      </c>
      <c r="P517" s="511"/>
      <c r="Q517" s="510" t="s">
        <v>10</v>
      </c>
      <c r="R517" s="94"/>
      <c r="S517" s="94"/>
      <c r="T517" s="65" t="s">
        <v>2306</v>
      </c>
      <c r="U517" s="65" t="s">
        <v>2530</v>
      </c>
      <c r="V517" s="150">
        <v>11.104227969645345</v>
      </c>
      <c r="W517" s="129">
        <v>0</v>
      </c>
      <c r="X517" s="120">
        <v>0</v>
      </c>
      <c r="Y517" s="120">
        <v>0</v>
      </c>
      <c r="Z517" s="120">
        <v>0</v>
      </c>
      <c r="AA517" s="129">
        <v>0</v>
      </c>
      <c r="AB517" s="17">
        <v>0</v>
      </c>
      <c r="AC517" s="17">
        <v>0</v>
      </c>
      <c r="AD517" s="129">
        <v>0</v>
      </c>
      <c r="AE517" s="129">
        <v>0</v>
      </c>
      <c r="AF517" s="129">
        <v>5</v>
      </c>
      <c r="AG517" s="133">
        <v>0</v>
      </c>
      <c r="AH517" s="17">
        <v>0</v>
      </c>
      <c r="AI517" s="129">
        <v>0</v>
      </c>
      <c r="AJ517" s="129">
        <v>0</v>
      </c>
      <c r="AK517" s="17">
        <v>0</v>
      </c>
      <c r="AL517" s="142">
        <v>0</v>
      </c>
      <c r="AM517" s="263"/>
      <c r="AN517" s="89"/>
      <c r="AO517" s="507"/>
      <c r="AP517" s="262"/>
      <c r="AQ517" s="133" t="s">
        <v>271</v>
      </c>
      <c r="AR517" s="188">
        <v>100</v>
      </c>
      <c r="AS517" s="171"/>
      <c r="AT517" s="171" t="str">
        <f t="shared" si="41"/>
        <v>400</v>
      </c>
      <c r="AU517" s="255">
        <f t="shared" si="42"/>
        <v>22.222222222222221</v>
      </c>
      <c r="AV517" s="57"/>
      <c r="AW517" s="260">
        <v>0</v>
      </c>
      <c r="AX517" s="89"/>
      <c r="AY517" s="258">
        <v>20</v>
      </c>
      <c r="AZ517" s="261"/>
      <c r="BA517" s="175">
        <v>60</v>
      </c>
      <c r="BB517" s="259"/>
      <c r="BC517" s="176"/>
      <c r="BD517" s="179"/>
      <c r="BE517" s="179"/>
      <c r="BF517" s="178" t="s">
        <v>2531</v>
      </c>
      <c r="BG517" s="27"/>
      <c r="BH517" s="55"/>
    </row>
    <row r="518" spans="1:60" ht="16.5" customHeight="1">
      <c r="A518" s="95">
        <v>517</v>
      </c>
      <c r="B518" s="96" t="s">
        <v>1210</v>
      </c>
      <c r="C518" s="73" t="s">
        <v>2644</v>
      </c>
      <c r="D518" s="257" t="s">
        <v>549</v>
      </c>
      <c r="E518" s="459" t="s">
        <v>3377</v>
      </c>
      <c r="F518" s="258">
        <v>1995</v>
      </c>
      <c r="G518" s="171">
        <v>139</v>
      </c>
      <c r="H518" s="57"/>
      <c r="I518" s="173" t="s">
        <v>2565</v>
      </c>
      <c r="J518" s="508">
        <v>0.31</v>
      </c>
      <c r="K518" s="272"/>
      <c r="L518" s="91">
        <f>((J518)*(M518+((V518+W518+X518+Y518+Z518+AA518+AB518+AC518+AD518+AK518)/100)*(M518)))</f>
        <v>222.39400000000003</v>
      </c>
      <c r="M518" s="506">
        <v>538.1</v>
      </c>
      <c r="N518" s="65"/>
      <c r="O518" s="106" t="s">
        <v>120</v>
      </c>
      <c r="P518" s="511"/>
      <c r="Q518" s="510" t="s">
        <v>10</v>
      </c>
      <c r="R518" s="94"/>
      <c r="S518" s="94"/>
      <c r="T518" s="65" t="s">
        <v>2306</v>
      </c>
      <c r="U518" s="65" t="s">
        <v>2530</v>
      </c>
      <c r="V518" s="150">
        <v>33.320944062441924</v>
      </c>
      <c r="W518" s="129">
        <v>0</v>
      </c>
      <c r="X518" s="120">
        <v>0</v>
      </c>
      <c r="Y518" s="120">
        <v>0</v>
      </c>
      <c r="Z518" s="120">
        <v>0</v>
      </c>
      <c r="AA518" s="129">
        <v>0</v>
      </c>
      <c r="AB518" s="17">
        <v>0</v>
      </c>
      <c r="AC518" s="17">
        <v>0</v>
      </c>
      <c r="AD518" s="129">
        <v>0</v>
      </c>
      <c r="AE518" s="129">
        <v>0</v>
      </c>
      <c r="AF518" s="129">
        <v>6</v>
      </c>
      <c r="AG518" s="133">
        <v>0</v>
      </c>
      <c r="AH518" s="17">
        <v>0</v>
      </c>
      <c r="AI518" s="129">
        <v>0</v>
      </c>
      <c r="AJ518" s="129">
        <v>0</v>
      </c>
      <c r="AK518" s="17">
        <v>0</v>
      </c>
      <c r="AL518" s="142">
        <v>0</v>
      </c>
      <c r="AM518" s="263"/>
      <c r="AN518" s="89"/>
      <c r="AO518" s="507"/>
      <c r="AP518" s="262"/>
      <c r="AQ518" s="133" t="s">
        <v>271</v>
      </c>
      <c r="AR518" s="188">
        <v>100</v>
      </c>
      <c r="AS518" s="171"/>
      <c r="AT518" s="171" t="str">
        <f t="shared" si="41"/>
        <v>400</v>
      </c>
      <c r="AU518" s="255">
        <f t="shared" si="42"/>
        <v>22.222222222222221</v>
      </c>
      <c r="AV518" s="57"/>
      <c r="AW518" s="260">
        <v>0</v>
      </c>
      <c r="AX518" s="89"/>
      <c r="AY518" s="258">
        <v>20</v>
      </c>
      <c r="AZ518" s="261"/>
      <c r="BA518" s="175">
        <v>60</v>
      </c>
      <c r="BB518" s="259"/>
      <c r="BC518" s="176"/>
      <c r="BD518" s="179"/>
      <c r="BE518" s="179"/>
      <c r="BF518" s="178" t="s">
        <v>2531</v>
      </c>
      <c r="BG518" s="27"/>
      <c r="BH518" s="55"/>
    </row>
    <row r="519" spans="1:60" ht="16.5" customHeight="1">
      <c r="A519" s="95">
        <v>518</v>
      </c>
      <c r="B519" s="96" t="s">
        <v>1209</v>
      </c>
      <c r="C519" s="73" t="s">
        <v>2644</v>
      </c>
      <c r="D519" s="257" t="s">
        <v>549</v>
      </c>
      <c r="E519" s="459" t="s">
        <v>3377</v>
      </c>
      <c r="F519" s="258">
        <v>1995</v>
      </c>
      <c r="G519" s="171">
        <v>139</v>
      </c>
      <c r="H519" s="57"/>
      <c r="I519" s="173" t="s">
        <v>2565</v>
      </c>
      <c r="J519" s="508">
        <v>0.3</v>
      </c>
      <c r="K519" s="272"/>
      <c r="L519" s="271"/>
      <c r="M519" s="506">
        <v>550</v>
      </c>
      <c r="N519" s="65"/>
      <c r="O519" s="106" t="s">
        <v>120</v>
      </c>
      <c r="P519" s="511"/>
      <c r="Q519" s="510" t="s">
        <v>10</v>
      </c>
      <c r="R519" s="94"/>
      <c r="S519" s="94"/>
      <c r="T519" s="65" t="s">
        <v>2306</v>
      </c>
      <c r="U519" s="65" t="s">
        <v>2530</v>
      </c>
      <c r="V519" s="135">
        <v>0</v>
      </c>
      <c r="W519" s="129">
        <v>0</v>
      </c>
      <c r="X519" s="120">
        <v>0</v>
      </c>
      <c r="Y519" s="120">
        <v>0</v>
      </c>
      <c r="Z519" s="120">
        <v>0</v>
      </c>
      <c r="AA519" s="129">
        <v>0</v>
      </c>
      <c r="AB519" s="17">
        <v>0</v>
      </c>
      <c r="AC519" s="17">
        <v>0</v>
      </c>
      <c r="AD519" s="129">
        <v>0</v>
      </c>
      <c r="AE519" s="129">
        <v>0</v>
      </c>
      <c r="AF519" s="129">
        <f>5.5/550*100</f>
        <v>1</v>
      </c>
      <c r="AG519" s="133">
        <v>0</v>
      </c>
      <c r="AH519" s="17">
        <v>0</v>
      </c>
      <c r="AI519" s="129">
        <v>0</v>
      </c>
      <c r="AJ519" s="129">
        <v>0</v>
      </c>
      <c r="AK519" s="17">
        <v>0</v>
      </c>
      <c r="AL519" s="142">
        <v>0</v>
      </c>
      <c r="AM519" s="263"/>
      <c r="AN519" s="89"/>
      <c r="AO519" s="507"/>
      <c r="AP519" s="262"/>
      <c r="AQ519" s="133" t="s">
        <v>271</v>
      </c>
      <c r="AR519" s="188">
        <v>100</v>
      </c>
      <c r="AS519" s="171"/>
      <c r="AT519" s="171" t="str">
        <f t="shared" si="41"/>
        <v>400</v>
      </c>
      <c r="AU519" s="255">
        <f t="shared" si="42"/>
        <v>22.222222222222221</v>
      </c>
      <c r="AV519" s="57"/>
      <c r="AW519" s="260">
        <v>0</v>
      </c>
      <c r="AX519" s="89"/>
      <c r="AY519" s="258">
        <v>20</v>
      </c>
      <c r="AZ519" s="261"/>
      <c r="BA519" s="175">
        <v>60</v>
      </c>
      <c r="BB519" s="259"/>
      <c r="BC519" s="176"/>
      <c r="BD519" s="179"/>
      <c r="BE519" s="179"/>
      <c r="BF519" s="178" t="s">
        <v>2531</v>
      </c>
      <c r="BG519" s="27"/>
      <c r="BH519" s="55"/>
    </row>
    <row r="520" spans="1:60" ht="16.5" customHeight="1">
      <c r="A520" s="95">
        <v>519</v>
      </c>
      <c r="B520" s="96" t="s">
        <v>1208</v>
      </c>
      <c r="C520" s="73" t="s">
        <v>2644</v>
      </c>
      <c r="D520" s="257" t="s">
        <v>549</v>
      </c>
      <c r="E520" s="459" t="s">
        <v>3377</v>
      </c>
      <c r="F520" s="258">
        <v>1995</v>
      </c>
      <c r="G520" s="171">
        <v>139</v>
      </c>
      <c r="H520" s="57"/>
      <c r="I520" s="173" t="s">
        <v>2565</v>
      </c>
      <c r="J520" s="508">
        <v>0.45</v>
      </c>
      <c r="K520" s="272"/>
      <c r="L520" s="271"/>
      <c r="M520" s="506">
        <v>366.7</v>
      </c>
      <c r="N520" s="65"/>
      <c r="O520" s="106" t="s">
        <v>120</v>
      </c>
      <c r="P520" s="511"/>
      <c r="Q520" s="510" t="s">
        <v>10</v>
      </c>
      <c r="R520" s="94"/>
      <c r="S520" s="94"/>
      <c r="T520" s="65" t="s">
        <v>2306</v>
      </c>
      <c r="U520" s="65" t="s">
        <v>2530</v>
      </c>
      <c r="V520" s="135">
        <v>0</v>
      </c>
      <c r="W520" s="129">
        <v>0</v>
      </c>
      <c r="X520" s="120">
        <v>0</v>
      </c>
      <c r="Y520" s="120">
        <v>0</v>
      </c>
      <c r="Z520" s="120">
        <v>0</v>
      </c>
      <c r="AA520" s="129">
        <v>0</v>
      </c>
      <c r="AB520" s="17">
        <v>0</v>
      </c>
      <c r="AC520" s="17">
        <v>0</v>
      </c>
      <c r="AD520" s="129">
        <v>0</v>
      </c>
      <c r="AE520" s="129">
        <v>0</v>
      </c>
      <c r="AF520" s="129">
        <v>0.6</v>
      </c>
      <c r="AG520" s="133">
        <v>0</v>
      </c>
      <c r="AH520" s="17">
        <v>0</v>
      </c>
      <c r="AI520" s="129">
        <v>0</v>
      </c>
      <c r="AJ520" s="129">
        <v>0</v>
      </c>
      <c r="AK520" s="17">
        <v>0</v>
      </c>
      <c r="AL520" s="142">
        <v>0</v>
      </c>
      <c r="AM520" s="263"/>
      <c r="AN520" s="89"/>
      <c r="AO520" s="507"/>
      <c r="AP520" s="262"/>
      <c r="AQ520" s="133" t="s">
        <v>271</v>
      </c>
      <c r="AR520" s="188">
        <v>100</v>
      </c>
      <c r="AS520" s="171"/>
      <c r="AT520" s="171" t="str">
        <f t="shared" si="41"/>
        <v>400</v>
      </c>
      <c r="AU520" s="255">
        <f t="shared" si="42"/>
        <v>22.222222222222221</v>
      </c>
      <c r="AV520" s="57"/>
      <c r="AW520" s="260">
        <v>0</v>
      </c>
      <c r="AX520" s="89"/>
      <c r="AY520" s="258">
        <v>20</v>
      </c>
      <c r="AZ520" s="261"/>
      <c r="BA520" s="175">
        <v>60</v>
      </c>
      <c r="BB520" s="259"/>
      <c r="BC520" s="176"/>
      <c r="BD520" s="179"/>
      <c r="BE520" s="179"/>
      <c r="BF520" s="178" t="s">
        <v>2531</v>
      </c>
      <c r="BG520" s="27"/>
      <c r="BH520" s="55"/>
    </row>
    <row r="521" spans="1:60" ht="16.5" customHeight="1">
      <c r="A521" s="95">
        <v>520</v>
      </c>
      <c r="B521" s="96" t="s">
        <v>1207</v>
      </c>
      <c r="C521" s="73" t="s">
        <v>2644</v>
      </c>
      <c r="D521" s="257" t="s">
        <v>549</v>
      </c>
      <c r="E521" s="459" t="s">
        <v>3377</v>
      </c>
      <c r="F521" s="258">
        <v>1995</v>
      </c>
      <c r="G521" s="171">
        <v>139</v>
      </c>
      <c r="H521" s="57"/>
      <c r="I521" s="173" t="s">
        <v>2565</v>
      </c>
      <c r="J521" s="508">
        <v>0.31</v>
      </c>
      <c r="K521" s="272"/>
      <c r="L521" s="271"/>
      <c r="M521" s="506">
        <v>538.1</v>
      </c>
      <c r="N521" s="65"/>
      <c r="O521" s="106" t="s">
        <v>120</v>
      </c>
      <c r="P521" s="511"/>
      <c r="Q521" s="510" t="s">
        <v>2532</v>
      </c>
      <c r="R521" s="94"/>
      <c r="S521" s="94"/>
      <c r="T521" s="65" t="s">
        <v>2306</v>
      </c>
      <c r="U521" s="65" t="s">
        <v>2530</v>
      </c>
      <c r="V521" s="150">
        <v>33.320944062441924</v>
      </c>
      <c r="W521" s="129">
        <v>0</v>
      </c>
      <c r="X521" s="120">
        <v>0</v>
      </c>
      <c r="Y521" s="120">
        <v>0</v>
      </c>
      <c r="Z521" s="120">
        <v>0</v>
      </c>
      <c r="AA521" s="129">
        <v>0</v>
      </c>
      <c r="AB521" s="17">
        <v>0</v>
      </c>
      <c r="AC521" s="17">
        <v>0</v>
      </c>
      <c r="AD521" s="129">
        <v>0</v>
      </c>
      <c r="AE521" s="129">
        <v>0</v>
      </c>
      <c r="AF521" s="17">
        <v>0</v>
      </c>
      <c r="AG521" s="133">
        <v>0</v>
      </c>
      <c r="AH521" s="17">
        <v>0</v>
      </c>
      <c r="AI521" s="129">
        <v>0</v>
      </c>
      <c r="AJ521" s="129">
        <v>0</v>
      </c>
      <c r="AK521" s="17">
        <v>0</v>
      </c>
      <c r="AL521" s="142">
        <v>0</v>
      </c>
      <c r="AM521" s="263"/>
      <c r="AN521" s="89"/>
      <c r="AO521" s="507"/>
      <c r="AP521" s="262"/>
      <c r="AQ521" s="133" t="s">
        <v>271</v>
      </c>
      <c r="AR521" s="188">
        <v>100</v>
      </c>
      <c r="AS521" s="171"/>
      <c r="AT521" s="171" t="str">
        <f t="shared" si="41"/>
        <v>400</v>
      </c>
      <c r="AU521" s="255">
        <f t="shared" si="42"/>
        <v>22.222222222222221</v>
      </c>
      <c r="AV521" s="57"/>
      <c r="AW521" s="260">
        <v>0</v>
      </c>
      <c r="AX521" s="89"/>
      <c r="AY521" s="258">
        <v>20</v>
      </c>
      <c r="AZ521" s="261"/>
      <c r="BA521" s="175">
        <v>60</v>
      </c>
      <c r="BB521" s="259"/>
      <c r="BC521" s="176"/>
      <c r="BD521" s="179"/>
      <c r="BE521" s="179"/>
      <c r="BF521" s="178" t="s">
        <v>1206</v>
      </c>
      <c r="BG521" s="27"/>
      <c r="BH521" s="55"/>
    </row>
    <row r="522" spans="1:60" ht="15" customHeight="1">
      <c r="A522" s="95">
        <v>521</v>
      </c>
      <c r="B522" s="98" t="s">
        <v>1205</v>
      </c>
      <c r="C522" s="191" t="s">
        <v>2651</v>
      </c>
      <c r="D522" s="257" t="s">
        <v>549</v>
      </c>
      <c r="E522" s="459" t="s">
        <v>3377</v>
      </c>
      <c r="F522" s="171">
        <v>1956</v>
      </c>
      <c r="G522" s="171">
        <v>162</v>
      </c>
      <c r="H522" s="57"/>
      <c r="I522" s="173" t="s">
        <v>1743</v>
      </c>
      <c r="J522" s="277">
        <v>0.48200000000000004</v>
      </c>
      <c r="K522" s="213">
        <v>6.4586206896551728</v>
      </c>
      <c r="L522" s="91"/>
      <c r="M522" s="278">
        <v>174</v>
      </c>
      <c r="N522" s="279"/>
      <c r="O522" s="172" t="s">
        <v>120</v>
      </c>
      <c r="P522" s="89"/>
      <c r="Q522" s="173" t="s">
        <v>2533</v>
      </c>
      <c r="R522" s="94"/>
      <c r="S522" s="94"/>
      <c r="T522" s="171"/>
      <c r="U522" s="171" t="s">
        <v>3345</v>
      </c>
      <c r="V522" s="102">
        <v>0</v>
      </c>
      <c r="W522" s="120">
        <v>0</v>
      </c>
      <c r="X522" s="120" t="s">
        <v>2559</v>
      </c>
      <c r="Y522" s="120">
        <v>0</v>
      </c>
      <c r="Z522" s="120">
        <v>0</v>
      </c>
      <c r="AA522" s="129">
        <v>0</v>
      </c>
      <c r="AB522" s="17">
        <v>0</v>
      </c>
      <c r="AC522" s="17">
        <v>0</v>
      </c>
      <c r="AD522" s="129">
        <v>0</v>
      </c>
      <c r="AE522" s="129">
        <v>0</v>
      </c>
      <c r="AF522" s="17">
        <v>0</v>
      </c>
      <c r="AG522" s="129">
        <v>0</v>
      </c>
      <c r="AH522" s="17">
        <v>0</v>
      </c>
      <c r="AI522" s="129">
        <v>0</v>
      </c>
      <c r="AJ522" s="33">
        <v>24.71</v>
      </c>
      <c r="AK522" s="17">
        <v>0</v>
      </c>
      <c r="AL522" s="32">
        <v>0</v>
      </c>
      <c r="AM522" s="780">
        <v>25.19</v>
      </c>
      <c r="AN522" s="89"/>
      <c r="AO522" s="507"/>
      <c r="AP522" s="262"/>
      <c r="AQ522" s="773" t="s">
        <v>1198</v>
      </c>
      <c r="AR522" s="188">
        <v>76</v>
      </c>
      <c r="AS522" s="171"/>
      <c r="AT522" s="171" t="str">
        <f t="shared" si="41"/>
        <v>279</v>
      </c>
      <c r="AU522" s="255">
        <f t="shared" si="42"/>
        <v>16.722397476340696</v>
      </c>
      <c r="AV522" s="172">
        <v>100</v>
      </c>
      <c r="AW522" s="171">
        <v>27</v>
      </c>
      <c r="AX522" s="89"/>
      <c r="AY522" s="171">
        <v>20.65</v>
      </c>
      <c r="AZ522" s="261"/>
      <c r="BA522" s="175">
        <v>83.8</v>
      </c>
      <c r="BB522" s="259"/>
      <c r="BC522" s="176"/>
      <c r="BD522" s="179"/>
      <c r="BE522" s="179"/>
      <c r="BF522" s="178" t="s">
        <v>2597</v>
      </c>
      <c r="BG522" s="25"/>
      <c r="BH522" s="25"/>
    </row>
    <row r="523" spans="1:60" ht="15" customHeight="1">
      <c r="A523" s="95">
        <v>522</v>
      </c>
      <c r="B523" s="98" t="s">
        <v>1204</v>
      </c>
      <c r="C523" s="191" t="s">
        <v>2651</v>
      </c>
      <c r="D523" s="257" t="s">
        <v>549</v>
      </c>
      <c r="E523" s="459" t="s">
        <v>3377</v>
      </c>
      <c r="F523" s="171">
        <v>1956</v>
      </c>
      <c r="G523" s="171">
        <v>162</v>
      </c>
      <c r="H523" s="57"/>
      <c r="I523" s="173" t="s">
        <v>1743</v>
      </c>
      <c r="J523" s="277">
        <v>0.48200000000000004</v>
      </c>
      <c r="K523" s="213">
        <v>6.4586206896551728</v>
      </c>
      <c r="L523" s="91"/>
      <c r="M523" s="278">
        <v>145</v>
      </c>
      <c r="N523" s="279"/>
      <c r="O523" s="172" t="s">
        <v>120</v>
      </c>
      <c r="P523" s="89"/>
      <c r="Q523" s="173" t="s">
        <v>2533</v>
      </c>
      <c r="R523" s="94"/>
      <c r="S523" s="94"/>
      <c r="T523" s="171"/>
      <c r="U523" s="171" t="s">
        <v>3345</v>
      </c>
      <c r="V523" s="102">
        <v>0</v>
      </c>
      <c r="W523" s="120">
        <v>0</v>
      </c>
      <c r="X523" s="120" t="s">
        <v>2559</v>
      </c>
      <c r="Y523" s="120">
        <v>0</v>
      </c>
      <c r="Z523" s="120">
        <v>0</v>
      </c>
      <c r="AA523" s="129">
        <v>0</v>
      </c>
      <c r="AB523" s="17">
        <v>0</v>
      </c>
      <c r="AC523" s="17">
        <v>0</v>
      </c>
      <c r="AD523" s="129">
        <v>0</v>
      </c>
      <c r="AE523" s="129">
        <v>0</v>
      </c>
      <c r="AF523" s="17">
        <v>0</v>
      </c>
      <c r="AG523" s="129">
        <v>0</v>
      </c>
      <c r="AH523" s="17">
        <v>0</v>
      </c>
      <c r="AI523" s="129">
        <v>0</v>
      </c>
      <c r="AJ523" s="33">
        <v>28.28</v>
      </c>
      <c r="AK523" s="17">
        <v>0</v>
      </c>
      <c r="AL523" s="32">
        <v>0</v>
      </c>
      <c r="AM523" s="780">
        <v>25.09</v>
      </c>
      <c r="AN523" s="89"/>
      <c r="AO523" s="507"/>
      <c r="AP523" s="262"/>
      <c r="AQ523" s="773" t="s">
        <v>1198</v>
      </c>
      <c r="AR523" s="188">
        <v>76</v>
      </c>
      <c r="AS523" s="171"/>
      <c r="AT523" s="171" t="str">
        <f t="shared" si="41"/>
        <v>279</v>
      </c>
      <c r="AU523" s="255">
        <f t="shared" si="42"/>
        <v>16.722397476340696</v>
      </c>
      <c r="AV523" s="172">
        <v>100</v>
      </c>
      <c r="AW523" s="171">
        <v>27</v>
      </c>
      <c r="AX523" s="89"/>
      <c r="AY523" s="171">
        <v>20.65</v>
      </c>
      <c r="AZ523" s="261"/>
      <c r="BA523" s="175">
        <v>83.8</v>
      </c>
      <c r="BB523" s="259"/>
      <c r="BC523" s="176"/>
      <c r="BD523" s="179"/>
      <c r="BE523" s="179"/>
      <c r="BF523" s="178" t="s">
        <v>2597</v>
      </c>
      <c r="BG523" s="25"/>
      <c r="BH523" s="25"/>
    </row>
    <row r="524" spans="1:60" ht="15" customHeight="1">
      <c r="A524" s="95">
        <v>523</v>
      </c>
      <c r="B524" s="98" t="s">
        <v>1203</v>
      </c>
      <c r="C524" s="191" t="s">
        <v>2651</v>
      </c>
      <c r="D524" s="257" t="s">
        <v>549</v>
      </c>
      <c r="E524" s="459" t="s">
        <v>3377</v>
      </c>
      <c r="F524" s="171">
        <v>1956</v>
      </c>
      <c r="G524" s="171">
        <v>162</v>
      </c>
      <c r="H524" s="57"/>
      <c r="I524" s="173" t="s">
        <v>1743</v>
      </c>
      <c r="J524" s="277">
        <v>0.45899999999999996</v>
      </c>
      <c r="K524" s="213">
        <v>6.5517241379310347</v>
      </c>
      <c r="L524" s="91"/>
      <c r="M524" s="278">
        <v>290</v>
      </c>
      <c r="N524" s="279"/>
      <c r="O524" s="172" t="s">
        <v>120</v>
      </c>
      <c r="P524" s="511"/>
      <c r="Q524" s="173" t="s">
        <v>2534</v>
      </c>
      <c r="R524" s="94"/>
      <c r="S524" s="94"/>
      <c r="T524" s="171"/>
      <c r="U524" s="171"/>
      <c r="V524" s="102">
        <v>0</v>
      </c>
      <c r="W524" s="120">
        <v>0</v>
      </c>
      <c r="X524" s="120">
        <v>0</v>
      </c>
      <c r="Y524" s="120">
        <v>0</v>
      </c>
      <c r="Z524" s="120">
        <v>0</v>
      </c>
      <c r="AA524" s="129">
        <v>0</v>
      </c>
      <c r="AB524" s="17">
        <v>0</v>
      </c>
      <c r="AC524" s="17">
        <v>0</v>
      </c>
      <c r="AD524" s="129">
        <v>0</v>
      </c>
      <c r="AE524" s="129">
        <v>0</v>
      </c>
      <c r="AF524" s="17">
        <v>0</v>
      </c>
      <c r="AG524" s="129">
        <v>0</v>
      </c>
      <c r="AH524" s="17">
        <v>0</v>
      </c>
      <c r="AI524" s="129">
        <v>0</v>
      </c>
      <c r="AJ524" s="33">
        <f>0.131034482758621*100</f>
        <v>13.103448275862101</v>
      </c>
      <c r="AK524" s="17">
        <v>0</v>
      </c>
      <c r="AL524" s="32">
        <v>0</v>
      </c>
      <c r="AM524" s="780">
        <v>25.77</v>
      </c>
      <c r="AN524" s="89"/>
      <c r="AO524" s="507"/>
      <c r="AP524" s="262"/>
      <c r="AQ524" s="773" t="s">
        <v>1198</v>
      </c>
      <c r="AR524" s="188">
        <v>76</v>
      </c>
      <c r="AS524" s="171"/>
      <c r="AT524" s="171" t="str">
        <f t="shared" si="41"/>
        <v>279</v>
      </c>
      <c r="AU524" s="255">
        <f t="shared" si="42"/>
        <v>16.722397476340696</v>
      </c>
      <c r="AV524" s="172">
        <v>100</v>
      </c>
      <c r="AW524" s="171">
        <v>27</v>
      </c>
      <c r="AX524" s="89"/>
      <c r="AY524" s="171">
        <v>20.65</v>
      </c>
      <c r="AZ524" s="261"/>
      <c r="BA524" s="175">
        <v>83.8</v>
      </c>
      <c r="BB524" s="259"/>
      <c r="BC524" s="176"/>
      <c r="BD524" s="179"/>
      <c r="BE524" s="179"/>
      <c r="BF524" s="178" t="s">
        <v>2597</v>
      </c>
      <c r="BG524" s="25"/>
      <c r="BH524" s="25"/>
    </row>
    <row r="525" spans="1:60" ht="15" customHeight="1">
      <c r="A525" s="95">
        <v>524</v>
      </c>
      <c r="B525" s="98" t="s">
        <v>1202</v>
      </c>
      <c r="C525" s="75" t="s">
        <v>2652</v>
      </c>
      <c r="D525" s="257" t="s">
        <v>549</v>
      </c>
      <c r="E525" s="459" t="s">
        <v>3377</v>
      </c>
      <c r="F525" s="171">
        <v>1956</v>
      </c>
      <c r="G525" s="171">
        <v>163</v>
      </c>
      <c r="H525" s="57"/>
      <c r="I525" s="173" t="s">
        <v>1743</v>
      </c>
      <c r="J525" s="277">
        <v>0.47499999999999998</v>
      </c>
      <c r="K525" s="90"/>
      <c r="L525" s="91"/>
      <c r="M525" s="278">
        <v>200</v>
      </c>
      <c r="N525" s="279"/>
      <c r="O525" s="172" t="s">
        <v>12</v>
      </c>
      <c r="P525" s="511"/>
      <c r="Q525" s="173" t="s">
        <v>10</v>
      </c>
      <c r="R525" s="94"/>
      <c r="S525" s="94"/>
      <c r="T525" s="171"/>
      <c r="U525" s="171"/>
      <c r="V525" s="102">
        <v>0</v>
      </c>
      <c r="W525" s="120">
        <v>27</v>
      </c>
      <c r="X525" s="120">
        <v>0</v>
      </c>
      <c r="Y525" s="120">
        <v>0</v>
      </c>
      <c r="Z525" s="120">
        <v>0</v>
      </c>
      <c r="AA525" s="129">
        <v>0</v>
      </c>
      <c r="AB525" s="17">
        <v>0</v>
      </c>
      <c r="AC525" s="17">
        <v>0</v>
      </c>
      <c r="AD525" s="129">
        <v>0</v>
      </c>
      <c r="AE525" s="129">
        <v>0</v>
      </c>
      <c r="AF525" s="17">
        <v>0</v>
      </c>
      <c r="AG525" s="129">
        <v>0</v>
      </c>
      <c r="AH525" s="17">
        <v>0</v>
      </c>
      <c r="AI525" s="129">
        <v>0</v>
      </c>
      <c r="AJ525" s="17">
        <v>0</v>
      </c>
      <c r="AK525" s="17">
        <v>0</v>
      </c>
      <c r="AL525" s="58" t="s">
        <v>2541</v>
      </c>
      <c r="AM525" s="780">
        <v>22.54</v>
      </c>
      <c r="AN525" s="89"/>
      <c r="AO525" s="507"/>
      <c r="AP525" s="262"/>
      <c r="AQ525" s="773" t="s">
        <v>1198</v>
      </c>
      <c r="AR525" s="188">
        <v>76</v>
      </c>
      <c r="AS525" s="171"/>
      <c r="AT525" s="171" t="str">
        <f t="shared" si="41"/>
        <v>279</v>
      </c>
      <c r="AU525" s="255">
        <f t="shared" si="42"/>
        <v>16.722397476340696</v>
      </c>
      <c r="AV525" s="172">
        <v>100</v>
      </c>
      <c r="AW525" s="171">
        <v>28</v>
      </c>
      <c r="AX525" s="89"/>
      <c r="AY525" s="171">
        <v>21</v>
      </c>
      <c r="AZ525" s="261"/>
      <c r="BA525" s="261"/>
      <c r="BB525" s="259"/>
      <c r="BC525" s="176"/>
      <c r="BD525" s="179"/>
      <c r="BE525" s="179"/>
      <c r="BF525" s="178" t="s">
        <v>1197</v>
      </c>
      <c r="BG525" s="25"/>
      <c r="BH525" s="25"/>
    </row>
    <row r="526" spans="1:60" ht="15" customHeight="1">
      <c r="A526" s="95">
        <v>525</v>
      </c>
      <c r="B526" s="98" t="s">
        <v>1201</v>
      </c>
      <c r="C526" s="75" t="s">
        <v>2652</v>
      </c>
      <c r="D526" s="257" t="s">
        <v>549</v>
      </c>
      <c r="E526" s="459" t="s">
        <v>3377</v>
      </c>
      <c r="F526" s="171">
        <v>1956</v>
      </c>
      <c r="G526" s="171">
        <v>163</v>
      </c>
      <c r="H526" s="57"/>
      <c r="I526" s="173" t="s">
        <v>1743</v>
      </c>
      <c r="J526" s="277">
        <v>0.47499999999999998</v>
      </c>
      <c r="K526" s="90"/>
      <c r="L526" s="91"/>
      <c r="M526" s="278">
        <v>123</v>
      </c>
      <c r="N526" s="279"/>
      <c r="O526" s="172" t="s">
        <v>12</v>
      </c>
      <c r="P526" s="511"/>
      <c r="Q526" s="173" t="s">
        <v>10</v>
      </c>
      <c r="R526" s="94"/>
      <c r="S526" s="94"/>
      <c r="T526" s="171"/>
      <c r="U526" s="171"/>
      <c r="V526" s="102">
        <v>0</v>
      </c>
      <c r="W526" s="120">
        <v>122.28171062198427</v>
      </c>
      <c r="X526" s="120">
        <v>0</v>
      </c>
      <c r="Y526" s="120">
        <v>0</v>
      </c>
      <c r="Z526" s="120">
        <v>0</v>
      </c>
      <c r="AA526" s="129">
        <v>0</v>
      </c>
      <c r="AB526" s="17">
        <v>0</v>
      </c>
      <c r="AC526" s="17">
        <v>0</v>
      </c>
      <c r="AD526" s="129">
        <v>0</v>
      </c>
      <c r="AE526" s="129">
        <v>0</v>
      </c>
      <c r="AF526" s="17">
        <v>0</v>
      </c>
      <c r="AG526" s="129">
        <v>0</v>
      </c>
      <c r="AH526" s="17">
        <v>0</v>
      </c>
      <c r="AI526" s="129">
        <v>0</v>
      </c>
      <c r="AJ526" s="17">
        <v>0</v>
      </c>
      <c r="AK526" s="17">
        <v>0</v>
      </c>
      <c r="AL526" s="58" t="s">
        <v>2541</v>
      </c>
      <c r="AM526" s="172" t="s">
        <v>559</v>
      </c>
      <c r="AN526" s="89"/>
      <c r="AO526" s="507"/>
      <c r="AP526" s="262"/>
      <c r="AQ526" s="773" t="s">
        <v>1198</v>
      </c>
      <c r="AR526" s="188">
        <v>76</v>
      </c>
      <c r="AS526" s="171"/>
      <c r="AT526" s="171" t="str">
        <f t="shared" ref="AT526:AT546" si="43">RIGHT(AQ526,LEN(AQ526)-FIND("x",AQ526,8))</f>
        <v>279</v>
      </c>
      <c r="AU526" s="255">
        <f t="shared" ref="AU526:AU546" si="44">IF(ISBLANK(AS526),(AR526*AT526)/((4*AT526)+(2*AR526)),AR526*AS526*AT526/2/(AR526*AS526+AR526*AT526+AS526*AT526))</f>
        <v>16.722397476340696</v>
      </c>
      <c r="AV526" s="172">
        <v>100</v>
      </c>
      <c r="AW526" s="171">
        <v>28</v>
      </c>
      <c r="AX526" s="89"/>
      <c r="AY526" s="171">
        <v>21</v>
      </c>
      <c r="AZ526" s="261"/>
      <c r="BA526" s="261"/>
      <c r="BB526" s="259"/>
      <c r="BC526" s="176"/>
      <c r="BD526" s="179"/>
      <c r="BE526" s="179"/>
      <c r="BF526" s="178" t="s">
        <v>1197</v>
      </c>
      <c r="BG526" s="25"/>
      <c r="BH526" s="25"/>
    </row>
    <row r="527" spans="1:60" ht="15" customHeight="1">
      <c r="A527" s="95">
        <v>526</v>
      </c>
      <c r="B527" s="98" t="s">
        <v>1200</v>
      </c>
      <c r="C527" s="75" t="s">
        <v>2652</v>
      </c>
      <c r="D527" s="257" t="s">
        <v>549</v>
      </c>
      <c r="E527" s="459" t="s">
        <v>3377</v>
      </c>
      <c r="F527" s="171">
        <v>1956</v>
      </c>
      <c r="G527" s="171">
        <v>163</v>
      </c>
      <c r="H527" s="57"/>
      <c r="I527" s="173" t="s">
        <v>1743</v>
      </c>
      <c r="J527" s="277">
        <v>0.52500000000000002</v>
      </c>
      <c r="K527" s="90"/>
      <c r="L527" s="91"/>
      <c r="M527" s="278">
        <v>169</v>
      </c>
      <c r="N527" s="279"/>
      <c r="O527" s="172" t="s">
        <v>12</v>
      </c>
      <c r="P527" s="511"/>
      <c r="Q527" s="173" t="s">
        <v>10</v>
      </c>
      <c r="R527" s="94"/>
      <c r="S527" s="94"/>
      <c r="T527" s="171"/>
      <c r="U527" s="171"/>
      <c r="V527" s="102">
        <v>0</v>
      </c>
      <c r="W527" s="120">
        <v>31.861629494765591</v>
      </c>
      <c r="X527" s="120">
        <v>0</v>
      </c>
      <c r="Y527" s="120">
        <v>0</v>
      </c>
      <c r="Z527" s="120">
        <v>0</v>
      </c>
      <c r="AA527" s="129">
        <v>0</v>
      </c>
      <c r="AB527" s="17">
        <v>0</v>
      </c>
      <c r="AC527" s="17">
        <v>0</v>
      </c>
      <c r="AD527" s="129">
        <v>0</v>
      </c>
      <c r="AE527" s="129">
        <v>0</v>
      </c>
      <c r="AF527" s="17">
        <v>0</v>
      </c>
      <c r="AG527" s="129">
        <v>0</v>
      </c>
      <c r="AH527" s="17">
        <v>0</v>
      </c>
      <c r="AI527" s="129">
        <v>0</v>
      </c>
      <c r="AJ527" s="17">
        <v>0</v>
      </c>
      <c r="AK527" s="17">
        <v>0</v>
      </c>
      <c r="AL527" s="58" t="s">
        <v>2541</v>
      </c>
      <c r="AM527" s="780">
        <v>16.170000000000002</v>
      </c>
      <c r="AN527" s="89"/>
      <c r="AO527" s="507"/>
      <c r="AP527" s="262"/>
      <c r="AQ527" s="773" t="s">
        <v>1198</v>
      </c>
      <c r="AR527" s="188">
        <v>76</v>
      </c>
      <c r="AS527" s="171"/>
      <c r="AT527" s="171" t="str">
        <f t="shared" si="43"/>
        <v>279</v>
      </c>
      <c r="AU527" s="255">
        <f t="shared" si="44"/>
        <v>16.722397476340696</v>
      </c>
      <c r="AV527" s="172">
        <v>100</v>
      </c>
      <c r="AW527" s="171">
        <v>28</v>
      </c>
      <c r="AX527" s="89"/>
      <c r="AY527" s="171">
        <v>21</v>
      </c>
      <c r="AZ527" s="261"/>
      <c r="BA527" s="261"/>
      <c r="BB527" s="259"/>
      <c r="BC527" s="176"/>
      <c r="BD527" s="179"/>
      <c r="BE527" s="179"/>
      <c r="BF527" s="178" t="s">
        <v>1197</v>
      </c>
      <c r="BG527" s="25"/>
      <c r="BH527" s="25"/>
    </row>
    <row r="528" spans="1:60" ht="15" customHeight="1">
      <c r="A528" s="95">
        <v>527</v>
      </c>
      <c r="B528" s="98" t="s">
        <v>1199</v>
      </c>
      <c r="C528" s="75" t="s">
        <v>2652</v>
      </c>
      <c r="D528" s="257" t="s">
        <v>549</v>
      </c>
      <c r="E528" s="459" t="s">
        <v>3377</v>
      </c>
      <c r="F528" s="171">
        <v>1956</v>
      </c>
      <c r="G528" s="171">
        <v>163</v>
      </c>
      <c r="H528" s="57"/>
      <c r="I528" s="173" t="s">
        <v>1743</v>
      </c>
      <c r="J528" s="277">
        <v>0.51500000000000001</v>
      </c>
      <c r="K528" s="90"/>
      <c r="L528" s="91"/>
      <c r="M528" s="278">
        <v>104</v>
      </c>
      <c r="N528" s="279"/>
      <c r="O528" s="172" t="s">
        <v>12</v>
      </c>
      <c r="P528" s="511"/>
      <c r="Q528" s="173" t="s">
        <v>10</v>
      </c>
      <c r="R528" s="94"/>
      <c r="S528" s="94"/>
      <c r="T528" s="171"/>
      <c r="U528" s="171"/>
      <c r="V528" s="102">
        <v>0</v>
      </c>
      <c r="W528" s="120">
        <v>144.23076923076923</v>
      </c>
      <c r="X528" s="120">
        <v>0</v>
      </c>
      <c r="Y528" s="120">
        <v>0</v>
      </c>
      <c r="Z528" s="120">
        <v>0</v>
      </c>
      <c r="AA528" s="129">
        <v>0</v>
      </c>
      <c r="AB528" s="17">
        <v>0</v>
      </c>
      <c r="AC528" s="17">
        <v>0</v>
      </c>
      <c r="AD528" s="129">
        <v>0</v>
      </c>
      <c r="AE528" s="129">
        <v>0</v>
      </c>
      <c r="AF528" s="17">
        <v>0</v>
      </c>
      <c r="AG528" s="129">
        <v>0</v>
      </c>
      <c r="AH528" s="17">
        <v>0</v>
      </c>
      <c r="AI528" s="129">
        <v>0</v>
      </c>
      <c r="AJ528" s="17">
        <v>0</v>
      </c>
      <c r="AK528" s="17">
        <v>0</v>
      </c>
      <c r="AL528" s="58" t="s">
        <v>2541</v>
      </c>
      <c r="AM528" s="172" t="s">
        <v>559</v>
      </c>
      <c r="AN528" s="89"/>
      <c r="AO528" s="507"/>
      <c r="AP528" s="262"/>
      <c r="AQ528" s="773" t="s">
        <v>1198</v>
      </c>
      <c r="AR528" s="188">
        <v>76</v>
      </c>
      <c r="AS528" s="171"/>
      <c r="AT528" s="171" t="str">
        <f t="shared" si="43"/>
        <v>279</v>
      </c>
      <c r="AU528" s="255">
        <f t="shared" si="44"/>
        <v>16.722397476340696</v>
      </c>
      <c r="AV528" s="172">
        <v>100</v>
      </c>
      <c r="AW528" s="171">
        <v>28</v>
      </c>
      <c r="AX528" s="89"/>
      <c r="AY528" s="171">
        <v>21</v>
      </c>
      <c r="AZ528" s="261"/>
      <c r="BA528" s="261"/>
      <c r="BB528" s="259"/>
      <c r="BC528" s="176"/>
      <c r="BD528" s="179"/>
      <c r="BE528" s="179"/>
      <c r="BF528" s="178" t="s">
        <v>1197</v>
      </c>
      <c r="BG528" s="25"/>
      <c r="BH528" s="25"/>
    </row>
    <row r="529" spans="1:60" ht="15" customHeight="1">
      <c r="A529" s="95">
        <v>528</v>
      </c>
      <c r="B529" s="98" t="s">
        <v>1196</v>
      </c>
      <c r="C529" s="75" t="s">
        <v>2653</v>
      </c>
      <c r="D529" s="257" t="s">
        <v>549</v>
      </c>
      <c r="E529" s="459" t="s">
        <v>3377</v>
      </c>
      <c r="F529" s="171">
        <v>1964</v>
      </c>
      <c r="G529" s="171">
        <v>165</v>
      </c>
      <c r="H529" s="57"/>
      <c r="I529" s="173" t="s">
        <v>1743</v>
      </c>
      <c r="J529" s="277">
        <v>0.4</v>
      </c>
      <c r="K529" s="213">
        <v>4.1463414634146343</v>
      </c>
      <c r="L529" s="91"/>
      <c r="M529" s="278">
        <v>410</v>
      </c>
      <c r="N529" s="279"/>
      <c r="O529" s="172" t="s">
        <v>120</v>
      </c>
      <c r="P529" s="511"/>
      <c r="Q529" s="173" t="s">
        <v>2535</v>
      </c>
      <c r="R529" s="506" t="s">
        <v>2308</v>
      </c>
      <c r="S529" s="94"/>
      <c r="T529" s="171"/>
      <c r="U529" s="171" t="s">
        <v>2308</v>
      </c>
      <c r="V529" s="102">
        <v>0</v>
      </c>
      <c r="W529" s="120">
        <v>0</v>
      </c>
      <c r="X529" s="120">
        <v>0</v>
      </c>
      <c r="Y529" s="120">
        <v>0</v>
      </c>
      <c r="Z529" s="120">
        <v>0</v>
      </c>
      <c r="AA529" s="129">
        <v>0</v>
      </c>
      <c r="AB529" s="17">
        <v>0</v>
      </c>
      <c r="AC529" s="17">
        <v>0</v>
      </c>
      <c r="AD529" s="129">
        <v>0</v>
      </c>
      <c r="AE529" s="129">
        <v>0</v>
      </c>
      <c r="AF529" s="17">
        <v>0</v>
      </c>
      <c r="AG529" s="129">
        <v>0</v>
      </c>
      <c r="AH529" s="17">
        <v>0</v>
      </c>
      <c r="AI529" s="129">
        <v>0</v>
      </c>
      <c r="AJ529" s="33">
        <f>(210/410)*100</f>
        <v>51.219512195121951</v>
      </c>
      <c r="AK529" s="17">
        <v>0</v>
      </c>
      <c r="AL529" s="32">
        <v>0</v>
      </c>
      <c r="AM529" s="780">
        <v>28.81</v>
      </c>
      <c r="AN529" s="89"/>
      <c r="AO529" s="507"/>
      <c r="AP529" s="781">
        <v>23520</v>
      </c>
      <c r="AQ529" s="773" t="s">
        <v>1180</v>
      </c>
      <c r="AR529" s="188">
        <v>76</v>
      </c>
      <c r="AS529" s="171"/>
      <c r="AT529" s="171" t="str">
        <f t="shared" si="43"/>
        <v>290</v>
      </c>
      <c r="AU529" s="255">
        <f t="shared" si="44"/>
        <v>16.798780487804876</v>
      </c>
      <c r="AV529" s="172">
        <v>100</v>
      </c>
      <c r="AW529" s="171">
        <v>7</v>
      </c>
      <c r="AX529" s="258">
        <v>21</v>
      </c>
      <c r="AY529" s="171">
        <v>21</v>
      </c>
      <c r="AZ529" s="261"/>
      <c r="BA529" s="175">
        <v>50</v>
      </c>
      <c r="BB529" s="259"/>
      <c r="BC529" s="176"/>
      <c r="BD529" s="179"/>
      <c r="BE529" s="179"/>
      <c r="BF529" s="178" t="s">
        <v>2722</v>
      </c>
      <c r="BG529" s="25"/>
      <c r="BH529" s="25"/>
    </row>
    <row r="530" spans="1:60" ht="15" customHeight="1">
      <c r="A530" s="95">
        <v>529</v>
      </c>
      <c r="B530" s="98" t="s">
        <v>1195</v>
      </c>
      <c r="C530" s="75" t="s">
        <v>2653</v>
      </c>
      <c r="D530" s="257" t="s">
        <v>549</v>
      </c>
      <c r="E530" s="459" t="s">
        <v>3377</v>
      </c>
      <c r="F530" s="171">
        <v>1964</v>
      </c>
      <c r="G530" s="171">
        <v>165</v>
      </c>
      <c r="H530" s="57"/>
      <c r="I530" s="173" t="s">
        <v>1743</v>
      </c>
      <c r="J530" s="277">
        <v>0.5</v>
      </c>
      <c r="K530" s="213">
        <v>5.7692307692307692</v>
      </c>
      <c r="L530" s="91"/>
      <c r="M530" s="278">
        <v>312</v>
      </c>
      <c r="N530" s="279"/>
      <c r="O530" s="172" t="s">
        <v>120</v>
      </c>
      <c r="P530" s="511"/>
      <c r="Q530" s="173" t="s">
        <v>2535</v>
      </c>
      <c r="R530" s="506" t="s">
        <v>2308</v>
      </c>
      <c r="S530" s="94"/>
      <c r="T530" s="171"/>
      <c r="U530" s="171" t="s">
        <v>2308</v>
      </c>
      <c r="V530" s="102">
        <v>0</v>
      </c>
      <c r="W530" s="120">
        <v>0</v>
      </c>
      <c r="X530" s="120">
        <v>0</v>
      </c>
      <c r="Y530" s="120">
        <v>0</v>
      </c>
      <c r="Z530" s="120">
        <v>0</v>
      </c>
      <c r="AA530" s="129">
        <v>0</v>
      </c>
      <c r="AB530" s="17">
        <v>0</v>
      </c>
      <c r="AC530" s="17">
        <v>0</v>
      </c>
      <c r="AD530" s="129">
        <v>0</v>
      </c>
      <c r="AE530" s="129">
        <v>0</v>
      </c>
      <c r="AF530" s="17">
        <v>0</v>
      </c>
      <c r="AG530" s="129">
        <v>0</v>
      </c>
      <c r="AH530" s="17">
        <v>0</v>
      </c>
      <c r="AI530" s="129">
        <v>0</v>
      </c>
      <c r="AJ530" s="33">
        <f>(35/312)*100</f>
        <v>11.217948717948719</v>
      </c>
      <c r="AK530" s="17">
        <v>0</v>
      </c>
      <c r="AL530" s="32">
        <v>0</v>
      </c>
      <c r="AM530" s="780">
        <v>20.68</v>
      </c>
      <c r="AN530" s="89"/>
      <c r="AO530" s="507"/>
      <c r="AP530" s="781">
        <v>22148</v>
      </c>
      <c r="AQ530" s="773" t="s">
        <v>1180</v>
      </c>
      <c r="AR530" s="188">
        <v>76</v>
      </c>
      <c r="AS530" s="171"/>
      <c r="AT530" s="171" t="str">
        <f t="shared" si="43"/>
        <v>290</v>
      </c>
      <c r="AU530" s="255">
        <f t="shared" si="44"/>
        <v>16.798780487804876</v>
      </c>
      <c r="AV530" s="172">
        <v>100</v>
      </c>
      <c r="AW530" s="171">
        <v>7</v>
      </c>
      <c r="AX530" s="258">
        <v>21</v>
      </c>
      <c r="AY530" s="171">
        <v>21</v>
      </c>
      <c r="AZ530" s="261"/>
      <c r="BA530" s="175">
        <v>50</v>
      </c>
      <c r="BB530" s="259"/>
      <c r="BC530" s="176"/>
      <c r="BD530" s="179"/>
      <c r="BE530" s="179"/>
      <c r="BF530" s="178" t="s">
        <v>2722</v>
      </c>
      <c r="BG530" s="25"/>
      <c r="BH530" s="25"/>
    </row>
    <row r="531" spans="1:60" ht="15" customHeight="1">
      <c r="A531" s="95">
        <v>530</v>
      </c>
      <c r="B531" s="98" t="s">
        <v>1194</v>
      </c>
      <c r="C531" s="75" t="s">
        <v>2653</v>
      </c>
      <c r="D531" s="257" t="s">
        <v>549</v>
      </c>
      <c r="E531" s="459" t="s">
        <v>3377</v>
      </c>
      <c r="F531" s="171">
        <v>1964</v>
      </c>
      <c r="G531" s="171">
        <v>165</v>
      </c>
      <c r="H531" s="57"/>
      <c r="I531" s="173" t="s">
        <v>1743</v>
      </c>
      <c r="J531" s="277">
        <v>0.6</v>
      </c>
      <c r="K531" s="213">
        <v>7.1984435797665371</v>
      </c>
      <c r="L531" s="91"/>
      <c r="M531" s="278">
        <v>257</v>
      </c>
      <c r="N531" s="279"/>
      <c r="O531" s="172" t="s">
        <v>120</v>
      </c>
      <c r="P531" s="511"/>
      <c r="Q531" s="173" t="s">
        <v>2535</v>
      </c>
      <c r="R531" s="506" t="s">
        <v>2308</v>
      </c>
      <c r="S531" s="94"/>
      <c r="T531" s="171"/>
      <c r="U531" s="171" t="s">
        <v>2308</v>
      </c>
      <c r="V531" s="102">
        <v>0</v>
      </c>
      <c r="W531" s="120">
        <v>0</v>
      </c>
      <c r="X531" s="120">
        <v>0</v>
      </c>
      <c r="Y531" s="120">
        <v>0</v>
      </c>
      <c r="Z531" s="120">
        <v>0</v>
      </c>
      <c r="AA531" s="129">
        <v>0</v>
      </c>
      <c r="AB531" s="17">
        <v>0</v>
      </c>
      <c r="AC531" s="17">
        <v>0</v>
      </c>
      <c r="AD531" s="129">
        <v>0</v>
      </c>
      <c r="AE531" s="129">
        <v>0</v>
      </c>
      <c r="AF531" s="17">
        <v>0</v>
      </c>
      <c r="AG531" s="129">
        <v>0</v>
      </c>
      <c r="AH531" s="17">
        <v>0</v>
      </c>
      <c r="AI531" s="129">
        <v>0</v>
      </c>
      <c r="AJ531" s="33">
        <f>(25/257)*100</f>
        <v>9.7276264591439698</v>
      </c>
      <c r="AK531" s="17">
        <v>0</v>
      </c>
      <c r="AL531" s="32">
        <v>0</v>
      </c>
      <c r="AM531" s="780">
        <v>16.37</v>
      </c>
      <c r="AN531" s="89"/>
      <c r="AO531" s="507"/>
      <c r="AP531" s="781">
        <v>17934</v>
      </c>
      <c r="AQ531" s="773" t="s">
        <v>1180</v>
      </c>
      <c r="AR531" s="188">
        <v>76</v>
      </c>
      <c r="AS531" s="171"/>
      <c r="AT531" s="171" t="str">
        <f t="shared" si="43"/>
        <v>290</v>
      </c>
      <c r="AU531" s="255">
        <f t="shared" si="44"/>
        <v>16.798780487804876</v>
      </c>
      <c r="AV531" s="172">
        <v>100</v>
      </c>
      <c r="AW531" s="171">
        <v>7</v>
      </c>
      <c r="AX531" s="258">
        <v>21</v>
      </c>
      <c r="AY531" s="171">
        <v>21</v>
      </c>
      <c r="AZ531" s="261"/>
      <c r="BA531" s="175">
        <v>50</v>
      </c>
      <c r="BB531" s="259"/>
      <c r="BC531" s="176"/>
      <c r="BD531" s="179"/>
      <c r="BE531" s="179"/>
      <c r="BF531" s="178" t="s">
        <v>2722</v>
      </c>
      <c r="BG531" s="25"/>
      <c r="BH531" s="25"/>
    </row>
    <row r="532" spans="1:60" ht="15" customHeight="1">
      <c r="A532" s="95">
        <v>531</v>
      </c>
      <c r="B532" s="98" t="s">
        <v>1193</v>
      </c>
      <c r="C532" s="75" t="s">
        <v>2653</v>
      </c>
      <c r="D532" s="257" t="s">
        <v>549</v>
      </c>
      <c r="E532" s="459" t="s">
        <v>3377</v>
      </c>
      <c r="F532" s="171">
        <v>1964</v>
      </c>
      <c r="G532" s="171">
        <v>165</v>
      </c>
      <c r="H532" s="57"/>
      <c r="I532" s="173" t="s">
        <v>1743</v>
      </c>
      <c r="J532" s="277">
        <v>0.4</v>
      </c>
      <c r="K532" s="213">
        <v>4.1029411764705879</v>
      </c>
      <c r="L532" s="91"/>
      <c r="M532" s="278">
        <v>408</v>
      </c>
      <c r="N532" s="279"/>
      <c r="O532" s="172" t="s">
        <v>120</v>
      </c>
      <c r="P532" s="89"/>
      <c r="Q532" s="173" t="s">
        <v>2533</v>
      </c>
      <c r="R532" s="506" t="s">
        <v>2308</v>
      </c>
      <c r="S532" s="94"/>
      <c r="T532" s="171"/>
      <c r="U532" s="171" t="s">
        <v>3345</v>
      </c>
      <c r="V532" s="102">
        <v>0</v>
      </c>
      <c r="W532" s="120">
        <v>0</v>
      </c>
      <c r="X532" s="120" t="s">
        <v>2559</v>
      </c>
      <c r="Y532" s="120">
        <v>0</v>
      </c>
      <c r="Z532" s="120">
        <v>0</v>
      </c>
      <c r="AA532" s="129">
        <v>0</v>
      </c>
      <c r="AB532" s="17">
        <v>0</v>
      </c>
      <c r="AC532" s="17">
        <v>0</v>
      </c>
      <c r="AD532" s="129">
        <v>0</v>
      </c>
      <c r="AE532" s="129">
        <v>0</v>
      </c>
      <c r="AF532" s="17">
        <v>0</v>
      </c>
      <c r="AG532" s="129">
        <v>0</v>
      </c>
      <c r="AH532" s="17">
        <v>0</v>
      </c>
      <c r="AI532" s="129">
        <v>0</v>
      </c>
      <c r="AJ532" s="33">
        <v>39.200000000000003</v>
      </c>
      <c r="AK532" s="17">
        <v>0</v>
      </c>
      <c r="AL532" s="32">
        <v>0</v>
      </c>
      <c r="AM532" s="780">
        <v>28.13</v>
      </c>
      <c r="AN532" s="89"/>
      <c r="AO532" s="507"/>
      <c r="AP532" s="781">
        <v>21560</v>
      </c>
      <c r="AQ532" s="773" t="s">
        <v>1180</v>
      </c>
      <c r="AR532" s="188">
        <v>76</v>
      </c>
      <c r="AS532" s="171"/>
      <c r="AT532" s="171" t="str">
        <f t="shared" si="43"/>
        <v>290</v>
      </c>
      <c r="AU532" s="255">
        <f t="shared" si="44"/>
        <v>16.798780487804876</v>
      </c>
      <c r="AV532" s="172">
        <v>100</v>
      </c>
      <c r="AW532" s="171">
        <v>7</v>
      </c>
      <c r="AX532" s="258">
        <v>21</v>
      </c>
      <c r="AY532" s="171">
        <v>21</v>
      </c>
      <c r="AZ532" s="261"/>
      <c r="BA532" s="175">
        <v>50</v>
      </c>
      <c r="BB532" s="259"/>
      <c r="BC532" s="176"/>
      <c r="BD532" s="179"/>
      <c r="BE532" s="179"/>
      <c r="BF532" s="178" t="s">
        <v>2722</v>
      </c>
      <c r="BG532" s="25"/>
      <c r="BH532" s="25"/>
    </row>
    <row r="533" spans="1:60" ht="15" customHeight="1">
      <c r="A533" s="95">
        <v>532</v>
      </c>
      <c r="B533" s="98" t="s">
        <v>1192</v>
      </c>
      <c r="C533" s="75" t="s">
        <v>2653</v>
      </c>
      <c r="D533" s="257" t="s">
        <v>549</v>
      </c>
      <c r="E533" s="459" t="s">
        <v>3377</v>
      </c>
      <c r="F533" s="171">
        <v>1964</v>
      </c>
      <c r="G533" s="171">
        <v>165</v>
      </c>
      <c r="H533" s="57"/>
      <c r="I533" s="173" t="s">
        <v>1743</v>
      </c>
      <c r="J533" s="277">
        <v>0.5</v>
      </c>
      <c r="K533" s="213">
        <v>6.04</v>
      </c>
      <c r="L533" s="91"/>
      <c r="M533" s="278">
        <v>300</v>
      </c>
      <c r="N533" s="279"/>
      <c r="O533" s="172" t="s">
        <v>120</v>
      </c>
      <c r="P533" s="89"/>
      <c r="Q533" s="173" t="s">
        <v>2533</v>
      </c>
      <c r="R533" s="506" t="s">
        <v>2308</v>
      </c>
      <c r="S533" s="94"/>
      <c r="T533" s="171"/>
      <c r="U533" s="171" t="s">
        <v>3345</v>
      </c>
      <c r="V533" s="102">
        <v>0</v>
      </c>
      <c r="W533" s="120">
        <v>0</v>
      </c>
      <c r="X533" s="120" t="s">
        <v>2559</v>
      </c>
      <c r="Y533" s="120">
        <v>0</v>
      </c>
      <c r="Z533" s="120">
        <v>0</v>
      </c>
      <c r="AA533" s="129">
        <v>0</v>
      </c>
      <c r="AB533" s="17">
        <v>0</v>
      </c>
      <c r="AC533" s="17">
        <v>0</v>
      </c>
      <c r="AD533" s="129">
        <v>0</v>
      </c>
      <c r="AE533" s="129">
        <v>0</v>
      </c>
      <c r="AF533" s="17">
        <v>0</v>
      </c>
      <c r="AG533" s="129">
        <v>0</v>
      </c>
      <c r="AH533" s="17">
        <v>0</v>
      </c>
      <c r="AI533" s="129">
        <v>0</v>
      </c>
      <c r="AJ533" s="33">
        <f>(32/300)*100</f>
        <v>10.666666666666668</v>
      </c>
      <c r="AK533" s="17">
        <v>0</v>
      </c>
      <c r="AL533" s="32">
        <v>0</v>
      </c>
      <c r="AM533" s="780">
        <v>22.74</v>
      </c>
      <c r="AN533" s="89"/>
      <c r="AO533" s="507"/>
      <c r="AP533" s="781">
        <v>20580</v>
      </c>
      <c r="AQ533" s="773" t="s">
        <v>1180</v>
      </c>
      <c r="AR533" s="188">
        <v>76</v>
      </c>
      <c r="AS533" s="171"/>
      <c r="AT533" s="171" t="str">
        <f t="shared" si="43"/>
        <v>290</v>
      </c>
      <c r="AU533" s="255">
        <f t="shared" si="44"/>
        <v>16.798780487804876</v>
      </c>
      <c r="AV533" s="172">
        <v>100</v>
      </c>
      <c r="AW533" s="171">
        <v>7</v>
      </c>
      <c r="AX533" s="258">
        <v>21</v>
      </c>
      <c r="AY533" s="171">
        <v>21</v>
      </c>
      <c r="AZ533" s="261"/>
      <c r="BA533" s="175">
        <v>50</v>
      </c>
      <c r="BB533" s="259"/>
      <c r="BC533" s="176"/>
      <c r="BD533" s="179"/>
      <c r="BE533" s="179"/>
      <c r="BF533" s="178" t="s">
        <v>2722</v>
      </c>
      <c r="BG533" s="25"/>
      <c r="BH533" s="25"/>
    </row>
    <row r="534" spans="1:60" ht="15" customHeight="1">
      <c r="A534" s="95">
        <v>533</v>
      </c>
      <c r="B534" s="98" t="s">
        <v>1191</v>
      </c>
      <c r="C534" s="75" t="s">
        <v>2653</v>
      </c>
      <c r="D534" s="257" t="s">
        <v>549</v>
      </c>
      <c r="E534" s="459" t="s">
        <v>3377</v>
      </c>
      <c r="F534" s="171">
        <v>1964</v>
      </c>
      <c r="G534" s="171">
        <v>165</v>
      </c>
      <c r="H534" s="57"/>
      <c r="I534" s="173" t="s">
        <v>1743</v>
      </c>
      <c r="J534" s="277">
        <v>0.6</v>
      </c>
      <c r="K534" s="213">
        <v>7.7190082644628095</v>
      </c>
      <c r="L534" s="91"/>
      <c r="M534" s="278">
        <v>242</v>
      </c>
      <c r="N534" s="279"/>
      <c r="O534" s="172" t="s">
        <v>120</v>
      </c>
      <c r="P534" s="89"/>
      <c r="Q534" s="173" t="s">
        <v>2533</v>
      </c>
      <c r="R534" s="506" t="s">
        <v>2308</v>
      </c>
      <c r="S534" s="94"/>
      <c r="T534" s="171"/>
      <c r="U534" s="171" t="s">
        <v>3345</v>
      </c>
      <c r="V534" s="102">
        <v>0</v>
      </c>
      <c r="W534" s="120">
        <v>0</v>
      </c>
      <c r="X534" s="120" t="s">
        <v>2559</v>
      </c>
      <c r="Y534" s="120">
        <v>0</v>
      </c>
      <c r="Z534" s="120">
        <v>0</v>
      </c>
      <c r="AA534" s="129">
        <v>0</v>
      </c>
      <c r="AB534" s="17">
        <v>0</v>
      </c>
      <c r="AC534" s="17">
        <v>0</v>
      </c>
      <c r="AD534" s="129">
        <v>0</v>
      </c>
      <c r="AE534" s="129">
        <v>0</v>
      </c>
      <c r="AF534" s="17">
        <v>0</v>
      </c>
      <c r="AG534" s="129">
        <v>0</v>
      </c>
      <c r="AH534" s="17">
        <v>0</v>
      </c>
      <c r="AI534" s="129">
        <v>0</v>
      </c>
      <c r="AJ534" s="33">
        <f>(24/242)*100</f>
        <v>9.9173553719008272</v>
      </c>
      <c r="AK534" s="17">
        <v>0</v>
      </c>
      <c r="AL534" s="32">
        <v>0</v>
      </c>
      <c r="AM534" s="780">
        <v>18.329999999999998</v>
      </c>
      <c r="AN534" s="89"/>
      <c r="AO534" s="507"/>
      <c r="AP534" s="781">
        <v>19894</v>
      </c>
      <c r="AQ534" s="773" t="s">
        <v>1180</v>
      </c>
      <c r="AR534" s="188">
        <v>76</v>
      </c>
      <c r="AS534" s="171"/>
      <c r="AT534" s="171" t="str">
        <f t="shared" si="43"/>
        <v>290</v>
      </c>
      <c r="AU534" s="255">
        <f t="shared" si="44"/>
        <v>16.798780487804876</v>
      </c>
      <c r="AV534" s="172">
        <v>100</v>
      </c>
      <c r="AW534" s="171">
        <v>7</v>
      </c>
      <c r="AX534" s="258">
        <v>21</v>
      </c>
      <c r="AY534" s="171">
        <v>21</v>
      </c>
      <c r="AZ534" s="261"/>
      <c r="BA534" s="175">
        <v>50</v>
      </c>
      <c r="BB534" s="259"/>
      <c r="BC534" s="176"/>
      <c r="BD534" s="179"/>
      <c r="BE534" s="179"/>
      <c r="BF534" s="178" t="s">
        <v>2722</v>
      </c>
      <c r="BG534" s="25"/>
      <c r="BH534" s="25"/>
    </row>
    <row r="535" spans="1:60" ht="15" customHeight="1">
      <c r="A535" s="95">
        <v>534</v>
      </c>
      <c r="B535" s="98" t="s">
        <v>1190</v>
      </c>
      <c r="C535" s="75" t="s">
        <v>2653</v>
      </c>
      <c r="D535" s="257" t="s">
        <v>549</v>
      </c>
      <c r="E535" s="459" t="s">
        <v>3377</v>
      </c>
      <c r="F535" s="171">
        <v>1964</v>
      </c>
      <c r="G535" s="171">
        <v>165</v>
      </c>
      <c r="H535" s="57"/>
      <c r="I535" s="173" t="s">
        <v>1743</v>
      </c>
      <c r="J535" s="277">
        <v>0.4</v>
      </c>
      <c r="K535" s="213">
        <v>4.1463414634146343</v>
      </c>
      <c r="L535" s="91"/>
      <c r="M535" s="278">
        <v>410</v>
      </c>
      <c r="N535" s="279"/>
      <c r="O535" s="172" t="s">
        <v>120</v>
      </c>
      <c r="P535" s="511"/>
      <c r="Q535" s="173" t="s">
        <v>2535</v>
      </c>
      <c r="R535" s="506" t="s">
        <v>2308</v>
      </c>
      <c r="S535" s="94"/>
      <c r="T535" s="171"/>
      <c r="U535" s="171" t="s">
        <v>2308</v>
      </c>
      <c r="V535" s="102">
        <v>0</v>
      </c>
      <c r="W535" s="120">
        <v>0</v>
      </c>
      <c r="X535" s="120">
        <v>0</v>
      </c>
      <c r="Y535" s="120">
        <v>0</v>
      </c>
      <c r="Z535" s="120">
        <v>0</v>
      </c>
      <c r="AA535" s="129">
        <v>0</v>
      </c>
      <c r="AB535" s="17">
        <v>0</v>
      </c>
      <c r="AC535" s="17">
        <v>0</v>
      </c>
      <c r="AD535" s="129">
        <v>0</v>
      </c>
      <c r="AE535" s="129">
        <v>0</v>
      </c>
      <c r="AF535" s="17">
        <v>0</v>
      </c>
      <c r="AG535" s="129">
        <v>0</v>
      </c>
      <c r="AH535" s="17">
        <v>0</v>
      </c>
      <c r="AI535" s="129">
        <v>0</v>
      </c>
      <c r="AJ535" s="33">
        <f>(210/410)*100</f>
        <v>51.219512195121951</v>
      </c>
      <c r="AK535" s="17">
        <v>0</v>
      </c>
      <c r="AL535" s="32">
        <v>0</v>
      </c>
      <c r="AM535" s="780">
        <v>28.81</v>
      </c>
      <c r="AN535" s="89"/>
      <c r="AO535" s="507"/>
      <c r="AP535" s="781">
        <v>23520</v>
      </c>
      <c r="AQ535" s="773" t="s">
        <v>1180</v>
      </c>
      <c r="AR535" s="188">
        <v>76</v>
      </c>
      <c r="AS535" s="171"/>
      <c r="AT535" s="171" t="str">
        <f t="shared" si="43"/>
        <v>290</v>
      </c>
      <c r="AU535" s="255">
        <f t="shared" si="44"/>
        <v>16.798780487804876</v>
      </c>
      <c r="AV535" s="172">
        <v>50</v>
      </c>
      <c r="AW535" s="171">
        <v>7</v>
      </c>
      <c r="AX535" s="89"/>
      <c r="AY535" s="171">
        <v>21</v>
      </c>
      <c r="AZ535" s="261"/>
      <c r="BA535" s="175">
        <v>50</v>
      </c>
      <c r="BB535" s="259"/>
      <c r="BC535" s="176"/>
      <c r="BD535" s="179"/>
      <c r="BE535" s="179"/>
      <c r="BF535" s="178" t="s">
        <v>2722</v>
      </c>
      <c r="BG535" s="25"/>
      <c r="BH535" s="25"/>
    </row>
    <row r="536" spans="1:60" ht="15" customHeight="1">
      <c r="A536" s="95">
        <v>535</v>
      </c>
      <c r="B536" s="98" t="s">
        <v>1189</v>
      </c>
      <c r="C536" s="75" t="s">
        <v>2653</v>
      </c>
      <c r="D536" s="257" t="s">
        <v>549</v>
      </c>
      <c r="E536" s="459" t="s">
        <v>3377</v>
      </c>
      <c r="F536" s="171">
        <v>1964</v>
      </c>
      <c r="G536" s="171">
        <v>165</v>
      </c>
      <c r="H536" s="57"/>
      <c r="I536" s="173" t="s">
        <v>1743</v>
      </c>
      <c r="J536" s="277">
        <v>0.6</v>
      </c>
      <c r="K536" s="213">
        <v>7.1984435797665371</v>
      </c>
      <c r="L536" s="91"/>
      <c r="M536" s="278">
        <v>257</v>
      </c>
      <c r="N536" s="279"/>
      <c r="O536" s="172" t="s">
        <v>120</v>
      </c>
      <c r="P536" s="511"/>
      <c r="Q536" s="173" t="s">
        <v>2535</v>
      </c>
      <c r="R536" s="506" t="s">
        <v>2308</v>
      </c>
      <c r="S536" s="94"/>
      <c r="T536" s="171"/>
      <c r="U536" s="171" t="s">
        <v>2308</v>
      </c>
      <c r="V536" s="102">
        <v>0</v>
      </c>
      <c r="W536" s="120">
        <v>0</v>
      </c>
      <c r="X536" s="120">
        <v>0</v>
      </c>
      <c r="Y536" s="120">
        <v>0</v>
      </c>
      <c r="Z536" s="120">
        <v>0</v>
      </c>
      <c r="AA536" s="129">
        <v>0</v>
      </c>
      <c r="AB536" s="17">
        <v>0</v>
      </c>
      <c r="AC536" s="17">
        <v>0</v>
      </c>
      <c r="AD536" s="129">
        <v>0</v>
      </c>
      <c r="AE536" s="129">
        <v>0</v>
      </c>
      <c r="AF536" s="17">
        <v>0</v>
      </c>
      <c r="AG536" s="129">
        <v>0</v>
      </c>
      <c r="AH536" s="17">
        <v>0</v>
      </c>
      <c r="AI536" s="129">
        <v>0</v>
      </c>
      <c r="AJ536" s="33">
        <f>(25/257)*100</f>
        <v>9.7276264591439698</v>
      </c>
      <c r="AK536" s="17">
        <v>0</v>
      </c>
      <c r="AL536" s="32">
        <v>0</v>
      </c>
      <c r="AM536" s="780">
        <v>16.37</v>
      </c>
      <c r="AN536" s="89"/>
      <c r="AO536" s="507"/>
      <c r="AP536" s="781">
        <v>17934</v>
      </c>
      <c r="AQ536" s="773" t="s">
        <v>1180</v>
      </c>
      <c r="AR536" s="188">
        <v>76</v>
      </c>
      <c r="AS536" s="171"/>
      <c r="AT536" s="171" t="str">
        <f t="shared" si="43"/>
        <v>290</v>
      </c>
      <c r="AU536" s="255">
        <f t="shared" si="44"/>
        <v>16.798780487804876</v>
      </c>
      <c r="AV536" s="172">
        <v>50</v>
      </c>
      <c r="AW536" s="171">
        <v>7</v>
      </c>
      <c r="AX536" s="89"/>
      <c r="AY536" s="171">
        <v>21</v>
      </c>
      <c r="AZ536" s="261"/>
      <c r="BA536" s="175">
        <v>50</v>
      </c>
      <c r="BB536" s="259"/>
      <c r="BC536" s="176"/>
      <c r="BD536" s="179"/>
      <c r="BE536" s="179"/>
      <c r="BF536" s="178" t="s">
        <v>2722</v>
      </c>
      <c r="BG536" s="25"/>
      <c r="BH536" s="25"/>
    </row>
    <row r="537" spans="1:60" ht="15" customHeight="1">
      <c r="A537" s="95">
        <v>536</v>
      </c>
      <c r="B537" s="98" t="s">
        <v>1188</v>
      </c>
      <c r="C537" s="75" t="s">
        <v>2653</v>
      </c>
      <c r="D537" s="257" t="s">
        <v>549</v>
      </c>
      <c r="E537" s="459" t="s">
        <v>3377</v>
      </c>
      <c r="F537" s="171">
        <v>1964</v>
      </c>
      <c r="G537" s="171">
        <v>165</v>
      </c>
      <c r="H537" s="57"/>
      <c r="I537" s="173" t="s">
        <v>1743</v>
      </c>
      <c r="J537" s="277">
        <v>0.5</v>
      </c>
      <c r="K537" s="213">
        <v>5.7692307692307692</v>
      </c>
      <c r="L537" s="91"/>
      <c r="M537" s="278">
        <v>312</v>
      </c>
      <c r="N537" s="279"/>
      <c r="O537" s="172" t="s">
        <v>120</v>
      </c>
      <c r="P537" s="511"/>
      <c r="Q537" s="173" t="s">
        <v>2535</v>
      </c>
      <c r="R537" s="506" t="s">
        <v>2308</v>
      </c>
      <c r="S537" s="94"/>
      <c r="T537" s="171"/>
      <c r="U537" s="171" t="s">
        <v>2308</v>
      </c>
      <c r="V537" s="102">
        <v>0</v>
      </c>
      <c r="W537" s="120">
        <v>0</v>
      </c>
      <c r="X537" s="120">
        <v>0</v>
      </c>
      <c r="Y537" s="120">
        <v>0</v>
      </c>
      <c r="Z537" s="120">
        <v>0</v>
      </c>
      <c r="AA537" s="129">
        <v>0</v>
      </c>
      <c r="AB537" s="17">
        <v>0</v>
      </c>
      <c r="AC537" s="17">
        <v>0</v>
      </c>
      <c r="AD537" s="129">
        <v>0</v>
      </c>
      <c r="AE537" s="129">
        <v>0</v>
      </c>
      <c r="AF537" s="17">
        <v>0</v>
      </c>
      <c r="AG537" s="129">
        <v>0</v>
      </c>
      <c r="AH537" s="17">
        <v>0</v>
      </c>
      <c r="AI537" s="129">
        <v>0</v>
      </c>
      <c r="AJ537" s="33">
        <f>(35/312)*100</f>
        <v>11.217948717948719</v>
      </c>
      <c r="AK537" s="17">
        <v>0</v>
      </c>
      <c r="AL537" s="32">
        <v>0</v>
      </c>
      <c r="AM537" s="780">
        <v>20.68</v>
      </c>
      <c r="AN537" s="89"/>
      <c r="AO537" s="507"/>
      <c r="AP537" s="781">
        <v>22148</v>
      </c>
      <c r="AQ537" s="773" t="s">
        <v>1180</v>
      </c>
      <c r="AR537" s="188">
        <v>76</v>
      </c>
      <c r="AS537" s="171"/>
      <c r="AT537" s="171" t="str">
        <f t="shared" si="43"/>
        <v>290</v>
      </c>
      <c r="AU537" s="255">
        <f t="shared" si="44"/>
        <v>16.798780487804876</v>
      </c>
      <c r="AV537" s="172">
        <v>50</v>
      </c>
      <c r="AW537" s="171">
        <v>7</v>
      </c>
      <c r="AX537" s="89"/>
      <c r="AY537" s="171">
        <v>21</v>
      </c>
      <c r="AZ537" s="261"/>
      <c r="BA537" s="175">
        <v>50</v>
      </c>
      <c r="BB537" s="259"/>
      <c r="BC537" s="176"/>
      <c r="BD537" s="179"/>
      <c r="BE537" s="179"/>
      <c r="BF537" s="178" t="s">
        <v>2722</v>
      </c>
      <c r="BG537" s="25"/>
      <c r="BH537" s="25"/>
    </row>
    <row r="538" spans="1:60" ht="15" customHeight="1">
      <c r="A538" s="95">
        <v>537</v>
      </c>
      <c r="B538" s="98" t="s">
        <v>1187</v>
      </c>
      <c r="C538" s="75" t="s">
        <v>2653</v>
      </c>
      <c r="D538" s="257" t="s">
        <v>549</v>
      </c>
      <c r="E538" s="459" t="s">
        <v>3377</v>
      </c>
      <c r="F538" s="171">
        <v>1964</v>
      </c>
      <c r="G538" s="171">
        <v>165</v>
      </c>
      <c r="H538" s="57"/>
      <c r="I538" s="173" t="s">
        <v>1743</v>
      </c>
      <c r="J538" s="277">
        <v>0.5</v>
      </c>
      <c r="K538" s="213">
        <v>5.7692307692307692</v>
      </c>
      <c r="L538" s="91"/>
      <c r="M538" s="278">
        <v>312</v>
      </c>
      <c r="N538" s="279"/>
      <c r="O538" s="172" t="s">
        <v>120</v>
      </c>
      <c r="P538" s="511"/>
      <c r="Q538" s="173" t="s">
        <v>2535</v>
      </c>
      <c r="R538" s="506" t="s">
        <v>2308</v>
      </c>
      <c r="S538" s="94"/>
      <c r="T538" s="171"/>
      <c r="U538" s="171" t="s">
        <v>2308</v>
      </c>
      <c r="V538" s="102">
        <v>0</v>
      </c>
      <c r="W538" s="120">
        <v>0</v>
      </c>
      <c r="X538" s="120">
        <v>0</v>
      </c>
      <c r="Y538" s="120">
        <v>0</v>
      </c>
      <c r="Z538" s="120">
        <v>0</v>
      </c>
      <c r="AA538" s="129">
        <v>0</v>
      </c>
      <c r="AB538" s="17">
        <v>0</v>
      </c>
      <c r="AC538" s="17">
        <v>0</v>
      </c>
      <c r="AD538" s="129">
        <v>0</v>
      </c>
      <c r="AE538" s="129">
        <v>0</v>
      </c>
      <c r="AF538" s="17">
        <v>0</v>
      </c>
      <c r="AG538" s="129">
        <v>0</v>
      </c>
      <c r="AH538" s="17">
        <v>0</v>
      </c>
      <c r="AI538" s="129">
        <v>0</v>
      </c>
      <c r="AJ538" s="33">
        <f>(35/312)*100</f>
        <v>11.217948717948719</v>
      </c>
      <c r="AK538" s="17">
        <v>0</v>
      </c>
      <c r="AL538" s="32">
        <v>0</v>
      </c>
      <c r="AM538" s="780">
        <v>20.68</v>
      </c>
      <c r="AN538" s="89"/>
      <c r="AO538" s="507"/>
      <c r="AP538" s="781">
        <v>22148</v>
      </c>
      <c r="AQ538" s="773" t="s">
        <v>1180</v>
      </c>
      <c r="AR538" s="188">
        <v>76</v>
      </c>
      <c r="AS538" s="171"/>
      <c r="AT538" s="171" t="str">
        <f t="shared" si="43"/>
        <v>290</v>
      </c>
      <c r="AU538" s="255">
        <f t="shared" si="44"/>
        <v>16.798780487804876</v>
      </c>
      <c r="AV538" s="172">
        <v>100</v>
      </c>
      <c r="AW538" s="171">
        <v>7</v>
      </c>
      <c r="AX538" s="258">
        <v>21</v>
      </c>
      <c r="AY538" s="171">
        <v>21</v>
      </c>
      <c r="AZ538" s="261"/>
      <c r="BA538" s="175">
        <v>50</v>
      </c>
      <c r="BB538" s="259"/>
      <c r="BC538" s="176" t="s">
        <v>558</v>
      </c>
      <c r="BD538" s="179"/>
      <c r="BE538" s="179"/>
      <c r="BF538" s="178" t="s">
        <v>2722</v>
      </c>
      <c r="BG538" s="25"/>
      <c r="BH538" s="25"/>
    </row>
    <row r="539" spans="1:60" ht="15" customHeight="1">
      <c r="A539" s="95">
        <v>538</v>
      </c>
      <c r="B539" s="98" t="s">
        <v>1186</v>
      </c>
      <c r="C539" s="75" t="s">
        <v>2653</v>
      </c>
      <c r="D539" s="257" t="s">
        <v>549</v>
      </c>
      <c r="E539" s="459" t="s">
        <v>3377</v>
      </c>
      <c r="F539" s="171">
        <v>1964</v>
      </c>
      <c r="G539" s="171">
        <v>165</v>
      </c>
      <c r="H539" s="57"/>
      <c r="I539" s="173" t="s">
        <v>1743</v>
      </c>
      <c r="J539" s="277">
        <v>0.5</v>
      </c>
      <c r="K539" s="213">
        <v>5.7692307692307692</v>
      </c>
      <c r="L539" s="91"/>
      <c r="M539" s="278">
        <v>312</v>
      </c>
      <c r="N539" s="279"/>
      <c r="O539" s="172" t="s">
        <v>120</v>
      </c>
      <c r="P539" s="511"/>
      <c r="Q539" s="173" t="s">
        <v>2535</v>
      </c>
      <c r="R539" s="506" t="s">
        <v>2308</v>
      </c>
      <c r="S539" s="94"/>
      <c r="T539" s="171"/>
      <c r="U539" s="171" t="s">
        <v>2308</v>
      </c>
      <c r="V539" s="102">
        <v>0</v>
      </c>
      <c r="W539" s="120">
        <v>0</v>
      </c>
      <c r="X539" s="120">
        <v>0</v>
      </c>
      <c r="Y539" s="120">
        <v>0</v>
      </c>
      <c r="Z539" s="120">
        <v>0</v>
      </c>
      <c r="AA539" s="17">
        <v>0</v>
      </c>
      <c r="AB539" s="17">
        <v>0</v>
      </c>
      <c r="AC539" s="17">
        <v>0</v>
      </c>
      <c r="AD539" s="17">
        <v>0</v>
      </c>
      <c r="AE539" s="17">
        <v>0</v>
      </c>
      <c r="AF539" s="17">
        <v>0</v>
      </c>
      <c r="AG539" s="17">
        <v>0</v>
      </c>
      <c r="AH539" s="17">
        <v>0</v>
      </c>
      <c r="AI539" s="17">
        <v>0</v>
      </c>
      <c r="AJ539" s="33">
        <f>(35/312)*100</f>
        <v>11.217948717948719</v>
      </c>
      <c r="AK539" s="17">
        <v>0</v>
      </c>
      <c r="AL539" s="32">
        <v>0</v>
      </c>
      <c r="AM539" s="780">
        <v>20.68</v>
      </c>
      <c r="AN539" s="89"/>
      <c r="AO539" s="507"/>
      <c r="AP539" s="781">
        <v>22148</v>
      </c>
      <c r="AQ539" s="773" t="s">
        <v>1180</v>
      </c>
      <c r="AR539" s="188">
        <v>76</v>
      </c>
      <c r="AS539" s="171"/>
      <c r="AT539" s="171" t="str">
        <f t="shared" si="43"/>
        <v>290</v>
      </c>
      <c r="AU539" s="255">
        <f t="shared" si="44"/>
        <v>16.798780487804876</v>
      </c>
      <c r="AV539" s="172">
        <v>100</v>
      </c>
      <c r="AW539" s="171">
        <v>7</v>
      </c>
      <c r="AX539" s="258">
        <v>21</v>
      </c>
      <c r="AY539" s="171">
        <v>21</v>
      </c>
      <c r="AZ539" s="261"/>
      <c r="BA539" s="175">
        <v>50</v>
      </c>
      <c r="BB539" s="259"/>
      <c r="BC539" s="176" t="s">
        <v>558</v>
      </c>
      <c r="BD539" s="179"/>
      <c r="BE539" s="179"/>
      <c r="BF539" s="178" t="s">
        <v>2722</v>
      </c>
      <c r="BG539" s="25"/>
      <c r="BH539" s="25"/>
    </row>
    <row r="540" spans="1:60" ht="15" customHeight="1">
      <c r="A540" s="95">
        <v>539</v>
      </c>
      <c r="B540" s="98" t="s">
        <v>1185</v>
      </c>
      <c r="C540" s="75" t="s">
        <v>2653</v>
      </c>
      <c r="D540" s="257" t="s">
        <v>549</v>
      </c>
      <c r="E540" s="459" t="s">
        <v>3377</v>
      </c>
      <c r="F540" s="171">
        <v>1964</v>
      </c>
      <c r="G540" s="171">
        <v>165</v>
      </c>
      <c r="H540" s="57"/>
      <c r="I540" s="173" t="s">
        <v>1743</v>
      </c>
      <c r="J540" s="277">
        <v>0.4</v>
      </c>
      <c r="K540" s="213">
        <v>4.1029411764705879</v>
      </c>
      <c r="L540" s="91"/>
      <c r="M540" s="278">
        <v>408</v>
      </c>
      <c r="N540" s="279"/>
      <c r="O540" s="172" t="s">
        <v>120</v>
      </c>
      <c r="P540" s="89"/>
      <c r="Q540" s="173" t="s">
        <v>2533</v>
      </c>
      <c r="R540" s="506" t="s">
        <v>2308</v>
      </c>
      <c r="S540" s="94"/>
      <c r="T540" s="171"/>
      <c r="U540" s="171" t="s">
        <v>3345</v>
      </c>
      <c r="V540" s="102">
        <v>0</v>
      </c>
      <c r="W540" s="120">
        <v>0</v>
      </c>
      <c r="X540" s="120" t="s">
        <v>2559</v>
      </c>
      <c r="Y540" s="120">
        <v>0</v>
      </c>
      <c r="Z540" s="120">
        <v>0</v>
      </c>
      <c r="AA540" s="17">
        <v>0</v>
      </c>
      <c r="AB540" s="17">
        <v>0</v>
      </c>
      <c r="AC540" s="17">
        <v>0</v>
      </c>
      <c r="AD540" s="17">
        <v>0</v>
      </c>
      <c r="AE540" s="17">
        <v>0</v>
      </c>
      <c r="AF540" s="17">
        <v>0</v>
      </c>
      <c r="AG540" s="17">
        <v>0</v>
      </c>
      <c r="AH540" s="17">
        <v>0</v>
      </c>
      <c r="AI540" s="17">
        <v>0</v>
      </c>
      <c r="AJ540" s="33">
        <f>(160/408)*100</f>
        <v>39.215686274509807</v>
      </c>
      <c r="AK540" s="17">
        <v>0</v>
      </c>
      <c r="AL540" s="32">
        <v>0</v>
      </c>
      <c r="AM540" s="780">
        <v>28.13</v>
      </c>
      <c r="AN540" s="89"/>
      <c r="AO540" s="507"/>
      <c r="AP540" s="781">
        <v>21560</v>
      </c>
      <c r="AQ540" s="773" t="s">
        <v>1180</v>
      </c>
      <c r="AR540" s="188">
        <v>76</v>
      </c>
      <c r="AS540" s="171"/>
      <c r="AT540" s="171" t="str">
        <f t="shared" si="43"/>
        <v>290</v>
      </c>
      <c r="AU540" s="255">
        <f t="shared" si="44"/>
        <v>16.798780487804876</v>
      </c>
      <c r="AV540" s="172">
        <v>50</v>
      </c>
      <c r="AW540" s="171">
        <v>7</v>
      </c>
      <c r="AX540" s="89"/>
      <c r="AY540" s="171">
        <v>21</v>
      </c>
      <c r="AZ540" s="261"/>
      <c r="BA540" s="175">
        <v>50</v>
      </c>
      <c r="BB540" s="259"/>
      <c r="BC540" s="176"/>
      <c r="BD540" s="179"/>
      <c r="BE540" s="179"/>
      <c r="BF540" s="178" t="s">
        <v>2722</v>
      </c>
      <c r="BG540" s="25"/>
      <c r="BH540" s="25"/>
    </row>
    <row r="541" spans="1:60" ht="15" customHeight="1">
      <c r="A541" s="95">
        <v>540</v>
      </c>
      <c r="B541" s="98" t="s">
        <v>1184</v>
      </c>
      <c r="C541" s="75" t="s">
        <v>2653</v>
      </c>
      <c r="D541" s="257" t="s">
        <v>549</v>
      </c>
      <c r="E541" s="459" t="s">
        <v>3377</v>
      </c>
      <c r="F541" s="171">
        <v>1964</v>
      </c>
      <c r="G541" s="171">
        <v>165</v>
      </c>
      <c r="H541" s="57"/>
      <c r="I541" s="173" t="s">
        <v>1743</v>
      </c>
      <c r="J541" s="277">
        <v>0.6</v>
      </c>
      <c r="K541" s="213">
        <v>7.7190082644628095</v>
      </c>
      <c r="L541" s="91"/>
      <c r="M541" s="278">
        <v>242</v>
      </c>
      <c r="N541" s="279"/>
      <c r="O541" s="172" t="s">
        <v>120</v>
      </c>
      <c r="P541" s="89"/>
      <c r="Q541" s="173" t="s">
        <v>2533</v>
      </c>
      <c r="R541" s="506" t="s">
        <v>2308</v>
      </c>
      <c r="S541" s="94"/>
      <c r="T541" s="171"/>
      <c r="U541" s="171" t="s">
        <v>3345</v>
      </c>
      <c r="V541" s="102">
        <v>0</v>
      </c>
      <c r="W541" s="120">
        <v>0</v>
      </c>
      <c r="X541" s="120" t="s">
        <v>2559</v>
      </c>
      <c r="Y541" s="120">
        <v>0</v>
      </c>
      <c r="Z541" s="120">
        <v>0</v>
      </c>
      <c r="AA541" s="17">
        <v>0</v>
      </c>
      <c r="AB541" s="17">
        <v>0</v>
      </c>
      <c r="AC541" s="17">
        <v>0</v>
      </c>
      <c r="AD541" s="17">
        <v>0</v>
      </c>
      <c r="AE541" s="17">
        <v>0</v>
      </c>
      <c r="AF541" s="17">
        <v>0</v>
      </c>
      <c r="AG541" s="17">
        <v>0</v>
      </c>
      <c r="AH541" s="17">
        <v>0</v>
      </c>
      <c r="AI541" s="17">
        <v>0</v>
      </c>
      <c r="AJ541" s="33">
        <f>(24/242)*100</f>
        <v>9.9173553719008272</v>
      </c>
      <c r="AK541" s="17">
        <v>0</v>
      </c>
      <c r="AL541" s="32">
        <v>0</v>
      </c>
      <c r="AM541" s="780">
        <v>18.329999999999998</v>
      </c>
      <c r="AN541" s="89"/>
      <c r="AO541" s="507"/>
      <c r="AP541" s="781">
        <v>19894</v>
      </c>
      <c r="AQ541" s="773" t="s">
        <v>1180</v>
      </c>
      <c r="AR541" s="188">
        <v>76</v>
      </c>
      <c r="AS541" s="171"/>
      <c r="AT541" s="171" t="str">
        <f t="shared" si="43"/>
        <v>290</v>
      </c>
      <c r="AU541" s="255">
        <f t="shared" si="44"/>
        <v>16.798780487804876</v>
      </c>
      <c r="AV541" s="172">
        <v>50</v>
      </c>
      <c r="AW541" s="171">
        <v>7</v>
      </c>
      <c r="AX541" s="89"/>
      <c r="AY541" s="171">
        <v>21</v>
      </c>
      <c r="AZ541" s="261"/>
      <c r="BA541" s="175">
        <v>50</v>
      </c>
      <c r="BB541" s="259"/>
      <c r="BC541" s="176"/>
      <c r="BD541" s="179"/>
      <c r="BE541" s="179"/>
      <c r="BF541" s="178" t="s">
        <v>2722</v>
      </c>
      <c r="BG541" s="25"/>
      <c r="BH541" s="25"/>
    </row>
    <row r="542" spans="1:60" ht="15" customHeight="1">
      <c r="A542" s="95">
        <v>541</v>
      </c>
      <c r="B542" s="98" t="s">
        <v>1183</v>
      </c>
      <c r="C542" s="75" t="s">
        <v>2653</v>
      </c>
      <c r="D542" s="257" t="s">
        <v>549</v>
      </c>
      <c r="E542" s="459" t="s">
        <v>3377</v>
      </c>
      <c r="F542" s="171">
        <v>1964</v>
      </c>
      <c r="G542" s="171">
        <v>165</v>
      </c>
      <c r="H542" s="57"/>
      <c r="I542" s="173" t="s">
        <v>1743</v>
      </c>
      <c r="J542" s="277">
        <v>0.5</v>
      </c>
      <c r="K542" s="213">
        <v>6.04</v>
      </c>
      <c r="L542" s="91"/>
      <c r="M542" s="278">
        <v>300</v>
      </c>
      <c r="N542" s="279"/>
      <c r="O542" s="172" t="s">
        <v>120</v>
      </c>
      <c r="P542" s="89"/>
      <c r="Q542" s="173" t="s">
        <v>2533</v>
      </c>
      <c r="R542" s="506" t="s">
        <v>2308</v>
      </c>
      <c r="S542" s="94"/>
      <c r="T542" s="171"/>
      <c r="U542" s="171" t="s">
        <v>3345</v>
      </c>
      <c r="V542" s="102">
        <v>0</v>
      </c>
      <c r="W542" s="120">
        <v>0</v>
      </c>
      <c r="X542" s="120" t="s">
        <v>2559</v>
      </c>
      <c r="Y542" s="120">
        <v>0</v>
      </c>
      <c r="Z542" s="120">
        <v>0</v>
      </c>
      <c r="AA542" s="17">
        <v>0</v>
      </c>
      <c r="AB542" s="17">
        <v>0</v>
      </c>
      <c r="AC542" s="17">
        <v>0</v>
      </c>
      <c r="AD542" s="17">
        <v>0</v>
      </c>
      <c r="AE542" s="17">
        <v>0</v>
      </c>
      <c r="AF542" s="17">
        <v>0</v>
      </c>
      <c r="AG542" s="17">
        <v>0</v>
      </c>
      <c r="AH542" s="17">
        <v>0</v>
      </c>
      <c r="AI542" s="17">
        <v>0</v>
      </c>
      <c r="AJ542" s="33">
        <f>(32/300)*100</f>
        <v>10.666666666666668</v>
      </c>
      <c r="AK542" s="17">
        <v>0</v>
      </c>
      <c r="AL542" s="32">
        <v>0</v>
      </c>
      <c r="AM542" s="780">
        <v>22.74</v>
      </c>
      <c r="AN542" s="89"/>
      <c r="AO542" s="507"/>
      <c r="AP542" s="781">
        <v>20580</v>
      </c>
      <c r="AQ542" s="773" t="s">
        <v>1180</v>
      </c>
      <c r="AR542" s="188">
        <v>76</v>
      </c>
      <c r="AS542" s="171"/>
      <c r="AT542" s="171" t="str">
        <f t="shared" si="43"/>
        <v>290</v>
      </c>
      <c r="AU542" s="255">
        <f t="shared" si="44"/>
        <v>16.798780487804876</v>
      </c>
      <c r="AV542" s="172">
        <v>50</v>
      </c>
      <c r="AW542" s="171">
        <v>7</v>
      </c>
      <c r="AX542" s="89"/>
      <c r="AY542" s="171">
        <v>21</v>
      </c>
      <c r="AZ542" s="261"/>
      <c r="BA542" s="175">
        <v>50</v>
      </c>
      <c r="BB542" s="259"/>
      <c r="BC542" s="176"/>
      <c r="BD542" s="179"/>
      <c r="BE542" s="179"/>
      <c r="BF542" s="178" t="s">
        <v>2722</v>
      </c>
      <c r="BG542" s="25"/>
      <c r="BH542" s="25"/>
    </row>
    <row r="543" spans="1:60" ht="15" customHeight="1">
      <c r="A543" s="95">
        <v>542</v>
      </c>
      <c r="B543" s="98" t="s">
        <v>1182</v>
      </c>
      <c r="C543" s="75" t="s">
        <v>2653</v>
      </c>
      <c r="D543" s="257" t="s">
        <v>549</v>
      </c>
      <c r="E543" s="459" t="s">
        <v>3377</v>
      </c>
      <c r="F543" s="171">
        <v>1964</v>
      </c>
      <c r="G543" s="171">
        <v>165</v>
      </c>
      <c r="H543" s="57"/>
      <c r="I543" s="173" t="s">
        <v>1743</v>
      </c>
      <c r="J543" s="277">
        <v>0.5</v>
      </c>
      <c r="K543" s="213">
        <v>6.04</v>
      </c>
      <c r="L543" s="91"/>
      <c r="M543" s="278">
        <v>300</v>
      </c>
      <c r="N543" s="279"/>
      <c r="O543" s="172" t="s">
        <v>120</v>
      </c>
      <c r="P543" s="89"/>
      <c r="Q543" s="173" t="s">
        <v>2533</v>
      </c>
      <c r="R543" s="506" t="s">
        <v>2308</v>
      </c>
      <c r="S543" s="94"/>
      <c r="T543" s="171"/>
      <c r="U543" s="171" t="s">
        <v>3345</v>
      </c>
      <c r="V543" s="102">
        <v>0</v>
      </c>
      <c r="W543" s="120">
        <v>0</v>
      </c>
      <c r="X543" s="120" t="s">
        <v>2559</v>
      </c>
      <c r="Y543" s="120">
        <v>0</v>
      </c>
      <c r="Z543" s="120">
        <v>0</v>
      </c>
      <c r="AA543" s="17">
        <v>0</v>
      </c>
      <c r="AB543" s="17">
        <v>0</v>
      </c>
      <c r="AC543" s="17">
        <v>0</v>
      </c>
      <c r="AD543" s="17">
        <v>0</v>
      </c>
      <c r="AE543" s="17">
        <v>0</v>
      </c>
      <c r="AF543" s="17">
        <v>0</v>
      </c>
      <c r="AG543" s="17">
        <v>0</v>
      </c>
      <c r="AH543" s="17">
        <v>0</v>
      </c>
      <c r="AI543" s="17">
        <v>0</v>
      </c>
      <c r="AJ543" s="33">
        <f>(32/300)*100</f>
        <v>10.666666666666668</v>
      </c>
      <c r="AK543" s="17">
        <v>0</v>
      </c>
      <c r="AL543" s="32">
        <v>0</v>
      </c>
      <c r="AM543" s="780">
        <v>22.74</v>
      </c>
      <c r="AN543" s="89"/>
      <c r="AO543" s="507"/>
      <c r="AP543" s="781">
        <v>20580</v>
      </c>
      <c r="AQ543" s="773" t="s">
        <v>1180</v>
      </c>
      <c r="AR543" s="188">
        <v>76</v>
      </c>
      <c r="AS543" s="171"/>
      <c r="AT543" s="171" t="str">
        <f t="shared" si="43"/>
        <v>290</v>
      </c>
      <c r="AU543" s="255">
        <f t="shared" si="44"/>
        <v>16.798780487804876</v>
      </c>
      <c r="AV543" s="172">
        <v>100</v>
      </c>
      <c r="AW543" s="171">
        <v>7</v>
      </c>
      <c r="AX543" s="258">
        <v>21</v>
      </c>
      <c r="AY543" s="171">
        <v>21</v>
      </c>
      <c r="AZ543" s="261"/>
      <c r="BA543" s="175">
        <v>50</v>
      </c>
      <c r="BB543" s="259"/>
      <c r="BC543" s="176"/>
      <c r="BD543" s="179"/>
      <c r="BE543" s="179"/>
      <c r="BF543" s="178" t="s">
        <v>2722</v>
      </c>
      <c r="BG543" s="25"/>
      <c r="BH543" s="25"/>
    </row>
    <row r="544" spans="1:60" ht="15" customHeight="1">
      <c r="A544" s="95">
        <v>543</v>
      </c>
      <c r="B544" s="98" t="s">
        <v>1181</v>
      </c>
      <c r="C544" s="75" t="s">
        <v>2653</v>
      </c>
      <c r="D544" s="257" t="s">
        <v>549</v>
      </c>
      <c r="E544" s="459" t="s">
        <v>3377</v>
      </c>
      <c r="F544" s="171">
        <v>1964</v>
      </c>
      <c r="G544" s="171">
        <v>165</v>
      </c>
      <c r="H544" s="57"/>
      <c r="I544" s="173" t="s">
        <v>1743</v>
      </c>
      <c r="J544" s="277">
        <v>0.5</v>
      </c>
      <c r="K544" s="213">
        <v>6.04</v>
      </c>
      <c r="L544" s="91"/>
      <c r="M544" s="278">
        <v>300</v>
      </c>
      <c r="N544" s="279"/>
      <c r="O544" s="172" t="s">
        <v>120</v>
      </c>
      <c r="P544" s="89"/>
      <c r="Q544" s="173" t="s">
        <v>2533</v>
      </c>
      <c r="R544" s="65" t="s">
        <v>2308</v>
      </c>
      <c r="S544" s="94"/>
      <c r="T544" s="171"/>
      <c r="U544" s="171" t="s">
        <v>3345</v>
      </c>
      <c r="V544" s="102">
        <v>0</v>
      </c>
      <c r="W544" s="120">
        <v>0</v>
      </c>
      <c r="X544" s="120" t="s">
        <v>2559</v>
      </c>
      <c r="Y544" s="120">
        <v>0</v>
      </c>
      <c r="Z544" s="120">
        <v>0</v>
      </c>
      <c r="AA544" s="17">
        <v>0</v>
      </c>
      <c r="AB544" s="17">
        <v>0</v>
      </c>
      <c r="AC544" s="17">
        <v>0</v>
      </c>
      <c r="AD544" s="17">
        <v>0</v>
      </c>
      <c r="AE544" s="17">
        <v>0</v>
      </c>
      <c r="AF544" s="17">
        <v>0</v>
      </c>
      <c r="AG544" s="17">
        <v>0</v>
      </c>
      <c r="AH544" s="17">
        <v>0</v>
      </c>
      <c r="AI544" s="17">
        <v>0</v>
      </c>
      <c r="AJ544" s="33">
        <f>(32/300)*100</f>
        <v>10.666666666666668</v>
      </c>
      <c r="AK544" s="17">
        <v>0</v>
      </c>
      <c r="AL544" s="32">
        <v>0</v>
      </c>
      <c r="AM544" s="780">
        <v>22.74</v>
      </c>
      <c r="AN544" s="89"/>
      <c r="AO544" s="507"/>
      <c r="AP544" s="781">
        <v>20580</v>
      </c>
      <c r="AQ544" s="773" t="s">
        <v>1180</v>
      </c>
      <c r="AR544" s="188">
        <v>76</v>
      </c>
      <c r="AS544" s="171"/>
      <c r="AT544" s="171" t="str">
        <f t="shared" si="43"/>
        <v>290</v>
      </c>
      <c r="AU544" s="255">
        <f t="shared" si="44"/>
        <v>16.798780487804876</v>
      </c>
      <c r="AV544" s="172">
        <v>100</v>
      </c>
      <c r="AW544" s="171">
        <v>7</v>
      </c>
      <c r="AX544" s="258">
        <v>21</v>
      </c>
      <c r="AY544" s="171">
        <v>21</v>
      </c>
      <c r="AZ544" s="261"/>
      <c r="BA544" s="175">
        <v>50</v>
      </c>
      <c r="BB544" s="259"/>
      <c r="BC544" s="176"/>
      <c r="BD544" s="179"/>
      <c r="BE544" s="179"/>
      <c r="BF544" s="178" t="s">
        <v>2722</v>
      </c>
      <c r="BG544" s="25"/>
      <c r="BH544" s="25"/>
    </row>
    <row r="545" spans="1:60" ht="15" customHeight="1">
      <c r="A545" s="95">
        <v>544</v>
      </c>
      <c r="B545" s="98" t="s">
        <v>1179</v>
      </c>
      <c r="C545" s="75" t="s">
        <v>2654</v>
      </c>
      <c r="D545" s="257" t="s">
        <v>549</v>
      </c>
      <c r="E545" s="459" t="s">
        <v>3377</v>
      </c>
      <c r="F545" s="171">
        <v>1965</v>
      </c>
      <c r="G545" s="171">
        <v>166</v>
      </c>
      <c r="H545" s="57"/>
      <c r="I545" s="173" t="s">
        <v>1751</v>
      </c>
      <c r="J545" s="277">
        <v>0.45</v>
      </c>
      <c r="K545" s="213">
        <v>2</v>
      </c>
      <c r="L545" s="91"/>
      <c r="M545" s="278">
        <v>744</v>
      </c>
      <c r="N545" s="279"/>
      <c r="O545" s="172" t="s">
        <v>12</v>
      </c>
      <c r="P545" s="92"/>
      <c r="Q545" s="173" t="s">
        <v>10</v>
      </c>
      <c r="R545" s="507"/>
      <c r="S545" s="94"/>
      <c r="T545" s="171"/>
      <c r="U545" s="171"/>
      <c r="V545" s="102">
        <v>0</v>
      </c>
      <c r="W545" s="120">
        <v>0</v>
      </c>
      <c r="X545" s="120">
        <v>0</v>
      </c>
      <c r="Y545" s="120">
        <v>0</v>
      </c>
      <c r="Z545" s="120">
        <v>0</v>
      </c>
      <c r="AA545" s="17">
        <v>0</v>
      </c>
      <c r="AB545" s="17">
        <v>0</v>
      </c>
      <c r="AC545" s="17">
        <v>0</v>
      </c>
      <c r="AD545" s="17">
        <v>0</v>
      </c>
      <c r="AE545" s="17">
        <v>0</v>
      </c>
      <c r="AF545" s="17">
        <v>0</v>
      </c>
      <c r="AG545" s="17">
        <v>0</v>
      </c>
      <c r="AH545" s="17">
        <v>0</v>
      </c>
      <c r="AI545" s="17">
        <v>0</v>
      </c>
      <c r="AJ545" s="17">
        <v>1</v>
      </c>
      <c r="AK545" s="17">
        <v>0</v>
      </c>
      <c r="AL545" s="32">
        <v>0</v>
      </c>
      <c r="AM545" s="57"/>
      <c r="AN545" s="89"/>
      <c r="AO545" s="171">
        <v>21</v>
      </c>
      <c r="AP545" s="782"/>
      <c r="AQ545" s="773" t="s">
        <v>1177</v>
      </c>
      <c r="AR545" s="188">
        <v>160</v>
      </c>
      <c r="AS545" s="171"/>
      <c r="AT545" s="171" t="str">
        <f t="shared" si="43"/>
        <v>40</v>
      </c>
      <c r="AU545" s="255">
        <f t="shared" si="44"/>
        <v>13.333333333333334</v>
      </c>
      <c r="AV545" s="57"/>
      <c r="AW545" s="171">
        <v>0</v>
      </c>
      <c r="AX545" s="89"/>
      <c r="AY545" s="171">
        <v>20</v>
      </c>
      <c r="AZ545" s="261"/>
      <c r="BA545" s="175">
        <v>55</v>
      </c>
      <c r="BB545" s="259"/>
      <c r="BC545" s="176"/>
      <c r="BD545" s="179"/>
      <c r="BE545" s="179"/>
      <c r="BF545" s="178" t="s">
        <v>2537</v>
      </c>
      <c r="BG545" s="25"/>
      <c r="BH545" s="25"/>
    </row>
    <row r="546" spans="1:60" ht="15" customHeight="1">
      <c r="A546" s="95">
        <v>545</v>
      </c>
      <c r="B546" s="98" t="s">
        <v>1178</v>
      </c>
      <c r="C546" s="75" t="s">
        <v>2654</v>
      </c>
      <c r="D546" s="257" t="s">
        <v>549</v>
      </c>
      <c r="E546" s="459" t="s">
        <v>3377</v>
      </c>
      <c r="F546" s="171">
        <v>1965</v>
      </c>
      <c r="G546" s="171">
        <v>166</v>
      </c>
      <c r="H546" s="57"/>
      <c r="I546" s="173" t="s">
        <v>1751</v>
      </c>
      <c r="J546" s="277">
        <v>0.45</v>
      </c>
      <c r="K546" s="213">
        <v>2</v>
      </c>
      <c r="L546" s="91"/>
      <c r="M546" s="278">
        <v>744</v>
      </c>
      <c r="N546" s="279"/>
      <c r="O546" s="172" t="s">
        <v>12</v>
      </c>
      <c r="P546" s="92"/>
      <c r="Q546" s="173" t="s">
        <v>10</v>
      </c>
      <c r="R546" s="507"/>
      <c r="S546" s="94"/>
      <c r="T546" s="171"/>
      <c r="U546" s="171"/>
      <c r="V546" s="102">
        <v>0</v>
      </c>
      <c r="W546" s="120">
        <v>0</v>
      </c>
      <c r="X546" s="120">
        <v>0</v>
      </c>
      <c r="Y546" s="120">
        <v>0</v>
      </c>
      <c r="Z546" s="120">
        <v>0</v>
      </c>
      <c r="AA546" s="17">
        <v>0</v>
      </c>
      <c r="AB546" s="17">
        <v>0</v>
      </c>
      <c r="AC546" s="17">
        <v>0</v>
      </c>
      <c r="AD546" s="17">
        <v>0</v>
      </c>
      <c r="AE546" s="17">
        <v>0</v>
      </c>
      <c r="AF546" s="17">
        <v>0</v>
      </c>
      <c r="AG546" s="17">
        <v>0</v>
      </c>
      <c r="AH546" s="17">
        <v>0</v>
      </c>
      <c r="AI546" s="17">
        <v>0</v>
      </c>
      <c r="AJ546" s="17">
        <v>1</v>
      </c>
      <c r="AK546" s="17">
        <v>0</v>
      </c>
      <c r="AL546" s="32">
        <v>0</v>
      </c>
      <c r="AM546" s="57"/>
      <c r="AN546" s="89"/>
      <c r="AO546" s="171">
        <v>19</v>
      </c>
      <c r="AP546" s="782"/>
      <c r="AQ546" s="773" t="s">
        <v>1177</v>
      </c>
      <c r="AR546" s="188">
        <v>160</v>
      </c>
      <c r="AS546" s="171"/>
      <c r="AT546" s="171" t="str">
        <f t="shared" si="43"/>
        <v>40</v>
      </c>
      <c r="AU546" s="255">
        <f t="shared" si="44"/>
        <v>13.333333333333334</v>
      </c>
      <c r="AV546" s="57"/>
      <c r="AW546" s="171">
        <v>0</v>
      </c>
      <c r="AX546" s="89"/>
      <c r="AY546" s="171">
        <v>20</v>
      </c>
      <c r="AZ546" s="261"/>
      <c r="BA546" s="175">
        <v>55</v>
      </c>
      <c r="BB546" s="259"/>
      <c r="BC546" s="176"/>
      <c r="BD546" s="179"/>
      <c r="BE546" s="179"/>
      <c r="BF546" s="178" t="s">
        <v>2537</v>
      </c>
      <c r="BG546" s="25"/>
      <c r="BH546" s="25"/>
    </row>
    <row r="547" spans="1:60" ht="15" customHeight="1">
      <c r="A547" s="95">
        <v>546</v>
      </c>
      <c r="B547" s="98" t="s">
        <v>1176</v>
      </c>
      <c r="C547" s="75" t="s">
        <v>2654</v>
      </c>
      <c r="D547" s="257" t="s">
        <v>549</v>
      </c>
      <c r="E547" s="459" t="s">
        <v>3377</v>
      </c>
      <c r="F547" s="171">
        <v>1965</v>
      </c>
      <c r="G547" s="171">
        <v>166</v>
      </c>
      <c r="H547" s="57"/>
      <c r="I547" s="173" t="s">
        <v>2536</v>
      </c>
      <c r="J547" s="277">
        <v>0.4</v>
      </c>
      <c r="K547" s="90"/>
      <c r="L547" s="91"/>
      <c r="M547" s="89"/>
      <c r="N547" s="89"/>
      <c r="O547" s="172" t="s">
        <v>120</v>
      </c>
      <c r="P547" s="92"/>
      <c r="Q547" s="253" t="s">
        <v>3454</v>
      </c>
      <c r="R547" s="507"/>
      <c r="S547" s="94"/>
      <c r="T547" s="171"/>
      <c r="U547" s="171"/>
      <c r="V547" s="102"/>
      <c r="W547" s="120">
        <v>0</v>
      </c>
      <c r="X547" s="120">
        <v>0</v>
      </c>
      <c r="Y547" s="120">
        <v>0</v>
      </c>
      <c r="Z547" s="120">
        <v>0</v>
      </c>
      <c r="AA547" s="17">
        <v>0</v>
      </c>
      <c r="AB547" s="17">
        <v>0</v>
      </c>
      <c r="AC547" s="17">
        <v>0</v>
      </c>
      <c r="AD547" s="17">
        <v>0</v>
      </c>
      <c r="AE547" s="17">
        <v>0</v>
      </c>
      <c r="AF547" s="17">
        <v>0</v>
      </c>
      <c r="AG547" s="17">
        <v>0</v>
      </c>
      <c r="AH547" s="17">
        <v>0</v>
      </c>
      <c r="AI547" s="17">
        <v>0</v>
      </c>
      <c r="AJ547" s="17">
        <v>0</v>
      </c>
      <c r="AK547" s="17">
        <v>0</v>
      </c>
      <c r="AL547" s="32">
        <v>0</v>
      </c>
      <c r="AM547" s="57"/>
      <c r="AN547" s="89"/>
      <c r="AO547" s="171">
        <v>20</v>
      </c>
      <c r="AP547" s="782"/>
      <c r="AQ547" s="773" t="s">
        <v>530</v>
      </c>
      <c r="AR547" s="174">
        <v>50</v>
      </c>
      <c r="AS547" s="171"/>
      <c r="AT547" s="171" t="str">
        <f t="shared" ref="AT547:AT553" si="45">RIGHT(AQ547,LEN(AQ547)-FIND("x",AQ547,1))</f>
        <v>200</v>
      </c>
      <c r="AU547" s="255">
        <f t="shared" ref="AU547:AU553" si="46">(AR547*AT547)/((2*AT547)+(2*AR547))</f>
        <v>20</v>
      </c>
      <c r="AV547" s="57"/>
      <c r="AW547" s="171">
        <v>0</v>
      </c>
      <c r="AX547" s="89"/>
      <c r="AY547" s="171">
        <v>20</v>
      </c>
      <c r="AZ547" s="261"/>
      <c r="BA547" s="175">
        <v>55</v>
      </c>
      <c r="BB547" s="259"/>
      <c r="BC547" s="176"/>
      <c r="BD547" s="179"/>
      <c r="BE547" s="179"/>
      <c r="BF547" s="178" t="s">
        <v>2538</v>
      </c>
      <c r="BG547" s="25"/>
      <c r="BH547" s="25"/>
    </row>
    <row r="548" spans="1:60" ht="15" customHeight="1">
      <c r="A548" s="95">
        <v>547</v>
      </c>
      <c r="B548" s="98" t="s">
        <v>1175</v>
      </c>
      <c r="C548" s="191" t="s">
        <v>2639</v>
      </c>
      <c r="D548" s="257" t="s">
        <v>549</v>
      </c>
      <c r="E548" s="459" t="s">
        <v>3377</v>
      </c>
      <c r="F548" s="171">
        <v>1973</v>
      </c>
      <c r="G548" s="171">
        <v>129</v>
      </c>
      <c r="H548" s="57"/>
      <c r="I548" s="173" t="s">
        <v>1743</v>
      </c>
      <c r="J548" s="277">
        <v>0.4</v>
      </c>
      <c r="K548" s="213">
        <v>5.5947521865889209</v>
      </c>
      <c r="L548" s="91"/>
      <c r="M548" s="278">
        <v>343</v>
      </c>
      <c r="N548" s="279"/>
      <c r="O548" s="172" t="s">
        <v>12</v>
      </c>
      <c r="P548" s="92"/>
      <c r="Q548" s="173" t="s">
        <v>10</v>
      </c>
      <c r="R548" s="506" t="s">
        <v>2308</v>
      </c>
      <c r="S548" s="94"/>
      <c r="T548" s="171"/>
      <c r="U548" s="171" t="s">
        <v>2308</v>
      </c>
      <c r="V548" s="102">
        <v>0</v>
      </c>
      <c r="W548" s="120">
        <v>0</v>
      </c>
      <c r="X548" s="120">
        <v>0</v>
      </c>
      <c r="Y548" s="120">
        <v>0</v>
      </c>
      <c r="Z548" s="120">
        <v>0</v>
      </c>
      <c r="AA548" s="17">
        <v>0</v>
      </c>
      <c r="AB548" s="17">
        <v>0</v>
      </c>
      <c r="AC548" s="17">
        <v>0</v>
      </c>
      <c r="AD548" s="17">
        <v>0</v>
      </c>
      <c r="AE548" s="17">
        <v>0</v>
      </c>
      <c r="AF548" s="17">
        <v>0</v>
      </c>
      <c r="AG548" s="17">
        <v>0</v>
      </c>
      <c r="AH548" s="17">
        <v>0</v>
      </c>
      <c r="AI548" s="17">
        <v>0.85799999999999998</v>
      </c>
      <c r="AJ548" s="17">
        <v>0</v>
      </c>
      <c r="AK548" s="17">
        <v>0</v>
      </c>
      <c r="AL548" s="32">
        <v>0</v>
      </c>
      <c r="AM548" s="780">
        <v>43.61</v>
      </c>
      <c r="AN548" s="89"/>
      <c r="AO548" s="280"/>
      <c r="AP548" s="783">
        <v>28028</v>
      </c>
      <c r="AQ548" s="773" t="s">
        <v>1169</v>
      </c>
      <c r="AR548" s="174">
        <v>50</v>
      </c>
      <c r="AS548" s="171"/>
      <c r="AT548" s="171" t="str">
        <f t="shared" si="45"/>
        <v>600</v>
      </c>
      <c r="AU548" s="255">
        <f t="shared" si="46"/>
        <v>23.076923076923077</v>
      </c>
      <c r="AV548" s="57"/>
      <c r="AW548" s="171">
        <v>1</v>
      </c>
      <c r="AX548" s="89"/>
      <c r="AY548" s="171">
        <v>20</v>
      </c>
      <c r="AZ548" s="261"/>
      <c r="BA548" s="175">
        <v>50</v>
      </c>
      <c r="BB548" s="259"/>
      <c r="BC548" s="176"/>
      <c r="BD548" s="179"/>
      <c r="BE548" s="179"/>
      <c r="BF548" s="178" t="s">
        <v>2539</v>
      </c>
      <c r="BG548" s="25"/>
      <c r="BH548" s="25"/>
    </row>
    <row r="549" spans="1:60" ht="15" customHeight="1">
      <c r="A549" s="95">
        <v>548</v>
      </c>
      <c r="B549" s="98" t="s">
        <v>1174</v>
      </c>
      <c r="C549" s="191" t="s">
        <v>2639</v>
      </c>
      <c r="D549" s="257" t="s">
        <v>549</v>
      </c>
      <c r="E549" s="459" t="s">
        <v>3377</v>
      </c>
      <c r="F549" s="171">
        <v>1973</v>
      </c>
      <c r="G549" s="171">
        <v>129</v>
      </c>
      <c r="H549" s="57"/>
      <c r="I549" s="173" t="s">
        <v>1743</v>
      </c>
      <c r="J549" s="277">
        <v>0.4</v>
      </c>
      <c r="K549" s="213">
        <v>5.5947521865889209</v>
      </c>
      <c r="L549" s="91"/>
      <c r="M549" s="278">
        <v>343</v>
      </c>
      <c r="N549" s="279"/>
      <c r="O549" s="172" t="s">
        <v>12</v>
      </c>
      <c r="P549" s="92"/>
      <c r="Q549" s="173" t="s">
        <v>10</v>
      </c>
      <c r="R549" s="65" t="s">
        <v>2308</v>
      </c>
      <c r="S549" s="94"/>
      <c r="T549" s="171"/>
      <c r="U549" s="171" t="s">
        <v>2308</v>
      </c>
      <c r="V549" s="102">
        <v>0</v>
      </c>
      <c r="W549" s="120">
        <v>0</v>
      </c>
      <c r="X549" s="120">
        <v>0</v>
      </c>
      <c r="Y549" s="120">
        <v>0</v>
      </c>
      <c r="Z549" s="120">
        <v>0</v>
      </c>
      <c r="AA549" s="17">
        <v>0</v>
      </c>
      <c r="AB549" s="17">
        <v>0</v>
      </c>
      <c r="AC549" s="17">
        <v>0</v>
      </c>
      <c r="AD549" s="17">
        <v>0</v>
      </c>
      <c r="AE549" s="17">
        <v>0</v>
      </c>
      <c r="AF549" s="17">
        <v>0</v>
      </c>
      <c r="AG549" s="17">
        <v>0</v>
      </c>
      <c r="AH549" s="17">
        <v>0</v>
      </c>
      <c r="AI549" s="17">
        <v>0.85799999999999998</v>
      </c>
      <c r="AJ549" s="17">
        <v>0</v>
      </c>
      <c r="AK549" s="17">
        <v>0</v>
      </c>
      <c r="AL549" s="32">
        <v>0</v>
      </c>
      <c r="AM549" s="780">
        <v>43.61</v>
      </c>
      <c r="AN549" s="89"/>
      <c r="AO549" s="280"/>
      <c r="AP549" s="783">
        <v>28028</v>
      </c>
      <c r="AQ549" s="773" t="s">
        <v>1169</v>
      </c>
      <c r="AR549" s="174">
        <v>50</v>
      </c>
      <c r="AS549" s="171"/>
      <c r="AT549" s="171" t="str">
        <f t="shared" si="45"/>
        <v>600</v>
      </c>
      <c r="AU549" s="255">
        <f t="shared" si="46"/>
        <v>23.076923076923077</v>
      </c>
      <c r="AV549" s="57"/>
      <c r="AW549" s="171">
        <v>1</v>
      </c>
      <c r="AX549" s="89"/>
      <c r="AY549" s="171">
        <v>20</v>
      </c>
      <c r="AZ549" s="261"/>
      <c r="BA549" s="175">
        <v>50</v>
      </c>
      <c r="BB549" s="259"/>
      <c r="BC549" s="176"/>
      <c r="BD549" s="179"/>
      <c r="BE549" s="179"/>
      <c r="BF549" s="178" t="s">
        <v>2539</v>
      </c>
      <c r="BG549" s="25"/>
      <c r="BH549" s="25"/>
    </row>
    <row r="550" spans="1:60" ht="15" customHeight="1">
      <c r="A550" s="95">
        <v>549</v>
      </c>
      <c r="B550" s="98" t="s">
        <v>1173</v>
      </c>
      <c r="C550" s="191" t="s">
        <v>2639</v>
      </c>
      <c r="D550" s="257" t="s">
        <v>549</v>
      </c>
      <c r="E550" s="459" t="s">
        <v>3377</v>
      </c>
      <c r="F550" s="171">
        <v>1973</v>
      </c>
      <c r="G550" s="171">
        <v>129</v>
      </c>
      <c r="H550" s="57"/>
      <c r="I550" s="173" t="s">
        <v>1743</v>
      </c>
      <c r="J550" s="277">
        <v>0.4</v>
      </c>
      <c r="K550" s="213">
        <v>5.5947521865889209</v>
      </c>
      <c r="L550" s="91"/>
      <c r="M550" s="278">
        <v>343</v>
      </c>
      <c r="N550" s="279"/>
      <c r="O550" s="172" t="s">
        <v>12</v>
      </c>
      <c r="P550" s="92"/>
      <c r="Q550" s="173" t="s">
        <v>10</v>
      </c>
      <c r="R550" s="65" t="s">
        <v>2308</v>
      </c>
      <c r="S550" s="94"/>
      <c r="T550" s="171"/>
      <c r="U550" s="171" t="s">
        <v>2308</v>
      </c>
      <c r="V550" s="102">
        <v>0</v>
      </c>
      <c r="W550" s="120">
        <v>0</v>
      </c>
      <c r="X550" s="120">
        <v>0</v>
      </c>
      <c r="Y550" s="120">
        <v>0</v>
      </c>
      <c r="Z550" s="120">
        <v>0</v>
      </c>
      <c r="AA550" s="17">
        <v>0</v>
      </c>
      <c r="AB550" s="17">
        <v>0</v>
      </c>
      <c r="AC550" s="17">
        <v>0</v>
      </c>
      <c r="AD550" s="17">
        <v>0</v>
      </c>
      <c r="AE550" s="17">
        <v>0</v>
      </c>
      <c r="AF550" s="17">
        <v>0</v>
      </c>
      <c r="AG550" s="17">
        <v>0</v>
      </c>
      <c r="AH550" s="17">
        <v>0</v>
      </c>
      <c r="AI550" s="17">
        <v>0.85799999999999998</v>
      </c>
      <c r="AJ550" s="17">
        <v>0</v>
      </c>
      <c r="AK550" s="17">
        <v>0</v>
      </c>
      <c r="AL550" s="32">
        <v>0</v>
      </c>
      <c r="AM550" s="780">
        <v>43.61</v>
      </c>
      <c r="AN550" s="89"/>
      <c r="AO550" s="280"/>
      <c r="AP550" s="783">
        <v>28028</v>
      </c>
      <c r="AQ550" s="773" t="s">
        <v>1169</v>
      </c>
      <c r="AR550" s="174">
        <v>50</v>
      </c>
      <c r="AS550" s="171"/>
      <c r="AT550" s="171" t="str">
        <f t="shared" si="45"/>
        <v>600</v>
      </c>
      <c r="AU550" s="255">
        <f t="shared" si="46"/>
        <v>23.076923076923077</v>
      </c>
      <c r="AV550" s="57"/>
      <c r="AW550" s="171">
        <v>1</v>
      </c>
      <c r="AX550" s="89"/>
      <c r="AY550" s="171">
        <v>20</v>
      </c>
      <c r="AZ550" s="261"/>
      <c r="BA550" s="175">
        <v>50</v>
      </c>
      <c r="BB550" s="259"/>
      <c r="BC550" s="176"/>
      <c r="BD550" s="179"/>
      <c r="BE550" s="179"/>
      <c r="BF550" s="178" t="s">
        <v>2539</v>
      </c>
      <c r="BG550" s="25"/>
      <c r="BH550" s="25"/>
    </row>
    <row r="551" spans="1:60" ht="15" customHeight="1">
      <c r="A551" s="95">
        <v>550</v>
      </c>
      <c r="B551" s="98" t="s">
        <v>1172</v>
      </c>
      <c r="C551" s="191" t="s">
        <v>2639</v>
      </c>
      <c r="D551" s="257" t="s">
        <v>549</v>
      </c>
      <c r="E551" s="459" t="s">
        <v>3377</v>
      </c>
      <c r="F551" s="171">
        <v>1973</v>
      </c>
      <c r="G551" s="171">
        <v>129</v>
      </c>
      <c r="H551" s="57"/>
      <c r="I551" s="173" t="s">
        <v>1743</v>
      </c>
      <c r="J551" s="277">
        <v>0.4</v>
      </c>
      <c r="K551" s="213">
        <v>5.5947521865889209</v>
      </c>
      <c r="L551" s="91"/>
      <c r="M551" s="278">
        <v>343</v>
      </c>
      <c r="N551" s="279"/>
      <c r="O551" s="172" t="s">
        <v>12</v>
      </c>
      <c r="P551" s="92"/>
      <c r="Q551" s="173" t="s">
        <v>10</v>
      </c>
      <c r="R551" s="506" t="s">
        <v>2308</v>
      </c>
      <c r="S551" s="94"/>
      <c r="T551" s="171"/>
      <c r="U551" s="171" t="s">
        <v>2308</v>
      </c>
      <c r="V551" s="102">
        <v>0</v>
      </c>
      <c r="W551" s="120">
        <v>0</v>
      </c>
      <c r="X551" s="120">
        <v>0</v>
      </c>
      <c r="Y551" s="120">
        <v>0</v>
      </c>
      <c r="Z551" s="120">
        <v>0</v>
      </c>
      <c r="AA551" s="17">
        <v>0</v>
      </c>
      <c r="AB551" s="17">
        <v>0</v>
      </c>
      <c r="AC551" s="17">
        <v>0</v>
      </c>
      <c r="AD551" s="17">
        <v>0</v>
      </c>
      <c r="AE551" s="17">
        <v>0</v>
      </c>
      <c r="AF551" s="17">
        <v>0</v>
      </c>
      <c r="AG551" s="17">
        <v>0</v>
      </c>
      <c r="AH551" s="17">
        <v>0</v>
      </c>
      <c r="AI551" s="17">
        <v>0.85799999999999998</v>
      </c>
      <c r="AJ551" s="17">
        <v>0</v>
      </c>
      <c r="AK551" s="17">
        <v>0</v>
      </c>
      <c r="AL551" s="32">
        <v>0</v>
      </c>
      <c r="AM551" s="780">
        <v>43.61</v>
      </c>
      <c r="AN551" s="89"/>
      <c r="AO551" s="280"/>
      <c r="AP551" s="783">
        <v>28028</v>
      </c>
      <c r="AQ551" s="773" t="s">
        <v>1169</v>
      </c>
      <c r="AR551" s="174">
        <v>50</v>
      </c>
      <c r="AS551" s="171"/>
      <c r="AT551" s="171" t="str">
        <f t="shared" si="45"/>
        <v>600</v>
      </c>
      <c r="AU551" s="255">
        <f t="shared" si="46"/>
        <v>23.076923076923077</v>
      </c>
      <c r="AV551" s="57"/>
      <c r="AW551" s="171">
        <v>1</v>
      </c>
      <c r="AX551" s="89"/>
      <c r="AY551" s="171">
        <v>20</v>
      </c>
      <c r="AZ551" s="261"/>
      <c r="BA551" s="175">
        <v>50</v>
      </c>
      <c r="BB551" s="259"/>
      <c r="BC551" s="176"/>
      <c r="BD551" s="179"/>
      <c r="BE551" s="179"/>
      <c r="BF551" s="178" t="s">
        <v>2539</v>
      </c>
      <c r="BG551" s="25"/>
      <c r="BH551" s="25"/>
    </row>
    <row r="552" spans="1:60" ht="15" customHeight="1">
      <c r="A552" s="95">
        <v>551</v>
      </c>
      <c r="B552" s="98" t="s">
        <v>1171</v>
      </c>
      <c r="C552" s="191" t="s">
        <v>2639</v>
      </c>
      <c r="D552" s="257" t="s">
        <v>549</v>
      </c>
      <c r="E552" s="459" t="s">
        <v>3377</v>
      </c>
      <c r="F552" s="171">
        <v>1973</v>
      </c>
      <c r="G552" s="171">
        <v>129</v>
      </c>
      <c r="H552" s="57"/>
      <c r="I552" s="173" t="s">
        <v>1743</v>
      </c>
      <c r="J552" s="277">
        <v>0.4</v>
      </c>
      <c r="K552" s="213">
        <v>5.5947521865889209</v>
      </c>
      <c r="L552" s="91"/>
      <c r="M552" s="278">
        <v>343</v>
      </c>
      <c r="N552" s="279"/>
      <c r="O552" s="172" t="s">
        <v>12</v>
      </c>
      <c r="P552" s="92"/>
      <c r="Q552" s="173" t="s">
        <v>10</v>
      </c>
      <c r="R552" s="65" t="s">
        <v>2308</v>
      </c>
      <c r="S552" s="94"/>
      <c r="T552" s="171"/>
      <c r="U552" s="171" t="s">
        <v>2308</v>
      </c>
      <c r="V552" s="102">
        <v>0</v>
      </c>
      <c r="W552" s="120">
        <v>0</v>
      </c>
      <c r="X552" s="120">
        <v>0</v>
      </c>
      <c r="Y552" s="120">
        <v>0</v>
      </c>
      <c r="Z552" s="120">
        <v>0</v>
      </c>
      <c r="AA552" s="17">
        <v>0</v>
      </c>
      <c r="AB552" s="17">
        <v>0</v>
      </c>
      <c r="AC552" s="17">
        <v>0</v>
      </c>
      <c r="AD552" s="17">
        <v>0</v>
      </c>
      <c r="AE552" s="17">
        <v>0</v>
      </c>
      <c r="AF552" s="17">
        <v>0</v>
      </c>
      <c r="AG552" s="17">
        <v>0</v>
      </c>
      <c r="AH552" s="17">
        <v>0</v>
      </c>
      <c r="AI552" s="17">
        <v>0.85799999999999998</v>
      </c>
      <c r="AJ552" s="17">
        <v>0</v>
      </c>
      <c r="AK552" s="17">
        <v>0</v>
      </c>
      <c r="AL552" s="32" t="s">
        <v>2541</v>
      </c>
      <c r="AM552" s="780">
        <v>43.61</v>
      </c>
      <c r="AN552" s="89"/>
      <c r="AO552" s="280"/>
      <c r="AP552" s="783">
        <v>28028</v>
      </c>
      <c r="AQ552" s="773" t="s">
        <v>1169</v>
      </c>
      <c r="AR552" s="174">
        <v>50</v>
      </c>
      <c r="AS552" s="171"/>
      <c r="AT552" s="171" t="str">
        <f t="shared" si="45"/>
        <v>600</v>
      </c>
      <c r="AU552" s="255">
        <f t="shared" si="46"/>
        <v>23.076923076923077</v>
      </c>
      <c r="AV552" s="57"/>
      <c r="AW552" s="171">
        <v>1</v>
      </c>
      <c r="AX552" s="89"/>
      <c r="AY552" s="171">
        <v>20</v>
      </c>
      <c r="AZ552" s="261"/>
      <c r="BA552" s="175">
        <v>50</v>
      </c>
      <c r="BB552" s="259"/>
      <c r="BC552" s="176"/>
      <c r="BD552" s="179"/>
      <c r="BE552" s="179"/>
      <c r="BF552" s="178" t="s">
        <v>2539</v>
      </c>
      <c r="BG552" s="25"/>
      <c r="BH552" s="25"/>
    </row>
    <row r="553" spans="1:60" ht="15" customHeight="1">
      <c r="A553" s="95">
        <v>552</v>
      </c>
      <c r="B553" s="98" t="s">
        <v>1170</v>
      </c>
      <c r="C553" s="191" t="s">
        <v>2639</v>
      </c>
      <c r="D553" s="257" t="s">
        <v>549</v>
      </c>
      <c r="E553" s="459" t="s">
        <v>3377</v>
      </c>
      <c r="F553" s="171">
        <v>1973</v>
      </c>
      <c r="G553" s="171">
        <v>129</v>
      </c>
      <c r="H553" s="57"/>
      <c r="I553" s="173" t="s">
        <v>1743</v>
      </c>
      <c r="J553" s="277">
        <v>0.4</v>
      </c>
      <c r="K553" s="213">
        <v>5.5947521865889209</v>
      </c>
      <c r="L553" s="91"/>
      <c r="M553" s="278">
        <v>343</v>
      </c>
      <c r="N553" s="279"/>
      <c r="O553" s="172" t="s">
        <v>12</v>
      </c>
      <c r="P553" s="92"/>
      <c r="Q553" s="173" t="s">
        <v>10</v>
      </c>
      <c r="R553" s="506" t="s">
        <v>2308</v>
      </c>
      <c r="S553" s="94"/>
      <c r="T553" s="171"/>
      <c r="U553" s="171" t="s">
        <v>2308</v>
      </c>
      <c r="V553" s="102">
        <v>0</v>
      </c>
      <c r="W553" s="120">
        <v>0</v>
      </c>
      <c r="X553" s="120">
        <v>0</v>
      </c>
      <c r="Y553" s="120">
        <v>0</v>
      </c>
      <c r="Z553" s="120">
        <v>0</v>
      </c>
      <c r="AA553" s="17">
        <v>0</v>
      </c>
      <c r="AB553" s="17">
        <v>0</v>
      </c>
      <c r="AC553" s="17">
        <v>0</v>
      </c>
      <c r="AD553" s="17">
        <v>0</v>
      </c>
      <c r="AE553" s="17">
        <v>0</v>
      </c>
      <c r="AF553" s="17">
        <v>0</v>
      </c>
      <c r="AG553" s="17">
        <v>0</v>
      </c>
      <c r="AH553" s="17">
        <v>0</v>
      </c>
      <c r="AI553" s="17">
        <v>0.85799999999999998</v>
      </c>
      <c r="AJ553" s="17">
        <v>0</v>
      </c>
      <c r="AK553" s="17">
        <v>0</v>
      </c>
      <c r="AL553" s="32" t="s">
        <v>2541</v>
      </c>
      <c r="AM553" s="780">
        <v>43.61</v>
      </c>
      <c r="AN553" s="89"/>
      <c r="AO553" s="280"/>
      <c r="AP553" s="783">
        <v>28028</v>
      </c>
      <c r="AQ553" s="773" t="s">
        <v>1169</v>
      </c>
      <c r="AR553" s="174">
        <v>50</v>
      </c>
      <c r="AS553" s="171"/>
      <c r="AT553" s="171" t="str">
        <f t="shared" si="45"/>
        <v>600</v>
      </c>
      <c r="AU553" s="255">
        <f t="shared" si="46"/>
        <v>23.076923076923077</v>
      </c>
      <c r="AV553" s="57"/>
      <c r="AW553" s="171">
        <v>1</v>
      </c>
      <c r="AX553" s="89"/>
      <c r="AY553" s="171">
        <v>20</v>
      </c>
      <c r="AZ553" s="261"/>
      <c r="BA553" s="175">
        <v>50</v>
      </c>
      <c r="BB553" s="259"/>
      <c r="BC553" s="176"/>
      <c r="BD553" s="179"/>
      <c r="BE553" s="179"/>
      <c r="BF553" s="178" t="s">
        <v>2539</v>
      </c>
      <c r="BG553" s="25"/>
      <c r="BH553" s="25"/>
    </row>
    <row r="554" spans="1:60" s="14" customFormat="1" ht="15" customHeight="1">
      <c r="A554" s="95">
        <v>553</v>
      </c>
      <c r="B554" s="98" t="s">
        <v>1168</v>
      </c>
      <c r="C554" s="191" t="s">
        <v>2643</v>
      </c>
      <c r="D554" s="257" t="s">
        <v>549</v>
      </c>
      <c r="E554" s="459" t="s">
        <v>3377</v>
      </c>
      <c r="F554" s="171">
        <v>1981</v>
      </c>
      <c r="G554" s="171">
        <v>167</v>
      </c>
      <c r="H554" s="57"/>
      <c r="I554" s="173" t="s">
        <v>1743</v>
      </c>
      <c r="J554" s="277">
        <v>0.48299999999999998</v>
      </c>
      <c r="K554" s="213">
        <v>3.9452380952380954</v>
      </c>
      <c r="L554" s="91"/>
      <c r="M554" s="278">
        <v>420</v>
      </c>
      <c r="N554" s="279"/>
      <c r="O554" s="172" t="s">
        <v>12</v>
      </c>
      <c r="P554" s="511"/>
      <c r="Q554" s="173" t="s">
        <v>10</v>
      </c>
      <c r="R554" s="507"/>
      <c r="S554" s="507"/>
      <c r="T554" s="171"/>
      <c r="U554" s="171"/>
      <c r="V554" s="102">
        <v>0</v>
      </c>
      <c r="W554" s="120">
        <v>0</v>
      </c>
      <c r="X554" s="120">
        <v>0</v>
      </c>
      <c r="Y554" s="120">
        <v>0</v>
      </c>
      <c r="Z554" s="120">
        <v>0</v>
      </c>
      <c r="AA554" s="17">
        <v>0</v>
      </c>
      <c r="AB554" s="17">
        <v>0</v>
      </c>
      <c r="AC554" s="17">
        <v>0</v>
      </c>
      <c r="AD554" s="17">
        <v>0</v>
      </c>
      <c r="AE554" s="17">
        <v>0</v>
      </c>
      <c r="AF554" s="17">
        <v>0</v>
      </c>
      <c r="AG554" s="17">
        <v>0</v>
      </c>
      <c r="AH554" s="17">
        <v>0</v>
      </c>
      <c r="AI554" s="17">
        <v>0</v>
      </c>
      <c r="AJ554" s="17">
        <v>0</v>
      </c>
      <c r="AK554" s="17">
        <v>0</v>
      </c>
      <c r="AL554" s="32">
        <v>0</v>
      </c>
      <c r="AM554" s="780">
        <v>44.3</v>
      </c>
      <c r="AN554" s="89"/>
      <c r="AO554" s="280"/>
      <c r="AP554" s="783">
        <v>31066</v>
      </c>
      <c r="AQ554" s="773" t="s">
        <v>1159</v>
      </c>
      <c r="AR554" s="188">
        <v>100</v>
      </c>
      <c r="AS554" s="171">
        <v>400</v>
      </c>
      <c r="AT554" s="171" t="str">
        <f t="shared" ref="AT554:AT596" si="47">RIGHT(AQ554,LEN(AQ554)-FIND("x",AQ554,8))</f>
        <v>400</v>
      </c>
      <c r="AU554" s="255">
        <f t="shared" ref="AU554:AU599" si="48">IF(ISBLANK(AS554),(AR554*AT554)/((4*AT554)+(2*AR554)),AR554*AS554*AT554/2/(AR554*AS554+AR554*AT554+AS554*AT554))</f>
        <v>33.333333333333336</v>
      </c>
      <c r="AV554" s="172">
        <v>100</v>
      </c>
      <c r="AW554" s="171">
        <v>28</v>
      </c>
      <c r="AX554" s="89"/>
      <c r="AY554" s="171">
        <v>20</v>
      </c>
      <c r="AZ554" s="261"/>
      <c r="BA554" s="175">
        <v>60</v>
      </c>
      <c r="BB554" s="259"/>
      <c r="BC554" s="176" t="s">
        <v>558</v>
      </c>
      <c r="BD554" s="179"/>
      <c r="BE554" s="179"/>
      <c r="BF554" s="178"/>
      <c r="BG554" s="25"/>
      <c r="BH554" s="25"/>
    </row>
    <row r="555" spans="1:60" s="14" customFormat="1" ht="15" customHeight="1">
      <c r="A555" s="95">
        <v>554</v>
      </c>
      <c r="B555" s="98" t="s">
        <v>1167</v>
      </c>
      <c r="C555" s="191" t="s">
        <v>2643</v>
      </c>
      <c r="D555" s="257" t="s">
        <v>549</v>
      </c>
      <c r="E555" s="459" t="s">
        <v>3377</v>
      </c>
      <c r="F555" s="171">
        <v>1981</v>
      </c>
      <c r="G555" s="171">
        <v>167</v>
      </c>
      <c r="H555" s="57"/>
      <c r="I555" s="173" t="s">
        <v>1743</v>
      </c>
      <c r="J555" s="277">
        <v>0.48299999999999998</v>
      </c>
      <c r="K555" s="213">
        <v>3.9452380952380954</v>
      </c>
      <c r="L555" s="91"/>
      <c r="M555" s="278">
        <v>420</v>
      </c>
      <c r="N555" s="279"/>
      <c r="O555" s="172" t="s">
        <v>12</v>
      </c>
      <c r="P555" s="511"/>
      <c r="Q555" s="173" t="s">
        <v>10</v>
      </c>
      <c r="R555" s="507"/>
      <c r="S555" s="507"/>
      <c r="T555" s="171"/>
      <c r="U555" s="171"/>
      <c r="V555" s="102">
        <v>0</v>
      </c>
      <c r="W555" s="120">
        <v>0</v>
      </c>
      <c r="X555" s="120">
        <v>0</v>
      </c>
      <c r="Y555" s="120">
        <v>0</v>
      </c>
      <c r="Z555" s="120">
        <v>0</v>
      </c>
      <c r="AA555" s="17">
        <v>0</v>
      </c>
      <c r="AB555" s="17">
        <v>0</v>
      </c>
      <c r="AC555" s="17">
        <v>0</v>
      </c>
      <c r="AD555" s="17">
        <v>0</v>
      </c>
      <c r="AE555" s="17">
        <v>0</v>
      </c>
      <c r="AF555" s="17">
        <v>0</v>
      </c>
      <c r="AG555" s="17">
        <v>0</v>
      </c>
      <c r="AH555" s="17">
        <v>0</v>
      </c>
      <c r="AI555" s="17">
        <v>0</v>
      </c>
      <c r="AJ555" s="17">
        <v>0</v>
      </c>
      <c r="AK555" s="17">
        <v>0</v>
      </c>
      <c r="AL555" s="32">
        <v>0</v>
      </c>
      <c r="AM555" s="780">
        <v>44.3</v>
      </c>
      <c r="AN555" s="89"/>
      <c r="AO555" s="280"/>
      <c r="AP555" s="783">
        <v>31066</v>
      </c>
      <c r="AQ555" s="773" t="s">
        <v>1159</v>
      </c>
      <c r="AR555" s="188">
        <v>100</v>
      </c>
      <c r="AS555" s="171">
        <v>400</v>
      </c>
      <c r="AT555" s="171" t="str">
        <f t="shared" si="47"/>
        <v>400</v>
      </c>
      <c r="AU555" s="255">
        <f t="shared" si="48"/>
        <v>33.333333333333336</v>
      </c>
      <c r="AV555" s="172">
        <v>100</v>
      </c>
      <c r="AW555" s="171">
        <v>28</v>
      </c>
      <c r="AX555" s="89"/>
      <c r="AY555" s="171">
        <v>20</v>
      </c>
      <c r="AZ555" s="261"/>
      <c r="BA555" s="175">
        <v>60</v>
      </c>
      <c r="BB555" s="259"/>
      <c r="BC555" s="176" t="s">
        <v>558</v>
      </c>
      <c r="BD555" s="179"/>
      <c r="BE555" s="179"/>
      <c r="BF555" s="178"/>
      <c r="BG555" s="25"/>
      <c r="BH555" s="25"/>
    </row>
    <row r="556" spans="1:60" s="14" customFormat="1" ht="15" customHeight="1">
      <c r="A556" s="95">
        <v>555</v>
      </c>
      <c r="B556" s="98" t="s">
        <v>1166</v>
      </c>
      <c r="C556" s="191" t="s">
        <v>2643</v>
      </c>
      <c r="D556" s="257" t="s">
        <v>549</v>
      </c>
      <c r="E556" s="459" t="s">
        <v>3377</v>
      </c>
      <c r="F556" s="171">
        <v>1981</v>
      </c>
      <c r="G556" s="171">
        <v>167</v>
      </c>
      <c r="H556" s="57"/>
      <c r="I556" s="173" t="s">
        <v>1743</v>
      </c>
      <c r="J556" s="277">
        <v>0.48299999999999998</v>
      </c>
      <c r="K556" s="213">
        <v>3.9452380952380954</v>
      </c>
      <c r="L556" s="91"/>
      <c r="M556" s="278">
        <v>420</v>
      </c>
      <c r="N556" s="279"/>
      <c r="O556" s="172" t="s">
        <v>12</v>
      </c>
      <c r="P556" s="511"/>
      <c r="Q556" s="173" t="s">
        <v>10</v>
      </c>
      <c r="R556" s="507"/>
      <c r="S556" s="507"/>
      <c r="T556" s="171"/>
      <c r="U556" s="171"/>
      <c r="V556" s="102">
        <v>0</v>
      </c>
      <c r="W556" s="120">
        <v>0</v>
      </c>
      <c r="X556" s="120">
        <v>0</v>
      </c>
      <c r="Y556" s="120">
        <v>0</v>
      </c>
      <c r="Z556" s="120">
        <v>0</v>
      </c>
      <c r="AA556" s="17">
        <v>0</v>
      </c>
      <c r="AB556" s="17">
        <v>0</v>
      </c>
      <c r="AC556" s="17">
        <v>0</v>
      </c>
      <c r="AD556" s="17">
        <v>0</v>
      </c>
      <c r="AE556" s="17">
        <v>0</v>
      </c>
      <c r="AF556" s="17">
        <v>0</v>
      </c>
      <c r="AG556" s="17">
        <v>0</v>
      </c>
      <c r="AH556" s="17">
        <v>0</v>
      </c>
      <c r="AI556" s="17">
        <v>0</v>
      </c>
      <c r="AJ556" s="17">
        <v>0</v>
      </c>
      <c r="AK556" s="17">
        <v>0</v>
      </c>
      <c r="AL556" s="32">
        <v>0</v>
      </c>
      <c r="AM556" s="780">
        <v>44.3</v>
      </c>
      <c r="AN556" s="89"/>
      <c r="AO556" s="280"/>
      <c r="AP556" s="783">
        <v>31066</v>
      </c>
      <c r="AQ556" s="773" t="s">
        <v>1159</v>
      </c>
      <c r="AR556" s="188">
        <v>100</v>
      </c>
      <c r="AS556" s="171">
        <v>400</v>
      </c>
      <c r="AT556" s="171" t="str">
        <f t="shared" si="47"/>
        <v>400</v>
      </c>
      <c r="AU556" s="255">
        <f t="shared" si="48"/>
        <v>33.333333333333336</v>
      </c>
      <c r="AV556" s="172">
        <v>100</v>
      </c>
      <c r="AW556" s="171">
        <v>28</v>
      </c>
      <c r="AX556" s="89"/>
      <c r="AY556" s="171">
        <v>20</v>
      </c>
      <c r="AZ556" s="261"/>
      <c r="BA556" s="175">
        <v>60</v>
      </c>
      <c r="BB556" s="259"/>
      <c r="BC556" s="176" t="s">
        <v>558</v>
      </c>
      <c r="BD556" s="179"/>
      <c r="BE556" s="179"/>
      <c r="BF556" s="178"/>
      <c r="BG556" s="25"/>
      <c r="BH556" s="25"/>
    </row>
    <row r="557" spans="1:60" s="14" customFormat="1" ht="15" customHeight="1">
      <c r="A557" s="95">
        <v>556</v>
      </c>
      <c r="B557" s="98" t="s">
        <v>1165</v>
      </c>
      <c r="C557" s="191" t="s">
        <v>2643</v>
      </c>
      <c r="D557" s="257" t="s">
        <v>549</v>
      </c>
      <c r="E557" s="459" t="s">
        <v>3377</v>
      </c>
      <c r="F557" s="171">
        <v>1981</v>
      </c>
      <c r="G557" s="171">
        <v>167</v>
      </c>
      <c r="H557" s="57"/>
      <c r="I557" s="173" t="s">
        <v>1743</v>
      </c>
      <c r="J557" s="277">
        <v>0.48299999999999998</v>
      </c>
      <c r="K557" s="213">
        <v>3.9452380952380954</v>
      </c>
      <c r="L557" s="91"/>
      <c r="M557" s="278">
        <v>420</v>
      </c>
      <c r="N557" s="279"/>
      <c r="O557" s="172" t="s">
        <v>12</v>
      </c>
      <c r="P557" s="511"/>
      <c r="Q557" s="173" t="s">
        <v>10</v>
      </c>
      <c r="R557" s="507"/>
      <c r="S557" s="507"/>
      <c r="T557" s="171"/>
      <c r="U557" s="171"/>
      <c r="V557" s="102">
        <v>0</v>
      </c>
      <c r="W557" s="120">
        <v>0</v>
      </c>
      <c r="X557" s="120">
        <v>0</v>
      </c>
      <c r="Y557" s="120">
        <v>0</v>
      </c>
      <c r="Z557" s="120">
        <v>0</v>
      </c>
      <c r="AA557" s="17">
        <v>0</v>
      </c>
      <c r="AB557" s="17">
        <v>0</v>
      </c>
      <c r="AC557" s="17">
        <v>0</v>
      </c>
      <c r="AD557" s="17">
        <v>0</v>
      </c>
      <c r="AE557" s="17">
        <v>0</v>
      </c>
      <c r="AF557" s="17">
        <v>0</v>
      </c>
      <c r="AG557" s="17">
        <v>0</v>
      </c>
      <c r="AH557" s="17">
        <v>0</v>
      </c>
      <c r="AI557" s="17">
        <v>0</v>
      </c>
      <c r="AJ557" s="17">
        <v>0</v>
      </c>
      <c r="AK557" s="17">
        <v>0</v>
      </c>
      <c r="AL557" s="32">
        <v>0</v>
      </c>
      <c r="AM557" s="780">
        <v>44.3</v>
      </c>
      <c r="AN557" s="89"/>
      <c r="AO557" s="280"/>
      <c r="AP557" s="783">
        <v>31066</v>
      </c>
      <c r="AQ557" s="773" t="s">
        <v>1159</v>
      </c>
      <c r="AR557" s="188">
        <v>100</v>
      </c>
      <c r="AS557" s="171">
        <v>400</v>
      </c>
      <c r="AT557" s="171" t="str">
        <f t="shared" si="47"/>
        <v>400</v>
      </c>
      <c r="AU557" s="255">
        <f t="shared" si="48"/>
        <v>33.333333333333336</v>
      </c>
      <c r="AV557" s="172">
        <v>100</v>
      </c>
      <c r="AW557" s="171">
        <v>28</v>
      </c>
      <c r="AX557" s="89"/>
      <c r="AY557" s="171">
        <v>20</v>
      </c>
      <c r="AZ557" s="261"/>
      <c r="BA557" s="175">
        <v>60</v>
      </c>
      <c r="BB557" s="259"/>
      <c r="BC557" s="176" t="s">
        <v>558</v>
      </c>
      <c r="BD557" s="179"/>
      <c r="BE557" s="179"/>
      <c r="BF557" s="178"/>
      <c r="BG557" s="25"/>
      <c r="BH557" s="25"/>
    </row>
    <row r="558" spans="1:60" s="14" customFormat="1" ht="15" customHeight="1">
      <c r="A558" s="95">
        <v>557</v>
      </c>
      <c r="B558" s="98" t="s">
        <v>1164</v>
      </c>
      <c r="C558" s="191" t="s">
        <v>2643</v>
      </c>
      <c r="D558" s="257" t="s">
        <v>549</v>
      </c>
      <c r="E558" s="459" t="s">
        <v>3377</v>
      </c>
      <c r="F558" s="171">
        <v>1981</v>
      </c>
      <c r="G558" s="171">
        <v>167</v>
      </c>
      <c r="H558" s="57"/>
      <c r="I558" s="173" t="s">
        <v>1743</v>
      </c>
      <c r="J558" s="277">
        <v>0.48299999999999998</v>
      </c>
      <c r="K558" s="213">
        <v>3.9452380952380954</v>
      </c>
      <c r="L558" s="91"/>
      <c r="M558" s="278">
        <v>420</v>
      </c>
      <c r="N558" s="279"/>
      <c r="O558" s="172" t="s">
        <v>12</v>
      </c>
      <c r="P558" s="511"/>
      <c r="Q558" s="173" t="s">
        <v>10</v>
      </c>
      <c r="R558" s="507"/>
      <c r="S558" s="507"/>
      <c r="T558" s="171"/>
      <c r="U558" s="171"/>
      <c r="V558" s="102">
        <v>0</v>
      </c>
      <c r="W558" s="120">
        <v>0</v>
      </c>
      <c r="X558" s="120">
        <v>0</v>
      </c>
      <c r="Y558" s="120">
        <v>0</v>
      </c>
      <c r="Z558" s="120">
        <v>0</v>
      </c>
      <c r="AA558" s="17">
        <v>0</v>
      </c>
      <c r="AB558" s="17">
        <v>0</v>
      </c>
      <c r="AC558" s="17">
        <v>0</v>
      </c>
      <c r="AD558" s="17">
        <v>0</v>
      </c>
      <c r="AE558" s="17">
        <v>0</v>
      </c>
      <c r="AF558" s="17">
        <v>0</v>
      </c>
      <c r="AG558" s="17">
        <v>0</v>
      </c>
      <c r="AH558" s="17">
        <v>0</v>
      </c>
      <c r="AI558" s="17">
        <v>0</v>
      </c>
      <c r="AJ558" s="17">
        <v>0</v>
      </c>
      <c r="AK558" s="17">
        <v>0</v>
      </c>
      <c r="AL558" s="32">
        <v>0</v>
      </c>
      <c r="AM558" s="780">
        <v>44.3</v>
      </c>
      <c r="AN558" s="89"/>
      <c r="AO558" s="280"/>
      <c r="AP558" s="783">
        <v>31066</v>
      </c>
      <c r="AQ558" s="773" t="s">
        <v>1159</v>
      </c>
      <c r="AR558" s="188">
        <v>100</v>
      </c>
      <c r="AS558" s="171">
        <v>400</v>
      </c>
      <c r="AT558" s="171" t="str">
        <f t="shared" si="47"/>
        <v>400</v>
      </c>
      <c r="AU558" s="255">
        <f t="shared" si="48"/>
        <v>33.333333333333336</v>
      </c>
      <c r="AV558" s="172">
        <v>100</v>
      </c>
      <c r="AW558" s="171">
        <v>28</v>
      </c>
      <c r="AX558" s="89"/>
      <c r="AY558" s="171">
        <v>20</v>
      </c>
      <c r="AZ558" s="261"/>
      <c r="BA558" s="175">
        <v>60</v>
      </c>
      <c r="BB558" s="259"/>
      <c r="BC558" s="176" t="s">
        <v>558</v>
      </c>
      <c r="BD558" s="179"/>
      <c r="BE558" s="179"/>
      <c r="BF558" s="178"/>
      <c r="BG558" s="25"/>
      <c r="BH558" s="25"/>
    </row>
    <row r="559" spans="1:60" s="14" customFormat="1" ht="15" customHeight="1">
      <c r="A559" s="95">
        <v>558</v>
      </c>
      <c r="B559" s="98" t="s">
        <v>1163</v>
      </c>
      <c r="C559" s="191" t="s">
        <v>2643</v>
      </c>
      <c r="D559" s="257" t="s">
        <v>549</v>
      </c>
      <c r="E559" s="459" t="s">
        <v>3377</v>
      </c>
      <c r="F559" s="171">
        <v>1981</v>
      </c>
      <c r="G559" s="171">
        <v>167</v>
      </c>
      <c r="H559" s="57"/>
      <c r="I559" s="173" t="s">
        <v>1743</v>
      </c>
      <c r="J559" s="277">
        <v>0.48299999999999998</v>
      </c>
      <c r="K559" s="213">
        <v>3.9452380952380954</v>
      </c>
      <c r="L559" s="91"/>
      <c r="M559" s="278">
        <v>420</v>
      </c>
      <c r="N559" s="279"/>
      <c r="O559" s="172" t="s">
        <v>12</v>
      </c>
      <c r="P559" s="511"/>
      <c r="Q559" s="173" t="s">
        <v>10</v>
      </c>
      <c r="R559" s="507"/>
      <c r="S559" s="507"/>
      <c r="T559" s="171"/>
      <c r="U559" s="171"/>
      <c r="V559" s="102">
        <v>0</v>
      </c>
      <c r="W559" s="120">
        <v>0</v>
      </c>
      <c r="X559" s="120">
        <v>0</v>
      </c>
      <c r="Y559" s="120">
        <v>0</v>
      </c>
      <c r="Z559" s="120">
        <v>0</v>
      </c>
      <c r="AA559" s="17">
        <v>0</v>
      </c>
      <c r="AB559" s="17">
        <v>0</v>
      </c>
      <c r="AC559" s="17">
        <v>0</v>
      </c>
      <c r="AD559" s="17">
        <v>0</v>
      </c>
      <c r="AE559" s="17">
        <v>0</v>
      </c>
      <c r="AF559" s="17">
        <v>0</v>
      </c>
      <c r="AG559" s="17">
        <v>0</v>
      </c>
      <c r="AH559" s="17">
        <v>0</v>
      </c>
      <c r="AI559" s="17">
        <v>0</v>
      </c>
      <c r="AJ559" s="17">
        <v>0</v>
      </c>
      <c r="AK559" s="17">
        <v>0</v>
      </c>
      <c r="AL559" s="32">
        <v>0</v>
      </c>
      <c r="AM559" s="780">
        <v>44.3</v>
      </c>
      <c r="AN559" s="89"/>
      <c r="AO559" s="280"/>
      <c r="AP559" s="783">
        <v>31066</v>
      </c>
      <c r="AQ559" s="773" t="s">
        <v>1159</v>
      </c>
      <c r="AR559" s="188">
        <v>100</v>
      </c>
      <c r="AS559" s="171">
        <v>400</v>
      </c>
      <c r="AT559" s="171" t="str">
        <f t="shared" si="47"/>
        <v>400</v>
      </c>
      <c r="AU559" s="255">
        <f t="shared" si="48"/>
        <v>33.333333333333336</v>
      </c>
      <c r="AV559" s="172">
        <v>100</v>
      </c>
      <c r="AW559" s="171">
        <v>28</v>
      </c>
      <c r="AX559" s="89"/>
      <c r="AY559" s="171">
        <v>20</v>
      </c>
      <c r="AZ559" s="261"/>
      <c r="BA559" s="175">
        <v>60</v>
      </c>
      <c r="BB559" s="259"/>
      <c r="BC559" s="176" t="s">
        <v>558</v>
      </c>
      <c r="BD559" s="179"/>
      <c r="BE559" s="179"/>
      <c r="BF559" s="178"/>
      <c r="BG559" s="25"/>
      <c r="BH559" s="25"/>
    </row>
    <row r="560" spans="1:60" s="14" customFormat="1" ht="15" customHeight="1">
      <c r="A560" s="95">
        <v>559</v>
      </c>
      <c r="B560" s="98" t="s">
        <v>1162</v>
      </c>
      <c r="C560" s="191" t="s">
        <v>2643</v>
      </c>
      <c r="D560" s="257" t="s">
        <v>549</v>
      </c>
      <c r="E560" s="459" t="s">
        <v>3377</v>
      </c>
      <c r="F560" s="171">
        <v>1981</v>
      </c>
      <c r="G560" s="171">
        <v>167</v>
      </c>
      <c r="H560" s="57"/>
      <c r="I560" s="173" t="s">
        <v>1743</v>
      </c>
      <c r="J560" s="277">
        <v>0.56399999999999995</v>
      </c>
      <c r="K560" s="213">
        <v>4.7416666666666663</v>
      </c>
      <c r="L560" s="91"/>
      <c r="M560" s="278">
        <v>360</v>
      </c>
      <c r="N560" s="279"/>
      <c r="O560" s="172" t="s">
        <v>12</v>
      </c>
      <c r="P560" s="511"/>
      <c r="Q560" s="173" t="s">
        <v>10</v>
      </c>
      <c r="R560" s="507"/>
      <c r="S560" s="507"/>
      <c r="T560" s="171"/>
      <c r="U560" s="171"/>
      <c r="V560" s="102">
        <v>0</v>
      </c>
      <c r="W560" s="120">
        <v>0</v>
      </c>
      <c r="X560" s="120">
        <v>0</v>
      </c>
      <c r="Y560" s="120">
        <v>0</v>
      </c>
      <c r="Z560" s="120">
        <v>0</v>
      </c>
      <c r="AA560" s="17">
        <v>0</v>
      </c>
      <c r="AB560" s="17">
        <v>0</v>
      </c>
      <c r="AC560" s="17">
        <v>0</v>
      </c>
      <c r="AD560" s="17">
        <v>0</v>
      </c>
      <c r="AE560" s="17">
        <v>0</v>
      </c>
      <c r="AF560" s="17">
        <v>0</v>
      </c>
      <c r="AG560" s="17">
        <v>0</v>
      </c>
      <c r="AH560" s="17">
        <v>0</v>
      </c>
      <c r="AI560" s="17">
        <v>0</v>
      </c>
      <c r="AJ560" s="17">
        <v>0</v>
      </c>
      <c r="AK560" s="17">
        <v>0</v>
      </c>
      <c r="AL560" s="32">
        <v>0</v>
      </c>
      <c r="AM560" s="780">
        <v>33.700000000000003</v>
      </c>
      <c r="AN560" s="89"/>
      <c r="AO560" s="280"/>
      <c r="AP560" s="783">
        <v>28910</v>
      </c>
      <c r="AQ560" s="773" t="s">
        <v>1159</v>
      </c>
      <c r="AR560" s="188">
        <v>100</v>
      </c>
      <c r="AS560" s="171">
        <v>400</v>
      </c>
      <c r="AT560" s="171" t="str">
        <f t="shared" si="47"/>
        <v>400</v>
      </c>
      <c r="AU560" s="255">
        <f t="shared" si="48"/>
        <v>33.333333333333336</v>
      </c>
      <c r="AV560" s="172">
        <v>100</v>
      </c>
      <c r="AW560" s="171">
        <v>28</v>
      </c>
      <c r="AX560" s="89"/>
      <c r="AY560" s="171">
        <v>20</v>
      </c>
      <c r="AZ560" s="261"/>
      <c r="BA560" s="175">
        <v>60</v>
      </c>
      <c r="BB560" s="259"/>
      <c r="BC560" s="176" t="s">
        <v>558</v>
      </c>
      <c r="BD560" s="179"/>
      <c r="BE560" s="179"/>
      <c r="BF560" s="178"/>
      <c r="BG560" s="25"/>
      <c r="BH560" s="25"/>
    </row>
    <row r="561" spans="1:60" s="14" customFormat="1" ht="15" customHeight="1">
      <c r="A561" s="95">
        <v>560</v>
      </c>
      <c r="B561" s="98" t="s">
        <v>1161</v>
      </c>
      <c r="C561" s="191" t="s">
        <v>2643</v>
      </c>
      <c r="D561" s="257" t="s">
        <v>549</v>
      </c>
      <c r="E561" s="459" t="s">
        <v>3377</v>
      </c>
      <c r="F561" s="171">
        <v>1981</v>
      </c>
      <c r="G561" s="171">
        <v>167</v>
      </c>
      <c r="H561" s="57"/>
      <c r="I561" s="173" t="s">
        <v>1743</v>
      </c>
      <c r="J561" s="277">
        <v>0.42299999999999999</v>
      </c>
      <c r="K561" s="213">
        <v>3.35</v>
      </c>
      <c r="L561" s="91"/>
      <c r="M561" s="278">
        <v>480</v>
      </c>
      <c r="N561" s="279"/>
      <c r="O561" s="172" t="s">
        <v>12</v>
      </c>
      <c r="P561" s="511"/>
      <c r="Q561" s="173" t="s">
        <v>10</v>
      </c>
      <c r="R561" s="507"/>
      <c r="S561" s="507"/>
      <c r="T561" s="171"/>
      <c r="U561" s="171"/>
      <c r="V561" s="102">
        <v>0</v>
      </c>
      <c r="W561" s="120">
        <v>0</v>
      </c>
      <c r="X561" s="120">
        <v>0</v>
      </c>
      <c r="Y561" s="120">
        <v>0</v>
      </c>
      <c r="Z561" s="120">
        <v>0</v>
      </c>
      <c r="AA561" s="17">
        <v>0</v>
      </c>
      <c r="AB561" s="17">
        <v>0</v>
      </c>
      <c r="AC561" s="17">
        <v>0</v>
      </c>
      <c r="AD561" s="17">
        <v>0</v>
      </c>
      <c r="AE561" s="17">
        <v>0</v>
      </c>
      <c r="AF561" s="17">
        <v>0</v>
      </c>
      <c r="AG561" s="17">
        <v>0</v>
      </c>
      <c r="AH561" s="17">
        <v>0</v>
      </c>
      <c r="AI561" s="17">
        <v>0</v>
      </c>
      <c r="AJ561" s="17">
        <v>0</v>
      </c>
      <c r="AK561" s="17">
        <v>0</v>
      </c>
      <c r="AL561" s="32">
        <v>0</v>
      </c>
      <c r="AM561" s="780">
        <v>50.4</v>
      </c>
      <c r="AN561" s="89"/>
      <c r="AO561" s="280"/>
      <c r="AP561" s="783">
        <v>31850</v>
      </c>
      <c r="AQ561" s="773" t="s">
        <v>1159</v>
      </c>
      <c r="AR561" s="188">
        <v>100</v>
      </c>
      <c r="AS561" s="171">
        <v>400</v>
      </c>
      <c r="AT561" s="171" t="str">
        <f t="shared" si="47"/>
        <v>400</v>
      </c>
      <c r="AU561" s="255">
        <f t="shared" si="48"/>
        <v>33.333333333333336</v>
      </c>
      <c r="AV561" s="172">
        <v>100</v>
      </c>
      <c r="AW561" s="171">
        <v>28</v>
      </c>
      <c r="AX561" s="89"/>
      <c r="AY561" s="171">
        <v>20</v>
      </c>
      <c r="AZ561" s="261"/>
      <c r="BA561" s="175">
        <v>60</v>
      </c>
      <c r="BB561" s="259"/>
      <c r="BC561" s="176" t="s">
        <v>558</v>
      </c>
      <c r="BD561" s="179"/>
      <c r="BE561" s="179"/>
      <c r="BF561" s="178"/>
      <c r="BG561" s="25"/>
      <c r="BH561" s="25"/>
    </row>
    <row r="562" spans="1:60" s="14" customFormat="1" ht="15" customHeight="1">
      <c r="A562" s="95">
        <v>561</v>
      </c>
      <c r="B562" s="98" t="s">
        <v>1160</v>
      </c>
      <c r="C562" s="191" t="s">
        <v>2643</v>
      </c>
      <c r="D562" s="257" t="s">
        <v>549</v>
      </c>
      <c r="E562" s="459" t="s">
        <v>3377</v>
      </c>
      <c r="F562" s="171">
        <v>1981</v>
      </c>
      <c r="G562" s="171">
        <v>167</v>
      </c>
      <c r="H562" s="57"/>
      <c r="I562" s="173" t="s">
        <v>1743</v>
      </c>
      <c r="J562" s="277">
        <v>0.48299999999999998</v>
      </c>
      <c r="K562" s="213">
        <v>3.9452380952380954</v>
      </c>
      <c r="L562" s="91"/>
      <c r="M562" s="278">
        <v>420</v>
      </c>
      <c r="N562" s="279"/>
      <c r="O562" s="172" t="s">
        <v>12</v>
      </c>
      <c r="P562" s="511"/>
      <c r="Q562" s="173" t="s">
        <v>10</v>
      </c>
      <c r="R562" s="507"/>
      <c r="S562" s="507"/>
      <c r="T562" s="171"/>
      <c r="U562" s="171"/>
      <c r="V562" s="102">
        <v>0</v>
      </c>
      <c r="W562" s="120">
        <v>0</v>
      </c>
      <c r="X562" s="120">
        <v>0</v>
      </c>
      <c r="Y562" s="120">
        <v>0</v>
      </c>
      <c r="Z562" s="120">
        <v>0</v>
      </c>
      <c r="AA562" s="17">
        <v>0</v>
      </c>
      <c r="AB562" s="17">
        <v>0</v>
      </c>
      <c r="AC562" s="17">
        <v>0</v>
      </c>
      <c r="AD562" s="17">
        <v>0</v>
      </c>
      <c r="AE562" s="17">
        <v>0</v>
      </c>
      <c r="AF562" s="17">
        <v>0</v>
      </c>
      <c r="AG562" s="17">
        <v>0</v>
      </c>
      <c r="AH562" s="17">
        <v>0</v>
      </c>
      <c r="AI562" s="17">
        <v>0</v>
      </c>
      <c r="AJ562" s="17">
        <v>0</v>
      </c>
      <c r="AK562" s="17">
        <v>0</v>
      </c>
      <c r="AL562" s="32">
        <v>0</v>
      </c>
      <c r="AM562" s="780">
        <v>44.3</v>
      </c>
      <c r="AN562" s="89"/>
      <c r="AO562" s="280"/>
      <c r="AP562" s="783">
        <v>31066</v>
      </c>
      <c r="AQ562" s="773" t="s">
        <v>1159</v>
      </c>
      <c r="AR562" s="188">
        <v>100</v>
      </c>
      <c r="AS562" s="171">
        <v>400</v>
      </c>
      <c r="AT562" s="171" t="str">
        <f t="shared" si="47"/>
        <v>400</v>
      </c>
      <c r="AU562" s="255">
        <f t="shared" si="48"/>
        <v>33.333333333333336</v>
      </c>
      <c r="AV562" s="172">
        <v>100</v>
      </c>
      <c r="AW562" s="171">
        <v>28</v>
      </c>
      <c r="AX562" s="89"/>
      <c r="AY562" s="171">
        <v>20</v>
      </c>
      <c r="AZ562" s="261"/>
      <c r="BA562" s="175">
        <v>60</v>
      </c>
      <c r="BB562" s="259"/>
      <c r="BC562" s="176" t="s">
        <v>558</v>
      </c>
      <c r="BD562" s="179"/>
      <c r="BE562" s="179"/>
      <c r="BF562" s="178"/>
      <c r="BG562" s="25"/>
      <c r="BH562" s="25"/>
    </row>
    <row r="563" spans="1:60" ht="15" customHeight="1">
      <c r="A563" s="95">
        <v>562</v>
      </c>
      <c r="B563" s="98" t="s">
        <v>1158</v>
      </c>
      <c r="C563" s="191" t="s">
        <v>2641</v>
      </c>
      <c r="D563" s="257" t="s">
        <v>549</v>
      </c>
      <c r="E563" s="459" t="s">
        <v>3377</v>
      </c>
      <c r="F563" s="171">
        <v>1982</v>
      </c>
      <c r="G563" s="171">
        <v>159</v>
      </c>
      <c r="H563" s="57"/>
      <c r="I563" s="173" t="s">
        <v>1743</v>
      </c>
      <c r="J563" s="277">
        <v>0.56700000000000006</v>
      </c>
      <c r="K563" s="90"/>
      <c r="L563" s="91">
        <f t="shared" ref="L563:L576" si="49">((J563)*(M563+((V563+W563+X563+Y563+Z563+AA563+AB563+AC563+AD563+AK563)/100)*(M563)))</f>
        <v>170.10000000000002</v>
      </c>
      <c r="M563" s="278">
        <v>300</v>
      </c>
      <c r="N563" s="279"/>
      <c r="O563" s="172" t="s">
        <v>129</v>
      </c>
      <c r="P563" s="511"/>
      <c r="Q563" s="173" t="s">
        <v>2540</v>
      </c>
      <c r="R563" s="507"/>
      <c r="S563" s="507"/>
      <c r="T563" s="171" t="s">
        <v>2306</v>
      </c>
      <c r="U563" s="171" t="s">
        <v>2530</v>
      </c>
      <c r="V563" s="102">
        <v>0</v>
      </c>
      <c r="W563" s="120">
        <v>0</v>
      </c>
      <c r="X563" s="120">
        <v>0</v>
      </c>
      <c r="Y563" s="120">
        <v>0</v>
      </c>
      <c r="Z563" s="120">
        <v>0</v>
      </c>
      <c r="AA563" s="17">
        <v>0</v>
      </c>
      <c r="AB563" s="17">
        <v>0</v>
      </c>
      <c r="AC563" s="17">
        <v>0</v>
      </c>
      <c r="AD563" s="17">
        <v>0</v>
      </c>
      <c r="AE563" s="17">
        <v>0</v>
      </c>
      <c r="AF563" s="17">
        <v>0</v>
      </c>
      <c r="AG563" s="17">
        <v>0</v>
      </c>
      <c r="AH563" s="17">
        <v>0</v>
      </c>
      <c r="AI563" s="17">
        <v>0</v>
      </c>
      <c r="AJ563" s="17">
        <v>0</v>
      </c>
      <c r="AK563" s="17">
        <v>0</v>
      </c>
      <c r="AL563" s="32" t="s">
        <v>2541</v>
      </c>
      <c r="AM563" s="780">
        <v>44.84</v>
      </c>
      <c r="AN563" s="89"/>
      <c r="AO563" s="280"/>
      <c r="AP563" s="783">
        <v>29732</v>
      </c>
      <c r="AQ563" s="773" t="s">
        <v>270</v>
      </c>
      <c r="AR563" s="188">
        <v>100</v>
      </c>
      <c r="AS563" s="171"/>
      <c r="AT563" s="171" t="str">
        <f t="shared" si="47"/>
        <v>500</v>
      </c>
      <c r="AU563" s="255">
        <f t="shared" si="48"/>
        <v>22.727272727272727</v>
      </c>
      <c r="AV563" s="172">
        <v>100</v>
      </c>
      <c r="AW563" s="171">
        <v>28</v>
      </c>
      <c r="AX563" s="89"/>
      <c r="AY563" s="171">
        <v>20</v>
      </c>
      <c r="AZ563" s="261"/>
      <c r="BA563" s="175">
        <v>50</v>
      </c>
      <c r="BB563" s="259"/>
      <c r="BC563" s="176"/>
      <c r="BD563" s="179"/>
      <c r="BE563" s="179"/>
      <c r="BF563" s="178" t="s">
        <v>3460</v>
      </c>
      <c r="BG563" s="25"/>
      <c r="BH563" s="25"/>
    </row>
    <row r="564" spans="1:60" ht="15" customHeight="1">
      <c r="A564" s="95">
        <v>563</v>
      </c>
      <c r="B564" s="98" t="s">
        <v>1157</v>
      </c>
      <c r="C564" s="191" t="s">
        <v>2641</v>
      </c>
      <c r="D564" s="257" t="s">
        <v>549</v>
      </c>
      <c r="E564" s="459" t="s">
        <v>3377</v>
      </c>
      <c r="F564" s="171">
        <v>1982</v>
      </c>
      <c r="G564" s="171">
        <v>159</v>
      </c>
      <c r="H564" s="57"/>
      <c r="I564" s="173" t="s">
        <v>1743</v>
      </c>
      <c r="J564" s="277">
        <v>0.34</v>
      </c>
      <c r="K564" s="90"/>
      <c r="L564" s="91">
        <f t="shared" si="49"/>
        <v>170</v>
      </c>
      <c r="M564" s="278">
        <v>500</v>
      </c>
      <c r="N564" s="279"/>
      <c r="O564" s="172" t="s">
        <v>129</v>
      </c>
      <c r="P564" s="511"/>
      <c r="Q564" s="173" t="s">
        <v>2540</v>
      </c>
      <c r="R564" s="507"/>
      <c r="S564" s="507"/>
      <c r="T564" s="171" t="s">
        <v>2306</v>
      </c>
      <c r="U564" s="171" t="s">
        <v>2530</v>
      </c>
      <c r="V564" s="102">
        <v>0</v>
      </c>
      <c r="W564" s="120">
        <v>0</v>
      </c>
      <c r="X564" s="120">
        <v>0</v>
      </c>
      <c r="Y564" s="120">
        <v>0</v>
      </c>
      <c r="Z564" s="120">
        <v>0</v>
      </c>
      <c r="AA564" s="17">
        <v>0</v>
      </c>
      <c r="AB564" s="17">
        <v>0</v>
      </c>
      <c r="AC564" s="17">
        <v>0</v>
      </c>
      <c r="AD564" s="17">
        <v>0</v>
      </c>
      <c r="AE564" s="17">
        <v>0</v>
      </c>
      <c r="AF564" s="17">
        <v>0</v>
      </c>
      <c r="AG564" s="17">
        <v>0</v>
      </c>
      <c r="AH564" s="17">
        <v>0</v>
      </c>
      <c r="AI564" s="17">
        <v>0</v>
      </c>
      <c r="AJ564" s="17">
        <v>0</v>
      </c>
      <c r="AK564" s="17">
        <v>0</v>
      </c>
      <c r="AL564" s="32" t="s">
        <v>2541</v>
      </c>
      <c r="AM564" s="780">
        <v>77.98</v>
      </c>
      <c r="AN564" s="89"/>
      <c r="AO564" s="280"/>
      <c r="AP564" s="783">
        <v>35836</v>
      </c>
      <c r="AQ564" s="773" t="s">
        <v>270</v>
      </c>
      <c r="AR564" s="188">
        <v>100</v>
      </c>
      <c r="AS564" s="171"/>
      <c r="AT564" s="171" t="str">
        <f t="shared" si="47"/>
        <v>500</v>
      </c>
      <c r="AU564" s="255">
        <f t="shared" si="48"/>
        <v>22.727272727272727</v>
      </c>
      <c r="AV564" s="172">
        <v>100</v>
      </c>
      <c r="AW564" s="171">
        <v>28</v>
      </c>
      <c r="AX564" s="89"/>
      <c r="AY564" s="171">
        <v>20</v>
      </c>
      <c r="AZ564" s="261"/>
      <c r="BA564" s="175">
        <v>50</v>
      </c>
      <c r="BB564" s="259"/>
      <c r="BC564" s="176"/>
      <c r="BD564" s="179"/>
      <c r="BE564" s="179"/>
      <c r="BF564" s="178" t="s">
        <v>3460</v>
      </c>
      <c r="BG564" s="25"/>
      <c r="BH564" s="25"/>
    </row>
    <row r="565" spans="1:60" ht="15" customHeight="1">
      <c r="A565" s="95">
        <v>564</v>
      </c>
      <c r="B565" s="98" t="s">
        <v>1156</v>
      </c>
      <c r="C565" s="191" t="s">
        <v>2641</v>
      </c>
      <c r="D565" s="257" t="s">
        <v>549</v>
      </c>
      <c r="E565" s="459" t="s">
        <v>3377</v>
      </c>
      <c r="F565" s="171">
        <v>1982</v>
      </c>
      <c r="G565" s="171">
        <v>159</v>
      </c>
      <c r="H565" s="57"/>
      <c r="I565" s="173" t="s">
        <v>1743</v>
      </c>
      <c r="J565" s="277">
        <v>0.24299999999999999</v>
      </c>
      <c r="K565" s="90"/>
      <c r="L565" s="91">
        <f t="shared" si="49"/>
        <v>170.1</v>
      </c>
      <c r="M565" s="278">
        <v>700</v>
      </c>
      <c r="N565" s="279"/>
      <c r="O565" s="172" t="s">
        <v>129</v>
      </c>
      <c r="P565" s="511"/>
      <c r="Q565" s="173" t="s">
        <v>2540</v>
      </c>
      <c r="R565" s="507"/>
      <c r="S565" s="507"/>
      <c r="T565" s="171" t="s">
        <v>2306</v>
      </c>
      <c r="U565" s="171" t="s">
        <v>2530</v>
      </c>
      <c r="V565" s="102">
        <v>0</v>
      </c>
      <c r="W565" s="120">
        <v>0</v>
      </c>
      <c r="X565" s="120">
        <v>0</v>
      </c>
      <c r="Y565" s="120">
        <v>0</v>
      </c>
      <c r="Z565" s="120">
        <v>0</v>
      </c>
      <c r="AA565" s="17">
        <v>0</v>
      </c>
      <c r="AB565" s="17">
        <v>0</v>
      </c>
      <c r="AC565" s="17">
        <v>0</v>
      </c>
      <c r="AD565" s="17">
        <v>0</v>
      </c>
      <c r="AE565" s="17">
        <v>0</v>
      </c>
      <c r="AF565" s="17">
        <v>0</v>
      </c>
      <c r="AG565" s="17">
        <v>0</v>
      </c>
      <c r="AH565" s="17">
        <v>0</v>
      </c>
      <c r="AI565" s="17">
        <v>0</v>
      </c>
      <c r="AJ565" s="17">
        <v>0</v>
      </c>
      <c r="AK565" s="17">
        <v>0</v>
      </c>
      <c r="AL565" s="32" t="s">
        <v>2541</v>
      </c>
      <c r="AM565" s="780">
        <v>98.47</v>
      </c>
      <c r="AN565" s="89"/>
      <c r="AO565" s="280"/>
      <c r="AP565" s="783">
        <v>37830</v>
      </c>
      <c r="AQ565" s="773" t="s">
        <v>270</v>
      </c>
      <c r="AR565" s="188">
        <v>100</v>
      </c>
      <c r="AS565" s="171"/>
      <c r="AT565" s="171" t="str">
        <f t="shared" si="47"/>
        <v>500</v>
      </c>
      <c r="AU565" s="255">
        <f t="shared" si="48"/>
        <v>22.727272727272727</v>
      </c>
      <c r="AV565" s="172">
        <v>100</v>
      </c>
      <c r="AW565" s="171">
        <v>28</v>
      </c>
      <c r="AX565" s="89"/>
      <c r="AY565" s="171">
        <v>20</v>
      </c>
      <c r="AZ565" s="261"/>
      <c r="BA565" s="175">
        <v>50</v>
      </c>
      <c r="BB565" s="259"/>
      <c r="BC565" s="176"/>
      <c r="BD565" s="179"/>
      <c r="BE565" s="179"/>
      <c r="BF565" s="178" t="s">
        <v>3460</v>
      </c>
      <c r="BG565" s="25"/>
      <c r="BH565" s="25"/>
    </row>
    <row r="566" spans="1:60" ht="15" customHeight="1">
      <c r="A566" s="95">
        <v>565</v>
      </c>
      <c r="B566" s="98" t="s">
        <v>1155</v>
      </c>
      <c r="C566" s="191" t="s">
        <v>2641</v>
      </c>
      <c r="D566" s="257" t="s">
        <v>549</v>
      </c>
      <c r="E566" s="459" t="s">
        <v>3377</v>
      </c>
      <c r="F566" s="171">
        <v>1982</v>
      </c>
      <c r="G566" s="171">
        <v>159</v>
      </c>
      <c r="H566" s="57"/>
      <c r="I566" s="173" t="s">
        <v>1743</v>
      </c>
      <c r="J566" s="277">
        <v>0.56700000000000006</v>
      </c>
      <c r="K566" s="90"/>
      <c r="L566" s="91">
        <f t="shared" si="49"/>
        <v>170.10000000000002</v>
      </c>
      <c r="M566" s="278">
        <v>300</v>
      </c>
      <c r="N566" s="279"/>
      <c r="O566" s="172" t="s">
        <v>129</v>
      </c>
      <c r="P566" s="511"/>
      <c r="Q566" s="173" t="s">
        <v>2540</v>
      </c>
      <c r="R566" s="507"/>
      <c r="S566" s="507"/>
      <c r="T566" s="171" t="s">
        <v>2306</v>
      </c>
      <c r="U566" s="171" t="s">
        <v>2530</v>
      </c>
      <c r="V566" s="102">
        <v>0</v>
      </c>
      <c r="W566" s="120">
        <v>0</v>
      </c>
      <c r="X566" s="120">
        <v>0</v>
      </c>
      <c r="Y566" s="120">
        <v>0</v>
      </c>
      <c r="Z566" s="120">
        <v>0</v>
      </c>
      <c r="AA566" s="17">
        <v>0</v>
      </c>
      <c r="AB566" s="17">
        <v>0</v>
      </c>
      <c r="AC566" s="17">
        <v>0</v>
      </c>
      <c r="AD566" s="17">
        <v>0</v>
      </c>
      <c r="AE566" s="17">
        <v>0</v>
      </c>
      <c r="AF566" s="17">
        <v>0</v>
      </c>
      <c r="AG566" s="17">
        <v>0</v>
      </c>
      <c r="AH566" s="17">
        <v>0</v>
      </c>
      <c r="AI566" s="17">
        <v>0</v>
      </c>
      <c r="AJ566" s="17">
        <v>0</v>
      </c>
      <c r="AK566" s="17">
        <v>0</v>
      </c>
      <c r="AL566" s="32" t="s">
        <v>2541</v>
      </c>
      <c r="AM566" s="780">
        <v>38.28</v>
      </c>
      <c r="AN566" s="89"/>
      <c r="AO566" s="280"/>
      <c r="AP566" s="782"/>
      <c r="AQ566" s="773" t="s">
        <v>270</v>
      </c>
      <c r="AR566" s="188">
        <v>100</v>
      </c>
      <c r="AS566" s="171"/>
      <c r="AT566" s="171" t="str">
        <f t="shared" si="47"/>
        <v>500</v>
      </c>
      <c r="AU566" s="255">
        <f t="shared" si="48"/>
        <v>22.727272727272727</v>
      </c>
      <c r="AV566" s="42" t="s">
        <v>2542</v>
      </c>
      <c r="AW566" s="171">
        <v>28</v>
      </c>
      <c r="AX566" s="89"/>
      <c r="AY566" s="171">
        <v>20</v>
      </c>
      <c r="AZ566" s="261"/>
      <c r="BA566" s="175">
        <v>50</v>
      </c>
      <c r="BB566" s="259"/>
      <c r="BC566" s="176"/>
      <c r="BD566" s="179"/>
      <c r="BE566" s="179"/>
      <c r="BF566" s="178" t="s">
        <v>3460</v>
      </c>
      <c r="BG566" s="25"/>
      <c r="BH566" s="25"/>
    </row>
    <row r="567" spans="1:60" ht="15" customHeight="1">
      <c r="A567" s="95">
        <v>566</v>
      </c>
      <c r="B567" s="98" t="s">
        <v>1154</v>
      </c>
      <c r="C567" s="191" t="s">
        <v>2641</v>
      </c>
      <c r="D567" s="257" t="s">
        <v>549</v>
      </c>
      <c r="E567" s="459" t="s">
        <v>3377</v>
      </c>
      <c r="F567" s="171">
        <v>1982</v>
      </c>
      <c r="G567" s="171">
        <v>159</v>
      </c>
      <c r="H567" s="57"/>
      <c r="I567" s="173" t="s">
        <v>1743</v>
      </c>
      <c r="J567" s="277">
        <v>0.34</v>
      </c>
      <c r="K567" s="90"/>
      <c r="L567" s="91">
        <f t="shared" si="49"/>
        <v>170</v>
      </c>
      <c r="M567" s="278">
        <v>500</v>
      </c>
      <c r="N567" s="279"/>
      <c r="O567" s="172" t="s">
        <v>129</v>
      </c>
      <c r="P567" s="511"/>
      <c r="Q567" s="173" t="s">
        <v>2540</v>
      </c>
      <c r="R567" s="507"/>
      <c r="S567" s="507"/>
      <c r="T567" s="171" t="s">
        <v>2306</v>
      </c>
      <c r="U567" s="171" t="s">
        <v>2530</v>
      </c>
      <c r="V567" s="102">
        <v>0</v>
      </c>
      <c r="W567" s="120">
        <v>0</v>
      </c>
      <c r="X567" s="120">
        <v>0</v>
      </c>
      <c r="Y567" s="120">
        <v>0</v>
      </c>
      <c r="Z567" s="120">
        <v>0</v>
      </c>
      <c r="AA567" s="17">
        <v>0</v>
      </c>
      <c r="AB567" s="17">
        <v>0</v>
      </c>
      <c r="AC567" s="17">
        <v>0</v>
      </c>
      <c r="AD567" s="17">
        <v>0</v>
      </c>
      <c r="AE567" s="17">
        <v>0</v>
      </c>
      <c r="AF567" s="17">
        <v>0</v>
      </c>
      <c r="AG567" s="17">
        <v>0</v>
      </c>
      <c r="AH567" s="17">
        <v>0</v>
      </c>
      <c r="AI567" s="17">
        <v>0</v>
      </c>
      <c r="AJ567" s="17">
        <v>0</v>
      </c>
      <c r="AK567" s="17">
        <v>0</v>
      </c>
      <c r="AL567" s="32" t="s">
        <v>2541</v>
      </c>
      <c r="AM567" s="780">
        <v>61.87</v>
      </c>
      <c r="AN567" s="89"/>
      <c r="AO567" s="280"/>
      <c r="AP567" s="782"/>
      <c r="AQ567" s="773" t="s">
        <v>270</v>
      </c>
      <c r="AR567" s="188">
        <v>100</v>
      </c>
      <c r="AS567" s="171"/>
      <c r="AT567" s="171" t="str">
        <f t="shared" si="47"/>
        <v>500</v>
      </c>
      <c r="AU567" s="255">
        <f t="shared" si="48"/>
        <v>22.727272727272727</v>
      </c>
      <c r="AV567" s="42" t="s">
        <v>2542</v>
      </c>
      <c r="AW567" s="171">
        <v>28</v>
      </c>
      <c r="AX567" s="89"/>
      <c r="AY567" s="171">
        <v>20</v>
      </c>
      <c r="AZ567" s="261"/>
      <c r="BA567" s="175">
        <v>50</v>
      </c>
      <c r="BB567" s="259"/>
      <c r="BC567" s="176"/>
      <c r="BD567" s="179"/>
      <c r="BE567" s="179"/>
      <c r="BF567" s="178" t="s">
        <v>3460</v>
      </c>
      <c r="BG567" s="25"/>
      <c r="BH567" s="25"/>
    </row>
    <row r="568" spans="1:60" ht="15" customHeight="1">
      <c r="A568" s="95">
        <v>567</v>
      </c>
      <c r="B568" s="98" t="s">
        <v>1153</v>
      </c>
      <c r="C568" s="191" t="s">
        <v>2641</v>
      </c>
      <c r="D568" s="257" t="s">
        <v>549</v>
      </c>
      <c r="E568" s="459" t="s">
        <v>3377</v>
      </c>
      <c r="F568" s="171">
        <v>1982</v>
      </c>
      <c r="G568" s="171">
        <v>159</v>
      </c>
      <c r="H568" s="57"/>
      <c r="I568" s="173" t="s">
        <v>1743</v>
      </c>
      <c r="J568" s="277">
        <v>0.24299999999999999</v>
      </c>
      <c r="K568" s="90"/>
      <c r="L568" s="91">
        <f t="shared" si="49"/>
        <v>170.1</v>
      </c>
      <c r="M568" s="278">
        <v>700</v>
      </c>
      <c r="N568" s="279"/>
      <c r="O568" s="172" t="s">
        <v>129</v>
      </c>
      <c r="P568" s="511"/>
      <c r="Q568" s="173" t="s">
        <v>2540</v>
      </c>
      <c r="R568" s="507"/>
      <c r="S568" s="507"/>
      <c r="T568" s="171" t="s">
        <v>2306</v>
      </c>
      <c r="U568" s="171" t="s">
        <v>2530</v>
      </c>
      <c r="V568" s="102">
        <v>0</v>
      </c>
      <c r="W568" s="120">
        <v>0</v>
      </c>
      <c r="X568" s="120">
        <v>0</v>
      </c>
      <c r="Y568" s="120">
        <v>0</v>
      </c>
      <c r="Z568" s="120">
        <v>0</v>
      </c>
      <c r="AA568" s="17">
        <v>0</v>
      </c>
      <c r="AB568" s="17">
        <v>0</v>
      </c>
      <c r="AC568" s="17">
        <v>0</v>
      </c>
      <c r="AD568" s="17">
        <v>0</v>
      </c>
      <c r="AE568" s="17">
        <v>0</v>
      </c>
      <c r="AF568" s="17">
        <v>0</v>
      </c>
      <c r="AG568" s="17">
        <v>0</v>
      </c>
      <c r="AH568" s="17">
        <v>0</v>
      </c>
      <c r="AI568" s="17">
        <v>0</v>
      </c>
      <c r="AJ568" s="17">
        <v>0</v>
      </c>
      <c r="AK568" s="17">
        <v>0</v>
      </c>
      <c r="AL568" s="32" t="s">
        <v>2541</v>
      </c>
      <c r="AM568" s="780">
        <v>95.33</v>
      </c>
      <c r="AN568" s="89"/>
      <c r="AO568" s="280"/>
      <c r="AP568" s="783">
        <v>39449</v>
      </c>
      <c r="AQ568" s="773" t="s">
        <v>270</v>
      </c>
      <c r="AR568" s="188">
        <v>100</v>
      </c>
      <c r="AS568" s="171"/>
      <c r="AT568" s="171" t="str">
        <f t="shared" si="47"/>
        <v>500</v>
      </c>
      <c r="AU568" s="255">
        <f t="shared" si="48"/>
        <v>22.727272727272727</v>
      </c>
      <c r="AV568" s="42" t="s">
        <v>2542</v>
      </c>
      <c r="AW568" s="171">
        <v>28</v>
      </c>
      <c r="AX568" s="89"/>
      <c r="AY568" s="171">
        <v>20</v>
      </c>
      <c r="AZ568" s="261"/>
      <c r="BA568" s="175">
        <v>50</v>
      </c>
      <c r="BB568" s="259"/>
      <c r="BC568" s="176"/>
      <c r="BD568" s="179"/>
      <c r="BE568" s="179"/>
      <c r="BF568" s="178" t="s">
        <v>3460</v>
      </c>
      <c r="BG568" s="25"/>
      <c r="BH568" s="25"/>
    </row>
    <row r="569" spans="1:60" ht="15" customHeight="1">
      <c r="A569" s="95">
        <v>568</v>
      </c>
      <c r="B569" s="98" t="s">
        <v>1152</v>
      </c>
      <c r="C569" s="191" t="s">
        <v>2641</v>
      </c>
      <c r="D569" s="257" t="s">
        <v>549</v>
      </c>
      <c r="E569" s="459" t="s">
        <v>3377</v>
      </c>
      <c r="F569" s="171">
        <v>1982</v>
      </c>
      <c r="G569" s="171">
        <v>159</v>
      </c>
      <c r="H569" s="57"/>
      <c r="I569" s="173" t="s">
        <v>1743</v>
      </c>
      <c r="J569" s="277">
        <v>0.56700000000000006</v>
      </c>
      <c r="K569" s="90"/>
      <c r="L569" s="91">
        <f t="shared" si="49"/>
        <v>170.10000000000002</v>
      </c>
      <c r="M569" s="278">
        <v>300</v>
      </c>
      <c r="N569" s="279"/>
      <c r="O569" s="172" t="s">
        <v>129</v>
      </c>
      <c r="P569" s="511"/>
      <c r="Q569" s="173" t="s">
        <v>2540</v>
      </c>
      <c r="R569" s="507"/>
      <c r="S569" s="507"/>
      <c r="T569" s="171" t="s">
        <v>2306</v>
      </c>
      <c r="U569" s="171" t="s">
        <v>2530</v>
      </c>
      <c r="V569" s="102">
        <v>0</v>
      </c>
      <c r="W569" s="120">
        <v>0</v>
      </c>
      <c r="X569" s="120">
        <v>0</v>
      </c>
      <c r="Y569" s="120">
        <v>0</v>
      </c>
      <c r="Z569" s="120">
        <v>0</v>
      </c>
      <c r="AA569" s="17">
        <v>0</v>
      </c>
      <c r="AB569" s="17">
        <v>0</v>
      </c>
      <c r="AC569" s="17">
        <v>0</v>
      </c>
      <c r="AD569" s="17">
        <v>0</v>
      </c>
      <c r="AE569" s="17">
        <v>0</v>
      </c>
      <c r="AF569" s="17">
        <v>0</v>
      </c>
      <c r="AG569" s="17">
        <v>0</v>
      </c>
      <c r="AH569" s="17">
        <v>0</v>
      </c>
      <c r="AI569" s="17">
        <v>0</v>
      </c>
      <c r="AJ569" s="17">
        <v>0</v>
      </c>
      <c r="AK569" s="17">
        <v>0</v>
      </c>
      <c r="AL569" s="32" t="s">
        <v>2541</v>
      </c>
      <c r="AM569" s="780">
        <v>42.02</v>
      </c>
      <c r="AN569" s="89"/>
      <c r="AO569" s="280"/>
      <c r="AP569" s="783">
        <v>29732</v>
      </c>
      <c r="AQ569" s="773" t="s">
        <v>270</v>
      </c>
      <c r="AR569" s="188">
        <v>100</v>
      </c>
      <c r="AS569" s="171"/>
      <c r="AT569" s="171" t="str">
        <f t="shared" si="47"/>
        <v>500</v>
      </c>
      <c r="AU569" s="255">
        <f t="shared" si="48"/>
        <v>22.727272727272727</v>
      </c>
      <c r="AV569" s="42" t="s">
        <v>2542</v>
      </c>
      <c r="AW569" s="171">
        <v>3</v>
      </c>
      <c r="AX569" s="89"/>
      <c r="AY569" s="171">
        <v>20</v>
      </c>
      <c r="AZ569" s="261"/>
      <c r="BA569" s="175">
        <v>50</v>
      </c>
      <c r="BB569" s="259"/>
      <c r="BC569" s="176"/>
      <c r="BD569" s="179"/>
      <c r="BE569" s="179"/>
      <c r="BF569" s="178" t="s">
        <v>3460</v>
      </c>
      <c r="BG569" s="25"/>
      <c r="BH569" s="25"/>
    </row>
    <row r="570" spans="1:60" ht="15" customHeight="1">
      <c r="A570" s="95">
        <v>569</v>
      </c>
      <c r="B570" s="98" t="s">
        <v>1151</v>
      </c>
      <c r="C570" s="191" t="s">
        <v>2641</v>
      </c>
      <c r="D570" s="257" t="s">
        <v>549</v>
      </c>
      <c r="E570" s="459" t="s">
        <v>3377</v>
      </c>
      <c r="F570" s="171">
        <v>1982</v>
      </c>
      <c r="G570" s="171">
        <v>159</v>
      </c>
      <c r="H570" s="57"/>
      <c r="I570" s="173" t="s">
        <v>1743</v>
      </c>
      <c r="J570" s="277">
        <v>0.34</v>
      </c>
      <c r="K570" s="90"/>
      <c r="L570" s="91">
        <f t="shared" si="49"/>
        <v>170</v>
      </c>
      <c r="M570" s="278">
        <v>500</v>
      </c>
      <c r="N570" s="279"/>
      <c r="O570" s="172" t="s">
        <v>129</v>
      </c>
      <c r="P570" s="511"/>
      <c r="Q570" s="173" t="s">
        <v>2540</v>
      </c>
      <c r="R570" s="507"/>
      <c r="S570" s="507"/>
      <c r="T570" s="171" t="s">
        <v>2306</v>
      </c>
      <c r="U570" s="171" t="s">
        <v>2530</v>
      </c>
      <c r="V570" s="102">
        <v>0</v>
      </c>
      <c r="W570" s="120">
        <v>0</v>
      </c>
      <c r="X570" s="120">
        <v>0</v>
      </c>
      <c r="Y570" s="120">
        <v>0</v>
      </c>
      <c r="Z570" s="120">
        <v>0</v>
      </c>
      <c r="AA570" s="17">
        <v>0</v>
      </c>
      <c r="AB570" s="17">
        <v>0</v>
      </c>
      <c r="AC570" s="17">
        <v>0</v>
      </c>
      <c r="AD570" s="17">
        <v>0</v>
      </c>
      <c r="AE570" s="17">
        <v>0</v>
      </c>
      <c r="AF570" s="17">
        <v>0</v>
      </c>
      <c r="AG570" s="17">
        <v>0</v>
      </c>
      <c r="AH570" s="17">
        <v>0</v>
      </c>
      <c r="AI570" s="17">
        <v>0</v>
      </c>
      <c r="AJ570" s="17">
        <v>0</v>
      </c>
      <c r="AK570" s="17">
        <v>0</v>
      </c>
      <c r="AL570" s="32" t="s">
        <v>2541</v>
      </c>
      <c r="AM570" s="780">
        <v>82.79</v>
      </c>
      <c r="AN570" s="89"/>
      <c r="AO570" s="280"/>
      <c r="AP570" s="783">
        <v>34964</v>
      </c>
      <c r="AQ570" s="773" t="s">
        <v>270</v>
      </c>
      <c r="AR570" s="188">
        <v>100</v>
      </c>
      <c r="AS570" s="171"/>
      <c r="AT570" s="171" t="str">
        <f t="shared" si="47"/>
        <v>500</v>
      </c>
      <c r="AU570" s="255">
        <f t="shared" si="48"/>
        <v>22.727272727272727</v>
      </c>
      <c r="AV570" s="42" t="s">
        <v>2542</v>
      </c>
      <c r="AW570" s="171">
        <v>3</v>
      </c>
      <c r="AX570" s="89"/>
      <c r="AY570" s="171">
        <v>20</v>
      </c>
      <c r="AZ570" s="261"/>
      <c r="BA570" s="175">
        <v>50</v>
      </c>
      <c r="BB570" s="259"/>
      <c r="BC570" s="176"/>
      <c r="BD570" s="179"/>
      <c r="BE570" s="179"/>
      <c r="BF570" s="178" t="s">
        <v>3460</v>
      </c>
      <c r="BG570" s="25"/>
      <c r="BH570" s="25"/>
    </row>
    <row r="571" spans="1:60" ht="15" customHeight="1">
      <c r="A571" s="95">
        <v>570</v>
      </c>
      <c r="B571" s="98" t="s">
        <v>1150</v>
      </c>
      <c r="C571" s="191" t="s">
        <v>2641</v>
      </c>
      <c r="D571" s="257" t="s">
        <v>549</v>
      </c>
      <c r="E571" s="459" t="s">
        <v>3377</v>
      </c>
      <c r="F571" s="171">
        <v>1982</v>
      </c>
      <c r="G571" s="171">
        <v>159</v>
      </c>
      <c r="H571" s="57"/>
      <c r="I571" s="173" t="s">
        <v>1743</v>
      </c>
      <c r="J571" s="277">
        <v>0.24299999999999999</v>
      </c>
      <c r="K571" s="90"/>
      <c r="L571" s="91">
        <f t="shared" si="49"/>
        <v>170.1</v>
      </c>
      <c r="M571" s="278">
        <v>700</v>
      </c>
      <c r="N571" s="279"/>
      <c r="O571" s="172" t="s">
        <v>129</v>
      </c>
      <c r="P571" s="511"/>
      <c r="Q571" s="173" t="s">
        <v>2540</v>
      </c>
      <c r="R571" s="507"/>
      <c r="S571" s="507"/>
      <c r="T571" s="171" t="s">
        <v>2306</v>
      </c>
      <c r="U571" s="171" t="s">
        <v>2530</v>
      </c>
      <c r="V571" s="102">
        <v>0</v>
      </c>
      <c r="W571" s="120">
        <v>0</v>
      </c>
      <c r="X571" s="120">
        <v>0</v>
      </c>
      <c r="Y571" s="120">
        <v>0</v>
      </c>
      <c r="Z571" s="120">
        <v>0</v>
      </c>
      <c r="AA571" s="17">
        <v>0</v>
      </c>
      <c r="AB571" s="17">
        <v>0</v>
      </c>
      <c r="AC571" s="17">
        <v>0</v>
      </c>
      <c r="AD571" s="17">
        <v>0</v>
      </c>
      <c r="AE571" s="17">
        <v>0</v>
      </c>
      <c r="AF571" s="17">
        <v>0</v>
      </c>
      <c r="AG571" s="17">
        <v>0</v>
      </c>
      <c r="AH571" s="17">
        <v>0</v>
      </c>
      <c r="AI571" s="17">
        <v>0</v>
      </c>
      <c r="AJ571" s="17">
        <v>0</v>
      </c>
      <c r="AK571" s="17">
        <v>0</v>
      </c>
      <c r="AL571" s="32" t="s">
        <v>2541</v>
      </c>
      <c r="AM571" s="780">
        <v>112.27</v>
      </c>
      <c r="AN571" s="89"/>
      <c r="AO571" s="280"/>
      <c r="AP571" s="783">
        <v>39823</v>
      </c>
      <c r="AQ571" s="773" t="s">
        <v>270</v>
      </c>
      <c r="AR571" s="188">
        <v>100</v>
      </c>
      <c r="AS571" s="171"/>
      <c r="AT571" s="171" t="str">
        <f t="shared" si="47"/>
        <v>500</v>
      </c>
      <c r="AU571" s="255">
        <f t="shared" si="48"/>
        <v>22.727272727272727</v>
      </c>
      <c r="AV571" s="42" t="s">
        <v>2542</v>
      </c>
      <c r="AW571" s="171">
        <v>3</v>
      </c>
      <c r="AX571" s="89"/>
      <c r="AY571" s="171">
        <v>20</v>
      </c>
      <c r="AZ571" s="261"/>
      <c r="BA571" s="175">
        <v>50</v>
      </c>
      <c r="BB571" s="259"/>
      <c r="BC571" s="176"/>
      <c r="BD571" s="179"/>
      <c r="BE571" s="179"/>
      <c r="BF571" s="178" t="s">
        <v>3460</v>
      </c>
      <c r="BG571" s="25"/>
      <c r="BH571" s="25"/>
    </row>
    <row r="572" spans="1:60" ht="15" customHeight="1">
      <c r="A572" s="95">
        <v>571</v>
      </c>
      <c r="B572" s="98" t="s">
        <v>1149</v>
      </c>
      <c r="C572" s="191" t="s">
        <v>2641</v>
      </c>
      <c r="D572" s="257" t="s">
        <v>549</v>
      </c>
      <c r="E572" s="459" t="s">
        <v>3377</v>
      </c>
      <c r="F572" s="171">
        <v>1982</v>
      </c>
      <c r="G572" s="171">
        <v>159</v>
      </c>
      <c r="H572" s="57"/>
      <c r="I572" s="173" t="s">
        <v>1743</v>
      </c>
      <c r="J572" s="277">
        <v>0.56700000000000006</v>
      </c>
      <c r="K572" s="90"/>
      <c r="L572" s="91">
        <f t="shared" si="49"/>
        <v>170.10000000000002</v>
      </c>
      <c r="M572" s="278">
        <v>300</v>
      </c>
      <c r="N572" s="279"/>
      <c r="O572" s="172" t="s">
        <v>129</v>
      </c>
      <c r="P572" s="511"/>
      <c r="Q572" s="173" t="s">
        <v>2540</v>
      </c>
      <c r="R572" s="507"/>
      <c r="S572" s="507"/>
      <c r="T572" s="171" t="s">
        <v>2306</v>
      </c>
      <c r="U572" s="171" t="s">
        <v>2530</v>
      </c>
      <c r="V572" s="102">
        <v>0</v>
      </c>
      <c r="W572" s="120">
        <v>0</v>
      </c>
      <c r="X572" s="120">
        <v>0</v>
      </c>
      <c r="Y572" s="120">
        <v>0</v>
      </c>
      <c r="Z572" s="120">
        <v>0</v>
      </c>
      <c r="AA572" s="17">
        <v>0</v>
      </c>
      <c r="AB572" s="17">
        <v>0</v>
      </c>
      <c r="AC572" s="17">
        <v>0</v>
      </c>
      <c r="AD572" s="17">
        <v>0</v>
      </c>
      <c r="AE572" s="17">
        <v>0</v>
      </c>
      <c r="AF572" s="17">
        <v>0</v>
      </c>
      <c r="AG572" s="17">
        <v>0</v>
      </c>
      <c r="AH572" s="17">
        <v>0</v>
      </c>
      <c r="AI572" s="17">
        <v>0</v>
      </c>
      <c r="AJ572" s="17">
        <v>0</v>
      </c>
      <c r="AK572" s="17">
        <v>0</v>
      </c>
      <c r="AL572" s="32" t="s">
        <v>2541</v>
      </c>
      <c r="AM572" s="780">
        <v>42.02</v>
      </c>
      <c r="AN572" s="89"/>
      <c r="AO572" s="280"/>
      <c r="AP572" s="783">
        <v>29732</v>
      </c>
      <c r="AQ572" s="773" t="s">
        <v>1144</v>
      </c>
      <c r="AR572" s="188">
        <v>150</v>
      </c>
      <c r="AS572" s="171"/>
      <c r="AT572" s="171" t="str">
        <f t="shared" si="47"/>
        <v>520</v>
      </c>
      <c r="AU572" s="255">
        <f t="shared" si="48"/>
        <v>32.773109243697476</v>
      </c>
      <c r="AV572" s="42" t="s">
        <v>2542</v>
      </c>
      <c r="AW572" s="171">
        <v>3</v>
      </c>
      <c r="AX572" s="89"/>
      <c r="AY572" s="171">
        <v>20</v>
      </c>
      <c r="AZ572" s="261"/>
      <c r="BA572" s="175">
        <v>50</v>
      </c>
      <c r="BB572" s="259"/>
      <c r="BC572" s="176"/>
      <c r="BD572" s="179"/>
      <c r="BE572" s="179"/>
      <c r="BF572" s="178" t="s">
        <v>3460</v>
      </c>
      <c r="BG572" s="25"/>
      <c r="BH572" s="25"/>
    </row>
    <row r="573" spans="1:60" ht="15" customHeight="1">
      <c r="A573" s="95">
        <v>572</v>
      </c>
      <c r="B573" s="98" t="s">
        <v>1148</v>
      </c>
      <c r="C573" s="191" t="s">
        <v>2641</v>
      </c>
      <c r="D573" s="257" t="s">
        <v>549</v>
      </c>
      <c r="E573" s="459" t="s">
        <v>3377</v>
      </c>
      <c r="F573" s="171">
        <v>1982</v>
      </c>
      <c r="G573" s="171">
        <v>159</v>
      </c>
      <c r="H573" s="57"/>
      <c r="I573" s="173" t="s">
        <v>1743</v>
      </c>
      <c r="J573" s="277">
        <v>0.34</v>
      </c>
      <c r="K573" s="90"/>
      <c r="L573" s="91">
        <f t="shared" si="49"/>
        <v>170</v>
      </c>
      <c r="M573" s="278">
        <v>500</v>
      </c>
      <c r="N573" s="279"/>
      <c r="O573" s="172" t="s">
        <v>129</v>
      </c>
      <c r="P573" s="511"/>
      <c r="Q573" s="173" t="s">
        <v>2540</v>
      </c>
      <c r="R573" s="507"/>
      <c r="S573" s="507"/>
      <c r="T573" s="171" t="s">
        <v>2306</v>
      </c>
      <c r="U573" s="171" t="s">
        <v>2530</v>
      </c>
      <c r="V573" s="102">
        <v>0</v>
      </c>
      <c r="W573" s="120">
        <v>0</v>
      </c>
      <c r="X573" s="120">
        <v>0</v>
      </c>
      <c r="Y573" s="120">
        <v>0</v>
      </c>
      <c r="Z573" s="120">
        <v>0</v>
      </c>
      <c r="AA573" s="17">
        <v>0</v>
      </c>
      <c r="AB573" s="17">
        <v>0</v>
      </c>
      <c r="AC573" s="17">
        <v>0</v>
      </c>
      <c r="AD573" s="17">
        <v>0</v>
      </c>
      <c r="AE573" s="17">
        <v>0</v>
      </c>
      <c r="AF573" s="17">
        <v>0</v>
      </c>
      <c r="AG573" s="17">
        <v>0</v>
      </c>
      <c r="AH573" s="17">
        <v>0</v>
      </c>
      <c r="AI573" s="17">
        <v>0</v>
      </c>
      <c r="AJ573" s="17">
        <v>0</v>
      </c>
      <c r="AK573" s="17">
        <v>0</v>
      </c>
      <c r="AL573" s="32" t="s">
        <v>2541</v>
      </c>
      <c r="AM573" s="780">
        <v>82.79</v>
      </c>
      <c r="AN573" s="89"/>
      <c r="AO573" s="280"/>
      <c r="AP573" s="783">
        <v>34964</v>
      </c>
      <c r="AQ573" s="773" t="s">
        <v>1144</v>
      </c>
      <c r="AR573" s="188">
        <v>150</v>
      </c>
      <c r="AS573" s="171"/>
      <c r="AT573" s="171" t="str">
        <f t="shared" si="47"/>
        <v>520</v>
      </c>
      <c r="AU573" s="255">
        <f t="shared" si="48"/>
        <v>32.773109243697476</v>
      </c>
      <c r="AV573" s="42" t="s">
        <v>2542</v>
      </c>
      <c r="AW573" s="171">
        <v>3</v>
      </c>
      <c r="AX573" s="89"/>
      <c r="AY573" s="171">
        <v>20</v>
      </c>
      <c r="AZ573" s="261"/>
      <c r="BA573" s="175">
        <v>50</v>
      </c>
      <c r="BB573" s="259"/>
      <c r="BC573" s="176"/>
      <c r="BD573" s="179"/>
      <c r="BE573" s="179"/>
      <c r="BF573" s="178" t="s">
        <v>3460</v>
      </c>
      <c r="BG573" s="25"/>
      <c r="BH573" s="25"/>
    </row>
    <row r="574" spans="1:60" ht="15" customHeight="1">
      <c r="A574" s="95">
        <v>573</v>
      </c>
      <c r="B574" s="98" t="s">
        <v>1147</v>
      </c>
      <c r="C574" s="191" t="s">
        <v>2641</v>
      </c>
      <c r="D574" s="257" t="s">
        <v>549</v>
      </c>
      <c r="E574" s="459" t="s">
        <v>3377</v>
      </c>
      <c r="F574" s="171">
        <v>1982</v>
      </c>
      <c r="G574" s="171">
        <v>159</v>
      </c>
      <c r="H574" s="57"/>
      <c r="I574" s="173" t="s">
        <v>1743</v>
      </c>
      <c r="J574" s="277">
        <v>0.24299999999999999</v>
      </c>
      <c r="K574" s="90"/>
      <c r="L574" s="91">
        <f t="shared" si="49"/>
        <v>170.1</v>
      </c>
      <c r="M574" s="278">
        <v>700</v>
      </c>
      <c r="N574" s="279"/>
      <c r="O574" s="172" t="s">
        <v>129</v>
      </c>
      <c r="P574" s="511"/>
      <c r="Q574" s="173" t="s">
        <v>2540</v>
      </c>
      <c r="R574" s="507"/>
      <c r="S574" s="507"/>
      <c r="T574" s="171" t="s">
        <v>2306</v>
      </c>
      <c r="U574" s="171" t="s">
        <v>2530</v>
      </c>
      <c r="V574" s="102">
        <v>0</v>
      </c>
      <c r="W574" s="120">
        <v>0</v>
      </c>
      <c r="X574" s="120">
        <v>0</v>
      </c>
      <c r="Y574" s="120">
        <v>0</v>
      </c>
      <c r="Z574" s="120">
        <v>0</v>
      </c>
      <c r="AA574" s="17">
        <v>0</v>
      </c>
      <c r="AB574" s="17">
        <v>0</v>
      </c>
      <c r="AC574" s="17">
        <v>0</v>
      </c>
      <c r="AD574" s="17">
        <v>0</v>
      </c>
      <c r="AE574" s="17">
        <v>0</v>
      </c>
      <c r="AF574" s="17">
        <v>0</v>
      </c>
      <c r="AG574" s="17">
        <v>0</v>
      </c>
      <c r="AH574" s="17">
        <v>0</v>
      </c>
      <c r="AI574" s="17">
        <v>0</v>
      </c>
      <c r="AJ574" s="17">
        <v>0</v>
      </c>
      <c r="AK574" s="17">
        <v>0</v>
      </c>
      <c r="AL574" s="32" t="s">
        <v>2541</v>
      </c>
      <c r="AM574" s="780">
        <v>112.27</v>
      </c>
      <c r="AN574" s="89"/>
      <c r="AO574" s="280"/>
      <c r="AP574" s="783">
        <v>39823</v>
      </c>
      <c r="AQ574" s="773" t="s">
        <v>1144</v>
      </c>
      <c r="AR574" s="188">
        <v>150</v>
      </c>
      <c r="AS574" s="171"/>
      <c r="AT574" s="171" t="str">
        <f t="shared" si="47"/>
        <v>520</v>
      </c>
      <c r="AU574" s="255">
        <f t="shared" si="48"/>
        <v>32.773109243697476</v>
      </c>
      <c r="AV574" s="42" t="s">
        <v>2542</v>
      </c>
      <c r="AW574" s="171">
        <v>3</v>
      </c>
      <c r="AX574" s="89"/>
      <c r="AY574" s="171">
        <v>20</v>
      </c>
      <c r="AZ574" s="261"/>
      <c r="BA574" s="175">
        <v>50</v>
      </c>
      <c r="BB574" s="259"/>
      <c r="BC574" s="176"/>
      <c r="BD574" s="179"/>
      <c r="BE574" s="179"/>
      <c r="BF574" s="178" t="s">
        <v>3460</v>
      </c>
      <c r="BG574" s="25"/>
      <c r="BH574" s="25"/>
    </row>
    <row r="575" spans="1:60" ht="15" customHeight="1">
      <c r="A575" s="95">
        <v>574</v>
      </c>
      <c r="B575" s="98" t="s">
        <v>1146</v>
      </c>
      <c r="C575" s="191" t="s">
        <v>2641</v>
      </c>
      <c r="D575" s="257" t="s">
        <v>549</v>
      </c>
      <c r="E575" s="459" t="s">
        <v>3377</v>
      </c>
      <c r="F575" s="171">
        <v>1982</v>
      </c>
      <c r="G575" s="171">
        <v>159</v>
      </c>
      <c r="H575" s="57"/>
      <c r="I575" s="173" t="s">
        <v>1743</v>
      </c>
      <c r="J575" s="277">
        <v>0.56699999999999995</v>
      </c>
      <c r="K575" s="90"/>
      <c r="L575" s="91">
        <f t="shared" si="49"/>
        <v>170.1</v>
      </c>
      <c r="M575" s="278">
        <v>300</v>
      </c>
      <c r="N575" s="279"/>
      <c r="O575" s="172" t="s">
        <v>129</v>
      </c>
      <c r="P575" s="511"/>
      <c r="Q575" s="173" t="s">
        <v>2540</v>
      </c>
      <c r="R575" s="507"/>
      <c r="S575" s="507"/>
      <c r="T575" s="171" t="s">
        <v>2306</v>
      </c>
      <c r="U575" s="171" t="s">
        <v>2530</v>
      </c>
      <c r="V575" s="102">
        <v>0</v>
      </c>
      <c r="W575" s="120">
        <v>0</v>
      </c>
      <c r="X575" s="120">
        <v>0</v>
      </c>
      <c r="Y575" s="120">
        <v>0</v>
      </c>
      <c r="Z575" s="120">
        <v>0</v>
      </c>
      <c r="AA575" s="17">
        <v>0</v>
      </c>
      <c r="AB575" s="17">
        <v>0</v>
      </c>
      <c r="AC575" s="17">
        <v>0</v>
      </c>
      <c r="AD575" s="17">
        <v>0</v>
      </c>
      <c r="AE575" s="17">
        <v>0</v>
      </c>
      <c r="AF575" s="17">
        <v>0</v>
      </c>
      <c r="AG575" s="17">
        <v>0</v>
      </c>
      <c r="AH575" s="17">
        <v>0</v>
      </c>
      <c r="AI575" s="17">
        <v>0</v>
      </c>
      <c r="AJ575" s="17">
        <v>0</v>
      </c>
      <c r="AK575" s="17">
        <v>0</v>
      </c>
      <c r="AL575" s="32" t="s">
        <v>2541</v>
      </c>
      <c r="AM575" s="780">
        <v>44.84</v>
      </c>
      <c r="AN575" s="89"/>
      <c r="AO575" s="280"/>
      <c r="AP575" s="783">
        <v>29732</v>
      </c>
      <c r="AQ575" s="773" t="s">
        <v>1144</v>
      </c>
      <c r="AR575" s="188">
        <v>150</v>
      </c>
      <c r="AS575" s="171"/>
      <c r="AT575" s="171" t="str">
        <f t="shared" si="47"/>
        <v>520</v>
      </c>
      <c r="AU575" s="255">
        <f t="shared" si="48"/>
        <v>32.773109243697476</v>
      </c>
      <c r="AV575" s="172">
        <v>100</v>
      </c>
      <c r="AW575" s="171">
        <v>28</v>
      </c>
      <c r="AX575" s="89"/>
      <c r="AY575" s="171">
        <v>20</v>
      </c>
      <c r="AZ575" s="261"/>
      <c r="BA575" s="175">
        <v>50</v>
      </c>
      <c r="BB575" s="259"/>
      <c r="BC575" s="176"/>
      <c r="BD575" s="179"/>
      <c r="BE575" s="179"/>
      <c r="BF575" s="178" t="s">
        <v>3460</v>
      </c>
      <c r="BG575" s="25"/>
      <c r="BH575" s="25"/>
    </row>
    <row r="576" spans="1:60" ht="15" customHeight="1">
      <c r="A576" s="95">
        <v>575</v>
      </c>
      <c r="B576" s="98" t="s">
        <v>1145</v>
      </c>
      <c r="C576" s="191" t="s">
        <v>2641</v>
      </c>
      <c r="D576" s="257" t="s">
        <v>549</v>
      </c>
      <c r="E576" s="459" t="s">
        <v>3377</v>
      </c>
      <c r="F576" s="171">
        <v>1982</v>
      </c>
      <c r="G576" s="171">
        <v>159</v>
      </c>
      <c r="H576" s="57"/>
      <c r="I576" s="173" t="s">
        <v>1743</v>
      </c>
      <c r="J576" s="277">
        <v>0.24299999999999999</v>
      </c>
      <c r="K576" s="90"/>
      <c r="L576" s="91">
        <f t="shared" si="49"/>
        <v>170.1</v>
      </c>
      <c r="M576" s="278">
        <v>700</v>
      </c>
      <c r="N576" s="279"/>
      <c r="O576" s="172" t="s">
        <v>129</v>
      </c>
      <c r="P576" s="511"/>
      <c r="Q576" s="173" t="s">
        <v>2540</v>
      </c>
      <c r="R576" s="507"/>
      <c r="S576" s="507"/>
      <c r="T576" s="171" t="s">
        <v>2306</v>
      </c>
      <c r="U576" s="171" t="s">
        <v>2530</v>
      </c>
      <c r="V576" s="102">
        <v>0</v>
      </c>
      <c r="W576" s="120">
        <v>0</v>
      </c>
      <c r="X576" s="120">
        <v>0</v>
      </c>
      <c r="Y576" s="120">
        <v>0</v>
      </c>
      <c r="Z576" s="120">
        <v>0</v>
      </c>
      <c r="AA576" s="17">
        <v>0</v>
      </c>
      <c r="AB576" s="17">
        <v>0</v>
      </c>
      <c r="AC576" s="17">
        <v>0</v>
      </c>
      <c r="AD576" s="17">
        <v>0</v>
      </c>
      <c r="AE576" s="17">
        <v>0</v>
      </c>
      <c r="AF576" s="17">
        <v>0</v>
      </c>
      <c r="AG576" s="17">
        <v>0</v>
      </c>
      <c r="AH576" s="17">
        <v>0</v>
      </c>
      <c r="AI576" s="17">
        <v>0</v>
      </c>
      <c r="AJ576" s="17">
        <v>0</v>
      </c>
      <c r="AK576" s="17">
        <v>0</v>
      </c>
      <c r="AL576" s="32" t="s">
        <v>2541</v>
      </c>
      <c r="AM576" s="780">
        <v>98.47</v>
      </c>
      <c r="AN576" s="89"/>
      <c r="AO576" s="280"/>
      <c r="AP576" s="783">
        <v>37830</v>
      </c>
      <c r="AQ576" s="773" t="s">
        <v>1144</v>
      </c>
      <c r="AR576" s="188">
        <v>150</v>
      </c>
      <c r="AS576" s="171"/>
      <c r="AT576" s="171" t="str">
        <f t="shared" si="47"/>
        <v>520</v>
      </c>
      <c r="AU576" s="255">
        <f t="shared" si="48"/>
        <v>32.773109243697476</v>
      </c>
      <c r="AV576" s="172">
        <v>100</v>
      </c>
      <c r="AW576" s="171">
        <v>28</v>
      </c>
      <c r="AX576" s="89"/>
      <c r="AY576" s="171">
        <v>20</v>
      </c>
      <c r="AZ576" s="261"/>
      <c r="BA576" s="175">
        <v>50</v>
      </c>
      <c r="BB576" s="259"/>
      <c r="BC576" s="176"/>
      <c r="BD576" s="179"/>
      <c r="BE576" s="179"/>
      <c r="BF576" s="178" t="s">
        <v>3460</v>
      </c>
      <c r="BG576" s="25"/>
      <c r="BH576" s="25"/>
    </row>
    <row r="577" spans="1:60" ht="15" customHeight="1">
      <c r="A577" s="95">
        <v>576</v>
      </c>
      <c r="B577" s="98" t="s">
        <v>1143</v>
      </c>
      <c r="C577" s="191" t="s">
        <v>2655</v>
      </c>
      <c r="D577" s="257" t="s">
        <v>549</v>
      </c>
      <c r="E577" s="459" t="s">
        <v>3377</v>
      </c>
      <c r="F577" s="171">
        <v>1985</v>
      </c>
      <c r="G577" s="171">
        <v>168</v>
      </c>
      <c r="H577" s="57"/>
      <c r="I577" s="173" t="s">
        <v>1743</v>
      </c>
      <c r="J577" s="277">
        <v>0.755</v>
      </c>
      <c r="K577" s="213">
        <v>6</v>
      </c>
      <c r="L577" s="91"/>
      <c r="M577" s="89"/>
      <c r="N577" s="89"/>
      <c r="O577" s="172" t="s">
        <v>12</v>
      </c>
      <c r="P577" s="511"/>
      <c r="Q577" s="173" t="s">
        <v>10</v>
      </c>
      <c r="R577" s="507"/>
      <c r="S577" s="507"/>
      <c r="T577" s="171"/>
      <c r="U577" s="171"/>
      <c r="V577" s="102">
        <v>0</v>
      </c>
      <c r="W577" s="120">
        <v>0</v>
      </c>
      <c r="X577" s="120">
        <v>0</v>
      </c>
      <c r="Y577" s="120">
        <v>0</v>
      </c>
      <c r="Z577" s="120">
        <v>0</v>
      </c>
      <c r="AA577" s="17">
        <v>0</v>
      </c>
      <c r="AB577" s="17">
        <v>0</v>
      </c>
      <c r="AC577" s="17">
        <v>0</v>
      </c>
      <c r="AD577" s="17">
        <v>0</v>
      </c>
      <c r="AE577" s="17">
        <v>0</v>
      </c>
      <c r="AF577" s="17">
        <v>0</v>
      </c>
      <c r="AG577" s="17">
        <v>0</v>
      </c>
      <c r="AH577" s="17">
        <v>0</v>
      </c>
      <c r="AI577" s="17">
        <v>0</v>
      </c>
      <c r="AJ577" s="17">
        <v>0</v>
      </c>
      <c r="AK577" s="17">
        <v>0</v>
      </c>
      <c r="AL577" s="32">
        <v>0</v>
      </c>
      <c r="AM577" s="57"/>
      <c r="AN577" s="89"/>
      <c r="AO577" s="280"/>
      <c r="AP577" s="784"/>
      <c r="AQ577" s="773" t="s">
        <v>1131</v>
      </c>
      <c r="AR577" s="188">
        <v>40</v>
      </c>
      <c r="AS577" s="171"/>
      <c r="AT577" s="171" t="str">
        <f t="shared" si="47"/>
        <v>160</v>
      </c>
      <c r="AU577" s="255">
        <f t="shared" si="48"/>
        <v>8.8888888888888893</v>
      </c>
      <c r="AV577" s="172">
        <v>100</v>
      </c>
      <c r="AW577" s="171">
        <v>7</v>
      </c>
      <c r="AX577" s="89"/>
      <c r="AY577" s="171">
        <v>20</v>
      </c>
      <c r="AZ577" s="261"/>
      <c r="BA577" s="175">
        <v>50</v>
      </c>
      <c r="BB577" s="259"/>
      <c r="BC577" s="176"/>
      <c r="BD577" s="179"/>
      <c r="BE577" s="179"/>
      <c r="BF577" s="178"/>
      <c r="BG577" s="25"/>
      <c r="BH577" s="25"/>
    </row>
    <row r="578" spans="1:60" ht="15" customHeight="1">
      <c r="A578" s="95">
        <v>577</v>
      </c>
      <c r="B578" s="98" t="s">
        <v>1142</v>
      </c>
      <c r="C578" s="191" t="s">
        <v>2655</v>
      </c>
      <c r="D578" s="257" t="s">
        <v>549</v>
      </c>
      <c r="E578" s="459" t="s">
        <v>3377</v>
      </c>
      <c r="F578" s="171">
        <v>1985</v>
      </c>
      <c r="G578" s="171">
        <v>168</v>
      </c>
      <c r="H578" s="57"/>
      <c r="I578" s="173" t="s">
        <v>1743</v>
      </c>
      <c r="J578" s="277">
        <v>0.72499999999999998</v>
      </c>
      <c r="K578" s="213">
        <v>6</v>
      </c>
      <c r="L578" s="91"/>
      <c r="M578" s="89"/>
      <c r="N578" s="89"/>
      <c r="O578" s="172" t="s">
        <v>12</v>
      </c>
      <c r="P578" s="511"/>
      <c r="Q578" s="173" t="s">
        <v>10</v>
      </c>
      <c r="R578" s="507"/>
      <c r="S578" s="507"/>
      <c r="T578" s="171"/>
      <c r="U578" s="171"/>
      <c r="V578" s="102">
        <v>0</v>
      </c>
      <c r="W578" s="120">
        <v>0</v>
      </c>
      <c r="X578" s="120">
        <v>0</v>
      </c>
      <c r="Y578" s="120">
        <v>0</v>
      </c>
      <c r="Z578" s="120">
        <v>0</v>
      </c>
      <c r="AA578" s="17">
        <v>0</v>
      </c>
      <c r="AB578" s="17">
        <v>0</v>
      </c>
      <c r="AC578" s="17">
        <v>0</v>
      </c>
      <c r="AD578" s="17">
        <v>0</v>
      </c>
      <c r="AE578" s="17">
        <v>0</v>
      </c>
      <c r="AF578" s="17">
        <v>0</v>
      </c>
      <c r="AG578" s="17">
        <v>0</v>
      </c>
      <c r="AH578" s="17">
        <v>0.02</v>
      </c>
      <c r="AI578" s="17">
        <v>0</v>
      </c>
      <c r="AJ578" s="17">
        <v>0</v>
      </c>
      <c r="AK578" s="17">
        <v>0</v>
      </c>
      <c r="AL578" s="32">
        <v>0</v>
      </c>
      <c r="AM578" s="57"/>
      <c r="AN578" s="89"/>
      <c r="AO578" s="280"/>
      <c r="AP578" s="784"/>
      <c r="AQ578" s="773" t="s">
        <v>1131</v>
      </c>
      <c r="AR578" s="188">
        <v>40</v>
      </c>
      <c r="AS578" s="171"/>
      <c r="AT578" s="171" t="str">
        <f t="shared" si="47"/>
        <v>160</v>
      </c>
      <c r="AU578" s="255">
        <f t="shared" si="48"/>
        <v>8.8888888888888893</v>
      </c>
      <c r="AV578" s="172">
        <v>100</v>
      </c>
      <c r="AW578" s="171">
        <v>7</v>
      </c>
      <c r="AX578" s="89"/>
      <c r="AY578" s="171">
        <v>20</v>
      </c>
      <c r="AZ578" s="261"/>
      <c r="BA578" s="175">
        <v>50</v>
      </c>
      <c r="BB578" s="259"/>
      <c r="BC578" s="176"/>
      <c r="BD578" s="179"/>
      <c r="BE578" s="179"/>
      <c r="BF578" s="178" t="s">
        <v>1130</v>
      </c>
      <c r="BG578" s="25"/>
      <c r="BH578" s="25"/>
    </row>
    <row r="579" spans="1:60" ht="15" customHeight="1">
      <c r="A579" s="95">
        <v>578</v>
      </c>
      <c r="B579" s="98" t="s">
        <v>1141</v>
      </c>
      <c r="C579" s="191" t="s">
        <v>2655</v>
      </c>
      <c r="D579" s="257" t="s">
        <v>549</v>
      </c>
      <c r="E579" s="459" t="s">
        <v>3377</v>
      </c>
      <c r="F579" s="171">
        <v>1985</v>
      </c>
      <c r="G579" s="171">
        <v>168</v>
      </c>
      <c r="H579" s="57"/>
      <c r="I579" s="173" t="s">
        <v>1743</v>
      </c>
      <c r="J579" s="277">
        <v>0.71499999999999997</v>
      </c>
      <c r="K579" s="213">
        <v>6</v>
      </c>
      <c r="L579" s="91"/>
      <c r="M579" s="89"/>
      <c r="N579" s="89"/>
      <c r="O579" s="172" t="s">
        <v>12</v>
      </c>
      <c r="P579" s="511"/>
      <c r="Q579" s="173" t="s">
        <v>10</v>
      </c>
      <c r="R579" s="507"/>
      <c r="S579" s="507"/>
      <c r="T579" s="171"/>
      <c r="U579" s="171"/>
      <c r="V579" s="102">
        <v>0</v>
      </c>
      <c r="W579" s="120">
        <v>0</v>
      </c>
      <c r="X579" s="120">
        <v>0</v>
      </c>
      <c r="Y579" s="120">
        <v>0</v>
      </c>
      <c r="Z579" s="120">
        <v>0</v>
      </c>
      <c r="AA579" s="17">
        <v>0</v>
      </c>
      <c r="AB579" s="17">
        <v>0</v>
      </c>
      <c r="AC579" s="17">
        <v>0</v>
      </c>
      <c r="AD579" s="17">
        <v>0</v>
      </c>
      <c r="AE579" s="17">
        <v>0</v>
      </c>
      <c r="AF579" s="17">
        <v>0</v>
      </c>
      <c r="AG579" s="17">
        <v>0</v>
      </c>
      <c r="AH579" s="17">
        <v>0.04</v>
      </c>
      <c r="AI579" s="17">
        <v>0</v>
      </c>
      <c r="AJ579" s="17">
        <v>0</v>
      </c>
      <c r="AK579" s="17">
        <v>0</v>
      </c>
      <c r="AL579" s="32">
        <v>0</v>
      </c>
      <c r="AM579" s="57"/>
      <c r="AN579" s="89"/>
      <c r="AO579" s="280"/>
      <c r="AP579" s="784"/>
      <c r="AQ579" s="773" t="s">
        <v>1131</v>
      </c>
      <c r="AR579" s="188">
        <v>40</v>
      </c>
      <c r="AS579" s="171"/>
      <c r="AT579" s="171" t="str">
        <f t="shared" si="47"/>
        <v>160</v>
      </c>
      <c r="AU579" s="255">
        <f t="shared" si="48"/>
        <v>8.8888888888888893</v>
      </c>
      <c r="AV579" s="172">
        <v>100</v>
      </c>
      <c r="AW579" s="171">
        <v>7</v>
      </c>
      <c r="AX579" s="89"/>
      <c r="AY579" s="171">
        <v>20</v>
      </c>
      <c r="AZ579" s="261"/>
      <c r="BA579" s="175">
        <v>50</v>
      </c>
      <c r="BB579" s="259"/>
      <c r="BC579" s="176"/>
      <c r="BD579" s="179"/>
      <c r="BE579" s="179"/>
      <c r="BF579" s="178" t="s">
        <v>1130</v>
      </c>
      <c r="BG579" s="25"/>
      <c r="BH579" s="25"/>
    </row>
    <row r="580" spans="1:60" ht="15" customHeight="1">
      <c r="A580" s="95">
        <v>579</v>
      </c>
      <c r="B580" s="98" t="s">
        <v>1140</v>
      </c>
      <c r="C580" s="191" t="s">
        <v>2655</v>
      </c>
      <c r="D580" s="257" t="s">
        <v>549</v>
      </c>
      <c r="E580" s="459" t="s">
        <v>3377</v>
      </c>
      <c r="F580" s="171">
        <v>1985</v>
      </c>
      <c r="G580" s="171">
        <v>168</v>
      </c>
      <c r="H580" s="57"/>
      <c r="I580" s="173" t="s">
        <v>1743</v>
      </c>
      <c r="J580" s="277">
        <v>0.69499999999999995</v>
      </c>
      <c r="K580" s="213">
        <v>6</v>
      </c>
      <c r="L580" s="91"/>
      <c r="M580" s="89"/>
      <c r="N580" s="89"/>
      <c r="O580" s="172" t="s">
        <v>12</v>
      </c>
      <c r="P580" s="92"/>
      <c r="Q580" s="173" t="s">
        <v>10</v>
      </c>
      <c r="R580" s="507"/>
      <c r="S580" s="94"/>
      <c r="T580" s="171"/>
      <c r="U580" s="171"/>
      <c r="V580" s="102">
        <v>0</v>
      </c>
      <c r="W580" s="120">
        <v>0</v>
      </c>
      <c r="X580" s="120">
        <v>0</v>
      </c>
      <c r="Y580" s="120">
        <v>0</v>
      </c>
      <c r="Z580" s="120">
        <v>0</v>
      </c>
      <c r="AA580" s="17">
        <v>0</v>
      </c>
      <c r="AB580" s="17">
        <v>0</v>
      </c>
      <c r="AC580" s="17">
        <v>0</v>
      </c>
      <c r="AD580" s="17">
        <v>0</v>
      </c>
      <c r="AE580" s="17">
        <v>0</v>
      </c>
      <c r="AF580" s="17">
        <v>0</v>
      </c>
      <c r="AG580" s="17">
        <v>0</v>
      </c>
      <c r="AH580" s="17">
        <v>0.06</v>
      </c>
      <c r="AI580" s="17">
        <v>0</v>
      </c>
      <c r="AJ580" s="17">
        <v>0</v>
      </c>
      <c r="AK580" s="17">
        <v>0</v>
      </c>
      <c r="AL580" s="32">
        <v>0</v>
      </c>
      <c r="AM580" s="57"/>
      <c r="AN580" s="89"/>
      <c r="AO580" s="280"/>
      <c r="AP580" s="784"/>
      <c r="AQ580" s="773" t="s">
        <v>1131</v>
      </c>
      <c r="AR580" s="188">
        <v>40</v>
      </c>
      <c r="AS580" s="171"/>
      <c r="AT580" s="171" t="str">
        <f t="shared" si="47"/>
        <v>160</v>
      </c>
      <c r="AU580" s="255">
        <f t="shared" si="48"/>
        <v>8.8888888888888893</v>
      </c>
      <c r="AV580" s="172">
        <v>100</v>
      </c>
      <c r="AW580" s="171">
        <v>7</v>
      </c>
      <c r="AX580" s="89"/>
      <c r="AY580" s="171">
        <v>20</v>
      </c>
      <c r="AZ580" s="261"/>
      <c r="BA580" s="175">
        <v>50</v>
      </c>
      <c r="BB580" s="259"/>
      <c r="BC580" s="176"/>
      <c r="BD580" s="179"/>
      <c r="BE580" s="179"/>
      <c r="BF580" s="178" t="s">
        <v>1130</v>
      </c>
      <c r="BG580" s="25"/>
      <c r="BH580" s="25"/>
    </row>
    <row r="581" spans="1:60" ht="15" customHeight="1">
      <c r="A581" s="95">
        <v>580</v>
      </c>
      <c r="B581" s="98" t="s">
        <v>1139</v>
      </c>
      <c r="C581" s="191" t="s">
        <v>2655</v>
      </c>
      <c r="D581" s="257" t="s">
        <v>549</v>
      </c>
      <c r="E581" s="459" t="s">
        <v>3377</v>
      </c>
      <c r="F581" s="171">
        <v>1985</v>
      </c>
      <c r="G581" s="171">
        <v>168</v>
      </c>
      <c r="H581" s="57"/>
      <c r="I581" s="173" t="s">
        <v>1743</v>
      </c>
      <c r="J581" s="277">
        <v>0.755</v>
      </c>
      <c r="K581" s="213">
        <v>6</v>
      </c>
      <c r="L581" s="91"/>
      <c r="M581" s="89"/>
      <c r="N581" s="89"/>
      <c r="O581" s="172" t="s">
        <v>12</v>
      </c>
      <c r="P581" s="92"/>
      <c r="Q581" s="173" t="s">
        <v>10</v>
      </c>
      <c r="R581" s="507"/>
      <c r="S581" s="94"/>
      <c r="T581" s="171"/>
      <c r="U581" s="171"/>
      <c r="V581" s="102">
        <v>0</v>
      </c>
      <c r="W581" s="120">
        <v>0</v>
      </c>
      <c r="X581" s="120">
        <v>0</v>
      </c>
      <c r="Y581" s="120">
        <v>0</v>
      </c>
      <c r="Z581" s="120">
        <v>0</v>
      </c>
      <c r="AA581" s="17">
        <v>0</v>
      </c>
      <c r="AB581" s="17">
        <v>0</v>
      </c>
      <c r="AC581" s="17">
        <v>0</v>
      </c>
      <c r="AD581" s="17">
        <v>0</v>
      </c>
      <c r="AE581" s="17">
        <v>0</v>
      </c>
      <c r="AF581" s="17">
        <v>0</v>
      </c>
      <c r="AG581" s="17">
        <v>0</v>
      </c>
      <c r="AH581" s="17">
        <v>0</v>
      </c>
      <c r="AI581" s="17">
        <v>0</v>
      </c>
      <c r="AJ581" s="17">
        <v>0</v>
      </c>
      <c r="AK581" s="17">
        <v>0</v>
      </c>
      <c r="AL581" s="32">
        <v>0</v>
      </c>
      <c r="AM581" s="57"/>
      <c r="AN581" s="89"/>
      <c r="AO581" s="280"/>
      <c r="AP581" s="784"/>
      <c r="AQ581" s="773" t="s">
        <v>1131</v>
      </c>
      <c r="AR581" s="188">
        <v>40</v>
      </c>
      <c r="AS581" s="171"/>
      <c r="AT581" s="171" t="str">
        <f t="shared" si="47"/>
        <v>160</v>
      </c>
      <c r="AU581" s="255">
        <f t="shared" si="48"/>
        <v>8.8888888888888893</v>
      </c>
      <c r="AV581" s="172">
        <v>100</v>
      </c>
      <c r="AW581" s="171">
        <v>7</v>
      </c>
      <c r="AX581" s="89"/>
      <c r="AY581" s="171">
        <v>20</v>
      </c>
      <c r="AZ581" s="261"/>
      <c r="BA581" s="175">
        <v>50</v>
      </c>
      <c r="BB581" s="259"/>
      <c r="BC581" s="176"/>
      <c r="BD581" s="179"/>
      <c r="BE581" s="179"/>
      <c r="BF581" s="178" t="s">
        <v>520</v>
      </c>
      <c r="BG581" s="25"/>
      <c r="BH581" s="25"/>
    </row>
    <row r="582" spans="1:60" ht="15" customHeight="1">
      <c r="A582" s="95">
        <v>581</v>
      </c>
      <c r="B582" s="98" t="s">
        <v>1138</v>
      </c>
      <c r="C582" s="191" t="s">
        <v>2655</v>
      </c>
      <c r="D582" s="257" t="s">
        <v>549</v>
      </c>
      <c r="E582" s="459" t="s">
        <v>3377</v>
      </c>
      <c r="F582" s="171">
        <v>1985</v>
      </c>
      <c r="G582" s="171">
        <v>168</v>
      </c>
      <c r="H582" s="57"/>
      <c r="I582" s="173" t="s">
        <v>1743</v>
      </c>
      <c r="J582" s="277">
        <v>0.72499999999999998</v>
      </c>
      <c r="K582" s="213">
        <v>6</v>
      </c>
      <c r="L582" s="91"/>
      <c r="M582" s="89"/>
      <c r="N582" s="89"/>
      <c r="O582" s="172" t="s">
        <v>12</v>
      </c>
      <c r="P582" s="92"/>
      <c r="Q582" s="173" t="s">
        <v>10</v>
      </c>
      <c r="R582" s="507"/>
      <c r="S582" s="94"/>
      <c r="T582" s="171"/>
      <c r="U582" s="171"/>
      <c r="V582" s="102">
        <v>0</v>
      </c>
      <c r="W582" s="120">
        <v>0</v>
      </c>
      <c r="X582" s="120">
        <v>0</v>
      </c>
      <c r="Y582" s="120">
        <v>0</v>
      </c>
      <c r="Z582" s="120">
        <v>0</v>
      </c>
      <c r="AA582" s="17">
        <v>0</v>
      </c>
      <c r="AB582" s="17">
        <v>0</v>
      </c>
      <c r="AC582" s="17">
        <v>0</v>
      </c>
      <c r="AD582" s="17">
        <v>0</v>
      </c>
      <c r="AE582" s="17">
        <v>0</v>
      </c>
      <c r="AF582" s="17">
        <v>0</v>
      </c>
      <c r="AG582" s="17">
        <v>0</v>
      </c>
      <c r="AH582" s="17">
        <v>0.02</v>
      </c>
      <c r="AI582" s="17">
        <v>0</v>
      </c>
      <c r="AJ582" s="17">
        <v>0</v>
      </c>
      <c r="AK582" s="17">
        <v>0</v>
      </c>
      <c r="AL582" s="32">
        <v>0</v>
      </c>
      <c r="AM582" s="57"/>
      <c r="AN582" s="89"/>
      <c r="AO582" s="280"/>
      <c r="AP582" s="784"/>
      <c r="AQ582" s="773" t="s">
        <v>1131</v>
      </c>
      <c r="AR582" s="188">
        <v>40</v>
      </c>
      <c r="AS582" s="171"/>
      <c r="AT582" s="171" t="str">
        <f t="shared" si="47"/>
        <v>160</v>
      </c>
      <c r="AU582" s="255">
        <f t="shared" si="48"/>
        <v>8.8888888888888893</v>
      </c>
      <c r="AV582" s="172">
        <v>100</v>
      </c>
      <c r="AW582" s="171">
        <v>7</v>
      </c>
      <c r="AX582" s="89"/>
      <c r="AY582" s="171">
        <v>20</v>
      </c>
      <c r="AZ582" s="261"/>
      <c r="BA582" s="175">
        <v>50</v>
      </c>
      <c r="BB582" s="259"/>
      <c r="BC582" s="176"/>
      <c r="BD582" s="179"/>
      <c r="BE582" s="179"/>
      <c r="BF582" s="178" t="s">
        <v>2543</v>
      </c>
      <c r="BG582" s="25"/>
      <c r="BH582" s="25"/>
    </row>
    <row r="583" spans="1:60" ht="15" customHeight="1">
      <c r="A583" s="95">
        <v>582</v>
      </c>
      <c r="B583" s="98" t="s">
        <v>1137</v>
      </c>
      <c r="C583" s="191" t="s">
        <v>2655</v>
      </c>
      <c r="D583" s="257" t="s">
        <v>549</v>
      </c>
      <c r="E583" s="459" t="s">
        <v>3377</v>
      </c>
      <c r="F583" s="171">
        <v>1985</v>
      </c>
      <c r="G583" s="171">
        <v>168</v>
      </c>
      <c r="H583" s="57"/>
      <c r="I583" s="173" t="s">
        <v>1743</v>
      </c>
      <c r="J583" s="277">
        <v>0.71499999999999997</v>
      </c>
      <c r="K583" s="213">
        <v>6</v>
      </c>
      <c r="L583" s="91"/>
      <c r="M583" s="89"/>
      <c r="N583" s="89"/>
      <c r="O583" s="172" t="s">
        <v>12</v>
      </c>
      <c r="P583" s="92"/>
      <c r="Q583" s="173" t="s">
        <v>10</v>
      </c>
      <c r="R583" s="507"/>
      <c r="S583" s="94"/>
      <c r="T583" s="171"/>
      <c r="U583" s="171"/>
      <c r="V583" s="102">
        <v>0</v>
      </c>
      <c r="W583" s="120">
        <v>0</v>
      </c>
      <c r="X583" s="120">
        <v>0</v>
      </c>
      <c r="Y583" s="120">
        <v>0</v>
      </c>
      <c r="Z583" s="120">
        <v>0</v>
      </c>
      <c r="AA583" s="17">
        <v>0</v>
      </c>
      <c r="AB583" s="17">
        <v>0</v>
      </c>
      <c r="AC583" s="17">
        <v>0</v>
      </c>
      <c r="AD583" s="17">
        <v>0</v>
      </c>
      <c r="AE583" s="17">
        <v>0</v>
      </c>
      <c r="AF583" s="17">
        <v>0</v>
      </c>
      <c r="AG583" s="17">
        <v>0</v>
      </c>
      <c r="AH583" s="17">
        <v>0.04</v>
      </c>
      <c r="AI583" s="17">
        <v>0</v>
      </c>
      <c r="AJ583" s="17">
        <v>0</v>
      </c>
      <c r="AK583" s="17">
        <v>0</v>
      </c>
      <c r="AL583" s="32" t="s">
        <v>2541</v>
      </c>
      <c r="AM583" s="57"/>
      <c r="AN583" s="89"/>
      <c r="AO583" s="280"/>
      <c r="AP583" s="784"/>
      <c r="AQ583" s="773" t="s">
        <v>1131</v>
      </c>
      <c r="AR583" s="188">
        <v>40</v>
      </c>
      <c r="AS583" s="171"/>
      <c r="AT583" s="171" t="str">
        <f t="shared" si="47"/>
        <v>160</v>
      </c>
      <c r="AU583" s="255">
        <f t="shared" si="48"/>
        <v>8.8888888888888893</v>
      </c>
      <c r="AV583" s="172">
        <v>100</v>
      </c>
      <c r="AW583" s="171">
        <v>7</v>
      </c>
      <c r="AX583" s="89"/>
      <c r="AY583" s="171">
        <v>20</v>
      </c>
      <c r="AZ583" s="261"/>
      <c r="BA583" s="175">
        <v>50</v>
      </c>
      <c r="BB583" s="259"/>
      <c r="BC583" s="176"/>
      <c r="BD583" s="179"/>
      <c r="BE583" s="179"/>
      <c r="BF583" s="178" t="s">
        <v>2543</v>
      </c>
      <c r="BG583" s="25"/>
      <c r="BH583" s="25"/>
    </row>
    <row r="584" spans="1:60" ht="15" customHeight="1">
      <c r="A584" s="95">
        <v>583</v>
      </c>
      <c r="B584" s="98" t="s">
        <v>1136</v>
      </c>
      <c r="C584" s="191" t="s">
        <v>2655</v>
      </c>
      <c r="D584" s="257" t="s">
        <v>549</v>
      </c>
      <c r="E584" s="459" t="s">
        <v>3377</v>
      </c>
      <c r="F584" s="171">
        <v>1985</v>
      </c>
      <c r="G584" s="171">
        <v>168</v>
      </c>
      <c r="H584" s="57"/>
      <c r="I584" s="173" t="s">
        <v>1743</v>
      </c>
      <c r="J584" s="277">
        <v>0.69499999999999995</v>
      </c>
      <c r="K584" s="213">
        <v>6</v>
      </c>
      <c r="L584" s="91"/>
      <c r="M584" s="89"/>
      <c r="N584" s="89"/>
      <c r="O584" s="172" t="s">
        <v>12</v>
      </c>
      <c r="P584" s="511"/>
      <c r="Q584" s="173" t="s">
        <v>10</v>
      </c>
      <c r="R584" s="94"/>
      <c r="S584" s="94"/>
      <c r="T584" s="171"/>
      <c r="U584" s="171"/>
      <c r="V584" s="102">
        <v>0</v>
      </c>
      <c r="W584" s="120">
        <v>0</v>
      </c>
      <c r="X584" s="120">
        <v>0</v>
      </c>
      <c r="Y584" s="120">
        <v>0</v>
      </c>
      <c r="Z584" s="120">
        <v>0</v>
      </c>
      <c r="AA584" s="17">
        <v>0</v>
      </c>
      <c r="AB584" s="17">
        <v>0</v>
      </c>
      <c r="AC584" s="17">
        <v>0</v>
      </c>
      <c r="AD584" s="17">
        <v>0</v>
      </c>
      <c r="AE584" s="17">
        <v>0</v>
      </c>
      <c r="AF584" s="17">
        <v>0</v>
      </c>
      <c r="AG584" s="17">
        <v>0</v>
      </c>
      <c r="AH584" s="17">
        <v>0.06</v>
      </c>
      <c r="AI584" s="17">
        <v>0</v>
      </c>
      <c r="AJ584" s="17">
        <v>0</v>
      </c>
      <c r="AK584" s="17">
        <v>0</v>
      </c>
      <c r="AL584" s="32" t="s">
        <v>2541</v>
      </c>
      <c r="AM584" s="57"/>
      <c r="AN584" s="89"/>
      <c r="AO584" s="280"/>
      <c r="AP584" s="784"/>
      <c r="AQ584" s="773" t="s">
        <v>1131</v>
      </c>
      <c r="AR584" s="188">
        <v>40</v>
      </c>
      <c r="AS584" s="171"/>
      <c r="AT584" s="171" t="str">
        <f t="shared" si="47"/>
        <v>160</v>
      </c>
      <c r="AU584" s="255">
        <f t="shared" si="48"/>
        <v>8.8888888888888893</v>
      </c>
      <c r="AV584" s="172">
        <v>100</v>
      </c>
      <c r="AW584" s="171">
        <v>7</v>
      </c>
      <c r="AX584" s="89"/>
      <c r="AY584" s="171">
        <v>20</v>
      </c>
      <c r="AZ584" s="261"/>
      <c r="BA584" s="175">
        <v>50</v>
      </c>
      <c r="BB584" s="259"/>
      <c r="BC584" s="176"/>
      <c r="BD584" s="179"/>
      <c r="BE584" s="179"/>
      <c r="BF584" s="178" t="s">
        <v>2543</v>
      </c>
      <c r="BG584" s="25"/>
      <c r="BH584" s="25"/>
    </row>
    <row r="585" spans="1:60" ht="15" customHeight="1">
      <c r="A585" s="95">
        <v>584</v>
      </c>
      <c r="B585" s="98" t="s">
        <v>1135</v>
      </c>
      <c r="C585" s="191" t="s">
        <v>2655</v>
      </c>
      <c r="D585" s="257" t="s">
        <v>549</v>
      </c>
      <c r="E585" s="459" t="s">
        <v>3377</v>
      </c>
      <c r="F585" s="171">
        <v>1985</v>
      </c>
      <c r="G585" s="171">
        <v>168</v>
      </c>
      <c r="H585" s="57"/>
      <c r="I585" s="173" t="s">
        <v>1743</v>
      </c>
      <c r="J585" s="277">
        <v>0.755</v>
      </c>
      <c r="K585" s="213">
        <v>6</v>
      </c>
      <c r="L585" s="91"/>
      <c r="M585" s="89"/>
      <c r="N585" s="89"/>
      <c r="O585" s="172" t="s">
        <v>12</v>
      </c>
      <c r="P585" s="511"/>
      <c r="Q585" s="173" t="s">
        <v>10</v>
      </c>
      <c r="R585" s="507"/>
      <c r="S585" s="94"/>
      <c r="T585" s="171"/>
      <c r="U585" s="171"/>
      <c r="V585" s="102">
        <v>0</v>
      </c>
      <c r="W585" s="120">
        <v>0</v>
      </c>
      <c r="X585" s="120">
        <v>0</v>
      </c>
      <c r="Y585" s="120">
        <v>0</v>
      </c>
      <c r="Z585" s="120">
        <v>0</v>
      </c>
      <c r="AA585" s="17">
        <v>0</v>
      </c>
      <c r="AB585" s="17">
        <v>0</v>
      </c>
      <c r="AC585" s="17">
        <v>0</v>
      </c>
      <c r="AD585" s="17">
        <v>0</v>
      </c>
      <c r="AE585" s="17">
        <v>0</v>
      </c>
      <c r="AF585" s="17">
        <v>0</v>
      </c>
      <c r="AG585" s="17">
        <v>0</v>
      </c>
      <c r="AH585" s="17">
        <v>0</v>
      </c>
      <c r="AI585" s="17">
        <v>0</v>
      </c>
      <c r="AJ585" s="17">
        <v>0</v>
      </c>
      <c r="AK585" s="17">
        <v>0</v>
      </c>
      <c r="AL585" s="32">
        <v>0</v>
      </c>
      <c r="AM585" s="57"/>
      <c r="AN585" s="89"/>
      <c r="AO585" s="280"/>
      <c r="AP585" s="784"/>
      <c r="AQ585" s="773" t="s">
        <v>1131</v>
      </c>
      <c r="AR585" s="188">
        <v>40</v>
      </c>
      <c r="AS585" s="171"/>
      <c r="AT585" s="171" t="str">
        <f t="shared" si="47"/>
        <v>160</v>
      </c>
      <c r="AU585" s="255">
        <f t="shared" si="48"/>
        <v>8.8888888888888893</v>
      </c>
      <c r="AV585" s="172">
        <v>100</v>
      </c>
      <c r="AW585" s="171">
        <v>7</v>
      </c>
      <c r="AX585" s="89"/>
      <c r="AY585" s="171">
        <v>20</v>
      </c>
      <c r="AZ585" s="261"/>
      <c r="BA585" s="175">
        <v>50</v>
      </c>
      <c r="BB585" s="259"/>
      <c r="BC585" s="176"/>
      <c r="BD585" s="179"/>
      <c r="BE585" s="179"/>
      <c r="BF585" s="178" t="s">
        <v>520</v>
      </c>
      <c r="BG585" s="25"/>
      <c r="BH585" s="25"/>
    </row>
    <row r="586" spans="1:60" ht="15" customHeight="1">
      <c r="A586" s="95">
        <v>585</v>
      </c>
      <c r="B586" s="98" t="s">
        <v>1134</v>
      </c>
      <c r="C586" s="191" t="s">
        <v>2655</v>
      </c>
      <c r="D586" s="257" t="s">
        <v>549</v>
      </c>
      <c r="E586" s="459" t="s">
        <v>3377</v>
      </c>
      <c r="F586" s="171">
        <v>1985</v>
      </c>
      <c r="G586" s="171">
        <v>168</v>
      </c>
      <c r="H586" s="57"/>
      <c r="I586" s="173" t="s">
        <v>1743</v>
      </c>
      <c r="J586" s="277">
        <v>0.72499999999999998</v>
      </c>
      <c r="K586" s="213">
        <v>6</v>
      </c>
      <c r="L586" s="91"/>
      <c r="M586" s="89"/>
      <c r="N586" s="89"/>
      <c r="O586" s="172" t="s">
        <v>12</v>
      </c>
      <c r="P586" s="511"/>
      <c r="Q586" s="173" t="s">
        <v>10</v>
      </c>
      <c r="R586" s="507"/>
      <c r="S586" s="94"/>
      <c r="T586" s="171"/>
      <c r="U586" s="171"/>
      <c r="V586" s="102">
        <v>0</v>
      </c>
      <c r="W586" s="120">
        <v>0</v>
      </c>
      <c r="X586" s="120">
        <v>0</v>
      </c>
      <c r="Y586" s="120">
        <v>0</v>
      </c>
      <c r="Z586" s="120">
        <v>0</v>
      </c>
      <c r="AA586" s="17">
        <v>0</v>
      </c>
      <c r="AB586" s="17">
        <v>0</v>
      </c>
      <c r="AC586" s="17">
        <v>0</v>
      </c>
      <c r="AD586" s="17">
        <v>0</v>
      </c>
      <c r="AE586" s="17">
        <v>0</v>
      </c>
      <c r="AF586" s="17">
        <v>0</v>
      </c>
      <c r="AG586" s="17">
        <v>0</v>
      </c>
      <c r="AH586" s="17">
        <v>0.02</v>
      </c>
      <c r="AI586" s="17">
        <v>0</v>
      </c>
      <c r="AJ586" s="17">
        <v>0</v>
      </c>
      <c r="AK586" s="17">
        <v>0</v>
      </c>
      <c r="AL586" s="32" t="s">
        <v>2541</v>
      </c>
      <c r="AM586" s="57"/>
      <c r="AN586" s="89"/>
      <c r="AO586" s="280"/>
      <c r="AP586" s="784"/>
      <c r="AQ586" s="773" t="s">
        <v>1131</v>
      </c>
      <c r="AR586" s="188">
        <v>40</v>
      </c>
      <c r="AS586" s="171"/>
      <c r="AT586" s="171" t="str">
        <f t="shared" si="47"/>
        <v>160</v>
      </c>
      <c r="AU586" s="255">
        <f t="shared" si="48"/>
        <v>8.8888888888888893</v>
      </c>
      <c r="AV586" s="172">
        <v>100</v>
      </c>
      <c r="AW586" s="171">
        <v>7</v>
      </c>
      <c r="AX586" s="89"/>
      <c r="AY586" s="171">
        <v>20</v>
      </c>
      <c r="AZ586" s="261"/>
      <c r="BA586" s="175">
        <v>50</v>
      </c>
      <c r="BB586" s="259"/>
      <c r="BC586" s="176"/>
      <c r="BD586" s="179"/>
      <c r="BE586" s="179"/>
      <c r="BF586" s="178" t="s">
        <v>2543</v>
      </c>
      <c r="BG586" s="25"/>
      <c r="BH586" s="25"/>
    </row>
    <row r="587" spans="1:60" ht="15" customHeight="1">
      <c r="A587" s="95">
        <v>586</v>
      </c>
      <c r="B587" s="98" t="s">
        <v>1133</v>
      </c>
      <c r="C587" s="191" t="s">
        <v>2655</v>
      </c>
      <c r="D587" s="257" t="s">
        <v>549</v>
      </c>
      <c r="E587" s="459" t="s">
        <v>3377</v>
      </c>
      <c r="F587" s="171">
        <v>1985</v>
      </c>
      <c r="G587" s="171">
        <v>168</v>
      </c>
      <c r="H587" s="57"/>
      <c r="I587" s="173" t="s">
        <v>1743</v>
      </c>
      <c r="J587" s="277">
        <v>0.71499999999999997</v>
      </c>
      <c r="K587" s="213">
        <v>6</v>
      </c>
      <c r="L587" s="91"/>
      <c r="M587" s="89"/>
      <c r="N587" s="89"/>
      <c r="O587" s="172" t="s">
        <v>12</v>
      </c>
      <c r="P587" s="511"/>
      <c r="Q587" s="173" t="s">
        <v>10</v>
      </c>
      <c r="R587" s="507"/>
      <c r="S587" s="94"/>
      <c r="T587" s="171"/>
      <c r="U587" s="171"/>
      <c r="V587" s="102">
        <v>0</v>
      </c>
      <c r="W587" s="120">
        <v>0</v>
      </c>
      <c r="X587" s="120">
        <v>0</v>
      </c>
      <c r="Y587" s="120">
        <v>0</v>
      </c>
      <c r="Z587" s="120">
        <v>0</v>
      </c>
      <c r="AA587" s="17">
        <v>0</v>
      </c>
      <c r="AB587" s="17">
        <v>0</v>
      </c>
      <c r="AC587" s="17">
        <v>0</v>
      </c>
      <c r="AD587" s="17">
        <v>0</v>
      </c>
      <c r="AE587" s="17">
        <v>0</v>
      </c>
      <c r="AF587" s="17">
        <v>0</v>
      </c>
      <c r="AG587" s="17">
        <v>0</v>
      </c>
      <c r="AH587" s="17">
        <v>0.04</v>
      </c>
      <c r="AI587" s="17">
        <v>0</v>
      </c>
      <c r="AJ587" s="17">
        <v>0</v>
      </c>
      <c r="AK587" s="17">
        <v>0</v>
      </c>
      <c r="AL587" s="32" t="s">
        <v>2541</v>
      </c>
      <c r="AM587" s="57"/>
      <c r="AN587" s="89"/>
      <c r="AO587" s="280"/>
      <c r="AP587" s="784"/>
      <c r="AQ587" s="773" t="s">
        <v>1131</v>
      </c>
      <c r="AR587" s="188">
        <v>40</v>
      </c>
      <c r="AS587" s="171"/>
      <c r="AT587" s="171" t="str">
        <f t="shared" si="47"/>
        <v>160</v>
      </c>
      <c r="AU587" s="255">
        <f t="shared" si="48"/>
        <v>8.8888888888888893</v>
      </c>
      <c r="AV587" s="172">
        <v>100</v>
      </c>
      <c r="AW587" s="171">
        <v>7</v>
      </c>
      <c r="AX587" s="89"/>
      <c r="AY587" s="171">
        <v>20</v>
      </c>
      <c r="AZ587" s="261"/>
      <c r="BA587" s="175">
        <v>50</v>
      </c>
      <c r="BB587" s="259"/>
      <c r="BC587" s="176"/>
      <c r="BD587" s="179"/>
      <c r="BE587" s="179"/>
      <c r="BF587" s="178" t="s">
        <v>2543</v>
      </c>
      <c r="BG587" s="25"/>
      <c r="BH587" s="25"/>
    </row>
    <row r="588" spans="1:60" ht="15" customHeight="1">
      <c r="A588" s="95">
        <v>587</v>
      </c>
      <c r="B588" s="98" t="s">
        <v>1132</v>
      </c>
      <c r="C588" s="191" t="s">
        <v>2655</v>
      </c>
      <c r="D588" s="257" t="s">
        <v>549</v>
      </c>
      <c r="E588" s="459" t="s">
        <v>3377</v>
      </c>
      <c r="F588" s="171">
        <v>1985</v>
      </c>
      <c r="G588" s="171">
        <v>168</v>
      </c>
      <c r="H588" s="57"/>
      <c r="I588" s="173" t="s">
        <v>1743</v>
      </c>
      <c r="J588" s="277">
        <v>0.69499999999999995</v>
      </c>
      <c r="K588" s="213">
        <v>6</v>
      </c>
      <c r="L588" s="91"/>
      <c r="M588" s="89"/>
      <c r="N588" s="89"/>
      <c r="O588" s="172" t="s">
        <v>12</v>
      </c>
      <c r="P588" s="511"/>
      <c r="Q588" s="173" t="s">
        <v>10</v>
      </c>
      <c r="R588" s="507"/>
      <c r="S588" s="94"/>
      <c r="T588" s="171"/>
      <c r="U588" s="171"/>
      <c r="V588" s="102">
        <v>0</v>
      </c>
      <c r="W588" s="120">
        <v>0</v>
      </c>
      <c r="X588" s="120">
        <v>0</v>
      </c>
      <c r="Y588" s="120">
        <v>0</v>
      </c>
      <c r="Z588" s="120">
        <v>0</v>
      </c>
      <c r="AA588" s="17">
        <v>0</v>
      </c>
      <c r="AB588" s="17">
        <v>0</v>
      </c>
      <c r="AC588" s="17">
        <v>0</v>
      </c>
      <c r="AD588" s="17">
        <v>0</v>
      </c>
      <c r="AE588" s="17">
        <v>0</v>
      </c>
      <c r="AF588" s="17">
        <v>0</v>
      </c>
      <c r="AG588" s="17">
        <v>0</v>
      </c>
      <c r="AH588" s="17">
        <v>0.06</v>
      </c>
      <c r="AI588" s="17">
        <v>0</v>
      </c>
      <c r="AJ588" s="17">
        <v>0</v>
      </c>
      <c r="AK588" s="17">
        <v>0</v>
      </c>
      <c r="AL588" s="32" t="s">
        <v>2541</v>
      </c>
      <c r="AM588" s="57"/>
      <c r="AN588" s="89"/>
      <c r="AO588" s="280"/>
      <c r="AP588" s="784"/>
      <c r="AQ588" s="773" t="s">
        <v>1131</v>
      </c>
      <c r="AR588" s="188">
        <v>40</v>
      </c>
      <c r="AS588" s="171"/>
      <c r="AT588" s="171" t="str">
        <f t="shared" si="47"/>
        <v>160</v>
      </c>
      <c r="AU588" s="255">
        <f t="shared" si="48"/>
        <v>8.8888888888888893</v>
      </c>
      <c r="AV588" s="172">
        <v>100</v>
      </c>
      <c r="AW588" s="171">
        <v>7</v>
      </c>
      <c r="AX588" s="89"/>
      <c r="AY588" s="171">
        <v>20</v>
      </c>
      <c r="AZ588" s="261"/>
      <c r="BA588" s="175">
        <v>50</v>
      </c>
      <c r="BB588" s="259"/>
      <c r="BC588" s="176"/>
      <c r="BD588" s="179"/>
      <c r="BE588" s="179"/>
      <c r="BF588" s="178" t="s">
        <v>2543</v>
      </c>
      <c r="BG588" s="25"/>
      <c r="BH588" s="25"/>
    </row>
    <row r="589" spans="1:60" ht="15" customHeight="1">
      <c r="A589" s="95">
        <v>588</v>
      </c>
      <c r="B589" s="98" t="s">
        <v>1129</v>
      </c>
      <c r="C589" s="191" t="s">
        <v>2656</v>
      </c>
      <c r="D589" s="257" t="s">
        <v>549</v>
      </c>
      <c r="E589" s="459" t="s">
        <v>3377</v>
      </c>
      <c r="F589" s="171">
        <v>1987</v>
      </c>
      <c r="G589" s="171">
        <v>169</v>
      </c>
      <c r="H589" s="57"/>
      <c r="I589" s="173" t="s">
        <v>1743</v>
      </c>
      <c r="J589" s="277">
        <v>0.3</v>
      </c>
      <c r="K589" s="213">
        <v>2.65</v>
      </c>
      <c r="L589" s="91"/>
      <c r="M589" s="278">
        <v>600</v>
      </c>
      <c r="N589" s="279"/>
      <c r="O589" s="172" t="s">
        <v>12</v>
      </c>
      <c r="P589" s="511"/>
      <c r="Q589" s="173" t="s">
        <v>10</v>
      </c>
      <c r="R589" s="94"/>
      <c r="S589" s="94"/>
      <c r="T589" s="171" t="s">
        <v>2306</v>
      </c>
      <c r="U589" s="171" t="s">
        <v>2530</v>
      </c>
      <c r="V589" s="102">
        <v>0</v>
      </c>
      <c r="W589" s="120">
        <v>0</v>
      </c>
      <c r="X589" s="120">
        <v>0</v>
      </c>
      <c r="Y589" s="120">
        <v>0</v>
      </c>
      <c r="Z589" s="120">
        <v>0</v>
      </c>
      <c r="AA589" s="17">
        <v>0</v>
      </c>
      <c r="AB589" s="17">
        <v>0</v>
      </c>
      <c r="AC589" s="17">
        <v>0</v>
      </c>
      <c r="AD589" s="17">
        <v>0</v>
      </c>
      <c r="AE589" s="17">
        <v>0</v>
      </c>
      <c r="AF589" s="33">
        <v>0.5</v>
      </c>
      <c r="AG589" s="17">
        <v>0</v>
      </c>
      <c r="AH589" s="17">
        <v>0</v>
      </c>
      <c r="AI589" s="17">
        <v>0</v>
      </c>
      <c r="AJ589" s="17">
        <v>0</v>
      </c>
      <c r="AK589" s="17">
        <v>0</v>
      </c>
      <c r="AL589" s="32">
        <v>0</v>
      </c>
      <c r="AM589" s="780">
        <v>49.34</v>
      </c>
      <c r="AN589" s="89"/>
      <c r="AO589" s="280"/>
      <c r="AP589" s="784"/>
      <c r="AQ589" s="773" t="s">
        <v>271</v>
      </c>
      <c r="AR589" s="188">
        <v>100</v>
      </c>
      <c r="AS589" s="171"/>
      <c r="AT589" s="171" t="str">
        <f t="shared" si="47"/>
        <v>400</v>
      </c>
      <c r="AU589" s="255">
        <f t="shared" si="48"/>
        <v>22.222222222222221</v>
      </c>
      <c r="AV589" s="172">
        <v>100</v>
      </c>
      <c r="AW589" s="171">
        <v>28</v>
      </c>
      <c r="AX589" s="89"/>
      <c r="AY589" s="171">
        <v>20</v>
      </c>
      <c r="AZ589" s="261"/>
      <c r="BA589" s="175">
        <v>60</v>
      </c>
      <c r="BB589" s="259"/>
      <c r="BC589" s="176"/>
      <c r="BD589" s="179"/>
      <c r="BE589" s="179"/>
      <c r="BF589" s="178" t="s">
        <v>539</v>
      </c>
      <c r="BG589" s="25"/>
      <c r="BH589" s="25"/>
    </row>
    <row r="590" spans="1:60" ht="15" customHeight="1">
      <c r="A590" s="95">
        <v>589</v>
      </c>
      <c r="B590" s="98" t="s">
        <v>1128</v>
      </c>
      <c r="C590" s="191" t="s">
        <v>2656</v>
      </c>
      <c r="D590" s="257" t="s">
        <v>549</v>
      </c>
      <c r="E590" s="459" t="s">
        <v>3377</v>
      </c>
      <c r="F590" s="171">
        <v>1987</v>
      </c>
      <c r="G590" s="171">
        <v>169</v>
      </c>
      <c r="H590" s="57"/>
      <c r="I590" s="173" t="s">
        <v>1743</v>
      </c>
      <c r="J590" s="277">
        <v>0.33299999999999996</v>
      </c>
      <c r="K590" s="213">
        <v>2.9018518518518519</v>
      </c>
      <c r="L590" s="91"/>
      <c r="M590" s="278">
        <v>540</v>
      </c>
      <c r="N590" s="279"/>
      <c r="O590" s="172" t="s">
        <v>12</v>
      </c>
      <c r="P590" s="511"/>
      <c r="Q590" s="173" t="s">
        <v>10</v>
      </c>
      <c r="R590" s="507"/>
      <c r="S590" s="94"/>
      <c r="T590" s="171" t="s">
        <v>2306</v>
      </c>
      <c r="U590" s="171" t="s">
        <v>2530</v>
      </c>
      <c r="V590" s="103">
        <v>2.0576131687242798</v>
      </c>
      <c r="W590" s="120">
        <v>0</v>
      </c>
      <c r="X590" s="120">
        <v>0</v>
      </c>
      <c r="Y590" s="120">
        <v>0</v>
      </c>
      <c r="Z590" s="120">
        <v>0</v>
      </c>
      <c r="AA590" s="17">
        <v>0</v>
      </c>
      <c r="AB590" s="17">
        <v>0</v>
      </c>
      <c r="AC590" s="17">
        <v>0</v>
      </c>
      <c r="AD590" s="17">
        <v>0</v>
      </c>
      <c r="AE590" s="17">
        <v>0</v>
      </c>
      <c r="AF590" s="33">
        <v>0.5</v>
      </c>
      <c r="AG590" s="17">
        <v>0</v>
      </c>
      <c r="AH590" s="17">
        <v>0</v>
      </c>
      <c r="AI590" s="17">
        <v>0</v>
      </c>
      <c r="AJ590" s="17">
        <v>0</v>
      </c>
      <c r="AK590" s="17">
        <v>0</v>
      </c>
      <c r="AL590" s="32">
        <v>0</v>
      </c>
      <c r="AM590" s="780">
        <v>68.87</v>
      </c>
      <c r="AN590" s="89"/>
      <c r="AO590" s="280"/>
      <c r="AP590" s="784"/>
      <c r="AQ590" s="773" t="s">
        <v>271</v>
      </c>
      <c r="AR590" s="188">
        <v>100</v>
      </c>
      <c r="AS590" s="171"/>
      <c r="AT590" s="171" t="str">
        <f t="shared" si="47"/>
        <v>400</v>
      </c>
      <c r="AU590" s="255">
        <f t="shared" si="48"/>
        <v>22.222222222222221</v>
      </c>
      <c r="AV590" s="172">
        <v>100</v>
      </c>
      <c r="AW590" s="171">
        <v>28</v>
      </c>
      <c r="AX590" s="89"/>
      <c r="AY590" s="171">
        <v>20</v>
      </c>
      <c r="AZ590" s="261"/>
      <c r="BA590" s="175">
        <v>60</v>
      </c>
      <c r="BB590" s="259"/>
      <c r="BC590" s="176"/>
      <c r="BD590" s="179"/>
      <c r="BE590" s="179"/>
      <c r="BF590" s="178" t="s">
        <v>539</v>
      </c>
      <c r="BG590" s="25"/>
      <c r="BH590" s="25"/>
    </row>
    <row r="591" spans="1:60" ht="15" customHeight="1">
      <c r="A591" s="95">
        <v>590</v>
      </c>
      <c r="B591" s="98" t="s">
        <v>1127</v>
      </c>
      <c r="C591" s="191" t="s">
        <v>2656</v>
      </c>
      <c r="D591" s="257" t="s">
        <v>549</v>
      </c>
      <c r="E591" s="459" t="s">
        <v>3377</v>
      </c>
      <c r="F591" s="171">
        <v>1987</v>
      </c>
      <c r="G591" s="171">
        <v>169</v>
      </c>
      <c r="H591" s="57"/>
      <c r="I591" s="173" t="s">
        <v>1743</v>
      </c>
      <c r="J591" s="277">
        <v>0.375</v>
      </c>
      <c r="K591" s="213">
        <v>3.2208333333333332</v>
      </c>
      <c r="L591" s="91"/>
      <c r="M591" s="278">
        <v>480</v>
      </c>
      <c r="N591" s="279"/>
      <c r="O591" s="172" t="s">
        <v>12</v>
      </c>
      <c r="P591" s="511"/>
      <c r="Q591" s="173" t="s">
        <v>10</v>
      </c>
      <c r="R591" s="507"/>
      <c r="S591" s="94"/>
      <c r="T591" s="171" t="s">
        <v>2306</v>
      </c>
      <c r="U591" s="171" t="s">
        <v>2530</v>
      </c>
      <c r="V591" s="103">
        <v>5.2083333333333339</v>
      </c>
      <c r="W591" s="120">
        <v>0</v>
      </c>
      <c r="X591" s="120">
        <v>0</v>
      </c>
      <c r="Y591" s="120">
        <v>0</v>
      </c>
      <c r="Z591" s="120">
        <v>0</v>
      </c>
      <c r="AA591" s="17">
        <v>0</v>
      </c>
      <c r="AB591" s="17">
        <v>0</v>
      </c>
      <c r="AC591" s="17">
        <v>0</v>
      </c>
      <c r="AD591" s="17">
        <v>0</v>
      </c>
      <c r="AE591" s="17">
        <v>0</v>
      </c>
      <c r="AF591" s="33">
        <v>1.2</v>
      </c>
      <c r="AG591" s="17">
        <v>0</v>
      </c>
      <c r="AH591" s="17">
        <v>0</v>
      </c>
      <c r="AI591" s="17">
        <v>0</v>
      </c>
      <c r="AJ591" s="17">
        <v>0</v>
      </c>
      <c r="AK591" s="17">
        <v>0</v>
      </c>
      <c r="AL591" s="32">
        <v>0</v>
      </c>
      <c r="AM591" s="780">
        <v>65.95</v>
      </c>
      <c r="AN591" s="89"/>
      <c r="AO591" s="280"/>
      <c r="AP591" s="784"/>
      <c r="AQ591" s="773" t="s">
        <v>271</v>
      </c>
      <c r="AR591" s="188">
        <v>100</v>
      </c>
      <c r="AS591" s="171"/>
      <c r="AT591" s="171" t="str">
        <f t="shared" si="47"/>
        <v>400</v>
      </c>
      <c r="AU591" s="255">
        <f t="shared" si="48"/>
        <v>22.222222222222221</v>
      </c>
      <c r="AV591" s="172">
        <v>100</v>
      </c>
      <c r="AW591" s="171">
        <v>28</v>
      </c>
      <c r="AX591" s="89"/>
      <c r="AY591" s="171">
        <v>20</v>
      </c>
      <c r="AZ591" s="261"/>
      <c r="BA591" s="175">
        <v>60</v>
      </c>
      <c r="BB591" s="259"/>
      <c r="BC591" s="176" t="s">
        <v>558</v>
      </c>
      <c r="BD591" s="179"/>
      <c r="BE591" s="179"/>
      <c r="BF591" s="178" t="s">
        <v>539</v>
      </c>
      <c r="BG591" s="25"/>
      <c r="BH591" s="25"/>
    </row>
    <row r="592" spans="1:60" ht="15" customHeight="1">
      <c r="A592" s="95">
        <v>591</v>
      </c>
      <c r="B592" s="98" t="s">
        <v>1126</v>
      </c>
      <c r="C592" s="191" t="s">
        <v>2656</v>
      </c>
      <c r="D592" s="257" t="s">
        <v>549</v>
      </c>
      <c r="E592" s="459" t="s">
        <v>3377</v>
      </c>
      <c r="F592" s="171">
        <v>1987</v>
      </c>
      <c r="G592" s="171">
        <v>169</v>
      </c>
      <c r="H592" s="57"/>
      <c r="I592" s="173" t="s">
        <v>1743</v>
      </c>
      <c r="J592" s="277">
        <v>0.188</v>
      </c>
      <c r="K592" s="213">
        <v>1.0510416666666667</v>
      </c>
      <c r="L592" s="91">
        <f>((J592)*(M592+((V592+W592+X592+Y592+Z592+AA592+AB592+AC592+AD592+AK592)/100)*(M592)))</f>
        <v>185.18</v>
      </c>
      <c r="M592" s="278">
        <v>960</v>
      </c>
      <c r="N592" s="279"/>
      <c r="O592" s="172" t="s">
        <v>12</v>
      </c>
      <c r="P592" s="511"/>
      <c r="Q592" s="173" t="s">
        <v>10</v>
      </c>
      <c r="R592" s="507"/>
      <c r="S592" s="94"/>
      <c r="T592" s="171" t="s">
        <v>2306</v>
      </c>
      <c r="U592" s="171" t="s">
        <v>2530</v>
      </c>
      <c r="V592" s="103">
        <v>2.604166666666667</v>
      </c>
      <c r="W592" s="120">
        <v>0</v>
      </c>
      <c r="X592" s="120">
        <v>0</v>
      </c>
      <c r="Y592" s="120">
        <v>0</v>
      </c>
      <c r="Z592" s="120">
        <v>0</v>
      </c>
      <c r="AA592" s="17">
        <v>0</v>
      </c>
      <c r="AB592" s="17">
        <v>0</v>
      </c>
      <c r="AC592" s="17">
        <v>0</v>
      </c>
      <c r="AD592" s="17">
        <v>0</v>
      </c>
      <c r="AE592" s="17">
        <v>0</v>
      </c>
      <c r="AF592" s="33">
        <v>5.5</v>
      </c>
      <c r="AG592" s="17">
        <v>0</v>
      </c>
      <c r="AH592" s="17">
        <v>0</v>
      </c>
      <c r="AI592" s="17">
        <v>0</v>
      </c>
      <c r="AJ592" s="17">
        <v>0</v>
      </c>
      <c r="AK592" s="17">
        <v>0</v>
      </c>
      <c r="AL592" s="32">
        <v>0</v>
      </c>
      <c r="AM592" s="780">
        <v>74.12</v>
      </c>
      <c r="AN592" s="89"/>
      <c r="AO592" s="280"/>
      <c r="AP592" s="784"/>
      <c r="AQ592" s="773" t="s">
        <v>271</v>
      </c>
      <c r="AR592" s="188">
        <v>100</v>
      </c>
      <c r="AS592" s="171"/>
      <c r="AT592" s="171" t="str">
        <f t="shared" si="47"/>
        <v>400</v>
      </c>
      <c r="AU592" s="255">
        <f t="shared" si="48"/>
        <v>22.222222222222221</v>
      </c>
      <c r="AV592" s="172">
        <v>100</v>
      </c>
      <c r="AW592" s="171">
        <v>28</v>
      </c>
      <c r="AX592" s="89"/>
      <c r="AY592" s="171">
        <v>20</v>
      </c>
      <c r="AZ592" s="261"/>
      <c r="BA592" s="175">
        <v>60</v>
      </c>
      <c r="BB592" s="259"/>
      <c r="BC592" s="176" t="s">
        <v>558</v>
      </c>
      <c r="BD592" s="179"/>
      <c r="BE592" s="179"/>
      <c r="BF592" s="178" t="s">
        <v>539</v>
      </c>
      <c r="BG592" s="25"/>
      <c r="BH592" s="25"/>
    </row>
    <row r="593" spans="1:60" ht="15" customHeight="1">
      <c r="A593" s="95">
        <v>592</v>
      </c>
      <c r="B593" s="98" t="s">
        <v>1125</v>
      </c>
      <c r="C593" s="191" t="s">
        <v>2656</v>
      </c>
      <c r="D593" s="257" t="s">
        <v>549</v>
      </c>
      <c r="E593" s="459" t="s">
        <v>3377</v>
      </c>
      <c r="F593" s="171">
        <v>1987</v>
      </c>
      <c r="G593" s="171">
        <v>169</v>
      </c>
      <c r="H593" s="57"/>
      <c r="I593" s="173" t="s">
        <v>1743</v>
      </c>
      <c r="J593" s="277">
        <v>0.25</v>
      </c>
      <c r="K593" s="213">
        <v>1.773611111111111</v>
      </c>
      <c r="L593" s="91"/>
      <c r="M593" s="278">
        <v>720</v>
      </c>
      <c r="N593" s="279"/>
      <c r="O593" s="172" t="s">
        <v>12</v>
      </c>
      <c r="P593" s="511"/>
      <c r="Q593" s="173" t="s">
        <v>10</v>
      </c>
      <c r="R593" s="507"/>
      <c r="S593" s="94"/>
      <c r="T593" s="171" t="s">
        <v>2306</v>
      </c>
      <c r="U593" s="171" t="s">
        <v>2530</v>
      </c>
      <c r="V593" s="103">
        <v>3.4722222222222223</v>
      </c>
      <c r="W593" s="120">
        <v>0</v>
      </c>
      <c r="X593" s="120">
        <v>0</v>
      </c>
      <c r="Y593" s="120">
        <v>0</v>
      </c>
      <c r="Z593" s="120">
        <v>0</v>
      </c>
      <c r="AA593" s="17">
        <v>0</v>
      </c>
      <c r="AB593" s="17">
        <v>0</v>
      </c>
      <c r="AC593" s="17">
        <v>0</v>
      </c>
      <c r="AD593" s="17">
        <v>0</v>
      </c>
      <c r="AE593" s="17">
        <v>0</v>
      </c>
      <c r="AF593" s="33">
        <v>2.3055555555555558</v>
      </c>
      <c r="AG593" s="17">
        <v>0</v>
      </c>
      <c r="AH593" s="17">
        <v>0</v>
      </c>
      <c r="AI593" s="17">
        <v>0</v>
      </c>
      <c r="AJ593" s="17">
        <v>0</v>
      </c>
      <c r="AK593" s="17">
        <v>0</v>
      </c>
      <c r="AL593" s="32">
        <v>0</v>
      </c>
      <c r="AM593" s="780">
        <v>66.180000000000007</v>
      </c>
      <c r="AN593" s="89"/>
      <c r="AO593" s="280"/>
      <c r="AP593" s="784"/>
      <c r="AQ593" s="773" t="s">
        <v>271</v>
      </c>
      <c r="AR593" s="188">
        <v>100</v>
      </c>
      <c r="AS593" s="171"/>
      <c r="AT593" s="171" t="str">
        <f t="shared" si="47"/>
        <v>400</v>
      </c>
      <c r="AU593" s="255">
        <f t="shared" si="48"/>
        <v>22.222222222222221</v>
      </c>
      <c r="AV593" s="172">
        <v>100</v>
      </c>
      <c r="AW593" s="171">
        <v>28</v>
      </c>
      <c r="AX593" s="89"/>
      <c r="AY593" s="171">
        <v>20</v>
      </c>
      <c r="AZ593" s="261"/>
      <c r="BA593" s="175">
        <v>60</v>
      </c>
      <c r="BB593" s="259"/>
      <c r="BC593" s="176" t="s">
        <v>558</v>
      </c>
      <c r="BD593" s="179"/>
      <c r="BE593" s="179"/>
      <c r="BF593" s="178" t="s">
        <v>539</v>
      </c>
      <c r="BG593" s="25"/>
      <c r="BH593" s="25"/>
    </row>
    <row r="594" spans="1:60" ht="15" customHeight="1">
      <c r="A594" s="95">
        <v>593</v>
      </c>
      <c r="B594" s="98" t="s">
        <v>1124</v>
      </c>
      <c r="C594" s="191" t="s">
        <v>2656</v>
      </c>
      <c r="D594" s="257" t="s">
        <v>549</v>
      </c>
      <c r="E594" s="459" t="s">
        <v>3377</v>
      </c>
      <c r="F594" s="171">
        <v>1987</v>
      </c>
      <c r="G594" s="171">
        <v>169</v>
      </c>
      <c r="H594" s="57"/>
      <c r="I594" s="173" t="s">
        <v>1743</v>
      </c>
      <c r="J594" s="277">
        <v>0.375</v>
      </c>
      <c r="K594" s="213">
        <v>3.2208333333333332</v>
      </c>
      <c r="L594" s="91"/>
      <c r="M594" s="278">
        <v>480</v>
      </c>
      <c r="N594" s="279"/>
      <c r="O594" s="172" t="s">
        <v>12</v>
      </c>
      <c r="P594" s="511"/>
      <c r="Q594" s="173" t="s">
        <v>10</v>
      </c>
      <c r="R594" s="507"/>
      <c r="S594" s="94"/>
      <c r="T594" s="171" t="s">
        <v>2306</v>
      </c>
      <c r="U594" s="171" t="s">
        <v>2530</v>
      </c>
      <c r="V594" s="103">
        <v>5.2083333333333339</v>
      </c>
      <c r="W594" s="120">
        <v>0</v>
      </c>
      <c r="X594" s="120">
        <v>0</v>
      </c>
      <c r="Y594" s="120">
        <v>0</v>
      </c>
      <c r="Z594" s="120">
        <v>0</v>
      </c>
      <c r="AA594" s="17">
        <v>0</v>
      </c>
      <c r="AB594" s="17">
        <v>0</v>
      </c>
      <c r="AC594" s="17">
        <v>0</v>
      </c>
      <c r="AD594" s="17">
        <v>0</v>
      </c>
      <c r="AE594" s="17">
        <v>0</v>
      </c>
      <c r="AF594" s="33">
        <v>1.2</v>
      </c>
      <c r="AG594" s="17">
        <v>0</v>
      </c>
      <c r="AH594" s="17">
        <v>0</v>
      </c>
      <c r="AI594" s="17">
        <v>0</v>
      </c>
      <c r="AJ594" s="17">
        <v>0</v>
      </c>
      <c r="AK594" s="17">
        <v>0</v>
      </c>
      <c r="AL594" s="32">
        <v>0</v>
      </c>
      <c r="AM594" s="780">
        <v>65.95</v>
      </c>
      <c r="AN594" s="89"/>
      <c r="AO594" s="280"/>
      <c r="AP594" s="784"/>
      <c r="AQ594" s="773" t="s">
        <v>271</v>
      </c>
      <c r="AR594" s="188">
        <v>100</v>
      </c>
      <c r="AS594" s="171"/>
      <c r="AT594" s="171" t="str">
        <f t="shared" si="47"/>
        <v>400</v>
      </c>
      <c r="AU594" s="255">
        <f t="shared" si="48"/>
        <v>22.222222222222221</v>
      </c>
      <c r="AV594" s="172">
        <v>100</v>
      </c>
      <c r="AW594" s="171">
        <v>28</v>
      </c>
      <c r="AX594" s="89"/>
      <c r="AY594" s="171">
        <v>20</v>
      </c>
      <c r="AZ594" s="261"/>
      <c r="BA594" s="175">
        <v>60</v>
      </c>
      <c r="BB594" s="259"/>
      <c r="BC594" s="176" t="s">
        <v>558</v>
      </c>
      <c r="BD594" s="179"/>
      <c r="BE594" s="179"/>
      <c r="BF594" s="178" t="s">
        <v>539</v>
      </c>
      <c r="BG594" s="25"/>
      <c r="BH594" s="25"/>
    </row>
    <row r="595" spans="1:60" ht="15" customHeight="1">
      <c r="A595" s="95">
        <v>594</v>
      </c>
      <c r="B595" s="98" t="s">
        <v>1123</v>
      </c>
      <c r="C595" s="191" t="s">
        <v>2656</v>
      </c>
      <c r="D595" s="257" t="s">
        <v>549</v>
      </c>
      <c r="E595" s="459" t="s">
        <v>3377</v>
      </c>
      <c r="F595" s="171">
        <v>1987</v>
      </c>
      <c r="G595" s="171">
        <v>169</v>
      </c>
      <c r="H595" s="57"/>
      <c r="I595" s="173" t="s">
        <v>1743</v>
      </c>
      <c r="J595" s="277">
        <v>0.5</v>
      </c>
      <c r="K595" s="213">
        <v>4.9527777777777775</v>
      </c>
      <c r="L595" s="91"/>
      <c r="M595" s="278">
        <v>360</v>
      </c>
      <c r="N595" s="279"/>
      <c r="O595" s="172" t="s">
        <v>12</v>
      </c>
      <c r="P595" s="511"/>
      <c r="Q595" s="173" t="s">
        <v>10</v>
      </c>
      <c r="R595" s="507"/>
      <c r="S595" s="94"/>
      <c r="T595" s="171" t="s">
        <v>2306</v>
      </c>
      <c r="U595" s="171" t="s">
        <v>2530</v>
      </c>
      <c r="V595" s="102">
        <v>0</v>
      </c>
      <c r="W595" s="120">
        <v>0</v>
      </c>
      <c r="X595" s="120">
        <v>0</v>
      </c>
      <c r="Y595" s="120">
        <v>0</v>
      </c>
      <c r="Z595" s="120">
        <v>0</v>
      </c>
      <c r="AA595" s="17">
        <v>0</v>
      </c>
      <c r="AB595" s="17">
        <v>0</v>
      </c>
      <c r="AC595" s="17">
        <v>0</v>
      </c>
      <c r="AD595" s="17">
        <v>0</v>
      </c>
      <c r="AE595" s="17">
        <v>0</v>
      </c>
      <c r="AF595" s="33">
        <v>0.4</v>
      </c>
      <c r="AG595" s="17">
        <v>0</v>
      </c>
      <c r="AH595" s="17">
        <v>0</v>
      </c>
      <c r="AI595" s="17">
        <v>0</v>
      </c>
      <c r="AJ595" s="17">
        <v>0</v>
      </c>
      <c r="AK595" s="17">
        <v>0</v>
      </c>
      <c r="AL595" s="32">
        <v>0</v>
      </c>
      <c r="AM595" s="780">
        <v>34.17</v>
      </c>
      <c r="AN595" s="89"/>
      <c r="AO595" s="280"/>
      <c r="AP595" s="784"/>
      <c r="AQ595" s="773" t="s">
        <v>271</v>
      </c>
      <c r="AR595" s="188">
        <v>100</v>
      </c>
      <c r="AS595" s="171"/>
      <c r="AT595" s="171" t="str">
        <f t="shared" si="47"/>
        <v>400</v>
      </c>
      <c r="AU595" s="255">
        <f t="shared" si="48"/>
        <v>22.222222222222221</v>
      </c>
      <c r="AV595" s="172">
        <v>100</v>
      </c>
      <c r="AW595" s="171">
        <v>28</v>
      </c>
      <c r="AX595" s="89"/>
      <c r="AY595" s="171">
        <v>20</v>
      </c>
      <c r="AZ595" s="261"/>
      <c r="BA595" s="175">
        <v>60</v>
      </c>
      <c r="BB595" s="259"/>
      <c r="BC595" s="176" t="s">
        <v>558</v>
      </c>
      <c r="BD595" s="179"/>
      <c r="BE595" s="179"/>
      <c r="BF595" s="178" t="s">
        <v>539</v>
      </c>
      <c r="BG595" s="25"/>
      <c r="BH595" s="25"/>
    </row>
    <row r="596" spans="1:60" ht="15" customHeight="1">
      <c r="A596" s="95">
        <v>595</v>
      </c>
      <c r="B596" s="98" t="s">
        <v>1122</v>
      </c>
      <c r="C596" s="191" t="s">
        <v>2656</v>
      </c>
      <c r="D596" s="257" t="s">
        <v>549</v>
      </c>
      <c r="E596" s="459" t="s">
        <v>3377</v>
      </c>
      <c r="F596" s="171">
        <v>1987</v>
      </c>
      <c r="G596" s="171">
        <v>169</v>
      </c>
      <c r="H596" s="57"/>
      <c r="I596" s="173" t="s">
        <v>1743</v>
      </c>
      <c r="J596" s="277">
        <v>0.625</v>
      </c>
      <c r="K596" s="213">
        <v>6.104166666666667</v>
      </c>
      <c r="L596" s="91"/>
      <c r="M596" s="278">
        <v>288</v>
      </c>
      <c r="N596" s="279"/>
      <c r="O596" s="172" t="s">
        <v>12</v>
      </c>
      <c r="P596" s="511"/>
      <c r="Q596" s="173" t="s">
        <v>10</v>
      </c>
      <c r="R596" s="507"/>
      <c r="S596" s="94"/>
      <c r="T596" s="171" t="s">
        <v>2306</v>
      </c>
      <c r="U596" s="171" t="s">
        <v>2530</v>
      </c>
      <c r="V596" s="103">
        <v>8.6805555555555554</v>
      </c>
      <c r="W596" s="120">
        <v>0</v>
      </c>
      <c r="X596" s="120">
        <v>0</v>
      </c>
      <c r="Y596" s="120">
        <v>0</v>
      </c>
      <c r="Z596" s="120">
        <v>0</v>
      </c>
      <c r="AA596" s="17">
        <v>0</v>
      </c>
      <c r="AB596" s="17">
        <v>0</v>
      </c>
      <c r="AC596" s="17">
        <v>0</v>
      </c>
      <c r="AD596" s="17">
        <v>0</v>
      </c>
      <c r="AE596" s="17">
        <v>0</v>
      </c>
      <c r="AF596" s="33">
        <v>1.3993055555555558</v>
      </c>
      <c r="AG596" s="17">
        <v>0</v>
      </c>
      <c r="AH596" s="17">
        <v>0</v>
      </c>
      <c r="AI596" s="17">
        <v>0</v>
      </c>
      <c r="AJ596" s="17">
        <v>0</v>
      </c>
      <c r="AK596" s="17">
        <v>0</v>
      </c>
      <c r="AL596" s="32">
        <v>0</v>
      </c>
      <c r="AM596" s="780">
        <v>44.73</v>
      </c>
      <c r="AN596" s="89"/>
      <c r="AO596" s="280"/>
      <c r="AP596" s="784"/>
      <c r="AQ596" s="773" t="s">
        <v>271</v>
      </c>
      <c r="AR596" s="188">
        <v>100</v>
      </c>
      <c r="AS596" s="171"/>
      <c r="AT596" s="171" t="str">
        <f t="shared" si="47"/>
        <v>400</v>
      </c>
      <c r="AU596" s="255">
        <f t="shared" si="48"/>
        <v>22.222222222222221</v>
      </c>
      <c r="AV596" s="172">
        <v>100</v>
      </c>
      <c r="AW596" s="171">
        <v>28</v>
      </c>
      <c r="AX596" s="89"/>
      <c r="AY596" s="171">
        <v>20</v>
      </c>
      <c r="AZ596" s="261"/>
      <c r="BA596" s="175">
        <v>60</v>
      </c>
      <c r="BB596" s="259"/>
      <c r="BC596" s="176" t="s">
        <v>558</v>
      </c>
      <c r="BD596" s="179"/>
      <c r="BE596" s="179"/>
      <c r="BF596" s="178" t="s">
        <v>539</v>
      </c>
      <c r="BG596" s="25"/>
      <c r="BH596" s="25"/>
    </row>
    <row r="597" spans="1:60" ht="15" customHeight="1">
      <c r="A597" s="95">
        <v>596</v>
      </c>
      <c r="B597" s="98" t="s">
        <v>1121</v>
      </c>
      <c r="C597" s="191" t="s">
        <v>2657</v>
      </c>
      <c r="D597" s="257" t="s">
        <v>549</v>
      </c>
      <c r="E597" s="459" t="s">
        <v>3377</v>
      </c>
      <c r="F597" s="171">
        <v>1991</v>
      </c>
      <c r="G597" s="171">
        <v>170</v>
      </c>
      <c r="H597" s="57"/>
      <c r="I597" s="173" t="s">
        <v>1743</v>
      </c>
      <c r="J597" s="277">
        <v>0.4</v>
      </c>
      <c r="K597" s="90"/>
      <c r="L597" s="91"/>
      <c r="M597" s="89"/>
      <c r="N597" s="89"/>
      <c r="O597" s="172" t="s">
        <v>12</v>
      </c>
      <c r="P597" s="511"/>
      <c r="Q597" s="173" t="s">
        <v>10</v>
      </c>
      <c r="R597" s="94"/>
      <c r="S597" s="94"/>
      <c r="T597" s="171"/>
      <c r="U597" s="171"/>
      <c r="V597" s="102">
        <v>0</v>
      </c>
      <c r="W597" s="120">
        <v>0</v>
      </c>
      <c r="X597" s="120">
        <v>0</v>
      </c>
      <c r="Y597" s="120">
        <v>0</v>
      </c>
      <c r="Z597" s="120">
        <v>0</v>
      </c>
      <c r="AA597" s="17">
        <v>0</v>
      </c>
      <c r="AB597" s="17">
        <v>0</v>
      </c>
      <c r="AC597" s="17">
        <v>0</v>
      </c>
      <c r="AD597" s="17">
        <v>0</v>
      </c>
      <c r="AE597" s="17">
        <v>0</v>
      </c>
      <c r="AF597" s="17">
        <v>0</v>
      </c>
      <c r="AG597" s="17">
        <v>0</v>
      </c>
      <c r="AH597" s="17">
        <v>0</v>
      </c>
      <c r="AI597" s="17">
        <v>0</v>
      </c>
      <c r="AJ597" s="17">
        <v>0</v>
      </c>
      <c r="AK597" s="17">
        <v>0</v>
      </c>
      <c r="AL597" s="32">
        <v>0</v>
      </c>
      <c r="AM597" s="57"/>
      <c r="AN597" s="89"/>
      <c r="AO597" s="280"/>
      <c r="AP597" s="784"/>
      <c r="AQ597" s="773" t="s">
        <v>1118</v>
      </c>
      <c r="AR597" s="174">
        <v>7.5</v>
      </c>
      <c r="AS597" s="171"/>
      <c r="AT597" s="171">
        <v>100</v>
      </c>
      <c r="AU597" s="255">
        <f t="shared" si="48"/>
        <v>1.8072289156626506</v>
      </c>
      <c r="AV597" s="57"/>
      <c r="AW597" s="171" t="s">
        <v>521</v>
      </c>
      <c r="AX597" s="89"/>
      <c r="AY597" s="171">
        <v>20</v>
      </c>
      <c r="AZ597" s="261"/>
      <c r="BA597" s="175">
        <v>50</v>
      </c>
      <c r="BB597" s="259"/>
      <c r="BC597" s="176"/>
      <c r="BD597" s="179"/>
      <c r="BE597" s="179"/>
      <c r="BF597" s="178"/>
      <c r="BG597" s="25"/>
      <c r="BH597" s="25"/>
    </row>
    <row r="598" spans="1:60" ht="15" customHeight="1">
      <c r="A598" s="95">
        <v>597</v>
      </c>
      <c r="B598" s="98" t="s">
        <v>1120</v>
      </c>
      <c r="C598" s="191" t="s">
        <v>2657</v>
      </c>
      <c r="D598" s="257" t="s">
        <v>549</v>
      </c>
      <c r="E598" s="459" t="s">
        <v>3377</v>
      </c>
      <c r="F598" s="171">
        <v>1991</v>
      </c>
      <c r="G598" s="171">
        <v>170</v>
      </c>
      <c r="H598" s="57"/>
      <c r="I598" s="173" t="s">
        <v>1743</v>
      </c>
      <c r="J598" s="277">
        <v>0.4</v>
      </c>
      <c r="K598" s="213">
        <v>8</v>
      </c>
      <c r="L598" s="91"/>
      <c r="M598" s="89"/>
      <c r="N598" s="89"/>
      <c r="O598" s="172" t="s">
        <v>12</v>
      </c>
      <c r="P598" s="511"/>
      <c r="Q598" s="173" t="s">
        <v>10</v>
      </c>
      <c r="R598" s="94"/>
      <c r="S598" s="94"/>
      <c r="T598" s="171"/>
      <c r="U598" s="171"/>
      <c r="V598" s="102">
        <v>0</v>
      </c>
      <c r="W598" s="120">
        <v>0</v>
      </c>
      <c r="X598" s="120">
        <v>0</v>
      </c>
      <c r="Y598" s="120">
        <v>0</v>
      </c>
      <c r="Z598" s="120">
        <v>0</v>
      </c>
      <c r="AA598" s="17">
        <v>0</v>
      </c>
      <c r="AB598" s="17">
        <v>0</v>
      </c>
      <c r="AC598" s="17">
        <v>0</v>
      </c>
      <c r="AD598" s="17">
        <v>0</v>
      </c>
      <c r="AE598" s="17">
        <v>0</v>
      </c>
      <c r="AF598" s="17">
        <v>0</v>
      </c>
      <c r="AG598" s="17">
        <v>0</v>
      </c>
      <c r="AH598" s="17">
        <v>0</v>
      </c>
      <c r="AI598" s="17">
        <v>0</v>
      </c>
      <c r="AJ598" s="17">
        <v>0</v>
      </c>
      <c r="AK598" s="17">
        <v>0</v>
      </c>
      <c r="AL598" s="32">
        <v>0</v>
      </c>
      <c r="AM598" s="57"/>
      <c r="AN598" s="89"/>
      <c r="AO598" s="280"/>
      <c r="AP598" s="784"/>
      <c r="AQ598" s="773" t="s">
        <v>1118</v>
      </c>
      <c r="AR598" s="174">
        <v>7.5</v>
      </c>
      <c r="AS598" s="171"/>
      <c r="AT598" s="171">
        <v>100</v>
      </c>
      <c r="AU598" s="255">
        <f t="shared" si="48"/>
        <v>1.8072289156626506</v>
      </c>
      <c r="AV598" s="57"/>
      <c r="AW598" s="171" t="s">
        <v>521</v>
      </c>
      <c r="AX598" s="89"/>
      <c r="AY598" s="171">
        <v>20</v>
      </c>
      <c r="AZ598" s="261"/>
      <c r="BA598" s="175">
        <v>50</v>
      </c>
      <c r="BB598" s="259"/>
      <c r="BC598" s="176"/>
      <c r="BD598" s="179"/>
      <c r="BE598" s="179"/>
      <c r="BF598" s="178"/>
      <c r="BG598" s="25"/>
      <c r="BH598" s="25"/>
    </row>
    <row r="599" spans="1:60" ht="15" customHeight="1">
      <c r="A599" s="95">
        <v>598</v>
      </c>
      <c r="B599" s="98" t="s">
        <v>1119</v>
      </c>
      <c r="C599" s="191" t="s">
        <v>2657</v>
      </c>
      <c r="D599" s="257" t="s">
        <v>549</v>
      </c>
      <c r="E599" s="459" t="s">
        <v>3377</v>
      </c>
      <c r="F599" s="171">
        <v>1991</v>
      </c>
      <c r="G599" s="171">
        <v>170</v>
      </c>
      <c r="H599" s="57"/>
      <c r="I599" s="173" t="s">
        <v>1743</v>
      </c>
      <c r="J599" s="277">
        <v>0.3</v>
      </c>
      <c r="K599" s="90"/>
      <c r="L599" s="91"/>
      <c r="M599" s="89"/>
      <c r="N599" s="89"/>
      <c r="O599" s="172" t="s">
        <v>12</v>
      </c>
      <c r="P599" s="511"/>
      <c r="Q599" s="173" t="s">
        <v>10</v>
      </c>
      <c r="R599" s="94"/>
      <c r="S599" s="94"/>
      <c r="T599" s="171"/>
      <c r="U599" s="171"/>
      <c r="V599" s="102">
        <v>0</v>
      </c>
      <c r="W599" s="120">
        <v>0</v>
      </c>
      <c r="X599" s="120">
        <v>0</v>
      </c>
      <c r="Y599" s="120">
        <v>0</v>
      </c>
      <c r="Z599" s="120">
        <v>0</v>
      </c>
      <c r="AA599" s="17">
        <v>0</v>
      </c>
      <c r="AB599" s="17">
        <v>0</v>
      </c>
      <c r="AC599" s="17">
        <v>0</v>
      </c>
      <c r="AD599" s="17">
        <v>0</v>
      </c>
      <c r="AE599" s="17">
        <v>0</v>
      </c>
      <c r="AF599" s="17">
        <v>0</v>
      </c>
      <c r="AG599" s="17">
        <v>0</v>
      </c>
      <c r="AH599" s="17">
        <v>0</v>
      </c>
      <c r="AI599" s="17">
        <v>0</v>
      </c>
      <c r="AJ599" s="17">
        <v>0</v>
      </c>
      <c r="AK599" s="17">
        <v>0</v>
      </c>
      <c r="AL599" s="32">
        <v>0</v>
      </c>
      <c r="AM599" s="57"/>
      <c r="AN599" s="89"/>
      <c r="AO599" s="280"/>
      <c r="AP599" s="784"/>
      <c r="AQ599" s="773" t="s">
        <v>1118</v>
      </c>
      <c r="AR599" s="174">
        <v>7.5</v>
      </c>
      <c r="AS599" s="171"/>
      <c r="AT599" s="171">
        <v>100</v>
      </c>
      <c r="AU599" s="255">
        <f t="shared" si="48"/>
        <v>1.8072289156626506</v>
      </c>
      <c r="AV599" s="57"/>
      <c r="AW599" s="171" t="s">
        <v>521</v>
      </c>
      <c r="AX599" s="89"/>
      <c r="AY599" s="171">
        <v>20</v>
      </c>
      <c r="AZ599" s="261"/>
      <c r="BA599" s="175">
        <v>50</v>
      </c>
      <c r="BB599" s="259"/>
      <c r="BC599" s="176"/>
      <c r="BD599" s="179"/>
      <c r="BE599" s="179"/>
      <c r="BF599" s="178"/>
      <c r="BG599" s="25"/>
      <c r="BH599" s="25"/>
    </row>
    <row r="600" spans="1:60" ht="15" customHeight="1">
      <c r="A600" s="95">
        <v>599</v>
      </c>
      <c r="B600" s="98" t="s">
        <v>1117</v>
      </c>
      <c r="C600" s="191" t="s">
        <v>2657</v>
      </c>
      <c r="D600" s="257" t="s">
        <v>549</v>
      </c>
      <c r="E600" s="459" t="s">
        <v>3377</v>
      </c>
      <c r="F600" s="171">
        <v>1991</v>
      </c>
      <c r="G600" s="171">
        <v>170</v>
      </c>
      <c r="H600" s="57"/>
      <c r="I600" s="173" t="s">
        <v>1743</v>
      </c>
      <c r="J600" s="277">
        <v>0.3</v>
      </c>
      <c r="K600" s="90"/>
      <c r="L600" s="91"/>
      <c r="M600" s="89"/>
      <c r="N600" s="89"/>
      <c r="O600" s="172" t="s">
        <v>12</v>
      </c>
      <c r="P600" s="511"/>
      <c r="Q600" s="173" t="s">
        <v>10</v>
      </c>
      <c r="R600" s="94"/>
      <c r="S600" s="94"/>
      <c r="T600" s="171"/>
      <c r="U600" s="171"/>
      <c r="V600" s="102">
        <v>0</v>
      </c>
      <c r="W600" s="120">
        <v>0</v>
      </c>
      <c r="X600" s="120">
        <v>0</v>
      </c>
      <c r="Y600" s="120">
        <v>0</v>
      </c>
      <c r="Z600" s="120">
        <v>0</v>
      </c>
      <c r="AA600" s="17">
        <v>0</v>
      </c>
      <c r="AB600" s="17">
        <v>0</v>
      </c>
      <c r="AC600" s="17">
        <v>0</v>
      </c>
      <c r="AD600" s="17">
        <v>0</v>
      </c>
      <c r="AE600" s="17">
        <v>0</v>
      </c>
      <c r="AF600" s="17">
        <v>0</v>
      </c>
      <c r="AG600" s="17">
        <v>0</v>
      </c>
      <c r="AH600" s="17">
        <v>0</v>
      </c>
      <c r="AI600" s="17">
        <v>0</v>
      </c>
      <c r="AJ600" s="17">
        <v>0</v>
      </c>
      <c r="AK600" s="17">
        <v>0</v>
      </c>
      <c r="AL600" s="32">
        <v>0</v>
      </c>
      <c r="AM600" s="57"/>
      <c r="AN600" s="89"/>
      <c r="AO600" s="280"/>
      <c r="AP600" s="784"/>
      <c r="AQ600" s="773" t="s">
        <v>1116</v>
      </c>
      <c r="AR600" s="174">
        <v>75</v>
      </c>
      <c r="AS600" s="171"/>
      <c r="AT600" s="171" t="str">
        <f t="shared" ref="AT600:AT606" si="50">RIGHT(AQ600,LEN(AQ600)-FIND("x",AQ600,1))</f>
        <v>100</v>
      </c>
      <c r="AU600" s="255">
        <f t="shared" ref="AU600:AU606" si="51">(AR600*AT600)/((2*AT600)+(2*AR600))</f>
        <v>21.428571428571427</v>
      </c>
      <c r="AV600" s="57"/>
      <c r="AW600" s="171" t="s">
        <v>521</v>
      </c>
      <c r="AX600" s="89"/>
      <c r="AY600" s="171">
        <v>20</v>
      </c>
      <c r="AZ600" s="261"/>
      <c r="BA600" s="175">
        <v>50</v>
      </c>
      <c r="BB600" s="259"/>
      <c r="BC600" s="176"/>
      <c r="BD600" s="179"/>
      <c r="BE600" s="179"/>
      <c r="BF600" s="178"/>
      <c r="BG600" s="25"/>
      <c r="BH600" s="25"/>
    </row>
    <row r="601" spans="1:60" ht="15" customHeight="1">
      <c r="A601" s="95">
        <v>600</v>
      </c>
      <c r="B601" s="98" t="s">
        <v>1115</v>
      </c>
      <c r="C601" s="191" t="s">
        <v>2642</v>
      </c>
      <c r="D601" s="257" t="s">
        <v>549</v>
      </c>
      <c r="E601" s="459" t="s">
        <v>3377</v>
      </c>
      <c r="F601" s="171">
        <v>1991</v>
      </c>
      <c r="G601" s="171">
        <v>160</v>
      </c>
      <c r="H601" s="57"/>
      <c r="I601" s="173" t="s">
        <v>1743</v>
      </c>
      <c r="J601" s="277">
        <v>0.64800000000000002</v>
      </c>
      <c r="K601" s="213">
        <v>7.96</v>
      </c>
      <c r="L601" s="91"/>
      <c r="M601" s="278">
        <v>250</v>
      </c>
      <c r="N601" s="279"/>
      <c r="O601" s="172" t="s">
        <v>12</v>
      </c>
      <c r="P601" s="511"/>
      <c r="Q601" s="173" t="s">
        <v>10</v>
      </c>
      <c r="R601" s="94"/>
      <c r="S601" s="94"/>
      <c r="T601" s="171" t="s">
        <v>2306</v>
      </c>
      <c r="U601" s="171" t="s">
        <v>2530</v>
      </c>
      <c r="V601" s="102">
        <v>0</v>
      </c>
      <c r="W601" s="120">
        <v>0</v>
      </c>
      <c r="X601" s="120">
        <v>0</v>
      </c>
      <c r="Y601" s="120">
        <v>0</v>
      </c>
      <c r="Z601" s="120">
        <v>0</v>
      </c>
      <c r="AA601" s="17">
        <v>0</v>
      </c>
      <c r="AB601" s="17">
        <v>0</v>
      </c>
      <c r="AC601" s="17">
        <v>0</v>
      </c>
      <c r="AD601" s="17">
        <v>0</v>
      </c>
      <c r="AE601" s="17">
        <v>0</v>
      </c>
      <c r="AF601" s="17">
        <v>0.25</v>
      </c>
      <c r="AG601" s="17">
        <v>0</v>
      </c>
      <c r="AH601" s="17">
        <v>0</v>
      </c>
      <c r="AI601" s="17">
        <v>0</v>
      </c>
      <c r="AJ601" s="17">
        <v>0</v>
      </c>
      <c r="AK601" s="17">
        <v>0</v>
      </c>
      <c r="AL601" s="32">
        <v>0</v>
      </c>
      <c r="AM601" s="780">
        <v>49.2</v>
      </c>
      <c r="AN601" s="89"/>
      <c r="AO601" s="280"/>
      <c r="AP601" s="783">
        <v>37436</v>
      </c>
      <c r="AQ601" s="773" t="s">
        <v>2625</v>
      </c>
      <c r="AR601" s="174">
        <v>75</v>
      </c>
      <c r="AS601" s="171"/>
      <c r="AT601" s="171" t="str">
        <f t="shared" si="50"/>
        <v>550</v>
      </c>
      <c r="AU601" s="255">
        <f t="shared" si="51"/>
        <v>33</v>
      </c>
      <c r="AV601" s="42">
        <v>60</v>
      </c>
      <c r="AW601" s="171">
        <v>89</v>
      </c>
      <c r="AX601" s="89"/>
      <c r="AY601" s="171">
        <v>150</v>
      </c>
      <c r="AZ601" s="261"/>
      <c r="BA601" s="261"/>
      <c r="BB601" s="259"/>
      <c r="BC601" s="176"/>
      <c r="BD601" s="179"/>
      <c r="BE601" s="179"/>
      <c r="BF601" s="178" t="s">
        <v>2544</v>
      </c>
      <c r="BG601" s="25"/>
      <c r="BH601" s="25"/>
    </row>
    <row r="602" spans="1:60" ht="15" customHeight="1">
      <c r="A602" s="95">
        <v>601</v>
      </c>
      <c r="B602" s="98" t="s">
        <v>1114</v>
      </c>
      <c r="C602" s="191" t="s">
        <v>2642</v>
      </c>
      <c r="D602" s="257" t="s">
        <v>549</v>
      </c>
      <c r="E602" s="459" t="s">
        <v>3377</v>
      </c>
      <c r="F602" s="171">
        <v>1991</v>
      </c>
      <c r="G602" s="171">
        <v>160</v>
      </c>
      <c r="H602" s="57"/>
      <c r="I602" s="173" t="s">
        <v>1743</v>
      </c>
      <c r="J602" s="277">
        <v>0.64800000000000002</v>
      </c>
      <c r="K602" s="213">
        <v>7.96</v>
      </c>
      <c r="L602" s="91"/>
      <c r="M602" s="278">
        <v>250</v>
      </c>
      <c r="N602" s="279"/>
      <c r="O602" s="172" t="s">
        <v>12</v>
      </c>
      <c r="P602" s="511"/>
      <c r="Q602" s="173" t="s">
        <v>10</v>
      </c>
      <c r="R602" s="94"/>
      <c r="S602" s="94"/>
      <c r="T602" s="171" t="s">
        <v>2306</v>
      </c>
      <c r="U602" s="171" t="s">
        <v>2530</v>
      </c>
      <c r="V602" s="102">
        <v>0</v>
      </c>
      <c r="W602" s="120">
        <v>0</v>
      </c>
      <c r="X602" s="120">
        <v>0</v>
      </c>
      <c r="Y602" s="120">
        <v>0</v>
      </c>
      <c r="Z602" s="120">
        <v>0</v>
      </c>
      <c r="AA602" s="17">
        <v>0</v>
      </c>
      <c r="AB602" s="17">
        <v>0</v>
      </c>
      <c r="AC602" s="17">
        <v>0</v>
      </c>
      <c r="AD602" s="17">
        <v>0</v>
      </c>
      <c r="AE602" s="17">
        <v>0</v>
      </c>
      <c r="AF602" s="17">
        <v>0.25</v>
      </c>
      <c r="AG602" s="17">
        <v>0</v>
      </c>
      <c r="AH602" s="17">
        <v>0</v>
      </c>
      <c r="AI602" s="17">
        <v>0</v>
      </c>
      <c r="AJ602" s="17">
        <v>0</v>
      </c>
      <c r="AK602" s="17">
        <v>0</v>
      </c>
      <c r="AL602" s="32">
        <v>0</v>
      </c>
      <c r="AM602" s="780">
        <v>49.2</v>
      </c>
      <c r="AN602" s="89"/>
      <c r="AO602" s="280"/>
      <c r="AP602" s="783">
        <v>37436</v>
      </c>
      <c r="AQ602" s="773" t="s">
        <v>2625</v>
      </c>
      <c r="AR602" s="174">
        <v>75</v>
      </c>
      <c r="AS602" s="171"/>
      <c r="AT602" s="171" t="str">
        <f t="shared" si="50"/>
        <v>550</v>
      </c>
      <c r="AU602" s="255">
        <f t="shared" si="51"/>
        <v>33</v>
      </c>
      <c r="AV602" s="42">
        <v>60</v>
      </c>
      <c r="AW602" s="171">
        <v>89</v>
      </c>
      <c r="AX602" s="89"/>
      <c r="AY602" s="171">
        <v>100</v>
      </c>
      <c r="AZ602" s="261"/>
      <c r="BA602" s="261"/>
      <c r="BB602" s="259"/>
      <c r="BC602" s="176"/>
      <c r="BD602" s="179"/>
      <c r="BE602" s="179"/>
      <c r="BF602" s="178" t="s">
        <v>2544</v>
      </c>
      <c r="BG602" s="25"/>
      <c r="BH602" s="25"/>
    </row>
    <row r="603" spans="1:60" ht="15" customHeight="1">
      <c r="A603" s="95">
        <v>602</v>
      </c>
      <c r="B603" s="98" t="s">
        <v>1113</v>
      </c>
      <c r="C603" s="191" t="s">
        <v>2642</v>
      </c>
      <c r="D603" s="257" t="s">
        <v>549</v>
      </c>
      <c r="E603" s="459" t="s">
        <v>3377</v>
      </c>
      <c r="F603" s="171">
        <v>1991</v>
      </c>
      <c r="G603" s="171">
        <v>160</v>
      </c>
      <c r="H603" s="57"/>
      <c r="I603" s="173" t="s">
        <v>1739</v>
      </c>
      <c r="J603" s="277">
        <v>0.64800000000000002</v>
      </c>
      <c r="K603" s="213">
        <v>7.96</v>
      </c>
      <c r="L603" s="91"/>
      <c r="M603" s="278">
        <v>250</v>
      </c>
      <c r="N603" s="279"/>
      <c r="O603" s="172" t="s">
        <v>12</v>
      </c>
      <c r="P603" s="511"/>
      <c r="Q603" s="173" t="s">
        <v>10</v>
      </c>
      <c r="R603" s="94"/>
      <c r="S603" s="94"/>
      <c r="T603" s="171" t="s">
        <v>2306</v>
      </c>
      <c r="U603" s="171" t="s">
        <v>2530</v>
      </c>
      <c r="V603" s="102">
        <v>0</v>
      </c>
      <c r="W603" s="120">
        <v>0</v>
      </c>
      <c r="X603" s="120">
        <v>0</v>
      </c>
      <c r="Y603" s="120">
        <v>0</v>
      </c>
      <c r="Z603" s="120">
        <v>0</v>
      </c>
      <c r="AA603" s="17">
        <v>0</v>
      </c>
      <c r="AB603" s="17">
        <v>0</v>
      </c>
      <c r="AC603" s="17">
        <v>0</v>
      </c>
      <c r="AD603" s="17">
        <v>0</v>
      </c>
      <c r="AE603" s="17">
        <v>0</v>
      </c>
      <c r="AF603" s="17">
        <v>0.25</v>
      </c>
      <c r="AG603" s="17">
        <v>0</v>
      </c>
      <c r="AH603" s="17">
        <v>0</v>
      </c>
      <c r="AI603" s="17">
        <v>0</v>
      </c>
      <c r="AJ603" s="17">
        <v>0</v>
      </c>
      <c r="AK603" s="17">
        <v>0</v>
      </c>
      <c r="AL603" s="32">
        <v>0</v>
      </c>
      <c r="AM603" s="780">
        <v>49.2</v>
      </c>
      <c r="AN603" s="89"/>
      <c r="AO603" s="280"/>
      <c r="AP603" s="783">
        <v>37436</v>
      </c>
      <c r="AQ603" s="773" t="s">
        <v>2625</v>
      </c>
      <c r="AR603" s="174">
        <v>75</v>
      </c>
      <c r="AS603" s="171"/>
      <c r="AT603" s="171" t="str">
        <f t="shared" si="50"/>
        <v>550</v>
      </c>
      <c r="AU603" s="255">
        <f t="shared" si="51"/>
        <v>33</v>
      </c>
      <c r="AV603" s="42">
        <v>60</v>
      </c>
      <c r="AW603" s="171">
        <v>89</v>
      </c>
      <c r="AX603" s="89"/>
      <c r="AY603" s="171">
        <v>100</v>
      </c>
      <c r="AZ603" s="261"/>
      <c r="BA603" s="261"/>
      <c r="BB603" s="259"/>
      <c r="BC603" s="176" t="s">
        <v>558</v>
      </c>
      <c r="BD603" s="179"/>
      <c r="BE603" s="179"/>
      <c r="BF603" s="178" t="s">
        <v>2544</v>
      </c>
      <c r="BG603" s="25"/>
      <c r="BH603" s="25"/>
    </row>
    <row r="604" spans="1:60" ht="15" customHeight="1">
      <c r="A604" s="95">
        <v>603</v>
      </c>
      <c r="B604" s="98" t="s">
        <v>1112</v>
      </c>
      <c r="C604" s="191" t="s">
        <v>2642</v>
      </c>
      <c r="D604" s="257" t="s">
        <v>549</v>
      </c>
      <c r="E604" s="459" t="s">
        <v>3377</v>
      </c>
      <c r="F604" s="171">
        <v>1991</v>
      </c>
      <c r="G604" s="171">
        <v>160</v>
      </c>
      <c r="H604" s="57"/>
      <c r="I604" s="173" t="s">
        <v>1743</v>
      </c>
      <c r="J604" s="277">
        <v>0.43200000000000005</v>
      </c>
      <c r="K604" s="213">
        <v>5.1135135135135137</v>
      </c>
      <c r="L604" s="91"/>
      <c r="M604" s="278">
        <v>370</v>
      </c>
      <c r="N604" s="279"/>
      <c r="O604" s="172" t="s">
        <v>12</v>
      </c>
      <c r="P604" s="511"/>
      <c r="Q604" s="173" t="s">
        <v>10</v>
      </c>
      <c r="R604" s="94"/>
      <c r="S604" s="94"/>
      <c r="T604" s="171" t="s">
        <v>2306</v>
      </c>
      <c r="U604" s="171" t="s">
        <v>2530</v>
      </c>
      <c r="V604" s="102">
        <v>0</v>
      </c>
      <c r="W604" s="120">
        <v>0</v>
      </c>
      <c r="X604" s="120">
        <v>0</v>
      </c>
      <c r="Y604" s="120">
        <v>0</v>
      </c>
      <c r="Z604" s="120">
        <v>0</v>
      </c>
      <c r="AA604" s="17">
        <v>0</v>
      </c>
      <c r="AB604" s="17">
        <v>0</v>
      </c>
      <c r="AC604" s="17">
        <v>0</v>
      </c>
      <c r="AD604" s="17">
        <v>0</v>
      </c>
      <c r="AE604" s="17">
        <v>0</v>
      </c>
      <c r="AF604" s="17">
        <v>0.25</v>
      </c>
      <c r="AG604" s="17">
        <v>0</v>
      </c>
      <c r="AH604" s="17">
        <v>0</v>
      </c>
      <c r="AI604" s="17">
        <v>0</v>
      </c>
      <c r="AJ604" s="17">
        <v>0</v>
      </c>
      <c r="AK604" s="17">
        <v>0</v>
      </c>
      <c r="AL604" s="32">
        <v>0</v>
      </c>
      <c r="AM604" s="780">
        <v>50.67</v>
      </c>
      <c r="AN604" s="89"/>
      <c r="AO604" s="280"/>
      <c r="AP604" s="783">
        <v>34300</v>
      </c>
      <c r="AQ604" s="773" t="s">
        <v>127</v>
      </c>
      <c r="AR604" s="174">
        <v>75</v>
      </c>
      <c r="AS604" s="171"/>
      <c r="AT604" s="171" t="str">
        <f t="shared" si="50"/>
        <v>300</v>
      </c>
      <c r="AU604" s="255">
        <f t="shared" si="51"/>
        <v>30</v>
      </c>
      <c r="AV604" s="42">
        <v>60</v>
      </c>
      <c r="AW604" s="171">
        <v>91</v>
      </c>
      <c r="AX604" s="89"/>
      <c r="AY604" s="171">
        <v>20</v>
      </c>
      <c r="AZ604" s="261"/>
      <c r="BA604" s="175">
        <v>60</v>
      </c>
      <c r="BB604" s="259"/>
      <c r="BC604" s="176"/>
      <c r="BD604" s="179"/>
      <c r="BE604" s="179"/>
      <c r="BF604" s="178" t="s">
        <v>2544</v>
      </c>
      <c r="BG604" s="25"/>
      <c r="BH604" s="25"/>
    </row>
    <row r="605" spans="1:60" ht="15" customHeight="1">
      <c r="A605" s="95">
        <v>604</v>
      </c>
      <c r="B605" s="98" t="s">
        <v>1111</v>
      </c>
      <c r="C605" s="191" t="s">
        <v>2642</v>
      </c>
      <c r="D605" s="257" t="s">
        <v>549</v>
      </c>
      <c r="E605" s="459" t="s">
        <v>3377</v>
      </c>
      <c r="F605" s="171">
        <v>1991</v>
      </c>
      <c r="G605" s="171">
        <v>160</v>
      </c>
      <c r="H605" s="57"/>
      <c r="I605" s="173" t="s">
        <v>1743</v>
      </c>
      <c r="J605" s="277">
        <v>0.43200000000000005</v>
      </c>
      <c r="K605" s="213">
        <v>5.1135135135135137</v>
      </c>
      <c r="L605" s="91"/>
      <c r="M605" s="278">
        <v>370</v>
      </c>
      <c r="N605" s="279"/>
      <c r="O605" s="172" t="s">
        <v>12</v>
      </c>
      <c r="P605" s="511"/>
      <c r="Q605" s="173" t="s">
        <v>10</v>
      </c>
      <c r="R605" s="94"/>
      <c r="S605" s="94"/>
      <c r="T605" s="171" t="s">
        <v>2306</v>
      </c>
      <c r="U605" s="171" t="s">
        <v>2530</v>
      </c>
      <c r="V605" s="102">
        <v>0</v>
      </c>
      <c r="W605" s="120">
        <v>0</v>
      </c>
      <c r="X605" s="120">
        <v>0</v>
      </c>
      <c r="Y605" s="120">
        <v>0</v>
      </c>
      <c r="Z605" s="120">
        <v>0</v>
      </c>
      <c r="AA605" s="17">
        <v>0</v>
      </c>
      <c r="AB605" s="17">
        <v>0</v>
      </c>
      <c r="AC605" s="17">
        <v>0</v>
      </c>
      <c r="AD605" s="17">
        <v>0</v>
      </c>
      <c r="AE605" s="17">
        <v>0</v>
      </c>
      <c r="AF605" s="17">
        <v>0.25</v>
      </c>
      <c r="AG605" s="17">
        <v>0</v>
      </c>
      <c r="AH605" s="17">
        <v>0</v>
      </c>
      <c r="AI605" s="17">
        <v>0</v>
      </c>
      <c r="AJ605" s="17">
        <v>0</v>
      </c>
      <c r="AK605" s="17">
        <v>0</v>
      </c>
      <c r="AL605" s="32">
        <v>0</v>
      </c>
      <c r="AM605" s="780">
        <v>50.67</v>
      </c>
      <c r="AN605" s="89"/>
      <c r="AO605" s="280"/>
      <c r="AP605" s="783">
        <v>34300</v>
      </c>
      <c r="AQ605" s="773" t="s">
        <v>127</v>
      </c>
      <c r="AR605" s="174">
        <v>75</v>
      </c>
      <c r="AS605" s="171"/>
      <c r="AT605" s="171" t="str">
        <f t="shared" si="50"/>
        <v>300</v>
      </c>
      <c r="AU605" s="255">
        <f t="shared" si="51"/>
        <v>30</v>
      </c>
      <c r="AV605" s="42">
        <v>60</v>
      </c>
      <c r="AW605" s="171">
        <v>91</v>
      </c>
      <c r="AX605" s="89"/>
      <c r="AY605" s="171">
        <v>20</v>
      </c>
      <c r="AZ605" s="261"/>
      <c r="BA605" s="175">
        <v>60</v>
      </c>
      <c r="BB605" s="189" t="s">
        <v>3424</v>
      </c>
      <c r="BC605" s="176"/>
      <c r="BD605" s="179"/>
      <c r="BE605" s="179"/>
      <c r="BF605" s="178" t="s">
        <v>539</v>
      </c>
      <c r="BG605" s="25"/>
      <c r="BH605" s="25"/>
    </row>
    <row r="606" spans="1:60" ht="15" customHeight="1">
      <c r="A606" s="95">
        <v>605</v>
      </c>
      <c r="B606" s="98" t="s">
        <v>1110</v>
      </c>
      <c r="C606" s="191" t="s">
        <v>2642</v>
      </c>
      <c r="D606" s="257" t="s">
        <v>549</v>
      </c>
      <c r="E606" s="459" t="s">
        <v>3377</v>
      </c>
      <c r="F606" s="171">
        <v>1991</v>
      </c>
      <c r="G606" s="171">
        <v>160</v>
      </c>
      <c r="H606" s="57"/>
      <c r="I606" s="173" t="s">
        <v>1743</v>
      </c>
      <c r="J606" s="277">
        <v>0.43200000000000005</v>
      </c>
      <c r="K606" s="213">
        <v>5.1135135135135137</v>
      </c>
      <c r="L606" s="91"/>
      <c r="M606" s="278">
        <v>370</v>
      </c>
      <c r="N606" s="279"/>
      <c r="O606" s="172" t="s">
        <v>12</v>
      </c>
      <c r="P606" s="511"/>
      <c r="Q606" s="173" t="s">
        <v>10</v>
      </c>
      <c r="R606" s="94"/>
      <c r="S606" s="94"/>
      <c r="T606" s="171" t="s">
        <v>2306</v>
      </c>
      <c r="U606" s="171" t="s">
        <v>2530</v>
      </c>
      <c r="V606" s="102">
        <v>0</v>
      </c>
      <c r="W606" s="120">
        <v>0</v>
      </c>
      <c r="X606" s="120">
        <v>0</v>
      </c>
      <c r="Y606" s="120">
        <v>0</v>
      </c>
      <c r="Z606" s="120">
        <v>0</v>
      </c>
      <c r="AA606" s="17">
        <v>0</v>
      </c>
      <c r="AB606" s="17">
        <v>0</v>
      </c>
      <c r="AC606" s="17">
        <v>0</v>
      </c>
      <c r="AD606" s="17">
        <v>0</v>
      </c>
      <c r="AE606" s="17">
        <v>0</v>
      </c>
      <c r="AF606" s="17">
        <v>0.25</v>
      </c>
      <c r="AG606" s="17">
        <v>0</v>
      </c>
      <c r="AH606" s="17">
        <v>0</v>
      </c>
      <c r="AI606" s="17">
        <v>0</v>
      </c>
      <c r="AJ606" s="17">
        <v>0</v>
      </c>
      <c r="AK606" s="17">
        <v>0</v>
      </c>
      <c r="AL606" s="32">
        <v>0</v>
      </c>
      <c r="AM606" s="780">
        <v>50.67</v>
      </c>
      <c r="AN606" s="89"/>
      <c r="AO606" s="280"/>
      <c r="AP606" s="783">
        <v>34300</v>
      </c>
      <c r="AQ606" s="773" t="s">
        <v>127</v>
      </c>
      <c r="AR606" s="174">
        <v>75</v>
      </c>
      <c r="AS606" s="171"/>
      <c r="AT606" s="171" t="str">
        <f t="shared" si="50"/>
        <v>300</v>
      </c>
      <c r="AU606" s="255">
        <f t="shared" si="51"/>
        <v>30</v>
      </c>
      <c r="AV606" s="42">
        <v>60</v>
      </c>
      <c r="AW606" s="171">
        <v>91</v>
      </c>
      <c r="AX606" s="89"/>
      <c r="AY606" s="171">
        <v>20</v>
      </c>
      <c r="AZ606" s="261"/>
      <c r="BA606" s="175">
        <v>60</v>
      </c>
      <c r="BB606" s="189" t="s">
        <v>3424</v>
      </c>
      <c r="BC606" s="176" t="s">
        <v>558</v>
      </c>
      <c r="BD606" s="179"/>
      <c r="BE606" s="179"/>
      <c r="BF606" s="178" t="s">
        <v>539</v>
      </c>
      <c r="BG606" s="25"/>
      <c r="BH606" s="25"/>
    </row>
    <row r="607" spans="1:60" ht="15" customHeight="1">
      <c r="A607" s="95">
        <v>606</v>
      </c>
      <c r="B607" s="98" t="s">
        <v>1109</v>
      </c>
      <c r="C607" s="191" t="s">
        <v>2658</v>
      </c>
      <c r="D607" s="257" t="s">
        <v>549</v>
      </c>
      <c r="E607" s="459" t="s">
        <v>3377</v>
      </c>
      <c r="F607" s="171">
        <v>1993</v>
      </c>
      <c r="G607" s="171">
        <v>161</v>
      </c>
      <c r="H607" s="57"/>
      <c r="I607" s="173" t="s">
        <v>1743</v>
      </c>
      <c r="J607" s="277">
        <v>0.5</v>
      </c>
      <c r="K607" s="213">
        <v>4.3384615384615381</v>
      </c>
      <c r="L607" s="91"/>
      <c r="M607" s="278">
        <v>390</v>
      </c>
      <c r="N607" s="279"/>
      <c r="O607" s="172" t="s">
        <v>12</v>
      </c>
      <c r="P607" s="511"/>
      <c r="Q607" s="173" t="s">
        <v>10</v>
      </c>
      <c r="R607" s="94"/>
      <c r="S607" s="94"/>
      <c r="T607" s="171" t="s">
        <v>2306</v>
      </c>
      <c r="U607" s="171" t="s">
        <v>2530</v>
      </c>
      <c r="V607" s="102">
        <v>0</v>
      </c>
      <c r="W607" s="120">
        <v>0</v>
      </c>
      <c r="X607" s="120">
        <v>0</v>
      </c>
      <c r="Y607" s="120">
        <v>0</v>
      </c>
      <c r="Z607" s="120">
        <v>0</v>
      </c>
      <c r="AA607" s="17">
        <v>0</v>
      </c>
      <c r="AB607" s="17">
        <v>0</v>
      </c>
      <c r="AC607" s="17">
        <v>0</v>
      </c>
      <c r="AD607" s="17">
        <v>0</v>
      </c>
      <c r="AE607" s="17">
        <v>0</v>
      </c>
      <c r="AF607" s="17">
        <v>0</v>
      </c>
      <c r="AG607" s="33">
        <f>0.78/390*100</f>
        <v>0.2</v>
      </c>
      <c r="AH607" s="17">
        <v>0</v>
      </c>
      <c r="AI607" s="17">
        <v>0</v>
      </c>
      <c r="AJ607" s="17">
        <v>0</v>
      </c>
      <c r="AK607" s="17">
        <v>0</v>
      </c>
      <c r="AL607" s="32">
        <v>0</v>
      </c>
      <c r="AM607" s="780">
        <v>30.76</v>
      </c>
      <c r="AN607" s="89"/>
      <c r="AO607" s="280"/>
      <c r="AP607" s="783">
        <v>22932</v>
      </c>
      <c r="AQ607" s="773" t="s">
        <v>270</v>
      </c>
      <c r="AR607" s="188">
        <v>100</v>
      </c>
      <c r="AS607" s="171"/>
      <c r="AT607" s="171" t="str">
        <f t="shared" ref="AT607:AT638" si="52">RIGHT(AQ607,LEN(AQ607)-FIND("x",AQ607,8))</f>
        <v>500</v>
      </c>
      <c r="AU607" s="255">
        <f t="shared" ref="AU607:AU638" si="53">IF(ISBLANK(AS607),(AR607*AT607)/((4*AT607)+(2*AR607)),AR607*AS607*AT607/2/(AR607*AS607+AR607*AT607+AS607*AT607))</f>
        <v>22.727272727272727</v>
      </c>
      <c r="AV607" s="42">
        <v>60</v>
      </c>
      <c r="AW607" s="171">
        <v>5</v>
      </c>
      <c r="AX607" s="89"/>
      <c r="AY607" s="171">
        <v>20.5</v>
      </c>
      <c r="AZ607" s="261"/>
      <c r="BA607" s="175">
        <v>82.4</v>
      </c>
      <c r="BB607" s="189" t="s">
        <v>3425</v>
      </c>
      <c r="BC607" s="176"/>
      <c r="BD607" s="179"/>
      <c r="BE607" s="179"/>
      <c r="BF607" s="178" t="s">
        <v>2546</v>
      </c>
      <c r="BG607" s="25"/>
      <c r="BH607" s="25"/>
    </row>
    <row r="608" spans="1:60" ht="15" customHeight="1">
      <c r="A608" s="95">
        <v>607</v>
      </c>
      <c r="B608" s="98" t="s">
        <v>1108</v>
      </c>
      <c r="C608" s="191" t="s">
        <v>2658</v>
      </c>
      <c r="D608" s="257" t="s">
        <v>549</v>
      </c>
      <c r="E608" s="459" t="s">
        <v>3377</v>
      </c>
      <c r="F608" s="171">
        <v>1993</v>
      </c>
      <c r="G608" s="171">
        <v>161</v>
      </c>
      <c r="H608" s="57"/>
      <c r="I608" s="173" t="s">
        <v>1743</v>
      </c>
      <c r="J608" s="277">
        <v>0.5</v>
      </c>
      <c r="K608" s="213">
        <v>4.0738916256157633</v>
      </c>
      <c r="L608" s="91"/>
      <c r="M608" s="278">
        <v>406</v>
      </c>
      <c r="N608" s="279"/>
      <c r="O608" s="172" t="s">
        <v>129</v>
      </c>
      <c r="P608" s="511"/>
      <c r="Q608" s="173" t="s">
        <v>2529</v>
      </c>
      <c r="R608" s="94"/>
      <c r="S608" s="94"/>
      <c r="T608" s="171" t="s">
        <v>2306</v>
      </c>
      <c r="U608" s="171" t="s">
        <v>2530</v>
      </c>
      <c r="V608" s="102">
        <v>0</v>
      </c>
      <c r="W608" s="120">
        <v>0</v>
      </c>
      <c r="X608" s="120">
        <v>0</v>
      </c>
      <c r="Y608" s="120">
        <v>0</v>
      </c>
      <c r="Z608" s="120">
        <v>0</v>
      </c>
      <c r="AA608" s="17">
        <v>0</v>
      </c>
      <c r="AB608" s="17">
        <v>0</v>
      </c>
      <c r="AC608" s="17">
        <v>0</v>
      </c>
      <c r="AD608" s="17">
        <v>0</v>
      </c>
      <c r="AE608" s="17">
        <v>0</v>
      </c>
      <c r="AF608" s="17">
        <v>0</v>
      </c>
      <c r="AG608" s="33">
        <f>0.81/406*100</f>
        <v>0.19950738916256158</v>
      </c>
      <c r="AH608" s="17">
        <v>0</v>
      </c>
      <c r="AI608" s="17">
        <v>0</v>
      </c>
      <c r="AJ608" s="17">
        <v>0</v>
      </c>
      <c r="AK608" s="17">
        <v>0</v>
      </c>
      <c r="AL608" s="32">
        <v>0</v>
      </c>
      <c r="AM608" s="780">
        <v>33.76</v>
      </c>
      <c r="AN608" s="89"/>
      <c r="AO608" s="280"/>
      <c r="AP608" s="783">
        <v>23716</v>
      </c>
      <c r="AQ608" s="773" t="s">
        <v>270</v>
      </c>
      <c r="AR608" s="188">
        <v>100</v>
      </c>
      <c r="AS608" s="171"/>
      <c r="AT608" s="171" t="str">
        <f t="shared" si="52"/>
        <v>500</v>
      </c>
      <c r="AU608" s="255">
        <f t="shared" si="53"/>
        <v>22.727272727272727</v>
      </c>
      <c r="AV608" s="42">
        <v>60</v>
      </c>
      <c r="AW608" s="171">
        <v>5</v>
      </c>
      <c r="AX608" s="89"/>
      <c r="AY608" s="171">
        <v>20.5</v>
      </c>
      <c r="AZ608" s="261"/>
      <c r="BA608" s="175">
        <v>82.4</v>
      </c>
      <c r="BB608" s="189" t="s">
        <v>3425</v>
      </c>
      <c r="BC608" s="176"/>
      <c r="BD608" s="179"/>
      <c r="BE608" s="179"/>
      <c r="BF608" s="178" t="s">
        <v>2546</v>
      </c>
      <c r="BG608" s="25"/>
      <c r="BH608" s="25"/>
    </row>
    <row r="609" spans="1:60" ht="15" customHeight="1">
      <c r="A609" s="95">
        <v>608</v>
      </c>
      <c r="B609" s="98" t="s">
        <v>1107</v>
      </c>
      <c r="C609" s="191" t="s">
        <v>2658</v>
      </c>
      <c r="D609" s="257" t="s">
        <v>549</v>
      </c>
      <c r="E609" s="459" t="s">
        <v>3377</v>
      </c>
      <c r="F609" s="171">
        <v>1993</v>
      </c>
      <c r="G609" s="171">
        <v>161</v>
      </c>
      <c r="H609" s="57"/>
      <c r="I609" s="173" t="s">
        <v>1743</v>
      </c>
      <c r="J609" s="277">
        <v>0.5</v>
      </c>
      <c r="K609" s="213">
        <v>4.8666666666666663</v>
      </c>
      <c r="L609" s="91"/>
      <c r="M609" s="278">
        <v>360</v>
      </c>
      <c r="N609" s="279"/>
      <c r="O609" s="172" t="s">
        <v>129</v>
      </c>
      <c r="P609" s="511"/>
      <c r="Q609" s="173" t="s">
        <v>2529</v>
      </c>
      <c r="R609" s="94"/>
      <c r="S609" s="94"/>
      <c r="T609" s="171" t="s">
        <v>2306</v>
      </c>
      <c r="U609" s="171" t="s">
        <v>2530</v>
      </c>
      <c r="V609" s="102">
        <v>0</v>
      </c>
      <c r="W609" s="120">
        <v>0</v>
      </c>
      <c r="X609" s="120">
        <v>0</v>
      </c>
      <c r="Y609" s="120">
        <v>0</v>
      </c>
      <c r="Z609" s="120">
        <v>0</v>
      </c>
      <c r="AA609" s="17">
        <v>0</v>
      </c>
      <c r="AB609" s="17">
        <v>0</v>
      </c>
      <c r="AC609" s="17">
        <v>0</v>
      </c>
      <c r="AD609" s="17">
        <v>0</v>
      </c>
      <c r="AE609" s="17">
        <v>0</v>
      </c>
      <c r="AF609" s="17">
        <f>2.7/360*100</f>
        <v>0.75000000000000011</v>
      </c>
      <c r="AG609" s="17">
        <v>0</v>
      </c>
      <c r="AH609" s="17">
        <v>0</v>
      </c>
      <c r="AI609" s="17">
        <v>0</v>
      </c>
      <c r="AJ609" s="17">
        <v>0</v>
      </c>
      <c r="AK609" s="17">
        <v>0</v>
      </c>
      <c r="AL609" s="32">
        <v>0</v>
      </c>
      <c r="AM609" s="780">
        <v>37.04</v>
      </c>
      <c r="AN609" s="89"/>
      <c r="AO609" s="280"/>
      <c r="AP609" s="783">
        <v>26852</v>
      </c>
      <c r="AQ609" s="773" t="s">
        <v>270</v>
      </c>
      <c r="AR609" s="188">
        <v>100</v>
      </c>
      <c r="AS609" s="171"/>
      <c r="AT609" s="171" t="str">
        <f t="shared" si="52"/>
        <v>500</v>
      </c>
      <c r="AU609" s="255">
        <f t="shared" si="53"/>
        <v>22.727272727272727</v>
      </c>
      <c r="AV609" s="42">
        <v>60</v>
      </c>
      <c r="AW609" s="171">
        <v>5</v>
      </c>
      <c r="AX609" s="89"/>
      <c r="AY609" s="171">
        <v>20.5</v>
      </c>
      <c r="AZ609" s="261"/>
      <c r="BA609" s="175">
        <v>82.4</v>
      </c>
      <c r="BB609" s="189" t="s">
        <v>3425</v>
      </c>
      <c r="BC609" s="176"/>
      <c r="BD609" s="179"/>
      <c r="BE609" s="179"/>
      <c r="BF609" s="178" t="s">
        <v>2545</v>
      </c>
      <c r="BG609" s="25"/>
      <c r="BH609" s="25"/>
    </row>
    <row r="610" spans="1:60" ht="15" customHeight="1">
      <c r="A610" s="95">
        <v>609</v>
      </c>
      <c r="B610" s="98" t="s">
        <v>1106</v>
      </c>
      <c r="C610" s="191" t="s">
        <v>2659</v>
      </c>
      <c r="D610" s="257" t="s">
        <v>549</v>
      </c>
      <c r="E610" s="459" t="s">
        <v>3377</v>
      </c>
      <c r="F610" s="171">
        <v>1994</v>
      </c>
      <c r="G610" s="171">
        <v>171</v>
      </c>
      <c r="H610" s="57"/>
      <c r="I610" s="173" t="s">
        <v>1743</v>
      </c>
      <c r="J610" s="277">
        <v>0.17</v>
      </c>
      <c r="K610" s="213">
        <v>1.4652777777777777</v>
      </c>
      <c r="L610" s="91"/>
      <c r="M610" s="278">
        <v>864</v>
      </c>
      <c r="N610" s="279"/>
      <c r="O610" s="172" t="s">
        <v>12</v>
      </c>
      <c r="P610" s="511"/>
      <c r="Q610" s="173" t="s">
        <v>10</v>
      </c>
      <c r="R610" s="94"/>
      <c r="S610" s="94"/>
      <c r="T610" s="171" t="s">
        <v>2306</v>
      </c>
      <c r="U610" s="171" t="s">
        <v>2530</v>
      </c>
      <c r="V610" s="103">
        <v>1.2592163923182442</v>
      </c>
      <c r="W610" s="120">
        <v>0</v>
      </c>
      <c r="X610" s="120">
        <v>0</v>
      </c>
      <c r="Y610" s="120">
        <v>0</v>
      </c>
      <c r="Z610" s="120">
        <v>0</v>
      </c>
      <c r="AA610" s="17">
        <v>0</v>
      </c>
      <c r="AB610" s="17">
        <v>0</v>
      </c>
      <c r="AC610" s="17">
        <v>0</v>
      </c>
      <c r="AD610" s="17">
        <v>0</v>
      </c>
      <c r="AE610" s="17">
        <v>0</v>
      </c>
      <c r="AF610" s="17">
        <v>2.77</v>
      </c>
      <c r="AG610" s="17">
        <v>0</v>
      </c>
      <c r="AH610" s="17">
        <v>0</v>
      </c>
      <c r="AI610" s="17">
        <v>0</v>
      </c>
      <c r="AJ610" s="17">
        <v>0</v>
      </c>
      <c r="AK610" s="17">
        <v>0</v>
      </c>
      <c r="AL610" s="32">
        <v>0</v>
      </c>
      <c r="AM610" s="57"/>
      <c r="AN610" s="89"/>
      <c r="AO610" s="280"/>
      <c r="AP610" s="784"/>
      <c r="AQ610" s="773" t="s">
        <v>1103</v>
      </c>
      <c r="AR610" s="188">
        <v>100</v>
      </c>
      <c r="AS610" s="171"/>
      <c r="AT610" s="171" t="str">
        <f t="shared" si="52"/>
        <v>1200</v>
      </c>
      <c r="AU610" s="255">
        <f t="shared" si="53"/>
        <v>24</v>
      </c>
      <c r="AV610" s="42">
        <v>60</v>
      </c>
      <c r="AW610" s="171">
        <v>0</v>
      </c>
      <c r="AX610" s="89"/>
      <c r="AY610" s="171">
        <v>20</v>
      </c>
      <c r="AZ610" s="261"/>
      <c r="BA610" s="175">
        <v>50</v>
      </c>
      <c r="BB610" s="259"/>
      <c r="BC610" s="176"/>
      <c r="BD610" s="179"/>
      <c r="BE610" s="179"/>
      <c r="BF610" s="178" t="s">
        <v>539</v>
      </c>
      <c r="BG610" s="25"/>
      <c r="BH610" s="25"/>
    </row>
    <row r="611" spans="1:60" ht="15" customHeight="1">
      <c r="A611" s="95">
        <v>610</v>
      </c>
      <c r="B611" s="98" t="s">
        <v>1105</v>
      </c>
      <c r="C611" s="191" t="s">
        <v>2659</v>
      </c>
      <c r="D611" s="257" t="s">
        <v>549</v>
      </c>
      <c r="E611" s="459" t="s">
        <v>3377</v>
      </c>
      <c r="F611" s="171">
        <v>1994</v>
      </c>
      <c r="G611" s="171">
        <v>171</v>
      </c>
      <c r="H611" s="57"/>
      <c r="I611" s="173" t="s">
        <v>1743</v>
      </c>
      <c r="J611" s="277">
        <v>0.3</v>
      </c>
      <c r="K611" s="213">
        <v>3.095684803001876</v>
      </c>
      <c r="L611" s="91"/>
      <c r="M611" s="278">
        <v>533</v>
      </c>
      <c r="N611" s="279"/>
      <c r="O611" s="172" t="s">
        <v>12</v>
      </c>
      <c r="P611" s="511"/>
      <c r="Q611" s="173" t="s">
        <v>10</v>
      </c>
      <c r="R611" s="94"/>
      <c r="S611" s="94"/>
      <c r="T611" s="171" t="s">
        <v>2306</v>
      </c>
      <c r="U611" s="171" t="s">
        <v>2530</v>
      </c>
      <c r="V611" s="102">
        <v>0</v>
      </c>
      <c r="W611" s="120">
        <v>0</v>
      </c>
      <c r="X611" s="120">
        <v>0</v>
      </c>
      <c r="Y611" s="120">
        <v>0</v>
      </c>
      <c r="Z611" s="120">
        <v>0</v>
      </c>
      <c r="AA611" s="17">
        <v>0</v>
      </c>
      <c r="AB611" s="17">
        <v>0</v>
      </c>
      <c r="AC611" s="17">
        <v>0</v>
      </c>
      <c r="AD611" s="17">
        <v>0</v>
      </c>
      <c r="AE611" s="17">
        <v>0</v>
      </c>
      <c r="AF611" s="17">
        <f>1.599/533*100</f>
        <v>0.3</v>
      </c>
      <c r="AG611" s="17">
        <v>0</v>
      </c>
      <c r="AH611" s="17">
        <v>0</v>
      </c>
      <c r="AI611" s="17">
        <v>0</v>
      </c>
      <c r="AJ611" s="17">
        <v>0</v>
      </c>
      <c r="AK611" s="17">
        <v>0</v>
      </c>
      <c r="AL611" s="32">
        <v>0</v>
      </c>
      <c r="AM611" s="57"/>
      <c r="AN611" s="89"/>
      <c r="AO611" s="280"/>
      <c r="AP611" s="784"/>
      <c r="AQ611" s="773" t="s">
        <v>1103</v>
      </c>
      <c r="AR611" s="188">
        <v>100</v>
      </c>
      <c r="AS611" s="171"/>
      <c r="AT611" s="171" t="str">
        <f t="shared" si="52"/>
        <v>1200</v>
      </c>
      <c r="AU611" s="255">
        <f t="shared" si="53"/>
        <v>24</v>
      </c>
      <c r="AV611" s="42">
        <v>60</v>
      </c>
      <c r="AW611" s="171">
        <v>0</v>
      </c>
      <c r="AX611" s="89"/>
      <c r="AY611" s="171">
        <v>20</v>
      </c>
      <c r="AZ611" s="261"/>
      <c r="BA611" s="175">
        <v>50</v>
      </c>
      <c r="BB611" s="259"/>
      <c r="BC611" s="176" t="s">
        <v>558</v>
      </c>
      <c r="BD611" s="179"/>
      <c r="BE611" s="179"/>
      <c r="BF611" s="178" t="s">
        <v>539</v>
      </c>
      <c r="BG611" s="25"/>
      <c r="BH611" s="25"/>
    </row>
    <row r="612" spans="1:60" ht="15" customHeight="1">
      <c r="A612" s="95">
        <v>611</v>
      </c>
      <c r="B612" s="98" t="s">
        <v>1104</v>
      </c>
      <c r="C612" s="191" t="s">
        <v>2659</v>
      </c>
      <c r="D612" s="257" t="s">
        <v>549</v>
      </c>
      <c r="E612" s="459" t="s">
        <v>3377</v>
      </c>
      <c r="F612" s="171">
        <v>1994</v>
      </c>
      <c r="G612" s="171">
        <v>171</v>
      </c>
      <c r="H612" s="57"/>
      <c r="I612" s="173" t="s">
        <v>1743</v>
      </c>
      <c r="J612" s="277">
        <v>0.4</v>
      </c>
      <c r="K612" s="213">
        <v>3.6333333333333333</v>
      </c>
      <c r="L612" s="91"/>
      <c r="M612" s="278">
        <v>450</v>
      </c>
      <c r="N612" s="279"/>
      <c r="O612" s="172" t="s">
        <v>12</v>
      </c>
      <c r="P612" s="511"/>
      <c r="Q612" s="173" t="s">
        <v>10</v>
      </c>
      <c r="R612" s="94"/>
      <c r="S612" s="94"/>
      <c r="T612" s="171" t="s">
        <v>2306</v>
      </c>
      <c r="U612" s="171" t="s">
        <v>2530</v>
      </c>
      <c r="V612" s="102">
        <v>0</v>
      </c>
      <c r="W612" s="120">
        <v>0</v>
      </c>
      <c r="X612" s="120">
        <v>0</v>
      </c>
      <c r="Y612" s="120">
        <v>0</v>
      </c>
      <c r="Z612" s="120">
        <v>0</v>
      </c>
      <c r="AA612" s="17">
        <v>0</v>
      </c>
      <c r="AB612" s="17">
        <v>0</v>
      </c>
      <c r="AC612" s="17">
        <v>0</v>
      </c>
      <c r="AD612" s="17">
        <v>0</v>
      </c>
      <c r="AE612" s="17">
        <v>0</v>
      </c>
      <c r="AF612" s="17">
        <f>0.45/450*100</f>
        <v>0.1</v>
      </c>
      <c r="AG612" s="17">
        <v>0</v>
      </c>
      <c r="AH612" s="17">
        <v>0</v>
      </c>
      <c r="AI612" s="17">
        <v>0</v>
      </c>
      <c r="AJ612" s="17">
        <v>0</v>
      </c>
      <c r="AK612" s="17">
        <v>0</v>
      </c>
      <c r="AL612" s="32">
        <v>0</v>
      </c>
      <c r="AM612" s="57"/>
      <c r="AN612" s="89"/>
      <c r="AO612" s="280"/>
      <c r="AP612" s="784"/>
      <c r="AQ612" s="773" t="s">
        <v>1103</v>
      </c>
      <c r="AR612" s="188">
        <v>100</v>
      </c>
      <c r="AS612" s="171"/>
      <c r="AT612" s="171" t="str">
        <f t="shared" si="52"/>
        <v>1200</v>
      </c>
      <c r="AU612" s="255">
        <f t="shared" si="53"/>
        <v>24</v>
      </c>
      <c r="AV612" s="42">
        <v>60</v>
      </c>
      <c r="AW612" s="171">
        <v>0</v>
      </c>
      <c r="AX612" s="89"/>
      <c r="AY612" s="171">
        <v>20</v>
      </c>
      <c r="AZ612" s="261"/>
      <c r="BA612" s="175">
        <v>50</v>
      </c>
      <c r="BB612" s="259"/>
      <c r="BC612" s="176" t="s">
        <v>558</v>
      </c>
      <c r="BD612" s="179"/>
      <c r="BE612" s="179"/>
      <c r="BF612" s="178" t="s">
        <v>539</v>
      </c>
      <c r="BG612" s="25"/>
      <c r="BH612" s="25"/>
    </row>
    <row r="613" spans="1:60" ht="15" customHeight="1">
      <c r="A613" s="95">
        <v>612</v>
      </c>
      <c r="B613" s="98" t="s">
        <v>1102</v>
      </c>
      <c r="C613" s="191" t="s">
        <v>2660</v>
      </c>
      <c r="D613" s="257" t="s">
        <v>549</v>
      </c>
      <c r="E613" s="459" t="s">
        <v>3377</v>
      </c>
      <c r="F613" s="171">
        <v>1994</v>
      </c>
      <c r="G613" s="171">
        <v>264</v>
      </c>
      <c r="H613" s="57"/>
      <c r="I613" s="173" t="s">
        <v>1743</v>
      </c>
      <c r="J613" s="277">
        <v>0.55000000000000004</v>
      </c>
      <c r="K613" s="213">
        <v>5.4137931034482758</v>
      </c>
      <c r="L613" s="91"/>
      <c r="M613" s="278">
        <v>319</v>
      </c>
      <c r="N613" s="279"/>
      <c r="O613" s="172" t="s">
        <v>12</v>
      </c>
      <c r="P613" s="89"/>
      <c r="Q613" s="88"/>
      <c r="R613" s="94"/>
      <c r="S613" s="94"/>
      <c r="T613" s="171"/>
      <c r="U613" s="171"/>
      <c r="V613" s="102">
        <v>0</v>
      </c>
      <c r="W613" s="120">
        <v>0</v>
      </c>
      <c r="X613" s="120">
        <v>0</v>
      </c>
      <c r="Y613" s="120">
        <v>0</v>
      </c>
      <c r="Z613" s="120">
        <v>0</v>
      </c>
      <c r="AA613" s="17">
        <v>0</v>
      </c>
      <c r="AB613" s="17">
        <v>0</v>
      </c>
      <c r="AC613" s="17">
        <v>0</v>
      </c>
      <c r="AD613" s="17">
        <v>0</v>
      </c>
      <c r="AE613" s="17">
        <v>0</v>
      </c>
      <c r="AF613" s="17">
        <v>0</v>
      </c>
      <c r="AG613" s="17">
        <v>0</v>
      </c>
      <c r="AH613" s="17">
        <v>4</v>
      </c>
      <c r="AI613" s="17">
        <v>0</v>
      </c>
      <c r="AJ613" s="17">
        <v>0</v>
      </c>
      <c r="AK613" s="17">
        <v>0</v>
      </c>
      <c r="AL613" s="32" t="s">
        <v>2541</v>
      </c>
      <c r="AM613" s="780">
        <v>25.48</v>
      </c>
      <c r="AN613" s="89"/>
      <c r="AO613" s="280"/>
      <c r="AP613" s="784"/>
      <c r="AQ613" s="773" t="s">
        <v>271</v>
      </c>
      <c r="AR613" s="188">
        <v>100</v>
      </c>
      <c r="AS613" s="171"/>
      <c r="AT613" s="171" t="str">
        <f t="shared" si="52"/>
        <v>400</v>
      </c>
      <c r="AU613" s="255">
        <f t="shared" si="53"/>
        <v>22.222222222222221</v>
      </c>
      <c r="AV613" s="172">
        <v>100</v>
      </c>
      <c r="AW613" s="171">
        <v>7</v>
      </c>
      <c r="AX613" s="89"/>
      <c r="AY613" s="171">
        <v>20</v>
      </c>
      <c r="AZ613" s="261"/>
      <c r="BA613" s="175">
        <v>60</v>
      </c>
      <c r="BB613" s="259"/>
      <c r="BC613" s="176"/>
      <c r="BD613" s="179"/>
      <c r="BE613" s="179"/>
      <c r="BF613" s="178" t="s">
        <v>1098</v>
      </c>
      <c r="BG613" s="25"/>
      <c r="BH613" s="25"/>
    </row>
    <row r="614" spans="1:60" ht="15" customHeight="1">
      <c r="A614" s="95">
        <v>613</v>
      </c>
      <c r="B614" s="98" t="s">
        <v>1101</v>
      </c>
      <c r="C614" s="191" t="s">
        <v>2660</v>
      </c>
      <c r="D614" s="257" t="s">
        <v>549</v>
      </c>
      <c r="E614" s="459" t="s">
        <v>3377</v>
      </c>
      <c r="F614" s="171">
        <v>1994</v>
      </c>
      <c r="G614" s="171">
        <v>264</v>
      </c>
      <c r="H614" s="57"/>
      <c r="I614" s="173" t="s">
        <v>1743</v>
      </c>
      <c r="J614" s="277">
        <v>0.55000000000000004</v>
      </c>
      <c r="K614" s="213">
        <v>4.948424068767908</v>
      </c>
      <c r="L614" s="91"/>
      <c r="M614" s="278">
        <v>349</v>
      </c>
      <c r="N614" s="279"/>
      <c r="O614" s="172" t="s">
        <v>12</v>
      </c>
      <c r="P614" s="89"/>
      <c r="Q614" s="88"/>
      <c r="R614" s="94"/>
      <c r="S614" s="94"/>
      <c r="T614" s="171"/>
      <c r="U614" s="171"/>
      <c r="V614" s="102">
        <v>0</v>
      </c>
      <c r="W614" s="120">
        <v>0</v>
      </c>
      <c r="X614" s="120">
        <v>0</v>
      </c>
      <c r="Y614" s="120">
        <v>0</v>
      </c>
      <c r="Z614" s="120">
        <v>0</v>
      </c>
      <c r="AA614" s="17">
        <v>0</v>
      </c>
      <c r="AB614" s="17">
        <v>0</v>
      </c>
      <c r="AC614" s="17">
        <v>0</v>
      </c>
      <c r="AD614" s="17">
        <v>0</v>
      </c>
      <c r="AE614" s="17">
        <v>0</v>
      </c>
      <c r="AF614" s="17">
        <v>0</v>
      </c>
      <c r="AG614" s="17">
        <v>0.25</v>
      </c>
      <c r="AH614" s="17">
        <v>0</v>
      </c>
      <c r="AI614" s="17">
        <v>0</v>
      </c>
      <c r="AJ614" s="17">
        <v>0</v>
      </c>
      <c r="AK614" s="17">
        <v>0</v>
      </c>
      <c r="AL614" s="32">
        <v>0</v>
      </c>
      <c r="AM614" s="780">
        <v>33.81</v>
      </c>
      <c r="AN614" s="89"/>
      <c r="AO614" s="280"/>
      <c r="AP614" s="784"/>
      <c r="AQ614" s="773" t="s">
        <v>271</v>
      </c>
      <c r="AR614" s="188">
        <v>100</v>
      </c>
      <c r="AS614" s="171"/>
      <c r="AT614" s="171" t="str">
        <f t="shared" si="52"/>
        <v>400</v>
      </c>
      <c r="AU614" s="255">
        <f t="shared" si="53"/>
        <v>22.222222222222221</v>
      </c>
      <c r="AV614" s="172">
        <v>100</v>
      </c>
      <c r="AW614" s="171">
        <v>7</v>
      </c>
      <c r="AX614" s="89"/>
      <c r="AY614" s="171">
        <v>20</v>
      </c>
      <c r="AZ614" s="261"/>
      <c r="BA614" s="175">
        <v>60</v>
      </c>
      <c r="BB614" s="259"/>
      <c r="BC614" s="176"/>
      <c r="BD614" s="179"/>
      <c r="BE614" s="179"/>
      <c r="BF614" s="178"/>
      <c r="BG614" s="25"/>
      <c r="BH614" s="25"/>
    </row>
    <row r="615" spans="1:60" ht="15" customHeight="1">
      <c r="A615" s="95">
        <v>614</v>
      </c>
      <c r="B615" s="98" t="s">
        <v>1100</v>
      </c>
      <c r="C615" s="191" t="s">
        <v>2660</v>
      </c>
      <c r="D615" s="257" t="s">
        <v>549</v>
      </c>
      <c r="E615" s="459" t="s">
        <v>3377</v>
      </c>
      <c r="F615" s="171">
        <v>1994</v>
      </c>
      <c r="G615" s="171">
        <v>264</v>
      </c>
      <c r="H615" s="57"/>
      <c r="I615" s="173" t="s">
        <v>1743</v>
      </c>
      <c r="J615" s="277">
        <v>0.55000000000000004</v>
      </c>
      <c r="K615" s="213">
        <v>5.6812500000000004</v>
      </c>
      <c r="L615" s="91"/>
      <c r="M615" s="278">
        <v>320</v>
      </c>
      <c r="N615" s="279"/>
      <c r="O615" s="172" t="s">
        <v>12</v>
      </c>
      <c r="P615" s="89"/>
      <c r="Q615" s="88"/>
      <c r="R615" s="94"/>
      <c r="S615" s="94"/>
      <c r="T615" s="171"/>
      <c r="U615" s="171"/>
      <c r="V615" s="102">
        <v>0</v>
      </c>
      <c r="W615" s="120">
        <v>0</v>
      </c>
      <c r="X615" s="120">
        <v>0</v>
      </c>
      <c r="Y615" s="120">
        <v>0</v>
      </c>
      <c r="Z615" s="120">
        <v>0</v>
      </c>
      <c r="AA615" s="17">
        <v>0</v>
      </c>
      <c r="AB615" s="17">
        <v>0</v>
      </c>
      <c r="AC615" s="17">
        <v>0</v>
      </c>
      <c r="AD615" s="17">
        <v>0</v>
      </c>
      <c r="AE615" s="17">
        <v>0</v>
      </c>
      <c r="AF615" s="17">
        <f>1.6/320*100</f>
        <v>0.5</v>
      </c>
      <c r="AG615" s="17">
        <v>0</v>
      </c>
      <c r="AH615" s="17">
        <v>0</v>
      </c>
      <c r="AI615" s="17">
        <v>0</v>
      </c>
      <c r="AJ615" s="17">
        <v>0</v>
      </c>
      <c r="AK615" s="17">
        <v>0</v>
      </c>
      <c r="AL615" s="32">
        <v>0</v>
      </c>
      <c r="AM615" s="780">
        <v>29.11</v>
      </c>
      <c r="AN615" s="89"/>
      <c r="AO615" s="280"/>
      <c r="AP615" s="784"/>
      <c r="AQ615" s="773" t="s">
        <v>271</v>
      </c>
      <c r="AR615" s="188">
        <v>100</v>
      </c>
      <c r="AS615" s="171"/>
      <c r="AT615" s="171" t="str">
        <f t="shared" si="52"/>
        <v>400</v>
      </c>
      <c r="AU615" s="255">
        <f t="shared" si="53"/>
        <v>22.222222222222221</v>
      </c>
      <c r="AV615" s="172">
        <v>100</v>
      </c>
      <c r="AW615" s="171">
        <v>7</v>
      </c>
      <c r="AX615" s="89"/>
      <c r="AY615" s="171">
        <v>20</v>
      </c>
      <c r="AZ615" s="261"/>
      <c r="BA615" s="175">
        <v>60</v>
      </c>
      <c r="BB615" s="259"/>
      <c r="BC615" s="176"/>
      <c r="BD615" s="179"/>
      <c r="BE615" s="179"/>
      <c r="BF615" s="178" t="s">
        <v>539</v>
      </c>
      <c r="BG615" s="25"/>
      <c r="BH615" s="25"/>
    </row>
    <row r="616" spans="1:60" ht="15" customHeight="1">
      <c r="A616" s="95">
        <v>615</v>
      </c>
      <c r="B616" s="98" t="s">
        <v>1099</v>
      </c>
      <c r="C616" s="191" t="s">
        <v>2660</v>
      </c>
      <c r="D616" s="257" t="s">
        <v>549</v>
      </c>
      <c r="E616" s="459" t="s">
        <v>3377</v>
      </c>
      <c r="F616" s="171">
        <v>1994</v>
      </c>
      <c r="G616" s="171">
        <v>264</v>
      </c>
      <c r="H616" s="57"/>
      <c r="I616" s="173" t="s">
        <v>1743</v>
      </c>
      <c r="J616" s="277">
        <v>0.6</v>
      </c>
      <c r="K616" s="213">
        <v>5.6277602523659302</v>
      </c>
      <c r="L616" s="91"/>
      <c r="M616" s="278">
        <v>317</v>
      </c>
      <c r="N616" s="279"/>
      <c r="O616" s="172" t="s">
        <v>12</v>
      </c>
      <c r="P616" s="89"/>
      <c r="Q616" s="88"/>
      <c r="R616" s="94"/>
      <c r="S616" s="94"/>
      <c r="T616" s="171"/>
      <c r="U616" s="171"/>
      <c r="V616" s="102">
        <v>0</v>
      </c>
      <c r="W616" s="120">
        <v>0</v>
      </c>
      <c r="X616" s="120">
        <v>0</v>
      </c>
      <c r="Y616" s="120">
        <v>0</v>
      </c>
      <c r="Z616" s="120">
        <v>0</v>
      </c>
      <c r="AA616" s="17">
        <v>0</v>
      </c>
      <c r="AB616" s="17">
        <v>0</v>
      </c>
      <c r="AC616" s="17">
        <v>0</v>
      </c>
      <c r="AD616" s="17">
        <v>0</v>
      </c>
      <c r="AE616" s="17">
        <v>0</v>
      </c>
      <c r="AF616" s="17">
        <v>0</v>
      </c>
      <c r="AG616" s="17">
        <v>0</v>
      </c>
      <c r="AH616" s="17">
        <v>4</v>
      </c>
      <c r="AI616" s="17">
        <v>0</v>
      </c>
      <c r="AJ616" s="17">
        <v>0</v>
      </c>
      <c r="AK616" s="17">
        <v>0</v>
      </c>
      <c r="AL616" s="32" t="s">
        <v>2541</v>
      </c>
      <c r="AM616" s="780">
        <v>27.64</v>
      </c>
      <c r="AN616" s="89"/>
      <c r="AO616" s="280"/>
      <c r="AP616" s="784"/>
      <c r="AQ616" s="773" t="s">
        <v>271</v>
      </c>
      <c r="AR616" s="188">
        <v>100</v>
      </c>
      <c r="AS616" s="171"/>
      <c r="AT616" s="171" t="str">
        <f t="shared" si="52"/>
        <v>400</v>
      </c>
      <c r="AU616" s="255">
        <f t="shared" si="53"/>
        <v>22.222222222222221</v>
      </c>
      <c r="AV616" s="172">
        <v>100</v>
      </c>
      <c r="AW616" s="171">
        <v>7</v>
      </c>
      <c r="AX616" s="89"/>
      <c r="AY616" s="171">
        <v>20</v>
      </c>
      <c r="AZ616" s="261"/>
      <c r="BA616" s="175">
        <v>60</v>
      </c>
      <c r="BB616" s="259"/>
      <c r="BC616" s="176"/>
      <c r="BD616" s="179"/>
      <c r="BE616" s="179"/>
      <c r="BF616" s="178" t="s">
        <v>1098</v>
      </c>
      <c r="BG616" s="25"/>
      <c r="BH616" s="25"/>
    </row>
    <row r="617" spans="1:60" ht="15" customHeight="1">
      <c r="A617" s="95">
        <v>616</v>
      </c>
      <c r="B617" s="98" t="s">
        <v>1097</v>
      </c>
      <c r="C617" s="191" t="s">
        <v>2660</v>
      </c>
      <c r="D617" s="257" t="s">
        <v>549</v>
      </c>
      <c r="E617" s="459" t="s">
        <v>3377</v>
      </c>
      <c r="F617" s="171">
        <v>1994</v>
      </c>
      <c r="G617" s="171">
        <v>264</v>
      </c>
      <c r="H617" s="57"/>
      <c r="I617" s="173" t="s">
        <v>1743</v>
      </c>
      <c r="J617" s="277">
        <v>0.6</v>
      </c>
      <c r="K617" s="213">
        <v>6.2160278745644595</v>
      </c>
      <c r="L617" s="91"/>
      <c r="M617" s="278">
        <v>287</v>
      </c>
      <c r="N617" s="279"/>
      <c r="O617" s="172" t="s">
        <v>12</v>
      </c>
      <c r="P617" s="89"/>
      <c r="Q617" s="88"/>
      <c r="R617" s="94"/>
      <c r="S617" s="94"/>
      <c r="T617" s="171"/>
      <c r="U617" s="171"/>
      <c r="V617" s="102">
        <v>0</v>
      </c>
      <c r="W617" s="120">
        <v>0</v>
      </c>
      <c r="X617" s="120">
        <v>0</v>
      </c>
      <c r="Y617" s="120">
        <v>0</v>
      </c>
      <c r="Z617" s="120">
        <v>0</v>
      </c>
      <c r="AA617" s="17">
        <v>0</v>
      </c>
      <c r="AB617" s="17">
        <v>0</v>
      </c>
      <c r="AC617" s="17">
        <v>0</v>
      </c>
      <c r="AD617" s="17">
        <v>0</v>
      </c>
      <c r="AE617" s="17">
        <v>0</v>
      </c>
      <c r="AF617" s="17">
        <v>0</v>
      </c>
      <c r="AG617" s="17">
        <v>0</v>
      </c>
      <c r="AH617" s="17">
        <v>4</v>
      </c>
      <c r="AI617" s="17">
        <v>0</v>
      </c>
      <c r="AJ617" s="17">
        <v>0</v>
      </c>
      <c r="AK617" s="17">
        <v>0</v>
      </c>
      <c r="AL617" s="32" t="s">
        <v>2541</v>
      </c>
      <c r="AM617" s="780">
        <v>24.6</v>
      </c>
      <c r="AN617" s="89"/>
      <c r="AO617" s="280"/>
      <c r="AP617" s="784"/>
      <c r="AQ617" s="773" t="s">
        <v>271</v>
      </c>
      <c r="AR617" s="188">
        <v>100</v>
      </c>
      <c r="AS617" s="171"/>
      <c r="AT617" s="171" t="str">
        <f t="shared" si="52"/>
        <v>400</v>
      </c>
      <c r="AU617" s="255">
        <f t="shared" si="53"/>
        <v>22.222222222222221</v>
      </c>
      <c r="AV617" s="172">
        <v>100</v>
      </c>
      <c r="AW617" s="171">
        <v>7</v>
      </c>
      <c r="AX617" s="89"/>
      <c r="AY617" s="171">
        <v>20</v>
      </c>
      <c r="AZ617" s="261"/>
      <c r="BA617" s="175">
        <v>60</v>
      </c>
      <c r="BB617" s="259"/>
      <c r="BC617" s="176"/>
      <c r="BD617" s="179"/>
      <c r="BE617" s="179"/>
      <c r="BF617" s="178" t="s">
        <v>1096</v>
      </c>
      <c r="BG617" s="25"/>
      <c r="BH617" s="25"/>
    </row>
    <row r="618" spans="1:60" ht="15" customHeight="1">
      <c r="A618" s="95">
        <v>617</v>
      </c>
      <c r="B618" s="98" t="s">
        <v>1095</v>
      </c>
      <c r="C618" s="191" t="s">
        <v>2660</v>
      </c>
      <c r="D618" s="257" t="s">
        <v>549</v>
      </c>
      <c r="E618" s="459" t="s">
        <v>3377</v>
      </c>
      <c r="F618" s="171">
        <v>1994</v>
      </c>
      <c r="G618" s="171">
        <v>264</v>
      </c>
      <c r="H618" s="57"/>
      <c r="I618" s="173" t="s">
        <v>1743</v>
      </c>
      <c r="J618" s="277">
        <v>0.6</v>
      </c>
      <c r="K618" s="213">
        <v>6.3150684931506849</v>
      </c>
      <c r="L618" s="91"/>
      <c r="M618" s="278">
        <v>292</v>
      </c>
      <c r="N618" s="279"/>
      <c r="O618" s="172" t="s">
        <v>12</v>
      </c>
      <c r="P618" s="89"/>
      <c r="Q618" s="88"/>
      <c r="R618" s="507"/>
      <c r="S618" s="94"/>
      <c r="T618" s="171"/>
      <c r="U618" s="171"/>
      <c r="V618" s="102">
        <v>0</v>
      </c>
      <c r="W618" s="120">
        <v>0</v>
      </c>
      <c r="X618" s="120">
        <v>0</v>
      </c>
      <c r="Y618" s="120">
        <v>0</v>
      </c>
      <c r="Z618" s="120">
        <v>0</v>
      </c>
      <c r="AA618" s="17">
        <v>0</v>
      </c>
      <c r="AB618" s="17">
        <v>0</v>
      </c>
      <c r="AC618" s="17">
        <v>0</v>
      </c>
      <c r="AD618" s="17">
        <v>0</v>
      </c>
      <c r="AE618" s="17">
        <v>0</v>
      </c>
      <c r="AF618" s="17">
        <f>1.6/320*100</f>
        <v>0.5</v>
      </c>
      <c r="AG618" s="17">
        <v>0</v>
      </c>
      <c r="AH618" s="17">
        <v>0</v>
      </c>
      <c r="AI618" s="17">
        <v>0</v>
      </c>
      <c r="AJ618" s="17">
        <v>0</v>
      </c>
      <c r="AK618" s="17">
        <v>0</v>
      </c>
      <c r="AL618" s="32">
        <v>0</v>
      </c>
      <c r="AM618" s="780">
        <v>28.32</v>
      </c>
      <c r="AN618" s="89"/>
      <c r="AO618" s="280"/>
      <c r="AP618" s="784"/>
      <c r="AQ618" s="773" t="s">
        <v>271</v>
      </c>
      <c r="AR618" s="188">
        <v>100</v>
      </c>
      <c r="AS618" s="171"/>
      <c r="AT618" s="171" t="str">
        <f t="shared" si="52"/>
        <v>400</v>
      </c>
      <c r="AU618" s="255">
        <f t="shared" si="53"/>
        <v>22.222222222222221</v>
      </c>
      <c r="AV618" s="172">
        <v>100</v>
      </c>
      <c r="AW618" s="171">
        <v>7</v>
      </c>
      <c r="AX618" s="89"/>
      <c r="AY618" s="171">
        <v>20</v>
      </c>
      <c r="AZ618" s="261"/>
      <c r="BA618" s="175">
        <v>60</v>
      </c>
      <c r="BB618" s="259"/>
      <c r="BC618" s="176"/>
      <c r="BD618" s="179"/>
      <c r="BE618" s="179"/>
      <c r="BF618" s="178" t="s">
        <v>539</v>
      </c>
      <c r="BG618" s="25"/>
      <c r="BH618" s="25"/>
    </row>
    <row r="619" spans="1:60" ht="15" customHeight="1">
      <c r="A619" s="95">
        <v>618</v>
      </c>
      <c r="B619" s="98" t="s">
        <v>1094</v>
      </c>
      <c r="C619" s="191" t="s">
        <v>2661</v>
      </c>
      <c r="D619" s="257" t="s">
        <v>549</v>
      </c>
      <c r="E619" s="459" t="s">
        <v>3377</v>
      </c>
      <c r="F619" s="171">
        <v>1995</v>
      </c>
      <c r="G619" s="171">
        <v>173</v>
      </c>
      <c r="H619" s="57"/>
      <c r="I619" s="173" t="s">
        <v>1743</v>
      </c>
      <c r="J619" s="277">
        <v>0.56000000000000005</v>
      </c>
      <c r="K619" s="213">
        <v>5.9407894736842106</v>
      </c>
      <c r="L619" s="91"/>
      <c r="M619" s="278">
        <v>304</v>
      </c>
      <c r="N619" s="279"/>
      <c r="O619" s="172" t="s">
        <v>12</v>
      </c>
      <c r="P619" s="511"/>
      <c r="Q619" s="173" t="s">
        <v>10</v>
      </c>
      <c r="R619" s="507"/>
      <c r="S619" s="94"/>
      <c r="T619" s="171" t="s">
        <v>2306</v>
      </c>
      <c r="U619" s="171" t="s">
        <v>2530</v>
      </c>
      <c r="V619" s="102">
        <v>0</v>
      </c>
      <c r="W619" s="120">
        <v>0</v>
      </c>
      <c r="X619" s="120">
        <v>0</v>
      </c>
      <c r="Y619" s="120">
        <v>0</v>
      </c>
      <c r="Z619" s="120">
        <v>0</v>
      </c>
      <c r="AA619" s="17">
        <v>0</v>
      </c>
      <c r="AB619" s="17">
        <v>0</v>
      </c>
      <c r="AC619" s="17">
        <v>0</v>
      </c>
      <c r="AD619" s="17">
        <v>0</v>
      </c>
      <c r="AE619" s="17">
        <v>0</v>
      </c>
      <c r="AF619" s="17">
        <v>0</v>
      </c>
      <c r="AG619" s="17">
        <v>0.35</v>
      </c>
      <c r="AH619" s="17">
        <v>0</v>
      </c>
      <c r="AI619" s="17">
        <v>0</v>
      </c>
      <c r="AJ619" s="17">
        <v>0</v>
      </c>
      <c r="AK619" s="17">
        <v>0</v>
      </c>
      <c r="AL619" s="32">
        <v>0</v>
      </c>
      <c r="AM619" s="780">
        <v>32.44</v>
      </c>
      <c r="AN619" s="89"/>
      <c r="AO619" s="280"/>
      <c r="AP619" s="783">
        <v>26460</v>
      </c>
      <c r="AQ619" s="773" t="s">
        <v>271</v>
      </c>
      <c r="AR619" s="188">
        <v>100</v>
      </c>
      <c r="AS619" s="171"/>
      <c r="AT619" s="171" t="str">
        <f t="shared" si="52"/>
        <v>400</v>
      </c>
      <c r="AU619" s="255">
        <f t="shared" si="53"/>
        <v>22.222222222222221</v>
      </c>
      <c r="AV619" s="172">
        <v>100</v>
      </c>
      <c r="AW619" s="171">
        <v>7</v>
      </c>
      <c r="AX619" s="89"/>
      <c r="AY619" s="171">
        <v>20</v>
      </c>
      <c r="AZ619" s="261"/>
      <c r="BA619" s="175">
        <v>60</v>
      </c>
      <c r="BB619" s="189" t="s">
        <v>2547</v>
      </c>
      <c r="BC619" s="176"/>
      <c r="BD619" s="179"/>
      <c r="BE619" s="179"/>
      <c r="BF619" s="178"/>
      <c r="BG619" s="25"/>
      <c r="BH619" s="25"/>
    </row>
    <row r="620" spans="1:60" ht="15" customHeight="1">
      <c r="A620" s="95">
        <v>619</v>
      </c>
      <c r="B620" s="98" t="s">
        <v>1093</v>
      </c>
      <c r="C620" s="191" t="s">
        <v>2661</v>
      </c>
      <c r="D620" s="257" t="s">
        <v>549</v>
      </c>
      <c r="E620" s="459" t="s">
        <v>3377</v>
      </c>
      <c r="F620" s="171">
        <v>1995</v>
      </c>
      <c r="G620" s="171">
        <v>173</v>
      </c>
      <c r="H620" s="57"/>
      <c r="I620" s="173" t="s">
        <v>1743</v>
      </c>
      <c r="J620" s="277">
        <v>0.56000000000000005</v>
      </c>
      <c r="K620" s="213">
        <v>5.9407894736842106</v>
      </c>
      <c r="L620" s="91"/>
      <c r="M620" s="278">
        <v>304</v>
      </c>
      <c r="N620" s="279"/>
      <c r="O620" s="172" t="s">
        <v>12</v>
      </c>
      <c r="P620" s="511"/>
      <c r="Q620" s="173" t="s">
        <v>10</v>
      </c>
      <c r="R620" s="507"/>
      <c r="S620" s="94"/>
      <c r="T620" s="171" t="s">
        <v>2306</v>
      </c>
      <c r="U620" s="171" t="s">
        <v>2530</v>
      </c>
      <c r="V620" s="102">
        <v>0</v>
      </c>
      <c r="W620" s="120">
        <v>0</v>
      </c>
      <c r="X620" s="120">
        <v>0</v>
      </c>
      <c r="Y620" s="120">
        <v>0</v>
      </c>
      <c r="Z620" s="120">
        <v>0</v>
      </c>
      <c r="AA620" s="17">
        <v>0</v>
      </c>
      <c r="AB620" s="17">
        <v>0</v>
      </c>
      <c r="AC620" s="17">
        <v>0</v>
      </c>
      <c r="AD620" s="17">
        <v>0</v>
      </c>
      <c r="AE620" s="17">
        <v>0</v>
      </c>
      <c r="AF620" s="17">
        <v>0</v>
      </c>
      <c r="AG620" s="17">
        <v>0.35</v>
      </c>
      <c r="AH620" s="17">
        <v>0</v>
      </c>
      <c r="AI620" s="17">
        <v>0</v>
      </c>
      <c r="AJ620" s="17">
        <v>0</v>
      </c>
      <c r="AK620" s="17">
        <v>0</v>
      </c>
      <c r="AL620" s="32">
        <v>0</v>
      </c>
      <c r="AM620" s="780">
        <v>32.44</v>
      </c>
      <c r="AN620" s="89"/>
      <c r="AO620" s="280"/>
      <c r="AP620" s="783">
        <v>26460</v>
      </c>
      <c r="AQ620" s="773" t="s">
        <v>271</v>
      </c>
      <c r="AR620" s="188">
        <v>100</v>
      </c>
      <c r="AS620" s="171"/>
      <c r="AT620" s="171" t="str">
        <f t="shared" si="52"/>
        <v>400</v>
      </c>
      <c r="AU620" s="255">
        <f t="shared" si="53"/>
        <v>22.222222222222221</v>
      </c>
      <c r="AV620" s="172">
        <v>100</v>
      </c>
      <c r="AW620" s="171">
        <v>7</v>
      </c>
      <c r="AX620" s="89"/>
      <c r="AY620" s="171">
        <v>17</v>
      </c>
      <c r="AZ620" s="261"/>
      <c r="BA620" s="175">
        <v>71</v>
      </c>
      <c r="BB620" s="189" t="s">
        <v>2547</v>
      </c>
      <c r="BC620" s="176"/>
      <c r="BD620" s="179"/>
      <c r="BE620" s="179"/>
      <c r="BF620" s="178"/>
      <c r="BG620" s="25"/>
      <c r="BH620" s="25"/>
    </row>
    <row r="621" spans="1:60" ht="15" customHeight="1">
      <c r="A621" s="95">
        <v>620</v>
      </c>
      <c r="B621" s="98" t="s">
        <v>1092</v>
      </c>
      <c r="C621" s="191" t="s">
        <v>2661</v>
      </c>
      <c r="D621" s="257" t="s">
        <v>549</v>
      </c>
      <c r="E621" s="459" t="s">
        <v>3377</v>
      </c>
      <c r="F621" s="171">
        <v>1995</v>
      </c>
      <c r="G621" s="171">
        <v>173</v>
      </c>
      <c r="H621" s="57"/>
      <c r="I621" s="173" t="s">
        <v>1743</v>
      </c>
      <c r="J621" s="277">
        <v>0.56000000000000005</v>
      </c>
      <c r="K621" s="213">
        <v>5.9407894736842106</v>
      </c>
      <c r="L621" s="91"/>
      <c r="M621" s="278">
        <v>304</v>
      </c>
      <c r="N621" s="279"/>
      <c r="O621" s="172" t="s">
        <v>12</v>
      </c>
      <c r="P621" s="511"/>
      <c r="Q621" s="173" t="s">
        <v>10</v>
      </c>
      <c r="R621" s="507"/>
      <c r="S621" s="94"/>
      <c r="T621" s="171" t="s">
        <v>2306</v>
      </c>
      <c r="U621" s="171" t="s">
        <v>2530</v>
      </c>
      <c r="V621" s="102">
        <v>0</v>
      </c>
      <c r="W621" s="120">
        <v>0</v>
      </c>
      <c r="X621" s="120">
        <v>0</v>
      </c>
      <c r="Y621" s="120">
        <v>0</v>
      </c>
      <c r="Z621" s="120">
        <v>0</v>
      </c>
      <c r="AA621" s="17">
        <v>0</v>
      </c>
      <c r="AB621" s="17">
        <v>0</v>
      </c>
      <c r="AC621" s="17">
        <v>0</v>
      </c>
      <c r="AD621" s="17">
        <v>0</v>
      </c>
      <c r="AE621" s="17">
        <v>0</v>
      </c>
      <c r="AF621" s="17">
        <v>0</v>
      </c>
      <c r="AG621" s="17">
        <v>0.35</v>
      </c>
      <c r="AH621" s="17">
        <v>0</v>
      </c>
      <c r="AI621" s="17">
        <v>0</v>
      </c>
      <c r="AJ621" s="17">
        <v>0</v>
      </c>
      <c r="AK621" s="17">
        <v>0</v>
      </c>
      <c r="AL621" s="32">
        <v>0</v>
      </c>
      <c r="AM621" s="780">
        <v>32.44</v>
      </c>
      <c r="AN621" s="89"/>
      <c r="AO621" s="280"/>
      <c r="AP621" s="783">
        <v>26460</v>
      </c>
      <c r="AQ621" s="773" t="s">
        <v>1088</v>
      </c>
      <c r="AR621" s="188">
        <v>150</v>
      </c>
      <c r="AS621" s="171">
        <v>300</v>
      </c>
      <c r="AT621" s="171" t="str">
        <f t="shared" si="52"/>
        <v>1000</v>
      </c>
      <c r="AU621" s="255">
        <f t="shared" si="53"/>
        <v>45.454545454545453</v>
      </c>
      <c r="AV621" s="172">
        <v>99</v>
      </c>
      <c r="AW621" s="171">
        <v>7</v>
      </c>
      <c r="AX621" s="89"/>
      <c r="AY621" s="171">
        <v>20</v>
      </c>
      <c r="AZ621" s="261"/>
      <c r="BA621" s="175">
        <v>60</v>
      </c>
      <c r="BB621" s="189" t="s">
        <v>2548</v>
      </c>
      <c r="BC621" s="176" t="s">
        <v>558</v>
      </c>
      <c r="BD621" s="179"/>
      <c r="BE621" s="179"/>
      <c r="BF621" s="178"/>
      <c r="BG621" s="25"/>
      <c r="BH621" s="25"/>
    </row>
    <row r="622" spans="1:60" ht="15" customHeight="1">
      <c r="A622" s="95">
        <v>621</v>
      </c>
      <c r="B622" s="98" t="s">
        <v>1091</v>
      </c>
      <c r="C622" s="191" t="s">
        <v>2661</v>
      </c>
      <c r="D622" s="257" t="s">
        <v>549</v>
      </c>
      <c r="E622" s="459" t="s">
        <v>3377</v>
      </c>
      <c r="F622" s="171">
        <v>1995</v>
      </c>
      <c r="G622" s="171">
        <v>173</v>
      </c>
      <c r="H622" s="57"/>
      <c r="I622" s="173" t="s">
        <v>1743</v>
      </c>
      <c r="J622" s="277">
        <v>0.56000000000000005</v>
      </c>
      <c r="K622" s="213">
        <v>5.9407894736842106</v>
      </c>
      <c r="L622" s="91"/>
      <c r="M622" s="278">
        <v>304</v>
      </c>
      <c r="N622" s="279"/>
      <c r="O622" s="172" t="s">
        <v>12</v>
      </c>
      <c r="P622" s="511"/>
      <c r="Q622" s="173" t="s">
        <v>10</v>
      </c>
      <c r="R622" s="507"/>
      <c r="S622" s="94"/>
      <c r="T622" s="171" t="s">
        <v>2306</v>
      </c>
      <c r="U622" s="171" t="s">
        <v>2530</v>
      </c>
      <c r="V622" s="102">
        <v>0</v>
      </c>
      <c r="W622" s="120">
        <v>0</v>
      </c>
      <c r="X622" s="120">
        <v>0</v>
      </c>
      <c r="Y622" s="120">
        <v>0</v>
      </c>
      <c r="Z622" s="120">
        <v>0</v>
      </c>
      <c r="AA622" s="17">
        <v>0</v>
      </c>
      <c r="AB622" s="17">
        <v>0</v>
      </c>
      <c r="AC622" s="17">
        <v>0</v>
      </c>
      <c r="AD622" s="17">
        <v>0</v>
      </c>
      <c r="AE622" s="17">
        <v>0</v>
      </c>
      <c r="AF622" s="17">
        <v>0</v>
      </c>
      <c r="AG622" s="17">
        <v>0.35</v>
      </c>
      <c r="AH622" s="17">
        <v>0</v>
      </c>
      <c r="AI622" s="17">
        <v>0</v>
      </c>
      <c r="AJ622" s="17">
        <v>0</v>
      </c>
      <c r="AK622" s="17">
        <v>0</v>
      </c>
      <c r="AL622" s="32">
        <v>0</v>
      </c>
      <c r="AM622" s="780">
        <v>32.44</v>
      </c>
      <c r="AN622" s="89"/>
      <c r="AO622" s="280"/>
      <c r="AP622" s="783">
        <v>26460</v>
      </c>
      <c r="AQ622" s="773" t="s">
        <v>1086</v>
      </c>
      <c r="AR622" s="188">
        <v>300</v>
      </c>
      <c r="AS622" s="171">
        <v>600</v>
      </c>
      <c r="AT622" s="171" t="str">
        <f t="shared" si="52"/>
        <v>1000</v>
      </c>
      <c r="AU622" s="255">
        <f t="shared" si="53"/>
        <v>83.333333333333329</v>
      </c>
      <c r="AV622" s="172">
        <v>99</v>
      </c>
      <c r="AW622" s="171">
        <v>7</v>
      </c>
      <c r="AX622" s="89"/>
      <c r="AY622" s="171">
        <v>20</v>
      </c>
      <c r="AZ622" s="261"/>
      <c r="BA622" s="175">
        <v>60</v>
      </c>
      <c r="BB622" s="189" t="s">
        <v>2548</v>
      </c>
      <c r="BC622" s="176" t="s">
        <v>558</v>
      </c>
      <c r="BD622" s="179"/>
      <c r="BE622" s="179"/>
      <c r="BF622" s="178"/>
      <c r="BG622" s="25"/>
      <c r="BH622" s="25"/>
    </row>
    <row r="623" spans="1:60" s="159" customFormat="1" ht="15" customHeight="1">
      <c r="A623" s="95">
        <v>622</v>
      </c>
      <c r="B623" s="98" t="s">
        <v>1090</v>
      </c>
      <c r="C623" s="191" t="s">
        <v>2661</v>
      </c>
      <c r="D623" s="257" t="s">
        <v>549</v>
      </c>
      <c r="E623" s="459" t="s">
        <v>3377</v>
      </c>
      <c r="F623" s="171">
        <v>1995</v>
      </c>
      <c r="G623" s="171">
        <v>173</v>
      </c>
      <c r="H623" s="57"/>
      <c r="I623" s="173" t="s">
        <v>1743</v>
      </c>
      <c r="J623" s="277">
        <v>0.56000000000000005</v>
      </c>
      <c r="K623" s="213">
        <v>5.9407894736842106</v>
      </c>
      <c r="L623" s="91"/>
      <c r="M623" s="278">
        <v>304</v>
      </c>
      <c r="N623" s="279"/>
      <c r="O623" s="172" t="s">
        <v>12</v>
      </c>
      <c r="P623" s="511"/>
      <c r="Q623" s="173" t="s">
        <v>10</v>
      </c>
      <c r="R623" s="507"/>
      <c r="S623" s="94"/>
      <c r="T623" s="171" t="s">
        <v>2306</v>
      </c>
      <c r="U623" s="171" t="s">
        <v>2530</v>
      </c>
      <c r="V623" s="102">
        <v>0</v>
      </c>
      <c r="W623" s="120">
        <v>0</v>
      </c>
      <c r="X623" s="120">
        <v>0</v>
      </c>
      <c r="Y623" s="120">
        <v>0</v>
      </c>
      <c r="Z623" s="120">
        <v>0</v>
      </c>
      <c r="AA623" s="17">
        <v>0</v>
      </c>
      <c r="AB623" s="17">
        <v>0</v>
      </c>
      <c r="AC623" s="17">
        <v>0</v>
      </c>
      <c r="AD623" s="17">
        <v>0</v>
      </c>
      <c r="AE623" s="17">
        <v>0</v>
      </c>
      <c r="AF623" s="17">
        <v>0</v>
      </c>
      <c r="AG623" s="17">
        <v>0.35</v>
      </c>
      <c r="AH623" s="17">
        <v>0</v>
      </c>
      <c r="AI623" s="17">
        <v>0</v>
      </c>
      <c r="AJ623" s="17">
        <v>0</v>
      </c>
      <c r="AK623" s="17">
        <v>0</v>
      </c>
      <c r="AL623" s="32">
        <v>0</v>
      </c>
      <c r="AM623" s="780">
        <v>32.44</v>
      </c>
      <c r="AN623" s="89"/>
      <c r="AO623" s="280"/>
      <c r="AP623" s="783">
        <v>26460</v>
      </c>
      <c r="AQ623" s="773" t="s">
        <v>1084</v>
      </c>
      <c r="AR623" s="188">
        <v>500</v>
      </c>
      <c r="AS623" s="171">
        <v>1000</v>
      </c>
      <c r="AT623" s="171" t="str">
        <f t="shared" si="52"/>
        <v>1500</v>
      </c>
      <c r="AU623" s="255">
        <f t="shared" si="53"/>
        <v>136.36363636363637</v>
      </c>
      <c r="AV623" s="172">
        <v>99</v>
      </c>
      <c r="AW623" s="171">
        <v>7</v>
      </c>
      <c r="AX623" s="89"/>
      <c r="AY623" s="171">
        <v>20</v>
      </c>
      <c r="AZ623" s="261"/>
      <c r="BA623" s="175">
        <v>60</v>
      </c>
      <c r="BB623" s="189" t="s">
        <v>2548</v>
      </c>
      <c r="BC623" s="176" t="s">
        <v>558</v>
      </c>
      <c r="BD623" s="179"/>
      <c r="BE623" s="179"/>
      <c r="BF623" s="178"/>
      <c r="BG623" s="160"/>
      <c r="BH623" s="160"/>
    </row>
    <row r="624" spans="1:60" s="159" customFormat="1" ht="15" customHeight="1">
      <c r="A624" s="95">
        <v>623</v>
      </c>
      <c r="B624" s="98" t="s">
        <v>1089</v>
      </c>
      <c r="C624" s="191" t="s">
        <v>2661</v>
      </c>
      <c r="D624" s="257" t="s">
        <v>549</v>
      </c>
      <c r="E624" s="459" t="s">
        <v>3377</v>
      </c>
      <c r="F624" s="171">
        <v>1995</v>
      </c>
      <c r="G624" s="171">
        <v>173</v>
      </c>
      <c r="H624" s="57"/>
      <c r="I624" s="173" t="s">
        <v>1743</v>
      </c>
      <c r="J624" s="277">
        <v>0.56000000000000005</v>
      </c>
      <c r="K624" s="213">
        <v>5.9407894736842106</v>
      </c>
      <c r="L624" s="91"/>
      <c r="M624" s="278">
        <v>304</v>
      </c>
      <c r="N624" s="279"/>
      <c r="O624" s="172" t="s">
        <v>12</v>
      </c>
      <c r="P624" s="511"/>
      <c r="Q624" s="173" t="s">
        <v>10</v>
      </c>
      <c r="R624" s="507"/>
      <c r="S624" s="94"/>
      <c r="T624" s="171" t="s">
        <v>2306</v>
      </c>
      <c r="U624" s="171" t="s">
        <v>2530</v>
      </c>
      <c r="V624" s="102">
        <v>0</v>
      </c>
      <c r="W624" s="120">
        <v>0</v>
      </c>
      <c r="X624" s="120">
        <v>0</v>
      </c>
      <c r="Y624" s="120">
        <v>0</v>
      </c>
      <c r="Z624" s="120">
        <v>0</v>
      </c>
      <c r="AA624" s="17">
        <v>0</v>
      </c>
      <c r="AB624" s="17">
        <v>0</v>
      </c>
      <c r="AC624" s="17">
        <v>0</v>
      </c>
      <c r="AD624" s="17">
        <v>0</v>
      </c>
      <c r="AE624" s="17">
        <v>0</v>
      </c>
      <c r="AF624" s="17">
        <v>0</v>
      </c>
      <c r="AG624" s="17">
        <v>0.35</v>
      </c>
      <c r="AH624" s="17">
        <v>0</v>
      </c>
      <c r="AI624" s="17">
        <v>0</v>
      </c>
      <c r="AJ624" s="17">
        <v>0</v>
      </c>
      <c r="AK624" s="17">
        <v>0</v>
      </c>
      <c r="AL624" s="32">
        <v>0</v>
      </c>
      <c r="AM624" s="780">
        <v>32.44</v>
      </c>
      <c r="AN624" s="89"/>
      <c r="AO624" s="280"/>
      <c r="AP624" s="783">
        <v>26460</v>
      </c>
      <c r="AQ624" s="773" t="s">
        <v>1088</v>
      </c>
      <c r="AR624" s="188">
        <v>150</v>
      </c>
      <c r="AS624" s="171">
        <v>300</v>
      </c>
      <c r="AT624" s="171" t="str">
        <f t="shared" si="52"/>
        <v>1000</v>
      </c>
      <c r="AU624" s="255">
        <f t="shared" si="53"/>
        <v>45.454545454545453</v>
      </c>
      <c r="AV624" s="172">
        <v>99</v>
      </c>
      <c r="AW624" s="171">
        <v>7</v>
      </c>
      <c r="AX624" s="89"/>
      <c r="AY624" s="171">
        <v>17</v>
      </c>
      <c r="AZ624" s="261"/>
      <c r="BA624" s="175">
        <v>71</v>
      </c>
      <c r="BB624" s="189" t="s">
        <v>2548</v>
      </c>
      <c r="BC624" s="176"/>
      <c r="BD624" s="179"/>
      <c r="BE624" s="179"/>
      <c r="BF624" s="178"/>
      <c r="BG624" s="160"/>
      <c r="BH624" s="160"/>
    </row>
    <row r="625" spans="1:60" s="159" customFormat="1" ht="15" customHeight="1">
      <c r="A625" s="95">
        <v>624</v>
      </c>
      <c r="B625" s="98" t="s">
        <v>1087</v>
      </c>
      <c r="C625" s="191" t="s">
        <v>2661</v>
      </c>
      <c r="D625" s="257" t="s">
        <v>549</v>
      </c>
      <c r="E625" s="459" t="s">
        <v>3377</v>
      </c>
      <c r="F625" s="171">
        <v>1995</v>
      </c>
      <c r="G625" s="171">
        <v>173</v>
      </c>
      <c r="H625" s="57"/>
      <c r="I625" s="173" t="s">
        <v>1743</v>
      </c>
      <c r="J625" s="277">
        <v>0.56000000000000005</v>
      </c>
      <c r="K625" s="213">
        <v>5.9407894736842106</v>
      </c>
      <c r="L625" s="91"/>
      <c r="M625" s="278">
        <v>304</v>
      </c>
      <c r="N625" s="279"/>
      <c r="O625" s="172" t="s">
        <v>12</v>
      </c>
      <c r="P625" s="511"/>
      <c r="Q625" s="173" t="s">
        <v>10</v>
      </c>
      <c r="R625" s="507"/>
      <c r="S625" s="94"/>
      <c r="T625" s="171" t="s">
        <v>2306</v>
      </c>
      <c r="U625" s="171" t="s">
        <v>2530</v>
      </c>
      <c r="V625" s="102">
        <v>0</v>
      </c>
      <c r="W625" s="120">
        <v>0</v>
      </c>
      <c r="X625" s="120">
        <v>0</v>
      </c>
      <c r="Y625" s="120">
        <v>0</v>
      </c>
      <c r="Z625" s="120">
        <v>0</v>
      </c>
      <c r="AA625" s="17">
        <v>0</v>
      </c>
      <c r="AB625" s="17">
        <v>0</v>
      </c>
      <c r="AC625" s="17">
        <v>0</v>
      </c>
      <c r="AD625" s="17">
        <v>0</v>
      </c>
      <c r="AE625" s="17">
        <v>0</v>
      </c>
      <c r="AF625" s="17">
        <v>0</v>
      </c>
      <c r="AG625" s="17">
        <v>0.35</v>
      </c>
      <c r="AH625" s="17">
        <v>0</v>
      </c>
      <c r="AI625" s="17">
        <v>0</v>
      </c>
      <c r="AJ625" s="17">
        <v>0</v>
      </c>
      <c r="AK625" s="17">
        <v>0</v>
      </c>
      <c r="AL625" s="32">
        <v>0</v>
      </c>
      <c r="AM625" s="780">
        <v>32.44</v>
      </c>
      <c r="AN625" s="89"/>
      <c r="AO625" s="280"/>
      <c r="AP625" s="783">
        <v>26460</v>
      </c>
      <c r="AQ625" s="773" t="s">
        <v>1086</v>
      </c>
      <c r="AR625" s="188">
        <v>300</v>
      </c>
      <c r="AS625" s="171">
        <v>600</v>
      </c>
      <c r="AT625" s="171" t="str">
        <f t="shared" si="52"/>
        <v>1000</v>
      </c>
      <c r="AU625" s="255">
        <f t="shared" si="53"/>
        <v>83.333333333333329</v>
      </c>
      <c r="AV625" s="172">
        <v>99</v>
      </c>
      <c r="AW625" s="171">
        <v>7</v>
      </c>
      <c r="AX625" s="89"/>
      <c r="AY625" s="171">
        <v>17</v>
      </c>
      <c r="AZ625" s="261"/>
      <c r="BA625" s="175">
        <v>71</v>
      </c>
      <c r="BB625" s="189" t="s">
        <v>2548</v>
      </c>
      <c r="BC625" s="176"/>
      <c r="BD625" s="179"/>
      <c r="BE625" s="179"/>
      <c r="BF625" s="178"/>
      <c r="BG625" s="160"/>
      <c r="BH625" s="160"/>
    </row>
    <row r="626" spans="1:60" ht="15" customHeight="1">
      <c r="A626" s="95">
        <v>625</v>
      </c>
      <c r="B626" s="98" t="s">
        <v>1085</v>
      </c>
      <c r="C626" s="191" t="s">
        <v>2661</v>
      </c>
      <c r="D626" s="257" t="s">
        <v>549</v>
      </c>
      <c r="E626" s="459" t="s">
        <v>3377</v>
      </c>
      <c r="F626" s="171">
        <v>1995</v>
      </c>
      <c r="G626" s="171">
        <v>173</v>
      </c>
      <c r="H626" s="57"/>
      <c r="I626" s="173" t="s">
        <v>1743</v>
      </c>
      <c r="J626" s="277">
        <v>0.56000000000000005</v>
      </c>
      <c r="K626" s="213">
        <v>5.9407894736842106</v>
      </c>
      <c r="L626" s="91"/>
      <c r="M626" s="278">
        <v>304</v>
      </c>
      <c r="N626" s="279"/>
      <c r="O626" s="172" t="s">
        <v>12</v>
      </c>
      <c r="P626" s="511"/>
      <c r="Q626" s="173" t="s">
        <v>10</v>
      </c>
      <c r="R626" s="507"/>
      <c r="S626" s="94"/>
      <c r="T626" s="171" t="s">
        <v>2306</v>
      </c>
      <c r="U626" s="171" t="s">
        <v>2530</v>
      </c>
      <c r="V626" s="102">
        <v>0</v>
      </c>
      <c r="W626" s="120">
        <v>0</v>
      </c>
      <c r="X626" s="120">
        <v>0</v>
      </c>
      <c r="Y626" s="120">
        <v>0</v>
      </c>
      <c r="Z626" s="120">
        <v>0</v>
      </c>
      <c r="AA626" s="17">
        <v>0</v>
      </c>
      <c r="AB626" s="17">
        <v>0</v>
      </c>
      <c r="AC626" s="17">
        <v>0</v>
      </c>
      <c r="AD626" s="17">
        <v>0</v>
      </c>
      <c r="AE626" s="17">
        <v>0</v>
      </c>
      <c r="AF626" s="17">
        <v>0</v>
      </c>
      <c r="AG626" s="17">
        <v>0.35</v>
      </c>
      <c r="AH626" s="17">
        <v>0</v>
      </c>
      <c r="AI626" s="17">
        <v>0</v>
      </c>
      <c r="AJ626" s="17">
        <v>0</v>
      </c>
      <c r="AK626" s="17">
        <v>0</v>
      </c>
      <c r="AL626" s="32">
        <v>0</v>
      </c>
      <c r="AM626" s="780">
        <v>32.44</v>
      </c>
      <c r="AN626" s="89"/>
      <c r="AO626" s="280"/>
      <c r="AP626" s="783">
        <v>26460</v>
      </c>
      <c r="AQ626" s="773" t="s">
        <v>1084</v>
      </c>
      <c r="AR626" s="188">
        <v>500</v>
      </c>
      <c r="AS626" s="171">
        <v>1000</v>
      </c>
      <c r="AT626" s="171" t="str">
        <f t="shared" si="52"/>
        <v>1500</v>
      </c>
      <c r="AU626" s="255">
        <f t="shared" si="53"/>
        <v>136.36363636363637</v>
      </c>
      <c r="AV626" s="172">
        <v>99</v>
      </c>
      <c r="AW626" s="171">
        <v>7</v>
      </c>
      <c r="AX626" s="89"/>
      <c r="AY626" s="171">
        <v>17</v>
      </c>
      <c r="AZ626" s="261"/>
      <c r="BA626" s="175">
        <v>71</v>
      </c>
      <c r="BB626" s="189" t="s">
        <v>2548</v>
      </c>
      <c r="BC626" s="176"/>
      <c r="BD626" s="179"/>
      <c r="BE626" s="179"/>
      <c r="BF626" s="178"/>
      <c r="BG626" s="25"/>
      <c r="BH626" s="25"/>
    </row>
    <row r="627" spans="1:60" ht="15" customHeight="1">
      <c r="A627" s="95">
        <v>626</v>
      </c>
      <c r="B627" s="98" t="s">
        <v>1083</v>
      </c>
      <c r="C627" s="191" t="s">
        <v>2644</v>
      </c>
      <c r="D627" s="257" t="s">
        <v>549</v>
      </c>
      <c r="E627" s="459" t="s">
        <v>3377</v>
      </c>
      <c r="F627" s="171">
        <v>1995</v>
      </c>
      <c r="G627" s="171">
        <v>174</v>
      </c>
      <c r="H627" s="57"/>
      <c r="I627" s="173" t="s">
        <v>1739</v>
      </c>
      <c r="J627" s="277">
        <v>0.31</v>
      </c>
      <c r="K627" s="90"/>
      <c r="L627" s="91">
        <f>((J627)*(M627+((V627+W627+X627+Y627+Z627+AA627+AB627+AC627+AD627+AK627)/100)*(M627)))</f>
        <v>222.39242520000002</v>
      </c>
      <c r="M627" s="278">
        <v>538.1</v>
      </c>
      <c r="N627" s="279"/>
      <c r="O627" s="172" t="s">
        <v>129</v>
      </c>
      <c r="P627" s="511"/>
      <c r="Q627" s="173" t="s">
        <v>2529</v>
      </c>
      <c r="R627" s="507"/>
      <c r="S627" s="94"/>
      <c r="T627" s="171" t="s">
        <v>2306</v>
      </c>
      <c r="U627" s="171" t="s">
        <v>2530</v>
      </c>
      <c r="V627" s="102">
        <v>33.32</v>
      </c>
      <c r="W627" s="120">
        <v>0</v>
      </c>
      <c r="X627" s="120">
        <v>0</v>
      </c>
      <c r="Y627" s="120">
        <v>0</v>
      </c>
      <c r="Z627" s="120">
        <v>0</v>
      </c>
      <c r="AA627" s="17">
        <v>0</v>
      </c>
      <c r="AB627" s="17">
        <v>0</v>
      </c>
      <c r="AC627" s="17">
        <v>0</v>
      </c>
      <c r="AD627" s="17">
        <v>0</v>
      </c>
      <c r="AE627" s="17">
        <v>0</v>
      </c>
      <c r="AF627" s="59">
        <v>6</v>
      </c>
      <c r="AG627" s="17">
        <v>0</v>
      </c>
      <c r="AH627" s="17">
        <v>0</v>
      </c>
      <c r="AI627" s="17">
        <v>0</v>
      </c>
      <c r="AJ627" s="17">
        <v>0</v>
      </c>
      <c r="AK627" s="17">
        <v>0</v>
      </c>
      <c r="AL627" s="32">
        <v>0</v>
      </c>
      <c r="AM627" s="57"/>
      <c r="AN627" s="89"/>
      <c r="AO627" s="280"/>
      <c r="AP627" s="784"/>
      <c r="AQ627" s="773" t="s">
        <v>271</v>
      </c>
      <c r="AR627" s="188">
        <v>100</v>
      </c>
      <c r="AS627" s="171"/>
      <c r="AT627" s="171" t="str">
        <f t="shared" si="52"/>
        <v>400</v>
      </c>
      <c r="AU627" s="255">
        <f t="shared" si="53"/>
        <v>22.222222222222221</v>
      </c>
      <c r="AV627" s="57"/>
      <c r="AW627" s="171">
        <v>0</v>
      </c>
      <c r="AX627" s="89"/>
      <c r="AY627" s="171">
        <v>20</v>
      </c>
      <c r="AZ627" s="261"/>
      <c r="BA627" s="261"/>
      <c r="BB627" s="259"/>
      <c r="BC627" s="176"/>
      <c r="BD627" s="179"/>
      <c r="BE627" s="179"/>
      <c r="BF627" s="178" t="s">
        <v>1040</v>
      </c>
      <c r="BG627" s="25"/>
      <c r="BH627" s="25"/>
    </row>
    <row r="628" spans="1:60" ht="15" customHeight="1">
      <c r="A628" s="95">
        <v>627</v>
      </c>
      <c r="B628" s="98" t="s">
        <v>1082</v>
      </c>
      <c r="C628" s="191" t="s">
        <v>2644</v>
      </c>
      <c r="D628" s="257" t="s">
        <v>549</v>
      </c>
      <c r="E628" s="459" t="s">
        <v>3377</v>
      </c>
      <c r="F628" s="171">
        <v>1995</v>
      </c>
      <c r="G628" s="171">
        <v>174</v>
      </c>
      <c r="H628" s="57"/>
      <c r="I628" s="173" t="s">
        <v>1739</v>
      </c>
      <c r="J628" s="277">
        <v>0.23</v>
      </c>
      <c r="K628" s="90"/>
      <c r="L628" s="91"/>
      <c r="M628" s="278">
        <v>717.4</v>
      </c>
      <c r="N628" s="279"/>
      <c r="O628" s="172" t="s">
        <v>12</v>
      </c>
      <c r="P628" s="511"/>
      <c r="Q628" s="173" t="s">
        <v>10</v>
      </c>
      <c r="R628" s="94"/>
      <c r="S628" s="94"/>
      <c r="T628" s="171" t="s">
        <v>2306</v>
      </c>
      <c r="U628" s="171" t="s">
        <v>2530</v>
      </c>
      <c r="V628" s="102">
        <v>0</v>
      </c>
      <c r="W628" s="120">
        <v>0</v>
      </c>
      <c r="X628" s="120">
        <v>0</v>
      </c>
      <c r="Y628" s="120">
        <v>0</v>
      </c>
      <c r="Z628" s="120">
        <v>0</v>
      </c>
      <c r="AA628" s="17">
        <v>0</v>
      </c>
      <c r="AB628" s="17">
        <v>0</v>
      </c>
      <c r="AC628" s="17">
        <v>0</v>
      </c>
      <c r="AD628" s="17">
        <v>0</v>
      </c>
      <c r="AE628" s="17">
        <v>0</v>
      </c>
      <c r="AF628" s="59">
        <f>32.3/717.4*100</f>
        <v>4.5023696682464456</v>
      </c>
      <c r="AG628" s="17">
        <v>0</v>
      </c>
      <c r="AH628" s="17">
        <v>0</v>
      </c>
      <c r="AI628" s="17">
        <v>0</v>
      </c>
      <c r="AJ628" s="17">
        <v>0</v>
      </c>
      <c r="AK628" s="17">
        <v>0</v>
      </c>
      <c r="AL628" s="32">
        <v>0</v>
      </c>
      <c r="AM628" s="57"/>
      <c r="AN628" s="89"/>
      <c r="AO628" s="280"/>
      <c r="AP628" s="784"/>
      <c r="AQ628" s="773" t="s">
        <v>271</v>
      </c>
      <c r="AR628" s="188">
        <v>100</v>
      </c>
      <c r="AS628" s="171"/>
      <c r="AT628" s="171" t="str">
        <f t="shared" si="52"/>
        <v>400</v>
      </c>
      <c r="AU628" s="255">
        <f t="shared" si="53"/>
        <v>22.222222222222221</v>
      </c>
      <c r="AV628" s="57"/>
      <c r="AW628" s="171">
        <v>0</v>
      </c>
      <c r="AX628" s="89"/>
      <c r="AY628" s="171">
        <v>20</v>
      </c>
      <c r="AZ628" s="261"/>
      <c r="BA628" s="261"/>
      <c r="BB628" s="259"/>
      <c r="BC628" s="176"/>
      <c r="BD628" s="179"/>
      <c r="BE628" s="179"/>
      <c r="BF628" s="178" t="s">
        <v>1040</v>
      </c>
      <c r="BG628" s="25"/>
      <c r="BH628" s="25"/>
    </row>
    <row r="629" spans="1:60" ht="15" customHeight="1">
      <c r="A629" s="95">
        <v>628</v>
      </c>
      <c r="B629" s="98" t="s">
        <v>1081</v>
      </c>
      <c r="C629" s="191" t="s">
        <v>2644</v>
      </c>
      <c r="D629" s="257" t="s">
        <v>549</v>
      </c>
      <c r="E629" s="459" t="s">
        <v>3377</v>
      </c>
      <c r="F629" s="171">
        <v>1995</v>
      </c>
      <c r="G629" s="171">
        <v>174</v>
      </c>
      <c r="H629" s="57"/>
      <c r="I629" s="173" t="s">
        <v>1739</v>
      </c>
      <c r="J629" s="277">
        <v>0.26</v>
      </c>
      <c r="K629" s="90"/>
      <c r="L629" s="91">
        <f>((J629)*(M629+((V629+W629+X629+Y629+Z629+AA629+AB629+AC629+AD629+AK629)/100)*(M629)))</f>
        <v>186.52400000000003</v>
      </c>
      <c r="M629" s="278">
        <v>645.70000000000005</v>
      </c>
      <c r="N629" s="279"/>
      <c r="O629" s="172" t="s">
        <v>12</v>
      </c>
      <c r="P629" s="511"/>
      <c r="Q629" s="173" t="s">
        <v>10</v>
      </c>
      <c r="R629" s="94"/>
      <c r="S629" s="94"/>
      <c r="T629" s="171" t="s">
        <v>2306</v>
      </c>
      <c r="U629" s="171" t="s">
        <v>2530</v>
      </c>
      <c r="V629" s="103">
        <f>71.7/645.7*100</f>
        <v>11.104227969645345</v>
      </c>
      <c r="W629" s="120">
        <v>0</v>
      </c>
      <c r="X629" s="120">
        <v>0</v>
      </c>
      <c r="Y629" s="120">
        <v>0</v>
      </c>
      <c r="Z629" s="120">
        <v>0</v>
      </c>
      <c r="AA629" s="17">
        <v>0</v>
      </c>
      <c r="AB629" s="17">
        <v>0</v>
      </c>
      <c r="AC629" s="17">
        <v>0</v>
      </c>
      <c r="AD629" s="17">
        <v>0</v>
      </c>
      <c r="AE629" s="17">
        <v>0</v>
      </c>
      <c r="AF629" s="59">
        <f>32.3/645.7*100</f>
        <v>5.0023230602446951</v>
      </c>
      <c r="AG629" s="17">
        <v>0</v>
      </c>
      <c r="AH629" s="17">
        <v>0</v>
      </c>
      <c r="AI629" s="17">
        <v>0</v>
      </c>
      <c r="AJ629" s="17">
        <v>0</v>
      </c>
      <c r="AK629" s="17">
        <v>0</v>
      </c>
      <c r="AL629" s="32">
        <v>0</v>
      </c>
      <c r="AM629" s="57"/>
      <c r="AN629" s="89"/>
      <c r="AO629" s="280"/>
      <c r="AP629" s="784"/>
      <c r="AQ629" s="773" t="s">
        <v>271</v>
      </c>
      <c r="AR629" s="188">
        <v>100</v>
      </c>
      <c r="AS629" s="171"/>
      <c r="AT629" s="171" t="str">
        <f t="shared" si="52"/>
        <v>400</v>
      </c>
      <c r="AU629" s="255">
        <f t="shared" si="53"/>
        <v>22.222222222222221</v>
      </c>
      <c r="AV629" s="57"/>
      <c r="AW629" s="171">
        <v>0</v>
      </c>
      <c r="AX629" s="89"/>
      <c r="AY629" s="171">
        <v>20</v>
      </c>
      <c r="AZ629" s="261"/>
      <c r="BA629" s="261"/>
      <c r="BB629" s="259"/>
      <c r="BC629" s="176"/>
      <c r="BD629" s="179"/>
      <c r="BE629" s="179"/>
      <c r="BF629" s="178" t="s">
        <v>1040</v>
      </c>
      <c r="BG629" s="25"/>
      <c r="BH629" s="25"/>
    </row>
    <row r="630" spans="1:60" ht="15" customHeight="1">
      <c r="A630" s="95">
        <v>629</v>
      </c>
      <c r="B630" s="98" t="s">
        <v>1080</v>
      </c>
      <c r="C630" s="191" t="s">
        <v>2644</v>
      </c>
      <c r="D630" s="257" t="s">
        <v>549</v>
      </c>
      <c r="E630" s="459" t="s">
        <v>3377</v>
      </c>
      <c r="F630" s="171">
        <v>1995</v>
      </c>
      <c r="G630" s="171">
        <v>174</v>
      </c>
      <c r="H630" s="57"/>
      <c r="I630" s="173" t="s">
        <v>1739</v>
      </c>
      <c r="J630" s="277">
        <v>0.26</v>
      </c>
      <c r="K630" s="90"/>
      <c r="L630" s="91">
        <f>((J630)*(M630+((V630+W630+X630+Y630+Z630+AA630+AB630+AC630+AD630+AK630)/100)*(M630)))</f>
        <v>186.52400000000003</v>
      </c>
      <c r="M630" s="278">
        <v>645.70000000000005</v>
      </c>
      <c r="N630" s="279"/>
      <c r="O630" s="172" t="s">
        <v>12</v>
      </c>
      <c r="P630" s="511"/>
      <c r="Q630" s="173" t="s">
        <v>10</v>
      </c>
      <c r="R630" s="94"/>
      <c r="S630" s="94"/>
      <c r="T630" s="171" t="s">
        <v>2306</v>
      </c>
      <c r="U630" s="171" t="s">
        <v>2530</v>
      </c>
      <c r="V630" s="103">
        <f>71.7/645.7*100</f>
        <v>11.104227969645345</v>
      </c>
      <c r="W630" s="120">
        <v>0</v>
      </c>
      <c r="X630" s="120">
        <v>0</v>
      </c>
      <c r="Y630" s="120">
        <v>0</v>
      </c>
      <c r="Z630" s="120">
        <v>0</v>
      </c>
      <c r="AA630" s="17">
        <v>0</v>
      </c>
      <c r="AB630" s="17">
        <v>0</v>
      </c>
      <c r="AC630" s="17">
        <v>0</v>
      </c>
      <c r="AD630" s="17">
        <v>0</v>
      </c>
      <c r="AE630" s="17">
        <v>0</v>
      </c>
      <c r="AF630" s="59">
        <f>32.3/645.7*100</f>
        <v>5.0023230602446951</v>
      </c>
      <c r="AG630" s="17">
        <v>0</v>
      </c>
      <c r="AH630" s="17">
        <v>0</v>
      </c>
      <c r="AI630" s="17">
        <v>0</v>
      </c>
      <c r="AJ630" s="17">
        <v>0</v>
      </c>
      <c r="AK630" s="17">
        <v>0</v>
      </c>
      <c r="AL630" s="32">
        <v>0</v>
      </c>
      <c r="AM630" s="57"/>
      <c r="AN630" s="89"/>
      <c r="AO630" s="280"/>
      <c r="AP630" s="784"/>
      <c r="AQ630" s="773" t="s">
        <v>271</v>
      </c>
      <c r="AR630" s="188">
        <v>100</v>
      </c>
      <c r="AS630" s="171"/>
      <c r="AT630" s="171" t="str">
        <f t="shared" si="52"/>
        <v>400</v>
      </c>
      <c r="AU630" s="255">
        <f t="shared" si="53"/>
        <v>22.222222222222221</v>
      </c>
      <c r="AV630" s="57"/>
      <c r="AW630" s="171">
        <v>0</v>
      </c>
      <c r="AX630" s="89"/>
      <c r="AY630" s="171">
        <v>20</v>
      </c>
      <c r="AZ630" s="261"/>
      <c r="BA630" s="261"/>
      <c r="BB630" s="259"/>
      <c r="BC630" s="176"/>
      <c r="BD630" s="179"/>
      <c r="BE630" s="179"/>
      <c r="BF630" s="178" t="s">
        <v>1040</v>
      </c>
      <c r="BG630" s="25"/>
      <c r="BH630" s="25"/>
    </row>
    <row r="631" spans="1:60" ht="15" customHeight="1">
      <c r="A631" s="95">
        <v>630</v>
      </c>
      <c r="B631" s="98" t="s">
        <v>1079</v>
      </c>
      <c r="C631" s="191" t="s">
        <v>2644</v>
      </c>
      <c r="D631" s="257" t="s">
        <v>549</v>
      </c>
      <c r="E631" s="459" t="s">
        <v>3377</v>
      </c>
      <c r="F631" s="171">
        <v>1995</v>
      </c>
      <c r="G631" s="171">
        <v>174</v>
      </c>
      <c r="H631" s="57"/>
      <c r="I631" s="173" t="s">
        <v>1739</v>
      </c>
      <c r="J631" s="277">
        <v>0.26</v>
      </c>
      <c r="K631" s="90"/>
      <c r="L631" s="91">
        <f>((J631)*(M631+((V631+W631+X631+Y631+Z631+AA631+AB631+AC631+AD631+AK631)/100)*(M631)))</f>
        <v>186.52400000000003</v>
      </c>
      <c r="M631" s="278">
        <v>645.70000000000005</v>
      </c>
      <c r="N631" s="279"/>
      <c r="O631" s="172" t="s">
        <v>12</v>
      </c>
      <c r="P631" s="511"/>
      <c r="Q631" s="173" t="s">
        <v>10</v>
      </c>
      <c r="R631" s="94"/>
      <c r="S631" s="94"/>
      <c r="T631" s="171" t="s">
        <v>2306</v>
      </c>
      <c r="U631" s="171" t="s">
        <v>2530</v>
      </c>
      <c r="V631" s="103">
        <f>71.7/645.7*100</f>
        <v>11.104227969645345</v>
      </c>
      <c r="W631" s="120">
        <v>0</v>
      </c>
      <c r="X631" s="120">
        <v>0</v>
      </c>
      <c r="Y631" s="120">
        <v>0</v>
      </c>
      <c r="Z631" s="120">
        <v>0</v>
      </c>
      <c r="AA631" s="17">
        <v>0</v>
      </c>
      <c r="AB631" s="17">
        <v>0</v>
      </c>
      <c r="AC631" s="17">
        <v>0</v>
      </c>
      <c r="AD631" s="17">
        <v>0</v>
      </c>
      <c r="AE631" s="17">
        <v>0</v>
      </c>
      <c r="AF631" s="59">
        <f>32.2/645.7*100</f>
        <v>4.9868359919467249</v>
      </c>
      <c r="AG631" s="17">
        <v>0</v>
      </c>
      <c r="AH631" s="17">
        <v>0</v>
      </c>
      <c r="AI631" s="17">
        <v>0</v>
      </c>
      <c r="AJ631" s="17">
        <v>0</v>
      </c>
      <c r="AK631" s="17">
        <v>0</v>
      </c>
      <c r="AL631" s="32">
        <v>0</v>
      </c>
      <c r="AM631" s="57"/>
      <c r="AN631" s="89"/>
      <c r="AO631" s="280"/>
      <c r="AP631" s="784"/>
      <c r="AQ631" s="773" t="s">
        <v>271</v>
      </c>
      <c r="AR631" s="188">
        <v>100</v>
      </c>
      <c r="AS631" s="171"/>
      <c r="AT631" s="171" t="str">
        <f t="shared" si="52"/>
        <v>400</v>
      </c>
      <c r="AU631" s="255">
        <f t="shared" si="53"/>
        <v>22.222222222222221</v>
      </c>
      <c r="AV631" s="57"/>
      <c r="AW631" s="171">
        <v>0</v>
      </c>
      <c r="AX631" s="89"/>
      <c r="AY631" s="171">
        <v>20</v>
      </c>
      <c r="AZ631" s="261"/>
      <c r="BA631" s="261"/>
      <c r="BB631" s="259"/>
      <c r="BC631" s="176"/>
      <c r="BD631" s="179"/>
      <c r="BE631" s="179"/>
      <c r="BF631" s="178" t="s">
        <v>1040</v>
      </c>
      <c r="BG631" s="25"/>
      <c r="BH631" s="25"/>
    </row>
    <row r="632" spans="1:60" ht="15" customHeight="1">
      <c r="A632" s="95">
        <v>631</v>
      </c>
      <c r="B632" s="98" t="s">
        <v>1078</v>
      </c>
      <c r="C632" s="191" t="s">
        <v>2644</v>
      </c>
      <c r="D632" s="257" t="s">
        <v>549</v>
      </c>
      <c r="E632" s="459" t="s">
        <v>3377</v>
      </c>
      <c r="F632" s="171">
        <v>1995</v>
      </c>
      <c r="G632" s="171">
        <v>174</v>
      </c>
      <c r="H632" s="57"/>
      <c r="I632" s="173" t="s">
        <v>1739</v>
      </c>
      <c r="J632" s="277">
        <v>0.31</v>
      </c>
      <c r="K632" s="90"/>
      <c r="L632" s="91">
        <f>((J632)*(M632+((V632+W632+X632+Y632+Z632+AA632+AB632+AC632+AD632+AK632)/100)*(M632)))</f>
        <v>222.39400000000003</v>
      </c>
      <c r="M632" s="278">
        <v>538.1</v>
      </c>
      <c r="N632" s="279"/>
      <c r="O632" s="172" t="s">
        <v>12</v>
      </c>
      <c r="P632" s="511"/>
      <c r="Q632" s="173" t="s">
        <v>10</v>
      </c>
      <c r="R632" s="94"/>
      <c r="S632" s="94"/>
      <c r="T632" s="171" t="s">
        <v>2306</v>
      </c>
      <c r="U632" s="171" t="s">
        <v>2530</v>
      </c>
      <c r="V632" s="103">
        <f>179.3/538.1*100</f>
        <v>33.320944062441924</v>
      </c>
      <c r="W632" s="120">
        <v>0</v>
      </c>
      <c r="X632" s="120">
        <v>0</v>
      </c>
      <c r="Y632" s="120">
        <v>0</v>
      </c>
      <c r="Z632" s="120">
        <v>0</v>
      </c>
      <c r="AA632" s="17">
        <v>0</v>
      </c>
      <c r="AB632" s="17">
        <v>0</v>
      </c>
      <c r="AC632" s="17">
        <v>0</v>
      </c>
      <c r="AD632" s="17">
        <v>0</v>
      </c>
      <c r="AE632" s="17">
        <v>0</v>
      </c>
      <c r="AF632" s="59">
        <f>32.3/538.1*100</f>
        <v>6.0026017468871951</v>
      </c>
      <c r="AG632" s="17">
        <v>0</v>
      </c>
      <c r="AH632" s="17">
        <v>0</v>
      </c>
      <c r="AI632" s="17">
        <v>0</v>
      </c>
      <c r="AJ632" s="17">
        <v>0</v>
      </c>
      <c r="AK632" s="17">
        <v>0</v>
      </c>
      <c r="AL632" s="32">
        <v>0</v>
      </c>
      <c r="AM632" s="57"/>
      <c r="AN632" s="89"/>
      <c r="AO632" s="280"/>
      <c r="AP632" s="784"/>
      <c r="AQ632" s="773" t="s">
        <v>271</v>
      </c>
      <c r="AR632" s="188">
        <v>100</v>
      </c>
      <c r="AS632" s="171"/>
      <c r="AT632" s="171" t="str">
        <f t="shared" si="52"/>
        <v>400</v>
      </c>
      <c r="AU632" s="255">
        <f t="shared" si="53"/>
        <v>22.222222222222221</v>
      </c>
      <c r="AV632" s="57"/>
      <c r="AW632" s="171">
        <v>0</v>
      </c>
      <c r="AX632" s="89"/>
      <c r="AY632" s="171">
        <v>20</v>
      </c>
      <c r="AZ632" s="261"/>
      <c r="BA632" s="261"/>
      <c r="BB632" s="259"/>
      <c r="BC632" s="176"/>
      <c r="BD632" s="179"/>
      <c r="BE632" s="179"/>
      <c r="BF632" s="178" t="s">
        <v>1040</v>
      </c>
      <c r="BG632" s="25"/>
      <c r="BH632" s="25"/>
    </row>
    <row r="633" spans="1:60" ht="15" customHeight="1">
      <c r="A633" s="95">
        <v>632</v>
      </c>
      <c r="B633" s="98" t="s">
        <v>1077</v>
      </c>
      <c r="C633" s="191" t="s">
        <v>2644</v>
      </c>
      <c r="D633" s="257" t="s">
        <v>549</v>
      </c>
      <c r="E633" s="459" t="s">
        <v>3377</v>
      </c>
      <c r="F633" s="171">
        <v>1995</v>
      </c>
      <c r="G633" s="171">
        <v>174</v>
      </c>
      <c r="H633" s="57"/>
      <c r="I633" s="173" t="s">
        <v>1739</v>
      </c>
      <c r="J633" s="277">
        <v>0.3</v>
      </c>
      <c r="K633" s="90"/>
      <c r="L633" s="91"/>
      <c r="M633" s="278">
        <v>550</v>
      </c>
      <c r="N633" s="279"/>
      <c r="O633" s="172" t="s">
        <v>12</v>
      </c>
      <c r="P633" s="511"/>
      <c r="Q633" s="173" t="s">
        <v>10</v>
      </c>
      <c r="R633" s="94"/>
      <c r="S633" s="94"/>
      <c r="T633" s="171" t="s">
        <v>2306</v>
      </c>
      <c r="U633" s="171" t="s">
        <v>2530</v>
      </c>
      <c r="V633" s="102">
        <v>0</v>
      </c>
      <c r="W633" s="120">
        <v>0</v>
      </c>
      <c r="X633" s="120">
        <v>0</v>
      </c>
      <c r="Y633" s="120">
        <v>0</v>
      </c>
      <c r="Z633" s="120">
        <v>0</v>
      </c>
      <c r="AA633" s="17">
        <v>0</v>
      </c>
      <c r="AB633" s="17">
        <v>0</v>
      </c>
      <c r="AC633" s="17">
        <v>0</v>
      </c>
      <c r="AD633" s="17">
        <v>0</v>
      </c>
      <c r="AE633" s="17">
        <v>0</v>
      </c>
      <c r="AF633" s="59">
        <f>5.5/550*100</f>
        <v>1</v>
      </c>
      <c r="AG633" s="17">
        <v>0</v>
      </c>
      <c r="AH633" s="17">
        <v>0</v>
      </c>
      <c r="AI633" s="17">
        <v>0</v>
      </c>
      <c r="AJ633" s="17">
        <v>0</v>
      </c>
      <c r="AK633" s="17">
        <v>0</v>
      </c>
      <c r="AL633" s="32">
        <v>0</v>
      </c>
      <c r="AM633" s="57"/>
      <c r="AN633" s="89"/>
      <c r="AO633" s="280"/>
      <c r="AP633" s="784"/>
      <c r="AQ633" s="773" t="s">
        <v>271</v>
      </c>
      <c r="AR633" s="188">
        <v>100</v>
      </c>
      <c r="AS633" s="171"/>
      <c r="AT633" s="171" t="str">
        <f t="shared" si="52"/>
        <v>400</v>
      </c>
      <c r="AU633" s="255">
        <f t="shared" si="53"/>
        <v>22.222222222222221</v>
      </c>
      <c r="AV633" s="57"/>
      <c r="AW633" s="171">
        <v>0</v>
      </c>
      <c r="AX633" s="89"/>
      <c r="AY633" s="171">
        <v>20</v>
      </c>
      <c r="AZ633" s="261"/>
      <c r="BA633" s="261"/>
      <c r="BB633" s="259"/>
      <c r="BC633" s="176"/>
      <c r="BD633" s="179"/>
      <c r="BE633" s="179"/>
      <c r="BF633" s="178" t="s">
        <v>1040</v>
      </c>
      <c r="BG633" s="25"/>
      <c r="BH633" s="25"/>
    </row>
    <row r="634" spans="1:60" ht="15" customHeight="1">
      <c r="A634" s="95">
        <v>633</v>
      </c>
      <c r="B634" s="98" t="s">
        <v>1076</v>
      </c>
      <c r="C634" s="191" t="s">
        <v>2644</v>
      </c>
      <c r="D634" s="257" t="s">
        <v>549</v>
      </c>
      <c r="E634" s="459" t="s">
        <v>3377</v>
      </c>
      <c r="F634" s="171">
        <v>1995</v>
      </c>
      <c r="G634" s="171">
        <v>174</v>
      </c>
      <c r="H634" s="57"/>
      <c r="I634" s="173" t="s">
        <v>1739</v>
      </c>
      <c r="J634" s="277">
        <v>0.45</v>
      </c>
      <c r="K634" s="90"/>
      <c r="L634" s="91"/>
      <c r="M634" s="278">
        <v>366.7</v>
      </c>
      <c r="N634" s="279"/>
      <c r="O634" s="172" t="s">
        <v>12</v>
      </c>
      <c r="P634" s="511"/>
      <c r="Q634" s="173" t="s">
        <v>10</v>
      </c>
      <c r="R634" s="94"/>
      <c r="S634" s="94"/>
      <c r="T634" s="171" t="s">
        <v>2306</v>
      </c>
      <c r="U634" s="171" t="s">
        <v>2530</v>
      </c>
      <c r="V634" s="102">
        <v>0</v>
      </c>
      <c r="W634" s="120">
        <v>0</v>
      </c>
      <c r="X634" s="120">
        <v>0</v>
      </c>
      <c r="Y634" s="120">
        <v>0</v>
      </c>
      <c r="Z634" s="120">
        <v>0</v>
      </c>
      <c r="AA634" s="17">
        <v>0</v>
      </c>
      <c r="AB634" s="17">
        <v>0</v>
      </c>
      <c r="AC634" s="17">
        <v>0</v>
      </c>
      <c r="AD634" s="17">
        <v>0</v>
      </c>
      <c r="AE634" s="17">
        <v>0</v>
      </c>
      <c r="AF634" s="59">
        <f>2.2/366.7*100</f>
        <v>0.5999454595036815</v>
      </c>
      <c r="AG634" s="17">
        <v>0</v>
      </c>
      <c r="AH634" s="17">
        <v>0</v>
      </c>
      <c r="AI634" s="17">
        <v>0</v>
      </c>
      <c r="AJ634" s="17">
        <v>0</v>
      </c>
      <c r="AK634" s="17">
        <v>0</v>
      </c>
      <c r="AL634" s="32">
        <v>0</v>
      </c>
      <c r="AM634" s="57"/>
      <c r="AN634" s="89"/>
      <c r="AO634" s="280"/>
      <c r="AP634" s="784"/>
      <c r="AQ634" s="773" t="s">
        <v>271</v>
      </c>
      <c r="AR634" s="188">
        <v>100</v>
      </c>
      <c r="AS634" s="171"/>
      <c r="AT634" s="171" t="str">
        <f t="shared" si="52"/>
        <v>400</v>
      </c>
      <c r="AU634" s="255">
        <f t="shared" si="53"/>
        <v>22.222222222222221</v>
      </c>
      <c r="AV634" s="57"/>
      <c r="AW634" s="171">
        <v>0</v>
      </c>
      <c r="AX634" s="89"/>
      <c r="AY634" s="171">
        <v>20</v>
      </c>
      <c r="AZ634" s="261"/>
      <c r="BA634" s="261"/>
      <c r="BB634" s="259"/>
      <c r="BC634" s="176"/>
      <c r="BD634" s="179"/>
      <c r="BE634" s="179"/>
      <c r="BF634" s="178" t="s">
        <v>1040</v>
      </c>
      <c r="BG634" s="25"/>
      <c r="BH634" s="25"/>
    </row>
    <row r="635" spans="1:60" ht="15" customHeight="1">
      <c r="A635" s="95">
        <v>634</v>
      </c>
      <c r="B635" s="98" t="s">
        <v>1075</v>
      </c>
      <c r="C635" s="191" t="s">
        <v>2644</v>
      </c>
      <c r="D635" s="257" t="s">
        <v>549</v>
      </c>
      <c r="E635" s="459" t="s">
        <v>3377</v>
      </c>
      <c r="F635" s="171">
        <v>1995</v>
      </c>
      <c r="G635" s="171">
        <v>174</v>
      </c>
      <c r="H635" s="57"/>
      <c r="I635" s="173" t="s">
        <v>1739</v>
      </c>
      <c r="J635" s="277">
        <v>0.31</v>
      </c>
      <c r="K635" s="90"/>
      <c r="L635" s="91"/>
      <c r="M635" s="278">
        <v>538.1</v>
      </c>
      <c r="N635" s="279"/>
      <c r="O635" s="172" t="s">
        <v>120</v>
      </c>
      <c r="P635" s="511"/>
      <c r="Q635" s="173" t="s">
        <v>2529</v>
      </c>
      <c r="R635" s="94"/>
      <c r="S635" s="94"/>
      <c r="T635" s="171" t="s">
        <v>2306</v>
      </c>
      <c r="U635" s="171" t="s">
        <v>2530</v>
      </c>
      <c r="V635" s="103">
        <f>179.3/538.1*100</f>
        <v>33.320944062441924</v>
      </c>
      <c r="W635" s="120">
        <v>0</v>
      </c>
      <c r="X635" s="120">
        <v>0</v>
      </c>
      <c r="Y635" s="120">
        <v>0</v>
      </c>
      <c r="Z635" s="120">
        <v>0</v>
      </c>
      <c r="AA635" s="17">
        <v>0</v>
      </c>
      <c r="AB635" s="17">
        <v>0</v>
      </c>
      <c r="AC635" s="17">
        <v>0</v>
      </c>
      <c r="AD635" s="17">
        <v>0</v>
      </c>
      <c r="AE635" s="17">
        <v>0</v>
      </c>
      <c r="AF635" s="17">
        <v>0</v>
      </c>
      <c r="AG635" s="17">
        <v>0</v>
      </c>
      <c r="AH635" s="17">
        <v>0</v>
      </c>
      <c r="AI635" s="17">
        <v>0</v>
      </c>
      <c r="AJ635" s="17">
        <v>0</v>
      </c>
      <c r="AK635" s="17">
        <v>0</v>
      </c>
      <c r="AL635" s="32">
        <v>0</v>
      </c>
      <c r="AM635" s="57"/>
      <c r="AN635" s="89"/>
      <c r="AO635" s="280"/>
      <c r="AP635" s="784"/>
      <c r="AQ635" s="773" t="s">
        <v>271</v>
      </c>
      <c r="AR635" s="188">
        <v>100</v>
      </c>
      <c r="AS635" s="171"/>
      <c r="AT635" s="171" t="str">
        <f t="shared" si="52"/>
        <v>400</v>
      </c>
      <c r="AU635" s="255">
        <f t="shared" si="53"/>
        <v>22.222222222222221</v>
      </c>
      <c r="AV635" s="57"/>
      <c r="AW635" s="171">
        <v>0</v>
      </c>
      <c r="AX635" s="89"/>
      <c r="AY635" s="171">
        <v>20</v>
      </c>
      <c r="AZ635" s="261"/>
      <c r="BA635" s="261"/>
      <c r="BB635" s="259"/>
      <c r="BC635" s="176"/>
      <c r="BD635" s="179"/>
      <c r="BE635" s="179"/>
      <c r="BF635" s="178" t="s">
        <v>1040</v>
      </c>
      <c r="BG635" s="25"/>
      <c r="BH635" s="25"/>
    </row>
    <row r="636" spans="1:60" ht="15" customHeight="1">
      <c r="A636" s="95">
        <v>635</v>
      </c>
      <c r="B636" s="98" t="s">
        <v>1074</v>
      </c>
      <c r="C636" s="191" t="s">
        <v>2662</v>
      </c>
      <c r="D636" s="257" t="s">
        <v>549</v>
      </c>
      <c r="E636" s="459" t="s">
        <v>3377</v>
      </c>
      <c r="F636" s="171">
        <v>1995</v>
      </c>
      <c r="G636" s="171">
        <v>175</v>
      </c>
      <c r="H636" s="57"/>
      <c r="I636" s="173" t="s">
        <v>1743</v>
      </c>
      <c r="J636" s="277">
        <v>0.32</v>
      </c>
      <c r="K636" s="213">
        <v>3.3620000000000001</v>
      </c>
      <c r="L636" s="91"/>
      <c r="M636" s="278">
        <v>500</v>
      </c>
      <c r="N636" s="279"/>
      <c r="O636" s="172" t="s">
        <v>120</v>
      </c>
      <c r="P636" s="511"/>
      <c r="Q636" s="510" t="s">
        <v>3454</v>
      </c>
      <c r="R636" s="94"/>
      <c r="S636" s="94"/>
      <c r="T636" s="171" t="s">
        <v>2306</v>
      </c>
      <c r="U636" s="171" t="s">
        <v>2530</v>
      </c>
      <c r="V636" s="102">
        <v>0</v>
      </c>
      <c r="W636" s="120">
        <v>0</v>
      </c>
      <c r="X636" s="120">
        <v>0</v>
      </c>
      <c r="Y636" s="120">
        <v>0</v>
      </c>
      <c r="Z636" s="120">
        <v>0</v>
      </c>
      <c r="AA636" s="17">
        <v>0</v>
      </c>
      <c r="AB636" s="17">
        <v>0</v>
      </c>
      <c r="AC636" s="17">
        <v>0</v>
      </c>
      <c r="AD636" s="17">
        <v>0</v>
      </c>
      <c r="AE636" s="17">
        <v>0</v>
      </c>
      <c r="AF636" s="17">
        <f>13/500*100</f>
        <v>2.6</v>
      </c>
      <c r="AG636" s="17">
        <v>0</v>
      </c>
      <c r="AH636" s="17">
        <v>0</v>
      </c>
      <c r="AI636" s="17">
        <v>0</v>
      </c>
      <c r="AJ636" s="17">
        <v>0</v>
      </c>
      <c r="AK636" s="17">
        <v>0</v>
      </c>
      <c r="AL636" s="32" t="s">
        <v>2541</v>
      </c>
      <c r="AM636" s="780">
        <v>76.66</v>
      </c>
      <c r="AN636" s="89"/>
      <c r="AO636" s="280"/>
      <c r="AP636" s="784"/>
      <c r="AQ636" s="773" t="s">
        <v>271</v>
      </c>
      <c r="AR636" s="188">
        <v>100</v>
      </c>
      <c r="AS636" s="171"/>
      <c r="AT636" s="171" t="str">
        <f t="shared" si="52"/>
        <v>400</v>
      </c>
      <c r="AU636" s="255">
        <f t="shared" si="53"/>
        <v>22.222222222222221</v>
      </c>
      <c r="AV636" s="57"/>
      <c r="AW636" s="171" t="s">
        <v>521</v>
      </c>
      <c r="AX636" s="89"/>
      <c r="AY636" s="171">
        <v>20</v>
      </c>
      <c r="AZ636" s="261"/>
      <c r="BA636" s="175">
        <v>60</v>
      </c>
      <c r="BB636" s="259"/>
      <c r="BC636" s="176"/>
      <c r="BD636" s="179"/>
      <c r="BE636" s="179"/>
      <c r="BF636" s="178" t="s">
        <v>2549</v>
      </c>
      <c r="BG636" s="25"/>
      <c r="BH636" s="25"/>
    </row>
    <row r="637" spans="1:60" ht="15" customHeight="1">
      <c r="A637" s="95">
        <v>636</v>
      </c>
      <c r="B637" s="98" t="s">
        <v>1073</v>
      </c>
      <c r="C637" s="191" t="s">
        <v>2662</v>
      </c>
      <c r="D637" s="257" t="s">
        <v>549</v>
      </c>
      <c r="E637" s="459" t="s">
        <v>3377</v>
      </c>
      <c r="F637" s="171">
        <v>1995</v>
      </c>
      <c r="G637" s="171">
        <v>175</v>
      </c>
      <c r="H637" s="57"/>
      <c r="I637" s="173" t="s">
        <v>1743</v>
      </c>
      <c r="J637" s="277">
        <v>0.32</v>
      </c>
      <c r="K637" s="213">
        <v>3.3479999999999999</v>
      </c>
      <c r="L637" s="91"/>
      <c r="M637" s="278">
        <v>500</v>
      </c>
      <c r="N637" s="279"/>
      <c r="O637" s="172" t="s">
        <v>12</v>
      </c>
      <c r="P637" s="511"/>
      <c r="Q637" s="173" t="s">
        <v>10</v>
      </c>
      <c r="R637" s="94"/>
      <c r="S637" s="94"/>
      <c r="T637" s="171" t="s">
        <v>2306</v>
      </c>
      <c r="U637" s="171" t="s">
        <v>2530</v>
      </c>
      <c r="V637" s="102">
        <v>0</v>
      </c>
      <c r="W637" s="120">
        <v>0</v>
      </c>
      <c r="X637" s="120">
        <v>0</v>
      </c>
      <c r="Y637" s="120">
        <v>0</v>
      </c>
      <c r="Z637" s="120">
        <v>0</v>
      </c>
      <c r="AA637" s="17">
        <v>0</v>
      </c>
      <c r="AB637" s="17">
        <v>0</v>
      </c>
      <c r="AC637" s="17">
        <v>0</v>
      </c>
      <c r="AD637" s="17">
        <v>0</v>
      </c>
      <c r="AE637" s="17">
        <v>0</v>
      </c>
      <c r="AF637" s="17">
        <f>12.5/500*100</f>
        <v>2.5</v>
      </c>
      <c r="AG637" s="17">
        <v>0</v>
      </c>
      <c r="AH637" s="17">
        <v>0</v>
      </c>
      <c r="AI637" s="17">
        <v>0</v>
      </c>
      <c r="AJ637" s="17">
        <v>0</v>
      </c>
      <c r="AK637" s="17">
        <v>0</v>
      </c>
      <c r="AL637" s="32" t="s">
        <v>2541</v>
      </c>
      <c r="AM637" s="780">
        <v>76.66</v>
      </c>
      <c r="AN637" s="89"/>
      <c r="AO637" s="280"/>
      <c r="AP637" s="784"/>
      <c r="AQ637" s="773" t="s">
        <v>271</v>
      </c>
      <c r="AR637" s="188">
        <v>100</v>
      </c>
      <c r="AS637" s="171"/>
      <c r="AT637" s="171" t="str">
        <f t="shared" si="52"/>
        <v>400</v>
      </c>
      <c r="AU637" s="255">
        <f t="shared" si="53"/>
        <v>22.222222222222221</v>
      </c>
      <c r="AV637" s="57"/>
      <c r="AW637" s="171" t="s">
        <v>521</v>
      </c>
      <c r="AX637" s="89"/>
      <c r="AY637" s="171">
        <v>20</v>
      </c>
      <c r="AZ637" s="261"/>
      <c r="BA637" s="175">
        <v>60</v>
      </c>
      <c r="BB637" s="259"/>
      <c r="BC637" s="176"/>
      <c r="BD637" s="179"/>
      <c r="BE637" s="179"/>
      <c r="BF637" s="178" t="s">
        <v>2549</v>
      </c>
      <c r="BG637" s="25"/>
      <c r="BH637" s="25"/>
    </row>
    <row r="638" spans="1:60" ht="15" customHeight="1">
      <c r="A638" s="95">
        <v>637</v>
      </c>
      <c r="B638" s="98" t="s">
        <v>1072</v>
      </c>
      <c r="C638" s="191" t="s">
        <v>2662</v>
      </c>
      <c r="D638" s="257" t="s">
        <v>549</v>
      </c>
      <c r="E638" s="459" t="s">
        <v>3377</v>
      </c>
      <c r="F638" s="171">
        <v>1995</v>
      </c>
      <c r="G638" s="171">
        <v>175</v>
      </c>
      <c r="H638" s="57"/>
      <c r="I638" s="173" t="s">
        <v>1743</v>
      </c>
      <c r="J638" s="277">
        <v>0.4</v>
      </c>
      <c r="K638" s="213">
        <v>4.12</v>
      </c>
      <c r="L638" s="91"/>
      <c r="M638" s="278">
        <v>400</v>
      </c>
      <c r="N638" s="279"/>
      <c r="O638" s="172" t="s">
        <v>120</v>
      </c>
      <c r="P638" s="511"/>
      <c r="Q638" s="510" t="s">
        <v>3454</v>
      </c>
      <c r="R638" s="94"/>
      <c r="S638" s="94"/>
      <c r="T638" s="171" t="s">
        <v>2306</v>
      </c>
      <c r="U638" s="171" t="s">
        <v>2530</v>
      </c>
      <c r="V638" s="102">
        <v>0</v>
      </c>
      <c r="W638" s="120">
        <v>0</v>
      </c>
      <c r="X638" s="120">
        <v>0</v>
      </c>
      <c r="Y638" s="120">
        <v>0</v>
      </c>
      <c r="Z638" s="120">
        <v>0</v>
      </c>
      <c r="AA638" s="17">
        <v>0</v>
      </c>
      <c r="AB638" s="17">
        <v>0</v>
      </c>
      <c r="AC638" s="17">
        <v>0</v>
      </c>
      <c r="AD638" s="17">
        <v>0</v>
      </c>
      <c r="AE638" s="17">
        <v>0</v>
      </c>
      <c r="AF638" s="56">
        <v>2.25</v>
      </c>
      <c r="AG638" s="17">
        <v>0</v>
      </c>
      <c r="AH638" s="17">
        <v>0</v>
      </c>
      <c r="AI638" s="17">
        <v>0</v>
      </c>
      <c r="AJ638" s="17">
        <v>0</v>
      </c>
      <c r="AK638" s="17">
        <v>0</v>
      </c>
      <c r="AL638" s="32" t="s">
        <v>2541</v>
      </c>
      <c r="AM638" s="780">
        <v>63.14</v>
      </c>
      <c r="AN638" s="89"/>
      <c r="AO638" s="280"/>
      <c r="AP638" s="784"/>
      <c r="AQ638" s="773" t="s">
        <v>271</v>
      </c>
      <c r="AR638" s="188">
        <v>100</v>
      </c>
      <c r="AS638" s="171"/>
      <c r="AT638" s="171" t="str">
        <f t="shared" si="52"/>
        <v>400</v>
      </c>
      <c r="AU638" s="255">
        <f t="shared" si="53"/>
        <v>22.222222222222221</v>
      </c>
      <c r="AV638" s="57"/>
      <c r="AW638" s="171" t="s">
        <v>521</v>
      </c>
      <c r="AX638" s="89"/>
      <c r="AY638" s="171">
        <v>20</v>
      </c>
      <c r="AZ638" s="261"/>
      <c r="BA638" s="175">
        <v>60</v>
      </c>
      <c r="BB638" s="259"/>
      <c r="BC638" s="176"/>
      <c r="BD638" s="179"/>
      <c r="BE638" s="179"/>
      <c r="BF638" s="178" t="s">
        <v>2549</v>
      </c>
      <c r="BG638" s="25"/>
      <c r="BH638" s="25"/>
    </row>
    <row r="639" spans="1:60" ht="15" customHeight="1">
      <c r="A639" s="95">
        <v>638</v>
      </c>
      <c r="B639" s="98" t="s">
        <v>1071</v>
      </c>
      <c r="C639" s="191" t="s">
        <v>2662</v>
      </c>
      <c r="D639" s="257" t="s">
        <v>549</v>
      </c>
      <c r="E639" s="459" t="s">
        <v>3377</v>
      </c>
      <c r="F639" s="171">
        <v>1995</v>
      </c>
      <c r="G639" s="171">
        <v>175</v>
      </c>
      <c r="H639" s="57"/>
      <c r="I639" s="173" t="s">
        <v>1743</v>
      </c>
      <c r="J639" s="277">
        <v>0.64</v>
      </c>
      <c r="K639" s="213">
        <v>6.3959999999999999</v>
      </c>
      <c r="L639" s="91"/>
      <c r="M639" s="278">
        <v>250</v>
      </c>
      <c r="N639" s="279"/>
      <c r="O639" s="172" t="s">
        <v>120</v>
      </c>
      <c r="P639" s="511"/>
      <c r="Q639" s="510" t="s">
        <v>3454</v>
      </c>
      <c r="R639" s="94"/>
      <c r="S639" s="94"/>
      <c r="T639" s="171" t="s">
        <v>2306</v>
      </c>
      <c r="U639" s="171" t="s">
        <v>2530</v>
      </c>
      <c r="V639" s="102">
        <v>0</v>
      </c>
      <c r="W639" s="120">
        <v>0</v>
      </c>
      <c r="X639" s="120">
        <v>0</v>
      </c>
      <c r="Y639" s="120">
        <v>0</v>
      </c>
      <c r="Z639" s="120">
        <v>0</v>
      </c>
      <c r="AA639" s="17">
        <v>0</v>
      </c>
      <c r="AB639" s="17">
        <v>0</v>
      </c>
      <c r="AC639" s="17">
        <v>0</v>
      </c>
      <c r="AD639" s="17">
        <v>0</v>
      </c>
      <c r="AE639" s="17">
        <v>0</v>
      </c>
      <c r="AF639" s="56">
        <v>3</v>
      </c>
      <c r="AG639" s="17">
        <v>0</v>
      </c>
      <c r="AH639" s="17">
        <v>0</v>
      </c>
      <c r="AI639" s="17">
        <v>0</v>
      </c>
      <c r="AJ639" s="17">
        <v>0</v>
      </c>
      <c r="AK639" s="17">
        <v>0</v>
      </c>
      <c r="AL639" s="32" t="s">
        <v>2541</v>
      </c>
      <c r="AM639" s="780">
        <v>37.71</v>
      </c>
      <c r="AN639" s="89"/>
      <c r="AO639" s="280"/>
      <c r="AP639" s="784"/>
      <c r="AQ639" s="773" t="s">
        <v>271</v>
      </c>
      <c r="AR639" s="188">
        <v>100</v>
      </c>
      <c r="AS639" s="171"/>
      <c r="AT639" s="171" t="str">
        <f t="shared" ref="AT639:AT670" si="54">RIGHT(AQ639,LEN(AQ639)-FIND("x",AQ639,8))</f>
        <v>400</v>
      </c>
      <c r="AU639" s="255">
        <f t="shared" ref="AU639:AU670" si="55">IF(ISBLANK(AS639),(AR639*AT639)/((4*AT639)+(2*AR639)),AR639*AS639*AT639/2/(AR639*AS639+AR639*AT639+AS639*AT639))</f>
        <v>22.222222222222221</v>
      </c>
      <c r="AV639" s="57"/>
      <c r="AW639" s="171" t="s">
        <v>521</v>
      </c>
      <c r="AX639" s="89"/>
      <c r="AY639" s="171">
        <v>20</v>
      </c>
      <c r="AZ639" s="261"/>
      <c r="BA639" s="175">
        <v>60</v>
      </c>
      <c r="BB639" s="259"/>
      <c r="BC639" s="176"/>
      <c r="BD639" s="179"/>
      <c r="BE639" s="179"/>
      <c r="BF639" s="178" t="s">
        <v>2549</v>
      </c>
      <c r="BG639" s="25"/>
      <c r="BH639" s="25"/>
    </row>
    <row r="640" spans="1:60" ht="15" customHeight="1">
      <c r="A640" s="95">
        <v>639</v>
      </c>
      <c r="B640" s="98" t="s">
        <v>1070</v>
      </c>
      <c r="C640" s="191" t="s">
        <v>2662</v>
      </c>
      <c r="D640" s="257" t="s">
        <v>549</v>
      </c>
      <c r="E640" s="459" t="s">
        <v>3377</v>
      </c>
      <c r="F640" s="171">
        <v>1995</v>
      </c>
      <c r="G640" s="171">
        <v>175</v>
      </c>
      <c r="H640" s="57"/>
      <c r="I640" s="173" t="s">
        <v>1743</v>
      </c>
      <c r="J640" s="277">
        <v>0.4</v>
      </c>
      <c r="K640" s="213">
        <v>4.1074999999999999</v>
      </c>
      <c r="L640" s="91"/>
      <c r="M640" s="278">
        <v>400</v>
      </c>
      <c r="N640" s="279"/>
      <c r="O640" s="172" t="s">
        <v>12</v>
      </c>
      <c r="P640" s="511"/>
      <c r="Q640" s="173" t="s">
        <v>10</v>
      </c>
      <c r="R640" s="94"/>
      <c r="S640" s="94"/>
      <c r="T640" s="171" t="s">
        <v>2306</v>
      </c>
      <c r="U640" s="171" t="s">
        <v>2530</v>
      </c>
      <c r="V640" s="102">
        <v>0</v>
      </c>
      <c r="W640" s="120">
        <v>0</v>
      </c>
      <c r="X640" s="120">
        <v>0</v>
      </c>
      <c r="Y640" s="120">
        <v>0</v>
      </c>
      <c r="Z640" s="120">
        <v>0</v>
      </c>
      <c r="AA640" s="17">
        <v>0</v>
      </c>
      <c r="AB640" s="17">
        <v>0</v>
      </c>
      <c r="AC640" s="17">
        <v>0</v>
      </c>
      <c r="AD640" s="17">
        <v>0</v>
      </c>
      <c r="AE640" s="17">
        <v>0</v>
      </c>
      <c r="AF640" s="56">
        <v>2.375</v>
      </c>
      <c r="AG640" s="17">
        <v>0</v>
      </c>
      <c r="AH640" s="17">
        <v>0</v>
      </c>
      <c r="AI640" s="17">
        <v>0</v>
      </c>
      <c r="AJ640" s="17">
        <v>0</v>
      </c>
      <c r="AK640" s="17">
        <v>0</v>
      </c>
      <c r="AL640" s="32" t="s">
        <v>2541</v>
      </c>
      <c r="AM640" s="780">
        <v>57.31</v>
      </c>
      <c r="AN640" s="89"/>
      <c r="AO640" s="280"/>
      <c r="AP640" s="784"/>
      <c r="AQ640" s="773" t="s">
        <v>271</v>
      </c>
      <c r="AR640" s="188">
        <v>100</v>
      </c>
      <c r="AS640" s="171"/>
      <c r="AT640" s="171" t="str">
        <f t="shared" si="54"/>
        <v>400</v>
      </c>
      <c r="AU640" s="255">
        <f t="shared" si="55"/>
        <v>22.222222222222221</v>
      </c>
      <c r="AV640" s="57"/>
      <c r="AW640" s="171" t="s">
        <v>521</v>
      </c>
      <c r="AX640" s="89"/>
      <c r="AY640" s="171">
        <v>20</v>
      </c>
      <c r="AZ640" s="261"/>
      <c r="BA640" s="175">
        <v>60</v>
      </c>
      <c r="BB640" s="259"/>
      <c r="BC640" s="176"/>
      <c r="BD640" s="179"/>
      <c r="BE640" s="179"/>
      <c r="BF640" s="178" t="s">
        <v>2549</v>
      </c>
      <c r="BG640" s="25"/>
      <c r="BH640" s="25"/>
    </row>
    <row r="641" spans="1:60" ht="15" customHeight="1">
      <c r="A641" s="95">
        <v>640</v>
      </c>
      <c r="B641" s="98" t="s">
        <v>1069</v>
      </c>
      <c r="C641" s="191" t="s">
        <v>2662</v>
      </c>
      <c r="D641" s="257" t="s">
        <v>549</v>
      </c>
      <c r="E641" s="459" t="s">
        <v>3377</v>
      </c>
      <c r="F641" s="171">
        <v>1995</v>
      </c>
      <c r="G641" s="171">
        <v>175</v>
      </c>
      <c r="H641" s="57"/>
      <c r="I641" s="173" t="s">
        <v>1743</v>
      </c>
      <c r="J641" s="277">
        <v>0.64</v>
      </c>
      <c r="K641" s="213">
        <v>6.38</v>
      </c>
      <c r="L641" s="91"/>
      <c r="M641" s="278">
        <v>250</v>
      </c>
      <c r="N641" s="279"/>
      <c r="O641" s="172" t="s">
        <v>12</v>
      </c>
      <c r="P641" s="511"/>
      <c r="Q641" s="173" t="s">
        <v>10</v>
      </c>
      <c r="R641" s="94"/>
      <c r="S641" s="94"/>
      <c r="T641" s="171" t="s">
        <v>2306</v>
      </c>
      <c r="U641" s="171" t="s">
        <v>2530</v>
      </c>
      <c r="V641" s="102">
        <v>0</v>
      </c>
      <c r="W641" s="120">
        <v>0</v>
      </c>
      <c r="X641" s="120">
        <v>0</v>
      </c>
      <c r="Y641" s="120">
        <v>0</v>
      </c>
      <c r="Z641" s="120">
        <v>0</v>
      </c>
      <c r="AA641" s="17">
        <v>0</v>
      </c>
      <c r="AB641" s="17">
        <v>0</v>
      </c>
      <c r="AC641" s="17">
        <v>0</v>
      </c>
      <c r="AD641" s="17">
        <v>0</v>
      </c>
      <c r="AE641" s="17">
        <v>0</v>
      </c>
      <c r="AF641" s="56">
        <v>3.4000000000000004</v>
      </c>
      <c r="AG641" s="17">
        <v>0</v>
      </c>
      <c r="AH641" s="17">
        <v>0</v>
      </c>
      <c r="AI641" s="17">
        <v>0</v>
      </c>
      <c r="AJ641" s="17">
        <v>0</v>
      </c>
      <c r="AK641" s="17">
        <v>0</v>
      </c>
      <c r="AL641" s="32" t="s">
        <v>2541</v>
      </c>
      <c r="AM641" s="780">
        <v>45.18</v>
      </c>
      <c r="AN641" s="89"/>
      <c r="AO641" s="280"/>
      <c r="AP641" s="784"/>
      <c r="AQ641" s="773" t="s">
        <v>271</v>
      </c>
      <c r="AR641" s="188">
        <v>100</v>
      </c>
      <c r="AS641" s="171"/>
      <c r="AT641" s="171" t="str">
        <f t="shared" si="54"/>
        <v>400</v>
      </c>
      <c r="AU641" s="255">
        <f t="shared" si="55"/>
        <v>22.222222222222221</v>
      </c>
      <c r="AV641" s="57"/>
      <c r="AW641" s="171" t="s">
        <v>521</v>
      </c>
      <c r="AX641" s="89"/>
      <c r="AY641" s="171">
        <v>20</v>
      </c>
      <c r="AZ641" s="261"/>
      <c r="BA641" s="175">
        <v>60</v>
      </c>
      <c r="BB641" s="259"/>
      <c r="BC641" s="176"/>
      <c r="BD641" s="179"/>
      <c r="BE641" s="179"/>
      <c r="BF641" s="178" t="s">
        <v>2549</v>
      </c>
      <c r="BG641" s="25"/>
      <c r="BH641" s="25"/>
    </row>
    <row r="642" spans="1:60" ht="15" customHeight="1">
      <c r="A642" s="95">
        <v>641</v>
      </c>
      <c r="B642" s="98" t="s">
        <v>1068</v>
      </c>
      <c r="C642" s="191" t="s">
        <v>2662</v>
      </c>
      <c r="D642" s="257" t="s">
        <v>549</v>
      </c>
      <c r="E642" s="459" t="s">
        <v>3377</v>
      </c>
      <c r="F642" s="171">
        <v>1995</v>
      </c>
      <c r="G642" s="171">
        <v>175</v>
      </c>
      <c r="H642" s="57"/>
      <c r="I642" s="173" t="s">
        <v>1743</v>
      </c>
      <c r="J642" s="277">
        <v>0.4</v>
      </c>
      <c r="K642" s="213">
        <v>4.1624999999999996</v>
      </c>
      <c r="L642" s="91"/>
      <c r="M642" s="278">
        <v>400</v>
      </c>
      <c r="N642" s="279"/>
      <c r="O642" s="172" t="s">
        <v>120</v>
      </c>
      <c r="P642" s="511"/>
      <c r="Q642" s="510" t="s">
        <v>3454</v>
      </c>
      <c r="R642" s="94"/>
      <c r="S642" s="94"/>
      <c r="T642" s="171" t="s">
        <v>2306</v>
      </c>
      <c r="U642" s="171" t="s">
        <v>2530</v>
      </c>
      <c r="V642" s="102">
        <v>0</v>
      </c>
      <c r="W642" s="120">
        <v>0</v>
      </c>
      <c r="X642" s="120">
        <v>0</v>
      </c>
      <c r="Y642" s="120">
        <v>0</v>
      </c>
      <c r="Z642" s="120">
        <v>0</v>
      </c>
      <c r="AA642" s="17">
        <v>0</v>
      </c>
      <c r="AB642" s="17">
        <v>25</v>
      </c>
      <c r="AC642" s="17">
        <v>0</v>
      </c>
      <c r="AD642" s="17">
        <v>0</v>
      </c>
      <c r="AE642" s="17">
        <v>0</v>
      </c>
      <c r="AF642" s="33">
        <f>11.5/400*100</f>
        <v>2.875</v>
      </c>
      <c r="AG642" s="17">
        <v>0</v>
      </c>
      <c r="AH642" s="17">
        <v>0</v>
      </c>
      <c r="AI642" s="17">
        <v>0</v>
      </c>
      <c r="AJ642" s="17">
        <v>0</v>
      </c>
      <c r="AK642" s="17">
        <v>0</v>
      </c>
      <c r="AL642" s="32">
        <v>0</v>
      </c>
      <c r="AM642" s="780">
        <v>63.9</v>
      </c>
      <c r="AN642" s="89"/>
      <c r="AO642" s="280"/>
      <c r="AP642" s="784"/>
      <c r="AQ642" s="773" t="s">
        <v>271</v>
      </c>
      <c r="AR642" s="188">
        <v>100</v>
      </c>
      <c r="AS642" s="171"/>
      <c r="AT642" s="171" t="str">
        <f t="shared" si="54"/>
        <v>400</v>
      </c>
      <c r="AU642" s="255">
        <f t="shared" si="55"/>
        <v>22.222222222222221</v>
      </c>
      <c r="AV642" s="57"/>
      <c r="AW642" s="171" t="s">
        <v>521</v>
      </c>
      <c r="AX642" s="89"/>
      <c r="AY642" s="171">
        <v>20</v>
      </c>
      <c r="AZ642" s="261"/>
      <c r="BA642" s="175">
        <v>60</v>
      </c>
      <c r="BB642" s="259"/>
      <c r="BC642" s="176"/>
      <c r="BD642" s="179"/>
      <c r="BE642" s="179"/>
      <c r="BF642" s="178" t="s">
        <v>1065</v>
      </c>
      <c r="BG642" s="25"/>
      <c r="BH642" s="25"/>
    </row>
    <row r="643" spans="1:60" ht="15" customHeight="1">
      <c r="A643" s="95">
        <v>642</v>
      </c>
      <c r="B643" s="98" t="s">
        <v>1067</v>
      </c>
      <c r="C643" s="191" t="s">
        <v>2662</v>
      </c>
      <c r="D643" s="257" t="s">
        <v>549</v>
      </c>
      <c r="E643" s="459" t="s">
        <v>3377</v>
      </c>
      <c r="F643" s="171">
        <v>1995</v>
      </c>
      <c r="G643" s="171">
        <v>175</v>
      </c>
      <c r="H643" s="57"/>
      <c r="I643" s="173" t="s">
        <v>1743</v>
      </c>
      <c r="J643" s="277">
        <v>0.64</v>
      </c>
      <c r="K643" s="213">
        <v>6.5679999999999996</v>
      </c>
      <c r="L643" s="91"/>
      <c r="M643" s="278">
        <v>250</v>
      </c>
      <c r="N643" s="279"/>
      <c r="O643" s="172" t="s">
        <v>120</v>
      </c>
      <c r="P643" s="511"/>
      <c r="Q643" s="510" t="s">
        <v>3454</v>
      </c>
      <c r="R643" s="94"/>
      <c r="S643" s="94"/>
      <c r="T643" s="171" t="s">
        <v>2306</v>
      </c>
      <c r="U643" s="171" t="s">
        <v>2530</v>
      </c>
      <c r="V643" s="102">
        <v>0</v>
      </c>
      <c r="W643" s="120">
        <v>0</v>
      </c>
      <c r="X643" s="120">
        <v>0</v>
      </c>
      <c r="Y643" s="120">
        <v>0</v>
      </c>
      <c r="Z643" s="120">
        <v>0</v>
      </c>
      <c r="AA643" s="17">
        <v>0</v>
      </c>
      <c r="AB643" s="123">
        <v>10</v>
      </c>
      <c r="AC643" s="17">
        <v>0</v>
      </c>
      <c r="AD643" s="17">
        <v>0</v>
      </c>
      <c r="AE643" s="17">
        <v>0</v>
      </c>
      <c r="AF643" s="17">
        <f>10.5/250*100</f>
        <v>4.2</v>
      </c>
      <c r="AG643" s="17">
        <v>0</v>
      </c>
      <c r="AH643" s="17">
        <v>0</v>
      </c>
      <c r="AI643" s="17">
        <v>0</v>
      </c>
      <c r="AJ643" s="17">
        <v>0</v>
      </c>
      <c r="AK643" s="17">
        <v>0</v>
      </c>
      <c r="AL643" s="32">
        <v>0</v>
      </c>
      <c r="AM643" s="780">
        <v>37.46</v>
      </c>
      <c r="AN643" s="89"/>
      <c r="AO643" s="280"/>
      <c r="AP643" s="784"/>
      <c r="AQ643" s="773" t="s">
        <v>271</v>
      </c>
      <c r="AR643" s="188">
        <v>100</v>
      </c>
      <c r="AS643" s="171"/>
      <c r="AT643" s="171" t="str">
        <f t="shared" si="54"/>
        <v>400</v>
      </c>
      <c r="AU643" s="255">
        <f t="shared" si="55"/>
        <v>22.222222222222221</v>
      </c>
      <c r="AV643" s="57"/>
      <c r="AW643" s="171" t="s">
        <v>521</v>
      </c>
      <c r="AX643" s="89"/>
      <c r="AY643" s="171">
        <v>20</v>
      </c>
      <c r="AZ643" s="261"/>
      <c r="BA643" s="175">
        <v>60</v>
      </c>
      <c r="BB643" s="259"/>
      <c r="BC643" s="176"/>
      <c r="BD643" s="179"/>
      <c r="BE643" s="179"/>
      <c r="BF643" s="178" t="s">
        <v>1063</v>
      </c>
      <c r="BG643" s="25"/>
      <c r="BH643" s="25"/>
    </row>
    <row r="644" spans="1:60" ht="15" customHeight="1">
      <c r="A644" s="95">
        <v>643</v>
      </c>
      <c r="B644" s="98" t="s">
        <v>1066</v>
      </c>
      <c r="C644" s="191" t="s">
        <v>2662</v>
      </c>
      <c r="D644" s="257" t="s">
        <v>549</v>
      </c>
      <c r="E644" s="459" t="s">
        <v>3377</v>
      </c>
      <c r="F644" s="171">
        <v>1995</v>
      </c>
      <c r="G644" s="171">
        <v>175</v>
      </c>
      <c r="H644" s="57"/>
      <c r="I644" s="173" t="s">
        <v>1743</v>
      </c>
      <c r="J644" s="277">
        <v>0.4</v>
      </c>
      <c r="K644" s="213">
        <v>4.1500000000000004</v>
      </c>
      <c r="L644" s="91"/>
      <c r="M644" s="278">
        <v>400</v>
      </c>
      <c r="N644" s="279"/>
      <c r="O644" s="172" t="s">
        <v>12</v>
      </c>
      <c r="P644" s="511"/>
      <c r="Q644" s="173" t="s">
        <v>10</v>
      </c>
      <c r="R644" s="94"/>
      <c r="S644" s="94"/>
      <c r="T644" s="171" t="s">
        <v>2306</v>
      </c>
      <c r="U644" s="171" t="s">
        <v>2530</v>
      </c>
      <c r="V644" s="102">
        <v>0</v>
      </c>
      <c r="W644" s="120">
        <v>0</v>
      </c>
      <c r="X644" s="120">
        <v>0</v>
      </c>
      <c r="Y644" s="120">
        <v>0</v>
      </c>
      <c r="Z644" s="120">
        <v>0</v>
      </c>
      <c r="AA644" s="17">
        <v>0</v>
      </c>
      <c r="AB644" s="17">
        <v>25</v>
      </c>
      <c r="AC644" s="17">
        <v>0</v>
      </c>
      <c r="AD644" s="17">
        <v>0</v>
      </c>
      <c r="AE644" s="17">
        <v>0</v>
      </c>
      <c r="AF644" s="17">
        <v>2.88</v>
      </c>
      <c r="AG644" s="17">
        <v>0</v>
      </c>
      <c r="AH644" s="17">
        <v>0</v>
      </c>
      <c r="AI644" s="17">
        <v>0</v>
      </c>
      <c r="AJ644" s="17">
        <v>0</v>
      </c>
      <c r="AK644" s="17">
        <v>0</v>
      </c>
      <c r="AL644" s="32" t="s">
        <v>2541</v>
      </c>
      <c r="AM644" s="780">
        <v>65.52</v>
      </c>
      <c r="AN644" s="89"/>
      <c r="AO644" s="280"/>
      <c r="AP644" s="784"/>
      <c r="AQ644" s="773" t="s">
        <v>271</v>
      </c>
      <c r="AR644" s="188">
        <v>100</v>
      </c>
      <c r="AS644" s="171"/>
      <c r="AT644" s="171" t="str">
        <f t="shared" si="54"/>
        <v>400</v>
      </c>
      <c r="AU644" s="255">
        <f t="shared" si="55"/>
        <v>22.222222222222221</v>
      </c>
      <c r="AV644" s="57"/>
      <c r="AW644" s="171" t="s">
        <v>521</v>
      </c>
      <c r="AX644" s="89"/>
      <c r="AY644" s="171">
        <v>20</v>
      </c>
      <c r="AZ644" s="261"/>
      <c r="BA644" s="175">
        <v>60</v>
      </c>
      <c r="BB644" s="259"/>
      <c r="BC644" s="176"/>
      <c r="BD644" s="179"/>
      <c r="BE644" s="179"/>
      <c r="BF644" s="178" t="s">
        <v>1065</v>
      </c>
      <c r="BG644" s="25"/>
      <c r="BH644" s="25"/>
    </row>
    <row r="645" spans="1:60" ht="15" customHeight="1">
      <c r="A645" s="95">
        <v>644</v>
      </c>
      <c r="B645" s="98" t="s">
        <v>1064</v>
      </c>
      <c r="C645" s="191" t="s">
        <v>2662</v>
      </c>
      <c r="D645" s="257" t="s">
        <v>549</v>
      </c>
      <c r="E645" s="459" t="s">
        <v>3377</v>
      </c>
      <c r="F645" s="171">
        <v>1995</v>
      </c>
      <c r="G645" s="171">
        <v>175</v>
      </c>
      <c r="H645" s="57"/>
      <c r="I645" s="173" t="s">
        <v>1743</v>
      </c>
      <c r="J645" s="277">
        <v>0.64</v>
      </c>
      <c r="K645" s="213">
        <v>6.556</v>
      </c>
      <c r="L645" s="91"/>
      <c r="M645" s="278">
        <v>250</v>
      </c>
      <c r="N645" s="279"/>
      <c r="O645" s="172" t="s">
        <v>12</v>
      </c>
      <c r="P645" s="511"/>
      <c r="Q645" s="173" t="s">
        <v>10</v>
      </c>
      <c r="R645" s="94"/>
      <c r="S645" s="94"/>
      <c r="T645" s="171" t="s">
        <v>2306</v>
      </c>
      <c r="U645" s="171" t="s">
        <v>2530</v>
      </c>
      <c r="V645" s="102">
        <v>0</v>
      </c>
      <c r="W645" s="120">
        <v>0</v>
      </c>
      <c r="X645" s="120">
        <v>0</v>
      </c>
      <c r="Y645" s="120">
        <v>0</v>
      </c>
      <c r="Z645" s="120">
        <v>0</v>
      </c>
      <c r="AA645" s="17">
        <v>0</v>
      </c>
      <c r="AB645" s="123">
        <v>10</v>
      </c>
      <c r="AC645" s="17">
        <v>0</v>
      </c>
      <c r="AD645" s="17">
        <v>0</v>
      </c>
      <c r="AE645" s="17">
        <v>0</v>
      </c>
      <c r="AF645" s="17">
        <f>12/250*100</f>
        <v>4.8</v>
      </c>
      <c r="AG645" s="17">
        <v>0</v>
      </c>
      <c r="AH645" s="17">
        <v>0</v>
      </c>
      <c r="AI645" s="17">
        <v>0</v>
      </c>
      <c r="AJ645" s="17">
        <v>0</v>
      </c>
      <c r="AK645" s="17">
        <v>0</v>
      </c>
      <c r="AL645" s="32">
        <v>0</v>
      </c>
      <c r="AM645" s="780">
        <v>38.61</v>
      </c>
      <c r="AN645" s="89"/>
      <c r="AO645" s="280"/>
      <c r="AP645" s="784"/>
      <c r="AQ645" s="773" t="s">
        <v>271</v>
      </c>
      <c r="AR645" s="188">
        <v>100</v>
      </c>
      <c r="AS645" s="171"/>
      <c r="AT645" s="171" t="str">
        <f t="shared" si="54"/>
        <v>400</v>
      </c>
      <c r="AU645" s="255">
        <f t="shared" si="55"/>
        <v>22.222222222222221</v>
      </c>
      <c r="AV645" s="57"/>
      <c r="AW645" s="171" t="s">
        <v>521</v>
      </c>
      <c r="AX645" s="89"/>
      <c r="AY645" s="171">
        <v>20</v>
      </c>
      <c r="AZ645" s="261"/>
      <c r="BA645" s="175">
        <v>60</v>
      </c>
      <c r="BB645" s="259"/>
      <c r="BC645" s="176"/>
      <c r="BD645" s="179"/>
      <c r="BE645" s="179"/>
      <c r="BF645" s="178" t="s">
        <v>1063</v>
      </c>
      <c r="BG645" s="25"/>
      <c r="BH645" s="25"/>
    </row>
    <row r="646" spans="1:60" ht="15" customHeight="1">
      <c r="A646" s="95">
        <v>645</v>
      </c>
      <c r="B646" s="98" t="s">
        <v>1062</v>
      </c>
      <c r="C646" s="191" t="s">
        <v>2662</v>
      </c>
      <c r="D646" s="257" t="s">
        <v>549</v>
      </c>
      <c r="E646" s="459" t="s">
        <v>3377</v>
      </c>
      <c r="F646" s="171">
        <v>1995</v>
      </c>
      <c r="G646" s="171">
        <v>175</v>
      </c>
      <c r="H646" s="57"/>
      <c r="I646" s="173" t="s">
        <v>1743</v>
      </c>
      <c r="J646" s="277">
        <v>0.33700000000000002</v>
      </c>
      <c r="K646" s="213">
        <v>3.5178947368421052</v>
      </c>
      <c r="L646" s="91"/>
      <c r="M646" s="278">
        <v>475</v>
      </c>
      <c r="N646" s="279"/>
      <c r="O646" s="172" t="s">
        <v>120</v>
      </c>
      <c r="P646" s="511"/>
      <c r="Q646" s="510" t="s">
        <v>3454</v>
      </c>
      <c r="R646" s="94"/>
      <c r="S646" s="94"/>
      <c r="T646" s="171" t="s">
        <v>2306</v>
      </c>
      <c r="U646" s="171" t="s">
        <v>2530</v>
      </c>
      <c r="V646" s="103">
        <f>25/475*100</f>
        <v>5.2631578947368416</v>
      </c>
      <c r="W646" s="120">
        <v>0</v>
      </c>
      <c r="X646" s="120">
        <v>0</v>
      </c>
      <c r="Y646" s="120">
        <v>0</v>
      </c>
      <c r="Z646" s="120">
        <v>0</v>
      </c>
      <c r="AA646" s="17">
        <v>0</v>
      </c>
      <c r="AB646" s="17">
        <v>0</v>
      </c>
      <c r="AC646" s="17">
        <v>0</v>
      </c>
      <c r="AD646" s="17">
        <v>0</v>
      </c>
      <c r="AE646" s="17">
        <v>0</v>
      </c>
      <c r="AF646" s="17">
        <v>3.26</v>
      </c>
      <c r="AG646" s="17">
        <v>0</v>
      </c>
      <c r="AH646" s="17">
        <v>0</v>
      </c>
      <c r="AI646" s="17">
        <v>0</v>
      </c>
      <c r="AJ646" s="17">
        <v>0</v>
      </c>
      <c r="AK646" s="17">
        <v>0</v>
      </c>
      <c r="AL646" s="32">
        <v>0</v>
      </c>
      <c r="AM646" s="780">
        <v>82.28</v>
      </c>
      <c r="AN646" s="89"/>
      <c r="AO646" s="280"/>
      <c r="AP646" s="784"/>
      <c r="AQ646" s="773" t="s">
        <v>271</v>
      </c>
      <c r="AR646" s="188">
        <v>100</v>
      </c>
      <c r="AS646" s="171"/>
      <c r="AT646" s="171" t="str">
        <f t="shared" si="54"/>
        <v>400</v>
      </c>
      <c r="AU646" s="255">
        <f t="shared" si="55"/>
        <v>22.222222222222221</v>
      </c>
      <c r="AV646" s="57"/>
      <c r="AW646" s="171" t="s">
        <v>521</v>
      </c>
      <c r="AX646" s="89"/>
      <c r="AY646" s="171">
        <v>20</v>
      </c>
      <c r="AZ646" s="261"/>
      <c r="BA646" s="175">
        <v>60</v>
      </c>
      <c r="BB646" s="259"/>
      <c r="BC646" s="176"/>
      <c r="BD646" s="179"/>
      <c r="BE646" s="179"/>
      <c r="BF646" s="178" t="s">
        <v>1040</v>
      </c>
      <c r="BG646" s="25"/>
      <c r="BH646" s="25"/>
    </row>
    <row r="647" spans="1:60" ht="15" customHeight="1">
      <c r="A647" s="95">
        <v>646</v>
      </c>
      <c r="B647" s="98" t="s">
        <v>1061</v>
      </c>
      <c r="C647" s="191" t="s">
        <v>2662</v>
      </c>
      <c r="D647" s="257" t="s">
        <v>549</v>
      </c>
      <c r="E647" s="459" t="s">
        <v>3377</v>
      </c>
      <c r="F647" s="171">
        <v>1995</v>
      </c>
      <c r="G647" s="171">
        <v>175</v>
      </c>
      <c r="H647" s="57"/>
      <c r="I647" s="173" t="s">
        <v>1743</v>
      </c>
      <c r="J647" s="277">
        <v>0.35600000000000004</v>
      </c>
      <c r="K647" s="213">
        <v>3.6933333333333334</v>
      </c>
      <c r="L647" s="91"/>
      <c r="M647" s="278">
        <v>450</v>
      </c>
      <c r="N647" s="279"/>
      <c r="O647" s="172" t="s">
        <v>120</v>
      </c>
      <c r="P647" s="511"/>
      <c r="Q647" s="510" t="s">
        <v>3454</v>
      </c>
      <c r="R647" s="94"/>
      <c r="S647" s="94"/>
      <c r="T647" s="171" t="s">
        <v>2306</v>
      </c>
      <c r="U647" s="171" t="s">
        <v>2530</v>
      </c>
      <c r="V647" s="103">
        <f>50/450*100</f>
        <v>11.111111111111111</v>
      </c>
      <c r="W647" s="120">
        <v>0</v>
      </c>
      <c r="X647" s="120">
        <v>0</v>
      </c>
      <c r="Y647" s="120">
        <v>0</v>
      </c>
      <c r="Z647" s="120">
        <v>0</v>
      </c>
      <c r="AA647" s="17">
        <v>0</v>
      </c>
      <c r="AB647" s="17">
        <v>0</v>
      </c>
      <c r="AC647" s="17">
        <v>0</v>
      </c>
      <c r="AD647" s="17">
        <v>0</v>
      </c>
      <c r="AE647" s="17">
        <v>0</v>
      </c>
      <c r="AF647" s="17">
        <v>3.33</v>
      </c>
      <c r="AG647" s="17">
        <v>0</v>
      </c>
      <c r="AH647" s="17">
        <v>0</v>
      </c>
      <c r="AI647" s="17">
        <v>0</v>
      </c>
      <c r="AJ647" s="17">
        <v>0</v>
      </c>
      <c r="AK647" s="17">
        <v>0</v>
      </c>
      <c r="AL647" s="32">
        <v>0</v>
      </c>
      <c r="AM647" s="780">
        <v>79.260000000000005</v>
      </c>
      <c r="AN647" s="89"/>
      <c r="AO647" s="280"/>
      <c r="AP647" s="784"/>
      <c r="AQ647" s="773" t="s">
        <v>271</v>
      </c>
      <c r="AR647" s="188">
        <v>100</v>
      </c>
      <c r="AS647" s="171"/>
      <c r="AT647" s="171" t="str">
        <f t="shared" si="54"/>
        <v>400</v>
      </c>
      <c r="AU647" s="255">
        <f t="shared" si="55"/>
        <v>22.222222222222221</v>
      </c>
      <c r="AV647" s="57"/>
      <c r="AW647" s="171" t="s">
        <v>521</v>
      </c>
      <c r="AX647" s="89"/>
      <c r="AY647" s="171">
        <v>20</v>
      </c>
      <c r="AZ647" s="261"/>
      <c r="BA647" s="175">
        <v>60</v>
      </c>
      <c r="BB647" s="259"/>
      <c r="BC647" s="176"/>
      <c r="BD647" s="179"/>
      <c r="BE647" s="179"/>
      <c r="BF647" s="178" t="s">
        <v>1040</v>
      </c>
      <c r="BG647" s="25"/>
      <c r="BH647" s="25"/>
    </row>
    <row r="648" spans="1:60" ht="15" customHeight="1">
      <c r="A648" s="95">
        <v>647</v>
      </c>
      <c r="B648" s="98" t="s">
        <v>1060</v>
      </c>
      <c r="C648" s="191" t="s">
        <v>2662</v>
      </c>
      <c r="D648" s="257" t="s">
        <v>549</v>
      </c>
      <c r="E648" s="459" t="s">
        <v>3377</v>
      </c>
      <c r="F648" s="171">
        <v>1995</v>
      </c>
      <c r="G648" s="171">
        <v>175</v>
      </c>
      <c r="H648" s="57"/>
      <c r="I648" s="173" t="s">
        <v>1743</v>
      </c>
      <c r="J648" s="277">
        <v>0.33700000000000002</v>
      </c>
      <c r="K648" s="213">
        <v>3.5052631578947366</v>
      </c>
      <c r="L648" s="91"/>
      <c r="M648" s="278">
        <v>475</v>
      </c>
      <c r="N648" s="279"/>
      <c r="O648" s="172" t="s">
        <v>12</v>
      </c>
      <c r="P648" s="511"/>
      <c r="Q648" s="173" t="s">
        <v>10</v>
      </c>
      <c r="R648" s="94"/>
      <c r="S648" s="94"/>
      <c r="T648" s="171" t="s">
        <v>2306</v>
      </c>
      <c r="U648" s="171" t="s">
        <v>2530</v>
      </c>
      <c r="V648" s="103">
        <f>25/475*100</f>
        <v>5.2631578947368416</v>
      </c>
      <c r="W648" s="120">
        <v>0</v>
      </c>
      <c r="X648" s="120">
        <v>0</v>
      </c>
      <c r="Y648" s="120">
        <v>0</v>
      </c>
      <c r="Z648" s="120">
        <v>0</v>
      </c>
      <c r="AA648" s="17">
        <v>0</v>
      </c>
      <c r="AB648" s="17">
        <v>0</v>
      </c>
      <c r="AC648" s="17">
        <v>0</v>
      </c>
      <c r="AD648" s="17">
        <v>0</v>
      </c>
      <c r="AE648" s="17">
        <v>0</v>
      </c>
      <c r="AF648" s="17">
        <v>2.95</v>
      </c>
      <c r="AG648" s="17">
        <v>0</v>
      </c>
      <c r="AH648" s="17">
        <v>0</v>
      </c>
      <c r="AI648" s="17">
        <v>0</v>
      </c>
      <c r="AJ648" s="17">
        <v>0</v>
      </c>
      <c r="AK648" s="17">
        <v>0</v>
      </c>
      <c r="AL648" s="32">
        <v>0</v>
      </c>
      <c r="AM648" s="780">
        <v>76</v>
      </c>
      <c r="AN648" s="89"/>
      <c r="AO648" s="280"/>
      <c r="AP648" s="784"/>
      <c r="AQ648" s="773" t="s">
        <v>271</v>
      </c>
      <c r="AR648" s="188">
        <v>100</v>
      </c>
      <c r="AS648" s="171"/>
      <c r="AT648" s="171" t="str">
        <f t="shared" si="54"/>
        <v>400</v>
      </c>
      <c r="AU648" s="255">
        <f t="shared" si="55"/>
        <v>22.222222222222221</v>
      </c>
      <c r="AV648" s="57"/>
      <c r="AW648" s="171" t="s">
        <v>521</v>
      </c>
      <c r="AX648" s="89"/>
      <c r="AY648" s="171">
        <v>20</v>
      </c>
      <c r="AZ648" s="261"/>
      <c r="BA648" s="175">
        <v>60</v>
      </c>
      <c r="BB648" s="259"/>
      <c r="BC648" s="176" t="s">
        <v>558</v>
      </c>
      <c r="BD648" s="179"/>
      <c r="BE648" s="179"/>
      <c r="BF648" s="178" t="s">
        <v>1040</v>
      </c>
      <c r="BG648" s="25"/>
      <c r="BH648" s="25"/>
    </row>
    <row r="649" spans="1:60" ht="15" customHeight="1">
      <c r="A649" s="95">
        <v>648</v>
      </c>
      <c r="B649" s="98" t="s">
        <v>1059</v>
      </c>
      <c r="C649" s="191" t="s">
        <v>2662</v>
      </c>
      <c r="D649" s="257" t="s">
        <v>549</v>
      </c>
      <c r="E649" s="459" t="s">
        <v>3377</v>
      </c>
      <c r="F649" s="171">
        <v>1995</v>
      </c>
      <c r="G649" s="171">
        <v>175</v>
      </c>
      <c r="H649" s="57"/>
      <c r="I649" s="173" t="s">
        <v>1743</v>
      </c>
      <c r="J649" s="277">
        <v>0.35600000000000004</v>
      </c>
      <c r="K649" s="213">
        <v>3.68</v>
      </c>
      <c r="L649" s="91"/>
      <c r="M649" s="278">
        <v>450</v>
      </c>
      <c r="N649" s="279"/>
      <c r="O649" s="172" t="s">
        <v>12</v>
      </c>
      <c r="P649" s="511"/>
      <c r="Q649" s="173" t="s">
        <v>10</v>
      </c>
      <c r="R649" s="94"/>
      <c r="S649" s="94"/>
      <c r="T649" s="171" t="s">
        <v>2306</v>
      </c>
      <c r="U649" s="171" t="s">
        <v>2530</v>
      </c>
      <c r="V649" s="103">
        <f>50/450*100</f>
        <v>11.111111111111111</v>
      </c>
      <c r="W649" s="120">
        <v>0</v>
      </c>
      <c r="X649" s="120">
        <v>0</v>
      </c>
      <c r="Y649" s="120">
        <v>0</v>
      </c>
      <c r="Z649" s="120">
        <v>0</v>
      </c>
      <c r="AA649" s="17">
        <v>0</v>
      </c>
      <c r="AB649" s="17">
        <v>0</v>
      </c>
      <c r="AC649" s="17">
        <v>0</v>
      </c>
      <c r="AD649" s="17">
        <v>0</v>
      </c>
      <c r="AE649" s="17">
        <v>0</v>
      </c>
      <c r="AF649" s="17">
        <v>3.77</v>
      </c>
      <c r="AG649" s="17">
        <v>0</v>
      </c>
      <c r="AH649" s="17">
        <v>0</v>
      </c>
      <c r="AI649" s="17">
        <v>0</v>
      </c>
      <c r="AJ649" s="17">
        <v>0</v>
      </c>
      <c r="AK649" s="17">
        <v>0</v>
      </c>
      <c r="AL649" s="32">
        <v>0</v>
      </c>
      <c r="AM649" s="780">
        <v>76.23</v>
      </c>
      <c r="AN649" s="89"/>
      <c r="AO649" s="280"/>
      <c r="AP649" s="784"/>
      <c r="AQ649" s="773" t="s">
        <v>271</v>
      </c>
      <c r="AR649" s="188">
        <v>100</v>
      </c>
      <c r="AS649" s="171"/>
      <c r="AT649" s="171" t="str">
        <f t="shared" si="54"/>
        <v>400</v>
      </c>
      <c r="AU649" s="255">
        <f t="shared" si="55"/>
        <v>22.222222222222221</v>
      </c>
      <c r="AV649" s="57"/>
      <c r="AW649" s="171" t="s">
        <v>521</v>
      </c>
      <c r="AX649" s="89"/>
      <c r="AY649" s="171">
        <v>20</v>
      </c>
      <c r="AZ649" s="261"/>
      <c r="BA649" s="175">
        <v>60</v>
      </c>
      <c r="BB649" s="259"/>
      <c r="BC649" s="176" t="s">
        <v>558</v>
      </c>
      <c r="BD649" s="179"/>
      <c r="BE649" s="179"/>
      <c r="BF649" s="178" t="s">
        <v>1040</v>
      </c>
      <c r="BG649" s="25"/>
      <c r="BH649" s="25"/>
    </row>
    <row r="650" spans="1:60" ht="15" customHeight="1">
      <c r="A650" s="95">
        <v>649</v>
      </c>
      <c r="B650" s="98" t="s">
        <v>1058</v>
      </c>
      <c r="C650" s="191" t="s">
        <v>2662</v>
      </c>
      <c r="D650" s="257" t="s">
        <v>549</v>
      </c>
      <c r="E650" s="459" t="s">
        <v>3377</v>
      </c>
      <c r="F650" s="171">
        <v>1995</v>
      </c>
      <c r="G650" s="171">
        <v>175</v>
      </c>
      <c r="H650" s="57"/>
      <c r="I650" s="173" t="s">
        <v>1743</v>
      </c>
      <c r="J650" s="277">
        <v>0.4</v>
      </c>
      <c r="K650" s="213">
        <v>4.18</v>
      </c>
      <c r="L650" s="91"/>
      <c r="M650" s="278">
        <v>400</v>
      </c>
      <c r="N650" s="279"/>
      <c r="O650" s="172" t="s">
        <v>120</v>
      </c>
      <c r="P650" s="511"/>
      <c r="Q650" s="510" t="s">
        <v>3454</v>
      </c>
      <c r="R650" s="94"/>
      <c r="S650" s="94"/>
      <c r="T650" s="171" t="s">
        <v>2306</v>
      </c>
      <c r="U650" s="171" t="s">
        <v>2530</v>
      </c>
      <c r="V650" s="102">
        <v>0</v>
      </c>
      <c r="W650" s="120">
        <v>0</v>
      </c>
      <c r="X650" s="120">
        <f>100/400*100</f>
        <v>25</v>
      </c>
      <c r="Y650" s="120">
        <v>0</v>
      </c>
      <c r="Z650" s="120">
        <v>0</v>
      </c>
      <c r="AA650" s="17">
        <v>0</v>
      </c>
      <c r="AB650" s="17">
        <v>0</v>
      </c>
      <c r="AC650" s="17">
        <v>0</v>
      </c>
      <c r="AD650" s="17">
        <v>0</v>
      </c>
      <c r="AE650" s="17">
        <v>0</v>
      </c>
      <c r="AF650" s="17">
        <v>2.87</v>
      </c>
      <c r="AG650" s="17">
        <v>0</v>
      </c>
      <c r="AH650" s="17">
        <v>0</v>
      </c>
      <c r="AI650" s="17">
        <v>0</v>
      </c>
      <c r="AJ650" s="17">
        <v>0</v>
      </c>
      <c r="AK650" s="17">
        <v>0</v>
      </c>
      <c r="AL650" s="32">
        <v>0</v>
      </c>
      <c r="AM650" s="780">
        <v>75.37</v>
      </c>
      <c r="AN650" s="89"/>
      <c r="AO650" s="280"/>
      <c r="AP650" s="784"/>
      <c r="AQ650" s="773" t="s">
        <v>271</v>
      </c>
      <c r="AR650" s="188">
        <v>100</v>
      </c>
      <c r="AS650" s="171"/>
      <c r="AT650" s="171" t="str">
        <f t="shared" si="54"/>
        <v>400</v>
      </c>
      <c r="AU650" s="255">
        <f t="shared" si="55"/>
        <v>22.222222222222221</v>
      </c>
      <c r="AV650" s="57"/>
      <c r="AW650" s="171" t="s">
        <v>521</v>
      </c>
      <c r="AX650" s="89"/>
      <c r="AY650" s="171">
        <v>20</v>
      </c>
      <c r="AZ650" s="261"/>
      <c r="BA650" s="175">
        <v>60</v>
      </c>
      <c r="BB650" s="259"/>
      <c r="BC650" s="176"/>
      <c r="BD650" s="179"/>
      <c r="BE650" s="179"/>
      <c r="BF650" s="178" t="s">
        <v>1040</v>
      </c>
      <c r="BG650" s="25"/>
      <c r="BH650" s="25"/>
    </row>
    <row r="651" spans="1:60" ht="15" customHeight="1">
      <c r="A651" s="95">
        <v>650</v>
      </c>
      <c r="B651" s="98" t="s">
        <v>1057</v>
      </c>
      <c r="C651" s="191" t="s">
        <v>2662</v>
      </c>
      <c r="D651" s="257" t="s">
        <v>549</v>
      </c>
      <c r="E651" s="459" t="s">
        <v>3377</v>
      </c>
      <c r="F651" s="171">
        <v>1995</v>
      </c>
      <c r="G651" s="171">
        <v>175</v>
      </c>
      <c r="H651" s="57"/>
      <c r="I651" s="173" t="s">
        <v>1743</v>
      </c>
      <c r="J651" s="277">
        <v>0.64</v>
      </c>
      <c r="K651" s="213">
        <v>6.64</v>
      </c>
      <c r="L651" s="91"/>
      <c r="M651" s="278">
        <v>250</v>
      </c>
      <c r="N651" s="279"/>
      <c r="O651" s="172" t="s">
        <v>120</v>
      </c>
      <c r="P651" s="511"/>
      <c r="Q651" s="510" t="s">
        <v>3454</v>
      </c>
      <c r="R651" s="94"/>
      <c r="S651" s="94"/>
      <c r="T651" s="171" t="s">
        <v>2306</v>
      </c>
      <c r="U651" s="171" t="s">
        <v>2530</v>
      </c>
      <c r="V651" s="102">
        <v>0</v>
      </c>
      <c r="W651" s="120">
        <v>0</v>
      </c>
      <c r="X651" s="120">
        <f>250/250*100</f>
        <v>100</v>
      </c>
      <c r="Y651" s="120">
        <v>0</v>
      </c>
      <c r="Z651" s="120">
        <v>0</v>
      </c>
      <c r="AA651" s="17">
        <v>0</v>
      </c>
      <c r="AB651" s="17">
        <v>0</v>
      </c>
      <c r="AC651" s="17">
        <v>0</v>
      </c>
      <c r="AD651" s="17">
        <v>0</v>
      </c>
      <c r="AE651" s="17">
        <v>0</v>
      </c>
      <c r="AF651" s="17">
        <v>4.2</v>
      </c>
      <c r="AG651" s="17">
        <v>0</v>
      </c>
      <c r="AH651" s="17">
        <v>0</v>
      </c>
      <c r="AI651" s="17">
        <v>0</v>
      </c>
      <c r="AJ651" s="17">
        <v>0</v>
      </c>
      <c r="AK651" s="17">
        <v>0</v>
      </c>
      <c r="AL651" s="32">
        <v>0</v>
      </c>
      <c r="AM651" s="780">
        <v>61.93</v>
      </c>
      <c r="AN651" s="89"/>
      <c r="AO651" s="280"/>
      <c r="AP651" s="784"/>
      <c r="AQ651" s="773" t="s">
        <v>271</v>
      </c>
      <c r="AR651" s="188">
        <v>100</v>
      </c>
      <c r="AS651" s="171"/>
      <c r="AT651" s="171" t="str">
        <f t="shared" si="54"/>
        <v>400</v>
      </c>
      <c r="AU651" s="255">
        <f t="shared" si="55"/>
        <v>22.222222222222221</v>
      </c>
      <c r="AV651" s="57"/>
      <c r="AW651" s="171" t="s">
        <v>521</v>
      </c>
      <c r="AX651" s="89"/>
      <c r="AY651" s="171">
        <v>20</v>
      </c>
      <c r="AZ651" s="261"/>
      <c r="BA651" s="175">
        <v>60</v>
      </c>
      <c r="BB651" s="259"/>
      <c r="BC651" s="176"/>
      <c r="BD651" s="179"/>
      <c r="BE651" s="179"/>
      <c r="BF651" s="178" t="s">
        <v>1040</v>
      </c>
      <c r="BG651" s="25"/>
      <c r="BH651" s="25"/>
    </row>
    <row r="652" spans="1:60" ht="15" customHeight="1">
      <c r="A652" s="95">
        <v>651</v>
      </c>
      <c r="B652" s="98" t="s">
        <v>1056</v>
      </c>
      <c r="C652" s="191" t="s">
        <v>2662</v>
      </c>
      <c r="D652" s="257" t="s">
        <v>549</v>
      </c>
      <c r="E652" s="459" t="s">
        <v>3377</v>
      </c>
      <c r="F652" s="171">
        <v>1995</v>
      </c>
      <c r="G652" s="171">
        <v>175</v>
      </c>
      <c r="H652" s="57"/>
      <c r="I652" s="173" t="s">
        <v>1743</v>
      </c>
      <c r="J652" s="277">
        <v>0.4</v>
      </c>
      <c r="K652" s="213">
        <v>4.1675000000000004</v>
      </c>
      <c r="L652" s="91"/>
      <c r="M652" s="278">
        <v>400</v>
      </c>
      <c r="N652" s="279"/>
      <c r="O652" s="172" t="s">
        <v>12</v>
      </c>
      <c r="P652" s="511"/>
      <c r="Q652" s="173" t="s">
        <v>10</v>
      </c>
      <c r="R652" s="94"/>
      <c r="S652" s="94"/>
      <c r="T652" s="171" t="s">
        <v>2306</v>
      </c>
      <c r="U652" s="171" t="s">
        <v>2530</v>
      </c>
      <c r="V652" s="102">
        <v>0</v>
      </c>
      <c r="W652" s="120">
        <v>0</v>
      </c>
      <c r="X652" s="120">
        <v>25</v>
      </c>
      <c r="Y652" s="120">
        <v>0</v>
      </c>
      <c r="Z652" s="120">
        <v>0</v>
      </c>
      <c r="AA652" s="17">
        <v>0</v>
      </c>
      <c r="AB652" s="17">
        <v>0</v>
      </c>
      <c r="AC652" s="17">
        <v>0</v>
      </c>
      <c r="AD652" s="17">
        <v>0</v>
      </c>
      <c r="AE652" s="17">
        <v>0</v>
      </c>
      <c r="AF652" s="17">
        <v>2.87</v>
      </c>
      <c r="AG652" s="17">
        <v>0</v>
      </c>
      <c r="AH652" s="17">
        <v>0</v>
      </c>
      <c r="AI652" s="17">
        <v>0</v>
      </c>
      <c r="AJ652" s="17">
        <v>0</v>
      </c>
      <c r="AK652" s="17">
        <v>0</v>
      </c>
      <c r="AL652" s="32">
        <v>0</v>
      </c>
      <c r="AM652" s="780">
        <v>71.08</v>
      </c>
      <c r="AN652" s="89"/>
      <c r="AO652" s="280"/>
      <c r="AP652" s="784"/>
      <c r="AQ652" s="773" t="s">
        <v>271</v>
      </c>
      <c r="AR652" s="188">
        <v>100</v>
      </c>
      <c r="AS652" s="171"/>
      <c r="AT652" s="171" t="str">
        <f t="shared" si="54"/>
        <v>400</v>
      </c>
      <c r="AU652" s="255">
        <f t="shared" si="55"/>
        <v>22.222222222222221</v>
      </c>
      <c r="AV652" s="57"/>
      <c r="AW652" s="171" t="s">
        <v>521</v>
      </c>
      <c r="AX652" s="89"/>
      <c r="AY652" s="171">
        <v>20</v>
      </c>
      <c r="AZ652" s="261"/>
      <c r="BA652" s="175">
        <v>60</v>
      </c>
      <c r="BB652" s="259"/>
      <c r="BC652" s="176" t="s">
        <v>558</v>
      </c>
      <c r="BD652" s="179"/>
      <c r="BE652" s="179"/>
      <c r="BF652" s="178" t="s">
        <v>1040</v>
      </c>
      <c r="BG652" s="25"/>
      <c r="BH652" s="25"/>
    </row>
    <row r="653" spans="1:60" ht="15" customHeight="1">
      <c r="A653" s="95">
        <v>652</v>
      </c>
      <c r="B653" s="98" t="s">
        <v>1055</v>
      </c>
      <c r="C653" s="191" t="s">
        <v>2662</v>
      </c>
      <c r="D653" s="257" t="s">
        <v>549</v>
      </c>
      <c r="E653" s="459" t="s">
        <v>3377</v>
      </c>
      <c r="F653" s="171">
        <v>1995</v>
      </c>
      <c r="G653" s="171">
        <v>175</v>
      </c>
      <c r="H653" s="57"/>
      <c r="I653" s="173" t="s">
        <v>1743</v>
      </c>
      <c r="J653" s="277">
        <v>0.64</v>
      </c>
      <c r="K653" s="213">
        <v>6.6239999999999997</v>
      </c>
      <c r="L653" s="91">
        <f>((J653)*(M653+((V653+W653+X653+Y653+Z653+AA653+AB653+AC653+AD653+AK653)/100)*(M653)))</f>
        <v>320</v>
      </c>
      <c r="M653" s="278">
        <v>250</v>
      </c>
      <c r="N653" s="279"/>
      <c r="O653" s="172" t="s">
        <v>12</v>
      </c>
      <c r="P653" s="511"/>
      <c r="Q653" s="173" t="s">
        <v>10</v>
      </c>
      <c r="R653" s="94"/>
      <c r="S653" s="94"/>
      <c r="T653" s="171" t="s">
        <v>2306</v>
      </c>
      <c r="U653" s="171" t="s">
        <v>2530</v>
      </c>
      <c r="V653" s="102">
        <v>0</v>
      </c>
      <c r="W653" s="120">
        <v>0</v>
      </c>
      <c r="X653" s="120">
        <v>100</v>
      </c>
      <c r="Y653" s="120">
        <v>0</v>
      </c>
      <c r="Z653" s="120">
        <v>0</v>
      </c>
      <c r="AA653" s="17">
        <v>0</v>
      </c>
      <c r="AB653" s="17">
        <v>0</v>
      </c>
      <c r="AC653" s="17">
        <v>0</v>
      </c>
      <c r="AD653" s="17">
        <v>0</v>
      </c>
      <c r="AE653" s="17">
        <v>0</v>
      </c>
      <c r="AF653" s="17">
        <v>5</v>
      </c>
      <c r="AG653" s="17">
        <v>0</v>
      </c>
      <c r="AH653" s="17">
        <v>0</v>
      </c>
      <c r="AI653" s="17">
        <v>0</v>
      </c>
      <c r="AJ653" s="17">
        <v>0</v>
      </c>
      <c r="AK653" s="17">
        <v>0</v>
      </c>
      <c r="AL653" s="32">
        <v>0</v>
      </c>
      <c r="AM653" s="780">
        <v>74.33</v>
      </c>
      <c r="AN653" s="89"/>
      <c r="AO653" s="280"/>
      <c r="AP653" s="784"/>
      <c r="AQ653" s="773" t="s">
        <v>271</v>
      </c>
      <c r="AR653" s="188">
        <v>100</v>
      </c>
      <c r="AS653" s="171"/>
      <c r="AT653" s="171" t="str">
        <f t="shared" si="54"/>
        <v>400</v>
      </c>
      <c r="AU653" s="255">
        <f t="shared" si="55"/>
        <v>22.222222222222221</v>
      </c>
      <c r="AV653" s="57"/>
      <c r="AW653" s="171" t="s">
        <v>521</v>
      </c>
      <c r="AX653" s="89"/>
      <c r="AY653" s="171">
        <v>20</v>
      </c>
      <c r="AZ653" s="261"/>
      <c r="BA653" s="175">
        <v>60</v>
      </c>
      <c r="BB653" s="259"/>
      <c r="BC653" s="176"/>
      <c r="BD653" s="179"/>
      <c r="BE653" s="179"/>
      <c r="BF653" s="178" t="s">
        <v>1040</v>
      </c>
      <c r="BG653" s="25"/>
      <c r="BH653" s="25"/>
    </row>
    <row r="654" spans="1:60" ht="15" customHeight="1">
      <c r="A654" s="95">
        <v>653</v>
      </c>
      <c r="B654" s="98" t="s">
        <v>1054</v>
      </c>
      <c r="C654" s="191" t="s">
        <v>2663</v>
      </c>
      <c r="D654" s="257" t="s">
        <v>549</v>
      </c>
      <c r="E654" s="459" t="s">
        <v>3377</v>
      </c>
      <c r="F654" s="171">
        <v>1996</v>
      </c>
      <c r="G654" s="171">
        <v>176</v>
      </c>
      <c r="H654" s="57"/>
      <c r="I654" s="173" t="s">
        <v>1743</v>
      </c>
      <c r="J654" s="277">
        <v>0.35</v>
      </c>
      <c r="K654" s="213">
        <v>3.4444444444444446</v>
      </c>
      <c r="L654" s="91"/>
      <c r="M654" s="278">
        <v>486</v>
      </c>
      <c r="N654" s="279"/>
      <c r="O654" s="172" t="s">
        <v>12</v>
      </c>
      <c r="P654" s="511"/>
      <c r="Q654" s="173" t="s">
        <v>10</v>
      </c>
      <c r="R654" s="171" t="s">
        <v>2733</v>
      </c>
      <c r="S654" s="94"/>
      <c r="T654" s="171" t="s">
        <v>2306</v>
      </c>
      <c r="U654" s="171" t="s">
        <v>2310</v>
      </c>
      <c r="V654" s="102">
        <v>0</v>
      </c>
      <c r="W654" s="120">
        <v>0</v>
      </c>
      <c r="X654" s="120">
        <v>0</v>
      </c>
      <c r="Y654" s="120">
        <v>0</v>
      </c>
      <c r="Z654" s="120">
        <v>0</v>
      </c>
      <c r="AA654" s="17">
        <v>0</v>
      </c>
      <c r="AB654" s="17">
        <v>0</v>
      </c>
      <c r="AC654" s="17">
        <v>0</v>
      </c>
      <c r="AD654" s="17">
        <v>0</v>
      </c>
      <c r="AE654" s="17">
        <v>0</v>
      </c>
      <c r="AF654" s="17">
        <v>1.4</v>
      </c>
      <c r="AG654" s="17">
        <v>0</v>
      </c>
      <c r="AH654" s="17">
        <v>0</v>
      </c>
      <c r="AI654" s="17">
        <v>0</v>
      </c>
      <c r="AJ654" s="17">
        <v>0</v>
      </c>
      <c r="AK654" s="17">
        <v>0</v>
      </c>
      <c r="AL654" s="32">
        <v>0</v>
      </c>
      <c r="AM654" s="780">
        <v>72.400000000000006</v>
      </c>
      <c r="AN654" s="89"/>
      <c r="AO654" s="280"/>
      <c r="AP654" s="783">
        <v>33600</v>
      </c>
      <c r="AQ654" s="773" t="s">
        <v>271</v>
      </c>
      <c r="AR654" s="188">
        <v>100</v>
      </c>
      <c r="AS654" s="171"/>
      <c r="AT654" s="171" t="str">
        <f t="shared" si="54"/>
        <v>400</v>
      </c>
      <c r="AU654" s="255">
        <f t="shared" si="55"/>
        <v>22.222222222222221</v>
      </c>
      <c r="AV654" s="172">
        <v>99</v>
      </c>
      <c r="AW654" s="171">
        <v>31</v>
      </c>
      <c r="AX654" s="89"/>
      <c r="AY654" s="171">
        <v>20</v>
      </c>
      <c r="AZ654" s="261"/>
      <c r="BA654" s="175">
        <v>60</v>
      </c>
      <c r="BB654" s="259"/>
      <c r="BC654" s="176" t="s">
        <v>558</v>
      </c>
      <c r="BD654" s="179"/>
      <c r="BE654" s="179"/>
      <c r="BF654" s="178" t="s">
        <v>1040</v>
      </c>
      <c r="BG654" s="25"/>
      <c r="BH654" s="25"/>
    </row>
    <row r="655" spans="1:60" ht="15" customHeight="1">
      <c r="A655" s="95">
        <v>654</v>
      </c>
      <c r="B655" s="98" t="s">
        <v>1053</v>
      </c>
      <c r="C655" s="191" t="s">
        <v>2663</v>
      </c>
      <c r="D655" s="257" t="s">
        <v>549</v>
      </c>
      <c r="E655" s="459" t="s">
        <v>3377</v>
      </c>
      <c r="F655" s="171">
        <v>1996</v>
      </c>
      <c r="G655" s="171">
        <v>176</v>
      </c>
      <c r="H655" s="57"/>
      <c r="I655" s="173" t="s">
        <v>1743</v>
      </c>
      <c r="J655" s="277">
        <v>0.5</v>
      </c>
      <c r="K655" s="213">
        <v>4.8852941176470592</v>
      </c>
      <c r="L655" s="91"/>
      <c r="M655" s="278">
        <v>340</v>
      </c>
      <c r="N655" s="279"/>
      <c r="O655" s="172" t="s">
        <v>12</v>
      </c>
      <c r="P655" s="511"/>
      <c r="Q655" s="173" t="s">
        <v>10</v>
      </c>
      <c r="R655" s="171" t="s">
        <v>2733</v>
      </c>
      <c r="S655" s="94"/>
      <c r="T655" s="171" t="s">
        <v>2306</v>
      </c>
      <c r="U655" s="171" t="s">
        <v>2310</v>
      </c>
      <c r="V655" s="102">
        <v>0</v>
      </c>
      <c r="W655" s="120">
        <v>0</v>
      </c>
      <c r="X655" s="120">
        <f>146/340*100</f>
        <v>42.941176470588232</v>
      </c>
      <c r="Y655" s="120">
        <v>0</v>
      </c>
      <c r="Z655" s="120">
        <v>0</v>
      </c>
      <c r="AA655" s="17">
        <v>0</v>
      </c>
      <c r="AB655" s="17">
        <v>0</v>
      </c>
      <c r="AC655" s="17">
        <v>0</v>
      </c>
      <c r="AD655" s="17">
        <v>0</v>
      </c>
      <c r="AE655" s="17">
        <v>0</v>
      </c>
      <c r="AF655" s="17">
        <v>1.21</v>
      </c>
      <c r="AG655" s="17">
        <v>0</v>
      </c>
      <c r="AH655" s="17">
        <v>0</v>
      </c>
      <c r="AI655" s="17">
        <v>0</v>
      </c>
      <c r="AJ655" s="17">
        <v>0</v>
      </c>
      <c r="AK655" s="17">
        <v>0</v>
      </c>
      <c r="AL655" s="32">
        <v>0</v>
      </c>
      <c r="AM655" s="780">
        <v>80.099999999999994</v>
      </c>
      <c r="AN655" s="89"/>
      <c r="AO655" s="280"/>
      <c r="AP655" s="783">
        <v>35900</v>
      </c>
      <c r="AQ655" s="773" t="s">
        <v>271</v>
      </c>
      <c r="AR655" s="188">
        <v>100</v>
      </c>
      <c r="AS655" s="171"/>
      <c r="AT655" s="171" t="str">
        <f t="shared" si="54"/>
        <v>400</v>
      </c>
      <c r="AU655" s="255">
        <f t="shared" si="55"/>
        <v>22.222222222222221</v>
      </c>
      <c r="AV655" s="172">
        <v>99</v>
      </c>
      <c r="AW655" s="171">
        <v>31</v>
      </c>
      <c r="AX655" s="89"/>
      <c r="AY655" s="171">
        <v>20</v>
      </c>
      <c r="AZ655" s="261"/>
      <c r="BA655" s="175">
        <v>60</v>
      </c>
      <c r="BB655" s="259"/>
      <c r="BC655" s="176" t="s">
        <v>558</v>
      </c>
      <c r="BD655" s="179"/>
      <c r="BE655" s="179"/>
      <c r="BF655" s="178" t="s">
        <v>1040</v>
      </c>
      <c r="BG655" s="25"/>
      <c r="BH655" s="25"/>
    </row>
    <row r="656" spans="1:60" ht="15" customHeight="1">
      <c r="A656" s="95">
        <v>655</v>
      </c>
      <c r="B656" s="98" t="s">
        <v>1052</v>
      </c>
      <c r="C656" s="191" t="s">
        <v>2663</v>
      </c>
      <c r="D656" s="257" t="s">
        <v>549</v>
      </c>
      <c r="E656" s="459" t="s">
        <v>3377</v>
      </c>
      <c r="F656" s="171">
        <v>1996</v>
      </c>
      <c r="G656" s="171">
        <v>176</v>
      </c>
      <c r="H656" s="57"/>
      <c r="I656" s="173" t="s">
        <v>1743</v>
      </c>
      <c r="J656" s="277">
        <v>0.5</v>
      </c>
      <c r="K656" s="213">
        <v>4.7470588235294118</v>
      </c>
      <c r="L656" s="91"/>
      <c r="M656" s="278">
        <v>340</v>
      </c>
      <c r="N656" s="279"/>
      <c r="O656" s="172" t="s">
        <v>12</v>
      </c>
      <c r="P656" s="511"/>
      <c r="Q656" s="173" t="s">
        <v>10</v>
      </c>
      <c r="R656" s="171" t="s">
        <v>2733</v>
      </c>
      <c r="S656" s="94"/>
      <c r="T656" s="171" t="s">
        <v>2306</v>
      </c>
      <c r="U656" s="171" t="s">
        <v>2310</v>
      </c>
      <c r="V656" s="102">
        <v>0</v>
      </c>
      <c r="W656" s="120">
        <f>146/340*100</f>
        <v>42.941176470588232</v>
      </c>
      <c r="X656" s="120">
        <v>0</v>
      </c>
      <c r="Y656" s="120">
        <v>0</v>
      </c>
      <c r="Z656" s="120">
        <v>0</v>
      </c>
      <c r="AA656" s="17">
        <v>0</v>
      </c>
      <c r="AB656" s="17">
        <v>0</v>
      </c>
      <c r="AC656" s="17">
        <v>0</v>
      </c>
      <c r="AD656" s="17">
        <v>0</v>
      </c>
      <c r="AE656" s="17">
        <v>0</v>
      </c>
      <c r="AF656" s="17">
        <v>1.26</v>
      </c>
      <c r="AG656" s="17">
        <v>0</v>
      </c>
      <c r="AH656" s="17">
        <v>0</v>
      </c>
      <c r="AI656" s="17">
        <v>0</v>
      </c>
      <c r="AJ656" s="17">
        <v>0</v>
      </c>
      <c r="AK656" s="17">
        <v>0</v>
      </c>
      <c r="AL656" s="32">
        <v>0</v>
      </c>
      <c r="AM656" s="780">
        <v>68.3</v>
      </c>
      <c r="AN656" s="89"/>
      <c r="AO656" s="280"/>
      <c r="AP656" s="783">
        <v>30900</v>
      </c>
      <c r="AQ656" s="773" t="s">
        <v>271</v>
      </c>
      <c r="AR656" s="188">
        <v>100</v>
      </c>
      <c r="AS656" s="171"/>
      <c r="AT656" s="171" t="str">
        <f t="shared" si="54"/>
        <v>400</v>
      </c>
      <c r="AU656" s="255">
        <f t="shared" si="55"/>
        <v>22.222222222222221</v>
      </c>
      <c r="AV656" s="172">
        <v>99</v>
      </c>
      <c r="AW656" s="171">
        <v>31</v>
      </c>
      <c r="AX656" s="89"/>
      <c r="AY656" s="171">
        <v>20</v>
      </c>
      <c r="AZ656" s="261"/>
      <c r="BA656" s="175">
        <v>60</v>
      </c>
      <c r="BB656" s="259"/>
      <c r="BC656" s="176" t="s">
        <v>558</v>
      </c>
      <c r="BD656" s="179"/>
      <c r="BE656" s="179"/>
      <c r="BF656" s="178" t="s">
        <v>1040</v>
      </c>
      <c r="BG656" s="25"/>
      <c r="BH656" s="25"/>
    </row>
    <row r="657" spans="1:60" ht="15" customHeight="1">
      <c r="A657" s="95">
        <v>656</v>
      </c>
      <c r="B657" s="98" t="s">
        <v>1051</v>
      </c>
      <c r="C657" s="191" t="s">
        <v>2663</v>
      </c>
      <c r="D657" s="257" t="s">
        <v>549</v>
      </c>
      <c r="E657" s="459" t="s">
        <v>3377</v>
      </c>
      <c r="F657" s="171">
        <v>1996</v>
      </c>
      <c r="G657" s="171">
        <v>176</v>
      </c>
      <c r="H657" s="57"/>
      <c r="I657" s="173" t="s">
        <v>1743</v>
      </c>
      <c r="J657" s="277">
        <v>0.5</v>
      </c>
      <c r="K657" s="213">
        <v>4.8529411764705879</v>
      </c>
      <c r="L657" s="91"/>
      <c r="M657" s="278">
        <v>340</v>
      </c>
      <c r="N657" s="279"/>
      <c r="O657" s="172" t="s">
        <v>12</v>
      </c>
      <c r="P657" s="511"/>
      <c r="Q657" s="173" t="s">
        <v>10</v>
      </c>
      <c r="R657" s="171" t="s">
        <v>2733</v>
      </c>
      <c r="S657" s="94"/>
      <c r="T657" s="171" t="s">
        <v>2306</v>
      </c>
      <c r="U657" s="171" t="s">
        <v>2310</v>
      </c>
      <c r="V657" s="102">
        <v>0</v>
      </c>
      <c r="W657" s="120">
        <v>0</v>
      </c>
      <c r="X657" s="120">
        <v>0</v>
      </c>
      <c r="Y657" s="120">
        <v>0</v>
      </c>
      <c r="Z657" s="120">
        <v>0</v>
      </c>
      <c r="AA657" s="17">
        <v>0</v>
      </c>
      <c r="AB657" s="17">
        <v>43</v>
      </c>
      <c r="AC657" s="17">
        <v>0</v>
      </c>
      <c r="AD657" s="17">
        <v>0</v>
      </c>
      <c r="AE657" s="17">
        <v>0</v>
      </c>
      <c r="AF657" s="17">
        <v>1.1000000000000001</v>
      </c>
      <c r="AG657" s="17">
        <v>0</v>
      </c>
      <c r="AH657" s="17">
        <v>0</v>
      </c>
      <c r="AI657" s="17">
        <v>0</v>
      </c>
      <c r="AJ657" s="17">
        <v>0</v>
      </c>
      <c r="AK657" s="17">
        <v>0</v>
      </c>
      <c r="AL657" s="32" t="s">
        <v>2541</v>
      </c>
      <c r="AM657" s="780">
        <v>59.3</v>
      </c>
      <c r="AN657" s="89"/>
      <c r="AO657" s="280"/>
      <c r="AP657" s="783">
        <v>31400</v>
      </c>
      <c r="AQ657" s="773" t="s">
        <v>271</v>
      </c>
      <c r="AR657" s="188">
        <v>100</v>
      </c>
      <c r="AS657" s="171"/>
      <c r="AT657" s="171" t="str">
        <f t="shared" si="54"/>
        <v>400</v>
      </c>
      <c r="AU657" s="255">
        <f t="shared" si="55"/>
        <v>22.222222222222221</v>
      </c>
      <c r="AV657" s="172">
        <v>99</v>
      </c>
      <c r="AW657" s="171">
        <v>31</v>
      </c>
      <c r="AX657" s="89"/>
      <c r="AY657" s="171">
        <v>20</v>
      </c>
      <c r="AZ657" s="261"/>
      <c r="BA657" s="175">
        <v>60</v>
      </c>
      <c r="BB657" s="259"/>
      <c r="BC657" s="176" t="s">
        <v>558</v>
      </c>
      <c r="BD657" s="179"/>
      <c r="BE657" s="179"/>
      <c r="BF657" s="178" t="s">
        <v>1050</v>
      </c>
      <c r="BG657" s="25"/>
      <c r="BH657" s="25"/>
    </row>
    <row r="658" spans="1:60" ht="15" customHeight="1">
      <c r="A658" s="95">
        <v>657</v>
      </c>
      <c r="B658" s="98" t="s">
        <v>1049</v>
      </c>
      <c r="C658" s="191" t="s">
        <v>2663</v>
      </c>
      <c r="D658" s="257" t="s">
        <v>549</v>
      </c>
      <c r="E658" s="459" t="s">
        <v>3377</v>
      </c>
      <c r="F658" s="171">
        <v>1996</v>
      </c>
      <c r="G658" s="171">
        <v>176</v>
      </c>
      <c r="H658" s="57"/>
      <c r="I658" s="173" t="s">
        <v>1743</v>
      </c>
      <c r="J658" s="277">
        <v>0.42</v>
      </c>
      <c r="K658" s="213">
        <v>4.3012345679012345</v>
      </c>
      <c r="L658" s="91"/>
      <c r="M658" s="278">
        <v>405</v>
      </c>
      <c r="N658" s="279"/>
      <c r="O658" s="172" t="s">
        <v>12</v>
      </c>
      <c r="P658" s="511"/>
      <c r="Q658" s="173" t="s">
        <v>10</v>
      </c>
      <c r="R658" s="171" t="s">
        <v>2733</v>
      </c>
      <c r="S658" s="94"/>
      <c r="T658" s="171" t="s">
        <v>2306</v>
      </c>
      <c r="U658" s="171" t="s">
        <v>2310</v>
      </c>
      <c r="V658" s="102">
        <v>0</v>
      </c>
      <c r="W658" s="120">
        <v>0</v>
      </c>
      <c r="X658" s="120">
        <v>0</v>
      </c>
      <c r="Y658" s="120">
        <v>0</v>
      </c>
      <c r="Z658" s="120">
        <v>0</v>
      </c>
      <c r="AA658" s="17">
        <v>0</v>
      </c>
      <c r="AB658" s="17">
        <v>0</v>
      </c>
      <c r="AC658" s="17">
        <v>0</v>
      </c>
      <c r="AD658" s="17">
        <v>0</v>
      </c>
      <c r="AE658" s="17">
        <v>0</v>
      </c>
      <c r="AF658" s="17">
        <v>1.5</v>
      </c>
      <c r="AG658" s="17">
        <v>0</v>
      </c>
      <c r="AH658" s="17">
        <v>0</v>
      </c>
      <c r="AI658" s="17">
        <v>0</v>
      </c>
      <c r="AJ658" s="17">
        <v>0</v>
      </c>
      <c r="AK658" s="17">
        <v>0</v>
      </c>
      <c r="AL658" s="32">
        <v>0</v>
      </c>
      <c r="AM658" s="780">
        <v>61.5</v>
      </c>
      <c r="AN658" s="89"/>
      <c r="AO658" s="280"/>
      <c r="AP658" s="783">
        <v>33000</v>
      </c>
      <c r="AQ658" s="773" t="s">
        <v>271</v>
      </c>
      <c r="AR658" s="188">
        <v>100</v>
      </c>
      <c r="AS658" s="171"/>
      <c r="AT658" s="171" t="str">
        <f t="shared" si="54"/>
        <v>400</v>
      </c>
      <c r="AU658" s="255">
        <f t="shared" si="55"/>
        <v>22.222222222222221</v>
      </c>
      <c r="AV658" s="172">
        <v>99</v>
      </c>
      <c r="AW658" s="171">
        <v>31</v>
      </c>
      <c r="AX658" s="89"/>
      <c r="AY658" s="171">
        <v>20</v>
      </c>
      <c r="AZ658" s="261"/>
      <c r="BA658" s="175">
        <v>60</v>
      </c>
      <c r="BB658" s="259"/>
      <c r="BC658" s="176"/>
      <c r="BD658" s="179"/>
      <c r="BE658" s="179"/>
      <c r="BF658" s="178" t="s">
        <v>1040</v>
      </c>
      <c r="BG658" s="25"/>
      <c r="BH658" s="25"/>
    </row>
    <row r="659" spans="1:60" ht="15" customHeight="1">
      <c r="A659" s="95">
        <v>658</v>
      </c>
      <c r="B659" s="98" t="s">
        <v>1048</v>
      </c>
      <c r="C659" s="191" t="s">
        <v>2663</v>
      </c>
      <c r="D659" s="257" t="s">
        <v>549</v>
      </c>
      <c r="E659" s="459" t="s">
        <v>3377</v>
      </c>
      <c r="F659" s="171">
        <v>1996</v>
      </c>
      <c r="G659" s="171">
        <v>176</v>
      </c>
      <c r="H659" s="57"/>
      <c r="I659" s="173" t="s">
        <v>1743</v>
      </c>
      <c r="J659" s="277">
        <v>0.53</v>
      </c>
      <c r="K659" s="213">
        <v>5.638629283489097</v>
      </c>
      <c r="L659" s="91"/>
      <c r="M659" s="278">
        <v>321</v>
      </c>
      <c r="N659" s="279"/>
      <c r="O659" s="172" t="s">
        <v>12</v>
      </c>
      <c r="P659" s="511"/>
      <c r="Q659" s="173" t="s">
        <v>10</v>
      </c>
      <c r="R659" s="171" t="s">
        <v>2733</v>
      </c>
      <c r="S659" s="94"/>
      <c r="T659" s="171" t="s">
        <v>2306</v>
      </c>
      <c r="U659" s="171" t="s">
        <v>2310</v>
      </c>
      <c r="V659" s="102">
        <v>0</v>
      </c>
      <c r="W659" s="120">
        <v>0</v>
      </c>
      <c r="X659" s="120">
        <v>0</v>
      </c>
      <c r="Y659" s="120">
        <v>0</v>
      </c>
      <c r="Z659" s="120">
        <v>0</v>
      </c>
      <c r="AA659" s="17">
        <v>0</v>
      </c>
      <c r="AB659" s="17">
        <v>0</v>
      </c>
      <c r="AC659" s="17">
        <v>0</v>
      </c>
      <c r="AD659" s="17">
        <v>0</v>
      </c>
      <c r="AE659" s="17">
        <v>0</v>
      </c>
      <c r="AF659" s="17">
        <v>1.5</v>
      </c>
      <c r="AG659" s="17">
        <v>0</v>
      </c>
      <c r="AH659" s="17">
        <v>0</v>
      </c>
      <c r="AI659" s="17">
        <v>0</v>
      </c>
      <c r="AJ659" s="17">
        <v>0</v>
      </c>
      <c r="AK659" s="17">
        <v>0</v>
      </c>
      <c r="AL659" s="32">
        <v>0</v>
      </c>
      <c r="AM659" s="780">
        <v>48.7</v>
      </c>
      <c r="AN659" s="89"/>
      <c r="AO659" s="280"/>
      <c r="AP659" s="783">
        <v>28300</v>
      </c>
      <c r="AQ659" s="773" t="s">
        <v>271</v>
      </c>
      <c r="AR659" s="188">
        <v>100</v>
      </c>
      <c r="AS659" s="171"/>
      <c r="AT659" s="171" t="str">
        <f t="shared" si="54"/>
        <v>400</v>
      </c>
      <c r="AU659" s="255">
        <f t="shared" si="55"/>
        <v>22.222222222222221</v>
      </c>
      <c r="AV659" s="172">
        <v>99</v>
      </c>
      <c r="AW659" s="171">
        <v>31</v>
      </c>
      <c r="AX659" s="89"/>
      <c r="AY659" s="171">
        <v>20</v>
      </c>
      <c r="AZ659" s="261"/>
      <c r="BA659" s="175">
        <v>60</v>
      </c>
      <c r="BB659" s="259"/>
      <c r="BC659" s="176"/>
      <c r="BD659" s="179"/>
      <c r="BE659" s="179"/>
      <c r="BF659" s="178" t="s">
        <v>1040</v>
      </c>
      <c r="BG659" s="25"/>
      <c r="BH659" s="25"/>
    </row>
    <row r="660" spans="1:60" ht="15" customHeight="1">
      <c r="A660" s="95">
        <v>659</v>
      </c>
      <c r="B660" s="98" t="s">
        <v>1047</v>
      </c>
      <c r="C660" s="191" t="s">
        <v>2663</v>
      </c>
      <c r="D660" s="257" t="s">
        <v>549</v>
      </c>
      <c r="E660" s="459" t="s">
        <v>3377</v>
      </c>
      <c r="F660" s="171">
        <v>1996</v>
      </c>
      <c r="G660" s="171">
        <v>176</v>
      </c>
      <c r="H660" s="57"/>
      <c r="I660" s="173" t="s">
        <v>1743</v>
      </c>
      <c r="J660" s="277">
        <v>0.27</v>
      </c>
      <c r="K660" s="213">
        <v>2.5396825396825395</v>
      </c>
      <c r="L660" s="91"/>
      <c r="M660" s="278">
        <v>630</v>
      </c>
      <c r="N660" s="279"/>
      <c r="O660" s="172" t="s">
        <v>12</v>
      </c>
      <c r="P660" s="511"/>
      <c r="Q660" s="173" t="s">
        <v>10</v>
      </c>
      <c r="R660" s="171" t="s">
        <v>2733</v>
      </c>
      <c r="S660" s="94"/>
      <c r="T660" s="171" t="s">
        <v>2306</v>
      </c>
      <c r="U660" s="171" t="s">
        <v>2310</v>
      </c>
      <c r="V660" s="102">
        <v>0</v>
      </c>
      <c r="W660" s="120">
        <v>0</v>
      </c>
      <c r="X660" s="120">
        <v>0</v>
      </c>
      <c r="Y660" s="120">
        <v>0</v>
      </c>
      <c r="Z660" s="120">
        <v>0</v>
      </c>
      <c r="AA660" s="17">
        <v>0</v>
      </c>
      <c r="AB660" s="17">
        <v>0</v>
      </c>
      <c r="AC660" s="17">
        <v>0</v>
      </c>
      <c r="AD660" s="17">
        <v>0</v>
      </c>
      <c r="AE660" s="17">
        <v>0</v>
      </c>
      <c r="AF660" s="17">
        <v>1.1299999999999999</v>
      </c>
      <c r="AG660" s="17">
        <v>0</v>
      </c>
      <c r="AH660" s="17">
        <v>0</v>
      </c>
      <c r="AI660" s="17">
        <v>0</v>
      </c>
      <c r="AJ660" s="17">
        <v>0</v>
      </c>
      <c r="AK660" s="17">
        <v>0</v>
      </c>
      <c r="AL660" s="32">
        <v>0</v>
      </c>
      <c r="AM660" s="780">
        <v>86.9</v>
      </c>
      <c r="AN660" s="89"/>
      <c r="AO660" s="280"/>
      <c r="AP660" s="783">
        <v>35900</v>
      </c>
      <c r="AQ660" s="773" t="s">
        <v>271</v>
      </c>
      <c r="AR660" s="188">
        <v>100</v>
      </c>
      <c r="AS660" s="171"/>
      <c r="AT660" s="171" t="str">
        <f t="shared" si="54"/>
        <v>400</v>
      </c>
      <c r="AU660" s="255">
        <f t="shared" si="55"/>
        <v>22.222222222222221</v>
      </c>
      <c r="AV660" s="172">
        <v>99</v>
      </c>
      <c r="AW660" s="171">
        <v>31</v>
      </c>
      <c r="AX660" s="89"/>
      <c r="AY660" s="171">
        <v>20</v>
      </c>
      <c r="AZ660" s="261"/>
      <c r="BA660" s="175">
        <v>60</v>
      </c>
      <c r="BB660" s="259"/>
      <c r="BC660" s="176" t="s">
        <v>558</v>
      </c>
      <c r="BD660" s="179"/>
      <c r="BE660" s="179"/>
      <c r="BF660" s="178" t="s">
        <v>1040</v>
      </c>
      <c r="BG660" s="25"/>
      <c r="BH660" s="25"/>
    </row>
    <row r="661" spans="1:60" ht="15" customHeight="1">
      <c r="A661" s="95">
        <v>660</v>
      </c>
      <c r="B661" s="98" t="s">
        <v>1046</v>
      </c>
      <c r="C661" s="191" t="s">
        <v>2663</v>
      </c>
      <c r="D661" s="257" t="s">
        <v>549</v>
      </c>
      <c r="E661" s="459" t="s">
        <v>3377</v>
      </c>
      <c r="F661" s="171">
        <v>1996</v>
      </c>
      <c r="G661" s="171">
        <v>176</v>
      </c>
      <c r="H661" s="57"/>
      <c r="I661" s="173" t="s">
        <v>1743</v>
      </c>
      <c r="J661" s="277">
        <v>0.35</v>
      </c>
      <c r="K661" s="213">
        <v>3.4526748971193415</v>
      </c>
      <c r="L661" s="91"/>
      <c r="M661" s="278">
        <v>486</v>
      </c>
      <c r="N661" s="279"/>
      <c r="O661" s="172" t="s">
        <v>12</v>
      </c>
      <c r="P661" s="511"/>
      <c r="Q661" s="173" t="s">
        <v>10</v>
      </c>
      <c r="R661" s="171" t="s">
        <v>2733</v>
      </c>
      <c r="S661" s="94"/>
      <c r="T661" s="171" t="s">
        <v>2306</v>
      </c>
      <c r="U661" s="171" t="s">
        <v>2310</v>
      </c>
      <c r="V661" s="102">
        <v>0</v>
      </c>
      <c r="W661" s="120">
        <v>0</v>
      </c>
      <c r="X661" s="120">
        <v>0</v>
      </c>
      <c r="Y661" s="120">
        <v>0</v>
      </c>
      <c r="Z661" s="120">
        <v>0</v>
      </c>
      <c r="AA661" s="17">
        <v>0</v>
      </c>
      <c r="AB661" s="17">
        <v>0</v>
      </c>
      <c r="AC661" s="17">
        <v>0</v>
      </c>
      <c r="AD661" s="17">
        <v>0</v>
      </c>
      <c r="AE661" s="17">
        <v>0</v>
      </c>
      <c r="AF661" s="17">
        <v>0.74</v>
      </c>
      <c r="AG661" s="17">
        <v>0</v>
      </c>
      <c r="AH661" s="17">
        <v>0</v>
      </c>
      <c r="AI661" s="17">
        <v>0</v>
      </c>
      <c r="AJ661" s="17">
        <v>0</v>
      </c>
      <c r="AK661" s="17">
        <v>0</v>
      </c>
      <c r="AL661" s="32">
        <v>0</v>
      </c>
      <c r="AM661" s="780">
        <v>72.099999999999994</v>
      </c>
      <c r="AN661" s="89"/>
      <c r="AO661" s="280"/>
      <c r="AP661" s="783">
        <v>35500</v>
      </c>
      <c r="AQ661" s="773" t="s">
        <v>271</v>
      </c>
      <c r="AR661" s="188">
        <v>100</v>
      </c>
      <c r="AS661" s="171"/>
      <c r="AT661" s="171" t="str">
        <f t="shared" si="54"/>
        <v>400</v>
      </c>
      <c r="AU661" s="255">
        <f t="shared" si="55"/>
        <v>22.222222222222221</v>
      </c>
      <c r="AV661" s="172">
        <v>99</v>
      </c>
      <c r="AW661" s="171">
        <v>31</v>
      </c>
      <c r="AX661" s="89"/>
      <c r="AY661" s="171">
        <v>20</v>
      </c>
      <c r="AZ661" s="261"/>
      <c r="BA661" s="175">
        <v>60</v>
      </c>
      <c r="BB661" s="259"/>
      <c r="BC661" s="176" t="s">
        <v>558</v>
      </c>
      <c r="BD661" s="179"/>
      <c r="BE661" s="179"/>
      <c r="BF661" s="178" t="s">
        <v>1040</v>
      </c>
      <c r="BG661" s="25"/>
      <c r="BH661" s="25"/>
    </row>
    <row r="662" spans="1:60" ht="15" customHeight="1">
      <c r="A662" s="95">
        <v>661</v>
      </c>
      <c r="B662" s="98" t="s">
        <v>1045</v>
      </c>
      <c r="C662" s="191" t="s">
        <v>2663</v>
      </c>
      <c r="D662" s="257" t="s">
        <v>549</v>
      </c>
      <c r="E662" s="459" t="s">
        <v>3377</v>
      </c>
      <c r="F662" s="171">
        <v>1996</v>
      </c>
      <c r="G662" s="171">
        <v>176</v>
      </c>
      <c r="H662" s="57"/>
      <c r="I662" s="173" t="s">
        <v>1743</v>
      </c>
      <c r="J662" s="277">
        <v>0.6</v>
      </c>
      <c r="K662" s="213">
        <v>6.2602739726027394</v>
      </c>
      <c r="L662" s="91"/>
      <c r="M662" s="278">
        <v>292</v>
      </c>
      <c r="N662" s="279"/>
      <c r="O662" s="172" t="s">
        <v>12</v>
      </c>
      <c r="P662" s="511"/>
      <c r="Q662" s="173" t="s">
        <v>10</v>
      </c>
      <c r="R662" s="171" t="s">
        <v>2733</v>
      </c>
      <c r="S662" s="94"/>
      <c r="T662" s="171" t="s">
        <v>2306</v>
      </c>
      <c r="U662" s="171" t="s">
        <v>2310</v>
      </c>
      <c r="V662" s="102">
        <v>0</v>
      </c>
      <c r="W662" s="120">
        <v>0</v>
      </c>
      <c r="X662" s="120">
        <v>0</v>
      </c>
      <c r="Y662" s="120">
        <v>0</v>
      </c>
      <c r="Z662" s="120">
        <v>0</v>
      </c>
      <c r="AA662" s="17">
        <v>0</v>
      </c>
      <c r="AB662" s="17">
        <v>0</v>
      </c>
      <c r="AC662" s="17">
        <v>0</v>
      </c>
      <c r="AD662" s="17">
        <v>0</v>
      </c>
      <c r="AE662" s="17">
        <v>0</v>
      </c>
      <c r="AF662" s="17">
        <v>0.24</v>
      </c>
      <c r="AG662" s="17">
        <v>0</v>
      </c>
      <c r="AH662" s="17">
        <v>0</v>
      </c>
      <c r="AI662" s="17">
        <v>0</v>
      </c>
      <c r="AJ662" s="17">
        <v>0</v>
      </c>
      <c r="AK662" s="17">
        <v>0</v>
      </c>
      <c r="AL662" s="32">
        <v>0</v>
      </c>
      <c r="AM662" s="780">
        <v>41.2</v>
      </c>
      <c r="AN662" s="89"/>
      <c r="AO662" s="280"/>
      <c r="AP662" s="783">
        <v>29400</v>
      </c>
      <c r="AQ662" s="773" t="s">
        <v>271</v>
      </c>
      <c r="AR662" s="188">
        <v>100</v>
      </c>
      <c r="AS662" s="171"/>
      <c r="AT662" s="171" t="str">
        <f t="shared" si="54"/>
        <v>400</v>
      </c>
      <c r="AU662" s="255">
        <f t="shared" si="55"/>
        <v>22.222222222222221</v>
      </c>
      <c r="AV662" s="172">
        <v>99</v>
      </c>
      <c r="AW662" s="171">
        <v>31</v>
      </c>
      <c r="AX662" s="89"/>
      <c r="AY662" s="171">
        <v>20</v>
      </c>
      <c r="AZ662" s="261"/>
      <c r="BA662" s="175">
        <v>60</v>
      </c>
      <c r="BB662" s="259"/>
      <c r="BC662" s="176"/>
      <c r="BD662" s="179"/>
      <c r="BE662" s="179"/>
      <c r="BF662" s="178" t="s">
        <v>1040</v>
      </c>
      <c r="BG662" s="25"/>
      <c r="BH662" s="25"/>
    </row>
    <row r="663" spans="1:60" ht="15" customHeight="1">
      <c r="A663" s="95">
        <v>662</v>
      </c>
      <c r="B663" s="98" t="s">
        <v>1044</v>
      </c>
      <c r="C663" s="191" t="s">
        <v>2664</v>
      </c>
      <c r="D663" s="257" t="s">
        <v>549</v>
      </c>
      <c r="E663" s="459" t="s">
        <v>3377</v>
      </c>
      <c r="F663" s="171">
        <v>1996</v>
      </c>
      <c r="G663" s="171">
        <v>177</v>
      </c>
      <c r="H663" s="57"/>
      <c r="I663" s="173" t="s">
        <v>1743</v>
      </c>
      <c r="J663" s="277">
        <v>0.35</v>
      </c>
      <c r="K663" s="213">
        <v>3.5452674897119341</v>
      </c>
      <c r="L663" s="91"/>
      <c r="M663" s="278">
        <v>486</v>
      </c>
      <c r="N663" s="279"/>
      <c r="O663" s="172" t="s">
        <v>120</v>
      </c>
      <c r="P663" s="511"/>
      <c r="Q663" s="173" t="s">
        <v>2532</v>
      </c>
      <c r="R663" s="94"/>
      <c r="S663" s="94"/>
      <c r="T663" s="171" t="s">
        <v>2306</v>
      </c>
      <c r="U663" s="171" t="s">
        <v>2530</v>
      </c>
      <c r="V663" s="102">
        <v>0</v>
      </c>
      <c r="W663" s="120">
        <v>0</v>
      </c>
      <c r="X663" s="120">
        <v>0</v>
      </c>
      <c r="Y663" s="120">
        <v>0</v>
      </c>
      <c r="Z663" s="120">
        <v>0</v>
      </c>
      <c r="AA663" s="17">
        <v>0</v>
      </c>
      <c r="AB663" s="17">
        <v>0</v>
      </c>
      <c r="AC663" s="17">
        <v>0</v>
      </c>
      <c r="AD663" s="17">
        <v>0</v>
      </c>
      <c r="AE663" s="17">
        <v>0</v>
      </c>
      <c r="AF663" s="17">
        <v>0.8</v>
      </c>
      <c r="AG663" s="17">
        <v>0</v>
      </c>
      <c r="AH663" s="17">
        <v>0</v>
      </c>
      <c r="AI663" s="17">
        <v>0</v>
      </c>
      <c r="AJ663" s="17">
        <v>0</v>
      </c>
      <c r="AK663" s="17">
        <v>0</v>
      </c>
      <c r="AL663" s="32">
        <v>0</v>
      </c>
      <c r="AM663" s="57"/>
      <c r="AN663" s="89"/>
      <c r="AO663" s="280"/>
      <c r="AP663" s="784"/>
      <c r="AQ663" s="773" t="s">
        <v>271</v>
      </c>
      <c r="AR663" s="188">
        <v>100</v>
      </c>
      <c r="AS663" s="171"/>
      <c r="AT663" s="171" t="str">
        <f t="shared" si="54"/>
        <v>400</v>
      </c>
      <c r="AU663" s="255">
        <f t="shared" si="55"/>
        <v>22.222222222222221</v>
      </c>
      <c r="AV663" s="172">
        <v>99</v>
      </c>
      <c r="AW663" s="171">
        <v>31</v>
      </c>
      <c r="AX663" s="89"/>
      <c r="AY663" s="171">
        <v>20</v>
      </c>
      <c r="AZ663" s="261"/>
      <c r="BA663" s="175">
        <v>60</v>
      </c>
      <c r="BB663" s="259"/>
      <c r="BC663" s="176"/>
      <c r="BD663" s="179"/>
      <c r="BE663" s="179"/>
      <c r="BF663" s="178" t="s">
        <v>1040</v>
      </c>
      <c r="BG663" s="25"/>
      <c r="BH663" s="25"/>
    </row>
    <row r="664" spans="1:60" ht="15" customHeight="1">
      <c r="A664" s="95">
        <v>663</v>
      </c>
      <c r="B664" s="98" t="s">
        <v>1043</v>
      </c>
      <c r="C664" s="191" t="s">
        <v>2664</v>
      </c>
      <c r="D664" s="257" t="s">
        <v>549</v>
      </c>
      <c r="E664" s="459" t="s">
        <v>3377</v>
      </c>
      <c r="F664" s="171">
        <v>1996</v>
      </c>
      <c r="G664" s="171">
        <v>177</v>
      </c>
      <c r="H664" s="57"/>
      <c r="I664" s="173" t="s">
        <v>1743</v>
      </c>
      <c r="J664" s="277">
        <v>0.35</v>
      </c>
      <c r="K664" s="213">
        <v>3.5041152263374484</v>
      </c>
      <c r="L664" s="91"/>
      <c r="M664" s="278">
        <v>486</v>
      </c>
      <c r="N664" s="279"/>
      <c r="O664" s="172" t="s">
        <v>120</v>
      </c>
      <c r="P664" s="89"/>
      <c r="Q664" s="173" t="s">
        <v>2533</v>
      </c>
      <c r="R664" s="507"/>
      <c r="S664" s="94"/>
      <c r="T664" s="171" t="s">
        <v>2306</v>
      </c>
      <c r="U664" s="171" t="s">
        <v>3345</v>
      </c>
      <c r="V664" s="102">
        <v>0</v>
      </c>
      <c r="W664" s="120">
        <v>0</v>
      </c>
      <c r="X664" s="120" t="s">
        <v>2559</v>
      </c>
      <c r="Y664" s="120">
        <v>0</v>
      </c>
      <c r="Z664" s="120">
        <v>0</v>
      </c>
      <c r="AA664" s="17">
        <v>0</v>
      </c>
      <c r="AB664" s="17">
        <v>0</v>
      </c>
      <c r="AC664" s="17">
        <v>0</v>
      </c>
      <c r="AD664" s="17">
        <v>0</v>
      </c>
      <c r="AE664" s="17">
        <v>0</v>
      </c>
      <c r="AF664" s="17">
        <v>0.8</v>
      </c>
      <c r="AG664" s="17">
        <v>0</v>
      </c>
      <c r="AH664" s="17">
        <v>0</v>
      </c>
      <c r="AI664" s="17">
        <v>0</v>
      </c>
      <c r="AJ664" s="17">
        <v>0</v>
      </c>
      <c r="AK664" s="17">
        <v>0</v>
      </c>
      <c r="AL664" s="32">
        <v>0</v>
      </c>
      <c r="AM664" s="57"/>
      <c r="AN664" s="89"/>
      <c r="AO664" s="280"/>
      <c r="AP664" s="784"/>
      <c r="AQ664" s="773" t="s">
        <v>271</v>
      </c>
      <c r="AR664" s="188">
        <v>100</v>
      </c>
      <c r="AS664" s="171"/>
      <c r="AT664" s="171" t="str">
        <f t="shared" si="54"/>
        <v>400</v>
      </c>
      <c r="AU664" s="255">
        <f t="shared" si="55"/>
        <v>22.222222222222221</v>
      </c>
      <c r="AV664" s="172">
        <v>99</v>
      </c>
      <c r="AW664" s="171">
        <v>31</v>
      </c>
      <c r="AX664" s="89"/>
      <c r="AY664" s="171">
        <v>20</v>
      </c>
      <c r="AZ664" s="261"/>
      <c r="BA664" s="175">
        <v>60</v>
      </c>
      <c r="BB664" s="259"/>
      <c r="BC664" s="176"/>
      <c r="BD664" s="179"/>
      <c r="BE664" s="179"/>
      <c r="BF664" s="178" t="s">
        <v>1040</v>
      </c>
      <c r="BG664" s="25"/>
      <c r="BH664" s="25"/>
    </row>
    <row r="665" spans="1:60" ht="15" customHeight="1">
      <c r="A665" s="95">
        <v>664</v>
      </c>
      <c r="B665" s="98" t="s">
        <v>1042</v>
      </c>
      <c r="C665" s="191" t="s">
        <v>2664</v>
      </c>
      <c r="D665" s="257" t="s">
        <v>549</v>
      </c>
      <c r="E665" s="459" t="s">
        <v>3377</v>
      </c>
      <c r="F665" s="171">
        <v>1996</v>
      </c>
      <c r="G665" s="171">
        <v>177</v>
      </c>
      <c r="H665" s="57"/>
      <c r="I665" s="173" t="s">
        <v>1743</v>
      </c>
      <c r="J665" s="277">
        <v>0.27800000000000002</v>
      </c>
      <c r="K665" s="213">
        <v>2.8142361111111112</v>
      </c>
      <c r="L665" s="91"/>
      <c r="M665" s="278">
        <v>576</v>
      </c>
      <c r="N665" s="279"/>
      <c r="O665" s="172" t="s">
        <v>12</v>
      </c>
      <c r="P665" s="92"/>
      <c r="Q665" s="173" t="s">
        <v>10</v>
      </c>
      <c r="R665" s="507"/>
      <c r="S665" s="94"/>
      <c r="T665" s="171" t="s">
        <v>2306</v>
      </c>
      <c r="U665" s="171" t="s">
        <v>2530</v>
      </c>
      <c r="V665" s="103">
        <f>64/576*100</f>
        <v>11.111111111111111</v>
      </c>
      <c r="W665" s="120">
        <v>0</v>
      </c>
      <c r="X665" s="120">
        <v>0</v>
      </c>
      <c r="Y665" s="120">
        <v>0</v>
      </c>
      <c r="Z665" s="120">
        <v>0</v>
      </c>
      <c r="AA665" s="17">
        <v>0</v>
      </c>
      <c r="AB665" s="17">
        <v>0</v>
      </c>
      <c r="AC665" s="17">
        <v>0</v>
      </c>
      <c r="AD665" s="17">
        <v>0</v>
      </c>
      <c r="AE665" s="17">
        <v>0</v>
      </c>
      <c r="AF665" s="17">
        <v>3.56</v>
      </c>
      <c r="AG665" s="17">
        <v>0</v>
      </c>
      <c r="AH665" s="17">
        <v>0</v>
      </c>
      <c r="AI665" s="17">
        <v>0</v>
      </c>
      <c r="AJ665" s="17">
        <v>0</v>
      </c>
      <c r="AK665" s="17">
        <v>0</v>
      </c>
      <c r="AL665" s="32">
        <v>0</v>
      </c>
      <c r="AM665" s="57"/>
      <c r="AN665" s="89"/>
      <c r="AO665" s="280"/>
      <c r="AP665" s="784"/>
      <c r="AQ665" s="773" t="s">
        <v>271</v>
      </c>
      <c r="AR665" s="188">
        <v>100</v>
      </c>
      <c r="AS665" s="171"/>
      <c r="AT665" s="171" t="str">
        <f t="shared" si="54"/>
        <v>400</v>
      </c>
      <c r="AU665" s="255">
        <f t="shared" si="55"/>
        <v>22.222222222222221</v>
      </c>
      <c r="AV665" s="172">
        <v>99</v>
      </c>
      <c r="AW665" s="171">
        <v>31</v>
      </c>
      <c r="AX665" s="89"/>
      <c r="AY665" s="171">
        <v>20</v>
      </c>
      <c r="AZ665" s="261"/>
      <c r="BA665" s="175">
        <v>60</v>
      </c>
      <c r="BB665" s="259"/>
      <c r="BC665" s="176"/>
      <c r="BD665" s="179"/>
      <c r="BE665" s="179"/>
      <c r="BF665" s="178" t="s">
        <v>1040</v>
      </c>
      <c r="BG665" s="25"/>
      <c r="BH665" s="25"/>
    </row>
    <row r="666" spans="1:60" ht="15" customHeight="1">
      <c r="A666" s="95">
        <v>665</v>
      </c>
      <c r="B666" s="98" t="s">
        <v>1041</v>
      </c>
      <c r="C666" s="191" t="s">
        <v>2664</v>
      </c>
      <c r="D666" s="257" t="s">
        <v>549</v>
      </c>
      <c r="E666" s="459" t="s">
        <v>3377</v>
      </c>
      <c r="F666" s="171">
        <v>1996</v>
      </c>
      <c r="G666" s="171">
        <v>177</v>
      </c>
      <c r="H666" s="57"/>
      <c r="I666" s="173" t="s">
        <v>1743</v>
      </c>
      <c r="J666" s="277">
        <v>0.35</v>
      </c>
      <c r="K666" s="213">
        <v>3.4567901234567899</v>
      </c>
      <c r="L666" s="91"/>
      <c r="M666" s="278">
        <v>486</v>
      </c>
      <c r="N666" s="279"/>
      <c r="O666" s="172" t="s">
        <v>12</v>
      </c>
      <c r="P666" s="92"/>
      <c r="Q666" s="173" t="s">
        <v>10</v>
      </c>
      <c r="R666" s="507"/>
      <c r="S666" s="94"/>
      <c r="T666" s="171" t="s">
        <v>2306</v>
      </c>
      <c r="U666" s="171" t="s">
        <v>2530</v>
      </c>
      <c r="V666" s="102">
        <v>0</v>
      </c>
      <c r="W666" s="120">
        <v>0</v>
      </c>
      <c r="X666" s="120">
        <v>0</v>
      </c>
      <c r="Y666" s="120">
        <v>0</v>
      </c>
      <c r="Z666" s="120">
        <v>0</v>
      </c>
      <c r="AA666" s="17">
        <v>0</v>
      </c>
      <c r="AB666" s="17">
        <v>0</v>
      </c>
      <c r="AC666" s="17">
        <v>0</v>
      </c>
      <c r="AD666" s="17">
        <v>0</v>
      </c>
      <c r="AE666" s="17">
        <v>0</v>
      </c>
      <c r="AF666" s="17">
        <v>0.75</v>
      </c>
      <c r="AG666" s="17">
        <v>0</v>
      </c>
      <c r="AH666" s="17">
        <v>0</v>
      </c>
      <c r="AI666" s="17">
        <v>0</v>
      </c>
      <c r="AJ666" s="17">
        <v>0</v>
      </c>
      <c r="AK666" s="17">
        <v>0</v>
      </c>
      <c r="AL666" s="32">
        <v>0</v>
      </c>
      <c r="AM666" s="57"/>
      <c r="AN666" s="89"/>
      <c r="AO666" s="280"/>
      <c r="AP666" s="784"/>
      <c r="AQ666" s="773" t="s">
        <v>271</v>
      </c>
      <c r="AR666" s="188">
        <v>100</v>
      </c>
      <c r="AS666" s="171"/>
      <c r="AT666" s="171" t="str">
        <f t="shared" si="54"/>
        <v>400</v>
      </c>
      <c r="AU666" s="255">
        <f t="shared" si="55"/>
        <v>22.222222222222221</v>
      </c>
      <c r="AV666" s="172">
        <v>99</v>
      </c>
      <c r="AW666" s="171">
        <v>31</v>
      </c>
      <c r="AX666" s="89"/>
      <c r="AY666" s="171">
        <v>20</v>
      </c>
      <c r="AZ666" s="261"/>
      <c r="BA666" s="175">
        <v>60</v>
      </c>
      <c r="BB666" s="259"/>
      <c r="BC666" s="176"/>
      <c r="BD666" s="179"/>
      <c r="BE666" s="179"/>
      <c r="BF666" s="178" t="s">
        <v>1040</v>
      </c>
      <c r="BG666" s="25"/>
      <c r="BH666" s="25"/>
    </row>
    <row r="667" spans="1:60" ht="15" customHeight="1">
      <c r="A667" s="95">
        <v>666</v>
      </c>
      <c r="B667" s="98" t="s">
        <v>1039</v>
      </c>
      <c r="C667" s="191" t="s">
        <v>2648</v>
      </c>
      <c r="D667" s="257" t="s">
        <v>549</v>
      </c>
      <c r="E667" s="459" t="s">
        <v>3377</v>
      </c>
      <c r="F667" s="171">
        <v>1997</v>
      </c>
      <c r="G667" s="171">
        <v>178</v>
      </c>
      <c r="H667" s="57"/>
      <c r="I667" s="173" t="s">
        <v>1743</v>
      </c>
      <c r="J667" s="277">
        <v>0.6</v>
      </c>
      <c r="K667" s="213">
        <v>5.4414414414414418</v>
      </c>
      <c r="L667" s="91"/>
      <c r="M667" s="278">
        <v>333</v>
      </c>
      <c r="N667" s="279"/>
      <c r="O667" s="172" t="s">
        <v>12</v>
      </c>
      <c r="P667" s="92"/>
      <c r="Q667" s="173" t="s">
        <v>10</v>
      </c>
      <c r="R667" s="507"/>
      <c r="S667" s="94"/>
      <c r="T667" s="171"/>
      <c r="U667" s="171"/>
      <c r="V667" s="102">
        <v>0</v>
      </c>
      <c r="W667" s="120">
        <v>0</v>
      </c>
      <c r="X667" s="120">
        <v>0</v>
      </c>
      <c r="Y667" s="120">
        <v>0</v>
      </c>
      <c r="Z667" s="120">
        <v>0</v>
      </c>
      <c r="AA667" s="17">
        <v>0</v>
      </c>
      <c r="AB667" s="17">
        <v>0</v>
      </c>
      <c r="AC667" s="17">
        <v>0</v>
      </c>
      <c r="AD667" s="17">
        <v>0</v>
      </c>
      <c r="AE667" s="17">
        <v>0</v>
      </c>
      <c r="AF667" s="17">
        <v>0</v>
      </c>
      <c r="AG667" s="17">
        <v>0</v>
      </c>
      <c r="AH667" s="17">
        <v>0</v>
      </c>
      <c r="AI667" s="17">
        <v>0</v>
      </c>
      <c r="AJ667" s="17">
        <v>0</v>
      </c>
      <c r="AK667" s="17">
        <v>0</v>
      </c>
      <c r="AL667" s="32">
        <v>0</v>
      </c>
      <c r="AM667" s="57"/>
      <c r="AN667" s="89"/>
      <c r="AO667" s="171">
        <v>27.8</v>
      </c>
      <c r="AP667" s="784"/>
      <c r="AQ667" s="773" t="s">
        <v>271</v>
      </c>
      <c r="AR667" s="188">
        <v>100</v>
      </c>
      <c r="AS667" s="171"/>
      <c r="AT667" s="171" t="str">
        <f t="shared" si="54"/>
        <v>400</v>
      </c>
      <c r="AU667" s="255">
        <f t="shared" si="55"/>
        <v>22.222222222222221</v>
      </c>
      <c r="AV667" s="172">
        <v>100</v>
      </c>
      <c r="AW667" s="171">
        <v>14</v>
      </c>
      <c r="AX667" s="89"/>
      <c r="AY667" s="171">
        <v>17.7</v>
      </c>
      <c r="AZ667" s="261"/>
      <c r="BA667" s="175">
        <v>60.9</v>
      </c>
      <c r="BB667" s="189" t="s">
        <v>2547</v>
      </c>
      <c r="BC667" s="176"/>
      <c r="BD667" s="179"/>
      <c r="BE667" s="179"/>
      <c r="BF667" s="178"/>
      <c r="BG667" s="25"/>
      <c r="BH667" s="25"/>
    </row>
    <row r="668" spans="1:60" ht="15" customHeight="1">
      <c r="A668" s="95">
        <v>667</v>
      </c>
      <c r="B668" s="98" t="s">
        <v>1038</v>
      </c>
      <c r="C668" s="191" t="s">
        <v>2648</v>
      </c>
      <c r="D668" s="257" t="s">
        <v>549</v>
      </c>
      <c r="E668" s="459" t="s">
        <v>3377</v>
      </c>
      <c r="F668" s="171">
        <v>1997</v>
      </c>
      <c r="G668" s="171">
        <v>178</v>
      </c>
      <c r="H668" s="57"/>
      <c r="I668" s="173" t="s">
        <v>1743</v>
      </c>
      <c r="J668" s="277">
        <v>0.6</v>
      </c>
      <c r="K668" s="213">
        <v>5.4414414414414418</v>
      </c>
      <c r="L668" s="91"/>
      <c r="M668" s="278">
        <v>333</v>
      </c>
      <c r="N668" s="279"/>
      <c r="O668" s="172" t="s">
        <v>12</v>
      </c>
      <c r="P668" s="92"/>
      <c r="Q668" s="173" t="s">
        <v>10</v>
      </c>
      <c r="R668" s="507"/>
      <c r="S668" s="94"/>
      <c r="T668" s="171"/>
      <c r="U668" s="171"/>
      <c r="V668" s="102">
        <v>0</v>
      </c>
      <c r="W668" s="120">
        <v>0</v>
      </c>
      <c r="X668" s="120">
        <v>0</v>
      </c>
      <c r="Y668" s="120">
        <v>0</v>
      </c>
      <c r="Z668" s="120">
        <v>0</v>
      </c>
      <c r="AA668" s="17">
        <v>0</v>
      </c>
      <c r="AB668" s="17">
        <v>0</v>
      </c>
      <c r="AC668" s="17">
        <v>0</v>
      </c>
      <c r="AD668" s="17">
        <v>0</v>
      </c>
      <c r="AE668" s="17">
        <v>0</v>
      </c>
      <c r="AF668" s="17">
        <v>0</v>
      </c>
      <c r="AG668" s="17">
        <v>0</v>
      </c>
      <c r="AH668" s="17">
        <v>0</v>
      </c>
      <c r="AI668" s="17">
        <v>0</v>
      </c>
      <c r="AJ668" s="17">
        <v>0</v>
      </c>
      <c r="AK668" s="17">
        <v>0</v>
      </c>
      <c r="AL668" s="32">
        <v>0</v>
      </c>
      <c r="AM668" s="57"/>
      <c r="AN668" s="89"/>
      <c r="AO668" s="171">
        <v>28.2</v>
      </c>
      <c r="AP668" s="784"/>
      <c r="AQ668" s="773" t="s">
        <v>271</v>
      </c>
      <c r="AR668" s="188">
        <v>100</v>
      </c>
      <c r="AS668" s="171"/>
      <c r="AT668" s="171" t="str">
        <f t="shared" si="54"/>
        <v>400</v>
      </c>
      <c r="AU668" s="255">
        <f t="shared" si="55"/>
        <v>22.222222222222221</v>
      </c>
      <c r="AV668" s="172">
        <v>100</v>
      </c>
      <c r="AW668" s="171">
        <v>14</v>
      </c>
      <c r="AX668" s="89"/>
      <c r="AY668" s="171">
        <v>17.7</v>
      </c>
      <c r="AZ668" s="261"/>
      <c r="BA668" s="175">
        <v>60.9</v>
      </c>
      <c r="BB668" s="189" t="s">
        <v>2547</v>
      </c>
      <c r="BC668" s="176"/>
      <c r="BD668" s="179"/>
      <c r="BE668" s="179"/>
      <c r="BF668" s="178"/>
      <c r="BG668" s="25"/>
      <c r="BH668" s="25"/>
    </row>
    <row r="669" spans="1:60" ht="15" customHeight="1">
      <c r="A669" s="95">
        <v>668</v>
      </c>
      <c r="B669" s="98" t="s">
        <v>1037</v>
      </c>
      <c r="C669" s="191" t="s">
        <v>2648</v>
      </c>
      <c r="D669" s="257" t="s">
        <v>549</v>
      </c>
      <c r="E669" s="459" t="s">
        <v>3377</v>
      </c>
      <c r="F669" s="171">
        <v>1997</v>
      </c>
      <c r="G669" s="171">
        <v>178</v>
      </c>
      <c r="H669" s="57"/>
      <c r="I669" s="173" t="s">
        <v>1743</v>
      </c>
      <c r="J669" s="277">
        <v>0.6</v>
      </c>
      <c r="K669" s="213">
        <v>5.4414414414414418</v>
      </c>
      <c r="L669" s="91"/>
      <c r="M669" s="278">
        <v>333</v>
      </c>
      <c r="N669" s="279"/>
      <c r="O669" s="172" t="s">
        <v>12</v>
      </c>
      <c r="P669" s="92"/>
      <c r="Q669" s="173" t="s">
        <v>10</v>
      </c>
      <c r="R669" s="507"/>
      <c r="S669" s="94"/>
      <c r="T669" s="171"/>
      <c r="U669" s="171"/>
      <c r="V669" s="102">
        <v>0</v>
      </c>
      <c r="W669" s="120">
        <v>0</v>
      </c>
      <c r="X669" s="120">
        <v>0</v>
      </c>
      <c r="Y669" s="120">
        <v>0</v>
      </c>
      <c r="Z669" s="120">
        <v>0</v>
      </c>
      <c r="AA669" s="17">
        <v>0</v>
      </c>
      <c r="AB669" s="17">
        <v>0</v>
      </c>
      <c r="AC669" s="17">
        <v>0</v>
      </c>
      <c r="AD669" s="17">
        <v>0</v>
      </c>
      <c r="AE669" s="17">
        <v>0</v>
      </c>
      <c r="AF669" s="17">
        <v>0</v>
      </c>
      <c r="AG669" s="17">
        <v>0</v>
      </c>
      <c r="AH669" s="17">
        <v>0</v>
      </c>
      <c r="AI669" s="17">
        <v>0</v>
      </c>
      <c r="AJ669" s="17">
        <v>0</v>
      </c>
      <c r="AK669" s="17">
        <v>0</v>
      </c>
      <c r="AL669" s="32">
        <v>0</v>
      </c>
      <c r="AM669" s="57"/>
      <c r="AN669" s="89"/>
      <c r="AO669" s="171">
        <v>31.2</v>
      </c>
      <c r="AP669" s="784"/>
      <c r="AQ669" s="773" t="s">
        <v>271</v>
      </c>
      <c r="AR669" s="188">
        <v>100</v>
      </c>
      <c r="AS669" s="171"/>
      <c r="AT669" s="171" t="str">
        <f t="shared" si="54"/>
        <v>400</v>
      </c>
      <c r="AU669" s="255">
        <f t="shared" si="55"/>
        <v>22.222222222222221</v>
      </c>
      <c r="AV669" s="172">
        <v>100</v>
      </c>
      <c r="AW669" s="171">
        <v>14</v>
      </c>
      <c r="AX669" s="89"/>
      <c r="AY669" s="171">
        <v>17.7</v>
      </c>
      <c r="AZ669" s="261"/>
      <c r="BA669" s="175">
        <v>60.9</v>
      </c>
      <c r="BB669" s="189" t="s">
        <v>2547</v>
      </c>
      <c r="BC669" s="176"/>
      <c r="BD669" s="179"/>
      <c r="BE669" s="179"/>
      <c r="BF669" s="178"/>
      <c r="BG669" s="25"/>
      <c r="BH669" s="25"/>
    </row>
    <row r="670" spans="1:60" ht="15" customHeight="1">
      <c r="A670" s="95">
        <v>669</v>
      </c>
      <c r="B670" s="98" t="s">
        <v>1036</v>
      </c>
      <c r="C670" s="191" t="s">
        <v>2648</v>
      </c>
      <c r="D670" s="257" t="s">
        <v>549</v>
      </c>
      <c r="E670" s="459" t="s">
        <v>3377</v>
      </c>
      <c r="F670" s="171">
        <v>1997</v>
      </c>
      <c r="G670" s="171">
        <v>178</v>
      </c>
      <c r="H670" s="57"/>
      <c r="I670" s="173" t="s">
        <v>1743</v>
      </c>
      <c r="J670" s="277">
        <v>0.6</v>
      </c>
      <c r="K670" s="213">
        <v>5.4414414414414418</v>
      </c>
      <c r="L670" s="91"/>
      <c r="M670" s="278">
        <v>333</v>
      </c>
      <c r="N670" s="279"/>
      <c r="O670" s="172" t="s">
        <v>12</v>
      </c>
      <c r="P670" s="92"/>
      <c r="Q670" s="173" t="s">
        <v>10</v>
      </c>
      <c r="R670" s="94"/>
      <c r="S670" s="94"/>
      <c r="T670" s="171"/>
      <c r="U670" s="171"/>
      <c r="V670" s="102">
        <v>0</v>
      </c>
      <c r="W670" s="120">
        <v>0</v>
      </c>
      <c r="X670" s="120">
        <v>0</v>
      </c>
      <c r="Y670" s="120">
        <v>0</v>
      </c>
      <c r="Z670" s="120">
        <v>0</v>
      </c>
      <c r="AA670" s="17">
        <v>0</v>
      </c>
      <c r="AB670" s="17">
        <v>0</v>
      </c>
      <c r="AC670" s="17">
        <v>0</v>
      </c>
      <c r="AD670" s="17">
        <v>0</v>
      </c>
      <c r="AE670" s="17">
        <v>0</v>
      </c>
      <c r="AF670" s="17">
        <v>0</v>
      </c>
      <c r="AG670" s="17">
        <v>0</v>
      </c>
      <c r="AH670" s="17">
        <v>0</v>
      </c>
      <c r="AI670" s="17">
        <v>0</v>
      </c>
      <c r="AJ670" s="17">
        <v>0</v>
      </c>
      <c r="AK670" s="17">
        <v>0</v>
      </c>
      <c r="AL670" s="32">
        <v>0</v>
      </c>
      <c r="AM670" s="57"/>
      <c r="AN670" s="89"/>
      <c r="AO670" s="171">
        <v>32.6</v>
      </c>
      <c r="AP670" s="784"/>
      <c r="AQ670" s="773" t="s">
        <v>271</v>
      </c>
      <c r="AR670" s="188">
        <v>100</v>
      </c>
      <c r="AS670" s="171"/>
      <c r="AT670" s="171" t="str">
        <f t="shared" si="54"/>
        <v>400</v>
      </c>
      <c r="AU670" s="255">
        <f t="shared" si="55"/>
        <v>22.222222222222221</v>
      </c>
      <c r="AV670" s="172">
        <v>100</v>
      </c>
      <c r="AW670" s="171">
        <v>14</v>
      </c>
      <c r="AX670" s="89"/>
      <c r="AY670" s="171">
        <v>17.7</v>
      </c>
      <c r="AZ670" s="261"/>
      <c r="BA670" s="175">
        <v>60.9</v>
      </c>
      <c r="BB670" s="189" t="s">
        <v>2547</v>
      </c>
      <c r="BC670" s="176"/>
      <c r="BD670" s="179"/>
      <c r="BE670" s="179"/>
      <c r="BF670" s="178"/>
      <c r="BG670" s="25"/>
      <c r="BH670" s="25"/>
    </row>
    <row r="671" spans="1:60" ht="15" customHeight="1">
      <c r="A671" s="95">
        <v>670</v>
      </c>
      <c r="B671" s="98" t="s">
        <v>1035</v>
      </c>
      <c r="C671" s="191" t="s">
        <v>2648</v>
      </c>
      <c r="D671" s="257" t="s">
        <v>549</v>
      </c>
      <c r="E671" s="459" t="s">
        <v>3377</v>
      </c>
      <c r="F671" s="171">
        <v>1997</v>
      </c>
      <c r="G671" s="171">
        <v>178</v>
      </c>
      <c r="H671" s="57"/>
      <c r="I671" s="173" t="s">
        <v>1743</v>
      </c>
      <c r="J671" s="277">
        <v>0.6</v>
      </c>
      <c r="K671" s="213">
        <v>5.4414414414414418</v>
      </c>
      <c r="L671" s="91"/>
      <c r="M671" s="278">
        <v>333</v>
      </c>
      <c r="N671" s="279"/>
      <c r="O671" s="172" t="s">
        <v>12</v>
      </c>
      <c r="P671" s="92"/>
      <c r="Q671" s="173" t="s">
        <v>10</v>
      </c>
      <c r="R671" s="94"/>
      <c r="S671" s="94"/>
      <c r="T671" s="171"/>
      <c r="U671" s="171"/>
      <c r="V671" s="102">
        <v>0</v>
      </c>
      <c r="W671" s="120">
        <v>0</v>
      </c>
      <c r="X671" s="120">
        <v>0</v>
      </c>
      <c r="Y671" s="120">
        <v>0</v>
      </c>
      <c r="Z671" s="120">
        <v>0</v>
      </c>
      <c r="AA671" s="17">
        <v>0</v>
      </c>
      <c r="AB671" s="17">
        <v>0</v>
      </c>
      <c r="AC671" s="17">
        <v>0</v>
      </c>
      <c r="AD671" s="17">
        <v>0</v>
      </c>
      <c r="AE671" s="17">
        <v>0</v>
      </c>
      <c r="AF671" s="17">
        <v>0</v>
      </c>
      <c r="AG671" s="17">
        <v>0</v>
      </c>
      <c r="AH671" s="17">
        <v>0</v>
      </c>
      <c r="AI671" s="17">
        <v>0</v>
      </c>
      <c r="AJ671" s="17">
        <v>0</v>
      </c>
      <c r="AK671" s="17">
        <v>0</v>
      </c>
      <c r="AL671" s="32">
        <v>0</v>
      </c>
      <c r="AM671" s="780">
        <v>36.9</v>
      </c>
      <c r="AN671" s="89"/>
      <c r="AO671" s="280"/>
      <c r="AP671" s="784"/>
      <c r="AQ671" s="773" t="s">
        <v>271</v>
      </c>
      <c r="AR671" s="188">
        <v>100</v>
      </c>
      <c r="AS671" s="171"/>
      <c r="AT671" s="171" t="str">
        <f t="shared" ref="AT671:AT692" si="56">RIGHT(AQ671,LEN(AQ671)-FIND("x",AQ671,8))</f>
        <v>400</v>
      </c>
      <c r="AU671" s="255">
        <f t="shared" ref="AU671:AU692" si="57">IF(ISBLANK(AS671),(AR671*AT671)/((4*AT671)+(2*AR671)),AR671*AS671*AT671/2/(AR671*AS671+AR671*AT671+AS671*AT671))</f>
        <v>22.222222222222221</v>
      </c>
      <c r="AV671" s="172">
        <v>100</v>
      </c>
      <c r="AW671" s="171">
        <v>14</v>
      </c>
      <c r="AX671" s="89"/>
      <c r="AY671" s="171">
        <v>17.7</v>
      </c>
      <c r="AZ671" s="261"/>
      <c r="BA671" s="175">
        <v>60.9</v>
      </c>
      <c r="BB671" s="189" t="s">
        <v>2547</v>
      </c>
      <c r="BC671" s="176"/>
      <c r="BD671" s="179"/>
      <c r="BE671" s="179"/>
      <c r="BF671" s="178"/>
      <c r="BG671" s="25"/>
      <c r="BH671" s="25"/>
    </row>
    <row r="672" spans="1:60" ht="15" customHeight="1">
      <c r="A672" s="95">
        <v>671</v>
      </c>
      <c r="B672" s="98" t="s">
        <v>1034</v>
      </c>
      <c r="C672" s="191" t="s">
        <v>2648</v>
      </c>
      <c r="D672" s="257" t="s">
        <v>549</v>
      </c>
      <c r="E672" s="459" t="s">
        <v>3377</v>
      </c>
      <c r="F672" s="171">
        <v>1997</v>
      </c>
      <c r="G672" s="171">
        <v>178</v>
      </c>
      <c r="H672" s="57"/>
      <c r="I672" s="173" t="s">
        <v>1743</v>
      </c>
      <c r="J672" s="277">
        <v>0.6</v>
      </c>
      <c r="K672" s="213">
        <v>5.4414414414414418</v>
      </c>
      <c r="L672" s="91"/>
      <c r="M672" s="278">
        <v>333</v>
      </c>
      <c r="N672" s="279"/>
      <c r="O672" s="172" t="s">
        <v>12</v>
      </c>
      <c r="P672" s="92"/>
      <c r="Q672" s="173" t="s">
        <v>10</v>
      </c>
      <c r="R672" s="94"/>
      <c r="S672" s="94"/>
      <c r="T672" s="171"/>
      <c r="U672" s="171"/>
      <c r="V672" s="102">
        <v>0</v>
      </c>
      <c r="W672" s="120">
        <v>0</v>
      </c>
      <c r="X672" s="120">
        <v>0</v>
      </c>
      <c r="Y672" s="120">
        <v>0</v>
      </c>
      <c r="Z672" s="120">
        <v>0</v>
      </c>
      <c r="AA672" s="17">
        <v>0</v>
      </c>
      <c r="AB672" s="17">
        <v>0</v>
      </c>
      <c r="AC672" s="17">
        <v>0</v>
      </c>
      <c r="AD672" s="17">
        <v>0</v>
      </c>
      <c r="AE672" s="17">
        <v>0</v>
      </c>
      <c r="AF672" s="17">
        <v>0</v>
      </c>
      <c r="AG672" s="17">
        <v>0</v>
      </c>
      <c r="AH672" s="17">
        <v>0</v>
      </c>
      <c r="AI672" s="17">
        <v>0</v>
      </c>
      <c r="AJ672" s="17">
        <v>0</v>
      </c>
      <c r="AK672" s="17">
        <v>0</v>
      </c>
      <c r="AL672" s="32">
        <v>0</v>
      </c>
      <c r="AM672" s="780">
        <v>36.9</v>
      </c>
      <c r="AN672" s="89"/>
      <c r="AO672" s="280"/>
      <c r="AP672" s="784"/>
      <c r="AQ672" s="773" t="s">
        <v>271</v>
      </c>
      <c r="AR672" s="188">
        <v>100</v>
      </c>
      <c r="AS672" s="171"/>
      <c r="AT672" s="171" t="str">
        <f t="shared" si="56"/>
        <v>400</v>
      </c>
      <c r="AU672" s="255">
        <f t="shared" si="57"/>
        <v>22.222222222222221</v>
      </c>
      <c r="AV672" s="172">
        <v>100</v>
      </c>
      <c r="AW672" s="171">
        <v>14</v>
      </c>
      <c r="AX672" s="89"/>
      <c r="AY672" s="171">
        <v>17.7</v>
      </c>
      <c r="AZ672" s="261"/>
      <c r="BA672" s="175">
        <v>60.9</v>
      </c>
      <c r="BB672" s="189" t="s">
        <v>2547</v>
      </c>
      <c r="BC672" s="176"/>
      <c r="BD672" s="179"/>
      <c r="BE672" s="179"/>
      <c r="BF672" s="178"/>
      <c r="BG672" s="25"/>
      <c r="BH672" s="25"/>
    </row>
    <row r="673" spans="1:60" ht="15" customHeight="1">
      <c r="A673" s="95">
        <v>672</v>
      </c>
      <c r="B673" s="98" t="s">
        <v>1033</v>
      </c>
      <c r="C673" s="191" t="s">
        <v>2648</v>
      </c>
      <c r="D673" s="257" t="s">
        <v>549</v>
      </c>
      <c r="E673" s="459" t="s">
        <v>3377</v>
      </c>
      <c r="F673" s="171">
        <v>1997</v>
      </c>
      <c r="G673" s="171">
        <v>178</v>
      </c>
      <c r="H673" s="57"/>
      <c r="I673" s="173" t="s">
        <v>1743</v>
      </c>
      <c r="J673" s="277">
        <v>0.6</v>
      </c>
      <c r="K673" s="213">
        <v>5.4414414414414418</v>
      </c>
      <c r="L673" s="91"/>
      <c r="M673" s="278">
        <v>333</v>
      </c>
      <c r="N673" s="279"/>
      <c r="O673" s="172" t="s">
        <v>12</v>
      </c>
      <c r="P673" s="92"/>
      <c r="Q673" s="173" t="s">
        <v>10</v>
      </c>
      <c r="R673" s="94"/>
      <c r="S673" s="94"/>
      <c r="T673" s="171"/>
      <c r="U673" s="171"/>
      <c r="V673" s="102">
        <v>0</v>
      </c>
      <c r="W673" s="120">
        <v>0</v>
      </c>
      <c r="X673" s="120">
        <v>0</v>
      </c>
      <c r="Y673" s="120">
        <v>0</v>
      </c>
      <c r="Z673" s="120">
        <v>0</v>
      </c>
      <c r="AA673" s="17">
        <v>0</v>
      </c>
      <c r="AB673" s="17">
        <v>0</v>
      </c>
      <c r="AC673" s="17">
        <v>0</v>
      </c>
      <c r="AD673" s="17">
        <v>0</v>
      </c>
      <c r="AE673" s="17">
        <v>0</v>
      </c>
      <c r="AF673" s="17">
        <v>0</v>
      </c>
      <c r="AG673" s="17">
        <v>0</v>
      </c>
      <c r="AH673" s="17">
        <v>0</v>
      </c>
      <c r="AI673" s="17">
        <v>0</v>
      </c>
      <c r="AJ673" s="17">
        <v>0</v>
      </c>
      <c r="AK673" s="17">
        <v>0</v>
      </c>
      <c r="AL673" s="32">
        <v>0</v>
      </c>
      <c r="AM673" s="780">
        <v>36.9</v>
      </c>
      <c r="AN673" s="89"/>
      <c r="AO673" s="280"/>
      <c r="AP673" s="784"/>
      <c r="AQ673" s="773" t="s">
        <v>271</v>
      </c>
      <c r="AR673" s="188">
        <v>100</v>
      </c>
      <c r="AS673" s="171"/>
      <c r="AT673" s="171" t="str">
        <f t="shared" si="56"/>
        <v>400</v>
      </c>
      <c r="AU673" s="255">
        <f t="shared" si="57"/>
        <v>22.222222222222221</v>
      </c>
      <c r="AV673" s="172">
        <v>100</v>
      </c>
      <c r="AW673" s="171">
        <v>14</v>
      </c>
      <c r="AX673" s="89"/>
      <c r="AY673" s="171">
        <v>17.7</v>
      </c>
      <c r="AZ673" s="261"/>
      <c r="BA673" s="175">
        <v>60.9</v>
      </c>
      <c r="BB673" s="189" t="s">
        <v>2547</v>
      </c>
      <c r="BC673" s="176"/>
      <c r="BD673" s="179"/>
      <c r="BE673" s="179"/>
      <c r="BF673" s="178"/>
      <c r="BG673" s="25"/>
      <c r="BH673" s="25"/>
    </row>
    <row r="674" spans="1:60" ht="15" customHeight="1">
      <c r="A674" s="95">
        <v>673</v>
      </c>
      <c r="B674" s="98" t="s">
        <v>1032</v>
      </c>
      <c r="C674" s="191" t="s">
        <v>2648</v>
      </c>
      <c r="D674" s="257" t="s">
        <v>549</v>
      </c>
      <c r="E674" s="459" t="s">
        <v>3377</v>
      </c>
      <c r="F674" s="171">
        <v>1997</v>
      </c>
      <c r="G674" s="171">
        <v>178</v>
      </c>
      <c r="H674" s="57"/>
      <c r="I674" s="173" t="s">
        <v>1743</v>
      </c>
      <c r="J674" s="277">
        <v>0.6</v>
      </c>
      <c r="K674" s="213">
        <v>5.4414414414414418</v>
      </c>
      <c r="L674" s="91"/>
      <c r="M674" s="278">
        <v>333</v>
      </c>
      <c r="N674" s="279"/>
      <c r="O674" s="172" t="s">
        <v>12</v>
      </c>
      <c r="P674" s="92"/>
      <c r="Q674" s="173" t="s">
        <v>10</v>
      </c>
      <c r="R674" s="94"/>
      <c r="S674" s="94"/>
      <c r="T674" s="171"/>
      <c r="U674" s="171"/>
      <c r="V674" s="102">
        <v>0</v>
      </c>
      <c r="W674" s="120">
        <v>0</v>
      </c>
      <c r="X674" s="120">
        <v>0</v>
      </c>
      <c r="Y674" s="120">
        <v>0</v>
      </c>
      <c r="Z674" s="120">
        <v>0</v>
      </c>
      <c r="AA674" s="17">
        <v>0</v>
      </c>
      <c r="AB674" s="17">
        <v>0</v>
      </c>
      <c r="AC674" s="17">
        <v>0</v>
      </c>
      <c r="AD674" s="17">
        <v>0</v>
      </c>
      <c r="AE674" s="17">
        <v>0</v>
      </c>
      <c r="AF674" s="17">
        <v>0</v>
      </c>
      <c r="AG674" s="17">
        <v>0</v>
      </c>
      <c r="AH674" s="17">
        <v>0</v>
      </c>
      <c r="AI674" s="17">
        <v>0</v>
      </c>
      <c r="AJ674" s="17">
        <v>0</v>
      </c>
      <c r="AK674" s="17">
        <v>0</v>
      </c>
      <c r="AL674" s="32">
        <v>0</v>
      </c>
      <c r="AM674" s="780">
        <v>36.9</v>
      </c>
      <c r="AN674" s="89"/>
      <c r="AO674" s="280"/>
      <c r="AP674" s="784"/>
      <c r="AQ674" s="773" t="s">
        <v>271</v>
      </c>
      <c r="AR674" s="188">
        <v>100</v>
      </c>
      <c r="AS674" s="171"/>
      <c r="AT674" s="171" t="str">
        <f t="shared" si="56"/>
        <v>400</v>
      </c>
      <c r="AU674" s="255">
        <f t="shared" si="57"/>
        <v>22.222222222222221</v>
      </c>
      <c r="AV674" s="172">
        <v>100</v>
      </c>
      <c r="AW674" s="171">
        <v>14</v>
      </c>
      <c r="AX674" s="89"/>
      <c r="AY674" s="171">
        <v>17.7</v>
      </c>
      <c r="AZ674" s="261"/>
      <c r="BA674" s="175">
        <v>60.9</v>
      </c>
      <c r="BB674" s="189" t="s">
        <v>2547</v>
      </c>
      <c r="BC674" s="176"/>
      <c r="BD674" s="179"/>
      <c r="BE674" s="179"/>
      <c r="BF674" s="178"/>
      <c r="BG674" s="25"/>
      <c r="BH674" s="25"/>
    </row>
    <row r="675" spans="1:60" ht="15" customHeight="1">
      <c r="A675" s="95">
        <v>674</v>
      </c>
      <c r="B675" s="98" t="s">
        <v>1031</v>
      </c>
      <c r="C675" s="191" t="s">
        <v>2648</v>
      </c>
      <c r="D675" s="257" t="s">
        <v>549</v>
      </c>
      <c r="E675" s="459" t="s">
        <v>3377</v>
      </c>
      <c r="F675" s="171">
        <v>1997</v>
      </c>
      <c r="G675" s="171">
        <v>178</v>
      </c>
      <c r="H675" s="57"/>
      <c r="I675" s="173" t="s">
        <v>1743</v>
      </c>
      <c r="J675" s="277">
        <v>0.6</v>
      </c>
      <c r="K675" s="213">
        <v>5.4414414414414418</v>
      </c>
      <c r="L675" s="91"/>
      <c r="M675" s="278">
        <v>333</v>
      </c>
      <c r="N675" s="279"/>
      <c r="O675" s="172" t="s">
        <v>12</v>
      </c>
      <c r="P675" s="92"/>
      <c r="Q675" s="173" t="s">
        <v>10</v>
      </c>
      <c r="R675" s="94"/>
      <c r="S675" s="94"/>
      <c r="T675" s="171"/>
      <c r="U675" s="171"/>
      <c r="V675" s="102">
        <v>0</v>
      </c>
      <c r="W675" s="120">
        <v>0</v>
      </c>
      <c r="X675" s="120">
        <v>0</v>
      </c>
      <c r="Y675" s="120">
        <v>0</v>
      </c>
      <c r="Z675" s="120">
        <v>0</v>
      </c>
      <c r="AA675" s="17">
        <v>0</v>
      </c>
      <c r="AB675" s="17">
        <v>0</v>
      </c>
      <c r="AC675" s="17">
        <v>0</v>
      </c>
      <c r="AD675" s="17">
        <v>0</v>
      </c>
      <c r="AE675" s="17">
        <v>0</v>
      </c>
      <c r="AF675" s="17">
        <v>0</v>
      </c>
      <c r="AG675" s="17">
        <v>0</v>
      </c>
      <c r="AH675" s="17">
        <v>0</v>
      </c>
      <c r="AI675" s="17">
        <v>0</v>
      </c>
      <c r="AJ675" s="17">
        <v>0</v>
      </c>
      <c r="AK675" s="17">
        <v>0</v>
      </c>
      <c r="AL675" s="32">
        <v>0</v>
      </c>
      <c r="AM675" s="780">
        <v>43.1</v>
      </c>
      <c r="AN675" s="89"/>
      <c r="AO675" s="280"/>
      <c r="AP675" s="784"/>
      <c r="AQ675" s="773" t="s">
        <v>271</v>
      </c>
      <c r="AR675" s="188">
        <v>100</v>
      </c>
      <c r="AS675" s="171"/>
      <c r="AT675" s="171" t="str">
        <f t="shared" si="56"/>
        <v>400</v>
      </c>
      <c r="AU675" s="255">
        <f t="shared" si="57"/>
        <v>22.222222222222221</v>
      </c>
      <c r="AV675" s="172">
        <v>100</v>
      </c>
      <c r="AW675" s="171">
        <v>14</v>
      </c>
      <c r="AX675" s="89"/>
      <c r="AY675" s="171">
        <v>5</v>
      </c>
      <c r="AZ675" s="261"/>
      <c r="BA675" s="175">
        <v>75</v>
      </c>
      <c r="BB675" s="189" t="s">
        <v>2547</v>
      </c>
      <c r="BC675" s="176" t="s">
        <v>558</v>
      </c>
      <c r="BD675" s="179"/>
      <c r="BE675" s="179"/>
      <c r="BF675" s="178"/>
      <c r="BG675" s="25"/>
      <c r="BH675" s="25"/>
    </row>
    <row r="676" spans="1:60" ht="15" customHeight="1">
      <c r="A676" s="95">
        <v>675</v>
      </c>
      <c r="B676" s="98" t="s">
        <v>1030</v>
      </c>
      <c r="C676" s="191" t="s">
        <v>2648</v>
      </c>
      <c r="D676" s="257" t="s">
        <v>549</v>
      </c>
      <c r="E676" s="459" t="s">
        <v>3377</v>
      </c>
      <c r="F676" s="171">
        <v>1997</v>
      </c>
      <c r="G676" s="171">
        <v>178</v>
      </c>
      <c r="H676" s="57"/>
      <c r="I676" s="173" t="s">
        <v>1743</v>
      </c>
      <c r="J676" s="277">
        <v>0.6</v>
      </c>
      <c r="K676" s="213">
        <v>5.4414414414414418</v>
      </c>
      <c r="L676" s="91"/>
      <c r="M676" s="278">
        <v>333</v>
      </c>
      <c r="N676" s="279"/>
      <c r="O676" s="172" t="s">
        <v>12</v>
      </c>
      <c r="P676" s="92"/>
      <c r="Q676" s="173" t="s">
        <v>10</v>
      </c>
      <c r="R676" s="94"/>
      <c r="S676" s="94"/>
      <c r="T676" s="171"/>
      <c r="U676" s="171"/>
      <c r="V676" s="102">
        <v>0</v>
      </c>
      <c r="W676" s="120">
        <v>0</v>
      </c>
      <c r="X676" s="120">
        <v>0</v>
      </c>
      <c r="Y676" s="120">
        <v>0</v>
      </c>
      <c r="Z676" s="120">
        <v>0</v>
      </c>
      <c r="AA676" s="17">
        <v>0</v>
      </c>
      <c r="AB676" s="17">
        <v>0</v>
      </c>
      <c r="AC676" s="17">
        <v>0</v>
      </c>
      <c r="AD676" s="17">
        <v>0</v>
      </c>
      <c r="AE676" s="17">
        <v>0</v>
      </c>
      <c r="AF676" s="17">
        <v>0</v>
      </c>
      <c r="AG676" s="17">
        <v>0</v>
      </c>
      <c r="AH676" s="17">
        <v>0</v>
      </c>
      <c r="AI676" s="17">
        <v>0</v>
      </c>
      <c r="AJ676" s="17">
        <v>0</v>
      </c>
      <c r="AK676" s="17">
        <v>0</v>
      </c>
      <c r="AL676" s="32">
        <v>0</v>
      </c>
      <c r="AM676" s="780">
        <v>42.7</v>
      </c>
      <c r="AN676" s="89"/>
      <c r="AO676" s="280"/>
      <c r="AP676" s="784"/>
      <c r="AQ676" s="773" t="s">
        <v>271</v>
      </c>
      <c r="AR676" s="188">
        <v>100</v>
      </c>
      <c r="AS676" s="171"/>
      <c r="AT676" s="171" t="str">
        <f t="shared" si="56"/>
        <v>400</v>
      </c>
      <c r="AU676" s="255">
        <f t="shared" si="57"/>
        <v>22.222222222222221</v>
      </c>
      <c r="AV676" s="172">
        <v>100</v>
      </c>
      <c r="AW676" s="171">
        <v>14</v>
      </c>
      <c r="AX676" s="89"/>
      <c r="AY676" s="171">
        <v>12.5</v>
      </c>
      <c r="AZ676" s="261"/>
      <c r="BA676" s="175">
        <v>75</v>
      </c>
      <c r="BB676" s="189" t="s">
        <v>2547</v>
      </c>
      <c r="BC676" s="176" t="s">
        <v>558</v>
      </c>
      <c r="BD676" s="179"/>
      <c r="BE676" s="179"/>
      <c r="BF676" s="178"/>
      <c r="BG676" s="25"/>
      <c r="BH676" s="25"/>
    </row>
    <row r="677" spans="1:60" ht="15" customHeight="1">
      <c r="A677" s="95">
        <v>676</v>
      </c>
      <c r="B677" s="98" t="s">
        <v>1029</v>
      </c>
      <c r="C677" s="191" t="s">
        <v>2648</v>
      </c>
      <c r="D677" s="257" t="s">
        <v>549</v>
      </c>
      <c r="E677" s="459" t="s">
        <v>3377</v>
      </c>
      <c r="F677" s="171">
        <v>1997</v>
      </c>
      <c r="G677" s="171">
        <v>178</v>
      </c>
      <c r="H677" s="57"/>
      <c r="I677" s="173" t="s">
        <v>1743</v>
      </c>
      <c r="J677" s="277">
        <v>0.6</v>
      </c>
      <c r="K677" s="213">
        <v>5.4414414414414418</v>
      </c>
      <c r="L677" s="91"/>
      <c r="M677" s="278">
        <v>333</v>
      </c>
      <c r="N677" s="279"/>
      <c r="O677" s="172" t="s">
        <v>12</v>
      </c>
      <c r="P677" s="92"/>
      <c r="Q677" s="173" t="s">
        <v>10</v>
      </c>
      <c r="R677" s="94"/>
      <c r="S677" s="94"/>
      <c r="T677" s="171"/>
      <c r="U677" s="171"/>
      <c r="V677" s="102">
        <v>0</v>
      </c>
      <c r="W677" s="120">
        <v>0</v>
      </c>
      <c r="X677" s="120">
        <v>0</v>
      </c>
      <c r="Y677" s="120">
        <v>0</v>
      </c>
      <c r="Z677" s="120">
        <v>0</v>
      </c>
      <c r="AA677" s="17">
        <v>0</v>
      </c>
      <c r="AB677" s="17">
        <v>0</v>
      </c>
      <c r="AC677" s="17">
        <v>0</v>
      </c>
      <c r="AD677" s="17">
        <v>0</v>
      </c>
      <c r="AE677" s="17">
        <v>0</v>
      </c>
      <c r="AF677" s="17">
        <v>0</v>
      </c>
      <c r="AG677" s="17">
        <v>0</v>
      </c>
      <c r="AH677" s="17">
        <v>0</v>
      </c>
      <c r="AI677" s="17">
        <v>0</v>
      </c>
      <c r="AJ677" s="17">
        <v>0</v>
      </c>
      <c r="AK677" s="17">
        <v>0</v>
      </c>
      <c r="AL677" s="32">
        <v>0</v>
      </c>
      <c r="AM677" s="780">
        <v>43.1</v>
      </c>
      <c r="AN677" s="89"/>
      <c r="AO677" s="280"/>
      <c r="AP677" s="784"/>
      <c r="AQ677" s="773" t="s">
        <v>271</v>
      </c>
      <c r="AR677" s="188">
        <v>100</v>
      </c>
      <c r="AS677" s="171"/>
      <c r="AT677" s="171" t="str">
        <f t="shared" si="56"/>
        <v>400</v>
      </c>
      <c r="AU677" s="255">
        <f t="shared" si="57"/>
        <v>22.222222222222221</v>
      </c>
      <c r="AV677" s="172">
        <v>100</v>
      </c>
      <c r="AW677" s="171">
        <v>14</v>
      </c>
      <c r="AX677" s="89"/>
      <c r="AY677" s="171">
        <v>20</v>
      </c>
      <c r="AZ677" s="261"/>
      <c r="BA677" s="175">
        <v>75</v>
      </c>
      <c r="BB677" s="189" t="s">
        <v>2547</v>
      </c>
      <c r="BC677" s="176" t="s">
        <v>558</v>
      </c>
      <c r="BD677" s="179"/>
      <c r="BE677" s="179"/>
      <c r="BF677" s="178"/>
      <c r="BG677" s="25"/>
      <c r="BH677" s="25"/>
    </row>
    <row r="678" spans="1:60" ht="15" customHeight="1">
      <c r="A678" s="95">
        <v>677</v>
      </c>
      <c r="B678" s="98" t="s">
        <v>1028</v>
      </c>
      <c r="C678" s="191" t="s">
        <v>2648</v>
      </c>
      <c r="D678" s="257" t="s">
        <v>549</v>
      </c>
      <c r="E678" s="459" t="s">
        <v>3377</v>
      </c>
      <c r="F678" s="171">
        <v>1997</v>
      </c>
      <c r="G678" s="171">
        <v>178</v>
      </c>
      <c r="H678" s="57"/>
      <c r="I678" s="173" t="s">
        <v>1743</v>
      </c>
      <c r="J678" s="277">
        <v>0.6</v>
      </c>
      <c r="K678" s="213">
        <v>5.4414414414414418</v>
      </c>
      <c r="L678" s="91"/>
      <c r="M678" s="278">
        <v>333</v>
      </c>
      <c r="N678" s="279"/>
      <c r="O678" s="172" t="s">
        <v>12</v>
      </c>
      <c r="P678" s="92"/>
      <c r="Q678" s="173" t="s">
        <v>10</v>
      </c>
      <c r="R678" s="94"/>
      <c r="S678" s="94"/>
      <c r="T678" s="171"/>
      <c r="U678" s="171"/>
      <c r="V678" s="102">
        <v>0</v>
      </c>
      <c r="W678" s="120">
        <v>0</v>
      </c>
      <c r="X678" s="120">
        <v>0</v>
      </c>
      <c r="Y678" s="120">
        <v>0</v>
      </c>
      <c r="Z678" s="120">
        <v>0</v>
      </c>
      <c r="AA678" s="17">
        <v>0</v>
      </c>
      <c r="AB678" s="17">
        <v>0</v>
      </c>
      <c r="AC678" s="17">
        <v>0</v>
      </c>
      <c r="AD678" s="17">
        <v>0</v>
      </c>
      <c r="AE678" s="17">
        <v>0</v>
      </c>
      <c r="AF678" s="17">
        <v>0</v>
      </c>
      <c r="AG678" s="17">
        <v>0</v>
      </c>
      <c r="AH678" s="17">
        <v>0</v>
      </c>
      <c r="AI678" s="17">
        <v>0</v>
      </c>
      <c r="AJ678" s="17">
        <v>0</v>
      </c>
      <c r="AK678" s="17">
        <v>0</v>
      </c>
      <c r="AL678" s="32">
        <v>0</v>
      </c>
      <c r="AM678" s="780">
        <v>45.6</v>
      </c>
      <c r="AN678" s="89"/>
      <c r="AO678" s="280"/>
      <c r="AP678" s="784"/>
      <c r="AQ678" s="773" t="s">
        <v>271</v>
      </c>
      <c r="AR678" s="188">
        <v>100</v>
      </c>
      <c r="AS678" s="171"/>
      <c r="AT678" s="171" t="str">
        <f t="shared" si="56"/>
        <v>400</v>
      </c>
      <c r="AU678" s="255">
        <f t="shared" si="57"/>
        <v>22.222222222222221</v>
      </c>
      <c r="AV678" s="172">
        <v>100</v>
      </c>
      <c r="AW678" s="171">
        <v>14</v>
      </c>
      <c r="AX678" s="89"/>
      <c r="AY678" s="171">
        <v>27.5</v>
      </c>
      <c r="AZ678" s="261"/>
      <c r="BA678" s="175">
        <v>75</v>
      </c>
      <c r="BB678" s="189" t="s">
        <v>2547</v>
      </c>
      <c r="BC678" s="176"/>
      <c r="BD678" s="179"/>
      <c r="BE678" s="179"/>
      <c r="BF678" s="178"/>
      <c r="BG678" s="25"/>
      <c r="BH678" s="25"/>
    </row>
    <row r="679" spans="1:60" ht="15" customHeight="1">
      <c r="A679" s="95">
        <v>678</v>
      </c>
      <c r="B679" s="98" t="s">
        <v>1027</v>
      </c>
      <c r="C679" s="191" t="s">
        <v>2648</v>
      </c>
      <c r="D679" s="257" t="s">
        <v>549</v>
      </c>
      <c r="E679" s="459" t="s">
        <v>3377</v>
      </c>
      <c r="F679" s="171">
        <v>1997</v>
      </c>
      <c r="G679" s="171">
        <v>178</v>
      </c>
      <c r="H679" s="57"/>
      <c r="I679" s="173" t="s">
        <v>1743</v>
      </c>
      <c r="J679" s="277">
        <v>0.6</v>
      </c>
      <c r="K679" s="213">
        <v>5.4414414414414418</v>
      </c>
      <c r="L679" s="91"/>
      <c r="M679" s="278">
        <v>333</v>
      </c>
      <c r="N679" s="279"/>
      <c r="O679" s="172" t="s">
        <v>12</v>
      </c>
      <c r="P679" s="92"/>
      <c r="Q679" s="173" t="s">
        <v>10</v>
      </c>
      <c r="R679" s="94"/>
      <c r="S679" s="94"/>
      <c r="T679" s="171"/>
      <c r="U679" s="171"/>
      <c r="V679" s="102">
        <v>0</v>
      </c>
      <c r="W679" s="120">
        <v>0</v>
      </c>
      <c r="X679" s="120">
        <v>0</v>
      </c>
      <c r="Y679" s="120">
        <v>0</v>
      </c>
      <c r="Z679" s="120">
        <v>0</v>
      </c>
      <c r="AA679" s="17">
        <v>0</v>
      </c>
      <c r="AB679" s="17">
        <v>0</v>
      </c>
      <c r="AC679" s="17">
        <v>0</v>
      </c>
      <c r="AD679" s="17">
        <v>0</v>
      </c>
      <c r="AE679" s="17">
        <v>0</v>
      </c>
      <c r="AF679" s="17">
        <v>0</v>
      </c>
      <c r="AG679" s="17">
        <v>0</v>
      </c>
      <c r="AH679" s="17">
        <v>0</v>
      </c>
      <c r="AI679" s="17">
        <v>0</v>
      </c>
      <c r="AJ679" s="17">
        <v>0</v>
      </c>
      <c r="AK679" s="17">
        <v>0</v>
      </c>
      <c r="AL679" s="32">
        <v>0</v>
      </c>
      <c r="AM679" s="780">
        <v>42.8</v>
      </c>
      <c r="AN679" s="89"/>
      <c r="AO679" s="280"/>
      <c r="AP679" s="784"/>
      <c r="AQ679" s="773" t="s">
        <v>271</v>
      </c>
      <c r="AR679" s="188">
        <v>100</v>
      </c>
      <c r="AS679" s="171"/>
      <c r="AT679" s="171" t="str">
        <f t="shared" si="56"/>
        <v>400</v>
      </c>
      <c r="AU679" s="255">
        <f t="shared" si="57"/>
        <v>22.222222222222221</v>
      </c>
      <c r="AV679" s="172">
        <v>100</v>
      </c>
      <c r="AW679" s="171">
        <v>14</v>
      </c>
      <c r="AX679" s="89"/>
      <c r="AY679" s="171">
        <v>35</v>
      </c>
      <c r="AZ679" s="261"/>
      <c r="BA679" s="175">
        <v>75</v>
      </c>
      <c r="BB679" s="189" t="s">
        <v>2547</v>
      </c>
      <c r="BC679" s="176" t="s">
        <v>558</v>
      </c>
      <c r="BD679" s="179"/>
      <c r="BE679" s="179"/>
      <c r="BF679" s="178"/>
      <c r="BG679" s="25"/>
      <c r="BH679" s="25"/>
    </row>
    <row r="680" spans="1:60" ht="15" customHeight="1">
      <c r="A680" s="95">
        <v>679</v>
      </c>
      <c r="B680" s="98" t="s">
        <v>1026</v>
      </c>
      <c r="C680" s="191" t="s">
        <v>2648</v>
      </c>
      <c r="D680" s="257" t="s">
        <v>549</v>
      </c>
      <c r="E680" s="459" t="s">
        <v>3377</v>
      </c>
      <c r="F680" s="171">
        <v>1997</v>
      </c>
      <c r="G680" s="171">
        <v>178</v>
      </c>
      <c r="H680" s="57"/>
      <c r="I680" s="173" t="s">
        <v>1743</v>
      </c>
      <c r="J680" s="277">
        <v>0.6</v>
      </c>
      <c r="K680" s="213">
        <v>5.4414414414414418</v>
      </c>
      <c r="L680" s="91"/>
      <c r="M680" s="278">
        <v>333</v>
      </c>
      <c r="N680" s="279"/>
      <c r="O680" s="172" t="s">
        <v>12</v>
      </c>
      <c r="P680" s="92"/>
      <c r="Q680" s="173" t="s">
        <v>10</v>
      </c>
      <c r="R680" s="94"/>
      <c r="S680" s="94"/>
      <c r="T680" s="171"/>
      <c r="U680" s="171"/>
      <c r="V680" s="102">
        <v>0</v>
      </c>
      <c r="W680" s="120">
        <v>0</v>
      </c>
      <c r="X680" s="120">
        <v>0</v>
      </c>
      <c r="Y680" s="120">
        <v>0</v>
      </c>
      <c r="Z680" s="120">
        <v>0</v>
      </c>
      <c r="AA680" s="17">
        <v>0</v>
      </c>
      <c r="AB680" s="17">
        <v>0</v>
      </c>
      <c r="AC680" s="17">
        <v>0</v>
      </c>
      <c r="AD680" s="17">
        <v>0</v>
      </c>
      <c r="AE680" s="17">
        <v>0</v>
      </c>
      <c r="AF680" s="17">
        <v>0</v>
      </c>
      <c r="AG680" s="17">
        <v>0</v>
      </c>
      <c r="AH680" s="17">
        <v>0</v>
      </c>
      <c r="AI680" s="17">
        <v>0</v>
      </c>
      <c r="AJ680" s="17">
        <v>0</v>
      </c>
      <c r="AK680" s="17">
        <v>0</v>
      </c>
      <c r="AL680" s="32">
        <v>0</v>
      </c>
      <c r="AM680" s="780">
        <v>40.799999999999997</v>
      </c>
      <c r="AN680" s="89"/>
      <c r="AO680" s="280"/>
      <c r="AP680" s="784"/>
      <c r="AQ680" s="773" t="s">
        <v>271</v>
      </c>
      <c r="AR680" s="188">
        <v>100</v>
      </c>
      <c r="AS680" s="171"/>
      <c r="AT680" s="171" t="str">
        <f t="shared" si="56"/>
        <v>400</v>
      </c>
      <c r="AU680" s="255">
        <f t="shared" si="57"/>
        <v>22.222222222222221</v>
      </c>
      <c r="AV680" s="172">
        <v>100</v>
      </c>
      <c r="AW680" s="171">
        <v>14</v>
      </c>
      <c r="AX680" s="89"/>
      <c r="AY680" s="171">
        <v>42.5</v>
      </c>
      <c r="AZ680" s="261"/>
      <c r="BA680" s="175">
        <v>75</v>
      </c>
      <c r="BB680" s="189" t="s">
        <v>2547</v>
      </c>
      <c r="BC680" s="176" t="s">
        <v>558</v>
      </c>
      <c r="BD680" s="179"/>
      <c r="BE680" s="179"/>
      <c r="BF680" s="178"/>
      <c r="BG680" s="25"/>
      <c r="BH680" s="25"/>
    </row>
    <row r="681" spans="1:60" ht="15" customHeight="1">
      <c r="A681" s="95">
        <v>680</v>
      </c>
      <c r="B681" s="98" t="s">
        <v>1025</v>
      </c>
      <c r="C681" s="191" t="s">
        <v>2665</v>
      </c>
      <c r="D681" s="257" t="s">
        <v>549</v>
      </c>
      <c r="E681" s="459" t="s">
        <v>3377</v>
      </c>
      <c r="F681" s="171">
        <v>2003</v>
      </c>
      <c r="G681" s="171">
        <v>179</v>
      </c>
      <c r="H681" s="57"/>
      <c r="I681" s="173" t="s">
        <v>2564</v>
      </c>
      <c r="J681" s="277">
        <v>0.55000000000000004</v>
      </c>
      <c r="K681" s="213">
        <v>5.5744047619047619</v>
      </c>
      <c r="L681" s="91"/>
      <c r="M681" s="278">
        <v>336</v>
      </c>
      <c r="N681" s="279"/>
      <c r="O681" s="172" t="s">
        <v>12</v>
      </c>
      <c r="P681" s="89"/>
      <c r="Q681" s="88"/>
      <c r="R681" s="94"/>
      <c r="S681" s="94"/>
      <c r="T681" s="171" t="s">
        <v>2306</v>
      </c>
      <c r="U681" s="171" t="s">
        <v>2530</v>
      </c>
      <c r="V681" s="102">
        <v>0</v>
      </c>
      <c r="W681" s="120">
        <v>0</v>
      </c>
      <c r="X681" s="120">
        <v>0</v>
      </c>
      <c r="Y681" s="120">
        <v>0</v>
      </c>
      <c r="Z681" s="120">
        <v>0</v>
      </c>
      <c r="AA681" s="17">
        <v>0</v>
      </c>
      <c r="AB681" s="17">
        <v>0</v>
      </c>
      <c r="AC681" s="17">
        <v>0</v>
      </c>
      <c r="AD681" s="17">
        <v>0</v>
      </c>
      <c r="AE681" s="17">
        <v>0</v>
      </c>
      <c r="AF681" s="17">
        <v>0</v>
      </c>
      <c r="AG681" s="17">
        <v>0</v>
      </c>
      <c r="AH681" s="17">
        <v>0</v>
      </c>
      <c r="AI681" s="17">
        <v>0</v>
      </c>
      <c r="AJ681" s="17">
        <v>0</v>
      </c>
      <c r="AK681" s="17">
        <v>0</v>
      </c>
      <c r="AL681" s="32">
        <v>0</v>
      </c>
      <c r="AM681" s="57"/>
      <c r="AN681" s="89"/>
      <c r="AO681" s="280"/>
      <c r="AP681" s="784"/>
      <c r="AQ681" s="773" t="s">
        <v>271</v>
      </c>
      <c r="AR681" s="188">
        <v>100</v>
      </c>
      <c r="AS681" s="171"/>
      <c r="AT681" s="171" t="str">
        <f t="shared" si="56"/>
        <v>400</v>
      </c>
      <c r="AU681" s="255">
        <f t="shared" si="57"/>
        <v>22.222222222222221</v>
      </c>
      <c r="AV681" s="172">
        <v>100</v>
      </c>
      <c r="AW681" s="171">
        <v>7</v>
      </c>
      <c r="AX681" s="89"/>
      <c r="AY681" s="171">
        <v>20</v>
      </c>
      <c r="AZ681" s="261"/>
      <c r="BA681" s="175">
        <v>60</v>
      </c>
      <c r="BB681" s="189" t="s">
        <v>2547</v>
      </c>
      <c r="BC681" s="176"/>
      <c r="BD681" s="179"/>
      <c r="BE681" s="179"/>
      <c r="BF681" s="178"/>
      <c r="BG681" s="25"/>
      <c r="BH681" s="25"/>
    </row>
    <row r="682" spans="1:60" ht="17.25" customHeight="1">
      <c r="A682" s="95">
        <v>681</v>
      </c>
      <c r="B682" s="98" t="s">
        <v>1024</v>
      </c>
      <c r="C682" s="191" t="s">
        <v>2665</v>
      </c>
      <c r="D682" s="257" t="s">
        <v>549</v>
      </c>
      <c r="E682" s="459" t="s">
        <v>3377</v>
      </c>
      <c r="F682" s="171">
        <v>2003</v>
      </c>
      <c r="G682" s="171">
        <v>179</v>
      </c>
      <c r="H682" s="57"/>
      <c r="I682" s="173" t="s">
        <v>2564</v>
      </c>
      <c r="J682" s="277">
        <v>0.55000000000000004</v>
      </c>
      <c r="K682" s="213">
        <v>5.5684523809523814</v>
      </c>
      <c r="L682" s="91"/>
      <c r="M682" s="278">
        <v>336</v>
      </c>
      <c r="N682" s="279"/>
      <c r="O682" s="172" t="s">
        <v>12</v>
      </c>
      <c r="P682" s="89"/>
      <c r="Q682" s="88"/>
      <c r="R682" s="94"/>
      <c r="S682" s="94"/>
      <c r="T682" s="171" t="s">
        <v>2306</v>
      </c>
      <c r="U682" s="171" t="s">
        <v>2530</v>
      </c>
      <c r="V682" s="102">
        <v>0</v>
      </c>
      <c r="W682" s="120">
        <v>0</v>
      </c>
      <c r="X682" s="120">
        <v>0</v>
      </c>
      <c r="Y682" s="120">
        <v>0</v>
      </c>
      <c r="Z682" s="120">
        <v>0</v>
      </c>
      <c r="AA682" s="17">
        <v>0</v>
      </c>
      <c r="AB682" s="17">
        <v>0</v>
      </c>
      <c r="AC682" s="17">
        <v>0</v>
      </c>
      <c r="AD682" s="17">
        <v>0</v>
      </c>
      <c r="AE682" s="17">
        <v>0</v>
      </c>
      <c r="AF682" s="17">
        <v>0</v>
      </c>
      <c r="AG682" s="17">
        <v>0</v>
      </c>
      <c r="AH682" s="17">
        <v>0</v>
      </c>
      <c r="AI682" s="17">
        <v>0</v>
      </c>
      <c r="AJ682" s="17">
        <v>0</v>
      </c>
      <c r="AK682" s="17">
        <v>0</v>
      </c>
      <c r="AL682" s="32">
        <v>0</v>
      </c>
      <c r="AM682" s="57"/>
      <c r="AN682" s="89"/>
      <c r="AO682" s="280"/>
      <c r="AP682" s="784"/>
      <c r="AQ682" s="773" t="s">
        <v>271</v>
      </c>
      <c r="AR682" s="188">
        <v>100</v>
      </c>
      <c r="AS682" s="171"/>
      <c r="AT682" s="171" t="str">
        <f t="shared" si="56"/>
        <v>400</v>
      </c>
      <c r="AU682" s="255">
        <f t="shared" si="57"/>
        <v>22.222222222222221</v>
      </c>
      <c r="AV682" s="172">
        <v>100</v>
      </c>
      <c r="AW682" s="171">
        <v>7</v>
      </c>
      <c r="AX682" s="89"/>
      <c r="AY682" s="171">
        <v>20</v>
      </c>
      <c r="AZ682" s="261"/>
      <c r="BA682" s="175">
        <v>60</v>
      </c>
      <c r="BB682" s="189" t="s">
        <v>2547</v>
      </c>
      <c r="BC682" s="176"/>
      <c r="BD682" s="179"/>
      <c r="BE682" s="179"/>
      <c r="BF682" s="178"/>
      <c r="BG682" s="25"/>
      <c r="BH682" s="25"/>
    </row>
    <row r="683" spans="1:60" ht="17.25" customHeight="1">
      <c r="A683" s="95">
        <v>682</v>
      </c>
      <c r="B683" s="98" t="s">
        <v>1023</v>
      </c>
      <c r="C683" s="191" t="s">
        <v>2665</v>
      </c>
      <c r="D683" s="257" t="s">
        <v>549</v>
      </c>
      <c r="E683" s="459" t="s">
        <v>3377</v>
      </c>
      <c r="F683" s="171">
        <v>2003</v>
      </c>
      <c r="G683" s="171">
        <v>179</v>
      </c>
      <c r="H683" s="57"/>
      <c r="I683" s="173" t="s">
        <v>2564</v>
      </c>
      <c r="J683" s="277">
        <v>0.55000000000000004</v>
      </c>
      <c r="K683" s="213">
        <v>5.5684523809523814</v>
      </c>
      <c r="L683" s="91"/>
      <c r="M683" s="278">
        <v>336</v>
      </c>
      <c r="N683" s="279"/>
      <c r="O683" s="172" t="s">
        <v>12</v>
      </c>
      <c r="P683" s="89"/>
      <c r="Q683" s="88"/>
      <c r="R683" s="94"/>
      <c r="S683" s="94"/>
      <c r="T683" s="171" t="s">
        <v>2306</v>
      </c>
      <c r="U683" s="171" t="s">
        <v>2530</v>
      </c>
      <c r="V683" s="102">
        <v>0</v>
      </c>
      <c r="W683" s="120">
        <v>0</v>
      </c>
      <c r="X683" s="120">
        <v>0</v>
      </c>
      <c r="Y683" s="120">
        <v>0</v>
      </c>
      <c r="Z683" s="120">
        <v>0</v>
      </c>
      <c r="AA683" s="17">
        <v>0</v>
      </c>
      <c r="AB683" s="17">
        <v>0</v>
      </c>
      <c r="AC683" s="17">
        <v>0</v>
      </c>
      <c r="AD683" s="17">
        <v>0</v>
      </c>
      <c r="AE683" s="17">
        <v>0</v>
      </c>
      <c r="AF683" s="17">
        <v>0</v>
      </c>
      <c r="AG683" s="17">
        <v>0</v>
      </c>
      <c r="AH683" s="17">
        <v>0</v>
      </c>
      <c r="AI683" s="17">
        <v>0</v>
      </c>
      <c r="AJ683" s="17">
        <v>0</v>
      </c>
      <c r="AK683" s="17">
        <v>0</v>
      </c>
      <c r="AL683" s="32">
        <v>0</v>
      </c>
      <c r="AM683" s="57"/>
      <c r="AN683" s="89"/>
      <c r="AO683" s="280"/>
      <c r="AP683" s="784"/>
      <c r="AQ683" s="773" t="s">
        <v>271</v>
      </c>
      <c r="AR683" s="188">
        <v>100</v>
      </c>
      <c r="AS683" s="171"/>
      <c r="AT683" s="171" t="str">
        <f t="shared" si="56"/>
        <v>400</v>
      </c>
      <c r="AU683" s="255">
        <f t="shared" si="57"/>
        <v>22.222222222222221</v>
      </c>
      <c r="AV683" s="172">
        <v>100</v>
      </c>
      <c r="AW683" s="171">
        <v>7</v>
      </c>
      <c r="AX683" s="89"/>
      <c r="AY683" s="171">
        <v>20</v>
      </c>
      <c r="AZ683" s="261"/>
      <c r="BA683" s="175">
        <v>60</v>
      </c>
      <c r="BB683" s="189" t="s">
        <v>2547</v>
      </c>
      <c r="BC683" s="176"/>
      <c r="BD683" s="179"/>
      <c r="BE683" s="179"/>
      <c r="BF683" s="178"/>
      <c r="BG683" s="25"/>
      <c r="BH683" s="25"/>
    </row>
    <row r="684" spans="1:60" ht="17.25" customHeight="1">
      <c r="A684" s="95">
        <v>683</v>
      </c>
      <c r="B684" s="98" t="s">
        <v>1022</v>
      </c>
      <c r="C684" s="191" t="s">
        <v>2665</v>
      </c>
      <c r="D684" s="257" t="s">
        <v>549</v>
      </c>
      <c r="E684" s="459" t="s">
        <v>3377</v>
      </c>
      <c r="F684" s="171">
        <v>2003</v>
      </c>
      <c r="G684" s="171">
        <v>179</v>
      </c>
      <c r="H684" s="57"/>
      <c r="I684" s="173" t="s">
        <v>2564</v>
      </c>
      <c r="J684" s="277">
        <v>0.55000000000000004</v>
      </c>
      <c r="K684" s="213">
        <v>5.5684523809523814</v>
      </c>
      <c r="L684" s="91"/>
      <c r="M684" s="278">
        <v>336</v>
      </c>
      <c r="N684" s="279"/>
      <c r="O684" s="172" t="s">
        <v>12</v>
      </c>
      <c r="P684" s="89"/>
      <c r="Q684" s="88"/>
      <c r="R684" s="94"/>
      <c r="S684" s="94"/>
      <c r="T684" s="171" t="s">
        <v>2306</v>
      </c>
      <c r="U684" s="171" t="s">
        <v>2530</v>
      </c>
      <c r="V684" s="102">
        <v>0</v>
      </c>
      <c r="W684" s="120">
        <v>0</v>
      </c>
      <c r="X684" s="120">
        <v>0</v>
      </c>
      <c r="Y684" s="120">
        <v>0</v>
      </c>
      <c r="Z684" s="120">
        <v>0</v>
      </c>
      <c r="AA684" s="17">
        <v>0</v>
      </c>
      <c r="AB684" s="17">
        <v>0</v>
      </c>
      <c r="AC684" s="17">
        <v>0</v>
      </c>
      <c r="AD684" s="17">
        <v>0</v>
      </c>
      <c r="AE684" s="17">
        <v>0</v>
      </c>
      <c r="AF684" s="17">
        <v>0</v>
      </c>
      <c r="AG684" s="17">
        <v>0</v>
      </c>
      <c r="AH684" s="17">
        <v>0</v>
      </c>
      <c r="AI684" s="17">
        <v>0</v>
      </c>
      <c r="AJ684" s="17">
        <v>0</v>
      </c>
      <c r="AK684" s="17">
        <v>0</v>
      </c>
      <c r="AL684" s="32">
        <v>0</v>
      </c>
      <c r="AM684" s="57"/>
      <c r="AN684" s="89"/>
      <c r="AO684" s="280"/>
      <c r="AP684" s="784"/>
      <c r="AQ684" s="773" t="s">
        <v>271</v>
      </c>
      <c r="AR684" s="188">
        <v>100</v>
      </c>
      <c r="AS684" s="171"/>
      <c r="AT684" s="171" t="str">
        <f t="shared" si="56"/>
        <v>400</v>
      </c>
      <c r="AU684" s="255">
        <f t="shared" si="57"/>
        <v>22.222222222222221</v>
      </c>
      <c r="AV684" s="172">
        <v>100</v>
      </c>
      <c r="AW684" s="171">
        <v>7</v>
      </c>
      <c r="AX684" s="89"/>
      <c r="AY684" s="171">
        <v>20</v>
      </c>
      <c r="AZ684" s="261"/>
      <c r="BA684" s="175">
        <v>60</v>
      </c>
      <c r="BB684" s="189" t="s">
        <v>2547</v>
      </c>
      <c r="BC684" s="176"/>
      <c r="BD684" s="179"/>
      <c r="BE684" s="179"/>
      <c r="BF684" s="178"/>
      <c r="BG684" s="25"/>
      <c r="BH684" s="25"/>
    </row>
    <row r="685" spans="1:60" ht="15" customHeight="1">
      <c r="A685" s="95">
        <v>684</v>
      </c>
      <c r="B685" s="98" t="s">
        <v>1021</v>
      </c>
      <c r="C685" s="191" t="s">
        <v>2665</v>
      </c>
      <c r="D685" s="257" t="s">
        <v>549</v>
      </c>
      <c r="E685" s="459" t="s">
        <v>3377</v>
      </c>
      <c r="F685" s="171">
        <v>2003</v>
      </c>
      <c r="G685" s="171">
        <v>179</v>
      </c>
      <c r="H685" s="57"/>
      <c r="I685" s="173" t="s">
        <v>2564</v>
      </c>
      <c r="J685" s="277">
        <v>0.55000000000000004</v>
      </c>
      <c r="K685" s="213">
        <v>5.5684523809523814</v>
      </c>
      <c r="L685" s="91"/>
      <c r="M685" s="278">
        <v>336</v>
      </c>
      <c r="N685" s="279"/>
      <c r="O685" s="172" t="s">
        <v>12</v>
      </c>
      <c r="P685" s="89"/>
      <c r="Q685" s="88"/>
      <c r="R685" s="94"/>
      <c r="S685" s="94"/>
      <c r="T685" s="171" t="s">
        <v>2306</v>
      </c>
      <c r="U685" s="171" t="s">
        <v>2530</v>
      </c>
      <c r="V685" s="102">
        <v>0</v>
      </c>
      <c r="W685" s="120">
        <v>0</v>
      </c>
      <c r="X685" s="120">
        <v>0</v>
      </c>
      <c r="Y685" s="120">
        <v>0</v>
      </c>
      <c r="Z685" s="120">
        <v>0</v>
      </c>
      <c r="AA685" s="17">
        <v>0</v>
      </c>
      <c r="AB685" s="17">
        <v>0</v>
      </c>
      <c r="AC685" s="17">
        <v>0</v>
      </c>
      <c r="AD685" s="17">
        <v>0</v>
      </c>
      <c r="AE685" s="17">
        <v>0</v>
      </c>
      <c r="AF685" s="17">
        <v>0</v>
      </c>
      <c r="AG685" s="17">
        <v>0</v>
      </c>
      <c r="AH685" s="17">
        <v>0</v>
      </c>
      <c r="AI685" s="17">
        <v>0</v>
      </c>
      <c r="AJ685" s="17">
        <v>0</v>
      </c>
      <c r="AK685" s="17">
        <v>0</v>
      </c>
      <c r="AL685" s="32">
        <v>0</v>
      </c>
      <c r="AM685" s="57"/>
      <c r="AN685" s="89"/>
      <c r="AO685" s="280"/>
      <c r="AP685" s="784"/>
      <c r="AQ685" s="773" t="s">
        <v>271</v>
      </c>
      <c r="AR685" s="188">
        <v>100</v>
      </c>
      <c r="AS685" s="171"/>
      <c r="AT685" s="171" t="str">
        <f t="shared" si="56"/>
        <v>400</v>
      </c>
      <c r="AU685" s="255">
        <f t="shared" si="57"/>
        <v>22.222222222222221</v>
      </c>
      <c r="AV685" s="172">
        <v>100</v>
      </c>
      <c r="AW685" s="171">
        <v>7</v>
      </c>
      <c r="AX685" s="89"/>
      <c r="AY685" s="171">
        <v>20</v>
      </c>
      <c r="AZ685" s="261"/>
      <c r="BA685" s="175">
        <v>60</v>
      </c>
      <c r="BB685" s="189" t="s">
        <v>2547</v>
      </c>
      <c r="BC685" s="176"/>
      <c r="BD685" s="179"/>
      <c r="BE685" s="179"/>
      <c r="BF685" s="178"/>
      <c r="BG685" s="25"/>
      <c r="BH685" s="25"/>
    </row>
    <row r="686" spans="1:60" ht="15" customHeight="1">
      <c r="A686" s="95">
        <v>685</v>
      </c>
      <c r="B686" s="98" t="s">
        <v>1020</v>
      </c>
      <c r="C686" s="191" t="s">
        <v>2665</v>
      </c>
      <c r="D686" s="257" t="s">
        <v>549</v>
      </c>
      <c r="E686" s="459" t="s">
        <v>3377</v>
      </c>
      <c r="F686" s="171">
        <v>2003</v>
      </c>
      <c r="G686" s="171">
        <v>179</v>
      </c>
      <c r="H686" s="57"/>
      <c r="I686" s="173" t="s">
        <v>2564</v>
      </c>
      <c r="J686" s="277">
        <v>0.55000000000000004</v>
      </c>
      <c r="K686" s="213">
        <v>5.5654761904761907</v>
      </c>
      <c r="L686" s="91"/>
      <c r="M686" s="278">
        <v>336</v>
      </c>
      <c r="N686" s="279"/>
      <c r="O686" s="172" t="s">
        <v>12</v>
      </c>
      <c r="P686" s="89"/>
      <c r="Q686" s="88"/>
      <c r="R686" s="94"/>
      <c r="S686" s="94"/>
      <c r="T686" s="171" t="s">
        <v>2306</v>
      </c>
      <c r="U686" s="171" t="s">
        <v>2530</v>
      </c>
      <c r="V686" s="102">
        <v>0</v>
      </c>
      <c r="W686" s="120">
        <v>0</v>
      </c>
      <c r="X686" s="120">
        <v>0</v>
      </c>
      <c r="Y686" s="120">
        <v>0</v>
      </c>
      <c r="Z686" s="120">
        <v>0</v>
      </c>
      <c r="AA686" s="17">
        <v>0</v>
      </c>
      <c r="AB686" s="17">
        <v>0</v>
      </c>
      <c r="AC686" s="17">
        <v>0</v>
      </c>
      <c r="AD686" s="17">
        <v>0</v>
      </c>
      <c r="AE686" s="17">
        <v>0</v>
      </c>
      <c r="AF686" s="17">
        <v>0</v>
      </c>
      <c r="AG686" s="17">
        <v>0</v>
      </c>
      <c r="AH686" s="17">
        <v>0</v>
      </c>
      <c r="AI686" s="17">
        <v>0</v>
      </c>
      <c r="AJ686" s="17">
        <v>0</v>
      </c>
      <c r="AK686" s="17">
        <v>0</v>
      </c>
      <c r="AL686" s="32">
        <v>0</v>
      </c>
      <c r="AM686" s="57"/>
      <c r="AN686" s="89"/>
      <c r="AO686" s="280"/>
      <c r="AP686" s="784"/>
      <c r="AQ686" s="773" t="s">
        <v>271</v>
      </c>
      <c r="AR686" s="188">
        <v>100</v>
      </c>
      <c r="AS686" s="171"/>
      <c r="AT686" s="171" t="str">
        <f t="shared" si="56"/>
        <v>400</v>
      </c>
      <c r="AU686" s="255">
        <f t="shared" si="57"/>
        <v>22.222222222222221</v>
      </c>
      <c r="AV686" s="172">
        <v>100</v>
      </c>
      <c r="AW686" s="171">
        <v>7</v>
      </c>
      <c r="AX686" s="89"/>
      <c r="AY686" s="171">
        <v>20</v>
      </c>
      <c r="AZ686" s="261"/>
      <c r="BA686" s="175">
        <v>60</v>
      </c>
      <c r="BB686" s="189" t="s">
        <v>2547</v>
      </c>
      <c r="BC686" s="176"/>
      <c r="BD686" s="179"/>
      <c r="BE686" s="179"/>
      <c r="BF686" s="178"/>
      <c r="BG686" s="25"/>
      <c r="BH686" s="25"/>
    </row>
    <row r="687" spans="1:60" ht="15" customHeight="1">
      <c r="A687" s="95">
        <v>686</v>
      </c>
      <c r="B687" s="98" t="s">
        <v>1019</v>
      </c>
      <c r="C687" s="191" t="s">
        <v>2665</v>
      </c>
      <c r="D687" s="257" t="s">
        <v>549</v>
      </c>
      <c r="E687" s="459" t="s">
        <v>3377</v>
      </c>
      <c r="F687" s="171">
        <v>2003</v>
      </c>
      <c r="G687" s="171">
        <v>179</v>
      </c>
      <c r="H687" s="57"/>
      <c r="I687" s="173" t="s">
        <v>2564</v>
      </c>
      <c r="J687" s="277">
        <v>0.55000000000000004</v>
      </c>
      <c r="K687" s="213">
        <v>5.5684523809523814</v>
      </c>
      <c r="L687" s="91"/>
      <c r="M687" s="278">
        <v>336</v>
      </c>
      <c r="N687" s="279"/>
      <c r="O687" s="172" t="s">
        <v>12</v>
      </c>
      <c r="P687" s="89"/>
      <c r="Q687" s="88"/>
      <c r="R687" s="94"/>
      <c r="S687" s="94"/>
      <c r="T687" s="171" t="s">
        <v>2306</v>
      </c>
      <c r="U687" s="171" t="s">
        <v>2530</v>
      </c>
      <c r="V687" s="102">
        <v>0</v>
      </c>
      <c r="W687" s="120">
        <v>0</v>
      </c>
      <c r="X687" s="120">
        <v>0</v>
      </c>
      <c r="Y687" s="120">
        <v>0</v>
      </c>
      <c r="Z687" s="120">
        <v>0</v>
      </c>
      <c r="AA687" s="17">
        <v>0</v>
      </c>
      <c r="AB687" s="17">
        <v>0</v>
      </c>
      <c r="AC687" s="17">
        <v>0</v>
      </c>
      <c r="AD687" s="17">
        <v>0</v>
      </c>
      <c r="AE687" s="17">
        <v>0</v>
      </c>
      <c r="AF687" s="17">
        <v>0</v>
      </c>
      <c r="AG687" s="17">
        <v>0</v>
      </c>
      <c r="AH687" s="17">
        <v>0</v>
      </c>
      <c r="AI687" s="17">
        <v>0</v>
      </c>
      <c r="AJ687" s="17">
        <v>0</v>
      </c>
      <c r="AK687" s="17">
        <v>0</v>
      </c>
      <c r="AL687" s="32">
        <v>0</v>
      </c>
      <c r="AM687" s="57"/>
      <c r="AN687" s="89"/>
      <c r="AO687" s="280"/>
      <c r="AP687" s="784"/>
      <c r="AQ687" s="773" t="s">
        <v>271</v>
      </c>
      <c r="AR687" s="188">
        <v>100</v>
      </c>
      <c r="AS687" s="171"/>
      <c r="AT687" s="171" t="str">
        <f t="shared" si="56"/>
        <v>400</v>
      </c>
      <c r="AU687" s="255">
        <f t="shared" si="57"/>
        <v>22.222222222222221</v>
      </c>
      <c r="AV687" s="172">
        <v>100</v>
      </c>
      <c r="AW687" s="171">
        <v>7</v>
      </c>
      <c r="AX687" s="89"/>
      <c r="AY687" s="171">
        <v>20</v>
      </c>
      <c r="AZ687" s="261"/>
      <c r="BA687" s="175">
        <v>60</v>
      </c>
      <c r="BB687" s="189" t="s">
        <v>2547</v>
      </c>
      <c r="BC687" s="176"/>
      <c r="BD687" s="179"/>
      <c r="BE687" s="179"/>
      <c r="BF687" s="178"/>
      <c r="BG687" s="25"/>
      <c r="BH687" s="25"/>
    </row>
    <row r="688" spans="1:60" ht="15" customHeight="1">
      <c r="A688" s="95">
        <v>687</v>
      </c>
      <c r="B688" s="98" t="s">
        <v>1018</v>
      </c>
      <c r="C688" s="191" t="s">
        <v>2665</v>
      </c>
      <c r="D688" s="257" t="s">
        <v>549</v>
      </c>
      <c r="E688" s="459" t="s">
        <v>3377</v>
      </c>
      <c r="F688" s="171">
        <v>2003</v>
      </c>
      <c r="G688" s="171">
        <v>179</v>
      </c>
      <c r="H688" s="57"/>
      <c r="I688" s="173" t="s">
        <v>2564</v>
      </c>
      <c r="J688" s="277">
        <v>0.55000000000000004</v>
      </c>
      <c r="K688" s="213">
        <v>5.5684523809523814</v>
      </c>
      <c r="L688" s="91"/>
      <c r="M688" s="278">
        <v>336</v>
      </c>
      <c r="N688" s="279"/>
      <c r="O688" s="172" t="s">
        <v>12</v>
      </c>
      <c r="P688" s="89"/>
      <c r="Q688" s="88"/>
      <c r="R688" s="94"/>
      <c r="S688" s="94"/>
      <c r="T688" s="171" t="s">
        <v>2306</v>
      </c>
      <c r="U688" s="171" t="s">
        <v>2530</v>
      </c>
      <c r="V688" s="102">
        <v>0</v>
      </c>
      <c r="W688" s="120">
        <v>0</v>
      </c>
      <c r="X688" s="120">
        <v>0</v>
      </c>
      <c r="Y688" s="120">
        <v>0</v>
      </c>
      <c r="Z688" s="120">
        <v>0</v>
      </c>
      <c r="AA688" s="17">
        <v>0</v>
      </c>
      <c r="AB688" s="17">
        <v>0</v>
      </c>
      <c r="AC688" s="17">
        <v>0</v>
      </c>
      <c r="AD688" s="17">
        <v>0</v>
      </c>
      <c r="AE688" s="17">
        <v>0</v>
      </c>
      <c r="AF688" s="17">
        <v>0</v>
      </c>
      <c r="AG688" s="17">
        <v>0</v>
      </c>
      <c r="AH688" s="17">
        <v>0</v>
      </c>
      <c r="AI688" s="17">
        <v>0</v>
      </c>
      <c r="AJ688" s="17">
        <v>0</v>
      </c>
      <c r="AK688" s="17">
        <v>0</v>
      </c>
      <c r="AL688" s="32">
        <v>0</v>
      </c>
      <c r="AM688" s="57"/>
      <c r="AN688" s="89"/>
      <c r="AO688" s="280"/>
      <c r="AP688" s="784"/>
      <c r="AQ688" s="773" t="s">
        <v>271</v>
      </c>
      <c r="AR688" s="188">
        <v>100</v>
      </c>
      <c r="AS688" s="171"/>
      <c r="AT688" s="171" t="str">
        <f t="shared" si="56"/>
        <v>400</v>
      </c>
      <c r="AU688" s="255">
        <f t="shared" si="57"/>
        <v>22.222222222222221</v>
      </c>
      <c r="AV688" s="172">
        <v>100</v>
      </c>
      <c r="AW688" s="171">
        <v>7</v>
      </c>
      <c r="AX688" s="89"/>
      <c r="AY688" s="171">
        <v>20</v>
      </c>
      <c r="AZ688" s="261"/>
      <c r="BA688" s="175">
        <v>60</v>
      </c>
      <c r="BB688" s="189" t="s">
        <v>2547</v>
      </c>
      <c r="BC688" s="176"/>
      <c r="BD688" s="179"/>
      <c r="BE688" s="179"/>
      <c r="BF688" s="178"/>
      <c r="BG688" s="25"/>
      <c r="BH688" s="25"/>
    </row>
    <row r="689" spans="1:60" ht="15" customHeight="1">
      <c r="A689" s="95">
        <v>688</v>
      </c>
      <c r="B689" s="98" t="s">
        <v>1017</v>
      </c>
      <c r="C689" s="191" t="s">
        <v>2665</v>
      </c>
      <c r="D689" s="257" t="s">
        <v>549</v>
      </c>
      <c r="E689" s="459" t="s">
        <v>3377</v>
      </c>
      <c r="F689" s="171">
        <v>2003</v>
      </c>
      <c r="G689" s="171">
        <v>179</v>
      </c>
      <c r="H689" s="57"/>
      <c r="I689" s="173" t="s">
        <v>2564</v>
      </c>
      <c r="J689" s="277">
        <v>0.55000000000000004</v>
      </c>
      <c r="K689" s="213">
        <v>5.5684523809523814</v>
      </c>
      <c r="L689" s="91"/>
      <c r="M689" s="278">
        <v>336</v>
      </c>
      <c r="N689" s="279"/>
      <c r="O689" s="172" t="s">
        <v>12</v>
      </c>
      <c r="P689" s="89"/>
      <c r="Q689" s="88"/>
      <c r="R689" s="94"/>
      <c r="S689" s="94"/>
      <c r="T689" s="171" t="s">
        <v>2306</v>
      </c>
      <c r="U689" s="171" t="s">
        <v>2530</v>
      </c>
      <c r="V689" s="102">
        <v>0</v>
      </c>
      <c r="W689" s="120">
        <v>0</v>
      </c>
      <c r="X689" s="120">
        <v>0</v>
      </c>
      <c r="Y689" s="120">
        <v>0</v>
      </c>
      <c r="Z689" s="120">
        <v>0</v>
      </c>
      <c r="AA689" s="17">
        <v>0</v>
      </c>
      <c r="AB689" s="17">
        <v>0</v>
      </c>
      <c r="AC689" s="17">
        <v>0</v>
      </c>
      <c r="AD689" s="17">
        <v>0</v>
      </c>
      <c r="AE689" s="17">
        <v>0</v>
      </c>
      <c r="AF689" s="17">
        <v>0</v>
      </c>
      <c r="AG689" s="17">
        <v>0</v>
      </c>
      <c r="AH689" s="17">
        <v>0</v>
      </c>
      <c r="AI689" s="17">
        <v>0</v>
      </c>
      <c r="AJ689" s="17">
        <v>0</v>
      </c>
      <c r="AK689" s="17">
        <v>0</v>
      </c>
      <c r="AL689" s="32">
        <v>0</v>
      </c>
      <c r="AM689" s="57"/>
      <c r="AN689" s="89"/>
      <c r="AO689" s="280"/>
      <c r="AP689" s="784"/>
      <c r="AQ689" s="773" t="s">
        <v>271</v>
      </c>
      <c r="AR689" s="188">
        <v>100</v>
      </c>
      <c r="AS689" s="171"/>
      <c r="AT689" s="171" t="str">
        <f t="shared" si="56"/>
        <v>400</v>
      </c>
      <c r="AU689" s="255">
        <f t="shared" si="57"/>
        <v>22.222222222222221</v>
      </c>
      <c r="AV689" s="172">
        <v>100</v>
      </c>
      <c r="AW689" s="171">
        <v>7</v>
      </c>
      <c r="AX689" s="89"/>
      <c r="AY689" s="171">
        <v>20</v>
      </c>
      <c r="AZ689" s="261"/>
      <c r="BA689" s="175">
        <v>60</v>
      </c>
      <c r="BB689" s="189" t="s">
        <v>2547</v>
      </c>
      <c r="BC689" s="176"/>
      <c r="BD689" s="179"/>
      <c r="BE689" s="179"/>
      <c r="BF689" s="178"/>
      <c r="BG689" s="25"/>
      <c r="BH689" s="25"/>
    </row>
    <row r="690" spans="1:60" ht="15" customHeight="1">
      <c r="A690" s="95">
        <v>689</v>
      </c>
      <c r="B690" s="98" t="s">
        <v>1016</v>
      </c>
      <c r="C690" s="191" t="s">
        <v>2665</v>
      </c>
      <c r="D690" s="257" t="s">
        <v>549</v>
      </c>
      <c r="E690" s="459" t="s">
        <v>3377</v>
      </c>
      <c r="F690" s="171">
        <v>2003</v>
      </c>
      <c r="G690" s="171">
        <v>179</v>
      </c>
      <c r="H690" s="57"/>
      <c r="I690" s="173" t="s">
        <v>2564</v>
      </c>
      <c r="J690" s="277">
        <v>0.55000000000000004</v>
      </c>
      <c r="K690" s="213">
        <v>5.5684523809523814</v>
      </c>
      <c r="L690" s="91"/>
      <c r="M690" s="278">
        <v>336</v>
      </c>
      <c r="N690" s="279"/>
      <c r="O690" s="172" t="s">
        <v>12</v>
      </c>
      <c r="P690" s="89"/>
      <c r="Q690" s="88"/>
      <c r="R690" s="94"/>
      <c r="S690" s="94"/>
      <c r="T690" s="171" t="s">
        <v>2306</v>
      </c>
      <c r="U690" s="171" t="s">
        <v>2530</v>
      </c>
      <c r="V690" s="102">
        <v>0</v>
      </c>
      <c r="W690" s="120">
        <v>0</v>
      </c>
      <c r="X690" s="120">
        <v>0</v>
      </c>
      <c r="Y690" s="120">
        <v>0</v>
      </c>
      <c r="Z690" s="120">
        <v>0</v>
      </c>
      <c r="AA690" s="17">
        <v>0</v>
      </c>
      <c r="AB690" s="17">
        <v>0</v>
      </c>
      <c r="AC690" s="17">
        <v>0</v>
      </c>
      <c r="AD690" s="17">
        <v>0</v>
      </c>
      <c r="AE690" s="17">
        <v>0</v>
      </c>
      <c r="AF690" s="17">
        <v>0</v>
      </c>
      <c r="AG690" s="17">
        <v>0</v>
      </c>
      <c r="AH690" s="17">
        <v>0</v>
      </c>
      <c r="AI690" s="17">
        <v>0</v>
      </c>
      <c r="AJ690" s="17">
        <v>0</v>
      </c>
      <c r="AK690" s="17">
        <v>0</v>
      </c>
      <c r="AL690" s="32">
        <v>0</v>
      </c>
      <c r="AM690" s="57"/>
      <c r="AN690" s="89"/>
      <c r="AO690" s="280"/>
      <c r="AP690" s="784"/>
      <c r="AQ690" s="773" t="s">
        <v>271</v>
      </c>
      <c r="AR690" s="188">
        <v>100</v>
      </c>
      <c r="AS690" s="171"/>
      <c r="AT690" s="171" t="str">
        <f t="shared" si="56"/>
        <v>400</v>
      </c>
      <c r="AU690" s="255">
        <f t="shared" si="57"/>
        <v>22.222222222222221</v>
      </c>
      <c r="AV690" s="172">
        <v>100</v>
      </c>
      <c r="AW690" s="171">
        <v>7</v>
      </c>
      <c r="AX690" s="89"/>
      <c r="AY690" s="171">
        <v>20</v>
      </c>
      <c r="AZ690" s="261"/>
      <c r="BA690" s="175">
        <v>60</v>
      </c>
      <c r="BB690" s="189" t="s">
        <v>2547</v>
      </c>
      <c r="BC690" s="176"/>
      <c r="BD690" s="179"/>
      <c r="BE690" s="179"/>
      <c r="BF690" s="178"/>
      <c r="BG690" s="25"/>
      <c r="BH690" s="25"/>
    </row>
    <row r="691" spans="1:60" ht="15" customHeight="1">
      <c r="A691" s="95">
        <v>690</v>
      </c>
      <c r="B691" s="98" t="s">
        <v>1015</v>
      </c>
      <c r="C691" s="191" t="s">
        <v>2665</v>
      </c>
      <c r="D691" s="257" t="s">
        <v>549</v>
      </c>
      <c r="E691" s="459" t="s">
        <v>3377</v>
      </c>
      <c r="F691" s="171">
        <v>2003</v>
      </c>
      <c r="G691" s="171">
        <v>179</v>
      </c>
      <c r="H691" s="57"/>
      <c r="I691" s="173" t="s">
        <v>2564</v>
      </c>
      <c r="J691" s="277">
        <v>0.55000000000000004</v>
      </c>
      <c r="K691" s="213">
        <v>5.5684523809523814</v>
      </c>
      <c r="L691" s="91"/>
      <c r="M691" s="278">
        <v>336</v>
      </c>
      <c r="N691" s="279"/>
      <c r="O691" s="172" t="s">
        <v>12</v>
      </c>
      <c r="P691" s="89"/>
      <c r="Q691" s="88"/>
      <c r="R691" s="94"/>
      <c r="S691" s="94"/>
      <c r="T691" s="171" t="s">
        <v>2306</v>
      </c>
      <c r="U691" s="171" t="s">
        <v>2530</v>
      </c>
      <c r="V691" s="102">
        <v>0</v>
      </c>
      <c r="W691" s="120">
        <v>0</v>
      </c>
      <c r="X691" s="120">
        <v>0</v>
      </c>
      <c r="Y691" s="120">
        <v>0</v>
      </c>
      <c r="Z691" s="120">
        <v>0</v>
      </c>
      <c r="AA691" s="17">
        <v>0</v>
      </c>
      <c r="AB691" s="17">
        <v>0</v>
      </c>
      <c r="AC691" s="17">
        <v>0</v>
      </c>
      <c r="AD691" s="17">
        <v>0</v>
      </c>
      <c r="AE691" s="17">
        <v>0</v>
      </c>
      <c r="AF691" s="17">
        <v>0</v>
      </c>
      <c r="AG691" s="17">
        <v>0</v>
      </c>
      <c r="AH691" s="17">
        <v>0</v>
      </c>
      <c r="AI691" s="17">
        <v>0</v>
      </c>
      <c r="AJ691" s="17">
        <v>0</v>
      </c>
      <c r="AK691" s="17">
        <v>0</v>
      </c>
      <c r="AL691" s="32">
        <v>0</v>
      </c>
      <c r="AM691" s="57"/>
      <c r="AN691" s="89"/>
      <c r="AO691" s="280"/>
      <c r="AP691" s="784"/>
      <c r="AQ691" s="773" t="s">
        <v>271</v>
      </c>
      <c r="AR691" s="188">
        <v>100</v>
      </c>
      <c r="AS691" s="171"/>
      <c r="AT691" s="171" t="str">
        <f t="shared" si="56"/>
        <v>400</v>
      </c>
      <c r="AU691" s="255">
        <f t="shared" si="57"/>
        <v>22.222222222222221</v>
      </c>
      <c r="AV691" s="172">
        <v>100</v>
      </c>
      <c r="AW691" s="171">
        <v>7</v>
      </c>
      <c r="AX691" s="89"/>
      <c r="AY691" s="171">
        <v>20</v>
      </c>
      <c r="AZ691" s="261"/>
      <c r="BA691" s="175">
        <v>60</v>
      </c>
      <c r="BB691" s="189" t="s">
        <v>2547</v>
      </c>
      <c r="BC691" s="176"/>
      <c r="BD691" s="179"/>
      <c r="BE691" s="179"/>
      <c r="BF691" s="178"/>
      <c r="BG691" s="25"/>
      <c r="BH691" s="25"/>
    </row>
    <row r="692" spans="1:60" ht="15" customHeight="1">
      <c r="A692" s="95">
        <v>691</v>
      </c>
      <c r="B692" s="98" t="s">
        <v>1014</v>
      </c>
      <c r="C692" s="191" t="s">
        <v>2666</v>
      </c>
      <c r="D692" s="257" t="s">
        <v>549</v>
      </c>
      <c r="E692" s="459" t="s">
        <v>3377</v>
      </c>
      <c r="F692" s="171">
        <v>2003</v>
      </c>
      <c r="G692" s="171">
        <v>180</v>
      </c>
      <c r="H692" s="57"/>
      <c r="I692" s="173" t="s">
        <v>2564</v>
      </c>
      <c r="J692" s="277">
        <v>0.6</v>
      </c>
      <c r="K692" s="213">
        <v>5.93</v>
      </c>
      <c r="L692" s="91"/>
      <c r="M692" s="278">
        <v>300</v>
      </c>
      <c r="N692" s="279"/>
      <c r="O692" s="172" t="s">
        <v>12</v>
      </c>
      <c r="P692" s="89"/>
      <c r="Q692" s="88"/>
      <c r="R692" s="94"/>
      <c r="S692" s="94"/>
      <c r="T692" s="171" t="s">
        <v>2306</v>
      </c>
      <c r="U692" s="171" t="s">
        <v>2530</v>
      </c>
      <c r="V692" s="102">
        <v>0</v>
      </c>
      <c r="W692" s="120">
        <v>0</v>
      </c>
      <c r="X692" s="120">
        <v>0</v>
      </c>
      <c r="Y692" s="120">
        <v>0</v>
      </c>
      <c r="Z692" s="120">
        <v>0</v>
      </c>
      <c r="AA692" s="17">
        <v>0</v>
      </c>
      <c r="AB692" s="17">
        <v>0</v>
      </c>
      <c r="AC692" s="17">
        <v>0</v>
      </c>
      <c r="AD692" s="17">
        <v>0</v>
      </c>
      <c r="AE692" s="17">
        <v>0</v>
      </c>
      <c r="AF692" s="17">
        <v>0</v>
      </c>
      <c r="AG692" s="17">
        <v>0</v>
      </c>
      <c r="AH692" s="17">
        <v>0</v>
      </c>
      <c r="AI692" s="17">
        <v>0</v>
      </c>
      <c r="AJ692" s="17">
        <v>0</v>
      </c>
      <c r="AK692" s="17">
        <v>0</v>
      </c>
      <c r="AL692" s="32">
        <v>0</v>
      </c>
      <c r="AM692" s="780">
        <v>33.299999999999997</v>
      </c>
      <c r="AN692" s="89"/>
      <c r="AO692" s="280"/>
      <c r="AP692" s="784"/>
      <c r="AQ692" s="773" t="s">
        <v>271</v>
      </c>
      <c r="AR692" s="188">
        <v>100</v>
      </c>
      <c r="AS692" s="171"/>
      <c r="AT692" s="171" t="str">
        <f t="shared" si="56"/>
        <v>400</v>
      </c>
      <c r="AU692" s="255">
        <f t="shared" si="57"/>
        <v>22.222222222222221</v>
      </c>
      <c r="AV692" s="172">
        <v>98</v>
      </c>
      <c r="AW692" s="171">
        <v>7</v>
      </c>
      <c r="AX692" s="89"/>
      <c r="AY692" s="171">
        <v>20</v>
      </c>
      <c r="AZ692" s="261"/>
      <c r="BA692" s="175">
        <v>60</v>
      </c>
      <c r="BB692" s="189" t="s">
        <v>2550</v>
      </c>
      <c r="BC692" s="176"/>
      <c r="BD692" s="179"/>
      <c r="BE692" s="179"/>
      <c r="BF692" s="178"/>
      <c r="BG692" s="25"/>
      <c r="BH692" s="25"/>
    </row>
    <row r="693" spans="1:60" ht="15" customHeight="1">
      <c r="A693" s="95">
        <v>692</v>
      </c>
      <c r="B693" s="98" t="s">
        <v>1013</v>
      </c>
      <c r="C693" s="191" t="s">
        <v>2667</v>
      </c>
      <c r="D693" s="257" t="s">
        <v>549</v>
      </c>
      <c r="E693" s="459" t="s">
        <v>3377</v>
      </c>
      <c r="F693" s="171">
        <v>2003</v>
      </c>
      <c r="G693" s="171">
        <v>181</v>
      </c>
      <c r="H693" s="57"/>
      <c r="I693" s="173" t="s">
        <v>2564</v>
      </c>
      <c r="J693" s="277">
        <v>0.4</v>
      </c>
      <c r="K693" s="213">
        <v>3.5226781857451406</v>
      </c>
      <c r="L693" s="91"/>
      <c r="M693" s="278">
        <v>463</v>
      </c>
      <c r="N693" s="279"/>
      <c r="O693" s="172" t="s">
        <v>12</v>
      </c>
      <c r="P693" s="92"/>
      <c r="Q693" s="173" t="s">
        <v>10</v>
      </c>
      <c r="R693" s="94"/>
      <c r="S693" s="94"/>
      <c r="T693" s="171" t="s">
        <v>2306</v>
      </c>
      <c r="U693" s="171" t="s">
        <v>2530</v>
      </c>
      <c r="V693" s="102">
        <v>0</v>
      </c>
      <c r="W693" s="120">
        <v>0</v>
      </c>
      <c r="X693" s="120">
        <v>0</v>
      </c>
      <c r="Y693" s="120">
        <v>0</v>
      </c>
      <c r="Z693" s="120">
        <v>0</v>
      </c>
      <c r="AA693" s="17">
        <v>0</v>
      </c>
      <c r="AB693" s="17">
        <v>0</v>
      </c>
      <c r="AC693" s="17">
        <v>0</v>
      </c>
      <c r="AD693" s="17">
        <v>0</v>
      </c>
      <c r="AE693" s="17">
        <v>0</v>
      </c>
      <c r="AF693" s="17">
        <v>0</v>
      </c>
      <c r="AG693" s="17">
        <v>0</v>
      </c>
      <c r="AH693" s="17">
        <v>0</v>
      </c>
      <c r="AI693" s="17">
        <v>0</v>
      </c>
      <c r="AJ693" s="17">
        <v>0</v>
      </c>
      <c r="AK693" s="17">
        <v>0</v>
      </c>
      <c r="AL693" s="32">
        <v>0</v>
      </c>
      <c r="AM693" s="780">
        <v>37</v>
      </c>
      <c r="AN693" s="89"/>
      <c r="AO693" s="280"/>
      <c r="AP693" s="784"/>
      <c r="AQ693" s="773" t="s">
        <v>530</v>
      </c>
      <c r="AR693" s="174">
        <v>50</v>
      </c>
      <c r="AS693" s="171"/>
      <c r="AT693" s="171" t="str">
        <f>RIGHT(AQ693,LEN(AQ693)-FIND("x",AQ693,1))</f>
        <v>200</v>
      </c>
      <c r="AU693" s="255">
        <f>(AR693*AT693)/((2*AT693)+(2*AR693))</f>
        <v>20</v>
      </c>
      <c r="AV693" s="172">
        <v>100</v>
      </c>
      <c r="AW693" s="171">
        <v>7</v>
      </c>
      <c r="AX693" s="89"/>
      <c r="AY693" s="171">
        <v>20</v>
      </c>
      <c r="AZ693" s="261"/>
      <c r="BA693" s="175">
        <v>60</v>
      </c>
      <c r="BB693" s="189" t="s">
        <v>2547</v>
      </c>
      <c r="BC693" s="176"/>
      <c r="BD693" s="179"/>
      <c r="BE693" s="179"/>
      <c r="BF693" s="178"/>
      <c r="BG693" s="25"/>
      <c r="BH693" s="25"/>
    </row>
    <row r="694" spans="1:60" ht="15" customHeight="1">
      <c r="A694" s="95">
        <v>693</v>
      </c>
      <c r="B694" s="98" t="s">
        <v>1012</v>
      </c>
      <c r="C694" s="191" t="s">
        <v>2667</v>
      </c>
      <c r="D694" s="257" t="s">
        <v>549</v>
      </c>
      <c r="E694" s="459" t="s">
        <v>3377</v>
      </c>
      <c r="F694" s="171">
        <v>2003</v>
      </c>
      <c r="G694" s="171">
        <v>181</v>
      </c>
      <c r="H694" s="57"/>
      <c r="I694" s="173" t="s">
        <v>2564</v>
      </c>
      <c r="J694" s="277">
        <v>0.55000000000000004</v>
      </c>
      <c r="K694" s="213">
        <v>5.7092651757188495</v>
      </c>
      <c r="L694" s="91"/>
      <c r="M694" s="278">
        <v>313</v>
      </c>
      <c r="N694" s="279"/>
      <c r="O694" s="172" t="s">
        <v>12</v>
      </c>
      <c r="P694" s="92"/>
      <c r="Q694" s="173" t="s">
        <v>10</v>
      </c>
      <c r="R694" s="94"/>
      <c r="S694" s="94"/>
      <c r="T694" s="171" t="s">
        <v>2306</v>
      </c>
      <c r="U694" s="171" t="s">
        <v>2530</v>
      </c>
      <c r="V694" s="102">
        <v>0</v>
      </c>
      <c r="W694" s="120">
        <v>0</v>
      </c>
      <c r="X694" s="120">
        <v>0</v>
      </c>
      <c r="Y694" s="120">
        <v>0</v>
      </c>
      <c r="Z694" s="120">
        <v>0</v>
      </c>
      <c r="AA694" s="17">
        <v>0</v>
      </c>
      <c r="AB694" s="17">
        <v>0</v>
      </c>
      <c r="AC694" s="17">
        <v>0</v>
      </c>
      <c r="AD694" s="17">
        <v>0</v>
      </c>
      <c r="AE694" s="17">
        <v>0</v>
      </c>
      <c r="AF694" s="17">
        <v>0</v>
      </c>
      <c r="AG694" s="17">
        <v>0</v>
      </c>
      <c r="AH694" s="17">
        <v>0</v>
      </c>
      <c r="AI694" s="17">
        <v>0</v>
      </c>
      <c r="AJ694" s="17">
        <v>0</v>
      </c>
      <c r="AK694" s="17">
        <v>0</v>
      </c>
      <c r="AL694" s="32">
        <v>0</v>
      </c>
      <c r="AM694" s="780">
        <v>53</v>
      </c>
      <c r="AN694" s="89"/>
      <c r="AO694" s="280"/>
      <c r="AP694" s="784"/>
      <c r="AQ694" s="773" t="s">
        <v>530</v>
      </c>
      <c r="AR694" s="174">
        <v>50</v>
      </c>
      <c r="AS694" s="171"/>
      <c r="AT694" s="171" t="str">
        <f>RIGHT(AQ694,LEN(AQ694)-FIND("x",AQ694,1))</f>
        <v>200</v>
      </c>
      <c r="AU694" s="255">
        <f>(AR694*AT694)/((2*AT694)+(2*AR694))</f>
        <v>20</v>
      </c>
      <c r="AV694" s="172">
        <v>100</v>
      </c>
      <c r="AW694" s="171">
        <v>7</v>
      </c>
      <c r="AX694" s="89"/>
      <c r="AY694" s="171">
        <v>20</v>
      </c>
      <c r="AZ694" s="261"/>
      <c r="BA694" s="175">
        <v>60</v>
      </c>
      <c r="BB694" s="189" t="s">
        <v>2547</v>
      </c>
      <c r="BC694" s="176"/>
      <c r="BD694" s="179"/>
      <c r="BE694" s="179"/>
      <c r="BF694" s="178"/>
      <c r="BG694" s="25"/>
      <c r="BH694" s="25"/>
    </row>
    <row r="695" spans="1:60" ht="15" customHeight="1">
      <c r="A695" s="95">
        <v>694</v>
      </c>
      <c r="B695" s="98" t="s">
        <v>1011</v>
      </c>
      <c r="C695" s="191" t="s">
        <v>2668</v>
      </c>
      <c r="D695" s="257" t="s">
        <v>549</v>
      </c>
      <c r="E695" s="459" t="s">
        <v>3377</v>
      </c>
      <c r="F695" s="171">
        <v>2003</v>
      </c>
      <c r="G695" s="171">
        <v>182</v>
      </c>
      <c r="H695" s="57"/>
      <c r="I695" s="173" t="s">
        <v>2564</v>
      </c>
      <c r="J695" s="277">
        <v>0.6</v>
      </c>
      <c r="K695" s="213">
        <v>6.5539568345323742</v>
      </c>
      <c r="L695" s="91"/>
      <c r="M695" s="278">
        <v>278</v>
      </c>
      <c r="N695" s="279"/>
      <c r="O695" s="172" t="s">
        <v>12</v>
      </c>
      <c r="P695" s="92"/>
      <c r="Q695" s="173" t="s">
        <v>10</v>
      </c>
      <c r="R695" s="171" t="s">
        <v>2735</v>
      </c>
      <c r="S695" s="94"/>
      <c r="T695" s="171" t="s">
        <v>2306</v>
      </c>
      <c r="U695" s="171" t="s">
        <v>2551</v>
      </c>
      <c r="V695" s="102">
        <v>0</v>
      </c>
      <c r="W695" s="120">
        <v>0</v>
      </c>
      <c r="X695" s="120">
        <v>0</v>
      </c>
      <c r="Y695" s="120">
        <v>0</v>
      </c>
      <c r="Z695" s="120">
        <v>0</v>
      </c>
      <c r="AA695" s="17">
        <v>0</v>
      </c>
      <c r="AB695" s="17">
        <v>0</v>
      </c>
      <c r="AC695" s="17">
        <v>0</v>
      </c>
      <c r="AD695" s="17">
        <v>0</v>
      </c>
      <c r="AE695" s="17">
        <v>0</v>
      </c>
      <c r="AF695" s="17">
        <v>0</v>
      </c>
      <c r="AG695" s="17">
        <v>0</v>
      </c>
      <c r="AH695" s="17">
        <v>0</v>
      </c>
      <c r="AI695" s="17">
        <v>0</v>
      </c>
      <c r="AJ695" s="17">
        <v>0</v>
      </c>
      <c r="AK695" s="17">
        <v>0</v>
      </c>
      <c r="AL695" s="32">
        <v>0</v>
      </c>
      <c r="AM695" s="780">
        <v>26.7</v>
      </c>
      <c r="AN695" s="89"/>
      <c r="AO695" s="280"/>
      <c r="AP695" s="784"/>
      <c r="AQ695" s="773" t="s">
        <v>271</v>
      </c>
      <c r="AR695" s="188">
        <v>100</v>
      </c>
      <c r="AS695" s="171"/>
      <c r="AT695" s="171" t="str">
        <f t="shared" ref="AT695:AT710" si="58">RIGHT(AQ695,LEN(AQ695)-FIND("x",AQ695,8))</f>
        <v>400</v>
      </c>
      <c r="AU695" s="255">
        <f t="shared" ref="AU695:AU710" si="59">IF(ISBLANK(AS695),(AR695*AT695)/((4*AT695)+(2*AR695)),AR695*AS695*AT695/2/(AR695*AS695+AR695*AT695+AS695*AT695))</f>
        <v>22.222222222222221</v>
      </c>
      <c r="AV695" s="172">
        <v>100</v>
      </c>
      <c r="AW695" s="171">
        <v>7</v>
      </c>
      <c r="AX695" s="89"/>
      <c r="AY695" s="171">
        <v>20</v>
      </c>
      <c r="AZ695" s="261"/>
      <c r="BA695" s="175">
        <v>60</v>
      </c>
      <c r="BB695" s="189" t="s">
        <v>2547</v>
      </c>
      <c r="BC695" s="176"/>
      <c r="BD695" s="179"/>
      <c r="BE695" s="179"/>
      <c r="BF695" s="178"/>
      <c r="BG695" s="25"/>
      <c r="BH695" s="25"/>
    </row>
    <row r="696" spans="1:60" ht="15" customHeight="1">
      <c r="A696" s="95">
        <v>695</v>
      </c>
      <c r="B696" s="98" t="s">
        <v>1010</v>
      </c>
      <c r="C696" s="191" t="s">
        <v>2669</v>
      </c>
      <c r="D696" s="257" t="s">
        <v>549</v>
      </c>
      <c r="E696" s="459" t="s">
        <v>3377</v>
      </c>
      <c r="F696" s="171">
        <v>2002</v>
      </c>
      <c r="G696" s="171">
        <v>183</v>
      </c>
      <c r="H696" s="57"/>
      <c r="I696" s="173" t="s">
        <v>2564</v>
      </c>
      <c r="J696" s="277">
        <v>0.55000000000000004</v>
      </c>
      <c r="K696" s="213">
        <v>5.4625000000000004</v>
      </c>
      <c r="L696" s="91"/>
      <c r="M696" s="278">
        <v>320</v>
      </c>
      <c r="N696" s="279"/>
      <c r="O696" s="172" t="s">
        <v>120</v>
      </c>
      <c r="P696" s="92"/>
      <c r="Q696" s="510" t="s">
        <v>3454</v>
      </c>
      <c r="R696" s="94"/>
      <c r="S696" s="94"/>
      <c r="T696" s="171" t="s">
        <v>2306</v>
      </c>
      <c r="U696" s="171" t="s">
        <v>2530</v>
      </c>
      <c r="V696" s="102">
        <v>0</v>
      </c>
      <c r="W696" s="120">
        <v>0</v>
      </c>
      <c r="X696" s="120">
        <v>0</v>
      </c>
      <c r="Y696" s="120">
        <v>0</v>
      </c>
      <c r="Z696" s="120">
        <v>0</v>
      </c>
      <c r="AA696" s="17">
        <v>0</v>
      </c>
      <c r="AB696" s="17">
        <v>0</v>
      </c>
      <c r="AC696" s="17">
        <v>0</v>
      </c>
      <c r="AD696" s="17">
        <v>0</v>
      </c>
      <c r="AE696" s="17">
        <v>0</v>
      </c>
      <c r="AF696" s="17">
        <v>0</v>
      </c>
      <c r="AG696" s="17">
        <v>0</v>
      </c>
      <c r="AH696" s="17">
        <v>0</v>
      </c>
      <c r="AI696" s="17">
        <v>0</v>
      </c>
      <c r="AJ696" s="17">
        <v>0</v>
      </c>
      <c r="AK696" s="17">
        <v>0</v>
      </c>
      <c r="AL696" s="32" t="s">
        <v>2541</v>
      </c>
      <c r="AM696" s="780">
        <v>29.2</v>
      </c>
      <c r="AN696" s="89"/>
      <c r="AO696" s="280"/>
      <c r="AP696" s="784"/>
      <c r="AQ696" s="773" t="s">
        <v>271</v>
      </c>
      <c r="AR696" s="188">
        <v>100</v>
      </c>
      <c r="AS696" s="171"/>
      <c r="AT696" s="171" t="str">
        <f t="shared" si="58"/>
        <v>400</v>
      </c>
      <c r="AU696" s="255">
        <f t="shared" si="59"/>
        <v>22.222222222222221</v>
      </c>
      <c r="AV696" s="172">
        <v>100</v>
      </c>
      <c r="AW696" s="171">
        <v>7</v>
      </c>
      <c r="AX696" s="89"/>
      <c r="AY696" s="171">
        <v>20</v>
      </c>
      <c r="AZ696" s="261"/>
      <c r="BA696" s="175">
        <v>60</v>
      </c>
      <c r="BB696" s="189" t="s">
        <v>2547</v>
      </c>
      <c r="BC696" s="176"/>
      <c r="BD696" s="179"/>
      <c r="BE696" s="179"/>
      <c r="BF696" s="178" t="s">
        <v>3461</v>
      </c>
      <c r="BG696" s="25"/>
      <c r="BH696" s="25"/>
    </row>
    <row r="697" spans="1:60" ht="15" customHeight="1">
      <c r="A697" s="95">
        <v>696</v>
      </c>
      <c r="B697" s="98" t="s">
        <v>1009</v>
      </c>
      <c r="C697" s="191" t="s">
        <v>2669</v>
      </c>
      <c r="D697" s="257" t="s">
        <v>549</v>
      </c>
      <c r="E697" s="459" t="s">
        <v>3377</v>
      </c>
      <c r="F697" s="171">
        <v>2002</v>
      </c>
      <c r="G697" s="171">
        <v>183</v>
      </c>
      <c r="H697" s="57"/>
      <c r="I697" s="173" t="s">
        <v>2564</v>
      </c>
      <c r="J697" s="277">
        <v>0.55000000000000004</v>
      </c>
      <c r="K697" s="213">
        <v>5.3394495412844041</v>
      </c>
      <c r="L697" s="91"/>
      <c r="M697" s="278">
        <v>327</v>
      </c>
      <c r="N697" s="279"/>
      <c r="O697" s="172" t="s">
        <v>12</v>
      </c>
      <c r="P697" s="92"/>
      <c r="Q697" s="173" t="s">
        <v>10</v>
      </c>
      <c r="R697" s="94"/>
      <c r="S697" s="94"/>
      <c r="T697" s="171" t="s">
        <v>2306</v>
      </c>
      <c r="U697" s="171" t="s">
        <v>2530</v>
      </c>
      <c r="V697" s="102">
        <v>0</v>
      </c>
      <c r="W697" s="120">
        <v>0</v>
      </c>
      <c r="X697" s="120">
        <v>0</v>
      </c>
      <c r="Y697" s="120">
        <v>0</v>
      </c>
      <c r="Z697" s="120">
        <v>0</v>
      </c>
      <c r="AA697" s="17">
        <v>0</v>
      </c>
      <c r="AB697" s="17">
        <v>0</v>
      </c>
      <c r="AC697" s="17">
        <v>0</v>
      </c>
      <c r="AD697" s="17">
        <v>0</v>
      </c>
      <c r="AE697" s="17">
        <v>0</v>
      </c>
      <c r="AF697" s="17">
        <v>0</v>
      </c>
      <c r="AG697" s="17">
        <v>0</v>
      </c>
      <c r="AH697" s="17">
        <v>0</v>
      </c>
      <c r="AI697" s="17">
        <v>0</v>
      </c>
      <c r="AJ697" s="17">
        <v>0</v>
      </c>
      <c r="AK697" s="17">
        <v>0</v>
      </c>
      <c r="AL697" s="32">
        <v>0</v>
      </c>
      <c r="AM697" s="780">
        <v>37.5</v>
      </c>
      <c r="AN697" s="89"/>
      <c r="AO697" s="280"/>
      <c r="AP697" s="784"/>
      <c r="AQ697" s="773" t="s">
        <v>271</v>
      </c>
      <c r="AR697" s="188">
        <v>100</v>
      </c>
      <c r="AS697" s="171"/>
      <c r="AT697" s="171" t="str">
        <f t="shared" si="58"/>
        <v>400</v>
      </c>
      <c r="AU697" s="255">
        <f t="shared" si="59"/>
        <v>22.222222222222221</v>
      </c>
      <c r="AV697" s="172">
        <v>100</v>
      </c>
      <c r="AW697" s="171">
        <v>7</v>
      </c>
      <c r="AX697" s="89"/>
      <c r="AY697" s="171">
        <v>20</v>
      </c>
      <c r="AZ697" s="261"/>
      <c r="BA697" s="175">
        <v>60</v>
      </c>
      <c r="BB697" s="189" t="s">
        <v>2547</v>
      </c>
      <c r="BC697" s="176"/>
      <c r="BD697" s="179"/>
      <c r="BE697" s="179"/>
      <c r="BF697" s="178"/>
      <c r="BG697" s="25"/>
      <c r="BH697" s="25"/>
    </row>
    <row r="698" spans="1:60" ht="15" customHeight="1">
      <c r="A698" s="95">
        <v>697</v>
      </c>
      <c r="B698" s="98" t="s">
        <v>1008</v>
      </c>
      <c r="C698" s="191" t="s">
        <v>2669</v>
      </c>
      <c r="D698" s="257" t="s">
        <v>549</v>
      </c>
      <c r="E698" s="459" t="s">
        <v>3377</v>
      </c>
      <c r="F698" s="171">
        <v>2002</v>
      </c>
      <c r="G698" s="171">
        <v>183</v>
      </c>
      <c r="H698" s="57"/>
      <c r="I698" s="173" t="s">
        <v>2564</v>
      </c>
      <c r="J698" s="277">
        <v>0.55000000000000004</v>
      </c>
      <c r="K698" s="213">
        <v>5.3455657492354742</v>
      </c>
      <c r="L698" s="91"/>
      <c r="M698" s="278">
        <v>327</v>
      </c>
      <c r="N698" s="279"/>
      <c r="O698" s="172" t="s">
        <v>120</v>
      </c>
      <c r="P698" s="92"/>
      <c r="Q698" s="510" t="s">
        <v>3454</v>
      </c>
      <c r="R698" s="94"/>
      <c r="S698" s="94"/>
      <c r="T698" s="171" t="s">
        <v>2306</v>
      </c>
      <c r="U698" s="171" t="s">
        <v>2530</v>
      </c>
      <c r="V698" s="102">
        <v>0</v>
      </c>
      <c r="W698" s="120">
        <v>0</v>
      </c>
      <c r="X698" s="120">
        <v>0</v>
      </c>
      <c r="Y698" s="120">
        <v>0</v>
      </c>
      <c r="Z698" s="120">
        <v>0</v>
      </c>
      <c r="AA698" s="17">
        <v>0</v>
      </c>
      <c r="AB698" s="17">
        <v>0</v>
      </c>
      <c r="AC698" s="17">
        <v>0</v>
      </c>
      <c r="AD698" s="17">
        <v>0</v>
      </c>
      <c r="AE698" s="17">
        <v>0</v>
      </c>
      <c r="AF698" s="17">
        <v>0</v>
      </c>
      <c r="AG698" s="17">
        <v>0</v>
      </c>
      <c r="AH698" s="17">
        <v>0</v>
      </c>
      <c r="AI698" s="17">
        <v>0</v>
      </c>
      <c r="AJ698" s="17">
        <v>0</v>
      </c>
      <c r="AK698" s="17">
        <v>0</v>
      </c>
      <c r="AL698" s="32">
        <v>0</v>
      </c>
      <c r="AM698" s="780">
        <v>36.299999999999997</v>
      </c>
      <c r="AN698" s="89"/>
      <c r="AO698" s="280"/>
      <c r="AP698" s="784"/>
      <c r="AQ698" s="773" t="s">
        <v>271</v>
      </c>
      <c r="AR698" s="188">
        <v>100</v>
      </c>
      <c r="AS698" s="171"/>
      <c r="AT698" s="171" t="str">
        <f t="shared" si="58"/>
        <v>400</v>
      </c>
      <c r="AU698" s="255">
        <f t="shared" si="59"/>
        <v>22.222222222222221</v>
      </c>
      <c r="AV698" s="172">
        <v>100</v>
      </c>
      <c r="AW698" s="171">
        <v>7</v>
      </c>
      <c r="AX698" s="89"/>
      <c r="AY698" s="171">
        <v>20</v>
      </c>
      <c r="AZ698" s="261"/>
      <c r="BA698" s="175">
        <v>60</v>
      </c>
      <c r="BB698" s="189" t="s">
        <v>2547</v>
      </c>
      <c r="BC698" s="176"/>
      <c r="BD698" s="179"/>
      <c r="BE698" s="179"/>
      <c r="BF698" s="178"/>
      <c r="BG698" s="25"/>
      <c r="BH698" s="25"/>
    </row>
    <row r="699" spans="1:60" ht="15" customHeight="1">
      <c r="A699" s="95">
        <v>698</v>
      </c>
      <c r="B699" s="98" t="s">
        <v>1007</v>
      </c>
      <c r="C699" s="191" t="s">
        <v>2669</v>
      </c>
      <c r="D699" s="257" t="s">
        <v>549</v>
      </c>
      <c r="E699" s="459" t="s">
        <v>3377</v>
      </c>
      <c r="F699" s="171">
        <v>2002</v>
      </c>
      <c r="G699" s="171">
        <v>183</v>
      </c>
      <c r="H699" s="57"/>
      <c r="I699" s="173" t="s">
        <v>2564</v>
      </c>
      <c r="J699" s="277">
        <v>0.55000000000000004</v>
      </c>
      <c r="K699" s="213">
        <v>5.3394495412844041</v>
      </c>
      <c r="L699" s="91"/>
      <c r="M699" s="278">
        <v>327</v>
      </c>
      <c r="N699" s="279"/>
      <c r="O699" s="172" t="s">
        <v>12</v>
      </c>
      <c r="P699" s="92"/>
      <c r="Q699" s="173" t="s">
        <v>10</v>
      </c>
      <c r="R699" s="94"/>
      <c r="S699" s="94"/>
      <c r="T699" s="171" t="s">
        <v>2306</v>
      </c>
      <c r="U699" s="171" t="s">
        <v>2530</v>
      </c>
      <c r="V699" s="102">
        <v>0</v>
      </c>
      <c r="W699" s="120">
        <v>0</v>
      </c>
      <c r="X699" s="120">
        <v>0</v>
      </c>
      <c r="Y699" s="120">
        <v>0</v>
      </c>
      <c r="Z699" s="120">
        <v>0</v>
      </c>
      <c r="AA699" s="17">
        <v>0</v>
      </c>
      <c r="AB699" s="17">
        <v>0</v>
      </c>
      <c r="AC699" s="17">
        <v>0</v>
      </c>
      <c r="AD699" s="17">
        <v>0</v>
      </c>
      <c r="AE699" s="17">
        <v>0</v>
      </c>
      <c r="AF699" s="17">
        <v>0</v>
      </c>
      <c r="AG699" s="17">
        <v>0</v>
      </c>
      <c r="AH699" s="17">
        <v>0</v>
      </c>
      <c r="AI699" s="17">
        <v>0</v>
      </c>
      <c r="AJ699" s="17">
        <v>0</v>
      </c>
      <c r="AK699" s="17">
        <v>0</v>
      </c>
      <c r="AL699" s="32">
        <v>0</v>
      </c>
      <c r="AM699" s="780">
        <v>37.5</v>
      </c>
      <c r="AN699" s="89"/>
      <c r="AO699" s="280"/>
      <c r="AP699" s="784"/>
      <c r="AQ699" s="773" t="s">
        <v>271</v>
      </c>
      <c r="AR699" s="188">
        <v>100</v>
      </c>
      <c r="AS699" s="171"/>
      <c r="AT699" s="171" t="str">
        <f t="shared" si="58"/>
        <v>400</v>
      </c>
      <c r="AU699" s="255">
        <f t="shared" si="59"/>
        <v>22.222222222222221</v>
      </c>
      <c r="AV699" s="172">
        <v>100</v>
      </c>
      <c r="AW699" s="171">
        <v>7</v>
      </c>
      <c r="AX699" s="89"/>
      <c r="AY699" s="171">
        <v>20</v>
      </c>
      <c r="AZ699" s="261"/>
      <c r="BA699" s="175">
        <v>60</v>
      </c>
      <c r="BB699" s="189" t="s">
        <v>2547</v>
      </c>
      <c r="BC699" s="176"/>
      <c r="BD699" s="179"/>
      <c r="BE699" s="179"/>
      <c r="BF699" s="178"/>
      <c r="BG699" s="25"/>
      <c r="BH699" s="25"/>
    </row>
    <row r="700" spans="1:60" ht="15" customHeight="1">
      <c r="A700" s="95">
        <v>699</v>
      </c>
      <c r="B700" s="98" t="s">
        <v>1006</v>
      </c>
      <c r="C700" s="191" t="s">
        <v>2669</v>
      </c>
      <c r="D700" s="257" t="s">
        <v>549</v>
      </c>
      <c r="E700" s="459" t="s">
        <v>3377</v>
      </c>
      <c r="F700" s="171">
        <v>2002</v>
      </c>
      <c r="G700" s="171">
        <v>183</v>
      </c>
      <c r="H700" s="57"/>
      <c r="I700" s="173" t="s">
        <v>2564</v>
      </c>
      <c r="J700" s="277">
        <v>0.55000000000000004</v>
      </c>
      <c r="K700" s="213">
        <v>5.3455657492354742</v>
      </c>
      <c r="L700" s="91"/>
      <c r="M700" s="278">
        <v>327</v>
      </c>
      <c r="N700" s="279"/>
      <c r="O700" s="172" t="s">
        <v>120</v>
      </c>
      <c r="P700" s="92"/>
      <c r="Q700" s="510" t="s">
        <v>3454</v>
      </c>
      <c r="R700" s="94"/>
      <c r="S700" s="94"/>
      <c r="T700" s="171" t="s">
        <v>2306</v>
      </c>
      <c r="U700" s="171" t="s">
        <v>2530</v>
      </c>
      <c r="V700" s="102">
        <v>0</v>
      </c>
      <c r="W700" s="120">
        <v>0</v>
      </c>
      <c r="X700" s="120">
        <v>0</v>
      </c>
      <c r="Y700" s="120">
        <v>0</v>
      </c>
      <c r="Z700" s="120">
        <v>0</v>
      </c>
      <c r="AA700" s="17">
        <v>0</v>
      </c>
      <c r="AB700" s="17">
        <v>0</v>
      </c>
      <c r="AC700" s="17">
        <v>0</v>
      </c>
      <c r="AD700" s="17">
        <v>0</v>
      </c>
      <c r="AE700" s="17">
        <v>0</v>
      </c>
      <c r="AF700" s="17">
        <v>0</v>
      </c>
      <c r="AG700" s="17">
        <v>0</v>
      </c>
      <c r="AH700" s="17">
        <v>0</v>
      </c>
      <c r="AI700" s="17">
        <v>0</v>
      </c>
      <c r="AJ700" s="17">
        <v>0</v>
      </c>
      <c r="AK700" s="17">
        <v>0</v>
      </c>
      <c r="AL700" s="32">
        <v>0</v>
      </c>
      <c r="AM700" s="780">
        <v>36.299999999999997</v>
      </c>
      <c r="AN700" s="89"/>
      <c r="AO700" s="280"/>
      <c r="AP700" s="784"/>
      <c r="AQ700" s="773" t="s">
        <v>271</v>
      </c>
      <c r="AR700" s="188">
        <v>100</v>
      </c>
      <c r="AS700" s="171"/>
      <c r="AT700" s="171" t="str">
        <f t="shared" si="58"/>
        <v>400</v>
      </c>
      <c r="AU700" s="255">
        <f t="shared" si="59"/>
        <v>22.222222222222221</v>
      </c>
      <c r="AV700" s="172">
        <v>100</v>
      </c>
      <c r="AW700" s="171">
        <v>7</v>
      </c>
      <c r="AX700" s="89"/>
      <c r="AY700" s="171">
        <v>20</v>
      </c>
      <c r="AZ700" s="261"/>
      <c r="BA700" s="175">
        <v>60</v>
      </c>
      <c r="BB700" s="189" t="s">
        <v>2547</v>
      </c>
      <c r="BC700" s="176"/>
      <c r="BD700" s="179"/>
      <c r="BE700" s="179"/>
      <c r="BF700" s="178"/>
      <c r="BG700" s="25"/>
      <c r="BH700" s="25"/>
    </row>
    <row r="701" spans="1:60" ht="15" customHeight="1">
      <c r="A701" s="95">
        <v>700</v>
      </c>
      <c r="B701" s="98" t="s">
        <v>1005</v>
      </c>
      <c r="C701" s="191" t="s">
        <v>2670</v>
      </c>
      <c r="D701" s="257" t="s">
        <v>549</v>
      </c>
      <c r="E701" s="459" t="s">
        <v>3377</v>
      </c>
      <c r="F701" s="171">
        <v>2002</v>
      </c>
      <c r="G701" s="171">
        <v>184</v>
      </c>
      <c r="H701" s="57"/>
      <c r="I701" s="173" t="s">
        <v>1751</v>
      </c>
      <c r="J701" s="277">
        <v>0.42499999999999999</v>
      </c>
      <c r="K701" s="213">
        <v>4.1359223300970873</v>
      </c>
      <c r="L701" s="91"/>
      <c r="M701" s="278">
        <v>412</v>
      </c>
      <c r="N701" s="279"/>
      <c r="O701" s="172" t="s">
        <v>12</v>
      </c>
      <c r="P701" s="92"/>
      <c r="Q701" s="173" t="s">
        <v>10</v>
      </c>
      <c r="R701" s="94"/>
      <c r="S701" s="94"/>
      <c r="T701" s="171" t="s">
        <v>2306</v>
      </c>
      <c r="U701" s="171" t="s">
        <v>2530</v>
      </c>
      <c r="V701" s="102">
        <v>0</v>
      </c>
      <c r="W701" s="120">
        <v>0</v>
      </c>
      <c r="X701" s="120">
        <v>0</v>
      </c>
      <c r="Y701" s="120">
        <v>0</v>
      </c>
      <c r="Z701" s="120">
        <v>0</v>
      </c>
      <c r="AA701" s="17">
        <v>0</v>
      </c>
      <c r="AB701" s="17">
        <v>0</v>
      </c>
      <c r="AC701" s="17">
        <v>0</v>
      </c>
      <c r="AD701" s="17">
        <v>0</v>
      </c>
      <c r="AE701" s="17">
        <v>0</v>
      </c>
      <c r="AF701" s="17">
        <v>0</v>
      </c>
      <c r="AG701" s="17">
        <v>0</v>
      </c>
      <c r="AH701" s="17">
        <v>0</v>
      </c>
      <c r="AI701" s="17">
        <v>0</v>
      </c>
      <c r="AJ701" s="17">
        <v>0</v>
      </c>
      <c r="AK701" s="17">
        <v>0</v>
      </c>
      <c r="AL701" s="32">
        <v>0</v>
      </c>
      <c r="AM701" s="780">
        <v>40.799999999999997</v>
      </c>
      <c r="AN701" s="89"/>
      <c r="AO701" s="280"/>
      <c r="AP701" s="784"/>
      <c r="AQ701" s="773" t="s">
        <v>271</v>
      </c>
      <c r="AR701" s="188">
        <v>100</v>
      </c>
      <c r="AS701" s="171"/>
      <c r="AT701" s="171" t="str">
        <f t="shared" si="58"/>
        <v>400</v>
      </c>
      <c r="AU701" s="255">
        <f t="shared" si="59"/>
        <v>22.222222222222221</v>
      </c>
      <c r="AV701" s="172">
        <v>99</v>
      </c>
      <c r="AW701" s="171">
        <v>7</v>
      </c>
      <c r="AX701" s="89"/>
      <c r="AY701" s="171">
        <v>20</v>
      </c>
      <c r="AZ701" s="261"/>
      <c r="BA701" s="175">
        <v>60</v>
      </c>
      <c r="BB701" s="189" t="s">
        <v>2548</v>
      </c>
      <c r="BC701" s="176" t="s">
        <v>558</v>
      </c>
      <c r="BD701" s="179"/>
      <c r="BE701" s="179"/>
      <c r="BF701" s="178"/>
      <c r="BG701" s="25"/>
      <c r="BH701" s="25"/>
    </row>
    <row r="702" spans="1:60" ht="15" customHeight="1">
      <c r="A702" s="95">
        <v>701</v>
      </c>
      <c r="B702" s="98" t="s">
        <v>1004</v>
      </c>
      <c r="C702" s="191" t="s">
        <v>2670</v>
      </c>
      <c r="D702" s="257" t="s">
        <v>549</v>
      </c>
      <c r="E702" s="459" t="s">
        <v>3377</v>
      </c>
      <c r="F702" s="171">
        <v>2002</v>
      </c>
      <c r="G702" s="171">
        <v>184</v>
      </c>
      <c r="H702" s="57"/>
      <c r="I702" s="173" t="s">
        <v>1751</v>
      </c>
      <c r="J702" s="277">
        <v>0.42499999999999999</v>
      </c>
      <c r="K702" s="213">
        <v>4.1359223300970873</v>
      </c>
      <c r="L702" s="91"/>
      <c r="M702" s="278">
        <v>412</v>
      </c>
      <c r="N702" s="279"/>
      <c r="O702" s="172" t="s">
        <v>12</v>
      </c>
      <c r="P702" s="92"/>
      <c r="Q702" s="173" t="s">
        <v>10</v>
      </c>
      <c r="R702" s="94"/>
      <c r="S702" s="94"/>
      <c r="T702" s="171" t="s">
        <v>2306</v>
      </c>
      <c r="U702" s="171" t="s">
        <v>2530</v>
      </c>
      <c r="V702" s="102">
        <v>0</v>
      </c>
      <c r="W702" s="120">
        <v>0</v>
      </c>
      <c r="X702" s="120">
        <v>0</v>
      </c>
      <c r="Y702" s="120">
        <v>0</v>
      </c>
      <c r="Z702" s="120">
        <v>0</v>
      </c>
      <c r="AA702" s="17">
        <v>0</v>
      </c>
      <c r="AB702" s="17">
        <v>0</v>
      </c>
      <c r="AC702" s="17">
        <v>0</v>
      </c>
      <c r="AD702" s="17">
        <v>0</v>
      </c>
      <c r="AE702" s="17">
        <v>0</v>
      </c>
      <c r="AF702" s="17">
        <v>0</v>
      </c>
      <c r="AG702" s="17">
        <v>0</v>
      </c>
      <c r="AH702" s="17">
        <v>1.46</v>
      </c>
      <c r="AI702" s="17">
        <v>0</v>
      </c>
      <c r="AJ702" s="17">
        <v>0</v>
      </c>
      <c r="AK702" s="17">
        <v>0</v>
      </c>
      <c r="AL702" s="32">
        <v>0</v>
      </c>
      <c r="AM702" s="780">
        <v>41</v>
      </c>
      <c r="AN702" s="89"/>
      <c r="AO702" s="280"/>
      <c r="AP702" s="784"/>
      <c r="AQ702" s="773" t="s">
        <v>271</v>
      </c>
      <c r="AR702" s="188">
        <v>100</v>
      </c>
      <c r="AS702" s="171"/>
      <c r="AT702" s="171" t="str">
        <f t="shared" si="58"/>
        <v>400</v>
      </c>
      <c r="AU702" s="255">
        <f t="shared" si="59"/>
        <v>22.222222222222221</v>
      </c>
      <c r="AV702" s="172">
        <v>99</v>
      </c>
      <c r="AW702" s="171">
        <v>7</v>
      </c>
      <c r="AX702" s="89"/>
      <c r="AY702" s="171">
        <v>20</v>
      </c>
      <c r="AZ702" s="261"/>
      <c r="BA702" s="175">
        <v>60</v>
      </c>
      <c r="BB702" s="189" t="s">
        <v>2548</v>
      </c>
      <c r="BC702" s="176" t="s">
        <v>558</v>
      </c>
      <c r="BD702" s="179"/>
      <c r="BE702" s="179"/>
      <c r="BF702" s="178" t="s">
        <v>557</v>
      </c>
      <c r="BG702" s="25"/>
      <c r="BH702" s="25"/>
    </row>
    <row r="703" spans="1:60" ht="15" customHeight="1">
      <c r="A703" s="95">
        <v>702</v>
      </c>
      <c r="B703" s="98" t="s">
        <v>1003</v>
      </c>
      <c r="C703" s="191" t="s">
        <v>2670</v>
      </c>
      <c r="D703" s="257" t="s">
        <v>549</v>
      </c>
      <c r="E703" s="459" t="s">
        <v>3377</v>
      </c>
      <c r="F703" s="171">
        <v>2002</v>
      </c>
      <c r="G703" s="171">
        <v>184</v>
      </c>
      <c r="H703" s="57"/>
      <c r="I703" s="173" t="s">
        <v>1751</v>
      </c>
      <c r="J703" s="277">
        <v>0.55000000000000004</v>
      </c>
      <c r="K703" s="213">
        <v>5.60062893081761</v>
      </c>
      <c r="L703" s="91"/>
      <c r="M703" s="278">
        <v>318</v>
      </c>
      <c r="N703" s="279"/>
      <c r="O703" s="172" t="s">
        <v>12</v>
      </c>
      <c r="P703" s="92"/>
      <c r="Q703" s="173" t="s">
        <v>10</v>
      </c>
      <c r="R703" s="94"/>
      <c r="S703" s="94"/>
      <c r="T703" s="171" t="s">
        <v>2306</v>
      </c>
      <c r="U703" s="171" t="s">
        <v>2530</v>
      </c>
      <c r="V703" s="102">
        <v>0</v>
      </c>
      <c r="W703" s="120">
        <v>0</v>
      </c>
      <c r="X703" s="120">
        <v>0</v>
      </c>
      <c r="Y703" s="120">
        <v>0</v>
      </c>
      <c r="Z703" s="120">
        <v>0</v>
      </c>
      <c r="AA703" s="17">
        <v>0</v>
      </c>
      <c r="AB703" s="17">
        <v>0</v>
      </c>
      <c r="AC703" s="17">
        <v>0</v>
      </c>
      <c r="AD703" s="17">
        <v>0</v>
      </c>
      <c r="AE703" s="17">
        <v>0</v>
      </c>
      <c r="AF703" s="17">
        <v>0</v>
      </c>
      <c r="AG703" s="17">
        <v>0</v>
      </c>
      <c r="AH703" s="17">
        <v>0</v>
      </c>
      <c r="AI703" s="17">
        <v>0</v>
      </c>
      <c r="AJ703" s="17">
        <v>0</v>
      </c>
      <c r="AK703" s="17">
        <v>0</v>
      </c>
      <c r="AL703" s="58">
        <v>0</v>
      </c>
      <c r="AM703" s="780">
        <v>84.3</v>
      </c>
      <c r="AN703" s="89"/>
      <c r="AO703" s="280"/>
      <c r="AP703" s="784"/>
      <c r="AQ703" s="773" t="s">
        <v>271</v>
      </c>
      <c r="AR703" s="188">
        <v>100</v>
      </c>
      <c r="AS703" s="171"/>
      <c r="AT703" s="171" t="str">
        <f t="shared" si="58"/>
        <v>400</v>
      </c>
      <c r="AU703" s="255">
        <f t="shared" si="59"/>
        <v>22.222222222222221</v>
      </c>
      <c r="AV703" s="172">
        <v>99</v>
      </c>
      <c r="AW703" s="171">
        <v>7</v>
      </c>
      <c r="AX703" s="89"/>
      <c r="AY703" s="171">
        <v>20</v>
      </c>
      <c r="AZ703" s="261"/>
      <c r="BA703" s="175">
        <v>60</v>
      </c>
      <c r="BB703" s="189" t="s">
        <v>2548</v>
      </c>
      <c r="BC703" s="176" t="s">
        <v>558</v>
      </c>
      <c r="BD703" s="179"/>
      <c r="BE703" s="179"/>
      <c r="BF703" s="178"/>
      <c r="BG703" s="25"/>
      <c r="BH703" s="25"/>
    </row>
    <row r="704" spans="1:60" ht="15" customHeight="1">
      <c r="A704" s="95">
        <v>703</v>
      </c>
      <c r="B704" s="98" t="s">
        <v>1002</v>
      </c>
      <c r="C704" s="191" t="s">
        <v>2670</v>
      </c>
      <c r="D704" s="257" t="s">
        <v>549</v>
      </c>
      <c r="E704" s="459" t="s">
        <v>3377</v>
      </c>
      <c r="F704" s="171">
        <v>2002</v>
      </c>
      <c r="G704" s="171">
        <v>184</v>
      </c>
      <c r="H704" s="57"/>
      <c r="I704" s="173" t="s">
        <v>1751</v>
      </c>
      <c r="J704" s="277">
        <v>0.55000000000000004</v>
      </c>
      <c r="K704" s="213">
        <v>5.60062893081761</v>
      </c>
      <c r="L704" s="91"/>
      <c r="M704" s="278">
        <v>318</v>
      </c>
      <c r="N704" s="279"/>
      <c r="O704" s="172" t="s">
        <v>12</v>
      </c>
      <c r="P704" s="92"/>
      <c r="Q704" s="173" t="s">
        <v>10</v>
      </c>
      <c r="R704" s="94"/>
      <c r="S704" s="94"/>
      <c r="T704" s="171" t="s">
        <v>2306</v>
      </c>
      <c r="U704" s="171" t="s">
        <v>2530</v>
      </c>
      <c r="V704" s="102">
        <v>0</v>
      </c>
      <c r="W704" s="120">
        <v>0</v>
      </c>
      <c r="X704" s="120">
        <v>0</v>
      </c>
      <c r="Y704" s="120">
        <v>0</v>
      </c>
      <c r="Z704" s="120">
        <v>0</v>
      </c>
      <c r="AA704" s="17">
        <v>0</v>
      </c>
      <c r="AB704" s="17">
        <v>0</v>
      </c>
      <c r="AC704" s="17">
        <v>0</v>
      </c>
      <c r="AD704" s="17">
        <v>0</v>
      </c>
      <c r="AE704" s="17">
        <v>0</v>
      </c>
      <c r="AF704" s="17">
        <v>0</v>
      </c>
      <c r="AG704" s="17">
        <v>0</v>
      </c>
      <c r="AH704" s="17">
        <v>1.89</v>
      </c>
      <c r="AI704" s="17">
        <v>0</v>
      </c>
      <c r="AJ704" s="17">
        <v>0</v>
      </c>
      <c r="AK704" s="17">
        <v>0</v>
      </c>
      <c r="AL704" s="32">
        <v>0</v>
      </c>
      <c r="AM704" s="780">
        <v>46.7</v>
      </c>
      <c r="AN704" s="89"/>
      <c r="AO704" s="280"/>
      <c r="AP704" s="784"/>
      <c r="AQ704" s="773" t="s">
        <v>271</v>
      </c>
      <c r="AR704" s="188">
        <v>100</v>
      </c>
      <c r="AS704" s="171"/>
      <c r="AT704" s="171" t="str">
        <f t="shared" si="58"/>
        <v>400</v>
      </c>
      <c r="AU704" s="255">
        <f t="shared" si="59"/>
        <v>22.222222222222221</v>
      </c>
      <c r="AV704" s="172">
        <v>99</v>
      </c>
      <c r="AW704" s="171">
        <v>7</v>
      </c>
      <c r="AX704" s="89"/>
      <c r="AY704" s="171">
        <v>20</v>
      </c>
      <c r="AZ704" s="261"/>
      <c r="BA704" s="175">
        <v>60</v>
      </c>
      <c r="BB704" s="189" t="s">
        <v>2548</v>
      </c>
      <c r="BC704" s="176" t="s">
        <v>558</v>
      </c>
      <c r="BD704" s="179"/>
      <c r="BE704" s="179"/>
      <c r="BF704" s="178" t="s">
        <v>557</v>
      </c>
      <c r="BG704" s="25"/>
      <c r="BH704" s="25"/>
    </row>
    <row r="705" spans="1:60" ht="15" customHeight="1">
      <c r="A705" s="95">
        <v>704</v>
      </c>
      <c r="B705" s="98" t="s">
        <v>1001</v>
      </c>
      <c r="C705" s="191" t="s">
        <v>2670</v>
      </c>
      <c r="D705" s="257" t="s">
        <v>549</v>
      </c>
      <c r="E705" s="459" t="s">
        <v>3377</v>
      </c>
      <c r="F705" s="171">
        <v>2002</v>
      </c>
      <c r="G705" s="171">
        <v>184</v>
      </c>
      <c r="H705" s="57"/>
      <c r="I705" s="173" t="s">
        <v>1751</v>
      </c>
      <c r="J705" s="277">
        <v>0.3</v>
      </c>
      <c r="K705" s="213">
        <v>2.7890222984562607</v>
      </c>
      <c r="L705" s="91"/>
      <c r="M705" s="278">
        <v>583</v>
      </c>
      <c r="N705" s="279"/>
      <c r="O705" s="172" t="s">
        <v>12</v>
      </c>
      <c r="P705" s="511"/>
      <c r="Q705" s="173" t="s">
        <v>10</v>
      </c>
      <c r="R705" s="94"/>
      <c r="S705" s="94"/>
      <c r="T705" s="171" t="s">
        <v>2306</v>
      </c>
      <c r="U705" s="171" t="s">
        <v>2530</v>
      </c>
      <c r="V705" s="102">
        <v>0</v>
      </c>
      <c r="W705" s="120">
        <v>0</v>
      </c>
      <c r="X705" s="120">
        <v>0</v>
      </c>
      <c r="Y705" s="120">
        <v>0</v>
      </c>
      <c r="Z705" s="120">
        <v>0</v>
      </c>
      <c r="AA705" s="17">
        <v>0</v>
      </c>
      <c r="AB705" s="17">
        <v>0</v>
      </c>
      <c r="AC705" s="17">
        <v>0</v>
      </c>
      <c r="AD705" s="17">
        <v>0</v>
      </c>
      <c r="AE705" s="17">
        <v>0</v>
      </c>
      <c r="AF705" s="17">
        <v>0</v>
      </c>
      <c r="AG705" s="17">
        <v>0</v>
      </c>
      <c r="AH705" s="17">
        <v>0</v>
      </c>
      <c r="AI705" s="17">
        <v>0</v>
      </c>
      <c r="AJ705" s="17">
        <v>0</v>
      </c>
      <c r="AK705" s="17">
        <v>0</v>
      </c>
      <c r="AL705" s="58">
        <v>0</v>
      </c>
      <c r="AM705" s="780">
        <v>87.5</v>
      </c>
      <c r="AN705" s="89"/>
      <c r="AO705" s="280"/>
      <c r="AP705" s="784"/>
      <c r="AQ705" s="773" t="s">
        <v>271</v>
      </c>
      <c r="AR705" s="188">
        <v>100</v>
      </c>
      <c r="AS705" s="171"/>
      <c r="AT705" s="171" t="str">
        <f t="shared" si="58"/>
        <v>400</v>
      </c>
      <c r="AU705" s="255">
        <f t="shared" si="59"/>
        <v>22.222222222222221</v>
      </c>
      <c r="AV705" s="172">
        <v>99</v>
      </c>
      <c r="AW705" s="171">
        <v>7</v>
      </c>
      <c r="AX705" s="89"/>
      <c r="AY705" s="171">
        <v>20</v>
      </c>
      <c r="AZ705" s="261"/>
      <c r="BA705" s="175">
        <v>60</v>
      </c>
      <c r="BB705" s="189" t="s">
        <v>2548</v>
      </c>
      <c r="BC705" s="176" t="s">
        <v>558</v>
      </c>
      <c r="BD705" s="179"/>
      <c r="BE705" s="179"/>
      <c r="BF705" s="178"/>
      <c r="BG705" s="25"/>
      <c r="BH705" s="25"/>
    </row>
    <row r="706" spans="1:60" ht="15" customHeight="1">
      <c r="A706" s="95">
        <v>705</v>
      </c>
      <c r="B706" s="98" t="s">
        <v>1000</v>
      </c>
      <c r="C706" s="191" t="s">
        <v>2670</v>
      </c>
      <c r="D706" s="257" t="s">
        <v>549</v>
      </c>
      <c r="E706" s="459" t="s">
        <v>3377</v>
      </c>
      <c r="F706" s="171">
        <v>2002</v>
      </c>
      <c r="G706" s="171">
        <v>184</v>
      </c>
      <c r="H706" s="57"/>
      <c r="I706" s="173" t="s">
        <v>1751</v>
      </c>
      <c r="J706" s="277">
        <v>0.3</v>
      </c>
      <c r="K706" s="213">
        <v>2.7890222984562607</v>
      </c>
      <c r="L706" s="91"/>
      <c r="M706" s="278">
        <v>583</v>
      </c>
      <c r="N706" s="279"/>
      <c r="O706" s="172" t="s">
        <v>12</v>
      </c>
      <c r="P706" s="511"/>
      <c r="Q706" s="173" t="s">
        <v>10</v>
      </c>
      <c r="R706" s="94"/>
      <c r="S706" s="94"/>
      <c r="T706" s="171" t="s">
        <v>2306</v>
      </c>
      <c r="U706" s="171" t="s">
        <v>2530</v>
      </c>
      <c r="V706" s="102">
        <v>0</v>
      </c>
      <c r="W706" s="120">
        <v>0</v>
      </c>
      <c r="X706" s="120">
        <v>0</v>
      </c>
      <c r="Y706" s="120">
        <v>0</v>
      </c>
      <c r="Z706" s="120">
        <v>0</v>
      </c>
      <c r="AA706" s="17">
        <v>0</v>
      </c>
      <c r="AB706" s="17">
        <v>0</v>
      </c>
      <c r="AC706" s="17">
        <v>0</v>
      </c>
      <c r="AD706" s="17">
        <v>0</v>
      </c>
      <c r="AE706" s="17">
        <v>0</v>
      </c>
      <c r="AF706" s="17">
        <v>0</v>
      </c>
      <c r="AG706" s="17">
        <v>0</v>
      </c>
      <c r="AH706" s="17">
        <v>0.51</v>
      </c>
      <c r="AI706" s="17">
        <v>0</v>
      </c>
      <c r="AJ706" s="17">
        <v>0</v>
      </c>
      <c r="AK706" s="17">
        <v>0</v>
      </c>
      <c r="AL706" s="32">
        <v>0</v>
      </c>
      <c r="AM706" s="780">
        <v>80</v>
      </c>
      <c r="AN706" s="89"/>
      <c r="AO706" s="280"/>
      <c r="AP706" s="784"/>
      <c r="AQ706" s="773" t="s">
        <v>271</v>
      </c>
      <c r="AR706" s="188">
        <v>100</v>
      </c>
      <c r="AS706" s="171"/>
      <c r="AT706" s="171" t="str">
        <f t="shared" si="58"/>
        <v>400</v>
      </c>
      <c r="AU706" s="255">
        <f t="shared" si="59"/>
        <v>22.222222222222221</v>
      </c>
      <c r="AV706" s="172">
        <v>99</v>
      </c>
      <c r="AW706" s="171">
        <v>7</v>
      </c>
      <c r="AX706" s="89"/>
      <c r="AY706" s="171">
        <v>20</v>
      </c>
      <c r="AZ706" s="261"/>
      <c r="BA706" s="175">
        <v>60</v>
      </c>
      <c r="BB706" s="189" t="s">
        <v>2548</v>
      </c>
      <c r="BC706" s="176" t="s">
        <v>558</v>
      </c>
      <c r="BD706" s="179"/>
      <c r="BE706" s="179"/>
      <c r="BF706" s="178" t="s">
        <v>557</v>
      </c>
      <c r="BG706" s="25"/>
      <c r="BH706" s="25"/>
    </row>
    <row r="707" spans="1:60" ht="15" customHeight="1">
      <c r="A707" s="95">
        <v>706</v>
      </c>
      <c r="B707" s="98" t="s">
        <v>999</v>
      </c>
      <c r="C707" s="191" t="s">
        <v>2670</v>
      </c>
      <c r="D707" s="257" t="s">
        <v>549</v>
      </c>
      <c r="E707" s="459" t="s">
        <v>3377</v>
      </c>
      <c r="F707" s="171">
        <v>2002</v>
      </c>
      <c r="G707" s="171">
        <v>184</v>
      </c>
      <c r="H707" s="57"/>
      <c r="I707" s="173" t="s">
        <v>1751</v>
      </c>
      <c r="J707" s="277">
        <v>0.3</v>
      </c>
      <c r="K707" s="213">
        <v>2.7890222984562607</v>
      </c>
      <c r="L707" s="91"/>
      <c r="M707" s="278">
        <v>583</v>
      </c>
      <c r="N707" s="279"/>
      <c r="O707" s="172" t="s">
        <v>12</v>
      </c>
      <c r="P707" s="92"/>
      <c r="Q707" s="173" t="s">
        <v>10</v>
      </c>
      <c r="R707" s="94"/>
      <c r="S707" s="94"/>
      <c r="T707" s="171" t="s">
        <v>2306</v>
      </c>
      <c r="U707" s="171" t="s">
        <v>2530</v>
      </c>
      <c r="V707" s="102">
        <v>0</v>
      </c>
      <c r="W707" s="120">
        <v>0</v>
      </c>
      <c r="X707" s="120">
        <v>0</v>
      </c>
      <c r="Y707" s="120">
        <v>0</v>
      </c>
      <c r="Z707" s="120">
        <v>0</v>
      </c>
      <c r="AA707" s="17">
        <v>0</v>
      </c>
      <c r="AB707" s="17">
        <v>0</v>
      </c>
      <c r="AC707" s="17">
        <v>0</v>
      </c>
      <c r="AD707" s="17">
        <v>0</v>
      </c>
      <c r="AE707" s="17">
        <v>0</v>
      </c>
      <c r="AF707" s="17">
        <v>0</v>
      </c>
      <c r="AG707" s="17">
        <v>0</v>
      </c>
      <c r="AH707" s="17">
        <v>1.03</v>
      </c>
      <c r="AI707" s="17">
        <v>0</v>
      </c>
      <c r="AJ707" s="17">
        <v>0</v>
      </c>
      <c r="AK707" s="17">
        <v>0</v>
      </c>
      <c r="AL707" s="32">
        <v>0</v>
      </c>
      <c r="AM707" s="780">
        <v>83.3</v>
      </c>
      <c r="AN707" s="89"/>
      <c r="AO707" s="280"/>
      <c r="AP707" s="784"/>
      <c r="AQ707" s="773" t="s">
        <v>271</v>
      </c>
      <c r="AR707" s="188">
        <v>100</v>
      </c>
      <c r="AS707" s="171"/>
      <c r="AT707" s="171" t="str">
        <f t="shared" si="58"/>
        <v>400</v>
      </c>
      <c r="AU707" s="255">
        <f t="shared" si="59"/>
        <v>22.222222222222221</v>
      </c>
      <c r="AV707" s="172">
        <v>99</v>
      </c>
      <c r="AW707" s="171">
        <v>7</v>
      </c>
      <c r="AX707" s="89"/>
      <c r="AY707" s="171">
        <v>20</v>
      </c>
      <c r="AZ707" s="261"/>
      <c r="BA707" s="175">
        <v>60</v>
      </c>
      <c r="BB707" s="189" t="s">
        <v>2548</v>
      </c>
      <c r="BC707" s="176" t="s">
        <v>558</v>
      </c>
      <c r="BD707" s="179"/>
      <c r="BE707" s="179"/>
      <c r="BF707" s="178" t="s">
        <v>557</v>
      </c>
      <c r="BG707" s="25"/>
      <c r="BH707" s="25"/>
    </row>
    <row r="708" spans="1:60" ht="15" customHeight="1">
      <c r="A708" s="95">
        <v>707</v>
      </c>
      <c r="B708" s="98" t="s">
        <v>998</v>
      </c>
      <c r="C708" s="191" t="s">
        <v>2670</v>
      </c>
      <c r="D708" s="257" t="s">
        <v>549</v>
      </c>
      <c r="E708" s="459" t="s">
        <v>3377</v>
      </c>
      <c r="F708" s="171">
        <v>2002</v>
      </c>
      <c r="G708" s="171">
        <v>184</v>
      </c>
      <c r="H708" s="57"/>
      <c r="I708" s="173" t="s">
        <v>1751</v>
      </c>
      <c r="J708" s="277">
        <v>0.3</v>
      </c>
      <c r="K708" s="213">
        <v>2.7890222984562607</v>
      </c>
      <c r="L708" s="91"/>
      <c r="M708" s="278">
        <v>583</v>
      </c>
      <c r="N708" s="279"/>
      <c r="O708" s="172" t="s">
        <v>12</v>
      </c>
      <c r="P708" s="92"/>
      <c r="Q708" s="173" t="s">
        <v>10</v>
      </c>
      <c r="R708" s="94"/>
      <c r="S708" s="94"/>
      <c r="T708" s="171" t="s">
        <v>2306</v>
      </c>
      <c r="U708" s="171" t="s">
        <v>2530</v>
      </c>
      <c r="V708" s="102">
        <v>0</v>
      </c>
      <c r="W708" s="120">
        <v>0</v>
      </c>
      <c r="X708" s="120">
        <v>0</v>
      </c>
      <c r="Y708" s="120">
        <v>0</v>
      </c>
      <c r="Z708" s="120">
        <v>0</v>
      </c>
      <c r="AA708" s="17">
        <v>0</v>
      </c>
      <c r="AB708" s="17">
        <v>0</v>
      </c>
      <c r="AC708" s="17">
        <v>0</v>
      </c>
      <c r="AD708" s="17">
        <v>0</v>
      </c>
      <c r="AE708" s="17">
        <v>0</v>
      </c>
      <c r="AF708" s="17">
        <v>0</v>
      </c>
      <c r="AG708" s="17">
        <v>0</v>
      </c>
      <c r="AH708" s="17">
        <v>1.54</v>
      </c>
      <c r="AI708" s="17">
        <v>0</v>
      </c>
      <c r="AJ708" s="17">
        <v>0</v>
      </c>
      <c r="AK708" s="17">
        <v>0</v>
      </c>
      <c r="AL708" s="32">
        <v>0</v>
      </c>
      <c r="AM708" s="780">
        <v>79.7</v>
      </c>
      <c r="AN708" s="89"/>
      <c r="AO708" s="280"/>
      <c r="AP708" s="784"/>
      <c r="AQ708" s="773" t="s">
        <v>271</v>
      </c>
      <c r="AR708" s="188">
        <v>100</v>
      </c>
      <c r="AS708" s="171"/>
      <c r="AT708" s="171" t="str">
        <f t="shared" si="58"/>
        <v>400</v>
      </c>
      <c r="AU708" s="255">
        <f t="shared" si="59"/>
        <v>22.222222222222221</v>
      </c>
      <c r="AV708" s="172">
        <v>99</v>
      </c>
      <c r="AW708" s="171">
        <v>7</v>
      </c>
      <c r="AX708" s="89"/>
      <c r="AY708" s="171">
        <v>20</v>
      </c>
      <c r="AZ708" s="261"/>
      <c r="BA708" s="175">
        <v>60</v>
      </c>
      <c r="BB708" s="189" t="s">
        <v>2548</v>
      </c>
      <c r="BC708" s="176" t="s">
        <v>558</v>
      </c>
      <c r="BD708" s="179"/>
      <c r="BE708" s="179"/>
      <c r="BF708" s="178" t="s">
        <v>557</v>
      </c>
      <c r="BG708" s="25"/>
      <c r="BH708" s="25"/>
    </row>
    <row r="709" spans="1:60" ht="15" customHeight="1">
      <c r="A709" s="95">
        <v>708</v>
      </c>
      <c r="B709" s="98" t="s">
        <v>997</v>
      </c>
      <c r="C709" s="191" t="s">
        <v>2670</v>
      </c>
      <c r="D709" s="257" t="s">
        <v>549</v>
      </c>
      <c r="E709" s="459" t="s">
        <v>3377</v>
      </c>
      <c r="F709" s="171">
        <v>2002</v>
      </c>
      <c r="G709" s="171">
        <v>184</v>
      </c>
      <c r="H709" s="57"/>
      <c r="I709" s="173" t="s">
        <v>1751</v>
      </c>
      <c r="J709" s="277">
        <v>0.3</v>
      </c>
      <c r="K709" s="213">
        <v>2.804459691252144</v>
      </c>
      <c r="L709" s="91"/>
      <c r="M709" s="278">
        <v>583</v>
      </c>
      <c r="N709" s="279"/>
      <c r="O709" s="172" t="s">
        <v>120</v>
      </c>
      <c r="P709" s="92"/>
      <c r="Q709" s="173" t="s">
        <v>2532</v>
      </c>
      <c r="R709" s="94"/>
      <c r="S709" s="94"/>
      <c r="T709" s="171" t="s">
        <v>2306</v>
      </c>
      <c r="U709" s="171" t="s">
        <v>2530</v>
      </c>
      <c r="V709" s="102">
        <v>0</v>
      </c>
      <c r="W709" s="120">
        <v>0</v>
      </c>
      <c r="X709" s="120">
        <v>0</v>
      </c>
      <c r="Y709" s="120">
        <v>0</v>
      </c>
      <c r="Z709" s="120">
        <v>0</v>
      </c>
      <c r="AA709" s="17">
        <v>0</v>
      </c>
      <c r="AB709" s="17">
        <v>0</v>
      </c>
      <c r="AC709" s="17">
        <v>0</v>
      </c>
      <c r="AD709" s="17">
        <v>0</v>
      </c>
      <c r="AE709" s="17">
        <v>0</v>
      </c>
      <c r="AF709" s="17">
        <v>0</v>
      </c>
      <c r="AG709" s="17">
        <v>0</v>
      </c>
      <c r="AH709" s="17">
        <v>0</v>
      </c>
      <c r="AI709" s="17">
        <v>0</v>
      </c>
      <c r="AJ709" s="17">
        <v>0</v>
      </c>
      <c r="AK709" s="17">
        <v>0</v>
      </c>
      <c r="AL709" s="58">
        <v>0</v>
      </c>
      <c r="AM709" s="780">
        <v>51.7</v>
      </c>
      <c r="AN709" s="89"/>
      <c r="AO709" s="280"/>
      <c r="AP709" s="784"/>
      <c r="AQ709" s="773" t="s">
        <v>271</v>
      </c>
      <c r="AR709" s="188">
        <v>100</v>
      </c>
      <c r="AS709" s="171"/>
      <c r="AT709" s="171" t="str">
        <f t="shared" si="58"/>
        <v>400</v>
      </c>
      <c r="AU709" s="255">
        <f t="shared" si="59"/>
        <v>22.222222222222221</v>
      </c>
      <c r="AV709" s="172">
        <v>99</v>
      </c>
      <c r="AW709" s="171">
        <v>7</v>
      </c>
      <c r="AX709" s="89"/>
      <c r="AY709" s="171">
        <v>20</v>
      </c>
      <c r="AZ709" s="261"/>
      <c r="BA709" s="175">
        <v>60</v>
      </c>
      <c r="BB709" s="189" t="s">
        <v>2548</v>
      </c>
      <c r="BC709" s="176" t="s">
        <v>558</v>
      </c>
      <c r="BD709" s="179"/>
      <c r="BE709" s="179"/>
      <c r="BF709" s="178"/>
      <c r="BG709" s="25"/>
      <c r="BH709" s="25"/>
    </row>
    <row r="710" spans="1:60" ht="15" customHeight="1">
      <c r="A710" s="95">
        <v>709</v>
      </c>
      <c r="B710" s="98" t="s">
        <v>996</v>
      </c>
      <c r="C710" s="191" t="s">
        <v>2670</v>
      </c>
      <c r="D710" s="257" t="s">
        <v>549</v>
      </c>
      <c r="E710" s="459" t="s">
        <v>3377</v>
      </c>
      <c r="F710" s="171">
        <v>2002</v>
      </c>
      <c r="G710" s="171">
        <v>184</v>
      </c>
      <c r="H710" s="57"/>
      <c r="I710" s="173" t="s">
        <v>1751</v>
      </c>
      <c r="J710" s="277">
        <v>0.3</v>
      </c>
      <c r="K710" s="213">
        <v>2.804459691252144</v>
      </c>
      <c r="L710" s="91"/>
      <c r="M710" s="278">
        <v>583</v>
      </c>
      <c r="N710" s="279"/>
      <c r="O710" s="172" t="s">
        <v>120</v>
      </c>
      <c r="P710" s="92"/>
      <c r="Q710" s="173" t="s">
        <v>2532</v>
      </c>
      <c r="R710" s="94"/>
      <c r="S710" s="94"/>
      <c r="T710" s="171" t="s">
        <v>2306</v>
      </c>
      <c r="U710" s="171" t="s">
        <v>2530</v>
      </c>
      <c r="V710" s="102">
        <v>0</v>
      </c>
      <c r="W710" s="120">
        <v>0</v>
      </c>
      <c r="X710" s="120">
        <v>0</v>
      </c>
      <c r="Y710" s="120">
        <v>0</v>
      </c>
      <c r="Z710" s="120">
        <v>0</v>
      </c>
      <c r="AA710" s="17">
        <v>0</v>
      </c>
      <c r="AB710" s="17">
        <v>0</v>
      </c>
      <c r="AC710" s="17">
        <v>0</v>
      </c>
      <c r="AD710" s="17">
        <v>0</v>
      </c>
      <c r="AE710" s="17">
        <v>0</v>
      </c>
      <c r="AF710" s="17">
        <v>0</v>
      </c>
      <c r="AG710" s="17">
        <v>0</v>
      </c>
      <c r="AH710" s="17">
        <v>1.03</v>
      </c>
      <c r="AI710" s="17">
        <v>0</v>
      </c>
      <c r="AJ710" s="17">
        <v>0</v>
      </c>
      <c r="AK710" s="17">
        <v>0</v>
      </c>
      <c r="AL710" s="32">
        <v>0</v>
      </c>
      <c r="AM710" s="780">
        <v>51</v>
      </c>
      <c r="AN710" s="89"/>
      <c r="AO710" s="280"/>
      <c r="AP710" s="784"/>
      <c r="AQ710" s="773" t="s">
        <v>271</v>
      </c>
      <c r="AR710" s="188">
        <v>100</v>
      </c>
      <c r="AS710" s="171"/>
      <c r="AT710" s="171" t="str">
        <f t="shared" si="58"/>
        <v>400</v>
      </c>
      <c r="AU710" s="255">
        <f t="shared" si="59"/>
        <v>22.222222222222221</v>
      </c>
      <c r="AV710" s="172">
        <v>99</v>
      </c>
      <c r="AW710" s="171">
        <v>7</v>
      </c>
      <c r="AX710" s="89"/>
      <c r="AY710" s="171">
        <v>20</v>
      </c>
      <c r="AZ710" s="261"/>
      <c r="BA710" s="175">
        <v>60</v>
      </c>
      <c r="BB710" s="189" t="s">
        <v>2548</v>
      </c>
      <c r="BC710" s="176" t="s">
        <v>558</v>
      </c>
      <c r="BD710" s="179"/>
      <c r="BE710" s="179"/>
      <c r="BF710" s="178" t="s">
        <v>557</v>
      </c>
      <c r="BG710" s="25"/>
      <c r="BH710" s="25"/>
    </row>
    <row r="711" spans="1:60" ht="15" customHeight="1">
      <c r="A711" s="95">
        <v>710</v>
      </c>
      <c r="B711" s="98" t="s">
        <v>995</v>
      </c>
      <c r="C711" s="191" t="s">
        <v>2667</v>
      </c>
      <c r="D711" s="257" t="s">
        <v>549</v>
      </c>
      <c r="E711" s="459" t="s">
        <v>3377</v>
      </c>
      <c r="F711" s="171">
        <v>2001</v>
      </c>
      <c r="G711" s="171">
        <v>185</v>
      </c>
      <c r="H711" s="57"/>
      <c r="I711" s="173" t="s">
        <v>2564</v>
      </c>
      <c r="J711" s="277">
        <v>0.6</v>
      </c>
      <c r="K711" s="213">
        <v>5.9505300353356887</v>
      </c>
      <c r="L711" s="91"/>
      <c r="M711" s="278">
        <v>283</v>
      </c>
      <c r="N711" s="279"/>
      <c r="O711" s="172" t="s">
        <v>12</v>
      </c>
      <c r="P711" s="92"/>
      <c r="Q711" s="173" t="s">
        <v>10</v>
      </c>
      <c r="R711" s="94"/>
      <c r="S711" s="94"/>
      <c r="T711" s="171" t="s">
        <v>2306</v>
      </c>
      <c r="U711" s="171" t="s">
        <v>2530</v>
      </c>
      <c r="V711" s="102">
        <v>0</v>
      </c>
      <c r="W711" s="120">
        <f>121/283*100</f>
        <v>42.756183745583037</v>
      </c>
      <c r="X711" s="120">
        <v>0</v>
      </c>
      <c r="Y711" s="120">
        <v>0</v>
      </c>
      <c r="Z711" s="120">
        <v>0</v>
      </c>
      <c r="AA711" s="17">
        <v>0</v>
      </c>
      <c r="AB711" s="17">
        <v>0</v>
      </c>
      <c r="AC711" s="17">
        <v>0</v>
      </c>
      <c r="AD711" s="17">
        <v>0</v>
      </c>
      <c r="AE711" s="17">
        <v>0</v>
      </c>
      <c r="AF711" s="17">
        <v>0</v>
      </c>
      <c r="AG711" s="17">
        <v>0</v>
      </c>
      <c r="AH711" s="17">
        <v>0</v>
      </c>
      <c r="AI711" s="17">
        <v>0</v>
      </c>
      <c r="AJ711" s="17">
        <v>0</v>
      </c>
      <c r="AK711" s="17">
        <v>0</v>
      </c>
      <c r="AL711" s="32">
        <v>0</v>
      </c>
      <c r="AM711" s="780">
        <v>35.799999999999997</v>
      </c>
      <c r="AN711" s="89"/>
      <c r="AO711" s="280"/>
      <c r="AP711" s="784"/>
      <c r="AQ711" s="773" t="s">
        <v>530</v>
      </c>
      <c r="AR711" s="174">
        <v>50</v>
      </c>
      <c r="AS711" s="171"/>
      <c r="AT711" s="171" t="str">
        <f>RIGHT(AQ711,LEN(AQ711)-FIND("x",AQ711,1))</f>
        <v>200</v>
      </c>
      <c r="AU711" s="255">
        <f>(AR711*AT711)/((2*AT711)+(2*AR711))</f>
        <v>20</v>
      </c>
      <c r="AV711" s="172">
        <v>99</v>
      </c>
      <c r="AW711" s="171">
        <v>7</v>
      </c>
      <c r="AX711" s="89"/>
      <c r="AY711" s="171">
        <v>20</v>
      </c>
      <c r="AZ711" s="171">
        <v>24</v>
      </c>
      <c r="BA711" s="175">
        <v>60</v>
      </c>
      <c r="BB711" s="189" t="s">
        <v>2548</v>
      </c>
      <c r="BC711" s="176"/>
      <c r="BD711" s="179"/>
      <c r="BE711" s="179"/>
      <c r="BF711" s="178"/>
      <c r="BG711" s="25"/>
      <c r="BH711" s="25"/>
    </row>
    <row r="712" spans="1:60" ht="15" customHeight="1">
      <c r="A712" s="95">
        <v>711</v>
      </c>
      <c r="B712" s="98" t="s">
        <v>994</v>
      </c>
      <c r="C712" s="191" t="s">
        <v>2667</v>
      </c>
      <c r="D712" s="257" t="s">
        <v>549</v>
      </c>
      <c r="E712" s="459" t="s">
        <v>3377</v>
      </c>
      <c r="F712" s="171">
        <v>2001</v>
      </c>
      <c r="G712" s="171">
        <v>185</v>
      </c>
      <c r="H712" s="57"/>
      <c r="I712" s="173" t="s">
        <v>2564</v>
      </c>
      <c r="J712" s="277">
        <v>0.6</v>
      </c>
      <c r="K712" s="213">
        <v>5.9505300353356887</v>
      </c>
      <c r="L712" s="91"/>
      <c r="M712" s="278">
        <v>283</v>
      </c>
      <c r="N712" s="279"/>
      <c r="O712" s="172" t="s">
        <v>12</v>
      </c>
      <c r="P712" s="92"/>
      <c r="Q712" s="173" t="s">
        <v>10</v>
      </c>
      <c r="R712" s="507"/>
      <c r="S712" s="94"/>
      <c r="T712" s="171" t="s">
        <v>2306</v>
      </c>
      <c r="U712" s="171" t="s">
        <v>2530</v>
      </c>
      <c r="V712" s="102">
        <v>0</v>
      </c>
      <c r="W712" s="120">
        <f>121/283*100</f>
        <v>42.756183745583037</v>
      </c>
      <c r="X712" s="120">
        <v>0</v>
      </c>
      <c r="Y712" s="120">
        <v>0</v>
      </c>
      <c r="Z712" s="120">
        <v>0</v>
      </c>
      <c r="AA712" s="17">
        <v>0</v>
      </c>
      <c r="AB712" s="17">
        <v>0</v>
      </c>
      <c r="AC712" s="17">
        <v>0</v>
      </c>
      <c r="AD712" s="17">
        <v>0</v>
      </c>
      <c r="AE712" s="17">
        <v>0</v>
      </c>
      <c r="AF712" s="17">
        <v>0</v>
      </c>
      <c r="AG712" s="17">
        <v>0</v>
      </c>
      <c r="AH712" s="17">
        <v>0</v>
      </c>
      <c r="AI712" s="17">
        <v>0</v>
      </c>
      <c r="AJ712" s="17">
        <v>0</v>
      </c>
      <c r="AK712" s="17">
        <v>0</v>
      </c>
      <c r="AL712" s="32">
        <v>0</v>
      </c>
      <c r="AM712" s="780">
        <v>37.9</v>
      </c>
      <c r="AN712" s="89"/>
      <c r="AO712" s="280"/>
      <c r="AP712" s="784"/>
      <c r="AQ712" s="773" t="s">
        <v>530</v>
      </c>
      <c r="AR712" s="174">
        <v>50</v>
      </c>
      <c r="AS712" s="171"/>
      <c r="AT712" s="171" t="str">
        <f>RIGHT(AQ712,LEN(AQ712)-FIND("x",AQ712,1))</f>
        <v>200</v>
      </c>
      <c r="AU712" s="255">
        <f>(AR712*AT712)/((2*AT712)+(2*AR712))</f>
        <v>20</v>
      </c>
      <c r="AV712" s="172">
        <v>99</v>
      </c>
      <c r="AW712" s="171">
        <v>7</v>
      </c>
      <c r="AX712" s="89"/>
      <c r="AY712" s="171">
        <v>20</v>
      </c>
      <c r="AZ712" s="171">
        <v>33</v>
      </c>
      <c r="BA712" s="175">
        <v>60</v>
      </c>
      <c r="BB712" s="189" t="s">
        <v>2548</v>
      </c>
      <c r="BC712" s="176"/>
      <c r="BD712" s="179"/>
      <c r="BE712" s="179"/>
      <c r="BF712" s="178"/>
      <c r="BG712" s="25"/>
      <c r="BH712" s="25"/>
    </row>
    <row r="713" spans="1:60" ht="15" customHeight="1">
      <c r="A713" s="95">
        <v>712</v>
      </c>
      <c r="B713" s="98" t="s">
        <v>993</v>
      </c>
      <c r="C713" s="191" t="s">
        <v>2667</v>
      </c>
      <c r="D713" s="257" t="s">
        <v>549</v>
      </c>
      <c r="E713" s="459" t="s">
        <v>3377</v>
      </c>
      <c r="F713" s="171">
        <v>2001</v>
      </c>
      <c r="G713" s="171">
        <v>185</v>
      </c>
      <c r="H713" s="57"/>
      <c r="I713" s="173" t="s">
        <v>2564</v>
      </c>
      <c r="J713" s="277">
        <v>0.6</v>
      </c>
      <c r="K713" s="213">
        <v>5.9505300353356887</v>
      </c>
      <c r="L713" s="91"/>
      <c r="M713" s="278">
        <v>283</v>
      </c>
      <c r="N713" s="279"/>
      <c r="O713" s="172" t="s">
        <v>12</v>
      </c>
      <c r="P713" s="92"/>
      <c r="Q713" s="173" t="s">
        <v>10</v>
      </c>
      <c r="R713" s="507"/>
      <c r="S713" s="94"/>
      <c r="T713" s="171" t="s">
        <v>2306</v>
      </c>
      <c r="U713" s="171" t="s">
        <v>2530</v>
      </c>
      <c r="V713" s="102">
        <v>0</v>
      </c>
      <c r="W713" s="120">
        <f>121/283*100</f>
        <v>42.756183745583037</v>
      </c>
      <c r="X713" s="120">
        <v>0</v>
      </c>
      <c r="Y713" s="120">
        <v>0</v>
      </c>
      <c r="Z713" s="120">
        <v>0</v>
      </c>
      <c r="AA713" s="17">
        <v>0</v>
      </c>
      <c r="AB713" s="17">
        <v>0</v>
      </c>
      <c r="AC713" s="17">
        <v>0</v>
      </c>
      <c r="AD713" s="17">
        <v>0</v>
      </c>
      <c r="AE713" s="17">
        <v>0</v>
      </c>
      <c r="AF713" s="17">
        <v>0</v>
      </c>
      <c r="AG713" s="17">
        <v>0</v>
      </c>
      <c r="AH713" s="17">
        <v>0</v>
      </c>
      <c r="AI713" s="17">
        <v>0</v>
      </c>
      <c r="AJ713" s="17">
        <v>0</v>
      </c>
      <c r="AK713" s="17">
        <v>0</v>
      </c>
      <c r="AL713" s="32">
        <v>0</v>
      </c>
      <c r="AM713" s="780">
        <v>38.299999999999997</v>
      </c>
      <c r="AN713" s="89"/>
      <c r="AO713" s="280"/>
      <c r="AP713" s="784"/>
      <c r="AQ713" s="773" t="s">
        <v>530</v>
      </c>
      <c r="AR713" s="174">
        <v>50</v>
      </c>
      <c r="AS713" s="171"/>
      <c r="AT713" s="171" t="str">
        <f>RIGHT(AQ713,LEN(AQ713)-FIND("x",AQ713,1))</f>
        <v>200</v>
      </c>
      <c r="AU713" s="255">
        <f>(AR713*AT713)/((2*AT713)+(2*AR713))</f>
        <v>20</v>
      </c>
      <c r="AV713" s="172">
        <v>100</v>
      </c>
      <c r="AW713" s="171">
        <v>7</v>
      </c>
      <c r="AX713" s="89"/>
      <c r="AY713" s="171">
        <v>20</v>
      </c>
      <c r="AZ713" s="89"/>
      <c r="BA713" s="175">
        <v>60</v>
      </c>
      <c r="BB713" s="189" t="s">
        <v>2547</v>
      </c>
      <c r="BC713" s="176"/>
      <c r="BD713" s="179"/>
      <c r="BE713" s="179"/>
      <c r="BF713" s="178"/>
      <c r="BG713" s="25"/>
      <c r="BH713" s="25"/>
    </row>
    <row r="714" spans="1:60" ht="15" customHeight="1">
      <c r="A714" s="95">
        <v>713</v>
      </c>
      <c r="B714" s="98" t="s">
        <v>992</v>
      </c>
      <c r="C714" s="191" t="s">
        <v>2671</v>
      </c>
      <c r="D714" s="257" t="s">
        <v>549</v>
      </c>
      <c r="E714" s="459" t="s">
        <v>3377</v>
      </c>
      <c r="F714" s="171">
        <v>2001</v>
      </c>
      <c r="G714" s="171">
        <v>186</v>
      </c>
      <c r="H714" s="57"/>
      <c r="I714" s="173" t="s">
        <v>2564</v>
      </c>
      <c r="J714" s="277">
        <v>0.35</v>
      </c>
      <c r="K714" s="213">
        <v>3.3971193415637861</v>
      </c>
      <c r="L714" s="91"/>
      <c r="M714" s="278">
        <v>486</v>
      </c>
      <c r="N714" s="279"/>
      <c r="O714" s="172" t="s">
        <v>120</v>
      </c>
      <c r="P714" s="89"/>
      <c r="Q714" s="173" t="s">
        <v>2533</v>
      </c>
      <c r="R714" s="507"/>
      <c r="S714" s="94"/>
      <c r="T714" s="171" t="s">
        <v>2306</v>
      </c>
      <c r="U714" s="171" t="s">
        <v>3345</v>
      </c>
      <c r="V714" s="102">
        <v>0</v>
      </c>
      <c r="W714" s="120">
        <v>0</v>
      </c>
      <c r="X714" s="120" t="s">
        <v>2559</v>
      </c>
      <c r="Y714" s="120">
        <v>0</v>
      </c>
      <c r="Z714" s="120">
        <v>0</v>
      </c>
      <c r="AA714" s="17">
        <v>0</v>
      </c>
      <c r="AB714" s="17">
        <v>0</v>
      </c>
      <c r="AC714" s="17">
        <v>0</v>
      </c>
      <c r="AD714" s="17">
        <v>0</v>
      </c>
      <c r="AE714" s="17">
        <v>0</v>
      </c>
      <c r="AF714" s="17">
        <v>0</v>
      </c>
      <c r="AG714" s="17">
        <v>0</v>
      </c>
      <c r="AH714" s="17">
        <v>0</v>
      </c>
      <c r="AI714" s="17">
        <v>0</v>
      </c>
      <c r="AJ714" s="17">
        <v>0</v>
      </c>
      <c r="AK714" s="17">
        <v>0</v>
      </c>
      <c r="AL714" s="32">
        <v>0</v>
      </c>
      <c r="AM714" s="57"/>
      <c r="AN714" s="89"/>
      <c r="AO714" s="280"/>
      <c r="AP714" s="784"/>
      <c r="AQ714" s="773" t="s">
        <v>271</v>
      </c>
      <c r="AR714" s="188">
        <v>100</v>
      </c>
      <c r="AS714" s="171"/>
      <c r="AT714" s="171" t="str">
        <f t="shared" ref="AT714:AT725" si="60">RIGHT(AQ714,LEN(AQ714)-FIND("x",AQ714,8))</f>
        <v>400</v>
      </c>
      <c r="AU714" s="255">
        <f t="shared" ref="AU714:AU725" si="61">IF(ISBLANK(AS714),(AR714*AT714)/((4*AT714)+(2*AR714)),AR714*AS714*AT714/2/(AR714*AS714+AR714*AT714+AS714*AT714))</f>
        <v>22.222222222222221</v>
      </c>
      <c r="AV714" s="172">
        <v>100</v>
      </c>
      <c r="AW714" s="171">
        <v>7</v>
      </c>
      <c r="AX714" s="89"/>
      <c r="AY714" s="171">
        <v>20</v>
      </c>
      <c r="AZ714" s="89"/>
      <c r="BA714" s="175">
        <v>60</v>
      </c>
      <c r="BB714" s="189" t="s">
        <v>2547</v>
      </c>
      <c r="BC714" s="176"/>
      <c r="BD714" s="179"/>
      <c r="BE714" s="179"/>
      <c r="BF714" s="178"/>
      <c r="BG714" s="25"/>
      <c r="BH714" s="25"/>
    </row>
    <row r="715" spans="1:60" ht="15" customHeight="1">
      <c r="A715" s="95">
        <v>714</v>
      </c>
      <c r="B715" s="98" t="s">
        <v>991</v>
      </c>
      <c r="C715" s="191" t="s">
        <v>2671</v>
      </c>
      <c r="D715" s="257" t="s">
        <v>549</v>
      </c>
      <c r="E715" s="459" t="s">
        <v>3377</v>
      </c>
      <c r="F715" s="171">
        <v>2001</v>
      </c>
      <c r="G715" s="171">
        <v>186</v>
      </c>
      <c r="H715" s="57"/>
      <c r="I715" s="173" t="s">
        <v>2564</v>
      </c>
      <c r="J715" s="277">
        <v>0.45</v>
      </c>
      <c r="K715" s="213">
        <v>4.6164021164021163</v>
      </c>
      <c r="L715" s="91"/>
      <c r="M715" s="278">
        <v>378</v>
      </c>
      <c r="N715" s="279"/>
      <c r="O715" s="172" t="s">
        <v>120</v>
      </c>
      <c r="P715" s="89"/>
      <c r="Q715" s="173" t="s">
        <v>2533</v>
      </c>
      <c r="R715" s="507"/>
      <c r="S715" s="94"/>
      <c r="T715" s="171" t="s">
        <v>2306</v>
      </c>
      <c r="U715" s="171" t="s">
        <v>3345</v>
      </c>
      <c r="V715" s="102">
        <v>0</v>
      </c>
      <c r="W715" s="120">
        <v>0</v>
      </c>
      <c r="X715" s="120" t="s">
        <v>2559</v>
      </c>
      <c r="Y715" s="120">
        <v>0</v>
      </c>
      <c r="Z715" s="120">
        <v>0</v>
      </c>
      <c r="AA715" s="17">
        <v>0</v>
      </c>
      <c r="AB715" s="17">
        <v>0</v>
      </c>
      <c r="AC715" s="17">
        <v>0</v>
      </c>
      <c r="AD715" s="17">
        <v>0</v>
      </c>
      <c r="AE715" s="17">
        <v>0</v>
      </c>
      <c r="AF715" s="17">
        <v>0</v>
      </c>
      <c r="AG715" s="17">
        <v>0</v>
      </c>
      <c r="AH715" s="17">
        <v>0</v>
      </c>
      <c r="AI715" s="17">
        <v>0</v>
      </c>
      <c r="AJ715" s="17">
        <v>0</v>
      </c>
      <c r="AK715" s="17">
        <v>0</v>
      </c>
      <c r="AL715" s="32">
        <v>0</v>
      </c>
      <c r="AM715" s="57"/>
      <c r="AN715" s="89"/>
      <c r="AO715" s="280"/>
      <c r="AP715" s="784"/>
      <c r="AQ715" s="773" t="s">
        <v>271</v>
      </c>
      <c r="AR715" s="188">
        <v>100</v>
      </c>
      <c r="AS715" s="171"/>
      <c r="AT715" s="171" t="str">
        <f t="shared" si="60"/>
        <v>400</v>
      </c>
      <c r="AU715" s="255">
        <f t="shared" si="61"/>
        <v>22.222222222222221</v>
      </c>
      <c r="AV715" s="172">
        <v>100</v>
      </c>
      <c r="AW715" s="171">
        <v>7</v>
      </c>
      <c r="AX715" s="89"/>
      <c r="AY715" s="171">
        <v>20</v>
      </c>
      <c r="AZ715" s="89"/>
      <c r="BA715" s="175">
        <v>60</v>
      </c>
      <c r="BB715" s="189" t="s">
        <v>2547</v>
      </c>
      <c r="BC715" s="176"/>
      <c r="BD715" s="179"/>
      <c r="BE715" s="179"/>
      <c r="BF715" s="178"/>
      <c r="BG715" s="25"/>
      <c r="BH715" s="25"/>
    </row>
    <row r="716" spans="1:60" ht="15" customHeight="1">
      <c r="A716" s="95">
        <v>715</v>
      </c>
      <c r="B716" s="98" t="s">
        <v>990</v>
      </c>
      <c r="C716" s="191" t="s">
        <v>2671</v>
      </c>
      <c r="D716" s="257" t="s">
        <v>549</v>
      </c>
      <c r="E716" s="459" t="s">
        <v>3377</v>
      </c>
      <c r="F716" s="171">
        <v>2001</v>
      </c>
      <c r="G716" s="171">
        <v>186</v>
      </c>
      <c r="H716" s="57"/>
      <c r="I716" s="173" t="s">
        <v>2564</v>
      </c>
      <c r="J716" s="277">
        <v>0.4</v>
      </c>
      <c r="K716" s="213">
        <v>4.0047058823529413</v>
      </c>
      <c r="L716" s="91"/>
      <c r="M716" s="278">
        <v>425</v>
      </c>
      <c r="N716" s="279"/>
      <c r="O716" s="172" t="s">
        <v>120</v>
      </c>
      <c r="P716" s="89"/>
      <c r="Q716" s="173" t="s">
        <v>2533</v>
      </c>
      <c r="R716" s="507"/>
      <c r="S716" s="94"/>
      <c r="T716" s="171" t="s">
        <v>2306</v>
      </c>
      <c r="U716" s="171" t="s">
        <v>3345</v>
      </c>
      <c r="V716" s="102">
        <v>0</v>
      </c>
      <c r="W716" s="120">
        <v>0</v>
      </c>
      <c r="X716" s="120" t="s">
        <v>2559</v>
      </c>
      <c r="Y716" s="120">
        <v>0</v>
      </c>
      <c r="Z716" s="120">
        <v>0</v>
      </c>
      <c r="AA716" s="17">
        <v>0</v>
      </c>
      <c r="AB716" s="17">
        <v>0</v>
      </c>
      <c r="AC716" s="17">
        <v>0</v>
      </c>
      <c r="AD716" s="17">
        <v>0</v>
      </c>
      <c r="AE716" s="17">
        <v>0</v>
      </c>
      <c r="AF716" s="17">
        <v>0</v>
      </c>
      <c r="AG716" s="17">
        <v>0</v>
      </c>
      <c r="AH716" s="17">
        <v>0</v>
      </c>
      <c r="AI716" s="17">
        <v>0</v>
      </c>
      <c r="AJ716" s="17">
        <v>0</v>
      </c>
      <c r="AK716" s="17">
        <v>0</v>
      </c>
      <c r="AL716" s="32">
        <v>0</v>
      </c>
      <c r="AM716" s="57"/>
      <c r="AN716" s="89"/>
      <c r="AO716" s="280"/>
      <c r="AP716" s="784"/>
      <c r="AQ716" s="773" t="s">
        <v>271</v>
      </c>
      <c r="AR716" s="188">
        <v>100</v>
      </c>
      <c r="AS716" s="171"/>
      <c r="AT716" s="171" t="str">
        <f t="shared" si="60"/>
        <v>400</v>
      </c>
      <c r="AU716" s="255">
        <f t="shared" si="61"/>
        <v>22.222222222222221</v>
      </c>
      <c r="AV716" s="172">
        <v>100</v>
      </c>
      <c r="AW716" s="171">
        <v>7</v>
      </c>
      <c r="AX716" s="89"/>
      <c r="AY716" s="171">
        <v>20</v>
      </c>
      <c r="AZ716" s="89"/>
      <c r="BA716" s="175">
        <v>60</v>
      </c>
      <c r="BB716" s="189" t="s">
        <v>2547</v>
      </c>
      <c r="BC716" s="176"/>
      <c r="BD716" s="179"/>
      <c r="BE716" s="179"/>
      <c r="BF716" s="178"/>
      <c r="BG716" s="25"/>
      <c r="BH716" s="25"/>
    </row>
    <row r="717" spans="1:60" ht="15" customHeight="1">
      <c r="A717" s="95">
        <v>716</v>
      </c>
      <c r="B717" s="98" t="s">
        <v>989</v>
      </c>
      <c r="C717" s="191" t="s">
        <v>2671</v>
      </c>
      <c r="D717" s="257" t="s">
        <v>549</v>
      </c>
      <c r="E717" s="459" t="s">
        <v>3377</v>
      </c>
      <c r="F717" s="171">
        <v>2001</v>
      </c>
      <c r="G717" s="171">
        <v>186</v>
      </c>
      <c r="H717" s="57"/>
      <c r="I717" s="173" t="s">
        <v>2564</v>
      </c>
      <c r="J717" s="277">
        <v>0.45</v>
      </c>
      <c r="K717" s="213">
        <v>5.0280898876404496</v>
      </c>
      <c r="L717" s="91"/>
      <c r="M717" s="278">
        <v>356</v>
      </c>
      <c r="N717" s="279"/>
      <c r="O717" s="172" t="s">
        <v>120</v>
      </c>
      <c r="P717" s="89"/>
      <c r="Q717" s="173" t="s">
        <v>2533</v>
      </c>
      <c r="R717" s="507"/>
      <c r="S717" s="94"/>
      <c r="T717" s="171" t="s">
        <v>2306</v>
      </c>
      <c r="U717" s="171" t="s">
        <v>3345</v>
      </c>
      <c r="V717" s="102">
        <v>0</v>
      </c>
      <c r="W717" s="120">
        <v>0</v>
      </c>
      <c r="X717" s="120" t="s">
        <v>2559</v>
      </c>
      <c r="Y717" s="120">
        <v>0</v>
      </c>
      <c r="Z717" s="120">
        <v>0</v>
      </c>
      <c r="AA717" s="17">
        <v>0</v>
      </c>
      <c r="AB717" s="17">
        <v>0</v>
      </c>
      <c r="AC717" s="17">
        <v>0</v>
      </c>
      <c r="AD717" s="17">
        <v>0</v>
      </c>
      <c r="AE717" s="17">
        <v>0</v>
      </c>
      <c r="AF717" s="17">
        <v>0</v>
      </c>
      <c r="AG717" s="17">
        <v>0</v>
      </c>
      <c r="AH717" s="17">
        <v>0</v>
      </c>
      <c r="AI717" s="17">
        <v>0</v>
      </c>
      <c r="AJ717" s="17">
        <v>0</v>
      </c>
      <c r="AK717" s="17">
        <v>0</v>
      </c>
      <c r="AL717" s="32">
        <v>0</v>
      </c>
      <c r="AM717" s="57"/>
      <c r="AN717" s="89"/>
      <c r="AO717" s="280"/>
      <c r="AP717" s="784"/>
      <c r="AQ717" s="773" t="s">
        <v>271</v>
      </c>
      <c r="AR717" s="188">
        <v>100</v>
      </c>
      <c r="AS717" s="171"/>
      <c r="AT717" s="171" t="str">
        <f t="shared" si="60"/>
        <v>400</v>
      </c>
      <c r="AU717" s="255">
        <f t="shared" si="61"/>
        <v>22.222222222222221</v>
      </c>
      <c r="AV717" s="172">
        <v>100</v>
      </c>
      <c r="AW717" s="171">
        <v>7</v>
      </c>
      <c r="AX717" s="89"/>
      <c r="AY717" s="171">
        <v>20</v>
      </c>
      <c r="AZ717" s="89"/>
      <c r="BA717" s="175">
        <v>60</v>
      </c>
      <c r="BB717" s="189" t="s">
        <v>2547</v>
      </c>
      <c r="BC717" s="176"/>
      <c r="BD717" s="179"/>
      <c r="BE717" s="179"/>
      <c r="BF717" s="178"/>
      <c r="BG717" s="25"/>
      <c r="BH717" s="25"/>
    </row>
    <row r="718" spans="1:60" ht="15" customHeight="1">
      <c r="A718" s="95">
        <v>717</v>
      </c>
      <c r="B718" s="98" t="s">
        <v>988</v>
      </c>
      <c r="C718" s="191" t="s">
        <v>2671</v>
      </c>
      <c r="D718" s="257" t="s">
        <v>549</v>
      </c>
      <c r="E718" s="459" t="s">
        <v>3377</v>
      </c>
      <c r="F718" s="171">
        <v>2001</v>
      </c>
      <c r="G718" s="171">
        <v>186</v>
      </c>
      <c r="H718" s="57"/>
      <c r="I718" s="173" t="s">
        <v>2564</v>
      </c>
      <c r="J718" s="277">
        <v>0.45</v>
      </c>
      <c r="K718" s="213">
        <v>4.6164021164021163</v>
      </c>
      <c r="L718" s="91"/>
      <c r="M718" s="278">
        <v>378</v>
      </c>
      <c r="N718" s="279"/>
      <c r="O718" s="172" t="s">
        <v>120</v>
      </c>
      <c r="P718" s="89"/>
      <c r="Q718" s="173" t="s">
        <v>2533</v>
      </c>
      <c r="R718" s="507"/>
      <c r="S718" s="94"/>
      <c r="T718" s="171" t="s">
        <v>2306</v>
      </c>
      <c r="U718" s="171" t="s">
        <v>3346</v>
      </c>
      <c r="V718" s="102">
        <v>0</v>
      </c>
      <c r="W718" s="120">
        <v>0</v>
      </c>
      <c r="X718" s="120" t="s">
        <v>2559</v>
      </c>
      <c r="Y718" s="120">
        <v>0</v>
      </c>
      <c r="Z718" s="120">
        <v>0</v>
      </c>
      <c r="AA718" s="17">
        <v>0</v>
      </c>
      <c r="AB718" s="17">
        <v>0</v>
      </c>
      <c r="AC718" s="17">
        <v>0</v>
      </c>
      <c r="AD718" s="17">
        <v>0</v>
      </c>
      <c r="AE718" s="17">
        <v>0</v>
      </c>
      <c r="AF718" s="17">
        <v>0</v>
      </c>
      <c r="AG718" s="17">
        <v>0</v>
      </c>
      <c r="AH718" s="17">
        <v>0</v>
      </c>
      <c r="AI718" s="17">
        <v>0</v>
      </c>
      <c r="AJ718" s="17">
        <v>0</v>
      </c>
      <c r="AK718" s="17">
        <v>0</v>
      </c>
      <c r="AL718" s="32">
        <v>0</v>
      </c>
      <c r="AM718" s="57"/>
      <c r="AN718" s="89"/>
      <c r="AO718" s="280"/>
      <c r="AP718" s="784"/>
      <c r="AQ718" s="773" t="s">
        <v>271</v>
      </c>
      <c r="AR718" s="188">
        <v>100</v>
      </c>
      <c r="AS718" s="171"/>
      <c r="AT718" s="171" t="str">
        <f t="shared" si="60"/>
        <v>400</v>
      </c>
      <c r="AU718" s="255">
        <f t="shared" si="61"/>
        <v>22.222222222222221</v>
      </c>
      <c r="AV718" s="172">
        <v>100</v>
      </c>
      <c r="AW718" s="171">
        <v>7</v>
      </c>
      <c r="AX718" s="89"/>
      <c r="AY718" s="171">
        <v>20</v>
      </c>
      <c r="AZ718" s="89"/>
      <c r="BA718" s="175">
        <v>60</v>
      </c>
      <c r="BB718" s="189" t="s">
        <v>2547</v>
      </c>
      <c r="BC718" s="176"/>
      <c r="BD718" s="179"/>
      <c r="BE718" s="179"/>
      <c r="BF718" s="178"/>
      <c r="BG718" s="25"/>
      <c r="BH718" s="25"/>
    </row>
    <row r="719" spans="1:60" ht="15" customHeight="1">
      <c r="A719" s="95">
        <v>718</v>
      </c>
      <c r="B719" s="98" t="s">
        <v>987</v>
      </c>
      <c r="C719" s="191" t="s">
        <v>2671</v>
      </c>
      <c r="D719" s="257" t="s">
        <v>549</v>
      </c>
      <c r="E719" s="459" t="s">
        <v>3377</v>
      </c>
      <c r="F719" s="171">
        <v>2001</v>
      </c>
      <c r="G719" s="171">
        <v>186</v>
      </c>
      <c r="H719" s="57"/>
      <c r="I719" s="173" t="s">
        <v>2564</v>
      </c>
      <c r="J719" s="277">
        <v>0.45</v>
      </c>
      <c r="K719" s="213">
        <v>4.2450000000000001</v>
      </c>
      <c r="L719" s="91"/>
      <c r="M719" s="278">
        <v>400</v>
      </c>
      <c r="N719" s="279"/>
      <c r="O719" s="172" t="s">
        <v>120</v>
      </c>
      <c r="P719" s="89"/>
      <c r="Q719" s="173" t="s">
        <v>2533</v>
      </c>
      <c r="R719" s="507"/>
      <c r="S719" s="94"/>
      <c r="T719" s="171" t="s">
        <v>2306</v>
      </c>
      <c r="U719" s="171" t="s">
        <v>3346</v>
      </c>
      <c r="V719" s="102">
        <v>0</v>
      </c>
      <c r="W719" s="120">
        <v>0</v>
      </c>
      <c r="X719" s="120" t="s">
        <v>2559</v>
      </c>
      <c r="Y719" s="120">
        <v>0</v>
      </c>
      <c r="Z719" s="120">
        <v>0</v>
      </c>
      <c r="AA719" s="17">
        <v>0</v>
      </c>
      <c r="AB719" s="17">
        <v>0</v>
      </c>
      <c r="AC719" s="17">
        <v>0</v>
      </c>
      <c r="AD719" s="17">
        <v>0</v>
      </c>
      <c r="AE719" s="17">
        <v>0</v>
      </c>
      <c r="AF719" s="17">
        <v>0</v>
      </c>
      <c r="AG719" s="17">
        <v>0</v>
      </c>
      <c r="AH719" s="17">
        <v>0</v>
      </c>
      <c r="AI719" s="17">
        <v>0</v>
      </c>
      <c r="AJ719" s="17">
        <v>0</v>
      </c>
      <c r="AK719" s="17">
        <v>0</v>
      </c>
      <c r="AL719" s="32">
        <v>0</v>
      </c>
      <c r="AM719" s="57"/>
      <c r="AN719" s="89"/>
      <c r="AO719" s="280"/>
      <c r="AP719" s="784"/>
      <c r="AQ719" s="773" t="s">
        <v>271</v>
      </c>
      <c r="AR719" s="188">
        <v>100</v>
      </c>
      <c r="AS719" s="171"/>
      <c r="AT719" s="171" t="str">
        <f t="shared" si="60"/>
        <v>400</v>
      </c>
      <c r="AU719" s="255">
        <f t="shared" si="61"/>
        <v>22.222222222222221</v>
      </c>
      <c r="AV719" s="172">
        <v>100</v>
      </c>
      <c r="AW719" s="171">
        <v>7</v>
      </c>
      <c r="AX719" s="89"/>
      <c r="AY719" s="171">
        <v>20</v>
      </c>
      <c r="AZ719" s="89"/>
      <c r="BA719" s="175">
        <v>60</v>
      </c>
      <c r="BB719" s="189" t="s">
        <v>2547</v>
      </c>
      <c r="BC719" s="176"/>
      <c r="BD719" s="179"/>
      <c r="BE719" s="179"/>
      <c r="BF719" s="178"/>
      <c r="BG719" s="25"/>
      <c r="BH719" s="25"/>
    </row>
    <row r="720" spans="1:60" ht="15" customHeight="1">
      <c r="A720" s="95">
        <v>719</v>
      </c>
      <c r="B720" s="98" t="s">
        <v>986</v>
      </c>
      <c r="C720" s="191" t="s">
        <v>2671</v>
      </c>
      <c r="D720" s="257" t="s">
        <v>549</v>
      </c>
      <c r="E720" s="459" t="s">
        <v>3377</v>
      </c>
      <c r="F720" s="171">
        <v>2001</v>
      </c>
      <c r="G720" s="171">
        <v>186</v>
      </c>
      <c r="H720" s="57"/>
      <c r="I720" s="173" t="s">
        <v>2564</v>
      </c>
      <c r="J720" s="277">
        <v>0.5</v>
      </c>
      <c r="K720" s="213">
        <v>5.223529411764706</v>
      </c>
      <c r="L720" s="91"/>
      <c r="M720" s="278">
        <v>340</v>
      </c>
      <c r="N720" s="279"/>
      <c r="O720" s="172" t="s">
        <v>120</v>
      </c>
      <c r="P720" s="89"/>
      <c r="Q720" s="173" t="s">
        <v>2533</v>
      </c>
      <c r="R720" s="507"/>
      <c r="S720" s="94"/>
      <c r="T720" s="171" t="s">
        <v>2306</v>
      </c>
      <c r="U720" s="171" t="s">
        <v>3346</v>
      </c>
      <c r="V720" s="102">
        <v>0</v>
      </c>
      <c r="W720" s="120">
        <v>0</v>
      </c>
      <c r="X720" s="120" t="s">
        <v>2559</v>
      </c>
      <c r="Y720" s="120">
        <v>0</v>
      </c>
      <c r="Z720" s="120">
        <v>0</v>
      </c>
      <c r="AA720" s="17">
        <v>0</v>
      </c>
      <c r="AB720" s="17">
        <v>0</v>
      </c>
      <c r="AC720" s="17">
        <v>0</v>
      </c>
      <c r="AD720" s="17">
        <v>0</v>
      </c>
      <c r="AE720" s="17">
        <v>0</v>
      </c>
      <c r="AF720" s="17">
        <v>0</v>
      </c>
      <c r="AG720" s="17">
        <v>0</v>
      </c>
      <c r="AH720" s="17">
        <v>0</v>
      </c>
      <c r="AI720" s="17">
        <v>0</v>
      </c>
      <c r="AJ720" s="17">
        <v>0</v>
      </c>
      <c r="AK720" s="17">
        <v>0</v>
      </c>
      <c r="AL720" s="32">
        <v>0</v>
      </c>
      <c r="AM720" s="57"/>
      <c r="AN720" s="89"/>
      <c r="AO720" s="280"/>
      <c r="AP720" s="784"/>
      <c r="AQ720" s="773" t="s">
        <v>271</v>
      </c>
      <c r="AR720" s="188">
        <v>100</v>
      </c>
      <c r="AS720" s="171"/>
      <c r="AT720" s="171" t="str">
        <f t="shared" si="60"/>
        <v>400</v>
      </c>
      <c r="AU720" s="255">
        <f t="shared" si="61"/>
        <v>22.222222222222221</v>
      </c>
      <c r="AV720" s="172">
        <v>100</v>
      </c>
      <c r="AW720" s="171">
        <v>7</v>
      </c>
      <c r="AX720" s="89"/>
      <c r="AY720" s="171">
        <v>20</v>
      </c>
      <c r="AZ720" s="89"/>
      <c r="BA720" s="175">
        <v>60</v>
      </c>
      <c r="BB720" s="189" t="s">
        <v>2547</v>
      </c>
      <c r="BC720" s="176"/>
      <c r="BD720" s="179"/>
      <c r="BE720" s="179"/>
      <c r="BF720" s="178"/>
      <c r="BG720" s="25"/>
      <c r="BH720" s="25"/>
    </row>
    <row r="721" spans="1:60" ht="15" customHeight="1">
      <c r="A721" s="95">
        <v>720</v>
      </c>
      <c r="B721" s="98" t="s">
        <v>985</v>
      </c>
      <c r="C721" s="191" t="s">
        <v>2671</v>
      </c>
      <c r="D721" s="257" t="s">
        <v>549</v>
      </c>
      <c r="E721" s="459" t="s">
        <v>3377</v>
      </c>
      <c r="F721" s="171">
        <v>2001</v>
      </c>
      <c r="G721" s="171">
        <v>186</v>
      </c>
      <c r="H721" s="57"/>
      <c r="I721" s="173" t="s">
        <v>2564</v>
      </c>
      <c r="J721" s="277">
        <v>0.45</v>
      </c>
      <c r="K721" s="213">
        <v>4.6428571428571432</v>
      </c>
      <c r="L721" s="91"/>
      <c r="M721" s="278">
        <v>378</v>
      </c>
      <c r="N721" s="279"/>
      <c r="O721" s="172" t="s">
        <v>120</v>
      </c>
      <c r="P721" s="89"/>
      <c r="Q721" s="173" t="s">
        <v>2533</v>
      </c>
      <c r="R721" s="507"/>
      <c r="S721" s="94"/>
      <c r="T721" s="171" t="s">
        <v>2306</v>
      </c>
      <c r="U721" s="171" t="s">
        <v>3346</v>
      </c>
      <c r="V721" s="102">
        <v>0</v>
      </c>
      <c r="W721" s="120">
        <v>0</v>
      </c>
      <c r="X721" s="120" t="s">
        <v>2559</v>
      </c>
      <c r="Y721" s="120">
        <v>0</v>
      </c>
      <c r="Z721" s="120">
        <v>0</v>
      </c>
      <c r="AA721" s="17">
        <v>0</v>
      </c>
      <c r="AB721" s="17">
        <v>0</v>
      </c>
      <c r="AC721" s="17">
        <v>0</v>
      </c>
      <c r="AD721" s="17">
        <v>0</v>
      </c>
      <c r="AE721" s="17">
        <v>0</v>
      </c>
      <c r="AF721" s="17">
        <v>0</v>
      </c>
      <c r="AG721" s="17">
        <v>0</v>
      </c>
      <c r="AH721" s="17">
        <v>0</v>
      </c>
      <c r="AI721" s="17">
        <v>0</v>
      </c>
      <c r="AJ721" s="17">
        <v>0</v>
      </c>
      <c r="AK721" s="17">
        <v>0</v>
      </c>
      <c r="AL721" s="32">
        <v>0</v>
      </c>
      <c r="AM721" s="57"/>
      <c r="AN721" s="89"/>
      <c r="AO721" s="280"/>
      <c r="AP721" s="784"/>
      <c r="AQ721" s="773" t="s">
        <v>271</v>
      </c>
      <c r="AR721" s="188">
        <v>100</v>
      </c>
      <c r="AS721" s="171"/>
      <c r="AT721" s="171" t="str">
        <f t="shared" si="60"/>
        <v>400</v>
      </c>
      <c r="AU721" s="255">
        <f t="shared" si="61"/>
        <v>22.222222222222221</v>
      </c>
      <c r="AV721" s="172">
        <v>100</v>
      </c>
      <c r="AW721" s="171">
        <v>7</v>
      </c>
      <c r="AX721" s="89"/>
      <c r="AY721" s="171">
        <v>20</v>
      </c>
      <c r="AZ721" s="89"/>
      <c r="BA721" s="175">
        <v>60</v>
      </c>
      <c r="BB721" s="189" t="s">
        <v>2547</v>
      </c>
      <c r="BC721" s="176"/>
      <c r="BD721" s="179"/>
      <c r="BE721" s="179"/>
      <c r="BF721" s="178"/>
      <c r="BG721" s="25"/>
      <c r="BH721" s="25"/>
    </row>
    <row r="722" spans="1:60" ht="15" customHeight="1">
      <c r="A722" s="95">
        <v>721</v>
      </c>
      <c r="B722" s="98" t="s">
        <v>984</v>
      </c>
      <c r="C722" s="191" t="s">
        <v>2671</v>
      </c>
      <c r="D722" s="257" t="s">
        <v>549</v>
      </c>
      <c r="E722" s="459" t="s">
        <v>3377</v>
      </c>
      <c r="F722" s="171">
        <v>2001</v>
      </c>
      <c r="G722" s="171">
        <v>186</v>
      </c>
      <c r="H722" s="57"/>
      <c r="I722" s="173" t="s">
        <v>2564</v>
      </c>
      <c r="J722" s="277">
        <v>0.45</v>
      </c>
      <c r="K722" s="213">
        <v>4.6428571428571432</v>
      </c>
      <c r="L722" s="91"/>
      <c r="M722" s="278">
        <v>378</v>
      </c>
      <c r="N722" s="279"/>
      <c r="O722" s="172" t="s">
        <v>120</v>
      </c>
      <c r="P722" s="89"/>
      <c r="Q722" s="173" t="s">
        <v>2533</v>
      </c>
      <c r="R722" s="507"/>
      <c r="S722" s="94"/>
      <c r="T722" s="171" t="s">
        <v>2306</v>
      </c>
      <c r="U722" s="171" t="s">
        <v>3346</v>
      </c>
      <c r="V722" s="102">
        <v>0</v>
      </c>
      <c r="W722" s="120">
        <v>0</v>
      </c>
      <c r="X722" s="120" t="s">
        <v>2559</v>
      </c>
      <c r="Y722" s="120">
        <v>0</v>
      </c>
      <c r="Z722" s="120">
        <v>0</v>
      </c>
      <c r="AA722" s="17">
        <v>0</v>
      </c>
      <c r="AB722" s="17">
        <v>0</v>
      </c>
      <c r="AC722" s="17">
        <v>0</v>
      </c>
      <c r="AD722" s="17">
        <v>0</v>
      </c>
      <c r="AE722" s="17">
        <v>0</v>
      </c>
      <c r="AF722" s="17">
        <v>0</v>
      </c>
      <c r="AG722" s="17">
        <v>0</v>
      </c>
      <c r="AH722" s="17">
        <v>0</v>
      </c>
      <c r="AI722" s="17">
        <v>0</v>
      </c>
      <c r="AJ722" s="17">
        <v>0</v>
      </c>
      <c r="AK722" s="17">
        <v>0</v>
      </c>
      <c r="AL722" s="32">
        <v>0</v>
      </c>
      <c r="AM722" s="57"/>
      <c r="AN722" s="89"/>
      <c r="AO722" s="280"/>
      <c r="AP722" s="784"/>
      <c r="AQ722" s="773" t="s">
        <v>271</v>
      </c>
      <c r="AR722" s="188">
        <v>100</v>
      </c>
      <c r="AS722" s="171"/>
      <c r="AT722" s="171" t="str">
        <f t="shared" si="60"/>
        <v>400</v>
      </c>
      <c r="AU722" s="255">
        <f t="shared" si="61"/>
        <v>22.222222222222221</v>
      </c>
      <c r="AV722" s="172">
        <v>100</v>
      </c>
      <c r="AW722" s="171">
        <v>7</v>
      </c>
      <c r="AX722" s="89"/>
      <c r="AY722" s="171">
        <v>20</v>
      </c>
      <c r="AZ722" s="89"/>
      <c r="BA722" s="175">
        <v>60</v>
      </c>
      <c r="BB722" s="189" t="s">
        <v>2547</v>
      </c>
      <c r="BC722" s="176"/>
      <c r="BD722" s="179"/>
      <c r="BE722" s="179"/>
      <c r="BF722" s="178"/>
      <c r="BG722" s="25"/>
      <c r="BH722" s="25"/>
    </row>
    <row r="723" spans="1:60" ht="15" customHeight="1">
      <c r="A723" s="95">
        <v>722</v>
      </c>
      <c r="B723" s="98" t="s">
        <v>983</v>
      </c>
      <c r="C723" s="191" t="s">
        <v>2672</v>
      </c>
      <c r="D723" s="257" t="s">
        <v>549</v>
      </c>
      <c r="E723" s="459" t="s">
        <v>3377</v>
      </c>
      <c r="F723" s="171">
        <v>2001</v>
      </c>
      <c r="G723" s="171">
        <v>187</v>
      </c>
      <c r="H723" s="57"/>
      <c r="I723" s="173" t="s">
        <v>2564</v>
      </c>
      <c r="J723" s="277">
        <v>0.3</v>
      </c>
      <c r="K723" s="213">
        <v>1.08994708994709</v>
      </c>
      <c r="L723" s="91"/>
      <c r="M723" s="278">
        <v>567</v>
      </c>
      <c r="N723" s="279"/>
      <c r="O723" s="172" t="s">
        <v>12</v>
      </c>
      <c r="P723" s="92"/>
      <c r="Q723" s="173" t="s">
        <v>10</v>
      </c>
      <c r="R723" s="507"/>
      <c r="S723" s="94"/>
      <c r="T723" s="171" t="s">
        <v>2552</v>
      </c>
      <c r="U723" s="171"/>
      <c r="V723" s="102">
        <v>0</v>
      </c>
      <c r="W723" s="120">
        <v>0</v>
      </c>
      <c r="X723" s="120">
        <v>0</v>
      </c>
      <c r="Y723" s="120">
        <v>0</v>
      </c>
      <c r="Z723" s="120">
        <v>0</v>
      </c>
      <c r="AA723" s="17">
        <v>0</v>
      </c>
      <c r="AB723" s="17">
        <v>0</v>
      </c>
      <c r="AC723" s="17">
        <v>0</v>
      </c>
      <c r="AD723" s="17">
        <v>0</v>
      </c>
      <c r="AE723" s="17">
        <v>0</v>
      </c>
      <c r="AF723" s="17">
        <v>0</v>
      </c>
      <c r="AG723" s="17">
        <v>0</v>
      </c>
      <c r="AH723" s="17">
        <v>0</v>
      </c>
      <c r="AI723" s="17">
        <v>0</v>
      </c>
      <c r="AJ723" s="17">
        <v>0</v>
      </c>
      <c r="AK723" s="17">
        <v>0</v>
      </c>
      <c r="AL723" s="32">
        <v>0</v>
      </c>
      <c r="AM723" s="780">
        <v>38.5</v>
      </c>
      <c r="AN723" s="89"/>
      <c r="AO723" s="280"/>
      <c r="AP723" s="784"/>
      <c r="AQ723" s="773" t="s">
        <v>271</v>
      </c>
      <c r="AR723" s="188">
        <v>100</v>
      </c>
      <c r="AS723" s="171"/>
      <c r="AT723" s="171" t="str">
        <f t="shared" si="60"/>
        <v>400</v>
      </c>
      <c r="AU723" s="255">
        <f t="shared" si="61"/>
        <v>22.222222222222221</v>
      </c>
      <c r="AV723" s="172">
        <v>100</v>
      </c>
      <c r="AW723" s="171">
        <v>7</v>
      </c>
      <c r="AX723" s="89"/>
      <c r="AY723" s="171">
        <v>20</v>
      </c>
      <c r="AZ723" s="89"/>
      <c r="BA723" s="175">
        <v>60</v>
      </c>
      <c r="BB723" s="189" t="s">
        <v>2547</v>
      </c>
      <c r="BC723" s="176" t="s">
        <v>558</v>
      </c>
      <c r="BD723" s="179"/>
      <c r="BE723" s="179"/>
      <c r="BF723" s="178"/>
      <c r="BG723" s="25"/>
      <c r="BH723" s="25"/>
    </row>
    <row r="724" spans="1:60" ht="15" customHeight="1">
      <c r="A724" s="95">
        <v>723</v>
      </c>
      <c r="B724" s="98" t="s">
        <v>982</v>
      </c>
      <c r="C724" s="191" t="s">
        <v>2672</v>
      </c>
      <c r="D724" s="257" t="s">
        <v>549</v>
      </c>
      <c r="E724" s="459" t="s">
        <v>3377</v>
      </c>
      <c r="F724" s="171">
        <v>2001</v>
      </c>
      <c r="G724" s="171">
        <v>187</v>
      </c>
      <c r="H724" s="57"/>
      <c r="I724" s="173" t="s">
        <v>2564</v>
      </c>
      <c r="J724" s="277">
        <v>0.45</v>
      </c>
      <c r="K724" s="213">
        <v>1.7804232804232805</v>
      </c>
      <c r="L724" s="91"/>
      <c r="M724" s="278">
        <v>378</v>
      </c>
      <c r="N724" s="279"/>
      <c r="O724" s="172" t="s">
        <v>12</v>
      </c>
      <c r="P724" s="92"/>
      <c r="Q724" s="173" t="s">
        <v>10</v>
      </c>
      <c r="R724" s="507"/>
      <c r="S724" s="94"/>
      <c r="T724" s="171" t="s">
        <v>2552</v>
      </c>
      <c r="U724" s="171"/>
      <c r="V724" s="102">
        <v>0</v>
      </c>
      <c r="W724" s="120">
        <v>0</v>
      </c>
      <c r="X724" s="120">
        <v>0</v>
      </c>
      <c r="Y724" s="120">
        <v>0</v>
      </c>
      <c r="Z724" s="120">
        <v>0</v>
      </c>
      <c r="AA724" s="17">
        <v>0</v>
      </c>
      <c r="AB724" s="17">
        <v>0</v>
      </c>
      <c r="AC724" s="17">
        <v>0</v>
      </c>
      <c r="AD724" s="17">
        <v>0</v>
      </c>
      <c r="AE724" s="17">
        <v>0</v>
      </c>
      <c r="AF724" s="17">
        <v>0</v>
      </c>
      <c r="AG724" s="17">
        <v>0</v>
      </c>
      <c r="AH724" s="17">
        <v>0</v>
      </c>
      <c r="AI724" s="17">
        <v>0</v>
      </c>
      <c r="AJ724" s="17">
        <v>0</v>
      </c>
      <c r="AK724" s="17">
        <v>0</v>
      </c>
      <c r="AL724" s="32">
        <v>0</v>
      </c>
      <c r="AM724" s="780">
        <v>23.5</v>
      </c>
      <c r="AN724" s="89"/>
      <c r="AO724" s="280"/>
      <c r="AP724" s="784"/>
      <c r="AQ724" s="773" t="s">
        <v>271</v>
      </c>
      <c r="AR724" s="188">
        <v>100</v>
      </c>
      <c r="AS724" s="171"/>
      <c r="AT724" s="171" t="str">
        <f t="shared" si="60"/>
        <v>400</v>
      </c>
      <c r="AU724" s="255">
        <f t="shared" si="61"/>
        <v>22.222222222222221</v>
      </c>
      <c r="AV724" s="172">
        <v>100</v>
      </c>
      <c r="AW724" s="171">
        <v>7</v>
      </c>
      <c r="AX724" s="89"/>
      <c r="AY724" s="171">
        <v>20</v>
      </c>
      <c r="AZ724" s="89"/>
      <c r="BA724" s="175">
        <v>60</v>
      </c>
      <c r="BB724" s="189" t="s">
        <v>2547</v>
      </c>
      <c r="BC724" s="176" t="s">
        <v>558</v>
      </c>
      <c r="BD724" s="179"/>
      <c r="BE724" s="179"/>
      <c r="BF724" s="178"/>
      <c r="BG724" s="25"/>
      <c r="BH724" s="25"/>
    </row>
    <row r="725" spans="1:60" ht="15" customHeight="1">
      <c r="A725" s="95">
        <v>724</v>
      </c>
      <c r="B725" s="98" t="s">
        <v>981</v>
      </c>
      <c r="C725" s="191" t="s">
        <v>2672</v>
      </c>
      <c r="D725" s="257" t="s">
        <v>549</v>
      </c>
      <c r="E725" s="459" t="s">
        <v>3377</v>
      </c>
      <c r="F725" s="171">
        <v>2001</v>
      </c>
      <c r="G725" s="171">
        <v>187</v>
      </c>
      <c r="H725" s="57"/>
      <c r="I725" s="173" t="s">
        <v>2564</v>
      </c>
      <c r="J725" s="277">
        <v>0.45</v>
      </c>
      <c r="K725" s="213">
        <v>3.0873015873015874</v>
      </c>
      <c r="L725" s="91"/>
      <c r="M725" s="278">
        <v>378</v>
      </c>
      <c r="N725" s="279"/>
      <c r="O725" s="172" t="s">
        <v>12</v>
      </c>
      <c r="P725" s="92"/>
      <c r="Q725" s="173" t="s">
        <v>10</v>
      </c>
      <c r="R725" s="507"/>
      <c r="S725" s="94"/>
      <c r="T725" s="171" t="s">
        <v>2552</v>
      </c>
      <c r="U725" s="171"/>
      <c r="V725" s="102">
        <v>0</v>
      </c>
      <c r="W725" s="120">
        <v>0</v>
      </c>
      <c r="X725" s="120">
        <v>0</v>
      </c>
      <c r="Y725" s="120">
        <v>0</v>
      </c>
      <c r="Z725" s="120">
        <v>0</v>
      </c>
      <c r="AA725" s="17">
        <v>0</v>
      </c>
      <c r="AB725" s="17">
        <v>0</v>
      </c>
      <c r="AC725" s="17">
        <v>0</v>
      </c>
      <c r="AD725" s="17">
        <v>0</v>
      </c>
      <c r="AE725" s="17">
        <v>0</v>
      </c>
      <c r="AF725" s="17">
        <v>0</v>
      </c>
      <c r="AG725" s="17">
        <v>0</v>
      </c>
      <c r="AH725" s="17">
        <v>0</v>
      </c>
      <c r="AI725" s="17">
        <v>0</v>
      </c>
      <c r="AJ725" s="17">
        <v>0</v>
      </c>
      <c r="AK725" s="17">
        <v>0</v>
      </c>
      <c r="AL725" s="32">
        <v>0</v>
      </c>
      <c r="AM725" s="780">
        <v>45</v>
      </c>
      <c r="AN725" s="89"/>
      <c r="AO725" s="280"/>
      <c r="AP725" s="784"/>
      <c r="AQ725" s="773" t="s">
        <v>271</v>
      </c>
      <c r="AR725" s="188">
        <v>100</v>
      </c>
      <c r="AS725" s="171"/>
      <c r="AT725" s="171" t="str">
        <f t="shared" si="60"/>
        <v>400</v>
      </c>
      <c r="AU725" s="255">
        <f t="shared" si="61"/>
        <v>22.222222222222221</v>
      </c>
      <c r="AV725" s="172">
        <v>100</v>
      </c>
      <c r="AW725" s="171">
        <v>7</v>
      </c>
      <c r="AX725" s="89"/>
      <c r="AY725" s="171">
        <v>20</v>
      </c>
      <c r="AZ725" s="89"/>
      <c r="BA725" s="175">
        <v>60</v>
      </c>
      <c r="BB725" s="189" t="s">
        <v>2547</v>
      </c>
      <c r="BC725" s="176" t="s">
        <v>558</v>
      </c>
      <c r="BD725" s="179"/>
      <c r="BE725" s="179"/>
      <c r="BF725" s="178"/>
      <c r="BG725" s="25"/>
      <c r="BH725" s="25"/>
    </row>
    <row r="726" spans="1:60" ht="15" customHeight="1">
      <c r="A726" s="95">
        <v>725</v>
      </c>
      <c r="B726" s="98" t="s">
        <v>980</v>
      </c>
      <c r="C726" s="191" t="s">
        <v>2647</v>
      </c>
      <c r="D726" s="257" t="s">
        <v>549</v>
      </c>
      <c r="E726" s="459" t="s">
        <v>3377</v>
      </c>
      <c r="F726" s="171">
        <v>2001</v>
      </c>
      <c r="G726" s="171">
        <v>152</v>
      </c>
      <c r="H726" s="57"/>
      <c r="I726" s="173" t="s">
        <v>2564</v>
      </c>
      <c r="J726" s="277">
        <v>0.37200000000000005</v>
      </c>
      <c r="K726" s="213">
        <v>1.6743589743589744</v>
      </c>
      <c r="L726" s="91"/>
      <c r="M726" s="278">
        <v>390</v>
      </c>
      <c r="N726" s="279"/>
      <c r="O726" s="172" t="s">
        <v>129</v>
      </c>
      <c r="P726" s="92"/>
      <c r="Q726" s="173" t="s">
        <v>2529</v>
      </c>
      <c r="R726" s="507"/>
      <c r="S726" s="94"/>
      <c r="T726" s="171" t="s">
        <v>2552</v>
      </c>
      <c r="U726" s="171"/>
      <c r="V726" s="102">
        <v>0</v>
      </c>
      <c r="W726" s="120">
        <v>0</v>
      </c>
      <c r="X726" s="120">
        <v>0</v>
      </c>
      <c r="Y726" s="120">
        <v>0</v>
      </c>
      <c r="Z726" s="120">
        <v>0</v>
      </c>
      <c r="AA726" s="17">
        <v>0</v>
      </c>
      <c r="AB726" s="17">
        <v>0</v>
      </c>
      <c r="AC726" s="17">
        <v>0</v>
      </c>
      <c r="AD726" s="17">
        <v>0</v>
      </c>
      <c r="AE726" s="17">
        <v>0</v>
      </c>
      <c r="AF726" s="17">
        <v>0</v>
      </c>
      <c r="AG726" s="17">
        <v>0</v>
      </c>
      <c r="AH726" s="17">
        <v>0</v>
      </c>
      <c r="AI726" s="17">
        <v>0</v>
      </c>
      <c r="AJ726" s="17">
        <v>0</v>
      </c>
      <c r="AK726" s="17">
        <v>0</v>
      </c>
      <c r="AL726" s="32">
        <v>0</v>
      </c>
      <c r="AM726" s="780">
        <v>35</v>
      </c>
      <c r="AN726" s="89"/>
      <c r="AO726" s="280"/>
      <c r="AP726" s="784"/>
      <c r="AQ726" s="773" t="s">
        <v>530</v>
      </c>
      <c r="AR726" s="174">
        <v>50</v>
      </c>
      <c r="AS726" s="171"/>
      <c r="AT726" s="171" t="str">
        <f t="shared" ref="AT726:AT731" si="62">RIGHT(AQ726,LEN(AQ726)-FIND("x",AQ726,1))</f>
        <v>200</v>
      </c>
      <c r="AU726" s="255">
        <f t="shared" ref="AU726:AU731" si="63">(AR726*AT726)/((2*AT726)+(2*AR726))</f>
        <v>20</v>
      </c>
      <c r="AV726" s="172">
        <v>100</v>
      </c>
      <c r="AW726" s="171">
        <v>28</v>
      </c>
      <c r="AX726" s="89"/>
      <c r="AY726" s="171">
        <v>20</v>
      </c>
      <c r="AZ726" s="89"/>
      <c r="BA726" s="175">
        <v>60</v>
      </c>
      <c r="BB726" s="189" t="s">
        <v>2547</v>
      </c>
      <c r="BC726" s="176"/>
      <c r="BD726" s="179"/>
      <c r="BE726" s="179"/>
      <c r="BF726" s="178"/>
      <c r="BG726" s="25"/>
      <c r="BH726" s="25"/>
    </row>
    <row r="727" spans="1:60" ht="15" customHeight="1">
      <c r="A727" s="95">
        <v>726</v>
      </c>
      <c r="B727" s="98" t="s">
        <v>979</v>
      </c>
      <c r="C727" s="191" t="s">
        <v>2647</v>
      </c>
      <c r="D727" s="257" t="s">
        <v>549</v>
      </c>
      <c r="E727" s="459" t="s">
        <v>3377</v>
      </c>
      <c r="F727" s="171">
        <v>2001</v>
      </c>
      <c r="G727" s="171">
        <v>152</v>
      </c>
      <c r="H727" s="57"/>
      <c r="I727" s="173" t="s">
        <v>2564</v>
      </c>
      <c r="J727" s="277">
        <v>0.39700000000000002</v>
      </c>
      <c r="K727" s="213">
        <v>2.1846153846153844</v>
      </c>
      <c r="L727" s="91"/>
      <c r="M727" s="278">
        <v>390</v>
      </c>
      <c r="N727" s="279"/>
      <c r="O727" s="172" t="s">
        <v>129</v>
      </c>
      <c r="P727" s="92"/>
      <c r="Q727" s="173" t="s">
        <v>2529</v>
      </c>
      <c r="R727" s="507"/>
      <c r="S727" s="94"/>
      <c r="T727" s="171" t="s">
        <v>2552</v>
      </c>
      <c r="U727" s="171"/>
      <c r="V727" s="102">
        <v>0</v>
      </c>
      <c r="W727" s="120">
        <v>0</v>
      </c>
      <c r="X727" s="120">
        <v>0</v>
      </c>
      <c r="Y727" s="120">
        <v>0</v>
      </c>
      <c r="Z727" s="120">
        <v>0</v>
      </c>
      <c r="AA727" s="17">
        <v>0</v>
      </c>
      <c r="AB727" s="17">
        <v>0</v>
      </c>
      <c r="AC727" s="17">
        <v>0</v>
      </c>
      <c r="AD727" s="17">
        <v>0</v>
      </c>
      <c r="AE727" s="17">
        <v>0</v>
      </c>
      <c r="AF727" s="17">
        <v>0</v>
      </c>
      <c r="AG727" s="17">
        <v>0</v>
      </c>
      <c r="AH727" s="17">
        <v>0</v>
      </c>
      <c r="AI727" s="17">
        <v>0</v>
      </c>
      <c r="AJ727" s="17">
        <v>0</v>
      </c>
      <c r="AK727" s="17">
        <v>0</v>
      </c>
      <c r="AL727" s="32">
        <v>0</v>
      </c>
      <c r="AM727" s="780">
        <v>37.9</v>
      </c>
      <c r="AN727" s="89"/>
      <c r="AO727" s="280"/>
      <c r="AP727" s="784"/>
      <c r="AQ727" s="773" t="s">
        <v>530</v>
      </c>
      <c r="AR727" s="174">
        <v>50</v>
      </c>
      <c r="AS727" s="171"/>
      <c r="AT727" s="171" t="str">
        <f t="shared" si="62"/>
        <v>200</v>
      </c>
      <c r="AU727" s="255">
        <f t="shared" si="63"/>
        <v>20</v>
      </c>
      <c r="AV727" s="172">
        <v>100</v>
      </c>
      <c r="AW727" s="171">
        <v>28</v>
      </c>
      <c r="AX727" s="89"/>
      <c r="AY727" s="171">
        <v>20</v>
      </c>
      <c r="AZ727" s="89"/>
      <c r="BA727" s="175">
        <v>60</v>
      </c>
      <c r="BB727" s="189" t="s">
        <v>2547</v>
      </c>
      <c r="BC727" s="176"/>
      <c r="BD727" s="179"/>
      <c r="BE727" s="179"/>
      <c r="BF727" s="178"/>
      <c r="BG727" s="25"/>
      <c r="BH727" s="25"/>
    </row>
    <row r="728" spans="1:60" ht="15" customHeight="1">
      <c r="A728" s="95">
        <v>727</v>
      </c>
      <c r="B728" s="98" t="s">
        <v>978</v>
      </c>
      <c r="C728" s="191" t="s">
        <v>2647</v>
      </c>
      <c r="D728" s="257" t="s">
        <v>549</v>
      </c>
      <c r="E728" s="459" t="s">
        <v>3377</v>
      </c>
      <c r="F728" s="171">
        <v>2001</v>
      </c>
      <c r="G728" s="171">
        <v>152</v>
      </c>
      <c r="H728" s="57"/>
      <c r="I728" s="173" t="s">
        <v>2564</v>
      </c>
      <c r="J728" s="277">
        <v>0.39700000000000002</v>
      </c>
      <c r="K728" s="213">
        <v>2.1589743589743589</v>
      </c>
      <c r="L728" s="91"/>
      <c r="M728" s="278">
        <v>390</v>
      </c>
      <c r="N728" s="279"/>
      <c r="O728" s="172" t="s">
        <v>129</v>
      </c>
      <c r="P728" s="92"/>
      <c r="Q728" s="173" t="s">
        <v>2529</v>
      </c>
      <c r="R728" s="507"/>
      <c r="S728" s="94"/>
      <c r="T728" s="171" t="s">
        <v>2552</v>
      </c>
      <c r="U728" s="171"/>
      <c r="V728" s="102">
        <v>0</v>
      </c>
      <c r="W728" s="120">
        <v>0</v>
      </c>
      <c r="X728" s="120">
        <v>0</v>
      </c>
      <c r="Y728" s="120">
        <v>0</v>
      </c>
      <c r="Z728" s="120">
        <v>0</v>
      </c>
      <c r="AA728" s="17">
        <v>0</v>
      </c>
      <c r="AB728" s="17">
        <v>0</v>
      </c>
      <c r="AC728" s="17">
        <v>0</v>
      </c>
      <c r="AD728" s="17">
        <v>0</v>
      </c>
      <c r="AE728" s="17">
        <v>0</v>
      </c>
      <c r="AF728" s="17">
        <v>0</v>
      </c>
      <c r="AG728" s="17">
        <v>0</v>
      </c>
      <c r="AH728" s="17">
        <v>0</v>
      </c>
      <c r="AI728" s="17">
        <v>0</v>
      </c>
      <c r="AJ728" s="17">
        <v>0</v>
      </c>
      <c r="AK728" s="17">
        <v>0</v>
      </c>
      <c r="AL728" s="32">
        <v>0</v>
      </c>
      <c r="AM728" s="780">
        <v>40.299999999999997</v>
      </c>
      <c r="AN728" s="89"/>
      <c r="AO728" s="280"/>
      <c r="AP728" s="784"/>
      <c r="AQ728" s="773" t="s">
        <v>530</v>
      </c>
      <c r="AR728" s="174">
        <v>50</v>
      </c>
      <c r="AS728" s="171"/>
      <c r="AT728" s="171" t="str">
        <f t="shared" si="62"/>
        <v>200</v>
      </c>
      <c r="AU728" s="255">
        <f t="shared" si="63"/>
        <v>20</v>
      </c>
      <c r="AV728" s="172">
        <v>100</v>
      </c>
      <c r="AW728" s="171">
        <v>28</v>
      </c>
      <c r="AX728" s="89"/>
      <c r="AY728" s="171">
        <v>20</v>
      </c>
      <c r="AZ728" s="89"/>
      <c r="BA728" s="175">
        <v>60</v>
      </c>
      <c r="BB728" s="189" t="s">
        <v>2547</v>
      </c>
      <c r="BC728" s="176"/>
      <c r="BD728" s="179"/>
      <c r="BE728" s="179"/>
      <c r="BF728" s="178"/>
      <c r="BG728" s="25"/>
      <c r="BH728" s="25"/>
    </row>
    <row r="729" spans="1:60" ht="15" customHeight="1">
      <c r="A729" s="95">
        <v>728</v>
      </c>
      <c r="B729" s="98" t="s">
        <v>977</v>
      </c>
      <c r="C729" s="191" t="s">
        <v>2645</v>
      </c>
      <c r="D729" s="257" t="s">
        <v>549</v>
      </c>
      <c r="E729" s="459" t="s">
        <v>3377</v>
      </c>
      <c r="F729" s="171">
        <v>2001</v>
      </c>
      <c r="G729" s="171">
        <v>188</v>
      </c>
      <c r="H729" s="57"/>
      <c r="I729" s="173" t="s">
        <v>2564</v>
      </c>
      <c r="J729" s="212">
        <f>140/483</f>
        <v>0.28985507246376813</v>
      </c>
      <c r="K729" s="213">
        <v>3.7805383022774328</v>
      </c>
      <c r="L729" s="91"/>
      <c r="M729" s="278">
        <v>483</v>
      </c>
      <c r="N729" s="279"/>
      <c r="O729" s="172" t="s">
        <v>12</v>
      </c>
      <c r="P729" s="92"/>
      <c r="Q729" s="173" t="s">
        <v>10</v>
      </c>
      <c r="R729" s="65" t="s">
        <v>2308</v>
      </c>
      <c r="S729" s="94"/>
      <c r="T729" s="171"/>
      <c r="U729" s="171" t="s">
        <v>2308</v>
      </c>
      <c r="V729" s="102">
        <v>0</v>
      </c>
      <c r="W729" s="120">
        <v>0</v>
      </c>
      <c r="X729" s="120">
        <v>0</v>
      </c>
      <c r="Y729" s="120">
        <v>0</v>
      </c>
      <c r="Z729" s="120">
        <v>0</v>
      </c>
      <c r="AA729" s="17">
        <v>0</v>
      </c>
      <c r="AB729" s="17">
        <v>0</v>
      </c>
      <c r="AC729" s="17">
        <v>0</v>
      </c>
      <c r="AD729" s="17">
        <v>0</v>
      </c>
      <c r="AE729" s="17">
        <v>0</v>
      </c>
      <c r="AF729" s="17">
        <v>0</v>
      </c>
      <c r="AG729" s="17">
        <v>0</v>
      </c>
      <c r="AH729" s="17">
        <v>0</v>
      </c>
      <c r="AI729" s="17">
        <v>0</v>
      </c>
      <c r="AJ729" s="17">
        <v>0</v>
      </c>
      <c r="AK729" s="17">
        <v>0</v>
      </c>
      <c r="AL729" s="32">
        <v>0</v>
      </c>
      <c r="AM729" s="780">
        <v>77.8</v>
      </c>
      <c r="AN729" s="89"/>
      <c r="AO729" s="280"/>
      <c r="AP729" s="784"/>
      <c r="AQ729" s="773" t="s">
        <v>973</v>
      </c>
      <c r="AR729" s="174">
        <v>100</v>
      </c>
      <c r="AS729" s="171"/>
      <c r="AT729" s="171" t="str">
        <f t="shared" si="62"/>
        <v>300</v>
      </c>
      <c r="AU729" s="255">
        <f t="shared" si="63"/>
        <v>37.5</v>
      </c>
      <c r="AV729" s="57"/>
      <c r="AW729" s="171">
        <v>1</v>
      </c>
      <c r="AX729" s="89"/>
      <c r="AY729" s="171">
        <v>20</v>
      </c>
      <c r="AZ729" s="89"/>
      <c r="BA729" s="175">
        <v>60</v>
      </c>
      <c r="BB729" s="259"/>
      <c r="BC729" s="176"/>
      <c r="BD729" s="179"/>
      <c r="BE729" s="179"/>
      <c r="BF729" s="178"/>
      <c r="BG729" s="25"/>
      <c r="BH729" s="25"/>
    </row>
    <row r="730" spans="1:60" ht="15" customHeight="1">
      <c r="A730" s="95">
        <v>729</v>
      </c>
      <c r="B730" s="98" t="s">
        <v>976</v>
      </c>
      <c r="C730" s="191" t="s">
        <v>2645</v>
      </c>
      <c r="D730" s="257" t="s">
        <v>549</v>
      </c>
      <c r="E730" s="459" t="s">
        <v>3377</v>
      </c>
      <c r="F730" s="171">
        <v>2001</v>
      </c>
      <c r="G730" s="171">
        <v>188</v>
      </c>
      <c r="H730" s="57"/>
      <c r="I730" s="173" t="s">
        <v>2564</v>
      </c>
      <c r="J730" s="212">
        <f>135/452</f>
        <v>0.29867256637168144</v>
      </c>
      <c r="K730" s="213">
        <v>4.0951327433628322</v>
      </c>
      <c r="L730" s="91"/>
      <c r="M730" s="278">
        <v>452</v>
      </c>
      <c r="N730" s="279"/>
      <c r="O730" s="172" t="s">
        <v>12</v>
      </c>
      <c r="P730" s="92"/>
      <c r="Q730" s="173" t="s">
        <v>10</v>
      </c>
      <c r="R730" s="65" t="s">
        <v>2308</v>
      </c>
      <c r="S730" s="94"/>
      <c r="T730" s="171"/>
      <c r="U730" s="171" t="s">
        <v>2308</v>
      </c>
      <c r="V730" s="102">
        <v>0</v>
      </c>
      <c r="W730" s="120">
        <v>0</v>
      </c>
      <c r="X730" s="120">
        <v>0</v>
      </c>
      <c r="Y730" s="120">
        <v>0</v>
      </c>
      <c r="Z730" s="120">
        <v>0</v>
      </c>
      <c r="AA730" s="17">
        <v>0</v>
      </c>
      <c r="AB730" s="17">
        <v>0</v>
      </c>
      <c r="AC730" s="17">
        <v>0</v>
      </c>
      <c r="AD730" s="17">
        <v>0</v>
      </c>
      <c r="AE730" s="17">
        <v>0</v>
      </c>
      <c r="AF730" s="17">
        <v>0</v>
      </c>
      <c r="AG730" s="17">
        <v>0</v>
      </c>
      <c r="AH730" s="17">
        <v>0</v>
      </c>
      <c r="AI730" s="17">
        <v>0</v>
      </c>
      <c r="AJ730" s="17">
        <v>0</v>
      </c>
      <c r="AK730" s="17">
        <v>0</v>
      </c>
      <c r="AL730" s="32" t="s">
        <v>3465</v>
      </c>
      <c r="AM730" s="780">
        <v>75.400000000000006</v>
      </c>
      <c r="AN730" s="89"/>
      <c r="AO730" s="280"/>
      <c r="AP730" s="784"/>
      <c r="AQ730" s="773" t="s">
        <v>973</v>
      </c>
      <c r="AR730" s="174">
        <v>100</v>
      </c>
      <c r="AS730" s="171"/>
      <c r="AT730" s="171" t="str">
        <f t="shared" si="62"/>
        <v>300</v>
      </c>
      <c r="AU730" s="255">
        <f t="shared" si="63"/>
        <v>37.5</v>
      </c>
      <c r="AV730" s="57"/>
      <c r="AW730" s="171">
        <v>1</v>
      </c>
      <c r="AX730" s="89"/>
      <c r="AY730" s="171">
        <v>20</v>
      </c>
      <c r="AZ730" s="89"/>
      <c r="BA730" s="175">
        <v>60</v>
      </c>
      <c r="BB730" s="259"/>
      <c r="BC730" s="176"/>
      <c r="BD730" s="179"/>
      <c r="BE730" s="179"/>
      <c r="BF730" s="178" t="s">
        <v>975</v>
      </c>
      <c r="BG730" s="25"/>
      <c r="BH730" s="25"/>
    </row>
    <row r="731" spans="1:60" ht="15" customHeight="1">
      <c r="A731" s="95">
        <v>730</v>
      </c>
      <c r="B731" s="98" t="s">
        <v>974</v>
      </c>
      <c r="C731" s="191" t="s">
        <v>2645</v>
      </c>
      <c r="D731" s="257" t="s">
        <v>549</v>
      </c>
      <c r="E731" s="459" t="s">
        <v>3377</v>
      </c>
      <c r="F731" s="171">
        <v>2001</v>
      </c>
      <c r="G731" s="171">
        <v>188</v>
      </c>
      <c r="H731" s="57"/>
      <c r="I731" s="173" t="s">
        <v>2564</v>
      </c>
      <c r="J731" s="212">
        <f>140/259</f>
        <v>0.54054054054054057</v>
      </c>
      <c r="K731" s="213">
        <v>6.8339768339768341</v>
      </c>
      <c r="L731" s="91"/>
      <c r="M731" s="278">
        <v>259</v>
      </c>
      <c r="N731" s="279"/>
      <c r="O731" s="172" t="s">
        <v>12</v>
      </c>
      <c r="P731" s="92"/>
      <c r="Q731" s="173" t="s">
        <v>10</v>
      </c>
      <c r="R731" s="65" t="s">
        <v>2308</v>
      </c>
      <c r="S731" s="94"/>
      <c r="T731" s="171"/>
      <c r="U731" s="171" t="s">
        <v>2308</v>
      </c>
      <c r="V731" s="102">
        <v>0</v>
      </c>
      <c r="W731" s="120">
        <v>0</v>
      </c>
      <c r="X731" s="120">
        <f>259/259*100</f>
        <v>100</v>
      </c>
      <c r="Y731" s="120">
        <v>0</v>
      </c>
      <c r="Z731" s="120">
        <v>0</v>
      </c>
      <c r="AA731" s="17">
        <v>0</v>
      </c>
      <c r="AB731" s="17">
        <v>0</v>
      </c>
      <c r="AC731" s="17">
        <v>0</v>
      </c>
      <c r="AD731" s="17">
        <v>0</v>
      </c>
      <c r="AE731" s="17">
        <v>0</v>
      </c>
      <c r="AF731" s="17">
        <v>0</v>
      </c>
      <c r="AG731" s="17">
        <v>0</v>
      </c>
      <c r="AH731" s="17">
        <v>0</v>
      </c>
      <c r="AI731" s="17">
        <v>0</v>
      </c>
      <c r="AJ731" s="17">
        <v>0</v>
      </c>
      <c r="AK731" s="17">
        <v>0</v>
      </c>
      <c r="AL731" s="32" t="s">
        <v>2541</v>
      </c>
      <c r="AM731" s="780">
        <v>74.7</v>
      </c>
      <c r="AN731" s="89"/>
      <c r="AO731" s="280"/>
      <c r="AP731" s="784"/>
      <c r="AQ731" s="773" t="s">
        <v>973</v>
      </c>
      <c r="AR731" s="174">
        <v>100</v>
      </c>
      <c r="AS731" s="171"/>
      <c r="AT731" s="171" t="str">
        <f t="shared" si="62"/>
        <v>300</v>
      </c>
      <c r="AU731" s="255">
        <f t="shared" si="63"/>
        <v>37.5</v>
      </c>
      <c r="AV731" s="57"/>
      <c r="AW731" s="171">
        <v>1</v>
      </c>
      <c r="AX731" s="89"/>
      <c r="AY731" s="171">
        <v>20</v>
      </c>
      <c r="AZ731" s="89"/>
      <c r="BA731" s="175">
        <v>60</v>
      </c>
      <c r="BB731" s="259"/>
      <c r="BC731" s="176"/>
      <c r="BD731" s="179"/>
      <c r="BE731" s="179"/>
      <c r="BF731" s="178"/>
      <c r="BG731" s="25"/>
      <c r="BH731" s="25"/>
    </row>
    <row r="732" spans="1:60" ht="15" customHeight="1">
      <c r="A732" s="95">
        <v>731</v>
      </c>
      <c r="B732" s="98" t="s">
        <v>972</v>
      </c>
      <c r="C732" s="191" t="s">
        <v>2649</v>
      </c>
      <c r="D732" s="257" t="s">
        <v>549</v>
      </c>
      <c r="E732" s="459" t="s">
        <v>3377</v>
      </c>
      <c r="F732" s="171">
        <v>2001</v>
      </c>
      <c r="G732" s="171">
        <v>189</v>
      </c>
      <c r="H732" s="57"/>
      <c r="I732" s="173" t="s">
        <v>2564</v>
      </c>
      <c r="J732" s="277">
        <v>0.5</v>
      </c>
      <c r="K732" s="213">
        <v>4.5621621621621617</v>
      </c>
      <c r="L732" s="91"/>
      <c r="M732" s="278">
        <v>370</v>
      </c>
      <c r="N732" s="279"/>
      <c r="O732" s="172" t="s">
        <v>12</v>
      </c>
      <c r="P732" s="92"/>
      <c r="Q732" s="173" t="s">
        <v>10</v>
      </c>
      <c r="R732" s="507"/>
      <c r="S732" s="94"/>
      <c r="T732" s="171" t="s">
        <v>2306</v>
      </c>
      <c r="U732" s="171" t="s">
        <v>2530</v>
      </c>
      <c r="V732" s="102">
        <v>0</v>
      </c>
      <c r="W732" s="120">
        <v>0</v>
      </c>
      <c r="X732" s="120">
        <v>0</v>
      </c>
      <c r="Y732" s="120">
        <v>0</v>
      </c>
      <c r="Z732" s="120">
        <v>0</v>
      </c>
      <c r="AA732" s="17">
        <v>0</v>
      </c>
      <c r="AB732" s="17">
        <v>0</v>
      </c>
      <c r="AC732" s="17">
        <v>0</v>
      </c>
      <c r="AD732" s="17">
        <v>0</v>
      </c>
      <c r="AE732" s="17">
        <v>0</v>
      </c>
      <c r="AF732" s="17">
        <v>0</v>
      </c>
      <c r="AG732" s="17">
        <v>0</v>
      </c>
      <c r="AH732" s="17">
        <v>0</v>
      </c>
      <c r="AI732" s="17">
        <v>0</v>
      </c>
      <c r="AJ732" s="17">
        <v>0</v>
      </c>
      <c r="AK732" s="17">
        <v>0</v>
      </c>
      <c r="AL732" s="32">
        <v>0</v>
      </c>
      <c r="AM732" s="57"/>
      <c r="AN732" s="89"/>
      <c r="AO732" s="280"/>
      <c r="AP732" s="784"/>
      <c r="AQ732" s="773" t="s">
        <v>271</v>
      </c>
      <c r="AR732" s="188">
        <v>100</v>
      </c>
      <c r="AS732" s="171"/>
      <c r="AT732" s="171" t="str">
        <f t="shared" ref="AT732:AT763" si="64">RIGHT(AQ732,LEN(AQ732)-FIND("x",AQ732,8))</f>
        <v>400</v>
      </c>
      <c r="AU732" s="255">
        <f t="shared" ref="AU732:AU763" si="65">IF(ISBLANK(AS732),(AR732*AT732)/((4*AT732)+(2*AR732)),AR732*AS732*AT732/2/(AR732*AS732+AR732*AT732+AS732*AT732))</f>
        <v>22.222222222222221</v>
      </c>
      <c r="AV732" s="172">
        <v>98</v>
      </c>
      <c r="AW732" s="171">
        <v>1</v>
      </c>
      <c r="AX732" s="89"/>
      <c r="AY732" s="171">
        <v>20</v>
      </c>
      <c r="AZ732" s="89"/>
      <c r="BA732" s="175">
        <v>60</v>
      </c>
      <c r="BB732" s="189" t="s">
        <v>2553</v>
      </c>
      <c r="BC732" s="176"/>
      <c r="BD732" s="179"/>
      <c r="BE732" s="179"/>
      <c r="BF732" s="178"/>
      <c r="BG732" s="25"/>
      <c r="BH732" s="25"/>
    </row>
    <row r="733" spans="1:60" ht="15" customHeight="1">
      <c r="A733" s="95">
        <v>732</v>
      </c>
      <c r="B733" s="98" t="s">
        <v>971</v>
      </c>
      <c r="C733" s="191" t="s">
        <v>2649</v>
      </c>
      <c r="D733" s="257" t="s">
        <v>549</v>
      </c>
      <c r="E733" s="459" t="s">
        <v>3377</v>
      </c>
      <c r="F733" s="171">
        <v>2001</v>
      </c>
      <c r="G733" s="171">
        <v>189</v>
      </c>
      <c r="H733" s="57"/>
      <c r="I733" s="173" t="s">
        <v>2564</v>
      </c>
      <c r="J733" s="277">
        <v>0.5</v>
      </c>
      <c r="K733" s="213">
        <v>4.5621621621621617</v>
      </c>
      <c r="L733" s="91"/>
      <c r="M733" s="278">
        <v>370</v>
      </c>
      <c r="N733" s="279"/>
      <c r="O733" s="172" t="s">
        <v>12</v>
      </c>
      <c r="P733" s="92"/>
      <c r="Q733" s="173" t="s">
        <v>10</v>
      </c>
      <c r="R733" s="507"/>
      <c r="S733" s="94"/>
      <c r="T733" s="171" t="s">
        <v>2306</v>
      </c>
      <c r="U733" s="171" t="s">
        <v>2530</v>
      </c>
      <c r="V733" s="102">
        <v>0</v>
      </c>
      <c r="W733" s="120">
        <v>0</v>
      </c>
      <c r="X733" s="120">
        <v>0</v>
      </c>
      <c r="Y733" s="120">
        <v>0</v>
      </c>
      <c r="Z733" s="120">
        <v>0</v>
      </c>
      <c r="AA733" s="17">
        <v>0</v>
      </c>
      <c r="AB733" s="17">
        <v>0</v>
      </c>
      <c r="AC733" s="17">
        <v>0</v>
      </c>
      <c r="AD733" s="17">
        <v>0</v>
      </c>
      <c r="AE733" s="17">
        <v>0</v>
      </c>
      <c r="AF733" s="17">
        <v>0</v>
      </c>
      <c r="AG733" s="17">
        <v>0</v>
      </c>
      <c r="AH733" s="17">
        <v>0</v>
      </c>
      <c r="AI733" s="17">
        <v>0</v>
      </c>
      <c r="AJ733" s="17">
        <v>0</v>
      </c>
      <c r="AK733" s="17">
        <v>0</v>
      </c>
      <c r="AL733" s="32">
        <v>0</v>
      </c>
      <c r="AM733" s="57"/>
      <c r="AN733" s="89"/>
      <c r="AO733" s="280"/>
      <c r="AP733" s="784"/>
      <c r="AQ733" s="773" t="s">
        <v>271</v>
      </c>
      <c r="AR733" s="188">
        <v>100</v>
      </c>
      <c r="AS733" s="171"/>
      <c r="AT733" s="171" t="str">
        <f t="shared" si="64"/>
        <v>400</v>
      </c>
      <c r="AU733" s="255">
        <f t="shared" si="65"/>
        <v>22.222222222222221</v>
      </c>
      <c r="AV733" s="172">
        <v>98</v>
      </c>
      <c r="AW733" s="171">
        <v>3</v>
      </c>
      <c r="AX733" s="89"/>
      <c r="AY733" s="171">
        <v>20</v>
      </c>
      <c r="AZ733" s="89"/>
      <c r="BA733" s="175">
        <v>60</v>
      </c>
      <c r="BB733" s="189" t="s">
        <v>2553</v>
      </c>
      <c r="BC733" s="176"/>
      <c r="BD733" s="179"/>
      <c r="BE733" s="179"/>
      <c r="BF733" s="178"/>
      <c r="BG733" s="25"/>
      <c r="BH733" s="25"/>
    </row>
    <row r="734" spans="1:60" ht="15" customHeight="1">
      <c r="A734" s="95">
        <v>733</v>
      </c>
      <c r="B734" s="98" t="s">
        <v>970</v>
      </c>
      <c r="C734" s="191" t="s">
        <v>2649</v>
      </c>
      <c r="D734" s="257" t="s">
        <v>549</v>
      </c>
      <c r="E734" s="459" t="s">
        <v>3377</v>
      </c>
      <c r="F734" s="171">
        <v>2001</v>
      </c>
      <c r="G734" s="171">
        <v>189</v>
      </c>
      <c r="H734" s="57"/>
      <c r="I734" s="173" t="s">
        <v>2564</v>
      </c>
      <c r="J734" s="277">
        <v>0.5</v>
      </c>
      <c r="K734" s="213">
        <v>4.5621621621621617</v>
      </c>
      <c r="L734" s="91"/>
      <c r="M734" s="278">
        <v>370</v>
      </c>
      <c r="N734" s="279"/>
      <c r="O734" s="172" t="s">
        <v>12</v>
      </c>
      <c r="P734" s="92"/>
      <c r="Q734" s="173" t="s">
        <v>10</v>
      </c>
      <c r="R734" s="507"/>
      <c r="S734" s="94"/>
      <c r="T734" s="171" t="s">
        <v>2306</v>
      </c>
      <c r="U734" s="171" t="s">
        <v>2530</v>
      </c>
      <c r="V734" s="102">
        <v>0</v>
      </c>
      <c r="W734" s="120">
        <v>0</v>
      </c>
      <c r="X734" s="120">
        <v>0</v>
      </c>
      <c r="Y734" s="120">
        <v>0</v>
      </c>
      <c r="Z734" s="120">
        <v>0</v>
      </c>
      <c r="AA734" s="17">
        <v>0</v>
      </c>
      <c r="AB734" s="17">
        <v>0</v>
      </c>
      <c r="AC734" s="17">
        <v>0</v>
      </c>
      <c r="AD734" s="17">
        <v>0</v>
      </c>
      <c r="AE734" s="17">
        <v>0</v>
      </c>
      <c r="AF734" s="17">
        <v>0</v>
      </c>
      <c r="AG734" s="17">
        <v>0</v>
      </c>
      <c r="AH734" s="17">
        <v>0</v>
      </c>
      <c r="AI734" s="17">
        <v>0</v>
      </c>
      <c r="AJ734" s="17">
        <v>0</v>
      </c>
      <c r="AK734" s="17">
        <v>0</v>
      </c>
      <c r="AL734" s="32">
        <v>0</v>
      </c>
      <c r="AM734" s="57"/>
      <c r="AN734" s="89"/>
      <c r="AO734" s="280"/>
      <c r="AP734" s="784"/>
      <c r="AQ734" s="773" t="s">
        <v>271</v>
      </c>
      <c r="AR734" s="188">
        <v>100</v>
      </c>
      <c r="AS734" s="171"/>
      <c r="AT734" s="171" t="str">
        <f t="shared" si="64"/>
        <v>400</v>
      </c>
      <c r="AU734" s="255">
        <f t="shared" si="65"/>
        <v>22.222222222222221</v>
      </c>
      <c r="AV734" s="172">
        <v>98</v>
      </c>
      <c r="AW734" s="171">
        <v>7</v>
      </c>
      <c r="AX734" s="89"/>
      <c r="AY734" s="171">
        <v>20</v>
      </c>
      <c r="AZ734" s="89"/>
      <c r="BA734" s="175">
        <v>60</v>
      </c>
      <c r="BB734" s="189" t="s">
        <v>2553</v>
      </c>
      <c r="BC734" s="176"/>
      <c r="BD734" s="179"/>
      <c r="BE734" s="179"/>
      <c r="BF734" s="178"/>
      <c r="BG734" s="25"/>
      <c r="BH734" s="25"/>
    </row>
    <row r="735" spans="1:60" ht="15" customHeight="1">
      <c r="A735" s="95">
        <v>734</v>
      </c>
      <c r="B735" s="98" t="s">
        <v>969</v>
      </c>
      <c r="C735" s="191" t="s">
        <v>2649</v>
      </c>
      <c r="D735" s="257" t="s">
        <v>549</v>
      </c>
      <c r="E735" s="459" t="s">
        <v>3377</v>
      </c>
      <c r="F735" s="171">
        <v>2001</v>
      </c>
      <c r="G735" s="171">
        <v>189</v>
      </c>
      <c r="H735" s="57"/>
      <c r="I735" s="173" t="s">
        <v>2564</v>
      </c>
      <c r="J735" s="277">
        <v>0.5</v>
      </c>
      <c r="K735" s="213">
        <v>4.5621621621621617</v>
      </c>
      <c r="L735" s="91"/>
      <c r="M735" s="278">
        <v>370</v>
      </c>
      <c r="N735" s="279"/>
      <c r="O735" s="172" t="s">
        <v>12</v>
      </c>
      <c r="P735" s="92"/>
      <c r="Q735" s="173" t="s">
        <v>10</v>
      </c>
      <c r="R735" s="507"/>
      <c r="S735" s="94"/>
      <c r="T735" s="171" t="s">
        <v>2306</v>
      </c>
      <c r="U735" s="171" t="s">
        <v>2530</v>
      </c>
      <c r="V735" s="102">
        <v>0</v>
      </c>
      <c r="W735" s="120">
        <v>0</v>
      </c>
      <c r="X735" s="120">
        <v>0</v>
      </c>
      <c r="Y735" s="120">
        <v>0</v>
      </c>
      <c r="Z735" s="120">
        <v>0</v>
      </c>
      <c r="AA735" s="17">
        <v>0</v>
      </c>
      <c r="AB735" s="17">
        <v>0</v>
      </c>
      <c r="AC735" s="17">
        <v>0</v>
      </c>
      <c r="AD735" s="17">
        <v>0</v>
      </c>
      <c r="AE735" s="17">
        <v>0</v>
      </c>
      <c r="AF735" s="17">
        <v>0</v>
      </c>
      <c r="AG735" s="17">
        <v>0</v>
      </c>
      <c r="AH735" s="17">
        <v>0</v>
      </c>
      <c r="AI735" s="17">
        <v>0</v>
      </c>
      <c r="AJ735" s="17">
        <v>0</v>
      </c>
      <c r="AK735" s="17">
        <v>0</v>
      </c>
      <c r="AL735" s="32">
        <v>0</v>
      </c>
      <c r="AM735" s="57"/>
      <c r="AN735" s="89"/>
      <c r="AO735" s="280"/>
      <c r="AP735" s="784"/>
      <c r="AQ735" s="773" t="s">
        <v>271</v>
      </c>
      <c r="AR735" s="188">
        <v>100</v>
      </c>
      <c r="AS735" s="171"/>
      <c r="AT735" s="171" t="str">
        <f t="shared" si="64"/>
        <v>400</v>
      </c>
      <c r="AU735" s="255">
        <f t="shared" si="65"/>
        <v>22.222222222222221</v>
      </c>
      <c r="AV735" s="172">
        <v>98</v>
      </c>
      <c r="AW735" s="171">
        <v>14</v>
      </c>
      <c r="AX735" s="89"/>
      <c r="AY735" s="171">
        <v>20</v>
      </c>
      <c r="AZ735" s="89"/>
      <c r="BA735" s="175">
        <v>60</v>
      </c>
      <c r="BB735" s="189" t="s">
        <v>2553</v>
      </c>
      <c r="BC735" s="176"/>
      <c r="BD735" s="179"/>
      <c r="BE735" s="179"/>
      <c r="BF735" s="178"/>
      <c r="BG735" s="25"/>
      <c r="BH735" s="25"/>
    </row>
    <row r="736" spans="1:60" ht="15" customHeight="1">
      <c r="A736" s="95">
        <v>735</v>
      </c>
      <c r="B736" s="98" t="s">
        <v>968</v>
      </c>
      <c r="C736" s="191" t="s">
        <v>2669</v>
      </c>
      <c r="D736" s="257" t="s">
        <v>549</v>
      </c>
      <c r="E736" s="459" t="s">
        <v>3377</v>
      </c>
      <c r="F736" s="171">
        <v>2001</v>
      </c>
      <c r="G736" s="171">
        <v>190</v>
      </c>
      <c r="H736" s="57"/>
      <c r="I736" s="173" t="s">
        <v>2564</v>
      </c>
      <c r="J736" s="277">
        <v>0.5</v>
      </c>
      <c r="K736" s="213">
        <v>4.3868421052631579</v>
      </c>
      <c r="L736" s="91"/>
      <c r="M736" s="278">
        <v>380</v>
      </c>
      <c r="N736" s="279"/>
      <c r="O736" s="172" t="s">
        <v>12</v>
      </c>
      <c r="P736" s="92"/>
      <c r="Q736" s="173" t="s">
        <v>10</v>
      </c>
      <c r="R736" s="507"/>
      <c r="S736" s="94"/>
      <c r="T736" s="171" t="s">
        <v>2306</v>
      </c>
      <c r="U736" s="171" t="s">
        <v>2530</v>
      </c>
      <c r="V736" s="102">
        <v>0</v>
      </c>
      <c r="W736" s="120">
        <v>0</v>
      </c>
      <c r="X736" s="120">
        <v>0</v>
      </c>
      <c r="Y736" s="120">
        <v>0</v>
      </c>
      <c r="Z736" s="120">
        <v>0</v>
      </c>
      <c r="AA736" s="17">
        <v>0</v>
      </c>
      <c r="AB736" s="17">
        <v>0</v>
      </c>
      <c r="AC736" s="17">
        <v>0</v>
      </c>
      <c r="AD736" s="17">
        <v>0</v>
      </c>
      <c r="AE736" s="17">
        <v>0</v>
      </c>
      <c r="AF736" s="17">
        <v>0</v>
      </c>
      <c r="AG736" s="17">
        <v>0</v>
      </c>
      <c r="AH736" s="17">
        <v>0</v>
      </c>
      <c r="AI736" s="17">
        <v>0</v>
      </c>
      <c r="AJ736" s="17">
        <v>0</v>
      </c>
      <c r="AK736" s="17">
        <v>0</v>
      </c>
      <c r="AL736" s="32">
        <v>0</v>
      </c>
      <c r="AM736" s="780">
        <v>43.1</v>
      </c>
      <c r="AN736" s="89"/>
      <c r="AO736" s="280"/>
      <c r="AP736" s="784"/>
      <c r="AQ736" s="773" t="s">
        <v>271</v>
      </c>
      <c r="AR736" s="188">
        <v>100</v>
      </c>
      <c r="AS736" s="171"/>
      <c r="AT736" s="171" t="str">
        <f t="shared" si="64"/>
        <v>400</v>
      </c>
      <c r="AU736" s="255">
        <f t="shared" si="65"/>
        <v>22.222222222222221</v>
      </c>
      <c r="AV736" s="172">
        <v>98</v>
      </c>
      <c r="AW736" s="171">
        <v>7</v>
      </c>
      <c r="AX736" s="89"/>
      <c r="AY736" s="171">
        <v>20</v>
      </c>
      <c r="AZ736" s="89"/>
      <c r="BA736" s="175">
        <v>60</v>
      </c>
      <c r="BB736" s="189" t="s">
        <v>2553</v>
      </c>
      <c r="BC736" s="176"/>
      <c r="BD736" s="179"/>
      <c r="BE736" s="179"/>
      <c r="BF736" s="178"/>
      <c r="BG736" s="25"/>
      <c r="BH736" s="25"/>
    </row>
    <row r="737" spans="1:60" ht="15" customHeight="1">
      <c r="A737" s="95">
        <v>736</v>
      </c>
      <c r="B737" s="98" t="s">
        <v>967</v>
      </c>
      <c r="C737" s="191" t="s">
        <v>2669</v>
      </c>
      <c r="D737" s="257" t="s">
        <v>549</v>
      </c>
      <c r="E737" s="459" t="s">
        <v>3377</v>
      </c>
      <c r="F737" s="171">
        <v>2001</v>
      </c>
      <c r="G737" s="171">
        <v>190</v>
      </c>
      <c r="H737" s="57"/>
      <c r="I737" s="173" t="s">
        <v>2564</v>
      </c>
      <c r="J737" s="277">
        <v>0.5</v>
      </c>
      <c r="K737" s="213">
        <v>5.6031250000000004</v>
      </c>
      <c r="L737" s="91"/>
      <c r="M737" s="278">
        <v>320</v>
      </c>
      <c r="N737" s="279"/>
      <c r="O737" s="172" t="s">
        <v>12</v>
      </c>
      <c r="P737" s="92"/>
      <c r="Q737" s="173" t="s">
        <v>10</v>
      </c>
      <c r="R737" s="507"/>
      <c r="S737" s="94"/>
      <c r="T737" s="171" t="s">
        <v>2306</v>
      </c>
      <c r="U737" s="171" t="s">
        <v>2530</v>
      </c>
      <c r="V737" s="102">
        <v>0</v>
      </c>
      <c r="W737" s="120">
        <v>0</v>
      </c>
      <c r="X737" s="120">
        <v>0</v>
      </c>
      <c r="Y737" s="120">
        <v>0</v>
      </c>
      <c r="Z737" s="120">
        <v>0</v>
      </c>
      <c r="AA737" s="17">
        <v>0</v>
      </c>
      <c r="AB737" s="17">
        <v>0</v>
      </c>
      <c r="AC737" s="17">
        <v>0</v>
      </c>
      <c r="AD737" s="17">
        <v>0</v>
      </c>
      <c r="AE737" s="17">
        <v>0</v>
      </c>
      <c r="AF737" s="17">
        <v>0</v>
      </c>
      <c r="AG737" s="17">
        <v>0</v>
      </c>
      <c r="AH737" s="17">
        <v>0</v>
      </c>
      <c r="AI737" s="17">
        <v>0</v>
      </c>
      <c r="AJ737" s="17">
        <v>0</v>
      </c>
      <c r="AK737" s="17">
        <v>0</v>
      </c>
      <c r="AL737" s="32">
        <v>0</v>
      </c>
      <c r="AM737" s="780">
        <v>45.4</v>
      </c>
      <c r="AN737" s="89"/>
      <c r="AO737" s="280"/>
      <c r="AP737" s="784"/>
      <c r="AQ737" s="773" t="s">
        <v>271</v>
      </c>
      <c r="AR737" s="188">
        <v>100</v>
      </c>
      <c r="AS737" s="171"/>
      <c r="AT737" s="171" t="str">
        <f t="shared" si="64"/>
        <v>400</v>
      </c>
      <c r="AU737" s="255">
        <f t="shared" si="65"/>
        <v>22.222222222222221</v>
      </c>
      <c r="AV737" s="172">
        <v>98</v>
      </c>
      <c r="AW737" s="171">
        <v>7</v>
      </c>
      <c r="AX737" s="89"/>
      <c r="AY737" s="171">
        <v>20</v>
      </c>
      <c r="AZ737" s="89"/>
      <c r="BA737" s="175">
        <v>60</v>
      </c>
      <c r="BB737" s="189" t="s">
        <v>2553</v>
      </c>
      <c r="BC737" s="176"/>
      <c r="BD737" s="179"/>
      <c r="BE737" s="179"/>
      <c r="BF737" s="178"/>
      <c r="BG737" s="25"/>
      <c r="BH737" s="25"/>
    </row>
    <row r="738" spans="1:60" ht="15" customHeight="1">
      <c r="A738" s="95">
        <v>737</v>
      </c>
      <c r="B738" s="98" t="s">
        <v>966</v>
      </c>
      <c r="C738" s="191" t="s">
        <v>2669</v>
      </c>
      <c r="D738" s="257" t="s">
        <v>549</v>
      </c>
      <c r="E738" s="459" t="s">
        <v>3377</v>
      </c>
      <c r="F738" s="171">
        <v>2001</v>
      </c>
      <c r="G738" s="171">
        <v>190</v>
      </c>
      <c r="H738" s="57"/>
      <c r="I738" s="173" t="s">
        <v>2564</v>
      </c>
      <c r="J738" s="277">
        <v>0.5</v>
      </c>
      <c r="K738" s="213">
        <v>5.3058823529411763</v>
      </c>
      <c r="L738" s="91"/>
      <c r="M738" s="278">
        <v>340</v>
      </c>
      <c r="N738" s="279"/>
      <c r="O738" s="172" t="s">
        <v>12</v>
      </c>
      <c r="P738" s="92"/>
      <c r="Q738" s="173" t="s">
        <v>10</v>
      </c>
      <c r="R738" s="507"/>
      <c r="S738" s="94"/>
      <c r="T738" s="171" t="s">
        <v>2306</v>
      </c>
      <c r="U738" s="171" t="s">
        <v>2530</v>
      </c>
      <c r="V738" s="102">
        <v>0</v>
      </c>
      <c r="W738" s="120">
        <v>0</v>
      </c>
      <c r="X738" s="120">
        <v>0</v>
      </c>
      <c r="Y738" s="120">
        <v>0</v>
      </c>
      <c r="Z738" s="120">
        <v>0</v>
      </c>
      <c r="AA738" s="17">
        <v>0</v>
      </c>
      <c r="AB738" s="17">
        <v>0</v>
      </c>
      <c r="AC738" s="17">
        <v>0</v>
      </c>
      <c r="AD738" s="17">
        <v>0</v>
      </c>
      <c r="AE738" s="17">
        <v>0</v>
      </c>
      <c r="AF738" s="17">
        <v>0</v>
      </c>
      <c r="AG738" s="17">
        <v>0</v>
      </c>
      <c r="AH738" s="17">
        <v>0</v>
      </c>
      <c r="AI738" s="17">
        <v>0</v>
      </c>
      <c r="AJ738" s="17">
        <v>0</v>
      </c>
      <c r="AK738" s="17">
        <v>0</v>
      </c>
      <c r="AL738" s="32">
        <v>0</v>
      </c>
      <c r="AM738" s="780">
        <v>38.6</v>
      </c>
      <c r="AN738" s="89"/>
      <c r="AO738" s="280"/>
      <c r="AP738" s="784"/>
      <c r="AQ738" s="773" t="s">
        <v>271</v>
      </c>
      <c r="AR738" s="188">
        <v>100</v>
      </c>
      <c r="AS738" s="171"/>
      <c r="AT738" s="171" t="str">
        <f t="shared" si="64"/>
        <v>400</v>
      </c>
      <c r="AU738" s="255">
        <f t="shared" si="65"/>
        <v>22.222222222222221</v>
      </c>
      <c r="AV738" s="172">
        <v>98</v>
      </c>
      <c r="AW738" s="171">
        <v>7</v>
      </c>
      <c r="AX738" s="89"/>
      <c r="AY738" s="171">
        <v>20</v>
      </c>
      <c r="AZ738" s="89"/>
      <c r="BA738" s="175">
        <v>60</v>
      </c>
      <c r="BB738" s="189" t="s">
        <v>2553</v>
      </c>
      <c r="BC738" s="176"/>
      <c r="BD738" s="179"/>
      <c r="BE738" s="179"/>
      <c r="BF738" s="178"/>
      <c r="BG738" s="25"/>
      <c r="BH738" s="25"/>
    </row>
    <row r="739" spans="1:60" ht="15" customHeight="1">
      <c r="A739" s="95">
        <v>738</v>
      </c>
      <c r="B739" s="98" t="s">
        <v>965</v>
      </c>
      <c r="C739" s="191" t="s">
        <v>2673</v>
      </c>
      <c r="D739" s="257" t="s">
        <v>549</v>
      </c>
      <c r="E739" s="459" t="s">
        <v>3377</v>
      </c>
      <c r="F739" s="171">
        <v>2001</v>
      </c>
      <c r="G739" s="171">
        <v>191</v>
      </c>
      <c r="H739" s="57"/>
      <c r="I739" s="173" t="s">
        <v>2564</v>
      </c>
      <c r="J739" s="277">
        <v>0.6</v>
      </c>
      <c r="K739" s="213">
        <v>5.9333333333333336</v>
      </c>
      <c r="L739" s="91"/>
      <c r="M739" s="278">
        <v>300</v>
      </c>
      <c r="N739" s="279"/>
      <c r="O739" s="172" t="s">
        <v>12</v>
      </c>
      <c r="P739" s="92"/>
      <c r="Q739" s="173" t="s">
        <v>10</v>
      </c>
      <c r="R739" s="507"/>
      <c r="S739" s="94"/>
      <c r="T739" s="171" t="s">
        <v>2306</v>
      </c>
      <c r="U739" s="171" t="s">
        <v>2530</v>
      </c>
      <c r="V739" s="102">
        <v>0</v>
      </c>
      <c r="W739" s="120">
        <v>0</v>
      </c>
      <c r="X739" s="120">
        <v>0</v>
      </c>
      <c r="Y739" s="120">
        <v>0</v>
      </c>
      <c r="Z739" s="120">
        <v>0</v>
      </c>
      <c r="AA739" s="17">
        <v>0</v>
      </c>
      <c r="AB739" s="17">
        <v>0</v>
      </c>
      <c r="AC739" s="17">
        <v>0</v>
      </c>
      <c r="AD739" s="17">
        <v>0</v>
      </c>
      <c r="AE739" s="17">
        <v>0</v>
      </c>
      <c r="AF739" s="17">
        <v>0</v>
      </c>
      <c r="AG739" s="17">
        <v>0</v>
      </c>
      <c r="AH739" s="17">
        <v>0</v>
      </c>
      <c r="AI739" s="17">
        <v>0</v>
      </c>
      <c r="AJ739" s="17">
        <v>0</v>
      </c>
      <c r="AK739" s="17">
        <v>0</v>
      </c>
      <c r="AL739" s="32">
        <v>0</v>
      </c>
      <c r="AM739" s="780">
        <v>30.2</v>
      </c>
      <c r="AN739" s="89"/>
      <c r="AO739" s="280"/>
      <c r="AP739" s="784"/>
      <c r="AQ739" s="773" t="s">
        <v>270</v>
      </c>
      <c r="AR739" s="188">
        <v>100</v>
      </c>
      <c r="AS739" s="171"/>
      <c r="AT739" s="171" t="str">
        <f t="shared" si="64"/>
        <v>500</v>
      </c>
      <c r="AU739" s="255">
        <f t="shared" si="65"/>
        <v>22.727272727272727</v>
      </c>
      <c r="AV739" s="57"/>
      <c r="AW739" s="171">
        <v>7</v>
      </c>
      <c r="AX739" s="89"/>
      <c r="AY739" s="171">
        <v>20</v>
      </c>
      <c r="AZ739" s="89"/>
      <c r="BA739" s="175">
        <v>60</v>
      </c>
      <c r="BB739" s="259"/>
      <c r="BC739" s="176" t="s">
        <v>558</v>
      </c>
      <c r="BD739" s="179"/>
      <c r="BE739" s="179"/>
      <c r="BF739" s="178"/>
      <c r="BG739" s="25"/>
      <c r="BH739" s="25"/>
    </row>
    <row r="740" spans="1:60" ht="15" customHeight="1">
      <c r="A740" s="95">
        <v>739</v>
      </c>
      <c r="B740" s="98" t="s">
        <v>964</v>
      </c>
      <c r="C740" s="191" t="s">
        <v>2674</v>
      </c>
      <c r="D740" s="257" t="s">
        <v>549</v>
      </c>
      <c r="E740" s="459" t="s">
        <v>3377</v>
      </c>
      <c r="F740" s="171">
        <v>2001</v>
      </c>
      <c r="G740" s="171">
        <v>192</v>
      </c>
      <c r="H740" s="57"/>
      <c r="I740" s="173" t="s">
        <v>2564</v>
      </c>
      <c r="J740" s="277">
        <v>0.5</v>
      </c>
      <c r="K740" s="213">
        <v>4.6113989637305703</v>
      </c>
      <c r="L740" s="91"/>
      <c r="M740" s="278">
        <v>386</v>
      </c>
      <c r="N740" s="279"/>
      <c r="O740" s="172" t="s">
        <v>12</v>
      </c>
      <c r="P740" s="92"/>
      <c r="Q740" s="173" t="s">
        <v>10</v>
      </c>
      <c r="R740" s="507"/>
      <c r="S740" s="94"/>
      <c r="T740" s="171" t="s">
        <v>2306</v>
      </c>
      <c r="U740" s="171" t="s">
        <v>2530</v>
      </c>
      <c r="V740" s="102">
        <v>0</v>
      </c>
      <c r="W740" s="120">
        <v>0</v>
      </c>
      <c r="X740" s="120">
        <v>0</v>
      </c>
      <c r="Y740" s="120">
        <v>0</v>
      </c>
      <c r="Z740" s="120">
        <v>0</v>
      </c>
      <c r="AA740" s="17">
        <v>43.005181347150256</v>
      </c>
      <c r="AB740" s="17">
        <v>0</v>
      </c>
      <c r="AC740" s="17">
        <v>0</v>
      </c>
      <c r="AD740" s="17">
        <v>0</v>
      </c>
      <c r="AE740" s="17">
        <v>0</v>
      </c>
      <c r="AF740" s="17">
        <v>0</v>
      </c>
      <c r="AG740" s="17">
        <v>0</v>
      </c>
      <c r="AH740" s="17">
        <v>0</v>
      </c>
      <c r="AI740" s="17">
        <v>0</v>
      </c>
      <c r="AJ740" s="17">
        <v>0</v>
      </c>
      <c r="AK740" s="17">
        <v>0</v>
      </c>
      <c r="AL740" s="58" t="s">
        <v>2541</v>
      </c>
      <c r="AM740" s="780">
        <v>50</v>
      </c>
      <c r="AN740" s="89"/>
      <c r="AO740" s="280"/>
      <c r="AP740" s="784"/>
      <c r="AQ740" s="773" t="s">
        <v>271</v>
      </c>
      <c r="AR740" s="188">
        <v>100</v>
      </c>
      <c r="AS740" s="171"/>
      <c r="AT740" s="171" t="str">
        <f t="shared" si="64"/>
        <v>400</v>
      </c>
      <c r="AU740" s="255">
        <f t="shared" si="65"/>
        <v>22.222222222222221</v>
      </c>
      <c r="AV740" s="172">
        <v>100</v>
      </c>
      <c r="AW740" s="171">
        <v>7</v>
      </c>
      <c r="AX740" s="89"/>
      <c r="AY740" s="171">
        <v>20</v>
      </c>
      <c r="AZ740" s="89"/>
      <c r="BA740" s="175">
        <v>60</v>
      </c>
      <c r="BB740" s="189" t="s">
        <v>2547</v>
      </c>
      <c r="BC740" s="176" t="s">
        <v>558</v>
      </c>
      <c r="BD740" s="179"/>
      <c r="BE740" s="179"/>
      <c r="BF740" s="178" t="s">
        <v>2991</v>
      </c>
      <c r="BG740" s="25"/>
      <c r="BH740" s="25"/>
    </row>
    <row r="741" spans="1:60" ht="15" customHeight="1">
      <c r="A741" s="95">
        <v>740</v>
      </c>
      <c r="B741" s="98" t="s">
        <v>963</v>
      </c>
      <c r="C741" s="191" t="s">
        <v>2674</v>
      </c>
      <c r="D741" s="257" t="s">
        <v>549</v>
      </c>
      <c r="E741" s="459" t="s">
        <v>3377</v>
      </c>
      <c r="F741" s="171">
        <v>2001</v>
      </c>
      <c r="G741" s="171">
        <v>192</v>
      </c>
      <c r="H741" s="57"/>
      <c r="I741" s="173" t="s">
        <v>2564</v>
      </c>
      <c r="J741" s="277">
        <v>0.5</v>
      </c>
      <c r="K741" s="213">
        <v>4.6113989637305703</v>
      </c>
      <c r="L741" s="91"/>
      <c r="M741" s="278">
        <v>386</v>
      </c>
      <c r="N741" s="279"/>
      <c r="O741" s="172" t="s">
        <v>12</v>
      </c>
      <c r="P741" s="92"/>
      <c r="Q741" s="173" t="s">
        <v>10</v>
      </c>
      <c r="R741" s="507"/>
      <c r="S741" s="94"/>
      <c r="T741" s="171" t="s">
        <v>2306</v>
      </c>
      <c r="U741" s="171" t="s">
        <v>2530</v>
      </c>
      <c r="V741" s="102">
        <v>0</v>
      </c>
      <c r="W741" s="120">
        <v>0</v>
      </c>
      <c r="X741" s="120">
        <v>0</v>
      </c>
      <c r="Y741" s="120">
        <v>0</v>
      </c>
      <c r="Z741" s="120">
        <v>0</v>
      </c>
      <c r="AA741" s="17">
        <v>43.523316062176164</v>
      </c>
      <c r="AB741" s="17">
        <v>0</v>
      </c>
      <c r="AC741" s="17">
        <v>0</v>
      </c>
      <c r="AD741" s="17">
        <v>0</v>
      </c>
      <c r="AE741" s="17">
        <v>0</v>
      </c>
      <c r="AF741" s="17">
        <v>0</v>
      </c>
      <c r="AG741" s="17">
        <v>0</v>
      </c>
      <c r="AH741" s="17">
        <v>0</v>
      </c>
      <c r="AI741" s="17">
        <v>0</v>
      </c>
      <c r="AJ741" s="17">
        <v>0</v>
      </c>
      <c r="AK741" s="17">
        <v>0</v>
      </c>
      <c r="AL741" s="58" t="s">
        <v>2541</v>
      </c>
      <c r="AM741" s="780">
        <v>50</v>
      </c>
      <c r="AN741" s="89"/>
      <c r="AO741" s="280"/>
      <c r="AP741" s="784"/>
      <c r="AQ741" s="773" t="s">
        <v>271</v>
      </c>
      <c r="AR741" s="188">
        <v>100</v>
      </c>
      <c r="AS741" s="171"/>
      <c r="AT741" s="171" t="str">
        <f t="shared" si="64"/>
        <v>400</v>
      </c>
      <c r="AU741" s="255">
        <f t="shared" si="65"/>
        <v>22.222222222222221</v>
      </c>
      <c r="AV741" s="172">
        <v>100</v>
      </c>
      <c r="AW741" s="171">
        <v>7</v>
      </c>
      <c r="AX741" s="89"/>
      <c r="AY741" s="171">
        <v>20</v>
      </c>
      <c r="AZ741" s="89"/>
      <c r="BA741" s="175">
        <v>60</v>
      </c>
      <c r="BB741" s="189" t="s">
        <v>2547</v>
      </c>
      <c r="BC741" s="176"/>
      <c r="BD741" s="179"/>
      <c r="BE741" s="179"/>
      <c r="BF741" s="178" t="s">
        <v>2991</v>
      </c>
      <c r="BG741" s="25"/>
      <c r="BH741" s="25"/>
    </row>
    <row r="742" spans="1:60" ht="15" customHeight="1">
      <c r="A742" s="95">
        <v>741</v>
      </c>
      <c r="B742" s="98" t="s">
        <v>962</v>
      </c>
      <c r="C742" s="191" t="s">
        <v>2674</v>
      </c>
      <c r="D742" s="257" t="s">
        <v>549</v>
      </c>
      <c r="E742" s="459" t="s">
        <v>3377</v>
      </c>
      <c r="F742" s="171">
        <v>2001</v>
      </c>
      <c r="G742" s="171">
        <v>192</v>
      </c>
      <c r="H742" s="57"/>
      <c r="I742" s="173" t="s">
        <v>2564</v>
      </c>
      <c r="J742" s="277">
        <v>0.5</v>
      </c>
      <c r="K742" s="213">
        <v>4.6113989637305703</v>
      </c>
      <c r="L742" s="91"/>
      <c r="M742" s="278">
        <v>386</v>
      </c>
      <c r="N742" s="279"/>
      <c r="O742" s="172" t="s">
        <v>12</v>
      </c>
      <c r="P742" s="92"/>
      <c r="Q742" s="173" t="s">
        <v>10</v>
      </c>
      <c r="R742" s="507"/>
      <c r="S742" s="94"/>
      <c r="T742" s="171" t="s">
        <v>2306</v>
      </c>
      <c r="U742" s="171" t="s">
        <v>2530</v>
      </c>
      <c r="V742" s="102">
        <v>0</v>
      </c>
      <c r="W742" s="120">
        <v>0</v>
      </c>
      <c r="X742" s="120">
        <v>0</v>
      </c>
      <c r="Y742" s="120">
        <v>0</v>
      </c>
      <c r="Z742" s="120">
        <v>0</v>
      </c>
      <c r="AA742" s="17">
        <v>0</v>
      </c>
      <c r="AB742" s="17">
        <v>0</v>
      </c>
      <c r="AC742" s="17">
        <v>0</v>
      </c>
      <c r="AD742" s="17">
        <v>0</v>
      </c>
      <c r="AE742" s="17">
        <v>0</v>
      </c>
      <c r="AF742" s="17">
        <v>0</v>
      </c>
      <c r="AG742" s="17">
        <v>0</v>
      </c>
      <c r="AH742" s="17">
        <v>0</v>
      </c>
      <c r="AI742" s="17">
        <v>0</v>
      </c>
      <c r="AJ742" s="17">
        <v>0</v>
      </c>
      <c r="AK742" s="17">
        <v>0</v>
      </c>
      <c r="AL742" s="58" t="s">
        <v>3466</v>
      </c>
      <c r="AM742" s="780">
        <v>41.7</v>
      </c>
      <c r="AN742" s="89"/>
      <c r="AO742" s="280"/>
      <c r="AP742" s="784"/>
      <c r="AQ742" s="773" t="s">
        <v>271</v>
      </c>
      <c r="AR742" s="188">
        <v>100</v>
      </c>
      <c r="AS742" s="171"/>
      <c r="AT742" s="171" t="str">
        <f t="shared" si="64"/>
        <v>400</v>
      </c>
      <c r="AU742" s="255">
        <f t="shared" si="65"/>
        <v>22.222222222222221</v>
      </c>
      <c r="AV742" s="172">
        <v>100</v>
      </c>
      <c r="AW742" s="171">
        <v>7</v>
      </c>
      <c r="AX742" s="89"/>
      <c r="AY742" s="171">
        <v>20</v>
      </c>
      <c r="AZ742" s="89"/>
      <c r="BA742" s="175">
        <v>60</v>
      </c>
      <c r="BB742" s="189" t="s">
        <v>2547</v>
      </c>
      <c r="BC742" s="176"/>
      <c r="BD742" s="179"/>
      <c r="BE742" s="179"/>
      <c r="BF742" s="178" t="s">
        <v>2992</v>
      </c>
      <c r="BG742" s="25"/>
      <c r="BH742" s="25"/>
    </row>
    <row r="743" spans="1:60" ht="15" customHeight="1">
      <c r="A743" s="95">
        <v>742</v>
      </c>
      <c r="B743" s="98" t="s">
        <v>961</v>
      </c>
      <c r="C743" s="191" t="s">
        <v>2674</v>
      </c>
      <c r="D743" s="257" t="s">
        <v>549</v>
      </c>
      <c r="E743" s="459" t="s">
        <v>3377</v>
      </c>
      <c r="F743" s="171">
        <v>2001</v>
      </c>
      <c r="G743" s="171">
        <v>192</v>
      </c>
      <c r="H743" s="57"/>
      <c r="I743" s="173" t="s">
        <v>2564</v>
      </c>
      <c r="J743" s="277">
        <v>0.5</v>
      </c>
      <c r="K743" s="213">
        <v>4.6113989637305703</v>
      </c>
      <c r="L743" s="91"/>
      <c r="M743" s="278">
        <v>386</v>
      </c>
      <c r="N743" s="279"/>
      <c r="O743" s="172" t="s">
        <v>12</v>
      </c>
      <c r="P743" s="92"/>
      <c r="Q743" s="173" t="s">
        <v>10</v>
      </c>
      <c r="R743" s="507"/>
      <c r="S743" s="94"/>
      <c r="T743" s="171" t="s">
        <v>2306</v>
      </c>
      <c r="U743" s="171" t="s">
        <v>2530</v>
      </c>
      <c r="V743" s="102">
        <v>0</v>
      </c>
      <c r="W743" s="120">
        <v>0</v>
      </c>
      <c r="X743" s="120">
        <v>46.63</v>
      </c>
      <c r="Y743" s="120">
        <v>0</v>
      </c>
      <c r="Z743" s="120">
        <v>0</v>
      </c>
      <c r="AA743" s="17">
        <v>0</v>
      </c>
      <c r="AB743" s="17">
        <v>0</v>
      </c>
      <c r="AC743" s="17">
        <v>0</v>
      </c>
      <c r="AD743" s="17">
        <v>0</v>
      </c>
      <c r="AE743" s="17">
        <v>0</v>
      </c>
      <c r="AF743" s="17">
        <v>0</v>
      </c>
      <c r="AG743" s="17">
        <v>0</v>
      </c>
      <c r="AH743" s="17">
        <v>0</v>
      </c>
      <c r="AI743" s="17">
        <v>0</v>
      </c>
      <c r="AJ743" s="17">
        <v>0</v>
      </c>
      <c r="AK743" s="17">
        <v>0</v>
      </c>
      <c r="AL743" s="58" t="s">
        <v>2541</v>
      </c>
      <c r="AM743" s="780">
        <v>56.7</v>
      </c>
      <c r="AN743" s="89"/>
      <c r="AO743" s="280"/>
      <c r="AP743" s="784"/>
      <c r="AQ743" s="773" t="s">
        <v>271</v>
      </c>
      <c r="AR743" s="188">
        <v>100</v>
      </c>
      <c r="AS743" s="171"/>
      <c r="AT743" s="171" t="str">
        <f t="shared" si="64"/>
        <v>400</v>
      </c>
      <c r="AU743" s="255">
        <f t="shared" si="65"/>
        <v>22.222222222222221</v>
      </c>
      <c r="AV743" s="172">
        <v>100</v>
      </c>
      <c r="AW743" s="171">
        <v>7</v>
      </c>
      <c r="AX743" s="89"/>
      <c r="AY743" s="171">
        <v>20</v>
      </c>
      <c r="AZ743" s="89"/>
      <c r="BA743" s="175">
        <v>60</v>
      </c>
      <c r="BB743" s="189" t="s">
        <v>2547</v>
      </c>
      <c r="BC743" s="176"/>
      <c r="BD743" s="179"/>
      <c r="BE743" s="179"/>
      <c r="BF743" s="178" t="s">
        <v>2993</v>
      </c>
      <c r="BG743" s="25"/>
      <c r="BH743" s="25"/>
    </row>
    <row r="744" spans="1:60" ht="15" customHeight="1">
      <c r="A744" s="95">
        <v>743</v>
      </c>
      <c r="B744" s="98" t="s">
        <v>960</v>
      </c>
      <c r="C744" s="191" t="s">
        <v>2674</v>
      </c>
      <c r="D744" s="257" t="s">
        <v>549</v>
      </c>
      <c r="E744" s="459" t="s">
        <v>3377</v>
      </c>
      <c r="F744" s="171">
        <v>2001</v>
      </c>
      <c r="G744" s="171">
        <v>192</v>
      </c>
      <c r="H744" s="57"/>
      <c r="I744" s="173" t="s">
        <v>2564</v>
      </c>
      <c r="J744" s="277">
        <v>0.5</v>
      </c>
      <c r="K744" s="213">
        <v>4.6113989637305703</v>
      </c>
      <c r="L744" s="91"/>
      <c r="M744" s="278">
        <v>386</v>
      </c>
      <c r="N744" s="279"/>
      <c r="O744" s="172" t="s">
        <v>12</v>
      </c>
      <c r="P744" s="92"/>
      <c r="Q744" s="173" t="s">
        <v>10</v>
      </c>
      <c r="R744" s="507"/>
      <c r="S744" s="94"/>
      <c r="T744" s="171" t="s">
        <v>2306</v>
      </c>
      <c r="U744" s="171" t="s">
        <v>2530</v>
      </c>
      <c r="V744" s="102">
        <v>0</v>
      </c>
      <c r="W744" s="120">
        <v>0</v>
      </c>
      <c r="X744" s="120">
        <v>46.89</v>
      </c>
      <c r="Y744" s="120">
        <v>0</v>
      </c>
      <c r="Z744" s="120">
        <v>0</v>
      </c>
      <c r="AA744" s="17">
        <v>0</v>
      </c>
      <c r="AB744" s="17">
        <v>0</v>
      </c>
      <c r="AC744" s="17">
        <v>0</v>
      </c>
      <c r="AD744" s="17">
        <v>0</v>
      </c>
      <c r="AE744" s="17">
        <v>0</v>
      </c>
      <c r="AF744" s="17">
        <v>0</v>
      </c>
      <c r="AG744" s="17">
        <v>0</v>
      </c>
      <c r="AH744" s="17">
        <v>0</v>
      </c>
      <c r="AI744" s="17">
        <v>0</v>
      </c>
      <c r="AJ744" s="17">
        <v>0</v>
      </c>
      <c r="AK744" s="17">
        <v>0</v>
      </c>
      <c r="AL744" s="58" t="s">
        <v>2541</v>
      </c>
      <c r="AM744" s="780">
        <v>55</v>
      </c>
      <c r="AN744" s="89"/>
      <c r="AO744" s="280"/>
      <c r="AP744" s="784"/>
      <c r="AQ744" s="773" t="s">
        <v>271</v>
      </c>
      <c r="AR744" s="188">
        <v>100</v>
      </c>
      <c r="AS744" s="171"/>
      <c r="AT744" s="171" t="str">
        <f t="shared" si="64"/>
        <v>400</v>
      </c>
      <c r="AU744" s="255">
        <f t="shared" si="65"/>
        <v>22.222222222222221</v>
      </c>
      <c r="AV744" s="172">
        <v>100</v>
      </c>
      <c r="AW744" s="171">
        <v>7</v>
      </c>
      <c r="AX744" s="89"/>
      <c r="AY744" s="171">
        <v>20</v>
      </c>
      <c r="AZ744" s="89"/>
      <c r="BA744" s="175">
        <v>60</v>
      </c>
      <c r="BB744" s="189" t="s">
        <v>2547</v>
      </c>
      <c r="BC744" s="176" t="s">
        <v>558</v>
      </c>
      <c r="BD744" s="179"/>
      <c r="BE744" s="179"/>
      <c r="BF744" s="178" t="s">
        <v>2993</v>
      </c>
      <c r="BG744" s="25"/>
      <c r="BH744" s="25"/>
    </row>
    <row r="745" spans="1:60" ht="15" customHeight="1">
      <c r="A745" s="95">
        <v>744</v>
      </c>
      <c r="B745" s="98" t="s">
        <v>959</v>
      </c>
      <c r="C745" s="191" t="s">
        <v>2674</v>
      </c>
      <c r="D745" s="257" t="s">
        <v>549</v>
      </c>
      <c r="E745" s="459" t="s">
        <v>3377</v>
      </c>
      <c r="F745" s="171">
        <v>2001</v>
      </c>
      <c r="G745" s="171">
        <v>192</v>
      </c>
      <c r="H745" s="57"/>
      <c r="I745" s="173" t="s">
        <v>2564</v>
      </c>
      <c r="J745" s="277">
        <v>0.5</v>
      </c>
      <c r="K745" s="213">
        <v>4.6113989637305703</v>
      </c>
      <c r="L745" s="91"/>
      <c r="M745" s="278">
        <v>386</v>
      </c>
      <c r="N745" s="279"/>
      <c r="O745" s="172" t="s">
        <v>12</v>
      </c>
      <c r="P745" s="92"/>
      <c r="Q745" s="173" t="s">
        <v>10</v>
      </c>
      <c r="R745" s="507"/>
      <c r="S745" s="94"/>
      <c r="T745" s="171" t="s">
        <v>2306</v>
      </c>
      <c r="U745" s="171" t="s">
        <v>2530</v>
      </c>
      <c r="V745" s="102">
        <v>0</v>
      </c>
      <c r="W745" s="120">
        <v>0</v>
      </c>
      <c r="X745" s="120">
        <v>0</v>
      </c>
      <c r="Y745" s="120">
        <v>0</v>
      </c>
      <c r="Z745" s="120">
        <v>0</v>
      </c>
      <c r="AA745" s="17">
        <v>0</v>
      </c>
      <c r="AB745" s="17">
        <v>0</v>
      </c>
      <c r="AC745" s="17">
        <v>0</v>
      </c>
      <c r="AD745" s="17">
        <v>0</v>
      </c>
      <c r="AE745" s="17">
        <v>0</v>
      </c>
      <c r="AF745" s="17">
        <v>0</v>
      </c>
      <c r="AG745" s="17">
        <v>0</v>
      </c>
      <c r="AH745" s="17">
        <v>0</v>
      </c>
      <c r="AI745" s="17">
        <v>0</v>
      </c>
      <c r="AJ745" s="17">
        <v>0</v>
      </c>
      <c r="AK745" s="17">
        <v>0</v>
      </c>
      <c r="AL745" s="32">
        <v>0</v>
      </c>
      <c r="AM745" s="780">
        <v>36.700000000000003</v>
      </c>
      <c r="AN745" s="89"/>
      <c r="AO745" s="280"/>
      <c r="AP745" s="784"/>
      <c r="AQ745" s="773" t="s">
        <v>271</v>
      </c>
      <c r="AR745" s="188">
        <v>100</v>
      </c>
      <c r="AS745" s="171"/>
      <c r="AT745" s="171" t="str">
        <f t="shared" si="64"/>
        <v>400</v>
      </c>
      <c r="AU745" s="255">
        <f t="shared" si="65"/>
        <v>22.222222222222221</v>
      </c>
      <c r="AV745" s="172">
        <v>100</v>
      </c>
      <c r="AW745" s="171">
        <v>7</v>
      </c>
      <c r="AX745" s="89"/>
      <c r="AY745" s="171">
        <v>20</v>
      </c>
      <c r="AZ745" s="89"/>
      <c r="BA745" s="175">
        <v>60</v>
      </c>
      <c r="BB745" s="189" t="s">
        <v>2547</v>
      </c>
      <c r="BC745" s="176"/>
      <c r="BD745" s="176"/>
      <c r="BE745" s="176"/>
      <c r="BF745" s="190"/>
      <c r="BG745" s="25"/>
      <c r="BH745" s="25"/>
    </row>
    <row r="746" spans="1:60" ht="15" customHeight="1">
      <c r="A746" s="95">
        <v>745</v>
      </c>
      <c r="B746" s="98" t="s">
        <v>958</v>
      </c>
      <c r="C746" s="191" t="s">
        <v>2675</v>
      </c>
      <c r="D746" s="257" t="s">
        <v>549</v>
      </c>
      <c r="E746" s="459" t="s">
        <v>3377</v>
      </c>
      <c r="F746" s="171">
        <v>2001</v>
      </c>
      <c r="G746" s="171">
        <v>193</v>
      </c>
      <c r="H746" s="57"/>
      <c r="I746" s="173" t="s">
        <v>2564</v>
      </c>
      <c r="J746" s="277">
        <v>0.43</v>
      </c>
      <c r="K746" s="213">
        <v>4.7877984084880634</v>
      </c>
      <c r="L746" s="91"/>
      <c r="M746" s="278">
        <v>377</v>
      </c>
      <c r="N746" s="279"/>
      <c r="O746" s="172" t="s">
        <v>12</v>
      </c>
      <c r="P746" s="92"/>
      <c r="Q746" s="173" t="s">
        <v>10</v>
      </c>
      <c r="R746" s="507"/>
      <c r="S746" s="94"/>
      <c r="T746" s="171" t="s">
        <v>2306</v>
      </c>
      <c r="U746" s="171" t="s">
        <v>2530</v>
      </c>
      <c r="V746" s="102">
        <v>0</v>
      </c>
      <c r="W746" s="120">
        <v>0</v>
      </c>
      <c r="X746" s="120">
        <v>0</v>
      </c>
      <c r="Y746" s="120">
        <v>0</v>
      </c>
      <c r="Z746" s="120">
        <v>0</v>
      </c>
      <c r="AA746" s="17">
        <v>0</v>
      </c>
      <c r="AB746" s="17">
        <v>0</v>
      </c>
      <c r="AC746" s="17">
        <v>0</v>
      </c>
      <c r="AD746" s="17">
        <v>0</v>
      </c>
      <c r="AE746" s="17">
        <v>0</v>
      </c>
      <c r="AF746" s="17">
        <v>0</v>
      </c>
      <c r="AG746" s="17">
        <v>0</v>
      </c>
      <c r="AH746" s="17">
        <v>0</v>
      </c>
      <c r="AI746" s="17">
        <v>0</v>
      </c>
      <c r="AJ746" s="17">
        <v>0</v>
      </c>
      <c r="AK746" s="17">
        <v>0</v>
      </c>
      <c r="AL746" s="32">
        <v>0</v>
      </c>
      <c r="AM746" s="780">
        <v>60</v>
      </c>
      <c r="AN746" s="89"/>
      <c r="AO746" s="280"/>
      <c r="AP746" s="784"/>
      <c r="AQ746" s="773" t="s">
        <v>271</v>
      </c>
      <c r="AR746" s="188">
        <v>100</v>
      </c>
      <c r="AS746" s="171"/>
      <c r="AT746" s="171" t="str">
        <f t="shared" si="64"/>
        <v>400</v>
      </c>
      <c r="AU746" s="255">
        <f t="shared" si="65"/>
        <v>22.222222222222221</v>
      </c>
      <c r="AV746" s="57"/>
      <c r="AW746" s="171">
        <v>7</v>
      </c>
      <c r="AX746" s="89"/>
      <c r="AY746" s="171">
        <v>20</v>
      </c>
      <c r="AZ746" s="89"/>
      <c r="BA746" s="175">
        <v>60</v>
      </c>
      <c r="BB746" s="189" t="s">
        <v>2547</v>
      </c>
      <c r="BC746" s="176"/>
      <c r="BD746" s="179"/>
      <c r="BE746" s="179"/>
      <c r="BF746" s="178"/>
      <c r="BG746" s="25"/>
      <c r="BH746" s="25"/>
    </row>
    <row r="747" spans="1:60" ht="15" customHeight="1">
      <c r="A747" s="95">
        <v>746</v>
      </c>
      <c r="B747" s="98" t="s">
        <v>957</v>
      </c>
      <c r="C747" s="191" t="s">
        <v>2675</v>
      </c>
      <c r="D747" s="257" t="s">
        <v>549</v>
      </c>
      <c r="E747" s="459" t="s">
        <v>3377</v>
      </c>
      <c r="F747" s="171">
        <v>2001</v>
      </c>
      <c r="G747" s="171">
        <v>193</v>
      </c>
      <c r="H747" s="57"/>
      <c r="I747" s="173" t="s">
        <v>2564</v>
      </c>
      <c r="J747" s="277">
        <v>0.43</v>
      </c>
      <c r="K747" s="213">
        <v>4.7877984084880634</v>
      </c>
      <c r="L747" s="91"/>
      <c r="M747" s="278">
        <v>377</v>
      </c>
      <c r="N747" s="279"/>
      <c r="O747" s="172" t="s">
        <v>12</v>
      </c>
      <c r="P747" s="92"/>
      <c r="Q747" s="173" t="s">
        <v>10</v>
      </c>
      <c r="R747" s="507"/>
      <c r="S747" s="94"/>
      <c r="T747" s="171" t="s">
        <v>2306</v>
      </c>
      <c r="U747" s="171" t="s">
        <v>2530</v>
      </c>
      <c r="V747" s="102">
        <v>0</v>
      </c>
      <c r="W747" s="120">
        <v>0</v>
      </c>
      <c r="X747" s="120">
        <v>0</v>
      </c>
      <c r="Y747" s="120">
        <v>0</v>
      </c>
      <c r="Z747" s="120">
        <v>0</v>
      </c>
      <c r="AA747" s="17">
        <v>0</v>
      </c>
      <c r="AB747" s="17">
        <v>0</v>
      </c>
      <c r="AC747" s="17">
        <v>0</v>
      </c>
      <c r="AD747" s="17">
        <v>0</v>
      </c>
      <c r="AE747" s="17">
        <v>0</v>
      </c>
      <c r="AF747" s="17">
        <v>0</v>
      </c>
      <c r="AG747" s="17">
        <v>0</v>
      </c>
      <c r="AH747" s="17">
        <v>0</v>
      </c>
      <c r="AI747" s="17">
        <v>0</v>
      </c>
      <c r="AJ747" s="17">
        <v>0</v>
      </c>
      <c r="AK747" s="17">
        <v>0</v>
      </c>
      <c r="AL747" s="32">
        <v>0</v>
      </c>
      <c r="AM747" s="780">
        <v>39</v>
      </c>
      <c r="AN747" s="89"/>
      <c r="AO747" s="280"/>
      <c r="AP747" s="784"/>
      <c r="AQ747" s="773" t="s">
        <v>271</v>
      </c>
      <c r="AR747" s="188">
        <v>100</v>
      </c>
      <c r="AS747" s="171"/>
      <c r="AT747" s="171" t="str">
        <f t="shared" si="64"/>
        <v>400</v>
      </c>
      <c r="AU747" s="255">
        <f t="shared" si="65"/>
        <v>22.222222222222221</v>
      </c>
      <c r="AV747" s="57">
        <v>101</v>
      </c>
      <c r="AW747" s="171">
        <v>7</v>
      </c>
      <c r="AX747" s="89"/>
      <c r="AY747" s="171">
        <v>20</v>
      </c>
      <c r="AZ747" s="89"/>
      <c r="BA747" s="175">
        <v>60</v>
      </c>
      <c r="BB747" s="189" t="s">
        <v>2555</v>
      </c>
      <c r="BC747" s="176"/>
      <c r="BD747" s="179"/>
      <c r="BE747" s="179"/>
      <c r="BF747" s="178"/>
      <c r="BG747" s="25"/>
      <c r="BH747" s="25"/>
    </row>
    <row r="748" spans="1:60" ht="15" customHeight="1">
      <c r="A748" s="95">
        <v>747</v>
      </c>
      <c r="B748" s="98" t="s">
        <v>956</v>
      </c>
      <c r="C748" s="191" t="s">
        <v>2675</v>
      </c>
      <c r="D748" s="257" t="s">
        <v>549</v>
      </c>
      <c r="E748" s="459" t="s">
        <v>3377</v>
      </c>
      <c r="F748" s="171">
        <v>2001</v>
      </c>
      <c r="G748" s="171">
        <v>193</v>
      </c>
      <c r="H748" s="57"/>
      <c r="I748" s="173" t="s">
        <v>2564</v>
      </c>
      <c r="J748" s="277">
        <v>0.43</v>
      </c>
      <c r="K748" s="213">
        <v>4.7877984084880634</v>
      </c>
      <c r="L748" s="91"/>
      <c r="M748" s="278">
        <v>377</v>
      </c>
      <c r="N748" s="279"/>
      <c r="O748" s="172" t="s">
        <v>12</v>
      </c>
      <c r="P748" s="92"/>
      <c r="Q748" s="173" t="s">
        <v>10</v>
      </c>
      <c r="R748" s="507"/>
      <c r="S748" s="94"/>
      <c r="T748" s="171" t="s">
        <v>2557</v>
      </c>
      <c r="U748" s="171"/>
      <c r="V748" s="102">
        <v>0</v>
      </c>
      <c r="W748" s="120">
        <v>0</v>
      </c>
      <c r="X748" s="120">
        <v>0</v>
      </c>
      <c r="Y748" s="120">
        <v>0</v>
      </c>
      <c r="Z748" s="120">
        <v>0</v>
      </c>
      <c r="AA748" s="17">
        <v>0</v>
      </c>
      <c r="AB748" s="17">
        <v>0</v>
      </c>
      <c r="AC748" s="17">
        <v>0</v>
      </c>
      <c r="AD748" s="17">
        <v>0</v>
      </c>
      <c r="AE748" s="17">
        <v>0</v>
      </c>
      <c r="AF748" s="17">
        <v>0</v>
      </c>
      <c r="AG748" s="17">
        <v>0</v>
      </c>
      <c r="AH748" s="17">
        <v>0</v>
      </c>
      <c r="AI748" s="17">
        <v>0</v>
      </c>
      <c r="AJ748" s="17">
        <v>0</v>
      </c>
      <c r="AK748" s="17">
        <v>0</v>
      </c>
      <c r="AL748" s="32">
        <v>0</v>
      </c>
      <c r="AM748" s="780">
        <v>39</v>
      </c>
      <c r="AN748" s="89"/>
      <c r="AO748" s="280"/>
      <c r="AP748" s="784"/>
      <c r="AQ748" s="773" t="s">
        <v>271</v>
      </c>
      <c r="AR748" s="188">
        <v>100</v>
      </c>
      <c r="AS748" s="171"/>
      <c r="AT748" s="171" t="str">
        <f t="shared" si="64"/>
        <v>400</v>
      </c>
      <c r="AU748" s="255">
        <f t="shared" si="65"/>
        <v>22.222222222222221</v>
      </c>
      <c r="AV748" s="57"/>
      <c r="AW748" s="171">
        <v>7</v>
      </c>
      <c r="AX748" s="89"/>
      <c r="AY748" s="171">
        <v>20</v>
      </c>
      <c r="AZ748" s="89"/>
      <c r="BA748" s="175">
        <v>60</v>
      </c>
      <c r="BB748" s="189" t="s">
        <v>2556</v>
      </c>
      <c r="BC748" s="176"/>
      <c r="BD748" s="179"/>
      <c r="BE748" s="179"/>
      <c r="BF748" s="178"/>
      <c r="BG748" s="25"/>
      <c r="BH748" s="25"/>
    </row>
    <row r="749" spans="1:60" ht="15" customHeight="1">
      <c r="A749" s="95">
        <v>748</v>
      </c>
      <c r="B749" s="98" t="s">
        <v>955</v>
      </c>
      <c r="C749" s="191" t="s">
        <v>2675</v>
      </c>
      <c r="D749" s="257" t="s">
        <v>549</v>
      </c>
      <c r="E749" s="459" t="s">
        <v>3377</v>
      </c>
      <c r="F749" s="171">
        <v>2001</v>
      </c>
      <c r="G749" s="171">
        <v>193</v>
      </c>
      <c r="H749" s="57"/>
      <c r="I749" s="173" t="s">
        <v>2564</v>
      </c>
      <c r="J749" s="277">
        <v>0.43</v>
      </c>
      <c r="K749" s="213">
        <v>4.4694960212201593</v>
      </c>
      <c r="L749" s="91"/>
      <c r="M749" s="278">
        <v>377</v>
      </c>
      <c r="N749" s="279"/>
      <c r="O749" s="172" t="s">
        <v>12</v>
      </c>
      <c r="P749" s="92"/>
      <c r="Q749" s="173" t="s">
        <v>10</v>
      </c>
      <c r="R749" s="507"/>
      <c r="S749" s="94"/>
      <c r="T749" s="171" t="s">
        <v>2557</v>
      </c>
      <c r="U749" s="171"/>
      <c r="V749" s="102">
        <v>0</v>
      </c>
      <c r="W749" s="120">
        <v>0</v>
      </c>
      <c r="X749" s="120">
        <v>0</v>
      </c>
      <c r="Y749" s="120">
        <v>0</v>
      </c>
      <c r="Z749" s="120">
        <v>0</v>
      </c>
      <c r="AA749" s="17">
        <v>0</v>
      </c>
      <c r="AB749" s="17">
        <v>0</v>
      </c>
      <c r="AC749" s="17">
        <v>0</v>
      </c>
      <c r="AD749" s="17">
        <v>0</v>
      </c>
      <c r="AE749" s="17">
        <v>0</v>
      </c>
      <c r="AF749" s="17">
        <v>0</v>
      </c>
      <c r="AG749" s="17">
        <v>0</v>
      </c>
      <c r="AH749" s="17">
        <v>0</v>
      </c>
      <c r="AI749" s="17">
        <v>0</v>
      </c>
      <c r="AJ749" s="17">
        <v>0</v>
      </c>
      <c r="AK749" s="17">
        <v>0</v>
      </c>
      <c r="AL749" s="32">
        <v>0</v>
      </c>
      <c r="AM749" s="780">
        <v>57</v>
      </c>
      <c r="AN749" s="89"/>
      <c r="AO749" s="280"/>
      <c r="AP749" s="784"/>
      <c r="AQ749" s="773" t="s">
        <v>271</v>
      </c>
      <c r="AR749" s="188">
        <v>100</v>
      </c>
      <c r="AS749" s="171"/>
      <c r="AT749" s="171" t="str">
        <f t="shared" si="64"/>
        <v>400</v>
      </c>
      <c r="AU749" s="255">
        <f t="shared" si="65"/>
        <v>22.222222222222221</v>
      </c>
      <c r="AV749" s="57"/>
      <c r="AW749" s="171">
        <v>7</v>
      </c>
      <c r="AX749" s="89"/>
      <c r="AY749" s="171">
        <v>20</v>
      </c>
      <c r="AZ749" s="89"/>
      <c r="BA749" s="175">
        <v>60</v>
      </c>
      <c r="BB749" s="189" t="s">
        <v>2554</v>
      </c>
      <c r="BC749" s="176"/>
      <c r="BD749" s="179"/>
      <c r="BE749" s="179"/>
      <c r="BF749" s="178"/>
      <c r="BG749" s="25"/>
      <c r="BH749" s="25"/>
    </row>
    <row r="750" spans="1:60" ht="15" customHeight="1">
      <c r="A750" s="95">
        <v>749</v>
      </c>
      <c r="B750" s="98" t="s">
        <v>954</v>
      </c>
      <c r="C750" s="191" t="s">
        <v>2675</v>
      </c>
      <c r="D750" s="257" t="s">
        <v>549</v>
      </c>
      <c r="E750" s="459" t="s">
        <v>3377</v>
      </c>
      <c r="F750" s="171">
        <v>2001</v>
      </c>
      <c r="G750" s="171">
        <v>193</v>
      </c>
      <c r="H750" s="57"/>
      <c r="I750" s="173" t="s">
        <v>2564</v>
      </c>
      <c r="J750" s="277">
        <v>0.43</v>
      </c>
      <c r="K750" s="213">
        <v>4.4694960212201593</v>
      </c>
      <c r="L750" s="91"/>
      <c r="M750" s="278">
        <v>377</v>
      </c>
      <c r="N750" s="279"/>
      <c r="O750" s="172" t="s">
        <v>12</v>
      </c>
      <c r="P750" s="92"/>
      <c r="Q750" s="173" t="s">
        <v>10</v>
      </c>
      <c r="R750" s="507"/>
      <c r="S750" s="94"/>
      <c r="T750" s="171" t="s">
        <v>2557</v>
      </c>
      <c r="U750" s="171"/>
      <c r="V750" s="102">
        <v>0</v>
      </c>
      <c r="W750" s="120">
        <v>0</v>
      </c>
      <c r="X750" s="120">
        <v>0</v>
      </c>
      <c r="Y750" s="120">
        <v>0</v>
      </c>
      <c r="Z750" s="120">
        <v>0</v>
      </c>
      <c r="AA750" s="17">
        <v>0</v>
      </c>
      <c r="AB750" s="17">
        <v>0</v>
      </c>
      <c r="AC750" s="17">
        <v>0</v>
      </c>
      <c r="AD750" s="17">
        <v>0</v>
      </c>
      <c r="AE750" s="17">
        <v>0</v>
      </c>
      <c r="AF750" s="17">
        <v>0</v>
      </c>
      <c r="AG750" s="17">
        <v>0</v>
      </c>
      <c r="AH750" s="17">
        <v>0</v>
      </c>
      <c r="AI750" s="17">
        <v>0</v>
      </c>
      <c r="AJ750" s="17">
        <v>0</v>
      </c>
      <c r="AK750" s="17">
        <v>0</v>
      </c>
      <c r="AL750" s="32">
        <v>0</v>
      </c>
      <c r="AM750" s="780">
        <v>42</v>
      </c>
      <c r="AN750" s="89"/>
      <c r="AO750" s="280"/>
      <c r="AP750" s="784"/>
      <c r="AQ750" s="773" t="s">
        <v>271</v>
      </c>
      <c r="AR750" s="188">
        <v>100</v>
      </c>
      <c r="AS750" s="171"/>
      <c r="AT750" s="171" t="str">
        <f t="shared" si="64"/>
        <v>400</v>
      </c>
      <c r="AU750" s="255">
        <f t="shared" si="65"/>
        <v>22.222222222222221</v>
      </c>
      <c r="AV750" s="57">
        <v>101</v>
      </c>
      <c r="AW750" s="171">
        <v>7</v>
      </c>
      <c r="AX750" s="89"/>
      <c r="AY750" s="171">
        <v>20</v>
      </c>
      <c r="AZ750" s="89"/>
      <c r="BA750" s="175">
        <v>60</v>
      </c>
      <c r="BB750" s="189" t="s">
        <v>2555</v>
      </c>
      <c r="BC750" s="176"/>
      <c r="BD750" s="179"/>
      <c r="BE750" s="179"/>
      <c r="BF750" s="178"/>
      <c r="BG750" s="25"/>
      <c r="BH750" s="25"/>
    </row>
    <row r="751" spans="1:60" ht="15" customHeight="1">
      <c r="A751" s="95">
        <v>750</v>
      </c>
      <c r="B751" s="98" t="s">
        <v>953</v>
      </c>
      <c r="C751" s="191" t="s">
        <v>2675</v>
      </c>
      <c r="D751" s="257" t="s">
        <v>549</v>
      </c>
      <c r="E751" s="459" t="s">
        <v>3377</v>
      </c>
      <c r="F751" s="171">
        <v>2001</v>
      </c>
      <c r="G751" s="171">
        <v>193</v>
      </c>
      <c r="H751" s="57"/>
      <c r="I751" s="173" t="s">
        <v>2564</v>
      </c>
      <c r="J751" s="277">
        <v>0.43</v>
      </c>
      <c r="K751" s="213">
        <v>4.4694960212201593</v>
      </c>
      <c r="L751" s="91"/>
      <c r="M751" s="278">
        <v>377</v>
      </c>
      <c r="N751" s="279"/>
      <c r="O751" s="172" t="s">
        <v>12</v>
      </c>
      <c r="P751" s="92"/>
      <c r="Q751" s="173" t="s">
        <v>10</v>
      </c>
      <c r="R751" s="507"/>
      <c r="S751" s="94"/>
      <c r="T751" s="171" t="s">
        <v>2557</v>
      </c>
      <c r="U751" s="171"/>
      <c r="V751" s="102">
        <v>0</v>
      </c>
      <c r="W751" s="120">
        <v>0</v>
      </c>
      <c r="X751" s="120">
        <v>0</v>
      </c>
      <c r="Y751" s="120">
        <v>0</v>
      </c>
      <c r="Z751" s="120">
        <v>0</v>
      </c>
      <c r="AA751" s="17">
        <v>0</v>
      </c>
      <c r="AB751" s="17">
        <v>0</v>
      </c>
      <c r="AC751" s="17">
        <v>0</v>
      </c>
      <c r="AD751" s="17">
        <v>0</v>
      </c>
      <c r="AE751" s="17">
        <v>0</v>
      </c>
      <c r="AF751" s="17">
        <v>0</v>
      </c>
      <c r="AG751" s="17">
        <v>0</v>
      </c>
      <c r="AH751" s="17">
        <v>0</v>
      </c>
      <c r="AI751" s="17">
        <v>0</v>
      </c>
      <c r="AJ751" s="17">
        <v>0</v>
      </c>
      <c r="AK751" s="17">
        <v>0</v>
      </c>
      <c r="AL751" s="32">
        <v>0</v>
      </c>
      <c r="AM751" s="780">
        <v>36.5</v>
      </c>
      <c r="AN751" s="89"/>
      <c r="AO751" s="280"/>
      <c r="AP751" s="784"/>
      <c r="AQ751" s="773" t="s">
        <v>271</v>
      </c>
      <c r="AR751" s="188">
        <v>100</v>
      </c>
      <c r="AS751" s="171"/>
      <c r="AT751" s="171" t="str">
        <f t="shared" si="64"/>
        <v>400</v>
      </c>
      <c r="AU751" s="255">
        <f t="shared" si="65"/>
        <v>22.222222222222221</v>
      </c>
      <c r="AV751" s="57"/>
      <c r="AW751" s="171">
        <v>7</v>
      </c>
      <c r="AX751" s="89"/>
      <c r="AY751" s="171">
        <v>20</v>
      </c>
      <c r="AZ751" s="89"/>
      <c r="BA751" s="175">
        <v>60</v>
      </c>
      <c r="BB751" s="189" t="s">
        <v>2556</v>
      </c>
      <c r="BC751" s="176"/>
      <c r="BD751" s="179"/>
      <c r="BE751" s="179"/>
      <c r="BF751" s="178"/>
      <c r="BG751" s="25"/>
      <c r="BH751" s="25"/>
    </row>
    <row r="752" spans="1:60" ht="15" customHeight="1">
      <c r="A752" s="95">
        <v>751</v>
      </c>
      <c r="B752" s="98" t="s">
        <v>952</v>
      </c>
      <c r="C752" s="191" t="s">
        <v>2676</v>
      </c>
      <c r="D752" s="257" t="s">
        <v>549</v>
      </c>
      <c r="E752" s="459" t="s">
        <v>3377</v>
      </c>
      <c r="F752" s="171">
        <v>2000</v>
      </c>
      <c r="G752" s="171">
        <v>194</v>
      </c>
      <c r="H752" s="57"/>
      <c r="I752" s="173" t="s">
        <v>2564</v>
      </c>
      <c r="J752" s="277">
        <v>0.5</v>
      </c>
      <c r="K752" s="213">
        <v>4.822222222222222</v>
      </c>
      <c r="L752" s="91"/>
      <c r="M752" s="278">
        <v>360</v>
      </c>
      <c r="N752" s="279"/>
      <c r="O752" s="172" t="s">
        <v>12</v>
      </c>
      <c r="P752" s="92"/>
      <c r="Q752" s="173" t="s">
        <v>10</v>
      </c>
      <c r="R752" s="171" t="s">
        <v>2735</v>
      </c>
      <c r="S752" s="94"/>
      <c r="T752" s="171" t="s">
        <v>2306</v>
      </c>
      <c r="U752" s="171" t="s">
        <v>2551</v>
      </c>
      <c r="V752" s="102">
        <v>0</v>
      </c>
      <c r="W752" s="120">
        <v>0</v>
      </c>
      <c r="X752" s="120">
        <v>0</v>
      </c>
      <c r="Y752" s="120">
        <v>0</v>
      </c>
      <c r="Z752" s="120">
        <v>0</v>
      </c>
      <c r="AA752" s="17">
        <v>0</v>
      </c>
      <c r="AB752" s="17">
        <v>0</v>
      </c>
      <c r="AC752" s="17">
        <v>0</v>
      </c>
      <c r="AD752" s="17">
        <v>0</v>
      </c>
      <c r="AE752" s="17">
        <v>0</v>
      </c>
      <c r="AF752" s="17">
        <v>0</v>
      </c>
      <c r="AG752" s="17">
        <v>0</v>
      </c>
      <c r="AH752" s="17">
        <v>0</v>
      </c>
      <c r="AI752" s="17">
        <v>0</v>
      </c>
      <c r="AJ752" s="17">
        <v>0</v>
      </c>
      <c r="AK752" s="17">
        <v>0</v>
      </c>
      <c r="AL752" s="32">
        <v>0</v>
      </c>
      <c r="AM752" s="780">
        <v>43</v>
      </c>
      <c r="AN752" s="89"/>
      <c r="AO752" s="280"/>
      <c r="AP752" s="784"/>
      <c r="AQ752" s="773" t="s">
        <v>271</v>
      </c>
      <c r="AR752" s="188">
        <v>100</v>
      </c>
      <c r="AS752" s="171"/>
      <c r="AT752" s="171" t="str">
        <f t="shared" si="64"/>
        <v>400</v>
      </c>
      <c r="AU752" s="255">
        <f t="shared" si="65"/>
        <v>22.222222222222221</v>
      </c>
      <c r="AV752" s="172">
        <v>100</v>
      </c>
      <c r="AW752" s="171">
        <v>7</v>
      </c>
      <c r="AX752" s="89"/>
      <c r="AY752" s="171">
        <v>20</v>
      </c>
      <c r="AZ752" s="89"/>
      <c r="BA752" s="175">
        <v>60</v>
      </c>
      <c r="BB752" s="189" t="s">
        <v>2547</v>
      </c>
      <c r="BC752" s="176" t="s">
        <v>558</v>
      </c>
      <c r="BD752" s="179"/>
      <c r="BE752" s="179"/>
      <c r="BF752" s="178"/>
      <c r="BG752" s="25"/>
      <c r="BH752" s="25"/>
    </row>
    <row r="753" spans="1:60" ht="15" customHeight="1">
      <c r="A753" s="95">
        <v>752</v>
      </c>
      <c r="B753" s="98" t="s">
        <v>951</v>
      </c>
      <c r="C753" s="191" t="s">
        <v>2676</v>
      </c>
      <c r="D753" s="257" t="s">
        <v>549</v>
      </c>
      <c r="E753" s="459" t="s">
        <v>3377</v>
      </c>
      <c r="F753" s="171">
        <v>2000</v>
      </c>
      <c r="G753" s="171">
        <v>194</v>
      </c>
      <c r="H753" s="57"/>
      <c r="I753" s="173" t="s">
        <v>2564</v>
      </c>
      <c r="J753" s="277">
        <v>0.5</v>
      </c>
      <c r="K753" s="213">
        <v>4.822222222222222</v>
      </c>
      <c r="L753" s="91"/>
      <c r="M753" s="278">
        <v>360</v>
      </c>
      <c r="N753" s="279"/>
      <c r="O753" s="172" t="s">
        <v>12</v>
      </c>
      <c r="P753" s="92"/>
      <c r="Q753" s="173" t="s">
        <v>10</v>
      </c>
      <c r="R753" s="171" t="s">
        <v>2735</v>
      </c>
      <c r="S753" s="94"/>
      <c r="T753" s="171" t="s">
        <v>2306</v>
      </c>
      <c r="U753" s="171" t="s">
        <v>2551</v>
      </c>
      <c r="V753" s="102">
        <v>0</v>
      </c>
      <c r="W753" s="120">
        <v>0</v>
      </c>
      <c r="X753" s="120">
        <v>0</v>
      </c>
      <c r="Y753" s="120">
        <v>0</v>
      </c>
      <c r="Z753" s="120">
        <v>0</v>
      </c>
      <c r="AA753" s="17">
        <v>0</v>
      </c>
      <c r="AB753" s="17">
        <v>0</v>
      </c>
      <c r="AC753" s="17">
        <v>0</v>
      </c>
      <c r="AD753" s="17">
        <v>0</v>
      </c>
      <c r="AE753" s="17">
        <v>0</v>
      </c>
      <c r="AF753" s="17">
        <v>0</v>
      </c>
      <c r="AG753" s="17">
        <v>0</v>
      </c>
      <c r="AH753" s="17">
        <v>0</v>
      </c>
      <c r="AI753" s="17">
        <v>0</v>
      </c>
      <c r="AJ753" s="17">
        <v>0</v>
      </c>
      <c r="AK753" s="17">
        <v>0</v>
      </c>
      <c r="AL753" s="32">
        <v>0</v>
      </c>
      <c r="AM753" s="780">
        <v>44</v>
      </c>
      <c r="AN753" s="89"/>
      <c r="AO753" s="280"/>
      <c r="AP753" s="784"/>
      <c r="AQ753" s="773" t="s">
        <v>271</v>
      </c>
      <c r="AR753" s="188">
        <v>100</v>
      </c>
      <c r="AS753" s="171"/>
      <c r="AT753" s="171" t="str">
        <f t="shared" si="64"/>
        <v>400</v>
      </c>
      <c r="AU753" s="255">
        <f t="shared" si="65"/>
        <v>22.222222222222221</v>
      </c>
      <c r="AV753" s="57"/>
      <c r="AW753" s="171">
        <v>7</v>
      </c>
      <c r="AX753" s="89"/>
      <c r="AY753" s="171">
        <v>20</v>
      </c>
      <c r="AZ753" s="89"/>
      <c r="BA753" s="175">
        <v>60</v>
      </c>
      <c r="BB753" s="259"/>
      <c r="BC753" s="176" t="s">
        <v>558</v>
      </c>
      <c r="BD753" s="179"/>
      <c r="BE753" s="179"/>
      <c r="BF753" s="178"/>
      <c r="BG753" s="25"/>
      <c r="BH753" s="25"/>
    </row>
    <row r="754" spans="1:60" ht="15" customHeight="1">
      <c r="A754" s="95">
        <v>753</v>
      </c>
      <c r="B754" s="98" t="s">
        <v>950</v>
      </c>
      <c r="C754" s="191" t="s">
        <v>2676</v>
      </c>
      <c r="D754" s="257" t="s">
        <v>549</v>
      </c>
      <c r="E754" s="459" t="s">
        <v>3377</v>
      </c>
      <c r="F754" s="171">
        <v>2000</v>
      </c>
      <c r="G754" s="171">
        <v>194</v>
      </c>
      <c r="H754" s="57"/>
      <c r="I754" s="173" t="s">
        <v>2564</v>
      </c>
      <c r="J754" s="277">
        <v>0.5</v>
      </c>
      <c r="K754" s="213">
        <v>3.4888888888888889</v>
      </c>
      <c r="L754" s="91"/>
      <c r="M754" s="278">
        <v>360</v>
      </c>
      <c r="N754" s="279"/>
      <c r="O754" s="172" t="s">
        <v>12</v>
      </c>
      <c r="P754" s="92"/>
      <c r="Q754" s="173" t="s">
        <v>10</v>
      </c>
      <c r="R754" s="507"/>
      <c r="S754" s="94"/>
      <c r="T754" s="171" t="s">
        <v>2552</v>
      </c>
      <c r="U754" s="171"/>
      <c r="V754" s="102">
        <v>0</v>
      </c>
      <c r="W754" s="120">
        <v>0</v>
      </c>
      <c r="X754" s="120">
        <v>0</v>
      </c>
      <c r="Y754" s="120">
        <v>0</v>
      </c>
      <c r="Z754" s="120">
        <v>0</v>
      </c>
      <c r="AA754" s="17">
        <v>0</v>
      </c>
      <c r="AB754" s="17">
        <v>0</v>
      </c>
      <c r="AC754" s="17">
        <v>0</v>
      </c>
      <c r="AD754" s="17">
        <v>0</v>
      </c>
      <c r="AE754" s="17">
        <v>0</v>
      </c>
      <c r="AF754" s="17">
        <v>0</v>
      </c>
      <c r="AG754" s="17">
        <v>0</v>
      </c>
      <c r="AH754" s="17">
        <v>0</v>
      </c>
      <c r="AI754" s="17">
        <v>0</v>
      </c>
      <c r="AJ754" s="17">
        <v>0</v>
      </c>
      <c r="AK754" s="17">
        <v>0</v>
      </c>
      <c r="AL754" s="32">
        <v>0</v>
      </c>
      <c r="AM754" s="780">
        <v>40</v>
      </c>
      <c r="AN754" s="89"/>
      <c r="AO754" s="280"/>
      <c r="AP754" s="784"/>
      <c r="AQ754" s="773" t="s">
        <v>271</v>
      </c>
      <c r="AR754" s="188">
        <v>100</v>
      </c>
      <c r="AS754" s="171"/>
      <c r="AT754" s="171" t="str">
        <f t="shared" si="64"/>
        <v>400</v>
      </c>
      <c r="AU754" s="255">
        <f t="shared" si="65"/>
        <v>22.222222222222221</v>
      </c>
      <c r="AV754" s="172">
        <v>100</v>
      </c>
      <c r="AW754" s="171">
        <v>7</v>
      </c>
      <c r="AX754" s="89"/>
      <c r="AY754" s="171">
        <v>20</v>
      </c>
      <c r="AZ754" s="89"/>
      <c r="BA754" s="175">
        <v>60</v>
      </c>
      <c r="BB754" s="189" t="s">
        <v>2547</v>
      </c>
      <c r="BC754" s="176" t="s">
        <v>558</v>
      </c>
      <c r="BD754" s="179"/>
      <c r="BE754" s="179"/>
      <c r="BF754" s="178"/>
      <c r="BG754" s="25"/>
      <c r="BH754" s="25"/>
    </row>
    <row r="755" spans="1:60" ht="15" customHeight="1">
      <c r="A755" s="95">
        <v>754</v>
      </c>
      <c r="B755" s="98" t="s">
        <v>949</v>
      </c>
      <c r="C755" s="191" t="s">
        <v>2676</v>
      </c>
      <c r="D755" s="257" t="s">
        <v>549</v>
      </c>
      <c r="E755" s="459" t="s">
        <v>3377</v>
      </c>
      <c r="F755" s="171">
        <v>2000</v>
      </c>
      <c r="G755" s="171">
        <v>194</v>
      </c>
      <c r="H755" s="57"/>
      <c r="I755" s="173" t="s">
        <v>2564</v>
      </c>
      <c r="J755" s="277">
        <v>0.5</v>
      </c>
      <c r="K755" s="213">
        <v>3.4888888888888889</v>
      </c>
      <c r="L755" s="91"/>
      <c r="M755" s="278">
        <v>360</v>
      </c>
      <c r="N755" s="279"/>
      <c r="O755" s="172" t="s">
        <v>12</v>
      </c>
      <c r="P755" s="92"/>
      <c r="Q755" s="173" t="s">
        <v>10</v>
      </c>
      <c r="R755" s="507"/>
      <c r="S755" s="94"/>
      <c r="T755" s="171" t="s">
        <v>2552</v>
      </c>
      <c r="U755" s="171"/>
      <c r="V755" s="102">
        <v>0</v>
      </c>
      <c r="W755" s="120">
        <v>0</v>
      </c>
      <c r="X755" s="120">
        <v>0</v>
      </c>
      <c r="Y755" s="120">
        <v>0</v>
      </c>
      <c r="Z755" s="120">
        <v>0</v>
      </c>
      <c r="AA755" s="17">
        <v>0</v>
      </c>
      <c r="AB755" s="17">
        <v>0</v>
      </c>
      <c r="AC755" s="17">
        <v>0</v>
      </c>
      <c r="AD755" s="17">
        <v>0</v>
      </c>
      <c r="AE755" s="17">
        <v>0</v>
      </c>
      <c r="AF755" s="17">
        <v>0</v>
      </c>
      <c r="AG755" s="17">
        <v>0</v>
      </c>
      <c r="AH755" s="17">
        <v>0</v>
      </c>
      <c r="AI755" s="17">
        <v>0</v>
      </c>
      <c r="AJ755" s="17">
        <v>0</v>
      </c>
      <c r="AK755" s="17">
        <v>0</v>
      </c>
      <c r="AL755" s="32">
        <v>0</v>
      </c>
      <c r="AM755" s="780">
        <v>45</v>
      </c>
      <c r="AN755" s="89"/>
      <c r="AO755" s="280"/>
      <c r="AP755" s="784"/>
      <c r="AQ755" s="773" t="s">
        <v>271</v>
      </c>
      <c r="AR755" s="188">
        <v>100</v>
      </c>
      <c r="AS755" s="171"/>
      <c r="AT755" s="171" t="str">
        <f t="shared" si="64"/>
        <v>400</v>
      </c>
      <c r="AU755" s="255">
        <f t="shared" si="65"/>
        <v>22.222222222222221</v>
      </c>
      <c r="AV755" s="57"/>
      <c r="AW755" s="171">
        <v>7</v>
      </c>
      <c r="AX755" s="89"/>
      <c r="AY755" s="171">
        <v>20</v>
      </c>
      <c r="AZ755" s="89"/>
      <c r="BA755" s="175">
        <v>60</v>
      </c>
      <c r="BB755" s="259"/>
      <c r="BC755" s="176" t="s">
        <v>558</v>
      </c>
      <c r="BD755" s="179"/>
      <c r="BE755" s="179"/>
      <c r="BF755" s="178"/>
      <c r="BG755" s="25"/>
      <c r="BH755" s="25"/>
    </row>
    <row r="756" spans="1:60" ht="15" customHeight="1">
      <c r="A756" s="95">
        <v>755</v>
      </c>
      <c r="B756" s="98" t="s">
        <v>948</v>
      </c>
      <c r="C756" s="191" t="s">
        <v>2646</v>
      </c>
      <c r="D756" s="257" t="s">
        <v>549</v>
      </c>
      <c r="E756" s="459" t="s">
        <v>3377</v>
      </c>
      <c r="F756" s="171">
        <v>2000</v>
      </c>
      <c r="G756" s="171">
        <v>195</v>
      </c>
      <c r="H756" s="57"/>
      <c r="I756" s="173" t="s">
        <v>2564</v>
      </c>
      <c r="J756" s="277">
        <v>0.28000000000000003</v>
      </c>
      <c r="K756" s="213">
        <v>2.8914185639229424</v>
      </c>
      <c r="L756" s="91"/>
      <c r="M756" s="278">
        <v>571</v>
      </c>
      <c r="N756" s="279"/>
      <c r="O756" s="172" t="s">
        <v>120</v>
      </c>
      <c r="P756" s="92"/>
      <c r="Q756" s="173" t="s">
        <v>2532</v>
      </c>
      <c r="R756" s="171" t="s">
        <v>2735</v>
      </c>
      <c r="S756" s="94"/>
      <c r="T756" s="171" t="s">
        <v>2306</v>
      </c>
      <c r="U756" s="171" t="s">
        <v>2551</v>
      </c>
      <c r="V756" s="102">
        <v>0</v>
      </c>
      <c r="W756" s="120">
        <v>0</v>
      </c>
      <c r="X756" s="120">
        <v>0</v>
      </c>
      <c r="Y756" s="120">
        <v>0</v>
      </c>
      <c r="Z756" s="120">
        <v>0</v>
      </c>
      <c r="AA756" s="17">
        <v>0</v>
      </c>
      <c r="AB756" s="17">
        <v>0</v>
      </c>
      <c r="AC756" s="17">
        <v>0</v>
      </c>
      <c r="AD756" s="17">
        <v>0</v>
      </c>
      <c r="AE756" s="17">
        <v>0</v>
      </c>
      <c r="AF756" s="17">
        <v>0</v>
      </c>
      <c r="AG756" s="17">
        <v>0</v>
      </c>
      <c r="AH756" s="17">
        <v>0</v>
      </c>
      <c r="AI756" s="17">
        <v>0</v>
      </c>
      <c r="AJ756" s="17">
        <v>0</v>
      </c>
      <c r="AK756" s="17">
        <v>0</v>
      </c>
      <c r="AL756" s="32">
        <v>0</v>
      </c>
      <c r="AM756" s="57"/>
      <c r="AN756" s="89"/>
      <c r="AO756" s="280"/>
      <c r="AP756" s="784"/>
      <c r="AQ756" s="773" t="s">
        <v>945</v>
      </c>
      <c r="AR756" s="188">
        <v>100</v>
      </c>
      <c r="AS756" s="171"/>
      <c r="AT756" s="171" t="str">
        <f t="shared" si="64"/>
        <v>600</v>
      </c>
      <c r="AU756" s="255">
        <f t="shared" si="65"/>
        <v>23.076923076923077</v>
      </c>
      <c r="AV756" s="57"/>
      <c r="AW756" s="171">
        <v>1</v>
      </c>
      <c r="AX756" s="89"/>
      <c r="AY756" s="171">
        <v>20</v>
      </c>
      <c r="AZ756" s="89"/>
      <c r="BA756" s="175">
        <v>60</v>
      </c>
      <c r="BB756" s="259"/>
      <c r="BC756" s="176"/>
      <c r="BD756" s="179"/>
      <c r="BE756" s="179"/>
      <c r="BF756" s="178"/>
      <c r="BG756" s="25"/>
      <c r="BH756" s="25"/>
    </row>
    <row r="757" spans="1:60" ht="15" customHeight="1">
      <c r="A757" s="95">
        <v>756</v>
      </c>
      <c r="B757" s="98" t="s">
        <v>947</v>
      </c>
      <c r="C757" s="191" t="s">
        <v>2646</v>
      </c>
      <c r="D757" s="257" t="s">
        <v>549</v>
      </c>
      <c r="E757" s="459" t="s">
        <v>3377</v>
      </c>
      <c r="F757" s="171">
        <v>2000</v>
      </c>
      <c r="G757" s="171">
        <v>195</v>
      </c>
      <c r="H757" s="57"/>
      <c r="I757" s="173" t="s">
        <v>2564</v>
      </c>
      <c r="J757" s="277">
        <v>0.28000000000000003</v>
      </c>
      <c r="K757" s="213">
        <v>2.8809106830122593</v>
      </c>
      <c r="L757" s="91"/>
      <c r="M757" s="278">
        <v>571</v>
      </c>
      <c r="N757" s="279"/>
      <c r="O757" s="172" t="s">
        <v>12</v>
      </c>
      <c r="P757" s="92"/>
      <c r="Q757" s="173" t="s">
        <v>10</v>
      </c>
      <c r="R757" s="171" t="s">
        <v>2735</v>
      </c>
      <c r="S757" s="94"/>
      <c r="T757" s="171" t="s">
        <v>2306</v>
      </c>
      <c r="U757" s="171" t="s">
        <v>2551</v>
      </c>
      <c r="V757" s="102">
        <v>0</v>
      </c>
      <c r="W757" s="120">
        <v>0</v>
      </c>
      <c r="X757" s="120">
        <v>0</v>
      </c>
      <c r="Y757" s="120">
        <v>0</v>
      </c>
      <c r="Z757" s="120">
        <v>0</v>
      </c>
      <c r="AA757" s="17">
        <v>0</v>
      </c>
      <c r="AB757" s="17">
        <v>0</v>
      </c>
      <c r="AC757" s="17">
        <v>0</v>
      </c>
      <c r="AD757" s="17">
        <v>0</v>
      </c>
      <c r="AE757" s="17">
        <v>0</v>
      </c>
      <c r="AF757" s="17">
        <v>0</v>
      </c>
      <c r="AG757" s="17">
        <v>0</v>
      </c>
      <c r="AH757" s="17">
        <v>0</v>
      </c>
      <c r="AI757" s="17">
        <v>0</v>
      </c>
      <c r="AJ757" s="17">
        <v>0</v>
      </c>
      <c r="AK757" s="17">
        <v>0</v>
      </c>
      <c r="AL757" s="32">
        <v>0</v>
      </c>
      <c r="AM757" s="57"/>
      <c r="AN757" s="89"/>
      <c r="AO757" s="280"/>
      <c r="AP757" s="784"/>
      <c r="AQ757" s="773" t="s">
        <v>945</v>
      </c>
      <c r="AR757" s="188">
        <v>100</v>
      </c>
      <c r="AS757" s="171"/>
      <c r="AT757" s="171" t="str">
        <f t="shared" si="64"/>
        <v>600</v>
      </c>
      <c r="AU757" s="255">
        <f t="shared" si="65"/>
        <v>23.076923076923077</v>
      </c>
      <c r="AV757" s="57"/>
      <c r="AW757" s="171">
        <v>1</v>
      </c>
      <c r="AX757" s="89"/>
      <c r="AY757" s="171">
        <v>20</v>
      </c>
      <c r="AZ757" s="89"/>
      <c r="BA757" s="175">
        <v>60</v>
      </c>
      <c r="BB757" s="259"/>
      <c r="BC757" s="176"/>
      <c r="BD757" s="179"/>
      <c r="BE757" s="179"/>
      <c r="BF757" s="178"/>
      <c r="BG757" s="25"/>
      <c r="BH757" s="25"/>
    </row>
    <row r="758" spans="1:60" ht="15" customHeight="1">
      <c r="A758" s="95">
        <v>757</v>
      </c>
      <c r="B758" s="98" t="s">
        <v>946</v>
      </c>
      <c r="C758" s="191" t="s">
        <v>2646</v>
      </c>
      <c r="D758" s="257" t="s">
        <v>549</v>
      </c>
      <c r="E758" s="459" t="s">
        <v>3377</v>
      </c>
      <c r="F758" s="171">
        <v>2000</v>
      </c>
      <c r="G758" s="171">
        <v>195</v>
      </c>
      <c r="H758" s="57"/>
      <c r="I758" s="173" t="s">
        <v>2564</v>
      </c>
      <c r="J758" s="277">
        <v>0.34</v>
      </c>
      <c r="K758" s="213">
        <v>3.3540000000000001</v>
      </c>
      <c r="L758" s="91"/>
      <c r="M758" s="278">
        <v>500</v>
      </c>
      <c r="N758" s="279"/>
      <c r="O758" s="172" t="s">
        <v>12</v>
      </c>
      <c r="P758" s="92"/>
      <c r="Q758" s="173" t="s">
        <v>10</v>
      </c>
      <c r="R758" s="171" t="s">
        <v>2735</v>
      </c>
      <c r="S758" s="94"/>
      <c r="T758" s="171" t="s">
        <v>2306</v>
      </c>
      <c r="U758" s="171" t="s">
        <v>2551</v>
      </c>
      <c r="V758" s="102">
        <v>0</v>
      </c>
      <c r="W758" s="120">
        <v>0</v>
      </c>
      <c r="X758" s="120">
        <v>0</v>
      </c>
      <c r="Y758" s="120">
        <v>0</v>
      </c>
      <c r="Z758" s="120">
        <v>0</v>
      </c>
      <c r="AA758" s="17">
        <v>0</v>
      </c>
      <c r="AB758" s="17">
        <v>0</v>
      </c>
      <c r="AC758" s="17">
        <v>0</v>
      </c>
      <c r="AD758" s="17">
        <v>0</v>
      </c>
      <c r="AE758" s="17">
        <v>0</v>
      </c>
      <c r="AF758" s="17">
        <v>0</v>
      </c>
      <c r="AG758" s="17">
        <v>0</v>
      </c>
      <c r="AH758" s="17">
        <v>0</v>
      </c>
      <c r="AI758" s="17">
        <v>0</v>
      </c>
      <c r="AJ758" s="17">
        <v>0</v>
      </c>
      <c r="AK758" s="17">
        <v>0</v>
      </c>
      <c r="AL758" s="32">
        <v>0</v>
      </c>
      <c r="AM758" s="57"/>
      <c r="AN758" s="89"/>
      <c r="AO758" s="280"/>
      <c r="AP758" s="784"/>
      <c r="AQ758" s="773" t="s">
        <v>945</v>
      </c>
      <c r="AR758" s="188">
        <v>100</v>
      </c>
      <c r="AS758" s="171"/>
      <c r="AT758" s="171" t="str">
        <f t="shared" si="64"/>
        <v>600</v>
      </c>
      <c r="AU758" s="255">
        <f t="shared" si="65"/>
        <v>23.076923076923077</v>
      </c>
      <c r="AV758" s="57"/>
      <c r="AW758" s="171">
        <v>1</v>
      </c>
      <c r="AX758" s="89"/>
      <c r="AY758" s="171">
        <v>20</v>
      </c>
      <c r="AZ758" s="89"/>
      <c r="BA758" s="175">
        <v>60</v>
      </c>
      <c r="BB758" s="259"/>
      <c r="BC758" s="176"/>
      <c r="BD758" s="179"/>
      <c r="BE758" s="179"/>
      <c r="BF758" s="178"/>
      <c r="BG758" s="25"/>
      <c r="BH758" s="25"/>
    </row>
    <row r="759" spans="1:60" ht="15" customHeight="1">
      <c r="A759" s="95">
        <v>758</v>
      </c>
      <c r="B759" s="98" t="s">
        <v>944</v>
      </c>
      <c r="C759" s="191" t="s">
        <v>2677</v>
      </c>
      <c r="D759" s="257" t="s">
        <v>549</v>
      </c>
      <c r="E759" s="459" t="s">
        <v>3377</v>
      </c>
      <c r="F759" s="171">
        <v>2000</v>
      </c>
      <c r="G759" s="171">
        <v>196</v>
      </c>
      <c r="H759" s="57"/>
      <c r="I759" s="173" t="s">
        <v>2564</v>
      </c>
      <c r="J759" s="277">
        <v>0.5</v>
      </c>
      <c r="K759" s="213">
        <v>5.4787878787878785</v>
      </c>
      <c r="L759" s="91"/>
      <c r="M759" s="278">
        <v>330</v>
      </c>
      <c r="N759" s="279"/>
      <c r="O759" s="172" t="s">
        <v>12</v>
      </c>
      <c r="P759" s="92"/>
      <c r="Q759" s="173" t="s">
        <v>10</v>
      </c>
      <c r="R759" s="89"/>
      <c r="S759" s="94"/>
      <c r="T759" s="171" t="s">
        <v>2306</v>
      </c>
      <c r="U759" s="171" t="s">
        <v>2530</v>
      </c>
      <c r="V759" s="102">
        <v>0</v>
      </c>
      <c r="W759" s="120">
        <v>0</v>
      </c>
      <c r="X759" s="120">
        <v>0</v>
      </c>
      <c r="Y759" s="120">
        <v>0</v>
      </c>
      <c r="Z759" s="120">
        <v>0</v>
      </c>
      <c r="AA759" s="17">
        <v>0</v>
      </c>
      <c r="AB759" s="17">
        <v>0</v>
      </c>
      <c r="AC759" s="17">
        <v>0</v>
      </c>
      <c r="AD759" s="17">
        <v>0</v>
      </c>
      <c r="AE759" s="17">
        <v>0</v>
      </c>
      <c r="AF759" s="17">
        <v>0</v>
      </c>
      <c r="AG759" s="17">
        <v>0</v>
      </c>
      <c r="AH759" s="17">
        <v>0</v>
      </c>
      <c r="AI759" s="17">
        <v>0</v>
      </c>
      <c r="AJ759" s="17">
        <v>0</v>
      </c>
      <c r="AK759" s="17">
        <v>0</v>
      </c>
      <c r="AL759" s="32">
        <v>0</v>
      </c>
      <c r="AM759" s="780">
        <v>43.3</v>
      </c>
      <c r="AN759" s="89"/>
      <c r="AO759" s="280"/>
      <c r="AP759" s="784"/>
      <c r="AQ759" s="773" t="s">
        <v>271</v>
      </c>
      <c r="AR759" s="188">
        <v>100</v>
      </c>
      <c r="AS759" s="171"/>
      <c r="AT759" s="171" t="str">
        <f t="shared" si="64"/>
        <v>400</v>
      </c>
      <c r="AU759" s="255">
        <f t="shared" si="65"/>
        <v>22.222222222222221</v>
      </c>
      <c r="AV759" s="172">
        <v>100</v>
      </c>
      <c r="AW759" s="171">
        <v>7</v>
      </c>
      <c r="AX759" s="89"/>
      <c r="AY759" s="171">
        <v>20</v>
      </c>
      <c r="AZ759" s="89"/>
      <c r="BA759" s="175">
        <v>60</v>
      </c>
      <c r="BB759" s="189" t="s">
        <v>2547</v>
      </c>
      <c r="BC759" s="176" t="s">
        <v>558</v>
      </c>
      <c r="BD759" s="179"/>
      <c r="BE759" s="179"/>
      <c r="BF759" s="178"/>
      <c r="BG759" s="25"/>
      <c r="BH759" s="25"/>
    </row>
    <row r="760" spans="1:60" ht="15" customHeight="1">
      <c r="A760" s="95">
        <v>759</v>
      </c>
      <c r="B760" s="98" t="s">
        <v>943</v>
      </c>
      <c r="C760" s="191" t="s">
        <v>2677</v>
      </c>
      <c r="D760" s="257" t="s">
        <v>549</v>
      </c>
      <c r="E760" s="459" t="s">
        <v>3377</v>
      </c>
      <c r="F760" s="171">
        <v>2000</v>
      </c>
      <c r="G760" s="171">
        <v>196</v>
      </c>
      <c r="H760" s="57"/>
      <c r="I760" s="173" t="s">
        <v>2564</v>
      </c>
      <c r="J760" s="277">
        <v>0.45</v>
      </c>
      <c r="K760" s="213">
        <v>4.8392370572207088</v>
      </c>
      <c r="L760" s="91"/>
      <c r="M760" s="278">
        <v>367</v>
      </c>
      <c r="N760" s="279"/>
      <c r="O760" s="172" t="s">
        <v>12</v>
      </c>
      <c r="P760" s="92"/>
      <c r="Q760" s="173" t="s">
        <v>10</v>
      </c>
      <c r="R760" s="89"/>
      <c r="S760" s="94"/>
      <c r="T760" s="171" t="s">
        <v>2306</v>
      </c>
      <c r="U760" s="171" t="s">
        <v>2530</v>
      </c>
      <c r="V760" s="102">
        <v>0</v>
      </c>
      <c r="W760" s="120">
        <v>0</v>
      </c>
      <c r="X760" s="120">
        <v>0</v>
      </c>
      <c r="Y760" s="120">
        <v>0</v>
      </c>
      <c r="Z760" s="120">
        <v>0</v>
      </c>
      <c r="AA760" s="17">
        <v>0</v>
      </c>
      <c r="AB760" s="17">
        <v>0</v>
      </c>
      <c r="AC760" s="17">
        <v>0</v>
      </c>
      <c r="AD760" s="17">
        <v>0</v>
      </c>
      <c r="AE760" s="17">
        <v>0</v>
      </c>
      <c r="AF760" s="17">
        <v>0</v>
      </c>
      <c r="AG760" s="17">
        <v>0</v>
      </c>
      <c r="AH760" s="17">
        <v>0</v>
      </c>
      <c r="AI760" s="17">
        <v>0</v>
      </c>
      <c r="AJ760" s="17">
        <v>0</v>
      </c>
      <c r="AK760" s="17">
        <v>0</v>
      </c>
      <c r="AL760" s="32">
        <v>0</v>
      </c>
      <c r="AM760" s="780">
        <v>50</v>
      </c>
      <c r="AN760" s="89"/>
      <c r="AO760" s="280"/>
      <c r="AP760" s="784"/>
      <c r="AQ760" s="773" t="s">
        <v>271</v>
      </c>
      <c r="AR760" s="188">
        <v>100</v>
      </c>
      <c r="AS760" s="171"/>
      <c r="AT760" s="171" t="str">
        <f t="shared" si="64"/>
        <v>400</v>
      </c>
      <c r="AU760" s="255">
        <f t="shared" si="65"/>
        <v>22.222222222222221</v>
      </c>
      <c r="AV760" s="172">
        <v>100</v>
      </c>
      <c r="AW760" s="171">
        <v>7</v>
      </c>
      <c r="AX760" s="89"/>
      <c r="AY760" s="171">
        <v>20</v>
      </c>
      <c r="AZ760" s="89"/>
      <c r="BA760" s="175">
        <v>60</v>
      </c>
      <c r="BB760" s="189" t="s">
        <v>2547</v>
      </c>
      <c r="BC760" s="176" t="s">
        <v>558</v>
      </c>
      <c r="BD760" s="179"/>
      <c r="BE760" s="179"/>
      <c r="BF760" s="178"/>
      <c r="BG760" s="25"/>
      <c r="BH760" s="25"/>
    </row>
    <row r="761" spans="1:60" ht="15" customHeight="1">
      <c r="A761" s="95">
        <v>760</v>
      </c>
      <c r="B761" s="98" t="s">
        <v>942</v>
      </c>
      <c r="C761" s="191" t="s">
        <v>2677</v>
      </c>
      <c r="D761" s="257" t="s">
        <v>549</v>
      </c>
      <c r="E761" s="459" t="s">
        <v>3377</v>
      </c>
      <c r="F761" s="171">
        <v>2000</v>
      </c>
      <c r="G761" s="171">
        <v>196</v>
      </c>
      <c r="H761" s="57"/>
      <c r="I761" s="173" t="s">
        <v>2564</v>
      </c>
      <c r="J761" s="277">
        <v>0.45</v>
      </c>
      <c r="K761" s="213">
        <v>4.8392370572207088</v>
      </c>
      <c r="L761" s="91"/>
      <c r="M761" s="278">
        <v>367</v>
      </c>
      <c r="N761" s="279"/>
      <c r="O761" s="172" t="s">
        <v>12</v>
      </c>
      <c r="P761" s="92"/>
      <c r="Q761" s="173" t="s">
        <v>10</v>
      </c>
      <c r="R761" s="89"/>
      <c r="S761" s="94"/>
      <c r="T761" s="171" t="s">
        <v>2306</v>
      </c>
      <c r="U761" s="171" t="s">
        <v>2530</v>
      </c>
      <c r="V761" s="102">
        <v>0</v>
      </c>
      <c r="W761" s="120">
        <v>0</v>
      </c>
      <c r="X761" s="120">
        <v>0</v>
      </c>
      <c r="Y761" s="120">
        <v>0</v>
      </c>
      <c r="Z761" s="120">
        <v>0</v>
      </c>
      <c r="AA761" s="17">
        <v>0</v>
      </c>
      <c r="AB761" s="17">
        <v>0</v>
      </c>
      <c r="AC761" s="17">
        <v>0</v>
      </c>
      <c r="AD761" s="17">
        <v>0</v>
      </c>
      <c r="AE761" s="17">
        <v>0</v>
      </c>
      <c r="AF761" s="17">
        <v>0</v>
      </c>
      <c r="AG761" s="17">
        <v>0</v>
      </c>
      <c r="AH761" s="17">
        <v>1.91</v>
      </c>
      <c r="AI761" s="17">
        <v>0</v>
      </c>
      <c r="AJ761" s="17">
        <v>0</v>
      </c>
      <c r="AK761" s="17">
        <v>0</v>
      </c>
      <c r="AL761" s="32">
        <v>0</v>
      </c>
      <c r="AM761" s="780">
        <v>44.2</v>
      </c>
      <c r="AN761" s="89"/>
      <c r="AO761" s="280"/>
      <c r="AP761" s="784"/>
      <c r="AQ761" s="773" t="s">
        <v>271</v>
      </c>
      <c r="AR761" s="188">
        <v>100</v>
      </c>
      <c r="AS761" s="171"/>
      <c r="AT761" s="171" t="str">
        <f t="shared" si="64"/>
        <v>400</v>
      </c>
      <c r="AU761" s="255">
        <f t="shared" si="65"/>
        <v>22.222222222222221</v>
      </c>
      <c r="AV761" s="172">
        <v>100</v>
      </c>
      <c r="AW761" s="171">
        <v>7</v>
      </c>
      <c r="AX761" s="89"/>
      <c r="AY761" s="171">
        <v>20</v>
      </c>
      <c r="AZ761" s="89"/>
      <c r="BA761" s="175">
        <v>60</v>
      </c>
      <c r="BB761" s="189" t="s">
        <v>2547</v>
      </c>
      <c r="BC761" s="176" t="s">
        <v>558</v>
      </c>
      <c r="BD761" s="179"/>
      <c r="BE761" s="179"/>
      <c r="BF761" s="178" t="s">
        <v>557</v>
      </c>
      <c r="BG761" s="25"/>
      <c r="BH761" s="25"/>
    </row>
    <row r="762" spans="1:60" ht="15" customHeight="1">
      <c r="A762" s="95">
        <v>761</v>
      </c>
      <c r="B762" s="98" t="s">
        <v>941</v>
      </c>
      <c r="C762" s="191" t="s">
        <v>2677</v>
      </c>
      <c r="D762" s="257" t="s">
        <v>549</v>
      </c>
      <c r="E762" s="459" t="s">
        <v>3377</v>
      </c>
      <c r="F762" s="171">
        <v>2000</v>
      </c>
      <c r="G762" s="171">
        <v>196</v>
      </c>
      <c r="H762" s="57"/>
      <c r="I762" s="173" t="s">
        <v>2564</v>
      </c>
      <c r="J762" s="277">
        <v>0.45</v>
      </c>
      <c r="K762" s="213">
        <v>4.8392370572207088</v>
      </c>
      <c r="L762" s="91"/>
      <c r="M762" s="278">
        <v>367</v>
      </c>
      <c r="N762" s="279"/>
      <c r="O762" s="172" t="s">
        <v>12</v>
      </c>
      <c r="P762" s="92"/>
      <c r="Q762" s="173" t="s">
        <v>10</v>
      </c>
      <c r="R762" s="89"/>
      <c r="S762" s="94"/>
      <c r="T762" s="171" t="s">
        <v>2306</v>
      </c>
      <c r="U762" s="171" t="s">
        <v>2530</v>
      </c>
      <c r="V762" s="102">
        <v>0</v>
      </c>
      <c r="W762" s="120">
        <v>0</v>
      </c>
      <c r="X762" s="120">
        <v>0</v>
      </c>
      <c r="Y762" s="120">
        <v>0</v>
      </c>
      <c r="Z762" s="120">
        <v>0</v>
      </c>
      <c r="AA762" s="17">
        <v>0</v>
      </c>
      <c r="AB762" s="17">
        <v>0</v>
      </c>
      <c r="AC762" s="17">
        <v>0</v>
      </c>
      <c r="AD762" s="17">
        <v>0</v>
      </c>
      <c r="AE762" s="17">
        <v>0</v>
      </c>
      <c r="AF762" s="17">
        <v>0</v>
      </c>
      <c r="AG762" s="17">
        <v>0</v>
      </c>
      <c r="AH762" s="17">
        <v>3</v>
      </c>
      <c r="AI762" s="17">
        <v>0</v>
      </c>
      <c r="AJ762" s="17">
        <v>0</v>
      </c>
      <c r="AK762" s="17">
        <v>0</v>
      </c>
      <c r="AL762" s="32">
        <v>0</v>
      </c>
      <c r="AM762" s="780">
        <v>41.7</v>
      </c>
      <c r="AN762" s="89"/>
      <c r="AO762" s="280"/>
      <c r="AP762" s="784"/>
      <c r="AQ762" s="773" t="s">
        <v>271</v>
      </c>
      <c r="AR762" s="188">
        <v>100</v>
      </c>
      <c r="AS762" s="171"/>
      <c r="AT762" s="171" t="str">
        <f t="shared" si="64"/>
        <v>400</v>
      </c>
      <c r="AU762" s="255">
        <f t="shared" si="65"/>
        <v>22.222222222222221</v>
      </c>
      <c r="AV762" s="172">
        <v>100</v>
      </c>
      <c r="AW762" s="171">
        <v>7</v>
      </c>
      <c r="AX762" s="89"/>
      <c r="AY762" s="171">
        <v>20</v>
      </c>
      <c r="AZ762" s="89"/>
      <c r="BA762" s="175">
        <v>60</v>
      </c>
      <c r="BB762" s="189" t="s">
        <v>2547</v>
      </c>
      <c r="BC762" s="176" t="s">
        <v>558</v>
      </c>
      <c r="BD762" s="179"/>
      <c r="BE762" s="179"/>
      <c r="BF762" s="178" t="s">
        <v>557</v>
      </c>
      <c r="BG762" s="25"/>
      <c r="BH762" s="25"/>
    </row>
    <row r="763" spans="1:60" ht="15" customHeight="1">
      <c r="A763" s="95">
        <v>762</v>
      </c>
      <c r="B763" s="98" t="s">
        <v>940</v>
      </c>
      <c r="C763" s="191" t="s">
        <v>2677</v>
      </c>
      <c r="D763" s="257" t="s">
        <v>549</v>
      </c>
      <c r="E763" s="459" t="s">
        <v>3377</v>
      </c>
      <c r="F763" s="171">
        <v>2000</v>
      </c>
      <c r="G763" s="171">
        <v>196</v>
      </c>
      <c r="H763" s="57"/>
      <c r="I763" s="173" t="s">
        <v>2564</v>
      </c>
      <c r="J763" s="277">
        <v>0.45</v>
      </c>
      <c r="K763" s="213">
        <v>4.8392370572207088</v>
      </c>
      <c r="L763" s="91"/>
      <c r="M763" s="278">
        <v>367</v>
      </c>
      <c r="N763" s="279"/>
      <c r="O763" s="172" t="s">
        <v>12</v>
      </c>
      <c r="P763" s="92"/>
      <c r="Q763" s="173" t="s">
        <v>10</v>
      </c>
      <c r="R763" s="89"/>
      <c r="S763" s="94"/>
      <c r="T763" s="171" t="s">
        <v>2306</v>
      </c>
      <c r="U763" s="171" t="s">
        <v>2530</v>
      </c>
      <c r="V763" s="102">
        <v>0</v>
      </c>
      <c r="W763" s="120">
        <v>0</v>
      </c>
      <c r="X763" s="120">
        <v>0</v>
      </c>
      <c r="Y763" s="120">
        <v>0</v>
      </c>
      <c r="Z763" s="120">
        <v>0</v>
      </c>
      <c r="AA763" s="17">
        <v>0</v>
      </c>
      <c r="AB763" s="17">
        <v>0</v>
      </c>
      <c r="AC763" s="17">
        <v>0</v>
      </c>
      <c r="AD763" s="17">
        <v>0</v>
      </c>
      <c r="AE763" s="17">
        <v>0</v>
      </c>
      <c r="AF763" s="17">
        <v>0</v>
      </c>
      <c r="AG763" s="17">
        <v>0</v>
      </c>
      <c r="AH763" s="17">
        <v>4.09</v>
      </c>
      <c r="AI763" s="17">
        <v>0</v>
      </c>
      <c r="AJ763" s="17">
        <v>0</v>
      </c>
      <c r="AK763" s="17">
        <v>0</v>
      </c>
      <c r="AL763" s="32">
        <v>0</v>
      </c>
      <c r="AM763" s="780">
        <v>38.299999999999997</v>
      </c>
      <c r="AN763" s="89"/>
      <c r="AO763" s="280"/>
      <c r="AP763" s="784"/>
      <c r="AQ763" s="773" t="s">
        <v>271</v>
      </c>
      <c r="AR763" s="188">
        <v>100</v>
      </c>
      <c r="AS763" s="171"/>
      <c r="AT763" s="171" t="str">
        <f t="shared" si="64"/>
        <v>400</v>
      </c>
      <c r="AU763" s="255">
        <f t="shared" si="65"/>
        <v>22.222222222222221</v>
      </c>
      <c r="AV763" s="172">
        <v>100</v>
      </c>
      <c r="AW763" s="171">
        <v>7</v>
      </c>
      <c r="AX763" s="89"/>
      <c r="AY763" s="171">
        <v>20</v>
      </c>
      <c r="AZ763" s="89"/>
      <c r="BA763" s="175">
        <v>60</v>
      </c>
      <c r="BB763" s="189" t="s">
        <v>2547</v>
      </c>
      <c r="BC763" s="176" t="s">
        <v>558</v>
      </c>
      <c r="BD763" s="179"/>
      <c r="BE763" s="179"/>
      <c r="BF763" s="178" t="s">
        <v>557</v>
      </c>
      <c r="BG763" s="25"/>
      <c r="BH763" s="25"/>
    </row>
    <row r="764" spans="1:60" ht="15" customHeight="1">
      <c r="A764" s="95">
        <v>763</v>
      </c>
      <c r="B764" s="98" t="s">
        <v>939</v>
      </c>
      <c r="C764" s="191" t="s">
        <v>2677</v>
      </c>
      <c r="D764" s="257" t="s">
        <v>549</v>
      </c>
      <c r="E764" s="459" t="s">
        <v>3377</v>
      </c>
      <c r="F764" s="171">
        <v>2000</v>
      </c>
      <c r="G764" s="171">
        <v>196</v>
      </c>
      <c r="H764" s="57"/>
      <c r="I764" s="173" t="s">
        <v>2564</v>
      </c>
      <c r="J764" s="277">
        <v>0.5</v>
      </c>
      <c r="K764" s="213">
        <v>5.4787878787878785</v>
      </c>
      <c r="L764" s="91"/>
      <c r="M764" s="278">
        <v>330</v>
      </c>
      <c r="N764" s="279"/>
      <c r="O764" s="172" t="s">
        <v>12</v>
      </c>
      <c r="P764" s="92"/>
      <c r="Q764" s="173" t="s">
        <v>10</v>
      </c>
      <c r="R764" s="89"/>
      <c r="S764" s="94"/>
      <c r="T764" s="171" t="s">
        <v>2306</v>
      </c>
      <c r="U764" s="171" t="s">
        <v>2530</v>
      </c>
      <c r="V764" s="102">
        <v>0</v>
      </c>
      <c r="W764" s="120">
        <v>0</v>
      </c>
      <c r="X764" s="120">
        <v>0</v>
      </c>
      <c r="Y764" s="120">
        <v>0</v>
      </c>
      <c r="Z764" s="120">
        <v>0</v>
      </c>
      <c r="AA764" s="17">
        <v>0</v>
      </c>
      <c r="AB764" s="17">
        <v>0</v>
      </c>
      <c r="AC764" s="17">
        <v>0</v>
      </c>
      <c r="AD764" s="17">
        <v>0</v>
      </c>
      <c r="AE764" s="17">
        <v>0</v>
      </c>
      <c r="AF764" s="17">
        <v>0</v>
      </c>
      <c r="AG764" s="17">
        <v>0</v>
      </c>
      <c r="AH764" s="17">
        <v>3.03</v>
      </c>
      <c r="AI764" s="17">
        <v>0</v>
      </c>
      <c r="AJ764" s="17">
        <v>0</v>
      </c>
      <c r="AK764" s="17">
        <v>0</v>
      </c>
      <c r="AL764" s="32">
        <v>0</v>
      </c>
      <c r="AM764" s="780">
        <v>31.2</v>
      </c>
      <c r="AN764" s="89"/>
      <c r="AO764" s="280"/>
      <c r="AP764" s="784"/>
      <c r="AQ764" s="773" t="s">
        <v>271</v>
      </c>
      <c r="AR764" s="188">
        <v>100</v>
      </c>
      <c r="AS764" s="171"/>
      <c r="AT764" s="171" t="str">
        <f t="shared" ref="AT764:AT795" si="66">RIGHT(AQ764,LEN(AQ764)-FIND("x",AQ764,8))</f>
        <v>400</v>
      </c>
      <c r="AU764" s="255">
        <f t="shared" ref="AU764:AU795" si="67">IF(ISBLANK(AS764),(AR764*AT764)/((4*AT764)+(2*AR764)),AR764*AS764*AT764/2/(AR764*AS764+AR764*AT764+AS764*AT764))</f>
        <v>22.222222222222221</v>
      </c>
      <c r="AV764" s="172">
        <v>100</v>
      </c>
      <c r="AW764" s="171">
        <v>7</v>
      </c>
      <c r="AX764" s="89"/>
      <c r="AY764" s="171">
        <v>20</v>
      </c>
      <c r="AZ764" s="89"/>
      <c r="BA764" s="175">
        <v>60</v>
      </c>
      <c r="BB764" s="189" t="s">
        <v>2547</v>
      </c>
      <c r="BC764" s="176" t="s">
        <v>558</v>
      </c>
      <c r="BD764" s="179"/>
      <c r="BE764" s="179"/>
      <c r="BF764" s="178" t="s">
        <v>557</v>
      </c>
      <c r="BG764" s="25"/>
      <c r="BH764" s="25"/>
    </row>
    <row r="765" spans="1:60" ht="15" customHeight="1">
      <c r="A765" s="95">
        <v>764</v>
      </c>
      <c r="B765" s="98" t="s">
        <v>938</v>
      </c>
      <c r="C765" s="191" t="s">
        <v>2677</v>
      </c>
      <c r="D765" s="257" t="s">
        <v>549</v>
      </c>
      <c r="E765" s="459" t="s">
        <v>3377</v>
      </c>
      <c r="F765" s="171">
        <v>2000</v>
      </c>
      <c r="G765" s="171">
        <v>196</v>
      </c>
      <c r="H765" s="57"/>
      <c r="I765" s="173" t="s">
        <v>2564</v>
      </c>
      <c r="J765" s="277">
        <v>0.4</v>
      </c>
      <c r="K765" s="213">
        <v>4.2058111380145276</v>
      </c>
      <c r="L765" s="91"/>
      <c r="M765" s="278">
        <v>413</v>
      </c>
      <c r="N765" s="279"/>
      <c r="O765" s="172" t="s">
        <v>12</v>
      </c>
      <c r="P765" s="92"/>
      <c r="Q765" s="173" t="s">
        <v>10</v>
      </c>
      <c r="R765" s="89"/>
      <c r="S765" s="94"/>
      <c r="T765" s="171" t="s">
        <v>2306</v>
      </c>
      <c r="U765" s="171" t="s">
        <v>2530</v>
      </c>
      <c r="V765" s="102">
        <v>0</v>
      </c>
      <c r="W765" s="120">
        <v>0</v>
      </c>
      <c r="X765" s="120">
        <v>0</v>
      </c>
      <c r="Y765" s="120">
        <v>0</v>
      </c>
      <c r="Z765" s="120">
        <v>0</v>
      </c>
      <c r="AA765" s="17">
        <v>0</v>
      </c>
      <c r="AB765" s="17">
        <v>0</v>
      </c>
      <c r="AC765" s="17">
        <v>0</v>
      </c>
      <c r="AD765" s="17">
        <v>0</v>
      </c>
      <c r="AE765" s="17">
        <v>0</v>
      </c>
      <c r="AF765" s="17">
        <v>0</v>
      </c>
      <c r="AG765" s="17">
        <v>0</v>
      </c>
      <c r="AH765" s="17">
        <v>0</v>
      </c>
      <c r="AI765" s="17">
        <v>0</v>
      </c>
      <c r="AJ765" s="17">
        <v>0</v>
      </c>
      <c r="AK765" s="17">
        <v>0</v>
      </c>
      <c r="AL765" s="58">
        <v>0</v>
      </c>
      <c r="AM765" s="780">
        <v>56.7</v>
      </c>
      <c r="AN765" s="89"/>
      <c r="AO765" s="280"/>
      <c r="AP765" s="784"/>
      <c r="AQ765" s="773" t="s">
        <v>271</v>
      </c>
      <c r="AR765" s="188">
        <v>100</v>
      </c>
      <c r="AS765" s="171"/>
      <c r="AT765" s="171" t="str">
        <f t="shared" si="66"/>
        <v>400</v>
      </c>
      <c r="AU765" s="255">
        <f t="shared" si="67"/>
        <v>22.222222222222221</v>
      </c>
      <c r="AV765" s="172">
        <v>100</v>
      </c>
      <c r="AW765" s="171">
        <v>7</v>
      </c>
      <c r="AX765" s="89"/>
      <c r="AY765" s="171">
        <v>20</v>
      </c>
      <c r="AZ765" s="89"/>
      <c r="BA765" s="175">
        <v>60</v>
      </c>
      <c r="BB765" s="189" t="s">
        <v>2547</v>
      </c>
      <c r="BC765" s="176" t="s">
        <v>558</v>
      </c>
      <c r="BD765" s="179"/>
      <c r="BE765" s="179"/>
      <c r="BF765" s="178"/>
      <c r="BG765" s="25"/>
      <c r="BH765" s="25"/>
    </row>
    <row r="766" spans="1:60" ht="15" customHeight="1">
      <c r="A766" s="95">
        <v>765</v>
      </c>
      <c r="B766" s="98" t="s">
        <v>937</v>
      </c>
      <c r="C766" s="191" t="s">
        <v>2677</v>
      </c>
      <c r="D766" s="257" t="s">
        <v>549</v>
      </c>
      <c r="E766" s="459" t="s">
        <v>3377</v>
      </c>
      <c r="F766" s="171">
        <v>2000</v>
      </c>
      <c r="G766" s="171">
        <v>196</v>
      </c>
      <c r="H766" s="57"/>
      <c r="I766" s="173" t="s">
        <v>2564</v>
      </c>
      <c r="J766" s="277">
        <v>0.5</v>
      </c>
      <c r="K766" s="213">
        <v>5.8576051779935279</v>
      </c>
      <c r="L766" s="91"/>
      <c r="M766" s="278">
        <v>309</v>
      </c>
      <c r="N766" s="279"/>
      <c r="O766" s="172" t="s">
        <v>12</v>
      </c>
      <c r="P766" s="511"/>
      <c r="Q766" s="173" t="s">
        <v>10</v>
      </c>
      <c r="R766" s="89"/>
      <c r="S766" s="94"/>
      <c r="T766" s="171" t="s">
        <v>2306</v>
      </c>
      <c r="U766" s="171" t="s">
        <v>2530</v>
      </c>
      <c r="V766" s="102">
        <v>0</v>
      </c>
      <c r="W766" s="120">
        <v>0</v>
      </c>
      <c r="X766" s="120">
        <v>0</v>
      </c>
      <c r="Y766" s="120">
        <v>0</v>
      </c>
      <c r="Z766" s="120">
        <v>0</v>
      </c>
      <c r="AA766" s="17">
        <v>0</v>
      </c>
      <c r="AB766" s="17">
        <v>0</v>
      </c>
      <c r="AC766" s="17">
        <v>0</v>
      </c>
      <c r="AD766" s="17">
        <v>0</v>
      </c>
      <c r="AE766" s="17">
        <v>0</v>
      </c>
      <c r="AF766" s="17">
        <v>0</v>
      </c>
      <c r="AG766" s="17">
        <v>0</v>
      </c>
      <c r="AH766" s="17">
        <v>0</v>
      </c>
      <c r="AI766" s="17">
        <v>0</v>
      </c>
      <c r="AJ766" s="17">
        <v>0</v>
      </c>
      <c r="AK766" s="17">
        <v>0</v>
      </c>
      <c r="AL766" s="58">
        <v>0</v>
      </c>
      <c r="AM766" s="780">
        <v>35.799999999999997</v>
      </c>
      <c r="AN766" s="89"/>
      <c r="AO766" s="280"/>
      <c r="AP766" s="784"/>
      <c r="AQ766" s="773" t="s">
        <v>271</v>
      </c>
      <c r="AR766" s="188">
        <v>100</v>
      </c>
      <c r="AS766" s="171"/>
      <c r="AT766" s="171" t="str">
        <f t="shared" si="66"/>
        <v>400</v>
      </c>
      <c r="AU766" s="255">
        <f t="shared" si="67"/>
        <v>22.222222222222221</v>
      </c>
      <c r="AV766" s="172">
        <v>100</v>
      </c>
      <c r="AW766" s="171">
        <v>7</v>
      </c>
      <c r="AX766" s="89"/>
      <c r="AY766" s="171">
        <v>20</v>
      </c>
      <c r="AZ766" s="89"/>
      <c r="BA766" s="175">
        <v>60</v>
      </c>
      <c r="BB766" s="189" t="s">
        <v>2547</v>
      </c>
      <c r="BC766" s="176" t="s">
        <v>558</v>
      </c>
      <c r="BD766" s="179"/>
      <c r="BE766" s="179"/>
      <c r="BF766" s="178"/>
      <c r="BG766" s="25"/>
      <c r="BH766" s="25"/>
    </row>
    <row r="767" spans="1:60" ht="15" customHeight="1">
      <c r="A767" s="95">
        <v>766</v>
      </c>
      <c r="B767" s="98" t="s">
        <v>936</v>
      </c>
      <c r="C767" s="191" t="s">
        <v>2677</v>
      </c>
      <c r="D767" s="257" t="s">
        <v>549</v>
      </c>
      <c r="E767" s="459" t="s">
        <v>3377</v>
      </c>
      <c r="F767" s="171">
        <v>2000</v>
      </c>
      <c r="G767" s="171">
        <v>196</v>
      </c>
      <c r="H767" s="57"/>
      <c r="I767" s="173" t="s">
        <v>2564</v>
      </c>
      <c r="J767" s="277">
        <v>0.5</v>
      </c>
      <c r="K767" s="213">
        <v>5.3</v>
      </c>
      <c r="L767" s="91"/>
      <c r="M767" s="278">
        <v>350</v>
      </c>
      <c r="N767" s="279"/>
      <c r="O767" s="172" t="s">
        <v>12</v>
      </c>
      <c r="P767" s="511"/>
      <c r="Q767" s="173" t="s">
        <v>10</v>
      </c>
      <c r="R767" s="89"/>
      <c r="S767" s="94"/>
      <c r="T767" s="171" t="s">
        <v>2306</v>
      </c>
      <c r="U767" s="171" t="s">
        <v>2530</v>
      </c>
      <c r="V767" s="102">
        <v>0</v>
      </c>
      <c r="W767" s="120">
        <v>0</v>
      </c>
      <c r="X767" s="120">
        <v>0</v>
      </c>
      <c r="Y767" s="120">
        <v>0</v>
      </c>
      <c r="Z767" s="120">
        <v>0</v>
      </c>
      <c r="AA767" s="17">
        <v>0</v>
      </c>
      <c r="AB767" s="17">
        <v>0</v>
      </c>
      <c r="AC767" s="17">
        <v>0</v>
      </c>
      <c r="AD767" s="17">
        <v>0</v>
      </c>
      <c r="AE767" s="17">
        <v>0</v>
      </c>
      <c r="AF767" s="17">
        <v>0</v>
      </c>
      <c r="AG767" s="17">
        <v>0</v>
      </c>
      <c r="AH767" s="17">
        <v>2</v>
      </c>
      <c r="AI767" s="17">
        <v>0</v>
      </c>
      <c r="AJ767" s="17">
        <v>0</v>
      </c>
      <c r="AK767" s="17">
        <v>0</v>
      </c>
      <c r="AL767" s="32">
        <v>0</v>
      </c>
      <c r="AM767" s="780">
        <v>50</v>
      </c>
      <c r="AN767" s="89"/>
      <c r="AO767" s="280"/>
      <c r="AP767" s="784"/>
      <c r="AQ767" s="773" t="s">
        <v>271</v>
      </c>
      <c r="AR767" s="188">
        <v>100</v>
      </c>
      <c r="AS767" s="171"/>
      <c r="AT767" s="171" t="str">
        <f t="shared" si="66"/>
        <v>400</v>
      </c>
      <c r="AU767" s="255">
        <f t="shared" si="67"/>
        <v>22.222222222222221</v>
      </c>
      <c r="AV767" s="172">
        <v>100</v>
      </c>
      <c r="AW767" s="171">
        <v>7</v>
      </c>
      <c r="AX767" s="89"/>
      <c r="AY767" s="171">
        <v>20</v>
      </c>
      <c r="AZ767" s="89"/>
      <c r="BA767" s="175">
        <v>60</v>
      </c>
      <c r="BB767" s="189" t="s">
        <v>2547</v>
      </c>
      <c r="BC767" s="176" t="s">
        <v>558</v>
      </c>
      <c r="BD767" s="179"/>
      <c r="BE767" s="179"/>
      <c r="BF767" s="178" t="s">
        <v>557</v>
      </c>
      <c r="BG767" s="25"/>
      <c r="BH767" s="25"/>
    </row>
    <row r="768" spans="1:60" ht="15" customHeight="1">
      <c r="A768" s="95">
        <v>767</v>
      </c>
      <c r="B768" s="98" t="s">
        <v>935</v>
      </c>
      <c r="C768" s="191" t="s">
        <v>2677</v>
      </c>
      <c r="D768" s="257" t="s">
        <v>549</v>
      </c>
      <c r="E768" s="459" t="s">
        <v>3377</v>
      </c>
      <c r="F768" s="171">
        <v>2000</v>
      </c>
      <c r="G768" s="171">
        <v>196</v>
      </c>
      <c r="H768" s="57"/>
      <c r="I768" s="173" t="s">
        <v>2564</v>
      </c>
      <c r="J768" s="277">
        <v>0.45</v>
      </c>
      <c r="K768" s="213">
        <v>4.6863753213367607</v>
      </c>
      <c r="L768" s="91"/>
      <c r="M768" s="278">
        <v>389</v>
      </c>
      <c r="N768" s="279"/>
      <c r="O768" s="172" t="s">
        <v>12</v>
      </c>
      <c r="P768" s="511"/>
      <c r="Q768" s="173" t="s">
        <v>10</v>
      </c>
      <c r="R768" s="89"/>
      <c r="S768" s="94"/>
      <c r="T768" s="171" t="s">
        <v>2306</v>
      </c>
      <c r="U768" s="171" t="s">
        <v>2530</v>
      </c>
      <c r="V768" s="102">
        <v>0</v>
      </c>
      <c r="W768" s="120">
        <v>0</v>
      </c>
      <c r="X768" s="120">
        <v>0</v>
      </c>
      <c r="Y768" s="120">
        <v>0</v>
      </c>
      <c r="Z768" s="120">
        <v>0</v>
      </c>
      <c r="AA768" s="17">
        <v>0</v>
      </c>
      <c r="AB768" s="17">
        <v>0</v>
      </c>
      <c r="AC768" s="17">
        <v>0</v>
      </c>
      <c r="AD768" s="17">
        <v>0</v>
      </c>
      <c r="AE768" s="17">
        <v>0</v>
      </c>
      <c r="AF768" s="17">
        <v>0</v>
      </c>
      <c r="AG768" s="17">
        <v>0</v>
      </c>
      <c r="AH768" s="17">
        <v>1.03</v>
      </c>
      <c r="AI768" s="17">
        <v>0</v>
      </c>
      <c r="AJ768" s="17">
        <v>0</v>
      </c>
      <c r="AK768" s="17">
        <v>0</v>
      </c>
      <c r="AL768" s="32">
        <v>0</v>
      </c>
      <c r="AM768" s="780">
        <v>55</v>
      </c>
      <c r="AN768" s="89"/>
      <c r="AO768" s="280"/>
      <c r="AP768" s="784"/>
      <c r="AQ768" s="773" t="s">
        <v>271</v>
      </c>
      <c r="AR768" s="188">
        <v>100</v>
      </c>
      <c r="AS768" s="171"/>
      <c r="AT768" s="171" t="str">
        <f t="shared" si="66"/>
        <v>400</v>
      </c>
      <c r="AU768" s="255">
        <f t="shared" si="67"/>
        <v>22.222222222222221</v>
      </c>
      <c r="AV768" s="172">
        <v>100</v>
      </c>
      <c r="AW768" s="171">
        <v>7</v>
      </c>
      <c r="AX768" s="89"/>
      <c r="AY768" s="171">
        <v>20</v>
      </c>
      <c r="AZ768" s="89"/>
      <c r="BA768" s="175">
        <v>60</v>
      </c>
      <c r="BB768" s="189" t="s">
        <v>2547</v>
      </c>
      <c r="BC768" s="176" t="s">
        <v>558</v>
      </c>
      <c r="BD768" s="179"/>
      <c r="BE768" s="179"/>
      <c r="BF768" s="178" t="s">
        <v>557</v>
      </c>
      <c r="BG768" s="25"/>
      <c r="BH768" s="25"/>
    </row>
    <row r="769" spans="1:60" ht="15" customHeight="1">
      <c r="A769" s="95">
        <v>768</v>
      </c>
      <c r="B769" s="98" t="s">
        <v>934</v>
      </c>
      <c r="C769" s="191" t="s">
        <v>2677</v>
      </c>
      <c r="D769" s="257" t="s">
        <v>549</v>
      </c>
      <c r="E769" s="459" t="s">
        <v>3377</v>
      </c>
      <c r="F769" s="171">
        <v>2000</v>
      </c>
      <c r="G769" s="171">
        <v>196</v>
      </c>
      <c r="H769" s="57"/>
      <c r="I769" s="173" t="s">
        <v>2564</v>
      </c>
      <c r="J769" s="277">
        <v>0.45</v>
      </c>
      <c r="K769" s="213">
        <v>4.6863753213367607</v>
      </c>
      <c r="L769" s="91"/>
      <c r="M769" s="278">
        <v>389</v>
      </c>
      <c r="N769" s="279"/>
      <c r="O769" s="172" t="s">
        <v>12</v>
      </c>
      <c r="P769" s="92"/>
      <c r="Q769" s="173" t="s">
        <v>10</v>
      </c>
      <c r="R769" s="89"/>
      <c r="S769" s="94"/>
      <c r="T769" s="171" t="s">
        <v>2306</v>
      </c>
      <c r="U769" s="171" t="s">
        <v>2530</v>
      </c>
      <c r="V769" s="102">
        <v>0</v>
      </c>
      <c r="W769" s="120">
        <v>0</v>
      </c>
      <c r="X769" s="120">
        <v>0</v>
      </c>
      <c r="Y769" s="120">
        <v>0</v>
      </c>
      <c r="Z769" s="120">
        <v>0</v>
      </c>
      <c r="AA769" s="17">
        <v>0</v>
      </c>
      <c r="AB769" s="17">
        <v>0</v>
      </c>
      <c r="AC769" s="17">
        <v>0</v>
      </c>
      <c r="AD769" s="17">
        <v>0</v>
      </c>
      <c r="AE769" s="17">
        <v>0</v>
      </c>
      <c r="AF769" s="17">
        <v>0</v>
      </c>
      <c r="AG769" s="17">
        <v>0</v>
      </c>
      <c r="AH769" s="17">
        <v>2.06</v>
      </c>
      <c r="AI769" s="17">
        <v>0</v>
      </c>
      <c r="AJ769" s="17">
        <v>0</v>
      </c>
      <c r="AK769" s="17">
        <v>0</v>
      </c>
      <c r="AL769" s="32">
        <v>0</v>
      </c>
      <c r="AM769" s="780">
        <v>55</v>
      </c>
      <c r="AN769" s="89"/>
      <c r="AO769" s="280"/>
      <c r="AP769" s="784"/>
      <c r="AQ769" s="773" t="s">
        <v>271</v>
      </c>
      <c r="AR769" s="188">
        <v>100</v>
      </c>
      <c r="AS769" s="171"/>
      <c r="AT769" s="171" t="str">
        <f t="shared" si="66"/>
        <v>400</v>
      </c>
      <c r="AU769" s="255">
        <f t="shared" si="67"/>
        <v>22.222222222222221</v>
      </c>
      <c r="AV769" s="172">
        <v>100</v>
      </c>
      <c r="AW769" s="171">
        <v>7</v>
      </c>
      <c r="AX769" s="89"/>
      <c r="AY769" s="171">
        <v>20</v>
      </c>
      <c r="AZ769" s="89"/>
      <c r="BA769" s="175">
        <v>60</v>
      </c>
      <c r="BB769" s="189" t="s">
        <v>2547</v>
      </c>
      <c r="BC769" s="176" t="s">
        <v>558</v>
      </c>
      <c r="BD769" s="179"/>
      <c r="BE769" s="179"/>
      <c r="BF769" s="178" t="s">
        <v>557</v>
      </c>
      <c r="BG769" s="25"/>
      <c r="BH769" s="25"/>
    </row>
    <row r="770" spans="1:60" ht="15" customHeight="1">
      <c r="A770" s="95">
        <v>769</v>
      </c>
      <c r="B770" s="98" t="s">
        <v>933</v>
      </c>
      <c r="C770" s="191" t="s">
        <v>2677</v>
      </c>
      <c r="D770" s="257" t="s">
        <v>549</v>
      </c>
      <c r="E770" s="459" t="s">
        <v>3377</v>
      </c>
      <c r="F770" s="171">
        <v>2000</v>
      </c>
      <c r="G770" s="171">
        <v>196</v>
      </c>
      <c r="H770" s="57"/>
      <c r="I770" s="173" t="s">
        <v>2564</v>
      </c>
      <c r="J770" s="277">
        <v>0.45</v>
      </c>
      <c r="K770" s="213">
        <v>4.6863753213367607</v>
      </c>
      <c r="L770" s="91"/>
      <c r="M770" s="278">
        <v>389</v>
      </c>
      <c r="N770" s="279"/>
      <c r="O770" s="172" t="s">
        <v>12</v>
      </c>
      <c r="P770" s="92"/>
      <c r="Q770" s="173" t="s">
        <v>10</v>
      </c>
      <c r="R770" s="89"/>
      <c r="S770" s="94"/>
      <c r="T770" s="171" t="s">
        <v>2306</v>
      </c>
      <c r="U770" s="171" t="s">
        <v>2530</v>
      </c>
      <c r="V770" s="102">
        <v>0</v>
      </c>
      <c r="W770" s="120">
        <v>0</v>
      </c>
      <c r="X770" s="120">
        <v>0</v>
      </c>
      <c r="Y770" s="120">
        <v>0</v>
      </c>
      <c r="Z770" s="120">
        <v>0</v>
      </c>
      <c r="AA770" s="17">
        <v>0</v>
      </c>
      <c r="AB770" s="17">
        <v>0</v>
      </c>
      <c r="AC770" s="17">
        <v>0</v>
      </c>
      <c r="AD770" s="17">
        <v>0</v>
      </c>
      <c r="AE770" s="17">
        <v>0</v>
      </c>
      <c r="AF770" s="17">
        <v>0</v>
      </c>
      <c r="AG770" s="17">
        <v>0</v>
      </c>
      <c r="AH770" s="17">
        <v>4.1100000000000003</v>
      </c>
      <c r="AI770" s="17">
        <v>0</v>
      </c>
      <c r="AJ770" s="17">
        <v>0</v>
      </c>
      <c r="AK770" s="17">
        <v>0</v>
      </c>
      <c r="AL770" s="32">
        <v>0</v>
      </c>
      <c r="AM770" s="780">
        <v>54.2</v>
      </c>
      <c r="AN770" s="89"/>
      <c r="AO770" s="280"/>
      <c r="AP770" s="784"/>
      <c r="AQ770" s="773" t="s">
        <v>271</v>
      </c>
      <c r="AR770" s="188">
        <v>100</v>
      </c>
      <c r="AS770" s="171"/>
      <c r="AT770" s="171" t="str">
        <f t="shared" si="66"/>
        <v>400</v>
      </c>
      <c r="AU770" s="255">
        <f t="shared" si="67"/>
        <v>22.222222222222221</v>
      </c>
      <c r="AV770" s="172">
        <v>100</v>
      </c>
      <c r="AW770" s="171">
        <v>7</v>
      </c>
      <c r="AX770" s="89"/>
      <c r="AY770" s="171">
        <v>20</v>
      </c>
      <c r="AZ770" s="89"/>
      <c r="BA770" s="175">
        <v>60</v>
      </c>
      <c r="BB770" s="189" t="s">
        <v>2547</v>
      </c>
      <c r="BC770" s="176" t="s">
        <v>558</v>
      </c>
      <c r="BD770" s="179"/>
      <c r="BE770" s="179"/>
      <c r="BF770" s="178" t="s">
        <v>557</v>
      </c>
      <c r="BG770" s="25"/>
      <c r="BH770" s="25"/>
    </row>
    <row r="771" spans="1:60" ht="15" customHeight="1">
      <c r="A771" s="95">
        <v>770</v>
      </c>
      <c r="B771" s="98" t="s">
        <v>932</v>
      </c>
      <c r="C771" s="191" t="s">
        <v>2677</v>
      </c>
      <c r="D771" s="257" t="s">
        <v>549</v>
      </c>
      <c r="E771" s="459" t="s">
        <v>3377</v>
      </c>
      <c r="F771" s="171">
        <v>2000</v>
      </c>
      <c r="G771" s="171">
        <v>196</v>
      </c>
      <c r="H771" s="57"/>
      <c r="I771" s="173" t="s">
        <v>2564</v>
      </c>
      <c r="J771" s="277">
        <v>0.5</v>
      </c>
      <c r="K771" s="213">
        <v>5.4787878787878785</v>
      </c>
      <c r="L771" s="91"/>
      <c r="M771" s="278">
        <v>330</v>
      </c>
      <c r="N771" s="279"/>
      <c r="O771" s="172" t="s">
        <v>12</v>
      </c>
      <c r="P771" s="92"/>
      <c r="Q771" s="173" t="s">
        <v>10</v>
      </c>
      <c r="R771" s="89"/>
      <c r="S771" s="94"/>
      <c r="T771" s="171" t="s">
        <v>2306</v>
      </c>
      <c r="U771" s="171" t="s">
        <v>2530</v>
      </c>
      <c r="V771" s="102">
        <v>0</v>
      </c>
      <c r="W771" s="120">
        <v>0</v>
      </c>
      <c r="X771" s="120">
        <v>0</v>
      </c>
      <c r="Y771" s="120">
        <v>0</v>
      </c>
      <c r="Z771" s="120">
        <v>0</v>
      </c>
      <c r="AA771" s="17">
        <v>0</v>
      </c>
      <c r="AB771" s="17">
        <v>0</v>
      </c>
      <c r="AC771" s="17">
        <v>0</v>
      </c>
      <c r="AD771" s="17">
        <v>0</v>
      </c>
      <c r="AE771" s="17">
        <v>0</v>
      </c>
      <c r="AF771" s="17">
        <v>0</v>
      </c>
      <c r="AG771" s="17">
        <v>0</v>
      </c>
      <c r="AH771" s="17">
        <v>2.12</v>
      </c>
      <c r="AI771" s="17">
        <v>0</v>
      </c>
      <c r="AJ771" s="17">
        <v>0</v>
      </c>
      <c r="AK771" s="17">
        <v>0</v>
      </c>
      <c r="AL771" s="32">
        <v>0</v>
      </c>
      <c r="AM771" s="780">
        <v>38.299999999999997</v>
      </c>
      <c r="AN771" s="89"/>
      <c r="AO771" s="280"/>
      <c r="AP771" s="784"/>
      <c r="AQ771" s="773" t="s">
        <v>271</v>
      </c>
      <c r="AR771" s="188">
        <v>100</v>
      </c>
      <c r="AS771" s="171"/>
      <c r="AT771" s="171" t="str">
        <f t="shared" si="66"/>
        <v>400</v>
      </c>
      <c r="AU771" s="255">
        <f t="shared" si="67"/>
        <v>22.222222222222221</v>
      </c>
      <c r="AV771" s="172">
        <v>100</v>
      </c>
      <c r="AW771" s="171">
        <v>7</v>
      </c>
      <c r="AX771" s="89"/>
      <c r="AY771" s="171">
        <v>20</v>
      </c>
      <c r="AZ771" s="89"/>
      <c r="BA771" s="175">
        <v>60</v>
      </c>
      <c r="BB771" s="189" t="s">
        <v>2547</v>
      </c>
      <c r="BC771" s="176" t="s">
        <v>558</v>
      </c>
      <c r="BD771" s="179"/>
      <c r="BE771" s="179"/>
      <c r="BF771" s="178" t="s">
        <v>557</v>
      </c>
      <c r="BG771" s="25"/>
      <c r="BH771" s="25"/>
    </row>
    <row r="772" spans="1:60" ht="15" customHeight="1">
      <c r="A772" s="95">
        <v>771</v>
      </c>
      <c r="B772" s="98" t="s">
        <v>931</v>
      </c>
      <c r="C772" s="191" t="s">
        <v>2677</v>
      </c>
      <c r="D772" s="257" t="s">
        <v>549</v>
      </c>
      <c r="E772" s="459" t="s">
        <v>3377</v>
      </c>
      <c r="F772" s="171">
        <v>2000</v>
      </c>
      <c r="G772" s="171">
        <v>196</v>
      </c>
      <c r="H772" s="57"/>
      <c r="I772" s="173" t="s">
        <v>2564</v>
      </c>
      <c r="J772" s="277">
        <v>0.45</v>
      </c>
      <c r="K772" s="213">
        <v>4.8392370572207088</v>
      </c>
      <c r="L772" s="91"/>
      <c r="M772" s="278">
        <v>367</v>
      </c>
      <c r="N772" s="279"/>
      <c r="O772" s="172" t="s">
        <v>12</v>
      </c>
      <c r="P772" s="92"/>
      <c r="Q772" s="173" t="s">
        <v>10</v>
      </c>
      <c r="R772" s="89"/>
      <c r="S772" s="94"/>
      <c r="T772" s="171" t="s">
        <v>2306</v>
      </c>
      <c r="U772" s="171" t="s">
        <v>2530</v>
      </c>
      <c r="V772" s="102">
        <v>0</v>
      </c>
      <c r="W772" s="120">
        <v>0</v>
      </c>
      <c r="X772" s="120">
        <v>0</v>
      </c>
      <c r="Y772" s="120">
        <v>0</v>
      </c>
      <c r="Z772" s="120">
        <v>0</v>
      </c>
      <c r="AA772" s="17">
        <v>0</v>
      </c>
      <c r="AB772" s="17">
        <v>0</v>
      </c>
      <c r="AC772" s="17">
        <v>0</v>
      </c>
      <c r="AD772" s="17">
        <v>0</v>
      </c>
      <c r="AE772" s="17">
        <v>0</v>
      </c>
      <c r="AF772" s="17">
        <v>0</v>
      </c>
      <c r="AG772" s="17">
        <v>0</v>
      </c>
      <c r="AH772" s="17">
        <v>1.0900000000000001</v>
      </c>
      <c r="AI772" s="17">
        <v>0</v>
      </c>
      <c r="AJ772" s="17">
        <v>0</v>
      </c>
      <c r="AK772" s="17">
        <v>0</v>
      </c>
      <c r="AL772" s="32">
        <v>0</v>
      </c>
      <c r="AM772" s="780">
        <v>45</v>
      </c>
      <c r="AN772" s="89"/>
      <c r="AO772" s="280"/>
      <c r="AP772" s="784"/>
      <c r="AQ772" s="773" t="s">
        <v>271</v>
      </c>
      <c r="AR772" s="188">
        <v>100</v>
      </c>
      <c r="AS772" s="171"/>
      <c r="AT772" s="171" t="str">
        <f t="shared" si="66"/>
        <v>400</v>
      </c>
      <c r="AU772" s="255">
        <f t="shared" si="67"/>
        <v>22.222222222222221</v>
      </c>
      <c r="AV772" s="172">
        <v>100</v>
      </c>
      <c r="AW772" s="171">
        <v>7</v>
      </c>
      <c r="AX772" s="89"/>
      <c r="AY772" s="171">
        <v>20</v>
      </c>
      <c r="AZ772" s="89"/>
      <c r="BA772" s="175">
        <v>60</v>
      </c>
      <c r="BB772" s="189" t="s">
        <v>2547</v>
      </c>
      <c r="BC772" s="176" t="s">
        <v>558</v>
      </c>
      <c r="BD772" s="179"/>
      <c r="BE772" s="179"/>
      <c r="BF772" s="178" t="s">
        <v>557</v>
      </c>
      <c r="BG772" s="25"/>
      <c r="BH772" s="25"/>
    </row>
    <row r="773" spans="1:60" ht="15" customHeight="1">
      <c r="A773" s="95">
        <v>772</v>
      </c>
      <c r="B773" s="98" t="s">
        <v>930</v>
      </c>
      <c r="C773" s="191" t="s">
        <v>2677</v>
      </c>
      <c r="D773" s="257" t="s">
        <v>549</v>
      </c>
      <c r="E773" s="459" t="s">
        <v>3377</v>
      </c>
      <c r="F773" s="171">
        <v>2000</v>
      </c>
      <c r="G773" s="171">
        <v>196</v>
      </c>
      <c r="H773" s="57"/>
      <c r="I773" s="173" t="s">
        <v>2564</v>
      </c>
      <c r="J773" s="277">
        <v>0.45</v>
      </c>
      <c r="K773" s="213">
        <v>4.8392370572207088</v>
      </c>
      <c r="L773" s="91"/>
      <c r="M773" s="278">
        <v>367</v>
      </c>
      <c r="N773" s="279"/>
      <c r="O773" s="172" t="s">
        <v>12</v>
      </c>
      <c r="P773" s="92"/>
      <c r="Q773" s="173" t="s">
        <v>10</v>
      </c>
      <c r="R773" s="89"/>
      <c r="S773" s="94"/>
      <c r="T773" s="171" t="s">
        <v>2306</v>
      </c>
      <c r="U773" s="171" t="s">
        <v>2530</v>
      </c>
      <c r="V773" s="102">
        <v>0</v>
      </c>
      <c r="W773" s="120">
        <v>0</v>
      </c>
      <c r="X773" s="120">
        <v>0</v>
      </c>
      <c r="Y773" s="120">
        <v>0</v>
      </c>
      <c r="Z773" s="120">
        <v>0</v>
      </c>
      <c r="AA773" s="17">
        <v>0</v>
      </c>
      <c r="AB773" s="17">
        <v>0</v>
      </c>
      <c r="AC773" s="17">
        <v>0</v>
      </c>
      <c r="AD773" s="17">
        <v>0</v>
      </c>
      <c r="AE773" s="17">
        <v>0</v>
      </c>
      <c r="AF773" s="17">
        <v>0</v>
      </c>
      <c r="AG773" s="17">
        <v>0</v>
      </c>
      <c r="AH773" s="17">
        <v>1.91</v>
      </c>
      <c r="AI773" s="17">
        <v>0</v>
      </c>
      <c r="AJ773" s="17">
        <v>0</v>
      </c>
      <c r="AK773" s="17">
        <v>0</v>
      </c>
      <c r="AL773" s="32">
        <v>0</v>
      </c>
      <c r="AM773" s="780">
        <v>41.7</v>
      </c>
      <c r="AN773" s="89"/>
      <c r="AO773" s="280"/>
      <c r="AP773" s="784"/>
      <c r="AQ773" s="773" t="s">
        <v>271</v>
      </c>
      <c r="AR773" s="188">
        <v>100</v>
      </c>
      <c r="AS773" s="171"/>
      <c r="AT773" s="171" t="str">
        <f t="shared" si="66"/>
        <v>400</v>
      </c>
      <c r="AU773" s="255">
        <f t="shared" si="67"/>
        <v>22.222222222222221</v>
      </c>
      <c r="AV773" s="172">
        <v>100</v>
      </c>
      <c r="AW773" s="171">
        <v>7</v>
      </c>
      <c r="AX773" s="89"/>
      <c r="AY773" s="171">
        <v>20</v>
      </c>
      <c r="AZ773" s="89"/>
      <c r="BA773" s="175">
        <v>60</v>
      </c>
      <c r="BB773" s="189" t="s">
        <v>2547</v>
      </c>
      <c r="BC773" s="176" t="s">
        <v>558</v>
      </c>
      <c r="BD773" s="179"/>
      <c r="BE773" s="179"/>
      <c r="BF773" s="178" t="s">
        <v>557</v>
      </c>
      <c r="BG773" s="25"/>
      <c r="BH773" s="25"/>
    </row>
    <row r="774" spans="1:60" ht="15" customHeight="1">
      <c r="A774" s="95">
        <v>773</v>
      </c>
      <c r="B774" s="98" t="s">
        <v>929</v>
      </c>
      <c r="C774" s="191" t="s">
        <v>2677</v>
      </c>
      <c r="D774" s="257" t="s">
        <v>549</v>
      </c>
      <c r="E774" s="459" t="s">
        <v>3377</v>
      </c>
      <c r="F774" s="171">
        <v>2000</v>
      </c>
      <c r="G774" s="171">
        <v>196</v>
      </c>
      <c r="H774" s="57"/>
      <c r="I774" s="173" t="s">
        <v>2564</v>
      </c>
      <c r="J774" s="277">
        <v>0.45</v>
      </c>
      <c r="K774" s="213">
        <v>4.8392370572207088</v>
      </c>
      <c r="L774" s="91"/>
      <c r="M774" s="278">
        <v>367</v>
      </c>
      <c r="N774" s="279"/>
      <c r="O774" s="172" t="s">
        <v>12</v>
      </c>
      <c r="P774" s="511"/>
      <c r="Q774" s="173" t="s">
        <v>10</v>
      </c>
      <c r="R774" s="89"/>
      <c r="S774" s="94"/>
      <c r="T774" s="171" t="s">
        <v>2306</v>
      </c>
      <c r="U774" s="171" t="s">
        <v>2530</v>
      </c>
      <c r="V774" s="102">
        <v>0</v>
      </c>
      <c r="W774" s="120">
        <v>0</v>
      </c>
      <c r="X774" s="120">
        <v>0</v>
      </c>
      <c r="Y774" s="120">
        <v>0</v>
      </c>
      <c r="Z774" s="120">
        <v>0</v>
      </c>
      <c r="AA774" s="17">
        <v>0</v>
      </c>
      <c r="AB774" s="17">
        <v>0</v>
      </c>
      <c r="AC774" s="17">
        <v>0</v>
      </c>
      <c r="AD774" s="17">
        <v>0</v>
      </c>
      <c r="AE774" s="17">
        <v>0</v>
      </c>
      <c r="AF774" s="17">
        <v>0</v>
      </c>
      <c r="AG774" s="17">
        <v>0</v>
      </c>
      <c r="AH774" s="17">
        <v>3</v>
      </c>
      <c r="AI774" s="17">
        <v>0</v>
      </c>
      <c r="AJ774" s="17">
        <v>0</v>
      </c>
      <c r="AK774" s="17">
        <v>0</v>
      </c>
      <c r="AL774" s="32">
        <v>0</v>
      </c>
      <c r="AM774" s="780">
        <v>45</v>
      </c>
      <c r="AN774" s="89"/>
      <c r="AO774" s="280"/>
      <c r="AP774" s="784"/>
      <c r="AQ774" s="773" t="s">
        <v>271</v>
      </c>
      <c r="AR774" s="188">
        <v>100</v>
      </c>
      <c r="AS774" s="171"/>
      <c r="AT774" s="171" t="str">
        <f t="shared" si="66"/>
        <v>400</v>
      </c>
      <c r="AU774" s="255">
        <f t="shared" si="67"/>
        <v>22.222222222222221</v>
      </c>
      <c r="AV774" s="172">
        <v>100</v>
      </c>
      <c r="AW774" s="171">
        <v>7</v>
      </c>
      <c r="AX774" s="89"/>
      <c r="AY774" s="171">
        <v>20</v>
      </c>
      <c r="AZ774" s="89"/>
      <c r="BA774" s="175">
        <v>60</v>
      </c>
      <c r="BB774" s="189" t="s">
        <v>2547</v>
      </c>
      <c r="BC774" s="176" t="s">
        <v>558</v>
      </c>
      <c r="BD774" s="179"/>
      <c r="BE774" s="179"/>
      <c r="BF774" s="178" t="s">
        <v>557</v>
      </c>
      <c r="BG774" s="25"/>
      <c r="BH774" s="25"/>
    </row>
    <row r="775" spans="1:60" ht="15" customHeight="1">
      <c r="A775" s="95">
        <v>774</v>
      </c>
      <c r="B775" s="98" t="s">
        <v>928</v>
      </c>
      <c r="C775" s="191" t="s">
        <v>2677</v>
      </c>
      <c r="D775" s="257" t="s">
        <v>549</v>
      </c>
      <c r="E775" s="459" t="s">
        <v>3377</v>
      </c>
      <c r="F775" s="171">
        <v>2000</v>
      </c>
      <c r="G775" s="171">
        <v>196</v>
      </c>
      <c r="H775" s="57"/>
      <c r="I775" s="173" t="s">
        <v>2564</v>
      </c>
      <c r="J775" s="277">
        <v>0.4</v>
      </c>
      <c r="K775" s="213">
        <v>4.0684931506849313</v>
      </c>
      <c r="L775" s="91"/>
      <c r="M775" s="278">
        <v>438</v>
      </c>
      <c r="N775" s="279"/>
      <c r="O775" s="172" t="s">
        <v>12</v>
      </c>
      <c r="P775" s="511"/>
      <c r="Q775" s="173" t="s">
        <v>10</v>
      </c>
      <c r="R775" s="89"/>
      <c r="S775" s="94"/>
      <c r="T775" s="171" t="s">
        <v>2306</v>
      </c>
      <c r="U775" s="171" t="s">
        <v>2530</v>
      </c>
      <c r="V775" s="102">
        <v>0</v>
      </c>
      <c r="W775" s="120">
        <v>0</v>
      </c>
      <c r="X775" s="120">
        <v>0</v>
      </c>
      <c r="Y775" s="120">
        <v>0</v>
      </c>
      <c r="Z775" s="120">
        <v>0</v>
      </c>
      <c r="AA775" s="17">
        <v>0</v>
      </c>
      <c r="AB775" s="17">
        <v>0</v>
      </c>
      <c r="AC775" s="17">
        <v>0</v>
      </c>
      <c r="AD775" s="17">
        <v>0</v>
      </c>
      <c r="AE775" s="17">
        <v>0</v>
      </c>
      <c r="AF775" s="17">
        <v>0</v>
      </c>
      <c r="AG775" s="17">
        <v>0</v>
      </c>
      <c r="AH775" s="17">
        <v>2.0499999999999998</v>
      </c>
      <c r="AI775" s="17">
        <v>0</v>
      </c>
      <c r="AJ775" s="17">
        <v>0</v>
      </c>
      <c r="AK775" s="17">
        <v>0</v>
      </c>
      <c r="AL775" s="32">
        <v>0</v>
      </c>
      <c r="AM775" s="780">
        <v>61.7</v>
      </c>
      <c r="AN775" s="89"/>
      <c r="AO775" s="280"/>
      <c r="AP775" s="784"/>
      <c r="AQ775" s="773" t="s">
        <v>271</v>
      </c>
      <c r="AR775" s="188">
        <v>100</v>
      </c>
      <c r="AS775" s="171"/>
      <c r="AT775" s="171" t="str">
        <f t="shared" si="66"/>
        <v>400</v>
      </c>
      <c r="AU775" s="255">
        <f t="shared" si="67"/>
        <v>22.222222222222221</v>
      </c>
      <c r="AV775" s="172">
        <v>100</v>
      </c>
      <c r="AW775" s="171">
        <v>7</v>
      </c>
      <c r="AX775" s="89"/>
      <c r="AY775" s="171">
        <v>20</v>
      </c>
      <c r="AZ775" s="89"/>
      <c r="BA775" s="175">
        <v>60</v>
      </c>
      <c r="BB775" s="189" t="s">
        <v>2547</v>
      </c>
      <c r="BC775" s="176" t="s">
        <v>558</v>
      </c>
      <c r="BD775" s="179"/>
      <c r="BE775" s="179"/>
      <c r="BF775" s="178" t="s">
        <v>557</v>
      </c>
      <c r="BG775" s="25"/>
      <c r="BH775" s="25"/>
    </row>
    <row r="776" spans="1:60" ht="15" customHeight="1">
      <c r="A776" s="95">
        <v>775</v>
      </c>
      <c r="B776" s="98" t="s">
        <v>927</v>
      </c>
      <c r="C776" s="191" t="s">
        <v>2677</v>
      </c>
      <c r="D776" s="257" t="s">
        <v>549</v>
      </c>
      <c r="E776" s="459" t="s">
        <v>3377</v>
      </c>
      <c r="F776" s="171">
        <v>2000</v>
      </c>
      <c r="G776" s="171">
        <v>196</v>
      </c>
      <c r="H776" s="57"/>
      <c r="I776" s="173" t="s">
        <v>2564</v>
      </c>
      <c r="J776" s="277">
        <v>0.4</v>
      </c>
      <c r="K776" s="213">
        <v>4.2058111380145276</v>
      </c>
      <c r="L776" s="91"/>
      <c r="M776" s="278">
        <v>413</v>
      </c>
      <c r="N776" s="279"/>
      <c r="O776" s="172" t="s">
        <v>12</v>
      </c>
      <c r="P776" s="511"/>
      <c r="Q776" s="173" t="s">
        <v>10</v>
      </c>
      <c r="R776" s="89"/>
      <c r="S776" s="94"/>
      <c r="T776" s="171" t="s">
        <v>2306</v>
      </c>
      <c r="U776" s="171" t="s">
        <v>2530</v>
      </c>
      <c r="V776" s="102">
        <v>0</v>
      </c>
      <c r="W776" s="120">
        <v>0</v>
      </c>
      <c r="X776" s="120">
        <v>0</v>
      </c>
      <c r="Y776" s="120">
        <v>0</v>
      </c>
      <c r="Z776" s="120">
        <v>0</v>
      </c>
      <c r="AA776" s="17">
        <v>0</v>
      </c>
      <c r="AB776" s="17">
        <v>0</v>
      </c>
      <c r="AC776" s="17">
        <v>0</v>
      </c>
      <c r="AD776" s="17">
        <v>0</v>
      </c>
      <c r="AE776" s="17">
        <v>0</v>
      </c>
      <c r="AF776" s="17">
        <v>0</v>
      </c>
      <c r="AG776" s="17">
        <v>0</v>
      </c>
      <c r="AH776" s="17">
        <v>1.94</v>
      </c>
      <c r="AI776" s="17">
        <v>0</v>
      </c>
      <c r="AJ776" s="17">
        <v>0</v>
      </c>
      <c r="AK776" s="17">
        <v>0</v>
      </c>
      <c r="AL776" s="32">
        <v>0</v>
      </c>
      <c r="AM776" s="780">
        <v>50</v>
      </c>
      <c r="AN776" s="89"/>
      <c r="AO776" s="280"/>
      <c r="AP776" s="784"/>
      <c r="AQ776" s="773" t="s">
        <v>271</v>
      </c>
      <c r="AR776" s="188">
        <v>100</v>
      </c>
      <c r="AS776" s="171"/>
      <c r="AT776" s="171" t="str">
        <f t="shared" si="66"/>
        <v>400</v>
      </c>
      <c r="AU776" s="255">
        <f t="shared" si="67"/>
        <v>22.222222222222221</v>
      </c>
      <c r="AV776" s="172">
        <v>100</v>
      </c>
      <c r="AW776" s="171">
        <v>7</v>
      </c>
      <c r="AX776" s="89"/>
      <c r="AY776" s="171">
        <v>20</v>
      </c>
      <c r="AZ776" s="89"/>
      <c r="BA776" s="175">
        <v>60</v>
      </c>
      <c r="BB776" s="189" t="s">
        <v>2547</v>
      </c>
      <c r="BC776" s="176" t="s">
        <v>558</v>
      </c>
      <c r="BD776" s="179"/>
      <c r="BE776" s="179"/>
      <c r="BF776" s="178" t="s">
        <v>557</v>
      </c>
      <c r="BG776" s="25"/>
      <c r="BH776" s="25"/>
    </row>
    <row r="777" spans="1:60" ht="15" customHeight="1">
      <c r="A777" s="95">
        <v>776</v>
      </c>
      <c r="B777" s="98" t="s">
        <v>926</v>
      </c>
      <c r="C777" s="191" t="s">
        <v>2677</v>
      </c>
      <c r="D777" s="257" t="s">
        <v>549</v>
      </c>
      <c r="E777" s="459" t="s">
        <v>3377</v>
      </c>
      <c r="F777" s="171">
        <v>2000</v>
      </c>
      <c r="G777" s="171">
        <v>196</v>
      </c>
      <c r="H777" s="57"/>
      <c r="I777" s="173" t="s">
        <v>2564</v>
      </c>
      <c r="J777" s="277">
        <v>0.4</v>
      </c>
      <c r="K777" s="213">
        <v>4.2058111380145276</v>
      </c>
      <c r="L777" s="91"/>
      <c r="M777" s="278">
        <v>413</v>
      </c>
      <c r="N777" s="279"/>
      <c r="O777" s="172" t="s">
        <v>12</v>
      </c>
      <c r="P777" s="511"/>
      <c r="Q777" s="173" t="s">
        <v>10</v>
      </c>
      <c r="R777" s="89"/>
      <c r="S777" s="94"/>
      <c r="T777" s="171" t="s">
        <v>2306</v>
      </c>
      <c r="U777" s="171" t="s">
        <v>2530</v>
      </c>
      <c r="V777" s="102">
        <v>0</v>
      </c>
      <c r="W777" s="120">
        <v>0</v>
      </c>
      <c r="X777" s="120">
        <v>0</v>
      </c>
      <c r="Y777" s="120">
        <v>0</v>
      </c>
      <c r="Z777" s="120">
        <v>0</v>
      </c>
      <c r="AA777" s="17">
        <v>0</v>
      </c>
      <c r="AB777" s="17">
        <v>0</v>
      </c>
      <c r="AC777" s="17">
        <v>0</v>
      </c>
      <c r="AD777" s="17">
        <v>0</v>
      </c>
      <c r="AE777" s="17">
        <v>0</v>
      </c>
      <c r="AF777" s="17">
        <v>0</v>
      </c>
      <c r="AG777" s="17">
        <v>0</v>
      </c>
      <c r="AH777" s="17">
        <v>2.91</v>
      </c>
      <c r="AI777" s="17">
        <v>0</v>
      </c>
      <c r="AJ777" s="17">
        <v>0</v>
      </c>
      <c r="AK777" s="17">
        <v>0</v>
      </c>
      <c r="AL777" s="32">
        <v>0</v>
      </c>
      <c r="AM777" s="780">
        <v>44.2</v>
      </c>
      <c r="AN777" s="89"/>
      <c r="AO777" s="280"/>
      <c r="AP777" s="784"/>
      <c r="AQ777" s="773" t="s">
        <v>271</v>
      </c>
      <c r="AR777" s="188">
        <v>100</v>
      </c>
      <c r="AS777" s="171"/>
      <c r="AT777" s="171" t="str">
        <f t="shared" si="66"/>
        <v>400</v>
      </c>
      <c r="AU777" s="255">
        <f t="shared" si="67"/>
        <v>22.222222222222221</v>
      </c>
      <c r="AV777" s="172">
        <v>100</v>
      </c>
      <c r="AW777" s="171">
        <v>7</v>
      </c>
      <c r="AX777" s="89"/>
      <c r="AY777" s="171">
        <v>20</v>
      </c>
      <c r="AZ777" s="89"/>
      <c r="BA777" s="175">
        <v>60</v>
      </c>
      <c r="BB777" s="189" t="s">
        <v>2547</v>
      </c>
      <c r="BC777" s="176" t="s">
        <v>558</v>
      </c>
      <c r="BD777" s="179"/>
      <c r="BE777" s="179"/>
      <c r="BF777" s="178" t="s">
        <v>557</v>
      </c>
      <c r="BG777" s="25"/>
      <c r="BH777" s="25"/>
    </row>
    <row r="778" spans="1:60" ht="15" customHeight="1">
      <c r="A778" s="95">
        <v>777</v>
      </c>
      <c r="B778" s="98" t="s">
        <v>925</v>
      </c>
      <c r="C778" s="191" t="s">
        <v>2644</v>
      </c>
      <c r="D778" s="257" t="s">
        <v>549</v>
      </c>
      <c r="E778" s="459" t="s">
        <v>3377</v>
      </c>
      <c r="F778" s="171">
        <v>2000</v>
      </c>
      <c r="G778" s="171">
        <v>197</v>
      </c>
      <c r="H778" s="57"/>
      <c r="I778" s="173" t="s">
        <v>2564</v>
      </c>
      <c r="J778" s="277">
        <v>0.5</v>
      </c>
      <c r="K778" s="213">
        <v>5.1527777777777777</v>
      </c>
      <c r="L778" s="91"/>
      <c r="M778" s="278">
        <v>360</v>
      </c>
      <c r="N778" s="279"/>
      <c r="O778" s="172" t="s">
        <v>12</v>
      </c>
      <c r="P778" s="511"/>
      <c r="Q778" s="173" t="s">
        <v>10</v>
      </c>
      <c r="R778" s="65" t="s">
        <v>2308</v>
      </c>
      <c r="S778" s="94"/>
      <c r="T778" s="171"/>
      <c r="U778" s="171" t="s">
        <v>2308</v>
      </c>
      <c r="V778" s="102">
        <v>0</v>
      </c>
      <c r="W778" s="120">
        <v>0</v>
      </c>
      <c r="X778" s="120">
        <v>0</v>
      </c>
      <c r="Y778" s="120">
        <v>0</v>
      </c>
      <c r="Z778" s="120">
        <v>0</v>
      </c>
      <c r="AA778" s="17">
        <v>0</v>
      </c>
      <c r="AB778" s="17">
        <v>0</v>
      </c>
      <c r="AC778" s="17">
        <v>0</v>
      </c>
      <c r="AD778" s="17">
        <v>0</v>
      </c>
      <c r="AE778" s="17">
        <v>0</v>
      </c>
      <c r="AF778" s="17">
        <v>0</v>
      </c>
      <c r="AG778" s="17">
        <v>0</v>
      </c>
      <c r="AH778" s="17">
        <v>0</v>
      </c>
      <c r="AI778" s="17">
        <v>0</v>
      </c>
      <c r="AJ778" s="17">
        <v>0</v>
      </c>
      <c r="AK778" s="17">
        <v>0</v>
      </c>
      <c r="AL778" s="32">
        <v>0</v>
      </c>
      <c r="AM778" s="57"/>
      <c r="AN778" s="89"/>
      <c r="AO778" s="280"/>
      <c r="AP778" s="784"/>
      <c r="AQ778" s="773" t="s">
        <v>271</v>
      </c>
      <c r="AR778" s="188">
        <v>100</v>
      </c>
      <c r="AS778" s="171"/>
      <c r="AT778" s="171" t="str">
        <f t="shared" si="66"/>
        <v>400</v>
      </c>
      <c r="AU778" s="255">
        <f t="shared" si="67"/>
        <v>22.222222222222221</v>
      </c>
      <c r="AV778" s="172">
        <v>100</v>
      </c>
      <c r="AW778" s="171">
        <v>7</v>
      </c>
      <c r="AX778" s="89"/>
      <c r="AY778" s="171">
        <v>20</v>
      </c>
      <c r="AZ778" s="89"/>
      <c r="BA778" s="175">
        <v>60</v>
      </c>
      <c r="BB778" s="189" t="s">
        <v>2547</v>
      </c>
      <c r="BC778" s="176"/>
      <c r="BD778" s="179"/>
      <c r="BE778" s="179"/>
      <c r="BF778" s="178"/>
      <c r="BG778" s="25"/>
      <c r="BH778" s="25"/>
    </row>
    <row r="779" spans="1:60" ht="15" customHeight="1">
      <c r="A779" s="95">
        <v>778</v>
      </c>
      <c r="B779" s="98" t="s">
        <v>924</v>
      </c>
      <c r="C779" s="191" t="s">
        <v>2644</v>
      </c>
      <c r="D779" s="257" t="s">
        <v>549</v>
      </c>
      <c r="E779" s="459" t="s">
        <v>3377</v>
      </c>
      <c r="F779" s="171">
        <v>2000</v>
      </c>
      <c r="G779" s="171">
        <v>197</v>
      </c>
      <c r="H779" s="57"/>
      <c r="I779" s="173" t="s">
        <v>2564</v>
      </c>
      <c r="J779" s="277">
        <v>0.5</v>
      </c>
      <c r="K779" s="213">
        <v>5.25</v>
      </c>
      <c r="L779" s="91"/>
      <c r="M779" s="278">
        <v>360</v>
      </c>
      <c r="N779" s="279"/>
      <c r="O779" s="172" t="s">
        <v>129</v>
      </c>
      <c r="P779" s="92"/>
      <c r="Q779" s="173" t="s">
        <v>2529</v>
      </c>
      <c r="R779" s="94"/>
      <c r="S779" s="94"/>
      <c r="T779" s="171" t="s">
        <v>2306</v>
      </c>
      <c r="U779" s="171" t="s">
        <v>2530</v>
      </c>
      <c r="V779" s="102">
        <v>0</v>
      </c>
      <c r="W779" s="120">
        <v>0</v>
      </c>
      <c r="X779" s="120">
        <v>0</v>
      </c>
      <c r="Y779" s="120">
        <v>0</v>
      </c>
      <c r="Z779" s="120">
        <v>0</v>
      </c>
      <c r="AA779" s="17">
        <v>0</v>
      </c>
      <c r="AB779" s="17">
        <v>0</v>
      </c>
      <c r="AC779" s="17">
        <v>0</v>
      </c>
      <c r="AD779" s="17">
        <v>0</v>
      </c>
      <c r="AE779" s="17">
        <v>0</v>
      </c>
      <c r="AF779" s="17">
        <v>0</v>
      </c>
      <c r="AG779" s="17">
        <v>0</v>
      </c>
      <c r="AH779" s="17">
        <v>0</v>
      </c>
      <c r="AI779" s="17">
        <v>0</v>
      </c>
      <c r="AJ779" s="17">
        <v>0</v>
      </c>
      <c r="AK779" s="17">
        <v>0</v>
      </c>
      <c r="AL779" s="32">
        <v>0</v>
      </c>
      <c r="AM779" s="57"/>
      <c r="AN779" s="89"/>
      <c r="AO779" s="280"/>
      <c r="AP779" s="784"/>
      <c r="AQ779" s="773" t="s">
        <v>271</v>
      </c>
      <c r="AR779" s="188">
        <v>100</v>
      </c>
      <c r="AS779" s="171"/>
      <c r="AT779" s="171" t="str">
        <f t="shared" si="66"/>
        <v>400</v>
      </c>
      <c r="AU779" s="255">
        <f t="shared" si="67"/>
        <v>22.222222222222221</v>
      </c>
      <c r="AV779" s="172">
        <v>100</v>
      </c>
      <c r="AW779" s="171">
        <v>7</v>
      </c>
      <c r="AX779" s="89"/>
      <c r="AY779" s="171">
        <v>20</v>
      </c>
      <c r="AZ779" s="89"/>
      <c r="BA779" s="175">
        <v>60</v>
      </c>
      <c r="BB779" s="189" t="s">
        <v>2547</v>
      </c>
      <c r="BC779" s="176"/>
      <c r="BD779" s="179"/>
      <c r="BE779" s="179"/>
      <c r="BF779" s="178"/>
      <c r="BG779" s="25"/>
      <c r="BH779" s="25"/>
    </row>
    <row r="780" spans="1:60" ht="15" customHeight="1">
      <c r="A780" s="95">
        <v>779</v>
      </c>
      <c r="B780" s="98" t="s">
        <v>923</v>
      </c>
      <c r="C780" s="191" t="s">
        <v>2644</v>
      </c>
      <c r="D780" s="257" t="s">
        <v>549</v>
      </c>
      <c r="E780" s="459" t="s">
        <v>3377</v>
      </c>
      <c r="F780" s="171">
        <v>2000</v>
      </c>
      <c r="G780" s="171">
        <v>197</v>
      </c>
      <c r="H780" s="57"/>
      <c r="I780" s="173" t="s">
        <v>2564</v>
      </c>
      <c r="J780" s="277">
        <v>0.5</v>
      </c>
      <c r="K780" s="213">
        <v>5.2666666666666666</v>
      </c>
      <c r="L780" s="91"/>
      <c r="M780" s="278">
        <v>360</v>
      </c>
      <c r="N780" s="279"/>
      <c r="O780" s="172" t="s">
        <v>12</v>
      </c>
      <c r="P780" s="92"/>
      <c r="Q780" s="173" t="s">
        <v>10</v>
      </c>
      <c r="R780" s="94"/>
      <c r="S780" s="94"/>
      <c r="T780" s="171" t="s">
        <v>2306</v>
      </c>
      <c r="U780" s="171" t="s">
        <v>2530</v>
      </c>
      <c r="V780" s="102">
        <v>0</v>
      </c>
      <c r="W780" s="120">
        <v>0</v>
      </c>
      <c r="X780" s="120">
        <v>0</v>
      </c>
      <c r="Y780" s="120">
        <v>0</v>
      </c>
      <c r="Z780" s="120">
        <v>0</v>
      </c>
      <c r="AA780" s="17">
        <v>0</v>
      </c>
      <c r="AB780" s="17">
        <v>0</v>
      </c>
      <c r="AC780" s="17">
        <v>0</v>
      </c>
      <c r="AD780" s="17">
        <v>0</v>
      </c>
      <c r="AE780" s="17">
        <v>0</v>
      </c>
      <c r="AF780" s="17">
        <v>0</v>
      </c>
      <c r="AG780" s="17">
        <v>0</v>
      </c>
      <c r="AH780" s="17">
        <v>0</v>
      </c>
      <c r="AI780" s="17">
        <v>0</v>
      </c>
      <c r="AJ780" s="17">
        <v>0</v>
      </c>
      <c r="AK780" s="17">
        <v>0</v>
      </c>
      <c r="AL780" s="32">
        <v>0</v>
      </c>
      <c r="AM780" s="57"/>
      <c r="AN780" s="89"/>
      <c r="AO780" s="280"/>
      <c r="AP780" s="784"/>
      <c r="AQ780" s="773" t="s">
        <v>271</v>
      </c>
      <c r="AR780" s="188">
        <v>100</v>
      </c>
      <c r="AS780" s="171"/>
      <c r="AT780" s="171" t="str">
        <f t="shared" si="66"/>
        <v>400</v>
      </c>
      <c r="AU780" s="255">
        <f t="shared" si="67"/>
        <v>22.222222222222221</v>
      </c>
      <c r="AV780" s="172">
        <v>100</v>
      </c>
      <c r="AW780" s="171">
        <v>7</v>
      </c>
      <c r="AX780" s="89"/>
      <c r="AY780" s="171">
        <v>20</v>
      </c>
      <c r="AZ780" s="89"/>
      <c r="BA780" s="175">
        <v>60</v>
      </c>
      <c r="BB780" s="189" t="s">
        <v>2547</v>
      </c>
      <c r="BC780" s="176"/>
      <c r="BD780" s="179"/>
      <c r="BE780" s="179"/>
      <c r="BF780" s="178"/>
      <c r="BG780" s="25"/>
      <c r="BH780" s="25"/>
    </row>
    <row r="781" spans="1:60" ht="15" customHeight="1">
      <c r="A781" s="95">
        <v>780</v>
      </c>
      <c r="B781" s="98" t="s">
        <v>922</v>
      </c>
      <c r="C781" s="191" t="s">
        <v>2644</v>
      </c>
      <c r="D781" s="257" t="s">
        <v>549</v>
      </c>
      <c r="E781" s="459" t="s">
        <v>3377</v>
      </c>
      <c r="F781" s="171">
        <v>2000</v>
      </c>
      <c r="G781" s="171">
        <v>197</v>
      </c>
      <c r="H781" s="57"/>
      <c r="I781" s="173" t="s">
        <v>2564</v>
      </c>
      <c r="J781" s="277">
        <v>0.5</v>
      </c>
      <c r="K781" s="213">
        <v>5.2194444444444441</v>
      </c>
      <c r="L781" s="91"/>
      <c r="M781" s="278">
        <v>360</v>
      </c>
      <c r="N781" s="279"/>
      <c r="O781" s="172" t="s">
        <v>12</v>
      </c>
      <c r="P781" s="92"/>
      <c r="Q781" s="173" t="s">
        <v>10</v>
      </c>
      <c r="R781" s="94"/>
      <c r="S781" s="94"/>
      <c r="T781" s="171" t="s">
        <v>2306</v>
      </c>
      <c r="U781" s="171" t="s">
        <v>2530</v>
      </c>
      <c r="V781" s="102">
        <v>0</v>
      </c>
      <c r="W781" s="120">
        <v>0</v>
      </c>
      <c r="X781" s="120">
        <v>0</v>
      </c>
      <c r="Y781" s="120">
        <v>0</v>
      </c>
      <c r="Z781" s="120">
        <v>0</v>
      </c>
      <c r="AA781" s="17">
        <v>0</v>
      </c>
      <c r="AB781" s="17">
        <v>0</v>
      </c>
      <c r="AC781" s="17">
        <v>0</v>
      </c>
      <c r="AD781" s="17">
        <v>0</v>
      </c>
      <c r="AE781" s="17">
        <v>0</v>
      </c>
      <c r="AF781" s="17">
        <v>0</v>
      </c>
      <c r="AG781" s="17">
        <v>0</v>
      </c>
      <c r="AH781" s="17">
        <v>0</v>
      </c>
      <c r="AI781" s="17">
        <v>0</v>
      </c>
      <c r="AJ781" s="17">
        <v>0</v>
      </c>
      <c r="AK781" s="17">
        <v>0</v>
      </c>
      <c r="AL781" s="32">
        <v>0</v>
      </c>
      <c r="AM781" s="57"/>
      <c r="AN781" s="89"/>
      <c r="AO781" s="280"/>
      <c r="AP781" s="784"/>
      <c r="AQ781" s="773" t="s">
        <v>271</v>
      </c>
      <c r="AR781" s="188">
        <v>100</v>
      </c>
      <c r="AS781" s="171"/>
      <c r="AT781" s="171" t="str">
        <f t="shared" si="66"/>
        <v>400</v>
      </c>
      <c r="AU781" s="255">
        <f t="shared" si="67"/>
        <v>22.222222222222221</v>
      </c>
      <c r="AV781" s="172">
        <v>100</v>
      </c>
      <c r="AW781" s="171">
        <v>7</v>
      </c>
      <c r="AX781" s="89"/>
      <c r="AY781" s="171">
        <v>20</v>
      </c>
      <c r="AZ781" s="89"/>
      <c r="BA781" s="175">
        <v>60</v>
      </c>
      <c r="BB781" s="189" t="s">
        <v>2547</v>
      </c>
      <c r="BC781" s="176"/>
      <c r="BD781" s="179"/>
      <c r="BE781" s="179"/>
      <c r="BF781" s="178"/>
      <c r="BG781" s="25"/>
      <c r="BH781" s="25"/>
    </row>
    <row r="782" spans="1:60" ht="15" customHeight="1">
      <c r="A782" s="95">
        <v>781</v>
      </c>
      <c r="B782" s="98" t="s">
        <v>921</v>
      </c>
      <c r="C782" s="191" t="s">
        <v>2644</v>
      </c>
      <c r="D782" s="257" t="s">
        <v>549</v>
      </c>
      <c r="E782" s="459" t="s">
        <v>3377</v>
      </c>
      <c r="F782" s="171">
        <v>2000</v>
      </c>
      <c r="G782" s="171">
        <v>197</v>
      </c>
      <c r="H782" s="57"/>
      <c r="I782" s="173" t="s">
        <v>2564</v>
      </c>
      <c r="J782" s="277">
        <v>0.5</v>
      </c>
      <c r="K782" s="213">
        <v>5.2444444444444445</v>
      </c>
      <c r="L782" s="91"/>
      <c r="M782" s="278">
        <v>360</v>
      </c>
      <c r="N782" s="279"/>
      <c r="O782" s="172" t="s">
        <v>12</v>
      </c>
      <c r="P782" s="92"/>
      <c r="Q782" s="173" t="s">
        <v>10</v>
      </c>
      <c r="R782" s="94"/>
      <c r="S782" s="94"/>
      <c r="T782" s="171" t="s">
        <v>2306</v>
      </c>
      <c r="U782" s="171" t="s">
        <v>2530</v>
      </c>
      <c r="V782" s="102">
        <v>0</v>
      </c>
      <c r="W782" s="120">
        <v>0</v>
      </c>
      <c r="X782" s="120">
        <v>0</v>
      </c>
      <c r="Y782" s="120">
        <v>0</v>
      </c>
      <c r="Z782" s="120">
        <v>0</v>
      </c>
      <c r="AA782" s="17">
        <v>0</v>
      </c>
      <c r="AB782" s="17">
        <v>0</v>
      </c>
      <c r="AC782" s="17">
        <v>0</v>
      </c>
      <c r="AD782" s="17">
        <v>0</v>
      </c>
      <c r="AE782" s="17">
        <v>0</v>
      </c>
      <c r="AF782" s="17">
        <v>0</v>
      </c>
      <c r="AG782" s="17">
        <v>0</v>
      </c>
      <c r="AH782" s="17">
        <v>0</v>
      </c>
      <c r="AI782" s="17">
        <v>0</v>
      </c>
      <c r="AJ782" s="17">
        <v>0</v>
      </c>
      <c r="AK782" s="17">
        <v>0</v>
      </c>
      <c r="AL782" s="32">
        <v>0</v>
      </c>
      <c r="AM782" s="57"/>
      <c r="AN782" s="89"/>
      <c r="AO782" s="280"/>
      <c r="AP782" s="784"/>
      <c r="AQ782" s="773" t="s">
        <v>271</v>
      </c>
      <c r="AR782" s="188">
        <v>100</v>
      </c>
      <c r="AS782" s="171"/>
      <c r="AT782" s="171" t="str">
        <f t="shared" si="66"/>
        <v>400</v>
      </c>
      <c r="AU782" s="255">
        <f t="shared" si="67"/>
        <v>22.222222222222221</v>
      </c>
      <c r="AV782" s="172">
        <v>100</v>
      </c>
      <c r="AW782" s="171">
        <v>7</v>
      </c>
      <c r="AX782" s="89"/>
      <c r="AY782" s="171">
        <v>20</v>
      </c>
      <c r="AZ782" s="89"/>
      <c r="BA782" s="175">
        <v>60</v>
      </c>
      <c r="BB782" s="189" t="s">
        <v>2547</v>
      </c>
      <c r="BC782" s="176"/>
      <c r="BD782" s="179"/>
      <c r="BE782" s="179"/>
      <c r="BF782" s="178"/>
      <c r="BG782" s="25"/>
      <c r="BH782" s="25"/>
    </row>
    <row r="783" spans="1:60" ht="15" customHeight="1">
      <c r="A783" s="95">
        <v>782</v>
      </c>
      <c r="B783" s="98" t="s">
        <v>920</v>
      </c>
      <c r="C783" s="191" t="s">
        <v>2644</v>
      </c>
      <c r="D783" s="257" t="s">
        <v>549</v>
      </c>
      <c r="E783" s="459" t="s">
        <v>3377</v>
      </c>
      <c r="F783" s="171">
        <v>2000</v>
      </c>
      <c r="G783" s="171">
        <v>197</v>
      </c>
      <c r="H783" s="57"/>
      <c r="I783" s="173" t="s">
        <v>2564</v>
      </c>
      <c r="J783" s="277">
        <v>0.5</v>
      </c>
      <c r="K783" s="213">
        <v>5.2583333333333337</v>
      </c>
      <c r="L783" s="91"/>
      <c r="M783" s="278">
        <v>360</v>
      </c>
      <c r="N783" s="279"/>
      <c r="O783" s="172" t="s">
        <v>120</v>
      </c>
      <c r="P783" s="89"/>
      <c r="Q783" s="173" t="s">
        <v>2533</v>
      </c>
      <c r="R783" s="94"/>
      <c r="S783" s="94"/>
      <c r="T783" s="171" t="s">
        <v>2306</v>
      </c>
      <c r="U783" s="171" t="s">
        <v>3346</v>
      </c>
      <c r="V783" s="102">
        <v>0</v>
      </c>
      <c r="W783" s="120">
        <v>0</v>
      </c>
      <c r="X783" s="120" t="s">
        <v>2559</v>
      </c>
      <c r="Y783" s="120">
        <v>0</v>
      </c>
      <c r="Z783" s="120">
        <v>0</v>
      </c>
      <c r="AA783" s="17">
        <v>0</v>
      </c>
      <c r="AB783" s="17">
        <v>0</v>
      </c>
      <c r="AC783" s="17">
        <v>0</v>
      </c>
      <c r="AD783" s="17">
        <v>0</v>
      </c>
      <c r="AE783" s="17">
        <v>0</v>
      </c>
      <c r="AF783" s="17">
        <v>0</v>
      </c>
      <c r="AG783" s="17">
        <v>0</v>
      </c>
      <c r="AH783" s="17">
        <v>0</v>
      </c>
      <c r="AI783" s="17">
        <v>0</v>
      </c>
      <c r="AJ783" s="17">
        <v>0</v>
      </c>
      <c r="AK783" s="17">
        <v>0</v>
      </c>
      <c r="AL783" s="32">
        <v>0</v>
      </c>
      <c r="AM783" s="57"/>
      <c r="AN783" s="89"/>
      <c r="AO783" s="280"/>
      <c r="AP783" s="784"/>
      <c r="AQ783" s="773" t="s">
        <v>271</v>
      </c>
      <c r="AR783" s="188">
        <v>100</v>
      </c>
      <c r="AS783" s="171"/>
      <c r="AT783" s="171" t="str">
        <f t="shared" si="66"/>
        <v>400</v>
      </c>
      <c r="AU783" s="255">
        <f t="shared" si="67"/>
        <v>22.222222222222221</v>
      </c>
      <c r="AV783" s="172">
        <v>100</v>
      </c>
      <c r="AW783" s="171">
        <v>7</v>
      </c>
      <c r="AX783" s="89"/>
      <c r="AY783" s="171">
        <v>20</v>
      </c>
      <c r="AZ783" s="89"/>
      <c r="BA783" s="175">
        <v>60</v>
      </c>
      <c r="BB783" s="189" t="s">
        <v>2547</v>
      </c>
      <c r="BC783" s="176"/>
      <c r="BD783" s="179"/>
      <c r="BE783" s="179"/>
      <c r="BF783" s="178"/>
      <c r="BG783" s="25"/>
      <c r="BH783" s="25"/>
    </row>
    <row r="784" spans="1:60" ht="15" customHeight="1">
      <c r="A784" s="95">
        <v>783</v>
      </c>
      <c r="B784" s="98" t="s">
        <v>919</v>
      </c>
      <c r="C784" s="191" t="s">
        <v>2644</v>
      </c>
      <c r="D784" s="257" t="s">
        <v>549</v>
      </c>
      <c r="E784" s="459" t="s">
        <v>3377</v>
      </c>
      <c r="F784" s="171">
        <v>2000</v>
      </c>
      <c r="G784" s="171">
        <v>197</v>
      </c>
      <c r="H784" s="57"/>
      <c r="I784" s="173" t="s">
        <v>2564</v>
      </c>
      <c r="J784" s="277">
        <v>0.5</v>
      </c>
      <c r="K784" s="213">
        <v>5.2750000000000004</v>
      </c>
      <c r="L784" s="91"/>
      <c r="M784" s="278">
        <v>360</v>
      </c>
      <c r="N784" s="279"/>
      <c r="O784" s="172" t="s">
        <v>120</v>
      </c>
      <c r="P784" s="92"/>
      <c r="Q784" s="173" t="s">
        <v>2532</v>
      </c>
      <c r="R784" s="94"/>
      <c r="S784" s="94"/>
      <c r="T784" s="171" t="s">
        <v>2306</v>
      </c>
      <c r="U784" s="171" t="s">
        <v>2530</v>
      </c>
      <c r="V784" s="102">
        <v>0</v>
      </c>
      <c r="W784" s="120">
        <v>0</v>
      </c>
      <c r="X784" s="120">
        <v>0</v>
      </c>
      <c r="Y784" s="120">
        <v>0</v>
      </c>
      <c r="Z784" s="120">
        <v>0</v>
      </c>
      <c r="AA784" s="17">
        <v>0</v>
      </c>
      <c r="AB784" s="17">
        <v>0</v>
      </c>
      <c r="AC784" s="17">
        <v>0</v>
      </c>
      <c r="AD784" s="17">
        <v>0</v>
      </c>
      <c r="AE784" s="17">
        <v>0</v>
      </c>
      <c r="AF784" s="17">
        <v>0</v>
      </c>
      <c r="AG784" s="17">
        <v>0</v>
      </c>
      <c r="AH784" s="17">
        <v>0</v>
      </c>
      <c r="AI784" s="17">
        <v>0</v>
      </c>
      <c r="AJ784" s="17">
        <v>0</v>
      </c>
      <c r="AK784" s="17">
        <v>0</v>
      </c>
      <c r="AL784" s="32">
        <v>0</v>
      </c>
      <c r="AM784" s="57"/>
      <c r="AN784" s="89"/>
      <c r="AO784" s="280"/>
      <c r="AP784" s="784"/>
      <c r="AQ784" s="773" t="s">
        <v>271</v>
      </c>
      <c r="AR784" s="188">
        <v>100</v>
      </c>
      <c r="AS784" s="171"/>
      <c r="AT784" s="171" t="str">
        <f t="shared" si="66"/>
        <v>400</v>
      </c>
      <c r="AU784" s="255">
        <f t="shared" si="67"/>
        <v>22.222222222222221</v>
      </c>
      <c r="AV784" s="172">
        <v>100</v>
      </c>
      <c r="AW784" s="171">
        <v>7</v>
      </c>
      <c r="AX784" s="89"/>
      <c r="AY784" s="171">
        <v>20</v>
      </c>
      <c r="AZ784" s="89"/>
      <c r="BA784" s="175">
        <v>60</v>
      </c>
      <c r="BB784" s="189" t="s">
        <v>2547</v>
      </c>
      <c r="BC784" s="176"/>
      <c r="BD784" s="179"/>
      <c r="BE784" s="179"/>
      <c r="BF784" s="178"/>
      <c r="BG784" s="25"/>
      <c r="BH784" s="25"/>
    </row>
    <row r="785" spans="1:60" ht="15" customHeight="1">
      <c r="A785" s="95">
        <v>784</v>
      </c>
      <c r="B785" s="98" t="s">
        <v>918</v>
      </c>
      <c r="C785" s="191" t="s">
        <v>2644</v>
      </c>
      <c r="D785" s="257" t="s">
        <v>549</v>
      </c>
      <c r="E785" s="459" t="s">
        <v>3377</v>
      </c>
      <c r="F785" s="171">
        <v>2000</v>
      </c>
      <c r="G785" s="171">
        <v>197</v>
      </c>
      <c r="H785" s="57"/>
      <c r="I785" s="173" t="s">
        <v>2564</v>
      </c>
      <c r="J785" s="277">
        <v>0.5</v>
      </c>
      <c r="K785" s="213">
        <v>5.1638888888888888</v>
      </c>
      <c r="L785" s="91"/>
      <c r="M785" s="278">
        <v>360</v>
      </c>
      <c r="N785" s="279"/>
      <c r="O785" s="172" t="s">
        <v>12</v>
      </c>
      <c r="P785" s="92"/>
      <c r="Q785" s="173" t="s">
        <v>10</v>
      </c>
      <c r="R785" s="94"/>
      <c r="S785" s="94"/>
      <c r="T785" s="171" t="s">
        <v>2306</v>
      </c>
      <c r="U785" s="171" t="s">
        <v>2530</v>
      </c>
      <c r="V785" s="102">
        <v>0</v>
      </c>
      <c r="W785" s="120">
        <v>0</v>
      </c>
      <c r="X785" s="120">
        <v>0</v>
      </c>
      <c r="Y785" s="120">
        <v>0</v>
      </c>
      <c r="Z785" s="120">
        <v>0</v>
      </c>
      <c r="AA785" s="17">
        <v>0</v>
      </c>
      <c r="AB785" s="17">
        <v>0</v>
      </c>
      <c r="AC785" s="17">
        <v>0</v>
      </c>
      <c r="AD785" s="17">
        <v>0</v>
      </c>
      <c r="AE785" s="17">
        <v>0</v>
      </c>
      <c r="AF785" s="17">
        <v>0</v>
      </c>
      <c r="AG785" s="17">
        <v>0</v>
      </c>
      <c r="AH785" s="17">
        <v>0</v>
      </c>
      <c r="AI785" s="17">
        <v>0</v>
      </c>
      <c r="AJ785" s="17">
        <v>0</v>
      </c>
      <c r="AK785" s="17">
        <v>0</v>
      </c>
      <c r="AL785" s="32">
        <v>0</v>
      </c>
      <c r="AM785" s="57"/>
      <c r="AN785" s="89"/>
      <c r="AO785" s="280"/>
      <c r="AP785" s="784"/>
      <c r="AQ785" s="773" t="s">
        <v>271</v>
      </c>
      <c r="AR785" s="188">
        <v>100</v>
      </c>
      <c r="AS785" s="171"/>
      <c r="AT785" s="171" t="str">
        <f t="shared" si="66"/>
        <v>400</v>
      </c>
      <c r="AU785" s="255">
        <f t="shared" si="67"/>
        <v>22.222222222222221</v>
      </c>
      <c r="AV785" s="172">
        <v>100</v>
      </c>
      <c r="AW785" s="171">
        <v>7</v>
      </c>
      <c r="AX785" s="89"/>
      <c r="AY785" s="171">
        <v>20</v>
      </c>
      <c r="AZ785" s="89"/>
      <c r="BA785" s="175">
        <v>60</v>
      </c>
      <c r="BB785" s="189" t="s">
        <v>2547</v>
      </c>
      <c r="BC785" s="176"/>
      <c r="BD785" s="179"/>
      <c r="BE785" s="179"/>
      <c r="BF785" s="178"/>
      <c r="BG785" s="25"/>
      <c r="BH785" s="25"/>
    </row>
    <row r="786" spans="1:60" ht="15" customHeight="1">
      <c r="A786" s="95">
        <v>785</v>
      </c>
      <c r="B786" s="98" t="s">
        <v>917</v>
      </c>
      <c r="C786" s="191" t="s">
        <v>2644</v>
      </c>
      <c r="D786" s="257" t="s">
        <v>549</v>
      </c>
      <c r="E786" s="459" t="s">
        <v>3377</v>
      </c>
      <c r="F786" s="171">
        <v>2000</v>
      </c>
      <c r="G786" s="171">
        <v>197</v>
      </c>
      <c r="H786" s="57"/>
      <c r="I786" s="173" t="s">
        <v>2564</v>
      </c>
      <c r="J786" s="277">
        <v>0.5</v>
      </c>
      <c r="K786" s="213">
        <v>5.2555555555555555</v>
      </c>
      <c r="L786" s="91"/>
      <c r="M786" s="278">
        <v>360</v>
      </c>
      <c r="N786" s="279"/>
      <c r="O786" s="172" t="s">
        <v>12</v>
      </c>
      <c r="P786" s="92"/>
      <c r="Q786" s="173" t="s">
        <v>10</v>
      </c>
      <c r="R786" s="512" t="s">
        <v>2734</v>
      </c>
      <c r="S786" s="94"/>
      <c r="T786" s="171" t="s">
        <v>2306</v>
      </c>
      <c r="U786" s="171" t="s">
        <v>2558</v>
      </c>
      <c r="V786" s="102">
        <v>0</v>
      </c>
      <c r="W786" s="120">
        <v>0</v>
      </c>
      <c r="X786" s="120">
        <v>0</v>
      </c>
      <c r="Y786" s="120">
        <v>0</v>
      </c>
      <c r="Z786" s="120">
        <v>0</v>
      </c>
      <c r="AA786" s="17">
        <v>0</v>
      </c>
      <c r="AB786" s="17">
        <v>0</v>
      </c>
      <c r="AC786" s="17">
        <v>0</v>
      </c>
      <c r="AD786" s="17">
        <v>0</v>
      </c>
      <c r="AE786" s="17">
        <v>0</v>
      </c>
      <c r="AF786" s="17">
        <v>0</v>
      </c>
      <c r="AG786" s="17">
        <v>0</v>
      </c>
      <c r="AH786" s="17">
        <v>0</v>
      </c>
      <c r="AI786" s="17">
        <v>0</v>
      </c>
      <c r="AJ786" s="17">
        <v>0</v>
      </c>
      <c r="AK786" s="17">
        <v>0</v>
      </c>
      <c r="AL786" s="32">
        <v>0</v>
      </c>
      <c r="AM786" s="57"/>
      <c r="AN786" s="89"/>
      <c r="AO786" s="280"/>
      <c r="AP786" s="784"/>
      <c r="AQ786" s="773" t="s">
        <v>271</v>
      </c>
      <c r="AR786" s="188">
        <v>100</v>
      </c>
      <c r="AS786" s="171"/>
      <c r="AT786" s="171" t="str">
        <f t="shared" si="66"/>
        <v>400</v>
      </c>
      <c r="AU786" s="255">
        <f t="shared" si="67"/>
        <v>22.222222222222221</v>
      </c>
      <c r="AV786" s="172">
        <v>100</v>
      </c>
      <c r="AW786" s="171">
        <v>7</v>
      </c>
      <c r="AX786" s="89"/>
      <c r="AY786" s="171">
        <v>20</v>
      </c>
      <c r="AZ786" s="89"/>
      <c r="BA786" s="175">
        <v>60</v>
      </c>
      <c r="BB786" s="189" t="s">
        <v>2547</v>
      </c>
      <c r="BC786" s="176"/>
      <c r="BD786" s="179"/>
      <c r="BE786" s="179"/>
      <c r="BF786" s="178"/>
      <c r="BG786" s="25"/>
      <c r="BH786" s="25"/>
    </row>
    <row r="787" spans="1:60" ht="15" customHeight="1">
      <c r="A787" s="95">
        <v>786</v>
      </c>
      <c r="B787" s="98" t="s">
        <v>916</v>
      </c>
      <c r="C787" s="191" t="s">
        <v>2644</v>
      </c>
      <c r="D787" s="257" t="s">
        <v>549</v>
      </c>
      <c r="E787" s="459" t="s">
        <v>3377</v>
      </c>
      <c r="F787" s="171">
        <v>2000</v>
      </c>
      <c r="G787" s="171">
        <v>197</v>
      </c>
      <c r="H787" s="57"/>
      <c r="I787" s="173" t="s">
        <v>2564</v>
      </c>
      <c r="J787" s="277">
        <v>0.5</v>
      </c>
      <c r="K787" s="213">
        <v>5.2555555555555555</v>
      </c>
      <c r="L787" s="91"/>
      <c r="M787" s="278">
        <v>360</v>
      </c>
      <c r="N787" s="279"/>
      <c r="O787" s="172" t="s">
        <v>12</v>
      </c>
      <c r="P787" s="92"/>
      <c r="Q787" s="173" t="s">
        <v>10</v>
      </c>
      <c r="R787" s="512" t="s">
        <v>2734</v>
      </c>
      <c r="S787" s="94"/>
      <c r="T787" s="171" t="s">
        <v>2306</v>
      </c>
      <c r="U787" s="171" t="s">
        <v>2558</v>
      </c>
      <c r="V787" s="102">
        <v>0</v>
      </c>
      <c r="W787" s="120">
        <v>0</v>
      </c>
      <c r="X787" s="120">
        <v>0</v>
      </c>
      <c r="Y787" s="120">
        <v>0</v>
      </c>
      <c r="Z787" s="120">
        <v>0</v>
      </c>
      <c r="AA787" s="17">
        <v>0</v>
      </c>
      <c r="AB787" s="17">
        <v>0</v>
      </c>
      <c r="AC787" s="17">
        <v>0</v>
      </c>
      <c r="AD787" s="17">
        <v>0</v>
      </c>
      <c r="AE787" s="17">
        <v>0</v>
      </c>
      <c r="AF787" s="17">
        <v>0</v>
      </c>
      <c r="AG787" s="17">
        <v>0</v>
      </c>
      <c r="AH787" s="17">
        <v>0</v>
      </c>
      <c r="AI787" s="17">
        <v>0</v>
      </c>
      <c r="AJ787" s="17">
        <v>0</v>
      </c>
      <c r="AK787" s="17">
        <v>0</v>
      </c>
      <c r="AL787" s="32">
        <v>0</v>
      </c>
      <c r="AM787" s="57"/>
      <c r="AN787" s="89"/>
      <c r="AO787" s="280"/>
      <c r="AP787" s="784"/>
      <c r="AQ787" s="773" t="s">
        <v>271</v>
      </c>
      <c r="AR787" s="188">
        <v>100</v>
      </c>
      <c r="AS787" s="171"/>
      <c r="AT787" s="171" t="str">
        <f t="shared" si="66"/>
        <v>400</v>
      </c>
      <c r="AU787" s="255">
        <f t="shared" si="67"/>
        <v>22.222222222222221</v>
      </c>
      <c r="AV787" s="172">
        <v>100</v>
      </c>
      <c r="AW787" s="171">
        <v>7</v>
      </c>
      <c r="AX787" s="89"/>
      <c r="AY787" s="171">
        <v>20</v>
      </c>
      <c r="AZ787" s="89"/>
      <c r="BA787" s="175">
        <v>60</v>
      </c>
      <c r="BB787" s="189" t="s">
        <v>2547</v>
      </c>
      <c r="BC787" s="176"/>
      <c r="BD787" s="179"/>
      <c r="BE787" s="179"/>
      <c r="BF787" s="178"/>
      <c r="BG787" s="25"/>
      <c r="BH787" s="25"/>
    </row>
    <row r="788" spans="1:60" ht="15" customHeight="1">
      <c r="A788" s="95">
        <v>787</v>
      </c>
      <c r="B788" s="98" t="s">
        <v>915</v>
      </c>
      <c r="C788" s="191" t="s">
        <v>2644</v>
      </c>
      <c r="D788" s="257" t="s">
        <v>549</v>
      </c>
      <c r="E788" s="459" t="s">
        <v>3377</v>
      </c>
      <c r="F788" s="171">
        <v>2000</v>
      </c>
      <c r="G788" s="171">
        <v>197</v>
      </c>
      <c r="H788" s="57"/>
      <c r="I788" s="173" t="s">
        <v>2564</v>
      </c>
      <c r="J788" s="277">
        <v>0.5</v>
      </c>
      <c r="K788" s="213">
        <v>3.9888888888888889</v>
      </c>
      <c r="L788" s="91"/>
      <c r="M788" s="278">
        <v>360</v>
      </c>
      <c r="N788" s="279"/>
      <c r="O788" s="172" t="s">
        <v>12</v>
      </c>
      <c r="P788" s="92"/>
      <c r="Q788" s="173" t="s">
        <v>10</v>
      </c>
      <c r="R788" s="94"/>
      <c r="S788" s="94"/>
      <c r="T788" s="171" t="s">
        <v>2552</v>
      </c>
      <c r="U788" s="171"/>
      <c r="V788" s="102">
        <v>0</v>
      </c>
      <c r="W788" s="120">
        <v>0</v>
      </c>
      <c r="X788" s="120">
        <v>0</v>
      </c>
      <c r="Y788" s="120">
        <v>0</v>
      </c>
      <c r="Z788" s="120">
        <v>0</v>
      </c>
      <c r="AA788" s="17">
        <v>0</v>
      </c>
      <c r="AB788" s="17">
        <v>0</v>
      </c>
      <c r="AC788" s="17">
        <v>0</v>
      </c>
      <c r="AD788" s="17">
        <v>0</v>
      </c>
      <c r="AE788" s="17">
        <v>0</v>
      </c>
      <c r="AF788" s="17">
        <v>0</v>
      </c>
      <c r="AG788" s="17">
        <v>0</v>
      </c>
      <c r="AH788" s="17">
        <v>0</v>
      </c>
      <c r="AI788" s="17">
        <v>0</v>
      </c>
      <c r="AJ788" s="17">
        <v>0</v>
      </c>
      <c r="AK788" s="17">
        <v>0</v>
      </c>
      <c r="AL788" s="32">
        <v>0</v>
      </c>
      <c r="AM788" s="57"/>
      <c r="AN788" s="89"/>
      <c r="AO788" s="280"/>
      <c r="AP788" s="784"/>
      <c r="AQ788" s="773" t="s">
        <v>271</v>
      </c>
      <c r="AR788" s="188">
        <v>100</v>
      </c>
      <c r="AS788" s="171"/>
      <c r="AT788" s="171" t="str">
        <f t="shared" si="66"/>
        <v>400</v>
      </c>
      <c r="AU788" s="255">
        <f t="shared" si="67"/>
        <v>22.222222222222221</v>
      </c>
      <c r="AV788" s="172">
        <v>100</v>
      </c>
      <c r="AW788" s="171">
        <v>7</v>
      </c>
      <c r="AX788" s="89"/>
      <c r="AY788" s="171">
        <v>20</v>
      </c>
      <c r="AZ788" s="89"/>
      <c r="BA788" s="175">
        <v>60</v>
      </c>
      <c r="BB788" s="189" t="s">
        <v>2547</v>
      </c>
      <c r="BC788" s="176"/>
      <c r="BD788" s="179"/>
      <c r="BE788" s="179"/>
      <c r="BF788" s="178"/>
      <c r="BG788" s="25"/>
      <c r="BH788" s="25"/>
    </row>
    <row r="789" spans="1:60" ht="15" customHeight="1">
      <c r="A789" s="95">
        <v>788</v>
      </c>
      <c r="B789" s="98" t="s">
        <v>914</v>
      </c>
      <c r="C789" s="191" t="s">
        <v>2644</v>
      </c>
      <c r="D789" s="257" t="s">
        <v>549</v>
      </c>
      <c r="E789" s="459" t="s">
        <v>3377</v>
      </c>
      <c r="F789" s="171">
        <v>2000</v>
      </c>
      <c r="G789" s="171">
        <v>197</v>
      </c>
      <c r="H789" s="57"/>
      <c r="I789" s="173" t="s">
        <v>2564</v>
      </c>
      <c r="J789" s="277">
        <v>0.5</v>
      </c>
      <c r="K789" s="213">
        <v>5.1166666666666663</v>
      </c>
      <c r="L789" s="91"/>
      <c r="M789" s="278">
        <v>360</v>
      </c>
      <c r="N789" s="279"/>
      <c r="O789" s="172" t="s">
        <v>12</v>
      </c>
      <c r="P789" s="92"/>
      <c r="Q789" s="173" t="s">
        <v>10</v>
      </c>
      <c r="R789" s="94"/>
      <c r="S789" s="94"/>
      <c r="T789" s="171"/>
      <c r="U789" s="171"/>
      <c r="V789" s="102">
        <v>0</v>
      </c>
      <c r="W789" s="120">
        <v>0</v>
      </c>
      <c r="X789" s="120" t="s">
        <v>2559</v>
      </c>
      <c r="Y789" s="120">
        <v>0</v>
      </c>
      <c r="Z789" s="120">
        <v>0</v>
      </c>
      <c r="AA789" s="17">
        <v>0</v>
      </c>
      <c r="AB789" s="17">
        <v>0</v>
      </c>
      <c r="AC789" s="17">
        <v>0</v>
      </c>
      <c r="AD789" s="17">
        <v>0</v>
      </c>
      <c r="AE789" s="17">
        <v>0</v>
      </c>
      <c r="AF789" s="17">
        <v>0</v>
      </c>
      <c r="AG789" s="17">
        <v>0</v>
      </c>
      <c r="AH789" s="17">
        <v>0</v>
      </c>
      <c r="AI789" s="17">
        <v>0</v>
      </c>
      <c r="AJ789" s="17">
        <v>0</v>
      </c>
      <c r="AK789" s="17">
        <v>0</v>
      </c>
      <c r="AL789" s="32">
        <v>0</v>
      </c>
      <c r="AM789" s="57"/>
      <c r="AN789" s="89"/>
      <c r="AO789" s="280"/>
      <c r="AP789" s="784"/>
      <c r="AQ789" s="773" t="s">
        <v>271</v>
      </c>
      <c r="AR789" s="188">
        <v>100</v>
      </c>
      <c r="AS789" s="171"/>
      <c r="AT789" s="171" t="str">
        <f t="shared" si="66"/>
        <v>400</v>
      </c>
      <c r="AU789" s="255">
        <f t="shared" si="67"/>
        <v>22.222222222222221</v>
      </c>
      <c r="AV789" s="172">
        <v>100</v>
      </c>
      <c r="AW789" s="171">
        <v>7</v>
      </c>
      <c r="AX789" s="89"/>
      <c r="AY789" s="171">
        <v>20</v>
      </c>
      <c r="AZ789" s="89"/>
      <c r="BA789" s="175">
        <v>60</v>
      </c>
      <c r="BB789" s="189" t="s">
        <v>2547</v>
      </c>
      <c r="BC789" s="176"/>
      <c r="BD789" s="179"/>
      <c r="BE789" s="179"/>
      <c r="BF789" s="178"/>
      <c r="BG789" s="25"/>
      <c r="BH789" s="25"/>
    </row>
    <row r="790" spans="1:60" ht="15" customHeight="1">
      <c r="A790" s="95">
        <v>789</v>
      </c>
      <c r="B790" s="98" t="s">
        <v>913</v>
      </c>
      <c r="C790" s="191" t="s">
        <v>2678</v>
      </c>
      <c r="D790" s="257" t="s">
        <v>549</v>
      </c>
      <c r="E790" s="459" t="s">
        <v>3377</v>
      </c>
      <c r="F790" s="171">
        <v>2000</v>
      </c>
      <c r="G790" s="171">
        <v>198</v>
      </c>
      <c r="H790" s="57"/>
      <c r="I790" s="173" t="s">
        <v>2564</v>
      </c>
      <c r="J790" s="277">
        <v>0.5</v>
      </c>
      <c r="K790" s="213">
        <v>4.9083333333333332</v>
      </c>
      <c r="L790" s="91"/>
      <c r="M790" s="278">
        <v>360</v>
      </c>
      <c r="N790" s="279"/>
      <c r="O790" s="172" t="s">
        <v>12</v>
      </c>
      <c r="P790" s="92"/>
      <c r="Q790" s="173" t="s">
        <v>10</v>
      </c>
      <c r="R790" s="94"/>
      <c r="S790" s="94"/>
      <c r="T790" s="171" t="s">
        <v>2306</v>
      </c>
      <c r="U790" s="171" t="s">
        <v>2530</v>
      </c>
      <c r="V790" s="102">
        <v>0</v>
      </c>
      <c r="W790" s="120">
        <v>0</v>
      </c>
      <c r="X790" s="120">
        <v>0</v>
      </c>
      <c r="Y790" s="120">
        <v>0</v>
      </c>
      <c r="Z790" s="120">
        <v>0</v>
      </c>
      <c r="AA790" s="17">
        <v>0</v>
      </c>
      <c r="AB790" s="17">
        <v>0</v>
      </c>
      <c r="AC790" s="17">
        <v>0</v>
      </c>
      <c r="AD790" s="17">
        <v>0</v>
      </c>
      <c r="AE790" s="17">
        <v>0</v>
      </c>
      <c r="AF790" s="17">
        <v>0</v>
      </c>
      <c r="AG790" s="17">
        <v>0</v>
      </c>
      <c r="AH790" s="17">
        <v>0</v>
      </c>
      <c r="AI790" s="17">
        <v>0</v>
      </c>
      <c r="AJ790" s="17">
        <v>0</v>
      </c>
      <c r="AK790" s="17">
        <v>0</v>
      </c>
      <c r="AL790" s="32">
        <v>0</v>
      </c>
      <c r="AM790" s="780">
        <v>41.3</v>
      </c>
      <c r="AN790" s="89"/>
      <c r="AO790" s="280"/>
      <c r="AP790" s="784"/>
      <c r="AQ790" s="773" t="s">
        <v>271</v>
      </c>
      <c r="AR790" s="188">
        <v>100</v>
      </c>
      <c r="AS790" s="171"/>
      <c r="AT790" s="171" t="str">
        <f t="shared" si="66"/>
        <v>400</v>
      </c>
      <c r="AU790" s="255">
        <f t="shared" si="67"/>
        <v>22.222222222222221</v>
      </c>
      <c r="AV790" s="172">
        <v>100</v>
      </c>
      <c r="AW790" s="171">
        <v>7</v>
      </c>
      <c r="AX790" s="89"/>
      <c r="AY790" s="171">
        <v>20</v>
      </c>
      <c r="AZ790" s="89"/>
      <c r="BA790" s="175">
        <v>60</v>
      </c>
      <c r="BB790" s="189" t="s">
        <v>2547</v>
      </c>
      <c r="BC790" s="176" t="s">
        <v>558</v>
      </c>
      <c r="BD790" s="179"/>
      <c r="BE790" s="179"/>
      <c r="BF790" s="178"/>
      <c r="BG790" s="25"/>
      <c r="BH790" s="25"/>
    </row>
    <row r="791" spans="1:60" ht="15" customHeight="1">
      <c r="A791" s="95">
        <v>790</v>
      </c>
      <c r="B791" s="98" t="s">
        <v>912</v>
      </c>
      <c r="C791" s="191" t="s">
        <v>2678</v>
      </c>
      <c r="D791" s="257" t="s">
        <v>549</v>
      </c>
      <c r="E791" s="459" t="s">
        <v>3377</v>
      </c>
      <c r="F791" s="171">
        <v>2000</v>
      </c>
      <c r="G791" s="171">
        <v>198</v>
      </c>
      <c r="H791" s="57"/>
      <c r="I791" s="173" t="s">
        <v>2564</v>
      </c>
      <c r="J791" s="277">
        <v>0.5</v>
      </c>
      <c r="K791" s="213">
        <v>4.875</v>
      </c>
      <c r="L791" s="91"/>
      <c r="M791" s="278">
        <v>360</v>
      </c>
      <c r="N791" s="279"/>
      <c r="O791" s="172" t="s">
        <v>12</v>
      </c>
      <c r="P791" s="92"/>
      <c r="Q791" s="173" t="s">
        <v>10</v>
      </c>
      <c r="R791" s="94"/>
      <c r="S791" s="94"/>
      <c r="T791" s="171" t="s">
        <v>2306</v>
      </c>
      <c r="U791" s="171" t="s">
        <v>2530</v>
      </c>
      <c r="V791" s="102">
        <v>0</v>
      </c>
      <c r="W791" s="120">
        <v>0</v>
      </c>
      <c r="X791" s="120">
        <v>0</v>
      </c>
      <c r="Y791" s="120">
        <v>0</v>
      </c>
      <c r="Z791" s="120">
        <v>0</v>
      </c>
      <c r="AA791" s="17">
        <v>0</v>
      </c>
      <c r="AB791" s="17">
        <v>0</v>
      </c>
      <c r="AC791" s="17">
        <v>0</v>
      </c>
      <c r="AD791" s="17">
        <v>0</v>
      </c>
      <c r="AE791" s="17">
        <v>0</v>
      </c>
      <c r="AF791" s="17">
        <v>0</v>
      </c>
      <c r="AG791" s="17">
        <v>0</v>
      </c>
      <c r="AH791" s="17">
        <v>0</v>
      </c>
      <c r="AI791" s="17">
        <v>0</v>
      </c>
      <c r="AJ791" s="17">
        <v>0</v>
      </c>
      <c r="AK791" s="17">
        <v>0</v>
      </c>
      <c r="AL791" s="32">
        <v>0</v>
      </c>
      <c r="AM791" s="780">
        <v>48.4</v>
      </c>
      <c r="AN791" s="89"/>
      <c r="AO791" s="280"/>
      <c r="AP791" s="784"/>
      <c r="AQ791" s="773" t="s">
        <v>271</v>
      </c>
      <c r="AR791" s="188">
        <v>100</v>
      </c>
      <c r="AS791" s="171"/>
      <c r="AT791" s="171" t="str">
        <f t="shared" si="66"/>
        <v>400</v>
      </c>
      <c r="AU791" s="255">
        <f t="shared" si="67"/>
        <v>22.222222222222221</v>
      </c>
      <c r="AV791" s="172">
        <v>100</v>
      </c>
      <c r="AW791" s="171">
        <v>7</v>
      </c>
      <c r="AX791" s="89"/>
      <c r="AY791" s="171">
        <v>20</v>
      </c>
      <c r="AZ791" s="89"/>
      <c r="BA791" s="175">
        <v>60</v>
      </c>
      <c r="BB791" s="189" t="s">
        <v>2547</v>
      </c>
      <c r="BC791" s="176" t="s">
        <v>558</v>
      </c>
      <c r="BD791" s="179"/>
      <c r="BE791" s="179"/>
      <c r="BF791" s="178"/>
      <c r="BG791" s="25"/>
      <c r="BH791" s="25"/>
    </row>
    <row r="792" spans="1:60" ht="15" customHeight="1">
      <c r="A792" s="95">
        <v>791</v>
      </c>
      <c r="B792" s="98" t="s">
        <v>911</v>
      </c>
      <c r="C792" s="191" t="s">
        <v>2678</v>
      </c>
      <c r="D792" s="257" t="s">
        <v>549</v>
      </c>
      <c r="E792" s="459" t="s">
        <v>3377</v>
      </c>
      <c r="F792" s="171">
        <v>2000</v>
      </c>
      <c r="G792" s="171">
        <v>198</v>
      </c>
      <c r="H792" s="57"/>
      <c r="I792" s="173" t="s">
        <v>2564</v>
      </c>
      <c r="J792" s="277">
        <v>0.5</v>
      </c>
      <c r="K792" s="213">
        <v>4.8499999999999996</v>
      </c>
      <c r="L792" s="91"/>
      <c r="M792" s="278">
        <v>360</v>
      </c>
      <c r="N792" s="279"/>
      <c r="O792" s="172" t="s">
        <v>12</v>
      </c>
      <c r="P792" s="92"/>
      <c r="Q792" s="173" t="s">
        <v>10</v>
      </c>
      <c r="R792" s="94"/>
      <c r="S792" s="94"/>
      <c r="T792" s="171" t="s">
        <v>2306</v>
      </c>
      <c r="U792" s="171" t="s">
        <v>2530</v>
      </c>
      <c r="V792" s="102">
        <v>0</v>
      </c>
      <c r="W792" s="120">
        <v>0</v>
      </c>
      <c r="X792" s="120">
        <v>0</v>
      </c>
      <c r="Y792" s="120">
        <v>0</v>
      </c>
      <c r="Z792" s="120">
        <v>0</v>
      </c>
      <c r="AA792" s="17">
        <v>0</v>
      </c>
      <c r="AB792" s="17">
        <v>0</v>
      </c>
      <c r="AC792" s="17">
        <v>0</v>
      </c>
      <c r="AD792" s="17">
        <v>0</v>
      </c>
      <c r="AE792" s="17">
        <v>0</v>
      </c>
      <c r="AF792" s="17">
        <v>0</v>
      </c>
      <c r="AG792" s="17">
        <v>0</v>
      </c>
      <c r="AH792" s="17">
        <v>0</v>
      </c>
      <c r="AI792" s="17">
        <v>0</v>
      </c>
      <c r="AJ792" s="17">
        <v>0</v>
      </c>
      <c r="AK792" s="17">
        <v>0</v>
      </c>
      <c r="AL792" s="32">
        <v>0</v>
      </c>
      <c r="AM792" s="780">
        <v>44.1</v>
      </c>
      <c r="AN792" s="89"/>
      <c r="AO792" s="280"/>
      <c r="AP792" s="784"/>
      <c r="AQ792" s="773" t="s">
        <v>271</v>
      </c>
      <c r="AR792" s="188">
        <v>100</v>
      </c>
      <c r="AS792" s="171"/>
      <c r="AT792" s="171" t="str">
        <f t="shared" si="66"/>
        <v>400</v>
      </c>
      <c r="AU792" s="255">
        <f t="shared" si="67"/>
        <v>22.222222222222221</v>
      </c>
      <c r="AV792" s="172">
        <v>100</v>
      </c>
      <c r="AW792" s="171">
        <v>7</v>
      </c>
      <c r="AX792" s="89"/>
      <c r="AY792" s="171">
        <v>20</v>
      </c>
      <c r="AZ792" s="89"/>
      <c r="BA792" s="175">
        <v>60</v>
      </c>
      <c r="BB792" s="189" t="s">
        <v>2547</v>
      </c>
      <c r="BC792" s="176" t="s">
        <v>558</v>
      </c>
      <c r="BD792" s="179"/>
      <c r="BE792" s="179"/>
      <c r="BF792" s="178"/>
      <c r="BG792" s="25"/>
      <c r="BH792" s="25"/>
    </row>
    <row r="793" spans="1:60" ht="15" customHeight="1">
      <c r="A793" s="95">
        <v>792</v>
      </c>
      <c r="B793" s="98" t="s">
        <v>910</v>
      </c>
      <c r="C793" s="191" t="s">
        <v>2678</v>
      </c>
      <c r="D793" s="257" t="s">
        <v>549</v>
      </c>
      <c r="E793" s="459" t="s">
        <v>3377</v>
      </c>
      <c r="F793" s="171">
        <v>2000</v>
      </c>
      <c r="G793" s="171">
        <v>198</v>
      </c>
      <c r="H793" s="57"/>
      <c r="I793" s="173" t="s">
        <v>2564</v>
      </c>
      <c r="J793" s="277">
        <v>0.5</v>
      </c>
      <c r="K793" s="213">
        <v>4.8666666666666663</v>
      </c>
      <c r="L793" s="91"/>
      <c r="M793" s="278">
        <v>360</v>
      </c>
      <c r="N793" s="279"/>
      <c r="O793" s="172" t="s">
        <v>12</v>
      </c>
      <c r="P793" s="92"/>
      <c r="Q793" s="173" t="s">
        <v>10</v>
      </c>
      <c r="R793" s="94"/>
      <c r="S793" s="94"/>
      <c r="T793" s="171" t="s">
        <v>2306</v>
      </c>
      <c r="U793" s="171" t="s">
        <v>2530</v>
      </c>
      <c r="V793" s="102">
        <v>0</v>
      </c>
      <c r="W793" s="120">
        <v>0</v>
      </c>
      <c r="X793" s="120">
        <v>0</v>
      </c>
      <c r="Y793" s="120">
        <v>0</v>
      </c>
      <c r="Z793" s="120">
        <v>0</v>
      </c>
      <c r="AA793" s="17">
        <v>0</v>
      </c>
      <c r="AB793" s="17">
        <v>0</v>
      </c>
      <c r="AC793" s="17">
        <v>0</v>
      </c>
      <c r="AD793" s="17">
        <v>0</v>
      </c>
      <c r="AE793" s="17">
        <v>0</v>
      </c>
      <c r="AF793" s="17">
        <v>0</v>
      </c>
      <c r="AG793" s="17">
        <v>0</v>
      </c>
      <c r="AH793" s="17">
        <v>0</v>
      </c>
      <c r="AI793" s="17">
        <v>0</v>
      </c>
      <c r="AJ793" s="17">
        <v>0</v>
      </c>
      <c r="AK793" s="17">
        <v>0</v>
      </c>
      <c r="AL793" s="32">
        <v>0</v>
      </c>
      <c r="AM793" s="780">
        <v>41.9</v>
      </c>
      <c r="AN793" s="89"/>
      <c r="AO793" s="280"/>
      <c r="AP793" s="784"/>
      <c r="AQ793" s="773" t="s">
        <v>271</v>
      </c>
      <c r="AR793" s="188">
        <v>100</v>
      </c>
      <c r="AS793" s="171"/>
      <c r="AT793" s="171" t="str">
        <f t="shared" si="66"/>
        <v>400</v>
      </c>
      <c r="AU793" s="255">
        <f t="shared" si="67"/>
        <v>22.222222222222221</v>
      </c>
      <c r="AV793" s="172">
        <v>100</v>
      </c>
      <c r="AW793" s="171">
        <v>7</v>
      </c>
      <c r="AX793" s="89"/>
      <c r="AY793" s="171">
        <v>20</v>
      </c>
      <c r="AZ793" s="89"/>
      <c r="BA793" s="175">
        <v>60</v>
      </c>
      <c r="BB793" s="189" t="s">
        <v>2547</v>
      </c>
      <c r="BC793" s="176" t="s">
        <v>558</v>
      </c>
      <c r="BD793" s="179"/>
      <c r="BE793" s="179"/>
      <c r="BF793" s="178"/>
      <c r="BG793" s="25"/>
      <c r="BH793" s="25"/>
    </row>
    <row r="794" spans="1:60" ht="15" customHeight="1">
      <c r="A794" s="95">
        <v>793</v>
      </c>
      <c r="B794" s="98" t="s">
        <v>909</v>
      </c>
      <c r="C794" s="191" t="s">
        <v>2678</v>
      </c>
      <c r="D794" s="257" t="s">
        <v>549</v>
      </c>
      <c r="E794" s="459" t="s">
        <v>3377</v>
      </c>
      <c r="F794" s="171">
        <v>2000</v>
      </c>
      <c r="G794" s="171">
        <v>198</v>
      </c>
      <c r="H794" s="57"/>
      <c r="I794" s="173" t="s">
        <v>2564</v>
      </c>
      <c r="J794" s="277">
        <v>0.5</v>
      </c>
      <c r="K794" s="213">
        <v>4.8638888888888889</v>
      </c>
      <c r="L794" s="91"/>
      <c r="M794" s="278">
        <v>360</v>
      </c>
      <c r="N794" s="279"/>
      <c r="O794" s="172" t="s">
        <v>12</v>
      </c>
      <c r="P794" s="92"/>
      <c r="Q794" s="173" t="s">
        <v>10</v>
      </c>
      <c r="R794" s="94"/>
      <c r="S794" s="94"/>
      <c r="T794" s="171" t="s">
        <v>2306</v>
      </c>
      <c r="U794" s="171" t="s">
        <v>2530</v>
      </c>
      <c r="V794" s="102">
        <v>0</v>
      </c>
      <c r="W794" s="120">
        <v>0</v>
      </c>
      <c r="X794" s="120">
        <v>0</v>
      </c>
      <c r="Y794" s="120">
        <v>0</v>
      </c>
      <c r="Z794" s="120">
        <v>0</v>
      </c>
      <c r="AA794" s="17">
        <v>0</v>
      </c>
      <c r="AB794" s="17">
        <v>0</v>
      </c>
      <c r="AC794" s="17">
        <v>0</v>
      </c>
      <c r="AD794" s="17">
        <v>0</v>
      </c>
      <c r="AE794" s="17">
        <v>0</v>
      </c>
      <c r="AF794" s="17">
        <v>0</v>
      </c>
      <c r="AG794" s="17">
        <v>0</v>
      </c>
      <c r="AH794" s="17">
        <v>0</v>
      </c>
      <c r="AI794" s="17">
        <v>0</v>
      </c>
      <c r="AJ794" s="17">
        <v>0</v>
      </c>
      <c r="AK794" s="17">
        <v>0</v>
      </c>
      <c r="AL794" s="32">
        <v>0</v>
      </c>
      <c r="AM794" s="780">
        <v>40.200000000000003</v>
      </c>
      <c r="AN794" s="89"/>
      <c r="AO794" s="280"/>
      <c r="AP794" s="784"/>
      <c r="AQ794" s="773" t="s">
        <v>271</v>
      </c>
      <c r="AR794" s="188">
        <v>100</v>
      </c>
      <c r="AS794" s="171"/>
      <c r="AT794" s="171" t="str">
        <f t="shared" si="66"/>
        <v>400</v>
      </c>
      <c r="AU794" s="255">
        <f t="shared" si="67"/>
        <v>22.222222222222221</v>
      </c>
      <c r="AV794" s="172">
        <v>100</v>
      </c>
      <c r="AW794" s="171">
        <v>7</v>
      </c>
      <c r="AX794" s="89"/>
      <c r="AY794" s="171">
        <v>20</v>
      </c>
      <c r="AZ794" s="89"/>
      <c r="BA794" s="175">
        <v>60</v>
      </c>
      <c r="BB794" s="189" t="s">
        <v>2547</v>
      </c>
      <c r="BC794" s="176" t="s">
        <v>558</v>
      </c>
      <c r="BD794" s="179"/>
      <c r="BE794" s="179"/>
      <c r="BF794" s="178"/>
      <c r="BG794" s="25"/>
      <c r="BH794" s="25"/>
    </row>
    <row r="795" spans="1:60" ht="15" customHeight="1">
      <c r="A795" s="95">
        <v>794</v>
      </c>
      <c r="B795" s="98" t="s">
        <v>908</v>
      </c>
      <c r="C795" s="191" t="s">
        <v>2678</v>
      </c>
      <c r="D795" s="257" t="s">
        <v>549</v>
      </c>
      <c r="E795" s="459" t="s">
        <v>3377</v>
      </c>
      <c r="F795" s="171">
        <v>2000</v>
      </c>
      <c r="G795" s="171">
        <v>198</v>
      </c>
      <c r="H795" s="57"/>
      <c r="I795" s="173" t="s">
        <v>2564</v>
      </c>
      <c r="J795" s="277">
        <v>0.5</v>
      </c>
      <c r="K795" s="213">
        <v>4.8416666666666668</v>
      </c>
      <c r="L795" s="91"/>
      <c r="M795" s="278">
        <v>360</v>
      </c>
      <c r="N795" s="279"/>
      <c r="O795" s="172" t="s">
        <v>12</v>
      </c>
      <c r="P795" s="92"/>
      <c r="Q795" s="173" t="s">
        <v>10</v>
      </c>
      <c r="R795" s="94"/>
      <c r="S795" s="94"/>
      <c r="T795" s="171" t="s">
        <v>2306</v>
      </c>
      <c r="U795" s="171" t="s">
        <v>2530</v>
      </c>
      <c r="V795" s="102">
        <v>0</v>
      </c>
      <c r="W795" s="120">
        <v>0</v>
      </c>
      <c r="X795" s="120">
        <v>0</v>
      </c>
      <c r="Y795" s="120">
        <v>0</v>
      </c>
      <c r="Z795" s="120">
        <v>0</v>
      </c>
      <c r="AA795" s="17">
        <v>0</v>
      </c>
      <c r="AB795" s="17">
        <v>0</v>
      </c>
      <c r="AC795" s="17">
        <v>0</v>
      </c>
      <c r="AD795" s="17">
        <v>0</v>
      </c>
      <c r="AE795" s="17">
        <v>0</v>
      </c>
      <c r="AF795" s="17">
        <v>0</v>
      </c>
      <c r="AG795" s="17">
        <v>0</v>
      </c>
      <c r="AH795" s="17">
        <v>0</v>
      </c>
      <c r="AI795" s="17">
        <v>0</v>
      </c>
      <c r="AJ795" s="17">
        <v>0</v>
      </c>
      <c r="AK795" s="17">
        <v>0</v>
      </c>
      <c r="AL795" s="32">
        <v>0</v>
      </c>
      <c r="AM795" s="780">
        <v>40.799999999999997</v>
      </c>
      <c r="AN795" s="89"/>
      <c r="AO795" s="280"/>
      <c r="AP795" s="784"/>
      <c r="AQ795" s="773" t="s">
        <v>271</v>
      </c>
      <c r="AR795" s="188">
        <v>100</v>
      </c>
      <c r="AS795" s="171"/>
      <c r="AT795" s="171" t="str">
        <f t="shared" si="66"/>
        <v>400</v>
      </c>
      <c r="AU795" s="255">
        <f t="shared" si="67"/>
        <v>22.222222222222221</v>
      </c>
      <c r="AV795" s="172">
        <v>100</v>
      </c>
      <c r="AW795" s="171">
        <v>7</v>
      </c>
      <c r="AX795" s="89"/>
      <c r="AY795" s="171">
        <v>20</v>
      </c>
      <c r="AZ795" s="89"/>
      <c r="BA795" s="175">
        <v>60</v>
      </c>
      <c r="BB795" s="189" t="s">
        <v>2547</v>
      </c>
      <c r="BC795" s="176" t="s">
        <v>558</v>
      </c>
      <c r="BD795" s="179"/>
      <c r="BE795" s="179"/>
      <c r="BF795" s="178"/>
      <c r="BG795" s="25"/>
      <c r="BH795" s="25"/>
    </row>
    <row r="796" spans="1:60" ht="15" customHeight="1">
      <c r="A796" s="95">
        <v>795</v>
      </c>
      <c r="B796" s="98" t="s">
        <v>907</v>
      </c>
      <c r="C796" s="191" t="s">
        <v>2678</v>
      </c>
      <c r="D796" s="257" t="s">
        <v>549</v>
      </c>
      <c r="E796" s="459" t="s">
        <v>3377</v>
      </c>
      <c r="F796" s="171">
        <v>2000</v>
      </c>
      <c r="G796" s="171">
        <v>198</v>
      </c>
      <c r="H796" s="57"/>
      <c r="I796" s="173" t="s">
        <v>2564</v>
      </c>
      <c r="J796" s="277">
        <v>0.5</v>
      </c>
      <c r="K796" s="213">
        <v>4.8416666666666668</v>
      </c>
      <c r="L796" s="91"/>
      <c r="M796" s="278">
        <v>360</v>
      </c>
      <c r="N796" s="279"/>
      <c r="O796" s="172" t="s">
        <v>12</v>
      </c>
      <c r="P796" s="92"/>
      <c r="Q796" s="173" t="s">
        <v>10</v>
      </c>
      <c r="R796" s="94"/>
      <c r="S796" s="94"/>
      <c r="T796" s="171" t="s">
        <v>2306</v>
      </c>
      <c r="U796" s="171" t="s">
        <v>2530</v>
      </c>
      <c r="V796" s="102">
        <v>0</v>
      </c>
      <c r="W796" s="120">
        <v>0</v>
      </c>
      <c r="X796" s="120">
        <v>0</v>
      </c>
      <c r="Y796" s="120">
        <v>0</v>
      </c>
      <c r="Z796" s="120">
        <v>0</v>
      </c>
      <c r="AA796" s="17">
        <v>0</v>
      </c>
      <c r="AB796" s="17">
        <v>0</v>
      </c>
      <c r="AC796" s="17">
        <v>0</v>
      </c>
      <c r="AD796" s="17">
        <v>0</v>
      </c>
      <c r="AE796" s="17">
        <v>0</v>
      </c>
      <c r="AF796" s="17">
        <v>0</v>
      </c>
      <c r="AG796" s="17">
        <v>0</v>
      </c>
      <c r="AH796" s="17">
        <v>0</v>
      </c>
      <c r="AI796" s="17">
        <v>0</v>
      </c>
      <c r="AJ796" s="17">
        <v>0</v>
      </c>
      <c r="AK796" s="17">
        <v>0</v>
      </c>
      <c r="AL796" s="32">
        <v>0</v>
      </c>
      <c r="AM796" s="780">
        <v>40.700000000000003</v>
      </c>
      <c r="AN796" s="89"/>
      <c r="AO796" s="280"/>
      <c r="AP796" s="784"/>
      <c r="AQ796" s="773" t="s">
        <v>271</v>
      </c>
      <c r="AR796" s="188">
        <v>100</v>
      </c>
      <c r="AS796" s="171"/>
      <c r="AT796" s="171" t="str">
        <f t="shared" ref="AT796:AT823" si="68">RIGHT(AQ796,LEN(AQ796)-FIND("x",AQ796,8))</f>
        <v>400</v>
      </c>
      <c r="AU796" s="255">
        <f t="shared" ref="AU796:AU823" si="69">IF(ISBLANK(AS796),(AR796*AT796)/((4*AT796)+(2*AR796)),AR796*AS796*AT796/2/(AR796*AS796+AR796*AT796+AS796*AT796))</f>
        <v>22.222222222222221</v>
      </c>
      <c r="AV796" s="172">
        <v>100</v>
      </c>
      <c r="AW796" s="171">
        <v>7</v>
      </c>
      <c r="AX796" s="89"/>
      <c r="AY796" s="171">
        <v>20</v>
      </c>
      <c r="AZ796" s="89"/>
      <c r="BA796" s="175">
        <v>60</v>
      </c>
      <c r="BB796" s="189" t="s">
        <v>2547</v>
      </c>
      <c r="BC796" s="176" t="s">
        <v>558</v>
      </c>
      <c r="BD796" s="179"/>
      <c r="BE796" s="179"/>
      <c r="BF796" s="178"/>
      <c r="BG796" s="25"/>
      <c r="BH796" s="25"/>
    </row>
    <row r="797" spans="1:60" ht="15" customHeight="1">
      <c r="A797" s="95">
        <v>796</v>
      </c>
      <c r="B797" s="98" t="s">
        <v>906</v>
      </c>
      <c r="C797" s="191" t="s">
        <v>2678</v>
      </c>
      <c r="D797" s="257" t="s">
        <v>549</v>
      </c>
      <c r="E797" s="459" t="s">
        <v>3377</v>
      </c>
      <c r="F797" s="171">
        <v>2000</v>
      </c>
      <c r="G797" s="171">
        <v>198</v>
      </c>
      <c r="H797" s="57"/>
      <c r="I797" s="173" t="s">
        <v>2564</v>
      </c>
      <c r="J797" s="277">
        <v>0.5</v>
      </c>
      <c r="K797" s="213">
        <v>4.2611111111111111</v>
      </c>
      <c r="L797" s="91"/>
      <c r="M797" s="278">
        <v>360</v>
      </c>
      <c r="N797" s="279"/>
      <c r="O797" s="172" t="s">
        <v>12</v>
      </c>
      <c r="P797" s="92"/>
      <c r="Q797" s="173" t="s">
        <v>10</v>
      </c>
      <c r="R797" s="94"/>
      <c r="S797" s="94"/>
      <c r="T797" s="171" t="s">
        <v>2306</v>
      </c>
      <c r="U797" s="171" t="s">
        <v>2530</v>
      </c>
      <c r="V797" s="102">
        <v>0</v>
      </c>
      <c r="W797" s="120">
        <v>0</v>
      </c>
      <c r="X797" s="120">
        <v>0</v>
      </c>
      <c r="Y797" s="120">
        <v>0</v>
      </c>
      <c r="Z797" s="120">
        <v>0</v>
      </c>
      <c r="AA797" s="17">
        <v>0</v>
      </c>
      <c r="AB797" s="17">
        <v>0</v>
      </c>
      <c r="AC797" s="17">
        <v>0</v>
      </c>
      <c r="AD797" s="17">
        <v>0</v>
      </c>
      <c r="AE797" s="17">
        <v>0</v>
      </c>
      <c r="AF797" s="17">
        <v>0</v>
      </c>
      <c r="AG797" s="17">
        <v>0</v>
      </c>
      <c r="AH797" s="17">
        <v>0</v>
      </c>
      <c r="AI797" s="17">
        <v>0</v>
      </c>
      <c r="AJ797" s="17">
        <v>0</v>
      </c>
      <c r="AK797" s="17">
        <v>0</v>
      </c>
      <c r="AL797" s="32">
        <v>0</v>
      </c>
      <c r="AM797" s="780">
        <v>40.700000000000003</v>
      </c>
      <c r="AN797" s="89"/>
      <c r="AO797" s="280"/>
      <c r="AP797" s="784"/>
      <c r="AQ797" s="773" t="s">
        <v>271</v>
      </c>
      <c r="AR797" s="188">
        <v>100</v>
      </c>
      <c r="AS797" s="171"/>
      <c r="AT797" s="171" t="str">
        <f t="shared" si="68"/>
        <v>400</v>
      </c>
      <c r="AU797" s="255">
        <f t="shared" si="69"/>
        <v>22.222222222222221</v>
      </c>
      <c r="AV797" s="172">
        <v>100</v>
      </c>
      <c r="AW797" s="171">
        <v>7</v>
      </c>
      <c r="AX797" s="89"/>
      <c r="AY797" s="171">
        <v>20</v>
      </c>
      <c r="AZ797" s="89"/>
      <c r="BA797" s="175">
        <v>60</v>
      </c>
      <c r="BB797" s="189" t="s">
        <v>2547</v>
      </c>
      <c r="BC797" s="176" t="s">
        <v>558</v>
      </c>
      <c r="BD797" s="179"/>
      <c r="BE797" s="179"/>
      <c r="BF797" s="178"/>
      <c r="BG797" s="25"/>
      <c r="BH797" s="25"/>
    </row>
    <row r="798" spans="1:60" ht="15" customHeight="1">
      <c r="A798" s="95">
        <v>797</v>
      </c>
      <c r="B798" s="98" t="s">
        <v>905</v>
      </c>
      <c r="C798" s="191" t="s">
        <v>2678</v>
      </c>
      <c r="D798" s="257" t="s">
        <v>549</v>
      </c>
      <c r="E798" s="459" t="s">
        <v>3377</v>
      </c>
      <c r="F798" s="171">
        <v>2000</v>
      </c>
      <c r="G798" s="171">
        <v>198</v>
      </c>
      <c r="H798" s="57"/>
      <c r="I798" s="173" t="s">
        <v>2564</v>
      </c>
      <c r="J798" s="277">
        <v>0.5</v>
      </c>
      <c r="K798" s="213">
        <v>4.2777777777777777</v>
      </c>
      <c r="L798" s="91"/>
      <c r="M798" s="278">
        <v>360</v>
      </c>
      <c r="N798" s="279"/>
      <c r="O798" s="172" t="s">
        <v>12</v>
      </c>
      <c r="P798" s="92"/>
      <c r="Q798" s="173" t="s">
        <v>10</v>
      </c>
      <c r="R798" s="94"/>
      <c r="S798" s="94"/>
      <c r="T798" s="171" t="s">
        <v>2306</v>
      </c>
      <c r="U798" s="171" t="s">
        <v>2530</v>
      </c>
      <c r="V798" s="102">
        <v>0</v>
      </c>
      <c r="W798" s="120">
        <v>0</v>
      </c>
      <c r="X798" s="120">
        <v>66.666666666666657</v>
      </c>
      <c r="Y798" s="120">
        <v>0</v>
      </c>
      <c r="Z798" s="120">
        <v>0</v>
      </c>
      <c r="AA798" s="17">
        <v>0</v>
      </c>
      <c r="AB798" s="17">
        <v>0</v>
      </c>
      <c r="AC798" s="17">
        <v>0</v>
      </c>
      <c r="AD798" s="17">
        <v>0</v>
      </c>
      <c r="AE798" s="17">
        <v>0</v>
      </c>
      <c r="AF798" s="17">
        <v>0</v>
      </c>
      <c r="AG798" s="17">
        <v>0</v>
      </c>
      <c r="AH798" s="17">
        <v>0</v>
      </c>
      <c r="AI798" s="17">
        <v>0</v>
      </c>
      <c r="AJ798" s="17">
        <v>0</v>
      </c>
      <c r="AK798" s="17">
        <v>0</v>
      </c>
      <c r="AL798" s="32">
        <v>0</v>
      </c>
      <c r="AM798" s="780">
        <v>43.7</v>
      </c>
      <c r="AN798" s="89"/>
      <c r="AO798" s="280"/>
      <c r="AP798" s="784"/>
      <c r="AQ798" s="773" t="s">
        <v>271</v>
      </c>
      <c r="AR798" s="188">
        <v>100</v>
      </c>
      <c r="AS798" s="171"/>
      <c r="AT798" s="171" t="str">
        <f t="shared" si="68"/>
        <v>400</v>
      </c>
      <c r="AU798" s="255">
        <f t="shared" si="69"/>
        <v>22.222222222222221</v>
      </c>
      <c r="AV798" s="172">
        <v>100</v>
      </c>
      <c r="AW798" s="171">
        <v>7</v>
      </c>
      <c r="AX798" s="89"/>
      <c r="AY798" s="171">
        <v>20</v>
      </c>
      <c r="AZ798" s="89"/>
      <c r="BA798" s="175">
        <v>60</v>
      </c>
      <c r="BB798" s="189" t="s">
        <v>2547</v>
      </c>
      <c r="BC798" s="176" t="s">
        <v>558</v>
      </c>
      <c r="BD798" s="179"/>
      <c r="BE798" s="179"/>
      <c r="BF798" s="178"/>
      <c r="BG798" s="25"/>
      <c r="BH798" s="25"/>
    </row>
    <row r="799" spans="1:60" ht="15" customHeight="1">
      <c r="A799" s="95">
        <v>798</v>
      </c>
      <c r="B799" s="98" t="s">
        <v>904</v>
      </c>
      <c r="C799" s="191" t="s">
        <v>2678</v>
      </c>
      <c r="D799" s="257" t="s">
        <v>549</v>
      </c>
      <c r="E799" s="459" t="s">
        <v>3377</v>
      </c>
      <c r="F799" s="171">
        <v>2000</v>
      </c>
      <c r="G799" s="171">
        <v>198</v>
      </c>
      <c r="H799" s="57"/>
      <c r="I799" s="173" t="s">
        <v>2564</v>
      </c>
      <c r="J799" s="277">
        <v>0.5</v>
      </c>
      <c r="K799" s="213">
        <v>4.2777777777777777</v>
      </c>
      <c r="L799" s="91"/>
      <c r="M799" s="278">
        <v>360</v>
      </c>
      <c r="N799" s="279"/>
      <c r="O799" s="172" t="s">
        <v>12</v>
      </c>
      <c r="P799" s="92"/>
      <c r="Q799" s="173" t="s">
        <v>10</v>
      </c>
      <c r="R799" s="94"/>
      <c r="S799" s="94"/>
      <c r="T799" s="171" t="s">
        <v>2306</v>
      </c>
      <c r="U799" s="171" t="s">
        <v>2530</v>
      </c>
      <c r="V799" s="102">
        <v>0</v>
      </c>
      <c r="W799" s="120">
        <v>0</v>
      </c>
      <c r="X799" s="120">
        <v>66.666666666666657</v>
      </c>
      <c r="Y799" s="120">
        <v>0</v>
      </c>
      <c r="Z799" s="120">
        <v>0</v>
      </c>
      <c r="AA799" s="17">
        <v>0</v>
      </c>
      <c r="AB799" s="17">
        <v>0</v>
      </c>
      <c r="AC799" s="17">
        <v>0</v>
      </c>
      <c r="AD799" s="17">
        <v>0</v>
      </c>
      <c r="AE799" s="17">
        <v>0</v>
      </c>
      <c r="AF799" s="17">
        <v>0</v>
      </c>
      <c r="AG799" s="17">
        <v>0</v>
      </c>
      <c r="AH799" s="17">
        <v>0</v>
      </c>
      <c r="AI799" s="17">
        <v>0</v>
      </c>
      <c r="AJ799" s="17">
        <v>0</v>
      </c>
      <c r="AK799" s="17">
        <v>0</v>
      </c>
      <c r="AL799" s="32">
        <v>0</v>
      </c>
      <c r="AM799" s="780">
        <v>46.1</v>
      </c>
      <c r="AN799" s="89"/>
      <c r="AO799" s="280"/>
      <c r="AP799" s="784"/>
      <c r="AQ799" s="773" t="s">
        <v>271</v>
      </c>
      <c r="AR799" s="188">
        <v>100</v>
      </c>
      <c r="AS799" s="171"/>
      <c r="AT799" s="171" t="str">
        <f t="shared" si="68"/>
        <v>400</v>
      </c>
      <c r="AU799" s="255">
        <f t="shared" si="69"/>
        <v>22.222222222222221</v>
      </c>
      <c r="AV799" s="172">
        <v>100</v>
      </c>
      <c r="AW799" s="171">
        <v>7</v>
      </c>
      <c r="AX799" s="89"/>
      <c r="AY799" s="171">
        <v>20</v>
      </c>
      <c r="AZ799" s="89"/>
      <c r="BA799" s="175">
        <v>60</v>
      </c>
      <c r="BB799" s="189" t="s">
        <v>2547</v>
      </c>
      <c r="BC799" s="176" t="s">
        <v>558</v>
      </c>
      <c r="BD799" s="179"/>
      <c r="BE799" s="179"/>
      <c r="BF799" s="178"/>
      <c r="BG799" s="25"/>
      <c r="BH799" s="25"/>
    </row>
    <row r="800" spans="1:60" ht="15" customHeight="1">
      <c r="A800" s="95">
        <v>799</v>
      </c>
      <c r="B800" s="98" t="s">
        <v>903</v>
      </c>
      <c r="C800" s="191" t="s">
        <v>2678</v>
      </c>
      <c r="D800" s="257" t="s">
        <v>549</v>
      </c>
      <c r="E800" s="459" t="s">
        <v>3377</v>
      </c>
      <c r="F800" s="171">
        <v>2000</v>
      </c>
      <c r="G800" s="171">
        <v>198</v>
      </c>
      <c r="H800" s="57"/>
      <c r="I800" s="173" t="s">
        <v>2564</v>
      </c>
      <c r="J800" s="277">
        <v>0.5</v>
      </c>
      <c r="K800" s="213">
        <v>4.2777777777777777</v>
      </c>
      <c r="L800" s="91"/>
      <c r="M800" s="278">
        <v>360</v>
      </c>
      <c r="N800" s="279"/>
      <c r="O800" s="172" t="s">
        <v>12</v>
      </c>
      <c r="P800" s="92"/>
      <c r="Q800" s="173" t="s">
        <v>10</v>
      </c>
      <c r="R800" s="94"/>
      <c r="S800" s="94"/>
      <c r="T800" s="171" t="s">
        <v>2306</v>
      </c>
      <c r="U800" s="171" t="s">
        <v>2530</v>
      </c>
      <c r="V800" s="102">
        <v>0</v>
      </c>
      <c r="W800" s="120">
        <v>0</v>
      </c>
      <c r="X800" s="120">
        <v>63.611111111111107</v>
      </c>
      <c r="Y800" s="120">
        <v>0</v>
      </c>
      <c r="Z800" s="120">
        <v>0</v>
      </c>
      <c r="AA800" s="17">
        <v>0</v>
      </c>
      <c r="AB800" s="17">
        <v>0</v>
      </c>
      <c r="AC800" s="17">
        <v>0</v>
      </c>
      <c r="AD800" s="17">
        <v>0</v>
      </c>
      <c r="AE800" s="17">
        <v>0</v>
      </c>
      <c r="AF800" s="17">
        <v>0</v>
      </c>
      <c r="AG800" s="17">
        <v>0</v>
      </c>
      <c r="AH800" s="17">
        <v>0</v>
      </c>
      <c r="AI800" s="17">
        <v>0</v>
      </c>
      <c r="AJ800" s="17">
        <v>0</v>
      </c>
      <c r="AK800" s="17">
        <v>0</v>
      </c>
      <c r="AL800" s="32">
        <v>0</v>
      </c>
      <c r="AM800" s="780">
        <v>43.8</v>
      </c>
      <c r="AN800" s="89"/>
      <c r="AO800" s="280"/>
      <c r="AP800" s="784"/>
      <c r="AQ800" s="773" t="s">
        <v>271</v>
      </c>
      <c r="AR800" s="188">
        <v>100</v>
      </c>
      <c r="AS800" s="171"/>
      <c r="AT800" s="171" t="str">
        <f t="shared" si="68"/>
        <v>400</v>
      </c>
      <c r="AU800" s="255">
        <f t="shared" si="69"/>
        <v>22.222222222222221</v>
      </c>
      <c r="AV800" s="172">
        <v>100</v>
      </c>
      <c r="AW800" s="171">
        <v>7</v>
      </c>
      <c r="AX800" s="89"/>
      <c r="AY800" s="171">
        <v>20</v>
      </c>
      <c r="AZ800" s="89"/>
      <c r="BA800" s="175">
        <v>60</v>
      </c>
      <c r="BB800" s="189" t="s">
        <v>2547</v>
      </c>
      <c r="BC800" s="176" t="s">
        <v>558</v>
      </c>
      <c r="BD800" s="179"/>
      <c r="BE800" s="179"/>
      <c r="BF800" s="178"/>
      <c r="BG800" s="25"/>
      <c r="BH800" s="25"/>
    </row>
    <row r="801" spans="1:60" ht="15" customHeight="1">
      <c r="A801" s="95">
        <v>800</v>
      </c>
      <c r="B801" s="98" t="s">
        <v>902</v>
      </c>
      <c r="C801" s="191" t="s">
        <v>2678</v>
      </c>
      <c r="D801" s="257" t="s">
        <v>549</v>
      </c>
      <c r="E801" s="459" t="s">
        <v>3377</v>
      </c>
      <c r="F801" s="171">
        <v>2000</v>
      </c>
      <c r="G801" s="171">
        <v>198</v>
      </c>
      <c r="H801" s="57"/>
      <c r="I801" s="173" t="s">
        <v>2564</v>
      </c>
      <c r="J801" s="277">
        <v>0.5</v>
      </c>
      <c r="K801" s="213">
        <v>4.2722222222222221</v>
      </c>
      <c r="L801" s="91"/>
      <c r="M801" s="278">
        <v>360</v>
      </c>
      <c r="N801" s="279"/>
      <c r="O801" s="172" t="s">
        <v>12</v>
      </c>
      <c r="P801" s="92"/>
      <c r="Q801" s="173" t="s">
        <v>10</v>
      </c>
      <c r="R801" s="94"/>
      <c r="S801" s="94"/>
      <c r="T801" s="171" t="s">
        <v>2306</v>
      </c>
      <c r="U801" s="171" t="s">
        <v>2530</v>
      </c>
      <c r="V801" s="102">
        <v>0</v>
      </c>
      <c r="W801" s="120">
        <v>0</v>
      </c>
      <c r="X801" s="120">
        <v>66.666666666666657</v>
      </c>
      <c r="Y801" s="120">
        <v>0</v>
      </c>
      <c r="Z801" s="120">
        <v>0</v>
      </c>
      <c r="AA801" s="17">
        <v>0</v>
      </c>
      <c r="AB801" s="17">
        <v>0</v>
      </c>
      <c r="AC801" s="17">
        <v>0</v>
      </c>
      <c r="AD801" s="17">
        <v>0</v>
      </c>
      <c r="AE801" s="17">
        <v>0</v>
      </c>
      <c r="AF801" s="17">
        <v>0</v>
      </c>
      <c r="AG801" s="17">
        <v>0</v>
      </c>
      <c r="AH801" s="17">
        <v>0</v>
      </c>
      <c r="AI801" s="17">
        <v>0</v>
      </c>
      <c r="AJ801" s="17">
        <v>0</v>
      </c>
      <c r="AK801" s="17">
        <v>0</v>
      </c>
      <c r="AL801" s="32">
        <v>0</v>
      </c>
      <c r="AM801" s="780">
        <v>42.2</v>
      </c>
      <c r="AN801" s="89"/>
      <c r="AO801" s="280"/>
      <c r="AP801" s="784"/>
      <c r="AQ801" s="773" t="s">
        <v>271</v>
      </c>
      <c r="AR801" s="188">
        <v>100</v>
      </c>
      <c r="AS801" s="171"/>
      <c r="AT801" s="171" t="str">
        <f t="shared" si="68"/>
        <v>400</v>
      </c>
      <c r="AU801" s="255">
        <f t="shared" si="69"/>
        <v>22.222222222222221</v>
      </c>
      <c r="AV801" s="172">
        <v>100</v>
      </c>
      <c r="AW801" s="171">
        <v>7</v>
      </c>
      <c r="AX801" s="89"/>
      <c r="AY801" s="171">
        <v>20</v>
      </c>
      <c r="AZ801" s="89"/>
      <c r="BA801" s="175">
        <v>60</v>
      </c>
      <c r="BB801" s="189" t="s">
        <v>2547</v>
      </c>
      <c r="BC801" s="176" t="s">
        <v>558</v>
      </c>
      <c r="BD801" s="179"/>
      <c r="BE801" s="179"/>
      <c r="BF801" s="178"/>
      <c r="BG801" s="25"/>
      <c r="BH801" s="25"/>
    </row>
    <row r="802" spans="1:60" ht="15" customHeight="1">
      <c r="A802" s="95">
        <v>801</v>
      </c>
      <c r="B802" s="98" t="s">
        <v>901</v>
      </c>
      <c r="C802" s="191" t="s">
        <v>2678</v>
      </c>
      <c r="D802" s="257" t="s">
        <v>549</v>
      </c>
      <c r="E802" s="459" t="s">
        <v>3377</v>
      </c>
      <c r="F802" s="171">
        <v>2000</v>
      </c>
      <c r="G802" s="171">
        <v>198</v>
      </c>
      <c r="H802" s="57"/>
      <c r="I802" s="173" t="s">
        <v>2564</v>
      </c>
      <c r="J802" s="277">
        <v>0.5</v>
      </c>
      <c r="K802" s="213">
        <v>4.2722222222222221</v>
      </c>
      <c r="L802" s="91"/>
      <c r="M802" s="278">
        <v>360</v>
      </c>
      <c r="N802" s="279"/>
      <c r="O802" s="172" t="s">
        <v>12</v>
      </c>
      <c r="P802" s="92"/>
      <c r="Q802" s="173" t="s">
        <v>10</v>
      </c>
      <c r="R802" s="94"/>
      <c r="S802" s="94"/>
      <c r="T802" s="171" t="s">
        <v>2306</v>
      </c>
      <c r="U802" s="171" t="s">
        <v>2530</v>
      </c>
      <c r="V802" s="102">
        <v>0</v>
      </c>
      <c r="W802" s="120">
        <v>0</v>
      </c>
      <c r="X802" s="120">
        <v>66.666666666666657</v>
      </c>
      <c r="Y802" s="120">
        <v>0</v>
      </c>
      <c r="Z802" s="120">
        <v>0</v>
      </c>
      <c r="AA802" s="17">
        <v>0</v>
      </c>
      <c r="AB802" s="17">
        <v>0</v>
      </c>
      <c r="AC802" s="17">
        <v>0</v>
      </c>
      <c r="AD802" s="17">
        <v>0</v>
      </c>
      <c r="AE802" s="17">
        <v>0</v>
      </c>
      <c r="AF802" s="17">
        <v>0</v>
      </c>
      <c r="AG802" s="17">
        <v>0</v>
      </c>
      <c r="AH802" s="17">
        <v>0</v>
      </c>
      <c r="AI802" s="17">
        <v>0</v>
      </c>
      <c r="AJ802" s="17">
        <v>0</v>
      </c>
      <c r="AK802" s="17">
        <v>0</v>
      </c>
      <c r="AL802" s="32">
        <v>0</v>
      </c>
      <c r="AM802" s="780">
        <v>38.5</v>
      </c>
      <c r="AN802" s="89"/>
      <c r="AO802" s="280"/>
      <c r="AP802" s="784"/>
      <c r="AQ802" s="773" t="s">
        <v>271</v>
      </c>
      <c r="AR802" s="188">
        <v>100</v>
      </c>
      <c r="AS802" s="171"/>
      <c r="AT802" s="171" t="str">
        <f t="shared" si="68"/>
        <v>400</v>
      </c>
      <c r="AU802" s="255">
        <f t="shared" si="69"/>
        <v>22.222222222222221</v>
      </c>
      <c r="AV802" s="172">
        <v>100</v>
      </c>
      <c r="AW802" s="171">
        <v>7</v>
      </c>
      <c r="AX802" s="89"/>
      <c r="AY802" s="171">
        <v>20</v>
      </c>
      <c r="AZ802" s="89"/>
      <c r="BA802" s="175">
        <v>60</v>
      </c>
      <c r="BB802" s="189" t="s">
        <v>2547</v>
      </c>
      <c r="BC802" s="176" t="s">
        <v>558</v>
      </c>
      <c r="BD802" s="179"/>
      <c r="BE802" s="179"/>
      <c r="BF802" s="178"/>
      <c r="BG802" s="25"/>
      <c r="BH802" s="25"/>
    </row>
    <row r="803" spans="1:60" ht="15" customHeight="1">
      <c r="A803" s="95">
        <v>802</v>
      </c>
      <c r="B803" s="98" t="s">
        <v>900</v>
      </c>
      <c r="C803" s="191" t="s">
        <v>2678</v>
      </c>
      <c r="D803" s="257" t="s">
        <v>549</v>
      </c>
      <c r="E803" s="459" t="s">
        <v>3377</v>
      </c>
      <c r="F803" s="171">
        <v>2000</v>
      </c>
      <c r="G803" s="171">
        <v>198</v>
      </c>
      <c r="H803" s="57"/>
      <c r="I803" s="173" t="s">
        <v>2564</v>
      </c>
      <c r="J803" s="277">
        <v>0.5</v>
      </c>
      <c r="K803" s="213">
        <v>4.2722222222222221</v>
      </c>
      <c r="L803" s="91"/>
      <c r="M803" s="278">
        <v>360</v>
      </c>
      <c r="N803" s="279"/>
      <c r="O803" s="172" t="s">
        <v>12</v>
      </c>
      <c r="P803" s="92"/>
      <c r="Q803" s="173" t="s">
        <v>10</v>
      </c>
      <c r="R803" s="94"/>
      <c r="S803" s="94"/>
      <c r="T803" s="171" t="s">
        <v>2306</v>
      </c>
      <c r="U803" s="171" t="s">
        <v>2530</v>
      </c>
      <c r="V803" s="102">
        <v>0</v>
      </c>
      <c r="W803" s="120">
        <v>0</v>
      </c>
      <c r="X803" s="120">
        <v>63.611111111111107</v>
      </c>
      <c r="Y803" s="120">
        <v>0</v>
      </c>
      <c r="Z803" s="120">
        <v>0</v>
      </c>
      <c r="AA803" s="17">
        <v>0</v>
      </c>
      <c r="AB803" s="17">
        <v>0</v>
      </c>
      <c r="AC803" s="17">
        <v>0</v>
      </c>
      <c r="AD803" s="17">
        <v>0</v>
      </c>
      <c r="AE803" s="17">
        <v>0</v>
      </c>
      <c r="AF803" s="17">
        <v>0</v>
      </c>
      <c r="AG803" s="17">
        <v>0</v>
      </c>
      <c r="AH803" s="17">
        <v>0</v>
      </c>
      <c r="AI803" s="17">
        <v>0</v>
      </c>
      <c r="AJ803" s="17">
        <v>0</v>
      </c>
      <c r="AK803" s="17">
        <v>0</v>
      </c>
      <c r="AL803" s="32">
        <v>0</v>
      </c>
      <c r="AM803" s="780">
        <v>41.6</v>
      </c>
      <c r="AN803" s="89"/>
      <c r="AO803" s="280"/>
      <c r="AP803" s="784"/>
      <c r="AQ803" s="773" t="s">
        <v>271</v>
      </c>
      <c r="AR803" s="188">
        <v>100</v>
      </c>
      <c r="AS803" s="171"/>
      <c r="AT803" s="171" t="str">
        <f t="shared" si="68"/>
        <v>400</v>
      </c>
      <c r="AU803" s="255">
        <f t="shared" si="69"/>
        <v>22.222222222222221</v>
      </c>
      <c r="AV803" s="172">
        <v>100</v>
      </c>
      <c r="AW803" s="171">
        <v>7</v>
      </c>
      <c r="AX803" s="89"/>
      <c r="AY803" s="171">
        <v>20</v>
      </c>
      <c r="AZ803" s="89"/>
      <c r="BA803" s="175">
        <v>60</v>
      </c>
      <c r="BB803" s="189" t="s">
        <v>2547</v>
      </c>
      <c r="BC803" s="176" t="s">
        <v>558</v>
      </c>
      <c r="BD803" s="179"/>
      <c r="BE803" s="179"/>
      <c r="BF803" s="178"/>
      <c r="BG803" s="25"/>
      <c r="BH803" s="25"/>
    </row>
    <row r="804" spans="1:60" ht="15" customHeight="1">
      <c r="A804" s="95">
        <v>803</v>
      </c>
      <c r="B804" s="98" t="s">
        <v>899</v>
      </c>
      <c r="C804" s="191" t="s">
        <v>2679</v>
      </c>
      <c r="D804" s="257" t="s">
        <v>549</v>
      </c>
      <c r="E804" s="459" t="s">
        <v>3377</v>
      </c>
      <c r="F804" s="171">
        <v>2000</v>
      </c>
      <c r="G804" s="171">
        <v>199</v>
      </c>
      <c r="H804" s="57"/>
      <c r="I804" s="173" t="s">
        <v>2564</v>
      </c>
      <c r="J804" s="277">
        <v>0.5</v>
      </c>
      <c r="K804" s="213">
        <v>5.3143712574850301</v>
      </c>
      <c r="L804" s="91"/>
      <c r="M804" s="278">
        <v>334</v>
      </c>
      <c r="N804" s="279"/>
      <c r="O804" s="172" t="s">
        <v>12</v>
      </c>
      <c r="P804" s="92"/>
      <c r="Q804" s="173" t="s">
        <v>10</v>
      </c>
      <c r="R804" s="94"/>
      <c r="S804" s="94"/>
      <c r="T804" s="171" t="s">
        <v>2306</v>
      </c>
      <c r="U804" s="171" t="s">
        <v>2530</v>
      </c>
      <c r="V804" s="102">
        <v>0</v>
      </c>
      <c r="W804" s="120">
        <v>0</v>
      </c>
      <c r="X804" s="120">
        <v>0</v>
      </c>
      <c r="Y804" s="120">
        <v>0</v>
      </c>
      <c r="Z804" s="120">
        <v>0</v>
      </c>
      <c r="AA804" s="17">
        <v>0</v>
      </c>
      <c r="AB804" s="17">
        <v>0</v>
      </c>
      <c r="AC804" s="17">
        <v>0</v>
      </c>
      <c r="AD804" s="17">
        <v>0</v>
      </c>
      <c r="AE804" s="17">
        <v>0</v>
      </c>
      <c r="AF804" s="17">
        <v>0</v>
      </c>
      <c r="AG804" s="17">
        <v>0</v>
      </c>
      <c r="AH804" s="17">
        <v>0</v>
      </c>
      <c r="AI804" s="17">
        <v>0</v>
      </c>
      <c r="AJ804" s="17">
        <v>0</v>
      </c>
      <c r="AK804" s="17">
        <v>0</v>
      </c>
      <c r="AL804" s="32">
        <v>0</v>
      </c>
      <c r="AM804" s="780">
        <v>42.5</v>
      </c>
      <c r="AN804" s="89"/>
      <c r="AO804" s="280"/>
      <c r="AP804" s="784"/>
      <c r="AQ804" s="773" t="s">
        <v>271</v>
      </c>
      <c r="AR804" s="188">
        <v>100</v>
      </c>
      <c r="AS804" s="171"/>
      <c r="AT804" s="171" t="str">
        <f t="shared" si="68"/>
        <v>400</v>
      </c>
      <c r="AU804" s="255">
        <f t="shared" si="69"/>
        <v>22.222222222222221</v>
      </c>
      <c r="AV804" s="172">
        <v>100</v>
      </c>
      <c r="AW804" s="171">
        <v>7</v>
      </c>
      <c r="AX804" s="89"/>
      <c r="AY804" s="171">
        <v>20</v>
      </c>
      <c r="AZ804" s="89"/>
      <c r="BA804" s="175">
        <v>60</v>
      </c>
      <c r="BB804" s="189" t="s">
        <v>2547</v>
      </c>
      <c r="BC804" s="176"/>
      <c r="BD804" s="179"/>
      <c r="BE804" s="179"/>
      <c r="BF804" s="178"/>
      <c r="BG804" s="25"/>
      <c r="BH804" s="25"/>
    </row>
    <row r="805" spans="1:60" ht="15" customHeight="1">
      <c r="A805" s="95">
        <v>804</v>
      </c>
      <c r="B805" s="98" t="s">
        <v>898</v>
      </c>
      <c r="C805" s="191" t="s">
        <v>2679</v>
      </c>
      <c r="D805" s="257" t="s">
        <v>549</v>
      </c>
      <c r="E805" s="459" t="s">
        <v>3377</v>
      </c>
      <c r="F805" s="171">
        <v>2000</v>
      </c>
      <c r="G805" s="171">
        <v>199</v>
      </c>
      <c r="H805" s="57"/>
      <c r="I805" s="173" t="s">
        <v>2564</v>
      </c>
      <c r="J805" s="277">
        <v>0.5</v>
      </c>
      <c r="K805" s="213">
        <v>4.8926553672316384</v>
      </c>
      <c r="L805" s="91"/>
      <c r="M805" s="278">
        <v>354</v>
      </c>
      <c r="N805" s="279"/>
      <c r="O805" s="172" t="s">
        <v>12</v>
      </c>
      <c r="P805" s="92"/>
      <c r="Q805" s="173" t="s">
        <v>10</v>
      </c>
      <c r="R805" s="94"/>
      <c r="S805" s="94"/>
      <c r="T805" s="171" t="s">
        <v>2306</v>
      </c>
      <c r="U805" s="171" t="s">
        <v>2530</v>
      </c>
      <c r="V805" s="102">
        <v>0</v>
      </c>
      <c r="W805" s="120">
        <v>0</v>
      </c>
      <c r="X805" s="120">
        <v>0</v>
      </c>
      <c r="Y805" s="120">
        <v>0</v>
      </c>
      <c r="Z805" s="120">
        <v>0</v>
      </c>
      <c r="AA805" s="17">
        <v>0</v>
      </c>
      <c r="AB805" s="17">
        <v>0</v>
      </c>
      <c r="AC805" s="17">
        <v>0</v>
      </c>
      <c r="AD805" s="17">
        <v>0</v>
      </c>
      <c r="AE805" s="17">
        <v>0</v>
      </c>
      <c r="AF805" s="17">
        <v>0</v>
      </c>
      <c r="AG805" s="17">
        <v>0</v>
      </c>
      <c r="AH805" s="17">
        <v>0</v>
      </c>
      <c r="AI805" s="17">
        <v>0</v>
      </c>
      <c r="AJ805" s="17">
        <v>0</v>
      </c>
      <c r="AK805" s="17">
        <v>0</v>
      </c>
      <c r="AL805" s="32">
        <v>0</v>
      </c>
      <c r="AM805" s="780">
        <v>41.4</v>
      </c>
      <c r="AN805" s="89"/>
      <c r="AO805" s="280"/>
      <c r="AP805" s="784"/>
      <c r="AQ805" s="773" t="s">
        <v>271</v>
      </c>
      <c r="AR805" s="188">
        <v>100</v>
      </c>
      <c r="AS805" s="171"/>
      <c r="AT805" s="171" t="str">
        <f t="shared" si="68"/>
        <v>400</v>
      </c>
      <c r="AU805" s="255">
        <f t="shared" si="69"/>
        <v>22.222222222222221</v>
      </c>
      <c r="AV805" s="172">
        <v>100</v>
      </c>
      <c r="AW805" s="171">
        <v>7</v>
      </c>
      <c r="AX805" s="89"/>
      <c r="AY805" s="171">
        <v>20</v>
      </c>
      <c r="AZ805" s="89"/>
      <c r="BA805" s="175">
        <v>60</v>
      </c>
      <c r="BB805" s="189" t="s">
        <v>2547</v>
      </c>
      <c r="BC805" s="176"/>
      <c r="BD805" s="179"/>
      <c r="BE805" s="179"/>
      <c r="BF805" s="178"/>
      <c r="BG805" s="25"/>
      <c r="BH805" s="25"/>
    </row>
    <row r="806" spans="1:60" ht="15" customHeight="1">
      <c r="A806" s="95">
        <v>805</v>
      </c>
      <c r="B806" s="98" t="s">
        <v>897</v>
      </c>
      <c r="C806" s="191" t="s">
        <v>2679</v>
      </c>
      <c r="D806" s="257" t="s">
        <v>549</v>
      </c>
      <c r="E806" s="459" t="s">
        <v>3377</v>
      </c>
      <c r="F806" s="171">
        <v>2000</v>
      </c>
      <c r="G806" s="171">
        <v>199</v>
      </c>
      <c r="H806" s="57"/>
      <c r="I806" s="173" t="s">
        <v>2564</v>
      </c>
      <c r="J806" s="277">
        <v>0.5</v>
      </c>
      <c r="K806" s="213">
        <v>4.5187165775401068</v>
      </c>
      <c r="L806" s="91"/>
      <c r="M806" s="278">
        <v>374</v>
      </c>
      <c r="N806" s="279"/>
      <c r="O806" s="172" t="s">
        <v>12</v>
      </c>
      <c r="P806" s="92"/>
      <c r="Q806" s="173" t="s">
        <v>10</v>
      </c>
      <c r="R806" s="94"/>
      <c r="S806" s="94"/>
      <c r="T806" s="171" t="s">
        <v>2306</v>
      </c>
      <c r="U806" s="171" t="s">
        <v>2530</v>
      </c>
      <c r="V806" s="102">
        <v>0</v>
      </c>
      <c r="W806" s="120">
        <v>0</v>
      </c>
      <c r="X806" s="120">
        <v>0</v>
      </c>
      <c r="Y806" s="120">
        <v>0</v>
      </c>
      <c r="Z806" s="120">
        <v>0</v>
      </c>
      <c r="AA806" s="17">
        <v>0</v>
      </c>
      <c r="AB806" s="17">
        <v>0</v>
      </c>
      <c r="AC806" s="17">
        <v>0</v>
      </c>
      <c r="AD806" s="17">
        <v>0</v>
      </c>
      <c r="AE806" s="17">
        <v>0</v>
      </c>
      <c r="AF806" s="17">
        <v>0</v>
      </c>
      <c r="AG806" s="17">
        <v>0</v>
      </c>
      <c r="AH806" s="17">
        <v>0</v>
      </c>
      <c r="AI806" s="17">
        <v>0</v>
      </c>
      <c r="AJ806" s="17">
        <v>0</v>
      </c>
      <c r="AK806" s="17">
        <v>0</v>
      </c>
      <c r="AL806" s="32">
        <v>0</v>
      </c>
      <c r="AM806" s="780">
        <v>38</v>
      </c>
      <c r="AN806" s="89"/>
      <c r="AO806" s="280"/>
      <c r="AP806" s="784"/>
      <c r="AQ806" s="773" t="s">
        <v>271</v>
      </c>
      <c r="AR806" s="188">
        <v>100</v>
      </c>
      <c r="AS806" s="171"/>
      <c r="AT806" s="171" t="str">
        <f t="shared" si="68"/>
        <v>400</v>
      </c>
      <c r="AU806" s="255">
        <f t="shared" si="69"/>
        <v>22.222222222222221</v>
      </c>
      <c r="AV806" s="172">
        <v>100</v>
      </c>
      <c r="AW806" s="171">
        <v>7</v>
      </c>
      <c r="AX806" s="89"/>
      <c r="AY806" s="171">
        <v>20</v>
      </c>
      <c r="AZ806" s="89"/>
      <c r="BA806" s="175">
        <v>60</v>
      </c>
      <c r="BB806" s="189" t="s">
        <v>2547</v>
      </c>
      <c r="BC806" s="176"/>
      <c r="BD806" s="179"/>
      <c r="BE806" s="179"/>
      <c r="BF806" s="178"/>
      <c r="BG806" s="25"/>
      <c r="BH806" s="25"/>
    </row>
    <row r="807" spans="1:60" ht="15" customHeight="1">
      <c r="A807" s="95">
        <v>806</v>
      </c>
      <c r="B807" s="98" t="s">
        <v>896</v>
      </c>
      <c r="C807" s="191" t="s">
        <v>2679</v>
      </c>
      <c r="D807" s="257" t="s">
        <v>549</v>
      </c>
      <c r="E807" s="459" t="s">
        <v>3377</v>
      </c>
      <c r="F807" s="171">
        <v>2000</v>
      </c>
      <c r="G807" s="171">
        <v>199</v>
      </c>
      <c r="H807" s="57"/>
      <c r="I807" s="173" t="s">
        <v>2564</v>
      </c>
      <c r="J807" s="277">
        <v>0.5</v>
      </c>
      <c r="K807" s="213">
        <v>4.4064171122994651</v>
      </c>
      <c r="L807" s="91"/>
      <c r="M807" s="278">
        <v>374</v>
      </c>
      <c r="N807" s="279"/>
      <c r="O807" s="172" t="s">
        <v>12</v>
      </c>
      <c r="P807" s="92"/>
      <c r="Q807" s="173" t="s">
        <v>10</v>
      </c>
      <c r="R807" s="94"/>
      <c r="S807" s="94"/>
      <c r="T807" s="171" t="s">
        <v>2306</v>
      </c>
      <c r="U807" s="171" t="s">
        <v>2530</v>
      </c>
      <c r="V807" s="102">
        <v>0</v>
      </c>
      <c r="W807" s="120">
        <v>0</v>
      </c>
      <c r="X807" s="120">
        <v>0</v>
      </c>
      <c r="Y807" s="120">
        <v>0</v>
      </c>
      <c r="Z807" s="120">
        <v>0</v>
      </c>
      <c r="AA807" s="17">
        <v>0</v>
      </c>
      <c r="AB807" s="17">
        <v>0</v>
      </c>
      <c r="AC807" s="17">
        <v>0</v>
      </c>
      <c r="AD807" s="17">
        <v>0</v>
      </c>
      <c r="AE807" s="17">
        <v>0</v>
      </c>
      <c r="AF807" s="17">
        <v>0</v>
      </c>
      <c r="AG807" s="17">
        <v>0</v>
      </c>
      <c r="AH807" s="17">
        <v>0</v>
      </c>
      <c r="AI807" s="17">
        <v>0</v>
      </c>
      <c r="AJ807" s="17">
        <v>0</v>
      </c>
      <c r="AK807" s="17">
        <v>0</v>
      </c>
      <c r="AL807" s="32">
        <v>0</v>
      </c>
      <c r="AM807" s="780">
        <v>38.6</v>
      </c>
      <c r="AN807" s="89"/>
      <c r="AO807" s="280"/>
      <c r="AP807" s="784"/>
      <c r="AQ807" s="773" t="s">
        <v>271</v>
      </c>
      <c r="AR807" s="188">
        <v>100</v>
      </c>
      <c r="AS807" s="171"/>
      <c r="AT807" s="171" t="str">
        <f t="shared" si="68"/>
        <v>400</v>
      </c>
      <c r="AU807" s="255">
        <f t="shared" si="69"/>
        <v>22.222222222222221</v>
      </c>
      <c r="AV807" s="172">
        <v>100</v>
      </c>
      <c r="AW807" s="171">
        <v>7</v>
      </c>
      <c r="AX807" s="89"/>
      <c r="AY807" s="171">
        <v>20</v>
      </c>
      <c r="AZ807" s="89"/>
      <c r="BA807" s="175">
        <v>60</v>
      </c>
      <c r="BB807" s="189" t="s">
        <v>2547</v>
      </c>
      <c r="BC807" s="176"/>
      <c r="BD807" s="179"/>
      <c r="BE807" s="179"/>
      <c r="BF807" s="178"/>
      <c r="BG807" s="25"/>
      <c r="BH807" s="25"/>
    </row>
    <row r="808" spans="1:60" ht="15" customHeight="1">
      <c r="A808" s="95">
        <v>807</v>
      </c>
      <c r="B808" s="98" t="s">
        <v>895</v>
      </c>
      <c r="C808" s="191" t="s">
        <v>2679</v>
      </c>
      <c r="D808" s="257" t="s">
        <v>549</v>
      </c>
      <c r="E808" s="459" t="s">
        <v>3377</v>
      </c>
      <c r="F808" s="171">
        <v>2000</v>
      </c>
      <c r="G808" s="171">
        <v>199</v>
      </c>
      <c r="H808" s="57"/>
      <c r="I808" s="173" t="s">
        <v>2564</v>
      </c>
      <c r="J808" s="277">
        <v>0.5</v>
      </c>
      <c r="K808" s="213">
        <v>4.4157894736842103</v>
      </c>
      <c r="L808" s="91"/>
      <c r="M808" s="278">
        <v>380</v>
      </c>
      <c r="N808" s="279"/>
      <c r="O808" s="172" t="s">
        <v>12</v>
      </c>
      <c r="P808" s="92"/>
      <c r="Q808" s="173" t="s">
        <v>10</v>
      </c>
      <c r="R808" s="94"/>
      <c r="S808" s="94"/>
      <c r="T808" s="171" t="s">
        <v>2306</v>
      </c>
      <c r="U808" s="171" t="s">
        <v>2530</v>
      </c>
      <c r="V808" s="102">
        <v>0</v>
      </c>
      <c r="W808" s="120">
        <v>0</v>
      </c>
      <c r="X808" s="120">
        <v>0</v>
      </c>
      <c r="Y808" s="120">
        <v>0</v>
      </c>
      <c r="Z808" s="120">
        <v>0</v>
      </c>
      <c r="AA808" s="17">
        <v>0</v>
      </c>
      <c r="AB808" s="17">
        <v>0</v>
      </c>
      <c r="AC808" s="17">
        <v>0</v>
      </c>
      <c r="AD808" s="17">
        <v>0</v>
      </c>
      <c r="AE808" s="17">
        <v>0</v>
      </c>
      <c r="AF808" s="17">
        <v>0</v>
      </c>
      <c r="AG808" s="17">
        <v>0</v>
      </c>
      <c r="AH808" s="17">
        <v>0</v>
      </c>
      <c r="AI808" s="17">
        <v>0</v>
      </c>
      <c r="AJ808" s="17">
        <v>0</v>
      </c>
      <c r="AK808" s="17">
        <v>0</v>
      </c>
      <c r="AL808" s="32">
        <v>0</v>
      </c>
      <c r="AM808" s="780">
        <v>39.799999999999997</v>
      </c>
      <c r="AN808" s="89"/>
      <c r="AO808" s="280"/>
      <c r="AP808" s="784"/>
      <c r="AQ808" s="773" t="s">
        <v>271</v>
      </c>
      <c r="AR808" s="188">
        <v>100</v>
      </c>
      <c r="AS808" s="171"/>
      <c r="AT808" s="171" t="str">
        <f t="shared" si="68"/>
        <v>400</v>
      </c>
      <c r="AU808" s="255">
        <f t="shared" si="69"/>
        <v>22.222222222222221</v>
      </c>
      <c r="AV808" s="172">
        <v>100</v>
      </c>
      <c r="AW808" s="171">
        <v>7</v>
      </c>
      <c r="AX808" s="89"/>
      <c r="AY808" s="171">
        <v>20</v>
      </c>
      <c r="AZ808" s="89"/>
      <c r="BA808" s="175">
        <v>60</v>
      </c>
      <c r="BB808" s="189" t="s">
        <v>2547</v>
      </c>
      <c r="BC808" s="176"/>
      <c r="BD808" s="179"/>
      <c r="BE808" s="179"/>
      <c r="BF808" s="178"/>
      <c r="BG808" s="25"/>
      <c r="BH808" s="25"/>
    </row>
    <row r="809" spans="1:60" ht="15" customHeight="1">
      <c r="A809" s="95">
        <v>808</v>
      </c>
      <c r="B809" s="98" t="s">
        <v>894</v>
      </c>
      <c r="C809" s="191" t="s">
        <v>2679</v>
      </c>
      <c r="D809" s="257" t="s">
        <v>549</v>
      </c>
      <c r="E809" s="459" t="s">
        <v>3377</v>
      </c>
      <c r="F809" s="171">
        <v>2000</v>
      </c>
      <c r="G809" s="171">
        <v>199</v>
      </c>
      <c r="H809" s="57"/>
      <c r="I809" s="173" t="s">
        <v>2564</v>
      </c>
      <c r="J809" s="277">
        <v>0.5</v>
      </c>
      <c r="K809" s="213">
        <v>4.7777777777777777</v>
      </c>
      <c r="L809" s="91"/>
      <c r="M809" s="278">
        <v>360</v>
      </c>
      <c r="N809" s="279"/>
      <c r="O809" s="172" t="s">
        <v>12</v>
      </c>
      <c r="P809" s="92"/>
      <c r="Q809" s="173" t="s">
        <v>10</v>
      </c>
      <c r="R809" s="94"/>
      <c r="S809" s="94"/>
      <c r="T809" s="171" t="s">
        <v>2306</v>
      </c>
      <c r="U809" s="171" t="s">
        <v>2530</v>
      </c>
      <c r="V809" s="102">
        <v>0</v>
      </c>
      <c r="W809" s="120">
        <v>0</v>
      </c>
      <c r="X809" s="120">
        <v>0</v>
      </c>
      <c r="Y809" s="120">
        <v>0</v>
      </c>
      <c r="Z809" s="120">
        <v>0</v>
      </c>
      <c r="AA809" s="17">
        <v>0</v>
      </c>
      <c r="AB809" s="17">
        <v>0</v>
      </c>
      <c r="AC809" s="17">
        <v>0</v>
      </c>
      <c r="AD809" s="17">
        <v>0</v>
      </c>
      <c r="AE809" s="17">
        <v>0</v>
      </c>
      <c r="AF809" s="17">
        <v>0</v>
      </c>
      <c r="AG809" s="17">
        <v>0</v>
      </c>
      <c r="AH809" s="17">
        <v>0</v>
      </c>
      <c r="AI809" s="17">
        <v>0</v>
      </c>
      <c r="AJ809" s="17">
        <v>0</v>
      </c>
      <c r="AK809" s="17">
        <v>0</v>
      </c>
      <c r="AL809" s="32">
        <v>0</v>
      </c>
      <c r="AM809" s="780">
        <v>39.4</v>
      </c>
      <c r="AN809" s="89"/>
      <c r="AO809" s="280"/>
      <c r="AP809" s="784"/>
      <c r="AQ809" s="773" t="s">
        <v>271</v>
      </c>
      <c r="AR809" s="188">
        <v>100</v>
      </c>
      <c r="AS809" s="171"/>
      <c r="AT809" s="171" t="str">
        <f t="shared" si="68"/>
        <v>400</v>
      </c>
      <c r="AU809" s="255">
        <f t="shared" si="69"/>
        <v>22.222222222222221</v>
      </c>
      <c r="AV809" s="172">
        <v>100</v>
      </c>
      <c r="AW809" s="171">
        <v>7</v>
      </c>
      <c r="AX809" s="89"/>
      <c r="AY809" s="171">
        <v>20</v>
      </c>
      <c r="AZ809" s="89"/>
      <c r="BA809" s="175">
        <v>60</v>
      </c>
      <c r="BB809" s="189" t="s">
        <v>2547</v>
      </c>
      <c r="BC809" s="176"/>
      <c r="BD809" s="179"/>
      <c r="BE809" s="179"/>
      <c r="BF809" s="178"/>
      <c r="BG809" s="25"/>
      <c r="BH809" s="25"/>
    </row>
    <row r="810" spans="1:60" ht="15" customHeight="1">
      <c r="A810" s="95">
        <v>809</v>
      </c>
      <c r="B810" s="98" t="s">
        <v>893</v>
      </c>
      <c r="C810" s="191" t="s">
        <v>2679</v>
      </c>
      <c r="D810" s="257" t="s">
        <v>549</v>
      </c>
      <c r="E810" s="459" t="s">
        <v>3377</v>
      </c>
      <c r="F810" s="171">
        <v>2000</v>
      </c>
      <c r="G810" s="171">
        <v>199</v>
      </c>
      <c r="H810" s="57"/>
      <c r="I810" s="173" t="s">
        <v>2564</v>
      </c>
      <c r="J810" s="277">
        <v>0.5</v>
      </c>
      <c r="K810" s="213">
        <v>4.7833333333333332</v>
      </c>
      <c r="L810" s="91"/>
      <c r="M810" s="278">
        <v>360</v>
      </c>
      <c r="N810" s="279"/>
      <c r="O810" s="172" t="s">
        <v>12</v>
      </c>
      <c r="P810" s="92"/>
      <c r="Q810" s="173" t="s">
        <v>10</v>
      </c>
      <c r="R810" s="94"/>
      <c r="S810" s="94"/>
      <c r="T810" s="171" t="s">
        <v>2306</v>
      </c>
      <c r="U810" s="171" t="s">
        <v>2530</v>
      </c>
      <c r="V810" s="102">
        <v>0</v>
      </c>
      <c r="W810" s="120">
        <v>0</v>
      </c>
      <c r="X810" s="120">
        <v>0</v>
      </c>
      <c r="Y810" s="120">
        <v>0</v>
      </c>
      <c r="Z810" s="120">
        <v>0</v>
      </c>
      <c r="AA810" s="17">
        <v>0</v>
      </c>
      <c r="AB810" s="17">
        <v>0</v>
      </c>
      <c r="AC810" s="17">
        <v>0</v>
      </c>
      <c r="AD810" s="17">
        <v>0</v>
      </c>
      <c r="AE810" s="17">
        <v>0</v>
      </c>
      <c r="AF810" s="17">
        <v>0</v>
      </c>
      <c r="AG810" s="17">
        <v>0</v>
      </c>
      <c r="AH810" s="17">
        <v>0</v>
      </c>
      <c r="AI810" s="17">
        <v>0</v>
      </c>
      <c r="AJ810" s="17">
        <v>0</v>
      </c>
      <c r="AK810" s="17">
        <v>0</v>
      </c>
      <c r="AL810" s="32">
        <v>0</v>
      </c>
      <c r="AM810" s="780">
        <v>47</v>
      </c>
      <c r="AN810" s="89"/>
      <c r="AO810" s="280"/>
      <c r="AP810" s="784"/>
      <c r="AQ810" s="773" t="s">
        <v>271</v>
      </c>
      <c r="AR810" s="188">
        <v>100</v>
      </c>
      <c r="AS810" s="171"/>
      <c r="AT810" s="171" t="str">
        <f t="shared" si="68"/>
        <v>400</v>
      </c>
      <c r="AU810" s="255">
        <f t="shared" si="69"/>
        <v>22.222222222222221</v>
      </c>
      <c r="AV810" s="172">
        <v>100</v>
      </c>
      <c r="AW810" s="171">
        <v>7</v>
      </c>
      <c r="AX810" s="89"/>
      <c r="AY810" s="171">
        <v>20</v>
      </c>
      <c r="AZ810" s="89"/>
      <c r="BA810" s="175">
        <v>60</v>
      </c>
      <c r="BB810" s="189" t="s">
        <v>2547</v>
      </c>
      <c r="BC810" s="176"/>
      <c r="BD810" s="179"/>
      <c r="BE810" s="179"/>
      <c r="BF810" s="178"/>
      <c r="BG810" s="25"/>
      <c r="BH810" s="25"/>
    </row>
    <row r="811" spans="1:60" ht="15" customHeight="1">
      <c r="A811" s="95">
        <v>810</v>
      </c>
      <c r="B811" s="98" t="s">
        <v>892</v>
      </c>
      <c r="C811" s="191" t="s">
        <v>2679</v>
      </c>
      <c r="D811" s="257" t="s">
        <v>549</v>
      </c>
      <c r="E811" s="459" t="s">
        <v>3377</v>
      </c>
      <c r="F811" s="171">
        <v>2000</v>
      </c>
      <c r="G811" s="171">
        <v>199</v>
      </c>
      <c r="H811" s="57"/>
      <c r="I811" s="173" t="s">
        <v>2564</v>
      </c>
      <c r="J811" s="277">
        <v>0.5</v>
      </c>
      <c r="K811" s="213">
        <v>4.6611111111111114</v>
      </c>
      <c r="L811" s="91"/>
      <c r="M811" s="278">
        <v>360</v>
      </c>
      <c r="N811" s="279"/>
      <c r="O811" s="172" t="s">
        <v>12</v>
      </c>
      <c r="P811" s="92"/>
      <c r="Q811" s="173" t="s">
        <v>10</v>
      </c>
      <c r="R811" s="94"/>
      <c r="S811" s="94"/>
      <c r="T811" s="171" t="s">
        <v>2306</v>
      </c>
      <c r="U811" s="171" t="s">
        <v>2530</v>
      </c>
      <c r="V811" s="102">
        <v>0</v>
      </c>
      <c r="W811" s="120">
        <v>0</v>
      </c>
      <c r="X811" s="120">
        <v>0</v>
      </c>
      <c r="Y811" s="120">
        <v>0</v>
      </c>
      <c r="Z811" s="120">
        <v>0</v>
      </c>
      <c r="AA811" s="17">
        <v>0</v>
      </c>
      <c r="AB811" s="17">
        <v>0</v>
      </c>
      <c r="AC811" s="17">
        <v>0</v>
      </c>
      <c r="AD811" s="17">
        <v>0</v>
      </c>
      <c r="AE811" s="17">
        <v>0</v>
      </c>
      <c r="AF811" s="17">
        <v>0</v>
      </c>
      <c r="AG811" s="17">
        <v>0</v>
      </c>
      <c r="AH811" s="17">
        <v>0</v>
      </c>
      <c r="AI811" s="17">
        <v>0</v>
      </c>
      <c r="AJ811" s="17">
        <v>0</v>
      </c>
      <c r="AK811" s="17">
        <v>0</v>
      </c>
      <c r="AL811" s="32">
        <v>0</v>
      </c>
      <c r="AM811" s="780">
        <v>44.6</v>
      </c>
      <c r="AN811" s="89"/>
      <c r="AO811" s="280"/>
      <c r="AP811" s="784"/>
      <c r="AQ811" s="773" t="s">
        <v>271</v>
      </c>
      <c r="AR811" s="188">
        <v>100</v>
      </c>
      <c r="AS811" s="171"/>
      <c r="AT811" s="171" t="str">
        <f t="shared" si="68"/>
        <v>400</v>
      </c>
      <c r="AU811" s="255">
        <f t="shared" si="69"/>
        <v>22.222222222222221</v>
      </c>
      <c r="AV811" s="172">
        <v>100</v>
      </c>
      <c r="AW811" s="171">
        <v>7</v>
      </c>
      <c r="AX811" s="89"/>
      <c r="AY811" s="171">
        <v>20</v>
      </c>
      <c r="AZ811" s="89"/>
      <c r="BA811" s="175">
        <v>60</v>
      </c>
      <c r="BB811" s="189" t="s">
        <v>2547</v>
      </c>
      <c r="BC811" s="176"/>
      <c r="BD811" s="179"/>
      <c r="BE811" s="179"/>
      <c r="BF811" s="178"/>
      <c r="BG811" s="25"/>
      <c r="BH811" s="25"/>
    </row>
    <row r="812" spans="1:60" ht="15" customHeight="1">
      <c r="A812" s="95">
        <v>811</v>
      </c>
      <c r="B812" s="98" t="s">
        <v>891</v>
      </c>
      <c r="C812" s="191" t="s">
        <v>2679</v>
      </c>
      <c r="D812" s="257" t="s">
        <v>549</v>
      </c>
      <c r="E812" s="459" t="s">
        <v>3377</v>
      </c>
      <c r="F812" s="171">
        <v>2000</v>
      </c>
      <c r="G812" s="171">
        <v>199</v>
      </c>
      <c r="H812" s="57"/>
      <c r="I812" s="173" t="s">
        <v>2564</v>
      </c>
      <c r="J812" s="277">
        <v>0.5</v>
      </c>
      <c r="K812" s="213">
        <v>4.5138888888888893</v>
      </c>
      <c r="L812" s="91"/>
      <c r="M812" s="278">
        <v>360</v>
      </c>
      <c r="N812" s="279"/>
      <c r="O812" s="172" t="s">
        <v>12</v>
      </c>
      <c r="P812" s="92"/>
      <c r="Q812" s="173" t="s">
        <v>10</v>
      </c>
      <c r="R812" s="94"/>
      <c r="S812" s="94"/>
      <c r="T812" s="171" t="s">
        <v>2306</v>
      </c>
      <c r="U812" s="171" t="s">
        <v>2530</v>
      </c>
      <c r="V812" s="102">
        <v>0</v>
      </c>
      <c r="W812" s="120">
        <v>0</v>
      </c>
      <c r="X812" s="120">
        <v>0</v>
      </c>
      <c r="Y812" s="120">
        <v>0</v>
      </c>
      <c r="Z812" s="120">
        <v>0</v>
      </c>
      <c r="AA812" s="17">
        <v>0</v>
      </c>
      <c r="AB812" s="17">
        <v>0</v>
      </c>
      <c r="AC812" s="17">
        <v>0</v>
      </c>
      <c r="AD812" s="17">
        <v>0</v>
      </c>
      <c r="AE812" s="17">
        <v>0</v>
      </c>
      <c r="AF812" s="17">
        <v>0</v>
      </c>
      <c r="AG812" s="17">
        <v>0</v>
      </c>
      <c r="AH812" s="17">
        <v>0</v>
      </c>
      <c r="AI812" s="17">
        <v>0</v>
      </c>
      <c r="AJ812" s="17">
        <v>0</v>
      </c>
      <c r="AK812" s="17">
        <v>0</v>
      </c>
      <c r="AL812" s="32">
        <v>0</v>
      </c>
      <c r="AM812" s="780">
        <v>56.8</v>
      </c>
      <c r="AN812" s="89"/>
      <c r="AO812" s="280"/>
      <c r="AP812" s="784"/>
      <c r="AQ812" s="773" t="s">
        <v>271</v>
      </c>
      <c r="AR812" s="188">
        <v>100</v>
      </c>
      <c r="AS812" s="171"/>
      <c r="AT812" s="171" t="str">
        <f t="shared" si="68"/>
        <v>400</v>
      </c>
      <c r="AU812" s="255">
        <f t="shared" si="69"/>
        <v>22.222222222222221</v>
      </c>
      <c r="AV812" s="172">
        <v>100</v>
      </c>
      <c r="AW812" s="171">
        <v>7</v>
      </c>
      <c r="AX812" s="89"/>
      <c r="AY812" s="171">
        <v>20</v>
      </c>
      <c r="AZ812" s="89"/>
      <c r="BA812" s="175">
        <v>60</v>
      </c>
      <c r="BB812" s="189" t="s">
        <v>2547</v>
      </c>
      <c r="BC812" s="176"/>
      <c r="BD812" s="179"/>
      <c r="BE812" s="179"/>
      <c r="BF812" s="178"/>
      <c r="BG812" s="25"/>
      <c r="BH812" s="25"/>
    </row>
    <row r="813" spans="1:60" ht="15" customHeight="1">
      <c r="A813" s="95">
        <v>812</v>
      </c>
      <c r="B813" s="98" t="s">
        <v>890</v>
      </c>
      <c r="C813" s="191" t="s">
        <v>2679</v>
      </c>
      <c r="D813" s="257" t="s">
        <v>549</v>
      </c>
      <c r="E813" s="459" t="s">
        <v>3377</v>
      </c>
      <c r="F813" s="171">
        <v>2000</v>
      </c>
      <c r="G813" s="171">
        <v>199</v>
      </c>
      <c r="H813" s="57"/>
      <c r="I813" s="173" t="s">
        <v>2564</v>
      </c>
      <c r="J813" s="277">
        <v>0.5</v>
      </c>
      <c r="K813" s="213">
        <v>5.1823529411764708</v>
      </c>
      <c r="L813" s="91"/>
      <c r="M813" s="278">
        <v>340</v>
      </c>
      <c r="N813" s="279"/>
      <c r="O813" s="172" t="s">
        <v>12</v>
      </c>
      <c r="P813" s="92"/>
      <c r="Q813" s="173" t="s">
        <v>10</v>
      </c>
      <c r="R813" s="94"/>
      <c r="S813" s="94"/>
      <c r="T813" s="171" t="s">
        <v>2306</v>
      </c>
      <c r="U813" s="171" t="s">
        <v>2530</v>
      </c>
      <c r="V813" s="102">
        <v>0</v>
      </c>
      <c r="W813" s="120">
        <v>0</v>
      </c>
      <c r="X813" s="120">
        <v>0</v>
      </c>
      <c r="Y813" s="120">
        <v>0</v>
      </c>
      <c r="Z813" s="120">
        <v>0</v>
      </c>
      <c r="AA813" s="17">
        <v>0</v>
      </c>
      <c r="AB813" s="17">
        <v>0</v>
      </c>
      <c r="AC813" s="17">
        <v>0</v>
      </c>
      <c r="AD813" s="17">
        <v>0</v>
      </c>
      <c r="AE813" s="17">
        <v>0</v>
      </c>
      <c r="AF813" s="17">
        <v>0</v>
      </c>
      <c r="AG813" s="17">
        <v>0</v>
      </c>
      <c r="AH813" s="17">
        <v>0</v>
      </c>
      <c r="AI813" s="17">
        <v>0</v>
      </c>
      <c r="AJ813" s="17">
        <v>0</v>
      </c>
      <c r="AK813" s="17">
        <v>0</v>
      </c>
      <c r="AL813" s="32">
        <v>0</v>
      </c>
      <c r="AM813" s="780">
        <v>40.5</v>
      </c>
      <c r="AN813" s="89"/>
      <c r="AO813" s="280"/>
      <c r="AP813" s="784"/>
      <c r="AQ813" s="773" t="s">
        <v>271</v>
      </c>
      <c r="AR813" s="188">
        <v>100</v>
      </c>
      <c r="AS813" s="171"/>
      <c r="AT813" s="171" t="str">
        <f t="shared" si="68"/>
        <v>400</v>
      </c>
      <c r="AU813" s="255">
        <f t="shared" si="69"/>
        <v>22.222222222222221</v>
      </c>
      <c r="AV813" s="172">
        <v>100</v>
      </c>
      <c r="AW813" s="171">
        <v>7</v>
      </c>
      <c r="AX813" s="89"/>
      <c r="AY813" s="171">
        <v>20</v>
      </c>
      <c r="AZ813" s="89"/>
      <c r="BA813" s="175">
        <v>60</v>
      </c>
      <c r="BB813" s="189" t="s">
        <v>2547</v>
      </c>
      <c r="BC813" s="176"/>
      <c r="BD813" s="179"/>
      <c r="BE813" s="179"/>
      <c r="BF813" s="178"/>
      <c r="BG813" s="25"/>
      <c r="BH813" s="25"/>
    </row>
    <row r="814" spans="1:60" ht="15" customHeight="1">
      <c r="A814" s="95">
        <v>813</v>
      </c>
      <c r="B814" s="98" t="s">
        <v>889</v>
      </c>
      <c r="C814" s="191" t="s">
        <v>2673</v>
      </c>
      <c r="D814" s="257" t="s">
        <v>549</v>
      </c>
      <c r="E814" s="459" t="s">
        <v>3377</v>
      </c>
      <c r="F814" s="171">
        <v>2000</v>
      </c>
      <c r="G814" s="171">
        <v>200</v>
      </c>
      <c r="H814" s="57"/>
      <c r="I814" s="173" t="s">
        <v>2564</v>
      </c>
      <c r="J814" s="277">
        <v>0.55000000000000004</v>
      </c>
      <c r="K814" s="213">
        <v>5.6463022508038589</v>
      </c>
      <c r="L814" s="91"/>
      <c r="M814" s="278">
        <v>311</v>
      </c>
      <c r="N814" s="279"/>
      <c r="O814" s="172" t="s">
        <v>12</v>
      </c>
      <c r="P814" s="92"/>
      <c r="Q814" s="173" t="s">
        <v>10</v>
      </c>
      <c r="R814" s="94"/>
      <c r="S814" s="94"/>
      <c r="T814" s="171" t="s">
        <v>2552</v>
      </c>
      <c r="U814" s="171" t="s">
        <v>2530</v>
      </c>
      <c r="V814" s="102">
        <v>0</v>
      </c>
      <c r="W814" s="120">
        <v>0</v>
      </c>
      <c r="X814" s="120">
        <v>0</v>
      </c>
      <c r="Y814" s="120">
        <v>0</v>
      </c>
      <c r="Z814" s="120">
        <v>0</v>
      </c>
      <c r="AA814" s="17">
        <v>0</v>
      </c>
      <c r="AB814" s="17">
        <v>0</v>
      </c>
      <c r="AC814" s="17">
        <v>0</v>
      </c>
      <c r="AD814" s="17">
        <v>0</v>
      </c>
      <c r="AE814" s="17">
        <v>0</v>
      </c>
      <c r="AF814" s="17">
        <v>0</v>
      </c>
      <c r="AG814" s="17">
        <v>0</v>
      </c>
      <c r="AH814" s="17">
        <v>0</v>
      </c>
      <c r="AI814" s="17">
        <v>0</v>
      </c>
      <c r="AJ814" s="17">
        <v>0</v>
      </c>
      <c r="AK814" s="17">
        <v>0</v>
      </c>
      <c r="AL814" s="32">
        <v>0</v>
      </c>
      <c r="AM814" s="780">
        <v>36.4</v>
      </c>
      <c r="AN814" s="89"/>
      <c r="AO814" s="280"/>
      <c r="AP814" s="784"/>
      <c r="AQ814" s="773" t="s">
        <v>270</v>
      </c>
      <c r="AR814" s="188">
        <v>100</v>
      </c>
      <c r="AS814" s="171"/>
      <c r="AT814" s="171" t="str">
        <f t="shared" si="68"/>
        <v>500</v>
      </c>
      <c r="AU814" s="255">
        <f t="shared" si="69"/>
        <v>22.727272727272727</v>
      </c>
      <c r="AV814" s="172">
        <v>98</v>
      </c>
      <c r="AW814" s="171">
        <v>7</v>
      </c>
      <c r="AX814" s="89"/>
      <c r="AY814" s="171">
        <v>20</v>
      </c>
      <c r="AZ814" s="89"/>
      <c r="BA814" s="175">
        <v>60</v>
      </c>
      <c r="BB814" s="189" t="s">
        <v>2550</v>
      </c>
      <c r="BC814" s="176"/>
      <c r="BD814" s="179"/>
      <c r="BE814" s="179"/>
      <c r="BF814" s="178"/>
      <c r="BG814" s="25"/>
      <c r="BH814" s="25"/>
    </row>
    <row r="815" spans="1:60" ht="15" customHeight="1">
      <c r="A815" s="95">
        <v>814</v>
      </c>
      <c r="B815" s="98" t="s">
        <v>888</v>
      </c>
      <c r="C815" s="191" t="s">
        <v>2673</v>
      </c>
      <c r="D815" s="257" t="s">
        <v>549</v>
      </c>
      <c r="E815" s="459" t="s">
        <v>3377</v>
      </c>
      <c r="F815" s="171">
        <v>2000</v>
      </c>
      <c r="G815" s="171">
        <v>200</v>
      </c>
      <c r="H815" s="57"/>
      <c r="I815" s="173" t="s">
        <v>2564</v>
      </c>
      <c r="J815" s="277">
        <v>0.55000000000000004</v>
      </c>
      <c r="K815" s="213">
        <v>5.2110091743119265</v>
      </c>
      <c r="L815" s="91"/>
      <c r="M815" s="278">
        <v>327</v>
      </c>
      <c r="N815" s="279"/>
      <c r="O815" s="172" t="s">
        <v>12</v>
      </c>
      <c r="P815" s="92"/>
      <c r="Q815" s="173" t="s">
        <v>10</v>
      </c>
      <c r="R815" s="94"/>
      <c r="S815" s="94"/>
      <c r="T815" s="171" t="s">
        <v>2552</v>
      </c>
      <c r="U815" s="171" t="s">
        <v>2530</v>
      </c>
      <c r="V815" s="102">
        <v>0</v>
      </c>
      <c r="W815" s="120">
        <v>0</v>
      </c>
      <c r="X815" s="120">
        <v>0</v>
      </c>
      <c r="Y815" s="120">
        <v>0</v>
      </c>
      <c r="Z815" s="120">
        <v>0</v>
      </c>
      <c r="AA815" s="17">
        <v>0</v>
      </c>
      <c r="AB815" s="17">
        <v>0</v>
      </c>
      <c r="AC815" s="17">
        <v>0</v>
      </c>
      <c r="AD815" s="17">
        <v>0</v>
      </c>
      <c r="AE815" s="17">
        <v>0</v>
      </c>
      <c r="AF815" s="17">
        <v>0</v>
      </c>
      <c r="AG815" s="17">
        <v>0</v>
      </c>
      <c r="AH815" s="17">
        <v>0</v>
      </c>
      <c r="AI815" s="17">
        <v>0</v>
      </c>
      <c r="AJ815" s="17">
        <v>0</v>
      </c>
      <c r="AK815" s="17">
        <v>0</v>
      </c>
      <c r="AL815" s="32">
        <v>0</v>
      </c>
      <c r="AM815" s="780">
        <v>32</v>
      </c>
      <c r="AN815" s="89"/>
      <c r="AO815" s="280"/>
      <c r="AP815" s="784"/>
      <c r="AQ815" s="773" t="s">
        <v>270</v>
      </c>
      <c r="AR815" s="188">
        <v>100</v>
      </c>
      <c r="AS815" s="171"/>
      <c r="AT815" s="171" t="str">
        <f t="shared" si="68"/>
        <v>500</v>
      </c>
      <c r="AU815" s="255">
        <f t="shared" si="69"/>
        <v>22.727272727272727</v>
      </c>
      <c r="AV815" s="172">
        <v>98</v>
      </c>
      <c r="AW815" s="171">
        <v>7</v>
      </c>
      <c r="AX815" s="89"/>
      <c r="AY815" s="171">
        <v>20</v>
      </c>
      <c r="AZ815" s="89"/>
      <c r="BA815" s="175">
        <v>60</v>
      </c>
      <c r="BB815" s="189" t="s">
        <v>2550</v>
      </c>
      <c r="BC815" s="176"/>
      <c r="BD815" s="179"/>
      <c r="BE815" s="179"/>
      <c r="BF815" s="178"/>
      <c r="BG815" s="25"/>
      <c r="BH815" s="25"/>
    </row>
    <row r="816" spans="1:60" ht="15" customHeight="1">
      <c r="A816" s="95">
        <v>815</v>
      </c>
      <c r="B816" s="98" t="s">
        <v>887</v>
      </c>
      <c r="C816" s="191" t="s">
        <v>2673</v>
      </c>
      <c r="D816" s="257" t="s">
        <v>549</v>
      </c>
      <c r="E816" s="459" t="s">
        <v>3377</v>
      </c>
      <c r="F816" s="171">
        <v>2000</v>
      </c>
      <c r="G816" s="171">
        <v>200</v>
      </c>
      <c r="H816" s="57"/>
      <c r="I816" s="173" t="s">
        <v>2564</v>
      </c>
      <c r="J816" s="277">
        <v>0.55000000000000004</v>
      </c>
      <c r="K816" s="213">
        <v>5.2599388379204894</v>
      </c>
      <c r="L816" s="91"/>
      <c r="M816" s="278">
        <v>327</v>
      </c>
      <c r="N816" s="279"/>
      <c r="O816" s="172" t="s">
        <v>12</v>
      </c>
      <c r="P816" s="92"/>
      <c r="Q816" s="173" t="s">
        <v>10</v>
      </c>
      <c r="R816" s="94"/>
      <c r="S816" s="94"/>
      <c r="T816" s="171" t="s">
        <v>2552</v>
      </c>
      <c r="U816" s="171" t="s">
        <v>2530</v>
      </c>
      <c r="V816" s="102">
        <v>0</v>
      </c>
      <c r="W816" s="120">
        <v>0</v>
      </c>
      <c r="X816" s="120">
        <v>0</v>
      </c>
      <c r="Y816" s="120">
        <v>0</v>
      </c>
      <c r="Z816" s="120">
        <v>0</v>
      </c>
      <c r="AA816" s="17">
        <v>0</v>
      </c>
      <c r="AB816" s="17">
        <v>0</v>
      </c>
      <c r="AC816" s="17">
        <v>0</v>
      </c>
      <c r="AD816" s="17">
        <v>0</v>
      </c>
      <c r="AE816" s="17">
        <v>0</v>
      </c>
      <c r="AF816" s="17">
        <v>0</v>
      </c>
      <c r="AG816" s="17">
        <v>0</v>
      </c>
      <c r="AH816" s="17">
        <v>0</v>
      </c>
      <c r="AI816" s="17">
        <v>0</v>
      </c>
      <c r="AJ816" s="17">
        <v>0</v>
      </c>
      <c r="AK816" s="17">
        <v>0</v>
      </c>
      <c r="AL816" s="32">
        <v>0</v>
      </c>
      <c r="AM816" s="780">
        <v>32.700000000000003</v>
      </c>
      <c r="AN816" s="89"/>
      <c r="AO816" s="280"/>
      <c r="AP816" s="784"/>
      <c r="AQ816" s="773" t="s">
        <v>270</v>
      </c>
      <c r="AR816" s="188">
        <v>100</v>
      </c>
      <c r="AS816" s="171"/>
      <c r="AT816" s="171" t="str">
        <f t="shared" si="68"/>
        <v>500</v>
      </c>
      <c r="AU816" s="255">
        <f t="shared" si="69"/>
        <v>22.727272727272727</v>
      </c>
      <c r="AV816" s="172">
        <v>98</v>
      </c>
      <c r="AW816" s="171">
        <v>7</v>
      </c>
      <c r="AX816" s="89"/>
      <c r="AY816" s="171">
        <v>20</v>
      </c>
      <c r="AZ816" s="89"/>
      <c r="BA816" s="175">
        <v>60</v>
      </c>
      <c r="BB816" s="189" t="s">
        <v>2550</v>
      </c>
      <c r="BC816" s="176"/>
      <c r="BD816" s="179"/>
      <c r="BE816" s="179"/>
      <c r="BF816" s="178"/>
      <c r="BG816" s="25"/>
      <c r="BH816" s="25"/>
    </row>
    <row r="817" spans="1:60" ht="15" customHeight="1">
      <c r="A817" s="95">
        <v>816</v>
      </c>
      <c r="B817" s="98" t="s">
        <v>886</v>
      </c>
      <c r="C817" s="191" t="s">
        <v>2673</v>
      </c>
      <c r="D817" s="257" t="s">
        <v>549</v>
      </c>
      <c r="E817" s="459" t="s">
        <v>3377</v>
      </c>
      <c r="F817" s="171">
        <v>2000</v>
      </c>
      <c r="G817" s="171">
        <v>200</v>
      </c>
      <c r="H817" s="57"/>
      <c r="I817" s="173" t="s">
        <v>2564</v>
      </c>
      <c r="J817" s="277">
        <v>0.55000000000000004</v>
      </c>
      <c r="K817" s="213">
        <v>5.1314984709480118</v>
      </c>
      <c r="L817" s="91"/>
      <c r="M817" s="278">
        <v>327</v>
      </c>
      <c r="N817" s="279"/>
      <c r="O817" s="172" t="s">
        <v>12</v>
      </c>
      <c r="P817" s="92"/>
      <c r="Q817" s="173" t="s">
        <v>10</v>
      </c>
      <c r="R817" s="94"/>
      <c r="S817" s="94"/>
      <c r="T817" s="171" t="s">
        <v>2552</v>
      </c>
      <c r="U817" s="171" t="s">
        <v>2530</v>
      </c>
      <c r="V817" s="102">
        <v>0</v>
      </c>
      <c r="W817" s="120">
        <v>0</v>
      </c>
      <c r="X817" s="120">
        <v>0</v>
      </c>
      <c r="Y817" s="120">
        <v>0</v>
      </c>
      <c r="Z817" s="120">
        <v>0</v>
      </c>
      <c r="AA817" s="17">
        <v>0</v>
      </c>
      <c r="AB817" s="17">
        <v>0</v>
      </c>
      <c r="AC817" s="17">
        <v>0</v>
      </c>
      <c r="AD817" s="17">
        <v>0</v>
      </c>
      <c r="AE817" s="17">
        <v>0</v>
      </c>
      <c r="AF817" s="17">
        <v>0</v>
      </c>
      <c r="AG817" s="17">
        <v>0</v>
      </c>
      <c r="AH817" s="17">
        <v>0</v>
      </c>
      <c r="AI817" s="17">
        <v>0</v>
      </c>
      <c r="AJ817" s="17">
        <v>0</v>
      </c>
      <c r="AK817" s="17">
        <v>0</v>
      </c>
      <c r="AL817" s="32">
        <v>0</v>
      </c>
      <c r="AM817" s="780">
        <v>35.4</v>
      </c>
      <c r="AN817" s="89"/>
      <c r="AO817" s="280"/>
      <c r="AP817" s="784"/>
      <c r="AQ817" s="773" t="s">
        <v>270</v>
      </c>
      <c r="AR817" s="188">
        <v>100</v>
      </c>
      <c r="AS817" s="171"/>
      <c r="AT817" s="171" t="str">
        <f t="shared" si="68"/>
        <v>500</v>
      </c>
      <c r="AU817" s="255">
        <f t="shared" si="69"/>
        <v>22.727272727272727</v>
      </c>
      <c r="AV817" s="172">
        <v>98</v>
      </c>
      <c r="AW817" s="171">
        <v>7</v>
      </c>
      <c r="AX817" s="89"/>
      <c r="AY817" s="171">
        <v>20</v>
      </c>
      <c r="AZ817" s="89"/>
      <c r="BA817" s="175">
        <v>60</v>
      </c>
      <c r="BB817" s="189" t="s">
        <v>2550</v>
      </c>
      <c r="BC817" s="176"/>
      <c r="BD817" s="179"/>
      <c r="BE817" s="179"/>
      <c r="BF817" s="178"/>
      <c r="BG817" s="25"/>
      <c r="BH817" s="25"/>
    </row>
    <row r="818" spans="1:60" ht="15" customHeight="1">
      <c r="A818" s="95">
        <v>817</v>
      </c>
      <c r="B818" s="98" t="s">
        <v>885</v>
      </c>
      <c r="C818" s="191" t="s">
        <v>2673</v>
      </c>
      <c r="D818" s="257" t="s">
        <v>549</v>
      </c>
      <c r="E818" s="459" t="s">
        <v>3377</v>
      </c>
      <c r="F818" s="171">
        <v>2000</v>
      </c>
      <c r="G818" s="171">
        <v>200</v>
      </c>
      <c r="H818" s="57"/>
      <c r="I818" s="173" t="s">
        <v>2564</v>
      </c>
      <c r="J818" s="277">
        <v>0.55000000000000004</v>
      </c>
      <c r="K818" s="213">
        <v>5.4031746031746035</v>
      </c>
      <c r="L818" s="91"/>
      <c r="M818" s="278">
        <v>315</v>
      </c>
      <c r="N818" s="279"/>
      <c r="O818" s="172" t="s">
        <v>12</v>
      </c>
      <c r="P818" s="92"/>
      <c r="Q818" s="173" t="s">
        <v>10</v>
      </c>
      <c r="R818" s="94"/>
      <c r="S818" s="94"/>
      <c r="T818" s="171" t="s">
        <v>2552</v>
      </c>
      <c r="U818" s="171" t="s">
        <v>2530</v>
      </c>
      <c r="V818" s="102">
        <v>0</v>
      </c>
      <c r="W818" s="120">
        <v>0</v>
      </c>
      <c r="X818" s="120">
        <v>0</v>
      </c>
      <c r="Y818" s="120">
        <v>0</v>
      </c>
      <c r="Z818" s="120">
        <v>0</v>
      </c>
      <c r="AA818" s="17">
        <v>0</v>
      </c>
      <c r="AB818" s="17">
        <v>0</v>
      </c>
      <c r="AC818" s="17">
        <v>0</v>
      </c>
      <c r="AD818" s="17">
        <v>0</v>
      </c>
      <c r="AE818" s="17">
        <v>0</v>
      </c>
      <c r="AF818" s="17">
        <v>0</v>
      </c>
      <c r="AG818" s="17">
        <v>0</v>
      </c>
      <c r="AH818" s="17">
        <v>0</v>
      </c>
      <c r="AI818" s="17">
        <v>0</v>
      </c>
      <c r="AJ818" s="17">
        <v>0</v>
      </c>
      <c r="AK818" s="17">
        <v>0</v>
      </c>
      <c r="AL818" s="32">
        <v>0</v>
      </c>
      <c r="AM818" s="780">
        <v>34.6</v>
      </c>
      <c r="AN818" s="89"/>
      <c r="AO818" s="280"/>
      <c r="AP818" s="784"/>
      <c r="AQ818" s="773" t="s">
        <v>270</v>
      </c>
      <c r="AR818" s="188">
        <v>100</v>
      </c>
      <c r="AS818" s="171"/>
      <c r="AT818" s="171" t="str">
        <f t="shared" si="68"/>
        <v>500</v>
      </c>
      <c r="AU818" s="255">
        <f t="shared" si="69"/>
        <v>22.727272727272727</v>
      </c>
      <c r="AV818" s="172">
        <v>98</v>
      </c>
      <c r="AW818" s="171">
        <v>7</v>
      </c>
      <c r="AX818" s="89"/>
      <c r="AY818" s="171">
        <v>20</v>
      </c>
      <c r="AZ818" s="89"/>
      <c r="BA818" s="175">
        <v>60</v>
      </c>
      <c r="BB818" s="189" t="s">
        <v>2550</v>
      </c>
      <c r="BC818" s="176"/>
      <c r="BD818" s="179"/>
      <c r="BE818" s="179"/>
      <c r="BF818" s="178"/>
      <c r="BG818" s="25"/>
      <c r="BH818" s="25"/>
    </row>
    <row r="819" spans="1:60" ht="15" customHeight="1">
      <c r="A819" s="95">
        <v>818</v>
      </c>
      <c r="B819" s="98" t="s">
        <v>884</v>
      </c>
      <c r="C819" s="191" t="s">
        <v>2680</v>
      </c>
      <c r="D819" s="257" t="s">
        <v>549</v>
      </c>
      <c r="E819" s="459" t="s">
        <v>3377</v>
      </c>
      <c r="F819" s="171">
        <v>2000</v>
      </c>
      <c r="G819" s="171">
        <v>201</v>
      </c>
      <c r="H819" s="57"/>
      <c r="I819" s="173" t="s">
        <v>2564</v>
      </c>
      <c r="J819" s="277">
        <v>0.5</v>
      </c>
      <c r="K819" s="213">
        <v>5.3117647058823527</v>
      </c>
      <c r="L819" s="91"/>
      <c r="M819" s="278">
        <v>340</v>
      </c>
      <c r="N819" s="279"/>
      <c r="O819" s="172" t="s">
        <v>12</v>
      </c>
      <c r="P819" s="92"/>
      <c r="Q819" s="173" t="s">
        <v>10</v>
      </c>
      <c r="R819" s="512" t="s">
        <v>2734</v>
      </c>
      <c r="S819" s="94"/>
      <c r="T819" s="171" t="s">
        <v>2306</v>
      </c>
      <c r="U819" s="171" t="s">
        <v>2558</v>
      </c>
      <c r="V819" s="102">
        <v>0</v>
      </c>
      <c r="W819" s="120">
        <v>0</v>
      </c>
      <c r="X819" s="120">
        <v>0</v>
      </c>
      <c r="Y819" s="120">
        <v>0</v>
      </c>
      <c r="Z819" s="120">
        <v>0</v>
      </c>
      <c r="AA819" s="17">
        <v>0</v>
      </c>
      <c r="AB819" s="17">
        <v>0</v>
      </c>
      <c r="AC819" s="17">
        <v>0</v>
      </c>
      <c r="AD819" s="17">
        <v>0</v>
      </c>
      <c r="AE819" s="17">
        <v>0</v>
      </c>
      <c r="AF819" s="17">
        <v>0</v>
      </c>
      <c r="AG819" s="17">
        <v>0</v>
      </c>
      <c r="AH819" s="17">
        <v>0</v>
      </c>
      <c r="AI819" s="17">
        <v>0</v>
      </c>
      <c r="AJ819" s="17">
        <v>0</v>
      </c>
      <c r="AK819" s="17">
        <v>0</v>
      </c>
      <c r="AL819" s="32">
        <v>0</v>
      </c>
      <c r="AM819" s="780">
        <v>42.5</v>
      </c>
      <c r="AN819" s="89"/>
      <c r="AO819" s="280"/>
      <c r="AP819" s="784"/>
      <c r="AQ819" s="773" t="s">
        <v>271</v>
      </c>
      <c r="AR819" s="188">
        <v>100</v>
      </c>
      <c r="AS819" s="171"/>
      <c r="AT819" s="171" t="str">
        <f t="shared" si="68"/>
        <v>400</v>
      </c>
      <c r="AU819" s="255">
        <f t="shared" si="69"/>
        <v>22.222222222222221</v>
      </c>
      <c r="AV819" s="172">
        <v>100</v>
      </c>
      <c r="AW819" s="171">
        <v>7</v>
      </c>
      <c r="AX819" s="89"/>
      <c r="AY819" s="171">
        <v>20</v>
      </c>
      <c r="AZ819" s="89"/>
      <c r="BA819" s="175">
        <v>60</v>
      </c>
      <c r="BB819" s="189" t="s">
        <v>2547</v>
      </c>
      <c r="BC819" s="176" t="s">
        <v>558</v>
      </c>
      <c r="BD819" s="179"/>
      <c r="BE819" s="179"/>
      <c r="BF819" s="178"/>
      <c r="BG819" s="25"/>
      <c r="BH819" s="25"/>
    </row>
    <row r="820" spans="1:60" ht="15" customHeight="1">
      <c r="A820" s="95">
        <v>819</v>
      </c>
      <c r="B820" s="98" t="s">
        <v>883</v>
      </c>
      <c r="C820" s="191" t="s">
        <v>2680</v>
      </c>
      <c r="D820" s="257" t="s">
        <v>549</v>
      </c>
      <c r="E820" s="459" t="s">
        <v>3377</v>
      </c>
      <c r="F820" s="171">
        <v>2000</v>
      </c>
      <c r="G820" s="171">
        <v>201</v>
      </c>
      <c r="H820" s="57"/>
      <c r="I820" s="173" t="s">
        <v>2564</v>
      </c>
      <c r="J820" s="277">
        <v>0.55000000000000004</v>
      </c>
      <c r="K820" s="213">
        <v>5.7619047619047619</v>
      </c>
      <c r="L820" s="91"/>
      <c r="M820" s="278">
        <v>315</v>
      </c>
      <c r="N820" s="279"/>
      <c r="O820" s="172" t="s">
        <v>12</v>
      </c>
      <c r="P820" s="92"/>
      <c r="Q820" s="173" t="s">
        <v>10</v>
      </c>
      <c r="R820" s="512" t="s">
        <v>2734</v>
      </c>
      <c r="S820" s="94"/>
      <c r="T820" s="171" t="s">
        <v>2306</v>
      </c>
      <c r="U820" s="171" t="s">
        <v>2558</v>
      </c>
      <c r="V820" s="102">
        <v>0</v>
      </c>
      <c r="W820" s="120">
        <v>0</v>
      </c>
      <c r="X820" s="120">
        <v>0</v>
      </c>
      <c r="Y820" s="120">
        <v>0</v>
      </c>
      <c r="Z820" s="120">
        <v>0</v>
      </c>
      <c r="AA820" s="17">
        <v>0</v>
      </c>
      <c r="AB820" s="17">
        <v>0</v>
      </c>
      <c r="AC820" s="17">
        <v>0</v>
      </c>
      <c r="AD820" s="17">
        <v>0</v>
      </c>
      <c r="AE820" s="17">
        <v>0</v>
      </c>
      <c r="AF820" s="17">
        <v>0</v>
      </c>
      <c r="AG820" s="17">
        <v>0</v>
      </c>
      <c r="AH820" s="17">
        <v>0</v>
      </c>
      <c r="AI820" s="17">
        <v>0</v>
      </c>
      <c r="AJ820" s="17">
        <v>0</v>
      </c>
      <c r="AK820" s="17">
        <v>0</v>
      </c>
      <c r="AL820" s="32">
        <v>0</v>
      </c>
      <c r="AM820" s="780">
        <v>34.6</v>
      </c>
      <c r="AN820" s="89"/>
      <c r="AO820" s="280"/>
      <c r="AP820" s="784"/>
      <c r="AQ820" s="773" t="s">
        <v>271</v>
      </c>
      <c r="AR820" s="188">
        <v>100</v>
      </c>
      <c r="AS820" s="171"/>
      <c r="AT820" s="171" t="str">
        <f t="shared" si="68"/>
        <v>400</v>
      </c>
      <c r="AU820" s="255">
        <f t="shared" si="69"/>
        <v>22.222222222222221</v>
      </c>
      <c r="AV820" s="172">
        <v>100</v>
      </c>
      <c r="AW820" s="171">
        <v>7</v>
      </c>
      <c r="AX820" s="89"/>
      <c r="AY820" s="171">
        <v>20</v>
      </c>
      <c r="AZ820" s="89"/>
      <c r="BA820" s="175">
        <v>60</v>
      </c>
      <c r="BB820" s="189" t="s">
        <v>2547</v>
      </c>
      <c r="BC820" s="176"/>
      <c r="BD820" s="179"/>
      <c r="BE820" s="179"/>
      <c r="BF820" s="178"/>
      <c r="BG820" s="25"/>
      <c r="BH820" s="25"/>
    </row>
    <row r="821" spans="1:60" ht="15" customHeight="1">
      <c r="A821" s="95">
        <v>820</v>
      </c>
      <c r="B821" s="98" t="s">
        <v>882</v>
      </c>
      <c r="C821" s="191" t="s">
        <v>2680</v>
      </c>
      <c r="D821" s="257" t="s">
        <v>549</v>
      </c>
      <c r="E821" s="459" t="s">
        <v>3377</v>
      </c>
      <c r="F821" s="171">
        <v>2000</v>
      </c>
      <c r="G821" s="171">
        <v>201</v>
      </c>
      <c r="H821" s="57"/>
      <c r="I821" s="173" t="s">
        <v>2564</v>
      </c>
      <c r="J821" s="277">
        <v>0.5</v>
      </c>
      <c r="K821" s="213">
        <v>5.3</v>
      </c>
      <c r="L821" s="91"/>
      <c r="M821" s="278">
        <v>340</v>
      </c>
      <c r="N821" s="279"/>
      <c r="O821" s="172" t="s">
        <v>12</v>
      </c>
      <c r="P821" s="92"/>
      <c r="Q821" s="173" t="s">
        <v>10</v>
      </c>
      <c r="R821" s="512" t="s">
        <v>2734</v>
      </c>
      <c r="S821" s="94"/>
      <c r="T821" s="171" t="s">
        <v>2306</v>
      </c>
      <c r="U821" s="171" t="s">
        <v>2558</v>
      </c>
      <c r="V821" s="102">
        <v>0</v>
      </c>
      <c r="W821" s="120">
        <v>0</v>
      </c>
      <c r="X821" s="120">
        <v>0</v>
      </c>
      <c r="Y821" s="120">
        <v>0</v>
      </c>
      <c r="Z821" s="120">
        <v>0</v>
      </c>
      <c r="AA821" s="17">
        <v>0</v>
      </c>
      <c r="AB821" s="17">
        <v>0</v>
      </c>
      <c r="AC821" s="17">
        <v>0</v>
      </c>
      <c r="AD821" s="17">
        <v>0</v>
      </c>
      <c r="AE821" s="17">
        <v>0</v>
      </c>
      <c r="AF821" s="17">
        <v>0</v>
      </c>
      <c r="AG821" s="17">
        <v>0</v>
      </c>
      <c r="AH821" s="17">
        <v>0</v>
      </c>
      <c r="AI821" s="17">
        <v>0</v>
      </c>
      <c r="AJ821" s="17">
        <v>0</v>
      </c>
      <c r="AK821" s="17">
        <v>0</v>
      </c>
      <c r="AL821" s="32">
        <v>0</v>
      </c>
      <c r="AM821" s="780">
        <v>34.4</v>
      </c>
      <c r="AN821" s="89"/>
      <c r="AO821" s="280"/>
      <c r="AP821" s="784"/>
      <c r="AQ821" s="773" t="s">
        <v>271</v>
      </c>
      <c r="AR821" s="188">
        <v>100</v>
      </c>
      <c r="AS821" s="171"/>
      <c r="AT821" s="171" t="str">
        <f t="shared" si="68"/>
        <v>400</v>
      </c>
      <c r="AU821" s="255">
        <f t="shared" si="69"/>
        <v>22.222222222222221</v>
      </c>
      <c r="AV821" s="172">
        <v>100</v>
      </c>
      <c r="AW821" s="171">
        <v>7</v>
      </c>
      <c r="AX821" s="89"/>
      <c r="AY821" s="171">
        <v>20</v>
      </c>
      <c r="AZ821" s="89"/>
      <c r="BA821" s="175">
        <v>60</v>
      </c>
      <c r="BB821" s="189" t="s">
        <v>2547</v>
      </c>
      <c r="BC821" s="176"/>
      <c r="BD821" s="179"/>
      <c r="BE821" s="179"/>
      <c r="BF821" s="178"/>
      <c r="BG821" s="25"/>
      <c r="BH821" s="25"/>
    </row>
    <row r="822" spans="1:60" ht="15" customHeight="1">
      <c r="A822" s="95">
        <v>821</v>
      </c>
      <c r="B822" s="98" t="s">
        <v>881</v>
      </c>
      <c r="C822" s="191" t="s">
        <v>2680</v>
      </c>
      <c r="D822" s="257" t="s">
        <v>549</v>
      </c>
      <c r="E822" s="459" t="s">
        <v>3377</v>
      </c>
      <c r="F822" s="171">
        <v>2000</v>
      </c>
      <c r="G822" s="171">
        <v>201</v>
      </c>
      <c r="H822" s="57"/>
      <c r="I822" s="173" t="s">
        <v>2564</v>
      </c>
      <c r="J822" s="277">
        <v>0.55000000000000004</v>
      </c>
      <c r="K822" s="213">
        <v>6.0229508196721309</v>
      </c>
      <c r="L822" s="91"/>
      <c r="M822" s="278">
        <v>305</v>
      </c>
      <c r="N822" s="279"/>
      <c r="O822" s="172" t="s">
        <v>12</v>
      </c>
      <c r="P822" s="92"/>
      <c r="Q822" s="173" t="s">
        <v>10</v>
      </c>
      <c r="R822" s="512" t="s">
        <v>2734</v>
      </c>
      <c r="S822" s="94"/>
      <c r="T822" s="171" t="s">
        <v>2306</v>
      </c>
      <c r="U822" s="171" t="s">
        <v>2558</v>
      </c>
      <c r="V822" s="102">
        <v>0</v>
      </c>
      <c r="W822" s="120">
        <v>0</v>
      </c>
      <c r="X822" s="120">
        <v>0</v>
      </c>
      <c r="Y822" s="120">
        <v>0</v>
      </c>
      <c r="Z822" s="120">
        <v>0</v>
      </c>
      <c r="AA822" s="17">
        <v>0</v>
      </c>
      <c r="AB822" s="17">
        <v>0</v>
      </c>
      <c r="AC822" s="17">
        <v>0</v>
      </c>
      <c r="AD822" s="17">
        <v>0</v>
      </c>
      <c r="AE822" s="17">
        <v>0</v>
      </c>
      <c r="AF822" s="17">
        <v>0</v>
      </c>
      <c r="AG822" s="17">
        <v>0</v>
      </c>
      <c r="AH822" s="17">
        <v>0</v>
      </c>
      <c r="AI822" s="17">
        <v>0</v>
      </c>
      <c r="AJ822" s="17">
        <v>0</v>
      </c>
      <c r="AK822" s="17">
        <v>0</v>
      </c>
      <c r="AL822" s="32">
        <v>0</v>
      </c>
      <c r="AM822" s="780">
        <v>32.5</v>
      </c>
      <c r="AN822" s="89"/>
      <c r="AO822" s="280"/>
      <c r="AP822" s="784"/>
      <c r="AQ822" s="773" t="s">
        <v>271</v>
      </c>
      <c r="AR822" s="188">
        <v>100</v>
      </c>
      <c r="AS822" s="171"/>
      <c r="AT822" s="171" t="str">
        <f t="shared" si="68"/>
        <v>400</v>
      </c>
      <c r="AU822" s="255">
        <f t="shared" si="69"/>
        <v>22.222222222222221</v>
      </c>
      <c r="AV822" s="172">
        <v>100</v>
      </c>
      <c r="AW822" s="171">
        <v>7</v>
      </c>
      <c r="AX822" s="89"/>
      <c r="AY822" s="171">
        <v>20</v>
      </c>
      <c r="AZ822" s="89"/>
      <c r="BA822" s="175">
        <v>60</v>
      </c>
      <c r="BB822" s="189" t="s">
        <v>2547</v>
      </c>
      <c r="BC822" s="176"/>
      <c r="BD822" s="179"/>
      <c r="BE822" s="179"/>
      <c r="BF822" s="178"/>
      <c r="BG822" s="25"/>
      <c r="BH822" s="25"/>
    </row>
    <row r="823" spans="1:60" ht="15" customHeight="1">
      <c r="A823" s="95">
        <v>822</v>
      </c>
      <c r="B823" s="98" t="s">
        <v>880</v>
      </c>
      <c r="C823" s="191" t="s">
        <v>2680</v>
      </c>
      <c r="D823" s="257" t="s">
        <v>549</v>
      </c>
      <c r="E823" s="459" t="s">
        <v>3377</v>
      </c>
      <c r="F823" s="171">
        <v>2000</v>
      </c>
      <c r="G823" s="171">
        <v>201</v>
      </c>
      <c r="H823" s="57"/>
      <c r="I823" s="173" t="s">
        <v>2564</v>
      </c>
      <c r="J823" s="277">
        <v>0.55000000000000004</v>
      </c>
      <c r="K823" s="213">
        <v>5.7492063492063492</v>
      </c>
      <c r="L823" s="91"/>
      <c r="M823" s="278">
        <v>315</v>
      </c>
      <c r="N823" s="279"/>
      <c r="O823" s="172" t="s">
        <v>12</v>
      </c>
      <c r="P823" s="92"/>
      <c r="Q823" s="173" t="s">
        <v>10</v>
      </c>
      <c r="R823" s="512" t="s">
        <v>2734</v>
      </c>
      <c r="S823" s="94"/>
      <c r="T823" s="171" t="s">
        <v>2306</v>
      </c>
      <c r="U823" s="171" t="s">
        <v>2558</v>
      </c>
      <c r="V823" s="102">
        <v>0</v>
      </c>
      <c r="W823" s="120">
        <v>0</v>
      </c>
      <c r="X823" s="120">
        <v>0</v>
      </c>
      <c r="Y823" s="120">
        <v>0</v>
      </c>
      <c r="Z823" s="120">
        <v>0</v>
      </c>
      <c r="AA823" s="17">
        <v>0</v>
      </c>
      <c r="AB823" s="17">
        <v>0</v>
      </c>
      <c r="AC823" s="17">
        <v>0</v>
      </c>
      <c r="AD823" s="17">
        <v>0</v>
      </c>
      <c r="AE823" s="17">
        <v>0</v>
      </c>
      <c r="AF823" s="17">
        <v>0</v>
      </c>
      <c r="AG823" s="17">
        <v>0</v>
      </c>
      <c r="AH823" s="17">
        <v>0</v>
      </c>
      <c r="AI823" s="17">
        <v>0</v>
      </c>
      <c r="AJ823" s="17">
        <v>0</v>
      </c>
      <c r="AK823" s="17">
        <v>0</v>
      </c>
      <c r="AL823" s="32">
        <v>0</v>
      </c>
      <c r="AM823" s="780">
        <v>34.299999999999997</v>
      </c>
      <c r="AN823" s="89"/>
      <c r="AO823" s="280"/>
      <c r="AP823" s="784"/>
      <c r="AQ823" s="773" t="s">
        <v>271</v>
      </c>
      <c r="AR823" s="188">
        <v>100</v>
      </c>
      <c r="AS823" s="171"/>
      <c r="AT823" s="171" t="str">
        <f t="shared" si="68"/>
        <v>400</v>
      </c>
      <c r="AU823" s="255">
        <f t="shared" si="69"/>
        <v>22.222222222222221</v>
      </c>
      <c r="AV823" s="172">
        <v>100</v>
      </c>
      <c r="AW823" s="171">
        <v>7</v>
      </c>
      <c r="AX823" s="89"/>
      <c r="AY823" s="171">
        <v>20</v>
      </c>
      <c r="AZ823" s="89"/>
      <c r="BA823" s="175">
        <v>60</v>
      </c>
      <c r="BB823" s="189" t="s">
        <v>2547</v>
      </c>
      <c r="BC823" s="176"/>
      <c r="BD823" s="179"/>
      <c r="BE823" s="179"/>
      <c r="BF823" s="178"/>
      <c r="BG823" s="25"/>
      <c r="BH823" s="25"/>
    </row>
    <row r="824" spans="1:60" ht="15" customHeight="1">
      <c r="A824" s="95">
        <v>823</v>
      </c>
      <c r="B824" s="98" t="s">
        <v>879</v>
      </c>
      <c r="C824" s="191" t="s">
        <v>2667</v>
      </c>
      <c r="D824" s="257" t="s">
        <v>549</v>
      </c>
      <c r="E824" s="459" t="s">
        <v>3377</v>
      </c>
      <c r="F824" s="171">
        <v>2000</v>
      </c>
      <c r="G824" s="171">
        <v>202</v>
      </c>
      <c r="H824" s="57"/>
      <c r="I824" s="173" t="s">
        <v>2564</v>
      </c>
      <c r="J824" s="277">
        <v>0.6</v>
      </c>
      <c r="K824" s="213">
        <v>6.1684981684981688</v>
      </c>
      <c r="L824" s="91"/>
      <c r="M824" s="278">
        <v>273</v>
      </c>
      <c r="N824" s="279"/>
      <c r="O824" s="172" t="s">
        <v>12</v>
      </c>
      <c r="P824" s="92"/>
      <c r="Q824" s="173" t="s">
        <v>10</v>
      </c>
      <c r="R824" s="94"/>
      <c r="S824" s="94"/>
      <c r="T824" s="171" t="s">
        <v>2306</v>
      </c>
      <c r="U824" s="171" t="s">
        <v>2530</v>
      </c>
      <c r="V824" s="102">
        <v>0</v>
      </c>
      <c r="W824" s="120">
        <f>121/273*100</f>
        <v>44.322344322344321</v>
      </c>
      <c r="X824" s="120">
        <v>0</v>
      </c>
      <c r="Y824" s="120">
        <v>0</v>
      </c>
      <c r="Z824" s="120">
        <v>0</v>
      </c>
      <c r="AA824" s="17">
        <v>0</v>
      </c>
      <c r="AB824" s="17">
        <v>0</v>
      </c>
      <c r="AC824" s="17">
        <v>0</v>
      </c>
      <c r="AD824" s="17">
        <v>0</v>
      </c>
      <c r="AE824" s="17">
        <v>0</v>
      </c>
      <c r="AF824" s="17">
        <v>0</v>
      </c>
      <c r="AG824" s="17">
        <v>0</v>
      </c>
      <c r="AH824" s="17">
        <v>0</v>
      </c>
      <c r="AI824" s="17">
        <v>0</v>
      </c>
      <c r="AJ824" s="17">
        <v>0</v>
      </c>
      <c r="AK824" s="17">
        <v>0</v>
      </c>
      <c r="AL824" s="32">
        <v>0</v>
      </c>
      <c r="AM824" s="780">
        <v>37.5</v>
      </c>
      <c r="AN824" s="89"/>
      <c r="AO824" s="280"/>
      <c r="AP824" s="784"/>
      <c r="AQ824" s="773" t="s">
        <v>530</v>
      </c>
      <c r="AR824" s="174">
        <v>50</v>
      </c>
      <c r="AS824" s="171"/>
      <c r="AT824" s="171" t="str">
        <f>RIGHT(AQ824,LEN(AQ824)-FIND("x",AQ824,1))</f>
        <v>200</v>
      </c>
      <c r="AU824" s="255">
        <f>(AR824*AT824)/((2*AT824)+(2*AR824))</f>
        <v>20</v>
      </c>
      <c r="AV824" s="172">
        <v>100</v>
      </c>
      <c r="AW824" s="171">
        <v>7</v>
      </c>
      <c r="AX824" s="749">
        <v>24</v>
      </c>
      <c r="AY824" s="171">
        <v>20</v>
      </c>
      <c r="AZ824" s="89"/>
      <c r="BA824" s="175">
        <v>60</v>
      </c>
      <c r="BB824" s="189" t="s">
        <v>2547</v>
      </c>
      <c r="BC824" s="176"/>
      <c r="BD824" s="179"/>
      <c r="BE824" s="179"/>
      <c r="BF824" s="178"/>
      <c r="BG824" s="25"/>
      <c r="BH824" s="25"/>
    </row>
    <row r="825" spans="1:60" ht="15" customHeight="1">
      <c r="A825" s="95">
        <v>824</v>
      </c>
      <c r="B825" s="98" t="s">
        <v>878</v>
      </c>
      <c r="C825" s="191" t="s">
        <v>2667</v>
      </c>
      <c r="D825" s="257" t="s">
        <v>549</v>
      </c>
      <c r="E825" s="459" t="s">
        <v>3377</v>
      </c>
      <c r="F825" s="171">
        <v>2000</v>
      </c>
      <c r="G825" s="171">
        <v>202</v>
      </c>
      <c r="H825" s="57"/>
      <c r="I825" s="173" t="s">
        <v>2564</v>
      </c>
      <c r="J825" s="277">
        <v>0.6</v>
      </c>
      <c r="K825" s="213">
        <v>6.1684981684981688</v>
      </c>
      <c r="L825" s="91"/>
      <c r="M825" s="278">
        <v>273</v>
      </c>
      <c r="N825" s="279"/>
      <c r="O825" s="172" t="s">
        <v>12</v>
      </c>
      <c r="P825" s="92"/>
      <c r="Q825" s="173" t="s">
        <v>10</v>
      </c>
      <c r="R825" s="94"/>
      <c r="S825" s="94"/>
      <c r="T825" s="171" t="s">
        <v>2306</v>
      </c>
      <c r="U825" s="171" t="s">
        <v>2530</v>
      </c>
      <c r="V825" s="102">
        <v>0</v>
      </c>
      <c r="W825" s="120">
        <f>121/273*100</f>
        <v>44.322344322344321</v>
      </c>
      <c r="X825" s="120">
        <v>0</v>
      </c>
      <c r="Y825" s="120">
        <v>0</v>
      </c>
      <c r="Z825" s="120">
        <v>0</v>
      </c>
      <c r="AA825" s="17">
        <v>0</v>
      </c>
      <c r="AB825" s="17">
        <v>0</v>
      </c>
      <c r="AC825" s="17">
        <v>0</v>
      </c>
      <c r="AD825" s="17">
        <v>0</v>
      </c>
      <c r="AE825" s="17">
        <v>0</v>
      </c>
      <c r="AF825" s="17">
        <v>0</v>
      </c>
      <c r="AG825" s="17">
        <v>0</v>
      </c>
      <c r="AH825" s="17">
        <v>0</v>
      </c>
      <c r="AI825" s="17">
        <v>0</v>
      </c>
      <c r="AJ825" s="17">
        <v>0</v>
      </c>
      <c r="AK825" s="17">
        <v>0</v>
      </c>
      <c r="AL825" s="32">
        <v>0</v>
      </c>
      <c r="AM825" s="780">
        <v>37</v>
      </c>
      <c r="AN825" s="89"/>
      <c r="AO825" s="280"/>
      <c r="AP825" s="784"/>
      <c r="AQ825" s="773" t="s">
        <v>530</v>
      </c>
      <c r="AR825" s="174">
        <v>50</v>
      </c>
      <c r="AS825" s="171"/>
      <c r="AT825" s="171" t="str">
        <f>RIGHT(AQ825,LEN(AQ825)-FIND("x",AQ825,1))</f>
        <v>200</v>
      </c>
      <c r="AU825" s="255">
        <f>(AR825*AT825)/((2*AT825)+(2*AR825))</f>
        <v>20</v>
      </c>
      <c r="AV825" s="172">
        <v>99</v>
      </c>
      <c r="AW825" s="171">
        <v>7</v>
      </c>
      <c r="AX825" s="749">
        <v>24</v>
      </c>
      <c r="AY825" s="171">
        <v>20</v>
      </c>
      <c r="AZ825" s="89"/>
      <c r="BA825" s="175">
        <v>60</v>
      </c>
      <c r="BB825" s="189" t="s">
        <v>2548</v>
      </c>
      <c r="BC825" s="176"/>
      <c r="BD825" s="179"/>
      <c r="BE825" s="179"/>
      <c r="BF825" s="178"/>
      <c r="BG825" s="25"/>
      <c r="BH825" s="25"/>
    </row>
    <row r="826" spans="1:60" ht="15" customHeight="1">
      <c r="A826" s="95">
        <v>825</v>
      </c>
      <c r="B826" s="98" t="s">
        <v>877</v>
      </c>
      <c r="C826" s="191" t="s">
        <v>2667</v>
      </c>
      <c r="D826" s="257" t="s">
        <v>549</v>
      </c>
      <c r="E826" s="459" t="s">
        <v>3377</v>
      </c>
      <c r="F826" s="171">
        <v>2000</v>
      </c>
      <c r="G826" s="171">
        <v>202</v>
      </c>
      <c r="H826" s="57"/>
      <c r="I826" s="173" t="s">
        <v>2564</v>
      </c>
      <c r="J826" s="277">
        <v>0.6</v>
      </c>
      <c r="K826" s="213">
        <v>6.1684981684981688</v>
      </c>
      <c r="L826" s="91"/>
      <c r="M826" s="278">
        <v>273</v>
      </c>
      <c r="N826" s="279"/>
      <c r="O826" s="172" t="s">
        <v>12</v>
      </c>
      <c r="P826" s="92"/>
      <c r="Q826" s="173" t="s">
        <v>10</v>
      </c>
      <c r="R826" s="94"/>
      <c r="S826" s="94"/>
      <c r="T826" s="171" t="s">
        <v>2306</v>
      </c>
      <c r="U826" s="171" t="s">
        <v>2530</v>
      </c>
      <c r="V826" s="102">
        <v>0</v>
      </c>
      <c r="W826" s="120">
        <f>121/273*100</f>
        <v>44.322344322344321</v>
      </c>
      <c r="X826" s="120">
        <v>0</v>
      </c>
      <c r="Y826" s="120">
        <v>0</v>
      </c>
      <c r="Z826" s="120">
        <v>0</v>
      </c>
      <c r="AA826" s="17">
        <v>0</v>
      </c>
      <c r="AB826" s="17">
        <v>0</v>
      </c>
      <c r="AC826" s="17">
        <v>0</v>
      </c>
      <c r="AD826" s="17">
        <v>0</v>
      </c>
      <c r="AE826" s="17">
        <v>0</v>
      </c>
      <c r="AF826" s="17">
        <v>0</v>
      </c>
      <c r="AG826" s="17">
        <v>0</v>
      </c>
      <c r="AH826" s="17">
        <v>0</v>
      </c>
      <c r="AI826" s="17">
        <v>0</v>
      </c>
      <c r="AJ826" s="17">
        <v>0</v>
      </c>
      <c r="AK826" s="17">
        <v>0</v>
      </c>
      <c r="AL826" s="32">
        <v>0</v>
      </c>
      <c r="AM826" s="780">
        <v>38</v>
      </c>
      <c r="AN826" s="89"/>
      <c r="AO826" s="280"/>
      <c r="AP826" s="784"/>
      <c r="AQ826" s="773" t="s">
        <v>530</v>
      </c>
      <c r="AR826" s="174">
        <v>50</v>
      </c>
      <c r="AS826" s="171"/>
      <c r="AT826" s="171" t="str">
        <f>RIGHT(AQ826,LEN(AQ826)-FIND("x",AQ826,1))</f>
        <v>200</v>
      </c>
      <c r="AU826" s="255">
        <f>(AR826*AT826)/((2*AT826)+(2*AR826))</f>
        <v>20</v>
      </c>
      <c r="AV826" s="172">
        <v>99</v>
      </c>
      <c r="AW826" s="171">
        <v>7</v>
      </c>
      <c r="AX826" s="749">
        <v>24</v>
      </c>
      <c r="AY826" s="171">
        <v>20</v>
      </c>
      <c r="AZ826" s="89"/>
      <c r="BA826" s="175">
        <v>60</v>
      </c>
      <c r="BB826" s="189" t="s">
        <v>2548</v>
      </c>
      <c r="BC826" s="176" t="s">
        <v>558</v>
      </c>
      <c r="BD826" s="179"/>
      <c r="BE826" s="179"/>
      <c r="BF826" s="178"/>
      <c r="BG826" s="25"/>
      <c r="BH826" s="25"/>
    </row>
    <row r="827" spans="1:60" ht="15" customHeight="1">
      <c r="A827" s="95">
        <v>826</v>
      </c>
      <c r="B827" s="98" t="s">
        <v>876</v>
      </c>
      <c r="C827" s="191" t="s">
        <v>2649</v>
      </c>
      <c r="D827" s="257" t="s">
        <v>549</v>
      </c>
      <c r="E827" s="459" t="s">
        <v>3377</v>
      </c>
      <c r="F827" s="171">
        <v>2000</v>
      </c>
      <c r="G827" s="171">
        <v>203</v>
      </c>
      <c r="H827" s="57"/>
      <c r="I827" s="173" t="s">
        <v>2564</v>
      </c>
      <c r="J827" s="277">
        <v>0.5</v>
      </c>
      <c r="K827" s="213">
        <v>7.7341772151898738</v>
      </c>
      <c r="L827" s="91"/>
      <c r="M827" s="278">
        <v>237</v>
      </c>
      <c r="N827" s="279"/>
      <c r="O827" s="172" t="s">
        <v>12</v>
      </c>
      <c r="P827" s="92"/>
      <c r="Q827" s="173" t="s">
        <v>10</v>
      </c>
      <c r="R827" s="94"/>
      <c r="S827" s="94"/>
      <c r="T827" s="171" t="s">
        <v>2557</v>
      </c>
      <c r="U827" s="171"/>
      <c r="V827" s="102">
        <v>0</v>
      </c>
      <c r="W827" s="120">
        <f>59/237*100</f>
        <v>24.894514767932492</v>
      </c>
      <c r="X827" s="120">
        <v>0</v>
      </c>
      <c r="Y827" s="120">
        <v>0</v>
      </c>
      <c r="Z827" s="120">
        <v>0</v>
      </c>
      <c r="AA827" s="17">
        <v>0</v>
      </c>
      <c r="AB827" s="17">
        <v>0</v>
      </c>
      <c r="AC827" s="17">
        <v>0</v>
      </c>
      <c r="AD827" s="17">
        <v>0</v>
      </c>
      <c r="AE827" s="17">
        <v>0</v>
      </c>
      <c r="AF827" s="17">
        <v>0</v>
      </c>
      <c r="AG827" s="17">
        <v>0</v>
      </c>
      <c r="AH827" s="17">
        <v>0</v>
      </c>
      <c r="AI827" s="17">
        <v>0</v>
      </c>
      <c r="AJ827" s="17">
        <v>0</v>
      </c>
      <c r="AK827" s="17">
        <v>0</v>
      </c>
      <c r="AL827" s="32">
        <v>0</v>
      </c>
      <c r="AM827" s="780">
        <v>32.5</v>
      </c>
      <c r="AN827" s="89"/>
      <c r="AO827" s="280"/>
      <c r="AP827" s="784"/>
      <c r="AQ827" s="773" t="s">
        <v>271</v>
      </c>
      <c r="AR827" s="188">
        <v>100</v>
      </c>
      <c r="AS827" s="171"/>
      <c r="AT827" s="171" t="str">
        <f t="shared" ref="AT827:AT858" si="70">RIGHT(AQ827,LEN(AQ827)-FIND("x",AQ827,8))</f>
        <v>400</v>
      </c>
      <c r="AU827" s="255">
        <f t="shared" ref="AU827:AU858" si="71">IF(ISBLANK(AS827),(AR827*AT827)/((4*AT827)+(2*AR827)),AR827*AS827*AT827/2/(AR827*AS827+AR827*AT827+AS827*AT827))</f>
        <v>22.222222222222221</v>
      </c>
      <c r="AV827" s="172">
        <v>100</v>
      </c>
      <c r="AW827" s="171">
        <v>7</v>
      </c>
      <c r="AX827" s="89"/>
      <c r="AY827" s="171">
        <v>20</v>
      </c>
      <c r="AZ827" s="89"/>
      <c r="BA827" s="175">
        <v>60</v>
      </c>
      <c r="BB827" s="189" t="s">
        <v>2547</v>
      </c>
      <c r="BC827" s="176" t="s">
        <v>558</v>
      </c>
      <c r="BD827" s="179"/>
      <c r="BE827" s="179"/>
      <c r="BF827" s="178"/>
      <c r="BG827" s="25"/>
      <c r="BH827" s="25"/>
    </row>
    <row r="828" spans="1:60" ht="15" customHeight="1">
      <c r="A828" s="95">
        <v>827</v>
      </c>
      <c r="B828" s="98" t="s">
        <v>875</v>
      </c>
      <c r="C828" s="191" t="s">
        <v>2649</v>
      </c>
      <c r="D828" s="257" t="s">
        <v>549</v>
      </c>
      <c r="E828" s="459" t="s">
        <v>3377</v>
      </c>
      <c r="F828" s="171">
        <v>2000</v>
      </c>
      <c r="G828" s="171">
        <v>203</v>
      </c>
      <c r="H828" s="57"/>
      <c r="I828" s="173" t="s">
        <v>2564</v>
      </c>
      <c r="J828" s="277">
        <v>0.5</v>
      </c>
      <c r="K828" s="213">
        <v>6.3678571428571429</v>
      </c>
      <c r="L828" s="91"/>
      <c r="M828" s="278">
        <v>280</v>
      </c>
      <c r="N828" s="279"/>
      <c r="O828" s="172" t="s">
        <v>12</v>
      </c>
      <c r="P828" s="92"/>
      <c r="Q828" s="173" t="s">
        <v>10</v>
      </c>
      <c r="R828" s="171" t="s">
        <v>2735</v>
      </c>
      <c r="S828" s="94"/>
      <c r="T828" s="171" t="s">
        <v>2306</v>
      </c>
      <c r="U828" s="171" t="s">
        <v>2551</v>
      </c>
      <c r="V828" s="102">
        <v>0</v>
      </c>
      <c r="W828" s="120">
        <f>70/280*100</f>
        <v>25</v>
      </c>
      <c r="X828" s="120">
        <v>0</v>
      </c>
      <c r="Y828" s="120">
        <v>0</v>
      </c>
      <c r="Z828" s="120">
        <v>0</v>
      </c>
      <c r="AA828" s="17">
        <v>0</v>
      </c>
      <c r="AB828" s="17">
        <v>0</v>
      </c>
      <c r="AC828" s="17">
        <v>0</v>
      </c>
      <c r="AD828" s="17">
        <v>0</v>
      </c>
      <c r="AE828" s="17">
        <v>0</v>
      </c>
      <c r="AF828" s="17">
        <v>0</v>
      </c>
      <c r="AG828" s="17">
        <v>0</v>
      </c>
      <c r="AH828" s="17">
        <v>0</v>
      </c>
      <c r="AI828" s="17">
        <v>0</v>
      </c>
      <c r="AJ828" s="17">
        <v>0</v>
      </c>
      <c r="AK828" s="17">
        <v>0</v>
      </c>
      <c r="AL828" s="32">
        <v>0</v>
      </c>
      <c r="AM828" s="780">
        <v>31.3</v>
      </c>
      <c r="AN828" s="89"/>
      <c r="AO828" s="280"/>
      <c r="AP828" s="784"/>
      <c r="AQ828" s="773" t="s">
        <v>271</v>
      </c>
      <c r="AR828" s="188">
        <v>100</v>
      </c>
      <c r="AS828" s="171"/>
      <c r="AT828" s="171" t="str">
        <f t="shared" si="70"/>
        <v>400</v>
      </c>
      <c r="AU828" s="255">
        <f t="shared" si="71"/>
        <v>22.222222222222221</v>
      </c>
      <c r="AV828" s="172">
        <v>100</v>
      </c>
      <c r="AW828" s="171">
        <v>7</v>
      </c>
      <c r="AX828" s="89"/>
      <c r="AY828" s="171">
        <v>20</v>
      </c>
      <c r="AZ828" s="89"/>
      <c r="BA828" s="175">
        <v>60</v>
      </c>
      <c r="BB828" s="189" t="s">
        <v>2547</v>
      </c>
      <c r="BC828" s="176" t="s">
        <v>558</v>
      </c>
      <c r="BD828" s="179"/>
      <c r="BE828" s="179"/>
      <c r="BF828" s="178"/>
      <c r="BG828" s="25"/>
      <c r="BH828" s="25"/>
    </row>
    <row r="829" spans="1:60" ht="15" customHeight="1">
      <c r="A829" s="95">
        <v>828</v>
      </c>
      <c r="B829" s="98" t="s">
        <v>874</v>
      </c>
      <c r="C829" s="191" t="s">
        <v>2681</v>
      </c>
      <c r="D829" s="257" t="s">
        <v>549</v>
      </c>
      <c r="E829" s="459" t="s">
        <v>3377</v>
      </c>
      <c r="F829" s="171">
        <v>2000</v>
      </c>
      <c r="G829" s="171">
        <v>204</v>
      </c>
      <c r="H829" s="57"/>
      <c r="I829" s="173" t="s">
        <v>2564</v>
      </c>
      <c r="J829" s="277">
        <v>0.5</v>
      </c>
      <c r="K829" s="213">
        <v>7.1067193675889326</v>
      </c>
      <c r="L829" s="91"/>
      <c r="M829" s="278">
        <v>253</v>
      </c>
      <c r="N829" s="279"/>
      <c r="O829" s="172" t="s">
        <v>12</v>
      </c>
      <c r="P829" s="92"/>
      <c r="Q829" s="173" t="s">
        <v>10</v>
      </c>
      <c r="R829" s="94"/>
      <c r="S829" s="94"/>
      <c r="T829" s="171" t="s">
        <v>2557</v>
      </c>
      <c r="U829" s="171"/>
      <c r="V829" s="102">
        <v>0</v>
      </c>
      <c r="W829" s="120">
        <f>63/253*100</f>
        <v>24.901185770750988</v>
      </c>
      <c r="X829" s="120">
        <v>0</v>
      </c>
      <c r="Y829" s="120">
        <v>0</v>
      </c>
      <c r="Z829" s="120">
        <v>0</v>
      </c>
      <c r="AA829" s="17">
        <v>0</v>
      </c>
      <c r="AB829" s="17">
        <v>0</v>
      </c>
      <c r="AC829" s="17">
        <v>0</v>
      </c>
      <c r="AD829" s="17">
        <v>0</v>
      </c>
      <c r="AE829" s="17">
        <v>0</v>
      </c>
      <c r="AF829" s="17">
        <v>0</v>
      </c>
      <c r="AG829" s="17">
        <v>0</v>
      </c>
      <c r="AH829" s="17">
        <v>0</v>
      </c>
      <c r="AI829" s="17">
        <v>0</v>
      </c>
      <c r="AJ829" s="17">
        <v>0</v>
      </c>
      <c r="AK829" s="17">
        <v>0</v>
      </c>
      <c r="AL829" s="32">
        <v>0</v>
      </c>
      <c r="AM829" s="780">
        <v>14.5</v>
      </c>
      <c r="AN829" s="89"/>
      <c r="AO829" s="280"/>
      <c r="AP829" s="784"/>
      <c r="AQ829" s="773" t="s">
        <v>271</v>
      </c>
      <c r="AR829" s="188">
        <v>100</v>
      </c>
      <c r="AS829" s="171"/>
      <c r="AT829" s="171" t="str">
        <f t="shared" si="70"/>
        <v>400</v>
      </c>
      <c r="AU829" s="255">
        <f t="shared" si="71"/>
        <v>22.222222222222221</v>
      </c>
      <c r="AV829" s="172">
        <v>100</v>
      </c>
      <c r="AW829" s="171">
        <v>7</v>
      </c>
      <c r="AX829" s="89"/>
      <c r="AY829" s="171">
        <v>20</v>
      </c>
      <c r="AZ829" s="89"/>
      <c r="BA829" s="175">
        <v>60</v>
      </c>
      <c r="BB829" s="189" t="s">
        <v>2547</v>
      </c>
      <c r="BC829" s="176"/>
      <c r="BD829" s="179"/>
      <c r="BE829" s="179"/>
      <c r="BF829" s="178"/>
      <c r="BG829" s="25"/>
      <c r="BH829" s="25"/>
    </row>
    <row r="830" spans="1:60" ht="15" customHeight="1">
      <c r="A830" s="95">
        <v>829</v>
      </c>
      <c r="B830" s="98" t="s">
        <v>873</v>
      </c>
      <c r="C830" s="191" t="s">
        <v>2681</v>
      </c>
      <c r="D830" s="257" t="s">
        <v>549</v>
      </c>
      <c r="E830" s="459" t="s">
        <v>3377</v>
      </c>
      <c r="F830" s="171">
        <v>2000</v>
      </c>
      <c r="G830" s="171">
        <v>204</v>
      </c>
      <c r="H830" s="57"/>
      <c r="I830" s="173" t="s">
        <v>2564</v>
      </c>
      <c r="J830" s="277">
        <v>0.5</v>
      </c>
      <c r="K830" s="213">
        <v>6.4496402877697845</v>
      </c>
      <c r="L830" s="91"/>
      <c r="M830" s="278">
        <v>278</v>
      </c>
      <c r="N830" s="279"/>
      <c r="O830" s="172" t="s">
        <v>12</v>
      </c>
      <c r="P830" s="92"/>
      <c r="Q830" s="173" t="s">
        <v>10</v>
      </c>
      <c r="R830" s="94"/>
      <c r="S830" s="94"/>
      <c r="T830" s="171" t="s">
        <v>2306</v>
      </c>
      <c r="U830" s="171" t="s">
        <v>2530</v>
      </c>
      <c r="V830" s="102">
        <v>0</v>
      </c>
      <c r="W830" s="120">
        <f>70/278*100</f>
        <v>25.179856115107913</v>
      </c>
      <c r="X830" s="120">
        <v>0</v>
      </c>
      <c r="Y830" s="120">
        <v>0</v>
      </c>
      <c r="Z830" s="120">
        <v>0</v>
      </c>
      <c r="AA830" s="17">
        <v>0</v>
      </c>
      <c r="AB830" s="17">
        <v>0</v>
      </c>
      <c r="AC830" s="17">
        <v>0</v>
      </c>
      <c r="AD830" s="17">
        <v>0</v>
      </c>
      <c r="AE830" s="17">
        <v>0</v>
      </c>
      <c r="AF830" s="17">
        <v>0</v>
      </c>
      <c r="AG830" s="17">
        <v>0</v>
      </c>
      <c r="AH830" s="17">
        <v>0</v>
      </c>
      <c r="AI830" s="17">
        <v>0</v>
      </c>
      <c r="AJ830" s="17">
        <v>0</v>
      </c>
      <c r="AK830" s="17">
        <v>0</v>
      </c>
      <c r="AL830" s="32">
        <v>0</v>
      </c>
      <c r="AM830" s="780">
        <v>34</v>
      </c>
      <c r="AN830" s="89"/>
      <c r="AO830" s="280"/>
      <c r="AP830" s="784"/>
      <c r="AQ830" s="773" t="s">
        <v>271</v>
      </c>
      <c r="AR830" s="188">
        <v>100</v>
      </c>
      <c r="AS830" s="171"/>
      <c r="AT830" s="171" t="str">
        <f t="shared" si="70"/>
        <v>400</v>
      </c>
      <c r="AU830" s="255">
        <f t="shared" si="71"/>
        <v>22.222222222222221</v>
      </c>
      <c r="AV830" s="172">
        <v>100</v>
      </c>
      <c r="AW830" s="171">
        <v>7</v>
      </c>
      <c r="AX830" s="89"/>
      <c r="AY830" s="171">
        <v>20</v>
      </c>
      <c r="AZ830" s="89"/>
      <c r="BA830" s="175">
        <v>60</v>
      </c>
      <c r="BB830" s="189" t="s">
        <v>2547</v>
      </c>
      <c r="BC830" s="176"/>
      <c r="BD830" s="179"/>
      <c r="BE830" s="179"/>
      <c r="BF830" s="178"/>
      <c r="BG830" s="25"/>
      <c r="BH830" s="25"/>
    </row>
    <row r="831" spans="1:60" ht="15" customHeight="1">
      <c r="A831" s="95">
        <v>830</v>
      </c>
      <c r="B831" s="98" t="s">
        <v>872</v>
      </c>
      <c r="C831" s="191" t="s">
        <v>2682</v>
      </c>
      <c r="D831" s="257" t="s">
        <v>549</v>
      </c>
      <c r="E831" s="459" t="s">
        <v>3377</v>
      </c>
      <c r="F831" s="171">
        <v>2000</v>
      </c>
      <c r="G831" s="171">
        <v>205</v>
      </c>
      <c r="H831" s="57"/>
      <c r="I831" s="173" t="s">
        <v>2564</v>
      </c>
      <c r="J831" s="277">
        <v>0.49299999999999999</v>
      </c>
      <c r="K831" s="213">
        <v>6.2872340425531918</v>
      </c>
      <c r="L831" s="91"/>
      <c r="M831" s="278">
        <v>282</v>
      </c>
      <c r="N831" s="279"/>
      <c r="O831" s="172" t="s">
        <v>12</v>
      </c>
      <c r="P831" s="92"/>
      <c r="Q831" s="173" t="s">
        <v>10</v>
      </c>
      <c r="R831" s="94"/>
      <c r="S831" s="94"/>
      <c r="T831" s="171" t="s">
        <v>2306</v>
      </c>
      <c r="U831" s="171" t="s">
        <v>2530</v>
      </c>
      <c r="V831" s="102">
        <v>0</v>
      </c>
      <c r="W831" s="120">
        <f>71/282*100</f>
        <v>25.177304964539005</v>
      </c>
      <c r="X831" s="120">
        <v>0</v>
      </c>
      <c r="Y831" s="120">
        <v>0</v>
      </c>
      <c r="Z831" s="120">
        <v>0</v>
      </c>
      <c r="AA831" s="17">
        <v>0</v>
      </c>
      <c r="AB831" s="17">
        <v>0</v>
      </c>
      <c r="AC831" s="17">
        <v>0</v>
      </c>
      <c r="AD831" s="17">
        <v>0</v>
      </c>
      <c r="AE831" s="17">
        <v>0</v>
      </c>
      <c r="AF831" s="17">
        <v>0</v>
      </c>
      <c r="AG831" s="17">
        <v>0</v>
      </c>
      <c r="AH831" s="17">
        <v>0</v>
      </c>
      <c r="AI831" s="17">
        <v>0</v>
      </c>
      <c r="AJ831" s="17">
        <v>0</v>
      </c>
      <c r="AK831" s="17">
        <v>0</v>
      </c>
      <c r="AL831" s="32">
        <v>0</v>
      </c>
      <c r="AM831" s="780">
        <v>36</v>
      </c>
      <c r="AN831" s="89"/>
      <c r="AO831" s="280"/>
      <c r="AP831" s="784"/>
      <c r="AQ831" s="773" t="s">
        <v>271</v>
      </c>
      <c r="AR831" s="188">
        <v>100</v>
      </c>
      <c r="AS831" s="171"/>
      <c r="AT831" s="171" t="str">
        <f t="shared" si="70"/>
        <v>400</v>
      </c>
      <c r="AU831" s="255">
        <f t="shared" si="71"/>
        <v>22.222222222222221</v>
      </c>
      <c r="AV831" s="172">
        <v>100</v>
      </c>
      <c r="AW831" s="171">
        <v>7</v>
      </c>
      <c r="AX831" s="89"/>
      <c r="AY831" s="171">
        <v>20</v>
      </c>
      <c r="AZ831" s="89"/>
      <c r="BA831" s="175">
        <v>60</v>
      </c>
      <c r="BB831" s="189" t="s">
        <v>2547</v>
      </c>
      <c r="BC831" s="176"/>
      <c r="BD831" s="179"/>
      <c r="BE831" s="179"/>
      <c r="BF831" s="178"/>
      <c r="BG831" s="25"/>
      <c r="BH831" s="25"/>
    </row>
    <row r="832" spans="1:60" ht="15" customHeight="1">
      <c r="A832" s="95">
        <v>831</v>
      </c>
      <c r="B832" s="98" t="s">
        <v>871</v>
      </c>
      <c r="C832" s="191" t="s">
        <v>2682</v>
      </c>
      <c r="D832" s="257" t="s">
        <v>549</v>
      </c>
      <c r="E832" s="459" t="s">
        <v>3377</v>
      </c>
      <c r="F832" s="171">
        <v>2000</v>
      </c>
      <c r="G832" s="171">
        <v>205</v>
      </c>
      <c r="H832" s="57"/>
      <c r="I832" s="173" t="s">
        <v>2564</v>
      </c>
      <c r="J832" s="277">
        <v>0.52800000000000002</v>
      </c>
      <c r="K832" s="213">
        <v>8.0704845814977979</v>
      </c>
      <c r="L832" s="91"/>
      <c r="M832" s="278">
        <v>227</v>
      </c>
      <c r="N832" s="279"/>
      <c r="O832" s="172" t="s">
        <v>12</v>
      </c>
      <c r="P832" s="92"/>
      <c r="Q832" s="173" t="s">
        <v>10</v>
      </c>
      <c r="R832" s="94"/>
      <c r="S832" s="94"/>
      <c r="T832" s="171" t="s">
        <v>2557</v>
      </c>
      <c r="U832" s="171"/>
      <c r="V832" s="102">
        <v>0</v>
      </c>
      <c r="W832" s="120">
        <f>57/227*100</f>
        <v>25.110132158590311</v>
      </c>
      <c r="X832" s="120">
        <v>0</v>
      </c>
      <c r="Y832" s="120">
        <v>0</v>
      </c>
      <c r="Z832" s="120">
        <v>0</v>
      </c>
      <c r="AA832" s="17">
        <v>0</v>
      </c>
      <c r="AB832" s="17">
        <v>0</v>
      </c>
      <c r="AC832" s="17">
        <v>0</v>
      </c>
      <c r="AD832" s="17">
        <v>0</v>
      </c>
      <c r="AE832" s="17">
        <v>0</v>
      </c>
      <c r="AF832" s="17">
        <v>0</v>
      </c>
      <c r="AG832" s="17">
        <v>0</v>
      </c>
      <c r="AH832" s="17">
        <v>0</v>
      </c>
      <c r="AI832" s="17">
        <v>0</v>
      </c>
      <c r="AJ832" s="17">
        <v>0</v>
      </c>
      <c r="AK832" s="17">
        <v>0</v>
      </c>
      <c r="AL832" s="32">
        <v>0</v>
      </c>
      <c r="AM832" s="780">
        <v>35</v>
      </c>
      <c r="AN832" s="89"/>
      <c r="AO832" s="280"/>
      <c r="AP832" s="784"/>
      <c r="AQ832" s="773" t="s">
        <v>271</v>
      </c>
      <c r="AR832" s="188">
        <v>100</v>
      </c>
      <c r="AS832" s="171"/>
      <c r="AT832" s="171" t="str">
        <f t="shared" si="70"/>
        <v>400</v>
      </c>
      <c r="AU832" s="255">
        <f t="shared" si="71"/>
        <v>22.222222222222221</v>
      </c>
      <c r="AV832" s="172">
        <v>100</v>
      </c>
      <c r="AW832" s="171">
        <v>7</v>
      </c>
      <c r="AX832" s="89"/>
      <c r="AY832" s="171">
        <v>20</v>
      </c>
      <c r="AZ832" s="89"/>
      <c r="BA832" s="175">
        <v>60</v>
      </c>
      <c r="BB832" s="189" t="s">
        <v>2547</v>
      </c>
      <c r="BC832" s="176"/>
      <c r="BD832" s="179"/>
      <c r="BE832" s="179"/>
      <c r="BF832" s="178"/>
      <c r="BG832" s="25"/>
      <c r="BH832" s="25"/>
    </row>
    <row r="833" spans="1:60" ht="15" customHeight="1">
      <c r="A833" s="95">
        <v>832</v>
      </c>
      <c r="B833" s="98" t="s">
        <v>870</v>
      </c>
      <c r="C833" s="191" t="s">
        <v>2682</v>
      </c>
      <c r="D833" s="257" t="s">
        <v>549</v>
      </c>
      <c r="E833" s="459" t="s">
        <v>3377</v>
      </c>
      <c r="F833" s="171">
        <v>2000</v>
      </c>
      <c r="G833" s="171">
        <v>205</v>
      </c>
      <c r="H833" s="57"/>
      <c r="I833" s="173" t="s">
        <v>2564</v>
      </c>
      <c r="J833" s="277">
        <v>0.502</v>
      </c>
      <c r="K833" s="213">
        <v>7.7196652719665275</v>
      </c>
      <c r="L833" s="91"/>
      <c r="M833" s="278">
        <v>239</v>
      </c>
      <c r="N833" s="279"/>
      <c r="O833" s="172" t="s">
        <v>12</v>
      </c>
      <c r="P833" s="92"/>
      <c r="Q833" s="173" t="s">
        <v>10</v>
      </c>
      <c r="R833" s="94"/>
      <c r="S833" s="94"/>
      <c r="T833" s="171" t="s">
        <v>2557</v>
      </c>
      <c r="U833" s="171"/>
      <c r="V833" s="102">
        <v>0</v>
      </c>
      <c r="W833" s="120">
        <f>60/239*100</f>
        <v>25.10460251046025</v>
      </c>
      <c r="X833" s="120">
        <v>0</v>
      </c>
      <c r="Y833" s="120">
        <v>0</v>
      </c>
      <c r="Z833" s="120">
        <v>0</v>
      </c>
      <c r="AA833" s="17">
        <v>0</v>
      </c>
      <c r="AB833" s="17">
        <v>0</v>
      </c>
      <c r="AC833" s="17">
        <v>0</v>
      </c>
      <c r="AD833" s="17">
        <v>0</v>
      </c>
      <c r="AE833" s="17">
        <v>0</v>
      </c>
      <c r="AF833" s="17">
        <v>0</v>
      </c>
      <c r="AG833" s="17">
        <v>0</v>
      </c>
      <c r="AH833" s="17">
        <v>0</v>
      </c>
      <c r="AI833" s="17">
        <v>0</v>
      </c>
      <c r="AJ833" s="17">
        <v>0</v>
      </c>
      <c r="AK833" s="17">
        <v>0</v>
      </c>
      <c r="AL833" s="32">
        <v>0</v>
      </c>
      <c r="AM833" s="780">
        <v>33.799999999999997</v>
      </c>
      <c r="AN833" s="89"/>
      <c r="AO833" s="280"/>
      <c r="AP833" s="784"/>
      <c r="AQ833" s="773" t="s">
        <v>271</v>
      </c>
      <c r="AR833" s="188">
        <v>100</v>
      </c>
      <c r="AS833" s="171"/>
      <c r="AT833" s="171" t="str">
        <f t="shared" si="70"/>
        <v>400</v>
      </c>
      <c r="AU833" s="255">
        <f t="shared" si="71"/>
        <v>22.222222222222221</v>
      </c>
      <c r="AV833" s="172">
        <v>100</v>
      </c>
      <c r="AW833" s="171">
        <v>7</v>
      </c>
      <c r="AX833" s="89"/>
      <c r="AY833" s="171">
        <v>20</v>
      </c>
      <c r="AZ833" s="89"/>
      <c r="BA833" s="175">
        <v>60</v>
      </c>
      <c r="BB833" s="189" t="s">
        <v>2547</v>
      </c>
      <c r="BC833" s="176"/>
      <c r="BD833" s="179"/>
      <c r="BE833" s="179"/>
      <c r="BF833" s="178"/>
      <c r="BG833" s="25"/>
      <c r="BH833" s="25"/>
    </row>
    <row r="834" spans="1:60" ht="15" customHeight="1">
      <c r="A834" s="95">
        <v>833</v>
      </c>
      <c r="B834" s="98" t="s">
        <v>869</v>
      </c>
      <c r="C834" s="191" t="s">
        <v>2683</v>
      </c>
      <c r="D834" s="257" t="s">
        <v>549</v>
      </c>
      <c r="E834" s="459" t="s">
        <v>3377</v>
      </c>
      <c r="F834" s="171">
        <v>2000</v>
      </c>
      <c r="G834" s="171">
        <v>206</v>
      </c>
      <c r="H834" s="57"/>
      <c r="I834" s="173" t="s">
        <v>2564</v>
      </c>
      <c r="J834" s="277">
        <v>0.5</v>
      </c>
      <c r="K834" s="213">
        <v>5.7062499999999998</v>
      </c>
      <c r="L834" s="91"/>
      <c r="M834" s="278">
        <v>320</v>
      </c>
      <c r="N834" s="279"/>
      <c r="O834" s="172" t="s">
        <v>12</v>
      </c>
      <c r="P834" s="92"/>
      <c r="Q834" s="173" t="s">
        <v>10</v>
      </c>
      <c r="R834" s="94"/>
      <c r="S834" s="94"/>
      <c r="T834" s="171" t="s">
        <v>2306</v>
      </c>
      <c r="U834" s="171" t="s">
        <v>2530</v>
      </c>
      <c r="V834" s="102">
        <v>0</v>
      </c>
      <c r="W834" s="120">
        <v>0</v>
      </c>
      <c r="X834" s="120">
        <v>0</v>
      </c>
      <c r="Y834" s="120">
        <v>0</v>
      </c>
      <c r="Z834" s="120">
        <v>0</v>
      </c>
      <c r="AA834" s="17">
        <v>0</v>
      </c>
      <c r="AB834" s="17">
        <v>0</v>
      </c>
      <c r="AC834" s="17">
        <v>0</v>
      </c>
      <c r="AD834" s="17">
        <v>0</v>
      </c>
      <c r="AE834" s="17">
        <v>0</v>
      </c>
      <c r="AF834" s="17">
        <v>0</v>
      </c>
      <c r="AG834" s="17">
        <v>0</v>
      </c>
      <c r="AH834" s="17">
        <v>0</v>
      </c>
      <c r="AI834" s="17">
        <v>0</v>
      </c>
      <c r="AJ834" s="17">
        <v>0</v>
      </c>
      <c r="AK834" s="17">
        <v>0</v>
      </c>
      <c r="AL834" s="32">
        <v>0</v>
      </c>
      <c r="AM834" s="780">
        <v>45.1</v>
      </c>
      <c r="AN834" s="89"/>
      <c r="AO834" s="280"/>
      <c r="AP834" s="784"/>
      <c r="AQ834" s="773" t="s">
        <v>271</v>
      </c>
      <c r="AR834" s="188">
        <v>100</v>
      </c>
      <c r="AS834" s="171"/>
      <c r="AT834" s="171" t="str">
        <f t="shared" si="70"/>
        <v>400</v>
      </c>
      <c r="AU834" s="255">
        <f t="shared" si="71"/>
        <v>22.222222222222221</v>
      </c>
      <c r="AV834" s="172">
        <v>100</v>
      </c>
      <c r="AW834" s="171">
        <v>7</v>
      </c>
      <c r="AX834" s="89"/>
      <c r="AY834" s="171">
        <v>20</v>
      </c>
      <c r="AZ834" s="89"/>
      <c r="BA834" s="175">
        <v>60</v>
      </c>
      <c r="BB834" s="189" t="s">
        <v>2547</v>
      </c>
      <c r="BC834" s="176" t="s">
        <v>558</v>
      </c>
      <c r="BD834" s="179"/>
      <c r="BE834" s="179"/>
      <c r="BF834" s="178" t="s">
        <v>2991</v>
      </c>
      <c r="BG834" s="25"/>
      <c r="BH834" s="25"/>
    </row>
    <row r="835" spans="1:60" ht="15" customHeight="1">
      <c r="A835" s="95">
        <v>834</v>
      </c>
      <c r="B835" s="98" t="s">
        <v>868</v>
      </c>
      <c r="C835" s="191" t="s">
        <v>2683</v>
      </c>
      <c r="D835" s="257" t="s">
        <v>549</v>
      </c>
      <c r="E835" s="459" t="s">
        <v>3377</v>
      </c>
      <c r="F835" s="171">
        <v>2000</v>
      </c>
      <c r="G835" s="171">
        <v>206</v>
      </c>
      <c r="H835" s="57"/>
      <c r="I835" s="173" t="s">
        <v>2564</v>
      </c>
      <c r="J835" s="277">
        <v>0.5</v>
      </c>
      <c r="K835" s="213">
        <v>5.2718749999999996</v>
      </c>
      <c r="L835" s="91"/>
      <c r="M835" s="278">
        <v>320</v>
      </c>
      <c r="N835" s="279"/>
      <c r="O835" s="172" t="s">
        <v>12</v>
      </c>
      <c r="P835" s="92"/>
      <c r="Q835" s="173" t="s">
        <v>10</v>
      </c>
      <c r="R835" s="94"/>
      <c r="S835" s="94"/>
      <c r="T835" s="171" t="s">
        <v>2306</v>
      </c>
      <c r="U835" s="171" t="s">
        <v>2530</v>
      </c>
      <c r="V835" s="102">
        <v>0</v>
      </c>
      <c r="W835" s="120">
        <v>0</v>
      </c>
      <c r="X835" s="120">
        <v>0</v>
      </c>
      <c r="Y835" s="120">
        <v>0</v>
      </c>
      <c r="Z835" s="120">
        <v>0</v>
      </c>
      <c r="AA835" s="17">
        <v>43.75</v>
      </c>
      <c r="AB835" s="17">
        <v>0</v>
      </c>
      <c r="AC835" s="17">
        <v>0</v>
      </c>
      <c r="AD835" s="17">
        <v>0</v>
      </c>
      <c r="AE835" s="17">
        <v>0</v>
      </c>
      <c r="AF835" s="17">
        <v>0</v>
      </c>
      <c r="AG835" s="17">
        <v>0</v>
      </c>
      <c r="AH835" s="17">
        <v>0</v>
      </c>
      <c r="AI835" s="17">
        <v>0</v>
      </c>
      <c r="AJ835" s="17">
        <v>0</v>
      </c>
      <c r="AK835" s="17">
        <v>0</v>
      </c>
      <c r="AL835" s="32">
        <v>0</v>
      </c>
      <c r="AM835" s="780">
        <v>54.7</v>
      </c>
      <c r="AN835" s="89"/>
      <c r="AO835" s="280"/>
      <c r="AP835" s="784"/>
      <c r="AQ835" s="773" t="s">
        <v>271</v>
      </c>
      <c r="AR835" s="188">
        <v>100</v>
      </c>
      <c r="AS835" s="171"/>
      <c r="AT835" s="171" t="str">
        <f t="shared" si="70"/>
        <v>400</v>
      </c>
      <c r="AU835" s="255">
        <f t="shared" si="71"/>
        <v>22.222222222222221</v>
      </c>
      <c r="AV835" s="172">
        <v>100</v>
      </c>
      <c r="AW835" s="171">
        <v>7</v>
      </c>
      <c r="AX835" s="89"/>
      <c r="AY835" s="171">
        <v>20</v>
      </c>
      <c r="AZ835" s="89"/>
      <c r="BA835" s="175">
        <v>60</v>
      </c>
      <c r="BB835" s="189" t="s">
        <v>2547</v>
      </c>
      <c r="BC835" s="176" t="s">
        <v>558</v>
      </c>
      <c r="BD835" s="179"/>
      <c r="BE835" s="179"/>
      <c r="BF835" s="178" t="s">
        <v>2991</v>
      </c>
      <c r="BG835" s="25"/>
      <c r="BH835" s="25"/>
    </row>
    <row r="836" spans="1:60" ht="15" customHeight="1">
      <c r="A836" s="95">
        <v>835</v>
      </c>
      <c r="B836" s="98" t="s">
        <v>867</v>
      </c>
      <c r="C836" s="191" t="s">
        <v>2683</v>
      </c>
      <c r="D836" s="257" t="s">
        <v>549</v>
      </c>
      <c r="E836" s="459" t="s">
        <v>3377</v>
      </c>
      <c r="F836" s="171">
        <v>2000</v>
      </c>
      <c r="G836" s="171">
        <v>206</v>
      </c>
      <c r="H836" s="57"/>
      <c r="I836" s="173" t="s">
        <v>2564</v>
      </c>
      <c r="J836" s="277">
        <v>0.5</v>
      </c>
      <c r="K836" s="213">
        <v>5.0374999999999996</v>
      </c>
      <c r="L836" s="91"/>
      <c r="M836" s="278">
        <v>320</v>
      </c>
      <c r="N836" s="279"/>
      <c r="O836" s="172" t="s">
        <v>12</v>
      </c>
      <c r="P836" s="92"/>
      <c r="Q836" s="173" t="s">
        <v>10</v>
      </c>
      <c r="R836" s="94"/>
      <c r="S836" s="94"/>
      <c r="T836" s="171" t="s">
        <v>2306</v>
      </c>
      <c r="U836" s="171" t="s">
        <v>2530</v>
      </c>
      <c r="V836" s="102">
        <v>0</v>
      </c>
      <c r="W836" s="120">
        <v>0</v>
      </c>
      <c r="X836" s="120">
        <v>0</v>
      </c>
      <c r="Y836" s="120">
        <v>0</v>
      </c>
      <c r="Z836" s="120">
        <v>0</v>
      </c>
      <c r="AA836" s="17">
        <v>65.63</v>
      </c>
      <c r="AB836" s="17">
        <v>0</v>
      </c>
      <c r="AC836" s="17">
        <v>0</v>
      </c>
      <c r="AD836" s="17">
        <v>0</v>
      </c>
      <c r="AE836" s="17">
        <v>0</v>
      </c>
      <c r="AF836" s="17">
        <v>0</v>
      </c>
      <c r="AG836" s="17">
        <v>0</v>
      </c>
      <c r="AH836" s="17">
        <v>0</v>
      </c>
      <c r="AI836" s="17">
        <v>0</v>
      </c>
      <c r="AJ836" s="17">
        <v>0</v>
      </c>
      <c r="AK836" s="17">
        <v>0</v>
      </c>
      <c r="AL836" s="32">
        <v>0</v>
      </c>
      <c r="AM836" s="780">
        <v>56.6</v>
      </c>
      <c r="AN836" s="89"/>
      <c r="AO836" s="280"/>
      <c r="AP836" s="784"/>
      <c r="AQ836" s="773" t="s">
        <v>271</v>
      </c>
      <c r="AR836" s="188">
        <v>100</v>
      </c>
      <c r="AS836" s="171"/>
      <c r="AT836" s="171" t="str">
        <f t="shared" si="70"/>
        <v>400</v>
      </c>
      <c r="AU836" s="255">
        <f t="shared" si="71"/>
        <v>22.222222222222221</v>
      </c>
      <c r="AV836" s="172">
        <v>100</v>
      </c>
      <c r="AW836" s="171">
        <v>7</v>
      </c>
      <c r="AX836" s="89"/>
      <c r="AY836" s="171">
        <v>20</v>
      </c>
      <c r="AZ836" s="89"/>
      <c r="BA836" s="175">
        <v>60</v>
      </c>
      <c r="BB836" s="189" t="s">
        <v>2547</v>
      </c>
      <c r="BC836" s="176" t="s">
        <v>558</v>
      </c>
      <c r="BD836" s="179"/>
      <c r="BE836" s="179"/>
      <c r="BF836" s="178" t="s">
        <v>2991</v>
      </c>
      <c r="BG836" s="25"/>
      <c r="BH836" s="25"/>
    </row>
    <row r="837" spans="1:60" ht="15" customHeight="1">
      <c r="A837" s="95">
        <v>836</v>
      </c>
      <c r="B837" s="98" t="s">
        <v>866</v>
      </c>
      <c r="C837" s="191" t="s">
        <v>2683</v>
      </c>
      <c r="D837" s="257" t="s">
        <v>549</v>
      </c>
      <c r="E837" s="459" t="s">
        <v>3377</v>
      </c>
      <c r="F837" s="171">
        <v>2000</v>
      </c>
      <c r="G837" s="171">
        <v>206</v>
      </c>
      <c r="H837" s="57"/>
      <c r="I837" s="173" t="s">
        <v>2564</v>
      </c>
      <c r="J837" s="277">
        <v>0.66</v>
      </c>
      <c r="K837" s="213">
        <v>7.8223140495867769</v>
      </c>
      <c r="L837" s="91"/>
      <c r="M837" s="278">
        <v>242</v>
      </c>
      <c r="N837" s="279"/>
      <c r="O837" s="172" t="s">
        <v>12</v>
      </c>
      <c r="P837" s="92"/>
      <c r="Q837" s="173" t="s">
        <v>10</v>
      </c>
      <c r="R837" s="94"/>
      <c r="S837" s="94"/>
      <c r="T837" s="171" t="s">
        <v>2306</v>
      </c>
      <c r="U837" s="171" t="s">
        <v>2530</v>
      </c>
      <c r="V837" s="102">
        <v>0</v>
      </c>
      <c r="W837" s="120">
        <v>0</v>
      </c>
      <c r="X837" s="120">
        <v>0</v>
      </c>
      <c r="Y837" s="120">
        <v>0</v>
      </c>
      <c r="Z837" s="120">
        <v>0</v>
      </c>
      <c r="AA837" s="17">
        <v>25.21</v>
      </c>
      <c r="AB837" s="17">
        <v>0</v>
      </c>
      <c r="AC837" s="17">
        <v>0</v>
      </c>
      <c r="AD837" s="17">
        <v>0</v>
      </c>
      <c r="AE837" s="17">
        <v>0</v>
      </c>
      <c r="AF837" s="17">
        <v>0</v>
      </c>
      <c r="AG837" s="17">
        <v>0</v>
      </c>
      <c r="AH837" s="17">
        <v>0</v>
      </c>
      <c r="AI837" s="17">
        <v>0</v>
      </c>
      <c r="AJ837" s="17">
        <v>0</v>
      </c>
      <c r="AK837" s="17">
        <v>0</v>
      </c>
      <c r="AL837" s="32">
        <v>0</v>
      </c>
      <c r="AM837" s="780">
        <v>31.6</v>
      </c>
      <c r="AN837" s="89"/>
      <c r="AO837" s="280"/>
      <c r="AP837" s="784"/>
      <c r="AQ837" s="773" t="s">
        <v>271</v>
      </c>
      <c r="AR837" s="188">
        <v>100</v>
      </c>
      <c r="AS837" s="171"/>
      <c r="AT837" s="171" t="str">
        <f t="shared" si="70"/>
        <v>400</v>
      </c>
      <c r="AU837" s="255">
        <f t="shared" si="71"/>
        <v>22.222222222222221</v>
      </c>
      <c r="AV837" s="172">
        <v>100</v>
      </c>
      <c r="AW837" s="171">
        <v>7</v>
      </c>
      <c r="AX837" s="89"/>
      <c r="AY837" s="171">
        <v>20</v>
      </c>
      <c r="AZ837" s="89"/>
      <c r="BA837" s="175">
        <v>60</v>
      </c>
      <c r="BB837" s="189" t="s">
        <v>2547</v>
      </c>
      <c r="BC837" s="176" t="s">
        <v>558</v>
      </c>
      <c r="BD837" s="179"/>
      <c r="BE837" s="179"/>
      <c r="BF837" s="178" t="s">
        <v>2991</v>
      </c>
      <c r="BG837" s="25"/>
      <c r="BH837" s="25"/>
    </row>
    <row r="838" spans="1:60" ht="15" customHeight="1">
      <c r="A838" s="95">
        <v>837</v>
      </c>
      <c r="B838" s="98" t="s">
        <v>865</v>
      </c>
      <c r="C838" s="191" t="s">
        <v>2684</v>
      </c>
      <c r="D838" s="257" t="s">
        <v>549</v>
      </c>
      <c r="E838" s="459" t="s">
        <v>3377</v>
      </c>
      <c r="F838" s="171">
        <v>2000</v>
      </c>
      <c r="G838" s="171">
        <v>207</v>
      </c>
      <c r="H838" s="57"/>
      <c r="I838" s="173" t="s">
        <v>2564</v>
      </c>
      <c r="J838" s="277">
        <v>0.5</v>
      </c>
      <c r="K838" s="213">
        <v>4.7704918032786887</v>
      </c>
      <c r="L838" s="91"/>
      <c r="M838" s="278">
        <v>366</v>
      </c>
      <c r="N838" s="279"/>
      <c r="O838" s="172" t="s">
        <v>12</v>
      </c>
      <c r="P838" s="92"/>
      <c r="Q838" s="173" t="s">
        <v>10</v>
      </c>
      <c r="R838" s="171" t="s">
        <v>2735</v>
      </c>
      <c r="S838" s="94"/>
      <c r="T838" s="171" t="s">
        <v>2306</v>
      </c>
      <c r="U838" s="171" t="s">
        <v>2551</v>
      </c>
      <c r="V838" s="102">
        <v>0</v>
      </c>
      <c r="W838" s="120">
        <v>0</v>
      </c>
      <c r="X838" s="120">
        <v>0</v>
      </c>
      <c r="Y838" s="120">
        <v>0</v>
      </c>
      <c r="Z838" s="120">
        <v>0</v>
      </c>
      <c r="AA838" s="17">
        <v>0</v>
      </c>
      <c r="AB838" s="17">
        <v>0</v>
      </c>
      <c r="AC838" s="17">
        <v>0</v>
      </c>
      <c r="AD838" s="17">
        <v>0</v>
      </c>
      <c r="AE838" s="17">
        <v>0</v>
      </c>
      <c r="AF838" s="17">
        <v>0</v>
      </c>
      <c r="AG838" s="17">
        <v>0</v>
      </c>
      <c r="AH838" s="17">
        <v>0</v>
      </c>
      <c r="AI838" s="17">
        <v>0</v>
      </c>
      <c r="AJ838" s="17">
        <v>0</v>
      </c>
      <c r="AK838" s="17">
        <v>0</v>
      </c>
      <c r="AL838" s="58">
        <v>0</v>
      </c>
      <c r="AM838" s="780">
        <v>44.7</v>
      </c>
      <c r="AN838" s="89"/>
      <c r="AO838" s="280"/>
      <c r="AP838" s="784"/>
      <c r="AQ838" s="773" t="s">
        <v>271</v>
      </c>
      <c r="AR838" s="188">
        <v>100</v>
      </c>
      <c r="AS838" s="171"/>
      <c r="AT838" s="171" t="str">
        <f t="shared" si="70"/>
        <v>400</v>
      </c>
      <c r="AU838" s="255">
        <f t="shared" si="71"/>
        <v>22.222222222222221</v>
      </c>
      <c r="AV838" s="172">
        <v>100</v>
      </c>
      <c r="AW838" s="171">
        <v>7</v>
      </c>
      <c r="AX838" s="89"/>
      <c r="AY838" s="171">
        <v>20</v>
      </c>
      <c r="AZ838" s="89"/>
      <c r="BA838" s="175">
        <v>60</v>
      </c>
      <c r="BB838" s="189" t="s">
        <v>2547</v>
      </c>
      <c r="BC838" s="176"/>
      <c r="BD838" s="179"/>
      <c r="BE838" s="179"/>
      <c r="BF838" s="178"/>
      <c r="BG838" s="25"/>
      <c r="BH838" s="25"/>
    </row>
    <row r="839" spans="1:60" ht="15" customHeight="1">
      <c r="A839" s="95">
        <v>838</v>
      </c>
      <c r="B839" s="98" t="s">
        <v>864</v>
      </c>
      <c r="C839" s="191" t="s">
        <v>2684</v>
      </c>
      <c r="D839" s="257" t="s">
        <v>549</v>
      </c>
      <c r="E839" s="459" t="s">
        <v>3377</v>
      </c>
      <c r="F839" s="171">
        <v>2000</v>
      </c>
      <c r="G839" s="171">
        <v>207</v>
      </c>
      <c r="H839" s="57"/>
      <c r="I839" s="173" t="s">
        <v>2564</v>
      </c>
      <c r="J839" s="277">
        <v>0.5</v>
      </c>
      <c r="K839" s="213">
        <v>4.4644808743169397</v>
      </c>
      <c r="L839" s="91"/>
      <c r="M839" s="278">
        <v>366</v>
      </c>
      <c r="N839" s="279"/>
      <c r="O839" s="172" t="s">
        <v>12</v>
      </c>
      <c r="P839" s="92"/>
      <c r="Q839" s="173" t="s">
        <v>10</v>
      </c>
      <c r="R839" s="171" t="s">
        <v>2735</v>
      </c>
      <c r="S839" s="94"/>
      <c r="T839" s="171" t="s">
        <v>2306</v>
      </c>
      <c r="U839" s="171" t="s">
        <v>2551</v>
      </c>
      <c r="V839" s="102">
        <v>0</v>
      </c>
      <c r="W839" s="120">
        <v>0</v>
      </c>
      <c r="X839" s="120">
        <f>194/366*100</f>
        <v>53.005464480874323</v>
      </c>
      <c r="Y839" s="120">
        <v>0</v>
      </c>
      <c r="Z839" s="120">
        <v>0</v>
      </c>
      <c r="AA839" s="17">
        <v>0</v>
      </c>
      <c r="AB839" s="17">
        <v>0</v>
      </c>
      <c r="AC839" s="17">
        <v>0</v>
      </c>
      <c r="AD839" s="17">
        <v>0</v>
      </c>
      <c r="AE839" s="17">
        <v>0</v>
      </c>
      <c r="AF839" s="17">
        <v>0</v>
      </c>
      <c r="AG839" s="17">
        <v>0</v>
      </c>
      <c r="AH839" s="17">
        <v>0</v>
      </c>
      <c r="AI839" s="17">
        <v>0</v>
      </c>
      <c r="AJ839" s="17">
        <v>0</v>
      </c>
      <c r="AK839" s="17">
        <v>0</v>
      </c>
      <c r="AL839" s="58">
        <v>0</v>
      </c>
      <c r="AM839" s="780">
        <v>86.9</v>
      </c>
      <c r="AN839" s="89"/>
      <c r="AO839" s="280"/>
      <c r="AP839" s="784"/>
      <c r="AQ839" s="773" t="s">
        <v>271</v>
      </c>
      <c r="AR839" s="188">
        <v>100</v>
      </c>
      <c r="AS839" s="171"/>
      <c r="AT839" s="171" t="str">
        <f t="shared" si="70"/>
        <v>400</v>
      </c>
      <c r="AU839" s="255">
        <f t="shared" si="71"/>
        <v>22.222222222222221</v>
      </c>
      <c r="AV839" s="172">
        <v>100</v>
      </c>
      <c r="AW839" s="171">
        <v>7</v>
      </c>
      <c r="AX839" s="89"/>
      <c r="AY839" s="171">
        <v>20</v>
      </c>
      <c r="AZ839" s="89"/>
      <c r="BA839" s="175">
        <v>60</v>
      </c>
      <c r="BB839" s="189" t="s">
        <v>2547</v>
      </c>
      <c r="BC839" s="176"/>
      <c r="BD839" s="179"/>
      <c r="BE839" s="179"/>
      <c r="BF839" s="178"/>
      <c r="BG839" s="25"/>
      <c r="BH839" s="25"/>
    </row>
    <row r="840" spans="1:60" ht="15" customHeight="1">
      <c r="A840" s="95">
        <v>839</v>
      </c>
      <c r="B840" s="98" t="s">
        <v>863</v>
      </c>
      <c r="C840" s="191" t="s">
        <v>2684</v>
      </c>
      <c r="D840" s="257" t="s">
        <v>549</v>
      </c>
      <c r="E840" s="459" t="s">
        <v>3377</v>
      </c>
      <c r="F840" s="171">
        <v>2000</v>
      </c>
      <c r="G840" s="171">
        <v>207</v>
      </c>
      <c r="H840" s="57"/>
      <c r="I840" s="173" t="s">
        <v>2564</v>
      </c>
      <c r="J840" s="277">
        <v>0.5</v>
      </c>
      <c r="K840" s="213">
        <v>4.4644808743169397</v>
      </c>
      <c r="L840" s="91"/>
      <c r="M840" s="278">
        <v>366</v>
      </c>
      <c r="N840" s="279"/>
      <c r="O840" s="172" t="s">
        <v>12</v>
      </c>
      <c r="P840" s="92"/>
      <c r="Q840" s="173" t="s">
        <v>10</v>
      </c>
      <c r="R840" s="171" t="s">
        <v>2735</v>
      </c>
      <c r="S840" s="94"/>
      <c r="T840" s="171" t="s">
        <v>2306</v>
      </c>
      <c r="U840" s="171" t="s">
        <v>2551</v>
      </c>
      <c r="V840" s="102">
        <v>0</v>
      </c>
      <c r="W840" s="120">
        <v>0</v>
      </c>
      <c r="X840" s="120">
        <f>194/366*100</f>
        <v>53.005464480874323</v>
      </c>
      <c r="Y840" s="120">
        <v>0</v>
      </c>
      <c r="Z840" s="120">
        <v>0</v>
      </c>
      <c r="AA840" s="17">
        <v>0</v>
      </c>
      <c r="AB840" s="17">
        <v>0</v>
      </c>
      <c r="AC840" s="17">
        <v>0</v>
      </c>
      <c r="AD840" s="17">
        <v>0</v>
      </c>
      <c r="AE840" s="17">
        <v>0</v>
      </c>
      <c r="AF840" s="17">
        <v>0</v>
      </c>
      <c r="AG840" s="17">
        <v>0</v>
      </c>
      <c r="AH840" s="17">
        <v>0</v>
      </c>
      <c r="AI840" s="17">
        <v>0</v>
      </c>
      <c r="AJ840" s="17">
        <v>0</v>
      </c>
      <c r="AK840" s="17">
        <v>0</v>
      </c>
      <c r="AL840" s="58">
        <v>0</v>
      </c>
      <c r="AM840" s="780">
        <v>81.5</v>
      </c>
      <c r="AN840" s="89"/>
      <c r="AO840" s="280"/>
      <c r="AP840" s="784"/>
      <c r="AQ840" s="773" t="s">
        <v>271</v>
      </c>
      <c r="AR840" s="188">
        <v>100</v>
      </c>
      <c r="AS840" s="171"/>
      <c r="AT840" s="171" t="str">
        <f t="shared" si="70"/>
        <v>400</v>
      </c>
      <c r="AU840" s="255">
        <f t="shared" si="71"/>
        <v>22.222222222222221</v>
      </c>
      <c r="AV840" s="172">
        <v>100</v>
      </c>
      <c r="AW840" s="171">
        <v>7</v>
      </c>
      <c r="AX840" s="89"/>
      <c r="AY840" s="171">
        <v>20</v>
      </c>
      <c r="AZ840" s="89"/>
      <c r="BA840" s="175">
        <v>60</v>
      </c>
      <c r="BB840" s="189" t="s">
        <v>2547</v>
      </c>
      <c r="BC840" s="176"/>
      <c r="BD840" s="179"/>
      <c r="BE840" s="179"/>
      <c r="BF840" s="178"/>
      <c r="BG840" s="25"/>
      <c r="BH840" s="25"/>
    </row>
    <row r="841" spans="1:60" ht="15" customHeight="1">
      <c r="A841" s="95">
        <v>840</v>
      </c>
      <c r="B841" s="98" t="s">
        <v>862</v>
      </c>
      <c r="C841" s="191" t="s">
        <v>2684</v>
      </c>
      <c r="D841" s="257" t="s">
        <v>549</v>
      </c>
      <c r="E841" s="459" t="s">
        <v>3377</v>
      </c>
      <c r="F841" s="171">
        <v>2000</v>
      </c>
      <c r="G841" s="171">
        <v>207</v>
      </c>
      <c r="H841" s="57"/>
      <c r="I841" s="173" t="s">
        <v>2564</v>
      </c>
      <c r="J841" s="277">
        <v>0.5</v>
      </c>
      <c r="K841" s="213">
        <v>4.4644808743169397</v>
      </c>
      <c r="L841" s="91"/>
      <c r="M841" s="278">
        <v>366</v>
      </c>
      <c r="N841" s="279"/>
      <c r="O841" s="172" t="s">
        <v>12</v>
      </c>
      <c r="P841" s="92"/>
      <c r="Q841" s="173" t="s">
        <v>10</v>
      </c>
      <c r="R841" s="171" t="s">
        <v>2735</v>
      </c>
      <c r="S841" s="94"/>
      <c r="T841" s="171" t="s">
        <v>2306</v>
      </c>
      <c r="U841" s="171" t="s">
        <v>2551</v>
      </c>
      <c r="V841" s="102">
        <v>0</v>
      </c>
      <c r="W841" s="120">
        <v>0</v>
      </c>
      <c r="X841" s="120">
        <f>194/366*100</f>
        <v>53.005464480874323</v>
      </c>
      <c r="Y841" s="120">
        <v>0</v>
      </c>
      <c r="Z841" s="120">
        <v>0</v>
      </c>
      <c r="AA841" s="17">
        <v>0</v>
      </c>
      <c r="AB841" s="17">
        <v>0</v>
      </c>
      <c r="AC841" s="17">
        <v>0</v>
      </c>
      <c r="AD841" s="17">
        <v>0</v>
      </c>
      <c r="AE841" s="17">
        <v>0</v>
      </c>
      <c r="AF841" s="17">
        <v>0</v>
      </c>
      <c r="AG841" s="17">
        <v>0</v>
      </c>
      <c r="AH841" s="17">
        <v>0</v>
      </c>
      <c r="AI841" s="17">
        <v>0</v>
      </c>
      <c r="AJ841" s="17">
        <v>0</v>
      </c>
      <c r="AK841" s="17">
        <v>0</v>
      </c>
      <c r="AL841" s="58">
        <v>0</v>
      </c>
      <c r="AM841" s="780">
        <v>86</v>
      </c>
      <c r="AN841" s="89"/>
      <c r="AO841" s="280"/>
      <c r="AP841" s="784"/>
      <c r="AQ841" s="773" t="s">
        <v>271</v>
      </c>
      <c r="AR841" s="188">
        <v>100</v>
      </c>
      <c r="AS841" s="171"/>
      <c r="AT841" s="171" t="str">
        <f t="shared" si="70"/>
        <v>400</v>
      </c>
      <c r="AU841" s="255">
        <f t="shared" si="71"/>
        <v>22.222222222222221</v>
      </c>
      <c r="AV841" s="172">
        <v>100</v>
      </c>
      <c r="AW841" s="171">
        <v>7</v>
      </c>
      <c r="AX841" s="89"/>
      <c r="AY841" s="171">
        <v>20</v>
      </c>
      <c r="AZ841" s="89"/>
      <c r="BA841" s="175">
        <v>60</v>
      </c>
      <c r="BB841" s="189" t="s">
        <v>2547</v>
      </c>
      <c r="BC841" s="176"/>
      <c r="BD841" s="179"/>
      <c r="BE841" s="179"/>
      <c r="BF841" s="178"/>
      <c r="BG841" s="25"/>
      <c r="BH841" s="25"/>
    </row>
    <row r="842" spans="1:60" ht="15" customHeight="1">
      <c r="A842" s="95">
        <v>841</v>
      </c>
      <c r="B842" s="98" t="s">
        <v>861</v>
      </c>
      <c r="C842" s="191" t="s">
        <v>2684</v>
      </c>
      <c r="D842" s="257" t="s">
        <v>549</v>
      </c>
      <c r="E842" s="459" t="s">
        <v>3377</v>
      </c>
      <c r="F842" s="171">
        <v>2000</v>
      </c>
      <c r="G842" s="171">
        <v>207</v>
      </c>
      <c r="H842" s="57"/>
      <c r="I842" s="173" t="s">
        <v>2564</v>
      </c>
      <c r="J842" s="277">
        <v>0.5</v>
      </c>
      <c r="K842" s="213">
        <v>4.4644808743169397</v>
      </c>
      <c r="L842" s="91"/>
      <c r="M842" s="278">
        <v>366</v>
      </c>
      <c r="N842" s="279"/>
      <c r="O842" s="172" t="s">
        <v>12</v>
      </c>
      <c r="P842" s="92"/>
      <c r="Q842" s="173" t="s">
        <v>10</v>
      </c>
      <c r="R842" s="171" t="s">
        <v>2735</v>
      </c>
      <c r="S842" s="94"/>
      <c r="T842" s="171" t="s">
        <v>2306</v>
      </c>
      <c r="U842" s="171" t="s">
        <v>2551</v>
      </c>
      <c r="V842" s="102">
        <v>0</v>
      </c>
      <c r="W842" s="120">
        <v>0</v>
      </c>
      <c r="X842" s="120">
        <v>0</v>
      </c>
      <c r="Y842" s="120">
        <v>0</v>
      </c>
      <c r="Z842" s="120">
        <v>0</v>
      </c>
      <c r="AA842" s="17">
        <v>0</v>
      </c>
      <c r="AB842" s="17">
        <v>0</v>
      </c>
      <c r="AC842" s="17">
        <v>0</v>
      </c>
      <c r="AD842" s="17">
        <v>0</v>
      </c>
      <c r="AE842" s="17">
        <v>0</v>
      </c>
      <c r="AF842" s="17">
        <v>0</v>
      </c>
      <c r="AG842" s="17">
        <v>0</v>
      </c>
      <c r="AH842" s="17">
        <v>0</v>
      </c>
      <c r="AI842" s="17">
        <v>0</v>
      </c>
      <c r="AJ842" s="17">
        <v>0</v>
      </c>
      <c r="AK842" s="17">
        <v>0</v>
      </c>
      <c r="AL842" s="58" t="s">
        <v>3467</v>
      </c>
      <c r="AM842" s="780">
        <v>60.3</v>
      </c>
      <c r="AN842" s="89"/>
      <c r="AO842" s="280"/>
      <c r="AP842" s="784"/>
      <c r="AQ842" s="773" t="s">
        <v>271</v>
      </c>
      <c r="AR842" s="188">
        <v>100</v>
      </c>
      <c r="AS842" s="171"/>
      <c r="AT842" s="171" t="str">
        <f t="shared" si="70"/>
        <v>400</v>
      </c>
      <c r="AU842" s="255">
        <f t="shared" si="71"/>
        <v>22.222222222222221</v>
      </c>
      <c r="AV842" s="172">
        <v>100</v>
      </c>
      <c r="AW842" s="171">
        <v>7</v>
      </c>
      <c r="AX842" s="89"/>
      <c r="AY842" s="171">
        <v>20</v>
      </c>
      <c r="AZ842" s="89"/>
      <c r="BA842" s="175">
        <v>60</v>
      </c>
      <c r="BB842" s="189" t="s">
        <v>2547</v>
      </c>
      <c r="BC842" s="176"/>
      <c r="BD842" s="179"/>
      <c r="BE842" s="179"/>
      <c r="BF842" s="178" t="s">
        <v>2992</v>
      </c>
      <c r="BG842" s="25"/>
      <c r="BH842" s="25"/>
    </row>
    <row r="843" spans="1:60" ht="15" customHeight="1">
      <c r="A843" s="95">
        <v>842</v>
      </c>
      <c r="B843" s="98" t="s">
        <v>860</v>
      </c>
      <c r="C843" s="191" t="s">
        <v>2684</v>
      </c>
      <c r="D843" s="257" t="s">
        <v>549</v>
      </c>
      <c r="E843" s="459" t="s">
        <v>3377</v>
      </c>
      <c r="F843" s="171">
        <v>2000</v>
      </c>
      <c r="G843" s="171">
        <v>207</v>
      </c>
      <c r="H843" s="57"/>
      <c r="I843" s="173" t="s">
        <v>2564</v>
      </c>
      <c r="J843" s="277">
        <v>0.5</v>
      </c>
      <c r="K843" s="213">
        <v>4.4644808743169397</v>
      </c>
      <c r="L843" s="91"/>
      <c r="M843" s="278">
        <v>366</v>
      </c>
      <c r="N843" s="279"/>
      <c r="O843" s="172" t="s">
        <v>12</v>
      </c>
      <c r="P843" s="92"/>
      <c r="Q843" s="173" t="s">
        <v>10</v>
      </c>
      <c r="R843" s="171" t="s">
        <v>2735</v>
      </c>
      <c r="S843" s="94"/>
      <c r="T843" s="171" t="s">
        <v>2306</v>
      </c>
      <c r="U843" s="171" t="s">
        <v>2551</v>
      </c>
      <c r="V843" s="102">
        <v>0</v>
      </c>
      <c r="W843" s="120">
        <v>0</v>
      </c>
      <c r="X843" s="120">
        <v>0</v>
      </c>
      <c r="Y843" s="120">
        <v>0</v>
      </c>
      <c r="Z843" s="120">
        <v>0</v>
      </c>
      <c r="AA843" s="17">
        <v>0</v>
      </c>
      <c r="AB843" s="17">
        <v>0</v>
      </c>
      <c r="AC843" s="17">
        <v>0</v>
      </c>
      <c r="AD843" s="17">
        <v>0</v>
      </c>
      <c r="AE843" s="17">
        <v>0</v>
      </c>
      <c r="AF843" s="17">
        <v>0</v>
      </c>
      <c r="AG843" s="17">
        <v>0</v>
      </c>
      <c r="AH843" s="17">
        <v>0</v>
      </c>
      <c r="AI843" s="17">
        <v>0</v>
      </c>
      <c r="AJ843" s="17">
        <v>0</v>
      </c>
      <c r="AK843" s="17">
        <v>0</v>
      </c>
      <c r="AL843" s="58" t="s">
        <v>3467</v>
      </c>
      <c r="AM843" s="780">
        <v>60.4</v>
      </c>
      <c r="AN843" s="89"/>
      <c r="AO843" s="280"/>
      <c r="AP843" s="784"/>
      <c r="AQ843" s="773" t="s">
        <v>271</v>
      </c>
      <c r="AR843" s="188">
        <v>100</v>
      </c>
      <c r="AS843" s="171"/>
      <c r="AT843" s="171" t="str">
        <f t="shared" si="70"/>
        <v>400</v>
      </c>
      <c r="AU843" s="255">
        <f t="shared" si="71"/>
        <v>22.222222222222221</v>
      </c>
      <c r="AV843" s="172">
        <v>100</v>
      </c>
      <c r="AW843" s="171">
        <v>7</v>
      </c>
      <c r="AX843" s="89"/>
      <c r="AY843" s="171">
        <v>20</v>
      </c>
      <c r="AZ843" s="89"/>
      <c r="BA843" s="175">
        <v>60</v>
      </c>
      <c r="BB843" s="189" t="s">
        <v>2547</v>
      </c>
      <c r="BC843" s="176"/>
      <c r="BD843" s="179"/>
      <c r="BE843" s="179"/>
      <c r="BF843" s="178" t="s">
        <v>2992</v>
      </c>
      <c r="BG843" s="25"/>
      <c r="BH843" s="25"/>
    </row>
    <row r="844" spans="1:60" ht="15" customHeight="1">
      <c r="A844" s="95">
        <v>843</v>
      </c>
      <c r="B844" s="98" t="s">
        <v>859</v>
      </c>
      <c r="C844" s="191" t="s">
        <v>2684</v>
      </c>
      <c r="D844" s="257" t="s">
        <v>549</v>
      </c>
      <c r="E844" s="459" t="s">
        <v>3377</v>
      </c>
      <c r="F844" s="171">
        <v>2000</v>
      </c>
      <c r="G844" s="171">
        <v>207</v>
      </c>
      <c r="H844" s="57"/>
      <c r="I844" s="173" t="s">
        <v>2564</v>
      </c>
      <c r="J844" s="277">
        <v>0.5</v>
      </c>
      <c r="K844" s="213">
        <v>4.4644808743169397</v>
      </c>
      <c r="L844" s="91"/>
      <c r="M844" s="278">
        <v>366</v>
      </c>
      <c r="N844" s="279"/>
      <c r="O844" s="172" t="s">
        <v>12</v>
      </c>
      <c r="P844" s="92"/>
      <c r="Q844" s="173" t="s">
        <v>10</v>
      </c>
      <c r="R844" s="171" t="s">
        <v>2735</v>
      </c>
      <c r="S844" s="94"/>
      <c r="T844" s="171" t="s">
        <v>2306</v>
      </c>
      <c r="U844" s="171" t="s">
        <v>2551</v>
      </c>
      <c r="V844" s="102">
        <v>0</v>
      </c>
      <c r="W844" s="120">
        <v>0</v>
      </c>
      <c r="X844" s="120">
        <v>0</v>
      </c>
      <c r="Y844" s="120">
        <v>0</v>
      </c>
      <c r="Z844" s="120">
        <v>0</v>
      </c>
      <c r="AA844" s="17">
        <v>0</v>
      </c>
      <c r="AB844" s="17">
        <v>0</v>
      </c>
      <c r="AC844" s="17">
        <v>0</v>
      </c>
      <c r="AD844" s="17">
        <v>0</v>
      </c>
      <c r="AE844" s="17">
        <v>0</v>
      </c>
      <c r="AF844" s="17">
        <v>0</v>
      </c>
      <c r="AG844" s="17">
        <v>0</v>
      </c>
      <c r="AH844" s="17">
        <v>0</v>
      </c>
      <c r="AI844" s="17">
        <v>0</v>
      </c>
      <c r="AJ844" s="17">
        <v>0</v>
      </c>
      <c r="AK844" s="17">
        <v>0</v>
      </c>
      <c r="AL844" s="58" t="s">
        <v>3467</v>
      </c>
      <c r="AM844" s="780">
        <v>58.7</v>
      </c>
      <c r="AN844" s="89"/>
      <c r="AO844" s="280"/>
      <c r="AP844" s="784"/>
      <c r="AQ844" s="773" t="s">
        <v>271</v>
      </c>
      <c r="AR844" s="188">
        <v>100</v>
      </c>
      <c r="AS844" s="171"/>
      <c r="AT844" s="171" t="str">
        <f t="shared" si="70"/>
        <v>400</v>
      </c>
      <c r="AU844" s="255">
        <f t="shared" si="71"/>
        <v>22.222222222222221</v>
      </c>
      <c r="AV844" s="172">
        <v>100</v>
      </c>
      <c r="AW844" s="171">
        <v>7</v>
      </c>
      <c r="AX844" s="89"/>
      <c r="AY844" s="171">
        <v>20</v>
      </c>
      <c r="AZ844" s="89"/>
      <c r="BA844" s="175">
        <v>60</v>
      </c>
      <c r="BB844" s="189" t="s">
        <v>2547</v>
      </c>
      <c r="BC844" s="176"/>
      <c r="BD844" s="179"/>
      <c r="BE844" s="179"/>
      <c r="BF844" s="178" t="s">
        <v>2992</v>
      </c>
      <c r="BG844" s="25"/>
      <c r="BH844" s="25"/>
    </row>
    <row r="845" spans="1:60" ht="15" customHeight="1">
      <c r="A845" s="95">
        <v>844</v>
      </c>
      <c r="B845" s="98" t="s">
        <v>858</v>
      </c>
      <c r="C845" s="191" t="s">
        <v>2684</v>
      </c>
      <c r="D845" s="257" t="s">
        <v>549</v>
      </c>
      <c r="E845" s="459" t="s">
        <v>3377</v>
      </c>
      <c r="F845" s="171">
        <v>2000</v>
      </c>
      <c r="G845" s="171">
        <v>207</v>
      </c>
      <c r="H845" s="57"/>
      <c r="I845" s="173" t="s">
        <v>2564</v>
      </c>
      <c r="J845" s="277">
        <v>0.5</v>
      </c>
      <c r="K845" s="213">
        <v>4.4644808743169397</v>
      </c>
      <c r="L845" s="91"/>
      <c r="M845" s="278">
        <v>366</v>
      </c>
      <c r="N845" s="279"/>
      <c r="O845" s="172" t="s">
        <v>12</v>
      </c>
      <c r="P845" s="92"/>
      <c r="Q845" s="173" t="s">
        <v>10</v>
      </c>
      <c r="R845" s="171" t="s">
        <v>2735</v>
      </c>
      <c r="S845" s="94"/>
      <c r="T845" s="171" t="s">
        <v>2306</v>
      </c>
      <c r="U845" s="171" t="s">
        <v>2551</v>
      </c>
      <c r="V845" s="102">
        <v>0</v>
      </c>
      <c r="W845" s="120">
        <v>0</v>
      </c>
      <c r="X845" s="120">
        <v>0</v>
      </c>
      <c r="Y845" s="120">
        <v>0</v>
      </c>
      <c r="Z845" s="120">
        <v>0</v>
      </c>
      <c r="AA845" s="17">
        <v>46.17</v>
      </c>
      <c r="AB845" s="17">
        <v>0</v>
      </c>
      <c r="AC845" s="17">
        <v>0</v>
      </c>
      <c r="AD845" s="17">
        <v>0</v>
      </c>
      <c r="AE845" s="17">
        <v>0</v>
      </c>
      <c r="AF845" s="17">
        <v>0</v>
      </c>
      <c r="AG845" s="17">
        <v>0</v>
      </c>
      <c r="AH845" s="17">
        <v>0</v>
      </c>
      <c r="AI845" s="17">
        <v>0</v>
      </c>
      <c r="AJ845" s="17">
        <v>0</v>
      </c>
      <c r="AK845" s="17">
        <v>0</v>
      </c>
      <c r="AL845" s="32">
        <v>0</v>
      </c>
      <c r="AM845" s="780">
        <v>64</v>
      </c>
      <c r="AN845" s="89"/>
      <c r="AO845" s="280"/>
      <c r="AP845" s="784"/>
      <c r="AQ845" s="773" t="s">
        <v>271</v>
      </c>
      <c r="AR845" s="188">
        <v>100</v>
      </c>
      <c r="AS845" s="171"/>
      <c r="AT845" s="171" t="str">
        <f t="shared" si="70"/>
        <v>400</v>
      </c>
      <c r="AU845" s="255">
        <f t="shared" si="71"/>
        <v>22.222222222222221</v>
      </c>
      <c r="AV845" s="172">
        <v>100</v>
      </c>
      <c r="AW845" s="171">
        <v>7</v>
      </c>
      <c r="AX845" s="89"/>
      <c r="AY845" s="171">
        <v>20</v>
      </c>
      <c r="AZ845" s="89"/>
      <c r="BA845" s="175">
        <v>60</v>
      </c>
      <c r="BB845" s="189" t="s">
        <v>2547</v>
      </c>
      <c r="BC845" s="176"/>
      <c r="BD845" s="179"/>
      <c r="BE845" s="179"/>
      <c r="BF845" s="178" t="s">
        <v>2991</v>
      </c>
      <c r="BG845" s="25"/>
      <c r="BH845" s="25"/>
    </row>
    <row r="846" spans="1:60" ht="15" customHeight="1">
      <c r="A846" s="95">
        <v>845</v>
      </c>
      <c r="B846" s="98" t="s">
        <v>857</v>
      </c>
      <c r="C846" s="191" t="s">
        <v>2684</v>
      </c>
      <c r="D846" s="257" t="s">
        <v>549</v>
      </c>
      <c r="E846" s="459" t="s">
        <v>3377</v>
      </c>
      <c r="F846" s="171">
        <v>2000</v>
      </c>
      <c r="G846" s="171">
        <v>207</v>
      </c>
      <c r="H846" s="57"/>
      <c r="I846" s="173" t="s">
        <v>2564</v>
      </c>
      <c r="J846" s="277">
        <v>0.5</v>
      </c>
      <c r="K846" s="213">
        <v>4.4644808743169397</v>
      </c>
      <c r="L846" s="91"/>
      <c r="M846" s="278">
        <v>366</v>
      </c>
      <c r="N846" s="279"/>
      <c r="O846" s="172" t="s">
        <v>12</v>
      </c>
      <c r="P846" s="92"/>
      <c r="Q846" s="173" t="s">
        <v>10</v>
      </c>
      <c r="R846" s="171" t="s">
        <v>2735</v>
      </c>
      <c r="S846" s="94"/>
      <c r="T846" s="171" t="s">
        <v>2306</v>
      </c>
      <c r="U846" s="171" t="s">
        <v>2551</v>
      </c>
      <c r="V846" s="102">
        <v>0</v>
      </c>
      <c r="W846" s="120">
        <v>0</v>
      </c>
      <c r="X846" s="120">
        <v>0</v>
      </c>
      <c r="Y846" s="120">
        <v>0</v>
      </c>
      <c r="Z846" s="120">
        <v>0</v>
      </c>
      <c r="AA846" s="17">
        <v>43.44</v>
      </c>
      <c r="AB846" s="17">
        <v>0</v>
      </c>
      <c r="AC846" s="17">
        <v>0</v>
      </c>
      <c r="AD846" s="17">
        <v>0</v>
      </c>
      <c r="AE846" s="17">
        <v>0</v>
      </c>
      <c r="AF846" s="17">
        <v>0</v>
      </c>
      <c r="AG846" s="17">
        <v>0</v>
      </c>
      <c r="AH846" s="17">
        <v>0</v>
      </c>
      <c r="AI846" s="17">
        <v>0</v>
      </c>
      <c r="AJ846" s="17">
        <v>0</v>
      </c>
      <c r="AK846" s="17">
        <v>0</v>
      </c>
      <c r="AL846" s="32">
        <v>0</v>
      </c>
      <c r="AM846" s="780">
        <v>62.6</v>
      </c>
      <c r="AN846" s="89"/>
      <c r="AO846" s="280"/>
      <c r="AP846" s="784"/>
      <c r="AQ846" s="773" t="s">
        <v>271</v>
      </c>
      <c r="AR846" s="188">
        <v>100</v>
      </c>
      <c r="AS846" s="171"/>
      <c r="AT846" s="171" t="str">
        <f t="shared" si="70"/>
        <v>400</v>
      </c>
      <c r="AU846" s="255">
        <f t="shared" si="71"/>
        <v>22.222222222222221</v>
      </c>
      <c r="AV846" s="172">
        <v>100</v>
      </c>
      <c r="AW846" s="171">
        <v>7</v>
      </c>
      <c r="AX846" s="89"/>
      <c r="AY846" s="171">
        <v>20</v>
      </c>
      <c r="AZ846" s="89"/>
      <c r="BA846" s="175">
        <v>60</v>
      </c>
      <c r="BB846" s="189" t="s">
        <v>2547</v>
      </c>
      <c r="BC846" s="176"/>
      <c r="BD846" s="179"/>
      <c r="BE846" s="179"/>
      <c r="BF846" s="178" t="s">
        <v>2991</v>
      </c>
      <c r="BG846" s="25"/>
      <c r="BH846" s="25"/>
    </row>
    <row r="847" spans="1:60" ht="15" customHeight="1">
      <c r="A847" s="95">
        <v>846</v>
      </c>
      <c r="B847" s="98" t="s">
        <v>856</v>
      </c>
      <c r="C847" s="191" t="s">
        <v>2684</v>
      </c>
      <c r="D847" s="257" t="s">
        <v>549</v>
      </c>
      <c r="E847" s="459" t="s">
        <v>3377</v>
      </c>
      <c r="F847" s="171">
        <v>2000</v>
      </c>
      <c r="G847" s="171">
        <v>207</v>
      </c>
      <c r="H847" s="57"/>
      <c r="I847" s="173" t="s">
        <v>2564</v>
      </c>
      <c r="J847" s="277">
        <v>0.5</v>
      </c>
      <c r="K847" s="213">
        <v>4.4644808743169397</v>
      </c>
      <c r="L847" s="91"/>
      <c r="M847" s="278">
        <v>366</v>
      </c>
      <c r="N847" s="279"/>
      <c r="O847" s="172" t="s">
        <v>12</v>
      </c>
      <c r="P847" s="92"/>
      <c r="Q847" s="173" t="s">
        <v>10</v>
      </c>
      <c r="R847" s="171" t="s">
        <v>2735</v>
      </c>
      <c r="S847" s="94"/>
      <c r="T847" s="171" t="s">
        <v>2306</v>
      </c>
      <c r="U847" s="171" t="s">
        <v>2551</v>
      </c>
      <c r="V847" s="102">
        <v>0</v>
      </c>
      <c r="W847" s="120">
        <v>0</v>
      </c>
      <c r="X847" s="120">
        <v>0</v>
      </c>
      <c r="Y847" s="120">
        <v>0</v>
      </c>
      <c r="Z847" s="120">
        <v>0</v>
      </c>
      <c r="AA847" s="17">
        <v>43.44</v>
      </c>
      <c r="AB847" s="17">
        <v>0</v>
      </c>
      <c r="AC847" s="17">
        <v>0</v>
      </c>
      <c r="AD847" s="17">
        <v>0</v>
      </c>
      <c r="AE847" s="17">
        <v>0</v>
      </c>
      <c r="AF847" s="17">
        <v>0</v>
      </c>
      <c r="AG847" s="17">
        <v>0</v>
      </c>
      <c r="AH847" s="17">
        <v>0</v>
      </c>
      <c r="AI847" s="17">
        <v>0</v>
      </c>
      <c r="AJ847" s="17">
        <v>0</v>
      </c>
      <c r="AK847" s="17">
        <v>0</v>
      </c>
      <c r="AL847" s="32">
        <v>0</v>
      </c>
      <c r="AM847" s="780">
        <v>61.2</v>
      </c>
      <c r="AN847" s="89"/>
      <c r="AO847" s="280"/>
      <c r="AP847" s="784"/>
      <c r="AQ847" s="773" t="s">
        <v>271</v>
      </c>
      <c r="AR847" s="188">
        <v>100</v>
      </c>
      <c r="AS847" s="171"/>
      <c r="AT847" s="171" t="str">
        <f t="shared" si="70"/>
        <v>400</v>
      </c>
      <c r="AU847" s="255">
        <f t="shared" si="71"/>
        <v>22.222222222222221</v>
      </c>
      <c r="AV847" s="172">
        <v>100</v>
      </c>
      <c r="AW847" s="171">
        <v>7</v>
      </c>
      <c r="AX847" s="89"/>
      <c r="AY847" s="171">
        <v>20</v>
      </c>
      <c r="AZ847" s="89"/>
      <c r="BA847" s="175">
        <v>60</v>
      </c>
      <c r="BB847" s="189" t="s">
        <v>2547</v>
      </c>
      <c r="BC847" s="176"/>
      <c r="BD847" s="179"/>
      <c r="BE847" s="179"/>
      <c r="BF847" s="178" t="s">
        <v>2991</v>
      </c>
      <c r="BG847" s="25"/>
      <c r="BH847" s="25"/>
    </row>
    <row r="848" spans="1:60" ht="15" customHeight="1">
      <c r="A848" s="95">
        <v>847</v>
      </c>
      <c r="B848" s="98" t="s">
        <v>855</v>
      </c>
      <c r="C848" s="191" t="s">
        <v>2684</v>
      </c>
      <c r="D848" s="257" t="s">
        <v>549</v>
      </c>
      <c r="E848" s="459" t="s">
        <v>3377</v>
      </c>
      <c r="F848" s="171">
        <v>2000</v>
      </c>
      <c r="G848" s="171">
        <v>207</v>
      </c>
      <c r="H848" s="57"/>
      <c r="I848" s="173" t="s">
        <v>2564</v>
      </c>
      <c r="J848" s="277">
        <v>0.5</v>
      </c>
      <c r="K848" s="213">
        <v>4.4644808743169397</v>
      </c>
      <c r="L848" s="91"/>
      <c r="M848" s="278">
        <v>366</v>
      </c>
      <c r="N848" s="279"/>
      <c r="O848" s="172" t="s">
        <v>12</v>
      </c>
      <c r="P848" s="92"/>
      <c r="Q848" s="173" t="s">
        <v>10</v>
      </c>
      <c r="R848" s="171" t="s">
        <v>2735</v>
      </c>
      <c r="S848" s="94"/>
      <c r="T848" s="171" t="s">
        <v>2306</v>
      </c>
      <c r="U848" s="171" t="s">
        <v>2551</v>
      </c>
      <c r="V848" s="102">
        <v>0</v>
      </c>
      <c r="W848" s="120">
        <v>0</v>
      </c>
      <c r="X848" s="120">
        <v>0</v>
      </c>
      <c r="Y848" s="120">
        <v>0</v>
      </c>
      <c r="Z848" s="120">
        <v>0</v>
      </c>
      <c r="AA848" s="17">
        <v>4344</v>
      </c>
      <c r="AB848" s="17">
        <v>0</v>
      </c>
      <c r="AC848" s="17">
        <v>0</v>
      </c>
      <c r="AD848" s="17">
        <v>0</v>
      </c>
      <c r="AE848" s="17">
        <v>0</v>
      </c>
      <c r="AF848" s="17">
        <v>0</v>
      </c>
      <c r="AG848" s="17">
        <v>0</v>
      </c>
      <c r="AH848" s="17">
        <v>0</v>
      </c>
      <c r="AI848" s="17">
        <v>0</v>
      </c>
      <c r="AJ848" s="17">
        <v>0</v>
      </c>
      <c r="AK848" s="17">
        <v>0</v>
      </c>
      <c r="AL848" s="32">
        <v>0</v>
      </c>
      <c r="AM848" s="780">
        <v>61.6</v>
      </c>
      <c r="AN848" s="89"/>
      <c r="AO848" s="280"/>
      <c r="AP848" s="784"/>
      <c r="AQ848" s="773" t="s">
        <v>271</v>
      </c>
      <c r="AR848" s="188">
        <v>100</v>
      </c>
      <c r="AS848" s="171"/>
      <c r="AT848" s="171" t="str">
        <f t="shared" si="70"/>
        <v>400</v>
      </c>
      <c r="AU848" s="255">
        <f t="shared" si="71"/>
        <v>22.222222222222221</v>
      </c>
      <c r="AV848" s="172">
        <v>100</v>
      </c>
      <c r="AW848" s="171">
        <v>7</v>
      </c>
      <c r="AX848" s="89"/>
      <c r="AY848" s="171">
        <v>20</v>
      </c>
      <c r="AZ848" s="89"/>
      <c r="BA848" s="175">
        <v>60</v>
      </c>
      <c r="BB848" s="189" t="s">
        <v>2547</v>
      </c>
      <c r="BC848" s="176"/>
      <c r="BD848" s="179"/>
      <c r="BE848" s="179"/>
      <c r="BF848" s="178" t="s">
        <v>2991</v>
      </c>
      <c r="BG848" s="25"/>
      <c r="BH848" s="25"/>
    </row>
    <row r="849" spans="1:60" ht="15" customHeight="1">
      <c r="A849" s="95">
        <v>848</v>
      </c>
      <c r="B849" s="98" t="s">
        <v>854</v>
      </c>
      <c r="C849" s="191" t="s">
        <v>2684</v>
      </c>
      <c r="D849" s="257" t="s">
        <v>549</v>
      </c>
      <c r="E849" s="459" t="s">
        <v>3377</v>
      </c>
      <c r="F849" s="171">
        <v>2000</v>
      </c>
      <c r="G849" s="171">
        <v>207</v>
      </c>
      <c r="H849" s="57"/>
      <c r="I849" s="173" t="s">
        <v>2564</v>
      </c>
      <c r="J849" s="277">
        <v>0.5</v>
      </c>
      <c r="K849" s="213">
        <v>4.4644808743169397</v>
      </c>
      <c r="L849" s="91"/>
      <c r="M849" s="278">
        <v>366</v>
      </c>
      <c r="N849" s="279"/>
      <c r="O849" s="172" t="s">
        <v>12</v>
      </c>
      <c r="P849" s="92"/>
      <c r="Q849" s="173" t="s">
        <v>10</v>
      </c>
      <c r="R849" s="171" t="s">
        <v>2735</v>
      </c>
      <c r="S849" s="94"/>
      <c r="T849" s="171" t="s">
        <v>2306</v>
      </c>
      <c r="U849" s="171" t="s">
        <v>2551</v>
      </c>
      <c r="V849" s="102">
        <v>0</v>
      </c>
      <c r="W849" s="120">
        <v>0</v>
      </c>
      <c r="X849" s="120">
        <v>0</v>
      </c>
      <c r="Y849" s="120">
        <v>0</v>
      </c>
      <c r="Z849" s="120">
        <v>0</v>
      </c>
      <c r="AA849" s="17">
        <v>42.9</v>
      </c>
      <c r="AB849" s="17">
        <v>0</v>
      </c>
      <c r="AC849" s="17">
        <v>0</v>
      </c>
      <c r="AD849" s="17">
        <v>0</v>
      </c>
      <c r="AE849" s="17">
        <v>0</v>
      </c>
      <c r="AF849" s="17">
        <v>0</v>
      </c>
      <c r="AG849" s="17">
        <v>0</v>
      </c>
      <c r="AH849" s="17">
        <v>0</v>
      </c>
      <c r="AI849" s="17">
        <v>0</v>
      </c>
      <c r="AJ849" s="17">
        <v>0</v>
      </c>
      <c r="AK849" s="17">
        <v>0</v>
      </c>
      <c r="AL849" s="32">
        <v>0</v>
      </c>
      <c r="AM849" s="780">
        <v>65.8</v>
      </c>
      <c r="AN849" s="89"/>
      <c r="AO849" s="280"/>
      <c r="AP849" s="784"/>
      <c r="AQ849" s="773" t="s">
        <v>271</v>
      </c>
      <c r="AR849" s="188">
        <v>100</v>
      </c>
      <c r="AS849" s="171"/>
      <c r="AT849" s="171" t="str">
        <f t="shared" si="70"/>
        <v>400</v>
      </c>
      <c r="AU849" s="255">
        <f t="shared" si="71"/>
        <v>22.222222222222221</v>
      </c>
      <c r="AV849" s="172">
        <v>100</v>
      </c>
      <c r="AW849" s="171">
        <v>7</v>
      </c>
      <c r="AX849" s="89"/>
      <c r="AY849" s="171">
        <v>20</v>
      </c>
      <c r="AZ849" s="89"/>
      <c r="BA849" s="175">
        <v>60</v>
      </c>
      <c r="BB849" s="189" t="s">
        <v>2547</v>
      </c>
      <c r="BC849" s="176"/>
      <c r="BD849" s="179"/>
      <c r="BE849" s="179"/>
      <c r="BF849" s="178" t="s">
        <v>2991</v>
      </c>
      <c r="BG849" s="25"/>
      <c r="BH849" s="25"/>
    </row>
    <row r="850" spans="1:60" ht="15" customHeight="1">
      <c r="A850" s="95">
        <v>849</v>
      </c>
      <c r="B850" s="98" t="s">
        <v>853</v>
      </c>
      <c r="C850" s="191" t="s">
        <v>2684</v>
      </c>
      <c r="D850" s="257" t="s">
        <v>549</v>
      </c>
      <c r="E850" s="459" t="s">
        <v>3377</v>
      </c>
      <c r="F850" s="171">
        <v>2000</v>
      </c>
      <c r="G850" s="171">
        <v>207</v>
      </c>
      <c r="H850" s="57"/>
      <c r="I850" s="173" t="s">
        <v>2564</v>
      </c>
      <c r="J850" s="277">
        <v>0.5</v>
      </c>
      <c r="K850" s="213">
        <v>4.4644808743169397</v>
      </c>
      <c r="L850" s="91"/>
      <c r="M850" s="278">
        <v>366</v>
      </c>
      <c r="N850" s="279"/>
      <c r="O850" s="172" t="s">
        <v>12</v>
      </c>
      <c r="P850" s="92"/>
      <c r="Q850" s="173" t="s">
        <v>10</v>
      </c>
      <c r="R850" s="171" t="s">
        <v>2735</v>
      </c>
      <c r="S850" s="94"/>
      <c r="T850" s="171" t="s">
        <v>2306</v>
      </c>
      <c r="U850" s="171" t="s">
        <v>2551</v>
      </c>
      <c r="V850" s="102">
        <v>0</v>
      </c>
      <c r="W850" s="120">
        <v>0</v>
      </c>
      <c r="X850" s="120">
        <v>0</v>
      </c>
      <c r="Y850" s="120">
        <v>0</v>
      </c>
      <c r="Z850" s="120">
        <v>0</v>
      </c>
      <c r="AA850" s="17">
        <v>42.9</v>
      </c>
      <c r="AB850" s="17">
        <v>0</v>
      </c>
      <c r="AC850" s="17">
        <v>0</v>
      </c>
      <c r="AD850" s="17">
        <v>0</v>
      </c>
      <c r="AE850" s="17">
        <v>0</v>
      </c>
      <c r="AF850" s="17">
        <v>0</v>
      </c>
      <c r="AG850" s="17">
        <v>0</v>
      </c>
      <c r="AH850" s="17">
        <v>0</v>
      </c>
      <c r="AI850" s="17">
        <v>0</v>
      </c>
      <c r="AJ850" s="17">
        <v>0</v>
      </c>
      <c r="AK850" s="17">
        <v>0</v>
      </c>
      <c r="AL850" s="32">
        <v>0</v>
      </c>
      <c r="AM850" s="780">
        <v>66.3</v>
      </c>
      <c r="AN850" s="89"/>
      <c r="AO850" s="280"/>
      <c r="AP850" s="784"/>
      <c r="AQ850" s="773" t="s">
        <v>271</v>
      </c>
      <c r="AR850" s="188">
        <v>100</v>
      </c>
      <c r="AS850" s="171"/>
      <c r="AT850" s="171" t="str">
        <f t="shared" si="70"/>
        <v>400</v>
      </c>
      <c r="AU850" s="255">
        <f t="shared" si="71"/>
        <v>22.222222222222221</v>
      </c>
      <c r="AV850" s="172">
        <v>100</v>
      </c>
      <c r="AW850" s="171">
        <v>7</v>
      </c>
      <c r="AX850" s="89"/>
      <c r="AY850" s="171">
        <v>20</v>
      </c>
      <c r="AZ850" s="89"/>
      <c r="BA850" s="175">
        <v>60</v>
      </c>
      <c r="BB850" s="189" t="s">
        <v>2547</v>
      </c>
      <c r="BC850" s="176"/>
      <c r="BD850" s="179"/>
      <c r="BE850" s="179"/>
      <c r="BF850" s="178" t="s">
        <v>2991</v>
      </c>
      <c r="BG850" s="25"/>
      <c r="BH850" s="25"/>
    </row>
    <row r="851" spans="1:60" ht="15" customHeight="1">
      <c r="A851" s="95">
        <v>850</v>
      </c>
      <c r="B851" s="98" t="s">
        <v>852</v>
      </c>
      <c r="C851" s="191" t="s">
        <v>2684</v>
      </c>
      <c r="D851" s="257" t="s">
        <v>549</v>
      </c>
      <c r="E851" s="459" t="s">
        <v>3377</v>
      </c>
      <c r="F851" s="171">
        <v>2000</v>
      </c>
      <c r="G851" s="171">
        <v>207</v>
      </c>
      <c r="H851" s="57"/>
      <c r="I851" s="173" t="s">
        <v>2564</v>
      </c>
      <c r="J851" s="277">
        <v>0.5</v>
      </c>
      <c r="K851" s="213">
        <v>4.4644808743169397</v>
      </c>
      <c r="L851" s="91"/>
      <c r="M851" s="278">
        <v>366</v>
      </c>
      <c r="N851" s="279"/>
      <c r="O851" s="172" t="s">
        <v>12</v>
      </c>
      <c r="P851" s="92"/>
      <c r="Q851" s="173" t="s">
        <v>10</v>
      </c>
      <c r="R851" s="171" t="s">
        <v>2735</v>
      </c>
      <c r="S851" s="94"/>
      <c r="T851" s="171" t="s">
        <v>2306</v>
      </c>
      <c r="U851" s="171" t="s">
        <v>2551</v>
      </c>
      <c r="V851" s="102">
        <v>0</v>
      </c>
      <c r="W851" s="120">
        <v>0</v>
      </c>
      <c r="X851" s="120">
        <v>47.81</v>
      </c>
      <c r="Y851" s="120">
        <v>0</v>
      </c>
      <c r="Z851" s="120">
        <v>0</v>
      </c>
      <c r="AA851" s="17">
        <v>0</v>
      </c>
      <c r="AB851" s="17">
        <v>0</v>
      </c>
      <c r="AC851" s="17">
        <v>0</v>
      </c>
      <c r="AD851" s="17">
        <v>0</v>
      </c>
      <c r="AE851" s="17">
        <v>0</v>
      </c>
      <c r="AF851" s="17">
        <v>0</v>
      </c>
      <c r="AG851" s="17">
        <v>0</v>
      </c>
      <c r="AH851" s="17">
        <v>0</v>
      </c>
      <c r="AI851" s="17">
        <v>0</v>
      </c>
      <c r="AJ851" s="17">
        <v>0</v>
      </c>
      <c r="AK851" s="17">
        <v>0</v>
      </c>
      <c r="AL851" s="32">
        <v>0</v>
      </c>
      <c r="AM851" s="780">
        <v>77.5</v>
      </c>
      <c r="AN851" s="89"/>
      <c r="AO851" s="280"/>
      <c r="AP851" s="784"/>
      <c r="AQ851" s="773" t="s">
        <v>271</v>
      </c>
      <c r="AR851" s="188">
        <v>100</v>
      </c>
      <c r="AS851" s="171"/>
      <c r="AT851" s="171" t="str">
        <f t="shared" si="70"/>
        <v>400</v>
      </c>
      <c r="AU851" s="255">
        <f t="shared" si="71"/>
        <v>22.222222222222221</v>
      </c>
      <c r="AV851" s="172">
        <v>100</v>
      </c>
      <c r="AW851" s="171">
        <v>7</v>
      </c>
      <c r="AX851" s="89"/>
      <c r="AY851" s="171">
        <v>20</v>
      </c>
      <c r="AZ851" s="89"/>
      <c r="BA851" s="175">
        <v>60</v>
      </c>
      <c r="BB851" s="189" t="s">
        <v>2547</v>
      </c>
      <c r="BC851" s="176"/>
      <c r="BD851" s="179"/>
      <c r="BE851" s="179"/>
      <c r="BF851" s="178" t="s">
        <v>2993</v>
      </c>
      <c r="BG851" s="25"/>
      <c r="BH851" s="25"/>
    </row>
    <row r="852" spans="1:60" ht="15" customHeight="1">
      <c r="A852" s="95">
        <v>851</v>
      </c>
      <c r="B852" s="98" t="s">
        <v>851</v>
      </c>
      <c r="C852" s="191" t="s">
        <v>2640</v>
      </c>
      <c r="D852" s="257" t="s">
        <v>549</v>
      </c>
      <c r="E852" s="459" t="s">
        <v>3377</v>
      </c>
      <c r="F852" s="171">
        <v>2000</v>
      </c>
      <c r="G852" s="171">
        <v>208</v>
      </c>
      <c r="H852" s="57"/>
      <c r="I852" s="173" t="s">
        <v>2564</v>
      </c>
      <c r="J852" s="277">
        <v>0.45</v>
      </c>
      <c r="K852" s="213">
        <v>4.5115681233933165</v>
      </c>
      <c r="L852" s="91"/>
      <c r="M852" s="278">
        <v>389</v>
      </c>
      <c r="N852" s="279"/>
      <c r="O852" s="172" t="s">
        <v>12</v>
      </c>
      <c r="P852" s="92"/>
      <c r="Q852" s="173" t="s">
        <v>10</v>
      </c>
      <c r="R852" s="171" t="s">
        <v>2735</v>
      </c>
      <c r="S852" s="94"/>
      <c r="T852" s="171" t="s">
        <v>2306</v>
      </c>
      <c r="U852" s="171" t="s">
        <v>2551</v>
      </c>
      <c r="V852" s="102">
        <v>0</v>
      </c>
      <c r="W852" s="120">
        <v>0</v>
      </c>
      <c r="X852" s="120">
        <v>0</v>
      </c>
      <c r="Y852" s="120">
        <v>0</v>
      </c>
      <c r="Z852" s="120">
        <v>0</v>
      </c>
      <c r="AA852" s="17">
        <v>0</v>
      </c>
      <c r="AB852" s="17">
        <v>0</v>
      </c>
      <c r="AC852" s="17">
        <v>0</v>
      </c>
      <c r="AD852" s="17">
        <v>0</v>
      </c>
      <c r="AE852" s="17">
        <v>0</v>
      </c>
      <c r="AF852" s="17">
        <v>0</v>
      </c>
      <c r="AG852" s="17">
        <v>0</v>
      </c>
      <c r="AH852" s="17">
        <v>0</v>
      </c>
      <c r="AI852" s="17">
        <v>0</v>
      </c>
      <c r="AJ852" s="17">
        <v>0</v>
      </c>
      <c r="AK852" s="17">
        <v>0</v>
      </c>
      <c r="AL852" s="32">
        <v>0</v>
      </c>
      <c r="AM852" s="57"/>
      <c r="AN852" s="89"/>
      <c r="AO852" s="280"/>
      <c r="AP852" s="784"/>
      <c r="AQ852" s="773" t="s">
        <v>271</v>
      </c>
      <c r="AR852" s="188">
        <v>100</v>
      </c>
      <c r="AS852" s="171"/>
      <c r="AT852" s="171" t="str">
        <f t="shared" si="70"/>
        <v>400</v>
      </c>
      <c r="AU852" s="255">
        <f t="shared" si="71"/>
        <v>22.222222222222221</v>
      </c>
      <c r="AV852" s="172">
        <v>100</v>
      </c>
      <c r="AW852" s="171">
        <v>7</v>
      </c>
      <c r="AX852" s="89"/>
      <c r="AY852" s="171">
        <v>20</v>
      </c>
      <c r="AZ852" s="89"/>
      <c r="BA852" s="175">
        <v>60</v>
      </c>
      <c r="BB852" s="189" t="s">
        <v>2547</v>
      </c>
      <c r="BC852" s="176"/>
      <c r="BD852" s="179"/>
      <c r="BE852" s="179"/>
      <c r="BF852" s="178"/>
      <c r="BG852" s="25"/>
      <c r="BH852" s="25"/>
    </row>
    <row r="853" spans="1:60" ht="15" customHeight="1">
      <c r="A853" s="95">
        <v>852</v>
      </c>
      <c r="B853" s="98" t="s">
        <v>850</v>
      </c>
      <c r="C853" s="191" t="s">
        <v>2640</v>
      </c>
      <c r="D853" s="257" t="s">
        <v>549</v>
      </c>
      <c r="E853" s="459" t="s">
        <v>3377</v>
      </c>
      <c r="F853" s="171">
        <v>2000</v>
      </c>
      <c r="G853" s="171">
        <v>208</v>
      </c>
      <c r="H853" s="57"/>
      <c r="I853" s="173" t="s">
        <v>2564</v>
      </c>
      <c r="J853" s="277">
        <v>0.45</v>
      </c>
      <c r="K853" s="213">
        <v>4.5115681233933165</v>
      </c>
      <c r="L853" s="91"/>
      <c r="M853" s="278">
        <v>389</v>
      </c>
      <c r="N853" s="279"/>
      <c r="O853" s="172" t="s">
        <v>12</v>
      </c>
      <c r="P853" s="92"/>
      <c r="Q853" s="173" t="s">
        <v>10</v>
      </c>
      <c r="R853" s="507"/>
      <c r="S853" s="94"/>
      <c r="T853" s="171" t="s">
        <v>2560</v>
      </c>
      <c r="U853" s="171" t="s">
        <v>2551</v>
      </c>
      <c r="V853" s="102">
        <v>0</v>
      </c>
      <c r="W853" s="120">
        <v>0</v>
      </c>
      <c r="X853" s="120">
        <v>0</v>
      </c>
      <c r="Y853" s="120">
        <v>0</v>
      </c>
      <c r="Z853" s="120">
        <v>0</v>
      </c>
      <c r="AA853" s="17">
        <v>0</v>
      </c>
      <c r="AB853" s="17">
        <v>0</v>
      </c>
      <c r="AC853" s="17">
        <v>0</v>
      </c>
      <c r="AD853" s="17">
        <v>0</v>
      </c>
      <c r="AE853" s="17">
        <v>0</v>
      </c>
      <c r="AF853" s="17">
        <v>0</v>
      </c>
      <c r="AG853" s="17">
        <v>0</v>
      </c>
      <c r="AH853" s="17">
        <v>0</v>
      </c>
      <c r="AI853" s="17">
        <v>0</v>
      </c>
      <c r="AJ853" s="17">
        <v>0</v>
      </c>
      <c r="AK853" s="17">
        <v>0</v>
      </c>
      <c r="AL853" s="32">
        <v>0</v>
      </c>
      <c r="AM853" s="57"/>
      <c r="AN853" s="89"/>
      <c r="AO853" s="280"/>
      <c r="AP853" s="784"/>
      <c r="AQ853" s="773" t="s">
        <v>271</v>
      </c>
      <c r="AR853" s="188">
        <v>100</v>
      </c>
      <c r="AS853" s="171"/>
      <c r="AT853" s="171" t="str">
        <f t="shared" si="70"/>
        <v>400</v>
      </c>
      <c r="AU853" s="255">
        <f t="shared" si="71"/>
        <v>22.222222222222221</v>
      </c>
      <c r="AV853" s="172">
        <v>100</v>
      </c>
      <c r="AW853" s="171">
        <v>7</v>
      </c>
      <c r="AX853" s="89"/>
      <c r="AY853" s="171">
        <v>20</v>
      </c>
      <c r="AZ853" s="89"/>
      <c r="BA853" s="175">
        <v>60</v>
      </c>
      <c r="BB853" s="189" t="s">
        <v>2547</v>
      </c>
      <c r="BC853" s="176"/>
      <c r="BD853" s="179"/>
      <c r="BE853" s="179"/>
      <c r="BF853" s="178"/>
      <c r="BG853" s="25"/>
      <c r="BH853" s="25"/>
    </row>
    <row r="854" spans="1:60" ht="15" customHeight="1">
      <c r="A854" s="95">
        <v>853</v>
      </c>
      <c r="B854" s="98" t="s">
        <v>849</v>
      </c>
      <c r="C854" s="191" t="s">
        <v>2640</v>
      </c>
      <c r="D854" s="257" t="s">
        <v>549</v>
      </c>
      <c r="E854" s="459" t="s">
        <v>3377</v>
      </c>
      <c r="F854" s="171">
        <v>2000</v>
      </c>
      <c r="G854" s="171">
        <v>208</v>
      </c>
      <c r="H854" s="57"/>
      <c r="I854" s="173" t="s">
        <v>2564</v>
      </c>
      <c r="J854" s="277">
        <v>0.45</v>
      </c>
      <c r="K854" s="213">
        <v>4.5115681233933165</v>
      </c>
      <c r="L854" s="91"/>
      <c r="M854" s="278">
        <v>389</v>
      </c>
      <c r="N854" s="279"/>
      <c r="O854" s="172" t="s">
        <v>12</v>
      </c>
      <c r="P854" s="92"/>
      <c r="Q854" s="173" t="s">
        <v>10</v>
      </c>
      <c r="R854" s="507"/>
      <c r="S854" s="94"/>
      <c r="T854" s="171" t="s">
        <v>2557</v>
      </c>
      <c r="U854" s="171"/>
      <c r="V854" s="102">
        <v>0</v>
      </c>
      <c r="W854" s="120">
        <v>0</v>
      </c>
      <c r="X854" s="120">
        <v>0</v>
      </c>
      <c r="Y854" s="120">
        <v>0</v>
      </c>
      <c r="Z854" s="120">
        <v>0</v>
      </c>
      <c r="AA854" s="17">
        <v>0</v>
      </c>
      <c r="AB854" s="17">
        <v>0</v>
      </c>
      <c r="AC854" s="17">
        <v>0</v>
      </c>
      <c r="AD854" s="17">
        <v>0</v>
      </c>
      <c r="AE854" s="17">
        <v>0</v>
      </c>
      <c r="AF854" s="17">
        <v>0</v>
      </c>
      <c r="AG854" s="17">
        <v>0</v>
      </c>
      <c r="AH854" s="17">
        <v>0</v>
      </c>
      <c r="AI854" s="17">
        <v>0</v>
      </c>
      <c r="AJ854" s="17">
        <v>0</v>
      </c>
      <c r="AK854" s="17">
        <v>0</v>
      </c>
      <c r="AL854" s="32">
        <v>0</v>
      </c>
      <c r="AM854" s="57"/>
      <c r="AN854" s="89"/>
      <c r="AO854" s="280"/>
      <c r="AP854" s="784"/>
      <c r="AQ854" s="773" t="s">
        <v>271</v>
      </c>
      <c r="AR854" s="188">
        <v>100</v>
      </c>
      <c r="AS854" s="171"/>
      <c r="AT854" s="171" t="str">
        <f t="shared" si="70"/>
        <v>400</v>
      </c>
      <c r="AU854" s="255">
        <f t="shared" si="71"/>
        <v>22.222222222222221</v>
      </c>
      <c r="AV854" s="172">
        <v>100</v>
      </c>
      <c r="AW854" s="171">
        <v>7</v>
      </c>
      <c r="AX854" s="89"/>
      <c r="AY854" s="171">
        <v>20</v>
      </c>
      <c r="AZ854" s="89"/>
      <c r="BA854" s="175">
        <v>60</v>
      </c>
      <c r="BB854" s="189" t="s">
        <v>2547</v>
      </c>
      <c r="BC854" s="176"/>
      <c r="BD854" s="179"/>
      <c r="BE854" s="179"/>
      <c r="BF854" s="178"/>
      <c r="BG854" s="25"/>
      <c r="BH854" s="25"/>
    </row>
    <row r="855" spans="1:60" ht="15" customHeight="1">
      <c r="A855" s="95">
        <v>854</v>
      </c>
      <c r="B855" s="98" t="s">
        <v>848</v>
      </c>
      <c r="C855" s="191" t="s">
        <v>2640</v>
      </c>
      <c r="D855" s="257" t="s">
        <v>549</v>
      </c>
      <c r="E855" s="459" t="s">
        <v>3377</v>
      </c>
      <c r="F855" s="171">
        <v>2000</v>
      </c>
      <c r="G855" s="171">
        <v>208</v>
      </c>
      <c r="H855" s="57"/>
      <c r="I855" s="173" t="s">
        <v>2564</v>
      </c>
      <c r="J855" s="277">
        <v>0.5</v>
      </c>
      <c r="K855" s="213">
        <v>4.9055555555555559</v>
      </c>
      <c r="L855" s="91"/>
      <c r="M855" s="278">
        <v>360</v>
      </c>
      <c r="N855" s="279"/>
      <c r="O855" s="172" t="s">
        <v>12</v>
      </c>
      <c r="P855" s="92"/>
      <c r="Q855" s="173" t="s">
        <v>10</v>
      </c>
      <c r="R855" s="171" t="s">
        <v>2735</v>
      </c>
      <c r="S855" s="94"/>
      <c r="T855" s="171" t="s">
        <v>2306</v>
      </c>
      <c r="U855" s="171" t="s">
        <v>2551</v>
      </c>
      <c r="V855" s="102">
        <v>0</v>
      </c>
      <c r="W855" s="120">
        <v>0</v>
      </c>
      <c r="X855" s="120">
        <v>0</v>
      </c>
      <c r="Y855" s="120">
        <v>0</v>
      </c>
      <c r="Z855" s="120">
        <v>0</v>
      </c>
      <c r="AA855" s="17">
        <v>0</v>
      </c>
      <c r="AB855" s="17">
        <v>0</v>
      </c>
      <c r="AC855" s="17">
        <v>0</v>
      </c>
      <c r="AD855" s="17">
        <v>0</v>
      </c>
      <c r="AE855" s="17">
        <v>0</v>
      </c>
      <c r="AF855" s="17">
        <v>0</v>
      </c>
      <c r="AG855" s="17">
        <v>0</v>
      </c>
      <c r="AH855" s="17">
        <v>0</v>
      </c>
      <c r="AI855" s="17">
        <v>0</v>
      </c>
      <c r="AJ855" s="17">
        <v>0</v>
      </c>
      <c r="AK855" s="17">
        <v>0</v>
      </c>
      <c r="AL855" s="32">
        <v>0</v>
      </c>
      <c r="AM855" s="57"/>
      <c r="AN855" s="89"/>
      <c r="AO855" s="280"/>
      <c r="AP855" s="784"/>
      <c r="AQ855" s="773" t="s">
        <v>271</v>
      </c>
      <c r="AR855" s="188">
        <v>100</v>
      </c>
      <c r="AS855" s="171"/>
      <c r="AT855" s="171" t="str">
        <f t="shared" si="70"/>
        <v>400</v>
      </c>
      <c r="AU855" s="255">
        <f t="shared" si="71"/>
        <v>22.222222222222221</v>
      </c>
      <c r="AV855" s="172">
        <v>100</v>
      </c>
      <c r="AW855" s="171">
        <v>7</v>
      </c>
      <c r="AX855" s="89"/>
      <c r="AY855" s="171">
        <v>20</v>
      </c>
      <c r="AZ855" s="89"/>
      <c r="BA855" s="175">
        <v>60</v>
      </c>
      <c r="BB855" s="189" t="s">
        <v>2547</v>
      </c>
      <c r="BC855" s="176"/>
      <c r="BD855" s="179"/>
      <c r="BE855" s="179"/>
      <c r="BF855" s="178"/>
      <c r="BG855" s="25"/>
      <c r="BH855" s="25"/>
    </row>
    <row r="856" spans="1:60" ht="15" customHeight="1">
      <c r="A856" s="95">
        <v>855</v>
      </c>
      <c r="B856" s="98" t="s">
        <v>847</v>
      </c>
      <c r="C856" s="191" t="s">
        <v>2640</v>
      </c>
      <c r="D856" s="257" t="s">
        <v>549</v>
      </c>
      <c r="E856" s="459" t="s">
        <v>3377</v>
      </c>
      <c r="F856" s="171">
        <v>2000</v>
      </c>
      <c r="G856" s="171">
        <v>208</v>
      </c>
      <c r="H856" s="57"/>
      <c r="I856" s="173" t="s">
        <v>2564</v>
      </c>
      <c r="J856" s="277">
        <v>0.5</v>
      </c>
      <c r="K856" s="213">
        <v>4.9055555555555559</v>
      </c>
      <c r="L856" s="91"/>
      <c r="M856" s="278">
        <v>360</v>
      </c>
      <c r="N856" s="279"/>
      <c r="O856" s="172" t="s">
        <v>12</v>
      </c>
      <c r="P856" s="92"/>
      <c r="Q856" s="173" t="s">
        <v>10</v>
      </c>
      <c r="R856" s="507"/>
      <c r="S856" s="94"/>
      <c r="T856" s="171" t="s">
        <v>2560</v>
      </c>
      <c r="U856" s="171" t="s">
        <v>2551</v>
      </c>
      <c r="V856" s="102">
        <v>0</v>
      </c>
      <c r="W856" s="120">
        <v>0</v>
      </c>
      <c r="X856" s="120">
        <v>0</v>
      </c>
      <c r="Y856" s="120">
        <v>0</v>
      </c>
      <c r="Z856" s="120">
        <v>0</v>
      </c>
      <c r="AA856" s="17">
        <v>0</v>
      </c>
      <c r="AB856" s="17">
        <v>0</v>
      </c>
      <c r="AC856" s="17">
        <v>0</v>
      </c>
      <c r="AD856" s="17">
        <v>0</v>
      </c>
      <c r="AE856" s="17">
        <v>0</v>
      </c>
      <c r="AF856" s="17">
        <v>0</v>
      </c>
      <c r="AG856" s="17">
        <v>0</v>
      </c>
      <c r="AH856" s="17">
        <v>0</v>
      </c>
      <c r="AI856" s="17">
        <v>0</v>
      </c>
      <c r="AJ856" s="17">
        <v>0</v>
      </c>
      <c r="AK856" s="17">
        <v>0</v>
      </c>
      <c r="AL856" s="32">
        <v>0</v>
      </c>
      <c r="AM856" s="57"/>
      <c r="AN856" s="89"/>
      <c r="AO856" s="280"/>
      <c r="AP856" s="784"/>
      <c r="AQ856" s="773" t="s">
        <v>271</v>
      </c>
      <c r="AR856" s="188">
        <v>100</v>
      </c>
      <c r="AS856" s="171"/>
      <c r="AT856" s="171" t="str">
        <f t="shared" si="70"/>
        <v>400</v>
      </c>
      <c r="AU856" s="255">
        <f t="shared" si="71"/>
        <v>22.222222222222221</v>
      </c>
      <c r="AV856" s="172">
        <v>100</v>
      </c>
      <c r="AW856" s="171">
        <v>7</v>
      </c>
      <c r="AX856" s="89"/>
      <c r="AY856" s="171">
        <v>20</v>
      </c>
      <c r="AZ856" s="89"/>
      <c r="BA856" s="175">
        <v>60</v>
      </c>
      <c r="BB856" s="189" t="s">
        <v>2547</v>
      </c>
      <c r="BC856" s="176"/>
      <c r="BD856" s="179"/>
      <c r="BE856" s="179"/>
      <c r="BF856" s="178"/>
      <c r="BG856" s="25"/>
      <c r="BH856" s="25"/>
    </row>
    <row r="857" spans="1:60" ht="15" customHeight="1">
      <c r="A857" s="95">
        <v>856</v>
      </c>
      <c r="B857" s="98" t="s">
        <v>846</v>
      </c>
      <c r="C857" s="191" t="s">
        <v>2640</v>
      </c>
      <c r="D857" s="257" t="s">
        <v>549</v>
      </c>
      <c r="E857" s="459" t="s">
        <v>3377</v>
      </c>
      <c r="F857" s="171">
        <v>2000</v>
      </c>
      <c r="G857" s="171">
        <v>208</v>
      </c>
      <c r="H857" s="57"/>
      <c r="I857" s="173" t="s">
        <v>2564</v>
      </c>
      <c r="J857" s="277">
        <v>0.5</v>
      </c>
      <c r="K857" s="213">
        <v>4.9055555555555559</v>
      </c>
      <c r="L857" s="91"/>
      <c r="M857" s="278">
        <v>360</v>
      </c>
      <c r="N857" s="279"/>
      <c r="O857" s="172" t="s">
        <v>12</v>
      </c>
      <c r="P857" s="92"/>
      <c r="Q857" s="173" t="s">
        <v>10</v>
      </c>
      <c r="R857" s="507"/>
      <c r="S857" s="94"/>
      <c r="T857" s="171" t="s">
        <v>2557</v>
      </c>
      <c r="U857" s="171"/>
      <c r="V857" s="102">
        <v>0</v>
      </c>
      <c r="W857" s="120">
        <v>0</v>
      </c>
      <c r="X857" s="120">
        <v>0</v>
      </c>
      <c r="Y857" s="120">
        <v>0</v>
      </c>
      <c r="Z857" s="120">
        <v>0</v>
      </c>
      <c r="AA857" s="17">
        <v>0</v>
      </c>
      <c r="AB857" s="17">
        <v>0</v>
      </c>
      <c r="AC857" s="17">
        <v>0</v>
      </c>
      <c r="AD857" s="17">
        <v>0</v>
      </c>
      <c r="AE857" s="17">
        <v>0</v>
      </c>
      <c r="AF857" s="17">
        <v>0</v>
      </c>
      <c r="AG857" s="17">
        <v>0</v>
      </c>
      <c r="AH857" s="17">
        <v>0</v>
      </c>
      <c r="AI857" s="17">
        <v>0</v>
      </c>
      <c r="AJ857" s="17">
        <v>0</v>
      </c>
      <c r="AK857" s="17">
        <v>0</v>
      </c>
      <c r="AL857" s="32">
        <v>0</v>
      </c>
      <c r="AM857" s="57"/>
      <c r="AN857" s="89"/>
      <c r="AO857" s="280"/>
      <c r="AP857" s="784"/>
      <c r="AQ857" s="773" t="s">
        <v>271</v>
      </c>
      <c r="AR857" s="188">
        <v>100</v>
      </c>
      <c r="AS857" s="171"/>
      <c r="AT857" s="171" t="str">
        <f t="shared" si="70"/>
        <v>400</v>
      </c>
      <c r="AU857" s="255">
        <f t="shared" si="71"/>
        <v>22.222222222222221</v>
      </c>
      <c r="AV857" s="172">
        <v>100</v>
      </c>
      <c r="AW857" s="171">
        <v>7</v>
      </c>
      <c r="AX857" s="89"/>
      <c r="AY857" s="171">
        <v>20</v>
      </c>
      <c r="AZ857" s="89"/>
      <c r="BA857" s="175">
        <v>60</v>
      </c>
      <c r="BB857" s="189" t="s">
        <v>2547</v>
      </c>
      <c r="BC857" s="176"/>
      <c r="BD857" s="179"/>
      <c r="BE857" s="179"/>
      <c r="BF857" s="178"/>
      <c r="BG857" s="25"/>
      <c r="BH857" s="25"/>
    </row>
    <row r="858" spans="1:60" ht="15" customHeight="1">
      <c r="A858" s="95">
        <v>857</v>
      </c>
      <c r="B858" s="98" t="s">
        <v>845</v>
      </c>
      <c r="C858" s="191" t="s">
        <v>2640</v>
      </c>
      <c r="D858" s="257" t="s">
        <v>549</v>
      </c>
      <c r="E858" s="459" t="s">
        <v>3377</v>
      </c>
      <c r="F858" s="171">
        <v>2000</v>
      </c>
      <c r="G858" s="171">
        <v>208</v>
      </c>
      <c r="H858" s="57"/>
      <c r="I858" s="173" t="s">
        <v>2564</v>
      </c>
      <c r="J858" s="277">
        <v>0.45</v>
      </c>
      <c r="K858" s="213">
        <v>4.5115681233933165</v>
      </c>
      <c r="L858" s="91"/>
      <c r="M858" s="278">
        <v>389</v>
      </c>
      <c r="N858" s="279"/>
      <c r="O858" s="172" t="s">
        <v>12</v>
      </c>
      <c r="P858" s="92"/>
      <c r="Q858" s="173" t="s">
        <v>10</v>
      </c>
      <c r="R858" s="171" t="s">
        <v>2735</v>
      </c>
      <c r="S858" s="94"/>
      <c r="T858" s="171" t="s">
        <v>2306</v>
      </c>
      <c r="U858" s="171" t="s">
        <v>2551</v>
      </c>
      <c r="V858" s="102">
        <v>0</v>
      </c>
      <c r="W858" s="120">
        <v>0</v>
      </c>
      <c r="X858" s="120">
        <v>0</v>
      </c>
      <c r="Y858" s="120">
        <v>0</v>
      </c>
      <c r="Z858" s="120">
        <v>0</v>
      </c>
      <c r="AA858" s="17">
        <v>0</v>
      </c>
      <c r="AB858" s="17">
        <v>0</v>
      </c>
      <c r="AC858" s="17">
        <v>0</v>
      </c>
      <c r="AD858" s="17">
        <v>0</v>
      </c>
      <c r="AE858" s="17">
        <v>0</v>
      </c>
      <c r="AF858" s="17">
        <v>0</v>
      </c>
      <c r="AG858" s="17">
        <v>0</v>
      </c>
      <c r="AH858" s="17">
        <v>0</v>
      </c>
      <c r="AI858" s="17">
        <v>0</v>
      </c>
      <c r="AJ858" s="17">
        <v>0</v>
      </c>
      <c r="AK858" s="17">
        <v>0</v>
      </c>
      <c r="AL858" s="32">
        <v>0</v>
      </c>
      <c r="AM858" s="57"/>
      <c r="AN858" s="89"/>
      <c r="AO858" s="280"/>
      <c r="AP858" s="784"/>
      <c r="AQ858" s="773" t="s">
        <v>271</v>
      </c>
      <c r="AR858" s="188">
        <v>100</v>
      </c>
      <c r="AS858" s="171"/>
      <c r="AT858" s="171" t="str">
        <f t="shared" si="70"/>
        <v>400</v>
      </c>
      <c r="AU858" s="255">
        <f t="shared" si="71"/>
        <v>22.222222222222221</v>
      </c>
      <c r="AV858" s="172">
        <v>100</v>
      </c>
      <c r="AW858" s="171">
        <v>7</v>
      </c>
      <c r="AX858" s="89"/>
      <c r="AY858" s="171">
        <v>20</v>
      </c>
      <c r="AZ858" s="89"/>
      <c r="BA858" s="175">
        <v>60</v>
      </c>
      <c r="BB858" s="189" t="s">
        <v>2547</v>
      </c>
      <c r="BC858" s="176"/>
      <c r="BD858" s="179"/>
      <c r="BE858" s="179"/>
      <c r="BF858" s="178"/>
      <c r="BG858" s="25"/>
      <c r="BH858" s="25"/>
    </row>
    <row r="859" spans="1:60" ht="15" customHeight="1">
      <c r="A859" s="95">
        <v>858</v>
      </c>
      <c r="B859" s="98" t="s">
        <v>844</v>
      </c>
      <c r="C859" s="191" t="s">
        <v>2640</v>
      </c>
      <c r="D859" s="257" t="s">
        <v>549</v>
      </c>
      <c r="E859" s="459" t="s">
        <v>3377</v>
      </c>
      <c r="F859" s="171">
        <v>2000</v>
      </c>
      <c r="G859" s="171">
        <v>208</v>
      </c>
      <c r="H859" s="57"/>
      <c r="I859" s="173" t="s">
        <v>2564</v>
      </c>
      <c r="J859" s="277">
        <v>0.45</v>
      </c>
      <c r="K859" s="213">
        <v>4.5115681233933165</v>
      </c>
      <c r="L859" s="91"/>
      <c r="M859" s="278">
        <v>389</v>
      </c>
      <c r="N859" s="279"/>
      <c r="O859" s="172" t="s">
        <v>12</v>
      </c>
      <c r="P859" s="92"/>
      <c r="Q859" s="173" t="s">
        <v>10</v>
      </c>
      <c r="R859" s="507"/>
      <c r="S859" s="94"/>
      <c r="T859" s="171" t="s">
        <v>2560</v>
      </c>
      <c r="U859" s="171" t="s">
        <v>2551</v>
      </c>
      <c r="V859" s="102">
        <v>0</v>
      </c>
      <c r="W859" s="120">
        <v>0</v>
      </c>
      <c r="X859" s="120">
        <v>0</v>
      </c>
      <c r="Y859" s="120">
        <v>0</v>
      </c>
      <c r="Z859" s="120">
        <v>0</v>
      </c>
      <c r="AA859" s="17">
        <v>0</v>
      </c>
      <c r="AB859" s="17">
        <v>0</v>
      </c>
      <c r="AC859" s="17">
        <v>0</v>
      </c>
      <c r="AD859" s="17">
        <v>0</v>
      </c>
      <c r="AE859" s="17">
        <v>0</v>
      </c>
      <c r="AF859" s="17">
        <v>0</v>
      </c>
      <c r="AG859" s="17">
        <v>0</v>
      </c>
      <c r="AH859" s="17">
        <v>0</v>
      </c>
      <c r="AI859" s="17">
        <v>0</v>
      </c>
      <c r="AJ859" s="17">
        <v>0</v>
      </c>
      <c r="AK859" s="17">
        <v>0</v>
      </c>
      <c r="AL859" s="32">
        <v>0</v>
      </c>
      <c r="AM859" s="57"/>
      <c r="AN859" s="89"/>
      <c r="AO859" s="280"/>
      <c r="AP859" s="784"/>
      <c r="AQ859" s="773" t="s">
        <v>271</v>
      </c>
      <c r="AR859" s="188">
        <v>100</v>
      </c>
      <c r="AS859" s="171"/>
      <c r="AT859" s="171" t="str">
        <f t="shared" ref="AT859:AT890" si="72">RIGHT(AQ859,LEN(AQ859)-FIND("x",AQ859,8))</f>
        <v>400</v>
      </c>
      <c r="AU859" s="255">
        <f t="shared" ref="AU859:AU890" si="73">IF(ISBLANK(AS859),(AR859*AT859)/((4*AT859)+(2*AR859)),AR859*AS859*AT859/2/(AR859*AS859+AR859*AT859+AS859*AT859))</f>
        <v>22.222222222222221</v>
      </c>
      <c r="AV859" s="172">
        <v>100</v>
      </c>
      <c r="AW859" s="171">
        <v>7</v>
      </c>
      <c r="AX859" s="89"/>
      <c r="AY859" s="171">
        <v>20</v>
      </c>
      <c r="AZ859" s="89"/>
      <c r="BA859" s="175">
        <v>60</v>
      </c>
      <c r="BB859" s="189" t="s">
        <v>2547</v>
      </c>
      <c r="BC859" s="176"/>
      <c r="BD859" s="179"/>
      <c r="BE859" s="179"/>
      <c r="BF859" s="178"/>
      <c r="BG859" s="25"/>
      <c r="BH859" s="25"/>
    </row>
    <row r="860" spans="1:60" ht="15" customHeight="1">
      <c r="A860" s="95">
        <v>859</v>
      </c>
      <c r="B860" s="98" t="s">
        <v>843</v>
      </c>
      <c r="C860" s="191" t="s">
        <v>2640</v>
      </c>
      <c r="D860" s="257" t="s">
        <v>549</v>
      </c>
      <c r="E860" s="459" t="s">
        <v>3377</v>
      </c>
      <c r="F860" s="171">
        <v>2000</v>
      </c>
      <c r="G860" s="171">
        <v>208</v>
      </c>
      <c r="H860" s="57"/>
      <c r="I860" s="173" t="s">
        <v>2564</v>
      </c>
      <c r="J860" s="277">
        <v>0.45</v>
      </c>
      <c r="K860" s="213">
        <v>4.5115681233933165</v>
      </c>
      <c r="L860" s="91"/>
      <c r="M860" s="278">
        <v>389</v>
      </c>
      <c r="N860" s="279"/>
      <c r="O860" s="172" t="s">
        <v>12</v>
      </c>
      <c r="P860" s="92"/>
      <c r="Q860" s="173" t="s">
        <v>10</v>
      </c>
      <c r="R860" s="507"/>
      <c r="S860" s="94"/>
      <c r="T860" s="171" t="s">
        <v>2557</v>
      </c>
      <c r="U860" s="171"/>
      <c r="V860" s="102">
        <v>0</v>
      </c>
      <c r="W860" s="120">
        <v>0</v>
      </c>
      <c r="X860" s="120">
        <v>0</v>
      </c>
      <c r="Y860" s="120">
        <v>0</v>
      </c>
      <c r="Z860" s="120">
        <v>0</v>
      </c>
      <c r="AA860" s="17">
        <v>0</v>
      </c>
      <c r="AB860" s="17">
        <v>0</v>
      </c>
      <c r="AC860" s="17">
        <v>0</v>
      </c>
      <c r="AD860" s="17">
        <v>0</v>
      </c>
      <c r="AE860" s="17">
        <v>0</v>
      </c>
      <c r="AF860" s="17">
        <v>0</v>
      </c>
      <c r="AG860" s="17">
        <v>0</v>
      </c>
      <c r="AH860" s="17">
        <v>0</v>
      </c>
      <c r="AI860" s="17">
        <v>0</v>
      </c>
      <c r="AJ860" s="17">
        <v>0</v>
      </c>
      <c r="AK860" s="17">
        <v>0</v>
      </c>
      <c r="AL860" s="32">
        <v>0</v>
      </c>
      <c r="AM860" s="57"/>
      <c r="AN860" s="89"/>
      <c r="AO860" s="280"/>
      <c r="AP860" s="784"/>
      <c r="AQ860" s="773" t="s">
        <v>271</v>
      </c>
      <c r="AR860" s="188">
        <v>100</v>
      </c>
      <c r="AS860" s="171"/>
      <c r="AT860" s="171" t="str">
        <f t="shared" si="72"/>
        <v>400</v>
      </c>
      <c r="AU860" s="255">
        <f t="shared" si="73"/>
        <v>22.222222222222221</v>
      </c>
      <c r="AV860" s="172">
        <v>100</v>
      </c>
      <c r="AW860" s="171">
        <v>7</v>
      </c>
      <c r="AX860" s="89"/>
      <c r="AY860" s="171">
        <v>20</v>
      </c>
      <c r="AZ860" s="89"/>
      <c r="BA860" s="175">
        <v>60</v>
      </c>
      <c r="BB860" s="189" t="s">
        <v>2547</v>
      </c>
      <c r="BC860" s="176"/>
      <c r="BD860" s="179"/>
      <c r="BE860" s="179"/>
      <c r="BF860" s="178"/>
      <c r="BG860" s="25"/>
      <c r="BH860" s="25"/>
    </row>
    <row r="861" spans="1:60" ht="15" customHeight="1">
      <c r="A861" s="95">
        <v>860</v>
      </c>
      <c r="B861" s="98" t="s">
        <v>842</v>
      </c>
      <c r="C861" s="191" t="s">
        <v>2640</v>
      </c>
      <c r="D861" s="257" t="s">
        <v>549</v>
      </c>
      <c r="E861" s="459" t="s">
        <v>3377</v>
      </c>
      <c r="F861" s="171">
        <v>2000</v>
      </c>
      <c r="G861" s="171">
        <v>208</v>
      </c>
      <c r="H861" s="57"/>
      <c r="I861" s="173" t="s">
        <v>2564</v>
      </c>
      <c r="J861" s="277">
        <v>0.5</v>
      </c>
      <c r="K861" s="213">
        <v>4.9055555555555559</v>
      </c>
      <c r="L861" s="91"/>
      <c r="M861" s="278">
        <v>360</v>
      </c>
      <c r="N861" s="279"/>
      <c r="O861" s="172" t="s">
        <v>12</v>
      </c>
      <c r="P861" s="92"/>
      <c r="Q861" s="173" t="s">
        <v>10</v>
      </c>
      <c r="R861" s="171" t="s">
        <v>2735</v>
      </c>
      <c r="S861" s="94"/>
      <c r="T861" s="171" t="s">
        <v>2306</v>
      </c>
      <c r="U861" s="171" t="s">
        <v>2551</v>
      </c>
      <c r="V861" s="102">
        <v>0</v>
      </c>
      <c r="W861" s="120">
        <v>0</v>
      </c>
      <c r="X861" s="120">
        <v>0</v>
      </c>
      <c r="Y861" s="120">
        <v>0</v>
      </c>
      <c r="Z861" s="120">
        <v>0</v>
      </c>
      <c r="AA861" s="17">
        <v>0</v>
      </c>
      <c r="AB861" s="17">
        <v>0</v>
      </c>
      <c r="AC861" s="17">
        <v>0</v>
      </c>
      <c r="AD861" s="17">
        <v>0</v>
      </c>
      <c r="AE861" s="17">
        <v>0</v>
      </c>
      <c r="AF861" s="17">
        <v>0</v>
      </c>
      <c r="AG861" s="17">
        <v>0</v>
      </c>
      <c r="AH861" s="17">
        <v>0</v>
      </c>
      <c r="AI861" s="17">
        <v>0</v>
      </c>
      <c r="AJ861" s="17">
        <v>0</v>
      </c>
      <c r="AK861" s="17">
        <v>0</v>
      </c>
      <c r="AL861" s="32">
        <v>0</v>
      </c>
      <c r="AM861" s="57"/>
      <c r="AN861" s="89"/>
      <c r="AO861" s="280"/>
      <c r="AP861" s="784"/>
      <c r="AQ861" s="773" t="s">
        <v>271</v>
      </c>
      <c r="AR861" s="188">
        <v>100</v>
      </c>
      <c r="AS861" s="171"/>
      <c r="AT861" s="171" t="str">
        <f t="shared" si="72"/>
        <v>400</v>
      </c>
      <c r="AU861" s="255">
        <f t="shared" si="73"/>
        <v>22.222222222222221</v>
      </c>
      <c r="AV861" s="172">
        <v>100</v>
      </c>
      <c r="AW861" s="171">
        <v>7</v>
      </c>
      <c r="AX861" s="89"/>
      <c r="AY861" s="171">
        <v>20</v>
      </c>
      <c r="AZ861" s="89"/>
      <c r="BA861" s="175">
        <v>60</v>
      </c>
      <c r="BB861" s="189" t="s">
        <v>2547</v>
      </c>
      <c r="BC861" s="176"/>
      <c r="BD861" s="179"/>
      <c r="BE861" s="179"/>
      <c r="BF861" s="178"/>
      <c r="BG861" s="25"/>
      <c r="BH861" s="25"/>
    </row>
    <row r="862" spans="1:60" ht="15" customHeight="1">
      <c r="A862" s="95">
        <v>861</v>
      </c>
      <c r="B862" s="98" t="s">
        <v>841</v>
      </c>
      <c r="C862" s="191" t="s">
        <v>2640</v>
      </c>
      <c r="D862" s="257" t="s">
        <v>549</v>
      </c>
      <c r="E862" s="459" t="s">
        <v>3377</v>
      </c>
      <c r="F862" s="171">
        <v>2000</v>
      </c>
      <c r="G862" s="171">
        <v>208</v>
      </c>
      <c r="H862" s="57"/>
      <c r="I862" s="173" t="s">
        <v>2564</v>
      </c>
      <c r="J862" s="277">
        <v>0.5</v>
      </c>
      <c r="K862" s="213">
        <v>4.9055555555555559</v>
      </c>
      <c r="L862" s="91"/>
      <c r="M862" s="278">
        <v>360</v>
      </c>
      <c r="N862" s="279"/>
      <c r="O862" s="172" t="s">
        <v>12</v>
      </c>
      <c r="P862" s="92"/>
      <c r="Q862" s="173" t="s">
        <v>10</v>
      </c>
      <c r="R862" s="94"/>
      <c r="S862" s="94"/>
      <c r="T862" s="171" t="s">
        <v>2560</v>
      </c>
      <c r="U862" s="171" t="s">
        <v>2551</v>
      </c>
      <c r="V862" s="102">
        <v>0</v>
      </c>
      <c r="W862" s="120">
        <v>0</v>
      </c>
      <c r="X862" s="120">
        <v>0</v>
      </c>
      <c r="Y862" s="120">
        <v>0</v>
      </c>
      <c r="Z862" s="120">
        <v>0</v>
      </c>
      <c r="AA862" s="17">
        <v>0</v>
      </c>
      <c r="AB862" s="17">
        <v>0</v>
      </c>
      <c r="AC862" s="17">
        <v>0</v>
      </c>
      <c r="AD862" s="17">
        <v>0</v>
      </c>
      <c r="AE862" s="17">
        <v>0</v>
      </c>
      <c r="AF862" s="17">
        <v>0</v>
      </c>
      <c r="AG862" s="17">
        <v>0</v>
      </c>
      <c r="AH862" s="17">
        <v>0</v>
      </c>
      <c r="AI862" s="17">
        <v>0</v>
      </c>
      <c r="AJ862" s="17">
        <v>0</v>
      </c>
      <c r="AK862" s="17">
        <v>0</v>
      </c>
      <c r="AL862" s="32">
        <v>0</v>
      </c>
      <c r="AM862" s="57"/>
      <c r="AN862" s="89"/>
      <c r="AO862" s="280"/>
      <c r="AP862" s="784"/>
      <c r="AQ862" s="773" t="s">
        <v>271</v>
      </c>
      <c r="AR862" s="188">
        <v>100</v>
      </c>
      <c r="AS862" s="171"/>
      <c r="AT862" s="171" t="str">
        <f t="shared" si="72"/>
        <v>400</v>
      </c>
      <c r="AU862" s="255">
        <f t="shared" si="73"/>
        <v>22.222222222222221</v>
      </c>
      <c r="AV862" s="172">
        <v>100</v>
      </c>
      <c r="AW862" s="171">
        <v>7</v>
      </c>
      <c r="AX862" s="89"/>
      <c r="AY862" s="171">
        <v>20</v>
      </c>
      <c r="AZ862" s="89"/>
      <c r="BA862" s="175">
        <v>60</v>
      </c>
      <c r="BB862" s="189" t="s">
        <v>2547</v>
      </c>
      <c r="BC862" s="176"/>
      <c r="BD862" s="179"/>
      <c r="BE862" s="179"/>
      <c r="BF862" s="178"/>
      <c r="BG862" s="25"/>
      <c r="BH862" s="25"/>
    </row>
    <row r="863" spans="1:60" ht="15" customHeight="1">
      <c r="A863" s="95">
        <v>862</v>
      </c>
      <c r="B863" s="98" t="s">
        <v>840</v>
      </c>
      <c r="C863" s="191" t="s">
        <v>2640</v>
      </c>
      <c r="D863" s="257" t="s">
        <v>549</v>
      </c>
      <c r="E863" s="459" t="s">
        <v>3377</v>
      </c>
      <c r="F863" s="171">
        <v>2000</v>
      </c>
      <c r="G863" s="171">
        <v>208</v>
      </c>
      <c r="H863" s="57"/>
      <c r="I863" s="173" t="s">
        <v>2564</v>
      </c>
      <c r="J863" s="277">
        <v>0.5</v>
      </c>
      <c r="K863" s="213">
        <v>4.9055555555555559</v>
      </c>
      <c r="L863" s="91"/>
      <c r="M863" s="278">
        <v>360</v>
      </c>
      <c r="N863" s="279"/>
      <c r="O863" s="172" t="s">
        <v>12</v>
      </c>
      <c r="P863" s="511"/>
      <c r="Q863" s="173" t="s">
        <v>10</v>
      </c>
      <c r="R863" s="94"/>
      <c r="S863" s="94"/>
      <c r="T863" s="171" t="s">
        <v>2557</v>
      </c>
      <c r="U863" s="171"/>
      <c r="V863" s="102">
        <v>0</v>
      </c>
      <c r="W863" s="120">
        <v>0</v>
      </c>
      <c r="X863" s="120">
        <v>0</v>
      </c>
      <c r="Y863" s="120">
        <v>0</v>
      </c>
      <c r="Z863" s="120">
        <v>0</v>
      </c>
      <c r="AA863" s="17">
        <v>0</v>
      </c>
      <c r="AB863" s="17">
        <v>0</v>
      </c>
      <c r="AC863" s="17">
        <v>0</v>
      </c>
      <c r="AD863" s="17">
        <v>0</v>
      </c>
      <c r="AE863" s="17">
        <v>0</v>
      </c>
      <c r="AF863" s="17">
        <v>0</v>
      </c>
      <c r="AG863" s="17">
        <v>0</v>
      </c>
      <c r="AH863" s="17">
        <v>0</v>
      </c>
      <c r="AI863" s="17">
        <v>0</v>
      </c>
      <c r="AJ863" s="17">
        <v>0</v>
      </c>
      <c r="AK863" s="17">
        <v>0</v>
      </c>
      <c r="AL863" s="32">
        <v>0</v>
      </c>
      <c r="AM863" s="57"/>
      <c r="AN863" s="89"/>
      <c r="AO863" s="280"/>
      <c r="AP863" s="784"/>
      <c r="AQ863" s="773" t="s">
        <v>271</v>
      </c>
      <c r="AR863" s="188">
        <v>100</v>
      </c>
      <c r="AS863" s="171"/>
      <c r="AT863" s="171" t="str">
        <f t="shared" si="72"/>
        <v>400</v>
      </c>
      <c r="AU863" s="255">
        <f t="shared" si="73"/>
        <v>22.222222222222221</v>
      </c>
      <c r="AV863" s="172">
        <v>100</v>
      </c>
      <c r="AW863" s="171">
        <v>7</v>
      </c>
      <c r="AX863" s="89"/>
      <c r="AY863" s="171">
        <v>20</v>
      </c>
      <c r="AZ863" s="89"/>
      <c r="BA863" s="175">
        <v>60</v>
      </c>
      <c r="BB863" s="189" t="s">
        <v>2547</v>
      </c>
      <c r="BC863" s="176"/>
      <c r="BD863" s="179"/>
      <c r="BE863" s="179"/>
      <c r="BF863" s="178"/>
      <c r="BG863" s="25"/>
      <c r="BH863" s="25"/>
    </row>
    <row r="864" spans="1:60" ht="15" customHeight="1">
      <c r="A864" s="95">
        <v>863</v>
      </c>
      <c r="B864" s="98" t="s">
        <v>839</v>
      </c>
      <c r="C864" s="191" t="s">
        <v>2640</v>
      </c>
      <c r="D864" s="257" t="s">
        <v>549</v>
      </c>
      <c r="E864" s="459" t="s">
        <v>3377</v>
      </c>
      <c r="F864" s="171">
        <v>2000</v>
      </c>
      <c r="G864" s="171">
        <v>208</v>
      </c>
      <c r="H864" s="57"/>
      <c r="I864" s="173" t="s">
        <v>2564</v>
      </c>
      <c r="J864" s="277">
        <v>0.45</v>
      </c>
      <c r="K864" s="213">
        <v>4.5115681233933165</v>
      </c>
      <c r="L864" s="91"/>
      <c r="M864" s="278">
        <v>389</v>
      </c>
      <c r="N864" s="279"/>
      <c r="O864" s="172" t="s">
        <v>12</v>
      </c>
      <c r="P864" s="92"/>
      <c r="Q864" s="173" t="s">
        <v>10</v>
      </c>
      <c r="R864" s="171" t="s">
        <v>2735</v>
      </c>
      <c r="S864" s="94"/>
      <c r="T864" s="171" t="s">
        <v>2306</v>
      </c>
      <c r="U864" s="171" t="s">
        <v>2551</v>
      </c>
      <c r="V864" s="102">
        <v>0</v>
      </c>
      <c r="W864" s="120">
        <v>0</v>
      </c>
      <c r="X864" s="120">
        <v>0</v>
      </c>
      <c r="Y864" s="120">
        <v>0</v>
      </c>
      <c r="Z864" s="120">
        <v>0</v>
      </c>
      <c r="AA864" s="17">
        <v>0</v>
      </c>
      <c r="AB864" s="17">
        <v>0</v>
      </c>
      <c r="AC864" s="17">
        <v>0</v>
      </c>
      <c r="AD864" s="17">
        <v>0</v>
      </c>
      <c r="AE864" s="17">
        <v>0</v>
      </c>
      <c r="AF864" s="17">
        <v>0</v>
      </c>
      <c r="AG864" s="17">
        <v>0</v>
      </c>
      <c r="AH864" s="17">
        <v>0</v>
      </c>
      <c r="AI864" s="17">
        <v>0</v>
      </c>
      <c r="AJ864" s="17">
        <v>0</v>
      </c>
      <c r="AK864" s="17">
        <v>0</v>
      </c>
      <c r="AL864" s="32">
        <v>0</v>
      </c>
      <c r="AM864" s="57"/>
      <c r="AN864" s="89"/>
      <c r="AO864" s="280"/>
      <c r="AP864" s="784"/>
      <c r="AQ864" s="773" t="s">
        <v>271</v>
      </c>
      <c r="AR864" s="188">
        <v>100</v>
      </c>
      <c r="AS864" s="171"/>
      <c r="AT864" s="171" t="str">
        <f t="shared" si="72"/>
        <v>400</v>
      </c>
      <c r="AU864" s="255">
        <f t="shared" si="73"/>
        <v>22.222222222222221</v>
      </c>
      <c r="AV864" s="172">
        <v>100</v>
      </c>
      <c r="AW864" s="171">
        <v>7</v>
      </c>
      <c r="AX864" s="89"/>
      <c r="AY864" s="171">
        <v>20</v>
      </c>
      <c r="AZ864" s="89"/>
      <c r="BA864" s="175">
        <v>60</v>
      </c>
      <c r="BB864" s="189" t="s">
        <v>2547</v>
      </c>
      <c r="BC864" s="176"/>
      <c r="BD864" s="179"/>
      <c r="BE864" s="179"/>
      <c r="BF864" s="178"/>
      <c r="BG864" s="25"/>
      <c r="BH864" s="25"/>
    </row>
    <row r="865" spans="1:60" ht="15" customHeight="1">
      <c r="A865" s="95">
        <v>864</v>
      </c>
      <c r="B865" s="98" t="s">
        <v>838</v>
      </c>
      <c r="C865" s="191" t="s">
        <v>2640</v>
      </c>
      <c r="D865" s="257" t="s">
        <v>549</v>
      </c>
      <c r="E865" s="459" t="s">
        <v>3377</v>
      </c>
      <c r="F865" s="171">
        <v>2000</v>
      </c>
      <c r="G865" s="171">
        <v>208</v>
      </c>
      <c r="H865" s="57"/>
      <c r="I865" s="173" t="s">
        <v>2564</v>
      </c>
      <c r="J865" s="277">
        <v>0.45</v>
      </c>
      <c r="K865" s="213">
        <v>4.5115681233933165</v>
      </c>
      <c r="L865" s="91"/>
      <c r="M865" s="278">
        <v>389</v>
      </c>
      <c r="N865" s="279"/>
      <c r="O865" s="172" t="s">
        <v>12</v>
      </c>
      <c r="P865" s="92"/>
      <c r="Q865" s="173" t="s">
        <v>10</v>
      </c>
      <c r="R865" s="94"/>
      <c r="S865" s="94"/>
      <c r="T865" s="171" t="s">
        <v>2560</v>
      </c>
      <c r="U865" s="171" t="s">
        <v>2551</v>
      </c>
      <c r="V865" s="102">
        <v>0</v>
      </c>
      <c r="W865" s="120">
        <v>0</v>
      </c>
      <c r="X865" s="120">
        <v>0</v>
      </c>
      <c r="Y865" s="120">
        <v>0</v>
      </c>
      <c r="Z865" s="120">
        <v>0</v>
      </c>
      <c r="AA865" s="17">
        <v>0</v>
      </c>
      <c r="AB865" s="17">
        <v>0</v>
      </c>
      <c r="AC865" s="17">
        <v>0</v>
      </c>
      <c r="AD865" s="17">
        <v>0</v>
      </c>
      <c r="AE865" s="17">
        <v>0</v>
      </c>
      <c r="AF865" s="17">
        <v>0</v>
      </c>
      <c r="AG865" s="17">
        <v>0</v>
      </c>
      <c r="AH865" s="17">
        <v>0</v>
      </c>
      <c r="AI865" s="17">
        <v>0</v>
      </c>
      <c r="AJ865" s="17">
        <v>0</v>
      </c>
      <c r="AK865" s="17">
        <v>0</v>
      </c>
      <c r="AL865" s="32">
        <v>0</v>
      </c>
      <c r="AM865" s="57"/>
      <c r="AN865" s="89"/>
      <c r="AO865" s="280"/>
      <c r="AP865" s="784"/>
      <c r="AQ865" s="773" t="s">
        <v>271</v>
      </c>
      <c r="AR865" s="188">
        <v>100</v>
      </c>
      <c r="AS865" s="171"/>
      <c r="AT865" s="171" t="str">
        <f t="shared" si="72"/>
        <v>400</v>
      </c>
      <c r="AU865" s="255">
        <f t="shared" si="73"/>
        <v>22.222222222222221</v>
      </c>
      <c r="AV865" s="172">
        <v>100</v>
      </c>
      <c r="AW865" s="171">
        <v>7</v>
      </c>
      <c r="AX865" s="89"/>
      <c r="AY865" s="171">
        <v>20</v>
      </c>
      <c r="AZ865" s="89"/>
      <c r="BA865" s="175">
        <v>60</v>
      </c>
      <c r="BB865" s="189" t="s">
        <v>2547</v>
      </c>
      <c r="BC865" s="176"/>
      <c r="BD865" s="179"/>
      <c r="BE865" s="179"/>
      <c r="BF865" s="178"/>
      <c r="BG865" s="25"/>
      <c r="BH865" s="25"/>
    </row>
    <row r="866" spans="1:60" ht="15" customHeight="1">
      <c r="A866" s="95">
        <v>865</v>
      </c>
      <c r="B866" s="98" t="s">
        <v>837</v>
      </c>
      <c r="C866" s="191" t="s">
        <v>2640</v>
      </c>
      <c r="D866" s="257" t="s">
        <v>549</v>
      </c>
      <c r="E866" s="459" t="s">
        <v>3377</v>
      </c>
      <c r="F866" s="171">
        <v>2000</v>
      </c>
      <c r="G866" s="171">
        <v>208</v>
      </c>
      <c r="H866" s="57"/>
      <c r="I866" s="173" t="s">
        <v>2564</v>
      </c>
      <c r="J866" s="277">
        <v>0.45</v>
      </c>
      <c r="K866" s="213">
        <v>4.5115681233933165</v>
      </c>
      <c r="L866" s="91"/>
      <c r="M866" s="278">
        <v>389</v>
      </c>
      <c r="N866" s="279"/>
      <c r="O866" s="172" t="s">
        <v>12</v>
      </c>
      <c r="P866" s="92"/>
      <c r="Q866" s="173" t="s">
        <v>10</v>
      </c>
      <c r="R866" s="94"/>
      <c r="S866" s="94"/>
      <c r="T866" s="171" t="s">
        <v>2557</v>
      </c>
      <c r="U866" s="171"/>
      <c r="V866" s="102">
        <v>0</v>
      </c>
      <c r="W866" s="120">
        <v>0</v>
      </c>
      <c r="X866" s="120">
        <v>0</v>
      </c>
      <c r="Y866" s="120">
        <v>0</v>
      </c>
      <c r="Z866" s="120">
        <v>0</v>
      </c>
      <c r="AA866" s="17">
        <v>0</v>
      </c>
      <c r="AB866" s="17">
        <v>0</v>
      </c>
      <c r="AC866" s="17">
        <v>0</v>
      </c>
      <c r="AD866" s="17">
        <v>0</v>
      </c>
      <c r="AE866" s="17">
        <v>0</v>
      </c>
      <c r="AF866" s="17">
        <v>0</v>
      </c>
      <c r="AG866" s="17">
        <v>0</v>
      </c>
      <c r="AH866" s="17">
        <v>0</v>
      </c>
      <c r="AI866" s="17">
        <v>0</v>
      </c>
      <c r="AJ866" s="17">
        <v>0</v>
      </c>
      <c r="AK866" s="17">
        <v>0</v>
      </c>
      <c r="AL866" s="32">
        <v>0</v>
      </c>
      <c r="AM866" s="57"/>
      <c r="AN866" s="89"/>
      <c r="AO866" s="280"/>
      <c r="AP866" s="784"/>
      <c r="AQ866" s="773" t="s">
        <v>271</v>
      </c>
      <c r="AR866" s="188">
        <v>100</v>
      </c>
      <c r="AS866" s="171"/>
      <c r="AT866" s="171" t="str">
        <f t="shared" si="72"/>
        <v>400</v>
      </c>
      <c r="AU866" s="255">
        <f t="shared" si="73"/>
        <v>22.222222222222221</v>
      </c>
      <c r="AV866" s="172">
        <v>100</v>
      </c>
      <c r="AW866" s="171">
        <v>7</v>
      </c>
      <c r="AX866" s="89"/>
      <c r="AY866" s="171">
        <v>20</v>
      </c>
      <c r="AZ866" s="89"/>
      <c r="BA866" s="175">
        <v>60</v>
      </c>
      <c r="BB866" s="189" t="s">
        <v>2547</v>
      </c>
      <c r="BC866" s="176"/>
      <c r="BD866" s="179"/>
      <c r="BE866" s="179"/>
      <c r="BF866" s="178"/>
      <c r="BG866" s="25"/>
      <c r="BH866" s="25"/>
    </row>
    <row r="867" spans="1:60" ht="15" customHeight="1">
      <c r="A867" s="95">
        <v>866</v>
      </c>
      <c r="B867" s="98" t="s">
        <v>836</v>
      </c>
      <c r="C867" s="191" t="s">
        <v>2640</v>
      </c>
      <c r="D867" s="257" t="s">
        <v>549</v>
      </c>
      <c r="E867" s="459" t="s">
        <v>3377</v>
      </c>
      <c r="F867" s="171">
        <v>2000</v>
      </c>
      <c r="G867" s="171">
        <v>208</v>
      </c>
      <c r="H867" s="57"/>
      <c r="I867" s="173" t="s">
        <v>2564</v>
      </c>
      <c r="J867" s="277">
        <v>0.5</v>
      </c>
      <c r="K867" s="213">
        <v>4.9055555555555559</v>
      </c>
      <c r="L867" s="91"/>
      <c r="M867" s="278">
        <v>360</v>
      </c>
      <c r="N867" s="279"/>
      <c r="O867" s="172" t="s">
        <v>12</v>
      </c>
      <c r="P867" s="92"/>
      <c r="Q867" s="173" t="s">
        <v>10</v>
      </c>
      <c r="R867" s="171" t="s">
        <v>2735</v>
      </c>
      <c r="S867" s="94"/>
      <c r="T867" s="171" t="s">
        <v>2306</v>
      </c>
      <c r="U867" s="171" t="s">
        <v>2551</v>
      </c>
      <c r="V867" s="102">
        <v>0</v>
      </c>
      <c r="W867" s="120">
        <v>0</v>
      </c>
      <c r="X867" s="120">
        <v>0</v>
      </c>
      <c r="Y867" s="120">
        <v>0</v>
      </c>
      <c r="Z867" s="120">
        <v>0</v>
      </c>
      <c r="AA867" s="17">
        <v>0</v>
      </c>
      <c r="AB867" s="17">
        <v>0</v>
      </c>
      <c r="AC867" s="17">
        <v>0</v>
      </c>
      <c r="AD867" s="17">
        <v>0</v>
      </c>
      <c r="AE867" s="17">
        <v>0</v>
      </c>
      <c r="AF867" s="17">
        <v>0</v>
      </c>
      <c r="AG867" s="17">
        <v>0</v>
      </c>
      <c r="AH867" s="17">
        <v>0</v>
      </c>
      <c r="AI867" s="17">
        <v>0</v>
      </c>
      <c r="AJ867" s="17">
        <v>0</v>
      </c>
      <c r="AK867" s="17">
        <v>0</v>
      </c>
      <c r="AL867" s="32">
        <v>0</v>
      </c>
      <c r="AM867" s="57"/>
      <c r="AN867" s="89"/>
      <c r="AO867" s="280"/>
      <c r="AP867" s="784"/>
      <c r="AQ867" s="773" t="s">
        <v>271</v>
      </c>
      <c r="AR867" s="188">
        <v>100</v>
      </c>
      <c r="AS867" s="171"/>
      <c r="AT867" s="171" t="str">
        <f t="shared" si="72"/>
        <v>400</v>
      </c>
      <c r="AU867" s="255">
        <f t="shared" si="73"/>
        <v>22.222222222222221</v>
      </c>
      <c r="AV867" s="172">
        <v>100</v>
      </c>
      <c r="AW867" s="171">
        <v>7</v>
      </c>
      <c r="AX867" s="89"/>
      <c r="AY867" s="171">
        <v>20</v>
      </c>
      <c r="AZ867" s="89"/>
      <c r="BA867" s="175">
        <v>60</v>
      </c>
      <c r="BB867" s="189" t="s">
        <v>2547</v>
      </c>
      <c r="BC867" s="176"/>
      <c r="BD867" s="179"/>
      <c r="BE867" s="179"/>
      <c r="BF867" s="178"/>
      <c r="BG867" s="25"/>
      <c r="BH867" s="25"/>
    </row>
    <row r="868" spans="1:60" ht="15" customHeight="1">
      <c r="A868" s="95">
        <v>867</v>
      </c>
      <c r="B868" s="98" t="s">
        <v>835</v>
      </c>
      <c r="C868" s="191" t="s">
        <v>2640</v>
      </c>
      <c r="D868" s="257" t="s">
        <v>549</v>
      </c>
      <c r="E868" s="459" t="s">
        <v>3377</v>
      </c>
      <c r="F868" s="171">
        <v>2000</v>
      </c>
      <c r="G868" s="171">
        <v>208</v>
      </c>
      <c r="H868" s="57"/>
      <c r="I868" s="173" t="s">
        <v>2564</v>
      </c>
      <c r="J868" s="277">
        <v>0.5</v>
      </c>
      <c r="K868" s="213">
        <v>4.9055555555555559</v>
      </c>
      <c r="L868" s="91"/>
      <c r="M868" s="278">
        <v>360</v>
      </c>
      <c r="N868" s="279"/>
      <c r="O868" s="172" t="s">
        <v>12</v>
      </c>
      <c r="P868" s="92"/>
      <c r="Q868" s="173" t="s">
        <v>10</v>
      </c>
      <c r="R868" s="94"/>
      <c r="S868" s="94"/>
      <c r="T868" s="171" t="s">
        <v>2560</v>
      </c>
      <c r="U868" s="171" t="s">
        <v>2551</v>
      </c>
      <c r="V868" s="102">
        <v>0</v>
      </c>
      <c r="W868" s="120">
        <v>0</v>
      </c>
      <c r="X868" s="120">
        <v>0</v>
      </c>
      <c r="Y868" s="120">
        <v>0</v>
      </c>
      <c r="Z868" s="120">
        <v>0</v>
      </c>
      <c r="AA868" s="17">
        <v>0</v>
      </c>
      <c r="AB868" s="17">
        <v>0</v>
      </c>
      <c r="AC868" s="17">
        <v>0</v>
      </c>
      <c r="AD868" s="17">
        <v>0</v>
      </c>
      <c r="AE868" s="17">
        <v>0</v>
      </c>
      <c r="AF868" s="17">
        <v>0</v>
      </c>
      <c r="AG868" s="17">
        <v>0</v>
      </c>
      <c r="AH868" s="17">
        <v>0</v>
      </c>
      <c r="AI868" s="17">
        <v>0</v>
      </c>
      <c r="AJ868" s="17">
        <v>0</v>
      </c>
      <c r="AK868" s="17">
        <v>0</v>
      </c>
      <c r="AL868" s="32">
        <v>0</v>
      </c>
      <c r="AM868" s="57"/>
      <c r="AN868" s="89"/>
      <c r="AO868" s="280"/>
      <c r="AP868" s="784"/>
      <c r="AQ868" s="773" t="s">
        <v>271</v>
      </c>
      <c r="AR868" s="188">
        <v>100</v>
      </c>
      <c r="AS868" s="171"/>
      <c r="AT868" s="171" t="str">
        <f t="shared" si="72"/>
        <v>400</v>
      </c>
      <c r="AU868" s="255">
        <f t="shared" si="73"/>
        <v>22.222222222222221</v>
      </c>
      <c r="AV868" s="172">
        <v>100</v>
      </c>
      <c r="AW868" s="171">
        <v>7</v>
      </c>
      <c r="AX868" s="89"/>
      <c r="AY868" s="171">
        <v>20</v>
      </c>
      <c r="AZ868" s="89"/>
      <c r="BA868" s="175">
        <v>60</v>
      </c>
      <c r="BB868" s="189" t="s">
        <v>2547</v>
      </c>
      <c r="BC868" s="176"/>
      <c r="BD868" s="179"/>
      <c r="BE868" s="179"/>
      <c r="BF868" s="178"/>
      <c r="BG868" s="25"/>
      <c r="BH868" s="25"/>
    </row>
    <row r="869" spans="1:60" ht="15" customHeight="1">
      <c r="A869" s="95">
        <v>868</v>
      </c>
      <c r="B869" s="98" t="s">
        <v>834</v>
      </c>
      <c r="C869" s="191" t="s">
        <v>2640</v>
      </c>
      <c r="D869" s="257" t="s">
        <v>549</v>
      </c>
      <c r="E869" s="459" t="s">
        <v>3377</v>
      </c>
      <c r="F869" s="171">
        <v>2000</v>
      </c>
      <c r="G869" s="171">
        <v>208</v>
      </c>
      <c r="H869" s="57"/>
      <c r="I869" s="173" t="s">
        <v>2564</v>
      </c>
      <c r="J869" s="277">
        <v>0.5</v>
      </c>
      <c r="K869" s="213">
        <v>4.9055555555555559</v>
      </c>
      <c r="L869" s="91"/>
      <c r="M869" s="278">
        <v>360</v>
      </c>
      <c r="N869" s="279"/>
      <c r="O869" s="172" t="s">
        <v>12</v>
      </c>
      <c r="P869" s="92"/>
      <c r="Q869" s="173" t="s">
        <v>10</v>
      </c>
      <c r="R869" s="94"/>
      <c r="S869" s="94"/>
      <c r="T869" s="171" t="s">
        <v>2557</v>
      </c>
      <c r="U869" s="171"/>
      <c r="V869" s="102">
        <v>0</v>
      </c>
      <c r="W869" s="120">
        <v>0</v>
      </c>
      <c r="X869" s="120">
        <v>0</v>
      </c>
      <c r="Y869" s="120">
        <v>0</v>
      </c>
      <c r="Z869" s="120">
        <v>0</v>
      </c>
      <c r="AA869" s="17">
        <v>0</v>
      </c>
      <c r="AB869" s="17">
        <v>0</v>
      </c>
      <c r="AC869" s="17">
        <v>0</v>
      </c>
      <c r="AD869" s="17">
        <v>0</v>
      </c>
      <c r="AE869" s="17">
        <v>0</v>
      </c>
      <c r="AF869" s="17">
        <v>0</v>
      </c>
      <c r="AG869" s="17">
        <v>0</v>
      </c>
      <c r="AH869" s="17">
        <v>0</v>
      </c>
      <c r="AI869" s="17">
        <v>0</v>
      </c>
      <c r="AJ869" s="17">
        <v>0</v>
      </c>
      <c r="AK869" s="17">
        <v>0</v>
      </c>
      <c r="AL869" s="32">
        <v>0</v>
      </c>
      <c r="AM869" s="57"/>
      <c r="AN869" s="89"/>
      <c r="AO869" s="280"/>
      <c r="AP869" s="784"/>
      <c r="AQ869" s="773" t="s">
        <v>271</v>
      </c>
      <c r="AR869" s="188">
        <v>100</v>
      </c>
      <c r="AS869" s="171"/>
      <c r="AT869" s="171" t="str">
        <f t="shared" si="72"/>
        <v>400</v>
      </c>
      <c r="AU869" s="255">
        <f t="shared" si="73"/>
        <v>22.222222222222221</v>
      </c>
      <c r="AV869" s="172">
        <v>100</v>
      </c>
      <c r="AW869" s="171">
        <v>7</v>
      </c>
      <c r="AX869" s="89"/>
      <c r="AY869" s="171">
        <v>20</v>
      </c>
      <c r="AZ869" s="89"/>
      <c r="BA869" s="175">
        <v>60</v>
      </c>
      <c r="BB869" s="189" t="s">
        <v>2547</v>
      </c>
      <c r="BC869" s="176"/>
      <c r="BD869" s="179"/>
      <c r="BE869" s="179"/>
      <c r="BF869" s="178"/>
      <c r="BG869" s="25"/>
      <c r="BH869" s="25"/>
    </row>
    <row r="870" spans="1:60" ht="15" customHeight="1">
      <c r="A870" s="95">
        <v>869</v>
      </c>
      <c r="B870" s="98" t="s">
        <v>833</v>
      </c>
      <c r="C870" s="191" t="s">
        <v>2640</v>
      </c>
      <c r="D870" s="257" t="s">
        <v>549</v>
      </c>
      <c r="E870" s="459" t="s">
        <v>3377</v>
      </c>
      <c r="F870" s="171">
        <v>2000</v>
      </c>
      <c r="G870" s="171">
        <v>208</v>
      </c>
      <c r="H870" s="57"/>
      <c r="I870" s="173" t="s">
        <v>2564</v>
      </c>
      <c r="J870" s="277">
        <v>0.45</v>
      </c>
      <c r="K870" s="213">
        <v>4.1581508515815084</v>
      </c>
      <c r="L870" s="91"/>
      <c r="M870" s="278">
        <v>411</v>
      </c>
      <c r="N870" s="279"/>
      <c r="O870" s="172" t="s">
        <v>12</v>
      </c>
      <c r="P870" s="92"/>
      <c r="Q870" s="173" t="s">
        <v>10</v>
      </c>
      <c r="R870" s="171" t="s">
        <v>2735</v>
      </c>
      <c r="S870" s="94"/>
      <c r="T870" s="171" t="s">
        <v>2306</v>
      </c>
      <c r="U870" s="171" t="s">
        <v>2551</v>
      </c>
      <c r="V870" s="102">
        <v>0</v>
      </c>
      <c r="W870" s="120">
        <v>0</v>
      </c>
      <c r="X870" s="120">
        <v>0</v>
      </c>
      <c r="Y870" s="120">
        <v>0</v>
      </c>
      <c r="Z870" s="120">
        <v>0</v>
      </c>
      <c r="AA870" s="17">
        <v>0</v>
      </c>
      <c r="AB870" s="17">
        <v>0</v>
      </c>
      <c r="AC870" s="17">
        <v>0</v>
      </c>
      <c r="AD870" s="17">
        <v>0</v>
      </c>
      <c r="AE870" s="17">
        <v>0</v>
      </c>
      <c r="AF870" s="17">
        <v>0</v>
      </c>
      <c r="AG870" s="17">
        <v>0</v>
      </c>
      <c r="AH870" s="17">
        <v>0</v>
      </c>
      <c r="AI870" s="17">
        <v>0</v>
      </c>
      <c r="AJ870" s="17">
        <v>0</v>
      </c>
      <c r="AK870" s="17">
        <v>0</v>
      </c>
      <c r="AL870" s="32">
        <v>0</v>
      </c>
      <c r="AM870" s="57"/>
      <c r="AN870" s="89"/>
      <c r="AO870" s="280"/>
      <c r="AP870" s="784"/>
      <c r="AQ870" s="773" t="s">
        <v>271</v>
      </c>
      <c r="AR870" s="188">
        <v>100</v>
      </c>
      <c r="AS870" s="171"/>
      <c r="AT870" s="171" t="str">
        <f t="shared" si="72"/>
        <v>400</v>
      </c>
      <c r="AU870" s="255">
        <f t="shared" si="73"/>
        <v>22.222222222222221</v>
      </c>
      <c r="AV870" s="172">
        <v>100</v>
      </c>
      <c r="AW870" s="171">
        <v>7</v>
      </c>
      <c r="AX870" s="89"/>
      <c r="AY870" s="171">
        <v>20</v>
      </c>
      <c r="AZ870" s="89"/>
      <c r="BA870" s="175">
        <v>60</v>
      </c>
      <c r="BB870" s="189" t="s">
        <v>2547</v>
      </c>
      <c r="BC870" s="176"/>
      <c r="BD870" s="179"/>
      <c r="BE870" s="179"/>
      <c r="BF870" s="178"/>
      <c r="BG870" s="25"/>
      <c r="BH870" s="25"/>
    </row>
    <row r="871" spans="1:60" ht="15" customHeight="1">
      <c r="A871" s="95">
        <v>870</v>
      </c>
      <c r="B871" s="98" t="s">
        <v>832</v>
      </c>
      <c r="C871" s="191" t="s">
        <v>2640</v>
      </c>
      <c r="D871" s="257" t="s">
        <v>549</v>
      </c>
      <c r="E871" s="459" t="s">
        <v>3377</v>
      </c>
      <c r="F871" s="171">
        <v>2000</v>
      </c>
      <c r="G871" s="171">
        <v>208</v>
      </c>
      <c r="H871" s="57"/>
      <c r="I871" s="173" t="s">
        <v>2564</v>
      </c>
      <c r="J871" s="277">
        <v>0.45</v>
      </c>
      <c r="K871" s="213">
        <v>4.1581508515815084</v>
      </c>
      <c r="L871" s="91"/>
      <c r="M871" s="278">
        <v>411</v>
      </c>
      <c r="N871" s="279"/>
      <c r="O871" s="172" t="s">
        <v>12</v>
      </c>
      <c r="P871" s="92"/>
      <c r="Q871" s="173" t="s">
        <v>10</v>
      </c>
      <c r="R871" s="171" t="s">
        <v>2735</v>
      </c>
      <c r="S871" s="94"/>
      <c r="T871" s="171" t="s">
        <v>2306</v>
      </c>
      <c r="U871" s="171" t="s">
        <v>2551</v>
      </c>
      <c r="V871" s="102">
        <v>0</v>
      </c>
      <c r="W871" s="120">
        <v>0</v>
      </c>
      <c r="X871" s="120">
        <v>0</v>
      </c>
      <c r="Y871" s="120">
        <v>0</v>
      </c>
      <c r="Z871" s="120">
        <v>0</v>
      </c>
      <c r="AA871" s="17">
        <v>0</v>
      </c>
      <c r="AB871" s="17">
        <v>0</v>
      </c>
      <c r="AC871" s="17">
        <v>0</v>
      </c>
      <c r="AD871" s="17">
        <v>0</v>
      </c>
      <c r="AE871" s="17">
        <v>0</v>
      </c>
      <c r="AF871" s="17">
        <v>0</v>
      </c>
      <c r="AG871" s="17">
        <v>0</v>
      </c>
      <c r="AH871" s="17">
        <v>0</v>
      </c>
      <c r="AI871" s="17">
        <v>0</v>
      </c>
      <c r="AJ871" s="17">
        <v>0</v>
      </c>
      <c r="AK871" s="17">
        <v>0</v>
      </c>
      <c r="AL871" s="32">
        <v>0</v>
      </c>
      <c r="AM871" s="57"/>
      <c r="AN871" s="89"/>
      <c r="AO871" s="280"/>
      <c r="AP871" s="784"/>
      <c r="AQ871" s="773" t="s">
        <v>271</v>
      </c>
      <c r="AR871" s="188">
        <v>100</v>
      </c>
      <c r="AS871" s="171"/>
      <c r="AT871" s="171" t="str">
        <f t="shared" si="72"/>
        <v>400</v>
      </c>
      <c r="AU871" s="255">
        <f t="shared" si="73"/>
        <v>22.222222222222221</v>
      </c>
      <c r="AV871" s="172">
        <v>100</v>
      </c>
      <c r="AW871" s="171">
        <v>7</v>
      </c>
      <c r="AX871" s="89"/>
      <c r="AY871" s="171">
        <v>20</v>
      </c>
      <c r="AZ871" s="89"/>
      <c r="BA871" s="175">
        <v>60</v>
      </c>
      <c r="BB871" s="189" t="s">
        <v>2547</v>
      </c>
      <c r="BC871" s="176"/>
      <c r="BD871" s="179"/>
      <c r="BE871" s="179"/>
      <c r="BF871" s="178"/>
      <c r="BG871" s="25"/>
      <c r="BH871" s="25"/>
    </row>
    <row r="872" spans="1:60" ht="15" customHeight="1">
      <c r="A872" s="95">
        <v>871</v>
      </c>
      <c r="B872" s="98" t="s">
        <v>831</v>
      </c>
      <c r="C872" s="191" t="s">
        <v>2640</v>
      </c>
      <c r="D872" s="257" t="s">
        <v>549</v>
      </c>
      <c r="E872" s="459" t="s">
        <v>3377</v>
      </c>
      <c r="F872" s="171">
        <v>2000</v>
      </c>
      <c r="G872" s="171">
        <v>208</v>
      </c>
      <c r="H872" s="57"/>
      <c r="I872" s="173" t="s">
        <v>2564</v>
      </c>
      <c r="J872" s="277">
        <v>0.45</v>
      </c>
      <c r="K872" s="213">
        <v>4.1581508515815084</v>
      </c>
      <c r="L872" s="91"/>
      <c r="M872" s="278">
        <v>411</v>
      </c>
      <c r="N872" s="279"/>
      <c r="O872" s="172" t="s">
        <v>12</v>
      </c>
      <c r="P872" s="92"/>
      <c r="Q872" s="173" t="s">
        <v>10</v>
      </c>
      <c r="R872" s="171" t="s">
        <v>2735</v>
      </c>
      <c r="S872" s="94"/>
      <c r="T872" s="171" t="s">
        <v>2306</v>
      </c>
      <c r="U872" s="171" t="s">
        <v>2551</v>
      </c>
      <c r="V872" s="102">
        <v>0</v>
      </c>
      <c r="W872" s="120">
        <v>0</v>
      </c>
      <c r="X872" s="120">
        <v>0</v>
      </c>
      <c r="Y872" s="120">
        <v>0</v>
      </c>
      <c r="Z872" s="120">
        <v>0</v>
      </c>
      <c r="AA872" s="17">
        <v>0</v>
      </c>
      <c r="AB872" s="17">
        <v>0</v>
      </c>
      <c r="AC872" s="17">
        <v>0</v>
      </c>
      <c r="AD872" s="17">
        <v>0</v>
      </c>
      <c r="AE872" s="17">
        <v>0</v>
      </c>
      <c r="AF872" s="17">
        <v>0</v>
      </c>
      <c r="AG872" s="17">
        <v>0</v>
      </c>
      <c r="AH872" s="17">
        <v>0</v>
      </c>
      <c r="AI872" s="17">
        <v>0</v>
      </c>
      <c r="AJ872" s="17">
        <v>0</v>
      </c>
      <c r="AK872" s="17">
        <v>0</v>
      </c>
      <c r="AL872" s="32">
        <v>0</v>
      </c>
      <c r="AM872" s="57"/>
      <c r="AN872" s="89"/>
      <c r="AO872" s="280"/>
      <c r="AP872" s="784"/>
      <c r="AQ872" s="773" t="s">
        <v>271</v>
      </c>
      <c r="AR872" s="188">
        <v>100</v>
      </c>
      <c r="AS872" s="171"/>
      <c r="AT872" s="171" t="str">
        <f t="shared" si="72"/>
        <v>400</v>
      </c>
      <c r="AU872" s="255">
        <f t="shared" si="73"/>
        <v>22.222222222222221</v>
      </c>
      <c r="AV872" s="172">
        <v>100</v>
      </c>
      <c r="AW872" s="171">
        <v>7</v>
      </c>
      <c r="AX872" s="89"/>
      <c r="AY872" s="171">
        <v>20</v>
      </c>
      <c r="AZ872" s="89"/>
      <c r="BA872" s="175">
        <v>60</v>
      </c>
      <c r="BB872" s="189" t="s">
        <v>2547</v>
      </c>
      <c r="BC872" s="176"/>
      <c r="BD872" s="179"/>
      <c r="BE872" s="179"/>
      <c r="BF872" s="178"/>
      <c r="BG872" s="25"/>
      <c r="BH872" s="25"/>
    </row>
    <row r="873" spans="1:60" ht="15" customHeight="1">
      <c r="A873" s="95">
        <v>872</v>
      </c>
      <c r="B873" s="98" t="s">
        <v>830</v>
      </c>
      <c r="C873" s="191" t="s">
        <v>2640</v>
      </c>
      <c r="D873" s="257" t="s">
        <v>549</v>
      </c>
      <c r="E873" s="459" t="s">
        <v>3377</v>
      </c>
      <c r="F873" s="171">
        <v>2000</v>
      </c>
      <c r="G873" s="171">
        <v>208</v>
      </c>
      <c r="H873" s="57"/>
      <c r="I873" s="173" t="s">
        <v>2564</v>
      </c>
      <c r="J873" s="277">
        <v>0.5</v>
      </c>
      <c r="K873" s="213">
        <v>4.6621621621621623</v>
      </c>
      <c r="L873" s="91"/>
      <c r="M873" s="278">
        <v>370</v>
      </c>
      <c r="N873" s="279"/>
      <c r="O873" s="172" t="s">
        <v>12</v>
      </c>
      <c r="P873" s="92"/>
      <c r="Q873" s="173" t="s">
        <v>10</v>
      </c>
      <c r="R873" s="171" t="s">
        <v>2735</v>
      </c>
      <c r="S873" s="94"/>
      <c r="T873" s="171" t="s">
        <v>2306</v>
      </c>
      <c r="U873" s="171" t="s">
        <v>2551</v>
      </c>
      <c r="V873" s="102">
        <v>0</v>
      </c>
      <c r="W873" s="120">
        <v>0</v>
      </c>
      <c r="X873" s="120">
        <v>0</v>
      </c>
      <c r="Y873" s="120">
        <v>0</v>
      </c>
      <c r="Z873" s="120">
        <v>0</v>
      </c>
      <c r="AA873" s="17">
        <v>0</v>
      </c>
      <c r="AB873" s="17">
        <v>0</v>
      </c>
      <c r="AC873" s="17">
        <v>0</v>
      </c>
      <c r="AD873" s="17">
        <v>0</v>
      </c>
      <c r="AE873" s="17">
        <v>0</v>
      </c>
      <c r="AF873" s="17">
        <v>0</v>
      </c>
      <c r="AG873" s="17">
        <v>0</v>
      </c>
      <c r="AH873" s="17">
        <v>0</v>
      </c>
      <c r="AI873" s="17">
        <v>0</v>
      </c>
      <c r="AJ873" s="17">
        <v>0</v>
      </c>
      <c r="AK873" s="17">
        <v>0</v>
      </c>
      <c r="AL873" s="32">
        <v>0</v>
      </c>
      <c r="AM873" s="57"/>
      <c r="AN873" s="89"/>
      <c r="AO873" s="280"/>
      <c r="AP873" s="784"/>
      <c r="AQ873" s="773" t="s">
        <v>271</v>
      </c>
      <c r="AR873" s="188">
        <v>100</v>
      </c>
      <c r="AS873" s="171"/>
      <c r="AT873" s="171" t="str">
        <f t="shared" si="72"/>
        <v>400</v>
      </c>
      <c r="AU873" s="255">
        <f t="shared" si="73"/>
        <v>22.222222222222221</v>
      </c>
      <c r="AV873" s="172">
        <v>100</v>
      </c>
      <c r="AW873" s="171">
        <v>7</v>
      </c>
      <c r="AX873" s="89"/>
      <c r="AY873" s="171">
        <v>20</v>
      </c>
      <c r="AZ873" s="89"/>
      <c r="BA873" s="175">
        <v>60</v>
      </c>
      <c r="BB873" s="189" t="s">
        <v>2547</v>
      </c>
      <c r="BC873" s="176"/>
      <c r="BD873" s="179"/>
      <c r="BE873" s="179"/>
      <c r="BF873" s="178"/>
      <c r="BG873" s="25"/>
      <c r="BH873" s="25"/>
    </row>
    <row r="874" spans="1:60" ht="15" customHeight="1">
      <c r="A874" s="95">
        <v>873</v>
      </c>
      <c r="B874" s="98" t="s">
        <v>829</v>
      </c>
      <c r="C874" s="191" t="s">
        <v>2640</v>
      </c>
      <c r="D874" s="257" t="s">
        <v>549</v>
      </c>
      <c r="E874" s="459" t="s">
        <v>3377</v>
      </c>
      <c r="F874" s="171">
        <v>2000</v>
      </c>
      <c r="G874" s="171">
        <v>208</v>
      </c>
      <c r="H874" s="57"/>
      <c r="I874" s="173" t="s">
        <v>2564</v>
      </c>
      <c r="J874" s="277">
        <v>0.5</v>
      </c>
      <c r="K874" s="213">
        <v>4.6621621621621623</v>
      </c>
      <c r="L874" s="91"/>
      <c r="M874" s="278">
        <v>370</v>
      </c>
      <c r="N874" s="279"/>
      <c r="O874" s="172" t="s">
        <v>12</v>
      </c>
      <c r="P874" s="92"/>
      <c r="Q874" s="173" t="s">
        <v>10</v>
      </c>
      <c r="R874" s="171" t="s">
        <v>2735</v>
      </c>
      <c r="S874" s="94"/>
      <c r="T874" s="171" t="s">
        <v>2306</v>
      </c>
      <c r="U874" s="171" t="s">
        <v>2551</v>
      </c>
      <c r="V874" s="102">
        <v>0</v>
      </c>
      <c r="W874" s="120">
        <v>0</v>
      </c>
      <c r="X874" s="120">
        <v>0</v>
      </c>
      <c r="Y874" s="120">
        <v>0</v>
      </c>
      <c r="Z874" s="120">
        <v>0</v>
      </c>
      <c r="AA874" s="17">
        <v>0</v>
      </c>
      <c r="AB874" s="17">
        <v>0</v>
      </c>
      <c r="AC874" s="17">
        <v>0</v>
      </c>
      <c r="AD874" s="17">
        <v>0</v>
      </c>
      <c r="AE874" s="17">
        <v>0</v>
      </c>
      <c r="AF874" s="17">
        <v>0</v>
      </c>
      <c r="AG874" s="17">
        <v>0</v>
      </c>
      <c r="AH874" s="17">
        <v>0</v>
      </c>
      <c r="AI874" s="17">
        <v>0</v>
      </c>
      <c r="AJ874" s="17">
        <v>0</v>
      </c>
      <c r="AK874" s="17">
        <v>0</v>
      </c>
      <c r="AL874" s="32">
        <v>0</v>
      </c>
      <c r="AM874" s="57"/>
      <c r="AN874" s="89"/>
      <c r="AO874" s="280"/>
      <c r="AP874" s="784"/>
      <c r="AQ874" s="773" t="s">
        <v>271</v>
      </c>
      <c r="AR874" s="188">
        <v>100</v>
      </c>
      <c r="AS874" s="171"/>
      <c r="AT874" s="171" t="str">
        <f t="shared" si="72"/>
        <v>400</v>
      </c>
      <c r="AU874" s="255">
        <f t="shared" si="73"/>
        <v>22.222222222222221</v>
      </c>
      <c r="AV874" s="172">
        <v>100</v>
      </c>
      <c r="AW874" s="171">
        <v>7</v>
      </c>
      <c r="AX874" s="89"/>
      <c r="AY874" s="171">
        <v>20</v>
      </c>
      <c r="AZ874" s="89"/>
      <c r="BA874" s="175">
        <v>60</v>
      </c>
      <c r="BB874" s="189" t="s">
        <v>2547</v>
      </c>
      <c r="BC874" s="176"/>
      <c r="BD874" s="179"/>
      <c r="BE874" s="179"/>
      <c r="BF874" s="178"/>
      <c r="BG874" s="25"/>
      <c r="BH874" s="25"/>
    </row>
    <row r="875" spans="1:60" ht="15" customHeight="1">
      <c r="A875" s="95">
        <v>874</v>
      </c>
      <c r="B875" s="98" t="s">
        <v>828</v>
      </c>
      <c r="C875" s="191" t="s">
        <v>2640</v>
      </c>
      <c r="D875" s="257" t="s">
        <v>549</v>
      </c>
      <c r="E875" s="459" t="s">
        <v>3377</v>
      </c>
      <c r="F875" s="171">
        <v>2000</v>
      </c>
      <c r="G875" s="171">
        <v>208</v>
      </c>
      <c r="H875" s="57"/>
      <c r="I875" s="173" t="s">
        <v>2564</v>
      </c>
      <c r="J875" s="277">
        <v>0.5</v>
      </c>
      <c r="K875" s="213">
        <v>4.6621621621621623</v>
      </c>
      <c r="L875" s="91"/>
      <c r="M875" s="278">
        <v>370</v>
      </c>
      <c r="N875" s="279"/>
      <c r="O875" s="172" t="s">
        <v>12</v>
      </c>
      <c r="P875" s="92"/>
      <c r="Q875" s="173" t="s">
        <v>10</v>
      </c>
      <c r="R875" s="171" t="s">
        <v>2735</v>
      </c>
      <c r="S875" s="94"/>
      <c r="T875" s="171" t="s">
        <v>2306</v>
      </c>
      <c r="U875" s="171" t="s">
        <v>2551</v>
      </c>
      <c r="V875" s="102">
        <v>0</v>
      </c>
      <c r="W875" s="120">
        <v>0</v>
      </c>
      <c r="X875" s="120">
        <v>0</v>
      </c>
      <c r="Y875" s="120">
        <v>0</v>
      </c>
      <c r="Z875" s="120">
        <v>0</v>
      </c>
      <c r="AA875" s="17">
        <v>0</v>
      </c>
      <c r="AB875" s="17">
        <v>0</v>
      </c>
      <c r="AC875" s="17">
        <v>0</v>
      </c>
      <c r="AD875" s="17">
        <v>0</v>
      </c>
      <c r="AE875" s="17">
        <v>0</v>
      </c>
      <c r="AF875" s="17">
        <v>0</v>
      </c>
      <c r="AG875" s="17">
        <v>0</v>
      </c>
      <c r="AH875" s="17">
        <v>0</v>
      </c>
      <c r="AI875" s="17">
        <v>0</v>
      </c>
      <c r="AJ875" s="17">
        <v>0</v>
      </c>
      <c r="AK875" s="17">
        <v>0</v>
      </c>
      <c r="AL875" s="32">
        <v>0</v>
      </c>
      <c r="AM875" s="57"/>
      <c r="AN875" s="89"/>
      <c r="AO875" s="280"/>
      <c r="AP875" s="784"/>
      <c r="AQ875" s="773" t="s">
        <v>271</v>
      </c>
      <c r="AR875" s="188">
        <v>100</v>
      </c>
      <c r="AS875" s="171"/>
      <c r="AT875" s="171" t="str">
        <f t="shared" si="72"/>
        <v>400</v>
      </c>
      <c r="AU875" s="255">
        <f t="shared" si="73"/>
        <v>22.222222222222221</v>
      </c>
      <c r="AV875" s="172">
        <v>100</v>
      </c>
      <c r="AW875" s="171">
        <v>7</v>
      </c>
      <c r="AX875" s="89"/>
      <c r="AY875" s="171">
        <v>20</v>
      </c>
      <c r="AZ875" s="89"/>
      <c r="BA875" s="175">
        <v>60</v>
      </c>
      <c r="BB875" s="189" t="s">
        <v>2547</v>
      </c>
      <c r="BC875" s="176"/>
      <c r="BD875" s="179"/>
      <c r="BE875" s="179"/>
      <c r="BF875" s="178"/>
      <c r="BG875" s="25"/>
      <c r="BH875" s="25"/>
    </row>
    <row r="876" spans="1:60" ht="15" customHeight="1">
      <c r="A876" s="95">
        <v>875</v>
      </c>
      <c r="B876" s="98" t="s">
        <v>827</v>
      </c>
      <c r="C876" s="191" t="s">
        <v>2640</v>
      </c>
      <c r="D876" s="257" t="s">
        <v>549</v>
      </c>
      <c r="E876" s="459" t="s">
        <v>3377</v>
      </c>
      <c r="F876" s="171">
        <v>2000</v>
      </c>
      <c r="G876" s="171">
        <v>208</v>
      </c>
      <c r="H876" s="57"/>
      <c r="I876" s="173" t="s">
        <v>2564</v>
      </c>
      <c r="J876" s="277">
        <v>0.45</v>
      </c>
      <c r="K876" s="213">
        <v>4.1581508515815084</v>
      </c>
      <c r="L876" s="91"/>
      <c r="M876" s="278">
        <v>411</v>
      </c>
      <c r="N876" s="279"/>
      <c r="O876" s="172" t="s">
        <v>12</v>
      </c>
      <c r="P876" s="92"/>
      <c r="Q876" s="173" t="s">
        <v>10</v>
      </c>
      <c r="R876" s="171" t="s">
        <v>2735</v>
      </c>
      <c r="S876" s="94"/>
      <c r="T876" s="171" t="s">
        <v>2306</v>
      </c>
      <c r="U876" s="171" t="s">
        <v>2551</v>
      </c>
      <c r="V876" s="102">
        <v>0</v>
      </c>
      <c r="W876" s="120">
        <v>0</v>
      </c>
      <c r="X876" s="120">
        <v>0</v>
      </c>
      <c r="Y876" s="120">
        <v>0</v>
      </c>
      <c r="Z876" s="120">
        <v>0</v>
      </c>
      <c r="AA876" s="17">
        <v>0</v>
      </c>
      <c r="AB876" s="17">
        <v>0</v>
      </c>
      <c r="AC876" s="17">
        <v>0</v>
      </c>
      <c r="AD876" s="17">
        <v>0</v>
      </c>
      <c r="AE876" s="17">
        <v>0</v>
      </c>
      <c r="AF876" s="17">
        <v>0</v>
      </c>
      <c r="AG876" s="17">
        <v>0</v>
      </c>
      <c r="AH876" s="17">
        <v>0</v>
      </c>
      <c r="AI876" s="17">
        <v>0</v>
      </c>
      <c r="AJ876" s="17">
        <v>0</v>
      </c>
      <c r="AK876" s="17">
        <v>0</v>
      </c>
      <c r="AL876" s="32">
        <v>0</v>
      </c>
      <c r="AM876" s="57"/>
      <c r="AN876" s="89"/>
      <c r="AO876" s="280"/>
      <c r="AP876" s="784"/>
      <c r="AQ876" s="773" t="s">
        <v>271</v>
      </c>
      <c r="AR876" s="188">
        <v>100</v>
      </c>
      <c r="AS876" s="171"/>
      <c r="AT876" s="171" t="str">
        <f t="shared" si="72"/>
        <v>400</v>
      </c>
      <c r="AU876" s="255">
        <f t="shared" si="73"/>
        <v>22.222222222222221</v>
      </c>
      <c r="AV876" s="172">
        <v>100</v>
      </c>
      <c r="AW876" s="171">
        <v>7</v>
      </c>
      <c r="AX876" s="89"/>
      <c r="AY876" s="171">
        <v>20</v>
      </c>
      <c r="AZ876" s="89"/>
      <c r="BA876" s="175">
        <v>60</v>
      </c>
      <c r="BB876" s="189" t="s">
        <v>2547</v>
      </c>
      <c r="BC876" s="176"/>
      <c r="BD876" s="179"/>
      <c r="BE876" s="179"/>
      <c r="BF876" s="178"/>
      <c r="BG876" s="25"/>
      <c r="BH876" s="25"/>
    </row>
    <row r="877" spans="1:60" ht="15" customHeight="1">
      <c r="A877" s="95">
        <v>876</v>
      </c>
      <c r="B877" s="98" t="s">
        <v>826</v>
      </c>
      <c r="C877" s="191" t="s">
        <v>2640</v>
      </c>
      <c r="D877" s="257" t="s">
        <v>549</v>
      </c>
      <c r="E877" s="459" t="s">
        <v>3377</v>
      </c>
      <c r="F877" s="171">
        <v>2000</v>
      </c>
      <c r="G877" s="171">
        <v>208</v>
      </c>
      <c r="H877" s="57"/>
      <c r="I877" s="173" t="s">
        <v>2564</v>
      </c>
      <c r="J877" s="277">
        <v>0.45</v>
      </c>
      <c r="K877" s="213">
        <v>4.1581508515815084</v>
      </c>
      <c r="L877" s="91"/>
      <c r="M877" s="278">
        <v>411</v>
      </c>
      <c r="N877" s="279"/>
      <c r="O877" s="172" t="s">
        <v>12</v>
      </c>
      <c r="P877" s="92"/>
      <c r="Q877" s="173" t="s">
        <v>10</v>
      </c>
      <c r="R877" s="171" t="s">
        <v>2735</v>
      </c>
      <c r="S877" s="94"/>
      <c r="T877" s="171" t="s">
        <v>2306</v>
      </c>
      <c r="U877" s="171" t="s">
        <v>2551</v>
      </c>
      <c r="V877" s="102">
        <v>0</v>
      </c>
      <c r="W877" s="120">
        <v>0</v>
      </c>
      <c r="X877" s="120">
        <v>0</v>
      </c>
      <c r="Y877" s="120">
        <v>0</v>
      </c>
      <c r="Z877" s="120">
        <v>0</v>
      </c>
      <c r="AA877" s="17">
        <v>0</v>
      </c>
      <c r="AB877" s="17">
        <v>0</v>
      </c>
      <c r="AC877" s="17">
        <v>0</v>
      </c>
      <c r="AD877" s="17">
        <v>0</v>
      </c>
      <c r="AE877" s="17">
        <v>0</v>
      </c>
      <c r="AF877" s="17">
        <v>0</v>
      </c>
      <c r="AG877" s="17">
        <v>0</v>
      </c>
      <c r="AH877" s="17">
        <v>0</v>
      </c>
      <c r="AI877" s="17">
        <v>0</v>
      </c>
      <c r="AJ877" s="17">
        <v>0</v>
      </c>
      <c r="AK877" s="17">
        <v>0</v>
      </c>
      <c r="AL877" s="32">
        <v>0</v>
      </c>
      <c r="AM877" s="57"/>
      <c r="AN877" s="89"/>
      <c r="AO877" s="280"/>
      <c r="AP877" s="784"/>
      <c r="AQ877" s="773" t="s">
        <v>271</v>
      </c>
      <c r="AR877" s="188">
        <v>100</v>
      </c>
      <c r="AS877" s="171"/>
      <c r="AT877" s="171" t="str">
        <f t="shared" si="72"/>
        <v>400</v>
      </c>
      <c r="AU877" s="255">
        <f t="shared" si="73"/>
        <v>22.222222222222221</v>
      </c>
      <c r="AV877" s="172">
        <v>100</v>
      </c>
      <c r="AW877" s="171">
        <v>7</v>
      </c>
      <c r="AX877" s="89"/>
      <c r="AY877" s="171">
        <v>20</v>
      </c>
      <c r="AZ877" s="89"/>
      <c r="BA877" s="175">
        <v>60</v>
      </c>
      <c r="BB877" s="189" t="s">
        <v>2547</v>
      </c>
      <c r="BC877" s="176"/>
      <c r="BD877" s="179"/>
      <c r="BE877" s="179"/>
      <c r="BF877" s="178"/>
      <c r="BG877" s="25"/>
      <c r="BH877" s="25"/>
    </row>
    <row r="878" spans="1:60" ht="15" customHeight="1">
      <c r="A878" s="95">
        <v>877</v>
      </c>
      <c r="B878" s="98" t="s">
        <v>825</v>
      </c>
      <c r="C878" s="191" t="s">
        <v>2640</v>
      </c>
      <c r="D878" s="257" t="s">
        <v>549</v>
      </c>
      <c r="E878" s="459" t="s">
        <v>3377</v>
      </c>
      <c r="F878" s="171">
        <v>2000</v>
      </c>
      <c r="G878" s="171">
        <v>208</v>
      </c>
      <c r="H878" s="57"/>
      <c r="I878" s="173" t="s">
        <v>2564</v>
      </c>
      <c r="J878" s="277">
        <v>0.45</v>
      </c>
      <c r="K878" s="213">
        <v>4.1581508515815084</v>
      </c>
      <c r="L878" s="91"/>
      <c r="M878" s="278">
        <v>411</v>
      </c>
      <c r="N878" s="279"/>
      <c r="O878" s="172" t="s">
        <v>12</v>
      </c>
      <c r="P878" s="92"/>
      <c r="Q878" s="173" t="s">
        <v>10</v>
      </c>
      <c r="R878" s="171" t="s">
        <v>2735</v>
      </c>
      <c r="S878" s="94"/>
      <c r="T878" s="171" t="s">
        <v>2306</v>
      </c>
      <c r="U878" s="171" t="s">
        <v>2551</v>
      </c>
      <c r="V878" s="102">
        <v>0</v>
      </c>
      <c r="W878" s="120">
        <v>0</v>
      </c>
      <c r="X878" s="120">
        <v>0</v>
      </c>
      <c r="Y878" s="120">
        <v>0</v>
      </c>
      <c r="Z878" s="120">
        <v>0</v>
      </c>
      <c r="AA878" s="17">
        <v>0</v>
      </c>
      <c r="AB878" s="17">
        <v>0</v>
      </c>
      <c r="AC878" s="17">
        <v>0</v>
      </c>
      <c r="AD878" s="17">
        <v>0</v>
      </c>
      <c r="AE878" s="17">
        <v>0</v>
      </c>
      <c r="AF878" s="17">
        <v>0</v>
      </c>
      <c r="AG878" s="17">
        <v>0</v>
      </c>
      <c r="AH878" s="17">
        <v>0</v>
      </c>
      <c r="AI878" s="17">
        <v>0</v>
      </c>
      <c r="AJ878" s="17">
        <v>0</v>
      </c>
      <c r="AK878" s="17">
        <v>0</v>
      </c>
      <c r="AL878" s="32">
        <v>0</v>
      </c>
      <c r="AM878" s="57"/>
      <c r="AN878" s="89"/>
      <c r="AO878" s="280"/>
      <c r="AP878" s="784"/>
      <c r="AQ878" s="773" t="s">
        <v>271</v>
      </c>
      <c r="AR878" s="188">
        <v>100</v>
      </c>
      <c r="AS878" s="171"/>
      <c r="AT878" s="171" t="str">
        <f t="shared" si="72"/>
        <v>400</v>
      </c>
      <c r="AU878" s="255">
        <f t="shared" si="73"/>
        <v>22.222222222222221</v>
      </c>
      <c r="AV878" s="172">
        <v>100</v>
      </c>
      <c r="AW878" s="171">
        <v>7</v>
      </c>
      <c r="AX878" s="89"/>
      <c r="AY878" s="171">
        <v>20</v>
      </c>
      <c r="AZ878" s="89"/>
      <c r="BA878" s="175">
        <v>60</v>
      </c>
      <c r="BB878" s="189" t="s">
        <v>2547</v>
      </c>
      <c r="BC878" s="176"/>
      <c r="BD878" s="179"/>
      <c r="BE878" s="179"/>
      <c r="BF878" s="178"/>
      <c r="BG878" s="25"/>
      <c r="BH878" s="25"/>
    </row>
    <row r="879" spans="1:60" ht="15" customHeight="1">
      <c r="A879" s="95">
        <v>878</v>
      </c>
      <c r="B879" s="98" t="s">
        <v>824</v>
      </c>
      <c r="C879" s="191" t="s">
        <v>2640</v>
      </c>
      <c r="D879" s="257" t="s">
        <v>549</v>
      </c>
      <c r="E879" s="459" t="s">
        <v>3377</v>
      </c>
      <c r="F879" s="171">
        <v>2000</v>
      </c>
      <c r="G879" s="171">
        <v>208</v>
      </c>
      <c r="H879" s="57"/>
      <c r="I879" s="173" t="s">
        <v>2564</v>
      </c>
      <c r="J879" s="277">
        <v>0.5</v>
      </c>
      <c r="K879" s="213">
        <v>4.6621621621621623</v>
      </c>
      <c r="L879" s="91"/>
      <c r="M879" s="278">
        <v>370</v>
      </c>
      <c r="N879" s="279"/>
      <c r="O879" s="172" t="s">
        <v>12</v>
      </c>
      <c r="P879" s="92"/>
      <c r="Q879" s="173" t="s">
        <v>10</v>
      </c>
      <c r="R879" s="171" t="s">
        <v>2735</v>
      </c>
      <c r="S879" s="94"/>
      <c r="T879" s="171" t="s">
        <v>2306</v>
      </c>
      <c r="U879" s="171" t="s">
        <v>2551</v>
      </c>
      <c r="V879" s="102">
        <v>0</v>
      </c>
      <c r="W879" s="120">
        <v>0</v>
      </c>
      <c r="X879" s="120">
        <v>0</v>
      </c>
      <c r="Y879" s="120">
        <v>0</v>
      </c>
      <c r="Z879" s="120">
        <v>0</v>
      </c>
      <c r="AA879" s="17">
        <v>0</v>
      </c>
      <c r="AB879" s="17">
        <v>0</v>
      </c>
      <c r="AC879" s="17">
        <v>0</v>
      </c>
      <c r="AD879" s="17">
        <v>0</v>
      </c>
      <c r="AE879" s="17">
        <v>0</v>
      </c>
      <c r="AF879" s="17">
        <v>0</v>
      </c>
      <c r="AG879" s="17">
        <v>0</v>
      </c>
      <c r="AH879" s="17">
        <v>0</v>
      </c>
      <c r="AI879" s="17">
        <v>0</v>
      </c>
      <c r="AJ879" s="17">
        <v>0</v>
      </c>
      <c r="AK879" s="17">
        <v>0</v>
      </c>
      <c r="AL879" s="32">
        <v>0</v>
      </c>
      <c r="AM879" s="57"/>
      <c r="AN879" s="89"/>
      <c r="AO879" s="280"/>
      <c r="AP879" s="784"/>
      <c r="AQ879" s="773" t="s">
        <v>271</v>
      </c>
      <c r="AR879" s="188">
        <v>100</v>
      </c>
      <c r="AS879" s="171"/>
      <c r="AT879" s="171" t="str">
        <f t="shared" si="72"/>
        <v>400</v>
      </c>
      <c r="AU879" s="255">
        <f t="shared" si="73"/>
        <v>22.222222222222221</v>
      </c>
      <c r="AV879" s="172">
        <v>100</v>
      </c>
      <c r="AW879" s="171">
        <v>7</v>
      </c>
      <c r="AX879" s="89"/>
      <c r="AY879" s="171">
        <v>20</v>
      </c>
      <c r="AZ879" s="89"/>
      <c r="BA879" s="175">
        <v>60</v>
      </c>
      <c r="BB879" s="189" t="s">
        <v>2547</v>
      </c>
      <c r="BC879" s="176"/>
      <c r="BD879" s="179"/>
      <c r="BE879" s="179"/>
      <c r="BF879" s="178"/>
      <c r="BG879" s="25"/>
      <c r="BH879" s="25"/>
    </row>
    <row r="880" spans="1:60" ht="15" customHeight="1">
      <c r="A880" s="95">
        <v>879</v>
      </c>
      <c r="B880" s="98" t="s">
        <v>823</v>
      </c>
      <c r="C880" s="191" t="s">
        <v>2640</v>
      </c>
      <c r="D880" s="257" t="s">
        <v>549</v>
      </c>
      <c r="E880" s="459" t="s">
        <v>3377</v>
      </c>
      <c r="F880" s="171">
        <v>2000</v>
      </c>
      <c r="G880" s="171">
        <v>208</v>
      </c>
      <c r="H880" s="57"/>
      <c r="I880" s="173" t="s">
        <v>2564</v>
      </c>
      <c r="J880" s="277">
        <v>0.5</v>
      </c>
      <c r="K880" s="213">
        <v>4.6621621621621623</v>
      </c>
      <c r="L880" s="91"/>
      <c r="M880" s="278">
        <v>370</v>
      </c>
      <c r="N880" s="279"/>
      <c r="O880" s="172" t="s">
        <v>12</v>
      </c>
      <c r="P880" s="511"/>
      <c r="Q880" s="173" t="s">
        <v>10</v>
      </c>
      <c r="R880" s="171" t="s">
        <v>2735</v>
      </c>
      <c r="S880" s="94"/>
      <c r="T880" s="171" t="s">
        <v>2306</v>
      </c>
      <c r="U880" s="171" t="s">
        <v>2551</v>
      </c>
      <c r="V880" s="102">
        <v>0</v>
      </c>
      <c r="W880" s="120">
        <v>0</v>
      </c>
      <c r="X880" s="120">
        <v>0</v>
      </c>
      <c r="Y880" s="120">
        <v>0</v>
      </c>
      <c r="Z880" s="120">
        <v>0</v>
      </c>
      <c r="AA880" s="17">
        <v>0</v>
      </c>
      <c r="AB880" s="17">
        <v>0</v>
      </c>
      <c r="AC880" s="17">
        <v>0</v>
      </c>
      <c r="AD880" s="17">
        <v>0</v>
      </c>
      <c r="AE880" s="17">
        <v>0</v>
      </c>
      <c r="AF880" s="17">
        <v>0</v>
      </c>
      <c r="AG880" s="17">
        <v>0</v>
      </c>
      <c r="AH880" s="17">
        <v>0</v>
      </c>
      <c r="AI880" s="17">
        <v>0</v>
      </c>
      <c r="AJ880" s="17">
        <v>0</v>
      </c>
      <c r="AK880" s="17">
        <v>0</v>
      </c>
      <c r="AL880" s="32">
        <v>0</v>
      </c>
      <c r="AM880" s="57"/>
      <c r="AN880" s="89"/>
      <c r="AO880" s="280"/>
      <c r="AP880" s="784"/>
      <c r="AQ880" s="773" t="s">
        <v>271</v>
      </c>
      <c r="AR880" s="188">
        <v>100</v>
      </c>
      <c r="AS880" s="171"/>
      <c r="AT880" s="171" t="str">
        <f t="shared" si="72"/>
        <v>400</v>
      </c>
      <c r="AU880" s="255">
        <f t="shared" si="73"/>
        <v>22.222222222222221</v>
      </c>
      <c r="AV880" s="172">
        <v>100</v>
      </c>
      <c r="AW880" s="171">
        <v>7</v>
      </c>
      <c r="AX880" s="89"/>
      <c r="AY880" s="171">
        <v>20</v>
      </c>
      <c r="AZ880" s="89"/>
      <c r="BA880" s="175">
        <v>60</v>
      </c>
      <c r="BB880" s="189" t="s">
        <v>2547</v>
      </c>
      <c r="BC880" s="176"/>
      <c r="BD880" s="179"/>
      <c r="BE880" s="179"/>
      <c r="BF880" s="178"/>
      <c r="BG880" s="25"/>
      <c r="BH880" s="25"/>
    </row>
    <row r="881" spans="1:60" ht="15" customHeight="1">
      <c r="A881" s="95">
        <v>880</v>
      </c>
      <c r="B881" s="98" t="s">
        <v>822</v>
      </c>
      <c r="C881" s="191" t="s">
        <v>2640</v>
      </c>
      <c r="D881" s="257" t="s">
        <v>549</v>
      </c>
      <c r="E881" s="459" t="s">
        <v>3377</v>
      </c>
      <c r="F881" s="171">
        <v>2000</v>
      </c>
      <c r="G881" s="171">
        <v>208</v>
      </c>
      <c r="H881" s="57"/>
      <c r="I881" s="173" t="s">
        <v>2564</v>
      </c>
      <c r="J881" s="277">
        <v>0.5</v>
      </c>
      <c r="K881" s="213">
        <v>4.6621621621621623</v>
      </c>
      <c r="L881" s="91"/>
      <c r="M881" s="278">
        <v>370</v>
      </c>
      <c r="N881" s="279"/>
      <c r="O881" s="172" t="s">
        <v>12</v>
      </c>
      <c r="P881" s="511"/>
      <c r="Q881" s="173" t="s">
        <v>10</v>
      </c>
      <c r="R881" s="171" t="s">
        <v>2735</v>
      </c>
      <c r="S881" s="94"/>
      <c r="T881" s="171" t="s">
        <v>2306</v>
      </c>
      <c r="U881" s="171" t="s">
        <v>2551</v>
      </c>
      <c r="V881" s="102">
        <v>0</v>
      </c>
      <c r="W881" s="120">
        <v>0</v>
      </c>
      <c r="X881" s="120">
        <v>0</v>
      </c>
      <c r="Y881" s="120">
        <v>0</v>
      </c>
      <c r="Z881" s="120">
        <v>0</v>
      </c>
      <c r="AA881" s="17">
        <v>0</v>
      </c>
      <c r="AB881" s="17">
        <v>0</v>
      </c>
      <c r="AC881" s="17">
        <v>0</v>
      </c>
      <c r="AD881" s="17">
        <v>0</v>
      </c>
      <c r="AE881" s="17">
        <v>0</v>
      </c>
      <c r="AF881" s="17">
        <v>0</v>
      </c>
      <c r="AG881" s="17">
        <v>0</v>
      </c>
      <c r="AH881" s="17">
        <v>0</v>
      </c>
      <c r="AI881" s="17">
        <v>0</v>
      </c>
      <c r="AJ881" s="17">
        <v>0</v>
      </c>
      <c r="AK881" s="17">
        <v>0</v>
      </c>
      <c r="AL881" s="32">
        <v>0</v>
      </c>
      <c r="AM881" s="57"/>
      <c r="AN881" s="89"/>
      <c r="AO881" s="280"/>
      <c r="AP881" s="784"/>
      <c r="AQ881" s="773" t="s">
        <v>271</v>
      </c>
      <c r="AR881" s="188">
        <v>100</v>
      </c>
      <c r="AS881" s="171"/>
      <c r="AT881" s="171" t="str">
        <f t="shared" si="72"/>
        <v>400</v>
      </c>
      <c r="AU881" s="255">
        <f t="shared" si="73"/>
        <v>22.222222222222221</v>
      </c>
      <c r="AV881" s="172">
        <v>100</v>
      </c>
      <c r="AW881" s="171">
        <v>7</v>
      </c>
      <c r="AX881" s="89"/>
      <c r="AY881" s="171">
        <v>20</v>
      </c>
      <c r="AZ881" s="89"/>
      <c r="BA881" s="175">
        <v>60</v>
      </c>
      <c r="BB881" s="189" t="s">
        <v>2547</v>
      </c>
      <c r="BC881" s="176"/>
      <c r="BD881" s="179"/>
      <c r="BE881" s="179"/>
      <c r="BF881" s="178"/>
      <c r="BG881" s="25"/>
      <c r="BH881" s="25"/>
    </row>
    <row r="882" spans="1:60" ht="15" customHeight="1">
      <c r="A882" s="95">
        <v>881</v>
      </c>
      <c r="B882" s="98" t="s">
        <v>821</v>
      </c>
      <c r="C882" s="191" t="s">
        <v>2640</v>
      </c>
      <c r="D882" s="257" t="s">
        <v>549</v>
      </c>
      <c r="E882" s="459" t="s">
        <v>3377</v>
      </c>
      <c r="F882" s="171">
        <v>2000</v>
      </c>
      <c r="G882" s="171">
        <v>208</v>
      </c>
      <c r="H882" s="57"/>
      <c r="I882" s="173" t="s">
        <v>2564</v>
      </c>
      <c r="J882" s="277">
        <v>0.45</v>
      </c>
      <c r="K882" s="213">
        <v>4.1581508515815084</v>
      </c>
      <c r="L882" s="91"/>
      <c r="M882" s="278">
        <v>411</v>
      </c>
      <c r="N882" s="279"/>
      <c r="O882" s="172" t="s">
        <v>12</v>
      </c>
      <c r="P882" s="511"/>
      <c r="Q882" s="173" t="s">
        <v>10</v>
      </c>
      <c r="R882" s="171" t="s">
        <v>2735</v>
      </c>
      <c r="S882" s="94"/>
      <c r="T882" s="171" t="s">
        <v>2306</v>
      </c>
      <c r="U882" s="171" t="s">
        <v>2551</v>
      </c>
      <c r="V882" s="102">
        <v>0</v>
      </c>
      <c r="W882" s="120">
        <v>0</v>
      </c>
      <c r="X882" s="120">
        <v>0</v>
      </c>
      <c r="Y882" s="120">
        <v>0</v>
      </c>
      <c r="Z882" s="120">
        <v>0</v>
      </c>
      <c r="AA882" s="17">
        <v>0</v>
      </c>
      <c r="AB882" s="17">
        <v>0</v>
      </c>
      <c r="AC882" s="17">
        <v>0</v>
      </c>
      <c r="AD882" s="17">
        <v>0</v>
      </c>
      <c r="AE882" s="17">
        <v>0</v>
      </c>
      <c r="AF882" s="17">
        <v>0</v>
      </c>
      <c r="AG882" s="17">
        <v>0</v>
      </c>
      <c r="AH882" s="17">
        <v>0</v>
      </c>
      <c r="AI882" s="17">
        <v>0</v>
      </c>
      <c r="AJ882" s="17">
        <v>0</v>
      </c>
      <c r="AK882" s="17">
        <v>0</v>
      </c>
      <c r="AL882" s="32">
        <v>0</v>
      </c>
      <c r="AM882" s="57"/>
      <c r="AN882" s="89"/>
      <c r="AO882" s="280"/>
      <c r="AP882" s="784"/>
      <c r="AQ882" s="773" t="s">
        <v>271</v>
      </c>
      <c r="AR882" s="188">
        <v>100</v>
      </c>
      <c r="AS882" s="171"/>
      <c r="AT882" s="171" t="str">
        <f t="shared" si="72"/>
        <v>400</v>
      </c>
      <c r="AU882" s="255">
        <f t="shared" si="73"/>
        <v>22.222222222222221</v>
      </c>
      <c r="AV882" s="172">
        <v>100</v>
      </c>
      <c r="AW882" s="171">
        <v>7</v>
      </c>
      <c r="AX882" s="89"/>
      <c r="AY882" s="171">
        <v>20</v>
      </c>
      <c r="AZ882" s="89"/>
      <c r="BA882" s="175">
        <v>60</v>
      </c>
      <c r="BB882" s="189" t="s">
        <v>2547</v>
      </c>
      <c r="BC882" s="176"/>
      <c r="BD882" s="179"/>
      <c r="BE882" s="179"/>
      <c r="BF882" s="178"/>
      <c r="BG882" s="25"/>
      <c r="BH882" s="25"/>
    </row>
    <row r="883" spans="1:60" ht="15" customHeight="1">
      <c r="A883" s="95">
        <v>882</v>
      </c>
      <c r="B883" s="98" t="s">
        <v>820</v>
      </c>
      <c r="C883" s="191" t="s">
        <v>2640</v>
      </c>
      <c r="D883" s="257" t="s">
        <v>549</v>
      </c>
      <c r="E883" s="459" t="s">
        <v>3377</v>
      </c>
      <c r="F883" s="171">
        <v>2000</v>
      </c>
      <c r="G883" s="171">
        <v>208</v>
      </c>
      <c r="H883" s="57"/>
      <c r="I883" s="173" t="s">
        <v>2564</v>
      </c>
      <c r="J883" s="277">
        <v>0.45</v>
      </c>
      <c r="K883" s="213">
        <v>4.1581508515815084</v>
      </c>
      <c r="L883" s="91"/>
      <c r="M883" s="278">
        <v>411</v>
      </c>
      <c r="N883" s="279"/>
      <c r="O883" s="172" t="s">
        <v>12</v>
      </c>
      <c r="P883" s="511"/>
      <c r="Q883" s="173" t="s">
        <v>10</v>
      </c>
      <c r="R883" s="171" t="s">
        <v>2735</v>
      </c>
      <c r="S883" s="94"/>
      <c r="T883" s="171" t="s">
        <v>2306</v>
      </c>
      <c r="U883" s="171" t="s">
        <v>2551</v>
      </c>
      <c r="V883" s="102">
        <v>0</v>
      </c>
      <c r="W883" s="120">
        <v>0</v>
      </c>
      <c r="X883" s="120">
        <v>0</v>
      </c>
      <c r="Y883" s="120">
        <v>0</v>
      </c>
      <c r="Z883" s="120">
        <v>0</v>
      </c>
      <c r="AA883" s="17">
        <v>0</v>
      </c>
      <c r="AB883" s="17">
        <v>0</v>
      </c>
      <c r="AC883" s="17">
        <v>0</v>
      </c>
      <c r="AD883" s="17">
        <v>0</v>
      </c>
      <c r="AE883" s="17">
        <v>0</v>
      </c>
      <c r="AF883" s="17">
        <v>0</v>
      </c>
      <c r="AG883" s="17">
        <v>0</v>
      </c>
      <c r="AH883" s="17">
        <v>0</v>
      </c>
      <c r="AI883" s="17">
        <v>0</v>
      </c>
      <c r="AJ883" s="17">
        <v>0</v>
      </c>
      <c r="AK883" s="17">
        <v>0</v>
      </c>
      <c r="AL883" s="32">
        <v>0</v>
      </c>
      <c r="AM883" s="57"/>
      <c r="AN883" s="89"/>
      <c r="AO883" s="280"/>
      <c r="AP883" s="784"/>
      <c r="AQ883" s="773" t="s">
        <v>271</v>
      </c>
      <c r="AR883" s="188">
        <v>100</v>
      </c>
      <c r="AS883" s="171"/>
      <c r="AT883" s="171" t="str">
        <f t="shared" si="72"/>
        <v>400</v>
      </c>
      <c r="AU883" s="255">
        <f t="shared" si="73"/>
        <v>22.222222222222221</v>
      </c>
      <c r="AV883" s="172">
        <v>100</v>
      </c>
      <c r="AW883" s="171">
        <v>7</v>
      </c>
      <c r="AX883" s="89"/>
      <c r="AY883" s="171">
        <v>20</v>
      </c>
      <c r="AZ883" s="89"/>
      <c r="BA883" s="175">
        <v>60</v>
      </c>
      <c r="BB883" s="189" t="s">
        <v>2547</v>
      </c>
      <c r="BC883" s="176"/>
      <c r="BD883" s="179"/>
      <c r="BE883" s="179"/>
      <c r="BF883" s="178"/>
      <c r="BG883" s="25"/>
      <c r="BH883" s="25"/>
    </row>
    <row r="884" spans="1:60" ht="15" customHeight="1">
      <c r="A884" s="95">
        <v>883</v>
      </c>
      <c r="B884" s="98" t="s">
        <v>819</v>
      </c>
      <c r="C884" s="191" t="s">
        <v>2640</v>
      </c>
      <c r="D884" s="257" t="s">
        <v>549</v>
      </c>
      <c r="E884" s="459" t="s">
        <v>3377</v>
      </c>
      <c r="F884" s="171">
        <v>2000</v>
      </c>
      <c r="G884" s="171">
        <v>208</v>
      </c>
      <c r="H884" s="57"/>
      <c r="I884" s="173" t="s">
        <v>2564</v>
      </c>
      <c r="J884" s="277">
        <v>0.45</v>
      </c>
      <c r="K884" s="213">
        <v>4.1581508515815084</v>
      </c>
      <c r="L884" s="91"/>
      <c r="M884" s="278">
        <v>411</v>
      </c>
      <c r="N884" s="279"/>
      <c r="O884" s="172" t="s">
        <v>12</v>
      </c>
      <c r="P884" s="511"/>
      <c r="Q884" s="173" t="s">
        <v>10</v>
      </c>
      <c r="R884" s="171" t="s">
        <v>2735</v>
      </c>
      <c r="S884" s="94"/>
      <c r="T884" s="171" t="s">
        <v>2306</v>
      </c>
      <c r="U884" s="171" t="s">
        <v>2551</v>
      </c>
      <c r="V884" s="102">
        <v>0</v>
      </c>
      <c r="W884" s="120">
        <v>0</v>
      </c>
      <c r="X884" s="120">
        <v>0</v>
      </c>
      <c r="Y884" s="120">
        <v>0</v>
      </c>
      <c r="Z884" s="120">
        <v>0</v>
      </c>
      <c r="AA884" s="17">
        <v>0</v>
      </c>
      <c r="AB884" s="17">
        <v>0</v>
      </c>
      <c r="AC884" s="17">
        <v>0</v>
      </c>
      <c r="AD884" s="17">
        <v>0</v>
      </c>
      <c r="AE884" s="17">
        <v>0</v>
      </c>
      <c r="AF884" s="17">
        <v>0</v>
      </c>
      <c r="AG884" s="17">
        <v>0</v>
      </c>
      <c r="AH884" s="17">
        <v>0</v>
      </c>
      <c r="AI884" s="17">
        <v>0</v>
      </c>
      <c r="AJ884" s="17">
        <v>0</v>
      </c>
      <c r="AK884" s="17">
        <v>0</v>
      </c>
      <c r="AL884" s="32">
        <v>0</v>
      </c>
      <c r="AM884" s="57"/>
      <c r="AN884" s="89"/>
      <c r="AO884" s="280"/>
      <c r="AP884" s="784"/>
      <c r="AQ884" s="773" t="s">
        <v>271</v>
      </c>
      <c r="AR884" s="188">
        <v>100</v>
      </c>
      <c r="AS884" s="171"/>
      <c r="AT884" s="171" t="str">
        <f t="shared" si="72"/>
        <v>400</v>
      </c>
      <c r="AU884" s="255">
        <f t="shared" si="73"/>
        <v>22.222222222222221</v>
      </c>
      <c r="AV884" s="172">
        <v>100</v>
      </c>
      <c r="AW884" s="171">
        <v>7</v>
      </c>
      <c r="AX884" s="89"/>
      <c r="AY884" s="171">
        <v>20</v>
      </c>
      <c r="AZ884" s="89"/>
      <c r="BA884" s="175">
        <v>60</v>
      </c>
      <c r="BB884" s="189" t="s">
        <v>2547</v>
      </c>
      <c r="BC884" s="176"/>
      <c r="BD884" s="179"/>
      <c r="BE884" s="179"/>
      <c r="BF884" s="178"/>
      <c r="BG884" s="25"/>
      <c r="BH884" s="25"/>
    </row>
    <row r="885" spans="1:60" ht="15" customHeight="1">
      <c r="A885" s="95">
        <v>884</v>
      </c>
      <c r="B885" s="98" t="s">
        <v>818</v>
      </c>
      <c r="C885" s="191" t="s">
        <v>2640</v>
      </c>
      <c r="D885" s="257" t="s">
        <v>549</v>
      </c>
      <c r="E885" s="459" t="s">
        <v>3377</v>
      </c>
      <c r="F885" s="171">
        <v>2000</v>
      </c>
      <c r="G885" s="171">
        <v>208</v>
      </c>
      <c r="H885" s="57"/>
      <c r="I885" s="173" t="s">
        <v>2564</v>
      </c>
      <c r="J885" s="277">
        <v>0.5</v>
      </c>
      <c r="K885" s="213">
        <v>4.6621621621621623</v>
      </c>
      <c r="L885" s="91"/>
      <c r="M885" s="278">
        <v>370</v>
      </c>
      <c r="N885" s="279"/>
      <c r="O885" s="172" t="s">
        <v>12</v>
      </c>
      <c r="P885" s="511"/>
      <c r="Q885" s="173" t="s">
        <v>10</v>
      </c>
      <c r="R885" s="171" t="s">
        <v>2735</v>
      </c>
      <c r="S885" s="94"/>
      <c r="T885" s="171" t="s">
        <v>2306</v>
      </c>
      <c r="U885" s="171" t="s">
        <v>2551</v>
      </c>
      <c r="V885" s="102">
        <v>0</v>
      </c>
      <c r="W885" s="120">
        <v>0</v>
      </c>
      <c r="X885" s="120">
        <v>0</v>
      </c>
      <c r="Y885" s="120">
        <v>0</v>
      </c>
      <c r="Z885" s="120">
        <v>0</v>
      </c>
      <c r="AA885" s="17">
        <v>0</v>
      </c>
      <c r="AB885" s="17">
        <v>0</v>
      </c>
      <c r="AC885" s="17">
        <v>0</v>
      </c>
      <c r="AD885" s="17">
        <v>0</v>
      </c>
      <c r="AE885" s="17">
        <v>0</v>
      </c>
      <c r="AF885" s="17">
        <v>0</v>
      </c>
      <c r="AG885" s="17">
        <v>0</v>
      </c>
      <c r="AH885" s="17">
        <v>0</v>
      </c>
      <c r="AI885" s="17">
        <v>0</v>
      </c>
      <c r="AJ885" s="17">
        <v>0</v>
      </c>
      <c r="AK885" s="17">
        <v>0</v>
      </c>
      <c r="AL885" s="32">
        <v>0</v>
      </c>
      <c r="AM885" s="57"/>
      <c r="AN885" s="89"/>
      <c r="AO885" s="280"/>
      <c r="AP885" s="784"/>
      <c r="AQ885" s="773" t="s">
        <v>271</v>
      </c>
      <c r="AR885" s="188">
        <v>100</v>
      </c>
      <c r="AS885" s="171"/>
      <c r="AT885" s="171" t="str">
        <f t="shared" si="72"/>
        <v>400</v>
      </c>
      <c r="AU885" s="255">
        <f t="shared" si="73"/>
        <v>22.222222222222221</v>
      </c>
      <c r="AV885" s="172">
        <v>100</v>
      </c>
      <c r="AW885" s="171">
        <v>7</v>
      </c>
      <c r="AX885" s="89"/>
      <c r="AY885" s="171">
        <v>20</v>
      </c>
      <c r="AZ885" s="89"/>
      <c r="BA885" s="175">
        <v>60</v>
      </c>
      <c r="BB885" s="189" t="s">
        <v>2547</v>
      </c>
      <c r="BC885" s="176"/>
      <c r="BD885" s="179"/>
      <c r="BE885" s="179"/>
      <c r="BF885" s="178"/>
      <c r="BG885" s="25"/>
      <c r="BH885" s="25"/>
    </row>
    <row r="886" spans="1:60" ht="15" customHeight="1">
      <c r="A886" s="95">
        <v>885</v>
      </c>
      <c r="B886" s="98" t="s">
        <v>817</v>
      </c>
      <c r="C886" s="191" t="s">
        <v>2640</v>
      </c>
      <c r="D886" s="257" t="s">
        <v>549</v>
      </c>
      <c r="E886" s="459" t="s">
        <v>3377</v>
      </c>
      <c r="F886" s="171">
        <v>2000</v>
      </c>
      <c r="G886" s="171">
        <v>208</v>
      </c>
      <c r="H886" s="57"/>
      <c r="I886" s="173" t="s">
        <v>2564</v>
      </c>
      <c r="J886" s="277">
        <v>0.5</v>
      </c>
      <c r="K886" s="213">
        <v>4.6621621621621623</v>
      </c>
      <c r="L886" s="91"/>
      <c r="M886" s="278">
        <v>370</v>
      </c>
      <c r="N886" s="279"/>
      <c r="O886" s="172" t="s">
        <v>12</v>
      </c>
      <c r="P886" s="511"/>
      <c r="Q886" s="173" t="s">
        <v>10</v>
      </c>
      <c r="R886" s="171" t="s">
        <v>2735</v>
      </c>
      <c r="S886" s="94"/>
      <c r="T886" s="171" t="s">
        <v>2306</v>
      </c>
      <c r="U886" s="171" t="s">
        <v>2551</v>
      </c>
      <c r="V886" s="102">
        <v>0</v>
      </c>
      <c r="W886" s="120">
        <v>0</v>
      </c>
      <c r="X886" s="120">
        <v>0</v>
      </c>
      <c r="Y886" s="120">
        <v>0</v>
      </c>
      <c r="Z886" s="120">
        <v>0</v>
      </c>
      <c r="AA886" s="17">
        <v>0</v>
      </c>
      <c r="AB886" s="17">
        <v>0</v>
      </c>
      <c r="AC886" s="17">
        <v>0</v>
      </c>
      <c r="AD886" s="17">
        <v>0</v>
      </c>
      <c r="AE886" s="17">
        <v>0</v>
      </c>
      <c r="AF886" s="17">
        <v>0</v>
      </c>
      <c r="AG886" s="17">
        <v>0</v>
      </c>
      <c r="AH886" s="17">
        <v>0</v>
      </c>
      <c r="AI886" s="17">
        <v>0</v>
      </c>
      <c r="AJ886" s="17">
        <v>0</v>
      </c>
      <c r="AK886" s="17">
        <v>0</v>
      </c>
      <c r="AL886" s="32">
        <v>0</v>
      </c>
      <c r="AM886" s="57"/>
      <c r="AN886" s="89"/>
      <c r="AO886" s="280"/>
      <c r="AP886" s="784"/>
      <c r="AQ886" s="773" t="s">
        <v>271</v>
      </c>
      <c r="AR886" s="188">
        <v>100</v>
      </c>
      <c r="AS886" s="171"/>
      <c r="AT886" s="171" t="str">
        <f t="shared" si="72"/>
        <v>400</v>
      </c>
      <c r="AU886" s="255">
        <f t="shared" si="73"/>
        <v>22.222222222222221</v>
      </c>
      <c r="AV886" s="172">
        <v>100</v>
      </c>
      <c r="AW886" s="171">
        <v>7</v>
      </c>
      <c r="AX886" s="89"/>
      <c r="AY886" s="171">
        <v>20</v>
      </c>
      <c r="AZ886" s="89"/>
      <c r="BA886" s="175">
        <v>60</v>
      </c>
      <c r="BB886" s="189" t="s">
        <v>2547</v>
      </c>
      <c r="BC886" s="176"/>
      <c r="BD886" s="179"/>
      <c r="BE886" s="179"/>
      <c r="BF886" s="178"/>
      <c r="BG886" s="25"/>
      <c r="BH886" s="25"/>
    </row>
    <row r="887" spans="1:60" ht="15" customHeight="1">
      <c r="A887" s="95">
        <v>886</v>
      </c>
      <c r="B887" s="98" t="s">
        <v>816</v>
      </c>
      <c r="C887" s="191" t="s">
        <v>2640</v>
      </c>
      <c r="D887" s="257" t="s">
        <v>549</v>
      </c>
      <c r="E887" s="459" t="s">
        <v>3377</v>
      </c>
      <c r="F887" s="171">
        <v>2000</v>
      </c>
      <c r="G887" s="171">
        <v>208</v>
      </c>
      <c r="H887" s="57"/>
      <c r="I887" s="173" t="s">
        <v>2564</v>
      </c>
      <c r="J887" s="277">
        <v>0.5</v>
      </c>
      <c r="K887" s="213">
        <v>4.6621621621621623</v>
      </c>
      <c r="L887" s="91"/>
      <c r="M887" s="278">
        <v>370</v>
      </c>
      <c r="N887" s="279"/>
      <c r="O887" s="172" t="s">
        <v>12</v>
      </c>
      <c r="P887" s="511"/>
      <c r="Q887" s="173" t="s">
        <v>10</v>
      </c>
      <c r="R887" s="171" t="s">
        <v>2735</v>
      </c>
      <c r="S887" s="94"/>
      <c r="T887" s="171" t="s">
        <v>2306</v>
      </c>
      <c r="U887" s="171" t="s">
        <v>2551</v>
      </c>
      <c r="V887" s="102">
        <v>0</v>
      </c>
      <c r="W887" s="120">
        <v>0</v>
      </c>
      <c r="X887" s="120">
        <v>0</v>
      </c>
      <c r="Y887" s="120">
        <v>0</v>
      </c>
      <c r="Z887" s="120">
        <v>0</v>
      </c>
      <c r="AA887" s="17">
        <v>0</v>
      </c>
      <c r="AB887" s="17">
        <v>0</v>
      </c>
      <c r="AC887" s="17">
        <v>0</v>
      </c>
      <c r="AD887" s="17">
        <v>0</v>
      </c>
      <c r="AE887" s="17">
        <v>0</v>
      </c>
      <c r="AF887" s="17">
        <v>0</v>
      </c>
      <c r="AG887" s="17">
        <v>0</v>
      </c>
      <c r="AH887" s="17">
        <v>0</v>
      </c>
      <c r="AI887" s="17">
        <v>0</v>
      </c>
      <c r="AJ887" s="17">
        <v>0</v>
      </c>
      <c r="AK887" s="17">
        <v>0</v>
      </c>
      <c r="AL887" s="32">
        <v>0</v>
      </c>
      <c r="AM887" s="57"/>
      <c r="AN887" s="89"/>
      <c r="AO887" s="280"/>
      <c r="AP887" s="784"/>
      <c r="AQ887" s="773" t="s">
        <v>271</v>
      </c>
      <c r="AR887" s="188">
        <v>100</v>
      </c>
      <c r="AS887" s="171"/>
      <c r="AT887" s="171" t="str">
        <f t="shared" si="72"/>
        <v>400</v>
      </c>
      <c r="AU887" s="255">
        <f t="shared" si="73"/>
        <v>22.222222222222221</v>
      </c>
      <c r="AV887" s="172">
        <v>100</v>
      </c>
      <c r="AW887" s="171">
        <v>7</v>
      </c>
      <c r="AX887" s="89"/>
      <c r="AY887" s="171">
        <v>20</v>
      </c>
      <c r="AZ887" s="89"/>
      <c r="BA887" s="175">
        <v>60</v>
      </c>
      <c r="BB887" s="189" t="s">
        <v>2547</v>
      </c>
      <c r="BC887" s="176"/>
      <c r="BD887" s="179"/>
      <c r="BE887" s="179"/>
      <c r="BF887" s="178"/>
      <c r="BG887" s="25"/>
      <c r="BH887" s="25"/>
    </row>
    <row r="888" spans="1:60" ht="15" customHeight="1">
      <c r="A888" s="95">
        <v>887</v>
      </c>
      <c r="B888" s="98" t="s">
        <v>815</v>
      </c>
      <c r="C888" s="191" t="s">
        <v>2685</v>
      </c>
      <c r="D888" s="257" t="s">
        <v>549</v>
      </c>
      <c r="E888" s="459" t="s">
        <v>3377</v>
      </c>
      <c r="F888" s="171">
        <v>1999</v>
      </c>
      <c r="G888" s="171">
        <v>209</v>
      </c>
      <c r="H888" s="57"/>
      <c r="I888" s="173" t="s">
        <v>2564</v>
      </c>
      <c r="J888" s="277">
        <v>0.5</v>
      </c>
      <c r="K888" s="213">
        <v>3.6774193548387095</v>
      </c>
      <c r="L888" s="91"/>
      <c r="M888" s="278">
        <v>310</v>
      </c>
      <c r="N888" s="279"/>
      <c r="O888" s="172" t="s">
        <v>12</v>
      </c>
      <c r="P888" s="511"/>
      <c r="Q888" s="173" t="s">
        <v>10</v>
      </c>
      <c r="R888" s="94"/>
      <c r="S888" s="94"/>
      <c r="T888" s="171" t="s">
        <v>2552</v>
      </c>
      <c r="U888" s="171"/>
      <c r="V888" s="102">
        <v>0</v>
      </c>
      <c r="W888" s="120">
        <v>0</v>
      </c>
      <c r="X888" s="120">
        <v>0</v>
      </c>
      <c r="Y888" s="120">
        <v>0</v>
      </c>
      <c r="Z888" s="120">
        <v>0</v>
      </c>
      <c r="AA888" s="17">
        <v>0</v>
      </c>
      <c r="AB888" s="17">
        <v>0</v>
      </c>
      <c r="AC888" s="17">
        <v>0</v>
      </c>
      <c r="AD888" s="17">
        <v>0</v>
      </c>
      <c r="AE888" s="17">
        <v>0</v>
      </c>
      <c r="AF888" s="17">
        <v>0</v>
      </c>
      <c r="AG888" s="17">
        <v>0</v>
      </c>
      <c r="AH888" s="17">
        <v>0</v>
      </c>
      <c r="AI888" s="17">
        <v>0</v>
      </c>
      <c r="AJ888" s="17">
        <v>0</v>
      </c>
      <c r="AK888" s="17">
        <v>0</v>
      </c>
      <c r="AL888" s="32">
        <v>0</v>
      </c>
      <c r="AM888" s="57"/>
      <c r="AN888" s="89"/>
      <c r="AO888" s="280"/>
      <c r="AP888" s="784"/>
      <c r="AQ888" s="773" t="s">
        <v>271</v>
      </c>
      <c r="AR888" s="188">
        <v>100</v>
      </c>
      <c r="AS888" s="171"/>
      <c r="AT888" s="171" t="str">
        <f t="shared" si="72"/>
        <v>400</v>
      </c>
      <c r="AU888" s="255">
        <f t="shared" si="73"/>
        <v>22.222222222222221</v>
      </c>
      <c r="AV888" s="172">
        <v>100</v>
      </c>
      <c r="AW888" s="171">
        <v>7</v>
      </c>
      <c r="AX888" s="89"/>
      <c r="AY888" s="171">
        <v>20</v>
      </c>
      <c r="AZ888" s="89"/>
      <c r="BA888" s="175">
        <v>60</v>
      </c>
      <c r="BB888" s="189" t="s">
        <v>2547</v>
      </c>
      <c r="BC888" s="176"/>
      <c r="BD888" s="179"/>
      <c r="BE888" s="179"/>
      <c r="BF888" s="178"/>
      <c r="BG888" s="25"/>
      <c r="BH888" s="25"/>
    </row>
    <row r="889" spans="1:60" ht="15" customHeight="1">
      <c r="A889" s="95">
        <v>888</v>
      </c>
      <c r="B889" s="98" t="s">
        <v>814</v>
      </c>
      <c r="C889" s="191" t="s">
        <v>2685</v>
      </c>
      <c r="D889" s="257" t="s">
        <v>549</v>
      </c>
      <c r="E889" s="459" t="s">
        <v>3377</v>
      </c>
      <c r="F889" s="171">
        <v>1999</v>
      </c>
      <c r="G889" s="171">
        <v>209</v>
      </c>
      <c r="H889" s="57"/>
      <c r="I889" s="173" t="s">
        <v>2564</v>
      </c>
      <c r="J889" s="277">
        <v>0.4</v>
      </c>
      <c r="K889" s="213">
        <v>2.6295399515738498</v>
      </c>
      <c r="L889" s="91"/>
      <c r="M889" s="278">
        <v>413</v>
      </c>
      <c r="N889" s="279"/>
      <c r="O889" s="172" t="s">
        <v>12</v>
      </c>
      <c r="P889" s="511"/>
      <c r="Q889" s="173" t="s">
        <v>10</v>
      </c>
      <c r="R889" s="94"/>
      <c r="S889" s="94"/>
      <c r="T889" s="171" t="s">
        <v>2552</v>
      </c>
      <c r="U889" s="171"/>
      <c r="V889" s="102">
        <v>0</v>
      </c>
      <c r="W889" s="120">
        <v>0</v>
      </c>
      <c r="X889" s="120">
        <v>0</v>
      </c>
      <c r="Y889" s="120">
        <v>0</v>
      </c>
      <c r="Z889" s="120">
        <v>0</v>
      </c>
      <c r="AA889" s="17">
        <v>0</v>
      </c>
      <c r="AB889" s="17">
        <v>0</v>
      </c>
      <c r="AC889" s="17">
        <v>0</v>
      </c>
      <c r="AD889" s="17">
        <v>0</v>
      </c>
      <c r="AE889" s="17">
        <v>0</v>
      </c>
      <c r="AF889" s="17">
        <v>0</v>
      </c>
      <c r="AG889" s="17">
        <v>0</v>
      </c>
      <c r="AH889" s="17">
        <v>0</v>
      </c>
      <c r="AI889" s="17">
        <v>0</v>
      </c>
      <c r="AJ889" s="17">
        <v>0</v>
      </c>
      <c r="AK889" s="17">
        <v>0</v>
      </c>
      <c r="AL889" s="32">
        <v>0</v>
      </c>
      <c r="AM889" s="57"/>
      <c r="AN889" s="89"/>
      <c r="AO889" s="280"/>
      <c r="AP889" s="784"/>
      <c r="AQ889" s="773" t="s">
        <v>271</v>
      </c>
      <c r="AR889" s="188">
        <v>100</v>
      </c>
      <c r="AS889" s="171"/>
      <c r="AT889" s="171" t="str">
        <f t="shared" si="72"/>
        <v>400</v>
      </c>
      <c r="AU889" s="255">
        <f t="shared" si="73"/>
        <v>22.222222222222221</v>
      </c>
      <c r="AV889" s="172">
        <v>100</v>
      </c>
      <c r="AW889" s="171">
        <v>7</v>
      </c>
      <c r="AX889" s="89"/>
      <c r="AY889" s="171">
        <v>20</v>
      </c>
      <c r="AZ889" s="89"/>
      <c r="BA889" s="175">
        <v>60</v>
      </c>
      <c r="BB889" s="189" t="s">
        <v>2547</v>
      </c>
      <c r="BC889" s="176"/>
      <c r="BD889" s="179"/>
      <c r="BE889" s="179"/>
      <c r="BF889" s="178"/>
      <c r="BG889" s="25"/>
      <c r="BH889" s="25"/>
    </row>
    <row r="890" spans="1:60" ht="15" customHeight="1">
      <c r="A890" s="95">
        <v>889</v>
      </c>
      <c r="B890" s="98" t="s">
        <v>813</v>
      </c>
      <c r="C890" s="191" t="s">
        <v>2685</v>
      </c>
      <c r="D890" s="257" t="s">
        <v>549</v>
      </c>
      <c r="E890" s="459" t="s">
        <v>3377</v>
      </c>
      <c r="F890" s="171">
        <v>1999</v>
      </c>
      <c r="G890" s="171">
        <v>209</v>
      </c>
      <c r="H890" s="57"/>
      <c r="I890" s="173" t="s">
        <v>2564</v>
      </c>
      <c r="J890" s="277">
        <v>0.5</v>
      </c>
      <c r="K890" s="213">
        <v>4.8735294117647054</v>
      </c>
      <c r="L890" s="91"/>
      <c r="M890" s="278">
        <v>340</v>
      </c>
      <c r="N890" s="279"/>
      <c r="O890" s="172" t="s">
        <v>12</v>
      </c>
      <c r="P890" s="511"/>
      <c r="Q890" s="173" t="s">
        <v>10</v>
      </c>
      <c r="R890" s="94"/>
      <c r="S890" s="94"/>
      <c r="T890" s="171" t="s">
        <v>2552</v>
      </c>
      <c r="U890" s="171"/>
      <c r="V890" s="102">
        <v>0</v>
      </c>
      <c r="W890" s="120">
        <v>0</v>
      </c>
      <c r="X890" s="120">
        <v>0</v>
      </c>
      <c r="Y890" s="120">
        <v>0</v>
      </c>
      <c r="Z890" s="120">
        <v>0</v>
      </c>
      <c r="AA890" s="17">
        <v>0</v>
      </c>
      <c r="AB890" s="17">
        <v>0</v>
      </c>
      <c r="AC890" s="17">
        <v>0</v>
      </c>
      <c r="AD890" s="17">
        <v>0</v>
      </c>
      <c r="AE890" s="17">
        <v>0</v>
      </c>
      <c r="AF890" s="17">
        <v>0</v>
      </c>
      <c r="AG890" s="17">
        <v>0</v>
      </c>
      <c r="AH890" s="17">
        <v>0</v>
      </c>
      <c r="AI890" s="17">
        <v>0</v>
      </c>
      <c r="AJ890" s="17">
        <v>0</v>
      </c>
      <c r="AK890" s="17">
        <v>0</v>
      </c>
      <c r="AL890" s="32">
        <v>0</v>
      </c>
      <c r="AM890" s="57"/>
      <c r="AN890" s="89"/>
      <c r="AO890" s="280"/>
      <c r="AP890" s="784"/>
      <c r="AQ890" s="773" t="s">
        <v>271</v>
      </c>
      <c r="AR890" s="188">
        <v>100</v>
      </c>
      <c r="AS890" s="171"/>
      <c r="AT890" s="171" t="str">
        <f t="shared" si="72"/>
        <v>400</v>
      </c>
      <c r="AU890" s="255">
        <f t="shared" si="73"/>
        <v>22.222222222222221</v>
      </c>
      <c r="AV890" s="172">
        <v>100</v>
      </c>
      <c r="AW890" s="171">
        <v>7</v>
      </c>
      <c r="AX890" s="89"/>
      <c r="AY890" s="171">
        <v>20</v>
      </c>
      <c r="AZ890" s="89"/>
      <c r="BA890" s="175">
        <v>60</v>
      </c>
      <c r="BB890" s="189" t="s">
        <v>2547</v>
      </c>
      <c r="BC890" s="176"/>
      <c r="BD890" s="179"/>
      <c r="BE890" s="179"/>
      <c r="BF890" s="178"/>
      <c r="BG890" s="25"/>
      <c r="BH890" s="25"/>
    </row>
    <row r="891" spans="1:60" ht="15" customHeight="1">
      <c r="A891" s="95">
        <v>890</v>
      </c>
      <c r="B891" s="98" t="s">
        <v>812</v>
      </c>
      <c r="C891" s="191" t="s">
        <v>2685</v>
      </c>
      <c r="D891" s="257" t="s">
        <v>549</v>
      </c>
      <c r="E891" s="459" t="s">
        <v>3377</v>
      </c>
      <c r="F891" s="171">
        <v>1999</v>
      </c>
      <c r="G891" s="171">
        <v>209</v>
      </c>
      <c r="H891" s="57"/>
      <c r="I891" s="173" t="s">
        <v>2564</v>
      </c>
      <c r="J891" s="277">
        <v>0.4</v>
      </c>
      <c r="K891" s="213">
        <v>3.692493946731235</v>
      </c>
      <c r="L891" s="91"/>
      <c r="M891" s="278">
        <v>413</v>
      </c>
      <c r="N891" s="279"/>
      <c r="O891" s="172" t="s">
        <v>12</v>
      </c>
      <c r="P891" s="511"/>
      <c r="Q891" s="173" t="s">
        <v>10</v>
      </c>
      <c r="R891" s="94"/>
      <c r="S891" s="94"/>
      <c r="T891" s="171" t="s">
        <v>2552</v>
      </c>
      <c r="U891" s="171"/>
      <c r="V891" s="102">
        <v>0</v>
      </c>
      <c r="W891" s="120">
        <v>0</v>
      </c>
      <c r="X891" s="120">
        <v>0</v>
      </c>
      <c r="Y891" s="120">
        <v>0</v>
      </c>
      <c r="Z891" s="120">
        <v>0</v>
      </c>
      <c r="AA891" s="17">
        <v>0</v>
      </c>
      <c r="AB891" s="17">
        <v>0</v>
      </c>
      <c r="AC891" s="17">
        <v>0</v>
      </c>
      <c r="AD891" s="17">
        <v>0</v>
      </c>
      <c r="AE891" s="17">
        <v>0</v>
      </c>
      <c r="AF891" s="17">
        <v>0</v>
      </c>
      <c r="AG891" s="17">
        <v>0</v>
      </c>
      <c r="AH891" s="17">
        <v>0</v>
      </c>
      <c r="AI891" s="17">
        <v>0</v>
      </c>
      <c r="AJ891" s="17">
        <v>0</v>
      </c>
      <c r="AK891" s="17">
        <v>0</v>
      </c>
      <c r="AL891" s="32">
        <v>0</v>
      </c>
      <c r="AM891" s="57"/>
      <c r="AN891" s="89"/>
      <c r="AO891" s="280"/>
      <c r="AP891" s="784"/>
      <c r="AQ891" s="773" t="s">
        <v>271</v>
      </c>
      <c r="AR891" s="188">
        <v>100</v>
      </c>
      <c r="AS891" s="171"/>
      <c r="AT891" s="171" t="str">
        <f t="shared" ref="AT891:AT901" si="74">RIGHT(AQ891,LEN(AQ891)-FIND("x",AQ891,8))</f>
        <v>400</v>
      </c>
      <c r="AU891" s="255">
        <f t="shared" ref="AU891:AU901" si="75">IF(ISBLANK(AS891),(AR891*AT891)/((4*AT891)+(2*AR891)),AR891*AS891*AT891/2/(AR891*AS891+AR891*AT891+AS891*AT891))</f>
        <v>22.222222222222221</v>
      </c>
      <c r="AV891" s="172">
        <v>100</v>
      </c>
      <c r="AW891" s="171">
        <v>7</v>
      </c>
      <c r="AX891" s="89"/>
      <c r="AY891" s="171">
        <v>20</v>
      </c>
      <c r="AZ891" s="89"/>
      <c r="BA891" s="175">
        <v>60</v>
      </c>
      <c r="BB891" s="189" t="s">
        <v>2547</v>
      </c>
      <c r="BC891" s="176"/>
      <c r="BD891" s="179"/>
      <c r="BE891" s="179"/>
      <c r="BF891" s="178"/>
      <c r="BG891" s="25"/>
      <c r="BH891" s="25"/>
    </row>
    <row r="892" spans="1:60" ht="15" customHeight="1">
      <c r="A892" s="95">
        <v>891</v>
      </c>
      <c r="B892" s="98" t="s">
        <v>811</v>
      </c>
      <c r="C892" s="191" t="s">
        <v>2685</v>
      </c>
      <c r="D892" s="257" t="s">
        <v>549</v>
      </c>
      <c r="E892" s="459" t="s">
        <v>3377</v>
      </c>
      <c r="F892" s="171">
        <v>1999</v>
      </c>
      <c r="G892" s="171">
        <v>209</v>
      </c>
      <c r="H892" s="57"/>
      <c r="I892" s="173" t="s">
        <v>2564</v>
      </c>
      <c r="J892" s="277">
        <v>0.5</v>
      </c>
      <c r="K892" s="213">
        <v>3.2514970059880239</v>
      </c>
      <c r="L892" s="91"/>
      <c r="M892" s="278">
        <v>334</v>
      </c>
      <c r="N892" s="279"/>
      <c r="O892" s="172" t="s">
        <v>12</v>
      </c>
      <c r="P892" s="92"/>
      <c r="Q892" s="173" t="s">
        <v>10</v>
      </c>
      <c r="R892" s="94"/>
      <c r="S892" s="94"/>
      <c r="T892" s="171" t="s">
        <v>2552</v>
      </c>
      <c r="U892" s="171"/>
      <c r="V892" s="102">
        <v>0</v>
      </c>
      <c r="W892" s="120">
        <v>0</v>
      </c>
      <c r="X892" s="120">
        <v>0</v>
      </c>
      <c r="Y892" s="120">
        <v>0</v>
      </c>
      <c r="Z892" s="120">
        <v>0</v>
      </c>
      <c r="AA892" s="17">
        <v>0</v>
      </c>
      <c r="AB892" s="17">
        <v>0</v>
      </c>
      <c r="AC892" s="17">
        <v>0</v>
      </c>
      <c r="AD892" s="17">
        <v>0</v>
      </c>
      <c r="AE892" s="17">
        <v>0</v>
      </c>
      <c r="AF892" s="17">
        <v>0</v>
      </c>
      <c r="AG892" s="17">
        <v>0</v>
      </c>
      <c r="AH892" s="17">
        <v>0</v>
      </c>
      <c r="AI892" s="17">
        <v>0</v>
      </c>
      <c r="AJ892" s="17">
        <v>0</v>
      </c>
      <c r="AK892" s="17">
        <v>0</v>
      </c>
      <c r="AL892" s="32">
        <v>0</v>
      </c>
      <c r="AM892" s="780">
        <v>45</v>
      </c>
      <c r="AN892" s="89"/>
      <c r="AO892" s="280"/>
      <c r="AP892" s="784"/>
      <c r="AQ892" s="773" t="s">
        <v>271</v>
      </c>
      <c r="AR892" s="188">
        <v>100</v>
      </c>
      <c r="AS892" s="171"/>
      <c r="AT892" s="171" t="str">
        <f t="shared" si="74"/>
        <v>400</v>
      </c>
      <c r="AU892" s="255">
        <f t="shared" si="75"/>
        <v>22.222222222222221</v>
      </c>
      <c r="AV892" s="172">
        <v>100</v>
      </c>
      <c r="AW892" s="171">
        <v>7</v>
      </c>
      <c r="AX892" s="89"/>
      <c r="AY892" s="171">
        <v>20</v>
      </c>
      <c r="AZ892" s="89"/>
      <c r="BA892" s="175">
        <v>60</v>
      </c>
      <c r="BB892" s="189" t="s">
        <v>2547</v>
      </c>
      <c r="BC892" s="176" t="s">
        <v>558</v>
      </c>
      <c r="BD892" s="179"/>
      <c r="BE892" s="179"/>
      <c r="BF892" s="178"/>
      <c r="BG892" s="25"/>
      <c r="BH892" s="25"/>
    </row>
    <row r="893" spans="1:60" ht="15" customHeight="1">
      <c r="A893" s="95">
        <v>892</v>
      </c>
      <c r="B893" s="98" t="s">
        <v>810</v>
      </c>
      <c r="C893" s="191" t="s">
        <v>2685</v>
      </c>
      <c r="D893" s="257" t="s">
        <v>549</v>
      </c>
      <c r="E893" s="459" t="s">
        <v>3377</v>
      </c>
      <c r="F893" s="171">
        <v>1999</v>
      </c>
      <c r="G893" s="171">
        <v>209</v>
      </c>
      <c r="H893" s="57"/>
      <c r="I893" s="173" t="s">
        <v>2564</v>
      </c>
      <c r="J893" s="277">
        <v>0.4</v>
      </c>
      <c r="K893" s="213">
        <v>2.5423728813559321</v>
      </c>
      <c r="L893" s="91"/>
      <c r="M893" s="278">
        <v>413</v>
      </c>
      <c r="N893" s="279"/>
      <c r="O893" s="172" t="s">
        <v>12</v>
      </c>
      <c r="P893" s="92"/>
      <c r="Q893" s="173" t="s">
        <v>10</v>
      </c>
      <c r="R893" s="94"/>
      <c r="S893" s="94"/>
      <c r="T893" s="171" t="s">
        <v>2552</v>
      </c>
      <c r="U893" s="171"/>
      <c r="V893" s="102">
        <v>0</v>
      </c>
      <c r="W893" s="120">
        <v>0</v>
      </c>
      <c r="X893" s="120">
        <v>0</v>
      </c>
      <c r="Y893" s="120">
        <v>0</v>
      </c>
      <c r="Z893" s="120">
        <v>0</v>
      </c>
      <c r="AA893" s="17">
        <v>0</v>
      </c>
      <c r="AB893" s="17">
        <v>0</v>
      </c>
      <c r="AC893" s="17">
        <v>0</v>
      </c>
      <c r="AD893" s="17">
        <v>0</v>
      </c>
      <c r="AE893" s="17">
        <v>0</v>
      </c>
      <c r="AF893" s="17">
        <v>0</v>
      </c>
      <c r="AG893" s="17">
        <v>0</v>
      </c>
      <c r="AH893" s="17">
        <v>0</v>
      </c>
      <c r="AI893" s="17">
        <v>0</v>
      </c>
      <c r="AJ893" s="17">
        <v>0</v>
      </c>
      <c r="AK893" s="17">
        <v>0</v>
      </c>
      <c r="AL893" s="32">
        <v>0</v>
      </c>
      <c r="AM893" s="780">
        <v>58.3</v>
      </c>
      <c r="AN893" s="89"/>
      <c r="AO893" s="280"/>
      <c r="AP893" s="784"/>
      <c r="AQ893" s="773" t="s">
        <v>271</v>
      </c>
      <c r="AR893" s="188">
        <v>100</v>
      </c>
      <c r="AS893" s="171"/>
      <c r="AT893" s="171" t="str">
        <f t="shared" si="74"/>
        <v>400</v>
      </c>
      <c r="AU893" s="255">
        <f t="shared" si="75"/>
        <v>22.222222222222221</v>
      </c>
      <c r="AV893" s="172">
        <v>100</v>
      </c>
      <c r="AW893" s="171">
        <v>7</v>
      </c>
      <c r="AX893" s="89"/>
      <c r="AY893" s="171">
        <v>20</v>
      </c>
      <c r="AZ893" s="89"/>
      <c r="BA893" s="175">
        <v>60</v>
      </c>
      <c r="BB893" s="189" t="s">
        <v>2547</v>
      </c>
      <c r="BC893" s="176" t="s">
        <v>558</v>
      </c>
      <c r="BD893" s="179"/>
      <c r="BE893" s="179"/>
      <c r="BF893" s="178"/>
      <c r="BG893" s="25"/>
      <c r="BH893" s="25"/>
    </row>
    <row r="894" spans="1:60" ht="15" customHeight="1">
      <c r="A894" s="95">
        <v>893</v>
      </c>
      <c r="B894" s="98" t="s">
        <v>809</v>
      </c>
      <c r="C894" s="191" t="s">
        <v>2685</v>
      </c>
      <c r="D894" s="257" t="s">
        <v>549</v>
      </c>
      <c r="E894" s="459" t="s">
        <v>3377</v>
      </c>
      <c r="F894" s="171">
        <v>1999</v>
      </c>
      <c r="G894" s="171">
        <v>209</v>
      </c>
      <c r="H894" s="57"/>
      <c r="I894" s="173" t="s">
        <v>2564</v>
      </c>
      <c r="J894" s="277">
        <v>0.5</v>
      </c>
      <c r="K894" s="213">
        <v>4.3114754098360653</v>
      </c>
      <c r="L894" s="91"/>
      <c r="M894" s="278">
        <v>366</v>
      </c>
      <c r="N894" s="279"/>
      <c r="O894" s="172" t="s">
        <v>12</v>
      </c>
      <c r="P894" s="92"/>
      <c r="Q894" s="173" t="s">
        <v>10</v>
      </c>
      <c r="R894" s="507"/>
      <c r="S894" s="94"/>
      <c r="T894" s="171" t="s">
        <v>2552</v>
      </c>
      <c r="U894" s="171"/>
      <c r="V894" s="102">
        <v>0</v>
      </c>
      <c r="W894" s="120">
        <v>0</v>
      </c>
      <c r="X894" s="120">
        <v>0</v>
      </c>
      <c r="Y894" s="120">
        <v>0</v>
      </c>
      <c r="Z894" s="120">
        <v>0</v>
      </c>
      <c r="AA894" s="17">
        <v>0</v>
      </c>
      <c r="AB894" s="17">
        <v>0</v>
      </c>
      <c r="AC894" s="17">
        <v>0</v>
      </c>
      <c r="AD894" s="17">
        <v>0</v>
      </c>
      <c r="AE894" s="17">
        <v>0</v>
      </c>
      <c r="AF894" s="17">
        <v>0</v>
      </c>
      <c r="AG894" s="17">
        <v>0</v>
      </c>
      <c r="AH894" s="17">
        <v>0</v>
      </c>
      <c r="AI894" s="17">
        <v>0</v>
      </c>
      <c r="AJ894" s="17">
        <v>0</v>
      </c>
      <c r="AK894" s="17">
        <v>0</v>
      </c>
      <c r="AL894" s="32">
        <v>0</v>
      </c>
      <c r="AM894" s="780">
        <v>43.3</v>
      </c>
      <c r="AN894" s="89"/>
      <c r="AO894" s="280"/>
      <c r="AP894" s="784"/>
      <c r="AQ894" s="773" t="s">
        <v>271</v>
      </c>
      <c r="AR894" s="188">
        <v>100</v>
      </c>
      <c r="AS894" s="171"/>
      <c r="AT894" s="171" t="str">
        <f t="shared" si="74"/>
        <v>400</v>
      </c>
      <c r="AU894" s="255">
        <f t="shared" si="75"/>
        <v>22.222222222222221</v>
      </c>
      <c r="AV894" s="172">
        <v>100</v>
      </c>
      <c r="AW894" s="171">
        <v>7</v>
      </c>
      <c r="AX894" s="89"/>
      <c r="AY894" s="171">
        <v>20</v>
      </c>
      <c r="AZ894" s="89"/>
      <c r="BA894" s="175">
        <v>60</v>
      </c>
      <c r="BB894" s="189" t="s">
        <v>2547</v>
      </c>
      <c r="BC894" s="176" t="s">
        <v>558</v>
      </c>
      <c r="BD894" s="179"/>
      <c r="BE894" s="179"/>
      <c r="BF894" s="178"/>
      <c r="BG894" s="25"/>
      <c r="BH894" s="25"/>
    </row>
    <row r="895" spans="1:60" ht="15" customHeight="1">
      <c r="A895" s="95">
        <v>894</v>
      </c>
      <c r="B895" s="98" t="s">
        <v>808</v>
      </c>
      <c r="C895" s="191" t="s">
        <v>2685</v>
      </c>
      <c r="D895" s="257" t="s">
        <v>549</v>
      </c>
      <c r="E895" s="459" t="s">
        <v>3377</v>
      </c>
      <c r="F895" s="171">
        <v>1999</v>
      </c>
      <c r="G895" s="171">
        <v>209</v>
      </c>
      <c r="H895" s="57"/>
      <c r="I895" s="173" t="s">
        <v>2564</v>
      </c>
      <c r="J895" s="277">
        <v>0.5</v>
      </c>
      <c r="K895" s="213">
        <v>2.5544554455445545</v>
      </c>
      <c r="L895" s="91"/>
      <c r="M895" s="278">
        <v>303</v>
      </c>
      <c r="N895" s="279"/>
      <c r="O895" s="172" t="s">
        <v>12</v>
      </c>
      <c r="P895" s="92"/>
      <c r="Q895" s="173" t="s">
        <v>10</v>
      </c>
      <c r="R895" s="94"/>
      <c r="S895" s="94"/>
      <c r="T895" s="171" t="s">
        <v>2552</v>
      </c>
      <c r="U895" s="171"/>
      <c r="V895" s="102">
        <v>0</v>
      </c>
      <c r="W895" s="120">
        <v>0</v>
      </c>
      <c r="X895" s="120">
        <v>0</v>
      </c>
      <c r="Y895" s="120">
        <v>0</v>
      </c>
      <c r="Z895" s="120">
        <v>0</v>
      </c>
      <c r="AA895" s="17">
        <v>0</v>
      </c>
      <c r="AB895" s="17">
        <v>0</v>
      </c>
      <c r="AC895" s="17">
        <v>0</v>
      </c>
      <c r="AD895" s="17">
        <v>0</v>
      </c>
      <c r="AE895" s="17">
        <v>0</v>
      </c>
      <c r="AF895" s="17">
        <v>0</v>
      </c>
      <c r="AG895" s="17">
        <v>0</v>
      </c>
      <c r="AH895" s="17">
        <v>0</v>
      </c>
      <c r="AI895" s="17">
        <v>0</v>
      </c>
      <c r="AJ895" s="17">
        <v>0</v>
      </c>
      <c r="AK895" s="17">
        <v>0</v>
      </c>
      <c r="AL895" s="32">
        <v>0</v>
      </c>
      <c r="AM895" s="780">
        <v>38.9</v>
      </c>
      <c r="AN895" s="89"/>
      <c r="AO895" s="280"/>
      <c r="AP895" s="784"/>
      <c r="AQ895" s="773" t="s">
        <v>271</v>
      </c>
      <c r="AR895" s="188">
        <v>100</v>
      </c>
      <c r="AS895" s="171"/>
      <c r="AT895" s="171" t="str">
        <f t="shared" si="74"/>
        <v>400</v>
      </c>
      <c r="AU895" s="255">
        <f t="shared" si="75"/>
        <v>22.222222222222221</v>
      </c>
      <c r="AV895" s="172">
        <v>100</v>
      </c>
      <c r="AW895" s="171">
        <v>7</v>
      </c>
      <c r="AX895" s="89"/>
      <c r="AY895" s="171">
        <v>20</v>
      </c>
      <c r="AZ895" s="89"/>
      <c r="BA895" s="175">
        <v>60</v>
      </c>
      <c r="BB895" s="189" t="s">
        <v>2547</v>
      </c>
      <c r="BC895" s="176" t="s">
        <v>558</v>
      </c>
      <c r="BD895" s="179"/>
      <c r="BE895" s="179"/>
      <c r="BF895" s="178"/>
      <c r="BG895" s="25"/>
      <c r="BH895" s="25"/>
    </row>
    <row r="896" spans="1:60" ht="15" customHeight="1">
      <c r="A896" s="95">
        <v>895</v>
      </c>
      <c r="B896" s="98" t="s">
        <v>807</v>
      </c>
      <c r="C896" s="191" t="s">
        <v>2686</v>
      </c>
      <c r="D896" s="257" t="s">
        <v>549</v>
      </c>
      <c r="E896" s="459" t="s">
        <v>3377</v>
      </c>
      <c r="F896" s="171">
        <v>1999</v>
      </c>
      <c r="G896" s="171">
        <v>210</v>
      </c>
      <c r="H896" s="57"/>
      <c r="I896" s="173" t="s">
        <v>2564</v>
      </c>
      <c r="J896" s="277">
        <v>0.65</v>
      </c>
      <c r="K896" s="213">
        <v>6.6333333333333337</v>
      </c>
      <c r="L896" s="91"/>
      <c r="M896" s="278">
        <v>270</v>
      </c>
      <c r="N896" s="279"/>
      <c r="O896" s="172" t="s">
        <v>12</v>
      </c>
      <c r="P896" s="92"/>
      <c r="Q896" s="173" t="s">
        <v>10</v>
      </c>
      <c r="R896" s="94"/>
      <c r="S896" s="94"/>
      <c r="T896" s="171" t="s">
        <v>2561</v>
      </c>
      <c r="U896" s="171" t="s">
        <v>2530</v>
      </c>
      <c r="V896" s="102">
        <v>0</v>
      </c>
      <c r="W896" s="120">
        <v>0</v>
      </c>
      <c r="X896" s="120">
        <v>0</v>
      </c>
      <c r="Y896" s="120">
        <v>0</v>
      </c>
      <c r="Z896" s="120">
        <v>0</v>
      </c>
      <c r="AA896" s="17">
        <v>0</v>
      </c>
      <c r="AB896" s="17">
        <v>0</v>
      </c>
      <c r="AC896" s="17">
        <v>0</v>
      </c>
      <c r="AD896" s="17">
        <v>0</v>
      </c>
      <c r="AE896" s="17">
        <v>0</v>
      </c>
      <c r="AF896" s="17">
        <v>0</v>
      </c>
      <c r="AG896" s="17">
        <v>0</v>
      </c>
      <c r="AH896" s="17">
        <v>0</v>
      </c>
      <c r="AI896" s="17">
        <v>0</v>
      </c>
      <c r="AJ896" s="17">
        <v>0</v>
      </c>
      <c r="AK896" s="17">
        <v>0</v>
      </c>
      <c r="AL896" s="32">
        <v>0</v>
      </c>
      <c r="AM896" s="780">
        <v>37.299999999999997</v>
      </c>
      <c r="AN896" s="89"/>
      <c r="AO896" s="280"/>
      <c r="AP896" s="784"/>
      <c r="AQ896" s="773" t="s">
        <v>270</v>
      </c>
      <c r="AR896" s="188">
        <v>100</v>
      </c>
      <c r="AS896" s="171"/>
      <c r="AT896" s="171" t="str">
        <f t="shared" si="74"/>
        <v>500</v>
      </c>
      <c r="AU896" s="255">
        <f t="shared" si="75"/>
        <v>22.727272727272727</v>
      </c>
      <c r="AV896" s="172">
        <v>100</v>
      </c>
      <c r="AW896" s="171">
        <v>7</v>
      </c>
      <c r="AX896" s="89"/>
      <c r="AY896" s="171">
        <v>20</v>
      </c>
      <c r="AZ896" s="89"/>
      <c r="BA896" s="175">
        <v>60</v>
      </c>
      <c r="BB896" s="189" t="s">
        <v>2547</v>
      </c>
      <c r="BC896" s="176" t="s">
        <v>558</v>
      </c>
      <c r="BD896" s="179"/>
      <c r="BE896" s="179"/>
      <c r="BF896" s="178"/>
      <c r="BG896" s="25"/>
      <c r="BH896" s="25"/>
    </row>
    <row r="897" spans="1:60" ht="15" customHeight="1">
      <c r="A897" s="95">
        <v>896</v>
      </c>
      <c r="B897" s="98" t="s">
        <v>806</v>
      </c>
      <c r="C897" s="191" t="s">
        <v>2686</v>
      </c>
      <c r="D897" s="257" t="s">
        <v>549</v>
      </c>
      <c r="E897" s="459" t="s">
        <v>3377</v>
      </c>
      <c r="F897" s="171">
        <v>1999</v>
      </c>
      <c r="G897" s="171">
        <v>210</v>
      </c>
      <c r="H897" s="57"/>
      <c r="I897" s="173" t="s">
        <v>2564</v>
      </c>
      <c r="J897" s="277">
        <v>0.65</v>
      </c>
      <c r="K897" s="213">
        <v>6.5777777777777775</v>
      </c>
      <c r="L897" s="91"/>
      <c r="M897" s="278">
        <v>270</v>
      </c>
      <c r="N897" s="279"/>
      <c r="O897" s="172" t="s">
        <v>12</v>
      </c>
      <c r="P897" s="92"/>
      <c r="Q897" s="173" t="s">
        <v>10</v>
      </c>
      <c r="R897" s="94"/>
      <c r="S897" s="94"/>
      <c r="T897" s="171" t="s">
        <v>2561</v>
      </c>
      <c r="U897" s="171" t="s">
        <v>2530</v>
      </c>
      <c r="V897" s="102">
        <v>0</v>
      </c>
      <c r="W897" s="120">
        <v>0</v>
      </c>
      <c r="X897" s="120">
        <v>0</v>
      </c>
      <c r="Y897" s="120">
        <v>0</v>
      </c>
      <c r="Z897" s="120">
        <v>0</v>
      </c>
      <c r="AA897" s="17">
        <v>0</v>
      </c>
      <c r="AB897" s="17">
        <v>0</v>
      </c>
      <c r="AC897" s="17">
        <v>0</v>
      </c>
      <c r="AD897" s="17">
        <v>0</v>
      </c>
      <c r="AE897" s="17">
        <v>0</v>
      </c>
      <c r="AF897" s="17">
        <v>0</v>
      </c>
      <c r="AG897" s="17">
        <v>0</v>
      </c>
      <c r="AH897" s="17">
        <v>0</v>
      </c>
      <c r="AI897" s="17">
        <v>0</v>
      </c>
      <c r="AJ897" s="17">
        <v>0</v>
      </c>
      <c r="AK897" s="17">
        <v>0</v>
      </c>
      <c r="AL897" s="32">
        <v>0</v>
      </c>
      <c r="AM897" s="780">
        <v>31.2</v>
      </c>
      <c r="AN897" s="89"/>
      <c r="AO897" s="280"/>
      <c r="AP897" s="784"/>
      <c r="AQ897" s="773" t="s">
        <v>270</v>
      </c>
      <c r="AR897" s="188">
        <v>100</v>
      </c>
      <c r="AS897" s="171"/>
      <c r="AT897" s="171" t="str">
        <f t="shared" si="74"/>
        <v>500</v>
      </c>
      <c r="AU897" s="255">
        <f t="shared" si="75"/>
        <v>22.727272727272727</v>
      </c>
      <c r="AV897" s="172">
        <v>100</v>
      </c>
      <c r="AW897" s="171">
        <v>7</v>
      </c>
      <c r="AX897" s="89"/>
      <c r="AY897" s="171">
        <v>20</v>
      </c>
      <c r="AZ897" s="89"/>
      <c r="BA897" s="175">
        <v>60</v>
      </c>
      <c r="BB897" s="189" t="s">
        <v>2547</v>
      </c>
      <c r="BC897" s="176" t="s">
        <v>558</v>
      </c>
      <c r="BD897" s="179"/>
      <c r="BE897" s="179"/>
      <c r="BF897" s="178"/>
      <c r="BG897" s="25"/>
      <c r="BH897" s="25"/>
    </row>
    <row r="898" spans="1:60" ht="15" customHeight="1">
      <c r="A898" s="95">
        <v>897</v>
      </c>
      <c r="B898" s="98" t="s">
        <v>805</v>
      </c>
      <c r="C898" s="191" t="s">
        <v>2686</v>
      </c>
      <c r="D898" s="257" t="s">
        <v>549</v>
      </c>
      <c r="E898" s="459" t="s">
        <v>3377</v>
      </c>
      <c r="F898" s="171">
        <v>1999</v>
      </c>
      <c r="G898" s="171">
        <v>210</v>
      </c>
      <c r="H898" s="57"/>
      <c r="I898" s="173" t="s">
        <v>2564</v>
      </c>
      <c r="J898" s="277">
        <v>0.65</v>
      </c>
      <c r="K898" s="213">
        <v>6.3518518518518521</v>
      </c>
      <c r="L898" s="91"/>
      <c r="M898" s="278">
        <v>270</v>
      </c>
      <c r="N898" s="279"/>
      <c r="O898" s="172" t="s">
        <v>12</v>
      </c>
      <c r="P898" s="92"/>
      <c r="Q898" s="173" t="s">
        <v>10</v>
      </c>
      <c r="R898" s="94"/>
      <c r="S898" s="94"/>
      <c r="T898" s="171" t="s">
        <v>2557</v>
      </c>
      <c r="U898" s="171"/>
      <c r="V898" s="102">
        <v>0</v>
      </c>
      <c r="W898" s="120">
        <v>0</v>
      </c>
      <c r="X898" s="120">
        <v>0</v>
      </c>
      <c r="Y898" s="120">
        <v>0</v>
      </c>
      <c r="Z898" s="120">
        <v>0</v>
      </c>
      <c r="AA898" s="17">
        <v>0</v>
      </c>
      <c r="AB898" s="17">
        <v>0</v>
      </c>
      <c r="AC898" s="17">
        <v>0</v>
      </c>
      <c r="AD898" s="17">
        <v>0</v>
      </c>
      <c r="AE898" s="17">
        <v>0</v>
      </c>
      <c r="AF898" s="17">
        <v>0</v>
      </c>
      <c r="AG898" s="17">
        <v>0</v>
      </c>
      <c r="AH898" s="17">
        <v>0</v>
      </c>
      <c r="AI898" s="17">
        <v>0</v>
      </c>
      <c r="AJ898" s="17">
        <v>0</v>
      </c>
      <c r="AK898" s="17">
        <v>0</v>
      </c>
      <c r="AL898" s="32">
        <v>0</v>
      </c>
      <c r="AM898" s="780">
        <v>19.899999999999999</v>
      </c>
      <c r="AN898" s="89"/>
      <c r="AO898" s="280"/>
      <c r="AP898" s="784"/>
      <c r="AQ898" s="773" t="s">
        <v>270</v>
      </c>
      <c r="AR898" s="188">
        <v>100</v>
      </c>
      <c r="AS898" s="171"/>
      <c r="AT898" s="171" t="str">
        <f t="shared" si="74"/>
        <v>500</v>
      </c>
      <c r="AU898" s="255">
        <f t="shared" si="75"/>
        <v>22.727272727272727</v>
      </c>
      <c r="AV898" s="172">
        <v>100</v>
      </c>
      <c r="AW898" s="171">
        <v>7</v>
      </c>
      <c r="AX898" s="89"/>
      <c r="AY898" s="171">
        <v>20</v>
      </c>
      <c r="AZ898" s="89"/>
      <c r="BA898" s="175">
        <v>60</v>
      </c>
      <c r="BB898" s="189" t="s">
        <v>2547</v>
      </c>
      <c r="BC898" s="176" t="s">
        <v>558</v>
      </c>
      <c r="BD898" s="179"/>
      <c r="BE898" s="179"/>
      <c r="BF898" s="178"/>
      <c r="BG898" s="25"/>
      <c r="BH898" s="25"/>
    </row>
    <row r="899" spans="1:60" ht="15" customHeight="1">
      <c r="A899" s="95">
        <v>898</v>
      </c>
      <c r="B899" s="98" t="s">
        <v>804</v>
      </c>
      <c r="C899" s="191" t="s">
        <v>2686</v>
      </c>
      <c r="D899" s="257" t="s">
        <v>549</v>
      </c>
      <c r="E899" s="459" t="s">
        <v>3377</v>
      </c>
      <c r="F899" s="171">
        <v>1999</v>
      </c>
      <c r="G899" s="171">
        <v>210</v>
      </c>
      <c r="H899" s="57"/>
      <c r="I899" s="173" t="s">
        <v>2564</v>
      </c>
      <c r="J899" s="277">
        <v>0.45</v>
      </c>
      <c r="K899" s="213">
        <v>4.3598971722365034</v>
      </c>
      <c r="L899" s="91"/>
      <c r="M899" s="278">
        <v>389</v>
      </c>
      <c r="N899" s="279"/>
      <c r="O899" s="172" t="s">
        <v>12</v>
      </c>
      <c r="P899" s="92"/>
      <c r="Q899" s="173" t="s">
        <v>10</v>
      </c>
      <c r="R899" s="94"/>
      <c r="S899" s="94"/>
      <c r="T899" s="171" t="s">
        <v>2561</v>
      </c>
      <c r="U899" s="171" t="s">
        <v>2530</v>
      </c>
      <c r="V899" s="102">
        <v>0</v>
      </c>
      <c r="W899" s="120">
        <v>0</v>
      </c>
      <c r="X899" s="120">
        <v>0</v>
      </c>
      <c r="Y899" s="120">
        <v>0</v>
      </c>
      <c r="Z899" s="120">
        <v>0</v>
      </c>
      <c r="AA899" s="17">
        <v>0</v>
      </c>
      <c r="AB899" s="17">
        <v>0</v>
      </c>
      <c r="AC899" s="17">
        <v>0</v>
      </c>
      <c r="AD899" s="17">
        <v>0</v>
      </c>
      <c r="AE899" s="17">
        <v>0</v>
      </c>
      <c r="AF899" s="17">
        <v>0</v>
      </c>
      <c r="AG899" s="17">
        <v>0</v>
      </c>
      <c r="AH899" s="17">
        <v>0</v>
      </c>
      <c r="AI899" s="17">
        <v>0</v>
      </c>
      <c r="AJ899" s="17">
        <v>0</v>
      </c>
      <c r="AK899" s="17">
        <v>0</v>
      </c>
      <c r="AL899" s="32">
        <v>0</v>
      </c>
      <c r="AM899" s="780">
        <v>49.2</v>
      </c>
      <c r="AN899" s="89"/>
      <c r="AO899" s="280"/>
      <c r="AP899" s="784"/>
      <c r="AQ899" s="773" t="s">
        <v>270</v>
      </c>
      <c r="AR899" s="188">
        <v>100</v>
      </c>
      <c r="AS899" s="171"/>
      <c r="AT899" s="171" t="str">
        <f t="shared" si="74"/>
        <v>500</v>
      </c>
      <c r="AU899" s="255">
        <f t="shared" si="75"/>
        <v>22.727272727272727</v>
      </c>
      <c r="AV899" s="172">
        <v>100</v>
      </c>
      <c r="AW899" s="171">
        <v>7</v>
      </c>
      <c r="AX899" s="89"/>
      <c r="AY899" s="171">
        <v>20</v>
      </c>
      <c r="AZ899" s="89"/>
      <c r="BA899" s="175">
        <v>60</v>
      </c>
      <c r="BB899" s="189" t="s">
        <v>2547</v>
      </c>
      <c r="BC899" s="176" t="s">
        <v>558</v>
      </c>
      <c r="BD899" s="179"/>
      <c r="BE899" s="179"/>
      <c r="BF899" s="178"/>
      <c r="BG899" s="25"/>
      <c r="BH899" s="25"/>
    </row>
    <row r="900" spans="1:60" ht="15" customHeight="1">
      <c r="A900" s="95">
        <v>899</v>
      </c>
      <c r="B900" s="98" t="s">
        <v>803</v>
      </c>
      <c r="C900" s="191" t="s">
        <v>2686</v>
      </c>
      <c r="D900" s="257" t="s">
        <v>549</v>
      </c>
      <c r="E900" s="459" t="s">
        <v>3377</v>
      </c>
      <c r="F900" s="171">
        <v>1999</v>
      </c>
      <c r="G900" s="171">
        <v>210</v>
      </c>
      <c r="H900" s="57"/>
      <c r="I900" s="173" t="s">
        <v>2564</v>
      </c>
      <c r="J900" s="277">
        <v>0.45</v>
      </c>
      <c r="K900" s="213">
        <v>4.3213367609254503</v>
      </c>
      <c r="L900" s="91"/>
      <c r="M900" s="278">
        <v>389</v>
      </c>
      <c r="N900" s="279"/>
      <c r="O900" s="172" t="s">
        <v>12</v>
      </c>
      <c r="P900" s="92"/>
      <c r="Q900" s="173" t="s">
        <v>10</v>
      </c>
      <c r="R900" s="94"/>
      <c r="S900" s="94"/>
      <c r="T900" s="171" t="s">
        <v>2561</v>
      </c>
      <c r="U900" s="171" t="s">
        <v>2530</v>
      </c>
      <c r="V900" s="102">
        <v>0</v>
      </c>
      <c r="W900" s="120">
        <v>0</v>
      </c>
      <c r="X900" s="120">
        <v>0</v>
      </c>
      <c r="Y900" s="120">
        <v>0</v>
      </c>
      <c r="Z900" s="120">
        <v>0</v>
      </c>
      <c r="AA900" s="17">
        <v>0</v>
      </c>
      <c r="AB900" s="17">
        <v>0</v>
      </c>
      <c r="AC900" s="17">
        <v>0</v>
      </c>
      <c r="AD900" s="17">
        <v>0</v>
      </c>
      <c r="AE900" s="17">
        <v>0</v>
      </c>
      <c r="AF900" s="17">
        <v>0</v>
      </c>
      <c r="AG900" s="17">
        <v>0</v>
      </c>
      <c r="AH900" s="17">
        <v>0</v>
      </c>
      <c r="AI900" s="17">
        <v>0</v>
      </c>
      <c r="AJ900" s="17">
        <v>0</v>
      </c>
      <c r="AK900" s="17">
        <v>0</v>
      </c>
      <c r="AL900" s="32">
        <v>0</v>
      </c>
      <c r="AM900" s="780">
        <v>40.700000000000003</v>
      </c>
      <c r="AN900" s="89"/>
      <c r="AO900" s="280"/>
      <c r="AP900" s="784"/>
      <c r="AQ900" s="773" t="s">
        <v>270</v>
      </c>
      <c r="AR900" s="188">
        <v>100</v>
      </c>
      <c r="AS900" s="171"/>
      <c r="AT900" s="171" t="str">
        <f t="shared" si="74"/>
        <v>500</v>
      </c>
      <c r="AU900" s="255">
        <f t="shared" si="75"/>
        <v>22.727272727272727</v>
      </c>
      <c r="AV900" s="172">
        <v>100</v>
      </c>
      <c r="AW900" s="171">
        <v>7</v>
      </c>
      <c r="AX900" s="89"/>
      <c r="AY900" s="171">
        <v>20</v>
      </c>
      <c r="AZ900" s="89"/>
      <c r="BA900" s="175">
        <v>60</v>
      </c>
      <c r="BB900" s="189" t="s">
        <v>2547</v>
      </c>
      <c r="BC900" s="176" t="s">
        <v>558</v>
      </c>
      <c r="BD900" s="179"/>
      <c r="BE900" s="179"/>
      <c r="BF900" s="178"/>
      <c r="BG900" s="25"/>
      <c r="BH900" s="25"/>
    </row>
    <row r="901" spans="1:60" ht="15" customHeight="1">
      <c r="A901" s="95">
        <v>900</v>
      </c>
      <c r="B901" s="98" t="s">
        <v>802</v>
      </c>
      <c r="C901" s="191" t="s">
        <v>2686</v>
      </c>
      <c r="D901" s="257" t="s">
        <v>549</v>
      </c>
      <c r="E901" s="459" t="s">
        <v>3377</v>
      </c>
      <c r="F901" s="171">
        <v>1999</v>
      </c>
      <c r="G901" s="171">
        <v>210</v>
      </c>
      <c r="H901" s="57"/>
      <c r="I901" s="173" t="s">
        <v>2564</v>
      </c>
      <c r="J901" s="277">
        <v>0.45</v>
      </c>
      <c r="K901" s="213">
        <v>4.1850899742930592</v>
      </c>
      <c r="L901" s="91"/>
      <c r="M901" s="278">
        <v>389</v>
      </c>
      <c r="N901" s="279"/>
      <c r="O901" s="172" t="s">
        <v>12</v>
      </c>
      <c r="P901" s="92"/>
      <c r="Q901" s="173" t="s">
        <v>10</v>
      </c>
      <c r="R901" s="94"/>
      <c r="S901" s="94"/>
      <c r="T901" s="171" t="s">
        <v>2557</v>
      </c>
      <c r="U901" s="171"/>
      <c r="V901" s="102">
        <v>0</v>
      </c>
      <c r="W901" s="120">
        <v>0</v>
      </c>
      <c r="X901" s="120">
        <v>0</v>
      </c>
      <c r="Y901" s="120">
        <v>0</v>
      </c>
      <c r="Z901" s="120">
        <v>0</v>
      </c>
      <c r="AA901" s="17">
        <v>0</v>
      </c>
      <c r="AB901" s="17">
        <v>0</v>
      </c>
      <c r="AC901" s="17">
        <v>0</v>
      </c>
      <c r="AD901" s="17">
        <v>0</v>
      </c>
      <c r="AE901" s="17">
        <v>0</v>
      </c>
      <c r="AF901" s="17">
        <v>0</v>
      </c>
      <c r="AG901" s="17">
        <v>0</v>
      </c>
      <c r="AH901" s="17">
        <v>0</v>
      </c>
      <c r="AI901" s="17">
        <v>0</v>
      </c>
      <c r="AJ901" s="17">
        <v>0</v>
      </c>
      <c r="AK901" s="17">
        <v>0</v>
      </c>
      <c r="AL901" s="32">
        <v>0</v>
      </c>
      <c r="AM901" s="780">
        <v>33.700000000000003</v>
      </c>
      <c r="AN901" s="89"/>
      <c r="AO901" s="280"/>
      <c r="AP901" s="784"/>
      <c r="AQ901" s="773" t="s">
        <v>270</v>
      </c>
      <c r="AR901" s="188">
        <v>100</v>
      </c>
      <c r="AS901" s="171"/>
      <c r="AT901" s="171" t="str">
        <f t="shared" si="74"/>
        <v>500</v>
      </c>
      <c r="AU901" s="255">
        <f t="shared" si="75"/>
        <v>22.727272727272727</v>
      </c>
      <c r="AV901" s="172">
        <v>100</v>
      </c>
      <c r="AW901" s="171">
        <v>7</v>
      </c>
      <c r="AX901" s="89"/>
      <c r="AY901" s="171">
        <v>20</v>
      </c>
      <c r="AZ901" s="89"/>
      <c r="BA901" s="175">
        <v>60</v>
      </c>
      <c r="BB901" s="189" t="s">
        <v>2547</v>
      </c>
      <c r="BC901" s="176" t="s">
        <v>558</v>
      </c>
      <c r="BD901" s="179"/>
      <c r="BE901" s="179"/>
      <c r="BF901" s="178"/>
      <c r="BG901" s="25"/>
      <c r="BH901" s="25"/>
    </row>
    <row r="902" spans="1:60" ht="15" customHeight="1">
      <c r="A902" s="95">
        <v>901</v>
      </c>
      <c r="B902" s="98" t="s">
        <v>801</v>
      </c>
      <c r="C902" s="191" t="s">
        <v>2687</v>
      </c>
      <c r="D902" s="257" t="s">
        <v>549</v>
      </c>
      <c r="E902" s="459" t="s">
        <v>3377</v>
      </c>
      <c r="F902" s="171">
        <v>1999</v>
      </c>
      <c r="G902" s="171">
        <v>211</v>
      </c>
      <c r="H902" s="57"/>
      <c r="I902" s="173" t="s">
        <v>2564</v>
      </c>
      <c r="J902" s="277">
        <v>0.55000000000000004</v>
      </c>
      <c r="K902" s="213">
        <v>5.3396226415094343</v>
      </c>
      <c r="L902" s="91"/>
      <c r="M902" s="278">
        <v>318</v>
      </c>
      <c r="N902" s="279"/>
      <c r="O902" s="172" t="s">
        <v>12</v>
      </c>
      <c r="P902" s="92"/>
      <c r="Q902" s="173" t="s">
        <v>10</v>
      </c>
      <c r="R902" s="94"/>
      <c r="S902" s="94"/>
      <c r="T902" s="171" t="s">
        <v>2557</v>
      </c>
      <c r="U902" s="171"/>
      <c r="V902" s="102">
        <v>0</v>
      </c>
      <c r="W902" s="120">
        <v>0</v>
      </c>
      <c r="X902" s="120">
        <v>0</v>
      </c>
      <c r="Y902" s="120">
        <v>0</v>
      </c>
      <c r="Z902" s="120">
        <v>0</v>
      </c>
      <c r="AA902" s="17">
        <v>0</v>
      </c>
      <c r="AB902" s="17">
        <v>0</v>
      </c>
      <c r="AC902" s="17">
        <v>0</v>
      </c>
      <c r="AD902" s="17">
        <v>0</v>
      </c>
      <c r="AE902" s="17">
        <v>0</v>
      </c>
      <c r="AF902" s="17">
        <v>0</v>
      </c>
      <c r="AG902" s="17">
        <v>0</v>
      </c>
      <c r="AH902" s="17">
        <v>0</v>
      </c>
      <c r="AI902" s="17">
        <v>0</v>
      </c>
      <c r="AJ902" s="17">
        <v>0</v>
      </c>
      <c r="AK902" s="17">
        <v>0</v>
      </c>
      <c r="AL902" s="32">
        <v>0</v>
      </c>
      <c r="AM902" s="780">
        <v>24.6</v>
      </c>
      <c r="AN902" s="89"/>
      <c r="AO902" s="280"/>
      <c r="AP902" s="784"/>
      <c r="AQ902" s="773" t="s">
        <v>530</v>
      </c>
      <c r="AR902" s="174">
        <v>50</v>
      </c>
      <c r="AS902" s="171"/>
      <c r="AT902" s="171" t="str">
        <f>RIGHT(AQ902,LEN(AQ902)-FIND("x",AQ902,1))</f>
        <v>200</v>
      </c>
      <c r="AU902" s="255">
        <f>(AR902*AT902)/((2*AT902)+(2*AR902))</f>
        <v>20</v>
      </c>
      <c r="AV902" s="172">
        <v>100</v>
      </c>
      <c r="AW902" s="171">
        <v>7</v>
      </c>
      <c r="AX902" s="89"/>
      <c r="AY902" s="171">
        <v>20</v>
      </c>
      <c r="AZ902" s="89"/>
      <c r="BA902" s="175">
        <v>60</v>
      </c>
      <c r="BB902" s="189" t="s">
        <v>2547</v>
      </c>
      <c r="BC902" s="176"/>
      <c r="BD902" s="179"/>
      <c r="BE902" s="179"/>
      <c r="BF902" s="178"/>
      <c r="BG902" s="25"/>
      <c r="BH902" s="25"/>
    </row>
    <row r="903" spans="1:60" ht="15" customHeight="1">
      <c r="A903" s="95">
        <v>902</v>
      </c>
      <c r="B903" s="98" t="s">
        <v>800</v>
      </c>
      <c r="C903" s="191" t="s">
        <v>2687</v>
      </c>
      <c r="D903" s="257" t="s">
        <v>549</v>
      </c>
      <c r="E903" s="459" t="s">
        <v>3377</v>
      </c>
      <c r="F903" s="171">
        <v>1999</v>
      </c>
      <c r="G903" s="171">
        <v>211</v>
      </c>
      <c r="H903" s="57"/>
      <c r="I903" s="173" t="s">
        <v>2564</v>
      </c>
      <c r="J903" s="277">
        <v>0.55000000000000004</v>
      </c>
      <c r="K903" s="213">
        <v>5.3396226415094343</v>
      </c>
      <c r="L903" s="91"/>
      <c r="M903" s="278">
        <v>318</v>
      </c>
      <c r="N903" s="279"/>
      <c r="O903" s="172" t="s">
        <v>12</v>
      </c>
      <c r="P903" s="92"/>
      <c r="Q903" s="173" t="s">
        <v>10</v>
      </c>
      <c r="R903" s="94"/>
      <c r="S903" s="94"/>
      <c r="T903" s="171" t="s">
        <v>2557</v>
      </c>
      <c r="U903" s="171"/>
      <c r="V903" s="102">
        <v>0</v>
      </c>
      <c r="W903" s="120">
        <v>0</v>
      </c>
      <c r="X903" s="120">
        <v>0</v>
      </c>
      <c r="Y903" s="120">
        <v>0</v>
      </c>
      <c r="Z903" s="120">
        <v>0</v>
      </c>
      <c r="AA903" s="17">
        <v>0</v>
      </c>
      <c r="AB903" s="17">
        <v>0</v>
      </c>
      <c r="AC903" s="17">
        <v>0</v>
      </c>
      <c r="AD903" s="17">
        <v>0</v>
      </c>
      <c r="AE903" s="17">
        <v>0</v>
      </c>
      <c r="AF903" s="17">
        <v>0</v>
      </c>
      <c r="AG903" s="17">
        <v>0</v>
      </c>
      <c r="AH903" s="17">
        <v>0</v>
      </c>
      <c r="AI903" s="17">
        <v>0</v>
      </c>
      <c r="AJ903" s="17">
        <v>0</v>
      </c>
      <c r="AK903" s="17">
        <v>0</v>
      </c>
      <c r="AL903" s="32">
        <v>0</v>
      </c>
      <c r="AM903" s="780">
        <v>29.6</v>
      </c>
      <c r="AN903" s="89"/>
      <c r="AO903" s="280"/>
      <c r="AP903" s="784"/>
      <c r="AQ903" s="773" t="s">
        <v>530</v>
      </c>
      <c r="AR903" s="174">
        <v>50</v>
      </c>
      <c r="AS903" s="171"/>
      <c r="AT903" s="171" t="str">
        <f>RIGHT(AQ903,LEN(AQ903)-FIND("x",AQ903,1))</f>
        <v>200</v>
      </c>
      <c r="AU903" s="255">
        <f>(AR903*AT903)/((2*AT903)+(2*AR903))</f>
        <v>20</v>
      </c>
      <c r="AV903" s="172">
        <v>100</v>
      </c>
      <c r="AW903" s="171">
        <v>7</v>
      </c>
      <c r="AX903" s="89"/>
      <c r="AY903" s="171">
        <v>20</v>
      </c>
      <c r="AZ903" s="89"/>
      <c r="BA903" s="175">
        <v>60</v>
      </c>
      <c r="BB903" s="189" t="s">
        <v>2547</v>
      </c>
      <c r="BC903" s="176"/>
      <c r="BD903" s="179"/>
      <c r="BE903" s="179"/>
      <c r="BF903" s="178"/>
      <c r="BG903" s="25"/>
      <c r="BH903" s="25"/>
    </row>
    <row r="904" spans="1:60" ht="15" customHeight="1">
      <c r="A904" s="95">
        <v>903</v>
      </c>
      <c r="B904" s="98" t="s">
        <v>799</v>
      </c>
      <c r="C904" s="191" t="s">
        <v>2687</v>
      </c>
      <c r="D904" s="257" t="s">
        <v>549</v>
      </c>
      <c r="E904" s="459" t="s">
        <v>3377</v>
      </c>
      <c r="F904" s="171">
        <v>1999</v>
      </c>
      <c r="G904" s="171">
        <v>211</v>
      </c>
      <c r="H904" s="57"/>
      <c r="I904" s="173" t="s">
        <v>2564</v>
      </c>
      <c r="J904" s="277">
        <v>0.55000000000000004</v>
      </c>
      <c r="K904" s="213">
        <v>5.1792452830188678</v>
      </c>
      <c r="L904" s="91"/>
      <c r="M904" s="278">
        <v>318</v>
      </c>
      <c r="N904" s="279"/>
      <c r="O904" s="172" t="s">
        <v>12</v>
      </c>
      <c r="P904" s="92"/>
      <c r="Q904" s="173" t="s">
        <v>10</v>
      </c>
      <c r="R904" s="94"/>
      <c r="S904" s="94"/>
      <c r="T904" s="171" t="s">
        <v>2557</v>
      </c>
      <c r="U904" s="171"/>
      <c r="V904" s="102">
        <v>0</v>
      </c>
      <c r="W904" s="120">
        <v>0</v>
      </c>
      <c r="X904" s="120">
        <v>0</v>
      </c>
      <c r="Y904" s="120">
        <v>0</v>
      </c>
      <c r="Z904" s="120">
        <v>0</v>
      </c>
      <c r="AA904" s="17">
        <v>0</v>
      </c>
      <c r="AB904" s="17">
        <v>0</v>
      </c>
      <c r="AC904" s="17">
        <v>0</v>
      </c>
      <c r="AD904" s="17">
        <v>0</v>
      </c>
      <c r="AE904" s="17">
        <v>0</v>
      </c>
      <c r="AF904" s="17">
        <v>0</v>
      </c>
      <c r="AG904" s="17">
        <v>0</v>
      </c>
      <c r="AH904" s="17">
        <v>0</v>
      </c>
      <c r="AI904" s="17">
        <v>0</v>
      </c>
      <c r="AJ904" s="17">
        <v>0</v>
      </c>
      <c r="AK904" s="17">
        <v>0</v>
      </c>
      <c r="AL904" s="32">
        <v>0</v>
      </c>
      <c r="AM904" s="780">
        <v>21.7</v>
      </c>
      <c r="AN904" s="89"/>
      <c r="AO904" s="280"/>
      <c r="AP904" s="784"/>
      <c r="AQ904" s="773" t="s">
        <v>530</v>
      </c>
      <c r="AR904" s="174">
        <v>50</v>
      </c>
      <c r="AS904" s="171"/>
      <c r="AT904" s="171" t="str">
        <f>RIGHT(AQ904,LEN(AQ904)-FIND("x",AQ904,1))</f>
        <v>200</v>
      </c>
      <c r="AU904" s="255">
        <f>(AR904*AT904)/((2*AT904)+(2*AR904))</f>
        <v>20</v>
      </c>
      <c r="AV904" s="172">
        <v>100</v>
      </c>
      <c r="AW904" s="171">
        <v>7</v>
      </c>
      <c r="AX904" s="89"/>
      <c r="AY904" s="171">
        <v>20</v>
      </c>
      <c r="AZ904" s="89"/>
      <c r="BA904" s="175">
        <v>60</v>
      </c>
      <c r="BB904" s="189" t="s">
        <v>2547</v>
      </c>
      <c r="BC904" s="176"/>
      <c r="BD904" s="179"/>
      <c r="BE904" s="179"/>
      <c r="BF904" s="178"/>
      <c r="BG904" s="25"/>
      <c r="BH904" s="25"/>
    </row>
    <row r="905" spans="1:60" ht="15" customHeight="1">
      <c r="A905" s="95">
        <v>904</v>
      </c>
      <c r="B905" s="98" t="s">
        <v>798</v>
      </c>
      <c r="C905" s="191" t="s">
        <v>2687</v>
      </c>
      <c r="D905" s="257" t="s">
        <v>549</v>
      </c>
      <c r="E905" s="459" t="s">
        <v>3377</v>
      </c>
      <c r="F905" s="171">
        <v>1999</v>
      </c>
      <c r="G905" s="171">
        <v>211</v>
      </c>
      <c r="H905" s="57"/>
      <c r="I905" s="173" t="s">
        <v>2564</v>
      </c>
      <c r="J905" s="277">
        <v>0.55000000000000004</v>
      </c>
      <c r="K905" s="213">
        <v>5.1792452830188678</v>
      </c>
      <c r="L905" s="91"/>
      <c r="M905" s="278">
        <v>318</v>
      </c>
      <c r="N905" s="279"/>
      <c r="O905" s="172" t="s">
        <v>12</v>
      </c>
      <c r="P905" s="92"/>
      <c r="Q905" s="173" t="s">
        <v>10</v>
      </c>
      <c r="R905" s="94"/>
      <c r="S905" s="94"/>
      <c r="T905" s="171" t="s">
        <v>2557</v>
      </c>
      <c r="U905" s="171"/>
      <c r="V905" s="102">
        <v>0</v>
      </c>
      <c r="W905" s="120">
        <v>0</v>
      </c>
      <c r="X905" s="120">
        <v>0</v>
      </c>
      <c r="Y905" s="120">
        <v>0</v>
      </c>
      <c r="Z905" s="120">
        <v>0</v>
      </c>
      <c r="AA905" s="17">
        <v>0</v>
      </c>
      <c r="AB905" s="17">
        <v>0</v>
      </c>
      <c r="AC905" s="17">
        <v>0</v>
      </c>
      <c r="AD905" s="17">
        <v>0</v>
      </c>
      <c r="AE905" s="17">
        <v>0</v>
      </c>
      <c r="AF905" s="17">
        <v>0</v>
      </c>
      <c r="AG905" s="17">
        <v>0</v>
      </c>
      <c r="AH905" s="17">
        <v>0</v>
      </c>
      <c r="AI905" s="17">
        <v>0</v>
      </c>
      <c r="AJ905" s="17">
        <v>0</v>
      </c>
      <c r="AK905" s="17">
        <v>0</v>
      </c>
      <c r="AL905" s="32">
        <v>0</v>
      </c>
      <c r="AM905" s="780">
        <v>26.7</v>
      </c>
      <c r="AN905" s="89"/>
      <c r="AO905" s="280"/>
      <c r="AP905" s="784"/>
      <c r="AQ905" s="773" t="s">
        <v>530</v>
      </c>
      <c r="AR905" s="174">
        <v>50</v>
      </c>
      <c r="AS905" s="171"/>
      <c r="AT905" s="171" t="str">
        <f>RIGHT(AQ905,LEN(AQ905)-FIND("x",AQ905,1))</f>
        <v>200</v>
      </c>
      <c r="AU905" s="255">
        <f>(AR905*AT905)/((2*AT905)+(2*AR905))</f>
        <v>20</v>
      </c>
      <c r="AV905" s="172">
        <v>100</v>
      </c>
      <c r="AW905" s="171">
        <v>7</v>
      </c>
      <c r="AX905" s="89"/>
      <c r="AY905" s="171">
        <v>20</v>
      </c>
      <c r="AZ905" s="89"/>
      <c r="BA905" s="175">
        <v>60</v>
      </c>
      <c r="BB905" s="189" t="s">
        <v>2547</v>
      </c>
      <c r="BC905" s="176"/>
      <c r="BD905" s="179"/>
      <c r="BE905" s="179"/>
      <c r="BF905" s="178"/>
      <c r="BG905" s="25"/>
      <c r="BH905" s="25"/>
    </row>
    <row r="906" spans="1:60" ht="15" customHeight="1">
      <c r="A906" s="95">
        <v>905</v>
      </c>
      <c r="B906" s="98" t="s">
        <v>797</v>
      </c>
      <c r="C906" s="191" t="s">
        <v>2688</v>
      </c>
      <c r="D906" s="257" t="s">
        <v>549</v>
      </c>
      <c r="E906" s="459" t="s">
        <v>3377</v>
      </c>
      <c r="F906" s="171">
        <v>1999</v>
      </c>
      <c r="G906" s="171">
        <v>212</v>
      </c>
      <c r="H906" s="57"/>
      <c r="I906" s="173" t="s">
        <v>1751</v>
      </c>
      <c r="J906" s="212">
        <f>205/446</f>
        <v>0.45964125560538116</v>
      </c>
      <c r="K906" s="213">
        <v>3.876681614349776</v>
      </c>
      <c r="L906" s="91"/>
      <c r="M906" s="278">
        <v>446</v>
      </c>
      <c r="N906" s="279"/>
      <c r="O906" s="172" t="s">
        <v>12</v>
      </c>
      <c r="P906" s="92"/>
      <c r="Q906" s="173" t="s">
        <v>10</v>
      </c>
      <c r="R906" s="94"/>
      <c r="S906" s="94"/>
      <c r="T906" s="171"/>
      <c r="U906" s="171"/>
      <c r="V906" s="102">
        <v>0</v>
      </c>
      <c r="W906" s="120">
        <v>0</v>
      </c>
      <c r="X906" s="120">
        <v>0</v>
      </c>
      <c r="Y906" s="120">
        <v>0</v>
      </c>
      <c r="Z906" s="120">
        <v>0</v>
      </c>
      <c r="AA906" s="17">
        <v>0</v>
      </c>
      <c r="AB906" s="17">
        <v>0</v>
      </c>
      <c r="AC906" s="17">
        <v>0</v>
      </c>
      <c r="AD906" s="17">
        <v>0</v>
      </c>
      <c r="AE906" s="17">
        <v>0</v>
      </c>
      <c r="AF906" s="17">
        <v>0</v>
      </c>
      <c r="AG906" s="17">
        <v>0</v>
      </c>
      <c r="AH906" s="17">
        <v>0</v>
      </c>
      <c r="AI906" s="17">
        <v>0</v>
      </c>
      <c r="AJ906" s="17">
        <v>0</v>
      </c>
      <c r="AK906" s="17">
        <v>0</v>
      </c>
      <c r="AL906" s="32">
        <v>0</v>
      </c>
      <c r="AM906" s="780">
        <v>40</v>
      </c>
      <c r="AN906" s="89"/>
      <c r="AO906" s="280"/>
      <c r="AP906" s="784"/>
      <c r="AQ906" s="773" t="s">
        <v>270</v>
      </c>
      <c r="AR906" s="188">
        <v>100</v>
      </c>
      <c r="AS906" s="171"/>
      <c r="AT906" s="171" t="str">
        <f t="shared" ref="AT906:AT921" si="76">RIGHT(AQ906,LEN(AQ906)-FIND("x",AQ906,8))</f>
        <v>500</v>
      </c>
      <c r="AU906" s="255">
        <f t="shared" ref="AU906:AU921" si="77">IF(ISBLANK(AS906),(AR906*AT906)/((4*AT906)+(2*AR906)),AR906*AS906*AT906/2/(AR906*AS906+AR906*AT906+AS906*AT906))</f>
        <v>22.727272727272727</v>
      </c>
      <c r="AV906" s="172">
        <v>100</v>
      </c>
      <c r="AW906" s="171">
        <v>7</v>
      </c>
      <c r="AX906" s="89"/>
      <c r="AY906" s="171">
        <v>23</v>
      </c>
      <c r="AZ906" s="89"/>
      <c r="BA906" s="175">
        <v>50</v>
      </c>
      <c r="BB906" s="189" t="s">
        <v>2547</v>
      </c>
      <c r="BC906" s="176"/>
      <c r="BD906" s="179"/>
      <c r="BE906" s="179"/>
      <c r="BF906" s="178"/>
      <c r="BG906" s="25"/>
      <c r="BH906" s="25"/>
    </row>
    <row r="907" spans="1:60" ht="15" customHeight="1">
      <c r="A907" s="95">
        <v>906</v>
      </c>
      <c r="B907" s="98" t="s">
        <v>796</v>
      </c>
      <c r="C907" s="191" t="s">
        <v>2688</v>
      </c>
      <c r="D907" s="257" t="s">
        <v>549</v>
      </c>
      <c r="E907" s="459" t="s">
        <v>3377</v>
      </c>
      <c r="F907" s="171">
        <v>1999</v>
      </c>
      <c r="G907" s="171">
        <v>212</v>
      </c>
      <c r="H907" s="57"/>
      <c r="I907" s="173" t="s">
        <v>1751</v>
      </c>
      <c r="J907" s="212">
        <f>205/357</f>
        <v>0.57422969187675066</v>
      </c>
      <c r="K907" s="213">
        <v>4.8431372549019605</v>
      </c>
      <c r="L907" s="91"/>
      <c r="M907" s="278">
        <v>357</v>
      </c>
      <c r="N907" s="279"/>
      <c r="O907" s="172" t="s">
        <v>12</v>
      </c>
      <c r="P907" s="92"/>
      <c r="Q907" s="173" t="s">
        <v>10</v>
      </c>
      <c r="R907" s="94"/>
      <c r="S907" s="94"/>
      <c r="T907" s="171"/>
      <c r="U907" s="171"/>
      <c r="V907" s="102">
        <v>0</v>
      </c>
      <c r="W907" s="120">
        <v>0</v>
      </c>
      <c r="X907" s="120">
        <v>0</v>
      </c>
      <c r="Y907" s="120">
        <v>0</v>
      </c>
      <c r="Z907" s="120">
        <v>0</v>
      </c>
      <c r="AA907" s="17">
        <v>0</v>
      </c>
      <c r="AB907" s="17">
        <v>0</v>
      </c>
      <c r="AC907" s="17">
        <v>0</v>
      </c>
      <c r="AD907" s="17">
        <v>0</v>
      </c>
      <c r="AE907" s="17">
        <v>0</v>
      </c>
      <c r="AF907" s="17">
        <v>0</v>
      </c>
      <c r="AG907" s="17">
        <v>0</v>
      </c>
      <c r="AH907" s="17">
        <v>0</v>
      </c>
      <c r="AI907" s="17">
        <v>0</v>
      </c>
      <c r="AJ907" s="17">
        <v>0</v>
      </c>
      <c r="AK907" s="17">
        <v>0</v>
      </c>
      <c r="AL907" s="58" t="s">
        <v>3468</v>
      </c>
      <c r="AM907" s="780">
        <v>40</v>
      </c>
      <c r="AN907" s="89"/>
      <c r="AO907" s="280"/>
      <c r="AP907" s="784"/>
      <c r="AQ907" s="773" t="s">
        <v>270</v>
      </c>
      <c r="AR907" s="188">
        <v>100</v>
      </c>
      <c r="AS907" s="171"/>
      <c r="AT907" s="171" t="str">
        <f t="shared" si="76"/>
        <v>500</v>
      </c>
      <c r="AU907" s="255">
        <f t="shared" si="77"/>
        <v>22.727272727272727</v>
      </c>
      <c r="AV907" s="172">
        <v>100</v>
      </c>
      <c r="AW907" s="171">
        <v>7</v>
      </c>
      <c r="AX907" s="89"/>
      <c r="AY907" s="171">
        <v>23</v>
      </c>
      <c r="AZ907" s="89"/>
      <c r="BA907" s="175">
        <v>50</v>
      </c>
      <c r="BB907" s="189" t="s">
        <v>2547</v>
      </c>
      <c r="BC907" s="176"/>
      <c r="BD907" s="179"/>
      <c r="BE907" s="179"/>
      <c r="BF907" s="178" t="s">
        <v>2998</v>
      </c>
      <c r="BG907" s="25"/>
      <c r="BH907" s="25"/>
    </row>
    <row r="908" spans="1:60" ht="15" customHeight="1">
      <c r="A908" s="95">
        <v>907</v>
      </c>
      <c r="B908" s="98" t="s">
        <v>795</v>
      </c>
      <c r="C908" s="191" t="s">
        <v>2688</v>
      </c>
      <c r="D908" s="257" t="s">
        <v>549</v>
      </c>
      <c r="E908" s="459" t="s">
        <v>3377</v>
      </c>
      <c r="F908" s="171">
        <v>1999</v>
      </c>
      <c r="G908" s="171">
        <v>212</v>
      </c>
      <c r="H908" s="57"/>
      <c r="I908" s="173" t="s">
        <v>1751</v>
      </c>
      <c r="J908" s="212">
        <f>205/312</f>
        <v>0.65705128205128205</v>
      </c>
      <c r="K908" s="213">
        <v>5.541666666666667</v>
      </c>
      <c r="L908" s="91"/>
      <c r="M908" s="278">
        <v>312</v>
      </c>
      <c r="N908" s="279"/>
      <c r="O908" s="172" t="s">
        <v>12</v>
      </c>
      <c r="P908" s="92"/>
      <c r="Q908" s="173" t="s">
        <v>10</v>
      </c>
      <c r="R908" s="94"/>
      <c r="S908" s="94"/>
      <c r="T908" s="171"/>
      <c r="U908" s="171"/>
      <c r="V908" s="102">
        <v>0</v>
      </c>
      <c r="W908" s="120">
        <v>0</v>
      </c>
      <c r="X908" s="120">
        <v>0</v>
      </c>
      <c r="Y908" s="120">
        <v>0</v>
      </c>
      <c r="Z908" s="120">
        <v>0</v>
      </c>
      <c r="AA908" s="17">
        <v>0</v>
      </c>
      <c r="AB908" s="17">
        <v>0</v>
      </c>
      <c r="AC908" s="17">
        <v>0</v>
      </c>
      <c r="AD908" s="17">
        <v>0</v>
      </c>
      <c r="AE908" s="17">
        <v>0</v>
      </c>
      <c r="AF908" s="17">
        <v>0</v>
      </c>
      <c r="AG908" s="17">
        <v>0</v>
      </c>
      <c r="AH908" s="17">
        <v>0</v>
      </c>
      <c r="AI908" s="17">
        <v>0</v>
      </c>
      <c r="AJ908" s="17">
        <v>0</v>
      </c>
      <c r="AK908" s="17">
        <v>0</v>
      </c>
      <c r="AL908" s="58" t="s">
        <v>3469</v>
      </c>
      <c r="AM908" s="780">
        <v>34</v>
      </c>
      <c r="AN908" s="89"/>
      <c r="AO908" s="280"/>
      <c r="AP908" s="784"/>
      <c r="AQ908" s="773" t="s">
        <v>270</v>
      </c>
      <c r="AR908" s="188">
        <v>100</v>
      </c>
      <c r="AS908" s="171"/>
      <c r="AT908" s="171" t="str">
        <f t="shared" si="76"/>
        <v>500</v>
      </c>
      <c r="AU908" s="255">
        <f t="shared" si="77"/>
        <v>22.727272727272727</v>
      </c>
      <c r="AV908" s="172">
        <v>100</v>
      </c>
      <c r="AW908" s="171">
        <v>7</v>
      </c>
      <c r="AX908" s="89"/>
      <c r="AY908" s="171">
        <v>23</v>
      </c>
      <c r="AZ908" s="89"/>
      <c r="BA908" s="175">
        <v>50</v>
      </c>
      <c r="BB908" s="189" t="s">
        <v>2547</v>
      </c>
      <c r="BC908" s="176"/>
      <c r="BD908" s="179"/>
      <c r="BE908" s="179"/>
      <c r="BF908" s="178" t="s">
        <v>2998</v>
      </c>
      <c r="BG908" s="25"/>
      <c r="BH908" s="25"/>
    </row>
    <row r="909" spans="1:60" ht="15" customHeight="1">
      <c r="A909" s="95">
        <v>908</v>
      </c>
      <c r="B909" s="98" t="s">
        <v>794</v>
      </c>
      <c r="C909" s="191" t="s">
        <v>2688</v>
      </c>
      <c r="D909" s="257" t="s">
        <v>549</v>
      </c>
      <c r="E909" s="459" t="s">
        <v>3377</v>
      </c>
      <c r="F909" s="171">
        <v>1999</v>
      </c>
      <c r="G909" s="171">
        <v>212</v>
      </c>
      <c r="H909" s="57"/>
      <c r="I909" s="173" t="s">
        <v>1751</v>
      </c>
      <c r="J909" s="212">
        <f>205/267</f>
        <v>0.76779026217228463</v>
      </c>
      <c r="K909" s="213">
        <v>6.4756554307116101</v>
      </c>
      <c r="L909" s="91"/>
      <c r="M909" s="278">
        <v>267</v>
      </c>
      <c r="N909" s="279"/>
      <c r="O909" s="172" t="s">
        <v>12</v>
      </c>
      <c r="P909" s="92"/>
      <c r="Q909" s="173" t="s">
        <v>10</v>
      </c>
      <c r="R909" s="94"/>
      <c r="S909" s="94"/>
      <c r="T909" s="171"/>
      <c r="U909" s="171"/>
      <c r="V909" s="102">
        <v>0</v>
      </c>
      <c r="W909" s="120">
        <v>0</v>
      </c>
      <c r="X909" s="120">
        <v>0</v>
      </c>
      <c r="Y909" s="120">
        <v>0</v>
      </c>
      <c r="Z909" s="120">
        <v>0</v>
      </c>
      <c r="AA909" s="17">
        <v>0</v>
      </c>
      <c r="AB909" s="17">
        <v>0</v>
      </c>
      <c r="AC909" s="17">
        <v>0</v>
      </c>
      <c r="AD909" s="17">
        <v>0</v>
      </c>
      <c r="AE909" s="17">
        <v>0</v>
      </c>
      <c r="AF909" s="17">
        <v>0</v>
      </c>
      <c r="AG909" s="17">
        <v>0</v>
      </c>
      <c r="AH909" s="17">
        <v>0</v>
      </c>
      <c r="AI909" s="17">
        <v>0</v>
      </c>
      <c r="AJ909" s="17">
        <v>0</v>
      </c>
      <c r="AK909" s="17">
        <v>0</v>
      </c>
      <c r="AL909" s="58" t="s">
        <v>3470</v>
      </c>
      <c r="AM909" s="780">
        <v>32</v>
      </c>
      <c r="AN909" s="89"/>
      <c r="AO909" s="280"/>
      <c r="AP909" s="784"/>
      <c r="AQ909" s="773" t="s">
        <v>270</v>
      </c>
      <c r="AR909" s="188">
        <v>100</v>
      </c>
      <c r="AS909" s="171"/>
      <c r="AT909" s="171" t="str">
        <f t="shared" si="76"/>
        <v>500</v>
      </c>
      <c r="AU909" s="255">
        <f t="shared" si="77"/>
        <v>22.727272727272727</v>
      </c>
      <c r="AV909" s="172">
        <v>100</v>
      </c>
      <c r="AW909" s="171">
        <v>7</v>
      </c>
      <c r="AX909" s="89"/>
      <c r="AY909" s="171">
        <v>23</v>
      </c>
      <c r="AZ909" s="89"/>
      <c r="BA909" s="175">
        <v>50</v>
      </c>
      <c r="BB909" s="189" t="s">
        <v>2547</v>
      </c>
      <c r="BC909" s="176"/>
      <c r="BD909" s="179"/>
      <c r="BE909" s="179"/>
      <c r="BF909" s="178" t="s">
        <v>2998</v>
      </c>
      <c r="BG909" s="25"/>
      <c r="BH909" s="25"/>
    </row>
    <row r="910" spans="1:60" ht="15" customHeight="1">
      <c r="A910" s="95">
        <v>909</v>
      </c>
      <c r="B910" s="98" t="s">
        <v>793</v>
      </c>
      <c r="C910" s="191" t="s">
        <v>2689</v>
      </c>
      <c r="D910" s="257" t="s">
        <v>549</v>
      </c>
      <c r="E910" s="459" t="s">
        <v>3377</v>
      </c>
      <c r="F910" s="171">
        <v>1999</v>
      </c>
      <c r="G910" s="171">
        <v>213</v>
      </c>
      <c r="H910" s="57"/>
      <c r="I910" s="173" t="s">
        <v>2564</v>
      </c>
      <c r="J910" s="212">
        <f t="shared" ref="J910:J921" si="78">157/157</f>
        <v>1</v>
      </c>
      <c r="K910" s="213">
        <v>11.401273885350319</v>
      </c>
      <c r="L910" s="91"/>
      <c r="M910" s="278">
        <v>157</v>
      </c>
      <c r="N910" s="279"/>
      <c r="O910" s="172" t="s">
        <v>12</v>
      </c>
      <c r="P910" s="92"/>
      <c r="Q910" s="173" t="s">
        <v>10</v>
      </c>
      <c r="R910" s="506" t="s">
        <v>2308</v>
      </c>
      <c r="S910" s="94"/>
      <c r="T910" s="171"/>
      <c r="U910" s="171" t="s">
        <v>2308</v>
      </c>
      <c r="V910" s="102">
        <v>0</v>
      </c>
      <c r="W910" s="120">
        <v>0</v>
      </c>
      <c r="X910" s="120">
        <f t="shared" ref="X910:X921" si="79">128/157*100</f>
        <v>81.528662420382176</v>
      </c>
      <c r="Y910" s="120">
        <v>0</v>
      </c>
      <c r="Z910" s="120">
        <v>0</v>
      </c>
      <c r="AA910" s="17">
        <v>0</v>
      </c>
      <c r="AB910" s="17">
        <v>0</v>
      </c>
      <c r="AC910" s="17">
        <v>0</v>
      </c>
      <c r="AD910" s="17">
        <v>0</v>
      </c>
      <c r="AE910" s="17">
        <v>0</v>
      </c>
      <c r="AF910" s="17">
        <v>0</v>
      </c>
      <c r="AG910" s="17">
        <v>0</v>
      </c>
      <c r="AH910" s="17">
        <v>0</v>
      </c>
      <c r="AI910" s="17">
        <v>0</v>
      </c>
      <c r="AJ910" s="17">
        <v>0</v>
      </c>
      <c r="AK910" s="17">
        <v>0</v>
      </c>
      <c r="AL910" s="32">
        <v>0</v>
      </c>
      <c r="AM910" s="780">
        <v>26.8</v>
      </c>
      <c r="AN910" s="89"/>
      <c r="AO910" s="280"/>
      <c r="AP910" s="784"/>
      <c r="AQ910" s="773" t="s">
        <v>270</v>
      </c>
      <c r="AR910" s="188">
        <v>100</v>
      </c>
      <c r="AS910" s="171"/>
      <c r="AT910" s="171" t="str">
        <f t="shared" si="76"/>
        <v>500</v>
      </c>
      <c r="AU910" s="255">
        <f t="shared" si="77"/>
        <v>22.727272727272727</v>
      </c>
      <c r="AV910" s="172">
        <v>100</v>
      </c>
      <c r="AW910" s="171">
        <v>7</v>
      </c>
      <c r="AX910" s="89"/>
      <c r="AY910" s="171">
        <v>20</v>
      </c>
      <c r="AZ910" s="89"/>
      <c r="BA910" s="175">
        <v>60</v>
      </c>
      <c r="BB910" s="189" t="s">
        <v>2547</v>
      </c>
      <c r="BC910" s="176"/>
      <c r="BD910" s="179"/>
      <c r="BE910" s="179"/>
      <c r="BF910" s="178"/>
      <c r="BG910" s="25"/>
      <c r="BH910" s="25"/>
    </row>
    <row r="911" spans="1:60" ht="15" customHeight="1">
      <c r="A911" s="95">
        <v>910</v>
      </c>
      <c r="B911" s="98" t="s">
        <v>792</v>
      </c>
      <c r="C911" s="191" t="s">
        <v>2689</v>
      </c>
      <c r="D911" s="257" t="s">
        <v>549</v>
      </c>
      <c r="E911" s="459" t="s">
        <v>3377</v>
      </c>
      <c r="F911" s="171">
        <v>1999</v>
      </c>
      <c r="G911" s="171">
        <v>213</v>
      </c>
      <c r="H911" s="57"/>
      <c r="I911" s="173" t="s">
        <v>2564</v>
      </c>
      <c r="J911" s="212">
        <f t="shared" si="78"/>
        <v>1</v>
      </c>
      <c r="K911" s="213">
        <v>11.401273885350319</v>
      </c>
      <c r="L911" s="91"/>
      <c r="M911" s="278">
        <v>157</v>
      </c>
      <c r="N911" s="279"/>
      <c r="O911" s="172" t="s">
        <v>12</v>
      </c>
      <c r="P911" s="92"/>
      <c r="Q911" s="173" t="s">
        <v>10</v>
      </c>
      <c r="R911" s="506" t="s">
        <v>2308</v>
      </c>
      <c r="S911" s="94"/>
      <c r="T911" s="171"/>
      <c r="U911" s="171" t="s">
        <v>2308</v>
      </c>
      <c r="V911" s="102">
        <v>0</v>
      </c>
      <c r="W911" s="120">
        <v>0</v>
      </c>
      <c r="X911" s="120">
        <f t="shared" si="79"/>
        <v>81.528662420382176</v>
      </c>
      <c r="Y911" s="120">
        <v>0</v>
      </c>
      <c r="Z911" s="120">
        <v>0</v>
      </c>
      <c r="AA911" s="17">
        <v>0</v>
      </c>
      <c r="AB911" s="17">
        <v>0</v>
      </c>
      <c r="AC911" s="17">
        <v>0</v>
      </c>
      <c r="AD911" s="17">
        <v>0</v>
      </c>
      <c r="AE911" s="17">
        <v>0</v>
      </c>
      <c r="AF911" s="17">
        <v>0</v>
      </c>
      <c r="AG911" s="17">
        <v>0</v>
      </c>
      <c r="AH911" s="17">
        <v>0</v>
      </c>
      <c r="AI911" s="17">
        <v>0</v>
      </c>
      <c r="AJ911" s="17">
        <v>0</v>
      </c>
      <c r="AK911" s="17">
        <v>0</v>
      </c>
      <c r="AL911" s="32">
        <v>0</v>
      </c>
      <c r="AM911" s="780">
        <v>24.5</v>
      </c>
      <c r="AN911" s="89"/>
      <c r="AO911" s="280"/>
      <c r="AP911" s="784"/>
      <c r="AQ911" s="773" t="s">
        <v>270</v>
      </c>
      <c r="AR911" s="188">
        <v>100</v>
      </c>
      <c r="AS911" s="171"/>
      <c r="AT911" s="171" t="str">
        <f t="shared" si="76"/>
        <v>500</v>
      </c>
      <c r="AU911" s="255">
        <f t="shared" si="77"/>
        <v>22.727272727272727</v>
      </c>
      <c r="AV911" s="172">
        <v>100</v>
      </c>
      <c r="AW911" s="171">
        <v>7</v>
      </c>
      <c r="AX911" s="89"/>
      <c r="AY911" s="171">
        <v>20</v>
      </c>
      <c r="AZ911" s="89"/>
      <c r="BA911" s="175">
        <v>60</v>
      </c>
      <c r="BB911" s="189" t="s">
        <v>2547</v>
      </c>
      <c r="BC911" s="176"/>
      <c r="BD911" s="179"/>
      <c r="BE911" s="179"/>
      <c r="BF911" s="178"/>
      <c r="BG911" s="25"/>
      <c r="BH911" s="25"/>
    </row>
    <row r="912" spans="1:60" ht="15" customHeight="1">
      <c r="A912" s="95">
        <v>911</v>
      </c>
      <c r="B912" s="98" t="s">
        <v>791</v>
      </c>
      <c r="C912" s="191" t="s">
        <v>2689</v>
      </c>
      <c r="D912" s="257" t="s">
        <v>549</v>
      </c>
      <c r="E912" s="459" t="s">
        <v>3377</v>
      </c>
      <c r="F912" s="171">
        <v>1999</v>
      </c>
      <c r="G912" s="171">
        <v>213</v>
      </c>
      <c r="H912" s="57"/>
      <c r="I912" s="173" t="s">
        <v>2564</v>
      </c>
      <c r="J912" s="212">
        <f t="shared" si="78"/>
        <v>1</v>
      </c>
      <c r="K912" s="213">
        <v>11.401273885350319</v>
      </c>
      <c r="L912" s="91"/>
      <c r="M912" s="278">
        <v>157</v>
      </c>
      <c r="N912" s="279"/>
      <c r="O912" s="172" t="s">
        <v>12</v>
      </c>
      <c r="P912" s="92"/>
      <c r="Q912" s="173" t="s">
        <v>10</v>
      </c>
      <c r="R912" s="506" t="s">
        <v>2308</v>
      </c>
      <c r="S912" s="94"/>
      <c r="T912" s="171"/>
      <c r="U912" s="171" t="s">
        <v>2308</v>
      </c>
      <c r="V912" s="102">
        <v>0</v>
      </c>
      <c r="W912" s="120">
        <v>0</v>
      </c>
      <c r="X912" s="120">
        <f t="shared" si="79"/>
        <v>81.528662420382176</v>
      </c>
      <c r="Y912" s="120">
        <v>0</v>
      </c>
      <c r="Z912" s="120">
        <v>0</v>
      </c>
      <c r="AA912" s="17">
        <v>0</v>
      </c>
      <c r="AB912" s="17">
        <v>0</v>
      </c>
      <c r="AC912" s="17">
        <v>0</v>
      </c>
      <c r="AD912" s="17">
        <v>0</v>
      </c>
      <c r="AE912" s="17">
        <v>0</v>
      </c>
      <c r="AF912" s="17">
        <v>0</v>
      </c>
      <c r="AG912" s="17">
        <v>0</v>
      </c>
      <c r="AH912" s="17">
        <v>0</v>
      </c>
      <c r="AI912" s="17">
        <v>0</v>
      </c>
      <c r="AJ912" s="17">
        <v>0</v>
      </c>
      <c r="AK912" s="17">
        <v>0</v>
      </c>
      <c r="AL912" s="32">
        <v>0</v>
      </c>
      <c r="AM912" s="780">
        <v>25.5</v>
      </c>
      <c r="AN912" s="89"/>
      <c r="AO912" s="280"/>
      <c r="AP912" s="784"/>
      <c r="AQ912" s="773" t="s">
        <v>270</v>
      </c>
      <c r="AR912" s="188">
        <v>100</v>
      </c>
      <c r="AS912" s="171"/>
      <c r="AT912" s="171" t="str">
        <f t="shared" si="76"/>
        <v>500</v>
      </c>
      <c r="AU912" s="255">
        <f t="shared" si="77"/>
        <v>22.727272727272727</v>
      </c>
      <c r="AV912" s="172">
        <v>100</v>
      </c>
      <c r="AW912" s="171">
        <v>7</v>
      </c>
      <c r="AX912" s="89"/>
      <c r="AY912" s="171">
        <v>20</v>
      </c>
      <c r="AZ912" s="89"/>
      <c r="BA912" s="175">
        <v>60</v>
      </c>
      <c r="BB912" s="189" t="s">
        <v>2547</v>
      </c>
      <c r="BC912" s="176"/>
      <c r="BD912" s="179"/>
      <c r="BE912" s="179"/>
      <c r="BF912" s="178"/>
      <c r="BG912" s="25"/>
      <c r="BH912" s="25"/>
    </row>
    <row r="913" spans="1:60" ht="15" customHeight="1">
      <c r="A913" s="95">
        <v>912</v>
      </c>
      <c r="B913" s="98" t="s">
        <v>790</v>
      </c>
      <c r="C913" s="191" t="s">
        <v>2689</v>
      </c>
      <c r="D913" s="257" t="s">
        <v>549</v>
      </c>
      <c r="E913" s="459" t="s">
        <v>3377</v>
      </c>
      <c r="F913" s="171">
        <v>1999</v>
      </c>
      <c r="G913" s="171">
        <v>213</v>
      </c>
      <c r="H913" s="57"/>
      <c r="I913" s="173" t="s">
        <v>2564</v>
      </c>
      <c r="J913" s="212">
        <f t="shared" si="78"/>
        <v>1</v>
      </c>
      <c r="K913" s="213">
        <v>11.401273885350319</v>
      </c>
      <c r="L913" s="91"/>
      <c r="M913" s="278">
        <v>157</v>
      </c>
      <c r="N913" s="279"/>
      <c r="O913" s="172" t="s">
        <v>12</v>
      </c>
      <c r="P913" s="511"/>
      <c r="Q913" s="173" t="s">
        <v>10</v>
      </c>
      <c r="R913" s="506" t="s">
        <v>2308</v>
      </c>
      <c r="S913" s="94"/>
      <c r="T913" s="171"/>
      <c r="U913" s="171" t="s">
        <v>2308</v>
      </c>
      <c r="V913" s="102">
        <v>0</v>
      </c>
      <c r="W913" s="120">
        <v>0</v>
      </c>
      <c r="X913" s="120">
        <f t="shared" si="79"/>
        <v>81.528662420382176</v>
      </c>
      <c r="Y913" s="120">
        <v>0</v>
      </c>
      <c r="Z913" s="120">
        <v>0</v>
      </c>
      <c r="AA913" s="17">
        <v>0</v>
      </c>
      <c r="AB913" s="17">
        <v>0</v>
      </c>
      <c r="AC913" s="17">
        <v>0</v>
      </c>
      <c r="AD913" s="17">
        <v>0</v>
      </c>
      <c r="AE913" s="17">
        <v>0</v>
      </c>
      <c r="AF913" s="17">
        <v>0</v>
      </c>
      <c r="AG913" s="17">
        <v>0</v>
      </c>
      <c r="AH913" s="17">
        <v>0</v>
      </c>
      <c r="AI913" s="17">
        <v>0</v>
      </c>
      <c r="AJ913" s="17">
        <v>0</v>
      </c>
      <c r="AK913" s="17">
        <v>0</v>
      </c>
      <c r="AL913" s="32">
        <v>0</v>
      </c>
      <c r="AM913" s="780">
        <v>25.7</v>
      </c>
      <c r="AN913" s="89"/>
      <c r="AO913" s="280"/>
      <c r="AP913" s="784"/>
      <c r="AQ913" s="773" t="s">
        <v>270</v>
      </c>
      <c r="AR913" s="188">
        <v>100</v>
      </c>
      <c r="AS913" s="171"/>
      <c r="AT913" s="171" t="str">
        <f t="shared" si="76"/>
        <v>500</v>
      </c>
      <c r="AU913" s="255">
        <f t="shared" si="77"/>
        <v>22.727272727272727</v>
      </c>
      <c r="AV913" s="172">
        <v>100</v>
      </c>
      <c r="AW913" s="171">
        <v>7</v>
      </c>
      <c r="AX913" s="89"/>
      <c r="AY913" s="171">
        <v>20</v>
      </c>
      <c r="AZ913" s="89"/>
      <c r="BA913" s="175">
        <v>60</v>
      </c>
      <c r="BB913" s="189" t="s">
        <v>2547</v>
      </c>
      <c r="BC913" s="176"/>
      <c r="BD913" s="179"/>
      <c r="BE913" s="179"/>
      <c r="BF913" s="178"/>
      <c r="BG913" s="25"/>
      <c r="BH913" s="25"/>
    </row>
    <row r="914" spans="1:60" ht="15" customHeight="1">
      <c r="A914" s="95">
        <v>913</v>
      </c>
      <c r="B914" s="98" t="s">
        <v>789</v>
      </c>
      <c r="C914" s="191" t="s">
        <v>2689</v>
      </c>
      <c r="D914" s="257" t="s">
        <v>549</v>
      </c>
      <c r="E914" s="459" t="s">
        <v>3377</v>
      </c>
      <c r="F914" s="171">
        <v>1999</v>
      </c>
      <c r="G914" s="171">
        <v>213</v>
      </c>
      <c r="H914" s="57"/>
      <c r="I914" s="173" t="s">
        <v>2564</v>
      </c>
      <c r="J914" s="212">
        <f t="shared" si="78"/>
        <v>1</v>
      </c>
      <c r="K914" s="213">
        <v>11.401273885350319</v>
      </c>
      <c r="L914" s="91"/>
      <c r="M914" s="278">
        <v>157</v>
      </c>
      <c r="N914" s="279"/>
      <c r="O914" s="172" t="s">
        <v>12</v>
      </c>
      <c r="P914" s="511"/>
      <c r="Q914" s="173" t="s">
        <v>10</v>
      </c>
      <c r="R914" s="506" t="s">
        <v>2308</v>
      </c>
      <c r="S914" s="94"/>
      <c r="T914" s="171"/>
      <c r="U914" s="171" t="s">
        <v>2308</v>
      </c>
      <c r="V914" s="102">
        <v>0</v>
      </c>
      <c r="W914" s="120">
        <v>0</v>
      </c>
      <c r="X914" s="120">
        <f t="shared" si="79"/>
        <v>81.528662420382176</v>
      </c>
      <c r="Y914" s="120">
        <v>0</v>
      </c>
      <c r="Z914" s="120">
        <v>0</v>
      </c>
      <c r="AA914" s="17">
        <v>0</v>
      </c>
      <c r="AB914" s="17">
        <v>0</v>
      </c>
      <c r="AC914" s="17">
        <v>0</v>
      </c>
      <c r="AD914" s="17">
        <v>0</v>
      </c>
      <c r="AE914" s="17">
        <v>0</v>
      </c>
      <c r="AF914" s="17">
        <v>0</v>
      </c>
      <c r="AG914" s="17">
        <v>0</v>
      </c>
      <c r="AH914" s="17">
        <v>0</v>
      </c>
      <c r="AI914" s="17">
        <v>0</v>
      </c>
      <c r="AJ914" s="17">
        <v>0</v>
      </c>
      <c r="AK914" s="17">
        <v>0</v>
      </c>
      <c r="AL914" s="32">
        <v>0</v>
      </c>
      <c r="AM914" s="780">
        <v>26.5</v>
      </c>
      <c r="AN914" s="89"/>
      <c r="AO914" s="280"/>
      <c r="AP914" s="784"/>
      <c r="AQ914" s="773" t="s">
        <v>270</v>
      </c>
      <c r="AR914" s="188">
        <v>100</v>
      </c>
      <c r="AS914" s="171"/>
      <c r="AT914" s="171" t="str">
        <f t="shared" si="76"/>
        <v>500</v>
      </c>
      <c r="AU914" s="255">
        <f t="shared" si="77"/>
        <v>22.727272727272727</v>
      </c>
      <c r="AV914" s="172">
        <v>100</v>
      </c>
      <c r="AW914" s="171">
        <v>7</v>
      </c>
      <c r="AX914" s="89"/>
      <c r="AY914" s="171">
        <v>20</v>
      </c>
      <c r="AZ914" s="89"/>
      <c r="BA914" s="175">
        <v>60</v>
      </c>
      <c r="BB914" s="189" t="s">
        <v>2547</v>
      </c>
      <c r="BC914" s="176"/>
      <c r="BD914" s="179"/>
      <c r="BE914" s="179"/>
      <c r="BF914" s="178"/>
      <c r="BG914" s="25"/>
      <c r="BH914" s="25"/>
    </row>
    <row r="915" spans="1:60" ht="15" customHeight="1">
      <c r="A915" s="95">
        <v>914</v>
      </c>
      <c r="B915" s="98" t="s">
        <v>788</v>
      </c>
      <c r="C915" s="191" t="s">
        <v>2689</v>
      </c>
      <c r="D915" s="257" t="s">
        <v>549</v>
      </c>
      <c r="E915" s="459" t="s">
        <v>3377</v>
      </c>
      <c r="F915" s="171">
        <v>1999</v>
      </c>
      <c r="G915" s="171">
        <v>213</v>
      </c>
      <c r="H915" s="57"/>
      <c r="I915" s="173" t="s">
        <v>2564</v>
      </c>
      <c r="J915" s="212">
        <f t="shared" si="78"/>
        <v>1</v>
      </c>
      <c r="K915" s="213">
        <v>11.401273885350319</v>
      </c>
      <c r="L915" s="91"/>
      <c r="M915" s="278">
        <v>157</v>
      </c>
      <c r="N915" s="279"/>
      <c r="O915" s="172" t="s">
        <v>12</v>
      </c>
      <c r="P915" s="511"/>
      <c r="Q915" s="173" t="s">
        <v>10</v>
      </c>
      <c r="R915" s="506" t="s">
        <v>2308</v>
      </c>
      <c r="S915" s="94"/>
      <c r="T915" s="171"/>
      <c r="U915" s="171" t="s">
        <v>2308</v>
      </c>
      <c r="V915" s="102">
        <v>0</v>
      </c>
      <c r="W915" s="120">
        <v>0</v>
      </c>
      <c r="X915" s="120">
        <f t="shared" si="79"/>
        <v>81.528662420382176</v>
      </c>
      <c r="Y915" s="120">
        <v>0</v>
      </c>
      <c r="Z915" s="120">
        <v>0</v>
      </c>
      <c r="AA915" s="17">
        <v>0</v>
      </c>
      <c r="AB915" s="17">
        <v>0</v>
      </c>
      <c r="AC915" s="17">
        <v>0</v>
      </c>
      <c r="AD915" s="17">
        <v>0</v>
      </c>
      <c r="AE915" s="17">
        <v>0</v>
      </c>
      <c r="AF915" s="17">
        <v>0</v>
      </c>
      <c r="AG915" s="17">
        <v>0</v>
      </c>
      <c r="AH915" s="17">
        <v>0</v>
      </c>
      <c r="AI915" s="17">
        <v>0</v>
      </c>
      <c r="AJ915" s="17">
        <v>0</v>
      </c>
      <c r="AK915" s="17">
        <v>0</v>
      </c>
      <c r="AL915" s="32">
        <v>0</v>
      </c>
      <c r="AM915" s="780">
        <v>26.6</v>
      </c>
      <c r="AN915" s="89"/>
      <c r="AO915" s="280"/>
      <c r="AP915" s="784"/>
      <c r="AQ915" s="773" t="s">
        <v>270</v>
      </c>
      <c r="AR915" s="188">
        <v>100</v>
      </c>
      <c r="AS915" s="171"/>
      <c r="AT915" s="171" t="str">
        <f t="shared" si="76"/>
        <v>500</v>
      </c>
      <c r="AU915" s="255">
        <f t="shared" si="77"/>
        <v>22.727272727272727</v>
      </c>
      <c r="AV915" s="172">
        <v>100</v>
      </c>
      <c r="AW915" s="171">
        <v>7</v>
      </c>
      <c r="AX915" s="89"/>
      <c r="AY915" s="171">
        <v>20</v>
      </c>
      <c r="AZ915" s="89"/>
      <c r="BA915" s="175">
        <v>60</v>
      </c>
      <c r="BB915" s="189" t="s">
        <v>2547</v>
      </c>
      <c r="BC915" s="176"/>
      <c r="BD915" s="179"/>
      <c r="BE915" s="179"/>
      <c r="BF915" s="178"/>
      <c r="BG915" s="25"/>
      <c r="BH915" s="25"/>
    </row>
    <row r="916" spans="1:60" ht="15" customHeight="1">
      <c r="A916" s="95">
        <v>915</v>
      </c>
      <c r="B916" s="98" t="s">
        <v>787</v>
      </c>
      <c r="C916" s="191" t="s">
        <v>2689</v>
      </c>
      <c r="D916" s="257" t="s">
        <v>549</v>
      </c>
      <c r="E916" s="459" t="s">
        <v>3377</v>
      </c>
      <c r="F916" s="171">
        <v>1999</v>
      </c>
      <c r="G916" s="171">
        <v>213</v>
      </c>
      <c r="H916" s="57"/>
      <c r="I916" s="173" t="s">
        <v>2564</v>
      </c>
      <c r="J916" s="212">
        <f t="shared" si="78"/>
        <v>1</v>
      </c>
      <c r="K916" s="213">
        <v>11.401273885350319</v>
      </c>
      <c r="L916" s="91"/>
      <c r="M916" s="278">
        <v>157</v>
      </c>
      <c r="N916" s="279"/>
      <c r="O916" s="172" t="s">
        <v>12</v>
      </c>
      <c r="P916" s="511"/>
      <c r="Q916" s="173" t="s">
        <v>10</v>
      </c>
      <c r="R916" s="506" t="s">
        <v>2308</v>
      </c>
      <c r="S916" s="94"/>
      <c r="T916" s="171"/>
      <c r="U916" s="171" t="s">
        <v>2308</v>
      </c>
      <c r="V916" s="102">
        <v>0</v>
      </c>
      <c r="W916" s="120">
        <v>0</v>
      </c>
      <c r="X916" s="120">
        <f t="shared" si="79"/>
        <v>81.528662420382176</v>
      </c>
      <c r="Y916" s="120">
        <v>0</v>
      </c>
      <c r="Z916" s="120">
        <v>0</v>
      </c>
      <c r="AA916" s="17">
        <v>0</v>
      </c>
      <c r="AB916" s="17">
        <v>0</v>
      </c>
      <c r="AC916" s="17">
        <v>0</v>
      </c>
      <c r="AD916" s="17">
        <v>0</v>
      </c>
      <c r="AE916" s="17">
        <v>0</v>
      </c>
      <c r="AF916" s="17">
        <v>0</v>
      </c>
      <c r="AG916" s="17">
        <v>0</v>
      </c>
      <c r="AH916" s="17">
        <v>0</v>
      </c>
      <c r="AI916" s="17">
        <v>0</v>
      </c>
      <c r="AJ916" s="17">
        <v>0</v>
      </c>
      <c r="AK916" s="17">
        <v>0</v>
      </c>
      <c r="AL916" s="32">
        <v>0</v>
      </c>
      <c r="AM916" s="780">
        <v>24.3</v>
      </c>
      <c r="AN916" s="89"/>
      <c r="AO916" s="280"/>
      <c r="AP916" s="784"/>
      <c r="AQ916" s="773" t="s">
        <v>270</v>
      </c>
      <c r="AR916" s="188">
        <v>100</v>
      </c>
      <c r="AS916" s="171"/>
      <c r="AT916" s="171" t="str">
        <f t="shared" si="76"/>
        <v>500</v>
      </c>
      <c r="AU916" s="255">
        <f t="shared" si="77"/>
        <v>22.727272727272727</v>
      </c>
      <c r="AV916" s="172">
        <v>100</v>
      </c>
      <c r="AW916" s="171">
        <v>7</v>
      </c>
      <c r="AX916" s="89"/>
      <c r="AY916" s="171">
        <v>20</v>
      </c>
      <c r="AZ916" s="89"/>
      <c r="BA916" s="175">
        <v>60</v>
      </c>
      <c r="BB916" s="189" t="s">
        <v>2547</v>
      </c>
      <c r="BC916" s="176"/>
      <c r="BD916" s="179"/>
      <c r="BE916" s="179"/>
      <c r="BF916" s="178"/>
      <c r="BG916" s="25"/>
      <c r="BH916" s="25"/>
    </row>
    <row r="917" spans="1:60" ht="15" customHeight="1">
      <c r="A917" s="95">
        <v>916</v>
      </c>
      <c r="B917" s="98" t="s">
        <v>786</v>
      </c>
      <c r="C917" s="191" t="s">
        <v>2689</v>
      </c>
      <c r="D917" s="257" t="s">
        <v>549</v>
      </c>
      <c r="E917" s="459" t="s">
        <v>3377</v>
      </c>
      <c r="F917" s="171">
        <v>1999</v>
      </c>
      <c r="G917" s="171">
        <v>213</v>
      </c>
      <c r="H917" s="57"/>
      <c r="I917" s="173" t="s">
        <v>2564</v>
      </c>
      <c r="J917" s="212">
        <f t="shared" si="78"/>
        <v>1</v>
      </c>
      <c r="K917" s="213">
        <v>11.401273885350319</v>
      </c>
      <c r="L917" s="91"/>
      <c r="M917" s="278">
        <v>157</v>
      </c>
      <c r="N917" s="279"/>
      <c r="O917" s="172" t="s">
        <v>12</v>
      </c>
      <c r="P917" s="511"/>
      <c r="Q917" s="173" t="s">
        <v>10</v>
      </c>
      <c r="R917" s="506" t="s">
        <v>2308</v>
      </c>
      <c r="S917" s="94"/>
      <c r="T917" s="171"/>
      <c r="U917" s="171" t="s">
        <v>2308</v>
      </c>
      <c r="V917" s="102">
        <v>0</v>
      </c>
      <c r="W917" s="120">
        <v>0</v>
      </c>
      <c r="X917" s="120">
        <f t="shared" si="79"/>
        <v>81.528662420382176</v>
      </c>
      <c r="Y917" s="120">
        <v>0</v>
      </c>
      <c r="Z917" s="120">
        <v>0</v>
      </c>
      <c r="AA917" s="17">
        <v>0</v>
      </c>
      <c r="AB917" s="17">
        <v>0</v>
      </c>
      <c r="AC917" s="17">
        <v>0</v>
      </c>
      <c r="AD917" s="17">
        <v>0</v>
      </c>
      <c r="AE917" s="17">
        <v>0</v>
      </c>
      <c r="AF917" s="17">
        <v>0</v>
      </c>
      <c r="AG917" s="17">
        <v>0</v>
      </c>
      <c r="AH917" s="17">
        <v>0</v>
      </c>
      <c r="AI917" s="17">
        <v>0</v>
      </c>
      <c r="AJ917" s="17">
        <v>0</v>
      </c>
      <c r="AK917" s="17">
        <v>0</v>
      </c>
      <c r="AL917" s="32">
        <v>0</v>
      </c>
      <c r="AM917" s="780">
        <v>24</v>
      </c>
      <c r="AN917" s="89"/>
      <c r="AO917" s="280"/>
      <c r="AP917" s="784"/>
      <c r="AQ917" s="773" t="s">
        <v>270</v>
      </c>
      <c r="AR917" s="188">
        <v>100</v>
      </c>
      <c r="AS917" s="171"/>
      <c r="AT917" s="171" t="str">
        <f t="shared" si="76"/>
        <v>500</v>
      </c>
      <c r="AU917" s="255">
        <f t="shared" si="77"/>
        <v>22.727272727272727</v>
      </c>
      <c r="AV917" s="172">
        <v>100</v>
      </c>
      <c r="AW917" s="171">
        <v>7</v>
      </c>
      <c r="AX917" s="89"/>
      <c r="AY917" s="171">
        <v>20</v>
      </c>
      <c r="AZ917" s="89"/>
      <c r="BA917" s="175">
        <v>60</v>
      </c>
      <c r="BB917" s="189" t="s">
        <v>2547</v>
      </c>
      <c r="BC917" s="176"/>
      <c r="BD917" s="179"/>
      <c r="BE917" s="179"/>
      <c r="BF917" s="178"/>
      <c r="BG917" s="25"/>
      <c r="BH917" s="25"/>
    </row>
    <row r="918" spans="1:60" ht="15" customHeight="1">
      <c r="A918" s="95">
        <v>917</v>
      </c>
      <c r="B918" s="98" t="s">
        <v>785</v>
      </c>
      <c r="C918" s="191" t="s">
        <v>2689</v>
      </c>
      <c r="D918" s="257" t="s">
        <v>549</v>
      </c>
      <c r="E918" s="459" t="s">
        <v>3377</v>
      </c>
      <c r="F918" s="171">
        <v>1999</v>
      </c>
      <c r="G918" s="171">
        <v>213</v>
      </c>
      <c r="H918" s="57"/>
      <c r="I918" s="173" t="s">
        <v>2564</v>
      </c>
      <c r="J918" s="212">
        <f t="shared" si="78"/>
        <v>1</v>
      </c>
      <c r="K918" s="213">
        <v>11.401273885350319</v>
      </c>
      <c r="L918" s="91"/>
      <c r="M918" s="278">
        <v>157</v>
      </c>
      <c r="N918" s="279"/>
      <c r="O918" s="172" t="s">
        <v>12</v>
      </c>
      <c r="P918" s="511"/>
      <c r="Q918" s="173" t="s">
        <v>10</v>
      </c>
      <c r="R918" s="506" t="s">
        <v>2308</v>
      </c>
      <c r="S918" s="94"/>
      <c r="T918" s="171"/>
      <c r="U918" s="171" t="s">
        <v>2308</v>
      </c>
      <c r="V918" s="102">
        <v>0</v>
      </c>
      <c r="W918" s="120">
        <v>0</v>
      </c>
      <c r="X918" s="120">
        <f t="shared" si="79"/>
        <v>81.528662420382176</v>
      </c>
      <c r="Y918" s="120">
        <v>0</v>
      </c>
      <c r="Z918" s="120">
        <v>0</v>
      </c>
      <c r="AA918" s="17">
        <v>0</v>
      </c>
      <c r="AB918" s="17">
        <v>0</v>
      </c>
      <c r="AC918" s="17">
        <v>0</v>
      </c>
      <c r="AD918" s="17">
        <v>0</v>
      </c>
      <c r="AE918" s="17">
        <v>0</v>
      </c>
      <c r="AF918" s="17">
        <v>0</v>
      </c>
      <c r="AG918" s="17">
        <v>0</v>
      </c>
      <c r="AH918" s="17">
        <v>0</v>
      </c>
      <c r="AI918" s="17">
        <v>0</v>
      </c>
      <c r="AJ918" s="17">
        <v>0</v>
      </c>
      <c r="AK918" s="17">
        <v>0</v>
      </c>
      <c r="AL918" s="32">
        <v>0</v>
      </c>
      <c r="AM918" s="780">
        <v>25.8</v>
      </c>
      <c r="AN918" s="89"/>
      <c r="AO918" s="280"/>
      <c r="AP918" s="784"/>
      <c r="AQ918" s="773" t="s">
        <v>270</v>
      </c>
      <c r="AR918" s="188">
        <v>100</v>
      </c>
      <c r="AS918" s="171"/>
      <c r="AT918" s="171" t="str">
        <f t="shared" si="76"/>
        <v>500</v>
      </c>
      <c r="AU918" s="255">
        <f t="shared" si="77"/>
        <v>22.727272727272727</v>
      </c>
      <c r="AV918" s="172">
        <v>100</v>
      </c>
      <c r="AW918" s="171">
        <v>7</v>
      </c>
      <c r="AX918" s="89"/>
      <c r="AY918" s="171">
        <v>20</v>
      </c>
      <c r="AZ918" s="89"/>
      <c r="BA918" s="175">
        <v>60</v>
      </c>
      <c r="BB918" s="189" t="s">
        <v>2547</v>
      </c>
      <c r="BC918" s="176"/>
      <c r="BD918" s="179"/>
      <c r="BE918" s="179"/>
      <c r="BF918" s="178"/>
      <c r="BG918" s="25"/>
      <c r="BH918" s="25"/>
    </row>
    <row r="919" spans="1:60" ht="15" customHeight="1">
      <c r="A919" s="95">
        <v>918</v>
      </c>
      <c r="B919" s="98" t="s">
        <v>784</v>
      </c>
      <c r="C919" s="191" t="s">
        <v>2689</v>
      </c>
      <c r="D919" s="257" t="s">
        <v>549</v>
      </c>
      <c r="E919" s="459" t="s">
        <v>3377</v>
      </c>
      <c r="F919" s="171">
        <v>1999</v>
      </c>
      <c r="G919" s="171">
        <v>213</v>
      </c>
      <c r="H919" s="57"/>
      <c r="I919" s="173" t="s">
        <v>2564</v>
      </c>
      <c r="J919" s="212">
        <f t="shared" si="78"/>
        <v>1</v>
      </c>
      <c r="K919" s="213">
        <v>11.401273885350319</v>
      </c>
      <c r="L919" s="91"/>
      <c r="M919" s="278">
        <v>157</v>
      </c>
      <c r="N919" s="279"/>
      <c r="O919" s="172" t="s">
        <v>12</v>
      </c>
      <c r="P919" s="511"/>
      <c r="Q919" s="173" t="s">
        <v>10</v>
      </c>
      <c r="R919" s="506" t="s">
        <v>2308</v>
      </c>
      <c r="S919" s="94"/>
      <c r="T919" s="171"/>
      <c r="U919" s="171" t="s">
        <v>2308</v>
      </c>
      <c r="V919" s="102">
        <v>0</v>
      </c>
      <c r="W919" s="120">
        <v>0</v>
      </c>
      <c r="X919" s="120">
        <f t="shared" si="79"/>
        <v>81.528662420382176</v>
      </c>
      <c r="Y919" s="120">
        <v>0</v>
      </c>
      <c r="Z919" s="120">
        <v>0</v>
      </c>
      <c r="AA919" s="17">
        <v>0</v>
      </c>
      <c r="AB919" s="17">
        <v>0</v>
      </c>
      <c r="AC919" s="17">
        <v>0</v>
      </c>
      <c r="AD919" s="17">
        <v>0</v>
      </c>
      <c r="AE919" s="17">
        <v>0</v>
      </c>
      <c r="AF919" s="17">
        <v>0</v>
      </c>
      <c r="AG919" s="17">
        <v>0</v>
      </c>
      <c r="AH919" s="17">
        <v>0</v>
      </c>
      <c r="AI919" s="17">
        <v>0</v>
      </c>
      <c r="AJ919" s="17">
        <v>0</v>
      </c>
      <c r="AK919" s="17">
        <v>0</v>
      </c>
      <c r="AL919" s="32">
        <v>0</v>
      </c>
      <c r="AM919" s="780">
        <v>24.1</v>
      </c>
      <c r="AN919" s="89"/>
      <c r="AO919" s="280"/>
      <c r="AP919" s="784"/>
      <c r="AQ919" s="773" t="s">
        <v>270</v>
      </c>
      <c r="AR919" s="188">
        <v>100</v>
      </c>
      <c r="AS919" s="171"/>
      <c r="AT919" s="171" t="str">
        <f t="shared" si="76"/>
        <v>500</v>
      </c>
      <c r="AU919" s="255">
        <f t="shared" si="77"/>
        <v>22.727272727272727</v>
      </c>
      <c r="AV919" s="172">
        <v>100</v>
      </c>
      <c r="AW919" s="171">
        <v>7</v>
      </c>
      <c r="AX919" s="89"/>
      <c r="AY919" s="171">
        <v>20</v>
      </c>
      <c r="AZ919" s="89"/>
      <c r="BA919" s="175">
        <v>60</v>
      </c>
      <c r="BB919" s="189" t="s">
        <v>2547</v>
      </c>
      <c r="BC919" s="176"/>
      <c r="BD919" s="179"/>
      <c r="BE919" s="179"/>
      <c r="BF919" s="178"/>
      <c r="BG919" s="25"/>
      <c r="BH919" s="25"/>
    </row>
    <row r="920" spans="1:60" ht="15" customHeight="1">
      <c r="A920" s="95">
        <v>919</v>
      </c>
      <c r="B920" s="98" t="s">
        <v>783</v>
      </c>
      <c r="C920" s="191" t="s">
        <v>2689</v>
      </c>
      <c r="D920" s="257" t="s">
        <v>549</v>
      </c>
      <c r="E920" s="459" t="s">
        <v>3377</v>
      </c>
      <c r="F920" s="171">
        <v>1999</v>
      </c>
      <c r="G920" s="171">
        <v>213</v>
      </c>
      <c r="H920" s="57"/>
      <c r="I920" s="173" t="s">
        <v>2564</v>
      </c>
      <c r="J920" s="212">
        <f t="shared" si="78"/>
        <v>1</v>
      </c>
      <c r="K920" s="213">
        <v>11.401273885350319</v>
      </c>
      <c r="L920" s="91"/>
      <c r="M920" s="278">
        <v>157</v>
      </c>
      <c r="N920" s="279"/>
      <c r="O920" s="172" t="s">
        <v>12</v>
      </c>
      <c r="P920" s="511"/>
      <c r="Q920" s="173" t="s">
        <v>10</v>
      </c>
      <c r="R920" s="506" t="s">
        <v>2308</v>
      </c>
      <c r="S920" s="94"/>
      <c r="T920" s="171"/>
      <c r="U920" s="171" t="s">
        <v>2308</v>
      </c>
      <c r="V920" s="102">
        <v>0</v>
      </c>
      <c r="W920" s="120">
        <v>0</v>
      </c>
      <c r="X920" s="120">
        <f t="shared" si="79"/>
        <v>81.528662420382176</v>
      </c>
      <c r="Y920" s="120">
        <v>0</v>
      </c>
      <c r="Z920" s="120">
        <v>0</v>
      </c>
      <c r="AA920" s="17">
        <v>0</v>
      </c>
      <c r="AB920" s="17">
        <v>0</v>
      </c>
      <c r="AC920" s="17">
        <v>0</v>
      </c>
      <c r="AD920" s="17">
        <v>0</v>
      </c>
      <c r="AE920" s="17">
        <v>0</v>
      </c>
      <c r="AF920" s="17">
        <v>0</v>
      </c>
      <c r="AG920" s="17">
        <v>0</v>
      </c>
      <c r="AH920" s="17">
        <v>0</v>
      </c>
      <c r="AI920" s="17">
        <v>0</v>
      </c>
      <c r="AJ920" s="17">
        <v>0</v>
      </c>
      <c r="AK920" s="17">
        <v>0</v>
      </c>
      <c r="AL920" s="32">
        <v>0</v>
      </c>
      <c r="AM920" s="780">
        <v>26</v>
      </c>
      <c r="AN920" s="89"/>
      <c r="AO920" s="280"/>
      <c r="AP920" s="784"/>
      <c r="AQ920" s="773" t="s">
        <v>270</v>
      </c>
      <c r="AR920" s="188">
        <v>100</v>
      </c>
      <c r="AS920" s="171"/>
      <c r="AT920" s="171" t="str">
        <f t="shared" si="76"/>
        <v>500</v>
      </c>
      <c r="AU920" s="255">
        <f t="shared" si="77"/>
        <v>22.727272727272727</v>
      </c>
      <c r="AV920" s="172">
        <v>100</v>
      </c>
      <c r="AW920" s="171">
        <v>7</v>
      </c>
      <c r="AX920" s="89"/>
      <c r="AY920" s="171">
        <v>20</v>
      </c>
      <c r="AZ920" s="89"/>
      <c r="BA920" s="175">
        <v>60</v>
      </c>
      <c r="BB920" s="189" t="s">
        <v>2547</v>
      </c>
      <c r="BC920" s="176"/>
      <c r="BD920" s="179"/>
      <c r="BE920" s="179"/>
      <c r="BF920" s="178"/>
      <c r="BG920" s="25"/>
      <c r="BH920" s="25"/>
    </row>
    <row r="921" spans="1:60" ht="15" customHeight="1">
      <c r="A921" s="95">
        <v>920</v>
      </c>
      <c r="B921" s="98" t="s">
        <v>782</v>
      </c>
      <c r="C921" s="191" t="s">
        <v>2689</v>
      </c>
      <c r="D921" s="257" t="s">
        <v>549</v>
      </c>
      <c r="E921" s="459" t="s">
        <v>3377</v>
      </c>
      <c r="F921" s="171">
        <v>1999</v>
      </c>
      <c r="G921" s="171">
        <v>213</v>
      </c>
      <c r="H921" s="57"/>
      <c r="I921" s="173" t="s">
        <v>2564</v>
      </c>
      <c r="J921" s="212">
        <f t="shared" si="78"/>
        <v>1</v>
      </c>
      <c r="K921" s="213">
        <v>11.401273885350319</v>
      </c>
      <c r="L921" s="91"/>
      <c r="M921" s="278">
        <v>157</v>
      </c>
      <c r="N921" s="279"/>
      <c r="O921" s="172" t="s">
        <v>12</v>
      </c>
      <c r="P921" s="511"/>
      <c r="Q921" s="173" t="s">
        <v>10</v>
      </c>
      <c r="R921" s="506" t="s">
        <v>2308</v>
      </c>
      <c r="S921" s="94"/>
      <c r="T921" s="171"/>
      <c r="U921" s="171" t="s">
        <v>2308</v>
      </c>
      <c r="V921" s="102">
        <v>0</v>
      </c>
      <c r="W921" s="120">
        <v>0</v>
      </c>
      <c r="X921" s="120">
        <f t="shared" si="79"/>
        <v>81.528662420382176</v>
      </c>
      <c r="Y921" s="120">
        <v>0</v>
      </c>
      <c r="Z921" s="120">
        <v>0</v>
      </c>
      <c r="AA921" s="17">
        <v>0</v>
      </c>
      <c r="AB921" s="17">
        <v>0</v>
      </c>
      <c r="AC921" s="17">
        <v>0</v>
      </c>
      <c r="AD921" s="17">
        <v>0</v>
      </c>
      <c r="AE921" s="17">
        <v>0</v>
      </c>
      <c r="AF921" s="17">
        <v>0</v>
      </c>
      <c r="AG921" s="17">
        <v>0</v>
      </c>
      <c r="AH921" s="17">
        <v>0</v>
      </c>
      <c r="AI921" s="17">
        <v>0</v>
      </c>
      <c r="AJ921" s="17">
        <v>0</v>
      </c>
      <c r="AK921" s="17">
        <v>0</v>
      </c>
      <c r="AL921" s="32">
        <v>0</v>
      </c>
      <c r="AM921" s="780">
        <v>25.5</v>
      </c>
      <c r="AN921" s="89"/>
      <c r="AO921" s="280"/>
      <c r="AP921" s="784"/>
      <c r="AQ921" s="773" t="s">
        <v>270</v>
      </c>
      <c r="AR921" s="188">
        <v>100</v>
      </c>
      <c r="AS921" s="171"/>
      <c r="AT921" s="171" t="str">
        <f t="shared" si="76"/>
        <v>500</v>
      </c>
      <c r="AU921" s="255">
        <f t="shared" si="77"/>
        <v>22.727272727272727</v>
      </c>
      <c r="AV921" s="172">
        <v>100</v>
      </c>
      <c r="AW921" s="171">
        <v>7</v>
      </c>
      <c r="AX921" s="89"/>
      <c r="AY921" s="171">
        <v>20</v>
      </c>
      <c r="AZ921" s="89"/>
      <c r="BA921" s="175">
        <v>60</v>
      </c>
      <c r="BB921" s="189" t="s">
        <v>2547</v>
      </c>
      <c r="BC921" s="176"/>
      <c r="BD921" s="179"/>
      <c r="BE921" s="179"/>
      <c r="BF921" s="178"/>
      <c r="BG921" s="25"/>
      <c r="BH921" s="25"/>
    </row>
    <row r="922" spans="1:60" ht="15" customHeight="1">
      <c r="A922" s="95">
        <v>921</v>
      </c>
      <c r="B922" s="98" t="s">
        <v>781</v>
      </c>
      <c r="C922" s="191" t="s">
        <v>2690</v>
      </c>
      <c r="D922" s="257" t="s">
        <v>549</v>
      </c>
      <c r="E922" s="459" t="s">
        <v>3377</v>
      </c>
      <c r="F922" s="171">
        <v>1999</v>
      </c>
      <c r="G922" s="171">
        <v>214</v>
      </c>
      <c r="H922" s="57"/>
      <c r="I922" s="173" t="s">
        <v>2564</v>
      </c>
      <c r="J922" s="277">
        <v>0.55000000000000004</v>
      </c>
      <c r="K922" s="213">
        <v>4.6148867313915858</v>
      </c>
      <c r="L922" s="91"/>
      <c r="M922" s="278">
        <v>309</v>
      </c>
      <c r="N922" s="279"/>
      <c r="O922" s="172" t="s">
        <v>12</v>
      </c>
      <c r="P922" s="92"/>
      <c r="Q922" s="173" t="s">
        <v>10</v>
      </c>
      <c r="R922" s="94"/>
      <c r="S922" s="94"/>
      <c r="T922" s="171" t="s">
        <v>2552</v>
      </c>
      <c r="U922" s="171"/>
      <c r="V922" s="102">
        <v>0</v>
      </c>
      <c r="W922" s="120">
        <v>0</v>
      </c>
      <c r="X922" s="120">
        <v>0</v>
      </c>
      <c r="Y922" s="120">
        <v>0</v>
      </c>
      <c r="Z922" s="120">
        <v>0</v>
      </c>
      <c r="AA922" s="17">
        <v>0</v>
      </c>
      <c r="AB922" s="17">
        <v>0</v>
      </c>
      <c r="AC922" s="17">
        <v>0</v>
      </c>
      <c r="AD922" s="17">
        <v>0</v>
      </c>
      <c r="AE922" s="17">
        <v>0</v>
      </c>
      <c r="AF922" s="17">
        <v>0</v>
      </c>
      <c r="AG922" s="17">
        <v>0</v>
      </c>
      <c r="AH922" s="17">
        <v>0</v>
      </c>
      <c r="AI922" s="17">
        <v>0</v>
      </c>
      <c r="AJ922" s="17">
        <v>0</v>
      </c>
      <c r="AK922" s="17">
        <v>0</v>
      </c>
      <c r="AL922" s="32">
        <v>0</v>
      </c>
      <c r="AM922" s="780">
        <v>38.5</v>
      </c>
      <c r="AN922" s="89"/>
      <c r="AO922" s="280"/>
      <c r="AP922" s="784"/>
      <c r="AQ922" s="773" t="s">
        <v>530</v>
      </c>
      <c r="AR922" s="174">
        <v>50</v>
      </c>
      <c r="AS922" s="171"/>
      <c r="AT922" s="171" t="str">
        <f t="shared" ref="AT922:AT929" si="80">RIGHT(AQ922,LEN(AQ922)-FIND("x",AQ922,1))</f>
        <v>200</v>
      </c>
      <c r="AU922" s="255">
        <f t="shared" ref="AU922:AU929" si="81">(AR922*AT922)/((2*AT922)+(2*AR922))</f>
        <v>20</v>
      </c>
      <c r="AV922" s="172">
        <v>100</v>
      </c>
      <c r="AW922" s="171">
        <v>7</v>
      </c>
      <c r="AX922" s="89"/>
      <c r="AY922" s="171">
        <v>20</v>
      </c>
      <c r="AZ922" s="89"/>
      <c r="BA922" s="175">
        <v>60</v>
      </c>
      <c r="BB922" s="189" t="s">
        <v>2547</v>
      </c>
      <c r="BC922" s="176"/>
      <c r="BD922" s="179"/>
      <c r="BE922" s="179"/>
      <c r="BF922" s="178"/>
      <c r="BG922" s="25"/>
      <c r="BH922" s="25"/>
    </row>
    <row r="923" spans="1:60" ht="15" customHeight="1">
      <c r="A923" s="95">
        <v>922</v>
      </c>
      <c r="B923" s="98" t="s">
        <v>780</v>
      </c>
      <c r="C923" s="191" t="s">
        <v>2690</v>
      </c>
      <c r="D923" s="257" t="s">
        <v>549</v>
      </c>
      <c r="E923" s="459" t="s">
        <v>3377</v>
      </c>
      <c r="F923" s="171">
        <v>1999</v>
      </c>
      <c r="G923" s="171">
        <v>214</v>
      </c>
      <c r="H923" s="57"/>
      <c r="I923" s="173" t="s">
        <v>2564</v>
      </c>
      <c r="J923" s="277">
        <v>0.55000000000000004</v>
      </c>
      <c r="K923" s="213">
        <v>4.2103559870550162</v>
      </c>
      <c r="L923" s="91"/>
      <c r="M923" s="278">
        <v>309</v>
      </c>
      <c r="N923" s="279"/>
      <c r="O923" s="172" t="s">
        <v>12</v>
      </c>
      <c r="P923" s="92"/>
      <c r="Q923" s="173" t="s">
        <v>10</v>
      </c>
      <c r="R923" s="94"/>
      <c r="S923" s="94"/>
      <c r="T923" s="171" t="s">
        <v>2552</v>
      </c>
      <c r="U923" s="171"/>
      <c r="V923" s="102">
        <v>0</v>
      </c>
      <c r="W923" s="120">
        <f>96/309*100</f>
        <v>31.067961165048541</v>
      </c>
      <c r="X923" s="120">
        <v>0</v>
      </c>
      <c r="Y923" s="120">
        <v>0</v>
      </c>
      <c r="Z923" s="120">
        <v>0</v>
      </c>
      <c r="AA923" s="17">
        <v>0</v>
      </c>
      <c r="AB923" s="17">
        <v>0</v>
      </c>
      <c r="AC923" s="17">
        <v>0</v>
      </c>
      <c r="AD923" s="17">
        <v>0</v>
      </c>
      <c r="AE923" s="17">
        <v>0</v>
      </c>
      <c r="AF923" s="17">
        <v>0</v>
      </c>
      <c r="AG923" s="17">
        <v>0</v>
      </c>
      <c r="AH923" s="17">
        <v>0</v>
      </c>
      <c r="AI923" s="17">
        <v>0</v>
      </c>
      <c r="AJ923" s="17">
        <v>0</v>
      </c>
      <c r="AK923" s="17">
        <v>0</v>
      </c>
      <c r="AL923" s="32">
        <v>0</v>
      </c>
      <c r="AM923" s="780">
        <v>32.299999999999997</v>
      </c>
      <c r="AN923" s="89"/>
      <c r="AO923" s="280"/>
      <c r="AP923" s="784"/>
      <c r="AQ923" s="773" t="s">
        <v>530</v>
      </c>
      <c r="AR923" s="174">
        <v>50</v>
      </c>
      <c r="AS923" s="171"/>
      <c r="AT923" s="171" t="str">
        <f t="shared" si="80"/>
        <v>200</v>
      </c>
      <c r="AU923" s="255">
        <f t="shared" si="81"/>
        <v>20</v>
      </c>
      <c r="AV923" s="172">
        <v>100</v>
      </c>
      <c r="AW923" s="171">
        <v>7</v>
      </c>
      <c r="AX923" s="89"/>
      <c r="AY923" s="171">
        <v>20</v>
      </c>
      <c r="AZ923" s="89"/>
      <c r="BA923" s="175">
        <v>60</v>
      </c>
      <c r="BB923" s="189" t="s">
        <v>2547</v>
      </c>
      <c r="BC923" s="176"/>
      <c r="BD923" s="179"/>
      <c r="BE923" s="179"/>
      <c r="BF923" s="178"/>
      <c r="BG923" s="25"/>
      <c r="BH923" s="25"/>
    </row>
    <row r="924" spans="1:60" ht="15" customHeight="1">
      <c r="A924" s="95">
        <v>923</v>
      </c>
      <c r="B924" s="98" t="s">
        <v>779</v>
      </c>
      <c r="C924" s="191" t="s">
        <v>2690</v>
      </c>
      <c r="D924" s="257" t="s">
        <v>549</v>
      </c>
      <c r="E924" s="459" t="s">
        <v>3377</v>
      </c>
      <c r="F924" s="171">
        <v>1999</v>
      </c>
      <c r="G924" s="171">
        <v>214</v>
      </c>
      <c r="H924" s="57"/>
      <c r="I924" s="173" t="s">
        <v>2564</v>
      </c>
      <c r="J924" s="277">
        <v>0.35</v>
      </c>
      <c r="K924" s="213">
        <v>2.6090534979423867</v>
      </c>
      <c r="L924" s="91"/>
      <c r="M924" s="278">
        <v>486</v>
      </c>
      <c r="N924" s="279"/>
      <c r="O924" s="172" t="s">
        <v>12</v>
      </c>
      <c r="P924" s="92"/>
      <c r="Q924" s="173" t="s">
        <v>10</v>
      </c>
      <c r="R924" s="94"/>
      <c r="S924" s="94"/>
      <c r="T924" s="171" t="s">
        <v>2552</v>
      </c>
      <c r="U924" s="171"/>
      <c r="V924" s="102">
        <v>0</v>
      </c>
      <c r="W924" s="120">
        <v>0</v>
      </c>
      <c r="X924" s="120">
        <v>0</v>
      </c>
      <c r="Y924" s="120">
        <v>0</v>
      </c>
      <c r="Z924" s="120">
        <v>0</v>
      </c>
      <c r="AA924" s="17">
        <v>0</v>
      </c>
      <c r="AB924" s="17">
        <v>0</v>
      </c>
      <c r="AC924" s="17">
        <v>0</v>
      </c>
      <c r="AD924" s="17">
        <v>0</v>
      </c>
      <c r="AE924" s="17">
        <v>0</v>
      </c>
      <c r="AF924" s="17">
        <v>0</v>
      </c>
      <c r="AG924" s="17">
        <v>0</v>
      </c>
      <c r="AH924" s="17">
        <v>0</v>
      </c>
      <c r="AI924" s="17">
        <v>0</v>
      </c>
      <c r="AJ924" s="17">
        <v>0</v>
      </c>
      <c r="AK924" s="17">
        <v>0</v>
      </c>
      <c r="AL924" s="32">
        <v>0</v>
      </c>
      <c r="AM924" s="780">
        <v>50.8</v>
      </c>
      <c r="AN924" s="89"/>
      <c r="AO924" s="280"/>
      <c r="AP924" s="784"/>
      <c r="AQ924" s="773" t="s">
        <v>530</v>
      </c>
      <c r="AR924" s="174">
        <v>50</v>
      </c>
      <c r="AS924" s="171"/>
      <c r="AT924" s="171" t="str">
        <f t="shared" si="80"/>
        <v>200</v>
      </c>
      <c r="AU924" s="255">
        <f t="shared" si="81"/>
        <v>20</v>
      </c>
      <c r="AV924" s="172">
        <v>100</v>
      </c>
      <c r="AW924" s="171">
        <v>7</v>
      </c>
      <c r="AX924" s="89"/>
      <c r="AY924" s="171">
        <v>20</v>
      </c>
      <c r="AZ924" s="89"/>
      <c r="BA924" s="175">
        <v>60</v>
      </c>
      <c r="BB924" s="189" t="s">
        <v>2547</v>
      </c>
      <c r="BC924" s="176"/>
      <c r="BD924" s="179"/>
      <c r="BE924" s="179"/>
      <c r="BF924" s="178"/>
      <c r="BG924" s="25"/>
      <c r="BH924" s="25"/>
    </row>
    <row r="925" spans="1:60" ht="15" customHeight="1">
      <c r="A925" s="95">
        <v>924</v>
      </c>
      <c r="B925" s="98" t="s">
        <v>778</v>
      </c>
      <c r="C925" s="191" t="s">
        <v>2690</v>
      </c>
      <c r="D925" s="257" t="s">
        <v>549</v>
      </c>
      <c r="E925" s="459" t="s">
        <v>3377</v>
      </c>
      <c r="F925" s="171">
        <v>1999</v>
      </c>
      <c r="G925" s="171">
        <v>214</v>
      </c>
      <c r="H925" s="57"/>
      <c r="I925" s="173" t="s">
        <v>2564</v>
      </c>
      <c r="J925" s="277">
        <v>0.35</v>
      </c>
      <c r="K925" s="213">
        <v>2.405349794238683</v>
      </c>
      <c r="L925" s="91"/>
      <c r="M925" s="278">
        <v>486</v>
      </c>
      <c r="N925" s="279"/>
      <c r="O925" s="172" t="s">
        <v>12</v>
      </c>
      <c r="P925" s="92"/>
      <c r="Q925" s="173" t="s">
        <v>10</v>
      </c>
      <c r="R925" s="507"/>
      <c r="S925" s="94"/>
      <c r="T925" s="171" t="s">
        <v>2552</v>
      </c>
      <c r="U925" s="171"/>
      <c r="V925" s="102">
        <v>0</v>
      </c>
      <c r="W925" s="120">
        <v>0</v>
      </c>
      <c r="X925" s="120">
        <v>0</v>
      </c>
      <c r="Y925" s="120">
        <v>0</v>
      </c>
      <c r="Z925" s="120">
        <v>0</v>
      </c>
      <c r="AA925" s="17">
        <v>0</v>
      </c>
      <c r="AB925" s="17">
        <v>0</v>
      </c>
      <c r="AC925" s="17">
        <v>0</v>
      </c>
      <c r="AD925" s="17">
        <v>0</v>
      </c>
      <c r="AE925" s="17">
        <v>0</v>
      </c>
      <c r="AF925" s="17">
        <v>0</v>
      </c>
      <c r="AG925" s="17">
        <v>0</v>
      </c>
      <c r="AH925" s="17">
        <v>0</v>
      </c>
      <c r="AI925" s="17">
        <v>0</v>
      </c>
      <c r="AJ925" s="17">
        <v>0</v>
      </c>
      <c r="AK925" s="17">
        <v>0</v>
      </c>
      <c r="AL925" s="32">
        <v>0</v>
      </c>
      <c r="AM925" s="780">
        <v>50.2</v>
      </c>
      <c r="AN925" s="89"/>
      <c r="AO925" s="280"/>
      <c r="AP925" s="784"/>
      <c r="AQ925" s="773" t="s">
        <v>530</v>
      </c>
      <c r="AR925" s="174">
        <v>50</v>
      </c>
      <c r="AS925" s="171"/>
      <c r="AT925" s="171" t="str">
        <f t="shared" si="80"/>
        <v>200</v>
      </c>
      <c r="AU925" s="255">
        <f t="shared" si="81"/>
        <v>20</v>
      </c>
      <c r="AV925" s="172">
        <v>100</v>
      </c>
      <c r="AW925" s="171">
        <v>7</v>
      </c>
      <c r="AX925" s="89"/>
      <c r="AY925" s="171">
        <v>20</v>
      </c>
      <c r="AZ925" s="89"/>
      <c r="BA925" s="175">
        <v>60</v>
      </c>
      <c r="BB925" s="189" t="s">
        <v>2547</v>
      </c>
      <c r="BC925" s="176"/>
      <c r="BD925" s="179"/>
      <c r="BE925" s="179"/>
      <c r="BF925" s="178"/>
      <c r="BG925" s="25"/>
      <c r="BH925" s="25"/>
    </row>
    <row r="926" spans="1:60" ht="15" customHeight="1">
      <c r="A926" s="95">
        <v>925</v>
      </c>
      <c r="B926" s="98" t="s">
        <v>777</v>
      </c>
      <c r="C926" s="191" t="s">
        <v>2690</v>
      </c>
      <c r="D926" s="257" t="s">
        <v>549</v>
      </c>
      <c r="E926" s="459" t="s">
        <v>3377</v>
      </c>
      <c r="F926" s="171">
        <v>1999</v>
      </c>
      <c r="G926" s="171">
        <v>214</v>
      </c>
      <c r="H926" s="57"/>
      <c r="I926" s="173" t="s">
        <v>2564</v>
      </c>
      <c r="J926" s="277">
        <v>0.35</v>
      </c>
      <c r="K926" s="213">
        <v>2.2037037037037037</v>
      </c>
      <c r="L926" s="91"/>
      <c r="M926" s="278">
        <v>486</v>
      </c>
      <c r="N926" s="279"/>
      <c r="O926" s="172" t="s">
        <v>12</v>
      </c>
      <c r="P926" s="92"/>
      <c r="Q926" s="173" t="s">
        <v>10</v>
      </c>
      <c r="R926" s="507"/>
      <c r="S926" s="94"/>
      <c r="T926" s="171" t="s">
        <v>2552</v>
      </c>
      <c r="U926" s="171"/>
      <c r="V926" s="102">
        <v>0</v>
      </c>
      <c r="W926" s="120">
        <f>152/486*100</f>
        <v>31.275720164609055</v>
      </c>
      <c r="X926" s="120">
        <v>0</v>
      </c>
      <c r="Y926" s="120">
        <v>0</v>
      </c>
      <c r="Z926" s="120">
        <v>0</v>
      </c>
      <c r="AA926" s="17">
        <v>0</v>
      </c>
      <c r="AB926" s="17">
        <v>0</v>
      </c>
      <c r="AC926" s="17">
        <v>0</v>
      </c>
      <c r="AD926" s="17">
        <v>0</v>
      </c>
      <c r="AE926" s="17">
        <v>0</v>
      </c>
      <c r="AF926" s="17">
        <v>0</v>
      </c>
      <c r="AG926" s="17">
        <v>0</v>
      </c>
      <c r="AH926" s="17">
        <v>0</v>
      </c>
      <c r="AI926" s="17">
        <v>0</v>
      </c>
      <c r="AJ926" s="17">
        <v>0</v>
      </c>
      <c r="AK926" s="17">
        <v>0</v>
      </c>
      <c r="AL926" s="32">
        <v>0</v>
      </c>
      <c r="AM926" s="780">
        <v>46.8</v>
      </c>
      <c r="AN926" s="89"/>
      <c r="AO926" s="280"/>
      <c r="AP926" s="784"/>
      <c r="AQ926" s="773" t="s">
        <v>530</v>
      </c>
      <c r="AR926" s="174">
        <v>50</v>
      </c>
      <c r="AS926" s="171"/>
      <c r="AT926" s="171" t="str">
        <f t="shared" si="80"/>
        <v>200</v>
      </c>
      <c r="AU926" s="255">
        <f t="shared" si="81"/>
        <v>20</v>
      </c>
      <c r="AV926" s="172">
        <v>100</v>
      </c>
      <c r="AW926" s="171">
        <v>7</v>
      </c>
      <c r="AX926" s="89"/>
      <c r="AY926" s="171">
        <v>20</v>
      </c>
      <c r="AZ926" s="89"/>
      <c r="BA926" s="175">
        <v>60</v>
      </c>
      <c r="BB926" s="189" t="s">
        <v>2547</v>
      </c>
      <c r="BC926" s="176"/>
      <c r="BD926" s="179"/>
      <c r="BE926" s="179"/>
      <c r="BF926" s="178"/>
      <c r="BG926" s="25"/>
      <c r="BH926" s="25"/>
    </row>
    <row r="927" spans="1:60" ht="15" customHeight="1">
      <c r="A927" s="95">
        <v>926</v>
      </c>
      <c r="B927" s="98" t="s">
        <v>776</v>
      </c>
      <c r="C927" s="191" t="s">
        <v>2690</v>
      </c>
      <c r="D927" s="257" t="s">
        <v>549</v>
      </c>
      <c r="E927" s="459" t="s">
        <v>3377</v>
      </c>
      <c r="F927" s="171">
        <v>1999</v>
      </c>
      <c r="G927" s="171">
        <v>214</v>
      </c>
      <c r="H927" s="57"/>
      <c r="I927" s="173" t="s">
        <v>2564</v>
      </c>
      <c r="J927" s="277">
        <v>0.55000000000000004</v>
      </c>
      <c r="K927" s="213">
        <v>3.7993527508090614</v>
      </c>
      <c r="L927" s="91"/>
      <c r="M927" s="278">
        <v>309</v>
      </c>
      <c r="N927" s="279"/>
      <c r="O927" s="172" t="s">
        <v>12</v>
      </c>
      <c r="P927" s="92"/>
      <c r="Q927" s="173" t="s">
        <v>10</v>
      </c>
      <c r="R927" s="507"/>
      <c r="S927" s="94"/>
      <c r="T927" s="171" t="s">
        <v>2552</v>
      </c>
      <c r="U927" s="171"/>
      <c r="V927" s="102">
        <v>0</v>
      </c>
      <c r="W927" s="120">
        <f>194/309*100</f>
        <v>62.783171521035598</v>
      </c>
      <c r="X927" s="120">
        <v>0</v>
      </c>
      <c r="Y927" s="120">
        <v>0</v>
      </c>
      <c r="Z927" s="120">
        <v>0</v>
      </c>
      <c r="AA927" s="17">
        <v>0</v>
      </c>
      <c r="AB927" s="17">
        <v>0</v>
      </c>
      <c r="AC927" s="17">
        <v>0</v>
      </c>
      <c r="AD927" s="17">
        <v>0</v>
      </c>
      <c r="AE927" s="17">
        <v>0</v>
      </c>
      <c r="AF927" s="17">
        <v>0</v>
      </c>
      <c r="AG927" s="17">
        <v>0</v>
      </c>
      <c r="AH927" s="17">
        <v>0</v>
      </c>
      <c r="AI927" s="17">
        <v>0</v>
      </c>
      <c r="AJ927" s="17">
        <v>0</v>
      </c>
      <c r="AK927" s="17">
        <v>0</v>
      </c>
      <c r="AL927" s="32">
        <v>0</v>
      </c>
      <c r="AM927" s="780">
        <v>29.2</v>
      </c>
      <c r="AN927" s="89"/>
      <c r="AO927" s="280"/>
      <c r="AP927" s="784"/>
      <c r="AQ927" s="773" t="s">
        <v>530</v>
      </c>
      <c r="AR927" s="174">
        <v>50</v>
      </c>
      <c r="AS927" s="171"/>
      <c r="AT927" s="171" t="str">
        <f t="shared" si="80"/>
        <v>200</v>
      </c>
      <c r="AU927" s="255">
        <f t="shared" si="81"/>
        <v>20</v>
      </c>
      <c r="AV927" s="172">
        <v>100</v>
      </c>
      <c r="AW927" s="171">
        <v>7</v>
      </c>
      <c r="AX927" s="89"/>
      <c r="AY927" s="171">
        <v>20</v>
      </c>
      <c r="AZ927" s="89"/>
      <c r="BA927" s="175">
        <v>60</v>
      </c>
      <c r="BB927" s="189" t="s">
        <v>2547</v>
      </c>
      <c r="BC927" s="176"/>
      <c r="BD927" s="179"/>
      <c r="BE927" s="179"/>
      <c r="BF927" s="178"/>
      <c r="BG927" s="25"/>
      <c r="BH927" s="25"/>
    </row>
    <row r="928" spans="1:60" ht="15" customHeight="1">
      <c r="A928" s="95">
        <v>927</v>
      </c>
      <c r="B928" s="98" t="s">
        <v>775</v>
      </c>
      <c r="C928" s="191" t="s">
        <v>2690</v>
      </c>
      <c r="D928" s="257" t="s">
        <v>549</v>
      </c>
      <c r="E928" s="459" t="s">
        <v>3377</v>
      </c>
      <c r="F928" s="171">
        <v>1999</v>
      </c>
      <c r="G928" s="171">
        <v>214</v>
      </c>
      <c r="H928" s="57"/>
      <c r="I928" s="173" t="s">
        <v>2564</v>
      </c>
      <c r="J928" s="277">
        <v>0.35</v>
      </c>
      <c r="K928" s="213">
        <v>2.2037037037037037</v>
      </c>
      <c r="L928" s="91"/>
      <c r="M928" s="278">
        <v>486</v>
      </c>
      <c r="N928" s="279"/>
      <c r="O928" s="172" t="s">
        <v>12</v>
      </c>
      <c r="P928" s="92"/>
      <c r="Q928" s="173" t="s">
        <v>10</v>
      </c>
      <c r="R928" s="94"/>
      <c r="S928" s="94"/>
      <c r="T928" s="171" t="s">
        <v>2552</v>
      </c>
      <c r="U928" s="171"/>
      <c r="V928" s="102">
        <v>0</v>
      </c>
      <c r="W928" s="120">
        <f>169/486*100</f>
        <v>34.773662551440331</v>
      </c>
      <c r="X928" s="120">
        <v>0</v>
      </c>
      <c r="Y928" s="120">
        <v>0</v>
      </c>
      <c r="Z928" s="120">
        <v>0</v>
      </c>
      <c r="AA928" s="17">
        <v>0</v>
      </c>
      <c r="AB928" s="17">
        <v>0</v>
      </c>
      <c r="AC928" s="17">
        <v>0</v>
      </c>
      <c r="AD928" s="17">
        <v>0</v>
      </c>
      <c r="AE928" s="17">
        <v>0</v>
      </c>
      <c r="AF928" s="17">
        <v>0</v>
      </c>
      <c r="AG928" s="17">
        <v>0</v>
      </c>
      <c r="AH928" s="17">
        <v>0</v>
      </c>
      <c r="AI928" s="17">
        <v>0</v>
      </c>
      <c r="AJ928" s="17">
        <v>0</v>
      </c>
      <c r="AK928" s="17">
        <v>0</v>
      </c>
      <c r="AL928" s="32">
        <v>0</v>
      </c>
      <c r="AM928" s="780">
        <v>44.6</v>
      </c>
      <c r="AN928" s="89"/>
      <c r="AO928" s="280"/>
      <c r="AP928" s="784"/>
      <c r="AQ928" s="773" t="s">
        <v>530</v>
      </c>
      <c r="AR928" s="174">
        <v>50</v>
      </c>
      <c r="AS928" s="171"/>
      <c r="AT928" s="171" t="str">
        <f t="shared" si="80"/>
        <v>200</v>
      </c>
      <c r="AU928" s="255">
        <f t="shared" si="81"/>
        <v>20</v>
      </c>
      <c r="AV928" s="172">
        <v>100</v>
      </c>
      <c r="AW928" s="171">
        <v>7</v>
      </c>
      <c r="AX928" s="89"/>
      <c r="AY928" s="171">
        <v>20</v>
      </c>
      <c r="AZ928" s="89"/>
      <c r="BA928" s="175">
        <v>60</v>
      </c>
      <c r="BB928" s="189" t="s">
        <v>2547</v>
      </c>
      <c r="BC928" s="176" t="s">
        <v>558</v>
      </c>
      <c r="BD928" s="179"/>
      <c r="BE928" s="179"/>
      <c r="BF928" s="178"/>
      <c r="BG928" s="25"/>
      <c r="BH928" s="25"/>
    </row>
    <row r="929" spans="1:60" ht="15" customHeight="1">
      <c r="A929" s="95">
        <v>928</v>
      </c>
      <c r="B929" s="98" t="s">
        <v>774</v>
      </c>
      <c r="C929" s="191" t="s">
        <v>2690</v>
      </c>
      <c r="D929" s="257" t="s">
        <v>549</v>
      </c>
      <c r="E929" s="459" t="s">
        <v>3377</v>
      </c>
      <c r="F929" s="171">
        <v>1999</v>
      </c>
      <c r="G929" s="171">
        <v>214</v>
      </c>
      <c r="H929" s="57"/>
      <c r="I929" s="173" t="s">
        <v>2564</v>
      </c>
      <c r="J929" s="277">
        <v>0.55000000000000004</v>
      </c>
      <c r="K929" s="213">
        <v>3.7993527508090614</v>
      </c>
      <c r="L929" s="91"/>
      <c r="M929" s="278">
        <v>309</v>
      </c>
      <c r="N929" s="279"/>
      <c r="O929" s="172" t="s">
        <v>12</v>
      </c>
      <c r="P929" s="92"/>
      <c r="Q929" s="173" t="s">
        <v>10</v>
      </c>
      <c r="R929" s="94"/>
      <c r="S929" s="94"/>
      <c r="T929" s="171" t="s">
        <v>2552</v>
      </c>
      <c r="U929" s="171"/>
      <c r="V929" s="102">
        <v>0</v>
      </c>
      <c r="W929" s="120">
        <f>216/309*100</f>
        <v>69.902912621359221</v>
      </c>
      <c r="X929" s="120">
        <v>0</v>
      </c>
      <c r="Y929" s="120">
        <v>0</v>
      </c>
      <c r="Z929" s="120">
        <v>0</v>
      </c>
      <c r="AA929" s="17">
        <v>0</v>
      </c>
      <c r="AB929" s="17">
        <v>0</v>
      </c>
      <c r="AC929" s="17">
        <v>0</v>
      </c>
      <c r="AD929" s="17">
        <v>0</v>
      </c>
      <c r="AE929" s="17">
        <v>0</v>
      </c>
      <c r="AF929" s="17">
        <v>0</v>
      </c>
      <c r="AG929" s="17">
        <v>0</v>
      </c>
      <c r="AH929" s="17">
        <v>0</v>
      </c>
      <c r="AI929" s="17">
        <v>0</v>
      </c>
      <c r="AJ929" s="17">
        <v>0</v>
      </c>
      <c r="AK929" s="17">
        <v>0</v>
      </c>
      <c r="AL929" s="32">
        <v>0</v>
      </c>
      <c r="AM929" s="780">
        <v>27.7</v>
      </c>
      <c r="AN929" s="89"/>
      <c r="AO929" s="280"/>
      <c r="AP929" s="784"/>
      <c r="AQ929" s="773" t="s">
        <v>530</v>
      </c>
      <c r="AR929" s="174">
        <v>50</v>
      </c>
      <c r="AS929" s="171"/>
      <c r="AT929" s="171" t="str">
        <f t="shared" si="80"/>
        <v>200</v>
      </c>
      <c r="AU929" s="255">
        <f t="shared" si="81"/>
        <v>20</v>
      </c>
      <c r="AV929" s="172">
        <v>100</v>
      </c>
      <c r="AW929" s="171">
        <v>7</v>
      </c>
      <c r="AX929" s="89"/>
      <c r="AY929" s="171">
        <v>20</v>
      </c>
      <c r="AZ929" s="89"/>
      <c r="BA929" s="175">
        <v>60</v>
      </c>
      <c r="BB929" s="189" t="s">
        <v>2547</v>
      </c>
      <c r="BC929" s="176"/>
      <c r="BD929" s="179"/>
      <c r="BE929" s="179"/>
      <c r="BF929" s="178"/>
      <c r="BG929" s="25"/>
      <c r="BH929" s="25"/>
    </row>
    <row r="930" spans="1:60" ht="15" customHeight="1">
      <c r="A930" s="95">
        <v>929</v>
      </c>
      <c r="B930" s="98" t="s">
        <v>773</v>
      </c>
      <c r="C930" s="191" t="s">
        <v>2691</v>
      </c>
      <c r="D930" s="257" t="s">
        <v>549</v>
      </c>
      <c r="E930" s="459" t="s">
        <v>3377</v>
      </c>
      <c r="F930" s="171">
        <v>1999</v>
      </c>
      <c r="G930" s="171">
        <v>215</v>
      </c>
      <c r="H930" s="57"/>
      <c r="I930" s="173" t="s">
        <v>2564</v>
      </c>
      <c r="J930" s="212">
        <f t="shared" ref="J930:J939" si="82">170/567</f>
        <v>0.29982363315696647</v>
      </c>
      <c r="K930" s="213">
        <v>2.8659611992945324</v>
      </c>
      <c r="L930" s="91"/>
      <c r="M930" s="278">
        <v>567</v>
      </c>
      <c r="N930" s="279"/>
      <c r="O930" s="172" t="s">
        <v>12</v>
      </c>
      <c r="P930" s="92"/>
      <c r="Q930" s="173" t="s">
        <v>10</v>
      </c>
      <c r="R930" s="94"/>
      <c r="S930" s="94"/>
      <c r="T930" s="171" t="s">
        <v>2306</v>
      </c>
      <c r="U930" s="171" t="s">
        <v>2530</v>
      </c>
      <c r="V930" s="102">
        <v>0</v>
      </c>
      <c r="W930" s="120">
        <v>0</v>
      </c>
      <c r="X930" s="120">
        <v>0</v>
      </c>
      <c r="Y930" s="120">
        <v>0</v>
      </c>
      <c r="Z930" s="120">
        <v>0</v>
      </c>
      <c r="AA930" s="17">
        <v>0</v>
      </c>
      <c r="AB930" s="17">
        <v>0</v>
      </c>
      <c r="AC930" s="17">
        <v>0</v>
      </c>
      <c r="AD930" s="17">
        <v>0</v>
      </c>
      <c r="AE930" s="17">
        <v>0</v>
      </c>
      <c r="AF930" s="17">
        <v>0</v>
      </c>
      <c r="AG930" s="17">
        <v>0</v>
      </c>
      <c r="AH930" s="17">
        <v>0</v>
      </c>
      <c r="AI930" s="17">
        <v>0</v>
      </c>
      <c r="AJ930" s="17">
        <v>0</v>
      </c>
      <c r="AK930" s="17">
        <v>0</v>
      </c>
      <c r="AL930" s="32">
        <v>0</v>
      </c>
      <c r="AM930" s="57"/>
      <c r="AN930" s="89"/>
      <c r="AO930" s="280"/>
      <c r="AP930" s="784"/>
      <c r="AQ930" s="773" t="s">
        <v>271</v>
      </c>
      <c r="AR930" s="188">
        <v>100</v>
      </c>
      <c r="AS930" s="171"/>
      <c r="AT930" s="171" t="str">
        <f t="shared" ref="AT930:AT993" si="83">RIGHT(AQ930,LEN(AQ930)-FIND("x",AQ930,8))</f>
        <v>400</v>
      </c>
      <c r="AU930" s="255">
        <f t="shared" ref="AU930:AU993" si="84">IF(ISBLANK(AS930),(AR930*AT930)/((4*AT930)+(2*AR930)),AR930*AS930*AT930/2/(AR930*AS930+AR930*AT930+AS930*AT930))</f>
        <v>22.222222222222221</v>
      </c>
      <c r="AV930" s="57"/>
      <c r="AW930" s="171">
        <v>1</v>
      </c>
      <c r="AX930" s="89"/>
      <c r="AY930" s="171">
        <v>20</v>
      </c>
      <c r="AZ930" s="89"/>
      <c r="BA930" s="175">
        <v>60</v>
      </c>
      <c r="BB930" s="259"/>
      <c r="BC930" s="176"/>
      <c r="BD930" s="179"/>
      <c r="BE930" s="179"/>
      <c r="BF930" s="178"/>
      <c r="BG930" s="25"/>
      <c r="BH930" s="25"/>
    </row>
    <row r="931" spans="1:60" ht="15" customHeight="1">
      <c r="A931" s="95">
        <v>930</v>
      </c>
      <c r="B931" s="98" t="s">
        <v>772</v>
      </c>
      <c r="C931" s="191" t="s">
        <v>2691</v>
      </c>
      <c r="D931" s="257" t="s">
        <v>549</v>
      </c>
      <c r="E931" s="459" t="s">
        <v>3377</v>
      </c>
      <c r="F931" s="171">
        <v>1999</v>
      </c>
      <c r="G931" s="171">
        <v>215</v>
      </c>
      <c r="H931" s="57"/>
      <c r="I931" s="173" t="s">
        <v>2564</v>
      </c>
      <c r="J931" s="212">
        <f t="shared" si="82"/>
        <v>0.29982363315696647</v>
      </c>
      <c r="K931" s="213">
        <v>2.8659611992945324</v>
      </c>
      <c r="L931" s="91"/>
      <c r="M931" s="278">
        <v>567</v>
      </c>
      <c r="N931" s="279"/>
      <c r="O931" s="172" t="s">
        <v>12</v>
      </c>
      <c r="P931" s="92"/>
      <c r="Q931" s="173" t="s">
        <v>10</v>
      </c>
      <c r="R931" s="94"/>
      <c r="S931" s="94"/>
      <c r="T931" s="171" t="s">
        <v>2306</v>
      </c>
      <c r="U931" s="171" t="s">
        <v>2530</v>
      </c>
      <c r="V931" s="102">
        <v>0</v>
      </c>
      <c r="W931" s="120">
        <v>0</v>
      </c>
      <c r="X931" s="120">
        <v>0</v>
      </c>
      <c r="Y931" s="120">
        <v>0</v>
      </c>
      <c r="Z931" s="120">
        <v>0</v>
      </c>
      <c r="AA931" s="17">
        <v>0</v>
      </c>
      <c r="AB931" s="17">
        <v>0</v>
      </c>
      <c r="AC931" s="17">
        <v>0</v>
      </c>
      <c r="AD931" s="17">
        <v>0</v>
      </c>
      <c r="AE931" s="17">
        <v>0</v>
      </c>
      <c r="AF931" s="17">
        <v>0</v>
      </c>
      <c r="AG931" s="17">
        <v>0</v>
      </c>
      <c r="AH931" s="17">
        <v>0</v>
      </c>
      <c r="AI931" s="17">
        <v>0</v>
      </c>
      <c r="AJ931" s="17">
        <v>0</v>
      </c>
      <c r="AK931" s="17">
        <v>0</v>
      </c>
      <c r="AL931" s="32">
        <v>0</v>
      </c>
      <c r="AM931" s="57"/>
      <c r="AN931" s="89"/>
      <c r="AO931" s="280"/>
      <c r="AP931" s="784"/>
      <c r="AQ931" s="773" t="s">
        <v>271</v>
      </c>
      <c r="AR931" s="188">
        <v>100</v>
      </c>
      <c r="AS931" s="171"/>
      <c r="AT931" s="171" t="str">
        <f t="shared" si="83"/>
        <v>400</v>
      </c>
      <c r="AU931" s="255">
        <f t="shared" si="84"/>
        <v>22.222222222222221</v>
      </c>
      <c r="AV931" s="57"/>
      <c r="AW931" s="171">
        <v>1</v>
      </c>
      <c r="AX931" s="89"/>
      <c r="AY931" s="171">
        <v>20</v>
      </c>
      <c r="AZ931" s="89"/>
      <c r="BA931" s="175">
        <v>60</v>
      </c>
      <c r="BB931" s="259"/>
      <c r="BC931" s="176"/>
      <c r="BD931" s="179"/>
      <c r="BE931" s="179"/>
      <c r="BF931" s="178"/>
      <c r="BG931" s="25"/>
      <c r="BH931" s="25"/>
    </row>
    <row r="932" spans="1:60" ht="15" customHeight="1">
      <c r="A932" s="95">
        <v>931</v>
      </c>
      <c r="B932" s="98" t="s">
        <v>771</v>
      </c>
      <c r="C932" s="191" t="s">
        <v>2691</v>
      </c>
      <c r="D932" s="257" t="s">
        <v>549</v>
      </c>
      <c r="E932" s="459" t="s">
        <v>3377</v>
      </c>
      <c r="F932" s="171">
        <v>1999</v>
      </c>
      <c r="G932" s="171">
        <v>215</v>
      </c>
      <c r="H932" s="57"/>
      <c r="I932" s="173" t="s">
        <v>2564</v>
      </c>
      <c r="J932" s="212">
        <f t="shared" si="82"/>
        <v>0.29982363315696647</v>
      </c>
      <c r="K932" s="213">
        <v>2.8659611992945324</v>
      </c>
      <c r="L932" s="91"/>
      <c r="M932" s="278">
        <v>567</v>
      </c>
      <c r="N932" s="279"/>
      <c r="O932" s="172" t="s">
        <v>12</v>
      </c>
      <c r="P932" s="92"/>
      <c r="Q932" s="173" t="s">
        <v>10</v>
      </c>
      <c r="R932" s="94"/>
      <c r="S932" s="94"/>
      <c r="T932" s="171" t="s">
        <v>2306</v>
      </c>
      <c r="U932" s="171" t="s">
        <v>2530</v>
      </c>
      <c r="V932" s="102">
        <v>0</v>
      </c>
      <c r="W932" s="120">
        <v>0</v>
      </c>
      <c r="X932" s="120">
        <v>0</v>
      </c>
      <c r="Y932" s="120">
        <v>0</v>
      </c>
      <c r="Z932" s="120">
        <v>0</v>
      </c>
      <c r="AA932" s="17">
        <v>0</v>
      </c>
      <c r="AB932" s="17">
        <v>0</v>
      </c>
      <c r="AC932" s="17">
        <v>0</v>
      </c>
      <c r="AD932" s="17">
        <v>0</v>
      </c>
      <c r="AE932" s="17">
        <v>0</v>
      </c>
      <c r="AF932" s="17">
        <v>0</v>
      </c>
      <c r="AG932" s="17">
        <v>0</v>
      </c>
      <c r="AH932" s="17">
        <v>0</v>
      </c>
      <c r="AI932" s="17">
        <v>0</v>
      </c>
      <c r="AJ932" s="17">
        <v>0</v>
      </c>
      <c r="AK932" s="17">
        <v>0</v>
      </c>
      <c r="AL932" s="32">
        <v>0</v>
      </c>
      <c r="AM932" s="57"/>
      <c r="AN932" s="89"/>
      <c r="AO932" s="280"/>
      <c r="AP932" s="784"/>
      <c r="AQ932" s="773" t="s">
        <v>271</v>
      </c>
      <c r="AR932" s="188">
        <v>100</v>
      </c>
      <c r="AS932" s="171"/>
      <c r="AT932" s="171" t="str">
        <f t="shared" si="83"/>
        <v>400</v>
      </c>
      <c r="AU932" s="255">
        <f t="shared" si="84"/>
        <v>22.222222222222221</v>
      </c>
      <c r="AV932" s="57"/>
      <c r="AW932" s="171">
        <v>1</v>
      </c>
      <c r="AX932" s="89"/>
      <c r="AY932" s="171">
        <v>20</v>
      </c>
      <c r="AZ932" s="89"/>
      <c r="BA932" s="175">
        <v>60</v>
      </c>
      <c r="BB932" s="259"/>
      <c r="BC932" s="176"/>
      <c r="BD932" s="179"/>
      <c r="BE932" s="179"/>
      <c r="BF932" s="178"/>
      <c r="BG932" s="25"/>
      <c r="BH932" s="25"/>
    </row>
    <row r="933" spans="1:60" ht="15" customHeight="1">
      <c r="A933" s="95">
        <v>932</v>
      </c>
      <c r="B933" s="98" t="s">
        <v>770</v>
      </c>
      <c r="C933" s="191" t="s">
        <v>2691</v>
      </c>
      <c r="D933" s="257" t="s">
        <v>549</v>
      </c>
      <c r="E933" s="459" t="s">
        <v>3377</v>
      </c>
      <c r="F933" s="171">
        <v>1999</v>
      </c>
      <c r="G933" s="171">
        <v>215</v>
      </c>
      <c r="H933" s="57"/>
      <c r="I933" s="173" t="s">
        <v>2564</v>
      </c>
      <c r="J933" s="212">
        <f t="shared" si="82"/>
        <v>0.29982363315696647</v>
      </c>
      <c r="K933" s="213">
        <v>2.8659611992945324</v>
      </c>
      <c r="L933" s="91"/>
      <c r="M933" s="278">
        <v>567</v>
      </c>
      <c r="N933" s="279"/>
      <c r="O933" s="172" t="s">
        <v>12</v>
      </c>
      <c r="P933" s="92"/>
      <c r="Q933" s="173" t="s">
        <v>10</v>
      </c>
      <c r="R933" s="94"/>
      <c r="S933" s="94"/>
      <c r="T933" s="171" t="s">
        <v>2306</v>
      </c>
      <c r="U933" s="171" t="s">
        <v>2530</v>
      </c>
      <c r="V933" s="102">
        <v>0</v>
      </c>
      <c r="W933" s="120">
        <v>0</v>
      </c>
      <c r="X933" s="120">
        <v>0</v>
      </c>
      <c r="Y933" s="120">
        <v>0</v>
      </c>
      <c r="Z933" s="120">
        <v>0</v>
      </c>
      <c r="AA933" s="17">
        <v>0</v>
      </c>
      <c r="AB933" s="17">
        <v>0</v>
      </c>
      <c r="AC933" s="17">
        <v>0</v>
      </c>
      <c r="AD933" s="17">
        <v>0</v>
      </c>
      <c r="AE933" s="17">
        <v>0</v>
      </c>
      <c r="AF933" s="17">
        <v>0</v>
      </c>
      <c r="AG933" s="17">
        <v>0</v>
      </c>
      <c r="AH933" s="17">
        <v>0</v>
      </c>
      <c r="AI933" s="17">
        <v>0</v>
      </c>
      <c r="AJ933" s="17">
        <v>0</v>
      </c>
      <c r="AK933" s="17">
        <v>0</v>
      </c>
      <c r="AL933" s="32">
        <v>0</v>
      </c>
      <c r="AM933" s="57"/>
      <c r="AN933" s="89"/>
      <c r="AO933" s="280"/>
      <c r="AP933" s="784"/>
      <c r="AQ933" s="773" t="s">
        <v>271</v>
      </c>
      <c r="AR933" s="188">
        <v>100</v>
      </c>
      <c r="AS933" s="171"/>
      <c r="AT933" s="171" t="str">
        <f t="shared" si="83"/>
        <v>400</v>
      </c>
      <c r="AU933" s="255">
        <f t="shared" si="84"/>
        <v>22.222222222222221</v>
      </c>
      <c r="AV933" s="57"/>
      <c r="AW933" s="171">
        <v>1</v>
      </c>
      <c r="AX933" s="89"/>
      <c r="AY933" s="171">
        <v>20</v>
      </c>
      <c r="AZ933" s="89"/>
      <c r="BA933" s="175">
        <v>60</v>
      </c>
      <c r="BB933" s="259"/>
      <c r="BC933" s="176"/>
      <c r="BD933" s="179"/>
      <c r="BE933" s="179"/>
      <c r="BF933" s="178"/>
      <c r="BG933" s="25"/>
      <c r="BH933" s="25"/>
    </row>
    <row r="934" spans="1:60" ht="15" customHeight="1">
      <c r="A934" s="95">
        <v>933</v>
      </c>
      <c r="B934" s="98" t="s">
        <v>769</v>
      </c>
      <c r="C934" s="191" t="s">
        <v>2691</v>
      </c>
      <c r="D934" s="257" t="s">
        <v>549</v>
      </c>
      <c r="E934" s="459" t="s">
        <v>3377</v>
      </c>
      <c r="F934" s="171">
        <v>1999</v>
      </c>
      <c r="G934" s="171">
        <v>215</v>
      </c>
      <c r="H934" s="57"/>
      <c r="I934" s="173" t="s">
        <v>2564</v>
      </c>
      <c r="J934" s="212">
        <f t="shared" si="82"/>
        <v>0.29982363315696647</v>
      </c>
      <c r="K934" s="213">
        <v>2.8659611992945324</v>
      </c>
      <c r="L934" s="91"/>
      <c r="M934" s="278">
        <v>567</v>
      </c>
      <c r="N934" s="279"/>
      <c r="O934" s="172" t="s">
        <v>12</v>
      </c>
      <c r="P934" s="92"/>
      <c r="Q934" s="173" t="s">
        <v>10</v>
      </c>
      <c r="R934" s="94"/>
      <c r="S934" s="94"/>
      <c r="T934" s="171" t="s">
        <v>2306</v>
      </c>
      <c r="U934" s="171" t="s">
        <v>2530</v>
      </c>
      <c r="V934" s="102">
        <v>0</v>
      </c>
      <c r="W934" s="120">
        <v>0</v>
      </c>
      <c r="X934" s="120">
        <v>0</v>
      </c>
      <c r="Y934" s="120">
        <v>0</v>
      </c>
      <c r="Z934" s="120">
        <v>0</v>
      </c>
      <c r="AA934" s="17">
        <v>0</v>
      </c>
      <c r="AB934" s="17">
        <v>0</v>
      </c>
      <c r="AC934" s="17">
        <v>0</v>
      </c>
      <c r="AD934" s="17">
        <v>0</v>
      </c>
      <c r="AE934" s="17">
        <v>0</v>
      </c>
      <c r="AF934" s="17">
        <v>0</v>
      </c>
      <c r="AG934" s="17">
        <v>0</v>
      </c>
      <c r="AH934" s="17">
        <v>0</v>
      </c>
      <c r="AI934" s="17">
        <v>0</v>
      </c>
      <c r="AJ934" s="17">
        <v>0</v>
      </c>
      <c r="AK934" s="17">
        <v>0</v>
      </c>
      <c r="AL934" s="32">
        <v>0</v>
      </c>
      <c r="AM934" s="57"/>
      <c r="AN934" s="89"/>
      <c r="AO934" s="280"/>
      <c r="AP934" s="784"/>
      <c r="AQ934" s="773" t="s">
        <v>271</v>
      </c>
      <c r="AR934" s="188">
        <v>100</v>
      </c>
      <c r="AS934" s="171"/>
      <c r="AT934" s="171" t="str">
        <f t="shared" si="83"/>
        <v>400</v>
      </c>
      <c r="AU934" s="255">
        <f t="shared" si="84"/>
        <v>22.222222222222221</v>
      </c>
      <c r="AV934" s="57"/>
      <c r="AW934" s="171">
        <v>1</v>
      </c>
      <c r="AX934" s="89"/>
      <c r="AY934" s="171">
        <v>20</v>
      </c>
      <c r="AZ934" s="89"/>
      <c r="BA934" s="175">
        <v>60</v>
      </c>
      <c r="BB934" s="259"/>
      <c r="BC934" s="176"/>
      <c r="BD934" s="179"/>
      <c r="BE934" s="179"/>
      <c r="BF934" s="178"/>
      <c r="BG934" s="25"/>
      <c r="BH934" s="25"/>
    </row>
    <row r="935" spans="1:60" ht="15" customHeight="1">
      <c r="A935" s="95">
        <v>934</v>
      </c>
      <c r="B935" s="98" t="s">
        <v>768</v>
      </c>
      <c r="C935" s="191" t="s">
        <v>2691</v>
      </c>
      <c r="D935" s="257" t="s">
        <v>549</v>
      </c>
      <c r="E935" s="459" t="s">
        <v>3377</v>
      </c>
      <c r="F935" s="171">
        <v>1999</v>
      </c>
      <c r="G935" s="171">
        <v>215</v>
      </c>
      <c r="H935" s="57"/>
      <c r="I935" s="173" t="s">
        <v>2564</v>
      </c>
      <c r="J935" s="212">
        <f t="shared" si="82"/>
        <v>0.29982363315696647</v>
      </c>
      <c r="K935" s="213">
        <v>2.8659611992945324</v>
      </c>
      <c r="L935" s="91"/>
      <c r="M935" s="278">
        <v>567</v>
      </c>
      <c r="N935" s="279"/>
      <c r="O935" s="172" t="s">
        <v>12</v>
      </c>
      <c r="P935" s="92"/>
      <c r="Q935" s="173" t="s">
        <v>10</v>
      </c>
      <c r="R935" s="94"/>
      <c r="S935" s="94"/>
      <c r="T935" s="171" t="s">
        <v>2306</v>
      </c>
      <c r="U935" s="171" t="s">
        <v>2530</v>
      </c>
      <c r="V935" s="102">
        <v>0</v>
      </c>
      <c r="W935" s="120">
        <v>0</v>
      </c>
      <c r="X935" s="120">
        <v>0</v>
      </c>
      <c r="Y935" s="120">
        <v>0</v>
      </c>
      <c r="Z935" s="120">
        <v>0</v>
      </c>
      <c r="AA935" s="17">
        <v>0</v>
      </c>
      <c r="AB935" s="17">
        <v>0</v>
      </c>
      <c r="AC935" s="17">
        <v>0</v>
      </c>
      <c r="AD935" s="17">
        <v>0</v>
      </c>
      <c r="AE935" s="17">
        <v>0</v>
      </c>
      <c r="AF935" s="17">
        <v>0</v>
      </c>
      <c r="AG935" s="17">
        <v>0</v>
      </c>
      <c r="AH935" s="17">
        <v>0</v>
      </c>
      <c r="AI935" s="17">
        <v>0</v>
      </c>
      <c r="AJ935" s="17">
        <v>0</v>
      </c>
      <c r="AK935" s="17">
        <v>0</v>
      </c>
      <c r="AL935" s="32">
        <v>0</v>
      </c>
      <c r="AM935" s="57"/>
      <c r="AN935" s="89"/>
      <c r="AO935" s="280"/>
      <c r="AP935" s="784"/>
      <c r="AQ935" s="773" t="s">
        <v>271</v>
      </c>
      <c r="AR935" s="188">
        <v>100</v>
      </c>
      <c r="AS935" s="171"/>
      <c r="AT935" s="171" t="str">
        <f t="shared" si="83"/>
        <v>400</v>
      </c>
      <c r="AU935" s="255">
        <f t="shared" si="84"/>
        <v>22.222222222222221</v>
      </c>
      <c r="AV935" s="57"/>
      <c r="AW935" s="171">
        <v>1</v>
      </c>
      <c r="AX935" s="89"/>
      <c r="AY935" s="171">
        <v>20</v>
      </c>
      <c r="AZ935" s="89"/>
      <c r="BA935" s="175">
        <v>60</v>
      </c>
      <c r="BB935" s="259"/>
      <c r="BC935" s="176"/>
      <c r="BD935" s="179"/>
      <c r="BE935" s="179"/>
      <c r="BF935" s="178"/>
      <c r="BG935" s="25"/>
      <c r="BH935" s="25"/>
    </row>
    <row r="936" spans="1:60" ht="15" customHeight="1">
      <c r="A936" s="95">
        <v>935</v>
      </c>
      <c r="B936" s="98" t="s">
        <v>767</v>
      </c>
      <c r="C936" s="191" t="s">
        <v>2691</v>
      </c>
      <c r="D936" s="257" t="s">
        <v>549</v>
      </c>
      <c r="E936" s="459" t="s">
        <v>3377</v>
      </c>
      <c r="F936" s="171">
        <v>1999</v>
      </c>
      <c r="G936" s="171">
        <v>215</v>
      </c>
      <c r="H936" s="57"/>
      <c r="I936" s="173" t="s">
        <v>2564</v>
      </c>
      <c r="J936" s="212">
        <f t="shared" si="82"/>
        <v>0.29982363315696647</v>
      </c>
      <c r="K936" s="213">
        <v>2.8659611992945324</v>
      </c>
      <c r="L936" s="91"/>
      <c r="M936" s="278">
        <v>567</v>
      </c>
      <c r="N936" s="279"/>
      <c r="O936" s="172" t="s">
        <v>12</v>
      </c>
      <c r="P936" s="92"/>
      <c r="Q936" s="173" t="s">
        <v>10</v>
      </c>
      <c r="R936" s="94"/>
      <c r="S936" s="94"/>
      <c r="T936" s="171" t="s">
        <v>2306</v>
      </c>
      <c r="U936" s="171" t="s">
        <v>2530</v>
      </c>
      <c r="V936" s="102">
        <v>0</v>
      </c>
      <c r="W936" s="120">
        <v>0</v>
      </c>
      <c r="X936" s="120">
        <v>0</v>
      </c>
      <c r="Y936" s="120">
        <v>0</v>
      </c>
      <c r="Z936" s="120">
        <v>0</v>
      </c>
      <c r="AA936" s="17">
        <v>0</v>
      </c>
      <c r="AB936" s="17">
        <v>0</v>
      </c>
      <c r="AC936" s="17">
        <v>0</v>
      </c>
      <c r="AD936" s="17">
        <v>0</v>
      </c>
      <c r="AE936" s="17">
        <v>0</v>
      </c>
      <c r="AF936" s="17">
        <v>0</v>
      </c>
      <c r="AG936" s="17">
        <v>0</v>
      </c>
      <c r="AH936" s="17">
        <v>0</v>
      </c>
      <c r="AI936" s="17">
        <v>0</v>
      </c>
      <c r="AJ936" s="17">
        <v>0</v>
      </c>
      <c r="AK936" s="17">
        <v>0</v>
      </c>
      <c r="AL936" s="32">
        <v>0</v>
      </c>
      <c r="AM936" s="57"/>
      <c r="AN936" s="89"/>
      <c r="AO936" s="280"/>
      <c r="AP936" s="784"/>
      <c r="AQ936" s="773" t="s">
        <v>271</v>
      </c>
      <c r="AR936" s="188">
        <v>100</v>
      </c>
      <c r="AS936" s="171"/>
      <c r="AT936" s="171" t="str">
        <f t="shared" si="83"/>
        <v>400</v>
      </c>
      <c r="AU936" s="255">
        <f t="shared" si="84"/>
        <v>22.222222222222221</v>
      </c>
      <c r="AV936" s="57"/>
      <c r="AW936" s="171">
        <v>1</v>
      </c>
      <c r="AX936" s="89"/>
      <c r="AY936" s="171">
        <v>20</v>
      </c>
      <c r="AZ936" s="89"/>
      <c r="BA936" s="175">
        <v>60</v>
      </c>
      <c r="BB936" s="259"/>
      <c r="BC936" s="176"/>
      <c r="BD936" s="179"/>
      <c r="BE936" s="179"/>
      <c r="BF936" s="178"/>
      <c r="BG936" s="25"/>
      <c r="BH936" s="25"/>
    </row>
    <row r="937" spans="1:60" ht="15" customHeight="1">
      <c r="A937" s="95">
        <v>936</v>
      </c>
      <c r="B937" s="98" t="s">
        <v>766</v>
      </c>
      <c r="C937" s="191" t="s">
        <v>2691</v>
      </c>
      <c r="D937" s="257" t="s">
        <v>549</v>
      </c>
      <c r="E937" s="459" t="s">
        <v>3377</v>
      </c>
      <c r="F937" s="171">
        <v>1999</v>
      </c>
      <c r="G937" s="171">
        <v>215</v>
      </c>
      <c r="H937" s="57"/>
      <c r="I937" s="173" t="s">
        <v>2564</v>
      </c>
      <c r="J937" s="212">
        <f t="shared" si="82"/>
        <v>0.29982363315696647</v>
      </c>
      <c r="K937" s="213">
        <v>2.8659611992945324</v>
      </c>
      <c r="L937" s="91"/>
      <c r="M937" s="278">
        <v>567</v>
      </c>
      <c r="N937" s="279"/>
      <c r="O937" s="172" t="s">
        <v>12</v>
      </c>
      <c r="P937" s="92"/>
      <c r="Q937" s="173" t="s">
        <v>10</v>
      </c>
      <c r="R937" s="94"/>
      <c r="S937" s="94"/>
      <c r="T937" s="171" t="s">
        <v>2306</v>
      </c>
      <c r="U937" s="171" t="s">
        <v>2530</v>
      </c>
      <c r="V937" s="102">
        <v>0</v>
      </c>
      <c r="W937" s="120">
        <v>0</v>
      </c>
      <c r="X937" s="120">
        <v>0</v>
      </c>
      <c r="Y937" s="120">
        <v>0</v>
      </c>
      <c r="Z937" s="120">
        <v>0</v>
      </c>
      <c r="AA937" s="17">
        <v>0</v>
      </c>
      <c r="AB937" s="17">
        <v>0</v>
      </c>
      <c r="AC937" s="17">
        <v>0</v>
      </c>
      <c r="AD937" s="17">
        <v>0</v>
      </c>
      <c r="AE937" s="17">
        <v>0</v>
      </c>
      <c r="AF937" s="17">
        <v>0</v>
      </c>
      <c r="AG937" s="17">
        <v>0</v>
      </c>
      <c r="AH937" s="17">
        <v>0</v>
      </c>
      <c r="AI937" s="17">
        <v>0</v>
      </c>
      <c r="AJ937" s="17">
        <v>0</v>
      </c>
      <c r="AK937" s="17">
        <v>0</v>
      </c>
      <c r="AL937" s="32">
        <v>0</v>
      </c>
      <c r="AM937" s="57"/>
      <c r="AN937" s="89"/>
      <c r="AO937" s="280"/>
      <c r="AP937" s="784"/>
      <c r="AQ937" s="773" t="s">
        <v>271</v>
      </c>
      <c r="AR937" s="188">
        <v>100</v>
      </c>
      <c r="AS937" s="171"/>
      <c r="AT937" s="171" t="str">
        <f t="shared" si="83"/>
        <v>400</v>
      </c>
      <c r="AU937" s="255">
        <f t="shared" si="84"/>
        <v>22.222222222222221</v>
      </c>
      <c r="AV937" s="57"/>
      <c r="AW937" s="171">
        <v>1</v>
      </c>
      <c r="AX937" s="89"/>
      <c r="AY937" s="171">
        <v>20</v>
      </c>
      <c r="AZ937" s="89"/>
      <c r="BA937" s="175">
        <v>60</v>
      </c>
      <c r="BB937" s="259"/>
      <c r="BC937" s="176"/>
      <c r="BD937" s="179"/>
      <c r="BE937" s="179"/>
      <c r="BF937" s="178"/>
      <c r="BG937" s="25"/>
      <c r="BH937" s="25"/>
    </row>
    <row r="938" spans="1:60" ht="15" customHeight="1">
      <c r="A938" s="95">
        <v>937</v>
      </c>
      <c r="B938" s="98" t="s">
        <v>765</v>
      </c>
      <c r="C938" s="191" t="s">
        <v>2691</v>
      </c>
      <c r="D938" s="257" t="s">
        <v>549</v>
      </c>
      <c r="E938" s="459" t="s">
        <v>3377</v>
      </c>
      <c r="F938" s="171">
        <v>1999</v>
      </c>
      <c r="G938" s="171">
        <v>215</v>
      </c>
      <c r="H938" s="57"/>
      <c r="I938" s="173" t="s">
        <v>2564</v>
      </c>
      <c r="J938" s="212">
        <f t="shared" si="82"/>
        <v>0.29982363315696647</v>
      </c>
      <c r="K938" s="213">
        <v>2.8659611992945324</v>
      </c>
      <c r="L938" s="91"/>
      <c r="M938" s="278">
        <v>567</v>
      </c>
      <c r="N938" s="279"/>
      <c r="O938" s="172" t="s">
        <v>12</v>
      </c>
      <c r="P938" s="92"/>
      <c r="Q938" s="173" t="s">
        <v>10</v>
      </c>
      <c r="R938" s="94"/>
      <c r="S938" s="94"/>
      <c r="T938" s="171" t="s">
        <v>2306</v>
      </c>
      <c r="U938" s="171" t="s">
        <v>2530</v>
      </c>
      <c r="V938" s="102">
        <v>0</v>
      </c>
      <c r="W938" s="120">
        <v>0</v>
      </c>
      <c r="X938" s="120">
        <v>0</v>
      </c>
      <c r="Y938" s="120">
        <v>0</v>
      </c>
      <c r="Z938" s="120">
        <v>0</v>
      </c>
      <c r="AA938" s="17">
        <v>0</v>
      </c>
      <c r="AB938" s="17">
        <v>0</v>
      </c>
      <c r="AC938" s="17">
        <v>0</v>
      </c>
      <c r="AD938" s="17">
        <v>0</v>
      </c>
      <c r="AE938" s="17">
        <v>0</v>
      </c>
      <c r="AF938" s="17">
        <v>0</v>
      </c>
      <c r="AG938" s="17">
        <v>0</v>
      </c>
      <c r="AH938" s="17">
        <v>0</v>
      </c>
      <c r="AI938" s="17">
        <v>0</v>
      </c>
      <c r="AJ938" s="17">
        <v>0</v>
      </c>
      <c r="AK938" s="17">
        <v>0</v>
      </c>
      <c r="AL938" s="32">
        <v>0</v>
      </c>
      <c r="AM938" s="57"/>
      <c r="AN938" s="89"/>
      <c r="AO938" s="280"/>
      <c r="AP938" s="784"/>
      <c r="AQ938" s="773" t="s">
        <v>271</v>
      </c>
      <c r="AR938" s="188">
        <v>100</v>
      </c>
      <c r="AS938" s="171"/>
      <c r="AT938" s="171" t="str">
        <f t="shared" si="83"/>
        <v>400</v>
      </c>
      <c r="AU938" s="255">
        <f t="shared" si="84"/>
        <v>22.222222222222221</v>
      </c>
      <c r="AV938" s="57"/>
      <c r="AW938" s="171">
        <v>1</v>
      </c>
      <c r="AX938" s="89"/>
      <c r="AY938" s="171">
        <v>20</v>
      </c>
      <c r="AZ938" s="89"/>
      <c r="BA938" s="175">
        <v>60</v>
      </c>
      <c r="BB938" s="259"/>
      <c r="BC938" s="176"/>
      <c r="BD938" s="179"/>
      <c r="BE938" s="179"/>
      <c r="BF938" s="178"/>
      <c r="BG938" s="25"/>
      <c r="BH938" s="25"/>
    </row>
    <row r="939" spans="1:60" ht="15" customHeight="1">
      <c r="A939" s="95">
        <v>938</v>
      </c>
      <c r="B939" s="98" t="s">
        <v>764</v>
      </c>
      <c r="C939" s="191" t="s">
        <v>2691</v>
      </c>
      <c r="D939" s="257" t="s">
        <v>549</v>
      </c>
      <c r="E939" s="459" t="s">
        <v>3377</v>
      </c>
      <c r="F939" s="171">
        <v>1999</v>
      </c>
      <c r="G939" s="171">
        <v>215</v>
      </c>
      <c r="H939" s="57"/>
      <c r="I939" s="173" t="s">
        <v>2564</v>
      </c>
      <c r="J939" s="212">
        <f t="shared" si="82"/>
        <v>0.29982363315696647</v>
      </c>
      <c r="K939" s="213">
        <v>2.8659611992945324</v>
      </c>
      <c r="L939" s="91"/>
      <c r="M939" s="278">
        <v>567</v>
      </c>
      <c r="N939" s="279"/>
      <c r="O939" s="172" t="s">
        <v>12</v>
      </c>
      <c r="P939" s="92"/>
      <c r="Q939" s="173" t="s">
        <v>10</v>
      </c>
      <c r="R939" s="94"/>
      <c r="S939" s="94"/>
      <c r="T939" s="171" t="s">
        <v>2306</v>
      </c>
      <c r="U939" s="171" t="s">
        <v>2530</v>
      </c>
      <c r="V939" s="102">
        <v>0</v>
      </c>
      <c r="W939" s="120">
        <v>0</v>
      </c>
      <c r="X939" s="120">
        <v>0</v>
      </c>
      <c r="Y939" s="120">
        <v>0</v>
      </c>
      <c r="Z939" s="120">
        <v>0</v>
      </c>
      <c r="AA939" s="17">
        <v>0</v>
      </c>
      <c r="AB939" s="17">
        <v>0</v>
      </c>
      <c r="AC939" s="17">
        <v>0</v>
      </c>
      <c r="AD939" s="17">
        <v>0</v>
      </c>
      <c r="AE939" s="17">
        <v>0</v>
      </c>
      <c r="AF939" s="17">
        <v>0</v>
      </c>
      <c r="AG939" s="17">
        <v>0</v>
      </c>
      <c r="AH939" s="17">
        <v>0</v>
      </c>
      <c r="AI939" s="17">
        <v>0</v>
      </c>
      <c r="AJ939" s="17">
        <v>0</v>
      </c>
      <c r="AK939" s="17">
        <v>0</v>
      </c>
      <c r="AL939" s="32">
        <v>0</v>
      </c>
      <c r="AM939" s="57"/>
      <c r="AN939" s="89"/>
      <c r="AO939" s="280"/>
      <c r="AP939" s="784"/>
      <c r="AQ939" s="773" t="s">
        <v>271</v>
      </c>
      <c r="AR939" s="188">
        <v>100</v>
      </c>
      <c r="AS939" s="171"/>
      <c r="AT939" s="171" t="str">
        <f t="shared" si="83"/>
        <v>400</v>
      </c>
      <c r="AU939" s="255">
        <f t="shared" si="84"/>
        <v>22.222222222222221</v>
      </c>
      <c r="AV939" s="57"/>
      <c r="AW939" s="171">
        <v>1</v>
      </c>
      <c r="AX939" s="89"/>
      <c r="AY939" s="171">
        <v>20</v>
      </c>
      <c r="AZ939" s="89"/>
      <c r="BA939" s="175">
        <v>60</v>
      </c>
      <c r="BB939" s="259"/>
      <c r="BC939" s="176"/>
      <c r="BD939" s="179"/>
      <c r="BE939" s="179"/>
      <c r="BF939" s="178"/>
      <c r="BG939" s="25"/>
      <c r="BH939" s="25"/>
    </row>
    <row r="940" spans="1:60" ht="15" customHeight="1">
      <c r="A940" s="95">
        <v>939</v>
      </c>
      <c r="B940" s="98" t="s">
        <v>763</v>
      </c>
      <c r="C940" s="191" t="s">
        <v>2691</v>
      </c>
      <c r="D940" s="257" t="s">
        <v>549</v>
      </c>
      <c r="E940" s="459" t="s">
        <v>3377</v>
      </c>
      <c r="F940" s="171">
        <v>1999</v>
      </c>
      <c r="G940" s="171">
        <v>215</v>
      </c>
      <c r="H940" s="57"/>
      <c r="I940" s="173" t="s">
        <v>2564</v>
      </c>
      <c r="J940" s="212">
        <f>170/397</f>
        <v>0.4282115869017632</v>
      </c>
      <c r="K940" s="213">
        <v>4.093198992443325</v>
      </c>
      <c r="L940" s="91"/>
      <c r="M940" s="278">
        <v>397</v>
      </c>
      <c r="N940" s="279"/>
      <c r="O940" s="172" t="s">
        <v>12</v>
      </c>
      <c r="P940" s="92"/>
      <c r="Q940" s="173" t="s">
        <v>10</v>
      </c>
      <c r="R940" s="94"/>
      <c r="S940" s="94"/>
      <c r="T940" s="171" t="s">
        <v>2306</v>
      </c>
      <c r="U940" s="171" t="s">
        <v>2530</v>
      </c>
      <c r="V940" s="102">
        <v>0</v>
      </c>
      <c r="W940" s="120">
        <v>0</v>
      </c>
      <c r="X940" s="120">
        <f>170/397*100</f>
        <v>42.821158690176318</v>
      </c>
      <c r="Y940" s="120">
        <v>0</v>
      </c>
      <c r="Z940" s="120">
        <v>0</v>
      </c>
      <c r="AA940" s="17">
        <v>0</v>
      </c>
      <c r="AB940" s="17">
        <v>0</v>
      </c>
      <c r="AC940" s="17">
        <v>0</v>
      </c>
      <c r="AD940" s="17">
        <v>0</v>
      </c>
      <c r="AE940" s="17">
        <v>0</v>
      </c>
      <c r="AF940" s="17">
        <v>0</v>
      </c>
      <c r="AG940" s="17">
        <v>0</v>
      </c>
      <c r="AH940" s="17">
        <v>0</v>
      </c>
      <c r="AI940" s="17">
        <v>0</v>
      </c>
      <c r="AJ940" s="17">
        <v>0</v>
      </c>
      <c r="AK940" s="17">
        <v>0</v>
      </c>
      <c r="AL940" s="32">
        <v>0</v>
      </c>
      <c r="AM940" s="57"/>
      <c r="AN940" s="89"/>
      <c r="AO940" s="280"/>
      <c r="AP940" s="784"/>
      <c r="AQ940" s="773" t="s">
        <v>271</v>
      </c>
      <c r="AR940" s="188">
        <v>100</v>
      </c>
      <c r="AS940" s="171"/>
      <c r="AT940" s="171" t="str">
        <f t="shared" si="83"/>
        <v>400</v>
      </c>
      <c r="AU940" s="255">
        <f t="shared" si="84"/>
        <v>22.222222222222221</v>
      </c>
      <c r="AV940" s="57"/>
      <c r="AW940" s="171">
        <v>1</v>
      </c>
      <c r="AX940" s="89"/>
      <c r="AY940" s="171">
        <v>20</v>
      </c>
      <c r="AZ940" s="89"/>
      <c r="BA940" s="175">
        <v>60</v>
      </c>
      <c r="BB940" s="259"/>
      <c r="BC940" s="176"/>
      <c r="BD940" s="179"/>
      <c r="BE940" s="179"/>
      <c r="BF940" s="178"/>
      <c r="BG940" s="25"/>
      <c r="BH940" s="25"/>
    </row>
    <row r="941" spans="1:60" ht="15" customHeight="1">
      <c r="A941" s="95">
        <v>940</v>
      </c>
      <c r="B941" s="98" t="s">
        <v>762</v>
      </c>
      <c r="C941" s="191" t="s">
        <v>2691</v>
      </c>
      <c r="D941" s="257" t="s">
        <v>549</v>
      </c>
      <c r="E941" s="459" t="s">
        <v>3377</v>
      </c>
      <c r="F941" s="171">
        <v>1999</v>
      </c>
      <c r="G941" s="171">
        <v>215</v>
      </c>
      <c r="H941" s="57"/>
      <c r="I941" s="173" t="s">
        <v>2564</v>
      </c>
      <c r="J941" s="212">
        <f>170/284</f>
        <v>0.59859154929577463</v>
      </c>
      <c r="K941" s="213">
        <v>5.721830985915493</v>
      </c>
      <c r="L941" s="91"/>
      <c r="M941" s="278">
        <v>284</v>
      </c>
      <c r="N941" s="279"/>
      <c r="O941" s="172" t="s">
        <v>12</v>
      </c>
      <c r="P941" s="92"/>
      <c r="Q941" s="173" t="s">
        <v>10</v>
      </c>
      <c r="R941" s="94"/>
      <c r="S941" s="94"/>
      <c r="T941" s="171" t="s">
        <v>2306</v>
      </c>
      <c r="U941" s="171" t="s">
        <v>2530</v>
      </c>
      <c r="V941" s="102">
        <v>0</v>
      </c>
      <c r="W941" s="120">
        <v>0</v>
      </c>
      <c r="X941" s="120">
        <f>284/284*100</f>
        <v>100</v>
      </c>
      <c r="Y941" s="120">
        <v>0</v>
      </c>
      <c r="Z941" s="120">
        <v>0</v>
      </c>
      <c r="AA941" s="17">
        <v>0</v>
      </c>
      <c r="AB941" s="17">
        <v>0</v>
      </c>
      <c r="AC941" s="17">
        <v>0</v>
      </c>
      <c r="AD941" s="17">
        <v>0</v>
      </c>
      <c r="AE941" s="17">
        <v>0</v>
      </c>
      <c r="AF941" s="17">
        <v>0</v>
      </c>
      <c r="AG941" s="17">
        <v>0</v>
      </c>
      <c r="AH941" s="17">
        <v>0</v>
      </c>
      <c r="AI941" s="17">
        <v>0</v>
      </c>
      <c r="AJ941" s="17">
        <v>0</v>
      </c>
      <c r="AK941" s="17">
        <v>0</v>
      </c>
      <c r="AL941" s="32">
        <v>0</v>
      </c>
      <c r="AM941" s="57"/>
      <c r="AN941" s="89"/>
      <c r="AO941" s="280"/>
      <c r="AP941" s="784"/>
      <c r="AQ941" s="773" t="s">
        <v>271</v>
      </c>
      <c r="AR941" s="188">
        <v>100</v>
      </c>
      <c r="AS941" s="171"/>
      <c r="AT941" s="171" t="str">
        <f t="shared" si="83"/>
        <v>400</v>
      </c>
      <c r="AU941" s="255">
        <f t="shared" si="84"/>
        <v>22.222222222222221</v>
      </c>
      <c r="AV941" s="57"/>
      <c r="AW941" s="171">
        <v>1</v>
      </c>
      <c r="AX941" s="89"/>
      <c r="AY941" s="171">
        <v>20</v>
      </c>
      <c r="AZ941" s="89"/>
      <c r="BA941" s="175">
        <v>60</v>
      </c>
      <c r="BB941" s="259"/>
      <c r="BC941" s="176"/>
      <c r="BD941" s="179"/>
      <c r="BE941" s="179"/>
      <c r="BF941" s="178"/>
      <c r="BG941" s="25"/>
      <c r="BH941" s="25"/>
    </row>
    <row r="942" spans="1:60" ht="15" customHeight="1">
      <c r="A942" s="95">
        <v>941</v>
      </c>
      <c r="B942" s="98" t="s">
        <v>761</v>
      </c>
      <c r="C942" s="191" t="s">
        <v>2691</v>
      </c>
      <c r="D942" s="257" t="s">
        <v>549</v>
      </c>
      <c r="E942" s="459" t="s">
        <v>3377</v>
      </c>
      <c r="F942" s="171">
        <v>1999</v>
      </c>
      <c r="G942" s="171">
        <v>215</v>
      </c>
      <c r="H942" s="57"/>
      <c r="I942" s="173" t="s">
        <v>2564</v>
      </c>
      <c r="J942" s="212">
        <f>170/170</f>
        <v>1</v>
      </c>
      <c r="K942" s="213">
        <v>9.5588235294117645</v>
      </c>
      <c r="L942" s="91"/>
      <c r="M942" s="278">
        <v>170</v>
      </c>
      <c r="N942" s="279"/>
      <c r="O942" s="172" t="s">
        <v>12</v>
      </c>
      <c r="P942" s="92"/>
      <c r="Q942" s="173" t="s">
        <v>10</v>
      </c>
      <c r="R942" s="94"/>
      <c r="S942" s="94"/>
      <c r="T942" s="171" t="s">
        <v>2306</v>
      </c>
      <c r="U942" s="171" t="s">
        <v>2530</v>
      </c>
      <c r="V942" s="102">
        <v>0</v>
      </c>
      <c r="W942" s="120">
        <v>0</v>
      </c>
      <c r="X942" s="120">
        <f>397/170*100</f>
        <v>233.52941176470588</v>
      </c>
      <c r="Y942" s="120">
        <v>0</v>
      </c>
      <c r="Z942" s="120">
        <v>0</v>
      </c>
      <c r="AA942" s="17">
        <v>0</v>
      </c>
      <c r="AB942" s="17">
        <v>0</v>
      </c>
      <c r="AC942" s="17">
        <v>0</v>
      </c>
      <c r="AD942" s="17">
        <v>0</v>
      </c>
      <c r="AE942" s="17">
        <v>0</v>
      </c>
      <c r="AF942" s="17">
        <v>0</v>
      </c>
      <c r="AG942" s="17">
        <v>0</v>
      </c>
      <c r="AH942" s="17">
        <v>0</v>
      </c>
      <c r="AI942" s="17">
        <v>0</v>
      </c>
      <c r="AJ942" s="17">
        <v>0</v>
      </c>
      <c r="AK942" s="17">
        <v>0</v>
      </c>
      <c r="AL942" s="32">
        <v>0</v>
      </c>
      <c r="AM942" s="57"/>
      <c r="AN942" s="89"/>
      <c r="AO942" s="280"/>
      <c r="AP942" s="784"/>
      <c r="AQ942" s="773" t="s">
        <v>271</v>
      </c>
      <c r="AR942" s="188">
        <v>100</v>
      </c>
      <c r="AS942" s="171"/>
      <c r="AT942" s="171" t="str">
        <f t="shared" si="83"/>
        <v>400</v>
      </c>
      <c r="AU942" s="255">
        <f t="shared" si="84"/>
        <v>22.222222222222221</v>
      </c>
      <c r="AV942" s="57"/>
      <c r="AW942" s="171">
        <v>1</v>
      </c>
      <c r="AX942" s="89"/>
      <c r="AY942" s="171">
        <v>20</v>
      </c>
      <c r="AZ942" s="89"/>
      <c r="BA942" s="175">
        <v>60</v>
      </c>
      <c r="BB942" s="259"/>
      <c r="BC942" s="176"/>
      <c r="BD942" s="179"/>
      <c r="BE942" s="179"/>
      <c r="BF942" s="178"/>
      <c r="BG942" s="25"/>
      <c r="BH942" s="25"/>
    </row>
    <row r="943" spans="1:60" ht="15" customHeight="1">
      <c r="A943" s="95">
        <v>942</v>
      </c>
      <c r="B943" s="98" t="s">
        <v>760</v>
      </c>
      <c r="C943" s="191" t="s">
        <v>2691</v>
      </c>
      <c r="D943" s="257" t="s">
        <v>549</v>
      </c>
      <c r="E943" s="459" t="s">
        <v>3377</v>
      </c>
      <c r="F943" s="171">
        <v>1999</v>
      </c>
      <c r="G943" s="171">
        <v>215</v>
      </c>
      <c r="H943" s="57"/>
      <c r="I943" s="173" t="s">
        <v>2564</v>
      </c>
      <c r="J943" s="212">
        <f>170/510</f>
        <v>0.33333333333333331</v>
      </c>
      <c r="K943" s="213">
        <v>3.1862745098039214</v>
      </c>
      <c r="L943" s="91"/>
      <c r="M943" s="278">
        <v>510</v>
      </c>
      <c r="N943" s="279"/>
      <c r="O943" s="172" t="s">
        <v>12</v>
      </c>
      <c r="P943" s="92"/>
      <c r="Q943" s="173" t="s">
        <v>10</v>
      </c>
      <c r="R943" s="94"/>
      <c r="S943" s="94"/>
      <c r="T943" s="171" t="s">
        <v>2306</v>
      </c>
      <c r="U943" s="171" t="s">
        <v>2530</v>
      </c>
      <c r="V943" s="102">
        <v>0</v>
      </c>
      <c r="W943" s="120">
        <f>57/510*100</f>
        <v>11.176470588235295</v>
      </c>
      <c r="X943" s="120">
        <v>0</v>
      </c>
      <c r="Y943" s="120">
        <v>0</v>
      </c>
      <c r="Z943" s="120">
        <v>0</v>
      </c>
      <c r="AA943" s="17">
        <v>0</v>
      </c>
      <c r="AB943" s="17">
        <v>0</v>
      </c>
      <c r="AC943" s="17">
        <v>0</v>
      </c>
      <c r="AD943" s="17">
        <v>0</v>
      </c>
      <c r="AE943" s="17">
        <v>0</v>
      </c>
      <c r="AF943" s="17">
        <v>0</v>
      </c>
      <c r="AG943" s="17">
        <v>0</v>
      </c>
      <c r="AH943" s="17">
        <v>0</v>
      </c>
      <c r="AI943" s="17">
        <v>0</v>
      </c>
      <c r="AJ943" s="17">
        <v>0</v>
      </c>
      <c r="AK943" s="17">
        <v>0</v>
      </c>
      <c r="AL943" s="32">
        <v>0</v>
      </c>
      <c r="AM943" s="57"/>
      <c r="AN943" s="89"/>
      <c r="AO943" s="280"/>
      <c r="AP943" s="784"/>
      <c r="AQ943" s="773" t="s">
        <v>271</v>
      </c>
      <c r="AR943" s="188">
        <v>100</v>
      </c>
      <c r="AS943" s="171"/>
      <c r="AT943" s="171" t="str">
        <f t="shared" si="83"/>
        <v>400</v>
      </c>
      <c r="AU943" s="255">
        <f t="shared" si="84"/>
        <v>22.222222222222221</v>
      </c>
      <c r="AV943" s="57"/>
      <c r="AW943" s="171">
        <v>1</v>
      </c>
      <c r="AX943" s="89"/>
      <c r="AY943" s="171">
        <v>20</v>
      </c>
      <c r="AZ943" s="89"/>
      <c r="BA943" s="175">
        <v>60</v>
      </c>
      <c r="BB943" s="259"/>
      <c r="BC943" s="176"/>
      <c r="BD943" s="179"/>
      <c r="BE943" s="179"/>
      <c r="BF943" s="178"/>
      <c r="BG943" s="25"/>
      <c r="BH943" s="25"/>
    </row>
    <row r="944" spans="1:60" ht="15" customHeight="1">
      <c r="A944" s="95">
        <v>943</v>
      </c>
      <c r="B944" s="98" t="s">
        <v>759</v>
      </c>
      <c r="C944" s="191" t="s">
        <v>2691</v>
      </c>
      <c r="D944" s="257" t="s">
        <v>549</v>
      </c>
      <c r="E944" s="459" t="s">
        <v>3377</v>
      </c>
      <c r="F944" s="171">
        <v>1999</v>
      </c>
      <c r="G944" s="171">
        <v>215</v>
      </c>
      <c r="H944" s="57"/>
      <c r="I944" s="173" t="s">
        <v>2564</v>
      </c>
      <c r="J944" s="212">
        <f>170/454</f>
        <v>0.37444933920704848</v>
      </c>
      <c r="K944" s="213">
        <v>3.5792951541850222</v>
      </c>
      <c r="L944" s="91"/>
      <c r="M944" s="278">
        <v>454</v>
      </c>
      <c r="N944" s="279"/>
      <c r="O944" s="172" t="s">
        <v>12</v>
      </c>
      <c r="P944" s="92"/>
      <c r="Q944" s="173" t="s">
        <v>10</v>
      </c>
      <c r="R944" s="94"/>
      <c r="S944" s="94"/>
      <c r="T944" s="171" t="s">
        <v>2306</v>
      </c>
      <c r="U944" s="171" t="s">
        <v>2530</v>
      </c>
      <c r="V944" s="102">
        <v>0</v>
      </c>
      <c r="W944" s="120">
        <f>113/454*100</f>
        <v>24.889867841409689</v>
      </c>
      <c r="X944" s="120">
        <v>0</v>
      </c>
      <c r="Y944" s="120">
        <v>0</v>
      </c>
      <c r="Z944" s="120">
        <v>0</v>
      </c>
      <c r="AA944" s="17">
        <v>0</v>
      </c>
      <c r="AB944" s="17">
        <v>0</v>
      </c>
      <c r="AC944" s="17">
        <v>0</v>
      </c>
      <c r="AD944" s="17">
        <v>0</v>
      </c>
      <c r="AE944" s="17">
        <v>0</v>
      </c>
      <c r="AF944" s="17">
        <v>0</v>
      </c>
      <c r="AG944" s="17">
        <v>0</v>
      </c>
      <c r="AH944" s="17">
        <v>0</v>
      </c>
      <c r="AI944" s="17">
        <v>0</v>
      </c>
      <c r="AJ944" s="17">
        <v>0</v>
      </c>
      <c r="AK944" s="17">
        <v>0</v>
      </c>
      <c r="AL944" s="32">
        <v>0</v>
      </c>
      <c r="AM944" s="57"/>
      <c r="AN944" s="89"/>
      <c r="AO944" s="280"/>
      <c r="AP944" s="784"/>
      <c r="AQ944" s="773" t="s">
        <v>271</v>
      </c>
      <c r="AR944" s="188">
        <v>100</v>
      </c>
      <c r="AS944" s="171"/>
      <c r="AT944" s="171" t="str">
        <f t="shared" si="83"/>
        <v>400</v>
      </c>
      <c r="AU944" s="255">
        <f t="shared" si="84"/>
        <v>22.222222222222221</v>
      </c>
      <c r="AV944" s="57"/>
      <c r="AW944" s="171">
        <v>1</v>
      </c>
      <c r="AX944" s="89"/>
      <c r="AY944" s="171">
        <v>20</v>
      </c>
      <c r="AZ944" s="89"/>
      <c r="BA944" s="175">
        <v>60</v>
      </c>
      <c r="BB944" s="259"/>
      <c r="BC944" s="176"/>
      <c r="BD944" s="179"/>
      <c r="BE944" s="179"/>
      <c r="BF944" s="178"/>
      <c r="BG944" s="25"/>
      <c r="BH944" s="25"/>
    </row>
    <row r="945" spans="1:60" ht="15" customHeight="1">
      <c r="A945" s="95">
        <v>944</v>
      </c>
      <c r="B945" s="98" t="s">
        <v>758</v>
      </c>
      <c r="C945" s="191" t="s">
        <v>2691</v>
      </c>
      <c r="D945" s="257" t="s">
        <v>549</v>
      </c>
      <c r="E945" s="459" t="s">
        <v>3377</v>
      </c>
      <c r="F945" s="171">
        <v>1999</v>
      </c>
      <c r="G945" s="171">
        <v>215</v>
      </c>
      <c r="H945" s="57"/>
      <c r="I945" s="173" t="s">
        <v>2564</v>
      </c>
      <c r="J945" s="212">
        <f>170/397</f>
        <v>0.4282115869017632</v>
      </c>
      <c r="K945" s="213">
        <v>4.093198992443325</v>
      </c>
      <c r="L945" s="91"/>
      <c r="M945" s="278">
        <v>397</v>
      </c>
      <c r="N945" s="279"/>
      <c r="O945" s="172" t="s">
        <v>12</v>
      </c>
      <c r="P945" s="92"/>
      <c r="Q945" s="173" t="s">
        <v>10</v>
      </c>
      <c r="R945" s="94"/>
      <c r="S945" s="94"/>
      <c r="T945" s="171" t="s">
        <v>2306</v>
      </c>
      <c r="U945" s="171" t="s">
        <v>2530</v>
      </c>
      <c r="V945" s="102">
        <v>0</v>
      </c>
      <c r="W945" s="120">
        <f>170/397*100</f>
        <v>42.821158690176318</v>
      </c>
      <c r="X945" s="120">
        <v>0</v>
      </c>
      <c r="Y945" s="120">
        <v>0</v>
      </c>
      <c r="Z945" s="120">
        <v>0</v>
      </c>
      <c r="AA945" s="17">
        <v>0</v>
      </c>
      <c r="AB945" s="17">
        <v>0</v>
      </c>
      <c r="AC945" s="17">
        <v>0</v>
      </c>
      <c r="AD945" s="17">
        <v>0</v>
      </c>
      <c r="AE945" s="17">
        <v>0</v>
      </c>
      <c r="AF945" s="17">
        <v>0</v>
      </c>
      <c r="AG945" s="17">
        <v>0</v>
      </c>
      <c r="AH945" s="17">
        <v>0</v>
      </c>
      <c r="AI945" s="17">
        <v>0</v>
      </c>
      <c r="AJ945" s="17">
        <v>0</v>
      </c>
      <c r="AK945" s="17">
        <v>0</v>
      </c>
      <c r="AL945" s="32">
        <v>0</v>
      </c>
      <c r="AM945" s="57"/>
      <c r="AN945" s="89"/>
      <c r="AO945" s="280"/>
      <c r="AP945" s="784"/>
      <c r="AQ945" s="773" t="s">
        <v>271</v>
      </c>
      <c r="AR945" s="188">
        <v>100</v>
      </c>
      <c r="AS945" s="171"/>
      <c r="AT945" s="171" t="str">
        <f t="shared" si="83"/>
        <v>400</v>
      </c>
      <c r="AU945" s="255">
        <f t="shared" si="84"/>
        <v>22.222222222222221</v>
      </c>
      <c r="AV945" s="57"/>
      <c r="AW945" s="171">
        <v>1</v>
      </c>
      <c r="AX945" s="89"/>
      <c r="AY945" s="171">
        <v>20</v>
      </c>
      <c r="AZ945" s="89"/>
      <c r="BA945" s="175">
        <v>60</v>
      </c>
      <c r="BB945" s="259"/>
      <c r="BC945" s="176"/>
      <c r="BD945" s="179"/>
      <c r="BE945" s="179"/>
      <c r="BF945" s="178"/>
      <c r="BG945" s="25"/>
      <c r="BH945" s="25"/>
    </row>
    <row r="946" spans="1:60" ht="15" customHeight="1">
      <c r="A946" s="95">
        <v>945</v>
      </c>
      <c r="B946" s="98" t="s">
        <v>757</v>
      </c>
      <c r="C946" s="191" t="s">
        <v>2691</v>
      </c>
      <c r="D946" s="257" t="s">
        <v>549</v>
      </c>
      <c r="E946" s="459" t="s">
        <v>3377</v>
      </c>
      <c r="F946" s="171">
        <v>1999</v>
      </c>
      <c r="G946" s="171">
        <v>215</v>
      </c>
      <c r="H946" s="57"/>
      <c r="I946" s="173" t="s">
        <v>2564</v>
      </c>
      <c r="J946" s="212">
        <f>170/539</f>
        <v>0.31539888682745826</v>
      </c>
      <c r="K946" s="213">
        <v>3.0148423005565861</v>
      </c>
      <c r="L946" s="91"/>
      <c r="M946" s="278">
        <v>539</v>
      </c>
      <c r="N946" s="279"/>
      <c r="O946" s="172" t="s">
        <v>12</v>
      </c>
      <c r="P946" s="92"/>
      <c r="Q946" s="173" t="s">
        <v>10</v>
      </c>
      <c r="R946" s="94"/>
      <c r="S946" s="94"/>
      <c r="T946" s="171" t="s">
        <v>2306</v>
      </c>
      <c r="U946" s="171" t="s">
        <v>2530</v>
      </c>
      <c r="V946" s="103">
        <f>28/539*100</f>
        <v>5.1948051948051948</v>
      </c>
      <c r="W946" s="120">
        <v>0</v>
      </c>
      <c r="X946" s="120">
        <v>0</v>
      </c>
      <c r="Y946" s="120">
        <v>0</v>
      </c>
      <c r="Z946" s="120">
        <v>0</v>
      </c>
      <c r="AA946" s="17">
        <v>0</v>
      </c>
      <c r="AB946" s="17">
        <v>0</v>
      </c>
      <c r="AC946" s="17">
        <v>0</v>
      </c>
      <c r="AD946" s="17">
        <v>0</v>
      </c>
      <c r="AE946" s="17">
        <v>0</v>
      </c>
      <c r="AF946" s="17">
        <v>0</v>
      </c>
      <c r="AG946" s="17">
        <v>0</v>
      </c>
      <c r="AH946" s="17">
        <v>0</v>
      </c>
      <c r="AI946" s="17">
        <v>0</v>
      </c>
      <c r="AJ946" s="17">
        <v>0</v>
      </c>
      <c r="AK946" s="17">
        <v>0</v>
      </c>
      <c r="AL946" s="32">
        <v>0</v>
      </c>
      <c r="AM946" s="57"/>
      <c r="AN946" s="89"/>
      <c r="AO946" s="280"/>
      <c r="AP946" s="784"/>
      <c r="AQ946" s="773" t="s">
        <v>271</v>
      </c>
      <c r="AR946" s="188">
        <v>100</v>
      </c>
      <c r="AS946" s="171"/>
      <c r="AT946" s="171" t="str">
        <f t="shared" si="83"/>
        <v>400</v>
      </c>
      <c r="AU946" s="255">
        <f t="shared" si="84"/>
        <v>22.222222222222221</v>
      </c>
      <c r="AV946" s="57"/>
      <c r="AW946" s="171">
        <v>1</v>
      </c>
      <c r="AX946" s="89"/>
      <c r="AY946" s="171">
        <v>20</v>
      </c>
      <c r="AZ946" s="89"/>
      <c r="BA946" s="175">
        <v>60</v>
      </c>
      <c r="BB946" s="259"/>
      <c r="BC946" s="176"/>
      <c r="BD946" s="179"/>
      <c r="BE946" s="179"/>
      <c r="BF946" s="178"/>
      <c r="BG946" s="25"/>
      <c r="BH946" s="25"/>
    </row>
    <row r="947" spans="1:60" ht="15" customHeight="1">
      <c r="A947" s="95">
        <v>946</v>
      </c>
      <c r="B947" s="98" t="s">
        <v>756</v>
      </c>
      <c r="C947" s="191" t="s">
        <v>2691</v>
      </c>
      <c r="D947" s="257" t="s">
        <v>549</v>
      </c>
      <c r="E947" s="459" t="s">
        <v>3377</v>
      </c>
      <c r="F947" s="171">
        <v>1999</v>
      </c>
      <c r="G947" s="171">
        <v>215</v>
      </c>
      <c r="H947" s="57"/>
      <c r="I947" s="173" t="s">
        <v>2564</v>
      </c>
      <c r="J947" s="212">
        <f>170/510</f>
        <v>0.33333333333333331</v>
      </c>
      <c r="K947" s="213">
        <v>3.1862745098039214</v>
      </c>
      <c r="L947" s="91"/>
      <c r="M947" s="278">
        <v>510</v>
      </c>
      <c r="N947" s="279"/>
      <c r="O947" s="172" t="s">
        <v>12</v>
      </c>
      <c r="P947" s="92"/>
      <c r="Q947" s="173" t="s">
        <v>10</v>
      </c>
      <c r="R947" s="94"/>
      <c r="S947" s="94"/>
      <c r="T947" s="171" t="s">
        <v>2306</v>
      </c>
      <c r="U947" s="171" t="s">
        <v>2530</v>
      </c>
      <c r="V947" s="103">
        <f>57/510*100</f>
        <v>11.176470588235295</v>
      </c>
      <c r="W947" s="120">
        <v>0</v>
      </c>
      <c r="X947" s="120">
        <v>0</v>
      </c>
      <c r="Y947" s="120">
        <v>0</v>
      </c>
      <c r="Z947" s="120">
        <v>0</v>
      </c>
      <c r="AA947" s="17">
        <v>0</v>
      </c>
      <c r="AB947" s="17">
        <v>0</v>
      </c>
      <c r="AC947" s="17">
        <v>0</v>
      </c>
      <c r="AD947" s="17">
        <v>0</v>
      </c>
      <c r="AE947" s="17">
        <v>0</v>
      </c>
      <c r="AF947" s="17">
        <v>0</v>
      </c>
      <c r="AG947" s="17">
        <v>0</v>
      </c>
      <c r="AH947" s="17">
        <v>0</v>
      </c>
      <c r="AI947" s="17">
        <v>0</v>
      </c>
      <c r="AJ947" s="17">
        <v>0</v>
      </c>
      <c r="AK947" s="17">
        <v>0</v>
      </c>
      <c r="AL947" s="32">
        <v>0</v>
      </c>
      <c r="AM947" s="57"/>
      <c r="AN947" s="89"/>
      <c r="AO947" s="280"/>
      <c r="AP947" s="784"/>
      <c r="AQ947" s="773" t="s">
        <v>271</v>
      </c>
      <c r="AR947" s="188">
        <v>100</v>
      </c>
      <c r="AS947" s="171"/>
      <c r="AT947" s="171" t="str">
        <f t="shared" si="83"/>
        <v>400</v>
      </c>
      <c r="AU947" s="255">
        <f t="shared" si="84"/>
        <v>22.222222222222221</v>
      </c>
      <c r="AV947" s="57"/>
      <c r="AW947" s="171">
        <v>1</v>
      </c>
      <c r="AX947" s="89"/>
      <c r="AY947" s="171">
        <v>20</v>
      </c>
      <c r="AZ947" s="89"/>
      <c r="BA947" s="175">
        <v>60</v>
      </c>
      <c r="BB947" s="259"/>
      <c r="BC947" s="176"/>
      <c r="BD947" s="179"/>
      <c r="BE947" s="179"/>
      <c r="BF947" s="178"/>
      <c r="BG947" s="25"/>
      <c r="BH947" s="25"/>
    </row>
    <row r="948" spans="1:60" ht="15" customHeight="1">
      <c r="A948" s="95">
        <v>947</v>
      </c>
      <c r="B948" s="98" t="s">
        <v>755</v>
      </c>
      <c r="C948" s="191" t="s">
        <v>2691</v>
      </c>
      <c r="D948" s="257" t="s">
        <v>549</v>
      </c>
      <c r="E948" s="459" t="s">
        <v>3377</v>
      </c>
      <c r="F948" s="171">
        <v>1999</v>
      </c>
      <c r="G948" s="171">
        <v>215</v>
      </c>
      <c r="H948" s="57"/>
      <c r="I948" s="173" t="s">
        <v>2564</v>
      </c>
      <c r="J948" s="212">
        <f>170/482</f>
        <v>0.35269709543568467</v>
      </c>
      <c r="K948" s="213">
        <v>3.3713692946058091</v>
      </c>
      <c r="L948" s="91"/>
      <c r="M948" s="278">
        <v>482</v>
      </c>
      <c r="N948" s="279"/>
      <c r="O948" s="172" t="s">
        <v>12</v>
      </c>
      <c r="P948" s="92"/>
      <c r="Q948" s="173" t="s">
        <v>10</v>
      </c>
      <c r="R948" s="507"/>
      <c r="S948" s="94"/>
      <c r="T948" s="171" t="s">
        <v>2306</v>
      </c>
      <c r="U948" s="171" t="s">
        <v>2530</v>
      </c>
      <c r="V948" s="103">
        <f>85/482*100</f>
        <v>17.634854771784234</v>
      </c>
      <c r="W948" s="120">
        <v>0</v>
      </c>
      <c r="X948" s="120">
        <v>0</v>
      </c>
      <c r="Y948" s="120">
        <v>0</v>
      </c>
      <c r="Z948" s="120">
        <v>0</v>
      </c>
      <c r="AA948" s="17">
        <v>0</v>
      </c>
      <c r="AB948" s="17">
        <v>0</v>
      </c>
      <c r="AC948" s="17">
        <v>0</v>
      </c>
      <c r="AD948" s="17">
        <v>0</v>
      </c>
      <c r="AE948" s="17">
        <v>0</v>
      </c>
      <c r="AF948" s="17">
        <v>0</v>
      </c>
      <c r="AG948" s="17">
        <v>0</v>
      </c>
      <c r="AH948" s="17">
        <v>0</v>
      </c>
      <c r="AI948" s="17">
        <v>0</v>
      </c>
      <c r="AJ948" s="17">
        <v>0</v>
      </c>
      <c r="AK948" s="17">
        <v>0</v>
      </c>
      <c r="AL948" s="32">
        <v>0</v>
      </c>
      <c r="AM948" s="57"/>
      <c r="AN948" s="89"/>
      <c r="AO948" s="280"/>
      <c r="AP948" s="784"/>
      <c r="AQ948" s="773" t="s">
        <v>271</v>
      </c>
      <c r="AR948" s="188">
        <v>100</v>
      </c>
      <c r="AS948" s="171"/>
      <c r="AT948" s="171" t="str">
        <f t="shared" si="83"/>
        <v>400</v>
      </c>
      <c r="AU948" s="255">
        <f t="shared" si="84"/>
        <v>22.222222222222221</v>
      </c>
      <c r="AV948" s="57"/>
      <c r="AW948" s="171">
        <v>1</v>
      </c>
      <c r="AX948" s="89"/>
      <c r="AY948" s="171">
        <v>20</v>
      </c>
      <c r="AZ948" s="89"/>
      <c r="BA948" s="175">
        <v>60</v>
      </c>
      <c r="BB948" s="259"/>
      <c r="BC948" s="176"/>
      <c r="BD948" s="179"/>
      <c r="BE948" s="179"/>
      <c r="BF948" s="178"/>
      <c r="BG948" s="25"/>
      <c r="BH948" s="25"/>
    </row>
    <row r="949" spans="1:60" ht="15" customHeight="1">
      <c r="A949" s="95">
        <v>948</v>
      </c>
      <c r="B949" s="98" t="s">
        <v>754</v>
      </c>
      <c r="C949" s="191" t="s">
        <v>2691</v>
      </c>
      <c r="D949" s="257" t="s">
        <v>549</v>
      </c>
      <c r="E949" s="459" t="s">
        <v>3377</v>
      </c>
      <c r="F949" s="171">
        <v>1999</v>
      </c>
      <c r="G949" s="171">
        <v>215</v>
      </c>
      <c r="H949" s="57"/>
      <c r="I949" s="173" t="s">
        <v>2564</v>
      </c>
      <c r="J949" s="212">
        <v>0.37</v>
      </c>
      <c r="K949" s="213">
        <v>3.5792951541850222</v>
      </c>
      <c r="L949" s="91"/>
      <c r="M949" s="278">
        <v>454</v>
      </c>
      <c r="N949" s="279"/>
      <c r="O949" s="172" t="s">
        <v>12</v>
      </c>
      <c r="P949" s="92"/>
      <c r="Q949" s="173" t="s">
        <v>10</v>
      </c>
      <c r="R949" s="507"/>
      <c r="S949" s="94"/>
      <c r="T949" s="171" t="s">
        <v>2306</v>
      </c>
      <c r="U949" s="171" t="s">
        <v>2530</v>
      </c>
      <c r="V949" s="103">
        <f>113/454*100</f>
        <v>24.889867841409689</v>
      </c>
      <c r="W949" s="120">
        <v>0</v>
      </c>
      <c r="X949" s="120">
        <v>0</v>
      </c>
      <c r="Y949" s="120">
        <v>0</v>
      </c>
      <c r="Z949" s="120">
        <v>0</v>
      </c>
      <c r="AA949" s="17">
        <v>0</v>
      </c>
      <c r="AB949" s="17">
        <v>0</v>
      </c>
      <c r="AC949" s="17">
        <v>0</v>
      </c>
      <c r="AD949" s="17">
        <v>0</v>
      </c>
      <c r="AE949" s="17">
        <v>0</v>
      </c>
      <c r="AF949" s="17">
        <v>0</v>
      </c>
      <c r="AG949" s="17">
        <v>0</v>
      </c>
      <c r="AH949" s="17">
        <v>0</v>
      </c>
      <c r="AI949" s="17">
        <v>0</v>
      </c>
      <c r="AJ949" s="17">
        <v>0</v>
      </c>
      <c r="AK949" s="17">
        <v>0</v>
      </c>
      <c r="AL949" s="32">
        <v>0</v>
      </c>
      <c r="AM949" s="57"/>
      <c r="AN949" s="89"/>
      <c r="AO949" s="280"/>
      <c r="AP949" s="784"/>
      <c r="AQ949" s="773" t="s">
        <v>271</v>
      </c>
      <c r="AR949" s="188">
        <v>100</v>
      </c>
      <c r="AS949" s="171"/>
      <c r="AT949" s="171" t="str">
        <f t="shared" si="83"/>
        <v>400</v>
      </c>
      <c r="AU949" s="255">
        <f t="shared" si="84"/>
        <v>22.222222222222221</v>
      </c>
      <c r="AV949" s="57"/>
      <c r="AW949" s="171">
        <v>1</v>
      </c>
      <c r="AX949" s="89"/>
      <c r="AY949" s="171">
        <v>20</v>
      </c>
      <c r="AZ949" s="89"/>
      <c r="BA949" s="175">
        <v>60</v>
      </c>
      <c r="BB949" s="259"/>
      <c r="BC949" s="176"/>
      <c r="BD949" s="179"/>
      <c r="BE949" s="179"/>
      <c r="BF949" s="178"/>
      <c r="BG949" s="25"/>
      <c r="BH949" s="25"/>
    </row>
    <row r="950" spans="1:60" ht="15" customHeight="1">
      <c r="A950" s="95">
        <v>949</v>
      </c>
      <c r="B950" s="98" t="s">
        <v>753</v>
      </c>
      <c r="C950" s="191" t="s">
        <v>2691</v>
      </c>
      <c r="D950" s="257" t="s">
        <v>549</v>
      </c>
      <c r="E950" s="459" t="s">
        <v>3377</v>
      </c>
      <c r="F950" s="171">
        <v>1999</v>
      </c>
      <c r="G950" s="171">
        <v>215</v>
      </c>
      <c r="H950" s="57"/>
      <c r="I950" s="173" t="s">
        <v>2564</v>
      </c>
      <c r="J950" s="212">
        <f>180/327</f>
        <v>0.55045871559633031</v>
      </c>
      <c r="K950" s="213">
        <v>5.4464831804281344</v>
      </c>
      <c r="L950" s="91"/>
      <c r="M950" s="278">
        <v>327</v>
      </c>
      <c r="N950" s="279"/>
      <c r="O950" s="172" t="s">
        <v>12</v>
      </c>
      <c r="P950" s="92"/>
      <c r="Q950" s="173" t="s">
        <v>10</v>
      </c>
      <c r="R950" s="94"/>
      <c r="S950" s="94"/>
      <c r="T950" s="171" t="s">
        <v>2306</v>
      </c>
      <c r="U950" s="171" t="s">
        <v>2530</v>
      </c>
      <c r="V950" s="102">
        <v>0</v>
      </c>
      <c r="W950" s="120">
        <v>0</v>
      </c>
      <c r="X950" s="120">
        <v>0</v>
      </c>
      <c r="Y950" s="120">
        <v>0</v>
      </c>
      <c r="Z950" s="120">
        <v>0</v>
      </c>
      <c r="AA950" s="17">
        <v>0</v>
      </c>
      <c r="AB950" s="17">
        <v>0</v>
      </c>
      <c r="AC950" s="17">
        <v>0</v>
      </c>
      <c r="AD950" s="17">
        <v>0</v>
      </c>
      <c r="AE950" s="17">
        <v>0</v>
      </c>
      <c r="AF950" s="17">
        <v>0</v>
      </c>
      <c r="AG950" s="17">
        <v>0</v>
      </c>
      <c r="AH950" s="17">
        <v>0</v>
      </c>
      <c r="AI950" s="17">
        <v>0</v>
      </c>
      <c r="AJ950" s="17">
        <v>0</v>
      </c>
      <c r="AK950" s="17">
        <v>0</v>
      </c>
      <c r="AL950" s="32">
        <v>0</v>
      </c>
      <c r="AM950" s="57"/>
      <c r="AN950" s="89"/>
      <c r="AO950" s="280"/>
      <c r="AP950" s="784"/>
      <c r="AQ950" s="773" t="s">
        <v>271</v>
      </c>
      <c r="AR950" s="188">
        <v>100</v>
      </c>
      <c r="AS950" s="171"/>
      <c r="AT950" s="171" t="str">
        <f t="shared" si="83"/>
        <v>400</v>
      </c>
      <c r="AU950" s="255">
        <f t="shared" si="84"/>
        <v>22.222222222222221</v>
      </c>
      <c r="AV950" s="57"/>
      <c r="AW950" s="171">
        <v>1</v>
      </c>
      <c r="AX950" s="89"/>
      <c r="AY950" s="171">
        <v>20</v>
      </c>
      <c r="AZ950" s="89"/>
      <c r="BA950" s="175">
        <v>60</v>
      </c>
      <c r="BB950" s="259"/>
      <c r="BC950" s="176"/>
      <c r="BD950" s="179"/>
      <c r="BE950" s="179"/>
      <c r="BF950" s="178"/>
      <c r="BG950" s="25"/>
      <c r="BH950" s="25"/>
    </row>
    <row r="951" spans="1:60" ht="15" customHeight="1">
      <c r="A951" s="95">
        <v>950</v>
      </c>
      <c r="B951" s="98" t="s">
        <v>752</v>
      </c>
      <c r="C951" s="191" t="s">
        <v>2691</v>
      </c>
      <c r="D951" s="257" t="s">
        <v>549</v>
      </c>
      <c r="E951" s="459" t="s">
        <v>3377</v>
      </c>
      <c r="F951" s="171">
        <v>1999</v>
      </c>
      <c r="G951" s="171">
        <v>215</v>
      </c>
      <c r="H951" s="57"/>
      <c r="I951" s="173" t="s">
        <v>2564</v>
      </c>
      <c r="J951" s="212">
        <f>180/229</f>
        <v>0.78602620087336239</v>
      </c>
      <c r="K951" s="213">
        <v>7.7772925764192138</v>
      </c>
      <c r="L951" s="91"/>
      <c r="M951" s="278">
        <v>229</v>
      </c>
      <c r="N951" s="279"/>
      <c r="O951" s="172" t="s">
        <v>12</v>
      </c>
      <c r="P951" s="92"/>
      <c r="Q951" s="173" t="s">
        <v>10</v>
      </c>
      <c r="R951" s="94"/>
      <c r="S951" s="94"/>
      <c r="T951" s="171" t="s">
        <v>2306</v>
      </c>
      <c r="U951" s="171" t="s">
        <v>2530</v>
      </c>
      <c r="V951" s="102">
        <v>0</v>
      </c>
      <c r="W951" s="120">
        <v>0</v>
      </c>
      <c r="X951" s="120">
        <f>98/229*100</f>
        <v>42.79475982532751</v>
      </c>
      <c r="Y951" s="120">
        <v>0</v>
      </c>
      <c r="Z951" s="120">
        <v>0</v>
      </c>
      <c r="AA951" s="17">
        <v>0</v>
      </c>
      <c r="AB951" s="17">
        <v>0</v>
      </c>
      <c r="AC951" s="17">
        <v>0</v>
      </c>
      <c r="AD951" s="17">
        <v>0</v>
      </c>
      <c r="AE951" s="17">
        <v>0</v>
      </c>
      <c r="AF951" s="17">
        <v>0</v>
      </c>
      <c r="AG951" s="17">
        <v>0</v>
      </c>
      <c r="AH951" s="17">
        <v>0</v>
      </c>
      <c r="AI951" s="17">
        <v>0</v>
      </c>
      <c r="AJ951" s="17">
        <v>0</v>
      </c>
      <c r="AK951" s="17">
        <v>0</v>
      </c>
      <c r="AL951" s="32">
        <v>0</v>
      </c>
      <c r="AM951" s="57"/>
      <c r="AN951" s="89"/>
      <c r="AO951" s="280"/>
      <c r="AP951" s="784"/>
      <c r="AQ951" s="773" t="s">
        <v>271</v>
      </c>
      <c r="AR951" s="188">
        <v>100</v>
      </c>
      <c r="AS951" s="171"/>
      <c r="AT951" s="171" t="str">
        <f t="shared" si="83"/>
        <v>400</v>
      </c>
      <c r="AU951" s="255">
        <f t="shared" si="84"/>
        <v>22.222222222222221</v>
      </c>
      <c r="AV951" s="57"/>
      <c r="AW951" s="171">
        <v>1</v>
      </c>
      <c r="AX951" s="89"/>
      <c r="AY951" s="171">
        <v>20</v>
      </c>
      <c r="AZ951" s="89"/>
      <c r="BA951" s="175">
        <v>60</v>
      </c>
      <c r="BB951" s="259"/>
      <c r="BC951" s="176"/>
      <c r="BD951" s="179"/>
      <c r="BE951" s="179"/>
      <c r="BF951" s="178"/>
      <c r="BG951" s="25"/>
      <c r="BH951" s="25"/>
    </row>
    <row r="952" spans="1:60" ht="15" customHeight="1">
      <c r="A952" s="95">
        <v>951</v>
      </c>
      <c r="B952" s="98" t="s">
        <v>751</v>
      </c>
      <c r="C952" s="191" t="s">
        <v>2691</v>
      </c>
      <c r="D952" s="257" t="s">
        <v>549</v>
      </c>
      <c r="E952" s="459" t="s">
        <v>3377</v>
      </c>
      <c r="F952" s="171">
        <v>1999</v>
      </c>
      <c r="G952" s="171">
        <v>215</v>
      </c>
      <c r="H952" s="57"/>
      <c r="I952" s="173" t="s">
        <v>2564</v>
      </c>
      <c r="J952" s="212">
        <f>180/164</f>
        <v>1.0975609756097562</v>
      </c>
      <c r="K952" s="213">
        <v>10.859756097560975</v>
      </c>
      <c r="L952" s="91"/>
      <c r="M952" s="278">
        <v>164</v>
      </c>
      <c r="N952" s="279"/>
      <c r="O952" s="172" t="s">
        <v>12</v>
      </c>
      <c r="P952" s="92"/>
      <c r="Q952" s="173" t="s">
        <v>10</v>
      </c>
      <c r="R952" s="507"/>
      <c r="S952" s="94"/>
      <c r="T952" s="171" t="s">
        <v>2306</v>
      </c>
      <c r="U952" s="171" t="s">
        <v>2530</v>
      </c>
      <c r="V952" s="102">
        <v>0</v>
      </c>
      <c r="W952" s="120">
        <v>0</v>
      </c>
      <c r="X952" s="120">
        <f>164/164*100</f>
        <v>100</v>
      </c>
      <c r="Y952" s="120">
        <v>0</v>
      </c>
      <c r="Z952" s="120">
        <v>0</v>
      </c>
      <c r="AA952" s="17">
        <v>0</v>
      </c>
      <c r="AB952" s="17">
        <v>0</v>
      </c>
      <c r="AC952" s="17">
        <v>0</v>
      </c>
      <c r="AD952" s="17">
        <v>0</v>
      </c>
      <c r="AE952" s="17">
        <v>0</v>
      </c>
      <c r="AF952" s="17">
        <v>0</v>
      </c>
      <c r="AG952" s="17">
        <v>0</v>
      </c>
      <c r="AH952" s="17">
        <v>0</v>
      </c>
      <c r="AI952" s="17">
        <v>0</v>
      </c>
      <c r="AJ952" s="17">
        <v>0</v>
      </c>
      <c r="AK952" s="17">
        <v>0</v>
      </c>
      <c r="AL952" s="32">
        <v>0</v>
      </c>
      <c r="AM952" s="57"/>
      <c r="AN952" s="89"/>
      <c r="AO952" s="280"/>
      <c r="AP952" s="784"/>
      <c r="AQ952" s="773" t="s">
        <v>271</v>
      </c>
      <c r="AR952" s="188">
        <v>100</v>
      </c>
      <c r="AS952" s="171"/>
      <c r="AT952" s="171" t="str">
        <f t="shared" si="83"/>
        <v>400</v>
      </c>
      <c r="AU952" s="255">
        <f t="shared" si="84"/>
        <v>22.222222222222221</v>
      </c>
      <c r="AV952" s="57"/>
      <c r="AW952" s="171">
        <v>1</v>
      </c>
      <c r="AX952" s="89"/>
      <c r="AY952" s="171">
        <v>20</v>
      </c>
      <c r="AZ952" s="89"/>
      <c r="BA952" s="175">
        <v>60</v>
      </c>
      <c r="BB952" s="259"/>
      <c r="BC952" s="176"/>
      <c r="BD952" s="179"/>
      <c r="BE952" s="179"/>
      <c r="BF952" s="178"/>
      <c r="BG952" s="25"/>
      <c r="BH952" s="25"/>
    </row>
    <row r="953" spans="1:60" ht="15" customHeight="1">
      <c r="A953" s="95">
        <v>952</v>
      </c>
      <c r="B953" s="98" t="s">
        <v>750</v>
      </c>
      <c r="C953" s="191" t="s">
        <v>2691</v>
      </c>
      <c r="D953" s="257" t="s">
        <v>549</v>
      </c>
      <c r="E953" s="459" t="s">
        <v>3377</v>
      </c>
      <c r="F953" s="171">
        <v>1999</v>
      </c>
      <c r="G953" s="171">
        <v>215</v>
      </c>
      <c r="H953" s="57"/>
      <c r="I953" s="173" t="s">
        <v>2564</v>
      </c>
      <c r="J953" s="212">
        <f>180/98</f>
        <v>1.8367346938775511</v>
      </c>
      <c r="K953" s="213">
        <v>18.173469387755102</v>
      </c>
      <c r="L953" s="91"/>
      <c r="M953" s="278">
        <v>98</v>
      </c>
      <c r="N953" s="279"/>
      <c r="O953" s="172" t="s">
        <v>12</v>
      </c>
      <c r="P953" s="92"/>
      <c r="Q953" s="173" t="s">
        <v>10</v>
      </c>
      <c r="R953" s="507"/>
      <c r="S953" s="94"/>
      <c r="T953" s="171" t="s">
        <v>2306</v>
      </c>
      <c r="U953" s="171" t="s">
        <v>2530</v>
      </c>
      <c r="V953" s="102">
        <v>0</v>
      </c>
      <c r="W953" s="120">
        <v>0</v>
      </c>
      <c r="X953" s="120">
        <f>229/98*100</f>
        <v>233.67346938775509</v>
      </c>
      <c r="Y953" s="120">
        <v>0</v>
      </c>
      <c r="Z953" s="120">
        <v>0</v>
      </c>
      <c r="AA953" s="17">
        <v>0</v>
      </c>
      <c r="AB953" s="17">
        <v>0</v>
      </c>
      <c r="AC953" s="17">
        <v>0</v>
      </c>
      <c r="AD953" s="17">
        <v>0</v>
      </c>
      <c r="AE953" s="17">
        <v>0</v>
      </c>
      <c r="AF953" s="17">
        <v>0</v>
      </c>
      <c r="AG953" s="17">
        <v>0</v>
      </c>
      <c r="AH953" s="17">
        <v>0</v>
      </c>
      <c r="AI953" s="17">
        <v>0</v>
      </c>
      <c r="AJ953" s="17">
        <v>0</v>
      </c>
      <c r="AK953" s="17">
        <v>0</v>
      </c>
      <c r="AL953" s="32">
        <v>0</v>
      </c>
      <c r="AM953" s="57"/>
      <c r="AN953" s="89"/>
      <c r="AO953" s="280"/>
      <c r="AP953" s="784"/>
      <c r="AQ953" s="773" t="s">
        <v>271</v>
      </c>
      <c r="AR953" s="188">
        <v>100</v>
      </c>
      <c r="AS953" s="171"/>
      <c r="AT953" s="171" t="str">
        <f t="shared" si="83"/>
        <v>400</v>
      </c>
      <c r="AU953" s="255">
        <f t="shared" si="84"/>
        <v>22.222222222222221</v>
      </c>
      <c r="AV953" s="57"/>
      <c r="AW953" s="171">
        <v>1</v>
      </c>
      <c r="AX953" s="89"/>
      <c r="AY953" s="171">
        <v>20</v>
      </c>
      <c r="AZ953" s="89"/>
      <c r="BA953" s="175">
        <v>60</v>
      </c>
      <c r="BB953" s="259"/>
      <c r="BC953" s="176"/>
      <c r="BD953" s="179"/>
      <c r="BE953" s="179"/>
      <c r="BF953" s="178"/>
      <c r="BG953" s="25"/>
      <c r="BH953" s="25"/>
    </row>
    <row r="954" spans="1:60" ht="15" customHeight="1">
      <c r="A954" s="95">
        <v>953</v>
      </c>
      <c r="B954" s="98" t="s">
        <v>749</v>
      </c>
      <c r="C954" s="191" t="s">
        <v>2691</v>
      </c>
      <c r="D954" s="257" t="s">
        <v>549</v>
      </c>
      <c r="E954" s="459" t="s">
        <v>3377</v>
      </c>
      <c r="F954" s="171">
        <v>1999</v>
      </c>
      <c r="G954" s="171">
        <v>215</v>
      </c>
      <c r="H954" s="57"/>
      <c r="I954" s="173" t="s">
        <v>2564</v>
      </c>
      <c r="J954" s="212">
        <f>180/294</f>
        <v>0.61224489795918369</v>
      </c>
      <c r="K954" s="213">
        <v>6.0578231292517009</v>
      </c>
      <c r="L954" s="91"/>
      <c r="M954" s="278">
        <v>294</v>
      </c>
      <c r="N954" s="279"/>
      <c r="O954" s="172" t="s">
        <v>12</v>
      </c>
      <c r="P954" s="92"/>
      <c r="Q954" s="173" t="s">
        <v>10</v>
      </c>
      <c r="R954" s="507"/>
      <c r="S954" s="94"/>
      <c r="T954" s="171" t="s">
        <v>2306</v>
      </c>
      <c r="U954" s="171" t="s">
        <v>2530</v>
      </c>
      <c r="V954" s="102">
        <v>0</v>
      </c>
      <c r="W954" s="120">
        <f>33/294*100</f>
        <v>11.224489795918368</v>
      </c>
      <c r="X954" s="120">
        <v>0</v>
      </c>
      <c r="Y954" s="120">
        <v>0</v>
      </c>
      <c r="Z954" s="120">
        <v>0</v>
      </c>
      <c r="AA954" s="17">
        <v>0</v>
      </c>
      <c r="AB954" s="17">
        <v>0</v>
      </c>
      <c r="AC954" s="17">
        <v>0</v>
      </c>
      <c r="AD954" s="17">
        <v>0</v>
      </c>
      <c r="AE954" s="17">
        <v>0</v>
      </c>
      <c r="AF954" s="17">
        <v>0</v>
      </c>
      <c r="AG954" s="17">
        <v>0</v>
      </c>
      <c r="AH954" s="17">
        <v>0</v>
      </c>
      <c r="AI954" s="17">
        <v>0</v>
      </c>
      <c r="AJ954" s="17">
        <v>0</v>
      </c>
      <c r="AK954" s="17">
        <v>0</v>
      </c>
      <c r="AL954" s="32">
        <v>0</v>
      </c>
      <c r="AM954" s="57"/>
      <c r="AN954" s="89"/>
      <c r="AO954" s="280"/>
      <c r="AP954" s="784"/>
      <c r="AQ954" s="773" t="s">
        <v>271</v>
      </c>
      <c r="AR954" s="188">
        <v>100</v>
      </c>
      <c r="AS954" s="171"/>
      <c r="AT954" s="171" t="str">
        <f t="shared" si="83"/>
        <v>400</v>
      </c>
      <c r="AU954" s="255">
        <f t="shared" si="84"/>
        <v>22.222222222222221</v>
      </c>
      <c r="AV954" s="57"/>
      <c r="AW954" s="171">
        <v>1</v>
      </c>
      <c r="AX954" s="89"/>
      <c r="AY954" s="171">
        <v>20</v>
      </c>
      <c r="AZ954" s="89"/>
      <c r="BA954" s="175">
        <v>60</v>
      </c>
      <c r="BB954" s="259"/>
      <c r="BC954" s="176"/>
      <c r="BD954" s="176"/>
      <c r="BE954" s="176"/>
      <c r="BF954" s="190"/>
      <c r="BG954" s="25"/>
      <c r="BH954" s="25"/>
    </row>
    <row r="955" spans="1:60" ht="15" customHeight="1">
      <c r="A955" s="95">
        <v>954</v>
      </c>
      <c r="B955" s="98" t="s">
        <v>748</v>
      </c>
      <c r="C955" s="191" t="s">
        <v>2691</v>
      </c>
      <c r="D955" s="257" t="s">
        <v>549</v>
      </c>
      <c r="E955" s="459" t="s">
        <v>3377</v>
      </c>
      <c r="F955" s="171">
        <v>1999</v>
      </c>
      <c r="G955" s="171">
        <v>215</v>
      </c>
      <c r="H955" s="57"/>
      <c r="I955" s="173" t="s">
        <v>2564</v>
      </c>
      <c r="J955" s="212">
        <f>180/262</f>
        <v>0.68702290076335881</v>
      </c>
      <c r="K955" s="213">
        <v>6.7977099236641223</v>
      </c>
      <c r="L955" s="91"/>
      <c r="M955" s="278">
        <v>262</v>
      </c>
      <c r="N955" s="279"/>
      <c r="O955" s="172" t="s">
        <v>12</v>
      </c>
      <c r="P955" s="92"/>
      <c r="Q955" s="173" t="s">
        <v>10</v>
      </c>
      <c r="R955" s="507"/>
      <c r="S955" s="94"/>
      <c r="T955" s="171" t="s">
        <v>2306</v>
      </c>
      <c r="U955" s="171" t="s">
        <v>2530</v>
      </c>
      <c r="V955" s="102">
        <v>0</v>
      </c>
      <c r="W955" s="120">
        <f>65/262*100</f>
        <v>24.809160305343511</v>
      </c>
      <c r="X955" s="120">
        <v>0</v>
      </c>
      <c r="Y955" s="120">
        <v>0</v>
      </c>
      <c r="Z955" s="120">
        <v>0</v>
      </c>
      <c r="AA955" s="17">
        <v>0</v>
      </c>
      <c r="AB955" s="17">
        <v>0</v>
      </c>
      <c r="AC955" s="17">
        <v>0</v>
      </c>
      <c r="AD955" s="17">
        <v>0</v>
      </c>
      <c r="AE955" s="17">
        <v>0</v>
      </c>
      <c r="AF955" s="17">
        <v>0</v>
      </c>
      <c r="AG955" s="17">
        <v>0</v>
      </c>
      <c r="AH955" s="17">
        <v>0</v>
      </c>
      <c r="AI955" s="17">
        <v>0</v>
      </c>
      <c r="AJ955" s="17">
        <v>0</v>
      </c>
      <c r="AK955" s="17">
        <v>0</v>
      </c>
      <c r="AL955" s="32">
        <v>0</v>
      </c>
      <c r="AM955" s="57"/>
      <c r="AN955" s="89"/>
      <c r="AO955" s="280"/>
      <c r="AP955" s="784"/>
      <c r="AQ955" s="773" t="s">
        <v>271</v>
      </c>
      <c r="AR955" s="188">
        <v>100</v>
      </c>
      <c r="AS955" s="171"/>
      <c r="AT955" s="171" t="str">
        <f t="shared" si="83"/>
        <v>400</v>
      </c>
      <c r="AU955" s="255">
        <f t="shared" si="84"/>
        <v>22.222222222222221</v>
      </c>
      <c r="AV955" s="57"/>
      <c r="AW955" s="171">
        <v>1</v>
      </c>
      <c r="AX955" s="89"/>
      <c r="AY955" s="171">
        <v>20</v>
      </c>
      <c r="AZ955" s="89"/>
      <c r="BA955" s="175">
        <v>60</v>
      </c>
      <c r="BB955" s="259"/>
      <c r="BC955" s="176"/>
      <c r="BD955" s="179"/>
      <c r="BE955" s="179"/>
      <c r="BF955" s="178"/>
      <c r="BG955" s="25"/>
      <c r="BH955" s="25"/>
    </row>
    <row r="956" spans="1:60" ht="15" customHeight="1">
      <c r="A956" s="95">
        <v>955</v>
      </c>
      <c r="B956" s="98" t="s">
        <v>747</v>
      </c>
      <c r="C956" s="191" t="s">
        <v>2691</v>
      </c>
      <c r="D956" s="257" t="s">
        <v>549</v>
      </c>
      <c r="E956" s="459" t="s">
        <v>3377</v>
      </c>
      <c r="F956" s="171">
        <v>1999</v>
      </c>
      <c r="G956" s="171">
        <v>215</v>
      </c>
      <c r="H956" s="57"/>
      <c r="I956" s="173" t="s">
        <v>2564</v>
      </c>
      <c r="J956" s="212">
        <f>180/229</f>
        <v>0.78602620087336239</v>
      </c>
      <c r="K956" s="213">
        <v>7.7772925764192138</v>
      </c>
      <c r="L956" s="91"/>
      <c r="M956" s="278">
        <v>229</v>
      </c>
      <c r="N956" s="279"/>
      <c r="O956" s="172" t="s">
        <v>12</v>
      </c>
      <c r="P956" s="92"/>
      <c r="Q956" s="173" t="s">
        <v>10</v>
      </c>
      <c r="R956" s="507"/>
      <c r="S956" s="94"/>
      <c r="T956" s="171" t="s">
        <v>2306</v>
      </c>
      <c r="U956" s="171" t="s">
        <v>2530</v>
      </c>
      <c r="V956" s="102">
        <v>0</v>
      </c>
      <c r="W956" s="120">
        <f>98/229*100</f>
        <v>42.79475982532751</v>
      </c>
      <c r="X956" s="120">
        <v>0</v>
      </c>
      <c r="Y956" s="120">
        <v>0</v>
      </c>
      <c r="Z956" s="120">
        <v>0</v>
      </c>
      <c r="AA956" s="17">
        <v>0</v>
      </c>
      <c r="AB956" s="17">
        <v>0</v>
      </c>
      <c r="AC956" s="17">
        <v>0</v>
      </c>
      <c r="AD956" s="17">
        <v>0</v>
      </c>
      <c r="AE956" s="17">
        <v>0</v>
      </c>
      <c r="AF956" s="17">
        <v>0</v>
      </c>
      <c r="AG956" s="17">
        <v>0</v>
      </c>
      <c r="AH956" s="17">
        <v>0</v>
      </c>
      <c r="AI956" s="17">
        <v>0</v>
      </c>
      <c r="AJ956" s="17">
        <v>0</v>
      </c>
      <c r="AK956" s="17">
        <v>0</v>
      </c>
      <c r="AL956" s="32">
        <v>0</v>
      </c>
      <c r="AM956" s="57"/>
      <c r="AN956" s="89"/>
      <c r="AO956" s="280"/>
      <c r="AP956" s="784"/>
      <c r="AQ956" s="773" t="s">
        <v>271</v>
      </c>
      <c r="AR956" s="188">
        <v>100</v>
      </c>
      <c r="AS956" s="171"/>
      <c r="AT956" s="171" t="str">
        <f t="shared" si="83"/>
        <v>400</v>
      </c>
      <c r="AU956" s="255">
        <f t="shared" si="84"/>
        <v>22.222222222222221</v>
      </c>
      <c r="AV956" s="57"/>
      <c r="AW956" s="171">
        <v>1</v>
      </c>
      <c r="AX956" s="89"/>
      <c r="AY956" s="171">
        <v>20</v>
      </c>
      <c r="AZ956" s="89"/>
      <c r="BA956" s="175">
        <v>60</v>
      </c>
      <c r="BB956" s="259"/>
      <c r="BC956" s="176"/>
      <c r="BD956" s="179"/>
      <c r="BE956" s="179"/>
      <c r="BF956" s="178"/>
      <c r="BG956" s="25"/>
      <c r="BH956" s="25"/>
    </row>
    <row r="957" spans="1:60" ht="15" customHeight="1">
      <c r="A957" s="95">
        <v>956</v>
      </c>
      <c r="B957" s="98" t="s">
        <v>746</v>
      </c>
      <c r="C957" s="191" t="s">
        <v>2691</v>
      </c>
      <c r="D957" s="257" t="s">
        <v>549</v>
      </c>
      <c r="E957" s="459" t="s">
        <v>3377</v>
      </c>
      <c r="F957" s="171">
        <v>1999</v>
      </c>
      <c r="G957" s="171">
        <v>215</v>
      </c>
      <c r="H957" s="57"/>
      <c r="I957" s="173" t="s">
        <v>2564</v>
      </c>
      <c r="J957" s="212">
        <f>180/311</f>
        <v>0.5787781350482315</v>
      </c>
      <c r="K957" s="213">
        <v>5.726688102893891</v>
      </c>
      <c r="L957" s="91"/>
      <c r="M957" s="278">
        <v>311</v>
      </c>
      <c r="N957" s="279"/>
      <c r="O957" s="172" t="s">
        <v>12</v>
      </c>
      <c r="P957" s="92"/>
      <c r="Q957" s="173" t="s">
        <v>10</v>
      </c>
      <c r="R957" s="507"/>
      <c r="S957" s="94"/>
      <c r="T957" s="171" t="s">
        <v>2306</v>
      </c>
      <c r="U957" s="171" t="s">
        <v>2530</v>
      </c>
      <c r="V957" s="103">
        <f>16/311*100</f>
        <v>5.144694533762058</v>
      </c>
      <c r="W957" s="120">
        <v>0</v>
      </c>
      <c r="X957" s="120">
        <v>0</v>
      </c>
      <c r="Y957" s="120">
        <v>0</v>
      </c>
      <c r="Z957" s="120">
        <v>0</v>
      </c>
      <c r="AA957" s="17">
        <v>0</v>
      </c>
      <c r="AB957" s="17">
        <v>0</v>
      </c>
      <c r="AC957" s="17">
        <v>0</v>
      </c>
      <c r="AD957" s="17">
        <v>0</v>
      </c>
      <c r="AE957" s="17">
        <v>0</v>
      </c>
      <c r="AF957" s="17">
        <v>0</v>
      </c>
      <c r="AG957" s="17">
        <v>0</v>
      </c>
      <c r="AH957" s="17">
        <v>0</v>
      </c>
      <c r="AI957" s="17">
        <v>0</v>
      </c>
      <c r="AJ957" s="17">
        <v>0</v>
      </c>
      <c r="AK957" s="17">
        <v>0</v>
      </c>
      <c r="AL957" s="32">
        <v>0</v>
      </c>
      <c r="AM957" s="57"/>
      <c r="AN957" s="89"/>
      <c r="AO957" s="280"/>
      <c r="AP957" s="784"/>
      <c r="AQ957" s="773" t="s">
        <v>271</v>
      </c>
      <c r="AR957" s="188">
        <v>100</v>
      </c>
      <c r="AS957" s="171"/>
      <c r="AT957" s="171" t="str">
        <f t="shared" si="83"/>
        <v>400</v>
      </c>
      <c r="AU957" s="255">
        <f t="shared" si="84"/>
        <v>22.222222222222221</v>
      </c>
      <c r="AV957" s="57"/>
      <c r="AW957" s="171">
        <v>1</v>
      </c>
      <c r="AX957" s="89"/>
      <c r="AY957" s="171">
        <v>20</v>
      </c>
      <c r="AZ957" s="89"/>
      <c r="BA957" s="175">
        <v>60</v>
      </c>
      <c r="BB957" s="259"/>
      <c r="BC957" s="176"/>
      <c r="BD957" s="179"/>
      <c r="BE957" s="179"/>
      <c r="BF957" s="178"/>
      <c r="BG957" s="25"/>
      <c r="BH957" s="25"/>
    </row>
    <row r="958" spans="1:60" ht="15" customHeight="1">
      <c r="A958" s="95">
        <v>957</v>
      </c>
      <c r="B958" s="98" t="s">
        <v>745</v>
      </c>
      <c r="C958" s="191" t="s">
        <v>2691</v>
      </c>
      <c r="D958" s="257" t="s">
        <v>549</v>
      </c>
      <c r="E958" s="459" t="s">
        <v>3377</v>
      </c>
      <c r="F958" s="171">
        <v>1999</v>
      </c>
      <c r="G958" s="171">
        <v>215</v>
      </c>
      <c r="H958" s="57"/>
      <c r="I958" s="173" t="s">
        <v>2564</v>
      </c>
      <c r="J958" s="212">
        <f>180/294</f>
        <v>0.61224489795918369</v>
      </c>
      <c r="K958" s="213">
        <v>6.0578231292517009</v>
      </c>
      <c r="L958" s="91"/>
      <c r="M958" s="278">
        <v>294</v>
      </c>
      <c r="N958" s="279"/>
      <c r="O958" s="172" t="s">
        <v>12</v>
      </c>
      <c r="P958" s="92"/>
      <c r="Q958" s="173" t="s">
        <v>10</v>
      </c>
      <c r="R958" s="507"/>
      <c r="S958" s="94"/>
      <c r="T958" s="171" t="s">
        <v>2306</v>
      </c>
      <c r="U958" s="171" t="s">
        <v>2530</v>
      </c>
      <c r="V958" s="103">
        <f>33/294*100</f>
        <v>11.224489795918368</v>
      </c>
      <c r="W958" s="120">
        <v>0</v>
      </c>
      <c r="X958" s="120">
        <v>0</v>
      </c>
      <c r="Y958" s="120">
        <v>0</v>
      </c>
      <c r="Z958" s="120">
        <v>0</v>
      </c>
      <c r="AA958" s="17">
        <v>0</v>
      </c>
      <c r="AB958" s="17">
        <v>0</v>
      </c>
      <c r="AC958" s="17">
        <v>0</v>
      </c>
      <c r="AD958" s="17">
        <v>0</v>
      </c>
      <c r="AE958" s="17">
        <v>0</v>
      </c>
      <c r="AF958" s="17">
        <v>0</v>
      </c>
      <c r="AG958" s="17">
        <v>0</v>
      </c>
      <c r="AH958" s="17">
        <v>0</v>
      </c>
      <c r="AI958" s="17">
        <v>0</v>
      </c>
      <c r="AJ958" s="17">
        <v>0</v>
      </c>
      <c r="AK958" s="17">
        <v>0</v>
      </c>
      <c r="AL958" s="32">
        <v>0</v>
      </c>
      <c r="AM958" s="57"/>
      <c r="AN958" s="89"/>
      <c r="AO958" s="280"/>
      <c r="AP958" s="784"/>
      <c r="AQ958" s="773" t="s">
        <v>271</v>
      </c>
      <c r="AR958" s="188">
        <v>100</v>
      </c>
      <c r="AS958" s="171"/>
      <c r="AT958" s="171" t="str">
        <f t="shared" si="83"/>
        <v>400</v>
      </c>
      <c r="AU958" s="255">
        <f t="shared" si="84"/>
        <v>22.222222222222221</v>
      </c>
      <c r="AV958" s="57"/>
      <c r="AW958" s="171">
        <v>1</v>
      </c>
      <c r="AX958" s="89"/>
      <c r="AY958" s="171">
        <v>20</v>
      </c>
      <c r="AZ958" s="89"/>
      <c r="BA958" s="175">
        <v>60</v>
      </c>
      <c r="BB958" s="259"/>
      <c r="BC958" s="176"/>
      <c r="BD958" s="179"/>
      <c r="BE958" s="179"/>
      <c r="BF958" s="178"/>
      <c r="BG958" s="25"/>
      <c r="BH958" s="25"/>
    </row>
    <row r="959" spans="1:60" ht="15" customHeight="1">
      <c r="A959" s="95">
        <v>958</v>
      </c>
      <c r="B959" s="98" t="s">
        <v>744</v>
      </c>
      <c r="C959" s="191" t="s">
        <v>2691</v>
      </c>
      <c r="D959" s="257" t="s">
        <v>549</v>
      </c>
      <c r="E959" s="459" t="s">
        <v>3377</v>
      </c>
      <c r="F959" s="171">
        <v>1999</v>
      </c>
      <c r="G959" s="171">
        <v>215</v>
      </c>
      <c r="H959" s="57"/>
      <c r="I959" s="173" t="s">
        <v>2564</v>
      </c>
      <c r="J959" s="212">
        <f>180/278</f>
        <v>0.64748201438848918</v>
      </c>
      <c r="K959" s="213">
        <v>6.4064748201438846</v>
      </c>
      <c r="L959" s="91"/>
      <c r="M959" s="278">
        <v>278</v>
      </c>
      <c r="N959" s="279"/>
      <c r="O959" s="172" t="s">
        <v>12</v>
      </c>
      <c r="P959" s="92"/>
      <c r="Q959" s="173" t="s">
        <v>10</v>
      </c>
      <c r="R959" s="507"/>
      <c r="S959" s="94"/>
      <c r="T959" s="171" t="s">
        <v>2306</v>
      </c>
      <c r="U959" s="171" t="s">
        <v>2530</v>
      </c>
      <c r="V959" s="103">
        <f>49/278*100</f>
        <v>17.625899280575538</v>
      </c>
      <c r="W959" s="120">
        <v>0</v>
      </c>
      <c r="X959" s="120">
        <v>0</v>
      </c>
      <c r="Y959" s="120">
        <v>0</v>
      </c>
      <c r="Z959" s="120">
        <v>0</v>
      </c>
      <c r="AA959" s="17">
        <v>0</v>
      </c>
      <c r="AB959" s="17">
        <v>0</v>
      </c>
      <c r="AC959" s="17">
        <v>0</v>
      </c>
      <c r="AD959" s="17">
        <v>0</v>
      </c>
      <c r="AE959" s="17">
        <v>0</v>
      </c>
      <c r="AF959" s="17">
        <v>0</v>
      </c>
      <c r="AG959" s="17">
        <v>0</v>
      </c>
      <c r="AH959" s="17">
        <v>0</v>
      </c>
      <c r="AI959" s="17">
        <v>0</v>
      </c>
      <c r="AJ959" s="17">
        <v>0</v>
      </c>
      <c r="AK959" s="17">
        <v>0</v>
      </c>
      <c r="AL959" s="32">
        <v>0</v>
      </c>
      <c r="AM959" s="57"/>
      <c r="AN959" s="89"/>
      <c r="AO959" s="280"/>
      <c r="AP959" s="784"/>
      <c r="AQ959" s="773" t="s">
        <v>271</v>
      </c>
      <c r="AR959" s="188">
        <v>100</v>
      </c>
      <c r="AS959" s="171"/>
      <c r="AT959" s="171" t="str">
        <f t="shared" si="83"/>
        <v>400</v>
      </c>
      <c r="AU959" s="255">
        <f t="shared" si="84"/>
        <v>22.222222222222221</v>
      </c>
      <c r="AV959" s="57"/>
      <c r="AW959" s="171">
        <v>1</v>
      </c>
      <c r="AX959" s="89"/>
      <c r="AY959" s="171">
        <v>20</v>
      </c>
      <c r="AZ959" s="89"/>
      <c r="BA959" s="175">
        <v>60</v>
      </c>
      <c r="BB959" s="259"/>
      <c r="BC959" s="176"/>
      <c r="BD959" s="179"/>
      <c r="BE959" s="179"/>
      <c r="BF959" s="178"/>
      <c r="BG959" s="25"/>
      <c r="BH959" s="25"/>
    </row>
    <row r="960" spans="1:60" ht="15" customHeight="1">
      <c r="A960" s="95">
        <v>959</v>
      </c>
      <c r="B960" s="98" t="s">
        <v>743</v>
      </c>
      <c r="C960" s="191" t="s">
        <v>2691</v>
      </c>
      <c r="D960" s="257" t="s">
        <v>549</v>
      </c>
      <c r="E960" s="459" t="s">
        <v>3377</v>
      </c>
      <c r="F960" s="171">
        <v>1999</v>
      </c>
      <c r="G960" s="171">
        <v>215</v>
      </c>
      <c r="H960" s="57"/>
      <c r="I960" s="173" t="s">
        <v>2564</v>
      </c>
      <c r="J960" s="212">
        <f>180/262</f>
        <v>0.68702290076335881</v>
      </c>
      <c r="K960" s="213">
        <v>6.7977099236641223</v>
      </c>
      <c r="L960" s="91"/>
      <c r="M960" s="278">
        <v>262</v>
      </c>
      <c r="N960" s="279"/>
      <c r="O960" s="172" t="s">
        <v>12</v>
      </c>
      <c r="P960" s="92"/>
      <c r="Q960" s="173" t="s">
        <v>10</v>
      </c>
      <c r="R960" s="507"/>
      <c r="S960" s="94"/>
      <c r="T960" s="171" t="s">
        <v>2306</v>
      </c>
      <c r="U960" s="171" t="s">
        <v>2530</v>
      </c>
      <c r="V960" s="103">
        <f>65/262*100</f>
        <v>24.809160305343511</v>
      </c>
      <c r="W960" s="120">
        <v>0</v>
      </c>
      <c r="X960" s="120">
        <v>0</v>
      </c>
      <c r="Y960" s="120">
        <v>0</v>
      </c>
      <c r="Z960" s="120">
        <v>0</v>
      </c>
      <c r="AA960" s="17">
        <v>0</v>
      </c>
      <c r="AB960" s="17">
        <v>0</v>
      </c>
      <c r="AC960" s="17">
        <v>0</v>
      </c>
      <c r="AD960" s="17">
        <v>0</v>
      </c>
      <c r="AE960" s="17">
        <v>0</v>
      </c>
      <c r="AF960" s="17">
        <v>0</v>
      </c>
      <c r="AG960" s="17">
        <v>0</v>
      </c>
      <c r="AH960" s="17">
        <v>0</v>
      </c>
      <c r="AI960" s="17">
        <v>0</v>
      </c>
      <c r="AJ960" s="17">
        <v>0</v>
      </c>
      <c r="AK960" s="17">
        <v>0</v>
      </c>
      <c r="AL960" s="32">
        <v>0</v>
      </c>
      <c r="AM960" s="57"/>
      <c r="AN960" s="89"/>
      <c r="AO960" s="280"/>
      <c r="AP960" s="784"/>
      <c r="AQ960" s="773" t="s">
        <v>271</v>
      </c>
      <c r="AR960" s="188">
        <v>100</v>
      </c>
      <c r="AS960" s="171"/>
      <c r="AT960" s="171" t="str">
        <f t="shared" si="83"/>
        <v>400</v>
      </c>
      <c r="AU960" s="255">
        <f t="shared" si="84"/>
        <v>22.222222222222221</v>
      </c>
      <c r="AV960" s="57"/>
      <c r="AW960" s="171">
        <v>1</v>
      </c>
      <c r="AX960" s="89"/>
      <c r="AY960" s="171">
        <v>20</v>
      </c>
      <c r="AZ960" s="89"/>
      <c r="BA960" s="175">
        <v>60</v>
      </c>
      <c r="BB960" s="259"/>
      <c r="BC960" s="176"/>
      <c r="BD960" s="179"/>
      <c r="BE960" s="179"/>
      <c r="BF960" s="178"/>
      <c r="BG960" s="25"/>
      <c r="BH960" s="25"/>
    </row>
    <row r="961" spans="1:60" ht="15" customHeight="1">
      <c r="A961" s="95">
        <v>960</v>
      </c>
      <c r="B961" s="98" t="s">
        <v>742</v>
      </c>
      <c r="C961" s="191" t="s">
        <v>2692</v>
      </c>
      <c r="D961" s="257" t="s">
        <v>549</v>
      </c>
      <c r="E961" s="459" t="s">
        <v>3377</v>
      </c>
      <c r="F961" s="171">
        <v>1999</v>
      </c>
      <c r="G961" s="171">
        <v>216</v>
      </c>
      <c r="H961" s="57"/>
      <c r="I961" s="173" t="s">
        <v>2564</v>
      </c>
      <c r="J961" s="212">
        <f t="shared" ref="J961:J970" si="85">170/567</f>
        <v>0.29982363315696647</v>
      </c>
      <c r="K961" s="213">
        <v>2.8659611992945324</v>
      </c>
      <c r="L961" s="91"/>
      <c r="M961" s="278">
        <v>567</v>
      </c>
      <c r="N961" s="279"/>
      <c r="O961" s="172" t="s">
        <v>12</v>
      </c>
      <c r="P961" s="92"/>
      <c r="Q961" s="173" t="s">
        <v>10</v>
      </c>
      <c r="R961" s="507"/>
      <c r="S961" s="94"/>
      <c r="T961" s="171" t="s">
        <v>2306</v>
      </c>
      <c r="U961" s="171" t="s">
        <v>2530</v>
      </c>
      <c r="V961" s="102">
        <v>0</v>
      </c>
      <c r="W961" s="120">
        <v>0</v>
      </c>
      <c r="X961" s="120">
        <v>0</v>
      </c>
      <c r="Y961" s="120">
        <v>0</v>
      </c>
      <c r="Z961" s="120">
        <v>0</v>
      </c>
      <c r="AA961" s="17">
        <v>0</v>
      </c>
      <c r="AB961" s="17">
        <v>0</v>
      </c>
      <c r="AC961" s="17">
        <v>0</v>
      </c>
      <c r="AD961" s="17">
        <v>0</v>
      </c>
      <c r="AE961" s="17">
        <v>0</v>
      </c>
      <c r="AF961" s="17">
        <v>0</v>
      </c>
      <c r="AG961" s="17">
        <v>0</v>
      </c>
      <c r="AH961" s="17">
        <v>0</v>
      </c>
      <c r="AI961" s="17">
        <v>0</v>
      </c>
      <c r="AJ961" s="17">
        <v>0</v>
      </c>
      <c r="AK961" s="17">
        <v>0</v>
      </c>
      <c r="AL961" s="32">
        <v>0</v>
      </c>
      <c r="AM961" s="57"/>
      <c r="AN961" s="89"/>
      <c r="AO961" s="280"/>
      <c r="AP961" s="784"/>
      <c r="AQ961" s="773" t="s">
        <v>271</v>
      </c>
      <c r="AR961" s="188">
        <v>100</v>
      </c>
      <c r="AS961" s="171"/>
      <c r="AT961" s="171" t="str">
        <f t="shared" si="83"/>
        <v>400</v>
      </c>
      <c r="AU961" s="255">
        <f t="shared" si="84"/>
        <v>22.222222222222221</v>
      </c>
      <c r="AV961" s="57"/>
      <c r="AW961" s="171">
        <v>1</v>
      </c>
      <c r="AX961" s="89"/>
      <c r="AY961" s="171">
        <v>20</v>
      </c>
      <c r="AZ961" s="89"/>
      <c r="BA961" s="175">
        <v>60</v>
      </c>
      <c r="BB961" s="259"/>
      <c r="BC961" s="176"/>
      <c r="BD961" s="179"/>
      <c r="BE961" s="179"/>
      <c r="BF961" s="178"/>
      <c r="BG961" s="25"/>
      <c r="BH961" s="25"/>
    </row>
    <row r="962" spans="1:60" ht="15" customHeight="1">
      <c r="A962" s="95">
        <v>961</v>
      </c>
      <c r="B962" s="98" t="s">
        <v>741</v>
      </c>
      <c r="C962" s="191" t="s">
        <v>2692</v>
      </c>
      <c r="D962" s="257" t="s">
        <v>549</v>
      </c>
      <c r="E962" s="459" t="s">
        <v>3377</v>
      </c>
      <c r="F962" s="171">
        <v>1999</v>
      </c>
      <c r="G962" s="171">
        <v>216</v>
      </c>
      <c r="H962" s="57"/>
      <c r="I962" s="173" t="s">
        <v>2564</v>
      </c>
      <c r="J962" s="212">
        <f t="shared" si="85"/>
        <v>0.29982363315696647</v>
      </c>
      <c r="K962" s="213">
        <v>2.871252204585538</v>
      </c>
      <c r="L962" s="91"/>
      <c r="M962" s="278">
        <v>567</v>
      </c>
      <c r="N962" s="279"/>
      <c r="O962" s="172" t="s">
        <v>12</v>
      </c>
      <c r="P962" s="92"/>
      <c r="Q962" s="173" t="s">
        <v>10</v>
      </c>
      <c r="R962" s="507"/>
      <c r="S962" s="94"/>
      <c r="T962" s="171" t="s">
        <v>2306</v>
      </c>
      <c r="U962" s="171" t="s">
        <v>2530</v>
      </c>
      <c r="V962" s="102">
        <v>0</v>
      </c>
      <c r="W962" s="120">
        <v>0</v>
      </c>
      <c r="X962" s="120" t="s">
        <v>2559</v>
      </c>
      <c r="Y962" s="120">
        <v>0</v>
      </c>
      <c r="Z962" s="120">
        <v>0</v>
      </c>
      <c r="AA962" s="17">
        <v>0</v>
      </c>
      <c r="AB962" s="17">
        <v>0</v>
      </c>
      <c r="AC962" s="17">
        <v>0</v>
      </c>
      <c r="AD962" s="17">
        <v>0</v>
      </c>
      <c r="AE962" s="17">
        <v>0</v>
      </c>
      <c r="AF962" s="17">
        <v>0</v>
      </c>
      <c r="AG962" s="17">
        <v>0</v>
      </c>
      <c r="AH962" s="17">
        <v>0</v>
      </c>
      <c r="AI962" s="17">
        <v>0</v>
      </c>
      <c r="AJ962" s="17">
        <v>0</v>
      </c>
      <c r="AK962" s="17">
        <v>0</v>
      </c>
      <c r="AL962" s="32">
        <v>0</v>
      </c>
      <c r="AM962" s="57"/>
      <c r="AN962" s="89"/>
      <c r="AO962" s="280"/>
      <c r="AP962" s="784"/>
      <c r="AQ962" s="773" t="s">
        <v>271</v>
      </c>
      <c r="AR962" s="188">
        <v>100</v>
      </c>
      <c r="AS962" s="171"/>
      <c r="AT962" s="171" t="str">
        <f t="shared" si="83"/>
        <v>400</v>
      </c>
      <c r="AU962" s="255">
        <f t="shared" si="84"/>
        <v>22.222222222222221</v>
      </c>
      <c r="AV962" s="57"/>
      <c r="AW962" s="171">
        <v>1</v>
      </c>
      <c r="AX962" s="89"/>
      <c r="AY962" s="171">
        <v>20</v>
      </c>
      <c r="AZ962" s="89"/>
      <c r="BA962" s="175">
        <v>60</v>
      </c>
      <c r="BB962" s="259"/>
      <c r="BC962" s="176"/>
      <c r="BD962" s="179"/>
      <c r="BE962" s="179"/>
      <c r="BF962" s="178"/>
      <c r="BG962" s="25"/>
      <c r="BH962" s="25"/>
    </row>
    <row r="963" spans="1:60" ht="15" customHeight="1">
      <c r="A963" s="95">
        <v>962</v>
      </c>
      <c r="B963" s="98" t="s">
        <v>740</v>
      </c>
      <c r="C963" s="191" t="s">
        <v>2692</v>
      </c>
      <c r="D963" s="257" t="s">
        <v>549</v>
      </c>
      <c r="E963" s="459" t="s">
        <v>3377</v>
      </c>
      <c r="F963" s="171">
        <v>1999</v>
      </c>
      <c r="G963" s="171">
        <v>216</v>
      </c>
      <c r="H963" s="57"/>
      <c r="I963" s="173" t="s">
        <v>2564</v>
      </c>
      <c r="J963" s="212">
        <f t="shared" si="85"/>
        <v>0.29982363315696647</v>
      </c>
      <c r="K963" s="213">
        <v>2.8765432098765431</v>
      </c>
      <c r="L963" s="91"/>
      <c r="M963" s="278">
        <v>567</v>
      </c>
      <c r="N963" s="279"/>
      <c r="O963" s="172" t="s">
        <v>12</v>
      </c>
      <c r="P963" s="92"/>
      <c r="Q963" s="173" t="s">
        <v>10</v>
      </c>
      <c r="R963" s="507"/>
      <c r="S963" s="94"/>
      <c r="T963" s="171" t="s">
        <v>2306</v>
      </c>
      <c r="U963" s="171" t="s">
        <v>2530</v>
      </c>
      <c r="V963" s="102">
        <v>0</v>
      </c>
      <c r="W963" s="120">
        <v>0</v>
      </c>
      <c r="X963" s="120" t="s">
        <v>2559</v>
      </c>
      <c r="Y963" s="120">
        <v>0</v>
      </c>
      <c r="Z963" s="120">
        <v>0</v>
      </c>
      <c r="AA963" s="17">
        <v>0</v>
      </c>
      <c r="AB963" s="17">
        <v>0</v>
      </c>
      <c r="AC963" s="17">
        <v>0</v>
      </c>
      <c r="AD963" s="17">
        <v>0</v>
      </c>
      <c r="AE963" s="17">
        <v>0</v>
      </c>
      <c r="AF963" s="17">
        <v>0</v>
      </c>
      <c r="AG963" s="17">
        <v>0</v>
      </c>
      <c r="AH963" s="17">
        <v>0</v>
      </c>
      <c r="AI963" s="17">
        <v>0</v>
      </c>
      <c r="AJ963" s="17">
        <v>0</v>
      </c>
      <c r="AK963" s="17">
        <v>0</v>
      </c>
      <c r="AL963" s="32">
        <v>0</v>
      </c>
      <c r="AM963" s="57"/>
      <c r="AN963" s="89"/>
      <c r="AO963" s="280"/>
      <c r="AP963" s="784"/>
      <c r="AQ963" s="773" t="s">
        <v>271</v>
      </c>
      <c r="AR963" s="188">
        <v>100</v>
      </c>
      <c r="AS963" s="171"/>
      <c r="AT963" s="171" t="str">
        <f t="shared" si="83"/>
        <v>400</v>
      </c>
      <c r="AU963" s="255">
        <f t="shared" si="84"/>
        <v>22.222222222222221</v>
      </c>
      <c r="AV963" s="57"/>
      <c r="AW963" s="171">
        <v>1</v>
      </c>
      <c r="AX963" s="89"/>
      <c r="AY963" s="171">
        <v>20</v>
      </c>
      <c r="AZ963" s="89"/>
      <c r="BA963" s="175">
        <v>60</v>
      </c>
      <c r="BB963" s="259"/>
      <c r="BC963" s="176"/>
      <c r="BD963" s="179"/>
      <c r="BE963" s="179"/>
      <c r="BF963" s="178"/>
      <c r="BG963" s="25"/>
      <c r="BH963" s="25"/>
    </row>
    <row r="964" spans="1:60" ht="15" customHeight="1">
      <c r="A964" s="95">
        <v>963</v>
      </c>
      <c r="B964" s="98" t="s">
        <v>739</v>
      </c>
      <c r="C964" s="191" t="s">
        <v>2692</v>
      </c>
      <c r="D964" s="257" t="s">
        <v>549</v>
      </c>
      <c r="E964" s="459" t="s">
        <v>3377</v>
      </c>
      <c r="F964" s="171">
        <v>1999</v>
      </c>
      <c r="G964" s="171">
        <v>216</v>
      </c>
      <c r="H964" s="57"/>
      <c r="I964" s="173" t="s">
        <v>2564</v>
      </c>
      <c r="J964" s="212">
        <f t="shared" si="85"/>
        <v>0.29982363315696647</v>
      </c>
      <c r="K964" s="213">
        <v>2.8853615520282188</v>
      </c>
      <c r="L964" s="91"/>
      <c r="M964" s="278">
        <v>567</v>
      </c>
      <c r="N964" s="279"/>
      <c r="O964" s="172" t="s">
        <v>12</v>
      </c>
      <c r="P964" s="92"/>
      <c r="Q964" s="173" t="s">
        <v>10</v>
      </c>
      <c r="R964" s="507"/>
      <c r="S964" s="94"/>
      <c r="T964" s="171" t="s">
        <v>2306</v>
      </c>
      <c r="U964" s="171" t="s">
        <v>2530</v>
      </c>
      <c r="V964" s="102">
        <v>0</v>
      </c>
      <c r="W964" s="120">
        <v>0</v>
      </c>
      <c r="X964" s="120" t="s">
        <v>2559</v>
      </c>
      <c r="Y964" s="120">
        <v>0</v>
      </c>
      <c r="Z964" s="120">
        <v>0</v>
      </c>
      <c r="AA964" s="17">
        <v>0</v>
      </c>
      <c r="AB964" s="17">
        <v>0</v>
      </c>
      <c r="AC964" s="17">
        <v>0</v>
      </c>
      <c r="AD964" s="17">
        <v>0</v>
      </c>
      <c r="AE964" s="17">
        <v>0</v>
      </c>
      <c r="AF964" s="17">
        <v>0</v>
      </c>
      <c r="AG964" s="17">
        <v>0</v>
      </c>
      <c r="AH964" s="17">
        <v>0</v>
      </c>
      <c r="AI964" s="17">
        <v>0</v>
      </c>
      <c r="AJ964" s="17">
        <v>0</v>
      </c>
      <c r="AK964" s="17">
        <v>0</v>
      </c>
      <c r="AL964" s="32">
        <v>0</v>
      </c>
      <c r="AM964" s="57"/>
      <c r="AN964" s="89"/>
      <c r="AO964" s="280"/>
      <c r="AP964" s="784"/>
      <c r="AQ964" s="773" t="s">
        <v>271</v>
      </c>
      <c r="AR964" s="188">
        <v>100</v>
      </c>
      <c r="AS964" s="171"/>
      <c r="AT964" s="171" t="str">
        <f t="shared" si="83"/>
        <v>400</v>
      </c>
      <c r="AU964" s="255">
        <f t="shared" si="84"/>
        <v>22.222222222222221</v>
      </c>
      <c r="AV964" s="57"/>
      <c r="AW964" s="171">
        <v>1</v>
      </c>
      <c r="AX964" s="89"/>
      <c r="AY964" s="171">
        <v>20</v>
      </c>
      <c r="AZ964" s="89"/>
      <c r="BA964" s="175">
        <v>60</v>
      </c>
      <c r="BB964" s="259"/>
      <c r="BC964" s="176"/>
      <c r="BD964" s="179"/>
      <c r="BE964" s="179"/>
      <c r="BF964" s="178"/>
      <c r="BG964" s="25"/>
      <c r="BH964" s="25"/>
    </row>
    <row r="965" spans="1:60" ht="15" customHeight="1">
      <c r="A965" s="95">
        <v>964</v>
      </c>
      <c r="B965" s="98" t="s">
        <v>738</v>
      </c>
      <c r="C965" s="191" t="s">
        <v>2692</v>
      </c>
      <c r="D965" s="257" t="s">
        <v>549</v>
      </c>
      <c r="E965" s="459" t="s">
        <v>3377</v>
      </c>
      <c r="F965" s="171">
        <v>1999</v>
      </c>
      <c r="G965" s="171">
        <v>216</v>
      </c>
      <c r="H965" s="57"/>
      <c r="I965" s="173" t="s">
        <v>2564</v>
      </c>
      <c r="J965" s="212">
        <f t="shared" si="85"/>
        <v>0.29982363315696647</v>
      </c>
      <c r="K965" s="213">
        <v>2.924162257495591</v>
      </c>
      <c r="L965" s="91"/>
      <c r="M965" s="278">
        <v>567</v>
      </c>
      <c r="N965" s="279"/>
      <c r="O965" s="172" t="s">
        <v>12</v>
      </c>
      <c r="P965" s="92"/>
      <c r="Q965" s="173" t="s">
        <v>10</v>
      </c>
      <c r="R965" s="507"/>
      <c r="S965" s="94"/>
      <c r="T965" s="171" t="s">
        <v>2306</v>
      </c>
      <c r="U965" s="171" t="s">
        <v>2530</v>
      </c>
      <c r="V965" s="102">
        <v>0</v>
      </c>
      <c r="W965" s="120">
        <v>0</v>
      </c>
      <c r="X965" s="120" t="s">
        <v>2559</v>
      </c>
      <c r="Y965" s="120">
        <v>0</v>
      </c>
      <c r="Z965" s="120">
        <v>0</v>
      </c>
      <c r="AA965" s="17">
        <v>0</v>
      </c>
      <c r="AB965" s="17">
        <v>0</v>
      </c>
      <c r="AC965" s="17">
        <v>0</v>
      </c>
      <c r="AD965" s="17">
        <v>0</v>
      </c>
      <c r="AE965" s="17">
        <v>0</v>
      </c>
      <c r="AF965" s="17">
        <v>0</v>
      </c>
      <c r="AG965" s="17">
        <v>0</v>
      </c>
      <c r="AH965" s="17">
        <v>0</v>
      </c>
      <c r="AI965" s="17">
        <v>0</v>
      </c>
      <c r="AJ965" s="17">
        <v>0</v>
      </c>
      <c r="AK965" s="17">
        <v>0</v>
      </c>
      <c r="AL965" s="32">
        <v>0</v>
      </c>
      <c r="AM965" s="57"/>
      <c r="AN965" s="89"/>
      <c r="AO965" s="280"/>
      <c r="AP965" s="784"/>
      <c r="AQ965" s="773" t="s">
        <v>271</v>
      </c>
      <c r="AR965" s="188">
        <v>100</v>
      </c>
      <c r="AS965" s="171"/>
      <c r="AT965" s="171" t="str">
        <f t="shared" si="83"/>
        <v>400</v>
      </c>
      <c r="AU965" s="255">
        <f t="shared" si="84"/>
        <v>22.222222222222221</v>
      </c>
      <c r="AV965" s="57"/>
      <c r="AW965" s="171">
        <v>1</v>
      </c>
      <c r="AX965" s="89"/>
      <c r="AY965" s="171">
        <v>20</v>
      </c>
      <c r="AZ965" s="89"/>
      <c r="BA965" s="175">
        <v>60</v>
      </c>
      <c r="BB965" s="259"/>
      <c r="BC965" s="176"/>
      <c r="BD965" s="179"/>
      <c r="BE965" s="179"/>
      <c r="BF965" s="178"/>
      <c r="BG965" s="25"/>
      <c r="BH965" s="25"/>
    </row>
    <row r="966" spans="1:60" ht="15" customHeight="1">
      <c r="A966" s="95">
        <v>965</v>
      </c>
      <c r="B966" s="98" t="s">
        <v>737</v>
      </c>
      <c r="C966" s="191" t="s">
        <v>2692</v>
      </c>
      <c r="D966" s="257" t="s">
        <v>549</v>
      </c>
      <c r="E966" s="459" t="s">
        <v>3377</v>
      </c>
      <c r="F966" s="171">
        <v>1999</v>
      </c>
      <c r="G966" s="171">
        <v>216</v>
      </c>
      <c r="H966" s="57"/>
      <c r="I966" s="173" t="s">
        <v>2564</v>
      </c>
      <c r="J966" s="212">
        <f t="shared" si="85"/>
        <v>0.29982363315696647</v>
      </c>
      <c r="K966" s="213">
        <v>2.9647266313932978</v>
      </c>
      <c r="L966" s="91"/>
      <c r="M966" s="278">
        <v>567</v>
      </c>
      <c r="N966" s="279"/>
      <c r="O966" s="172" t="s">
        <v>12</v>
      </c>
      <c r="P966" s="92"/>
      <c r="Q966" s="173" t="s">
        <v>10</v>
      </c>
      <c r="R966" s="507"/>
      <c r="S966" s="94"/>
      <c r="T966" s="171" t="s">
        <v>2306</v>
      </c>
      <c r="U966" s="171" t="s">
        <v>2530</v>
      </c>
      <c r="V966" s="102">
        <v>0</v>
      </c>
      <c r="W966" s="120">
        <v>0</v>
      </c>
      <c r="X966" s="120" t="s">
        <v>2559</v>
      </c>
      <c r="Y966" s="120">
        <v>0</v>
      </c>
      <c r="Z966" s="120">
        <v>0</v>
      </c>
      <c r="AA966" s="17">
        <v>0</v>
      </c>
      <c r="AB966" s="17">
        <v>0</v>
      </c>
      <c r="AC966" s="17">
        <v>0</v>
      </c>
      <c r="AD966" s="17">
        <v>0</v>
      </c>
      <c r="AE966" s="17">
        <v>0</v>
      </c>
      <c r="AF966" s="17">
        <v>0</v>
      </c>
      <c r="AG966" s="17">
        <v>0</v>
      </c>
      <c r="AH966" s="17">
        <v>0</v>
      </c>
      <c r="AI966" s="17">
        <v>0</v>
      </c>
      <c r="AJ966" s="17">
        <v>0</v>
      </c>
      <c r="AK966" s="17">
        <v>0</v>
      </c>
      <c r="AL966" s="32">
        <v>0</v>
      </c>
      <c r="AM966" s="57"/>
      <c r="AN966" s="89"/>
      <c r="AO966" s="280"/>
      <c r="AP966" s="784"/>
      <c r="AQ966" s="773" t="s">
        <v>271</v>
      </c>
      <c r="AR966" s="188">
        <v>100</v>
      </c>
      <c r="AS966" s="171"/>
      <c r="AT966" s="171" t="str">
        <f t="shared" si="83"/>
        <v>400</v>
      </c>
      <c r="AU966" s="255">
        <f t="shared" si="84"/>
        <v>22.222222222222221</v>
      </c>
      <c r="AV966" s="57"/>
      <c r="AW966" s="171">
        <v>1</v>
      </c>
      <c r="AX966" s="89"/>
      <c r="AY966" s="171">
        <v>20</v>
      </c>
      <c r="AZ966" s="89"/>
      <c r="BA966" s="175">
        <v>60</v>
      </c>
      <c r="BB966" s="259"/>
      <c r="BC966" s="176"/>
      <c r="BD966" s="179"/>
      <c r="BE966" s="179"/>
      <c r="BF966" s="178"/>
      <c r="BG966" s="25"/>
      <c r="BH966" s="25"/>
    </row>
    <row r="967" spans="1:60" ht="15" customHeight="1">
      <c r="A967" s="95">
        <v>966</v>
      </c>
      <c r="B967" s="98" t="s">
        <v>736</v>
      </c>
      <c r="C967" s="191" t="s">
        <v>2692</v>
      </c>
      <c r="D967" s="257" t="s">
        <v>549</v>
      </c>
      <c r="E967" s="459" t="s">
        <v>3377</v>
      </c>
      <c r="F967" s="171">
        <v>1999</v>
      </c>
      <c r="G967" s="171">
        <v>216</v>
      </c>
      <c r="H967" s="57"/>
      <c r="I967" s="173" t="s">
        <v>2564</v>
      </c>
      <c r="J967" s="212">
        <f t="shared" si="85"/>
        <v>0.29982363315696647</v>
      </c>
      <c r="K967" s="213">
        <v>3.0634920634920637</v>
      </c>
      <c r="L967" s="91"/>
      <c r="M967" s="278">
        <v>567</v>
      </c>
      <c r="N967" s="279"/>
      <c r="O967" s="172" t="s">
        <v>12</v>
      </c>
      <c r="P967" s="92"/>
      <c r="Q967" s="173" t="s">
        <v>10</v>
      </c>
      <c r="R967" s="507"/>
      <c r="S967" s="94"/>
      <c r="T967" s="171" t="s">
        <v>2306</v>
      </c>
      <c r="U967" s="171" t="s">
        <v>2530</v>
      </c>
      <c r="V967" s="102">
        <v>0</v>
      </c>
      <c r="W967" s="120">
        <v>0</v>
      </c>
      <c r="X967" s="120" t="s">
        <v>2559</v>
      </c>
      <c r="Y967" s="120">
        <v>0</v>
      </c>
      <c r="Z967" s="120">
        <v>0</v>
      </c>
      <c r="AA967" s="17">
        <v>0</v>
      </c>
      <c r="AB967" s="17">
        <v>0</v>
      </c>
      <c r="AC967" s="17">
        <v>0</v>
      </c>
      <c r="AD967" s="17">
        <v>0</v>
      </c>
      <c r="AE967" s="17">
        <v>0</v>
      </c>
      <c r="AF967" s="17">
        <v>0</v>
      </c>
      <c r="AG967" s="17">
        <v>0</v>
      </c>
      <c r="AH967" s="17">
        <v>0</v>
      </c>
      <c r="AI967" s="17">
        <v>0</v>
      </c>
      <c r="AJ967" s="17">
        <v>0</v>
      </c>
      <c r="AK967" s="17">
        <v>0</v>
      </c>
      <c r="AL967" s="32">
        <v>0</v>
      </c>
      <c r="AM967" s="57"/>
      <c r="AN967" s="89"/>
      <c r="AO967" s="280"/>
      <c r="AP967" s="784"/>
      <c r="AQ967" s="773" t="s">
        <v>271</v>
      </c>
      <c r="AR967" s="188">
        <v>100</v>
      </c>
      <c r="AS967" s="171"/>
      <c r="AT967" s="171" t="str">
        <f t="shared" si="83"/>
        <v>400</v>
      </c>
      <c r="AU967" s="255">
        <f t="shared" si="84"/>
        <v>22.222222222222221</v>
      </c>
      <c r="AV967" s="57"/>
      <c r="AW967" s="171">
        <v>1</v>
      </c>
      <c r="AX967" s="89"/>
      <c r="AY967" s="171">
        <v>20</v>
      </c>
      <c r="AZ967" s="89"/>
      <c r="BA967" s="175">
        <v>60</v>
      </c>
      <c r="BB967" s="259"/>
      <c r="BC967" s="176"/>
      <c r="BD967" s="179"/>
      <c r="BE967" s="179"/>
      <c r="BF967" s="178"/>
      <c r="BG967" s="25"/>
      <c r="BH967" s="25"/>
    </row>
    <row r="968" spans="1:60" ht="15" customHeight="1">
      <c r="A968" s="95">
        <v>967</v>
      </c>
      <c r="B968" s="98" t="s">
        <v>735</v>
      </c>
      <c r="C968" s="191" t="s">
        <v>2692</v>
      </c>
      <c r="D968" s="257" t="s">
        <v>549</v>
      </c>
      <c r="E968" s="459" t="s">
        <v>3377</v>
      </c>
      <c r="F968" s="171">
        <v>1999</v>
      </c>
      <c r="G968" s="171">
        <v>216</v>
      </c>
      <c r="H968" s="57"/>
      <c r="I968" s="173" t="s">
        <v>2564</v>
      </c>
      <c r="J968" s="212">
        <f t="shared" si="85"/>
        <v>0.29982363315696647</v>
      </c>
      <c r="K968" s="213">
        <v>3.0194003527336859</v>
      </c>
      <c r="L968" s="91"/>
      <c r="M968" s="278">
        <v>567</v>
      </c>
      <c r="N968" s="279"/>
      <c r="O968" s="172" t="s">
        <v>12</v>
      </c>
      <c r="P968" s="92"/>
      <c r="Q968" s="173" t="s">
        <v>10</v>
      </c>
      <c r="R968" s="507"/>
      <c r="S968" s="94"/>
      <c r="T968" s="171" t="s">
        <v>2306</v>
      </c>
      <c r="U968" s="171" t="s">
        <v>2530</v>
      </c>
      <c r="V968" s="102">
        <v>0</v>
      </c>
      <c r="W968" s="120">
        <v>0</v>
      </c>
      <c r="X968" s="120" t="s">
        <v>2559</v>
      </c>
      <c r="Y968" s="120">
        <v>0</v>
      </c>
      <c r="Z968" s="120">
        <v>0</v>
      </c>
      <c r="AA968" s="17">
        <v>0</v>
      </c>
      <c r="AB968" s="17">
        <v>0</v>
      </c>
      <c r="AC968" s="17">
        <v>0</v>
      </c>
      <c r="AD968" s="17">
        <v>0</v>
      </c>
      <c r="AE968" s="17">
        <v>0</v>
      </c>
      <c r="AF968" s="17">
        <v>0</v>
      </c>
      <c r="AG968" s="17">
        <v>0</v>
      </c>
      <c r="AH968" s="17">
        <v>0</v>
      </c>
      <c r="AI968" s="17">
        <v>0</v>
      </c>
      <c r="AJ968" s="17">
        <v>0</v>
      </c>
      <c r="AK968" s="17">
        <v>0</v>
      </c>
      <c r="AL968" s="32">
        <v>0</v>
      </c>
      <c r="AM968" s="57"/>
      <c r="AN968" s="89"/>
      <c r="AO968" s="280"/>
      <c r="AP968" s="784"/>
      <c r="AQ968" s="773" t="s">
        <v>271</v>
      </c>
      <c r="AR968" s="188">
        <v>100</v>
      </c>
      <c r="AS968" s="171"/>
      <c r="AT968" s="171" t="str">
        <f t="shared" si="83"/>
        <v>400</v>
      </c>
      <c r="AU968" s="255">
        <f t="shared" si="84"/>
        <v>22.222222222222221</v>
      </c>
      <c r="AV968" s="57"/>
      <c r="AW968" s="171">
        <v>1</v>
      </c>
      <c r="AX968" s="89"/>
      <c r="AY968" s="171">
        <v>20</v>
      </c>
      <c r="AZ968" s="89"/>
      <c r="BA968" s="175">
        <v>60</v>
      </c>
      <c r="BB968" s="259"/>
      <c r="BC968" s="176"/>
      <c r="BD968" s="179"/>
      <c r="BE968" s="179"/>
      <c r="BF968" s="178"/>
      <c r="BG968" s="25"/>
      <c r="BH968" s="25"/>
    </row>
    <row r="969" spans="1:60" ht="15" customHeight="1">
      <c r="A969" s="95">
        <v>968</v>
      </c>
      <c r="B969" s="98" t="s">
        <v>734</v>
      </c>
      <c r="C969" s="191" t="s">
        <v>2692</v>
      </c>
      <c r="D969" s="257" t="s">
        <v>549</v>
      </c>
      <c r="E969" s="459" t="s">
        <v>3377</v>
      </c>
      <c r="F969" s="171">
        <v>1999</v>
      </c>
      <c r="G969" s="171">
        <v>216</v>
      </c>
      <c r="H969" s="57"/>
      <c r="I969" s="173" t="s">
        <v>2564</v>
      </c>
      <c r="J969" s="212">
        <f t="shared" si="85"/>
        <v>0.29982363315696647</v>
      </c>
      <c r="K969" s="213">
        <v>3.1234567901234569</v>
      </c>
      <c r="L969" s="91"/>
      <c r="M969" s="278">
        <v>567</v>
      </c>
      <c r="N969" s="279"/>
      <c r="O969" s="172" t="s">
        <v>12</v>
      </c>
      <c r="P969" s="92"/>
      <c r="Q969" s="173" t="s">
        <v>10</v>
      </c>
      <c r="R969" s="507"/>
      <c r="S969" s="94"/>
      <c r="T969" s="171" t="s">
        <v>2306</v>
      </c>
      <c r="U969" s="171" t="s">
        <v>2530</v>
      </c>
      <c r="V969" s="102">
        <v>0</v>
      </c>
      <c r="W969" s="120">
        <v>0</v>
      </c>
      <c r="X969" s="120" t="s">
        <v>2559</v>
      </c>
      <c r="Y969" s="120">
        <v>0</v>
      </c>
      <c r="Z969" s="120">
        <v>0</v>
      </c>
      <c r="AA969" s="17">
        <v>0</v>
      </c>
      <c r="AB969" s="17">
        <v>0</v>
      </c>
      <c r="AC969" s="17">
        <v>0</v>
      </c>
      <c r="AD969" s="17">
        <v>0</v>
      </c>
      <c r="AE969" s="17">
        <v>0</v>
      </c>
      <c r="AF969" s="17">
        <v>0</v>
      </c>
      <c r="AG969" s="17">
        <v>0</v>
      </c>
      <c r="AH969" s="17">
        <v>0</v>
      </c>
      <c r="AI969" s="17">
        <v>0</v>
      </c>
      <c r="AJ969" s="17">
        <v>0</v>
      </c>
      <c r="AK969" s="17">
        <v>0</v>
      </c>
      <c r="AL969" s="32">
        <v>0</v>
      </c>
      <c r="AM969" s="57"/>
      <c r="AN969" s="89"/>
      <c r="AO969" s="280"/>
      <c r="AP969" s="784"/>
      <c r="AQ969" s="773" t="s">
        <v>271</v>
      </c>
      <c r="AR969" s="188">
        <v>100</v>
      </c>
      <c r="AS969" s="171"/>
      <c r="AT969" s="171" t="str">
        <f t="shared" si="83"/>
        <v>400</v>
      </c>
      <c r="AU969" s="255">
        <f t="shared" si="84"/>
        <v>22.222222222222221</v>
      </c>
      <c r="AV969" s="57"/>
      <c r="AW969" s="171">
        <v>1</v>
      </c>
      <c r="AX969" s="89"/>
      <c r="AY969" s="171">
        <v>20</v>
      </c>
      <c r="AZ969" s="89"/>
      <c r="BA969" s="175">
        <v>60</v>
      </c>
      <c r="BB969" s="259"/>
      <c r="BC969" s="176"/>
      <c r="BD969" s="179"/>
      <c r="BE969" s="179"/>
      <c r="BF969" s="178"/>
      <c r="BG969" s="25"/>
      <c r="BH969" s="25"/>
    </row>
    <row r="970" spans="1:60" ht="15" customHeight="1">
      <c r="A970" s="95">
        <v>969</v>
      </c>
      <c r="B970" s="98" t="s">
        <v>733</v>
      </c>
      <c r="C970" s="191" t="s">
        <v>2692</v>
      </c>
      <c r="D970" s="257" t="s">
        <v>549</v>
      </c>
      <c r="E970" s="459" t="s">
        <v>3377</v>
      </c>
      <c r="F970" s="171">
        <v>1999</v>
      </c>
      <c r="G970" s="171">
        <v>216</v>
      </c>
      <c r="H970" s="57"/>
      <c r="I970" s="173" t="s">
        <v>2564</v>
      </c>
      <c r="J970" s="212">
        <f t="shared" si="85"/>
        <v>0.29982363315696647</v>
      </c>
      <c r="K970" s="213">
        <v>3.3791887125220459</v>
      </c>
      <c r="L970" s="91"/>
      <c r="M970" s="278">
        <v>567</v>
      </c>
      <c r="N970" s="279"/>
      <c r="O970" s="172" t="s">
        <v>12</v>
      </c>
      <c r="P970" s="92"/>
      <c r="Q970" s="173" t="s">
        <v>10</v>
      </c>
      <c r="R970" s="507"/>
      <c r="S970" s="94"/>
      <c r="T970" s="171" t="s">
        <v>2306</v>
      </c>
      <c r="U970" s="171" t="s">
        <v>2530</v>
      </c>
      <c r="V970" s="102">
        <v>0</v>
      </c>
      <c r="W970" s="120">
        <v>0</v>
      </c>
      <c r="X970" s="120" t="s">
        <v>2559</v>
      </c>
      <c r="Y970" s="120">
        <v>0</v>
      </c>
      <c r="Z970" s="120">
        <v>0</v>
      </c>
      <c r="AA970" s="17">
        <v>0</v>
      </c>
      <c r="AB970" s="17">
        <v>0</v>
      </c>
      <c r="AC970" s="17">
        <v>0</v>
      </c>
      <c r="AD970" s="17">
        <v>0</v>
      </c>
      <c r="AE970" s="17">
        <v>0</v>
      </c>
      <c r="AF970" s="17">
        <v>0</v>
      </c>
      <c r="AG970" s="17">
        <v>0</v>
      </c>
      <c r="AH970" s="17">
        <v>0</v>
      </c>
      <c r="AI970" s="17">
        <v>0</v>
      </c>
      <c r="AJ970" s="17">
        <v>0</v>
      </c>
      <c r="AK970" s="17">
        <v>0</v>
      </c>
      <c r="AL970" s="32">
        <v>0</v>
      </c>
      <c r="AM970" s="57"/>
      <c r="AN970" s="89"/>
      <c r="AO970" s="280"/>
      <c r="AP970" s="784"/>
      <c r="AQ970" s="773" t="s">
        <v>271</v>
      </c>
      <c r="AR970" s="188">
        <v>100</v>
      </c>
      <c r="AS970" s="171"/>
      <c r="AT970" s="171" t="str">
        <f t="shared" si="83"/>
        <v>400</v>
      </c>
      <c r="AU970" s="255">
        <f t="shared" si="84"/>
        <v>22.222222222222221</v>
      </c>
      <c r="AV970" s="57"/>
      <c r="AW970" s="171">
        <v>1</v>
      </c>
      <c r="AX970" s="89"/>
      <c r="AY970" s="171">
        <v>20</v>
      </c>
      <c r="AZ970" s="89"/>
      <c r="BA970" s="175">
        <v>60</v>
      </c>
      <c r="BB970" s="259"/>
      <c r="BC970" s="176"/>
      <c r="BD970" s="179"/>
      <c r="BE970" s="179"/>
      <c r="BF970" s="178"/>
      <c r="BG970" s="25"/>
      <c r="BH970" s="25"/>
    </row>
    <row r="971" spans="1:60" ht="15" customHeight="1">
      <c r="A971" s="95">
        <v>970</v>
      </c>
      <c r="B971" s="98" t="s">
        <v>732</v>
      </c>
      <c r="C971" s="191" t="s">
        <v>2692</v>
      </c>
      <c r="D971" s="257" t="s">
        <v>549</v>
      </c>
      <c r="E971" s="459" t="s">
        <v>3377</v>
      </c>
      <c r="F971" s="171">
        <v>1999</v>
      </c>
      <c r="G971" s="171">
        <v>216</v>
      </c>
      <c r="H971" s="57"/>
      <c r="I971" s="173" t="s">
        <v>2564</v>
      </c>
      <c r="J971" s="212">
        <f t="shared" ref="J971:J980" si="86">180/327</f>
        <v>0.55045871559633031</v>
      </c>
      <c r="K971" s="213">
        <v>5.4464831804281344</v>
      </c>
      <c r="L971" s="91"/>
      <c r="M971" s="278">
        <v>327</v>
      </c>
      <c r="N971" s="279"/>
      <c r="O971" s="172" t="s">
        <v>12</v>
      </c>
      <c r="P971" s="92"/>
      <c r="Q971" s="173" t="s">
        <v>10</v>
      </c>
      <c r="R971" s="507"/>
      <c r="S971" s="94"/>
      <c r="T971" s="171" t="s">
        <v>2306</v>
      </c>
      <c r="U971" s="171" t="s">
        <v>2530</v>
      </c>
      <c r="V971" s="102">
        <v>0</v>
      </c>
      <c r="W971" s="120">
        <v>0</v>
      </c>
      <c r="X971" s="120">
        <v>0</v>
      </c>
      <c r="Y971" s="120">
        <v>0</v>
      </c>
      <c r="Z971" s="120">
        <v>0</v>
      </c>
      <c r="AA971" s="17">
        <v>0</v>
      </c>
      <c r="AB971" s="17">
        <v>0</v>
      </c>
      <c r="AC971" s="17">
        <v>0</v>
      </c>
      <c r="AD971" s="17">
        <v>0</v>
      </c>
      <c r="AE971" s="17">
        <v>0</v>
      </c>
      <c r="AF971" s="17">
        <v>0</v>
      </c>
      <c r="AG971" s="17">
        <v>0</v>
      </c>
      <c r="AH971" s="17">
        <v>0</v>
      </c>
      <c r="AI971" s="17">
        <v>0</v>
      </c>
      <c r="AJ971" s="17">
        <v>0</v>
      </c>
      <c r="AK971" s="17">
        <v>0</v>
      </c>
      <c r="AL971" s="32">
        <v>0</v>
      </c>
      <c r="AM971" s="57"/>
      <c r="AN971" s="89"/>
      <c r="AO971" s="280"/>
      <c r="AP971" s="784"/>
      <c r="AQ971" s="773" t="s">
        <v>271</v>
      </c>
      <c r="AR971" s="188">
        <v>100</v>
      </c>
      <c r="AS971" s="171"/>
      <c r="AT971" s="171" t="str">
        <f t="shared" si="83"/>
        <v>400</v>
      </c>
      <c r="AU971" s="255">
        <f t="shared" si="84"/>
        <v>22.222222222222221</v>
      </c>
      <c r="AV971" s="57"/>
      <c r="AW971" s="171">
        <v>1</v>
      </c>
      <c r="AX971" s="89"/>
      <c r="AY971" s="171">
        <v>20</v>
      </c>
      <c r="AZ971" s="89"/>
      <c r="BA971" s="175">
        <v>60</v>
      </c>
      <c r="BB971" s="259"/>
      <c r="BC971" s="176"/>
      <c r="BD971" s="179"/>
      <c r="BE971" s="179"/>
      <c r="BF971" s="178"/>
      <c r="BG971" s="25"/>
      <c r="BH971" s="25"/>
    </row>
    <row r="972" spans="1:60" ht="15" customHeight="1">
      <c r="A972" s="95">
        <v>971</v>
      </c>
      <c r="B972" s="98" t="s">
        <v>731</v>
      </c>
      <c r="C972" s="191" t="s">
        <v>2692</v>
      </c>
      <c r="D972" s="257" t="s">
        <v>549</v>
      </c>
      <c r="E972" s="459" t="s">
        <v>3377</v>
      </c>
      <c r="F972" s="171">
        <v>1999</v>
      </c>
      <c r="G972" s="171">
        <v>216</v>
      </c>
      <c r="H972" s="57"/>
      <c r="I972" s="173" t="s">
        <v>2564</v>
      </c>
      <c r="J972" s="212">
        <f t="shared" si="86"/>
        <v>0.55045871559633031</v>
      </c>
      <c r="K972" s="213">
        <v>5.4556574923547396</v>
      </c>
      <c r="L972" s="91"/>
      <c r="M972" s="278">
        <v>327</v>
      </c>
      <c r="N972" s="279"/>
      <c r="O972" s="172" t="s">
        <v>12</v>
      </c>
      <c r="P972" s="92"/>
      <c r="Q972" s="173" t="s">
        <v>10</v>
      </c>
      <c r="R972" s="507"/>
      <c r="S972" s="94"/>
      <c r="T972" s="171" t="s">
        <v>2306</v>
      </c>
      <c r="U972" s="171" t="s">
        <v>2530</v>
      </c>
      <c r="V972" s="102">
        <v>0</v>
      </c>
      <c r="W972" s="120">
        <v>0</v>
      </c>
      <c r="X972" s="120" t="s">
        <v>2559</v>
      </c>
      <c r="Y972" s="120">
        <v>0</v>
      </c>
      <c r="Z972" s="120">
        <v>0</v>
      </c>
      <c r="AA972" s="17">
        <v>0</v>
      </c>
      <c r="AB972" s="17">
        <v>0</v>
      </c>
      <c r="AC972" s="17">
        <v>0</v>
      </c>
      <c r="AD972" s="17">
        <v>0</v>
      </c>
      <c r="AE972" s="17">
        <v>0</v>
      </c>
      <c r="AF972" s="17">
        <v>0</v>
      </c>
      <c r="AG972" s="17">
        <v>0</v>
      </c>
      <c r="AH972" s="17">
        <v>0</v>
      </c>
      <c r="AI972" s="17">
        <v>0</v>
      </c>
      <c r="AJ972" s="17">
        <v>0</v>
      </c>
      <c r="AK972" s="17">
        <v>0</v>
      </c>
      <c r="AL972" s="32">
        <v>0</v>
      </c>
      <c r="AM972" s="57"/>
      <c r="AN972" s="89"/>
      <c r="AO972" s="280"/>
      <c r="AP972" s="784"/>
      <c r="AQ972" s="773" t="s">
        <v>271</v>
      </c>
      <c r="AR972" s="188">
        <v>100</v>
      </c>
      <c r="AS972" s="171"/>
      <c r="AT972" s="171" t="str">
        <f t="shared" si="83"/>
        <v>400</v>
      </c>
      <c r="AU972" s="255">
        <f t="shared" si="84"/>
        <v>22.222222222222221</v>
      </c>
      <c r="AV972" s="57"/>
      <c r="AW972" s="171">
        <v>1</v>
      </c>
      <c r="AX972" s="89"/>
      <c r="AY972" s="171">
        <v>20</v>
      </c>
      <c r="AZ972" s="89"/>
      <c r="BA972" s="175">
        <v>60</v>
      </c>
      <c r="BB972" s="259"/>
      <c r="BC972" s="176"/>
      <c r="BD972" s="179"/>
      <c r="BE972" s="179"/>
      <c r="BF972" s="178"/>
      <c r="BG972" s="25"/>
      <c r="BH972" s="25"/>
    </row>
    <row r="973" spans="1:60" ht="15" customHeight="1">
      <c r="A973" s="95">
        <v>972</v>
      </c>
      <c r="B973" s="98" t="s">
        <v>730</v>
      </c>
      <c r="C973" s="191" t="s">
        <v>2692</v>
      </c>
      <c r="D973" s="257" t="s">
        <v>549</v>
      </c>
      <c r="E973" s="459" t="s">
        <v>3377</v>
      </c>
      <c r="F973" s="171">
        <v>1999</v>
      </c>
      <c r="G973" s="171">
        <v>216</v>
      </c>
      <c r="H973" s="57"/>
      <c r="I973" s="173" t="s">
        <v>2564</v>
      </c>
      <c r="J973" s="212">
        <f t="shared" si="86"/>
        <v>0.55045871559633031</v>
      </c>
      <c r="K973" s="213">
        <v>5.4648318042813457</v>
      </c>
      <c r="L973" s="91"/>
      <c r="M973" s="278">
        <v>327</v>
      </c>
      <c r="N973" s="279"/>
      <c r="O973" s="172" t="s">
        <v>12</v>
      </c>
      <c r="P973" s="92"/>
      <c r="Q973" s="173" t="s">
        <v>10</v>
      </c>
      <c r="R973" s="507"/>
      <c r="S973" s="94"/>
      <c r="T973" s="171" t="s">
        <v>2306</v>
      </c>
      <c r="U973" s="171" t="s">
        <v>2530</v>
      </c>
      <c r="V973" s="102">
        <v>0</v>
      </c>
      <c r="W973" s="120">
        <v>0</v>
      </c>
      <c r="X973" s="120" t="s">
        <v>2559</v>
      </c>
      <c r="Y973" s="120">
        <v>0</v>
      </c>
      <c r="Z973" s="120">
        <v>0</v>
      </c>
      <c r="AA973" s="17">
        <v>0</v>
      </c>
      <c r="AB973" s="17">
        <v>0</v>
      </c>
      <c r="AC973" s="17">
        <v>0</v>
      </c>
      <c r="AD973" s="17">
        <v>0</v>
      </c>
      <c r="AE973" s="17">
        <v>0</v>
      </c>
      <c r="AF973" s="17">
        <v>0</v>
      </c>
      <c r="AG973" s="17">
        <v>0</v>
      </c>
      <c r="AH973" s="17">
        <v>0</v>
      </c>
      <c r="AI973" s="17">
        <v>0</v>
      </c>
      <c r="AJ973" s="17">
        <v>0</v>
      </c>
      <c r="AK973" s="17">
        <v>0</v>
      </c>
      <c r="AL973" s="32">
        <v>0</v>
      </c>
      <c r="AM973" s="57"/>
      <c r="AN973" s="89"/>
      <c r="AO973" s="280"/>
      <c r="AP973" s="784"/>
      <c r="AQ973" s="773" t="s">
        <v>271</v>
      </c>
      <c r="AR973" s="188">
        <v>100</v>
      </c>
      <c r="AS973" s="171"/>
      <c r="AT973" s="171" t="str">
        <f t="shared" si="83"/>
        <v>400</v>
      </c>
      <c r="AU973" s="255">
        <f t="shared" si="84"/>
        <v>22.222222222222221</v>
      </c>
      <c r="AV973" s="57"/>
      <c r="AW973" s="171">
        <v>1</v>
      </c>
      <c r="AX973" s="89"/>
      <c r="AY973" s="171">
        <v>20</v>
      </c>
      <c r="AZ973" s="89"/>
      <c r="BA973" s="175">
        <v>60</v>
      </c>
      <c r="BB973" s="259"/>
      <c r="BC973" s="176"/>
      <c r="BD973" s="179"/>
      <c r="BE973" s="179"/>
      <c r="BF973" s="178"/>
      <c r="BG973" s="25"/>
      <c r="BH973" s="25"/>
    </row>
    <row r="974" spans="1:60" ht="15" customHeight="1">
      <c r="A974" s="95">
        <v>973</v>
      </c>
      <c r="B974" s="98" t="s">
        <v>729</v>
      </c>
      <c r="C974" s="191" t="s">
        <v>2692</v>
      </c>
      <c r="D974" s="257" t="s">
        <v>549</v>
      </c>
      <c r="E974" s="459" t="s">
        <v>3377</v>
      </c>
      <c r="F974" s="171">
        <v>1999</v>
      </c>
      <c r="G974" s="171">
        <v>216</v>
      </c>
      <c r="H974" s="57"/>
      <c r="I974" s="173" t="s">
        <v>2564</v>
      </c>
      <c r="J974" s="212">
        <f t="shared" si="86"/>
        <v>0.55045871559633031</v>
      </c>
      <c r="K974" s="213">
        <v>5.4831804281345562</v>
      </c>
      <c r="L974" s="91"/>
      <c r="M974" s="278">
        <v>327</v>
      </c>
      <c r="N974" s="279"/>
      <c r="O974" s="172" t="s">
        <v>12</v>
      </c>
      <c r="P974" s="92"/>
      <c r="Q974" s="173" t="s">
        <v>10</v>
      </c>
      <c r="R974" s="507"/>
      <c r="S974" s="94"/>
      <c r="T974" s="171" t="s">
        <v>2306</v>
      </c>
      <c r="U974" s="171" t="s">
        <v>2530</v>
      </c>
      <c r="V974" s="102">
        <v>0</v>
      </c>
      <c r="W974" s="120">
        <v>0</v>
      </c>
      <c r="X974" s="120" t="s">
        <v>2559</v>
      </c>
      <c r="Y974" s="120">
        <v>0</v>
      </c>
      <c r="Z974" s="120">
        <v>0</v>
      </c>
      <c r="AA974" s="17">
        <v>0</v>
      </c>
      <c r="AB974" s="17">
        <v>0</v>
      </c>
      <c r="AC974" s="17">
        <v>0</v>
      </c>
      <c r="AD974" s="17">
        <v>0</v>
      </c>
      <c r="AE974" s="17">
        <v>0</v>
      </c>
      <c r="AF974" s="17">
        <v>0</v>
      </c>
      <c r="AG974" s="17">
        <v>0</v>
      </c>
      <c r="AH974" s="17">
        <v>0</v>
      </c>
      <c r="AI974" s="17">
        <v>0</v>
      </c>
      <c r="AJ974" s="17">
        <v>0</v>
      </c>
      <c r="AK974" s="17">
        <v>0</v>
      </c>
      <c r="AL974" s="32">
        <v>0</v>
      </c>
      <c r="AM974" s="57"/>
      <c r="AN974" s="89"/>
      <c r="AO974" s="280"/>
      <c r="AP974" s="784"/>
      <c r="AQ974" s="773" t="s">
        <v>271</v>
      </c>
      <c r="AR974" s="188">
        <v>100</v>
      </c>
      <c r="AS974" s="171"/>
      <c r="AT974" s="171" t="str">
        <f t="shared" si="83"/>
        <v>400</v>
      </c>
      <c r="AU974" s="255">
        <f t="shared" si="84"/>
        <v>22.222222222222221</v>
      </c>
      <c r="AV974" s="57"/>
      <c r="AW974" s="171">
        <v>1</v>
      </c>
      <c r="AX974" s="89"/>
      <c r="AY974" s="171">
        <v>20</v>
      </c>
      <c r="AZ974" s="89"/>
      <c r="BA974" s="175">
        <v>60</v>
      </c>
      <c r="BB974" s="259"/>
      <c r="BC974" s="176"/>
      <c r="BD974" s="179"/>
      <c r="BE974" s="179"/>
      <c r="BF974" s="178"/>
      <c r="BG974" s="25"/>
      <c r="BH974" s="25"/>
    </row>
    <row r="975" spans="1:60" ht="15" customHeight="1">
      <c r="A975" s="95">
        <v>974</v>
      </c>
      <c r="B975" s="98" t="s">
        <v>728</v>
      </c>
      <c r="C975" s="191" t="s">
        <v>2692</v>
      </c>
      <c r="D975" s="257" t="s">
        <v>549</v>
      </c>
      <c r="E975" s="459" t="s">
        <v>3377</v>
      </c>
      <c r="F975" s="171">
        <v>1999</v>
      </c>
      <c r="G975" s="171">
        <v>216</v>
      </c>
      <c r="H975" s="57"/>
      <c r="I975" s="173" t="s">
        <v>2564</v>
      </c>
      <c r="J975" s="212">
        <f t="shared" si="86"/>
        <v>0.55045871559633031</v>
      </c>
      <c r="K975" s="213">
        <v>5.5626911314984708</v>
      </c>
      <c r="L975" s="91"/>
      <c r="M975" s="278">
        <v>327</v>
      </c>
      <c r="N975" s="279"/>
      <c r="O975" s="172" t="s">
        <v>12</v>
      </c>
      <c r="P975" s="92"/>
      <c r="Q975" s="173" t="s">
        <v>10</v>
      </c>
      <c r="R975" s="94"/>
      <c r="S975" s="94"/>
      <c r="T975" s="171" t="s">
        <v>2306</v>
      </c>
      <c r="U975" s="171" t="s">
        <v>2530</v>
      </c>
      <c r="V975" s="102">
        <v>0</v>
      </c>
      <c r="W975" s="120">
        <v>0</v>
      </c>
      <c r="X975" s="120" t="s">
        <v>2559</v>
      </c>
      <c r="Y975" s="120">
        <v>0</v>
      </c>
      <c r="Z975" s="120">
        <v>0</v>
      </c>
      <c r="AA975" s="17">
        <v>0</v>
      </c>
      <c r="AB975" s="17">
        <v>0</v>
      </c>
      <c r="AC975" s="17">
        <v>0</v>
      </c>
      <c r="AD975" s="17">
        <v>0</v>
      </c>
      <c r="AE975" s="17">
        <v>0</v>
      </c>
      <c r="AF975" s="17">
        <v>0</v>
      </c>
      <c r="AG975" s="17">
        <v>0</v>
      </c>
      <c r="AH975" s="17">
        <v>0</v>
      </c>
      <c r="AI975" s="17">
        <v>0</v>
      </c>
      <c r="AJ975" s="17">
        <v>0</v>
      </c>
      <c r="AK975" s="17">
        <v>0</v>
      </c>
      <c r="AL975" s="32">
        <v>0</v>
      </c>
      <c r="AM975" s="57"/>
      <c r="AN975" s="89"/>
      <c r="AO975" s="280"/>
      <c r="AP975" s="784"/>
      <c r="AQ975" s="773" t="s">
        <v>271</v>
      </c>
      <c r="AR975" s="188">
        <v>100</v>
      </c>
      <c r="AS975" s="171"/>
      <c r="AT975" s="171" t="str">
        <f t="shared" si="83"/>
        <v>400</v>
      </c>
      <c r="AU975" s="255">
        <f t="shared" si="84"/>
        <v>22.222222222222221</v>
      </c>
      <c r="AV975" s="57"/>
      <c r="AW975" s="171">
        <v>1</v>
      </c>
      <c r="AX975" s="89"/>
      <c r="AY975" s="171">
        <v>20</v>
      </c>
      <c r="AZ975" s="89"/>
      <c r="BA975" s="175">
        <v>60</v>
      </c>
      <c r="BB975" s="259"/>
      <c r="BC975" s="176"/>
      <c r="BD975" s="179"/>
      <c r="BE975" s="179"/>
      <c r="BF975" s="178"/>
      <c r="BG975" s="25"/>
      <c r="BH975" s="25"/>
    </row>
    <row r="976" spans="1:60" ht="15" customHeight="1">
      <c r="A976" s="95">
        <v>975</v>
      </c>
      <c r="B976" s="98" t="s">
        <v>727</v>
      </c>
      <c r="C976" s="191" t="s">
        <v>2692</v>
      </c>
      <c r="D976" s="257" t="s">
        <v>549</v>
      </c>
      <c r="E976" s="459" t="s">
        <v>3377</v>
      </c>
      <c r="F976" s="171">
        <v>1999</v>
      </c>
      <c r="G976" s="171">
        <v>216</v>
      </c>
      <c r="H976" s="57"/>
      <c r="I976" s="173" t="s">
        <v>2564</v>
      </c>
      <c r="J976" s="212">
        <f t="shared" si="86"/>
        <v>0.55045871559633031</v>
      </c>
      <c r="K976" s="213">
        <v>5.6422018348623855</v>
      </c>
      <c r="L976" s="91"/>
      <c r="M976" s="278">
        <v>327</v>
      </c>
      <c r="N976" s="279"/>
      <c r="O976" s="172" t="s">
        <v>12</v>
      </c>
      <c r="P976" s="92"/>
      <c r="Q976" s="173" t="s">
        <v>10</v>
      </c>
      <c r="R976" s="94"/>
      <c r="S976" s="94"/>
      <c r="T976" s="171" t="s">
        <v>2306</v>
      </c>
      <c r="U976" s="171" t="s">
        <v>2530</v>
      </c>
      <c r="V976" s="102">
        <v>0</v>
      </c>
      <c r="W976" s="120">
        <v>0</v>
      </c>
      <c r="X976" s="120" t="s">
        <v>2559</v>
      </c>
      <c r="Y976" s="120">
        <v>0</v>
      </c>
      <c r="Z976" s="120">
        <v>0</v>
      </c>
      <c r="AA976" s="17">
        <v>0</v>
      </c>
      <c r="AB976" s="17">
        <v>0</v>
      </c>
      <c r="AC976" s="17">
        <v>0</v>
      </c>
      <c r="AD976" s="17">
        <v>0</v>
      </c>
      <c r="AE976" s="17">
        <v>0</v>
      </c>
      <c r="AF976" s="17">
        <v>0</v>
      </c>
      <c r="AG976" s="17">
        <v>0</v>
      </c>
      <c r="AH976" s="17">
        <v>0</v>
      </c>
      <c r="AI976" s="17">
        <v>0</v>
      </c>
      <c r="AJ976" s="17">
        <v>0</v>
      </c>
      <c r="AK976" s="17">
        <v>0</v>
      </c>
      <c r="AL976" s="32">
        <v>0</v>
      </c>
      <c r="AM976" s="57"/>
      <c r="AN976" s="89"/>
      <c r="AO976" s="280"/>
      <c r="AP976" s="784"/>
      <c r="AQ976" s="773" t="s">
        <v>271</v>
      </c>
      <c r="AR976" s="188">
        <v>100</v>
      </c>
      <c r="AS976" s="171"/>
      <c r="AT976" s="171" t="str">
        <f t="shared" si="83"/>
        <v>400</v>
      </c>
      <c r="AU976" s="255">
        <f t="shared" si="84"/>
        <v>22.222222222222221</v>
      </c>
      <c r="AV976" s="57"/>
      <c r="AW976" s="171">
        <v>1</v>
      </c>
      <c r="AX976" s="89"/>
      <c r="AY976" s="171">
        <v>20</v>
      </c>
      <c r="AZ976" s="89"/>
      <c r="BA976" s="175">
        <v>60</v>
      </c>
      <c r="BB976" s="259"/>
      <c r="BC976" s="176"/>
      <c r="BD976" s="179"/>
      <c r="BE976" s="179"/>
      <c r="BF976" s="178"/>
      <c r="BG976" s="25"/>
      <c r="BH976" s="25"/>
    </row>
    <row r="977" spans="1:60" ht="15" customHeight="1">
      <c r="A977" s="95">
        <v>976</v>
      </c>
      <c r="B977" s="98" t="s">
        <v>726</v>
      </c>
      <c r="C977" s="191" t="s">
        <v>2692</v>
      </c>
      <c r="D977" s="257" t="s">
        <v>549</v>
      </c>
      <c r="E977" s="459" t="s">
        <v>3377</v>
      </c>
      <c r="F977" s="171">
        <v>1999</v>
      </c>
      <c r="G977" s="171">
        <v>216</v>
      </c>
      <c r="H977" s="57"/>
      <c r="I977" s="173" t="s">
        <v>2564</v>
      </c>
      <c r="J977" s="212">
        <f t="shared" si="86"/>
        <v>0.55045871559633031</v>
      </c>
      <c r="K977" s="213">
        <v>5.8379204892966357</v>
      </c>
      <c r="L977" s="91"/>
      <c r="M977" s="278">
        <v>327</v>
      </c>
      <c r="N977" s="279"/>
      <c r="O977" s="172" t="s">
        <v>12</v>
      </c>
      <c r="P977" s="92"/>
      <c r="Q977" s="173" t="s">
        <v>10</v>
      </c>
      <c r="R977" s="94"/>
      <c r="S977" s="94"/>
      <c r="T977" s="171" t="s">
        <v>2306</v>
      </c>
      <c r="U977" s="171" t="s">
        <v>2530</v>
      </c>
      <c r="V977" s="102">
        <v>0</v>
      </c>
      <c r="W977" s="120">
        <v>0</v>
      </c>
      <c r="X977" s="120" t="s">
        <v>2559</v>
      </c>
      <c r="Y977" s="120">
        <v>0</v>
      </c>
      <c r="Z977" s="120">
        <v>0</v>
      </c>
      <c r="AA977" s="17">
        <v>0</v>
      </c>
      <c r="AB977" s="17">
        <v>0</v>
      </c>
      <c r="AC977" s="17">
        <v>0</v>
      </c>
      <c r="AD977" s="17">
        <v>0</v>
      </c>
      <c r="AE977" s="17">
        <v>0</v>
      </c>
      <c r="AF977" s="17">
        <v>0</v>
      </c>
      <c r="AG977" s="17">
        <v>0</v>
      </c>
      <c r="AH977" s="17">
        <v>0</v>
      </c>
      <c r="AI977" s="17">
        <v>0</v>
      </c>
      <c r="AJ977" s="17">
        <v>0</v>
      </c>
      <c r="AK977" s="17">
        <v>0</v>
      </c>
      <c r="AL977" s="32">
        <v>0</v>
      </c>
      <c r="AM977" s="57"/>
      <c r="AN977" s="89"/>
      <c r="AO977" s="280"/>
      <c r="AP977" s="784"/>
      <c r="AQ977" s="773" t="s">
        <v>271</v>
      </c>
      <c r="AR977" s="188">
        <v>100</v>
      </c>
      <c r="AS977" s="171"/>
      <c r="AT977" s="171" t="str">
        <f t="shared" si="83"/>
        <v>400</v>
      </c>
      <c r="AU977" s="255">
        <f t="shared" si="84"/>
        <v>22.222222222222221</v>
      </c>
      <c r="AV977" s="57"/>
      <c r="AW977" s="171">
        <v>1</v>
      </c>
      <c r="AX977" s="89"/>
      <c r="AY977" s="171">
        <v>20</v>
      </c>
      <c r="AZ977" s="89"/>
      <c r="BA977" s="175">
        <v>60</v>
      </c>
      <c r="BB977" s="259"/>
      <c r="BC977" s="176"/>
      <c r="BD977" s="179"/>
      <c r="BE977" s="179"/>
      <c r="BF977" s="178"/>
      <c r="BG977" s="25"/>
      <c r="BH977" s="25"/>
    </row>
    <row r="978" spans="1:60" ht="15" customHeight="1">
      <c r="A978" s="95">
        <v>977</v>
      </c>
      <c r="B978" s="98" t="s">
        <v>725</v>
      </c>
      <c r="C978" s="191" t="s">
        <v>2692</v>
      </c>
      <c r="D978" s="257" t="s">
        <v>549</v>
      </c>
      <c r="E978" s="459" t="s">
        <v>3377</v>
      </c>
      <c r="F978" s="171">
        <v>1999</v>
      </c>
      <c r="G978" s="171">
        <v>216</v>
      </c>
      <c r="H978" s="57"/>
      <c r="I978" s="173" t="s">
        <v>2564</v>
      </c>
      <c r="J978" s="212">
        <f t="shared" si="86"/>
        <v>0.55045871559633031</v>
      </c>
      <c r="K978" s="213">
        <v>5.7522935779816518</v>
      </c>
      <c r="L978" s="91"/>
      <c r="M978" s="278">
        <v>327</v>
      </c>
      <c r="N978" s="279"/>
      <c r="O978" s="172" t="s">
        <v>12</v>
      </c>
      <c r="P978" s="92"/>
      <c r="Q978" s="173" t="s">
        <v>10</v>
      </c>
      <c r="R978" s="94"/>
      <c r="S978" s="94"/>
      <c r="T978" s="171" t="s">
        <v>2306</v>
      </c>
      <c r="U978" s="171" t="s">
        <v>2530</v>
      </c>
      <c r="V978" s="102">
        <v>0</v>
      </c>
      <c r="W978" s="120">
        <v>0</v>
      </c>
      <c r="X978" s="120" t="s">
        <v>2559</v>
      </c>
      <c r="Y978" s="120">
        <v>0</v>
      </c>
      <c r="Z978" s="120">
        <v>0</v>
      </c>
      <c r="AA978" s="17">
        <v>0</v>
      </c>
      <c r="AB978" s="17">
        <v>0</v>
      </c>
      <c r="AC978" s="17">
        <v>0</v>
      </c>
      <c r="AD978" s="17">
        <v>0</v>
      </c>
      <c r="AE978" s="17">
        <v>0</v>
      </c>
      <c r="AF978" s="17">
        <v>0</v>
      </c>
      <c r="AG978" s="17">
        <v>0</v>
      </c>
      <c r="AH978" s="17">
        <v>0</v>
      </c>
      <c r="AI978" s="17">
        <v>0</v>
      </c>
      <c r="AJ978" s="17">
        <v>0</v>
      </c>
      <c r="AK978" s="17">
        <v>0</v>
      </c>
      <c r="AL978" s="32">
        <v>0</v>
      </c>
      <c r="AM978" s="57"/>
      <c r="AN978" s="89"/>
      <c r="AO978" s="280"/>
      <c r="AP978" s="784"/>
      <c r="AQ978" s="773" t="s">
        <v>271</v>
      </c>
      <c r="AR978" s="188">
        <v>100</v>
      </c>
      <c r="AS978" s="171"/>
      <c r="AT978" s="171" t="str">
        <f t="shared" si="83"/>
        <v>400</v>
      </c>
      <c r="AU978" s="255">
        <f t="shared" si="84"/>
        <v>22.222222222222221</v>
      </c>
      <c r="AV978" s="57"/>
      <c r="AW978" s="171">
        <v>1</v>
      </c>
      <c r="AX978" s="89"/>
      <c r="AY978" s="171">
        <v>20</v>
      </c>
      <c r="AZ978" s="89"/>
      <c r="BA978" s="175">
        <v>60</v>
      </c>
      <c r="BB978" s="259"/>
      <c r="BC978" s="176"/>
      <c r="BD978" s="179"/>
      <c r="BE978" s="179"/>
      <c r="BF978" s="178"/>
      <c r="BG978" s="25"/>
      <c r="BH978" s="25"/>
    </row>
    <row r="979" spans="1:60" ht="15" customHeight="1">
      <c r="A979" s="95">
        <v>978</v>
      </c>
      <c r="B979" s="98" t="s">
        <v>724</v>
      </c>
      <c r="C979" s="191" t="s">
        <v>2692</v>
      </c>
      <c r="D979" s="257" t="s">
        <v>549</v>
      </c>
      <c r="E979" s="459" t="s">
        <v>3377</v>
      </c>
      <c r="F979" s="171">
        <v>1999</v>
      </c>
      <c r="G979" s="171">
        <v>216</v>
      </c>
      <c r="H979" s="57"/>
      <c r="I979" s="173" t="s">
        <v>2564</v>
      </c>
      <c r="J979" s="212">
        <f t="shared" si="86"/>
        <v>0.55045871559633031</v>
      </c>
      <c r="K979" s="213">
        <v>5.957186544342508</v>
      </c>
      <c r="L979" s="91"/>
      <c r="M979" s="278">
        <v>327</v>
      </c>
      <c r="N979" s="279"/>
      <c r="O979" s="172" t="s">
        <v>12</v>
      </c>
      <c r="P979" s="511"/>
      <c r="Q979" s="173" t="s">
        <v>10</v>
      </c>
      <c r="R979" s="94"/>
      <c r="S979" s="94"/>
      <c r="T979" s="171" t="s">
        <v>2306</v>
      </c>
      <c r="U979" s="171" t="s">
        <v>2530</v>
      </c>
      <c r="V979" s="102">
        <v>0</v>
      </c>
      <c r="W979" s="120">
        <v>0</v>
      </c>
      <c r="X979" s="120" t="s">
        <v>2559</v>
      </c>
      <c r="Y979" s="120">
        <v>0</v>
      </c>
      <c r="Z979" s="120">
        <v>0</v>
      </c>
      <c r="AA979" s="17">
        <v>0</v>
      </c>
      <c r="AB979" s="17">
        <v>0</v>
      </c>
      <c r="AC979" s="17">
        <v>0</v>
      </c>
      <c r="AD979" s="17">
        <v>0</v>
      </c>
      <c r="AE979" s="17">
        <v>0</v>
      </c>
      <c r="AF979" s="17">
        <v>0</v>
      </c>
      <c r="AG979" s="17">
        <v>0</v>
      </c>
      <c r="AH979" s="17">
        <v>0</v>
      </c>
      <c r="AI979" s="17">
        <v>0</v>
      </c>
      <c r="AJ979" s="17">
        <v>0</v>
      </c>
      <c r="AK979" s="17">
        <v>0</v>
      </c>
      <c r="AL979" s="32">
        <v>0</v>
      </c>
      <c r="AM979" s="57"/>
      <c r="AN979" s="89"/>
      <c r="AO979" s="280"/>
      <c r="AP979" s="784"/>
      <c r="AQ979" s="773" t="s">
        <v>271</v>
      </c>
      <c r="AR979" s="188">
        <v>100</v>
      </c>
      <c r="AS979" s="171"/>
      <c r="AT979" s="171" t="str">
        <f t="shared" si="83"/>
        <v>400</v>
      </c>
      <c r="AU979" s="255">
        <f t="shared" si="84"/>
        <v>22.222222222222221</v>
      </c>
      <c r="AV979" s="57"/>
      <c r="AW979" s="171">
        <v>1</v>
      </c>
      <c r="AX979" s="89"/>
      <c r="AY979" s="171">
        <v>20</v>
      </c>
      <c r="AZ979" s="89"/>
      <c r="BA979" s="175">
        <v>60</v>
      </c>
      <c r="BB979" s="259"/>
      <c r="BC979" s="176"/>
      <c r="BD979" s="179"/>
      <c r="BE979" s="179"/>
      <c r="BF979" s="178"/>
      <c r="BG979" s="25"/>
      <c r="BH979" s="25"/>
    </row>
    <row r="980" spans="1:60" ht="15" customHeight="1">
      <c r="A980" s="95">
        <v>979</v>
      </c>
      <c r="B980" s="98" t="s">
        <v>723</v>
      </c>
      <c r="C980" s="191" t="s">
        <v>2692</v>
      </c>
      <c r="D980" s="257" t="s">
        <v>549</v>
      </c>
      <c r="E980" s="459" t="s">
        <v>3377</v>
      </c>
      <c r="F980" s="171">
        <v>1999</v>
      </c>
      <c r="G980" s="171">
        <v>216</v>
      </c>
      <c r="H980" s="57"/>
      <c r="I980" s="173" t="s">
        <v>2564</v>
      </c>
      <c r="J980" s="212">
        <f t="shared" si="86"/>
        <v>0.55045871559633031</v>
      </c>
      <c r="K980" s="213">
        <v>6.4678899082568808</v>
      </c>
      <c r="L980" s="91"/>
      <c r="M980" s="278">
        <v>327</v>
      </c>
      <c r="N980" s="279"/>
      <c r="O980" s="172" t="s">
        <v>12</v>
      </c>
      <c r="P980" s="92"/>
      <c r="Q980" s="173" t="s">
        <v>10</v>
      </c>
      <c r="R980" s="94"/>
      <c r="S980" s="94"/>
      <c r="T980" s="171" t="s">
        <v>2306</v>
      </c>
      <c r="U980" s="171" t="s">
        <v>2530</v>
      </c>
      <c r="V980" s="102">
        <v>0</v>
      </c>
      <c r="W980" s="120">
        <v>0</v>
      </c>
      <c r="X980" s="120" t="s">
        <v>2559</v>
      </c>
      <c r="Y980" s="120">
        <v>0</v>
      </c>
      <c r="Z980" s="120">
        <v>0</v>
      </c>
      <c r="AA980" s="17">
        <v>0</v>
      </c>
      <c r="AB980" s="17">
        <v>0</v>
      </c>
      <c r="AC980" s="17">
        <v>0</v>
      </c>
      <c r="AD980" s="17">
        <v>0</v>
      </c>
      <c r="AE980" s="17">
        <v>0</v>
      </c>
      <c r="AF980" s="17">
        <v>0</v>
      </c>
      <c r="AG980" s="17">
        <v>0</v>
      </c>
      <c r="AH980" s="17">
        <v>0</v>
      </c>
      <c r="AI980" s="17">
        <v>0</v>
      </c>
      <c r="AJ980" s="17">
        <v>0</v>
      </c>
      <c r="AK980" s="17">
        <v>0</v>
      </c>
      <c r="AL980" s="32">
        <v>0</v>
      </c>
      <c r="AM980" s="57"/>
      <c r="AN980" s="89"/>
      <c r="AO980" s="280"/>
      <c r="AP980" s="784"/>
      <c r="AQ980" s="773" t="s">
        <v>271</v>
      </c>
      <c r="AR980" s="188">
        <v>100</v>
      </c>
      <c r="AS980" s="171"/>
      <c r="AT980" s="171" t="str">
        <f t="shared" si="83"/>
        <v>400</v>
      </c>
      <c r="AU980" s="255">
        <f t="shared" si="84"/>
        <v>22.222222222222221</v>
      </c>
      <c r="AV980" s="57"/>
      <c r="AW980" s="171">
        <v>1</v>
      </c>
      <c r="AX980" s="89"/>
      <c r="AY980" s="171">
        <v>20</v>
      </c>
      <c r="AZ980" s="89"/>
      <c r="BA980" s="175">
        <v>60</v>
      </c>
      <c r="BB980" s="259"/>
      <c r="BC980" s="176"/>
      <c r="BD980" s="179"/>
      <c r="BE980" s="179"/>
      <c r="BF980" s="178"/>
      <c r="BG980" s="25"/>
      <c r="BH980" s="25"/>
    </row>
    <row r="981" spans="1:60" ht="15" customHeight="1">
      <c r="A981" s="95">
        <v>980</v>
      </c>
      <c r="B981" s="98" t="s">
        <v>722</v>
      </c>
      <c r="C981" s="191" t="s">
        <v>2693</v>
      </c>
      <c r="D981" s="257" t="s">
        <v>549</v>
      </c>
      <c r="E981" s="459" t="s">
        <v>3377</v>
      </c>
      <c r="F981" s="171">
        <v>1999</v>
      </c>
      <c r="G981" s="171">
        <v>217</v>
      </c>
      <c r="H981" s="57"/>
      <c r="I981" s="173" t="s">
        <v>2564</v>
      </c>
      <c r="J981" s="277">
        <v>0.55000000000000004</v>
      </c>
      <c r="K981" s="213">
        <v>4.1477987421383649</v>
      </c>
      <c r="L981" s="91"/>
      <c r="M981" s="278">
        <v>318</v>
      </c>
      <c r="N981" s="279"/>
      <c r="O981" s="172" t="s">
        <v>120</v>
      </c>
      <c r="P981" s="89"/>
      <c r="Q981" s="173" t="s">
        <v>2533</v>
      </c>
      <c r="R981" s="94"/>
      <c r="S981" s="94"/>
      <c r="T981" s="171" t="s">
        <v>2552</v>
      </c>
      <c r="U981" s="171" t="s">
        <v>3346</v>
      </c>
      <c r="V981" s="102">
        <v>0</v>
      </c>
      <c r="W981" s="120">
        <v>0</v>
      </c>
      <c r="X981" s="120" t="s">
        <v>2559</v>
      </c>
      <c r="Y981" s="120">
        <v>0</v>
      </c>
      <c r="Z981" s="120">
        <v>0</v>
      </c>
      <c r="AA981" s="17">
        <v>0</v>
      </c>
      <c r="AB981" s="17">
        <v>0</v>
      </c>
      <c r="AC981" s="17">
        <v>0</v>
      </c>
      <c r="AD981" s="17">
        <v>0</v>
      </c>
      <c r="AE981" s="17">
        <v>0</v>
      </c>
      <c r="AF981" s="17">
        <v>0</v>
      </c>
      <c r="AG981" s="17">
        <v>0</v>
      </c>
      <c r="AH981" s="17">
        <v>0</v>
      </c>
      <c r="AI981" s="17">
        <v>0</v>
      </c>
      <c r="AJ981" s="17">
        <v>0</v>
      </c>
      <c r="AK981" s="17">
        <v>0</v>
      </c>
      <c r="AL981" s="32">
        <v>0</v>
      </c>
      <c r="AM981" s="57"/>
      <c r="AN981" s="89"/>
      <c r="AO981" s="280"/>
      <c r="AP981" s="784"/>
      <c r="AQ981" s="773" t="s">
        <v>271</v>
      </c>
      <c r="AR981" s="188">
        <v>100</v>
      </c>
      <c r="AS981" s="171"/>
      <c r="AT981" s="171" t="str">
        <f t="shared" si="83"/>
        <v>400</v>
      </c>
      <c r="AU981" s="255">
        <f t="shared" si="84"/>
        <v>22.222222222222221</v>
      </c>
      <c r="AV981" s="172">
        <v>100</v>
      </c>
      <c r="AW981" s="171">
        <v>7</v>
      </c>
      <c r="AX981" s="89"/>
      <c r="AY981" s="171">
        <v>20</v>
      </c>
      <c r="AZ981" s="89"/>
      <c r="BA981" s="175">
        <v>60</v>
      </c>
      <c r="BB981" s="189" t="s">
        <v>2547</v>
      </c>
      <c r="BC981" s="176"/>
      <c r="BD981" s="179"/>
      <c r="BE981" s="179"/>
      <c r="BF981" s="178"/>
      <c r="BG981" s="25"/>
      <c r="BH981" s="25"/>
    </row>
    <row r="982" spans="1:60" ht="15" customHeight="1">
      <c r="A982" s="95">
        <v>981</v>
      </c>
      <c r="B982" s="98" t="s">
        <v>721</v>
      </c>
      <c r="C982" s="191" t="s">
        <v>2693</v>
      </c>
      <c r="D982" s="257" t="s">
        <v>549</v>
      </c>
      <c r="E982" s="459" t="s">
        <v>3377</v>
      </c>
      <c r="F982" s="171">
        <v>1999</v>
      </c>
      <c r="G982" s="171">
        <v>217</v>
      </c>
      <c r="H982" s="57"/>
      <c r="I982" s="173" t="s">
        <v>2564</v>
      </c>
      <c r="J982" s="277">
        <v>0.45</v>
      </c>
      <c r="K982" s="213">
        <v>3.2673521850899743</v>
      </c>
      <c r="L982" s="91"/>
      <c r="M982" s="278">
        <v>389</v>
      </c>
      <c r="N982" s="279"/>
      <c r="O982" s="172" t="s">
        <v>120</v>
      </c>
      <c r="P982" s="89"/>
      <c r="Q982" s="173" t="s">
        <v>2533</v>
      </c>
      <c r="R982" s="507"/>
      <c r="S982" s="94"/>
      <c r="T982" s="171" t="s">
        <v>2552</v>
      </c>
      <c r="U982" s="171" t="s">
        <v>3346</v>
      </c>
      <c r="V982" s="102">
        <v>0</v>
      </c>
      <c r="W982" s="120">
        <v>0</v>
      </c>
      <c r="X982" s="120" t="s">
        <v>2559</v>
      </c>
      <c r="Y982" s="120">
        <v>0</v>
      </c>
      <c r="Z982" s="120">
        <v>0</v>
      </c>
      <c r="AA982" s="17">
        <v>0</v>
      </c>
      <c r="AB982" s="17">
        <v>0</v>
      </c>
      <c r="AC982" s="17">
        <v>0</v>
      </c>
      <c r="AD982" s="17">
        <v>0</v>
      </c>
      <c r="AE982" s="17">
        <v>0</v>
      </c>
      <c r="AF982" s="17">
        <v>0</v>
      </c>
      <c r="AG982" s="17">
        <v>0</v>
      </c>
      <c r="AH982" s="17">
        <v>0</v>
      </c>
      <c r="AI982" s="17">
        <v>0</v>
      </c>
      <c r="AJ982" s="17">
        <v>0</v>
      </c>
      <c r="AK982" s="17">
        <v>0</v>
      </c>
      <c r="AL982" s="32">
        <v>0</v>
      </c>
      <c r="AM982" s="57"/>
      <c r="AN982" s="89"/>
      <c r="AO982" s="280"/>
      <c r="AP982" s="784"/>
      <c r="AQ982" s="773" t="s">
        <v>271</v>
      </c>
      <c r="AR982" s="188">
        <v>100</v>
      </c>
      <c r="AS982" s="171"/>
      <c r="AT982" s="171" t="str">
        <f t="shared" si="83"/>
        <v>400</v>
      </c>
      <c r="AU982" s="255">
        <f t="shared" si="84"/>
        <v>22.222222222222221</v>
      </c>
      <c r="AV982" s="172">
        <v>100</v>
      </c>
      <c r="AW982" s="171">
        <v>7</v>
      </c>
      <c r="AX982" s="89"/>
      <c r="AY982" s="171">
        <v>20</v>
      </c>
      <c r="AZ982" s="89"/>
      <c r="BA982" s="175">
        <v>60</v>
      </c>
      <c r="BB982" s="189" t="s">
        <v>2547</v>
      </c>
      <c r="BC982" s="176"/>
      <c r="BD982" s="179"/>
      <c r="BE982" s="179"/>
      <c r="BF982" s="178"/>
      <c r="BG982" s="25"/>
      <c r="BH982" s="25"/>
    </row>
    <row r="983" spans="1:60" ht="15" customHeight="1">
      <c r="A983" s="95">
        <v>982</v>
      </c>
      <c r="B983" s="98" t="s">
        <v>720</v>
      </c>
      <c r="C983" s="191" t="s">
        <v>2693</v>
      </c>
      <c r="D983" s="257" t="s">
        <v>549</v>
      </c>
      <c r="E983" s="459" t="s">
        <v>3377</v>
      </c>
      <c r="F983" s="171">
        <v>1999</v>
      </c>
      <c r="G983" s="171">
        <v>217</v>
      </c>
      <c r="H983" s="57"/>
      <c r="I983" s="173" t="s">
        <v>2564</v>
      </c>
      <c r="J983" s="277">
        <v>0.35</v>
      </c>
      <c r="K983" s="213">
        <v>2.3559999999999999</v>
      </c>
      <c r="L983" s="91"/>
      <c r="M983" s="278">
        <v>500</v>
      </c>
      <c r="N983" s="279"/>
      <c r="O983" s="172" t="s">
        <v>120</v>
      </c>
      <c r="P983" s="89"/>
      <c r="Q983" s="173" t="s">
        <v>2533</v>
      </c>
      <c r="R983" s="507"/>
      <c r="S983" s="94"/>
      <c r="T983" s="171" t="s">
        <v>2552</v>
      </c>
      <c r="U983" s="171" t="s">
        <v>3346</v>
      </c>
      <c r="V983" s="102">
        <v>0</v>
      </c>
      <c r="W983" s="120">
        <v>0</v>
      </c>
      <c r="X983" s="120" t="s">
        <v>2559</v>
      </c>
      <c r="Y983" s="120">
        <v>0</v>
      </c>
      <c r="Z983" s="120">
        <v>0</v>
      </c>
      <c r="AA983" s="17">
        <v>0</v>
      </c>
      <c r="AB983" s="17">
        <v>0</v>
      </c>
      <c r="AC983" s="17">
        <v>0</v>
      </c>
      <c r="AD983" s="17">
        <v>0</v>
      </c>
      <c r="AE983" s="17">
        <v>0</v>
      </c>
      <c r="AF983" s="17">
        <v>0</v>
      </c>
      <c r="AG983" s="17">
        <v>0</v>
      </c>
      <c r="AH983" s="17">
        <v>0</v>
      </c>
      <c r="AI983" s="17">
        <v>0</v>
      </c>
      <c r="AJ983" s="17">
        <v>0</v>
      </c>
      <c r="AK983" s="17">
        <v>0</v>
      </c>
      <c r="AL983" s="32">
        <v>0</v>
      </c>
      <c r="AM983" s="57"/>
      <c r="AN983" s="89"/>
      <c r="AO983" s="280"/>
      <c r="AP983" s="784"/>
      <c r="AQ983" s="773" t="s">
        <v>271</v>
      </c>
      <c r="AR983" s="188">
        <v>100</v>
      </c>
      <c r="AS983" s="171"/>
      <c r="AT983" s="171" t="str">
        <f t="shared" si="83"/>
        <v>400</v>
      </c>
      <c r="AU983" s="255">
        <f t="shared" si="84"/>
        <v>22.222222222222221</v>
      </c>
      <c r="AV983" s="172">
        <v>100</v>
      </c>
      <c r="AW983" s="171">
        <v>7</v>
      </c>
      <c r="AX983" s="89"/>
      <c r="AY983" s="171">
        <v>20</v>
      </c>
      <c r="AZ983" s="89"/>
      <c r="BA983" s="175">
        <v>60</v>
      </c>
      <c r="BB983" s="189" t="s">
        <v>2547</v>
      </c>
      <c r="BC983" s="176"/>
      <c r="BD983" s="179"/>
      <c r="BE983" s="179"/>
      <c r="BF983" s="178"/>
      <c r="BG983" s="25"/>
      <c r="BH983" s="25"/>
    </row>
    <row r="984" spans="1:60" ht="15" customHeight="1">
      <c r="A984" s="95">
        <v>983</v>
      </c>
      <c r="B984" s="98" t="s">
        <v>719</v>
      </c>
      <c r="C984" s="191" t="s">
        <v>2692</v>
      </c>
      <c r="D984" s="257" t="s">
        <v>549</v>
      </c>
      <c r="E984" s="459" t="s">
        <v>3377</v>
      </c>
      <c r="F984" s="171">
        <v>1998</v>
      </c>
      <c r="G984" s="171">
        <v>218</v>
      </c>
      <c r="H984" s="57"/>
      <c r="I984" s="173" t="s">
        <v>2564</v>
      </c>
      <c r="J984" s="277">
        <v>0.55000000000000004</v>
      </c>
      <c r="K984" s="213">
        <v>5.3577981651376145</v>
      </c>
      <c r="L984" s="91"/>
      <c r="M984" s="278">
        <v>327</v>
      </c>
      <c r="N984" s="279"/>
      <c r="O984" s="172" t="s">
        <v>12</v>
      </c>
      <c r="P984" s="92"/>
      <c r="Q984" s="173" t="s">
        <v>10</v>
      </c>
      <c r="R984" s="94"/>
      <c r="S984" s="94"/>
      <c r="T984" s="171" t="s">
        <v>2306</v>
      </c>
      <c r="U984" s="171" t="s">
        <v>2530</v>
      </c>
      <c r="V984" s="102">
        <v>0</v>
      </c>
      <c r="W984" s="120">
        <v>0</v>
      </c>
      <c r="X984" s="120">
        <v>0</v>
      </c>
      <c r="Y984" s="120">
        <v>0</v>
      </c>
      <c r="Z984" s="120">
        <v>0</v>
      </c>
      <c r="AA984" s="17">
        <v>0</v>
      </c>
      <c r="AB984" s="17">
        <v>0</v>
      </c>
      <c r="AC984" s="17">
        <v>0</v>
      </c>
      <c r="AD984" s="17">
        <v>0</v>
      </c>
      <c r="AE984" s="17">
        <v>0</v>
      </c>
      <c r="AF984" s="17">
        <v>0</v>
      </c>
      <c r="AG984" s="17">
        <v>0</v>
      </c>
      <c r="AH984" s="17">
        <v>0</v>
      </c>
      <c r="AI984" s="17">
        <v>0</v>
      </c>
      <c r="AJ984" s="17">
        <v>0</v>
      </c>
      <c r="AK984" s="17">
        <v>0</v>
      </c>
      <c r="AL984" s="32">
        <v>0</v>
      </c>
      <c r="AM984" s="57"/>
      <c r="AN984" s="89"/>
      <c r="AO984" s="280"/>
      <c r="AP984" s="784"/>
      <c r="AQ984" s="773" t="s">
        <v>271</v>
      </c>
      <c r="AR984" s="188">
        <v>100</v>
      </c>
      <c r="AS984" s="171"/>
      <c r="AT984" s="171" t="str">
        <f t="shared" si="83"/>
        <v>400</v>
      </c>
      <c r="AU984" s="255">
        <f t="shared" si="84"/>
        <v>22.222222222222221</v>
      </c>
      <c r="AV984" s="57"/>
      <c r="AW984" s="171">
        <v>1</v>
      </c>
      <c r="AX984" s="89"/>
      <c r="AY984" s="171">
        <v>20</v>
      </c>
      <c r="AZ984" s="89"/>
      <c r="BA984" s="175">
        <v>60</v>
      </c>
      <c r="BB984" s="259"/>
      <c r="BC984" s="176"/>
      <c r="BD984" s="179"/>
      <c r="BE984" s="179"/>
      <c r="BF984" s="178"/>
      <c r="BG984" s="25"/>
      <c r="BH984" s="25"/>
    </row>
    <row r="985" spans="1:60" ht="18" customHeight="1">
      <c r="A985" s="95">
        <v>984</v>
      </c>
      <c r="B985" s="98" t="s">
        <v>718</v>
      </c>
      <c r="C985" s="191" t="s">
        <v>2692</v>
      </c>
      <c r="D985" s="257" t="s">
        <v>549</v>
      </c>
      <c r="E985" s="459" t="s">
        <v>3377</v>
      </c>
      <c r="F985" s="171">
        <v>1998</v>
      </c>
      <c r="G985" s="171">
        <v>218</v>
      </c>
      <c r="H985" s="57"/>
      <c r="I985" s="173" t="s">
        <v>2564</v>
      </c>
      <c r="J985" s="277">
        <v>0.3</v>
      </c>
      <c r="K985" s="213">
        <v>3.1411764705882352</v>
      </c>
      <c r="L985" s="91"/>
      <c r="M985" s="278">
        <v>510</v>
      </c>
      <c r="N985" s="279"/>
      <c r="O985" s="172" t="s">
        <v>12</v>
      </c>
      <c r="P985" s="92"/>
      <c r="Q985" s="173" t="s">
        <v>10</v>
      </c>
      <c r="R985" s="94"/>
      <c r="S985" s="94"/>
      <c r="T985" s="171" t="s">
        <v>2306</v>
      </c>
      <c r="U985" s="171" t="s">
        <v>2530</v>
      </c>
      <c r="V985" s="102">
        <v>0</v>
      </c>
      <c r="W985" s="120">
        <f>57/510*100</f>
        <v>11.176470588235295</v>
      </c>
      <c r="X985" s="120">
        <v>0</v>
      </c>
      <c r="Y985" s="120">
        <v>0</v>
      </c>
      <c r="Z985" s="120">
        <v>0</v>
      </c>
      <c r="AA985" s="17">
        <v>0</v>
      </c>
      <c r="AB985" s="17">
        <v>0</v>
      </c>
      <c r="AC985" s="17">
        <v>0</v>
      </c>
      <c r="AD985" s="17">
        <v>0</v>
      </c>
      <c r="AE985" s="17">
        <v>0</v>
      </c>
      <c r="AF985" s="17">
        <v>0</v>
      </c>
      <c r="AG985" s="17">
        <v>0</v>
      </c>
      <c r="AH985" s="17">
        <v>0</v>
      </c>
      <c r="AI985" s="17">
        <v>0</v>
      </c>
      <c r="AJ985" s="17">
        <v>0</v>
      </c>
      <c r="AK985" s="17">
        <v>0</v>
      </c>
      <c r="AL985" s="32">
        <v>0</v>
      </c>
      <c r="AM985" s="57"/>
      <c r="AN985" s="89"/>
      <c r="AO985" s="280"/>
      <c r="AP985" s="784"/>
      <c r="AQ985" s="773" t="s">
        <v>271</v>
      </c>
      <c r="AR985" s="188">
        <v>100</v>
      </c>
      <c r="AS985" s="171"/>
      <c r="AT985" s="171" t="str">
        <f t="shared" si="83"/>
        <v>400</v>
      </c>
      <c r="AU985" s="255">
        <f t="shared" si="84"/>
        <v>22.222222222222221</v>
      </c>
      <c r="AV985" s="57"/>
      <c r="AW985" s="171">
        <v>1</v>
      </c>
      <c r="AX985" s="89"/>
      <c r="AY985" s="171">
        <v>20</v>
      </c>
      <c r="AZ985" s="89"/>
      <c r="BA985" s="175">
        <v>60</v>
      </c>
      <c r="BB985" s="259"/>
      <c r="BC985" s="176"/>
      <c r="BD985" s="179"/>
      <c r="BE985" s="179"/>
      <c r="BF985" s="178"/>
      <c r="BG985" s="25"/>
      <c r="BH985" s="25"/>
    </row>
    <row r="986" spans="1:60" ht="18" customHeight="1">
      <c r="A986" s="95">
        <v>985</v>
      </c>
      <c r="B986" s="98" t="s">
        <v>717</v>
      </c>
      <c r="C986" s="191" t="s">
        <v>2692</v>
      </c>
      <c r="D986" s="257" t="s">
        <v>549</v>
      </c>
      <c r="E986" s="459" t="s">
        <v>3377</v>
      </c>
      <c r="F986" s="171">
        <v>1998</v>
      </c>
      <c r="G986" s="171">
        <v>218</v>
      </c>
      <c r="H986" s="57"/>
      <c r="I986" s="173" t="s">
        <v>2564</v>
      </c>
      <c r="J986" s="277">
        <v>0.55000000000000004</v>
      </c>
      <c r="K986" s="213">
        <v>6.5763358778625953</v>
      </c>
      <c r="L986" s="91"/>
      <c r="M986" s="278">
        <v>262</v>
      </c>
      <c r="N986" s="279"/>
      <c r="O986" s="172" t="s">
        <v>12</v>
      </c>
      <c r="P986" s="92"/>
      <c r="Q986" s="173" t="s">
        <v>10</v>
      </c>
      <c r="R986" s="94"/>
      <c r="S986" s="94"/>
      <c r="T986" s="171" t="s">
        <v>2306</v>
      </c>
      <c r="U986" s="171" t="s">
        <v>2530</v>
      </c>
      <c r="V986" s="102">
        <v>0</v>
      </c>
      <c r="W986" s="120">
        <f>65/262*100</f>
        <v>24.809160305343511</v>
      </c>
      <c r="X986" s="120">
        <v>0</v>
      </c>
      <c r="Y986" s="120">
        <v>0</v>
      </c>
      <c r="Z986" s="120">
        <v>0</v>
      </c>
      <c r="AA986" s="17">
        <v>0</v>
      </c>
      <c r="AB986" s="17">
        <v>0</v>
      </c>
      <c r="AC986" s="17">
        <v>0</v>
      </c>
      <c r="AD986" s="17">
        <v>0</v>
      </c>
      <c r="AE986" s="17">
        <v>0</v>
      </c>
      <c r="AF986" s="17">
        <v>0</v>
      </c>
      <c r="AG986" s="17">
        <v>0</v>
      </c>
      <c r="AH986" s="17">
        <v>0</v>
      </c>
      <c r="AI986" s="17">
        <v>0</v>
      </c>
      <c r="AJ986" s="17">
        <v>0</v>
      </c>
      <c r="AK986" s="17">
        <v>0</v>
      </c>
      <c r="AL986" s="32">
        <v>0</v>
      </c>
      <c r="AM986" s="57"/>
      <c r="AN986" s="89"/>
      <c r="AO986" s="280"/>
      <c r="AP986" s="784"/>
      <c r="AQ986" s="773" t="s">
        <v>271</v>
      </c>
      <c r="AR986" s="188">
        <v>100</v>
      </c>
      <c r="AS986" s="171"/>
      <c r="AT986" s="171" t="str">
        <f t="shared" si="83"/>
        <v>400</v>
      </c>
      <c r="AU986" s="255">
        <f t="shared" si="84"/>
        <v>22.222222222222221</v>
      </c>
      <c r="AV986" s="57"/>
      <c r="AW986" s="171">
        <v>1</v>
      </c>
      <c r="AX986" s="89"/>
      <c r="AY986" s="171">
        <v>20</v>
      </c>
      <c r="AZ986" s="89"/>
      <c r="BA986" s="175">
        <v>60</v>
      </c>
      <c r="BB986" s="259"/>
      <c r="BC986" s="176"/>
      <c r="BD986" s="179"/>
      <c r="BE986" s="179"/>
      <c r="BF986" s="178"/>
      <c r="BG986" s="25"/>
      <c r="BH986" s="25"/>
    </row>
    <row r="987" spans="1:60" ht="18" customHeight="1">
      <c r="A987" s="95">
        <v>986</v>
      </c>
      <c r="B987" s="98" t="s">
        <v>716</v>
      </c>
      <c r="C987" s="191" t="s">
        <v>2692</v>
      </c>
      <c r="D987" s="257" t="s">
        <v>549</v>
      </c>
      <c r="E987" s="459" t="s">
        <v>3377</v>
      </c>
      <c r="F987" s="171">
        <v>1998</v>
      </c>
      <c r="G987" s="171">
        <v>218</v>
      </c>
      <c r="H987" s="57"/>
      <c r="I987" s="173" t="s">
        <v>2564</v>
      </c>
      <c r="J987" s="277">
        <v>0.3</v>
      </c>
      <c r="K987" s="213">
        <v>3.4867841409691631</v>
      </c>
      <c r="L987" s="91"/>
      <c r="M987" s="278">
        <v>454</v>
      </c>
      <c r="N987" s="279"/>
      <c r="O987" s="172" t="s">
        <v>12</v>
      </c>
      <c r="P987" s="92"/>
      <c r="Q987" s="173" t="s">
        <v>10</v>
      </c>
      <c r="R987" s="94"/>
      <c r="S987" s="94"/>
      <c r="T987" s="171" t="s">
        <v>2306</v>
      </c>
      <c r="U987" s="171" t="s">
        <v>2530</v>
      </c>
      <c r="V987" s="102">
        <v>0</v>
      </c>
      <c r="W987" s="120">
        <f>113/454*100</f>
        <v>24.889867841409689</v>
      </c>
      <c r="X987" s="120">
        <v>0</v>
      </c>
      <c r="Y987" s="120">
        <v>0</v>
      </c>
      <c r="Z987" s="120">
        <v>0</v>
      </c>
      <c r="AA987" s="17">
        <v>0</v>
      </c>
      <c r="AB987" s="17">
        <v>0</v>
      </c>
      <c r="AC987" s="17">
        <v>0</v>
      </c>
      <c r="AD987" s="17">
        <v>0</v>
      </c>
      <c r="AE987" s="17">
        <v>0</v>
      </c>
      <c r="AF987" s="17">
        <v>0</v>
      </c>
      <c r="AG987" s="17">
        <v>0</v>
      </c>
      <c r="AH987" s="17">
        <v>0</v>
      </c>
      <c r="AI987" s="17">
        <v>0</v>
      </c>
      <c r="AJ987" s="17">
        <v>0</v>
      </c>
      <c r="AK987" s="17">
        <v>0</v>
      </c>
      <c r="AL987" s="32">
        <v>0</v>
      </c>
      <c r="AM987" s="57"/>
      <c r="AN987" s="89"/>
      <c r="AO987" s="280"/>
      <c r="AP987" s="784"/>
      <c r="AQ987" s="773" t="s">
        <v>271</v>
      </c>
      <c r="AR987" s="188">
        <v>100</v>
      </c>
      <c r="AS987" s="171"/>
      <c r="AT987" s="171" t="str">
        <f t="shared" si="83"/>
        <v>400</v>
      </c>
      <c r="AU987" s="255">
        <f t="shared" si="84"/>
        <v>22.222222222222221</v>
      </c>
      <c r="AV987" s="57"/>
      <c r="AW987" s="171">
        <v>1</v>
      </c>
      <c r="AX987" s="89"/>
      <c r="AY987" s="171">
        <v>20</v>
      </c>
      <c r="AZ987" s="89"/>
      <c r="BA987" s="175">
        <v>60</v>
      </c>
      <c r="BB987" s="259"/>
      <c r="BC987" s="176"/>
      <c r="BD987" s="179"/>
      <c r="BE987" s="179"/>
      <c r="BF987" s="178"/>
      <c r="BG987" s="25"/>
      <c r="BH987" s="25"/>
    </row>
    <row r="988" spans="1:60" ht="18" customHeight="1">
      <c r="A988" s="95">
        <v>987</v>
      </c>
      <c r="B988" s="98" t="s">
        <v>715</v>
      </c>
      <c r="C988" s="191" t="s">
        <v>2692</v>
      </c>
      <c r="D988" s="257" t="s">
        <v>549</v>
      </c>
      <c r="E988" s="459" t="s">
        <v>3377</v>
      </c>
      <c r="F988" s="171">
        <v>1998</v>
      </c>
      <c r="G988" s="171">
        <v>218</v>
      </c>
      <c r="H988" s="57"/>
      <c r="I988" s="173" t="s">
        <v>2564</v>
      </c>
      <c r="J988" s="277">
        <v>0.3</v>
      </c>
      <c r="K988" s="213">
        <v>3.9496221662468516</v>
      </c>
      <c r="L988" s="91"/>
      <c r="M988" s="278">
        <v>397</v>
      </c>
      <c r="N988" s="279"/>
      <c r="O988" s="172" t="s">
        <v>12</v>
      </c>
      <c r="P988" s="92"/>
      <c r="Q988" s="173" t="s">
        <v>10</v>
      </c>
      <c r="R988" s="94"/>
      <c r="S988" s="94"/>
      <c r="T988" s="171" t="s">
        <v>2306</v>
      </c>
      <c r="U988" s="171" t="s">
        <v>2530</v>
      </c>
      <c r="V988" s="102">
        <v>0</v>
      </c>
      <c r="W988" s="120">
        <f>170/397*100</f>
        <v>42.821158690176318</v>
      </c>
      <c r="X988" s="120">
        <v>0</v>
      </c>
      <c r="Y988" s="120">
        <v>0</v>
      </c>
      <c r="Z988" s="120">
        <v>0</v>
      </c>
      <c r="AA988" s="17">
        <v>0</v>
      </c>
      <c r="AB988" s="17">
        <v>0</v>
      </c>
      <c r="AC988" s="17">
        <v>0</v>
      </c>
      <c r="AD988" s="17">
        <v>0</v>
      </c>
      <c r="AE988" s="17">
        <v>0</v>
      </c>
      <c r="AF988" s="17">
        <v>0</v>
      </c>
      <c r="AG988" s="17">
        <v>0</v>
      </c>
      <c r="AH988" s="17">
        <v>0</v>
      </c>
      <c r="AI988" s="17">
        <v>0</v>
      </c>
      <c r="AJ988" s="17">
        <v>0</v>
      </c>
      <c r="AK988" s="17">
        <v>0</v>
      </c>
      <c r="AL988" s="32">
        <v>0</v>
      </c>
      <c r="AM988" s="57"/>
      <c r="AN988" s="89"/>
      <c r="AO988" s="280"/>
      <c r="AP988" s="784"/>
      <c r="AQ988" s="773" t="s">
        <v>271</v>
      </c>
      <c r="AR988" s="188">
        <v>100</v>
      </c>
      <c r="AS988" s="171"/>
      <c r="AT988" s="171" t="str">
        <f t="shared" si="83"/>
        <v>400</v>
      </c>
      <c r="AU988" s="255">
        <f t="shared" si="84"/>
        <v>22.222222222222221</v>
      </c>
      <c r="AV988" s="57"/>
      <c r="AW988" s="171">
        <v>1</v>
      </c>
      <c r="AX988" s="89"/>
      <c r="AY988" s="171">
        <v>20</v>
      </c>
      <c r="AZ988" s="89"/>
      <c r="BA988" s="175">
        <v>60</v>
      </c>
      <c r="BB988" s="259"/>
      <c r="BC988" s="176"/>
      <c r="BD988" s="179"/>
      <c r="BE988" s="179"/>
      <c r="BF988" s="178"/>
      <c r="BG988" s="25"/>
      <c r="BH988" s="25"/>
    </row>
    <row r="989" spans="1:60" ht="18" customHeight="1">
      <c r="A989" s="95">
        <v>988</v>
      </c>
      <c r="B989" s="98" t="s">
        <v>714</v>
      </c>
      <c r="C989" s="191" t="s">
        <v>2692</v>
      </c>
      <c r="D989" s="257" t="s">
        <v>549</v>
      </c>
      <c r="E989" s="459" t="s">
        <v>3377</v>
      </c>
      <c r="F989" s="171">
        <v>1998</v>
      </c>
      <c r="G989" s="171">
        <v>218</v>
      </c>
      <c r="H989" s="57"/>
      <c r="I989" s="173" t="s">
        <v>2564</v>
      </c>
      <c r="J989" s="277">
        <v>0.3</v>
      </c>
      <c r="K989" s="213">
        <v>3.1098039215686275</v>
      </c>
      <c r="L989" s="91"/>
      <c r="M989" s="278">
        <v>510</v>
      </c>
      <c r="N989" s="279"/>
      <c r="O989" s="172" t="s">
        <v>12</v>
      </c>
      <c r="P989" s="92"/>
      <c r="Q989" s="173" t="s">
        <v>10</v>
      </c>
      <c r="R989" s="94"/>
      <c r="S989" s="94"/>
      <c r="T989" s="171" t="s">
        <v>2306</v>
      </c>
      <c r="U989" s="171" t="s">
        <v>2530</v>
      </c>
      <c r="V989" s="102">
        <v>0</v>
      </c>
      <c r="W989" s="120">
        <f>57/510*100</f>
        <v>11.176470588235295</v>
      </c>
      <c r="X989" s="120">
        <v>0</v>
      </c>
      <c r="Y989" s="120">
        <v>0</v>
      </c>
      <c r="Z989" s="120">
        <v>0</v>
      </c>
      <c r="AA989" s="17">
        <v>0</v>
      </c>
      <c r="AB989" s="17">
        <v>0</v>
      </c>
      <c r="AC989" s="17">
        <v>0</v>
      </c>
      <c r="AD989" s="17">
        <v>0</v>
      </c>
      <c r="AE989" s="17">
        <v>0</v>
      </c>
      <c r="AF989" s="17">
        <v>0</v>
      </c>
      <c r="AG989" s="17">
        <v>0</v>
      </c>
      <c r="AH989" s="17">
        <v>0</v>
      </c>
      <c r="AI989" s="17">
        <v>0</v>
      </c>
      <c r="AJ989" s="17">
        <v>0</v>
      </c>
      <c r="AK989" s="17">
        <v>0</v>
      </c>
      <c r="AL989" s="32">
        <v>0</v>
      </c>
      <c r="AM989" s="57"/>
      <c r="AN989" s="89"/>
      <c r="AO989" s="280"/>
      <c r="AP989" s="784"/>
      <c r="AQ989" s="773" t="s">
        <v>271</v>
      </c>
      <c r="AR989" s="188">
        <v>100</v>
      </c>
      <c r="AS989" s="171"/>
      <c r="AT989" s="171" t="str">
        <f t="shared" si="83"/>
        <v>400</v>
      </c>
      <c r="AU989" s="255">
        <f t="shared" si="84"/>
        <v>22.222222222222221</v>
      </c>
      <c r="AV989" s="57"/>
      <c r="AW989" s="171">
        <v>1</v>
      </c>
      <c r="AX989" s="89"/>
      <c r="AY989" s="171">
        <v>20</v>
      </c>
      <c r="AZ989" s="89"/>
      <c r="BA989" s="175">
        <v>60</v>
      </c>
      <c r="BB989" s="259"/>
      <c r="BC989" s="176"/>
      <c r="BD989" s="179"/>
      <c r="BE989" s="179"/>
      <c r="BF989" s="178"/>
      <c r="BG989" s="25"/>
      <c r="BH989" s="25"/>
    </row>
    <row r="990" spans="1:60" ht="18" customHeight="1">
      <c r="A990" s="95">
        <v>989</v>
      </c>
      <c r="B990" s="98" t="s">
        <v>713</v>
      </c>
      <c r="C990" s="191" t="s">
        <v>2692</v>
      </c>
      <c r="D990" s="257" t="s">
        <v>549</v>
      </c>
      <c r="E990" s="459" t="s">
        <v>3377</v>
      </c>
      <c r="F990" s="171">
        <v>1998</v>
      </c>
      <c r="G990" s="171">
        <v>218</v>
      </c>
      <c r="H990" s="57"/>
      <c r="I990" s="173" t="s">
        <v>2564</v>
      </c>
      <c r="J990" s="277">
        <v>0.3</v>
      </c>
      <c r="K990" s="213">
        <v>3.4229074889867843</v>
      </c>
      <c r="L990" s="91"/>
      <c r="M990" s="278">
        <v>454</v>
      </c>
      <c r="N990" s="279"/>
      <c r="O990" s="172" t="s">
        <v>12</v>
      </c>
      <c r="P990" s="92"/>
      <c r="Q990" s="173" t="s">
        <v>10</v>
      </c>
      <c r="R990" s="94"/>
      <c r="S990" s="94"/>
      <c r="T990" s="171" t="s">
        <v>2306</v>
      </c>
      <c r="U990" s="171" t="s">
        <v>2530</v>
      </c>
      <c r="V990" s="102">
        <v>0</v>
      </c>
      <c r="W990" s="120">
        <f>113/454*100</f>
        <v>24.889867841409689</v>
      </c>
      <c r="X990" s="120">
        <v>0</v>
      </c>
      <c r="Y990" s="120">
        <v>0</v>
      </c>
      <c r="Z990" s="120">
        <v>0</v>
      </c>
      <c r="AA990" s="17">
        <v>0</v>
      </c>
      <c r="AB990" s="17">
        <v>0</v>
      </c>
      <c r="AC990" s="17">
        <v>0</v>
      </c>
      <c r="AD990" s="17">
        <v>0</v>
      </c>
      <c r="AE990" s="17">
        <v>0</v>
      </c>
      <c r="AF990" s="17">
        <v>0</v>
      </c>
      <c r="AG990" s="17">
        <v>0</v>
      </c>
      <c r="AH990" s="17">
        <v>0</v>
      </c>
      <c r="AI990" s="17">
        <v>0</v>
      </c>
      <c r="AJ990" s="17">
        <v>0</v>
      </c>
      <c r="AK990" s="17">
        <v>0</v>
      </c>
      <c r="AL990" s="32">
        <v>0</v>
      </c>
      <c r="AM990" s="57"/>
      <c r="AN990" s="89"/>
      <c r="AO990" s="280"/>
      <c r="AP990" s="784"/>
      <c r="AQ990" s="773" t="s">
        <v>271</v>
      </c>
      <c r="AR990" s="188">
        <v>100</v>
      </c>
      <c r="AS990" s="171"/>
      <c r="AT990" s="171" t="str">
        <f t="shared" si="83"/>
        <v>400</v>
      </c>
      <c r="AU990" s="255">
        <f t="shared" si="84"/>
        <v>22.222222222222221</v>
      </c>
      <c r="AV990" s="57"/>
      <c r="AW990" s="171">
        <v>1</v>
      </c>
      <c r="AX990" s="89"/>
      <c r="AY990" s="171">
        <v>20</v>
      </c>
      <c r="AZ990" s="89"/>
      <c r="BA990" s="175">
        <v>60</v>
      </c>
      <c r="BB990" s="259"/>
      <c r="BC990" s="176"/>
      <c r="BD990" s="179"/>
      <c r="BE990" s="179"/>
      <c r="BF990" s="178"/>
      <c r="BG990" s="25"/>
      <c r="BH990" s="25"/>
    </row>
    <row r="991" spans="1:60" ht="18" customHeight="1">
      <c r="A991" s="95">
        <v>990</v>
      </c>
      <c r="B991" s="98" t="s">
        <v>712</v>
      </c>
      <c r="C991" s="191" t="s">
        <v>2692</v>
      </c>
      <c r="D991" s="257" t="s">
        <v>549</v>
      </c>
      <c r="E991" s="459" t="s">
        <v>3377</v>
      </c>
      <c r="F991" s="171">
        <v>1998</v>
      </c>
      <c r="G991" s="171">
        <v>218</v>
      </c>
      <c r="H991" s="57"/>
      <c r="I991" s="173" t="s">
        <v>2564</v>
      </c>
      <c r="J991" s="277">
        <v>0.3</v>
      </c>
      <c r="K991" s="213">
        <v>3.836272040302267</v>
      </c>
      <c r="L991" s="91"/>
      <c r="M991" s="278">
        <v>397</v>
      </c>
      <c r="N991" s="279"/>
      <c r="O991" s="172" t="s">
        <v>12</v>
      </c>
      <c r="P991" s="92"/>
      <c r="Q991" s="173" t="s">
        <v>10</v>
      </c>
      <c r="R991" s="94"/>
      <c r="S991" s="94"/>
      <c r="T991" s="171" t="s">
        <v>2306</v>
      </c>
      <c r="U991" s="171" t="s">
        <v>2530</v>
      </c>
      <c r="V991" s="102">
        <v>0</v>
      </c>
      <c r="W991" s="120">
        <f>170/397*100</f>
        <v>42.821158690176318</v>
      </c>
      <c r="X991" s="120">
        <v>0</v>
      </c>
      <c r="Y991" s="120">
        <v>0</v>
      </c>
      <c r="Z991" s="120">
        <v>0</v>
      </c>
      <c r="AA991" s="17">
        <v>0</v>
      </c>
      <c r="AB991" s="17">
        <v>0</v>
      </c>
      <c r="AC991" s="17">
        <v>0</v>
      </c>
      <c r="AD991" s="17">
        <v>0</v>
      </c>
      <c r="AE991" s="17">
        <v>0</v>
      </c>
      <c r="AF991" s="17">
        <v>0</v>
      </c>
      <c r="AG991" s="17">
        <v>0</v>
      </c>
      <c r="AH991" s="17">
        <v>0</v>
      </c>
      <c r="AI991" s="17">
        <v>0</v>
      </c>
      <c r="AJ991" s="17">
        <v>0</v>
      </c>
      <c r="AK991" s="17">
        <v>0</v>
      </c>
      <c r="AL991" s="32">
        <v>0</v>
      </c>
      <c r="AM991" s="57"/>
      <c r="AN991" s="89"/>
      <c r="AO991" s="280"/>
      <c r="AP991" s="784"/>
      <c r="AQ991" s="773" t="s">
        <v>271</v>
      </c>
      <c r="AR991" s="188">
        <v>100</v>
      </c>
      <c r="AS991" s="171"/>
      <c r="AT991" s="171" t="str">
        <f t="shared" si="83"/>
        <v>400</v>
      </c>
      <c r="AU991" s="255">
        <f t="shared" si="84"/>
        <v>22.222222222222221</v>
      </c>
      <c r="AV991" s="57"/>
      <c r="AW991" s="171">
        <v>1</v>
      </c>
      <c r="AX991" s="89"/>
      <c r="AY991" s="171">
        <v>20</v>
      </c>
      <c r="AZ991" s="89"/>
      <c r="BA991" s="175">
        <v>60</v>
      </c>
      <c r="BB991" s="259"/>
      <c r="BC991" s="176"/>
      <c r="BD991" s="179"/>
      <c r="BE991" s="179"/>
      <c r="BF991" s="178"/>
      <c r="BG991" s="25"/>
      <c r="BH991" s="25"/>
    </row>
    <row r="992" spans="1:60" ht="15" customHeight="1">
      <c r="A992" s="95">
        <v>991</v>
      </c>
      <c r="B992" s="98" t="s">
        <v>711</v>
      </c>
      <c r="C992" s="191" t="s">
        <v>2692</v>
      </c>
      <c r="D992" s="257" t="s">
        <v>549</v>
      </c>
      <c r="E992" s="459" t="s">
        <v>3377</v>
      </c>
      <c r="F992" s="171">
        <v>1998</v>
      </c>
      <c r="G992" s="171">
        <v>218</v>
      </c>
      <c r="H992" s="57"/>
      <c r="I992" s="173" t="s">
        <v>2564</v>
      </c>
      <c r="J992" s="277">
        <v>0.55000000000000004</v>
      </c>
      <c r="K992" s="213">
        <v>6.5954198473282446</v>
      </c>
      <c r="L992" s="91"/>
      <c r="M992" s="278">
        <v>262</v>
      </c>
      <c r="N992" s="279"/>
      <c r="O992" s="172" t="s">
        <v>12</v>
      </c>
      <c r="P992" s="92"/>
      <c r="Q992" s="173" t="s">
        <v>10</v>
      </c>
      <c r="R992" s="94"/>
      <c r="S992" s="94"/>
      <c r="T992" s="171" t="s">
        <v>2306</v>
      </c>
      <c r="U992" s="171" t="s">
        <v>2530</v>
      </c>
      <c r="V992" s="102">
        <v>0</v>
      </c>
      <c r="W992" s="120">
        <f>65/262*100</f>
        <v>24.809160305343511</v>
      </c>
      <c r="X992" s="120">
        <v>0</v>
      </c>
      <c r="Y992" s="120">
        <v>0</v>
      </c>
      <c r="Z992" s="120">
        <v>0</v>
      </c>
      <c r="AA992" s="17">
        <v>0</v>
      </c>
      <c r="AB992" s="17">
        <v>0</v>
      </c>
      <c r="AC992" s="17">
        <v>0</v>
      </c>
      <c r="AD992" s="17">
        <v>0</v>
      </c>
      <c r="AE992" s="17">
        <v>0</v>
      </c>
      <c r="AF992" s="17">
        <v>0</v>
      </c>
      <c r="AG992" s="17">
        <v>0</v>
      </c>
      <c r="AH992" s="17">
        <v>0</v>
      </c>
      <c r="AI992" s="17">
        <v>0</v>
      </c>
      <c r="AJ992" s="17">
        <v>0</v>
      </c>
      <c r="AK992" s="17">
        <v>0</v>
      </c>
      <c r="AL992" s="32">
        <v>0</v>
      </c>
      <c r="AM992" s="57"/>
      <c r="AN992" s="89"/>
      <c r="AO992" s="280"/>
      <c r="AP992" s="784"/>
      <c r="AQ992" s="773" t="s">
        <v>271</v>
      </c>
      <c r="AR992" s="188">
        <v>100</v>
      </c>
      <c r="AS992" s="171"/>
      <c r="AT992" s="171" t="str">
        <f t="shared" si="83"/>
        <v>400</v>
      </c>
      <c r="AU992" s="255">
        <f t="shared" si="84"/>
        <v>22.222222222222221</v>
      </c>
      <c r="AV992" s="57"/>
      <c r="AW992" s="171">
        <v>1</v>
      </c>
      <c r="AX992" s="89"/>
      <c r="AY992" s="171">
        <v>20</v>
      </c>
      <c r="AZ992" s="89"/>
      <c r="BA992" s="175">
        <v>60</v>
      </c>
      <c r="BB992" s="259"/>
      <c r="BC992" s="176"/>
      <c r="BD992" s="179"/>
      <c r="BE992" s="179"/>
      <c r="BF992" s="178"/>
      <c r="BG992" s="25"/>
      <c r="BH992" s="25"/>
    </row>
    <row r="993" spans="1:60" ht="15" customHeight="1">
      <c r="A993" s="95">
        <v>992</v>
      </c>
      <c r="B993" s="98" t="s">
        <v>710</v>
      </c>
      <c r="C993" s="191" t="s">
        <v>2692</v>
      </c>
      <c r="D993" s="257" t="s">
        <v>549</v>
      </c>
      <c r="E993" s="459" t="s">
        <v>3377</v>
      </c>
      <c r="F993" s="171">
        <v>1998</v>
      </c>
      <c r="G993" s="171">
        <v>218</v>
      </c>
      <c r="H993" s="57"/>
      <c r="I993" s="173" t="s">
        <v>2564</v>
      </c>
      <c r="J993" s="277">
        <v>0.55000000000000004</v>
      </c>
      <c r="K993" s="213">
        <v>6.606870229007634</v>
      </c>
      <c r="L993" s="91"/>
      <c r="M993" s="278">
        <v>262</v>
      </c>
      <c r="N993" s="279"/>
      <c r="O993" s="172" t="s">
        <v>12</v>
      </c>
      <c r="P993" s="92"/>
      <c r="Q993" s="173" t="s">
        <v>10</v>
      </c>
      <c r="R993" s="94"/>
      <c r="S993" s="94"/>
      <c r="T993" s="171" t="s">
        <v>2306</v>
      </c>
      <c r="U993" s="171" t="s">
        <v>2530</v>
      </c>
      <c r="V993" s="102">
        <v>0</v>
      </c>
      <c r="W993" s="120">
        <f>65/262*100</f>
        <v>24.809160305343511</v>
      </c>
      <c r="X993" s="120">
        <v>0</v>
      </c>
      <c r="Y993" s="120">
        <v>0</v>
      </c>
      <c r="Z993" s="120">
        <v>0</v>
      </c>
      <c r="AA993" s="17">
        <v>0</v>
      </c>
      <c r="AB993" s="17">
        <v>0</v>
      </c>
      <c r="AC993" s="17">
        <v>0</v>
      </c>
      <c r="AD993" s="17">
        <v>0</v>
      </c>
      <c r="AE993" s="17">
        <v>0</v>
      </c>
      <c r="AF993" s="17">
        <v>0</v>
      </c>
      <c r="AG993" s="17">
        <v>0</v>
      </c>
      <c r="AH993" s="17">
        <v>0</v>
      </c>
      <c r="AI993" s="17">
        <v>0</v>
      </c>
      <c r="AJ993" s="17">
        <v>0</v>
      </c>
      <c r="AK993" s="17">
        <v>0</v>
      </c>
      <c r="AL993" s="32">
        <v>0</v>
      </c>
      <c r="AM993" s="57"/>
      <c r="AN993" s="89"/>
      <c r="AO993" s="280"/>
      <c r="AP993" s="784"/>
      <c r="AQ993" s="773" t="s">
        <v>271</v>
      </c>
      <c r="AR993" s="188">
        <v>100</v>
      </c>
      <c r="AS993" s="171"/>
      <c r="AT993" s="171" t="str">
        <f t="shared" si="83"/>
        <v>400</v>
      </c>
      <c r="AU993" s="255">
        <f t="shared" si="84"/>
        <v>22.222222222222221</v>
      </c>
      <c r="AV993" s="57"/>
      <c r="AW993" s="171">
        <v>1</v>
      </c>
      <c r="AX993" s="89"/>
      <c r="AY993" s="171">
        <v>20</v>
      </c>
      <c r="AZ993" s="89"/>
      <c r="BA993" s="175">
        <v>60</v>
      </c>
      <c r="BB993" s="259"/>
      <c r="BC993" s="176"/>
      <c r="BD993" s="179"/>
      <c r="BE993" s="179"/>
      <c r="BF993" s="178"/>
      <c r="BG993" s="25"/>
      <c r="BH993" s="25"/>
    </row>
    <row r="994" spans="1:60" ht="15" customHeight="1">
      <c r="A994" s="95">
        <v>993</v>
      </c>
      <c r="B994" s="98" t="s">
        <v>709</v>
      </c>
      <c r="C994" s="191" t="s">
        <v>2692</v>
      </c>
      <c r="D994" s="257" t="s">
        <v>549</v>
      </c>
      <c r="E994" s="459" t="s">
        <v>3377</v>
      </c>
      <c r="F994" s="171">
        <v>1998</v>
      </c>
      <c r="G994" s="171">
        <v>218</v>
      </c>
      <c r="H994" s="57"/>
      <c r="I994" s="173" t="s">
        <v>2564</v>
      </c>
      <c r="J994" s="277">
        <v>0.55000000000000004</v>
      </c>
      <c r="K994" s="213">
        <v>5.8945578231292517</v>
      </c>
      <c r="L994" s="91"/>
      <c r="M994" s="278">
        <v>294</v>
      </c>
      <c r="N994" s="279"/>
      <c r="O994" s="172" t="s">
        <v>12</v>
      </c>
      <c r="P994" s="92"/>
      <c r="Q994" s="173" t="s">
        <v>10</v>
      </c>
      <c r="R994" s="94"/>
      <c r="S994" s="94"/>
      <c r="T994" s="171" t="s">
        <v>2306</v>
      </c>
      <c r="U994" s="171" t="s">
        <v>2530</v>
      </c>
      <c r="V994" s="102">
        <v>0</v>
      </c>
      <c r="W994" s="120">
        <f>33/294*100</f>
        <v>11.224489795918368</v>
      </c>
      <c r="X994" s="120">
        <v>0</v>
      </c>
      <c r="Y994" s="120">
        <v>0</v>
      </c>
      <c r="Z994" s="120">
        <v>0</v>
      </c>
      <c r="AA994" s="17">
        <v>0</v>
      </c>
      <c r="AB994" s="17">
        <v>0</v>
      </c>
      <c r="AC994" s="17">
        <v>0</v>
      </c>
      <c r="AD994" s="17">
        <v>0</v>
      </c>
      <c r="AE994" s="17">
        <v>0</v>
      </c>
      <c r="AF994" s="17">
        <v>0</v>
      </c>
      <c r="AG994" s="17">
        <v>0</v>
      </c>
      <c r="AH994" s="17">
        <v>0</v>
      </c>
      <c r="AI994" s="17">
        <v>0</v>
      </c>
      <c r="AJ994" s="17">
        <v>0</v>
      </c>
      <c r="AK994" s="17">
        <v>0</v>
      </c>
      <c r="AL994" s="32">
        <v>0</v>
      </c>
      <c r="AM994" s="57"/>
      <c r="AN994" s="89"/>
      <c r="AO994" s="280"/>
      <c r="AP994" s="784"/>
      <c r="AQ994" s="773" t="s">
        <v>271</v>
      </c>
      <c r="AR994" s="188">
        <v>100</v>
      </c>
      <c r="AS994" s="171"/>
      <c r="AT994" s="171" t="str">
        <f t="shared" ref="AT994:AT1057" si="87">RIGHT(AQ994,LEN(AQ994)-FIND("x",AQ994,8))</f>
        <v>400</v>
      </c>
      <c r="AU994" s="255">
        <f t="shared" ref="AU994:AU1057" si="88">IF(ISBLANK(AS994),(AR994*AT994)/((4*AT994)+(2*AR994)),AR994*AS994*AT994/2/(AR994*AS994+AR994*AT994+AS994*AT994))</f>
        <v>22.222222222222221</v>
      </c>
      <c r="AV994" s="57"/>
      <c r="AW994" s="171">
        <v>1</v>
      </c>
      <c r="AX994" s="89"/>
      <c r="AY994" s="171">
        <v>20</v>
      </c>
      <c r="AZ994" s="89"/>
      <c r="BA994" s="175">
        <v>60</v>
      </c>
      <c r="BB994" s="259"/>
      <c r="BC994" s="176"/>
      <c r="BD994" s="179"/>
      <c r="BE994" s="179"/>
      <c r="BF994" s="178"/>
      <c r="BG994" s="25"/>
      <c r="BH994" s="25"/>
    </row>
    <row r="995" spans="1:60" ht="15" customHeight="1">
      <c r="A995" s="95">
        <v>994</v>
      </c>
      <c r="B995" s="98" t="s">
        <v>708</v>
      </c>
      <c r="C995" s="191" t="s">
        <v>2692</v>
      </c>
      <c r="D995" s="257" t="s">
        <v>549</v>
      </c>
      <c r="E995" s="459" t="s">
        <v>3377</v>
      </c>
      <c r="F995" s="171">
        <v>1998</v>
      </c>
      <c r="G995" s="171">
        <v>218</v>
      </c>
      <c r="H995" s="57"/>
      <c r="I995" s="173" t="s">
        <v>2564</v>
      </c>
      <c r="J995" s="277">
        <v>0.55000000000000004</v>
      </c>
      <c r="K995" s="213">
        <v>6.5458015267175576</v>
      </c>
      <c r="L995" s="91"/>
      <c r="M995" s="278">
        <v>262</v>
      </c>
      <c r="N995" s="279"/>
      <c r="O995" s="172" t="s">
        <v>12</v>
      </c>
      <c r="P995" s="92"/>
      <c r="Q995" s="173" t="s">
        <v>10</v>
      </c>
      <c r="R995" s="94"/>
      <c r="S995" s="94"/>
      <c r="T995" s="171" t="s">
        <v>2306</v>
      </c>
      <c r="U995" s="171" t="s">
        <v>2530</v>
      </c>
      <c r="V995" s="102">
        <v>0</v>
      </c>
      <c r="W995" s="120">
        <f>65/262*100</f>
        <v>24.809160305343511</v>
      </c>
      <c r="X995" s="120">
        <v>0</v>
      </c>
      <c r="Y995" s="120">
        <v>0</v>
      </c>
      <c r="Z995" s="120">
        <v>0</v>
      </c>
      <c r="AA995" s="17">
        <v>0</v>
      </c>
      <c r="AB995" s="17">
        <v>0</v>
      </c>
      <c r="AC995" s="17">
        <v>0</v>
      </c>
      <c r="AD995" s="17">
        <v>0</v>
      </c>
      <c r="AE995" s="17">
        <v>0</v>
      </c>
      <c r="AF995" s="17">
        <v>0</v>
      </c>
      <c r="AG995" s="17">
        <v>0</v>
      </c>
      <c r="AH995" s="17">
        <v>0</v>
      </c>
      <c r="AI995" s="17">
        <v>0</v>
      </c>
      <c r="AJ995" s="17">
        <v>0</v>
      </c>
      <c r="AK995" s="17">
        <v>0</v>
      </c>
      <c r="AL995" s="32">
        <v>0</v>
      </c>
      <c r="AM995" s="57"/>
      <c r="AN995" s="89"/>
      <c r="AO995" s="280"/>
      <c r="AP995" s="784"/>
      <c r="AQ995" s="773" t="s">
        <v>271</v>
      </c>
      <c r="AR995" s="188">
        <v>100</v>
      </c>
      <c r="AS995" s="171"/>
      <c r="AT995" s="171" t="str">
        <f t="shared" si="87"/>
        <v>400</v>
      </c>
      <c r="AU995" s="255">
        <f t="shared" si="88"/>
        <v>22.222222222222221</v>
      </c>
      <c r="AV995" s="57"/>
      <c r="AW995" s="171">
        <v>1</v>
      </c>
      <c r="AX995" s="89"/>
      <c r="AY995" s="171">
        <v>20</v>
      </c>
      <c r="AZ995" s="89"/>
      <c r="BA995" s="175">
        <v>60</v>
      </c>
      <c r="BB995" s="259"/>
      <c r="BC995" s="176"/>
      <c r="BD995" s="179"/>
      <c r="BE995" s="179"/>
      <c r="BF995" s="178"/>
      <c r="BG995" s="25"/>
      <c r="BH995" s="25"/>
    </row>
    <row r="996" spans="1:60" ht="15" customHeight="1">
      <c r="A996" s="95">
        <v>995</v>
      </c>
      <c r="B996" s="98" t="s">
        <v>707</v>
      </c>
      <c r="C996" s="191" t="s">
        <v>2692</v>
      </c>
      <c r="D996" s="257" t="s">
        <v>549</v>
      </c>
      <c r="E996" s="459" t="s">
        <v>3377</v>
      </c>
      <c r="F996" s="171">
        <v>1998</v>
      </c>
      <c r="G996" s="171">
        <v>218</v>
      </c>
      <c r="H996" s="57"/>
      <c r="I996" s="173" t="s">
        <v>2564</v>
      </c>
      <c r="J996" s="277">
        <v>0.55000000000000004</v>
      </c>
      <c r="K996" s="213">
        <v>7.4192139737991267</v>
      </c>
      <c r="L996" s="91"/>
      <c r="M996" s="278">
        <v>229</v>
      </c>
      <c r="N996" s="279"/>
      <c r="O996" s="172" t="s">
        <v>12</v>
      </c>
      <c r="P996" s="92"/>
      <c r="Q996" s="173" t="s">
        <v>10</v>
      </c>
      <c r="R996" s="94"/>
      <c r="S996" s="94"/>
      <c r="T996" s="171" t="s">
        <v>2306</v>
      </c>
      <c r="U996" s="171" t="s">
        <v>2530</v>
      </c>
      <c r="V996" s="102">
        <v>0</v>
      </c>
      <c r="W996" s="120">
        <f>98/229*100</f>
        <v>42.79475982532751</v>
      </c>
      <c r="X996" s="120">
        <v>0</v>
      </c>
      <c r="Y996" s="120">
        <v>0</v>
      </c>
      <c r="Z996" s="120">
        <v>0</v>
      </c>
      <c r="AA996" s="17">
        <v>0</v>
      </c>
      <c r="AB996" s="17">
        <v>0</v>
      </c>
      <c r="AC996" s="17">
        <v>0</v>
      </c>
      <c r="AD996" s="17">
        <v>0</v>
      </c>
      <c r="AE996" s="17">
        <v>0</v>
      </c>
      <c r="AF996" s="17">
        <v>0</v>
      </c>
      <c r="AG996" s="17">
        <v>0</v>
      </c>
      <c r="AH996" s="17">
        <v>0</v>
      </c>
      <c r="AI996" s="17">
        <v>0</v>
      </c>
      <c r="AJ996" s="17">
        <v>0</v>
      </c>
      <c r="AK996" s="17">
        <v>0</v>
      </c>
      <c r="AL996" s="32">
        <v>0</v>
      </c>
      <c r="AM996" s="57"/>
      <c r="AN996" s="89"/>
      <c r="AO996" s="280"/>
      <c r="AP996" s="784"/>
      <c r="AQ996" s="773" t="s">
        <v>271</v>
      </c>
      <c r="AR996" s="188">
        <v>100</v>
      </c>
      <c r="AS996" s="171"/>
      <c r="AT996" s="171" t="str">
        <f t="shared" si="87"/>
        <v>400</v>
      </c>
      <c r="AU996" s="255">
        <f t="shared" si="88"/>
        <v>22.222222222222221</v>
      </c>
      <c r="AV996" s="57"/>
      <c r="AW996" s="171">
        <v>1</v>
      </c>
      <c r="AX996" s="89"/>
      <c r="AY996" s="171">
        <v>20</v>
      </c>
      <c r="AZ996" s="89"/>
      <c r="BA996" s="175">
        <v>60</v>
      </c>
      <c r="BB996" s="259"/>
      <c r="BC996" s="176"/>
      <c r="BD996" s="179"/>
      <c r="BE996" s="179"/>
      <c r="BF996" s="178"/>
      <c r="BG996" s="25"/>
      <c r="BH996" s="25"/>
    </row>
    <row r="997" spans="1:60" ht="15" customHeight="1">
      <c r="A997" s="95">
        <v>996</v>
      </c>
      <c r="B997" s="98" t="s">
        <v>706</v>
      </c>
      <c r="C997" s="191" t="s">
        <v>2692</v>
      </c>
      <c r="D997" s="257" t="s">
        <v>549</v>
      </c>
      <c r="E997" s="459" t="s">
        <v>3377</v>
      </c>
      <c r="F997" s="171">
        <v>1998</v>
      </c>
      <c r="G997" s="171">
        <v>218</v>
      </c>
      <c r="H997" s="57"/>
      <c r="I997" s="173" t="s">
        <v>2564</v>
      </c>
      <c r="J997" s="277">
        <v>0.3</v>
      </c>
      <c r="K997" s="213">
        <v>2.8536155202821871</v>
      </c>
      <c r="L997" s="91"/>
      <c r="M997" s="278">
        <v>567</v>
      </c>
      <c r="N997" s="279"/>
      <c r="O997" s="172" t="s">
        <v>12</v>
      </c>
      <c r="P997" s="92"/>
      <c r="Q997" s="173" t="s">
        <v>10</v>
      </c>
      <c r="R997" s="94"/>
      <c r="S997" s="94"/>
      <c r="T997" s="171" t="s">
        <v>2306</v>
      </c>
      <c r="U997" s="171" t="s">
        <v>2530</v>
      </c>
      <c r="V997" s="102">
        <v>0</v>
      </c>
      <c r="W997" s="120">
        <v>0</v>
      </c>
      <c r="X997" s="120">
        <v>0</v>
      </c>
      <c r="Y997" s="120">
        <v>0</v>
      </c>
      <c r="Z997" s="120">
        <v>0</v>
      </c>
      <c r="AA997" s="17">
        <v>0</v>
      </c>
      <c r="AB997" s="17">
        <v>0</v>
      </c>
      <c r="AC997" s="17">
        <v>0</v>
      </c>
      <c r="AD997" s="17">
        <v>0</v>
      </c>
      <c r="AE997" s="17">
        <v>0</v>
      </c>
      <c r="AF997" s="17">
        <v>0</v>
      </c>
      <c r="AG997" s="17">
        <v>0</v>
      </c>
      <c r="AH997" s="17">
        <v>0</v>
      </c>
      <c r="AI997" s="17">
        <v>0</v>
      </c>
      <c r="AJ997" s="17">
        <v>0</v>
      </c>
      <c r="AK997" s="17">
        <v>0</v>
      </c>
      <c r="AL997" s="32">
        <v>0</v>
      </c>
      <c r="AM997" s="57"/>
      <c r="AN997" s="89"/>
      <c r="AO997" s="280"/>
      <c r="AP997" s="784"/>
      <c r="AQ997" s="773" t="s">
        <v>271</v>
      </c>
      <c r="AR997" s="188">
        <v>100</v>
      </c>
      <c r="AS997" s="171"/>
      <c r="AT997" s="171" t="str">
        <f t="shared" si="87"/>
        <v>400</v>
      </c>
      <c r="AU997" s="255">
        <f t="shared" si="88"/>
        <v>22.222222222222221</v>
      </c>
      <c r="AV997" s="57"/>
      <c r="AW997" s="171">
        <v>7</v>
      </c>
      <c r="AX997" s="89"/>
      <c r="AY997" s="171">
        <v>20</v>
      </c>
      <c r="AZ997" s="89"/>
      <c r="BA997" s="175">
        <v>60</v>
      </c>
      <c r="BB997" s="259"/>
      <c r="BC997" s="176"/>
      <c r="BD997" s="179"/>
      <c r="BE997" s="179"/>
      <c r="BF997" s="178"/>
      <c r="BG997" s="25"/>
      <c r="BH997" s="25"/>
    </row>
    <row r="998" spans="1:60" ht="15" customHeight="1">
      <c r="A998" s="95">
        <v>997</v>
      </c>
      <c r="B998" s="98" t="s">
        <v>705</v>
      </c>
      <c r="C998" s="191" t="s">
        <v>2692</v>
      </c>
      <c r="D998" s="257" t="s">
        <v>549</v>
      </c>
      <c r="E998" s="459" t="s">
        <v>3377</v>
      </c>
      <c r="F998" s="171">
        <v>1998</v>
      </c>
      <c r="G998" s="171">
        <v>218</v>
      </c>
      <c r="H998" s="57"/>
      <c r="I998" s="173" t="s">
        <v>2564</v>
      </c>
      <c r="J998" s="277">
        <v>0.3</v>
      </c>
      <c r="K998" s="213">
        <v>3.447136563876652</v>
      </c>
      <c r="L998" s="91"/>
      <c r="M998" s="278">
        <v>454</v>
      </c>
      <c r="N998" s="279"/>
      <c r="O998" s="172" t="s">
        <v>12</v>
      </c>
      <c r="P998" s="92"/>
      <c r="Q998" s="173" t="s">
        <v>10</v>
      </c>
      <c r="R998" s="94"/>
      <c r="S998" s="94"/>
      <c r="T998" s="171" t="s">
        <v>2306</v>
      </c>
      <c r="U998" s="171" t="s">
        <v>2530</v>
      </c>
      <c r="V998" s="102">
        <v>0</v>
      </c>
      <c r="W998" s="120">
        <f>113/454*100</f>
        <v>24.889867841409689</v>
      </c>
      <c r="X998" s="120">
        <v>0</v>
      </c>
      <c r="Y998" s="120">
        <v>0</v>
      </c>
      <c r="Z998" s="120">
        <v>0</v>
      </c>
      <c r="AA998" s="17">
        <v>0</v>
      </c>
      <c r="AB998" s="17">
        <v>0</v>
      </c>
      <c r="AC998" s="17">
        <v>0</v>
      </c>
      <c r="AD998" s="17">
        <v>0</v>
      </c>
      <c r="AE998" s="17">
        <v>0</v>
      </c>
      <c r="AF998" s="17">
        <v>0</v>
      </c>
      <c r="AG998" s="17">
        <v>0</v>
      </c>
      <c r="AH998" s="17">
        <v>0</v>
      </c>
      <c r="AI998" s="17">
        <v>0</v>
      </c>
      <c r="AJ998" s="17">
        <v>0</v>
      </c>
      <c r="AK998" s="17">
        <v>0</v>
      </c>
      <c r="AL998" s="32">
        <v>0</v>
      </c>
      <c r="AM998" s="57"/>
      <c r="AN998" s="89"/>
      <c r="AO998" s="280"/>
      <c r="AP998" s="784"/>
      <c r="AQ998" s="773" t="s">
        <v>271</v>
      </c>
      <c r="AR998" s="188">
        <v>100</v>
      </c>
      <c r="AS998" s="171"/>
      <c r="AT998" s="171" t="str">
        <f t="shared" si="87"/>
        <v>400</v>
      </c>
      <c r="AU998" s="255">
        <f t="shared" si="88"/>
        <v>22.222222222222221</v>
      </c>
      <c r="AV998" s="57"/>
      <c r="AW998" s="171">
        <v>1</v>
      </c>
      <c r="AX998" s="89"/>
      <c r="AY998" s="171">
        <v>20</v>
      </c>
      <c r="AZ998" s="89"/>
      <c r="BA998" s="175">
        <v>60</v>
      </c>
      <c r="BB998" s="259"/>
      <c r="BC998" s="176"/>
      <c r="BD998" s="179"/>
      <c r="BE998" s="179"/>
      <c r="BF998" s="178"/>
      <c r="BG998" s="25"/>
      <c r="BH998" s="25"/>
    </row>
    <row r="999" spans="1:60" ht="15" customHeight="1">
      <c r="A999" s="95">
        <v>998</v>
      </c>
      <c r="B999" s="98" t="s">
        <v>704</v>
      </c>
      <c r="C999" s="191" t="s">
        <v>2692</v>
      </c>
      <c r="D999" s="257" t="s">
        <v>549</v>
      </c>
      <c r="E999" s="459" t="s">
        <v>3377</v>
      </c>
      <c r="F999" s="171">
        <v>1998</v>
      </c>
      <c r="G999" s="171">
        <v>218</v>
      </c>
      <c r="H999" s="57"/>
      <c r="I999" s="173" t="s">
        <v>2564</v>
      </c>
      <c r="J999" s="277">
        <v>0.3</v>
      </c>
      <c r="K999" s="213">
        <v>3.4757709251101323</v>
      </c>
      <c r="L999" s="91"/>
      <c r="M999" s="278">
        <v>454</v>
      </c>
      <c r="N999" s="279"/>
      <c r="O999" s="172" t="s">
        <v>12</v>
      </c>
      <c r="P999" s="92"/>
      <c r="Q999" s="173" t="s">
        <v>10</v>
      </c>
      <c r="R999" s="94"/>
      <c r="S999" s="94"/>
      <c r="T999" s="171" t="s">
        <v>2306</v>
      </c>
      <c r="U999" s="171" t="s">
        <v>2530</v>
      </c>
      <c r="V999" s="102">
        <v>0</v>
      </c>
      <c r="W999" s="120">
        <f>113/454*100</f>
        <v>24.889867841409689</v>
      </c>
      <c r="X999" s="120">
        <v>0</v>
      </c>
      <c r="Y999" s="120">
        <v>0</v>
      </c>
      <c r="Z999" s="120">
        <v>0</v>
      </c>
      <c r="AA999" s="17">
        <v>0</v>
      </c>
      <c r="AB999" s="17">
        <v>0</v>
      </c>
      <c r="AC999" s="17">
        <v>0</v>
      </c>
      <c r="AD999" s="17">
        <v>0</v>
      </c>
      <c r="AE999" s="17">
        <v>0</v>
      </c>
      <c r="AF999" s="17">
        <v>0</v>
      </c>
      <c r="AG999" s="17">
        <v>0</v>
      </c>
      <c r="AH999" s="17">
        <v>0</v>
      </c>
      <c r="AI999" s="17">
        <v>0</v>
      </c>
      <c r="AJ999" s="17">
        <v>0</v>
      </c>
      <c r="AK999" s="17">
        <v>0</v>
      </c>
      <c r="AL999" s="32">
        <v>0</v>
      </c>
      <c r="AM999" s="57"/>
      <c r="AN999" s="89"/>
      <c r="AO999" s="280"/>
      <c r="AP999" s="784"/>
      <c r="AQ999" s="773" t="s">
        <v>271</v>
      </c>
      <c r="AR999" s="188">
        <v>100</v>
      </c>
      <c r="AS999" s="171"/>
      <c r="AT999" s="171" t="str">
        <f t="shared" si="87"/>
        <v>400</v>
      </c>
      <c r="AU999" s="255">
        <f t="shared" si="88"/>
        <v>22.222222222222221</v>
      </c>
      <c r="AV999" s="57"/>
      <c r="AW999" s="171">
        <v>1</v>
      </c>
      <c r="AX999" s="89"/>
      <c r="AY999" s="171">
        <v>20</v>
      </c>
      <c r="AZ999" s="89"/>
      <c r="BA999" s="175">
        <v>60</v>
      </c>
      <c r="BB999" s="259"/>
      <c r="BC999" s="176"/>
      <c r="BD999" s="179"/>
      <c r="BE999" s="179"/>
      <c r="BF999" s="178"/>
      <c r="BG999" s="25"/>
      <c r="BH999" s="25"/>
    </row>
    <row r="1000" spans="1:60" ht="15" customHeight="1">
      <c r="A1000" s="95">
        <v>999</v>
      </c>
      <c r="B1000" s="98" t="s">
        <v>703</v>
      </c>
      <c r="C1000" s="191" t="s">
        <v>2694</v>
      </c>
      <c r="D1000" s="257" t="s">
        <v>549</v>
      </c>
      <c r="E1000" s="459" t="s">
        <v>3377</v>
      </c>
      <c r="F1000" s="171">
        <v>1998</v>
      </c>
      <c r="G1000" s="171">
        <v>219</v>
      </c>
      <c r="H1000" s="57"/>
      <c r="I1000" s="173" t="s">
        <v>2564</v>
      </c>
      <c r="J1000" s="277">
        <v>0.63</v>
      </c>
      <c r="K1000" s="213">
        <v>6.166666666666667</v>
      </c>
      <c r="L1000" s="91"/>
      <c r="M1000" s="278">
        <v>300</v>
      </c>
      <c r="N1000" s="279"/>
      <c r="O1000" s="57"/>
      <c r="P1000" s="89"/>
      <c r="Q1000" s="88"/>
      <c r="R1000" s="94"/>
      <c r="S1000" s="94"/>
      <c r="T1000" s="171" t="s">
        <v>2561</v>
      </c>
      <c r="U1000" s="171" t="s">
        <v>2530</v>
      </c>
      <c r="V1000" s="102">
        <v>0</v>
      </c>
      <c r="W1000" s="120">
        <v>0</v>
      </c>
      <c r="X1000" s="120">
        <v>0</v>
      </c>
      <c r="Y1000" s="120">
        <v>0</v>
      </c>
      <c r="Z1000" s="120">
        <v>0</v>
      </c>
      <c r="AA1000" s="17">
        <v>0</v>
      </c>
      <c r="AB1000" s="17">
        <v>0</v>
      </c>
      <c r="AC1000" s="17">
        <v>0</v>
      </c>
      <c r="AD1000" s="17">
        <v>0</v>
      </c>
      <c r="AE1000" s="17">
        <v>0</v>
      </c>
      <c r="AF1000" s="17">
        <v>0</v>
      </c>
      <c r="AG1000" s="17">
        <v>0</v>
      </c>
      <c r="AH1000" s="17">
        <v>0</v>
      </c>
      <c r="AI1000" s="17">
        <v>0</v>
      </c>
      <c r="AJ1000" s="17">
        <v>0</v>
      </c>
      <c r="AK1000" s="17">
        <v>0</v>
      </c>
      <c r="AL1000" s="32">
        <v>0</v>
      </c>
      <c r="AM1000" s="57"/>
      <c r="AN1000" s="89"/>
      <c r="AO1000" s="280"/>
      <c r="AP1000" s="784"/>
      <c r="AQ1000" s="773" t="s">
        <v>271</v>
      </c>
      <c r="AR1000" s="188">
        <v>100</v>
      </c>
      <c r="AS1000" s="171"/>
      <c r="AT1000" s="171" t="str">
        <f t="shared" si="87"/>
        <v>400</v>
      </c>
      <c r="AU1000" s="255">
        <f t="shared" si="88"/>
        <v>22.222222222222221</v>
      </c>
      <c r="AV1000" s="57"/>
      <c r="AW1000" s="171">
        <v>7</v>
      </c>
      <c r="AX1000" s="89"/>
      <c r="AY1000" s="171">
        <v>20</v>
      </c>
      <c r="AZ1000" s="89"/>
      <c r="BA1000" s="175">
        <v>60</v>
      </c>
      <c r="BB1000" s="259"/>
      <c r="BC1000" s="176"/>
      <c r="BD1000" s="179"/>
      <c r="BE1000" s="179"/>
      <c r="BF1000" s="178"/>
      <c r="BG1000" s="25"/>
      <c r="BH1000" s="25"/>
    </row>
    <row r="1001" spans="1:60" ht="15" customHeight="1">
      <c r="A1001" s="95">
        <v>1000</v>
      </c>
      <c r="B1001" s="98" t="s">
        <v>702</v>
      </c>
      <c r="C1001" s="191" t="s">
        <v>2694</v>
      </c>
      <c r="D1001" s="257" t="s">
        <v>549</v>
      </c>
      <c r="E1001" s="459" t="s">
        <v>3377</v>
      </c>
      <c r="F1001" s="171">
        <v>1998</v>
      </c>
      <c r="G1001" s="171">
        <v>219</v>
      </c>
      <c r="H1001" s="57"/>
      <c r="I1001" s="173" t="s">
        <v>2564</v>
      </c>
      <c r="J1001" s="277">
        <v>0.64</v>
      </c>
      <c r="K1001" s="213">
        <v>5.8066666666666666</v>
      </c>
      <c r="L1001" s="91"/>
      <c r="M1001" s="278">
        <v>300</v>
      </c>
      <c r="N1001" s="279"/>
      <c r="O1001" s="57"/>
      <c r="P1001" s="89"/>
      <c r="Q1001" s="88"/>
      <c r="R1001" s="94"/>
      <c r="S1001" s="94"/>
      <c r="T1001" s="171" t="s">
        <v>2557</v>
      </c>
      <c r="U1001" s="171"/>
      <c r="V1001" s="102">
        <v>0</v>
      </c>
      <c r="W1001" s="120">
        <v>0</v>
      </c>
      <c r="X1001" s="120">
        <v>0</v>
      </c>
      <c r="Y1001" s="120">
        <v>0</v>
      </c>
      <c r="Z1001" s="120">
        <v>0</v>
      </c>
      <c r="AA1001" s="17">
        <v>0</v>
      </c>
      <c r="AB1001" s="17">
        <v>0</v>
      </c>
      <c r="AC1001" s="17">
        <v>0</v>
      </c>
      <c r="AD1001" s="17">
        <v>0</v>
      </c>
      <c r="AE1001" s="17">
        <v>0</v>
      </c>
      <c r="AF1001" s="17">
        <v>0</v>
      </c>
      <c r="AG1001" s="17">
        <v>0</v>
      </c>
      <c r="AH1001" s="17">
        <v>0</v>
      </c>
      <c r="AI1001" s="17">
        <v>0</v>
      </c>
      <c r="AJ1001" s="17">
        <v>0</v>
      </c>
      <c r="AK1001" s="17">
        <v>0</v>
      </c>
      <c r="AL1001" s="32">
        <v>0</v>
      </c>
      <c r="AM1001" s="57"/>
      <c r="AN1001" s="89"/>
      <c r="AO1001" s="280"/>
      <c r="AP1001" s="784"/>
      <c r="AQ1001" s="773" t="s">
        <v>271</v>
      </c>
      <c r="AR1001" s="188">
        <v>100</v>
      </c>
      <c r="AS1001" s="171"/>
      <c r="AT1001" s="171" t="str">
        <f t="shared" si="87"/>
        <v>400</v>
      </c>
      <c r="AU1001" s="255">
        <f t="shared" si="88"/>
        <v>22.222222222222221</v>
      </c>
      <c r="AV1001" s="57"/>
      <c r="AW1001" s="171">
        <v>7</v>
      </c>
      <c r="AX1001" s="89"/>
      <c r="AY1001" s="171">
        <v>20</v>
      </c>
      <c r="AZ1001" s="89"/>
      <c r="BA1001" s="175">
        <v>60</v>
      </c>
      <c r="BB1001" s="259"/>
      <c r="BC1001" s="176"/>
      <c r="BD1001" s="179"/>
      <c r="BE1001" s="179"/>
      <c r="BF1001" s="178"/>
      <c r="BG1001" s="25"/>
      <c r="BH1001" s="25"/>
    </row>
    <row r="1002" spans="1:60" ht="15" customHeight="1">
      <c r="A1002" s="95">
        <v>1001</v>
      </c>
      <c r="B1002" s="98" t="s">
        <v>701</v>
      </c>
      <c r="C1002" s="191" t="s">
        <v>2694</v>
      </c>
      <c r="D1002" s="257" t="s">
        <v>549</v>
      </c>
      <c r="E1002" s="459" t="s">
        <v>3377</v>
      </c>
      <c r="F1002" s="171">
        <v>1998</v>
      </c>
      <c r="G1002" s="171">
        <v>219</v>
      </c>
      <c r="H1002" s="57"/>
      <c r="I1002" s="173" t="s">
        <v>2564</v>
      </c>
      <c r="J1002" s="277">
        <v>0.61</v>
      </c>
      <c r="K1002" s="213">
        <v>5.8066666666666666</v>
      </c>
      <c r="L1002" s="91"/>
      <c r="M1002" s="278">
        <v>300</v>
      </c>
      <c r="N1002" s="279"/>
      <c r="O1002" s="57"/>
      <c r="P1002" s="89"/>
      <c r="Q1002" s="88"/>
      <c r="R1002" s="94"/>
      <c r="S1002" s="94"/>
      <c r="T1002" s="171" t="s">
        <v>2557</v>
      </c>
      <c r="U1002" s="171"/>
      <c r="V1002" s="102">
        <v>0</v>
      </c>
      <c r="W1002" s="120">
        <v>0</v>
      </c>
      <c r="X1002" s="120">
        <v>0</v>
      </c>
      <c r="Y1002" s="120">
        <v>0</v>
      </c>
      <c r="Z1002" s="120">
        <v>0</v>
      </c>
      <c r="AA1002" s="17">
        <v>0</v>
      </c>
      <c r="AB1002" s="17">
        <v>0</v>
      </c>
      <c r="AC1002" s="17">
        <v>0</v>
      </c>
      <c r="AD1002" s="17">
        <v>0</v>
      </c>
      <c r="AE1002" s="17">
        <v>0</v>
      </c>
      <c r="AF1002" s="17">
        <v>0</v>
      </c>
      <c r="AG1002" s="17">
        <v>0</v>
      </c>
      <c r="AH1002" s="17">
        <v>0</v>
      </c>
      <c r="AI1002" s="17">
        <v>0</v>
      </c>
      <c r="AJ1002" s="17">
        <v>0</v>
      </c>
      <c r="AK1002" s="17">
        <v>0</v>
      </c>
      <c r="AL1002" s="32">
        <v>0</v>
      </c>
      <c r="AM1002" s="57"/>
      <c r="AN1002" s="89"/>
      <c r="AO1002" s="280"/>
      <c r="AP1002" s="784"/>
      <c r="AQ1002" s="773" t="s">
        <v>271</v>
      </c>
      <c r="AR1002" s="188">
        <v>100</v>
      </c>
      <c r="AS1002" s="171"/>
      <c r="AT1002" s="171" t="str">
        <f t="shared" si="87"/>
        <v>400</v>
      </c>
      <c r="AU1002" s="255">
        <f t="shared" si="88"/>
        <v>22.222222222222221</v>
      </c>
      <c r="AV1002" s="57"/>
      <c r="AW1002" s="171">
        <v>7</v>
      </c>
      <c r="AX1002" s="89"/>
      <c r="AY1002" s="171">
        <v>20</v>
      </c>
      <c r="AZ1002" s="89"/>
      <c r="BA1002" s="175">
        <v>60</v>
      </c>
      <c r="BB1002" s="259"/>
      <c r="BC1002" s="176"/>
      <c r="BD1002" s="179"/>
      <c r="BE1002" s="179"/>
      <c r="BF1002" s="178"/>
      <c r="BG1002" s="25"/>
      <c r="BH1002" s="25"/>
    </row>
    <row r="1003" spans="1:60" ht="15" customHeight="1">
      <c r="A1003" s="95">
        <v>1002</v>
      </c>
      <c r="B1003" s="98" t="s">
        <v>700</v>
      </c>
      <c r="C1003" s="191" t="s">
        <v>2694</v>
      </c>
      <c r="D1003" s="257" t="s">
        <v>549</v>
      </c>
      <c r="E1003" s="459" t="s">
        <v>3377</v>
      </c>
      <c r="F1003" s="171">
        <v>1998</v>
      </c>
      <c r="G1003" s="171">
        <v>219</v>
      </c>
      <c r="H1003" s="57"/>
      <c r="I1003" s="173" t="s">
        <v>2564</v>
      </c>
      <c r="J1003" s="277">
        <v>0.49</v>
      </c>
      <c r="K1003" s="213">
        <v>6.0987654320987659</v>
      </c>
      <c r="L1003" s="91"/>
      <c r="M1003" s="278">
        <v>324</v>
      </c>
      <c r="N1003" s="279"/>
      <c r="O1003" s="57"/>
      <c r="P1003" s="89"/>
      <c r="Q1003" s="88"/>
      <c r="R1003" s="94"/>
      <c r="S1003" s="94"/>
      <c r="T1003" s="171" t="s">
        <v>2306</v>
      </c>
      <c r="U1003" s="171" t="s">
        <v>2530</v>
      </c>
      <c r="V1003" s="102">
        <v>0</v>
      </c>
      <c r="W1003" s="120">
        <v>0</v>
      </c>
      <c r="X1003" s="120">
        <v>0</v>
      </c>
      <c r="Y1003" s="120">
        <v>0</v>
      </c>
      <c r="Z1003" s="120">
        <v>0</v>
      </c>
      <c r="AA1003" s="17">
        <v>0</v>
      </c>
      <c r="AB1003" s="17">
        <v>0</v>
      </c>
      <c r="AC1003" s="17">
        <v>0</v>
      </c>
      <c r="AD1003" s="17">
        <v>0</v>
      </c>
      <c r="AE1003" s="17">
        <v>0</v>
      </c>
      <c r="AF1003" s="17">
        <v>0</v>
      </c>
      <c r="AG1003" s="17">
        <v>0</v>
      </c>
      <c r="AH1003" s="17">
        <v>0</v>
      </c>
      <c r="AI1003" s="17">
        <v>0</v>
      </c>
      <c r="AJ1003" s="17">
        <v>0</v>
      </c>
      <c r="AK1003" s="17">
        <v>0</v>
      </c>
      <c r="AL1003" s="32">
        <v>0</v>
      </c>
      <c r="AM1003" s="57"/>
      <c r="AN1003" s="89"/>
      <c r="AO1003" s="280"/>
      <c r="AP1003" s="784"/>
      <c r="AQ1003" s="773" t="s">
        <v>271</v>
      </c>
      <c r="AR1003" s="188">
        <v>100</v>
      </c>
      <c r="AS1003" s="171"/>
      <c r="AT1003" s="171" t="str">
        <f t="shared" si="87"/>
        <v>400</v>
      </c>
      <c r="AU1003" s="255">
        <f t="shared" si="88"/>
        <v>22.222222222222221</v>
      </c>
      <c r="AV1003" s="57"/>
      <c r="AW1003" s="171">
        <v>7</v>
      </c>
      <c r="AX1003" s="89"/>
      <c r="AY1003" s="171">
        <v>20</v>
      </c>
      <c r="AZ1003" s="89"/>
      <c r="BA1003" s="175">
        <v>60</v>
      </c>
      <c r="BB1003" s="259"/>
      <c r="BC1003" s="176"/>
      <c r="BD1003" s="179"/>
      <c r="BE1003" s="179"/>
      <c r="BF1003" s="178"/>
      <c r="BG1003" s="25"/>
      <c r="BH1003" s="25"/>
    </row>
    <row r="1004" spans="1:60" ht="15" customHeight="1">
      <c r="A1004" s="95">
        <v>1003</v>
      </c>
      <c r="B1004" s="98" t="s">
        <v>699</v>
      </c>
      <c r="C1004" s="191" t="s">
        <v>2694</v>
      </c>
      <c r="D1004" s="257" t="s">
        <v>549</v>
      </c>
      <c r="E1004" s="459" t="s">
        <v>3377</v>
      </c>
      <c r="F1004" s="171">
        <v>1998</v>
      </c>
      <c r="G1004" s="171">
        <v>219</v>
      </c>
      <c r="H1004" s="57"/>
      <c r="I1004" s="173" t="s">
        <v>2564</v>
      </c>
      <c r="J1004" s="277">
        <v>0.48</v>
      </c>
      <c r="K1004" s="213">
        <v>5.2191358024691361</v>
      </c>
      <c r="L1004" s="91"/>
      <c r="M1004" s="278">
        <v>324</v>
      </c>
      <c r="N1004" s="279"/>
      <c r="O1004" s="57"/>
      <c r="P1004" s="89"/>
      <c r="Q1004" s="88"/>
      <c r="R1004" s="94"/>
      <c r="S1004" s="94"/>
      <c r="T1004" s="171" t="s">
        <v>2557</v>
      </c>
      <c r="U1004" s="171"/>
      <c r="V1004" s="102">
        <v>0</v>
      </c>
      <c r="W1004" s="120">
        <v>0</v>
      </c>
      <c r="X1004" s="120">
        <v>0</v>
      </c>
      <c r="Y1004" s="120">
        <v>0</v>
      </c>
      <c r="Z1004" s="120">
        <v>0</v>
      </c>
      <c r="AA1004" s="17">
        <v>0</v>
      </c>
      <c r="AB1004" s="17">
        <v>0</v>
      </c>
      <c r="AC1004" s="17">
        <v>0</v>
      </c>
      <c r="AD1004" s="17">
        <v>0</v>
      </c>
      <c r="AE1004" s="17">
        <v>0</v>
      </c>
      <c r="AF1004" s="17">
        <v>0</v>
      </c>
      <c r="AG1004" s="17">
        <v>0</v>
      </c>
      <c r="AH1004" s="17">
        <v>0</v>
      </c>
      <c r="AI1004" s="17">
        <v>0</v>
      </c>
      <c r="AJ1004" s="17">
        <v>0</v>
      </c>
      <c r="AK1004" s="17">
        <v>0</v>
      </c>
      <c r="AL1004" s="32">
        <v>0</v>
      </c>
      <c r="AM1004" s="57"/>
      <c r="AN1004" s="89"/>
      <c r="AO1004" s="280"/>
      <c r="AP1004" s="784"/>
      <c r="AQ1004" s="773" t="s">
        <v>271</v>
      </c>
      <c r="AR1004" s="188">
        <v>100</v>
      </c>
      <c r="AS1004" s="171"/>
      <c r="AT1004" s="171" t="str">
        <f t="shared" si="87"/>
        <v>400</v>
      </c>
      <c r="AU1004" s="255">
        <f t="shared" si="88"/>
        <v>22.222222222222221</v>
      </c>
      <c r="AV1004" s="57"/>
      <c r="AW1004" s="171">
        <v>7</v>
      </c>
      <c r="AX1004" s="89"/>
      <c r="AY1004" s="171">
        <v>20</v>
      </c>
      <c r="AZ1004" s="89"/>
      <c r="BA1004" s="175">
        <v>60</v>
      </c>
      <c r="BB1004" s="259"/>
      <c r="BC1004" s="176"/>
      <c r="BD1004" s="179"/>
      <c r="BE1004" s="179"/>
      <c r="BF1004" s="178"/>
      <c r="BG1004" s="25"/>
      <c r="BH1004" s="25"/>
    </row>
    <row r="1005" spans="1:60" ht="15" customHeight="1">
      <c r="A1005" s="95">
        <v>1004</v>
      </c>
      <c r="B1005" s="98" t="s">
        <v>698</v>
      </c>
      <c r="C1005" s="191" t="s">
        <v>2694</v>
      </c>
      <c r="D1005" s="257" t="s">
        <v>549</v>
      </c>
      <c r="E1005" s="459" t="s">
        <v>3377</v>
      </c>
      <c r="F1005" s="171">
        <v>1998</v>
      </c>
      <c r="G1005" s="171">
        <v>219</v>
      </c>
      <c r="H1005" s="57"/>
      <c r="I1005" s="173" t="s">
        <v>2564</v>
      </c>
      <c r="J1005" s="277">
        <v>0.51</v>
      </c>
      <c r="K1005" s="213">
        <v>5.3395061728395063</v>
      </c>
      <c r="L1005" s="91"/>
      <c r="M1005" s="278">
        <v>324</v>
      </c>
      <c r="N1005" s="279"/>
      <c r="O1005" s="57"/>
      <c r="P1005" s="89"/>
      <c r="Q1005" s="88"/>
      <c r="R1005" s="94"/>
      <c r="S1005" s="94"/>
      <c r="T1005" s="171" t="s">
        <v>2557</v>
      </c>
      <c r="U1005" s="171"/>
      <c r="V1005" s="102">
        <v>0</v>
      </c>
      <c r="W1005" s="120">
        <v>0</v>
      </c>
      <c r="X1005" s="120">
        <v>0</v>
      </c>
      <c r="Y1005" s="120">
        <v>0</v>
      </c>
      <c r="Z1005" s="120">
        <v>0</v>
      </c>
      <c r="AA1005" s="17">
        <v>0</v>
      </c>
      <c r="AB1005" s="17">
        <v>0</v>
      </c>
      <c r="AC1005" s="17">
        <v>0</v>
      </c>
      <c r="AD1005" s="17">
        <v>0</v>
      </c>
      <c r="AE1005" s="17">
        <v>0</v>
      </c>
      <c r="AF1005" s="17">
        <v>0</v>
      </c>
      <c r="AG1005" s="17">
        <v>0</v>
      </c>
      <c r="AH1005" s="17">
        <v>0</v>
      </c>
      <c r="AI1005" s="17">
        <v>0</v>
      </c>
      <c r="AJ1005" s="17">
        <v>0</v>
      </c>
      <c r="AK1005" s="17">
        <v>0</v>
      </c>
      <c r="AL1005" s="32">
        <v>0</v>
      </c>
      <c r="AM1005" s="57"/>
      <c r="AN1005" s="89"/>
      <c r="AO1005" s="280"/>
      <c r="AP1005" s="784"/>
      <c r="AQ1005" s="773" t="s">
        <v>271</v>
      </c>
      <c r="AR1005" s="188">
        <v>100</v>
      </c>
      <c r="AS1005" s="171"/>
      <c r="AT1005" s="171" t="str">
        <f t="shared" si="87"/>
        <v>400</v>
      </c>
      <c r="AU1005" s="255">
        <f t="shared" si="88"/>
        <v>22.222222222222221</v>
      </c>
      <c r="AV1005" s="57"/>
      <c r="AW1005" s="171">
        <v>7</v>
      </c>
      <c r="AX1005" s="89"/>
      <c r="AY1005" s="171">
        <v>20</v>
      </c>
      <c r="AZ1005" s="89"/>
      <c r="BA1005" s="175">
        <v>60</v>
      </c>
      <c r="BB1005" s="259"/>
      <c r="BC1005" s="176"/>
      <c r="BD1005" s="179"/>
      <c r="BE1005" s="179"/>
      <c r="BF1005" s="178"/>
      <c r="BG1005" s="25"/>
      <c r="BH1005" s="25"/>
    </row>
    <row r="1006" spans="1:60" ht="15" customHeight="1">
      <c r="A1006" s="95">
        <v>1005</v>
      </c>
      <c r="B1006" s="98" t="s">
        <v>697</v>
      </c>
      <c r="C1006" s="191" t="s">
        <v>2694</v>
      </c>
      <c r="D1006" s="257" t="s">
        <v>549</v>
      </c>
      <c r="E1006" s="459" t="s">
        <v>3377</v>
      </c>
      <c r="F1006" s="171">
        <v>1998</v>
      </c>
      <c r="G1006" s="171">
        <v>219</v>
      </c>
      <c r="H1006" s="57"/>
      <c r="I1006" s="173" t="s">
        <v>2564</v>
      </c>
      <c r="J1006" s="277">
        <v>0.51</v>
      </c>
      <c r="K1006" s="213">
        <v>5.3395061728395063</v>
      </c>
      <c r="L1006" s="91"/>
      <c r="M1006" s="278">
        <v>324</v>
      </c>
      <c r="N1006" s="279"/>
      <c r="O1006" s="57"/>
      <c r="P1006" s="89"/>
      <c r="Q1006" s="88"/>
      <c r="R1006" s="94"/>
      <c r="S1006" s="94"/>
      <c r="T1006" s="171" t="s">
        <v>2557</v>
      </c>
      <c r="U1006" s="171"/>
      <c r="V1006" s="102">
        <v>0</v>
      </c>
      <c r="W1006" s="120">
        <v>0</v>
      </c>
      <c r="X1006" s="120">
        <v>0</v>
      </c>
      <c r="Y1006" s="120">
        <v>0</v>
      </c>
      <c r="Z1006" s="120">
        <v>0</v>
      </c>
      <c r="AA1006" s="17">
        <v>0</v>
      </c>
      <c r="AB1006" s="17">
        <v>0</v>
      </c>
      <c r="AC1006" s="17">
        <v>0</v>
      </c>
      <c r="AD1006" s="17">
        <v>0</v>
      </c>
      <c r="AE1006" s="17">
        <v>0</v>
      </c>
      <c r="AF1006" s="17">
        <v>0</v>
      </c>
      <c r="AG1006" s="17">
        <v>0</v>
      </c>
      <c r="AH1006" s="17">
        <v>0</v>
      </c>
      <c r="AI1006" s="17">
        <v>0</v>
      </c>
      <c r="AJ1006" s="17">
        <v>0</v>
      </c>
      <c r="AK1006" s="17">
        <v>0</v>
      </c>
      <c r="AL1006" s="32">
        <v>0</v>
      </c>
      <c r="AM1006" s="57"/>
      <c r="AN1006" s="89"/>
      <c r="AO1006" s="280"/>
      <c r="AP1006" s="784"/>
      <c r="AQ1006" s="773" t="s">
        <v>271</v>
      </c>
      <c r="AR1006" s="188">
        <v>100</v>
      </c>
      <c r="AS1006" s="171"/>
      <c r="AT1006" s="171" t="str">
        <f t="shared" si="87"/>
        <v>400</v>
      </c>
      <c r="AU1006" s="255">
        <f t="shared" si="88"/>
        <v>22.222222222222221</v>
      </c>
      <c r="AV1006" s="57"/>
      <c r="AW1006" s="171">
        <v>7</v>
      </c>
      <c r="AX1006" s="89"/>
      <c r="AY1006" s="171">
        <v>20</v>
      </c>
      <c r="AZ1006" s="89"/>
      <c r="BA1006" s="175">
        <v>60</v>
      </c>
      <c r="BB1006" s="259"/>
      <c r="BC1006" s="176"/>
      <c r="BD1006" s="179"/>
      <c r="BE1006" s="179"/>
      <c r="BF1006" s="178"/>
      <c r="BG1006" s="25"/>
      <c r="BH1006" s="25"/>
    </row>
    <row r="1007" spans="1:60" ht="15" customHeight="1">
      <c r="A1007" s="95">
        <v>1006</v>
      </c>
      <c r="B1007" s="98" t="s">
        <v>696</v>
      </c>
      <c r="C1007" s="191" t="s">
        <v>2694</v>
      </c>
      <c r="D1007" s="257" t="s">
        <v>549</v>
      </c>
      <c r="E1007" s="459" t="s">
        <v>3377</v>
      </c>
      <c r="F1007" s="171">
        <v>1998</v>
      </c>
      <c r="G1007" s="171">
        <v>219</v>
      </c>
      <c r="H1007" s="57"/>
      <c r="I1007" s="173" t="s">
        <v>2564</v>
      </c>
      <c r="J1007" s="277">
        <v>0.51</v>
      </c>
      <c r="K1007" s="213">
        <v>5.3395061728395063</v>
      </c>
      <c r="L1007" s="91"/>
      <c r="M1007" s="278">
        <v>324</v>
      </c>
      <c r="N1007" s="279"/>
      <c r="O1007" s="57"/>
      <c r="P1007" s="89"/>
      <c r="Q1007" s="88"/>
      <c r="R1007" s="94"/>
      <c r="S1007" s="94"/>
      <c r="T1007" s="171" t="s">
        <v>2557</v>
      </c>
      <c r="U1007" s="171"/>
      <c r="V1007" s="102">
        <v>0</v>
      </c>
      <c r="W1007" s="120">
        <v>0</v>
      </c>
      <c r="X1007" s="120">
        <v>0</v>
      </c>
      <c r="Y1007" s="120">
        <v>0</v>
      </c>
      <c r="Z1007" s="120">
        <v>0</v>
      </c>
      <c r="AA1007" s="17">
        <v>0</v>
      </c>
      <c r="AB1007" s="17">
        <v>0</v>
      </c>
      <c r="AC1007" s="17">
        <v>0</v>
      </c>
      <c r="AD1007" s="17">
        <v>0</v>
      </c>
      <c r="AE1007" s="17">
        <v>0</v>
      </c>
      <c r="AF1007" s="17">
        <v>0</v>
      </c>
      <c r="AG1007" s="17">
        <v>0</v>
      </c>
      <c r="AH1007" s="17">
        <v>0</v>
      </c>
      <c r="AI1007" s="17">
        <v>0</v>
      </c>
      <c r="AJ1007" s="17">
        <v>0</v>
      </c>
      <c r="AK1007" s="17">
        <v>0</v>
      </c>
      <c r="AL1007" s="32">
        <v>0</v>
      </c>
      <c r="AM1007" s="57"/>
      <c r="AN1007" s="89"/>
      <c r="AO1007" s="280"/>
      <c r="AP1007" s="784"/>
      <c r="AQ1007" s="773" t="s">
        <v>271</v>
      </c>
      <c r="AR1007" s="188">
        <v>100</v>
      </c>
      <c r="AS1007" s="171"/>
      <c r="AT1007" s="171" t="str">
        <f t="shared" si="87"/>
        <v>400</v>
      </c>
      <c r="AU1007" s="255">
        <f t="shared" si="88"/>
        <v>22.222222222222221</v>
      </c>
      <c r="AV1007" s="57"/>
      <c r="AW1007" s="171">
        <v>7</v>
      </c>
      <c r="AX1007" s="89"/>
      <c r="AY1007" s="171">
        <v>20</v>
      </c>
      <c r="AZ1007" s="89"/>
      <c r="BA1007" s="175">
        <v>60</v>
      </c>
      <c r="BB1007" s="259"/>
      <c r="BC1007" s="176"/>
      <c r="BD1007" s="179"/>
      <c r="BE1007" s="179"/>
      <c r="BF1007" s="178"/>
      <c r="BG1007" s="25"/>
      <c r="BH1007" s="25"/>
    </row>
    <row r="1008" spans="1:60" ht="15" customHeight="1">
      <c r="A1008" s="95">
        <v>1007</v>
      </c>
      <c r="B1008" s="98" t="s">
        <v>695</v>
      </c>
      <c r="C1008" s="191" t="s">
        <v>2694</v>
      </c>
      <c r="D1008" s="257" t="s">
        <v>549</v>
      </c>
      <c r="E1008" s="459" t="s">
        <v>3377</v>
      </c>
      <c r="F1008" s="171">
        <v>1998</v>
      </c>
      <c r="G1008" s="171">
        <v>219</v>
      </c>
      <c r="H1008" s="57"/>
      <c r="I1008" s="173" t="s">
        <v>2564</v>
      </c>
      <c r="J1008" s="277">
        <v>0.51</v>
      </c>
      <c r="K1008" s="213">
        <v>5.3395061728395063</v>
      </c>
      <c r="L1008" s="91"/>
      <c r="M1008" s="278">
        <v>324</v>
      </c>
      <c r="N1008" s="279"/>
      <c r="O1008" s="57"/>
      <c r="P1008" s="89"/>
      <c r="Q1008" s="88"/>
      <c r="R1008" s="94"/>
      <c r="S1008" s="94"/>
      <c r="T1008" s="171" t="s">
        <v>2557</v>
      </c>
      <c r="U1008" s="171"/>
      <c r="V1008" s="102">
        <v>0</v>
      </c>
      <c r="W1008" s="120">
        <v>0</v>
      </c>
      <c r="X1008" s="120">
        <v>0</v>
      </c>
      <c r="Y1008" s="120">
        <v>0</v>
      </c>
      <c r="Z1008" s="120">
        <v>0</v>
      </c>
      <c r="AA1008" s="17">
        <v>0</v>
      </c>
      <c r="AB1008" s="17">
        <v>0</v>
      </c>
      <c r="AC1008" s="17">
        <v>0</v>
      </c>
      <c r="AD1008" s="17">
        <v>0</v>
      </c>
      <c r="AE1008" s="17">
        <v>0</v>
      </c>
      <c r="AF1008" s="17">
        <v>0</v>
      </c>
      <c r="AG1008" s="17">
        <v>0</v>
      </c>
      <c r="AH1008" s="17">
        <v>0</v>
      </c>
      <c r="AI1008" s="17">
        <v>0</v>
      </c>
      <c r="AJ1008" s="17">
        <v>0</v>
      </c>
      <c r="AK1008" s="17">
        <v>0</v>
      </c>
      <c r="AL1008" s="32">
        <v>0</v>
      </c>
      <c r="AM1008" s="57"/>
      <c r="AN1008" s="89"/>
      <c r="AO1008" s="280"/>
      <c r="AP1008" s="784"/>
      <c r="AQ1008" s="773" t="s">
        <v>271</v>
      </c>
      <c r="AR1008" s="188">
        <v>100</v>
      </c>
      <c r="AS1008" s="171"/>
      <c r="AT1008" s="171" t="str">
        <f t="shared" si="87"/>
        <v>400</v>
      </c>
      <c r="AU1008" s="255">
        <f t="shared" si="88"/>
        <v>22.222222222222221</v>
      </c>
      <c r="AV1008" s="57"/>
      <c r="AW1008" s="171">
        <v>7</v>
      </c>
      <c r="AX1008" s="89"/>
      <c r="AY1008" s="171">
        <v>20</v>
      </c>
      <c r="AZ1008" s="89"/>
      <c r="BA1008" s="175">
        <v>60</v>
      </c>
      <c r="BB1008" s="259"/>
      <c r="BC1008" s="176"/>
      <c r="BD1008" s="179"/>
      <c r="BE1008" s="179"/>
      <c r="BF1008" s="178"/>
      <c r="BG1008" s="25"/>
      <c r="BH1008" s="25"/>
    </row>
    <row r="1009" spans="1:60" ht="15" customHeight="1">
      <c r="A1009" s="95">
        <v>1008</v>
      </c>
      <c r="B1009" s="98" t="s">
        <v>694</v>
      </c>
      <c r="C1009" s="191" t="s">
        <v>2694</v>
      </c>
      <c r="D1009" s="257" t="s">
        <v>549</v>
      </c>
      <c r="E1009" s="459" t="s">
        <v>3377</v>
      </c>
      <c r="F1009" s="171">
        <v>1998</v>
      </c>
      <c r="G1009" s="171">
        <v>219</v>
      </c>
      <c r="H1009" s="57"/>
      <c r="I1009" s="173" t="s">
        <v>2564</v>
      </c>
      <c r="J1009" s="277">
        <v>0.51</v>
      </c>
      <c r="K1009" s="213">
        <v>5.3395061728395063</v>
      </c>
      <c r="L1009" s="91"/>
      <c r="M1009" s="278">
        <v>324</v>
      </c>
      <c r="N1009" s="279"/>
      <c r="O1009" s="57"/>
      <c r="P1009" s="89"/>
      <c r="Q1009" s="88"/>
      <c r="R1009" s="94"/>
      <c r="S1009" s="94"/>
      <c r="T1009" s="171" t="s">
        <v>2557</v>
      </c>
      <c r="U1009" s="171"/>
      <c r="V1009" s="102">
        <v>0</v>
      </c>
      <c r="W1009" s="120">
        <v>0</v>
      </c>
      <c r="X1009" s="120">
        <v>0</v>
      </c>
      <c r="Y1009" s="120">
        <v>0</v>
      </c>
      <c r="Z1009" s="120">
        <v>0</v>
      </c>
      <c r="AA1009" s="17">
        <v>0</v>
      </c>
      <c r="AB1009" s="17">
        <v>0</v>
      </c>
      <c r="AC1009" s="17">
        <v>0</v>
      </c>
      <c r="AD1009" s="17">
        <v>0</v>
      </c>
      <c r="AE1009" s="17">
        <v>0</v>
      </c>
      <c r="AF1009" s="17">
        <v>0</v>
      </c>
      <c r="AG1009" s="17">
        <v>0</v>
      </c>
      <c r="AH1009" s="17">
        <v>0</v>
      </c>
      <c r="AI1009" s="17">
        <v>0</v>
      </c>
      <c r="AJ1009" s="17">
        <v>0</v>
      </c>
      <c r="AK1009" s="17">
        <v>0</v>
      </c>
      <c r="AL1009" s="32">
        <v>0</v>
      </c>
      <c r="AM1009" s="57"/>
      <c r="AN1009" s="89"/>
      <c r="AO1009" s="280"/>
      <c r="AP1009" s="784"/>
      <c r="AQ1009" s="773" t="s">
        <v>271</v>
      </c>
      <c r="AR1009" s="188">
        <v>100</v>
      </c>
      <c r="AS1009" s="171"/>
      <c r="AT1009" s="171" t="str">
        <f t="shared" si="87"/>
        <v>400</v>
      </c>
      <c r="AU1009" s="255">
        <f t="shared" si="88"/>
        <v>22.222222222222221</v>
      </c>
      <c r="AV1009" s="57"/>
      <c r="AW1009" s="171">
        <v>7</v>
      </c>
      <c r="AX1009" s="89"/>
      <c r="AY1009" s="171">
        <v>20</v>
      </c>
      <c r="AZ1009" s="89"/>
      <c r="BA1009" s="175">
        <v>60</v>
      </c>
      <c r="BB1009" s="259"/>
      <c r="BC1009" s="176"/>
      <c r="BD1009" s="179"/>
      <c r="BE1009" s="179"/>
      <c r="BF1009" s="178"/>
      <c r="BG1009" s="25"/>
      <c r="BH1009" s="25"/>
    </row>
    <row r="1010" spans="1:60" ht="15" customHeight="1">
      <c r="A1010" s="95">
        <v>1009</v>
      </c>
      <c r="B1010" s="98" t="s">
        <v>693</v>
      </c>
      <c r="C1010" s="191" t="s">
        <v>2694</v>
      </c>
      <c r="D1010" s="257" t="s">
        <v>549</v>
      </c>
      <c r="E1010" s="459" t="s">
        <v>3377</v>
      </c>
      <c r="F1010" s="171">
        <v>1998</v>
      </c>
      <c r="G1010" s="171">
        <v>219</v>
      </c>
      <c r="H1010" s="57"/>
      <c r="I1010" s="173" t="s">
        <v>2564</v>
      </c>
      <c r="J1010" s="277">
        <v>0.51</v>
      </c>
      <c r="K1010" s="213">
        <v>5.3395061728395063</v>
      </c>
      <c r="L1010" s="91"/>
      <c r="M1010" s="278">
        <v>324</v>
      </c>
      <c r="N1010" s="279"/>
      <c r="O1010" s="57"/>
      <c r="P1010" s="89"/>
      <c r="Q1010" s="88"/>
      <c r="R1010" s="94"/>
      <c r="S1010" s="94"/>
      <c r="T1010" s="171" t="s">
        <v>2557</v>
      </c>
      <c r="U1010" s="171"/>
      <c r="V1010" s="102">
        <v>0</v>
      </c>
      <c r="W1010" s="120">
        <v>0</v>
      </c>
      <c r="X1010" s="120">
        <v>0</v>
      </c>
      <c r="Y1010" s="120">
        <v>0</v>
      </c>
      <c r="Z1010" s="120">
        <v>0</v>
      </c>
      <c r="AA1010" s="17">
        <v>0</v>
      </c>
      <c r="AB1010" s="17">
        <v>0</v>
      </c>
      <c r="AC1010" s="17">
        <v>0</v>
      </c>
      <c r="AD1010" s="17">
        <v>0</v>
      </c>
      <c r="AE1010" s="17">
        <v>0</v>
      </c>
      <c r="AF1010" s="17">
        <v>0</v>
      </c>
      <c r="AG1010" s="17">
        <v>0</v>
      </c>
      <c r="AH1010" s="17">
        <v>0</v>
      </c>
      <c r="AI1010" s="17">
        <v>0</v>
      </c>
      <c r="AJ1010" s="17">
        <v>0</v>
      </c>
      <c r="AK1010" s="17">
        <v>0</v>
      </c>
      <c r="AL1010" s="32">
        <v>0</v>
      </c>
      <c r="AM1010" s="57"/>
      <c r="AN1010" s="89"/>
      <c r="AO1010" s="280"/>
      <c r="AP1010" s="784"/>
      <c r="AQ1010" s="773" t="s">
        <v>271</v>
      </c>
      <c r="AR1010" s="188">
        <v>100</v>
      </c>
      <c r="AS1010" s="171"/>
      <c r="AT1010" s="171" t="str">
        <f t="shared" si="87"/>
        <v>400</v>
      </c>
      <c r="AU1010" s="255">
        <f t="shared" si="88"/>
        <v>22.222222222222221</v>
      </c>
      <c r="AV1010" s="57"/>
      <c r="AW1010" s="171">
        <v>7</v>
      </c>
      <c r="AX1010" s="89"/>
      <c r="AY1010" s="171">
        <v>20</v>
      </c>
      <c r="AZ1010" s="89"/>
      <c r="BA1010" s="175">
        <v>60</v>
      </c>
      <c r="BB1010" s="259"/>
      <c r="BC1010" s="176"/>
      <c r="BD1010" s="179"/>
      <c r="BE1010" s="179"/>
      <c r="BF1010" s="178"/>
      <c r="BG1010" s="25"/>
      <c r="BH1010" s="25"/>
    </row>
    <row r="1011" spans="1:60" ht="15" customHeight="1">
      <c r="A1011" s="95">
        <v>1010</v>
      </c>
      <c r="B1011" s="98" t="s">
        <v>692</v>
      </c>
      <c r="C1011" s="191" t="s">
        <v>2694</v>
      </c>
      <c r="D1011" s="257" t="s">
        <v>549</v>
      </c>
      <c r="E1011" s="459" t="s">
        <v>3377</v>
      </c>
      <c r="F1011" s="171">
        <v>1998</v>
      </c>
      <c r="G1011" s="171">
        <v>219</v>
      </c>
      <c r="H1011" s="57"/>
      <c r="I1011" s="173" t="s">
        <v>2564</v>
      </c>
      <c r="J1011" s="277">
        <v>0.51</v>
      </c>
      <c r="K1011" s="213">
        <v>5.3395061728395063</v>
      </c>
      <c r="L1011" s="91"/>
      <c r="M1011" s="278">
        <v>324</v>
      </c>
      <c r="N1011" s="279"/>
      <c r="O1011" s="57"/>
      <c r="P1011" s="89"/>
      <c r="Q1011" s="88"/>
      <c r="R1011" s="94"/>
      <c r="S1011" s="94"/>
      <c r="T1011" s="171" t="s">
        <v>2557</v>
      </c>
      <c r="U1011" s="171"/>
      <c r="V1011" s="102">
        <v>0</v>
      </c>
      <c r="W1011" s="120">
        <v>0</v>
      </c>
      <c r="X1011" s="120">
        <v>0</v>
      </c>
      <c r="Y1011" s="120">
        <v>0</v>
      </c>
      <c r="Z1011" s="120">
        <v>0</v>
      </c>
      <c r="AA1011" s="17">
        <v>0</v>
      </c>
      <c r="AB1011" s="17">
        <v>0</v>
      </c>
      <c r="AC1011" s="17">
        <v>0</v>
      </c>
      <c r="AD1011" s="17">
        <v>0</v>
      </c>
      <c r="AE1011" s="17">
        <v>0</v>
      </c>
      <c r="AF1011" s="17">
        <v>0</v>
      </c>
      <c r="AG1011" s="17">
        <v>0</v>
      </c>
      <c r="AH1011" s="17">
        <v>0</v>
      </c>
      <c r="AI1011" s="17">
        <v>0</v>
      </c>
      <c r="AJ1011" s="17">
        <v>0</v>
      </c>
      <c r="AK1011" s="17">
        <v>0</v>
      </c>
      <c r="AL1011" s="32">
        <v>0</v>
      </c>
      <c r="AM1011" s="57"/>
      <c r="AN1011" s="89"/>
      <c r="AO1011" s="280"/>
      <c r="AP1011" s="784"/>
      <c r="AQ1011" s="773" t="s">
        <v>271</v>
      </c>
      <c r="AR1011" s="188">
        <v>100</v>
      </c>
      <c r="AS1011" s="171"/>
      <c r="AT1011" s="171" t="str">
        <f t="shared" si="87"/>
        <v>400</v>
      </c>
      <c r="AU1011" s="255">
        <f t="shared" si="88"/>
        <v>22.222222222222221</v>
      </c>
      <c r="AV1011" s="57"/>
      <c r="AW1011" s="171">
        <v>7</v>
      </c>
      <c r="AX1011" s="89"/>
      <c r="AY1011" s="171">
        <v>20</v>
      </c>
      <c r="AZ1011" s="89"/>
      <c r="BA1011" s="175">
        <v>60</v>
      </c>
      <c r="BB1011" s="259"/>
      <c r="BC1011" s="176"/>
      <c r="BD1011" s="179"/>
      <c r="BE1011" s="179"/>
      <c r="BF1011" s="178"/>
      <c r="BG1011" s="25"/>
      <c r="BH1011" s="25"/>
    </row>
    <row r="1012" spans="1:60" s="14" customFormat="1" ht="15" customHeight="1">
      <c r="A1012" s="95">
        <v>1011</v>
      </c>
      <c r="B1012" s="98" t="s">
        <v>691</v>
      </c>
      <c r="C1012" s="191" t="s">
        <v>2694</v>
      </c>
      <c r="D1012" s="257" t="s">
        <v>549</v>
      </c>
      <c r="E1012" s="459" t="s">
        <v>3377</v>
      </c>
      <c r="F1012" s="171">
        <v>1998</v>
      </c>
      <c r="G1012" s="171">
        <v>219</v>
      </c>
      <c r="H1012" s="57"/>
      <c r="I1012" s="173" t="s">
        <v>2564</v>
      </c>
      <c r="J1012" s="277">
        <v>0.51</v>
      </c>
      <c r="K1012" s="213">
        <v>5.3395061728395063</v>
      </c>
      <c r="L1012" s="91"/>
      <c r="M1012" s="278">
        <v>324</v>
      </c>
      <c r="N1012" s="279"/>
      <c r="O1012" s="57"/>
      <c r="P1012" s="89"/>
      <c r="Q1012" s="88"/>
      <c r="R1012" s="94"/>
      <c r="S1012" s="94"/>
      <c r="T1012" s="171" t="s">
        <v>2557</v>
      </c>
      <c r="U1012" s="171"/>
      <c r="V1012" s="102">
        <v>0</v>
      </c>
      <c r="W1012" s="120">
        <v>0</v>
      </c>
      <c r="X1012" s="120">
        <v>0</v>
      </c>
      <c r="Y1012" s="120">
        <v>0</v>
      </c>
      <c r="Z1012" s="120">
        <v>0</v>
      </c>
      <c r="AA1012" s="17">
        <v>0</v>
      </c>
      <c r="AB1012" s="17">
        <v>0</v>
      </c>
      <c r="AC1012" s="17">
        <v>0</v>
      </c>
      <c r="AD1012" s="17">
        <v>0</v>
      </c>
      <c r="AE1012" s="17">
        <v>0</v>
      </c>
      <c r="AF1012" s="17">
        <v>0</v>
      </c>
      <c r="AG1012" s="17">
        <v>0</v>
      </c>
      <c r="AH1012" s="17">
        <v>0</v>
      </c>
      <c r="AI1012" s="17">
        <v>0</v>
      </c>
      <c r="AJ1012" s="17">
        <v>0</v>
      </c>
      <c r="AK1012" s="17">
        <v>0</v>
      </c>
      <c r="AL1012" s="32">
        <v>0</v>
      </c>
      <c r="AM1012" s="57"/>
      <c r="AN1012" s="89"/>
      <c r="AO1012" s="280"/>
      <c r="AP1012" s="784"/>
      <c r="AQ1012" s="773" t="s">
        <v>271</v>
      </c>
      <c r="AR1012" s="188">
        <v>100</v>
      </c>
      <c r="AS1012" s="171"/>
      <c r="AT1012" s="171" t="str">
        <f t="shared" si="87"/>
        <v>400</v>
      </c>
      <c r="AU1012" s="255">
        <f t="shared" si="88"/>
        <v>22.222222222222221</v>
      </c>
      <c r="AV1012" s="57"/>
      <c r="AW1012" s="171">
        <v>7</v>
      </c>
      <c r="AX1012" s="89"/>
      <c r="AY1012" s="171">
        <v>20</v>
      </c>
      <c r="AZ1012" s="89"/>
      <c r="BA1012" s="175">
        <v>60</v>
      </c>
      <c r="BB1012" s="259"/>
      <c r="BC1012" s="176"/>
      <c r="BD1012" s="179"/>
      <c r="BE1012" s="179"/>
      <c r="BF1012" s="178"/>
      <c r="BG1012" s="25"/>
      <c r="BH1012" s="25"/>
    </row>
    <row r="1013" spans="1:60" ht="15" customHeight="1">
      <c r="A1013" s="95">
        <v>1012</v>
      </c>
      <c r="B1013" s="98" t="s">
        <v>690</v>
      </c>
      <c r="C1013" s="191" t="s">
        <v>2694</v>
      </c>
      <c r="D1013" s="257" t="s">
        <v>549</v>
      </c>
      <c r="E1013" s="459" t="s">
        <v>3377</v>
      </c>
      <c r="F1013" s="171">
        <v>1998</v>
      </c>
      <c r="G1013" s="171">
        <v>219</v>
      </c>
      <c r="H1013" s="57"/>
      <c r="I1013" s="173" t="s">
        <v>2564</v>
      </c>
      <c r="J1013" s="277">
        <v>0.51</v>
      </c>
      <c r="K1013" s="213">
        <v>5.3395061728395063</v>
      </c>
      <c r="L1013" s="91"/>
      <c r="M1013" s="278">
        <v>324</v>
      </c>
      <c r="N1013" s="279"/>
      <c r="O1013" s="57"/>
      <c r="P1013" s="89"/>
      <c r="Q1013" s="88"/>
      <c r="R1013" s="94"/>
      <c r="S1013" s="94"/>
      <c r="T1013" s="171" t="s">
        <v>2557</v>
      </c>
      <c r="U1013" s="171"/>
      <c r="V1013" s="102">
        <v>0</v>
      </c>
      <c r="W1013" s="120">
        <v>0</v>
      </c>
      <c r="X1013" s="120">
        <v>0</v>
      </c>
      <c r="Y1013" s="120">
        <v>0</v>
      </c>
      <c r="Z1013" s="120">
        <v>0</v>
      </c>
      <c r="AA1013" s="17">
        <v>0</v>
      </c>
      <c r="AB1013" s="17">
        <v>0</v>
      </c>
      <c r="AC1013" s="17">
        <v>0</v>
      </c>
      <c r="AD1013" s="17">
        <v>0</v>
      </c>
      <c r="AE1013" s="17">
        <v>0</v>
      </c>
      <c r="AF1013" s="17">
        <v>0</v>
      </c>
      <c r="AG1013" s="17">
        <v>0</v>
      </c>
      <c r="AH1013" s="17">
        <v>0</v>
      </c>
      <c r="AI1013" s="17">
        <v>0</v>
      </c>
      <c r="AJ1013" s="17">
        <v>0</v>
      </c>
      <c r="AK1013" s="17">
        <v>0</v>
      </c>
      <c r="AL1013" s="32">
        <v>0</v>
      </c>
      <c r="AM1013" s="57"/>
      <c r="AN1013" s="89"/>
      <c r="AO1013" s="280"/>
      <c r="AP1013" s="784"/>
      <c r="AQ1013" s="773" t="s">
        <v>271</v>
      </c>
      <c r="AR1013" s="188">
        <v>100</v>
      </c>
      <c r="AS1013" s="171"/>
      <c r="AT1013" s="171" t="str">
        <f t="shared" si="87"/>
        <v>400</v>
      </c>
      <c r="AU1013" s="255">
        <f t="shared" si="88"/>
        <v>22.222222222222221</v>
      </c>
      <c r="AV1013" s="57"/>
      <c r="AW1013" s="171">
        <v>7</v>
      </c>
      <c r="AX1013" s="89"/>
      <c r="AY1013" s="171">
        <v>20</v>
      </c>
      <c r="AZ1013" s="89"/>
      <c r="BA1013" s="175">
        <v>60</v>
      </c>
      <c r="BB1013" s="259"/>
      <c r="BC1013" s="176"/>
      <c r="BD1013" s="179"/>
      <c r="BE1013" s="179"/>
      <c r="BF1013" s="178"/>
      <c r="BG1013" s="25"/>
      <c r="BH1013" s="25"/>
    </row>
    <row r="1014" spans="1:60" ht="15" customHeight="1">
      <c r="A1014" s="95">
        <v>1013</v>
      </c>
      <c r="B1014" s="98" t="s">
        <v>689</v>
      </c>
      <c r="C1014" s="191" t="s">
        <v>2694</v>
      </c>
      <c r="D1014" s="257" t="s">
        <v>549</v>
      </c>
      <c r="E1014" s="459" t="s">
        <v>3377</v>
      </c>
      <c r="F1014" s="171">
        <v>1998</v>
      </c>
      <c r="G1014" s="171">
        <v>219</v>
      </c>
      <c r="H1014" s="57"/>
      <c r="I1014" s="173" t="s">
        <v>2564</v>
      </c>
      <c r="J1014" s="277">
        <v>0.51</v>
      </c>
      <c r="K1014" s="213">
        <v>5.3395061728395063</v>
      </c>
      <c r="L1014" s="91"/>
      <c r="M1014" s="278">
        <v>324</v>
      </c>
      <c r="N1014" s="279"/>
      <c r="O1014" s="57"/>
      <c r="P1014" s="89"/>
      <c r="Q1014" s="88"/>
      <c r="R1014" s="94"/>
      <c r="S1014" s="94"/>
      <c r="T1014" s="171" t="s">
        <v>2557</v>
      </c>
      <c r="U1014" s="171"/>
      <c r="V1014" s="102">
        <v>0</v>
      </c>
      <c r="W1014" s="120">
        <v>0</v>
      </c>
      <c r="X1014" s="120">
        <v>0</v>
      </c>
      <c r="Y1014" s="120">
        <v>0</v>
      </c>
      <c r="Z1014" s="120">
        <v>0</v>
      </c>
      <c r="AA1014" s="17">
        <v>0</v>
      </c>
      <c r="AB1014" s="17">
        <v>0</v>
      </c>
      <c r="AC1014" s="17">
        <v>0</v>
      </c>
      <c r="AD1014" s="17">
        <v>0</v>
      </c>
      <c r="AE1014" s="17">
        <v>0</v>
      </c>
      <c r="AF1014" s="17">
        <v>0</v>
      </c>
      <c r="AG1014" s="17">
        <v>0</v>
      </c>
      <c r="AH1014" s="17">
        <v>0</v>
      </c>
      <c r="AI1014" s="17">
        <v>0</v>
      </c>
      <c r="AJ1014" s="17">
        <v>0</v>
      </c>
      <c r="AK1014" s="17">
        <v>0</v>
      </c>
      <c r="AL1014" s="32">
        <v>0</v>
      </c>
      <c r="AM1014" s="57"/>
      <c r="AN1014" s="89"/>
      <c r="AO1014" s="280"/>
      <c r="AP1014" s="784"/>
      <c r="AQ1014" s="773" t="s">
        <v>271</v>
      </c>
      <c r="AR1014" s="188">
        <v>100</v>
      </c>
      <c r="AS1014" s="171"/>
      <c r="AT1014" s="171" t="str">
        <f t="shared" si="87"/>
        <v>400</v>
      </c>
      <c r="AU1014" s="255">
        <f t="shared" si="88"/>
        <v>22.222222222222221</v>
      </c>
      <c r="AV1014" s="57"/>
      <c r="AW1014" s="171">
        <v>7</v>
      </c>
      <c r="AX1014" s="89"/>
      <c r="AY1014" s="171">
        <v>20</v>
      </c>
      <c r="AZ1014" s="89"/>
      <c r="BA1014" s="175">
        <v>60</v>
      </c>
      <c r="BB1014" s="259"/>
      <c r="BC1014" s="176"/>
      <c r="BD1014" s="179"/>
      <c r="BE1014" s="179"/>
      <c r="BF1014" s="178"/>
      <c r="BG1014" s="25"/>
      <c r="BH1014" s="25"/>
    </row>
    <row r="1015" spans="1:60" ht="15" customHeight="1">
      <c r="A1015" s="95">
        <v>1014</v>
      </c>
      <c r="B1015" s="98" t="s">
        <v>688</v>
      </c>
      <c r="C1015" s="191" t="s">
        <v>2694</v>
      </c>
      <c r="D1015" s="257" t="s">
        <v>549</v>
      </c>
      <c r="E1015" s="459" t="s">
        <v>3377</v>
      </c>
      <c r="F1015" s="171">
        <v>1998</v>
      </c>
      <c r="G1015" s="171">
        <v>219</v>
      </c>
      <c r="H1015" s="57"/>
      <c r="I1015" s="173" t="s">
        <v>2564</v>
      </c>
      <c r="J1015" s="277">
        <v>0.51</v>
      </c>
      <c r="K1015" s="213">
        <v>5.3395061728395063</v>
      </c>
      <c r="L1015" s="91"/>
      <c r="M1015" s="278">
        <v>324</v>
      </c>
      <c r="N1015" s="279"/>
      <c r="O1015" s="57"/>
      <c r="P1015" s="89"/>
      <c r="Q1015" s="88"/>
      <c r="R1015" s="507"/>
      <c r="S1015" s="94"/>
      <c r="T1015" s="171" t="s">
        <v>2557</v>
      </c>
      <c r="U1015" s="171"/>
      <c r="V1015" s="102">
        <v>0</v>
      </c>
      <c r="W1015" s="120">
        <v>0</v>
      </c>
      <c r="X1015" s="120">
        <v>0</v>
      </c>
      <c r="Y1015" s="120">
        <v>0</v>
      </c>
      <c r="Z1015" s="120">
        <v>0</v>
      </c>
      <c r="AA1015" s="17">
        <v>0</v>
      </c>
      <c r="AB1015" s="17">
        <v>0</v>
      </c>
      <c r="AC1015" s="17">
        <v>0</v>
      </c>
      <c r="AD1015" s="17">
        <v>0</v>
      </c>
      <c r="AE1015" s="17">
        <v>0</v>
      </c>
      <c r="AF1015" s="17">
        <v>0</v>
      </c>
      <c r="AG1015" s="17">
        <v>0</v>
      </c>
      <c r="AH1015" s="17">
        <v>0</v>
      </c>
      <c r="AI1015" s="17">
        <v>0</v>
      </c>
      <c r="AJ1015" s="17">
        <v>0</v>
      </c>
      <c r="AK1015" s="17">
        <v>0</v>
      </c>
      <c r="AL1015" s="32">
        <v>0</v>
      </c>
      <c r="AM1015" s="57"/>
      <c r="AN1015" s="89"/>
      <c r="AO1015" s="280"/>
      <c r="AP1015" s="784"/>
      <c r="AQ1015" s="773" t="s">
        <v>271</v>
      </c>
      <c r="AR1015" s="188">
        <v>100</v>
      </c>
      <c r="AS1015" s="171"/>
      <c r="AT1015" s="171" t="str">
        <f t="shared" si="87"/>
        <v>400</v>
      </c>
      <c r="AU1015" s="255">
        <f t="shared" si="88"/>
        <v>22.222222222222221</v>
      </c>
      <c r="AV1015" s="57"/>
      <c r="AW1015" s="171">
        <v>7</v>
      </c>
      <c r="AX1015" s="89"/>
      <c r="AY1015" s="171">
        <v>20</v>
      </c>
      <c r="AZ1015" s="89"/>
      <c r="BA1015" s="175">
        <v>60</v>
      </c>
      <c r="BB1015" s="259"/>
      <c r="BC1015" s="176"/>
      <c r="BD1015" s="179"/>
      <c r="BE1015" s="179"/>
      <c r="BF1015" s="178"/>
      <c r="BG1015" s="25"/>
      <c r="BH1015" s="25"/>
    </row>
    <row r="1016" spans="1:60" ht="15" customHeight="1">
      <c r="A1016" s="95">
        <v>1015</v>
      </c>
      <c r="B1016" s="98" t="s">
        <v>687</v>
      </c>
      <c r="C1016" s="191" t="s">
        <v>2694</v>
      </c>
      <c r="D1016" s="257" t="s">
        <v>549</v>
      </c>
      <c r="E1016" s="459" t="s">
        <v>3377</v>
      </c>
      <c r="F1016" s="171">
        <v>1998</v>
      </c>
      <c r="G1016" s="171">
        <v>219</v>
      </c>
      <c r="H1016" s="57"/>
      <c r="I1016" s="173" t="s">
        <v>2564</v>
      </c>
      <c r="J1016" s="277">
        <v>0.51</v>
      </c>
      <c r="K1016" s="213">
        <v>5.3395061728395063</v>
      </c>
      <c r="L1016" s="91"/>
      <c r="M1016" s="278">
        <v>324</v>
      </c>
      <c r="N1016" s="279"/>
      <c r="O1016" s="57"/>
      <c r="P1016" s="89"/>
      <c r="Q1016" s="88"/>
      <c r="R1016" s="507"/>
      <c r="S1016" s="94"/>
      <c r="T1016" s="171" t="s">
        <v>2557</v>
      </c>
      <c r="U1016" s="171"/>
      <c r="V1016" s="102">
        <v>0</v>
      </c>
      <c r="W1016" s="120">
        <v>0</v>
      </c>
      <c r="X1016" s="120">
        <v>0</v>
      </c>
      <c r="Y1016" s="120">
        <v>0</v>
      </c>
      <c r="Z1016" s="120">
        <v>0</v>
      </c>
      <c r="AA1016" s="17">
        <v>0</v>
      </c>
      <c r="AB1016" s="17">
        <v>0</v>
      </c>
      <c r="AC1016" s="17">
        <v>0</v>
      </c>
      <c r="AD1016" s="17">
        <v>0</v>
      </c>
      <c r="AE1016" s="17">
        <v>0</v>
      </c>
      <c r="AF1016" s="17">
        <v>0</v>
      </c>
      <c r="AG1016" s="17">
        <v>0</v>
      </c>
      <c r="AH1016" s="17">
        <v>0</v>
      </c>
      <c r="AI1016" s="17">
        <v>0</v>
      </c>
      <c r="AJ1016" s="17">
        <v>0</v>
      </c>
      <c r="AK1016" s="17">
        <v>0</v>
      </c>
      <c r="AL1016" s="32">
        <v>0</v>
      </c>
      <c r="AM1016" s="57"/>
      <c r="AN1016" s="89"/>
      <c r="AO1016" s="280"/>
      <c r="AP1016" s="784"/>
      <c r="AQ1016" s="773" t="s">
        <v>271</v>
      </c>
      <c r="AR1016" s="188">
        <v>100</v>
      </c>
      <c r="AS1016" s="171"/>
      <c r="AT1016" s="171" t="str">
        <f t="shared" si="87"/>
        <v>400</v>
      </c>
      <c r="AU1016" s="255">
        <f t="shared" si="88"/>
        <v>22.222222222222221</v>
      </c>
      <c r="AV1016" s="57"/>
      <c r="AW1016" s="171">
        <v>7</v>
      </c>
      <c r="AX1016" s="89"/>
      <c r="AY1016" s="171">
        <v>20</v>
      </c>
      <c r="AZ1016" s="89"/>
      <c r="BA1016" s="175">
        <v>60</v>
      </c>
      <c r="BB1016" s="259"/>
      <c r="BC1016" s="176"/>
      <c r="BD1016" s="179"/>
      <c r="BE1016" s="179"/>
      <c r="BF1016" s="178"/>
      <c r="BG1016" s="25"/>
      <c r="BH1016" s="25"/>
    </row>
    <row r="1017" spans="1:60" ht="15" customHeight="1">
      <c r="A1017" s="95">
        <v>1016</v>
      </c>
      <c r="B1017" s="98" t="s">
        <v>686</v>
      </c>
      <c r="C1017" s="191" t="s">
        <v>2694</v>
      </c>
      <c r="D1017" s="257" t="s">
        <v>549</v>
      </c>
      <c r="E1017" s="459" t="s">
        <v>3377</v>
      </c>
      <c r="F1017" s="171">
        <v>1998</v>
      </c>
      <c r="G1017" s="171">
        <v>219</v>
      </c>
      <c r="H1017" s="57"/>
      <c r="I1017" s="173" t="s">
        <v>2564</v>
      </c>
      <c r="J1017" s="277">
        <v>0.51</v>
      </c>
      <c r="K1017" s="213">
        <v>5.3395061728395063</v>
      </c>
      <c r="L1017" s="91"/>
      <c r="M1017" s="278">
        <v>324</v>
      </c>
      <c r="N1017" s="279"/>
      <c r="O1017" s="57"/>
      <c r="P1017" s="89"/>
      <c r="Q1017" s="88"/>
      <c r="R1017" s="507"/>
      <c r="S1017" s="94"/>
      <c r="T1017" s="171" t="s">
        <v>2557</v>
      </c>
      <c r="U1017" s="171"/>
      <c r="V1017" s="102">
        <v>0</v>
      </c>
      <c r="W1017" s="120">
        <v>0</v>
      </c>
      <c r="X1017" s="120">
        <v>0</v>
      </c>
      <c r="Y1017" s="120">
        <v>0</v>
      </c>
      <c r="Z1017" s="120">
        <v>0</v>
      </c>
      <c r="AA1017" s="17">
        <v>0</v>
      </c>
      <c r="AB1017" s="17">
        <v>0</v>
      </c>
      <c r="AC1017" s="17">
        <v>0</v>
      </c>
      <c r="AD1017" s="17">
        <v>0</v>
      </c>
      <c r="AE1017" s="17">
        <v>0</v>
      </c>
      <c r="AF1017" s="17">
        <v>0</v>
      </c>
      <c r="AG1017" s="17">
        <v>0</v>
      </c>
      <c r="AH1017" s="17">
        <v>0</v>
      </c>
      <c r="AI1017" s="17">
        <v>0</v>
      </c>
      <c r="AJ1017" s="17">
        <v>0</v>
      </c>
      <c r="AK1017" s="17">
        <v>0</v>
      </c>
      <c r="AL1017" s="32">
        <v>0</v>
      </c>
      <c r="AM1017" s="57"/>
      <c r="AN1017" s="89"/>
      <c r="AO1017" s="280"/>
      <c r="AP1017" s="784"/>
      <c r="AQ1017" s="773" t="s">
        <v>271</v>
      </c>
      <c r="AR1017" s="188">
        <v>100</v>
      </c>
      <c r="AS1017" s="171"/>
      <c r="AT1017" s="171" t="str">
        <f t="shared" si="87"/>
        <v>400</v>
      </c>
      <c r="AU1017" s="255">
        <f t="shared" si="88"/>
        <v>22.222222222222221</v>
      </c>
      <c r="AV1017" s="57"/>
      <c r="AW1017" s="171">
        <v>7</v>
      </c>
      <c r="AX1017" s="89"/>
      <c r="AY1017" s="171">
        <v>20</v>
      </c>
      <c r="AZ1017" s="89"/>
      <c r="BA1017" s="175">
        <v>60</v>
      </c>
      <c r="BB1017" s="259"/>
      <c r="BC1017" s="176"/>
      <c r="BD1017" s="179"/>
      <c r="BE1017" s="179"/>
      <c r="BF1017" s="178"/>
      <c r="BG1017" s="25"/>
      <c r="BH1017" s="25"/>
    </row>
    <row r="1018" spans="1:60" ht="15" customHeight="1">
      <c r="A1018" s="95">
        <v>1017</v>
      </c>
      <c r="B1018" s="98" t="s">
        <v>685</v>
      </c>
      <c r="C1018" s="191" t="s">
        <v>2695</v>
      </c>
      <c r="D1018" s="257" t="s">
        <v>549</v>
      </c>
      <c r="E1018" s="459" t="s">
        <v>3377</v>
      </c>
      <c r="F1018" s="171">
        <v>1998</v>
      </c>
      <c r="G1018" s="171">
        <v>220</v>
      </c>
      <c r="H1018" s="57"/>
      <c r="I1018" s="173" t="s">
        <v>2564</v>
      </c>
      <c r="J1018" s="277">
        <v>0.55000000000000004</v>
      </c>
      <c r="K1018" s="213">
        <v>5.2547169811320753</v>
      </c>
      <c r="L1018" s="91"/>
      <c r="M1018" s="278">
        <v>318</v>
      </c>
      <c r="N1018" s="279"/>
      <c r="O1018" s="172" t="s">
        <v>12</v>
      </c>
      <c r="P1018" s="92"/>
      <c r="Q1018" s="173" t="s">
        <v>10</v>
      </c>
      <c r="R1018" s="507"/>
      <c r="S1018" s="94"/>
      <c r="T1018" s="171" t="s">
        <v>2557</v>
      </c>
      <c r="U1018" s="171"/>
      <c r="V1018" s="102">
        <v>0</v>
      </c>
      <c r="W1018" s="120">
        <v>0</v>
      </c>
      <c r="X1018" s="120">
        <v>0</v>
      </c>
      <c r="Y1018" s="120">
        <v>0</v>
      </c>
      <c r="Z1018" s="120">
        <v>0</v>
      </c>
      <c r="AA1018" s="17">
        <v>0</v>
      </c>
      <c r="AB1018" s="17">
        <v>0</v>
      </c>
      <c r="AC1018" s="17">
        <v>0</v>
      </c>
      <c r="AD1018" s="17">
        <v>0</v>
      </c>
      <c r="AE1018" s="17">
        <v>0</v>
      </c>
      <c r="AF1018" s="17">
        <v>0</v>
      </c>
      <c r="AG1018" s="17">
        <v>0</v>
      </c>
      <c r="AH1018" s="17">
        <v>0</v>
      </c>
      <c r="AI1018" s="17">
        <v>0</v>
      </c>
      <c r="AJ1018" s="17">
        <v>0</v>
      </c>
      <c r="AK1018" s="17">
        <v>0</v>
      </c>
      <c r="AL1018" s="32">
        <v>0</v>
      </c>
      <c r="AM1018" s="57"/>
      <c r="AN1018" s="89"/>
      <c r="AO1018" s="280"/>
      <c r="AP1018" s="784"/>
      <c r="AQ1018" s="773" t="s">
        <v>271</v>
      </c>
      <c r="AR1018" s="188">
        <v>100</v>
      </c>
      <c r="AS1018" s="171"/>
      <c r="AT1018" s="171" t="str">
        <f t="shared" si="87"/>
        <v>400</v>
      </c>
      <c r="AU1018" s="255">
        <f t="shared" si="88"/>
        <v>22.222222222222221</v>
      </c>
      <c r="AV1018" s="172">
        <v>100</v>
      </c>
      <c r="AW1018" s="171">
        <v>7</v>
      </c>
      <c r="AX1018" s="89"/>
      <c r="AY1018" s="171">
        <v>20</v>
      </c>
      <c r="AZ1018" s="89"/>
      <c r="BA1018" s="175">
        <v>60</v>
      </c>
      <c r="BB1018" s="189" t="s">
        <v>2547</v>
      </c>
      <c r="BC1018" s="176"/>
      <c r="BD1018" s="179"/>
      <c r="BE1018" s="179"/>
      <c r="BF1018" s="178"/>
      <c r="BG1018" s="25"/>
      <c r="BH1018" s="25"/>
    </row>
    <row r="1019" spans="1:60" ht="15" customHeight="1">
      <c r="A1019" s="95">
        <v>1018</v>
      </c>
      <c r="B1019" s="98" t="s">
        <v>684</v>
      </c>
      <c r="C1019" s="191" t="s">
        <v>2695</v>
      </c>
      <c r="D1019" s="257" t="s">
        <v>549</v>
      </c>
      <c r="E1019" s="459" t="s">
        <v>3377</v>
      </c>
      <c r="F1019" s="171">
        <v>1998</v>
      </c>
      <c r="G1019" s="171">
        <v>220</v>
      </c>
      <c r="H1019" s="57"/>
      <c r="I1019" s="173" t="s">
        <v>2564</v>
      </c>
      <c r="J1019" s="277">
        <v>0.55000000000000004</v>
      </c>
      <c r="K1019" s="213">
        <v>5.0691823899371071</v>
      </c>
      <c r="L1019" s="91"/>
      <c r="M1019" s="278">
        <v>318</v>
      </c>
      <c r="N1019" s="279"/>
      <c r="O1019" s="172" t="s">
        <v>12</v>
      </c>
      <c r="P1019" s="92"/>
      <c r="Q1019" s="173" t="s">
        <v>10</v>
      </c>
      <c r="R1019" s="507"/>
      <c r="S1019" s="94"/>
      <c r="T1019" s="171" t="s">
        <v>2557</v>
      </c>
      <c r="U1019" s="171"/>
      <c r="V1019" s="102">
        <v>0</v>
      </c>
      <c r="W1019" s="120">
        <v>0</v>
      </c>
      <c r="X1019" s="120">
        <v>0</v>
      </c>
      <c r="Y1019" s="120">
        <v>0</v>
      </c>
      <c r="Z1019" s="120">
        <v>0</v>
      </c>
      <c r="AA1019" s="17">
        <v>0</v>
      </c>
      <c r="AB1019" s="17">
        <v>0</v>
      </c>
      <c r="AC1019" s="17">
        <v>0</v>
      </c>
      <c r="AD1019" s="17">
        <v>0</v>
      </c>
      <c r="AE1019" s="17">
        <v>0</v>
      </c>
      <c r="AF1019" s="17">
        <v>0</v>
      </c>
      <c r="AG1019" s="17">
        <v>0</v>
      </c>
      <c r="AH1019" s="17">
        <v>0</v>
      </c>
      <c r="AI1019" s="17">
        <v>0</v>
      </c>
      <c r="AJ1019" s="17">
        <v>0</v>
      </c>
      <c r="AK1019" s="17">
        <v>0</v>
      </c>
      <c r="AL1019" s="32">
        <v>0</v>
      </c>
      <c r="AM1019" s="57"/>
      <c r="AN1019" s="89"/>
      <c r="AO1019" s="280"/>
      <c r="AP1019" s="784"/>
      <c r="AQ1019" s="773" t="s">
        <v>271</v>
      </c>
      <c r="AR1019" s="188">
        <v>100</v>
      </c>
      <c r="AS1019" s="171"/>
      <c r="AT1019" s="171" t="str">
        <f t="shared" si="87"/>
        <v>400</v>
      </c>
      <c r="AU1019" s="255">
        <f t="shared" si="88"/>
        <v>22.222222222222221</v>
      </c>
      <c r="AV1019" s="172">
        <v>100</v>
      </c>
      <c r="AW1019" s="171">
        <v>7</v>
      </c>
      <c r="AX1019" s="89"/>
      <c r="AY1019" s="171">
        <v>20</v>
      </c>
      <c r="AZ1019" s="89"/>
      <c r="BA1019" s="175">
        <v>60</v>
      </c>
      <c r="BB1019" s="189" t="s">
        <v>2547</v>
      </c>
      <c r="BC1019" s="176"/>
      <c r="BD1019" s="179"/>
      <c r="BE1019" s="179"/>
      <c r="BF1019" s="178"/>
      <c r="BG1019" s="25"/>
      <c r="BH1019" s="25"/>
    </row>
    <row r="1020" spans="1:60" ht="15" customHeight="1">
      <c r="A1020" s="95">
        <v>1019</v>
      </c>
      <c r="B1020" s="98" t="s">
        <v>683</v>
      </c>
      <c r="C1020" s="191" t="s">
        <v>2695</v>
      </c>
      <c r="D1020" s="257" t="s">
        <v>549</v>
      </c>
      <c r="E1020" s="459" t="s">
        <v>3377</v>
      </c>
      <c r="F1020" s="171">
        <v>1998</v>
      </c>
      <c r="G1020" s="171">
        <v>220</v>
      </c>
      <c r="H1020" s="57"/>
      <c r="I1020" s="173" t="s">
        <v>2564</v>
      </c>
      <c r="J1020" s="277">
        <v>0.55000000000000004</v>
      </c>
      <c r="K1020" s="213">
        <v>4.6289308176100628</v>
      </c>
      <c r="L1020" s="91"/>
      <c r="M1020" s="278">
        <v>318</v>
      </c>
      <c r="N1020" s="279"/>
      <c r="O1020" s="172" t="s">
        <v>12</v>
      </c>
      <c r="P1020" s="92"/>
      <c r="Q1020" s="173" t="s">
        <v>10</v>
      </c>
      <c r="R1020" s="94"/>
      <c r="S1020" s="94"/>
      <c r="T1020" s="171" t="s">
        <v>2557</v>
      </c>
      <c r="U1020" s="171"/>
      <c r="V1020" s="102">
        <v>0</v>
      </c>
      <c r="W1020" s="120">
        <v>0</v>
      </c>
      <c r="X1020" s="120">
        <v>0</v>
      </c>
      <c r="Y1020" s="120">
        <v>0</v>
      </c>
      <c r="Z1020" s="120">
        <v>0</v>
      </c>
      <c r="AA1020" s="17">
        <v>0</v>
      </c>
      <c r="AB1020" s="17">
        <v>0</v>
      </c>
      <c r="AC1020" s="17">
        <v>0</v>
      </c>
      <c r="AD1020" s="17">
        <v>0</v>
      </c>
      <c r="AE1020" s="17">
        <v>0</v>
      </c>
      <c r="AF1020" s="17">
        <v>0</v>
      </c>
      <c r="AG1020" s="17">
        <v>0</v>
      </c>
      <c r="AH1020" s="17">
        <v>0</v>
      </c>
      <c r="AI1020" s="17">
        <v>0</v>
      </c>
      <c r="AJ1020" s="17">
        <v>0</v>
      </c>
      <c r="AK1020" s="17">
        <v>0</v>
      </c>
      <c r="AL1020" s="32">
        <v>0</v>
      </c>
      <c r="AM1020" s="57"/>
      <c r="AN1020" s="89"/>
      <c r="AO1020" s="280"/>
      <c r="AP1020" s="784"/>
      <c r="AQ1020" s="773" t="s">
        <v>271</v>
      </c>
      <c r="AR1020" s="188">
        <v>100</v>
      </c>
      <c r="AS1020" s="171"/>
      <c r="AT1020" s="171" t="str">
        <f t="shared" si="87"/>
        <v>400</v>
      </c>
      <c r="AU1020" s="255">
        <f t="shared" si="88"/>
        <v>22.222222222222221</v>
      </c>
      <c r="AV1020" s="172">
        <v>100</v>
      </c>
      <c r="AW1020" s="171">
        <v>7</v>
      </c>
      <c r="AX1020" s="89"/>
      <c r="AY1020" s="171">
        <v>20</v>
      </c>
      <c r="AZ1020" s="89"/>
      <c r="BA1020" s="175">
        <v>60</v>
      </c>
      <c r="BB1020" s="189" t="s">
        <v>2547</v>
      </c>
      <c r="BC1020" s="176"/>
      <c r="BD1020" s="179"/>
      <c r="BE1020" s="179"/>
      <c r="BF1020" s="178"/>
      <c r="BG1020" s="25"/>
      <c r="BH1020" s="25"/>
    </row>
    <row r="1021" spans="1:60" ht="15" customHeight="1">
      <c r="A1021" s="95">
        <v>1020</v>
      </c>
      <c r="B1021" s="98" t="s">
        <v>682</v>
      </c>
      <c r="C1021" s="191" t="s">
        <v>2695</v>
      </c>
      <c r="D1021" s="257" t="s">
        <v>549</v>
      </c>
      <c r="E1021" s="459" t="s">
        <v>3377</v>
      </c>
      <c r="F1021" s="171">
        <v>1998</v>
      </c>
      <c r="G1021" s="171">
        <v>220</v>
      </c>
      <c r="H1021" s="57"/>
      <c r="I1021" s="173" t="s">
        <v>2564</v>
      </c>
      <c r="J1021" s="277">
        <v>0.55000000000000004</v>
      </c>
      <c r="K1021" s="213">
        <v>5.5943396226415096</v>
      </c>
      <c r="L1021" s="91"/>
      <c r="M1021" s="278">
        <v>318</v>
      </c>
      <c r="N1021" s="279"/>
      <c r="O1021" s="172" t="s">
        <v>12</v>
      </c>
      <c r="P1021" s="92"/>
      <c r="Q1021" s="173" t="s">
        <v>10</v>
      </c>
      <c r="R1021" s="94"/>
      <c r="S1021" s="94"/>
      <c r="T1021" s="171"/>
      <c r="U1021" s="171"/>
      <c r="V1021" s="102">
        <v>0</v>
      </c>
      <c r="W1021" s="120">
        <v>0</v>
      </c>
      <c r="X1021" s="120">
        <v>0</v>
      </c>
      <c r="Y1021" s="120">
        <v>0</v>
      </c>
      <c r="Z1021" s="120">
        <v>0</v>
      </c>
      <c r="AA1021" s="17">
        <v>0</v>
      </c>
      <c r="AB1021" s="17">
        <v>0</v>
      </c>
      <c r="AC1021" s="17">
        <v>0</v>
      </c>
      <c r="AD1021" s="17">
        <v>0</v>
      </c>
      <c r="AE1021" s="17">
        <v>0</v>
      </c>
      <c r="AF1021" s="17">
        <v>0</v>
      </c>
      <c r="AG1021" s="17">
        <v>0</v>
      </c>
      <c r="AH1021" s="17">
        <v>0</v>
      </c>
      <c r="AI1021" s="17">
        <v>0</v>
      </c>
      <c r="AJ1021" s="17">
        <v>0</v>
      </c>
      <c r="AK1021" s="17">
        <v>0</v>
      </c>
      <c r="AL1021" s="32">
        <v>0</v>
      </c>
      <c r="AM1021" s="57"/>
      <c r="AN1021" s="89"/>
      <c r="AO1021" s="280"/>
      <c r="AP1021" s="784"/>
      <c r="AQ1021" s="773" t="s">
        <v>271</v>
      </c>
      <c r="AR1021" s="188">
        <v>100</v>
      </c>
      <c r="AS1021" s="171"/>
      <c r="AT1021" s="171" t="str">
        <f t="shared" si="87"/>
        <v>400</v>
      </c>
      <c r="AU1021" s="255">
        <f t="shared" si="88"/>
        <v>22.222222222222221</v>
      </c>
      <c r="AV1021" s="172">
        <v>100</v>
      </c>
      <c r="AW1021" s="171">
        <v>7</v>
      </c>
      <c r="AX1021" s="89"/>
      <c r="AY1021" s="171">
        <v>20</v>
      </c>
      <c r="AZ1021" s="89"/>
      <c r="BA1021" s="175">
        <v>60</v>
      </c>
      <c r="BB1021" s="189" t="s">
        <v>2547</v>
      </c>
      <c r="BC1021" s="176"/>
      <c r="BD1021" s="179"/>
      <c r="BE1021" s="179"/>
      <c r="BF1021" s="178"/>
      <c r="BG1021" s="25"/>
      <c r="BH1021" s="25"/>
    </row>
    <row r="1022" spans="1:60" ht="15" customHeight="1">
      <c r="A1022" s="95">
        <v>1021</v>
      </c>
      <c r="B1022" s="98" t="s">
        <v>681</v>
      </c>
      <c r="C1022" s="191" t="s">
        <v>2695</v>
      </c>
      <c r="D1022" s="257" t="s">
        <v>549</v>
      </c>
      <c r="E1022" s="459" t="s">
        <v>3377</v>
      </c>
      <c r="F1022" s="171">
        <v>1998</v>
      </c>
      <c r="G1022" s="171">
        <v>220</v>
      </c>
      <c r="H1022" s="57"/>
      <c r="I1022" s="173" t="s">
        <v>2564</v>
      </c>
      <c r="J1022" s="277">
        <v>0.55000000000000004</v>
      </c>
      <c r="K1022" s="213">
        <v>5.5786163522012577</v>
      </c>
      <c r="L1022" s="91"/>
      <c r="M1022" s="278">
        <v>318</v>
      </c>
      <c r="N1022" s="279"/>
      <c r="O1022" s="172" t="s">
        <v>12</v>
      </c>
      <c r="P1022" s="92"/>
      <c r="Q1022" s="173" t="s">
        <v>10</v>
      </c>
      <c r="R1022" s="94"/>
      <c r="S1022" s="94"/>
      <c r="T1022" s="171"/>
      <c r="U1022" s="171"/>
      <c r="V1022" s="102">
        <v>0</v>
      </c>
      <c r="W1022" s="120">
        <v>0</v>
      </c>
      <c r="X1022" s="120">
        <v>0</v>
      </c>
      <c r="Y1022" s="120">
        <v>0</v>
      </c>
      <c r="Z1022" s="120">
        <v>0</v>
      </c>
      <c r="AA1022" s="17">
        <v>0</v>
      </c>
      <c r="AB1022" s="17">
        <v>0</v>
      </c>
      <c r="AC1022" s="17">
        <v>0</v>
      </c>
      <c r="AD1022" s="17">
        <v>0</v>
      </c>
      <c r="AE1022" s="17">
        <v>0</v>
      </c>
      <c r="AF1022" s="17">
        <v>0</v>
      </c>
      <c r="AG1022" s="17">
        <v>0</v>
      </c>
      <c r="AH1022" s="17">
        <v>0</v>
      </c>
      <c r="AI1022" s="17">
        <v>0</v>
      </c>
      <c r="AJ1022" s="17">
        <v>0</v>
      </c>
      <c r="AK1022" s="17">
        <v>0</v>
      </c>
      <c r="AL1022" s="32">
        <v>0</v>
      </c>
      <c r="AM1022" s="57"/>
      <c r="AN1022" s="89"/>
      <c r="AO1022" s="280"/>
      <c r="AP1022" s="784"/>
      <c r="AQ1022" s="773" t="s">
        <v>271</v>
      </c>
      <c r="AR1022" s="188">
        <v>100</v>
      </c>
      <c r="AS1022" s="171"/>
      <c r="AT1022" s="171" t="str">
        <f t="shared" si="87"/>
        <v>400</v>
      </c>
      <c r="AU1022" s="255">
        <f t="shared" si="88"/>
        <v>22.222222222222221</v>
      </c>
      <c r="AV1022" s="172">
        <v>100</v>
      </c>
      <c r="AW1022" s="171">
        <v>7</v>
      </c>
      <c r="AX1022" s="89"/>
      <c r="AY1022" s="171">
        <v>20</v>
      </c>
      <c r="AZ1022" s="89"/>
      <c r="BA1022" s="175">
        <v>60</v>
      </c>
      <c r="BB1022" s="189" t="s">
        <v>2547</v>
      </c>
      <c r="BC1022" s="176"/>
      <c r="BD1022" s="179"/>
      <c r="BE1022" s="179"/>
      <c r="BF1022" s="178"/>
      <c r="BG1022" s="25"/>
      <c r="BH1022" s="25"/>
    </row>
    <row r="1023" spans="1:60" ht="15" customHeight="1">
      <c r="A1023" s="95">
        <v>1022</v>
      </c>
      <c r="B1023" s="98" t="s">
        <v>680</v>
      </c>
      <c r="C1023" s="191" t="s">
        <v>2695</v>
      </c>
      <c r="D1023" s="257" t="s">
        <v>549</v>
      </c>
      <c r="E1023" s="459" t="s">
        <v>3377</v>
      </c>
      <c r="F1023" s="171">
        <v>1998</v>
      </c>
      <c r="G1023" s="171">
        <v>220</v>
      </c>
      <c r="H1023" s="57"/>
      <c r="I1023" s="173" t="s">
        <v>2564</v>
      </c>
      <c r="J1023" s="277">
        <v>0.55000000000000004</v>
      </c>
      <c r="K1023" s="213">
        <v>5.5566037735849054</v>
      </c>
      <c r="L1023" s="91"/>
      <c r="M1023" s="278">
        <v>318</v>
      </c>
      <c r="N1023" s="279"/>
      <c r="O1023" s="172" t="s">
        <v>12</v>
      </c>
      <c r="P1023" s="92"/>
      <c r="Q1023" s="173" t="s">
        <v>10</v>
      </c>
      <c r="R1023" s="94"/>
      <c r="S1023" s="94"/>
      <c r="T1023" s="171"/>
      <c r="U1023" s="171"/>
      <c r="V1023" s="102">
        <v>0</v>
      </c>
      <c r="W1023" s="120">
        <v>0</v>
      </c>
      <c r="X1023" s="120">
        <v>0</v>
      </c>
      <c r="Y1023" s="120">
        <v>0</v>
      </c>
      <c r="Z1023" s="120">
        <v>0</v>
      </c>
      <c r="AA1023" s="17">
        <v>0</v>
      </c>
      <c r="AB1023" s="17">
        <v>0</v>
      </c>
      <c r="AC1023" s="17">
        <v>0</v>
      </c>
      <c r="AD1023" s="17">
        <v>0</v>
      </c>
      <c r="AE1023" s="17">
        <v>0</v>
      </c>
      <c r="AF1023" s="17">
        <v>0</v>
      </c>
      <c r="AG1023" s="17">
        <v>0</v>
      </c>
      <c r="AH1023" s="17">
        <v>0</v>
      </c>
      <c r="AI1023" s="17">
        <v>0</v>
      </c>
      <c r="AJ1023" s="17">
        <v>0</v>
      </c>
      <c r="AK1023" s="17">
        <v>0</v>
      </c>
      <c r="AL1023" s="32">
        <v>0</v>
      </c>
      <c r="AM1023" s="57"/>
      <c r="AN1023" s="89"/>
      <c r="AO1023" s="280"/>
      <c r="AP1023" s="784"/>
      <c r="AQ1023" s="773" t="s">
        <v>271</v>
      </c>
      <c r="AR1023" s="188">
        <v>100</v>
      </c>
      <c r="AS1023" s="171"/>
      <c r="AT1023" s="171" t="str">
        <f t="shared" si="87"/>
        <v>400</v>
      </c>
      <c r="AU1023" s="255">
        <f t="shared" si="88"/>
        <v>22.222222222222221</v>
      </c>
      <c r="AV1023" s="172">
        <v>100</v>
      </c>
      <c r="AW1023" s="171">
        <v>7</v>
      </c>
      <c r="AX1023" s="89"/>
      <c r="AY1023" s="171">
        <v>20</v>
      </c>
      <c r="AZ1023" s="89"/>
      <c r="BA1023" s="175">
        <v>60</v>
      </c>
      <c r="BB1023" s="189" t="s">
        <v>2547</v>
      </c>
      <c r="BC1023" s="176"/>
      <c r="BD1023" s="179"/>
      <c r="BE1023" s="179"/>
      <c r="BF1023" s="178"/>
      <c r="BG1023" s="25"/>
      <c r="BH1023" s="25"/>
    </row>
    <row r="1024" spans="1:60" ht="15" customHeight="1">
      <c r="A1024" s="95">
        <v>1023</v>
      </c>
      <c r="B1024" s="98" t="s">
        <v>679</v>
      </c>
      <c r="C1024" s="191" t="s">
        <v>2695</v>
      </c>
      <c r="D1024" s="257" t="s">
        <v>549</v>
      </c>
      <c r="E1024" s="459" t="s">
        <v>3377</v>
      </c>
      <c r="F1024" s="171">
        <v>1998</v>
      </c>
      <c r="G1024" s="171">
        <v>220</v>
      </c>
      <c r="H1024" s="57"/>
      <c r="I1024" s="173" t="s">
        <v>2564</v>
      </c>
      <c r="J1024" s="277">
        <v>0.55000000000000004</v>
      </c>
      <c r="K1024" s="213">
        <v>5.4150943396226419</v>
      </c>
      <c r="L1024" s="91"/>
      <c r="M1024" s="278">
        <v>318</v>
      </c>
      <c r="N1024" s="279"/>
      <c r="O1024" s="172" t="s">
        <v>12</v>
      </c>
      <c r="P1024" s="92"/>
      <c r="Q1024" s="173" t="s">
        <v>10</v>
      </c>
      <c r="R1024" s="507"/>
      <c r="S1024" s="94"/>
      <c r="T1024" s="171" t="s">
        <v>2557</v>
      </c>
      <c r="U1024" s="171"/>
      <c r="V1024" s="102">
        <v>0</v>
      </c>
      <c r="W1024" s="120">
        <v>0</v>
      </c>
      <c r="X1024" s="120">
        <v>0</v>
      </c>
      <c r="Y1024" s="120">
        <v>0</v>
      </c>
      <c r="Z1024" s="120">
        <v>0</v>
      </c>
      <c r="AA1024" s="17">
        <v>0</v>
      </c>
      <c r="AB1024" s="17">
        <v>0</v>
      </c>
      <c r="AC1024" s="17">
        <v>0</v>
      </c>
      <c r="AD1024" s="17">
        <v>0</v>
      </c>
      <c r="AE1024" s="17">
        <v>0</v>
      </c>
      <c r="AF1024" s="17">
        <v>0</v>
      </c>
      <c r="AG1024" s="17">
        <v>0</v>
      </c>
      <c r="AH1024" s="17">
        <v>0</v>
      </c>
      <c r="AI1024" s="17">
        <v>0</v>
      </c>
      <c r="AJ1024" s="17">
        <v>0</v>
      </c>
      <c r="AK1024" s="17">
        <v>0</v>
      </c>
      <c r="AL1024" s="32">
        <v>0</v>
      </c>
      <c r="AM1024" s="57"/>
      <c r="AN1024" s="89"/>
      <c r="AO1024" s="280"/>
      <c r="AP1024" s="784"/>
      <c r="AQ1024" s="773" t="s">
        <v>271</v>
      </c>
      <c r="AR1024" s="188">
        <v>100</v>
      </c>
      <c r="AS1024" s="171"/>
      <c r="AT1024" s="171" t="str">
        <f t="shared" si="87"/>
        <v>400</v>
      </c>
      <c r="AU1024" s="255">
        <f t="shared" si="88"/>
        <v>22.222222222222221</v>
      </c>
      <c r="AV1024" s="172">
        <v>100</v>
      </c>
      <c r="AW1024" s="171">
        <v>7</v>
      </c>
      <c r="AX1024" s="89"/>
      <c r="AY1024" s="171">
        <v>20</v>
      </c>
      <c r="AZ1024" s="89"/>
      <c r="BA1024" s="175">
        <v>60</v>
      </c>
      <c r="BB1024" s="189" t="s">
        <v>2547</v>
      </c>
      <c r="BC1024" s="176"/>
      <c r="BD1024" s="179"/>
      <c r="BE1024" s="179"/>
      <c r="BF1024" s="178"/>
      <c r="BG1024" s="25"/>
      <c r="BH1024" s="25"/>
    </row>
    <row r="1025" spans="1:60" ht="15" customHeight="1">
      <c r="A1025" s="95">
        <v>1024</v>
      </c>
      <c r="B1025" s="98" t="s">
        <v>678</v>
      </c>
      <c r="C1025" s="191" t="s">
        <v>2695</v>
      </c>
      <c r="D1025" s="257" t="s">
        <v>549</v>
      </c>
      <c r="E1025" s="459" t="s">
        <v>3377</v>
      </c>
      <c r="F1025" s="171">
        <v>1998</v>
      </c>
      <c r="G1025" s="171">
        <v>220</v>
      </c>
      <c r="H1025" s="57"/>
      <c r="I1025" s="173" t="s">
        <v>2564</v>
      </c>
      <c r="J1025" s="277">
        <v>0.55000000000000004</v>
      </c>
      <c r="K1025" s="213">
        <v>5.267295597484277</v>
      </c>
      <c r="L1025" s="91"/>
      <c r="M1025" s="278">
        <v>318</v>
      </c>
      <c r="N1025" s="279"/>
      <c r="O1025" s="172" t="s">
        <v>12</v>
      </c>
      <c r="P1025" s="92"/>
      <c r="Q1025" s="173" t="s">
        <v>10</v>
      </c>
      <c r="R1025" s="94"/>
      <c r="S1025" s="94"/>
      <c r="T1025" s="171" t="s">
        <v>2557</v>
      </c>
      <c r="U1025" s="171"/>
      <c r="V1025" s="102">
        <v>0</v>
      </c>
      <c r="W1025" s="120">
        <v>0</v>
      </c>
      <c r="X1025" s="120">
        <v>0</v>
      </c>
      <c r="Y1025" s="120">
        <v>0</v>
      </c>
      <c r="Z1025" s="120">
        <v>0</v>
      </c>
      <c r="AA1025" s="17">
        <v>0</v>
      </c>
      <c r="AB1025" s="17">
        <v>0</v>
      </c>
      <c r="AC1025" s="17">
        <v>0</v>
      </c>
      <c r="AD1025" s="17">
        <v>0</v>
      </c>
      <c r="AE1025" s="17">
        <v>0</v>
      </c>
      <c r="AF1025" s="17">
        <v>0</v>
      </c>
      <c r="AG1025" s="17">
        <v>0</v>
      </c>
      <c r="AH1025" s="17">
        <v>0</v>
      </c>
      <c r="AI1025" s="17">
        <v>0</v>
      </c>
      <c r="AJ1025" s="17">
        <v>0</v>
      </c>
      <c r="AK1025" s="17">
        <v>0</v>
      </c>
      <c r="AL1025" s="32">
        <v>0</v>
      </c>
      <c r="AM1025" s="57"/>
      <c r="AN1025" s="89"/>
      <c r="AO1025" s="280"/>
      <c r="AP1025" s="784"/>
      <c r="AQ1025" s="773" t="s">
        <v>271</v>
      </c>
      <c r="AR1025" s="188">
        <v>100</v>
      </c>
      <c r="AS1025" s="171"/>
      <c r="AT1025" s="171" t="str">
        <f t="shared" si="87"/>
        <v>400</v>
      </c>
      <c r="AU1025" s="255">
        <f t="shared" si="88"/>
        <v>22.222222222222221</v>
      </c>
      <c r="AV1025" s="172">
        <v>100</v>
      </c>
      <c r="AW1025" s="171">
        <v>7</v>
      </c>
      <c r="AX1025" s="89"/>
      <c r="AY1025" s="171">
        <v>20</v>
      </c>
      <c r="AZ1025" s="89"/>
      <c r="BA1025" s="175">
        <v>60</v>
      </c>
      <c r="BB1025" s="189" t="s">
        <v>2547</v>
      </c>
      <c r="BC1025" s="176"/>
      <c r="BD1025" s="179"/>
      <c r="BE1025" s="179"/>
      <c r="BF1025" s="178"/>
      <c r="BG1025" s="25"/>
      <c r="BH1025" s="25"/>
    </row>
    <row r="1026" spans="1:60" ht="15" customHeight="1">
      <c r="A1026" s="95">
        <v>1025</v>
      </c>
      <c r="B1026" s="98" t="s">
        <v>677</v>
      </c>
      <c r="C1026" s="191" t="s">
        <v>2695</v>
      </c>
      <c r="D1026" s="257" t="s">
        <v>549</v>
      </c>
      <c r="E1026" s="459" t="s">
        <v>3377</v>
      </c>
      <c r="F1026" s="171">
        <v>1998</v>
      </c>
      <c r="G1026" s="171">
        <v>220</v>
      </c>
      <c r="H1026" s="57"/>
      <c r="I1026" s="173" t="s">
        <v>2564</v>
      </c>
      <c r="J1026" s="277">
        <v>0.55000000000000004</v>
      </c>
      <c r="K1026" s="213">
        <v>5.4276729559748427</v>
      </c>
      <c r="L1026" s="91"/>
      <c r="M1026" s="278">
        <v>318</v>
      </c>
      <c r="N1026" s="279"/>
      <c r="O1026" s="172" t="s">
        <v>12</v>
      </c>
      <c r="P1026" s="92"/>
      <c r="Q1026" s="173" t="s">
        <v>10</v>
      </c>
      <c r="R1026" s="94"/>
      <c r="S1026" s="94"/>
      <c r="T1026" s="171" t="s">
        <v>2557</v>
      </c>
      <c r="U1026" s="171"/>
      <c r="V1026" s="102">
        <v>0</v>
      </c>
      <c r="W1026" s="120">
        <v>0</v>
      </c>
      <c r="X1026" s="120">
        <v>0</v>
      </c>
      <c r="Y1026" s="120">
        <v>0</v>
      </c>
      <c r="Z1026" s="120">
        <v>0</v>
      </c>
      <c r="AA1026" s="17">
        <v>0</v>
      </c>
      <c r="AB1026" s="17">
        <v>0</v>
      </c>
      <c r="AC1026" s="17">
        <v>0</v>
      </c>
      <c r="AD1026" s="17">
        <v>0</v>
      </c>
      <c r="AE1026" s="17">
        <v>0</v>
      </c>
      <c r="AF1026" s="17">
        <v>0</v>
      </c>
      <c r="AG1026" s="17">
        <v>0</v>
      </c>
      <c r="AH1026" s="17">
        <v>0</v>
      </c>
      <c r="AI1026" s="17">
        <v>0</v>
      </c>
      <c r="AJ1026" s="17">
        <v>0</v>
      </c>
      <c r="AK1026" s="17">
        <v>0</v>
      </c>
      <c r="AL1026" s="32">
        <v>0</v>
      </c>
      <c r="AM1026" s="57"/>
      <c r="AN1026" s="89"/>
      <c r="AO1026" s="280"/>
      <c r="AP1026" s="784"/>
      <c r="AQ1026" s="773" t="s">
        <v>271</v>
      </c>
      <c r="AR1026" s="188">
        <v>100</v>
      </c>
      <c r="AS1026" s="171"/>
      <c r="AT1026" s="171" t="str">
        <f t="shared" si="87"/>
        <v>400</v>
      </c>
      <c r="AU1026" s="255">
        <f t="shared" si="88"/>
        <v>22.222222222222221</v>
      </c>
      <c r="AV1026" s="172">
        <v>98</v>
      </c>
      <c r="AW1026" s="171">
        <v>7</v>
      </c>
      <c r="AX1026" s="89"/>
      <c r="AY1026" s="171">
        <v>20</v>
      </c>
      <c r="AZ1026" s="89"/>
      <c r="BA1026" s="175">
        <v>60</v>
      </c>
      <c r="BB1026" s="189" t="s">
        <v>2550</v>
      </c>
      <c r="BC1026" s="176"/>
      <c r="BD1026" s="179"/>
      <c r="BE1026" s="179"/>
      <c r="BF1026" s="178"/>
      <c r="BG1026" s="25"/>
      <c r="BH1026" s="25"/>
    </row>
    <row r="1027" spans="1:60" ht="15" customHeight="1">
      <c r="A1027" s="95">
        <v>1026</v>
      </c>
      <c r="B1027" s="98" t="s">
        <v>676</v>
      </c>
      <c r="C1027" s="191" t="s">
        <v>2695</v>
      </c>
      <c r="D1027" s="257" t="s">
        <v>549</v>
      </c>
      <c r="E1027" s="459" t="s">
        <v>3377</v>
      </c>
      <c r="F1027" s="171">
        <v>1998</v>
      </c>
      <c r="G1027" s="171">
        <v>220</v>
      </c>
      <c r="H1027" s="57"/>
      <c r="I1027" s="173" t="s">
        <v>2564</v>
      </c>
      <c r="J1027" s="277">
        <v>0.55000000000000004</v>
      </c>
      <c r="K1027" s="213">
        <v>5.2547169811320753</v>
      </c>
      <c r="L1027" s="91"/>
      <c r="M1027" s="278">
        <v>318</v>
      </c>
      <c r="N1027" s="279"/>
      <c r="O1027" s="172" t="s">
        <v>12</v>
      </c>
      <c r="P1027" s="92"/>
      <c r="Q1027" s="173" t="s">
        <v>10</v>
      </c>
      <c r="R1027" s="94"/>
      <c r="S1027" s="94"/>
      <c r="T1027" s="171" t="s">
        <v>2557</v>
      </c>
      <c r="U1027" s="171"/>
      <c r="V1027" s="102">
        <v>0</v>
      </c>
      <c r="W1027" s="120">
        <v>0</v>
      </c>
      <c r="X1027" s="120">
        <v>0</v>
      </c>
      <c r="Y1027" s="120">
        <v>0</v>
      </c>
      <c r="Z1027" s="120">
        <v>0</v>
      </c>
      <c r="AA1027" s="17">
        <v>0</v>
      </c>
      <c r="AB1027" s="17">
        <v>0</v>
      </c>
      <c r="AC1027" s="17">
        <v>0</v>
      </c>
      <c r="AD1027" s="17">
        <v>0</v>
      </c>
      <c r="AE1027" s="17">
        <v>0</v>
      </c>
      <c r="AF1027" s="17">
        <v>0</v>
      </c>
      <c r="AG1027" s="17">
        <v>0</v>
      </c>
      <c r="AH1027" s="17">
        <v>0</v>
      </c>
      <c r="AI1027" s="17">
        <v>0</v>
      </c>
      <c r="AJ1027" s="17">
        <v>0</v>
      </c>
      <c r="AK1027" s="17">
        <v>0</v>
      </c>
      <c r="AL1027" s="32">
        <v>0</v>
      </c>
      <c r="AM1027" s="57"/>
      <c r="AN1027" s="89"/>
      <c r="AO1027" s="280"/>
      <c r="AP1027" s="784"/>
      <c r="AQ1027" s="773" t="s">
        <v>271</v>
      </c>
      <c r="AR1027" s="188">
        <v>100</v>
      </c>
      <c r="AS1027" s="171"/>
      <c r="AT1027" s="171" t="str">
        <f t="shared" si="87"/>
        <v>400</v>
      </c>
      <c r="AU1027" s="255">
        <f t="shared" si="88"/>
        <v>22.222222222222221</v>
      </c>
      <c r="AV1027" s="172">
        <v>98</v>
      </c>
      <c r="AW1027" s="171">
        <v>7</v>
      </c>
      <c r="AX1027" s="89"/>
      <c r="AY1027" s="171">
        <v>20</v>
      </c>
      <c r="AZ1027" s="89"/>
      <c r="BA1027" s="175">
        <v>60</v>
      </c>
      <c r="BB1027" s="189" t="s">
        <v>2550</v>
      </c>
      <c r="BC1027" s="176"/>
      <c r="BD1027" s="179"/>
      <c r="BE1027" s="179"/>
      <c r="BF1027" s="178"/>
      <c r="BG1027" s="25"/>
      <c r="BH1027" s="25"/>
    </row>
    <row r="1028" spans="1:60" ht="15" customHeight="1">
      <c r="A1028" s="95">
        <v>1027</v>
      </c>
      <c r="B1028" s="98" t="s">
        <v>675</v>
      </c>
      <c r="C1028" s="191" t="s">
        <v>2695</v>
      </c>
      <c r="D1028" s="257" t="s">
        <v>549</v>
      </c>
      <c r="E1028" s="459" t="s">
        <v>3377</v>
      </c>
      <c r="F1028" s="171">
        <v>1998</v>
      </c>
      <c r="G1028" s="171">
        <v>220</v>
      </c>
      <c r="H1028" s="57"/>
      <c r="I1028" s="173" t="s">
        <v>2564</v>
      </c>
      <c r="J1028" s="277">
        <v>0.55000000000000004</v>
      </c>
      <c r="K1028" s="213">
        <v>5.0691823899371071</v>
      </c>
      <c r="L1028" s="91"/>
      <c r="M1028" s="278">
        <v>318</v>
      </c>
      <c r="N1028" s="279"/>
      <c r="O1028" s="172" t="s">
        <v>12</v>
      </c>
      <c r="P1028" s="92"/>
      <c r="Q1028" s="173" t="s">
        <v>10</v>
      </c>
      <c r="R1028" s="94"/>
      <c r="S1028" s="94"/>
      <c r="T1028" s="171" t="s">
        <v>2557</v>
      </c>
      <c r="U1028" s="171"/>
      <c r="V1028" s="102">
        <v>0</v>
      </c>
      <c r="W1028" s="120">
        <v>0</v>
      </c>
      <c r="X1028" s="120">
        <v>0</v>
      </c>
      <c r="Y1028" s="120">
        <v>0</v>
      </c>
      <c r="Z1028" s="120">
        <v>0</v>
      </c>
      <c r="AA1028" s="17">
        <v>0</v>
      </c>
      <c r="AB1028" s="17">
        <v>0</v>
      </c>
      <c r="AC1028" s="17">
        <v>0</v>
      </c>
      <c r="AD1028" s="17">
        <v>0</v>
      </c>
      <c r="AE1028" s="17">
        <v>0</v>
      </c>
      <c r="AF1028" s="17">
        <v>0</v>
      </c>
      <c r="AG1028" s="17">
        <v>0</v>
      </c>
      <c r="AH1028" s="17">
        <v>0</v>
      </c>
      <c r="AI1028" s="17">
        <v>0</v>
      </c>
      <c r="AJ1028" s="17">
        <v>0</v>
      </c>
      <c r="AK1028" s="17">
        <v>0</v>
      </c>
      <c r="AL1028" s="32">
        <v>0</v>
      </c>
      <c r="AM1028" s="57"/>
      <c r="AN1028" s="89"/>
      <c r="AO1028" s="280"/>
      <c r="AP1028" s="784"/>
      <c r="AQ1028" s="773" t="s">
        <v>271</v>
      </c>
      <c r="AR1028" s="188">
        <v>100</v>
      </c>
      <c r="AS1028" s="171"/>
      <c r="AT1028" s="171" t="str">
        <f t="shared" si="87"/>
        <v>400</v>
      </c>
      <c r="AU1028" s="255">
        <f t="shared" si="88"/>
        <v>22.222222222222221</v>
      </c>
      <c r="AV1028" s="172">
        <v>98</v>
      </c>
      <c r="AW1028" s="171">
        <v>7</v>
      </c>
      <c r="AX1028" s="89"/>
      <c r="AY1028" s="171">
        <v>20</v>
      </c>
      <c r="AZ1028" s="89"/>
      <c r="BA1028" s="175">
        <v>60</v>
      </c>
      <c r="BB1028" s="189" t="s">
        <v>2550</v>
      </c>
      <c r="BC1028" s="176"/>
      <c r="BD1028" s="179"/>
      <c r="BE1028" s="179"/>
      <c r="BF1028" s="178"/>
      <c r="BG1028" s="25"/>
      <c r="BH1028" s="25"/>
    </row>
    <row r="1029" spans="1:60" ht="15" customHeight="1">
      <c r="A1029" s="95">
        <v>1028</v>
      </c>
      <c r="B1029" s="98" t="s">
        <v>674</v>
      </c>
      <c r="C1029" s="191" t="s">
        <v>2695</v>
      </c>
      <c r="D1029" s="257" t="s">
        <v>549</v>
      </c>
      <c r="E1029" s="459" t="s">
        <v>3377</v>
      </c>
      <c r="F1029" s="171">
        <v>1998</v>
      </c>
      <c r="G1029" s="171">
        <v>220</v>
      </c>
      <c r="H1029" s="57"/>
      <c r="I1029" s="173" t="s">
        <v>2564</v>
      </c>
      <c r="J1029" s="277">
        <v>0.55000000000000004</v>
      </c>
      <c r="K1029" s="213">
        <v>4.6289308176100628</v>
      </c>
      <c r="L1029" s="91"/>
      <c r="M1029" s="278">
        <v>318</v>
      </c>
      <c r="N1029" s="279"/>
      <c r="O1029" s="172" t="s">
        <v>12</v>
      </c>
      <c r="P1029" s="92"/>
      <c r="Q1029" s="173" t="s">
        <v>10</v>
      </c>
      <c r="R1029" s="94"/>
      <c r="S1029" s="94"/>
      <c r="T1029" s="171" t="s">
        <v>2557</v>
      </c>
      <c r="U1029" s="171"/>
      <c r="V1029" s="102">
        <v>0</v>
      </c>
      <c r="W1029" s="120">
        <v>0</v>
      </c>
      <c r="X1029" s="120">
        <v>0</v>
      </c>
      <c r="Y1029" s="120">
        <v>0</v>
      </c>
      <c r="Z1029" s="120">
        <v>0</v>
      </c>
      <c r="AA1029" s="17">
        <v>0</v>
      </c>
      <c r="AB1029" s="17">
        <v>0</v>
      </c>
      <c r="AC1029" s="17">
        <v>0</v>
      </c>
      <c r="AD1029" s="17">
        <v>0</v>
      </c>
      <c r="AE1029" s="17">
        <v>0</v>
      </c>
      <c r="AF1029" s="17">
        <v>0</v>
      </c>
      <c r="AG1029" s="17">
        <v>0</v>
      </c>
      <c r="AH1029" s="17">
        <v>0</v>
      </c>
      <c r="AI1029" s="17">
        <v>0</v>
      </c>
      <c r="AJ1029" s="17">
        <v>0</v>
      </c>
      <c r="AK1029" s="17">
        <v>0</v>
      </c>
      <c r="AL1029" s="32">
        <v>0</v>
      </c>
      <c r="AM1029" s="57"/>
      <c r="AN1029" s="89"/>
      <c r="AO1029" s="280"/>
      <c r="AP1029" s="784"/>
      <c r="AQ1029" s="773" t="s">
        <v>271</v>
      </c>
      <c r="AR1029" s="188">
        <v>100</v>
      </c>
      <c r="AS1029" s="171"/>
      <c r="AT1029" s="171" t="str">
        <f t="shared" si="87"/>
        <v>400</v>
      </c>
      <c r="AU1029" s="255">
        <f t="shared" si="88"/>
        <v>22.222222222222221</v>
      </c>
      <c r="AV1029" s="172">
        <v>98</v>
      </c>
      <c r="AW1029" s="171">
        <v>7</v>
      </c>
      <c r="AX1029" s="89"/>
      <c r="AY1029" s="171">
        <v>20</v>
      </c>
      <c r="AZ1029" s="89"/>
      <c r="BA1029" s="175">
        <v>60</v>
      </c>
      <c r="BB1029" s="189" t="s">
        <v>2550</v>
      </c>
      <c r="BC1029" s="176"/>
      <c r="BD1029" s="179"/>
      <c r="BE1029" s="179"/>
      <c r="BF1029" s="178"/>
      <c r="BG1029" s="25"/>
      <c r="BH1029" s="25"/>
    </row>
    <row r="1030" spans="1:60" ht="15" customHeight="1">
      <c r="A1030" s="95">
        <v>1029</v>
      </c>
      <c r="B1030" s="98" t="s">
        <v>673</v>
      </c>
      <c r="C1030" s="191" t="s">
        <v>2695</v>
      </c>
      <c r="D1030" s="257" t="s">
        <v>549</v>
      </c>
      <c r="E1030" s="459" t="s">
        <v>3377</v>
      </c>
      <c r="F1030" s="171">
        <v>1998</v>
      </c>
      <c r="G1030" s="171">
        <v>220</v>
      </c>
      <c r="H1030" s="57"/>
      <c r="I1030" s="173" t="s">
        <v>2564</v>
      </c>
      <c r="J1030" s="277">
        <v>0.55000000000000004</v>
      </c>
      <c r="K1030" s="213">
        <v>5.5943396226415096</v>
      </c>
      <c r="L1030" s="91"/>
      <c r="M1030" s="278">
        <v>318</v>
      </c>
      <c r="N1030" s="279"/>
      <c r="O1030" s="172" t="s">
        <v>12</v>
      </c>
      <c r="P1030" s="92"/>
      <c r="Q1030" s="173" t="s">
        <v>10</v>
      </c>
      <c r="R1030" s="94"/>
      <c r="S1030" s="94"/>
      <c r="T1030" s="171"/>
      <c r="U1030" s="171"/>
      <c r="V1030" s="102">
        <v>0</v>
      </c>
      <c r="W1030" s="120">
        <v>0</v>
      </c>
      <c r="X1030" s="120">
        <v>0</v>
      </c>
      <c r="Y1030" s="120">
        <v>0</v>
      </c>
      <c r="Z1030" s="120">
        <v>0</v>
      </c>
      <c r="AA1030" s="17">
        <v>0</v>
      </c>
      <c r="AB1030" s="17">
        <v>0</v>
      </c>
      <c r="AC1030" s="17">
        <v>0</v>
      </c>
      <c r="AD1030" s="17">
        <v>0</v>
      </c>
      <c r="AE1030" s="17">
        <v>0</v>
      </c>
      <c r="AF1030" s="17">
        <v>0</v>
      </c>
      <c r="AG1030" s="17">
        <v>0</v>
      </c>
      <c r="AH1030" s="17">
        <v>0</v>
      </c>
      <c r="AI1030" s="17">
        <v>0</v>
      </c>
      <c r="AJ1030" s="17">
        <v>0</v>
      </c>
      <c r="AK1030" s="17">
        <v>0</v>
      </c>
      <c r="AL1030" s="32">
        <v>0</v>
      </c>
      <c r="AM1030" s="57"/>
      <c r="AN1030" s="89"/>
      <c r="AO1030" s="280"/>
      <c r="AP1030" s="784"/>
      <c r="AQ1030" s="773" t="s">
        <v>271</v>
      </c>
      <c r="AR1030" s="188">
        <v>100</v>
      </c>
      <c r="AS1030" s="171"/>
      <c r="AT1030" s="171" t="str">
        <f t="shared" si="87"/>
        <v>400</v>
      </c>
      <c r="AU1030" s="255">
        <f t="shared" si="88"/>
        <v>22.222222222222221</v>
      </c>
      <c r="AV1030" s="172">
        <v>98</v>
      </c>
      <c r="AW1030" s="171">
        <v>7</v>
      </c>
      <c r="AX1030" s="89"/>
      <c r="AY1030" s="171">
        <v>20</v>
      </c>
      <c r="AZ1030" s="89"/>
      <c r="BA1030" s="175">
        <v>60</v>
      </c>
      <c r="BB1030" s="189" t="s">
        <v>2550</v>
      </c>
      <c r="BC1030" s="176"/>
      <c r="BD1030" s="179"/>
      <c r="BE1030" s="179"/>
      <c r="BF1030" s="178"/>
      <c r="BG1030" s="25"/>
      <c r="BH1030" s="25"/>
    </row>
    <row r="1031" spans="1:60" ht="15" customHeight="1">
      <c r="A1031" s="95">
        <v>1030</v>
      </c>
      <c r="B1031" s="98" t="s">
        <v>672</v>
      </c>
      <c r="C1031" s="191" t="s">
        <v>2695</v>
      </c>
      <c r="D1031" s="257" t="s">
        <v>549</v>
      </c>
      <c r="E1031" s="459" t="s">
        <v>3377</v>
      </c>
      <c r="F1031" s="171">
        <v>1998</v>
      </c>
      <c r="G1031" s="171">
        <v>220</v>
      </c>
      <c r="H1031" s="57"/>
      <c r="I1031" s="173" t="s">
        <v>2564</v>
      </c>
      <c r="J1031" s="277">
        <v>0.55000000000000004</v>
      </c>
      <c r="K1031" s="213">
        <v>5.5786163522012577</v>
      </c>
      <c r="L1031" s="91"/>
      <c r="M1031" s="278">
        <v>318</v>
      </c>
      <c r="N1031" s="279"/>
      <c r="O1031" s="172" t="s">
        <v>12</v>
      </c>
      <c r="P1031" s="92"/>
      <c r="Q1031" s="173" t="s">
        <v>10</v>
      </c>
      <c r="R1031" s="94"/>
      <c r="S1031" s="94"/>
      <c r="T1031" s="171"/>
      <c r="U1031" s="171"/>
      <c r="V1031" s="102">
        <v>0</v>
      </c>
      <c r="W1031" s="120">
        <v>0</v>
      </c>
      <c r="X1031" s="120">
        <v>0</v>
      </c>
      <c r="Y1031" s="120">
        <v>0</v>
      </c>
      <c r="Z1031" s="120">
        <v>0</v>
      </c>
      <c r="AA1031" s="17">
        <v>0</v>
      </c>
      <c r="AB1031" s="17">
        <v>0</v>
      </c>
      <c r="AC1031" s="17">
        <v>0</v>
      </c>
      <c r="AD1031" s="17">
        <v>0</v>
      </c>
      <c r="AE1031" s="17">
        <v>0</v>
      </c>
      <c r="AF1031" s="17">
        <v>0</v>
      </c>
      <c r="AG1031" s="17">
        <v>0</v>
      </c>
      <c r="AH1031" s="17">
        <v>0</v>
      </c>
      <c r="AI1031" s="17">
        <v>0</v>
      </c>
      <c r="AJ1031" s="17">
        <v>0</v>
      </c>
      <c r="AK1031" s="17">
        <v>0</v>
      </c>
      <c r="AL1031" s="32">
        <v>0</v>
      </c>
      <c r="AM1031" s="57"/>
      <c r="AN1031" s="89"/>
      <c r="AO1031" s="280"/>
      <c r="AP1031" s="784"/>
      <c r="AQ1031" s="773" t="s">
        <v>271</v>
      </c>
      <c r="AR1031" s="188">
        <v>100</v>
      </c>
      <c r="AS1031" s="171"/>
      <c r="AT1031" s="171" t="str">
        <f t="shared" si="87"/>
        <v>400</v>
      </c>
      <c r="AU1031" s="255">
        <f t="shared" si="88"/>
        <v>22.222222222222221</v>
      </c>
      <c r="AV1031" s="172">
        <v>98</v>
      </c>
      <c r="AW1031" s="171">
        <v>7</v>
      </c>
      <c r="AX1031" s="89"/>
      <c r="AY1031" s="171">
        <v>20</v>
      </c>
      <c r="AZ1031" s="89"/>
      <c r="BA1031" s="175">
        <v>60</v>
      </c>
      <c r="BB1031" s="189" t="s">
        <v>2550</v>
      </c>
      <c r="BC1031" s="176"/>
      <c r="BD1031" s="179"/>
      <c r="BE1031" s="179"/>
      <c r="BF1031" s="178"/>
      <c r="BG1031" s="25"/>
      <c r="BH1031" s="25"/>
    </row>
    <row r="1032" spans="1:60" ht="15" customHeight="1">
      <c r="A1032" s="95">
        <v>1031</v>
      </c>
      <c r="B1032" s="98" t="s">
        <v>671</v>
      </c>
      <c r="C1032" s="191" t="s">
        <v>2695</v>
      </c>
      <c r="D1032" s="257" t="s">
        <v>549</v>
      </c>
      <c r="E1032" s="459" t="s">
        <v>3377</v>
      </c>
      <c r="F1032" s="171">
        <v>1998</v>
      </c>
      <c r="G1032" s="171">
        <v>220</v>
      </c>
      <c r="H1032" s="57"/>
      <c r="I1032" s="173" t="s">
        <v>2564</v>
      </c>
      <c r="J1032" s="277">
        <v>0.55000000000000004</v>
      </c>
      <c r="K1032" s="213">
        <v>5.5566037735849054</v>
      </c>
      <c r="L1032" s="91"/>
      <c r="M1032" s="278">
        <v>318</v>
      </c>
      <c r="N1032" s="279"/>
      <c r="O1032" s="172" t="s">
        <v>12</v>
      </c>
      <c r="P1032" s="92"/>
      <c r="Q1032" s="173" t="s">
        <v>10</v>
      </c>
      <c r="R1032" s="94"/>
      <c r="S1032" s="94"/>
      <c r="T1032" s="171"/>
      <c r="U1032" s="171"/>
      <c r="V1032" s="102">
        <v>0</v>
      </c>
      <c r="W1032" s="120">
        <v>0</v>
      </c>
      <c r="X1032" s="120">
        <v>0</v>
      </c>
      <c r="Y1032" s="120">
        <v>0</v>
      </c>
      <c r="Z1032" s="120">
        <v>0</v>
      </c>
      <c r="AA1032" s="17">
        <v>0</v>
      </c>
      <c r="AB1032" s="17">
        <v>0</v>
      </c>
      <c r="AC1032" s="17">
        <v>0</v>
      </c>
      <c r="AD1032" s="17">
        <v>0</v>
      </c>
      <c r="AE1032" s="17">
        <v>0</v>
      </c>
      <c r="AF1032" s="17">
        <v>0</v>
      </c>
      <c r="AG1032" s="17">
        <v>0</v>
      </c>
      <c r="AH1032" s="17">
        <v>0</v>
      </c>
      <c r="AI1032" s="17">
        <v>0</v>
      </c>
      <c r="AJ1032" s="17">
        <v>0</v>
      </c>
      <c r="AK1032" s="17">
        <v>0</v>
      </c>
      <c r="AL1032" s="32">
        <v>0</v>
      </c>
      <c r="AM1032" s="57"/>
      <c r="AN1032" s="89"/>
      <c r="AO1032" s="280"/>
      <c r="AP1032" s="784"/>
      <c r="AQ1032" s="773" t="s">
        <v>271</v>
      </c>
      <c r="AR1032" s="188">
        <v>100</v>
      </c>
      <c r="AS1032" s="171"/>
      <c r="AT1032" s="171" t="str">
        <f t="shared" si="87"/>
        <v>400</v>
      </c>
      <c r="AU1032" s="255">
        <f t="shared" si="88"/>
        <v>22.222222222222221</v>
      </c>
      <c r="AV1032" s="172">
        <v>98</v>
      </c>
      <c r="AW1032" s="171">
        <v>7</v>
      </c>
      <c r="AX1032" s="89"/>
      <c r="AY1032" s="171">
        <v>20</v>
      </c>
      <c r="AZ1032" s="89"/>
      <c r="BA1032" s="175">
        <v>60</v>
      </c>
      <c r="BB1032" s="189" t="s">
        <v>2550</v>
      </c>
      <c r="BC1032" s="176"/>
      <c r="BD1032" s="179"/>
      <c r="BE1032" s="179"/>
      <c r="BF1032" s="178"/>
      <c r="BG1032" s="25"/>
      <c r="BH1032" s="25"/>
    </row>
    <row r="1033" spans="1:60" ht="15" customHeight="1">
      <c r="A1033" s="95">
        <v>1032</v>
      </c>
      <c r="B1033" s="98" t="s">
        <v>670</v>
      </c>
      <c r="C1033" s="191" t="s">
        <v>2695</v>
      </c>
      <c r="D1033" s="257" t="s">
        <v>549</v>
      </c>
      <c r="E1033" s="459" t="s">
        <v>3377</v>
      </c>
      <c r="F1033" s="171">
        <v>1998</v>
      </c>
      <c r="G1033" s="171">
        <v>220</v>
      </c>
      <c r="H1033" s="57"/>
      <c r="I1033" s="173" t="s">
        <v>2564</v>
      </c>
      <c r="J1033" s="277">
        <v>0.55000000000000004</v>
      </c>
      <c r="K1033" s="213">
        <v>5.4150943396226419</v>
      </c>
      <c r="L1033" s="91"/>
      <c r="M1033" s="278">
        <v>318</v>
      </c>
      <c r="N1033" s="279"/>
      <c r="O1033" s="172" t="s">
        <v>12</v>
      </c>
      <c r="P1033" s="92"/>
      <c r="Q1033" s="173" t="s">
        <v>10</v>
      </c>
      <c r="R1033" s="94"/>
      <c r="S1033" s="94"/>
      <c r="T1033" s="171" t="s">
        <v>2562</v>
      </c>
      <c r="U1033" s="171"/>
      <c r="V1033" s="102">
        <v>0</v>
      </c>
      <c r="W1033" s="120">
        <v>0</v>
      </c>
      <c r="X1033" s="120">
        <v>0</v>
      </c>
      <c r="Y1033" s="120">
        <v>0</v>
      </c>
      <c r="Z1033" s="120">
        <v>0</v>
      </c>
      <c r="AA1033" s="17">
        <v>0</v>
      </c>
      <c r="AB1033" s="17">
        <v>0</v>
      </c>
      <c r="AC1033" s="17">
        <v>0</v>
      </c>
      <c r="AD1033" s="17">
        <v>0</v>
      </c>
      <c r="AE1033" s="17">
        <v>0</v>
      </c>
      <c r="AF1033" s="17">
        <v>0</v>
      </c>
      <c r="AG1033" s="17">
        <v>0</v>
      </c>
      <c r="AH1033" s="17">
        <v>0</v>
      </c>
      <c r="AI1033" s="17">
        <v>0</v>
      </c>
      <c r="AJ1033" s="17">
        <v>0</v>
      </c>
      <c r="AK1033" s="17">
        <v>0</v>
      </c>
      <c r="AL1033" s="32">
        <v>0</v>
      </c>
      <c r="AM1033" s="57"/>
      <c r="AN1033" s="89"/>
      <c r="AO1033" s="280"/>
      <c r="AP1033" s="784"/>
      <c r="AQ1033" s="773" t="s">
        <v>271</v>
      </c>
      <c r="AR1033" s="188">
        <v>100</v>
      </c>
      <c r="AS1033" s="171"/>
      <c r="AT1033" s="171" t="str">
        <f t="shared" si="87"/>
        <v>400</v>
      </c>
      <c r="AU1033" s="255">
        <f t="shared" si="88"/>
        <v>22.222222222222221</v>
      </c>
      <c r="AV1033" s="172">
        <v>98</v>
      </c>
      <c r="AW1033" s="171">
        <v>7</v>
      </c>
      <c r="AX1033" s="89"/>
      <c r="AY1033" s="171">
        <v>20</v>
      </c>
      <c r="AZ1033" s="89"/>
      <c r="BA1033" s="175">
        <v>60</v>
      </c>
      <c r="BB1033" s="189" t="s">
        <v>2550</v>
      </c>
      <c r="BC1033" s="176"/>
      <c r="BD1033" s="179"/>
      <c r="BE1033" s="179"/>
      <c r="BF1033" s="178"/>
      <c r="BG1033" s="25"/>
      <c r="BH1033" s="25"/>
    </row>
    <row r="1034" spans="1:60" ht="15" customHeight="1">
      <c r="A1034" s="95">
        <v>1033</v>
      </c>
      <c r="B1034" s="98" t="s">
        <v>669</v>
      </c>
      <c r="C1034" s="191" t="s">
        <v>2695</v>
      </c>
      <c r="D1034" s="257" t="s">
        <v>549</v>
      </c>
      <c r="E1034" s="459" t="s">
        <v>3377</v>
      </c>
      <c r="F1034" s="171">
        <v>1998</v>
      </c>
      <c r="G1034" s="171">
        <v>220</v>
      </c>
      <c r="H1034" s="57"/>
      <c r="I1034" s="173" t="s">
        <v>2564</v>
      </c>
      <c r="J1034" s="277">
        <v>0.55000000000000004</v>
      </c>
      <c r="K1034" s="213">
        <v>5.267295597484277</v>
      </c>
      <c r="L1034" s="91"/>
      <c r="M1034" s="278">
        <v>318</v>
      </c>
      <c r="N1034" s="279"/>
      <c r="O1034" s="172" t="s">
        <v>12</v>
      </c>
      <c r="P1034" s="92"/>
      <c r="Q1034" s="173" t="s">
        <v>10</v>
      </c>
      <c r="R1034" s="507"/>
      <c r="S1034" s="94"/>
      <c r="T1034" s="171" t="s">
        <v>2562</v>
      </c>
      <c r="U1034" s="171"/>
      <c r="V1034" s="102">
        <v>0</v>
      </c>
      <c r="W1034" s="120">
        <v>0</v>
      </c>
      <c r="X1034" s="120">
        <v>0</v>
      </c>
      <c r="Y1034" s="120">
        <v>0</v>
      </c>
      <c r="Z1034" s="120">
        <v>0</v>
      </c>
      <c r="AA1034" s="17">
        <v>0</v>
      </c>
      <c r="AB1034" s="17">
        <v>0</v>
      </c>
      <c r="AC1034" s="17">
        <v>0</v>
      </c>
      <c r="AD1034" s="17">
        <v>0</v>
      </c>
      <c r="AE1034" s="17">
        <v>0</v>
      </c>
      <c r="AF1034" s="17">
        <v>0</v>
      </c>
      <c r="AG1034" s="17">
        <v>0</v>
      </c>
      <c r="AH1034" s="17">
        <v>0</v>
      </c>
      <c r="AI1034" s="17">
        <v>0</v>
      </c>
      <c r="AJ1034" s="17">
        <v>0</v>
      </c>
      <c r="AK1034" s="17">
        <v>0</v>
      </c>
      <c r="AL1034" s="32">
        <v>0</v>
      </c>
      <c r="AM1034" s="57"/>
      <c r="AN1034" s="89"/>
      <c r="AO1034" s="280"/>
      <c r="AP1034" s="784"/>
      <c r="AQ1034" s="773" t="s">
        <v>271</v>
      </c>
      <c r="AR1034" s="188">
        <v>100</v>
      </c>
      <c r="AS1034" s="171"/>
      <c r="AT1034" s="171" t="str">
        <f t="shared" si="87"/>
        <v>400</v>
      </c>
      <c r="AU1034" s="255">
        <f t="shared" si="88"/>
        <v>22.222222222222221</v>
      </c>
      <c r="AV1034" s="172">
        <v>98</v>
      </c>
      <c r="AW1034" s="171">
        <v>7</v>
      </c>
      <c r="AX1034" s="89"/>
      <c r="AY1034" s="171">
        <v>20</v>
      </c>
      <c r="AZ1034" s="89"/>
      <c r="BA1034" s="175">
        <v>60</v>
      </c>
      <c r="BB1034" s="189" t="s">
        <v>2550</v>
      </c>
      <c r="BC1034" s="176"/>
      <c r="BD1034" s="179"/>
      <c r="BE1034" s="179"/>
      <c r="BF1034" s="178"/>
      <c r="BG1034" s="25"/>
      <c r="BH1034" s="25"/>
    </row>
    <row r="1035" spans="1:60" ht="15" customHeight="1">
      <c r="A1035" s="95">
        <v>1034</v>
      </c>
      <c r="B1035" s="98" t="s">
        <v>668</v>
      </c>
      <c r="C1035" s="191" t="s">
        <v>2695</v>
      </c>
      <c r="D1035" s="257" t="s">
        <v>549</v>
      </c>
      <c r="E1035" s="459" t="s">
        <v>3377</v>
      </c>
      <c r="F1035" s="171">
        <v>1998</v>
      </c>
      <c r="G1035" s="171">
        <v>220</v>
      </c>
      <c r="H1035" s="57"/>
      <c r="I1035" s="173" t="s">
        <v>2564</v>
      </c>
      <c r="J1035" s="277">
        <v>0.55000000000000004</v>
      </c>
      <c r="K1035" s="213">
        <v>5.4276729559748427</v>
      </c>
      <c r="L1035" s="91"/>
      <c r="M1035" s="278">
        <v>318</v>
      </c>
      <c r="N1035" s="279"/>
      <c r="O1035" s="172" t="s">
        <v>12</v>
      </c>
      <c r="P1035" s="92"/>
      <c r="Q1035" s="173" t="s">
        <v>10</v>
      </c>
      <c r="R1035" s="507"/>
      <c r="S1035" s="94"/>
      <c r="T1035" s="171" t="s">
        <v>2562</v>
      </c>
      <c r="U1035" s="171"/>
      <c r="V1035" s="102">
        <v>0</v>
      </c>
      <c r="W1035" s="120">
        <v>0</v>
      </c>
      <c r="X1035" s="120">
        <v>0</v>
      </c>
      <c r="Y1035" s="120">
        <v>0</v>
      </c>
      <c r="Z1035" s="120">
        <v>0</v>
      </c>
      <c r="AA1035" s="17">
        <v>0</v>
      </c>
      <c r="AB1035" s="17">
        <v>0</v>
      </c>
      <c r="AC1035" s="17">
        <v>0</v>
      </c>
      <c r="AD1035" s="17">
        <v>0</v>
      </c>
      <c r="AE1035" s="17">
        <v>0</v>
      </c>
      <c r="AF1035" s="17">
        <v>0</v>
      </c>
      <c r="AG1035" s="17">
        <v>0</v>
      </c>
      <c r="AH1035" s="17">
        <v>0</v>
      </c>
      <c r="AI1035" s="17">
        <v>0</v>
      </c>
      <c r="AJ1035" s="17">
        <v>0</v>
      </c>
      <c r="AK1035" s="17">
        <v>0</v>
      </c>
      <c r="AL1035" s="32">
        <v>0</v>
      </c>
      <c r="AM1035" s="57"/>
      <c r="AN1035" s="89"/>
      <c r="AO1035" s="280"/>
      <c r="AP1035" s="784"/>
      <c r="AQ1035" s="773" t="s">
        <v>271</v>
      </c>
      <c r="AR1035" s="188">
        <v>100</v>
      </c>
      <c r="AS1035" s="171"/>
      <c r="AT1035" s="171" t="str">
        <f t="shared" si="87"/>
        <v>400</v>
      </c>
      <c r="AU1035" s="255">
        <f t="shared" si="88"/>
        <v>22.222222222222221</v>
      </c>
      <c r="AV1035" s="172">
        <v>98</v>
      </c>
      <c r="AW1035" s="171">
        <v>7</v>
      </c>
      <c r="AX1035" s="89"/>
      <c r="AY1035" s="171">
        <v>20</v>
      </c>
      <c r="AZ1035" s="89"/>
      <c r="BA1035" s="175">
        <v>60</v>
      </c>
      <c r="BB1035" s="189" t="s">
        <v>2550</v>
      </c>
      <c r="BC1035" s="176"/>
      <c r="BD1035" s="179"/>
      <c r="BE1035" s="179"/>
      <c r="BF1035" s="178"/>
      <c r="BG1035" s="25"/>
      <c r="BH1035" s="25"/>
    </row>
    <row r="1036" spans="1:60" ht="15" customHeight="1">
      <c r="A1036" s="95">
        <v>1035</v>
      </c>
      <c r="B1036" s="98" t="s">
        <v>667</v>
      </c>
      <c r="C1036" s="191" t="s">
        <v>2695</v>
      </c>
      <c r="D1036" s="257" t="s">
        <v>549</v>
      </c>
      <c r="E1036" s="459" t="s">
        <v>3377</v>
      </c>
      <c r="F1036" s="171">
        <v>1998</v>
      </c>
      <c r="G1036" s="171">
        <v>220</v>
      </c>
      <c r="H1036" s="57"/>
      <c r="I1036" s="173" t="s">
        <v>2564</v>
      </c>
      <c r="J1036" s="277">
        <v>0.55000000000000004</v>
      </c>
      <c r="K1036" s="213">
        <v>5.2547169811320753</v>
      </c>
      <c r="L1036" s="91"/>
      <c r="M1036" s="278">
        <v>318</v>
      </c>
      <c r="N1036" s="279"/>
      <c r="O1036" s="172" t="s">
        <v>12</v>
      </c>
      <c r="P1036" s="92"/>
      <c r="Q1036" s="173" t="s">
        <v>10</v>
      </c>
      <c r="R1036" s="507"/>
      <c r="S1036" s="94"/>
      <c r="T1036" s="171" t="s">
        <v>2562</v>
      </c>
      <c r="U1036" s="171"/>
      <c r="V1036" s="102">
        <v>0</v>
      </c>
      <c r="W1036" s="120">
        <v>0</v>
      </c>
      <c r="X1036" s="120">
        <v>0</v>
      </c>
      <c r="Y1036" s="120">
        <v>0</v>
      </c>
      <c r="Z1036" s="120">
        <v>0</v>
      </c>
      <c r="AA1036" s="17">
        <v>0</v>
      </c>
      <c r="AB1036" s="17">
        <v>0</v>
      </c>
      <c r="AC1036" s="17">
        <v>0</v>
      </c>
      <c r="AD1036" s="17">
        <v>0</v>
      </c>
      <c r="AE1036" s="17">
        <v>0</v>
      </c>
      <c r="AF1036" s="17">
        <v>0</v>
      </c>
      <c r="AG1036" s="17">
        <v>0</v>
      </c>
      <c r="AH1036" s="17">
        <v>0</v>
      </c>
      <c r="AI1036" s="17">
        <v>0</v>
      </c>
      <c r="AJ1036" s="17">
        <v>0</v>
      </c>
      <c r="AK1036" s="17">
        <v>0</v>
      </c>
      <c r="AL1036" s="32">
        <v>0</v>
      </c>
      <c r="AM1036" s="57"/>
      <c r="AN1036" s="89"/>
      <c r="AO1036" s="280"/>
      <c r="AP1036" s="784"/>
      <c r="AQ1036" s="773" t="s">
        <v>271</v>
      </c>
      <c r="AR1036" s="188">
        <v>100</v>
      </c>
      <c r="AS1036" s="171"/>
      <c r="AT1036" s="171" t="str">
        <f t="shared" si="87"/>
        <v>400</v>
      </c>
      <c r="AU1036" s="255">
        <f t="shared" si="88"/>
        <v>22.222222222222221</v>
      </c>
      <c r="AV1036" s="172">
        <v>100</v>
      </c>
      <c r="AW1036" s="171">
        <v>7</v>
      </c>
      <c r="AX1036" s="89"/>
      <c r="AY1036" s="171">
        <v>20</v>
      </c>
      <c r="AZ1036" s="89"/>
      <c r="BA1036" s="175">
        <v>60</v>
      </c>
      <c r="BB1036" s="189" t="s">
        <v>2547</v>
      </c>
      <c r="BC1036" s="176"/>
      <c r="BD1036" s="179"/>
      <c r="BE1036" s="179"/>
      <c r="BF1036" s="178"/>
      <c r="BG1036" s="25"/>
      <c r="BH1036" s="25"/>
    </row>
    <row r="1037" spans="1:60" ht="15" customHeight="1">
      <c r="A1037" s="95">
        <v>1036</v>
      </c>
      <c r="B1037" s="98" t="s">
        <v>666</v>
      </c>
      <c r="C1037" s="191" t="s">
        <v>2695</v>
      </c>
      <c r="D1037" s="257" t="s">
        <v>549</v>
      </c>
      <c r="E1037" s="459" t="s">
        <v>3377</v>
      </c>
      <c r="F1037" s="171">
        <v>1998</v>
      </c>
      <c r="G1037" s="171">
        <v>220</v>
      </c>
      <c r="H1037" s="57"/>
      <c r="I1037" s="173" t="s">
        <v>2564</v>
      </c>
      <c r="J1037" s="277">
        <v>0.55000000000000004</v>
      </c>
      <c r="K1037" s="213">
        <v>5.0691823899371071</v>
      </c>
      <c r="L1037" s="91"/>
      <c r="M1037" s="278">
        <v>318</v>
      </c>
      <c r="N1037" s="279"/>
      <c r="O1037" s="172" t="s">
        <v>12</v>
      </c>
      <c r="P1037" s="92"/>
      <c r="Q1037" s="173" t="s">
        <v>10</v>
      </c>
      <c r="R1037" s="507"/>
      <c r="S1037" s="94"/>
      <c r="T1037" s="171" t="s">
        <v>2562</v>
      </c>
      <c r="U1037" s="171"/>
      <c r="V1037" s="102">
        <v>0</v>
      </c>
      <c r="W1037" s="120">
        <v>0</v>
      </c>
      <c r="X1037" s="120">
        <v>0</v>
      </c>
      <c r="Y1037" s="120">
        <v>0</v>
      </c>
      <c r="Z1037" s="120">
        <v>0</v>
      </c>
      <c r="AA1037" s="17">
        <v>0</v>
      </c>
      <c r="AB1037" s="17">
        <v>0</v>
      </c>
      <c r="AC1037" s="17">
        <v>0</v>
      </c>
      <c r="AD1037" s="17">
        <v>0</v>
      </c>
      <c r="AE1037" s="17">
        <v>0</v>
      </c>
      <c r="AF1037" s="17">
        <v>0</v>
      </c>
      <c r="AG1037" s="17">
        <v>0</v>
      </c>
      <c r="AH1037" s="17">
        <v>0</v>
      </c>
      <c r="AI1037" s="17">
        <v>0</v>
      </c>
      <c r="AJ1037" s="17">
        <v>0</v>
      </c>
      <c r="AK1037" s="17">
        <v>0</v>
      </c>
      <c r="AL1037" s="32">
        <v>0</v>
      </c>
      <c r="AM1037" s="57"/>
      <c r="AN1037" s="89"/>
      <c r="AO1037" s="280"/>
      <c r="AP1037" s="784"/>
      <c r="AQ1037" s="773" t="s">
        <v>271</v>
      </c>
      <c r="AR1037" s="188">
        <v>100</v>
      </c>
      <c r="AS1037" s="171"/>
      <c r="AT1037" s="171" t="str">
        <f t="shared" si="87"/>
        <v>400</v>
      </c>
      <c r="AU1037" s="255">
        <f t="shared" si="88"/>
        <v>22.222222222222221</v>
      </c>
      <c r="AV1037" s="172">
        <v>100</v>
      </c>
      <c r="AW1037" s="171">
        <v>7</v>
      </c>
      <c r="AX1037" s="89"/>
      <c r="AY1037" s="171">
        <v>20</v>
      </c>
      <c r="AZ1037" s="89"/>
      <c r="BA1037" s="175">
        <v>60</v>
      </c>
      <c r="BB1037" s="189" t="s">
        <v>2547</v>
      </c>
      <c r="BC1037" s="176"/>
      <c r="BD1037" s="179"/>
      <c r="BE1037" s="179"/>
      <c r="BF1037" s="178"/>
      <c r="BG1037" s="25"/>
      <c r="BH1037" s="25"/>
    </row>
    <row r="1038" spans="1:60" ht="15" customHeight="1">
      <c r="A1038" s="95">
        <v>1037</v>
      </c>
      <c r="B1038" s="98" t="s">
        <v>665</v>
      </c>
      <c r="C1038" s="191" t="s">
        <v>2695</v>
      </c>
      <c r="D1038" s="257" t="s">
        <v>549</v>
      </c>
      <c r="E1038" s="459" t="s">
        <v>3377</v>
      </c>
      <c r="F1038" s="171">
        <v>1998</v>
      </c>
      <c r="G1038" s="171">
        <v>220</v>
      </c>
      <c r="H1038" s="57"/>
      <c r="I1038" s="173" t="s">
        <v>2564</v>
      </c>
      <c r="J1038" s="277">
        <v>0.55000000000000004</v>
      </c>
      <c r="K1038" s="213">
        <v>4.6289308176100628</v>
      </c>
      <c r="L1038" s="91"/>
      <c r="M1038" s="278">
        <v>318</v>
      </c>
      <c r="N1038" s="279"/>
      <c r="O1038" s="172" t="s">
        <v>12</v>
      </c>
      <c r="P1038" s="92"/>
      <c r="Q1038" s="173" t="s">
        <v>10</v>
      </c>
      <c r="R1038" s="507"/>
      <c r="S1038" s="94"/>
      <c r="T1038" s="171" t="s">
        <v>2562</v>
      </c>
      <c r="U1038" s="171"/>
      <c r="V1038" s="102">
        <v>0</v>
      </c>
      <c r="W1038" s="120">
        <v>0</v>
      </c>
      <c r="X1038" s="120">
        <v>0</v>
      </c>
      <c r="Y1038" s="120">
        <v>0</v>
      </c>
      <c r="Z1038" s="120">
        <v>0</v>
      </c>
      <c r="AA1038" s="17">
        <v>0</v>
      </c>
      <c r="AB1038" s="17">
        <v>0</v>
      </c>
      <c r="AC1038" s="17">
        <v>0</v>
      </c>
      <c r="AD1038" s="17">
        <v>0</v>
      </c>
      <c r="AE1038" s="17">
        <v>0</v>
      </c>
      <c r="AF1038" s="17">
        <v>0</v>
      </c>
      <c r="AG1038" s="17">
        <v>0</v>
      </c>
      <c r="AH1038" s="17">
        <v>0</v>
      </c>
      <c r="AI1038" s="17">
        <v>0</v>
      </c>
      <c r="AJ1038" s="17">
        <v>0</v>
      </c>
      <c r="AK1038" s="17">
        <v>0</v>
      </c>
      <c r="AL1038" s="32">
        <v>0</v>
      </c>
      <c r="AM1038" s="57"/>
      <c r="AN1038" s="89"/>
      <c r="AO1038" s="280"/>
      <c r="AP1038" s="784"/>
      <c r="AQ1038" s="773" t="s">
        <v>271</v>
      </c>
      <c r="AR1038" s="188">
        <v>100</v>
      </c>
      <c r="AS1038" s="171"/>
      <c r="AT1038" s="171" t="str">
        <f t="shared" si="87"/>
        <v>400</v>
      </c>
      <c r="AU1038" s="255">
        <f t="shared" si="88"/>
        <v>22.222222222222221</v>
      </c>
      <c r="AV1038" s="172">
        <v>100</v>
      </c>
      <c r="AW1038" s="171">
        <v>7</v>
      </c>
      <c r="AX1038" s="89"/>
      <c r="AY1038" s="171">
        <v>20</v>
      </c>
      <c r="AZ1038" s="89"/>
      <c r="BA1038" s="175">
        <v>60</v>
      </c>
      <c r="BB1038" s="189" t="s">
        <v>2547</v>
      </c>
      <c r="BC1038" s="176"/>
      <c r="BD1038" s="179"/>
      <c r="BE1038" s="179"/>
      <c r="BF1038" s="178"/>
      <c r="BG1038" s="25"/>
      <c r="BH1038" s="25"/>
    </row>
    <row r="1039" spans="1:60" ht="15" customHeight="1">
      <c r="A1039" s="95">
        <v>1038</v>
      </c>
      <c r="B1039" s="98" t="s">
        <v>664</v>
      </c>
      <c r="C1039" s="191" t="s">
        <v>2695</v>
      </c>
      <c r="D1039" s="257" t="s">
        <v>549</v>
      </c>
      <c r="E1039" s="459" t="s">
        <v>3377</v>
      </c>
      <c r="F1039" s="171">
        <v>1998</v>
      </c>
      <c r="G1039" s="171">
        <v>220</v>
      </c>
      <c r="H1039" s="57"/>
      <c r="I1039" s="173" t="s">
        <v>2564</v>
      </c>
      <c r="J1039" s="277">
        <v>0.55000000000000004</v>
      </c>
      <c r="K1039" s="213">
        <v>5.5943396226415096</v>
      </c>
      <c r="L1039" s="91"/>
      <c r="M1039" s="278">
        <v>318</v>
      </c>
      <c r="N1039" s="279"/>
      <c r="O1039" s="172" t="s">
        <v>12</v>
      </c>
      <c r="P1039" s="92"/>
      <c r="Q1039" s="173" t="s">
        <v>10</v>
      </c>
      <c r="R1039" s="507"/>
      <c r="S1039" s="94"/>
      <c r="T1039" s="171"/>
      <c r="U1039" s="171"/>
      <c r="V1039" s="102">
        <v>0</v>
      </c>
      <c r="W1039" s="120">
        <v>0</v>
      </c>
      <c r="X1039" s="120">
        <v>0</v>
      </c>
      <c r="Y1039" s="120">
        <v>0</v>
      </c>
      <c r="Z1039" s="120">
        <v>0</v>
      </c>
      <c r="AA1039" s="17">
        <v>0</v>
      </c>
      <c r="AB1039" s="17">
        <v>0</v>
      </c>
      <c r="AC1039" s="17">
        <v>0</v>
      </c>
      <c r="AD1039" s="17">
        <v>0</v>
      </c>
      <c r="AE1039" s="17">
        <v>0</v>
      </c>
      <c r="AF1039" s="17">
        <v>0</v>
      </c>
      <c r="AG1039" s="17">
        <v>0</v>
      </c>
      <c r="AH1039" s="17">
        <v>0</v>
      </c>
      <c r="AI1039" s="17">
        <v>0</v>
      </c>
      <c r="AJ1039" s="17">
        <v>0</v>
      </c>
      <c r="AK1039" s="17">
        <v>0</v>
      </c>
      <c r="AL1039" s="32">
        <v>0</v>
      </c>
      <c r="AM1039" s="57"/>
      <c r="AN1039" s="89"/>
      <c r="AO1039" s="280"/>
      <c r="AP1039" s="784"/>
      <c r="AQ1039" s="773" t="s">
        <v>271</v>
      </c>
      <c r="AR1039" s="188">
        <v>100</v>
      </c>
      <c r="AS1039" s="171"/>
      <c r="AT1039" s="171" t="str">
        <f t="shared" si="87"/>
        <v>400</v>
      </c>
      <c r="AU1039" s="255">
        <f t="shared" si="88"/>
        <v>22.222222222222221</v>
      </c>
      <c r="AV1039" s="172">
        <v>100</v>
      </c>
      <c r="AW1039" s="171">
        <v>7</v>
      </c>
      <c r="AX1039" s="89"/>
      <c r="AY1039" s="171">
        <v>20</v>
      </c>
      <c r="AZ1039" s="89"/>
      <c r="BA1039" s="175">
        <v>60</v>
      </c>
      <c r="BB1039" s="189" t="s">
        <v>2547</v>
      </c>
      <c r="BC1039" s="176"/>
      <c r="BD1039" s="179"/>
      <c r="BE1039" s="179"/>
      <c r="BF1039" s="178"/>
      <c r="BG1039" s="25"/>
      <c r="BH1039" s="25"/>
    </row>
    <row r="1040" spans="1:60" ht="15" customHeight="1">
      <c r="A1040" s="95">
        <v>1039</v>
      </c>
      <c r="B1040" s="98" t="s">
        <v>663</v>
      </c>
      <c r="C1040" s="191" t="s">
        <v>2695</v>
      </c>
      <c r="D1040" s="257" t="s">
        <v>549</v>
      </c>
      <c r="E1040" s="459" t="s">
        <v>3377</v>
      </c>
      <c r="F1040" s="171">
        <v>1998</v>
      </c>
      <c r="G1040" s="171">
        <v>220</v>
      </c>
      <c r="H1040" s="57"/>
      <c r="I1040" s="173" t="s">
        <v>2564</v>
      </c>
      <c r="J1040" s="277">
        <v>0.55000000000000004</v>
      </c>
      <c r="K1040" s="213">
        <v>5.5786163522012577</v>
      </c>
      <c r="L1040" s="91"/>
      <c r="M1040" s="278">
        <v>318</v>
      </c>
      <c r="N1040" s="279"/>
      <c r="O1040" s="172" t="s">
        <v>12</v>
      </c>
      <c r="P1040" s="92"/>
      <c r="Q1040" s="173" t="s">
        <v>10</v>
      </c>
      <c r="R1040" s="507"/>
      <c r="S1040" s="94"/>
      <c r="T1040" s="171"/>
      <c r="U1040" s="171"/>
      <c r="V1040" s="102">
        <v>0</v>
      </c>
      <c r="W1040" s="120">
        <v>0</v>
      </c>
      <c r="X1040" s="120">
        <v>0</v>
      </c>
      <c r="Y1040" s="120">
        <v>0</v>
      </c>
      <c r="Z1040" s="120">
        <v>0</v>
      </c>
      <c r="AA1040" s="17">
        <v>0</v>
      </c>
      <c r="AB1040" s="17">
        <v>0</v>
      </c>
      <c r="AC1040" s="17">
        <v>0</v>
      </c>
      <c r="AD1040" s="17">
        <v>0</v>
      </c>
      <c r="AE1040" s="17">
        <v>0</v>
      </c>
      <c r="AF1040" s="17">
        <v>0</v>
      </c>
      <c r="AG1040" s="17">
        <v>0</v>
      </c>
      <c r="AH1040" s="17">
        <v>0</v>
      </c>
      <c r="AI1040" s="17">
        <v>0</v>
      </c>
      <c r="AJ1040" s="17">
        <v>0</v>
      </c>
      <c r="AK1040" s="17">
        <v>0</v>
      </c>
      <c r="AL1040" s="32">
        <v>0</v>
      </c>
      <c r="AM1040" s="57"/>
      <c r="AN1040" s="89"/>
      <c r="AO1040" s="280"/>
      <c r="AP1040" s="784"/>
      <c r="AQ1040" s="773" t="s">
        <v>271</v>
      </c>
      <c r="AR1040" s="188">
        <v>100</v>
      </c>
      <c r="AS1040" s="171"/>
      <c r="AT1040" s="171" t="str">
        <f t="shared" si="87"/>
        <v>400</v>
      </c>
      <c r="AU1040" s="255">
        <f t="shared" si="88"/>
        <v>22.222222222222221</v>
      </c>
      <c r="AV1040" s="172">
        <v>100</v>
      </c>
      <c r="AW1040" s="171">
        <v>7</v>
      </c>
      <c r="AX1040" s="89"/>
      <c r="AY1040" s="171">
        <v>20</v>
      </c>
      <c r="AZ1040" s="89"/>
      <c r="BA1040" s="175">
        <v>60</v>
      </c>
      <c r="BB1040" s="189" t="s">
        <v>2547</v>
      </c>
      <c r="BC1040" s="176"/>
      <c r="BD1040" s="179"/>
      <c r="BE1040" s="179"/>
      <c r="BF1040" s="178"/>
      <c r="BG1040" s="25"/>
      <c r="BH1040" s="25"/>
    </row>
    <row r="1041" spans="1:60" ht="15" customHeight="1">
      <c r="A1041" s="95">
        <v>1040</v>
      </c>
      <c r="B1041" s="98" t="s">
        <v>662</v>
      </c>
      <c r="C1041" s="191" t="s">
        <v>2695</v>
      </c>
      <c r="D1041" s="257" t="s">
        <v>549</v>
      </c>
      <c r="E1041" s="459" t="s">
        <v>3377</v>
      </c>
      <c r="F1041" s="171">
        <v>1998</v>
      </c>
      <c r="G1041" s="171">
        <v>220</v>
      </c>
      <c r="H1041" s="57"/>
      <c r="I1041" s="173" t="s">
        <v>2564</v>
      </c>
      <c r="J1041" s="277">
        <v>0.55000000000000004</v>
      </c>
      <c r="K1041" s="213">
        <v>5.5566037735849054</v>
      </c>
      <c r="L1041" s="91"/>
      <c r="M1041" s="278">
        <v>318</v>
      </c>
      <c r="N1041" s="279"/>
      <c r="O1041" s="172" t="s">
        <v>12</v>
      </c>
      <c r="P1041" s="92"/>
      <c r="Q1041" s="173" t="s">
        <v>10</v>
      </c>
      <c r="R1041" s="507"/>
      <c r="S1041" s="94"/>
      <c r="T1041" s="171"/>
      <c r="U1041" s="171"/>
      <c r="V1041" s="102">
        <v>0</v>
      </c>
      <c r="W1041" s="120">
        <v>0</v>
      </c>
      <c r="X1041" s="120">
        <v>0</v>
      </c>
      <c r="Y1041" s="120">
        <v>0</v>
      </c>
      <c r="Z1041" s="120">
        <v>0</v>
      </c>
      <c r="AA1041" s="17">
        <v>0</v>
      </c>
      <c r="AB1041" s="17">
        <v>0</v>
      </c>
      <c r="AC1041" s="17">
        <v>0</v>
      </c>
      <c r="AD1041" s="17">
        <v>0</v>
      </c>
      <c r="AE1041" s="17">
        <v>0</v>
      </c>
      <c r="AF1041" s="17">
        <v>0</v>
      </c>
      <c r="AG1041" s="17">
        <v>0</v>
      </c>
      <c r="AH1041" s="17">
        <v>0</v>
      </c>
      <c r="AI1041" s="17">
        <v>0</v>
      </c>
      <c r="AJ1041" s="17">
        <v>0</v>
      </c>
      <c r="AK1041" s="17">
        <v>0</v>
      </c>
      <c r="AL1041" s="32">
        <v>0</v>
      </c>
      <c r="AM1041" s="57"/>
      <c r="AN1041" s="89"/>
      <c r="AO1041" s="280"/>
      <c r="AP1041" s="784"/>
      <c r="AQ1041" s="773" t="s">
        <v>271</v>
      </c>
      <c r="AR1041" s="188">
        <v>100</v>
      </c>
      <c r="AS1041" s="171"/>
      <c r="AT1041" s="171" t="str">
        <f t="shared" si="87"/>
        <v>400</v>
      </c>
      <c r="AU1041" s="255">
        <f t="shared" si="88"/>
        <v>22.222222222222221</v>
      </c>
      <c r="AV1041" s="172">
        <v>100</v>
      </c>
      <c r="AW1041" s="171">
        <v>7</v>
      </c>
      <c r="AX1041" s="89"/>
      <c r="AY1041" s="171">
        <v>20</v>
      </c>
      <c r="AZ1041" s="89"/>
      <c r="BA1041" s="175">
        <v>60</v>
      </c>
      <c r="BB1041" s="189" t="s">
        <v>2547</v>
      </c>
      <c r="BC1041" s="176"/>
      <c r="BD1041" s="179"/>
      <c r="BE1041" s="179"/>
      <c r="BF1041" s="178"/>
      <c r="BG1041" s="25"/>
      <c r="BH1041" s="25"/>
    </row>
    <row r="1042" spans="1:60" ht="15" customHeight="1">
      <c r="A1042" s="95">
        <v>1041</v>
      </c>
      <c r="B1042" s="98" t="s">
        <v>661</v>
      </c>
      <c r="C1042" s="191" t="s">
        <v>2695</v>
      </c>
      <c r="D1042" s="257" t="s">
        <v>549</v>
      </c>
      <c r="E1042" s="459" t="s">
        <v>3377</v>
      </c>
      <c r="F1042" s="171">
        <v>1998</v>
      </c>
      <c r="G1042" s="171">
        <v>220</v>
      </c>
      <c r="H1042" s="57"/>
      <c r="I1042" s="173" t="s">
        <v>2564</v>
      </c>
      <c r="J1042" s="277">
        <v>0.55000000000000004</v>
      </c>
      <c r="K1042" s="213">
        <v>5.4150943396226419</v>
      </c>
      <c r="L1042" s="91"/>
      <c r="M1042" s="278">
        <v>318</v>
      </c>
      <c r="N1042" s="279"/>
      <c r="O1042" s="172" t="s">
        <v>12</v>
      </c>
      <c r="P1042" s="92"/>
      <c r="Q1042" s="173" t="s">
        <v>10</v>
      </c>
      <c r="R1042" s="507"/>
      <c r="S1042" s="94"/>
      <c r="T1042" s="171" t="s">
        <v>2562</v>
      </c>
      <c r="U1042" s="171"/>
      <c r="V1042" s="102">
        <v>0</v>
      </c>
      <c r="W1042" s="120">
        <v>0</v>
      </c>
      <c r="X1042" s="120">
        <v>0</v>
      </c>
      <c r="Y1042" s="120">
        <v>0</v>
      </c>
      <c r="Z1042" s="120">
        <v>0</v>
      </c>
      <c r="AA1042" s="17">
        <v>0</v>
      </c>
      <c r="AB1042" s="17">
        <v>0</v>
      </c>
      <c r="AC1042" s="17">
        <v>0</v>
      </c>
      <c r="AD1042" s="17">
        <v>0</v>
      </c>
      <c r="AE1042" s="17">
        <v>0</v>
      </c>
      <c r="AF1042" s="17">
        <v>0</v>
      </c>
      <c r="AG1042" s="17">
        <v>0</v>
      </c>
      <c r="AH1042" s="17">
        <v>0</v>
      </c>
      <c r="AI1042" s="17">
        <v>0</v>
      </c>
      <c r="AJ1042" s="17">
        <v>0</v>
      </c>
      <c r="AK1042" s="17">
        <v>0</v>
      </c>
      <c r="AL1042" s="32">
        <v>0</v>
      </c>
      <c r="AM1042" s="57"/>
      <c r="AN1042" s="89"/>
      <c r="AO1042" s="280"/>
      <c r="AP1042" s="784"/>
      <c r="AQ1042" s="773" t="s">
        <v>271</v>
      </c>
      <c r="AR1042" s="188">
        <v>100</v>
      </c>
      <c r="AS1042" s="171"/>
      <c r="AT1042" s="171" t="str">
        <f t="shared" si="87"/>
        <v>400</v>
      </c>
      <c r="AU1042" s="255">
        <f t="shared" si="88"/>
        <v>22.222222222222221</v>
      </c>
      <c r="AV1042" s="172">
        <v>100</v>
      </c>
      <c r="AW1042" s="171">
        <v>7</v>
      </c>
      <c r="AX1042" s="89"/>
      <c r="AY1042" s="171">
        <v>20</v>
      </c>
      <c r="AZ1042" s="89"/>
      <c r="BA1042" s="175">
        <v>60</v>
      </c>
      <c r="BB1042" s="189" t="s">
        <v>2547</v>
      </c>
      <c r="BC1042" s="176"/>
      <c r="BD1042" s="179"/>
      <c r="BE1042" s="179"/>
      <c r="BF1042" s="178"/>
      <c r="BG1042" s="25"/>
      <c r="BH1042" s="25"/>
    </row>
    <row r="1043" spans="1:60" ht="15" customHeight="1">
      <c r="A1043" s="95">
        <v>1042</v>
      </c>
      <c r="B1043" s="98" t="s">
        <v>660</v>
      </c>
      <c r="C1043" s="191" t="s">
        <v>2695</v>
      </c>
      <c r="D1043" s="257" t="s">
        <v>549</v>
      </c>
      <c r="E1043" s="459" t="s">
        <v>3377</v>
      </c>
      <c r="F1043" s="171">
        <v>1998</v>
      </c>
      <c r="G1043" s="171">
        <v>220</v>
      </c>
      <c r="H1043" s="57"/>
      <c r="I1043" s="173" t="s">
        <v>2564</v>
      </c>
      <c r="J1043" s="277">
        <v>0.55000000000000004</v>
      </c>
      <c r="K1043" s="213">
        <v>5.267295597484277</v>
      </c>
      <c r="L1043" s="91"/>
      <c r="M1043" s="278">
        <v>318</v>
      </c>
      <c r="N1043" s="279"/>
      <c r="O1043" s="172" t="s">
        <v>12</v>
      </c>
      <c r="P1043" s="92"/>
      <c r="Q1043" s="173" t="s">
        <v>10</v>
      </c>
      <c r="R1043" s="507"/>
      <c r="S1043" s="94"/>
      <c r="T1043" s="171" t="s">
        <v>2562</v>
      </c>
      <c r="U1043" s="171"/>
      <c r="V1043" s="102">
        <v>0</v>
      </c>
      <c r="W1043" s="120">
        <v>0</v>
      </c>
      <c r="X1043" s="120">
        <v>0</v>
      </c>
      <c r="Y1043" s="120">
        <v>0</v>
      </c>
      <c r="Z1043" s="120">
        <v>0</v>
      </c>
      <c r="AA1043" s="17">
        <v>0</v>
      </c>
      <c r="AB1043" s="17">
        <v>0</v>
      </c>
      <c r="AC1043" s="17">
        <v>0</v>
      </c>
      <c r="AD1043" s="17">
        <v>0</v>
      </c>
      <c r="AE1043" s="17">
        <v>0</v>
      </c>
      <c r="AF1043" s="17">
        <v>0</v>
      </c>
      <c r="AG1043" s="17">
        <v>0</v>
      </c>
      <c r="AH1043" s="17">
        <v>0</v>
      </c>
      <c r="AI1043" s="17">
        <v>0</v>
      </c>
      <c r="AJ1043" s="17">
        <v>0</v>
      </c>
      <c r="AK1043" s="17">
        <v>0</v>
      </c>
      <c r="AL1043" s="32">
        <v>0</v>
      </c>
      <c r="AM1043" s="57"/>
      <c r="AN1043" s="89"/>
      <c r="AO1043" s="280"/>
      <c r="AP1043" s="784"/>
      <c r="AQ1043" s="773" t="s">
        <v>271</v>
      </c>
      <c r="AR1043" s="188">
        <v>100</v>
      </c>
      <c r="AS1043" s="171"/>
      <c r="AT1043" s="171" t="str">
        <f t="shared" si="87"/>
        <v>400</v>
      </c>
      <c r="AU1043" s="255">
        <f t="shared" si="88"/>
        <v>22.222222222222221</v>
      </c>
      <c r="AV1043" s="172">
        <v>100</v>
      </c>
      <c r="AW1043" s="171">
        <v>7</v>
      </c>
      <c r="AX1043" s="89"/>
      <c r="AY1043" s="171">
        <v>20</v>
      </c>
      <c r="AZ1043" s="89"/>
      <c r="BA1043" s="175">
        <v>60</v>
      </c>
      <c r="BB1043" s="189" t="s">
        <v>2547</v>
      </c>
      <c r="BC1043" s="176"/>
      <c r="BD1043" s="179"/>
      <c r="BE1043" s="179"/>
      <c r="BF1043" s="178"/>
      <c r="BG1043" s="25"/>
      <c r="BH1043" s="25"/>
    </row>
    <row r="1044" spans="1:60" ht="15" customHeight="1">
      <c r="A1044" s="95">
        <v>1043</v>
      </c>
      <c r="B1044" s="98" t="s">
        <v>659</v>
      </c>
      <c r="C1044" s="191" t="s">
        <v>2695</v>
      </c>
      <c r="D1044" s="257" t="s">
        <v>549</v>
      </c>
      <c r="E1044" s="459" t="s">
        <v>3377</v>
      </c>
      <c r="F1044" s="171">
        <v>1998</v>
      </c>
      <c r="G1044" s="171">
        <v>220</v>
      </c>
      <c r="H1044" s="57"/>
      <c r="I1044" s="173" t="s">
        <v>2564</v>
      </c>
      <c r="J1044" s="277">
        <v>0.55000000000000004</v>
      </c>
      <c r="K1044" s="213">
        <v>5.4276729559748427</v>
      </c>
      <c r="L1044" s="91"/>
      <c r="M1044" s="278">
        <v>318</v>
      </c>
      <c r="N1044" s="279"/>
      <c r="O1044" s="172" t="s">
        <v>12</v>
      </c>
      <c r="P1044" s="92"/>
      <c r="Q1044" s="173" t="s">
        <v>10</v>
      </c>
      <c r="R1044" s="507"/>
      <c r="S1044" s="94"/>
      <c r="T1044" s="171" t="s">
        <v>2562</v>
      </c>
      <c r="U1044" s="171"/>
      <c r="V1044" s="102">
        <v>0</v>
      </c>
      <c r="W1044" s="120">
        <v>0</v>
      </c>
      <c r="X1044" s="120">
        <v>0</v>
      </c>
      <c r="Y1044" s="120">
        <v>0</v>
      </c>
      <c r="Z1044" s="120">
        <v>0</v>
      </c>
      <c r="AA1044" s="17">
        <v>0</v>
      </c>
      <c r="AB1044" s="17">
        <v>0</v>
      </c>
      <c r="AC1044" s="17">
        <v>0</v>
      </c>
      <c r="AD1044" s="17">
        <v>0</v>
      </c>
      <c r="AE1044" s="17">
        <v>0</v>
      </c>
      <c r="AF1044" s="17">
        <v>0</v>
      </c>
      <c r="AG1044" s="17">
        <v>0</v>
      </c>
      <c r="AH1044" s="17">
        <v>0</v>
      </c>
      <c r="AI1044" s="17">
        <v>0</v>
      </c>
      <c r="AJ1044" s="17">
        <v>0</v>
      </c>
      <c r="AK1044" s="17">
        <v>0</v>
      </c>
      <c r="AL1044" s="32">
        <v>0</v>
      </c>
      <c r="AM1044" s="57"/>
      <c r="AN1044" s="89"/>
      <c r="AO1044" s="280"/>
      <c r="AP1044" s="784"/>
      <c r="AQ1044" s="773" t="s">
        <v>271</v>
      </c>
      <c r="AR1044" s="188">
        <v>100</v>
      </c>
      <c r="AS1044" s="171"/>
      <c r="AT1044" s="171" t="str">
        <f t="shared" si="87"/>
        <v>400</v>
      </c>
      <c r="AU1044" s="255">
        <f t="shared" si="88"/>
        <v>22.222222222222221</v>
      </c>
      <c r="AV1044" s="172">
        <v>100</v>
      </c>
      <c r="AW1044" s="171">
        <v>7</v>
      </c>
      <c r="AX1044" s="89"/>
      <c r="AY1044" s="171">
        <v>20</v>
      </c>
      <c r="AZ1044" s="89"/>
      <c r="BA1044" s="175">
        <v>60</v>
      </c>
      <c r="BB1044" s="189" t="s">
        <v>2547</v>
      </c>
      <c r="BC1044" s="176"/>
      <c r="BD1044" s="179"/>
      <c r="BE1044" s="179"/>
      <c r="BF1044" s="178"/>
      <c r="BG1044" s="25"/>
      <c r="BH1044" s="25"/>
    </row>
    <row r="1045" spans="1:60" ht="15" customHeight="1">
      <c r="A1045" s="95">
        <v>1044</v>
      </c>
      <c r="B1045" s="98" t="s">
        <v>658</v>
      </c>
      <c r="C1045" s="191" t="s">
        <v>2695</v>
      </c>
      <c r="D1045" s="257" t="s">
        <v>549</v>
      </c>
      <c r="E1045" s="459" t="s">
        <v>3377</v>
      </c>
      <c r="F1045" s="171">
        <v>1998</v>
      </c>
      <c r="G1045" s="171">
        <v>220</v>
      </c>
      <c r="H1045" s="57"/>
      <c r="I1045" s="173" t="s">
        <v>2564</v>
      </c>
      <c r="J1045" s="277">
        <v>0.55000000000000004</v>
      </c>
      <c r="K1045" s="213">
        <v>5.2547169811320753</v>
      </c>
      <c r="L1045" s="91"/>
      <c r="M1045" s="278">
        <v>318</v>
      </c>
      <c r="N1045" s="279"/>
      <c r="O1045" s="172" t="s">
        <v>12</v>
      </c>
      <c r="P1045" s="92"/>
      <c r="Q1045" s="173" t="s">
        <v>10</v>
      </c>
      <c r="R1045" s="507"/>
      <c r="S1045" s="94"/>
      <c r="T1045" s="171"/>
      <c r="U1045" s="171"/>
      <c r="V1045" s="102">
        <v>0</v>
      </c>
      <c r="W1045" s="120">
        <v>0</v>
      </c>
      <c r="X1045" s="120">
        <v>0</v>
      </c>
      <c r="Y1045" s="120">
        <v>0</v>
      </c>
      <c r="Z1045" s="120">
        <v>0</v>
      </c>
      <c r="AA1045" s="17">
        <v>0</v>
      </c>
      <c r="AB1045" s="17">
        <v>0</v>
      </c>
      <c r="AC1045" s="17">
        <v>0</v>
      </c>
      <c r="AD1045" s="17">
        <v>0</v>
      </c>
      <c r="AE1045" s="17">
        <v>0</v>
      </c>
      <c r="AF1045" s="17">
        <v>0</v>
      </c>
      <c r="AG1045" s="17">
        <v>0</v>
      </c>
      <c r="AH1045" s="17">
        <v>0</v>
      </c>
      <c r="AI1045" s="17">
        <v>0</v>
      </c>
      <c r="AJ1045" s="17">
        <v>0</v>
      </c>
      <c r="AK1045" s="17">
        <v>0</v>
      </c>
      <c r="AL1045" s="32">
        <v>0</v>
      </c>
      <c r="AM1045" s="57"/>
      <c r="AN1045" s="89"/>
      <c r="AO1045" s="280"/>
      <c r="AP1045" s="784"/>
      <c r="AQ1045" s="773" t="s">
        <v>271</v>
      </c>
      <c r="AR1045" s="188">
        <v>100</v>
      </c>
      <c r="AS1045" s="171"/>
      <c r="AT1045" s="171" t="str">
        <f t="shared" si="87"/>
        <v>400</v>
      </c>
      <c r="AU1045" s="255">
        <f t="shared" si="88"/>
        <v>22.222222222222221</v>
      </c>
      <c r="AV1045" s="172">
        <v>98</v>
      </c>
      <c r="AW1045" s="171">
        <v>7</v>
      </c>
      <c r="AX1045" s="89"/>
      <c r="AY1045" s="171">
        <v>20</v>
      </c>
      <c r="AZ1045" s="89"/>
      <c r="BA1045" s="175">
        <v>60</v>
      </c>
      <c r="BB1045" s="189" t="s">
        <v>2550</v>
      </c>
      <c r="BC1045" s="176"/>
      <c r="BD1045" s="179"/>
      <c r="BE1045" s="179"/>
      <c r="BF1045" s="178"/>
      <c r="BG1045" s="25"/>
      <c r="BH1045" s="25"/>
    </row>
    <row r="1046" spans="1:60" ht="15" customHeight="1">
      <c r="A1046" s="95">
        <v>1045</v>
      </c>
      <c r="B1046" s="98" t="s">
        <v>657</v>
      </c>
      <c r="C1046" s="191" t="s">
        <v>2695</v>
      </c>
      <c r="D1046" s="257" t="s">
        <v>549</v>
      </c>
      <c r="E1046" s="459" t="s">
        <v>3377</v>
      </c>
      <c r="F1046" s="171">
        <v>1998</v>
      </c>
      <c r="G1046" s="171">
        <v>220</v>
      </c>
      <c r="H1046" s="57"/>
      <c r="I1046" s="173" t="s">
        <v>2564</v>
      </c>
      <c r="J1046" s="277">
        <v>0.55000000000000004</v>
      </c>
      <c r="K1046" s="213">
        <v>5.0691823899371071</v>
      </c>
      <c r="L1046" s="91"/>
      <c r="M1046" s="278">
        <v>318</v>
      </c>
      <c r="N1046" s="279"/>
      <c r="O1046" s="172" t="s">
        <v>12</v>
      </c>
      <c r="P1046" s="92"/>
      <c r="Q1046" s="173" t="s">
        <v>10</v>
      </c>
      <c r="R1046" s="507"/>
      <c r="S1046" s="94"/>
      <c r="T1046" s="171"/>
      <c r="U1046" s="171"/>
      <c r="V1046" s="102">
        <v>0</v>
      </c>
      <c r="W1046" s="120">
        <v>0</v>
      </c>
      <c r="X1046" s="120">
        <v>0</v>
      </c>
      <c r="Y1046" s="120">
        <v>0</v>
      </c>
      <c r="Z1046" s="120">
        <v>0</v>
      </c>
      <c r="AA1046" s="17">
        <v>0</v>
      </c>
      <c r="AB1046" s="17">
        <v>0</v>
      </c>
      <c r="AC1046" s="17">
        <v>0</v>
      </c>
      <c r="AD1046" s="17">
        <v>0</v>
      </c>
      <c r="AE1046" s="17">
        <v>0</v>
      </c>
      <c r="AF1046" s="17">
        <v>0</v>
      </c>
      <c r="AG1046" s="17">
        <v>0</v>
      </c>
      <c r="AH1046" s="17">
        <v>0</v>
      </c>
      <c r="AI1046" s="17">
        <v>0</v>
      </c>
      <c r="AJ1046" s="17">
        <v>0</v>
      </c>
      <c r="AK1046" s="17">
        <v>0</v>
      </c>
      <c r="AL1046" s="32">
        <v>0</v>
      </c>
      <c r="AM1046" s="57"/>
      <c r="AN1046" s="89"/>
      <c r="AO1046" s="280"/>
      <c r="AP1046" s="784"/>
      <c r="AQ1046" s="773" t="s">
        <v>271</v>
      </c>
      <c r="AR1046" s="188">
        <v>100</v>
      </c>
      <c r="AS1046" s="171"/>
      <c r="AT1046" s="171" t="str">
        <f t="shared" si="87"/>
        <v>400</v>
      </c>
      <c r="AU1046" s="255">
        <f t="shared" si="88"/>
        <v>22.222222222222221</v>
      </c>
      <c r="AV1046" s="172">
        <v>98</v>
      </c>
      <c r="AW1046" s="171">
        <v>7</v>
      </c>
      <c r="AX1046" s="89"/>
      <c r="AY1046" s="171">
        <v>20</v>
      </c>
      <c r="AZ1046" s="89"/>
      <c r="BA1046" s="175">
        <v>60</v>
      </c>
      <c r="BB1046" s="189" t="s">
        <v>2550</v>
      </c>
      <c r="BC1046" s="176"/>
      <c r="BD1046" s="179"/>
      <c r="BE1046" s="179"/>
      <c r="BF1046" s="178"/>
      <c r="BG1046" s="25"/>
      <c r="BH1046" s="25"/>
    </row>
    <row r="1047" spans="1:60" ht="15" customHeight="1">
      <c r="A1047" s="95">
        <v>1046</v>
      </c>
      <c r="B1047" s="98" t="s">
        <v>656</v>
      </c>
      <c r="C1047" s="191" t="s">
        <v>2695</v>
      </c>
      <c r="D1047" s="257" t="s">
        <v>549</v>
      </c>
      <c r="E1047" s="459" t="s">
        <v>3377</v>
      </c>
      <c r="F1047" s="171">
        <v>1998</v>
      </c>
      <c r="G1047" s="171">
        <v>220</v>
      </c>
      <c r="H1047" s="57"/>
      <c r="I1047" s="173" t="s">
        <v>2564</v>
      </c>
      <c r="J1047" s="277">
        <v>0.55000000000000004</v>
      </c>
      <c r="K1047" s="213">
        <v>4.6289308176100628</v>
      </c>
      <c r="L1047" s="91"/>
      <c r="M1047" s="278">
        <v>318</v>
      </c>
      <c r="N1047" s="279"/>
      <c r="O1047" s="172" t="s">
        <v>12</v>
      </c>
      <c r="P1047" s="92"/>
      <c r="Q1047" s="173" t="s">
        <v>10</v>
      </c>
      <c r="R1047" s="507"/>
      <c r="S1047" s="94"/>
      <c r="T1047" s="171"/>
      <c r="U1047" s="171"/>
      <c r="V1047" s="102">
        <v>0</v>
      </c>
      <c r="W1047" s="120">
        <v>0</v>
      </c>
      <c r="X1047" s="120">
        <v>0</v>
      </c>
      <c r="Y1047" s="120">
        <v>0</v>
      </c>
      <c r="Z1047" s="120">
        <v>0</v>
      </c>
      <c r="AA1047" s="17">
        <v>0</v>
      </c>
      <c r="AB1047" s="17">
        <v>0</v>
      </c>
      <c r="AC1047" s="17">
        <v>0</v>
      </c>
      <c r="AD1047" s="17">
        <v>0</v>
      </c>
      <c r="AE1047" s="17">
        <v>0</v>
      </c>
      <c r="AF1047" s="17">
        <v>0</v>
      </c>
      <c r="AG1047" s="17">
        <v>0</v>
      </c>
      <c r="AH1047" s="17">
        <v>0</v>
      </c>
      <c r="AI1047" s="17">
        <v>0</v>
      </c>
      <c r="AJ1047" s="17">
        <v>0</v>
      </c>
      <c r="AK1047" s="17">
        <v>0</v>
      </c>
      <c r="AL1047" s="32">
        <v>0</v>
      </c>
      <c r="AM1047" s="57"/>
      <c r="AN1047" s="89"/>
      <c r="AO1047" s="280"/>
      <c r="AP1047" s="784"/>
      <c r="AQ1047" s="773" t="s">
        <v>271</v>
      </c>
      <c r="AR1047" s="188">
        <v>100</v>
      </c>
      <c r="AS1047" s="171"/>
      <c r="AT1047" s="171" t="str">
        <f t="shared" si="87"/>
        <v>400</v>
      </c>
      <c r="AU1047" s="255">
        <f t="shared" si="88"/>
        <v>22.222222222222221</v>
      </c>
      <c r="AV1047" s="172">
        <v>98</v>
      </c>
      <c r="AW1047" s="171">
        <v>7</v>
      </c>
      <c r="AX1047" s="89"/>
      <c r="AY1047" s="171">
        <v>20</v>
      </c>
      <c r="AZ1047" s="89"/>
      <c r="BA1047" s="175">
        <v>60</v>
      </c>
      <c r="BB1047" s="189" t="s">
        <v>2550</v>
      </c>
      <c r="BC1047" s="176"/>
      <c r="BD1047" s="179"/>
      <c r="BE1047" s="179"/>
      <c r="BF1047" s="178"/>
      <c r="BG1047" s="25"/>
      <c r="BH1047" s="25"/>
    </row>
    <row r="1048" spans="1:60" ht="15" customHeight="1">
      <c r="A1048" s="95">
        <v>1047</v>
      </c>
      <c r="B1048" s="98" t="s">
        <v>655</v>
      </c>
      <c r="C1048" s="191" t="s">
        <v>2695</v>
      </c>
      <c r="D1048" s="257" t="s">
        <v>549</v>
      </c>
      <c r="E1048" s="459" t="s">
        <v>3377</v>
      </c>
      <c r="F1048" s="171">
        <v>1998</v>
      </c>
      <c r="G1048" s="171">
        <v>220</v>
      </c>
      <c r="H1048" s="57"/>
      <c r="I1048" s="173" t="s">
        <v>2564</v>
      </c>
      <c r="J1048" s="277">
        <v>0.55000000000000004</v>
      </c>
      <c r="K1048" s="213">
        <v>5.5943396226415096</v>
      </c>
      <c r="L1048" s="91"/>
      <c r="M1048" s="278">
        <v>318</v>
      </c>
      <c r="N1048" s="279"/>
      <c r="O1048" s="172" t="s">
        <v>12</v>
      </c>
      <c r="P1048" s="92"/>
      <c r="Q1048" s="173" t="s">
        <v>10</v>
      </c>
      <c r="R1048" s="507"/>
      <c r="S1048" s="94"/>
      <c r="T1048" s="171" t="s">
        <v>2562</v>
      </c>
      <c r="U1048" s="171"/>
      <c r="V1048" s="102">
        <v>0</v>
      </c>
      <c r="W1048" s="120">
        <v>0</v>
      </c>
      <c r="X1048" s="120">
        <v>0</v>
      </c>
      <c r="Y1048" s="120">
        <v>0</v>
      </c>
      <c r="Z1048" s="120">
        <v>0</v>
      </c>
      <c r="AA1048" s="17">
        <v>0</v>
      </c>
      <c r="AB1048" s="17">
        <v>0</v>
      </c>
      <c r="AC1048" s="17">
        <v>0</v>
      </c>
      <c r="AD1048" s="17">
        <v>0</v>
      </c>
      <c r="AE1048" s="17">
        <v>0</v>
      </c>
      <c r="AF1048" s="17">
        <v>0</v>
      </c>
      <c r="AG1048" s="17">
        <v>0</v>
      </c>
      <c r="AH1048" s="17">
        <v>0</v>
      </c>
      <c r="AI1048" s="17">
        <v>0</v>
      </c>
      <c r="AJ1048" s="17">
        <v>0</v>
      </c>
      <c r="AK1048" s="17">
        <v>0</v>
      </c>
      <c r="AL1048" s="32">
        <v>0</v>
      </c>
      <c r="AM1048" s="57"/>
      <c r="AN1048" s="89"/>
      <c r="AO1048" s="280"/>
      <c r="AP1048" s="784"/>
      <c r="AQ1048" s="773" t="s">
        <v>271</v>
      </c>
      <c r="AR1048" s="188">
        <v>100</v>
      </c>
      <c r="AS1048" s="171"/>
      <c r="AT1048" s="171" t="str">
        <f t="shared" si="87"/>
        <v>400</v>
      </c>
      <c r="AU1048" s="255">
        <f t="shared" si="88"/>
        <v>22.222222222222221</v>
      </c>
      <c r="AV1048" s="172">
        <v>98</v>
      </c>
      <c r="AW1048" s="171">
        <v>7</v>
      </c>
      <c r="AX1048" s="89"/>
      <c r="AY1048" s="171">
        <v>20</v>
      </c>
      <c r="AZ1048" s="89"/>
      <c r="BA1048" s="175">
        <v>60</v>
      </c>
      <c r="BB1048" s="189" t="s">
        <v>2550</v>
      </c>
      <c r="BC1048" s="176"/>
      <c r="BD1048" s="179"/>
      <c r="BE1048" s="179"/>
      <c r="BF1048" s="178"/>
      <c r="BG1048" s="25"/>
      <c r="BH1048" s="25"/>
    </row>
    <row r="1049" spans="1:60" ht="15" customHeight="1">
      <c r="A1049" s="95">
        <v>1048</v>
      </c>
      <c r="B1049" s="98" t="s">
        <v>654</v>
      </c>
      <c r="C1049" s="191" t="s">
        <v>2695</v>
      </c>
      <c r="D1049" s="257" t="s">
        <v>549</v>
      </c>
      <c r="E1049" s="459" t="s">
        <v>3377</v>
      </c>
      <c r="F1049" s="171">
        <v>1998</v>
      </c>
      <c r="G1049" s="171">
        <v>220</v>
      </c>
      <c r="H1049" s="57"/>
      <c r="I1049" s="173" t="s">
        <v>2564</v>
      </c>
      <c r="J1049" s="277">
        <v>0.55000000000000004</v>
      </c>
      <c r="K1049" s="213">
        <v>5.5786163522012577</v>
      </c>
      <c r="L1049" s="91"/>
      <c r="M1049" s="278">
        <v>318</v>
      </c>
      <c r="N1049" s="279"/>
      <c r="O1049" s="172" t="s">
        <v>12</v>
      </c>
      <c r="P1049" s="92"/>
      <c r="Q1049" s="173" t="s">
        <v>10</v>
      </c>
      <c r="R1049" s="94"/>
      <c r="S1049" s="94"/>
      <c r="T1049" s="171" t="s">
        <v>2562</v>
      </c>
      <c r="U1049" s="171"/>
      <c r="V1049" s="102">
        <v>0</v>
      </c>
      <c r="W1049" s="120">
        <v>0</v>
      </c>
      <c r="X1049" s="120">
        <v>0</v>
      </c>
      <c r="Y1049" s="120">
        <v>0</v>
      </c>
      <c r="Z1049" s="120">
        <v>0</v>
      </c>
      <c r="AA1049" s="17">
        <v>0</v>
      </c>
      <c r="AB1049" s="17">
        <v>0</v>
      </c>
      <c r="AC1049" s="17">
        <v>0</v>
      </c>
      <c r="AD1049" s="17">
        <v>0</v>
      </c>
      <c r="AE1049" s="17">
        <v>0</v>
      </c>
      <c r="AF1049" s="17">
        <v>0</v>
      </c>
      <c r="AG1049" s="17">
        <v>0</v>
      </c>
      <c r="AH1049" s="17">
        <v>0</v>
      </c>
      <c r="AI1049" s="17">
        <v>0</v>
      </c>
      <c r="AJ1049" s="17">
        <v>0</v>
      </c>
      <c r="AK1049" s="17">
        <v>0</v>
      </c>
      <c r="AL1049" s="32">
        <v>0</v>
      </c>
      <c r="AM1049" s="57"/>
      <c r="AN1049" s="89"/>
      <c r="AO1049" s="280"/>
      <c r="AP1049" s="784"/>
      <c r="AQ1049" s="773" t="s">
        <v>271</v>
      </c>
      <c r="AR1049" s="188">
        <v>100</v>
      </c>
      <c r="AS1049" s="171"/>
      <c r="AT1049" s="171" t="str">
        <f t="shared" si="87"/>
        <v>400</v>
      </c>
      <c r="AU1049" s="255">
        <f t="shared" si="88"/>
        <v>22.222222222222221</v>
      </c>
      <c r="AV1049" s="172">
        <v>98</v>
      </c>
      <c r="AW1049" s="171">
        <v>7</v>
      </c>
      <c r="AX1049" s="89"/>
      <c r="AY1049" s="171">
        <v>20</v>
      </c>
      <c r="AZ1049" s="89"/>
      <c r="BA1049" s="175">
        <v>60</v>
      </c>
      <c r="BB1049" s="189" t="s">
        <v>2550</v>
      </c>
      <c r="BC1049" s="176"/>
      <c r="BD1049" s="179"/>
      <c r="BE1049" s="179"/>
      <c r="BF1049" s="178"/>
      <c r="BG1049" s="25"/>
      <c r="BH1049" s="25"/>
    </row>
    <row r="1050" spans="1:60" ht="15" customHeight="1">
      <c r="A1050" s="95">
        <v>1049</v>
      </c>
      <c r="B1050" s="98" t="s">
        <v>653</v>
      </c>
      <c r="C1050" s="191" t="s">
        <v>2695</v>
      </c>
      <c r="D1050" s="257" t="s">
        <v>549</v>
      </c>
      <c r="E1050" s="459" t="s">
        <v>3377</v>
      </c>
      <c r="F1050" s="171">
        <v>1998</v>
      </c>
      <c r="G1050" s="171">
        <v>220</v>
      </c>
      <c r="H1050" s="57"/>
      <c r="I1050" s="173" t="s">
        <v>2564</v>
      </c>
      <c r="J1050" s="277">
        <v>0.55000000000000004</v>
      </c>
      <c r="K1050" s="213">
        <v>5.5566037735849054</v>
      </c>
      <c r="L1050" s="91"/>
      <c r="M1050" s="278">
        <v>318</v>
      </c>
      <c r="N1050" s="279"/>
      <c r="O1050" s="172" t="s">
        <v>12</v>
      </c>
      <c r="P1050" s="92"/>
      <c r="Q1050" s="173" t="s">
        <v>10</v>
      </c>
      <c r="R1050" s="94"/>
      <c r="S1050" s="94"/>
      <c r="T1050" s="171" t="s">
        <v>2562</v>
      </c>
      <c r="U1050" s="171"/>
      <c r="V1050" s="102">
        <v>0</v>
      </c>
      <c r="W1050" s="120">
        <v>0</v>
      </c>
      <c r="X1050" s="120">
        <v>0</v>
      </c>
      <c r="Y1050" s="120">
        <v>0</v>
      </c>
      <c r="Z1050" s="120">
        <v>0</v>
      </c>
      <c r="AA1050" s="17">
        <v>0</v>
      </c>
      <c r="AB1050" s="17">
        <v>0</v>
      </c>
      <c r="AC1050" s="17">
        <v>0</v>
      </c>
      <c r="AD1050" s="17">
        <v>0</v>
      </c>
      <c r="AE1050" s="17">
        <v>0</v>
      </c>
      <c r="AF1050" s="17">
        <v>0</v>
      </c>
      <c r="AG1050" s="17">
        <v>0</v>
      </c>
      <c r="AH1050" s="17">
        <v>0</v>
      </c>
      <c r="AI1050" s="17">
        <v>0</v>
      </c>
      <c r="AJ1050" s="17">
        <v>0</v>
      </c>
      <c r="AK1050" s="17">
        <v>0</v>
      </c>
      <c r="AL1050" s="32">
        <v>0</v>
      </c>
      <c r="AM1050" s="57"/>
      <c r="AN1050" s="89"/>
      <c r="AO1050" s="280"/>
      <c r="AP1050" s="784"/>
      <c r="AQ1050" s="773" t="s">
        <v>271</v>
      </c>
      <c r="AR1050" s="188">
        <v>100</v>
      </c>
      <c r="AS1050" s="171"/>
      <c r="AT1050" s="171" t="str">
        <f t="shared" si="87"/>
        <v>400</v>
      </c>
      <c r="AU1050" s="255">
        <f t="shared" si="88"/>
        <v>22.222222222222221</v>
      </c>
      <c r="AV1050" s="172">
        <v>98</v>
      </c>
      <c r="AW1050" s="171">
        <v>7</v>
      </c>
      <c r="AX1050" s="89"/>
      <c r="AY1050" s="171">
        <v>20</v>
      </c>
      <c r="AZ1050" s="89"/>
      <c r="BA1050" s="175">
        <v>60</v>
      </c>
      <c r="BB1050" s="189" t="s">
        <v>2550</v>
      </c>
      <c r="BC1050" s="176"/>
      <c r="BD1050" s="179"/>
      <c r="BE1050" s="179"/>
      <c r="BF1050" s="178"/>
      <c r="BG1050" s="25"/>
      <c r="BH1050" s="25"/>
    </row>
    <row r="1051" spans="1:60" ht="15" customHeight="1">
      <c r="A1051" s="95">
        <v>1050</v>
      </c>
      <c r="B1051" s="98" t="s">
        <v>652</v>
      </c>
      <c r="C1051" s="191" t="s">
        <v>2695</v>
      </c>
      <c r="D1051" s="257" t="s">
        <v>549</v>
      </c>
      <c r="E1051" s="459" t="s">
        <v>3377</v>
      </c>
      <c r="F1051" s="171">
        <v>1998</v>
      </c>
      <c r="G1051" s="171">
        <v>220</v>
      </c>
      <c r="H1051" s="57"/>
      <c r="I1051" s="173" t="s">
        <v>2564</v>
      </c>
      <c r="J1051" s="277">
        <v>0.55000000000000004</v>
      </c>
      <c r="K1051" s="213">
        <v>5.4150943396226419</v>
      </c>
      <c r="L1051" s="91"/>
      <c r="M1051" s="278">
        <v>318</v>
      </c>
      <c r="N1051" s="279"/>
      <c r="O1051" s="172" t="s">
        <v>12</v>
      </c>
      <c r="P1051" s="92"/>
      <c r="Q1051" s="173" t="s">
        <v>10</v>
      </c>
      <c r="R1051" s="507"/>
      <c r="S1051" s="94"/>
      <c r="T1051" s="171" t="s">
        <v>2562</v>
      </c>
      <c r="U1051" s="171"/>
      <c r="V1051" s="102">
        <v>0</v>
      </c>
      <c r="W1051" s="120">
        <v>0</v>
      </c>
      <c r="X1051" s="120">
        <v>0</v>
      </c>
      <c r="Y1051" s="120">
        <v>0</v>
      </c>
      <c r="Z1051" s="120">
        <v>0</v>
      </c>
      <c r="AA1051" s="17">
        <v>0</v>
      </c>
      <c r="AB1051" s="17">
        <v>0</v>
      </c>
      <c r="AC1051" s="17">
        <v>0</v>
      </c>
      <c r="AD1051" s="17">
        <v>0</v>
      </c>
      <c r="AE1051" s="17">
        <v>0</v>
      </c>
      <c r="AF1051" s="17">
        <v>0</v>
      </c>
      <c r="AG1051" s="17">
        <v>0</v>
      </c>
      <c r="AH1051" s="17">
        <v>0</v>
      </c>
      <c r="AI1051" s="17">
        <v>0</v>
      </c>
      <c r="AJ1051" s="17">
        <v>0</v>
      </c>
      <c r="AK1051" s="17">
        <v>0</v>
      </c>
      <c r="AL1051" s="32">
        <v>0</v>
      </c>
      <c r="AM1051" s="57"/>
      <c r="AN1051" s="89"/>
      <c r="AO1051" s="280"/>
      <c r="AP1051" s="784"/>
      <c r="AQ1051" s="773" t="s">
        <v>271</v>
      </c>
      <c r="AR1051" s="188">
        <v>100</v>
      </c>
      <c r="AS1051" s="171"/>
      <c r="AT1051" s="171" t="str">
        <f t="shared" si="87"/>
        <v>400</v>
      </c>
      <c r="AU1051" s="255">
        <f t="shared" si="88"/>
        <v>22.222222222222221</v>
      </c>
      <c r="AV1051" s="172">
        <v>98</v>
      </c>
      <c r="AW1051" s="171">
        <v>7</v>
      </c>
      <c r="AX1051" s="89"/>
      <c r="AY1051" s="171">
        <v>20</v>
      </c>
      <c r="AZ1051" s="89"/>
      <c r="BA1051" s="175">
        <v>60</v>
      </c>
      <c r="BB1051" s="189" t="s">
        <v>2550</v>
      </c>
      <c r="BC1051" s="176"/>
      <c r="BD1051" s="179"/>
      <c r="BE1051" s="179"/>
      <c r="BF1051" s="178"/>
      <c r="BG1051" s="25"/>
      <c r="BH1051" s="25"/>
    </row>
    <row r="1052" spans="1:60" ht="15" customHeight="1">
      <c r="A1052" s="95">
        <v>1051</v>
      </c>
      <c r="B1052" s="98" t="s">
        <v>651</v>
      </c>
      <c r="C1052" s="191" t="s">
        <v>2695</v>
      </c>
      <c r="D1052" s="257" t="s">
        <v>549</v>
      </c>
      <c r="E1052" s="459" t="s">
        <v>3377</v>
      </c>
      <c r="F1052" s="171">
        <v>1998</v>
      </c>
      <c r="G1052" s="171">
        <v>220</v>
      </c>
      <c r="H1052" s="57"/>
      <c r="I1052" s="173" t="s">
        <v>2564</v>
      </c>
      <c r="J1052" s="277">
        <v>0.55000000000000004</v>
      </c>
      <c r="K1052" s="213">
        <v>5.267295597484277</v>
      </c>
      <c r="L1052" s="91"/>
      <c r="M1052" s="278">
        <v>318</v>
      </c>
      <c r="N1052" s="279"/>
      <c r="O1052" s="172" t="s">
        <v>12</v>
      </c>
      <c r="P1052" s="92"/>
      <c r="Q1052" s="173" t="s">
        <v>10</v>
      </c>
      <c r="R1052" s="94"/>
      <c r="S1052" s="94"/>
      <c r="T1052" s="171" t="s">
        <v>2562</v>
      </c>
      <c r="U1052" s="171"/>
      <c r="V1052" s="102">
        <v>0</v>
      </c>
      <c r="W1052" s="120">
        <v>0</v>
      </c>
      <c r="X1052" s="120">
        <v>0</v>
      </c>
      <c r="Y1052" s="120">
        <v>0</v>
      </c>
      <c r="Z1052" s="120">
        <v>0</v>
      </c>
      <c r="AA1052" s="17">
        <v>0</v>
      </c>
      <c r="AB1052" s="17">
        <v>0</v>
      </c>
      <c r="AC1052" s="17">
        <v>0</v>
      </c>
      <c r="AD1052" s="17">
        <v>0</v>
      </c>
      <c r="AE1052" s="17">
        <v>0</v>
      </c>
      <c r="AF1052" s="17">
        <v>0</v>
      </c>
      <c r="AG1052" s="17">
        <v>0</v>
      </c>
      <c r="AH1052" s="17">
        <v>0</v>
      </c>
      <c r="AI1052" s="17">
        <v>0</v>
      </c>
      <c r="AJ1052" s="17">
        <v>0</v>
      </c>
      <c r="AK1052" s="17">
        <v>0</v>
      </c>
      <c r="AL1052" s="32">
        <v>0</v>
      </c>
      <c r="AM1052" s="57"/>
      <c r="AN1052" s="89"/>
      <c r="AO1052" s="280"/>
      <c r="AP1052" s="784"/>
      <c r="AQ1052" s="773" t="s">
        <v>271</v>
      </c>
      <c r="AR1052" s="188">
        <v>100</v>
      </c>
      <c r="AS1052" s="171"/>
      <c r="AT1052" s="171" t="str">
        <f t="shared" si="87"/>
        <v>400</v>
      </c>
      <c r="AU1052" s="255">
        <f t="shared" si="88"/>
        <v>22.222222222222221</v>
      </c>
      <c r="AV1052" s="172">
        <v>98</v>
      </c>
      <c r="AW1052" s="171">
        <v>7</v>
      </c>
      <c r="AX1052" s="89"/>
      <c r="AY1052" s="171">
        <v>20</v>
      </c>
      <c r="AZ1052" s="89"/>
      <c r="BA1052" s="175">
        <v>60</v>
      </c>
      <c r="BB1052" s="189" t="s">
        <v>2550</v>
      </c>
      <c r="BC1052" s="176"/>
      <c r="BD1052" s="179"/>
      <c r="BE1052" s="179"/>
      <c r="BF1052" s="178"/>
      <c r="BG1052" s="25"/>
      <c r="BH1052" s="25"/>
    </row>
    <row r="1053" spans="1:60" ht="15" customHeight="1">
      <c r="A1053" s="95">
        <v>1052</v>
      </c>
      <c r="B1053" s="98" t="s">
        <v>650</v>
      </c>
      <c r="C1053" s="191" t="s">
        <v>2695</v>
      </c>
      <c r="D1053" s="257" t="s">
        <v>549</v>
      </c>
      <c r="E1053" s="459" t="s">
        <v>3377</v>
      </c>
      <c r="F1053" s="171">
        <v>1998</v>
      </c>
      <c r="G1053" s="171">
        <v>220</v>
      </c>
      <c r="H1053" s="57"/>
      <c r="I1053" s="173" t="s">
        <v>2564</v>
      </c>
      <c r="J1053" s="277">
        <v>0.55000000000000004</v>
      </c>
      <c r="K1053" s="213">
        <v>5.4276729559748427</v>
      </c>
      <c r="L1053" s="91"/>
      <c r="M1053" s="278">
        <v>318</v>
      </c>
      <c r="N1053" s="279"/>
      <c r="O1053" s="172" t="s">
        <v>12</v>
      </c>
      <c r="P1053" s="92"/>
      <c r="Q1053" s="173" t="s">
        <v>10</v>
      </c>
      <c r="R1053" s="94"/>
      <c r="S1053" s="94"/>
      <c r="T1053" s="171" t="s">
        <v>2562</v>
      </c>
      <c r="U1053" s="171"/>
      <c r="V1053" s="102">
        <v>0</v>
      </c>
      <c r="W1053" s="120">
        <v>0</v>
      </c>
      <c r="X1053" s="120">
        <v>0</v>
      </c>
      <c r="Y1053" s="120">
        <v>0</v>
      </c>
      <c r="Z1053" s="120">
        <v>0</v>
      </c>
      <c r="AA1053" s="17">
        <v>0</v>
      </c>
      <c r="AB1053" s="17">
        <v>0</v>
      </c>
      <c r="AC1053" s="17">
        <v>0</v>
      </c>
      <c r="AD1053" s="17">
        <v>0</v>
      </c>
      <c r="AE1053" s="17">
        <v>0</v>
      </c>
      <c r="AF1053" s="17">
        <v>0</v>
      </c>
      <c r="AG1053" s="17">
        <v>0</v>
      </c>
      <c r="AH1053" s="17">
        <v>0</v>
      </c>
      <c r="AI1053" s="17">
        <v>0</v>
      </c>
      <c r="AJ1053" s="17">
        <v>0</v>
      </c>
      <c r="AK1053" s="17">
        <v>0</v>
      </c>
      <c r="AL1053" s="32">
        <v>0</v>
      </c>
      <c r="AM1053" s="57"/>
      <c r="AN1053" s="89"/>
      <c r="AO1053" s="280"/>
      <c r="AP1053" s="784"/>
      <c r="AQ1053" s="773" t="s">
        <v>271</v>
      </c>
      <c r="AR1053" s="188">
        <v>100</v>
      </c>
      <c r="AS1053" s="171"/>
      <c r="AT1053" s="171" t="str">
        <f t="shared" si="87"/>
        <v>400</v>
      </c>
      <c r="AU1053" s="255">
        <f t="shared" si="88"/>
        <v>22.222222222222221</v>
      </c>
      <c r="AV1053" s="172">
        <v>98</v>
      </c>
      <c r="AW1053" s="171">
        <v>7</v>
      </c>
      <c r="AX1053" s="89"/>
      <c r="AY1053" s="171">
        <v>20</v>
      </c>
      <c r="AZ1053" s="89"/>
      <c r="BA1053" s="175">
        <v>60</v>
      </c>
      <c r="BB1053" s="189" t="s">
        <v>2550</v>
      </c>
      <c r="BC1053" s="176"/>
      <c r="BD1053" s="179"/>
      <c r="BE1053" s="179"/>
      <c r="BF1053" s="178"/>
      <c r="BG1053" s="25"/>
      <c r="BH1053" s="25"/>
    </row>
    <row r="1054" spans="1:60" ht="15" customHeight="1">
      <c r="A1054" s="95">
        <v>1053</v>
      </c>
      <c r="B1054" s="98" t="s">
        <v>649</v>
      </c>
      <c r="C1054" s="191" t="s">
        <v>2975</v>
      </c>
      <c r="D1054" s="257" t="s">
        <v>549</v>
      </c>
      <c r="E1054" s="459" t="s">
        <v>3377</v>
      </c>
      <c r="F1054" s="171">
        <v>1998</v>
      </c>
      <c r="G1054" s="171">
        <v>221</v>
      </c>
      <c r="H1054" s="57"/>
      <c r="I1054" s="173" t="s">
        <v>2564</v>
      </c>
      <c r="J1054" s="277">
        <v>0.56999999999999995</v>
      </c>
      <c r="K1054" s="213">
        <v>6.1939799331103682</v>
      </c>
      <c r="L1054" s="91"/>
      <c r="M1054" s="278">
        <v>299</v>
      </c>
      <c r="N1054" s="279"/>
      <c r="O1054" s="172" t="s">
        <v>12</v>
      </c>
      <c r="P1054" s="92"/>
      <c r="Q1054" s="173" t="s">
        <v>10</v>
      </c>
      <c r="R1054" s="507"/>
      <c r="S1054" s="94"/>
      <c r="T1054" s="171"/>
      <c r="U1054" s="171"/>
      <c r="V1054" s="102">
        <v>0</v>
      </c>
      <c r="W1054" s="120">
        <v>0</v>
      </c>
      <c r="X1054" s="120">
        <v>0</v>
      </c>
      <c r="Y1054" s="120">
        <v>0</v>
      </c>
      <c r="Z1054" s="120">
        <v>0</v>
      </c>
      <c r="AA1054" s="17">
        <v>0</v>
      </c>
      <c r="AB1054" s="17">
        <v>0</v>
      </c>
      <c r="AC1054" s="17">
        <v>0</v>
      </c>
      <c r="AD1054" s="17">
        <v>0</v>
      </c>
      <c r="AE1054" s="17">
        <v>0</v>
      </c>
      <c r="AF1054" s="17">
        <v>0</v>
      </c>
      <c r="AG1054" s="17">
        <v>0</v>
      </c>
      <c r="AH1054" s="17">
        <v>0</v>
      </c>
      <c r="AI1054" s="17">
        <v>0</v>
      </c>
      <c r="AJ1054" s="17">
        <v>0</v>
      </c>
      <c r="AK1054" s="17">
        <v>0</v>
      </c>
      <c r="AL1054" s="32">
        <v>0</v>
      </c>
      <c r="AM1054" s="780">
        <v>26</v>
      </c>
      <c r="AN1054" s="89"/>
      <c r="AO1054" s="280"/>
      <c r="AP1054" s="784"/>
      <c r="AQ1054" s="773" t="s">
        <v>271</v>
      </c>
      <c r="AR1054" s="188">
        <v>100</v>
      </c>
      <c r="AS1054" s="171"/>
      <c r="AT1054" s="171" t="str">
        <f t="shared" si="87"/>
        <v>400</v>
      </c>
      <c r="AU1054" s="255">
        <f t="shared" si="88"/>
        <v>22.222222222222221</v>
      </c>
      <c r="AV1054" s="172">
        <v>100</v>
      </c>
      <c r="AW1054" s="171">
        <v>7</v>
      </c>
      <c r="AX1054" s="89"/>
      <c r="AY1054" s="171">
        <v>20</v>
      </c>
      <c r="AZ1054" s="89"/>
      <c r="BA1054" s="175">
        <v>60</v>
      </c>
      <c r="BB1054" s="189" t="s">
        <v>2547</v>
      </c>
      <c r="BC1054" s="176"/>
      <c r="BD1054" s="179"/>
      <c r="BE1054" s="179"/>
      <c r="BF1054" s="178"/>
      <c r="BG1054" s="25"/>
      <c r="BH1054" s="25"/>
    </row>
    <row r="1055" spans="1:60" ht="15" customHeight="1">
      <c r="A1055" s="95">
        <v>1054</v>
      </c>
      <c r="B1055" s="98" t="s">
        <v>648</v>
      </c>
      <c r="C1055" s="191" t="s">
        <v>2975</v>
      </c>
      <c r="D1055" s="257" t="s">
        <v>549</v>
      </c>
      <c r="E1055" s="459" t="s">
        <v>3377</v>
      </c>
      <c r="F1055" s="171">
        <v>1998</v>
      </c>
      <c r="G1055" s="171">
        <v>221</v>
      </c>
      <c r="H1055" s="57"/>
      <c r="I1055" s="173" t="s">
        <v>2564</v>
      </c>
      <c r="J1055" s="277">
        <v>0.56999999999999995</v>
      </c>
      <c r="K1055" s="213">
        <v>6.1939799331103682</v>
      </c>
      <c r="L1055" s="91"/>
      <c r="M1055" s="278">
        <v>299</v>
      </c>
      <c r="N1055" s="279"/>
      <c r="O1055" s="172" t="s">
        <v>12</v>
      </c>
      <c r="P1055" s="92"/>
      <c r="Q1055" s="173" t="s">
        <v>10</v>
      </c>
      <c r="R1055" s="94"/>
      <c r="S1055" s="94"/>
      <c r="T1055" s="171"/>
      <c r="U1055" s="171"/>
      <c r="V1055" s="102">
        <v>0</v>
      </c>
      <c r="W1055" s="120">
        <v>0</v>
      </c>
      <c r="X1055" s="120">
        <v>0</v>
      </c>
      <c r="Y1055" s="120">
        <v>0</v>
      </c>
      <c r="Z1055" s="120">
        <v>0</v>
      </c>
      <c r="AA1055" s="17">
        <v>0</v>
      </c>
      <c r="AB1055" s="17">
        <v>0</v>
      </c>
      <c r="AC1055" s="17">
        <v>0</v>
      </c>
      <c r="AD1055" s="17">
        <v>0</v>
      </c>
      <c r="AE1055" s="17">
        <v>0</v>
      </c>
      <c r="AF1055" s="17">
        <v>0</v>
      </c>
      <c r="AG1055" s="17">
        <v>0</v>
      </c>
      <c r="AH1055" s="17">
        <v>2</v>
      </c>
      <c r="AI1055" s="17">
        <v>0</v>
      </c>
      <c r="AJ1055" s="17">
        <v>0</v>
      </c>
      <c r="AK1055" s="17">
        <v>0</v>
      </c>
      <c r="AL1055" s="32">
        <v>0</v>
      </c>
      <c r="AM1055" s="780">
        <v>23.9</v>
      </c>
      <c r="AN1055" s="89"/>
      <c r="AO1055" s="280"/>
      <c r="AP1055" s="784"/>
      <c r="AQ1055" s="773" t="s">
        <v>271</v>
      </c>
      <c r="AR1055" s="188">
        <v>100</v>
      </c>
      <c r="AS1055" s="171"/>
      <c r="AT1055" s="171" t="str">
        <f t="shared" si="87"/>
        <v>400</v>
      </c>
      <c r="AU1055" s="255">
        <f t="shared" si="88"/>
        <v>22.222222222222221</v>
      </c>
      <c r="AV1055" s="172">
        <v>100</v>
      </c>
      <c r="AW1055" s="171">
        <v>7</v>
      </c>
      <c r="AX1055" s="89"/>
      <c r="AY1055" s="171">
        <v>20</v>
      </c>
      <c r="AZ1055" s="89"/>
      <c r="BA1055" s="175">
        <v>60</v>
      </c>
      <c r="BB1055" s="189" t="s">
        <v>2547</v>
      </c>
      <c r="BC1055" s="176"/>
      <c r="BD1055" s="179"/>
      <c r="BE1055" s="179"/>
      <c r="BF1055" s="178" t="s">
        <v>557</v>
      </c>
      <c r="BG1055" s="25"/>
      <c r="BH1055" s="25"/>
    </row>
    <row r="1056" spans="1:60" ht="15" customHeight="1">
      <c r="A1056" s="95">
        <v>1055</v>
      </c>
      <c r="B1056" s="98" t="s">
        <v>647</v>
      </c>
      <c r="C1056" s="191" t="s">
        <v>2696</v>
      </c>
      <c r="D1056" s="257" t="s">
        <v>549</v>
      </c>
      <c r="E1056" s="459" t="s">
        <v>3377</v>
      </c>
      <c r="F1056" s="171">
        <v>1997</v>
      </c>
      <c r="G1056" s="171">
        <v>222</v>
      </c>
      <c r="H1056" s="57"/>
      <c r="I1056" s="173" t="s">
        <v>2564</v>
      </c>
      <c r="J1056" s="212">
        <f>170/650</f>
        <v>0.26153846153846155</v>
      </c>
      <c r="K1056" s="213">
        <v>2.4076923076923076</v>
      </c>
      <c r="L1056" s="91"/>
      <c r="M1056" s="278">
        <v>650</v>
      </c>
      <c r="N1056" s="279"/>
      <c r="O1056" s="172" t="s">
        <v>12</v>
      </c>
      <c r="P1056" s="92"/>
      <c r="Q1056" s="173" t="s">
        <v>10</v>
      </c>
      <c r="R1056" s="94"/>
      <c r="S1056" s="94"/>
      <c r="T1056" s="171" t="s">
        <v>2306</v>
      </c>
      <c r="U1056" s="171" t="s">
        <v>2530</v>
      </c>
      <c r="V1056" s="102">
        <v>0</v>
      </c>
      <c r="W1056" s="120">
        <v>0</v>
      </c>
      <c r="X1056" s="120">
        <v>0</v>
      </c>
      <c r="Y1056" s="120">
        <v>0</v>
      </c>
      <c r="Z1056" s="120">
        <v>0</v>
      </c>
      <c r="AA1056" s="17">
        <v>0</v>
      </c>
      <c r="AB1056" s="17">
        <v>0</v>
      </c>
      <c r="AC1056" s="17">
        <v>0</v>
      </c>
      <c r="AD1056" s="17">
        <v>0</v>
      </c>
      <c r="AE1056" s="17">
        <v>0</v>
      </c>
      <c r="AF1056" s="17">
        <v>0</v>
      </c>
      <c r="AG1056" s="17">
        <v>0</v>
      </c>
      <c r="AH1056" s="17">
        <v>0</v>
      </c>
      <c r="AI1056" s="17">
        <v>0</v>
      </c>
      <c r="AJ1056" s="17">
        <v>0</v>
      </c>
      <c r="AK1056" s="17">
        <v>0</v>
      </c>
      <c r="AL1056" s="32">
        <v>0</v>
      </c>
      <c r="AM1056" s="780">
        <v>96.4</v>
      </c>
      <c r="AN1056" s="89"/>
      <c r="AO1056" s="280"/>
      <c r="AP1056" s="784"/>
      <c r="AQ1056" s="773" t="s">
        <v>271</v>
      </c>
      <c r="AR1056" s="188">
        <v>100</v>
      </c>
      <c r="AS1056" s="171"/>
      <c r="AT1056" s="171" t="str">
        <f t="shared" si="87"/>
        <v>400</v>
      </c>
      <c r="AU1056" s="255">
        <f t="shared" si="88"/>
        <v>22.222222222222221</v>
      </c>
      <c r="AV1056" s="172">
        <v>100</v>
      </c>
      <c r="AW1056" s="171">
        <v>7</v>
      </c>
      <c r="AX1056" s="89"/>
      <c r="AY1056" s="171">
        <v>20</v>
      </c>
      <c r="AZ1056" s="89"/>
      <c r="BA1056" s="175">
        <v>60</v>
      </c>
      <c r="BB1056" s="189" t="s">
        <v>2547</v>
      </c>
      <c r="BC1056" s="176"/>
      <c r="BD1056" s="179"/>
      <c r="BE1056" s="179"/>
      <c r="BF1056" s="178"/>
      <c r="BG1056" s="25"/>
      <c r="BH1056" s="25"/>
    </row>
    <row r="1057" spans="1:60" ht="15" customHeight="1">
      <c r="A1057" s="95">
        <v>1056</v>
      </c>
      <c r="B1057" s="98" t="s">
        <v>646</v>
      </c>
      <c r="C1057" s="191" t="s">
        <v>2696</v>
      </c>
      <c r="D1057" s="257" t="s">
        <v>549</v>
      </c>
      <c r="E1057" s="459" t="s">
        <v>3377</v>
      </c>
      <c r="F1057" s="171">
        <v>1997</v>
      </c>
      <c r="G1057" s="171">
        <v>222</v>
      </c>
      <c r="H1057" s="57"/>
      <c r="I1057" s="173" t="s">
        <v>2564</v>
      </c>
      <c r="J1057" s="212">
        <f>170/550</f>
        <v>0.30909090909090908</v>
      </c>
      <c r="K1057" s="213">
        <v>2.9981818181818181</v>
      </c>
      <c r="L1057" s="91"/>
      <c r="M1057" s="278">
        <v>550</v>
      </c>
      <c r="N1057" s="279"/>
      <c r="O1057" s="172" t="s">
        <v>12</v>
      </c>
      <c r="P1057" s="92"/>
      <c r="Q1057" s="173" t="s">
        <v>10</v>
      </c>
      <c r="R1057" s="507"/>
      <c r="S1057" s="94"/>
      <c r="T1057" s="171" t="s">
        <v>2306</v>
      </c>
      <c r="U1057" s="171" t="s">
        <v>2530</v>
      </c>
      <c r="V1057" s="102">
        <v>0</v>
      </c>
      <c r="W1057" s="120">
        <v>0</v>
      </c>
      <c r="X1057" s="120">
        <v>0</v>
      </c>
      <c r="Y1057" s="120">
        <v>0</v>
      </c>
      <c r="Z1057" s="120">
        <v>0</v>
      </c>
      <c r="AA1057" s="17">
        <v>0</v>
      </c>
      <c r="AB1057" s="17">
        <v>0</v>
      </c>
      <c r="AC1057" s="17">
        <v>0</v>
      </c>
      <c r="AD1057" s="17">
        <v>0</v>
      </c>
      <c r="AE1057" s="17">
        <v>0</v>
      </c>
      <c r="AF1057" s="17">
        <v>0</v>
      </c>
      <c r="AG1057" s="17">
        <v>0</v>
      </c>
      <c r="AH1057" s="17">
        <v>0</v>
      </c>
      <c r="AI1057" s="17">
        <v>0</v>
      </c>
      <c r="AJ1057" s="17">
        <v>0</v>
      </c>
      <c r="AK1057" s="17">
        <v>0</v>
      </c>
      <c r="AL1057" s="32">
        <v>0</v>
      </c>
      <c r="AM1057" s="780">
        <v>84</v>
      </c>
      <c r="AN1057" s="89"/>
      <c r="AO1057" s="280"/>
      <c r="AP1057" s="784"/>
      <c r="AQ1057" s="773" t="s">
        <v>271</v>
      </c>
      <c r="AR1057" s="188">
        <v>100</v>
      </c>
      <c r="AS1057" s="171"/>
      <c r="AT1057" s="171" t="str">
        <f t="shared" si="87"/>
        <v>400</v>
      </c>
      <c r="AU1057" s="255">
        <f t="shared" si="88"/>
        <v>22.222222222222221</v>
      </c>
      <c r="AV1057" s="172">
        <v>100</v>
      </c>
      <c r="AW1057" s="171">
        <v>7</v>
      </c>
      <c r="AX1057" s="89"/>
      <c r="AY1057" s="171">
        <v>20</v>
      </c>
      <c r="AZ1057" s="89"/>
      <c r="BA1057" s="175">
        <v>60</v>
      </c>
      <c r="BB1057" s="189" t="s">
        <v>2547</v>
      </c>
      <c r="BC1057" s="176"/>
      <c r="BD1057" s="179"/>
      <c r="BE1057" s="179"/>
      <c r="BF1057" s="178"/>
      <c r="BG1057" s="25"/>
      <c r="BH1057" s="25"/>
    </row>
    <row r="1058" spans="1:60" ht="15" customHeight="1">
      <c r="A1058" s="95">
        <v>1057</v>
      </c>
      <c r="B1058" s="98" t="s">
        <v>645</v>
      </c>
      <c r="C1058" s="191" t="s">
        <v>2696</v>
      </c>
      <c r="D1058" s="257" t="s">
        <v>549</v>
      </c>
      <c r="E1058" s="459" t="s">
        <v>3377</v>
      </c>
      <c r="F1058" s="171">
        <v>1997</v>
      </c>
      <c r="G1058" s="171">
        <v>222</v>
      </c>
      <c r="H1058" s="57"/>
      <c r="I1058" s="173" t="s">
        <v>2564</v>
      </c>
      <c r="J1058" s="212">
        <f>170/450</f>
        <v>0.37777777777777777</v>
      </c>
      <c r="K1058" s="213">
        <v>3.7644444444444445</v>
      </c>
      <c r="L1058" s="91"/>
      <c r="M1058" s="278">
        <v>450</v>
      </c>
      <c r="N1058" s="279"/>
      <c r="O1058" s="172" t="s">
        <v>12</v>
      </c>
      <c r="P1058" s="92"/>
      <c r="Q1058" s="173" t="s">
        <v>10</v>
      </c>
      <c r="R1058" s="94"/>
      <c r="S1058" s="94"/>
      <c r="T1058" s="171" t="s">
        <v>2306</v>
      </c>
      <c r="U1058" s="171" t="s">
        <v>2530</v>
      </c>
      <c r="V1058" s="102">
        <v>0</v>
      </c>
      <c r="W1058" s="120">
        <v>0</v>
      </c>
      <c r="X1058" s="120">
        <v>0</v>
      </c>
      <c r="Y1058" s="120">
        <v>0</v>
      </c>
      <c r="Z1058" s="120">
        <v>0</v>
      </c>
      <c r="AA1058" s="17">
        <v>0</v>
      </c>
      <c r="AB1058" s="17">
        <v>0</v>
      </c>
      <c r="AC1058" s="17">
        <v>0</v>
      </c>
      <c r="AD1058" s="17">
        <v>0</v>
      </c>
      <c r="AE1058" s="17">
        <v>0</v>
      </c>
      <c r="AF1058" s="17">
        <v>0</v>
      </c>
      <c r="AG1058" s="17">
        <v>0</v>
      </c>
      <c r="AH1058" s="17">
        <v>0</v>
      </c>
      <c r="AI1058" s="17">
        <v>0</v>
      </c>
      <c r="AJ1058" s="17">
        <v>0</v>
      </c>
      <c r="AK1058" s="17">
        <v>0</v>
      </c>
      <c r="AL1058" s="32">
        <v>0</v>
      </c>
      <c r="AM1058" s="780">
        <v>57.5</v>
      </c>
      <c r="AN1058" s="89"/>
      <c r="AO1058" s="280"/>
      <c r="AP1058" s="784"/>
      <c r="AQ1058" s="773" t="s">
        <v>271</v>
      </c>
      <c r="AR1058" s="188">
        <v>100</v>
      </c>
      <c r="AS1058" s="171"/>
      <c r="AT1058" s="171" t="str">
        <f t="shared" ref="AT1058:AT1121" si="89">RIGHT(AQ1058,LEN(AQ1058)-FIND("x",AQ1058,8))</f>
        <v>400</v>
      </c>
      <c r="AU1058" s="255">
        <f t="shared" ref="AU1058:AU1121" si="90">IF(ISBLANK(AS1058),(AR1058*AT1058)/((4*AT1058)+(2*AR1058)),AR1058*AS1058*AT1058/2/(AR1058*AS1058+AR1058*AT1058+AS1058*AT1058))</f>
        <v>22.222222222222221</v>
      </c>
      <c r="AV1058" s="172">
        <v>100</v>
      </c>
      <c r="AW1058" s="171">
        <v>7</v>
      </c>
      <c r="AX1058" s="89"/>
      <c r="AY1058" s="171">
        <v>20</v>
      </c>
      <c r="AZ1058" s="89"/>
      <c r="BA1058" s="175">
        <v>60</v>
      </c>
      <c r="BB1058" s="189" t="s">
        <v>2547</v>
      </c>
      <c r="BC1058" s="176"/>
      <c r="BD1058" s="179"/>
      <c r="BE1058" s="179"/>
      <c r="BF1058" s="178"/>
      <c r="BG1058" s="25"/>
      <c r="BH1058" s="25"/>
    </row>
    <row r="1059" spans="1:60" ht="15" customHeight="1">
      <c r="A1059" s="95">
        <v>1058</v>
      </c>
      <c r="B1059" s="98" t="s">
        <v>644</v>
      </c>
      <c r="C1059" s="191" t="s">
        <v>2696</v>
      </c>
      <c r="D1059" s="257" t="s">
        <v>549</v>
      </c>
      <c r="E1059" s="459" t="s">
        <v>3377</v>
      </c>
      <c r="F1059" s="171">
        <v>1997</v>
      </c>
      <c r="G1059" s="171">
        <v>222</v>
      </c>
      <c r="H1059" s="57"/>
      <c r="I1059" s="173" t="s">
        <v>2564</v>
      </c>
      <c r="J1059" s="212">
        <f>170/350</f>
        <v>0.48571428571428571</v>
      </c>
      <c r="K1059" s="213">
        <v>5.0714285714285712</v>
      </c>
      <c r="L1059" s="91"/>
      <c r="M1059" s="278">
        <v>350</v>
      </c>
      <c r="N1059" s="279"/>
      <c r="O1059" s="172" t="s">
        <v>12</v>
      </c>
      <c r="P1059" s="92"/>
      <c r="Q1059" s="173" t="s">
        <v>10</v>
      </c>
      <c r="R1059" s="94"/>
      <c r="S1059" s="94"/>
      <c r="T1059" s="171" t="s">
        <v>2306</v>
      </c>
      <c r="U1059" s="171" t="s">
        <v>2530</v>
      </c>
      <c r="V1059" s="102">
        <v>0</v>
      </c>
      <c r="W1059" s="120">
        <v>0</v>
      </c>
      <c r="X1059" s="120">
        <v>0</v>
      </c>
      <c r="Y1059" s="120">
        <v>0</v>
      </c>
      <c r="Z1059" s="120">
        <v>0</v>
      </c>
      <c r="AA1059" s="17">
        <v>0</v>
      </c>
      <c r="AB1059" s="17">
        <v>0</v>
      </c>
      <c r="AC1059" s="17">
        <v>0</v>
      </c>
      <c r="AD1059" s="17">
        <v>0</v>
      </c>
      <c r="AE1059" s="17">
        <v>0</v>
      </c>
      <c r="AF1059" s="17">
        <v>0</v>
      </c>
      <c r="AG1059" s="17">
        <v>0</v>
      </c>
      <c r="AH1059" s="17">
        <v>0</v>
      </c>
      <c r="AI1059" s="17">
        <v>0</v>
      </c>
      <c r="AJ1059" s="17">
        <v>0</v>
      </c>
      <c r="AK1059" s="17">
        <v>0</v>
      </c>
      <c r="AL1059" s="32">
        <v>0</v>
      </c>
      <c r="AM1059" s="780">
        <v>44.7</v>
      </c>
      <c r="AN1059" s="89"/>
      <c r="AO1059" s="280"/>
      <c r="AP1059" s="784"/>
      <c r="AQ1059" s="773" t="s">
        <v>271</v>
      </c>
      <c r="AR1059" s="188">
        <v>100</v>
      </c>
      <c r="AS1059" s="171"/>
      <c r="AT1059" s="171" t="str">
        <f t="shared" si="89"/>
        <v>400</v>
      </c>
      <c r="AU1059" s="255">
        <f t="shared" si="90"/>
        <v>22.222222222222221</v>
      </c>
      <c r="AV1059" s="172">
        <v>100</v>
      </c>
      <c r="AW1059" s="171">
        <v>7</v>
      </c>
      <c r="AX1059" s="89"/>
      <c r="AY1059" s="171">
        <v>20</v>
      </c>
      <c r="AZ1059" s="89"/>
      <c r="BA1059" s="175">
        <v>60</v>
      </c>
      <c r="BB1059" s="189" t="s">
        <v>2547</v>
      </c>
      <c r="BC1059" s="176"/>
      <c r="BD1059" s="179"/>
      <c r="BE1059" s="179"/>
      <c r="BF1059" s="178"/>
      <c r="BG1059" s="25"/>
      <c r="BH1059" s="25"/>
    </row>
    <row r="1060" spans="1:60" ht="15" customHeight="1">
      <c r="A1060" s="95">
        <v>1059</v>
      </c>
      <c r="B1060" s="98" t="s">
        <v>643</v>
      </c>
      <c r="C1060" s="191" t="s">
        <v>2696</v>
      </c>
      <c r="D1060" s="257" t="s">
        <v>549</v>
      </c>
      <c r="E1060" s="459" t="s">
        <v>3377</v>
      </c>
      <c r="F1060" s="171">
        <v>1997</v>
      </c>
      <c r="G1060" s="171">
        <v>222</v>
      </c>
      <c r="H1060" s="57"/>
      <c r="I1060" s="173" t="s">
        <v>2564</v>
      </c>
      <c r="J1060" s="212">
        <f>170/550</f>
        <v>0.30909090909090908</v>
      </c>
      <c r="K1060" s="213">
        <v>2.78</v>
      </c>
      <c r="L1060" s="91"/>
      <c r="M1060" s="278">
        <v>550</v>
      </c>
      <c r="N1060" s="279"/>
      <c r="O1060" s="172" t="s">
        <v>12</v>
      </c>
      <c r="P1060" s="92"/>
      <c r="Q1060" s="173" t="s">
        <v>10</v>
      </c>
      <c r="R1060" s="507"/>
      <c r="S1060" s="94"/>
      <c r="T1060" s="171" t="s">
        <v>2306</v>
      </c>
      <c r="U1060" s="171" t="s">
        <v>2530</v>
      </c>
      <c r="V1060" s="102">
        <v>0</v>
      </c>
      <c r="W1060" s="120">
        <f>100/550*100</f>
        <v>18.181818181818183</v>
      </c>
      <c r="X1060" s="120">
        <v>0</v>
      </c>
      <c r="Y1060" s="120">
        <v>0</v>
      </c>
      <c r="Z1060" s="120">
        <v>0</v>
      </c>
      <c r="AA1060" s="17">
        <v>0</v>
      </c>
      <c r="AB1060" s="17">
        <v>0</v>
      </c>
      <c r="AC1060" s="17">
        <v>0</v>
      </c>
      <c r="AD1060" s="17">
        <v>0</v>
      </c>
      <c r="AE1060" s="17">
        <v>0</v>
      </c>
      <c r="AF1060" s="17">
        <v>0</v>
      </c>
      <c r="AG1060" s="17">
        <v>0</v>
      </c>
      <c r="AH1060" s="17">
        <v>0</v>
      </c>
      <c r="AI1060" s="17">
        <v>0</v>
      </c>
      <c r="AJ1060" s="17">
        <v>0</v>
      </c>
      <c r="AK1060" s="17">
        <v>0</v>
      </c>
      <c r="AL1060" s="32">
        <v>0</v>
      </c>
      <c r="AM1060" s="780">
        <v>88.4</v>
      </c>
      <c r="AN1060" s="89"/>
      <c r="AO1060" s="280"/>
      <c r="AP1060" s="784"/>
      <c r="AQ1060" s="773" t="s">
        <v>271</v>
      </c>
      <c r="AR1060" s="188">
        <v>100</v>
      </c>
      <c r="AS1060" s="171"/>
      <c r="AT1060" s="171" t="str">
        <f t="shared" si="89"/>
        <v>400</v>
      </c>
      <c r="AU1060" s="255">
        <f t="shared" si="90"/>
        <v>22.222222222222221</v>
      </c>
      <c r="AV1060" s="172">
        <v>100</v>
      </c>
      <c r="AW1060" s="171">
        <v>7</v>
      </c>
      <c r="AX1060" s="89"/>
      <c r="AY1060" s="171">
        <v>20</v>
      </c>
      <c r="AZ1060" s="89"/>
      <c r="BA1060" s="175">
        <v>60</v>
      </c>
      <c r="BB1060" s="189" t="s">
        <v>2547</v>
      </c>
      <c r="BC1060" s="176"/>
      <c r="BD1060" s="179"/>
      <c r="BE1060" s="179"/>
      <c r="BF1060" s="178"/>
      <c r="BG1060" s="25"/>
      <c r="BH1060" s="25"/>
    </row>
    <row r="1061" spans="1:60" ht="15" customHeight="1">
      <c r="A1061" s="95">
        <v>1060</v>
      </c>
      <c r="B1061" s="98" t="s">
        <v>642</v>
      </c>
      <c r="C1061" s="191" t="s">
        <v>2696</v>
      </c>
      <c r="D1061" s="257" t="s">
        <v>549</v>
      </c>
      <c r="E1061" s="459" t="s">
        <v>3377</v>
      </c>
      <c r="F1061" s="171">
        <v>1997</v>
      </c>
      <c r="G1061" s="171">
        <v>222</v>
      </c>
      <c r="H1061" s="57"/>
      <c r="I1061" s="173" t="s">
        <v>2564</v>
      </c>
      <c r="J1061" s="212">
        <f>170/450</f>
        <v>0.37777777777777777</v>
      </c>
      <c r="K1061" s="213">
        <v>3.34</v>
      </c>
      <c r="L1061" s="91"/>
      <c r="M1061" s="278">
        <v>450</v>
      </c>
      <c r="N1061" s="279"/>
      <c r="O1061" s="172" t="s">
        <v>12</v>
      </c>
      <c r="P1061" s="92"/>
      <c r="Q1061" s="173" t="s">
        <v>10</v>
      </c>
      <c r="R1061" s="94"/>
      <c r="S1061" s="94"/>
      <c r="T1061" s="171" t="s">
        <v>2306</v>
      </c>
      <c r="U1061" s="171" t="s">
        <v>2530</v>
      </c>
      <c r="V1061" s="102">
        <v>0</v>
      </c>
      <c r="W1061" s="120">
        <f>200/450*100</f>
        <v>44.444444444444443</v>
      </c>
      <c r="X1061" s="120">
        <v>0</v>
      </c>
      <c r="Y1061" s="120">
        <v>0</v>
      </c>
      <c r="Z1061" s="120">
        <v>0</v>
      </c>
      <c r="AA1061" s="17">
        <v>0</v>
      </c>
      <c r="AB1061" s="17">
        <v>0</v>
      </c>
      <c r="AC1061" s="17">
        <v>0</v>
      </c>
      <c r="AD1061" s="17">
        <v>0</v>
      </c>
      <c r="AE1061" s="17">
        <v>0</v>
      </c>
      <c r="AF1061" s="17">
        <v>0</v>
      </c>
      <c r="AG1061" s="17">
        <v>0</v>
      </c>
      <c r="AH1061" s="17">
        <v>0</v>
      </c>
      <c r="AI1061" s="17">
        <v>0</v>
      </c>
      <c r="AJ1061" s="17">
        <v>0</v>
      </c>
      <c r="AK1061" s="17">
        <v>0</v>
      </c>
      <c r="AL1061" s="32">
        <v>0</v>
      </c>
      <c r="AM1061" s="780">
        <v>87.3</v>
      </c>
      <c r="AN1061" s="89"/>
      <c r="AO1061" s="280"/>
      <c r="AP1061" s="784"/>
      <c r="AQ1061" s="773" t="s">
        <v>271</v>
      </c>
      <c r="AR1061" s="188">
        <v>100</v>
      </c>
      <c r="AS1061" s="171"/>
      <c r="AT1061" s="171" t="str">
        <f t="shared" si="89"/>
        <v>400</v>
      </c>
      <c r="AU1061" s="255">
        <f t="shared" si="90"/>
        <v>22.222222222222221</v>
      </c>
      <c r="AV1061" s="172">
        <v>100</v>
      </c>
      <c r="AW1061" s="171">
        <v>7</v>
      </c>
      <c r="AX1061" s="89"/>
      <c r="AY1061" s="171">
        <v>20</v>
      </c>
      <c r="AZ1061" s="89"/>
      <c r="BA1061" s="175">
        <v>60</v>
      </c>
      <c r="BB1061" s="189" t="s">
        <v>2547</v>
      </c>
      <c r="BC1061" s="176"/>
      <c r="BD1061" s="179"/>
      <c r="BE1061" s="179"/>
      <c r="BF1061" s="178"/>
      <c r="BG1061" s="25"/>
      <c r="BH1061" s="25"/>
    </row>
    <row r="1062" spans="1:60" ht="15" customHeight="1">
      <c r="A1062" s="95">
        <v>1061</v>
      </c>
      <c r="B1062" s="98" t="s">
        <v>641</v>
      </c>
      <c r="C1062" s="191" t="s">
        <v>2696</v>
      </c>
      <c r="D1062" s="257" t="s">
        <v>549</v>
      </c>
      <c r="E1062" s="459" t="s">
        <v>3377</v>
      </c>
      <c r="F1062" s="171">
        <v>1997</v>
      </c>
      <c r="G1062" s="171">
        <v>222</v>
      </c>
      <c r="H1062" s="57"/>
      <c r="I1062" s="173" t="s">
        <v>2564</v>
      </c>
      <c r="J1062" s="212">
        <f>170/350</f>
        <v>0.48571428571428571</v>
      </c>
      <c r="K1062" s="213">
        <v>4.22</v>
      </c>
      <c r="L1062" s="91"/>
      <c r="M1062" s="278">
        <v>350</v>
      </c>
      <c r="N1062" s="279"/>
      <c r="O1062" s="172" t="s">
        <v>12</v>
      </c>
      <c r="P1062" s="92"/>
      <c r="Q1062" s="173" t="s">
        <v>10</v>
      </c>
      <c r="R1062" s="94"/>
      <c r="S1062" s="94"/>
      <c r="T1062" s="171" t="s">
        <v>2306</v>
      </c>
      <c r="U1062" s="171" t="s">
        <v>2530</v>
      </c>
      <c r="V1062" s="102">
        <v>0</v>
      </c>
      <c r="W1062" s="120">
        <f>300/350*100</f>
        <v>85.714285714285708</v>
      </c>
      <c r="X1062" s="120">
        <v>0</v>
      </c>
      <c r="Y1062" s="120">
        <v>0</v>
      </c>
      <c r="Z1062" s="120">
        <v>0</v>
      </c>
      <c r="AA1062" s="17">
        <v>0</v>
      </c>
      <c r="AB1062" s="17">
        <v>0</v>
      </c>
      <c r="AC1062" s="17">
        <v>0</v>
      </c>
      <c r="AD1062" s="17">
        <v>0</v>
      </c>
      <c r="AE1062" s="17">
        <v>0</v>
      </c>
      <c r="AF1062" s="17">
        <v>0</v>
      </c>
      <c r="AG1062" s="17">
        <v>0</v>
      </c>
      <c r="AH1062" s="17">
        <v>0</v>
      </c>
      <c r="AI1062" s="17">
        <v>0</v>
      </c>
      <c r="AJ1062" s="17">
        <v>0</v>
      </c>
      <c r="AK1062" s="17">
        <v>0</v>
      </c>
      <c r="AL1062" s="32">
        <v>0</v>
      </c>
      <c r="AM1062" s="780">
        <v>71.8</v>
      </c>
      <c r="AN1062" s="89"/>
      <c r="AO1062" s="280"/>
      <c r="AP1062" s="784"/>
      <c r="AQ1062" s="773" t="s">
        <v>271</v>
      </c>
      <c r="AR1062" s="188">
        <v>100</v>
      </c>
      <c r="AS1062" s="171"/>
      <c r="AT1062" s="171" t="str">
        <f t="shared" si="89"/>
        <v>400</v>
      </c>
      <c r="AU1062" s="255">
        <f t="shared" si="90"/>
        <v>22.222222222222221</v>
      </c>
      <c r="AV1062" s="172">
        <v>100</v>
      </c>
      <c r="AW1062" s="171">
        <v>7</v>
      </c>
      <c r="AX1062" s="89"/>
      <c r="AY1062" s="171">
        <v>20</v>
      </c>
      <c r="AZ1062" s="89"/>
      <c r="BA1062" s="175">
        <v>60</v>
      </c>
      <c r="BB1062" s="189" t="s">
        <v>2547</v>
      </c>
      <c r="BC1062" s="176"/>
      <c r="BD1062" s="179"/>
      <c r="BE1062" s="179"/>
      <c r="BF1062" s="178"/>
      <c r="BG1062" s="25"/>
      <c r="BH1062" s="25"/>
    </row>
    <row r="1063" spans="1:60" ht="15" customHeight="1">
      <c r="A1063" s="95">
        <v>1062</v>
      </c>
      <c r="B1063" s="98" t="s">
        <v>640</v>
      </c>
      <c r="C1063" s="191" t="s">
        <v>2696</v>
      </c>
      <c r="D1063" s="257" t="s">
        <v>549</v>
      </c>
      <c r="E1063" s="459" t="s">
        <v>3377</v>
      </c>
      <c r="F1063" s="171">
        <v>1997</v>
      </c>
      <c r="G1063" s="171">
        <v>222</v>
      </c>
      <c r="H1063" s="57"/>
      <c r="I1063" s="173" t="s">
        <v>2564</v>
      </c>
      <c r="J1063" s="212">
        <f>170/450</f>
        <v>0.37777777777777777</v>
      </c>
      <c r="K1063" s="213">
        <v>3.5844444444444443</v>
      </c>
      <c r="L1063" s="91"/>
      <c r="M1063" s="278">
        <v>450</v>
      </c>
      <c r="N1063" s="279"/>
      <c r="O1063" s="172" t="s">
        <v>12</v>
      </c>
      <c r="P1063" s="92"/>
      <c r="Q1063" s="173" t="s">
        <v>10</v>
      </c>
      <c r="R1063" s="507"/>
      <c r="S1063" s="94"/>
      <c r="T1063" s="171" t="s">
        <v>2306</v>
      </c>
      <c r="U1063" s="171" t="s">
        <v>2530</v>
      </c>
      <c r="V1063" s="102">
        <v>0</v>
      </c>
      <c r="W1063" s="120">
        <f>100/450*100</f>
        <v>22.222222222222221</v>
      </c>
      <c r="X1063" s="120">
        <v>0</v>
      </c>
      <c r="Y1063" s="120">
        <v>0</v>
      </c>
      <c r="Z1063" s="120">
        <v>0</v>
      </c>
      <c r="AA1063" s="17">
        <v>0</v>
      </c>
      <c r="AB1063" s="17">
        <v>0</v>
      </c>
      <c r="AC1063" s="17">
        <v>0</v>
      </c>
      <c r="AD1063" s="17">
        <v>0</v>
      </c>
      <c r="AE1063" s="17">
        <v>0</v>
      </c>
      <c r="AF1063" s="17">
        <v>0</v>
      </c>
      <c r="AG1063" s="17">
        <v>0</v>
      </c>
      <c r="AH1063" s="17">
        <v>0</v>
      </c>
      <c r="AI1063" s="17">
        <v>0</v>
      </c>
      <c r="AJ1063" s="17">
        <v>0</v>
      </c>
      <c r="AK1063" s="17">
        <v>0</v>
      </c>
      <c r="AL1063" s="32">
        <v>0</v>
      </c>
      <c r="AM1063" s="780">
        <v>71.400000000000006</v>
      </c>
      <c r="AN1063" s="89"/>
      <c r="AO1063" s="280"/>
      <c r="AP1063" s="784"/>
      <c r="AQ1063" s="773" t="s">
        <v>271</v>
      </c>
      <c r="AR1063" s="188">
        <v>100</v>
      </c>
      <c r="AS1063" s="171"/>
      <c r="AT1063" s="171" t="str">
        <f t="shared" si="89"/>
        <v>400</v>
      </c>
      <c r="AU1063" s="255">
        <f t="shared" si="90"/>
        <v>22.222222222222221</v>
      </c>
      <c r="AV1063" s="172">
        <v>100</v>
      </c>
      <c r="AW1063" s="171">
        <v>7</v>
      </c>
      <c r="AX1063" s="89"/>
      <c r="AY1063" s="171">
        <v>20</v>
      </c>
      <c r="AZ1063" s="89"/>
      <c r="BA1063" s="175">
        <v>60</v>
      </c>
      <c r="BB1063" s="189" t="s">
        <v>2547</v>
      </c>
      <c r="BC1063" s="176"/>
      <c r="BD1063" s="179"/>
      <c r="BE1063" s="179"/>
      <c r="BF1063" s="178"/>
      <c r="BG1063" s="25"/>
      <c r="BH1063" s="25"/>
    </row>
    <row r="1064" spans="1:60" ht="15" customHeight="1">
      <c r="A1064" s="95">
        <v>1063</v>
      </c>
      <c r="B1064" s="98" t="s">
        <v>639</v>
      </c>
      <c r="C1064" s="191" t="s">
        <v>2696</v>
      </c>
      <c r="D1064" s="257" t="s">
        <v>549</v>
      </c>
      <c r="E1064" s="459" t="s">
        <v>3377</v>
      </c>
      <c r="F1064" s="171">
        <v>1997</v>
      </c>
      <c r="G1064" s="171">
        <v>222</v>
      </c>
      <c r="H1064" s="57"/>
      <c r="I1064" s="173" t="s">
        <v>2564</v>
      </c>
      <c r="J1064" s="212">
        <f>170/350</f>
        <v>0.48571428571428571</v>
      </c>
      <c r="K1064" s="213">
        <v>4.5257142857142858</v>
      </c>
      <c r="L1064" s="91"/>
      <c r="M1064" s="278">
        <v>350</v>
      </c>
      <c r="N1064" s="279"/>
      <c r="O1064" s="172" t="s">
        <v>12</v>
      </c>
      <c r="P1064" s="92"/>
      <c r="Q1064" s="173" t="s">
        <v>10</v>
      </c>
      <c r="R1064" s="94"/>
      <c r="S1064" s="94"/>
      <c r="T1064" s="171" t="s">
        <v>2306</v>
      </c>
      <c r="U1064" s="171" t="s">
        <v>2530</v>
      </c>
      <c r="V1064" s="102">
        <v>0</v>
      </c>
      <c r="W1064" s="120">
        <f>200/350*100</f>
        <v>57.142857142857139</v>
      </c>
      <c r="X1064" s="120">
        <v>0</v>
      </c>
      <c r="Y1064" s="120">
        <v>0</v>
      </c>
      <c r="Z1064" s="120">
        <v>0</v>
      </c>
      <c r="AA1064" s="17">
        <v>0</v>
      </c>
      <c r="AB1064" s="17">
        <v>0</v>
      </c>
      <c r="AC1064" s="17">
        <v>0</v>
      </c>
      <c r="AD1064" s="17">
        <v>0</v>
      </c>
      <c r="AE1064" s="17">
        <v>0</v>
      </c>
      <c r="AF1064" s="17">
        <v>0</v>
      </c>
      <c r="AG1064" s="17">
        <v>0</v>
      </c>
      <c r="AH1064" s="17">
        <v>0</v>
      </c>
      <c r="AI1064" s="17">
        <v>0</v>
      </c>
      <c r="AJ1064" s="17">
        <v>0</v>
      </c>
      <c r="AK1064" s="17">
        <v>0</v>
      </c>
      <c r="AL1064" s="32">
        <v>0</v>
      </c>
      <c r="AM1064" s="780">
        <v>65.5</v>
      </c>
      <c r="AN1064" s="89"/>
      <c r="AO1064" s="280"/>
      <c r="AP1064" s="784"/>
      <c r="AQ1064" s="773" t="s">
        <v>271</v>
      </c>
      <c r="AR1064" s="188">
        <v>100</v>
      </c>
      <c r="AS1064" s="171"/>
      <c r="AT1064" s="171" t="str">
        <f t="shared" si="89"/>
        <v>400</v>
      </c>
      <c r="AU1064" s="255">
        <f t="shared" si="90"/>
        <v>22.222222222222221</v>
      </c>
      <c r="AV1064" s="172">
        <v>100</v>
      </c>
      <c r="AW1064" s="171">
        <v>7</v>
      </c>
      <c r="AX1064" s="89"/>
      <c r="AY1064" s="171">
        <v>20</v>
      </c>
      <c r="AZ1064" s="89"/>
      <c r="BA1064" s="175">
        <v>60</v>
      </c>
      <c r="BB1064" s="189" t="s">
        <v>2547</v>
      </c>
      <c r="BC1064" s="176"/>
      <c r="BD1064" s="179"/>
      <c r="BE1064" s="179"/>
      <c r="BF1064" s="178"/>
      <c r="BG1064" s="25"/>
      <c r="BH1064" s="25"/>
    </row>
    <row r="1065" spans="1:60" ht="15" customHeight="1">
      <c r="A1065" s="95">
        <v>1064</v>
      </c>
      <c r="B1065" s="98" t="s">
        <v>638</v>
      </c>
      <c r="C1065" s="191" t="s">
        <v>2696</v>
      </c>
      <c r="D1065" s="257" t="s">
        <v>549</v>
      </c>
      <c r="E1065" s="459" t="s">
        <v>3377</v>
      </c>
      <c r="F1065" s="171">
        <v>1997</v>
      </c>
      <c r="G1065" s="171">
        <v>222</v>
      </c>
      <c r="H1065" s="57"/>
      <c r="I1065" s="173" t="s">
        <v>2564</v>
      </c>
      <c r="J1065" s="212">
        <f>170/350</f>
        <v>0.48571428571428571</v>
      </c>
      <c r="K1065" s="213">
        <v>4.765714285714286</v>
      </c>
      <c r="L1065" s="91"/>
      <c r="M1065" s="278">
        <v>350</v>
      </c>
      <c r="N1065" s="279"/>
      <c r="O1065" s="172" t="s">
        <v>12</v>
      </c>
      <c r="P1065" s="92"/>
      <c r="Q1065" s="173" t="s">
        <v>10</v>
      </c>
      <c r="R1065" s="94"/>
      <c r="S1065" s="94"/>
      <c r="T1065" s="171" t="s">
        <v>2306</v>
      </c>
      <c r="U1065" s="171" t="s">
        <v>2530</v>
      </c>
      <c r="V1065" s="102">
        <v>0</v>
      </c>
      <c r="W1065" s="120">
        <f>100/350*100</f>
        <v>28.571428571428569</v>
      </c>
      <c r="X1065" s="120">
        <v>0</v>
      </c>
      <c r="Y1065" s="120">
        <v>0</v>
      </c>
      <c r="Z1065" s="120">
        <v>0</v>
      </c>
      <c r="AA1065" s="17">
        <v>0</v>
      </c>
      <c r="AB1065" s="17">
        <v>0</v>
      </c>
      <c r="AC1065" s="17">
        <v>0</v>
      </c>
      <c r="AD1065" s="17">
        <v>0</v>
      </c>
      <c r="AE1065" s="17">
        <v>0</v>
      </c>
      <c r="AF1065" s="17">
        <v>0</v>
      </c>
      <c r="AG1065" s="17">
        <v>0</v>
      </c>
      <c r="AH1065" s="17">
        <v>0</v>
      </c>
      <c r="AI1065" s="17">
        <v>0</v>
      </c>
      <c r="AJ1065" s="17">
        <v>0</v>
      </c>
      <c r="AK1065" s="17">
        <v>0</v>
      </c>
      <c r="AL1065" s="32">
        <v>0</v>
      </c>
      <c r="AM1065" s="780">
        <v>53.1</v>
      </c>
      <c r="AN1065" s="89"/>
      <c r="AO1065" s="280"/>
      <c r="AP1065" s="784"/>
      <c r="AQ1065" s="773" t="s">
        <v>271</v>
      </c>
      <c r="AR1065" s="188">
        <v>100</v>
      </c>
      <c r="AS1065" s="171"/>
      <c r="AT1065" s="171" t="str">
        <f t="shared" si="89"/>
        <v>400</v>
      </c>
      <c r="AU1065" s="255">
        <f t="shared" si="90"/>
        <v>22.222222222222221</v>
      </c>
      <c r="AV1065" s="172">
        <v>100</v>
      </c>
      <c r="AW1065" s="171">
        <v>7</v>
      </c>
      <c r="AX1065" s="89"/>
      <c r="AY1065" s="171">
        <v>20</v>
      </c>
      <c r="AZ1065" s="89"/>
      <c r="BA1065" s="175">
        <v>60</v>
      </c>
      <c r="BB1065" s="189" t="s">
        <v>2547</v>
      </c>
      <c r="BC1065" s="176"/>
      <c r="BD1065" s="179"/>
      <c r="BE1065" s="179"/>
      <c r="BF1065" s="178"/>
      <c r="BG1065" s="25"/>
      <c r="BH1065" s="25"/>
    </row>
    <row r="1066" spans="1:60" ht="15" customHeight="1">
      <c r="A1066" s="95">
        <v>1065</v>
      </c>
      <c r="B1066" s="98" t="s">
        <v>637</v>
      </c>
      <c r="C1066" s="191" t="s">
        <v>2696</v>
      </c>
      <c r="D1066" s="257" t="s">
        <v>549</v>
      </c>
      <c r="E1066" s="459" t="s">
        <v>3377</v>
      </c>
      <c r="F1066" s="171">
        <v>1997</v>
      </c>
      <c r="G1066" s="171">
        <v>222</v>
      </c>
      <c r="H1066" s="57"/>
      <c r="I1066" s="173" t="s">
        <v>2564</v>
      </c>
      <c r="J1066" s="212">
        <f>170/550</f>
        <v>0.30909090909090908</v>
      </c>
      <c r="K1066" s="213">
        <v>2.7890909090909091</v>
      </c>
      <c r="L1066" s="91"/>
      <c r="M1066" s="278">
        <v>550</v>
      </c>
      <c r="N1066" s="279"/>
      <c r="O1066" s="172" t="s">
        <v>12</v>
      </c>
      <c r="P1066" s="92"/>
      <c r="Q1066" s="173" t="s">
        <v>10</v>
      </c>
      <c r="R1066" s="507"/>
      <c r="S1066" s="94"/>
      <c r="T1066" s="171" t="s">
        <v>2306</v>
      </c>
      <c r="U1066" s="171" t="s">
        <v>2530</v>
      </c>
      <c r="V1066" s="102">
        <v>0</v>
      </c>
      <c r="W1066" s="120">
        <f>100/550*100</f>
        <v>18.181818181818183</v>
      </c>
      <c r="X1066" s="120">
        <v>0</v>
      </c>
      <c r="Y1066" s="120">
        <v>0</v>
      </c>
      <c r="Z1066" s="120">
        <v>0</v>
      </c>
      <c r="AA1066" s="17">
        <v>0</v>
      </c>
      <c r="AB1066" s="17">
        <v>0</v>
      </c>
      <c r="AC1066" s="17">
        <v>0</v>
      </c>
      <c r="AD1066" s="17">
        <v>0</v>
      </c>
      <c r="AE1066" s="17">
        <v>0</v>
      </c>
      <c r="AF1066" s="17">
        <v>0</v>
      </c>
      <c r="AG1066" s="17">
        <v>0</v>
      </c>
      <c r="AH1066" s="17">
        <v>0</v>
      </c>
      <c r="AI1066" s="17">
        <v>0</v>
      </c>
      <c r="AJ1066" s="17">
        <v>0</v>
      </c>
      <c r="AK1066" s="17">
        <v>0</v>
      </c>
      <c r="AL1066" s="32">
        <v>0</v>
      </c>
      <c r="AM1066" s="780">
        <v>87.1</v>
      </c>
      <c r="AN1066" s="89"/>
      <c r="AO1066" s="280"/>
      <c r="AP1066" s="784"/>
      <c r="AQ1066" s="773" t="s">
        <v>271</v>
      </c>
      <c r="AR1066" s="188">
        <v>100</v>
      </c>
      <c r="AS1066" s="171"/>
      <c r="AT1066" s="171" t="str">
        <f t="shared" si="89"/>
        <v>400</v>
      </c>
      <c r="AU1066" s="255">
        <f t="shared" si="90"/>
        <v>22.222222222222221</v>
      </c>
      <c r="AV1066" s="172">
        <v>100</v>
      </c>
      <c r="AW1066" s="171">
        <v>7</v>
      </c>
      <c r="AX1066" s="89"/>
      <c r="AY1066" s="171">
        <v>20</v>
      </c>
      <c r="AZ1066" s="89"/>
      <c r="BA1066" s="175">
        <v>60</v>
      </c>
      <c r="BB1066" s="189" t="s">
        <v>2547</v>
      </c>
      <c r="BC1066" s="176"/>
      <c r="BD1066" s="179"/>
      <c r="BE1066" s="179"/>
      <c r="BF1066" s="178"/>
      <c r="BG1066" s="25"/>
      <c r="BH1066" s="25"/>
    </row>
    <row r="1067" spans="1:60" ht="15" customHeight="1">
      <c r="A1067" s="95">
        <v>1066</v>
      </c>
      <c r="B1067" s="98" t="s">
        <v>636</v>
      </c>
      <c r="C1067" s="191" t="s">
        <v>2696</v>
      </c>
      <c r="D1067" s="257" t="s">
        <v>549</v>
      </c>
      <c r="E1067" s="459" t="s">
        <v>3377</v>
      </c>
      <c r="F1067" s="171">
        <v>1997</v>
      </c>
      <c r="G1067" s="171">
        <v>222</v>
      </c>
      <c r="H1067" s="57"/>
      <c r="I1067" s="173" t="s">
        <v>2564</v>
      </c>
      <c r="J1067" s="212">
        <f>170/450</f>
        <v>0.37777777777777777</v>
      </c>
      <c r="K1067" s="213">
        <v>3.3444444444444446</v>
      </c>
      <c r="L1067" s="91"/>
      <c r="M1067" s="278">
        <v>450</v>
      </c>
      <c r="N1067" s="279"/>
      <c r="O1067" s="172" t="s">
        <v>12</v>
      </c>
      <c r="P1067" s="92"/>
      <c r="Q1067" s="173" t="s">
        <v>10</v>
      </c>
      <c r="R1067" s="507"/>
      <c r="S1067" s="94"/>
      <c r="T1067" s="171" t="s">
        <v>2306</v>
      </c>
      <c r="U1067" s="171" t="s">
        <v>2530</v>
      </c>
      <c r="V1067" s="102">
        <v>0</v>
      </c>
      <c r="W1067" s="120">
        <f>200/450*100</f>
        <v>44.444444444444443</v>
      </c>
      <c r="X1067" s="120">
        <v>0</v>
      </c>
      <c r="Y1067" s="120">
        <v>0</v>
      </c>
      <c r="Z1067" s="120">
        <v>0</v>
      </c>
      <c r="AA1067" s="17">
        <v>0</v>
      </c>
      <c r="AB1067" s="17">
        <v>0</v>
      </c>
      <c r="AC1067" s="17">
        <v>0</v>
      </c>
      <c r="AD1067" s="17">
        <v>0</v>
      </c>
      <c r="AE1067" s="17">
        <v>0</v>
      </c>
      <c r="AF1067" s="17">
        <v>0</v>
      </c>
      <c r="AG1067" s="17">
        <v>0</v>
      </c>
      <c r="AH1067" s="17">
        <v>0</v>
      </c>
      <c r="AI1067" s="17">
        <v>0</v>
      </c>
      <c r="AJ1067" s="17">
        <v>0</v>
      </c>
      <c r="AK1067" s="17">
        <v>0</v>
      </c>
      <c r="AL1067" s="32">
        <v>0</v>
      </c>
      <c r="AM1067" s="780">
        <v>80.400000000000006</v>
      </c>
      <c r="AN1067" s="89"/>
      <c r="AO1067" s="280"/>
      <c r="AP1067" s="784"/>
      <c r="AQ1067" s="773" t="s">
        <v>271</v>
      </c>
      <c r="AR1067" s="188">
        <v>100</v>
      </c>
      <c r="AS1067" s="171"/>
      <c r="AT1067" s="171" t="str">
        <f t="shared" si="89"/>
        <v>400</v>
      </c>
      <c r="AU1067" s="255">
        <f t="shared" si="90"/>
        <v>22.222222222222221</v>
      </c>
      <c r="AV1067" s="172">
        <v>100</v>
      </c>
      <c r="AW1067" s="171">
        <v>7</v>
      </c>
      <c r="AX1067" s="89"/>
      <c r="AY1067" s="171">
        <v>20</v>
      </c>
      <c r="AZ1067" s="89"/>
      <c r="BA1067" s="175">
        <v>60</v>
      </c>
      <c r="BB1067" s="189" t="s">
        <v>2547</v>
      </c>
      <c r="BC1067" s="176"/>
      <c r="BD1067" s="179"/>
      <c r="BE1067" s="179"/>
      <c r="BF1067" s="178"/>
      <c r="BG1067" s="25"/>
      <c r="BH1067" s="25"/>
    </row>
    <row r="1068" spans="1:60" ht="15" customHeight="1">
      <c r="A1068" s="95">
        <v>1067</v>
      </c>
      <c r="B1068" s="98" t="s">
        <v>635</v>
      </c>
      <c r="C1068" s="191" t="s">
        <v>2696</v>
      </c>
      <c r="D1068" s="257" t="s">
        <v>549</v>
      </c>
      <c r="E1068" s="459" t="s">
        <v>3377</v>
      </c>
      <c r="F1068" s="171">
        <v>1997</v>
      </c>
      <c r="G1068" s="171">
        <v>222</v>
      </c>
      <c r="H1068" s="57"/>
      <c r="I1068" s="173" t="s">
        <v>2564</v>
      </c>
      <c r="J1068" s="212">
        <f>170/350</f>
        <v>0.48571428571428571</v>
      </c>
      <c r="K1068" s="213">
        <v>4.2028571428571428</v>
      </c>
      <c r="L1068" s="91"/>
      <c r="M1068" s="278">
        <v>350</v>
      </c>
      <c r="N1068" s="279"/>
      <c r="O1068" s="172" t="s">
        <v>12</v>
      </c>
      <c r="P1068" s="92"/>
      <c r="Q1068" s="173" t="s">
        <v>10</v>
      </c>
      <c r="R1068" s="507"/>
      <c r="S1068" s="94"/>
      <c r="T1068" s="171" t="s">
        <v>2306</v>
      </c>
      <c r="U1068" s="171" t="s">
        <v>2530</v>
      </c>
      <c r="V1068" s="102">
        <v>0</v>
      </c>
      <c r="W1068" s="120">
        <f>300/350*100</f>
        <v>85.714285714285708</v>
      </c>
      <c r="X1068" s="120">
        <v>0</v>
      </c>
      <c r="Y1068" s="120">
        <v>0</v>
      </c>
      <c r="Z1068" s="120">
        <v>0</v>
      </c>
      <c r="AA1068" s="17">
        <v>0</v>
      </c>
      <c r="AB1068" s="17">
        <v>0</v>
      </c>
      <c r="AC1068" s="17">
        <v>0</v>
      </c>
      <c r="AD1068" s="17">
        <v>0</v>
      </c>
      <c r="AE1068" s="17">
        <v>0</v>
      </c>
      <c r="AF1068" s="17">
        <v>0</v>
      </c>
      <c r="AG1068" s="17">
        <v>0</v>
      </c>
      <c r="AH1068" s="17">
        <v>0</v>
      </c>
      <c r="AI1068" s="17">
        <v>0</v>
      </c>
      <c r="AJ1068" s="17">
        <v>0</v>
      </c>
      <c r="AK1068" s="17">
        <v>0</v>
      </c>
      <c r="AL1068" s="32">
        <v>0</v>
      </c>
      <c r="AM1068" s="780">
        <v>67.7</v>
      </c>
      <c r="AN1068" s="89"/>
      <c r="AO1068" s="280"/>
      <c r="AP1068" s="784"/>
      <c r="AQ1068" s="773" t="s">
        <v>271</v>
      </c>
      <c r="AR1068" s="188">
        <v>100</v>
      </c>
      <c r="AS1068" s="171"/>
      <c r="AT1068" s="171" t="str">
        <f t="shared" si="89"/>
        <v>400</v>
      </c>
      <c r="AU1068" s="255">
        <f t="shared" si="90"/>
        <v>22.222222222222221</v>
      </c>
      <c r="AV1068" s="172">
        <v>100</v>
      </c>
      <c r="AW1068" s="171">
        <v>7</v>
      </c>
      <c r="AX1068" s="89"/>
      <c r="AY1068" s="171">
        <v>20</v>
      </c>
      <c r="AZ1068" s="89"/>
      <c r="BA1068" s="175">
        <v>60</v>
      </c>
      <c r="BB1068" s="189" t="s">
        <v>2547</v>
      </c>
      <c r="BC1068" s="176"/>
      <c r="BD1068" s="179"/>
      <c r="BE1068" s="179"/>
      <c r="BF1068" s="178"/>
      <c r="BG1068" s="25"/>
      <c r="BH1068" s="25"/>
    </row>
    <row r="1069" spans="1:60" ht="15" customHeight="1">
      <c r="A1069" s="95">
        <v>1068</v>
      </c>
      <c r="B1069" s="98" t="s">
        <v>634</v>
      </c>
      <c r="C1069" s="191" t="s">
        <v>2696</v>
      </c>
      <c r="D1069" s="257" t="s">
        <v>549</v>
      </c>
      <c r="E1069" s="459" t="s">
        <v>3377</v>
      </c>
      <c r="F1069" s="171">
        <v>1997</v>
      </c>
      <c r="G1069" s="171">
        <v>222</v>
      </c>
      <c r="H1069" s="57"/>
      <c r="I1069" s="173" t="s">
        <v>2564</v>
      </c>
      <c r="J1069" s="212">
        <f>170/450</f>
        <v>0.37777777777777777</v>
      </c>
      <c r="K1069" s="213">
        <v>3.5955555555555554</v>
      </c>
      <c r="L1069" s="91"/>
      <c r="M1069" s="278">
        <v>450</v>
      </c>
      <c r="N1069" s="279"/>
      <c r="O1069" s="172" t="s">
        <v>12</v>
      </c>
      <c r="P1069" s="92"/>
      <c r="Q1069" s="173" t="s">
        <v>10</v>
      </c>
      <c r="R1069" s="507"/>
      <c r="S1069" s="94"/>
      <c r="T1069" s="171" t="s">
        <v>2306</v>
      </c>
      <c r="U1069" s="171" t="s">
        <v>2530</v>
      </c>
      <c r="V1069" s="102">
        <v>0</v>
      </c>
      <c r="W1069" s="120">
        <f>100/450*100</f>
        <v>22.222222222222221</v>
      </c>
      <c r="X1069" s="120">
        <v>0</v>
      </c>
      <c r="Y1069" s="120">
        <v>0</v>
      </c>
      <c r="Z1069" s="120">
        <v>0</v>
      </c>
      <c r="AA1069" s="17">
        <v>0</v>
      </c>
      <c r="AB1069" s="17">
        <v>0</v>
      </c>
      <c r="AC1069" s="17">
        <v>0</v>
      </c>
      <c r="AD1069" s="17">
        <v>0</v>
      </c>
      <c r="AE1069" s="17">
        <v>0</v>
      </c>
      <c r="AF1069" s="17">
        <v>0</v>
      </c>
      <c r="AG1069" s="17">
        <v>0</v>
      </c>
      <c r="AH1069" s="17">
        <v>0</v>
      </c>
      <c r="AI1069" s="17">
        <v>0</v>
      </c>
      <c r="AJ1069" s="17">
        <v>0</v>
      </c>
      <c r="AK1069" s="17">
        <v>0</v>
      </c>
      <c r="AL1069" s="32">
        <v>0</v>
      </c>
      <c r="AM1069" s="780">
        <v>75.3</v>
      </c>
      <c r="AN1069" s="89"/>
      <c r="AO1069" s="280"/>
      <c r="AP1069" s="784"/>
      <c r="AQ1069" s="773" t="s">
        <v>271</v>
      </c>
      <c r="AR1069" s="188">
        <v>100</v>
      </c>
      <c r="AS1069" s="171"/>
      <c r="AT1069" s="171" t="str">
        <f t="shared" si="89"/>
        <v>400</v>
      </c>
      <c r="AU1069" s="255">
        <f t="shared" si="90"/>
        <v>22.222222222222221</v>
      </c>
      <c r="AV1069" s="172">
        <v>100</v>
      </c>
      <c r="AW1069" s="171">
        <v>7</v>
      </c>
      <c r="AX1069" s="89"/>
      <c r="AY1069" s="171">
        <v>20</v>
      </c>
      <c r="AZ1069" s="89"/>
      <c r="BA1069" s="175">
        <v>60</v>
      </c>
      <c r="BB1069" s="189" t="s">
        <v>2547</v>
      </c>
      <c r="BC1069" s="176"/>
      <c r="BD1069" s="179"/>
      <c r="BE1069" s="179"/>
      <c r="BF1069" s="178"/>
      <c r="BG1069" s="25"/>
      <c r="BH1069" s="25"/>
    </row>
    <row r="1070" spans="1:60" ht="15" customHeight="1">
      <c r="A1070" s="95">
        <v>1069</v>
      </c>
      <c r="B1070" s="98" t="s">
        <v>633</v>
      </c>
      <c r="C1070" s="191" t="s">
        <v>2696</v>
      </c>
      <c r="D1070" s="257" t="s">
        <v>549</v>
      </c>
      <c r="E1070" s="459" t="s">
        <v>3377</v>
      </c>
      <c r="F1070" s="171">
        <v>1997</v>
      </c>
      <c r="G1070" s="171">
        <v>222</v>
      </c>
      <c r="H1070" s="57"/>
      <c r="I1070" s="173" t="s">
        <v>2564</v>
      </c>
      <c r="J1070" s="212">
        <f>170/350</f>
        <v>0.48571428571428571</v>
      </c>
      <c r="K1070" s="213">
        <v>4.5342857142857147</v>
      </c>
      <c r="L1070" s="91"/>
      <c r="M1070" s="278">
        <v>350</v>
      </c>
      <c r="N1070" s="279"/>
      <c r="O1070" s="172" t="s">
        <v>12</v>
      </c>
      <c r="P1070" s="92"/>
      <c r="Q1070" s="173" t="s">
        <v>10</v>
      </c>
      <c r="R1070" s="507"/>
      <c r="S1070" s="94"/>
      <c r="T1070" s="171" t="s">
        <v>2306</v>
      </c>
      <c r="U1070" s="171" t="s">
        <v>2530</v>
      </c>
      <c r="V1070" s="102">
        <v>0</v>
      </c>
      <c r="W1070" s="120">
        <f>200/350*100</f>
        <v>57.142857142857139</v>
      </c>
      <c r="X1070" s="120">
        <v>0</v>
      </c>
      <c r="Y1070" s="120">
        <v>0</v>
      </c>
      <c r="Z1070" s="120">
        <v>0</v>
      </c>
      <c r="AA1070" s="17">
        <v>0</v>
      </c>
      <c r="AB1070" s="17">
        <v>0</v>
      </c>
      <c r="AC1070" s="17">
        <v>0</v>
      </c>
      <c r="AD1070" s="17">
        <v>0</v>
      </c>
      <c r="AE1070" s="17">
        <v>0</v>
      </c>
      <c r="AF1070" s="17">
        <v>0</v>
      </c>
      <c r="AG1070" s="17">
        <v>0</v>
      </c>
      <c r="AH1070" s="17">
        <v>0</v>
      </c>
      <c r="AI1070" s="17">
        <v>0</v>
      </c>
      <c r="AJ1070" s="17">
        <v>0</v>
      </c>
      <c r="AK1070" s="17">
        <v>0</v>
      </c>
      <c r="AL1070" s="32">
        <v>0</v>
      </c>
      <c r="AM1070" s="780">
        <v>64.2</v>
      </c>
      <c r="AN1070" s="89"/>
      <c r="AO1070" s="280"/>
      <c r="AP1070" s="784"/>
      <c r="AQ1070" s="773" t="s">
        <v>271</v>
      </c>
      <c r="AR1070" s="188">
        <v>100</v>
      </c>
      <c r="AS1070" s="171"/>
      <c r="AT1070" s="171" t="str">
        <f t="shared" si="89"/>
        <v>400</v>
      </c>
      <c r="AU1070" s="255">
        <f t="shared" si="90"/>
        <v>22.222222222222221</v>
      </c>
      <c r="AV1070" s="172">
        <v>100</v>
      </c>
      <c r="AW1070" s="171">
        <v>7</v>
      </c>
      <c r="AX1070" s="89"/>
      <c r="AY1070" s="171">
        <v>20</v>
      </c>
      <c r="AZ1070" s="89"/>
      <c r="BA1070" s="175">
        <v>60</v>
      </c>
      <c r="BB1070" s="189" t="s">
        <v>2547</v>
      </c>
      <c r="BC1070" s="176"/>
      <c r="BD1070" s="179"/>
      <c r="BE1070" s="179"/>
      <c r="BF1070" s="178"/>
      <c r="BG1070" s="25"/>
      <c r="BH1070" s="25"/>
    </row>
    <row r="1071" spans="1:60" ht="15" customHeight="1">
      <c r="A1071" s="95">
        <v>1070</v>
      </c>
      <c r="B1071" s="98" t="s">
        <v>632</v>
      </c>
      <c r="C1071" s="191" t="s">
        <v>2696</v>
      </c>
      <c r="D1071" s="257" t="s">
        <v>549</v>
      </c>
      <c r="E1071" s="459" t="s">
        <v>3377</v>
      </c>
      <c r="F1071" s="171">
        <v>1997</v>
      </c>
      <c r="G1071" s="171">
        <v>222</v>
      </c>
      <c r="H1071" s="57"/>
      <c r="I1071" s="173" t="s">
        <v>2564</v>
      </c>
      <c r="J1071" s="212">
        <f>170/350</f>
        <v>0.48571428571428571</v>
      </c>
      <c r="K1071" s="213">
        <v>4.7428571428571429</v>
      </c>
      <c r="L1071" s="91"/>
      <c r="M1071" s="278">
        <v>350</v>
      </c>
      <c r="N1071" s="279"/>
      <c r="O1071" s="172" t="s">
        <v>12</v>
      </c>
      <c r="P1071" s="92"/>
      <c r="Q1071" s="173" t="s">
        <v>10</v>
      </c>
      <c r="R1071" s="507"/>
      <c r="S1071" s="94"/>
      <c r="T1071" s="171" t="s">
        <v>2306</v>
      </c>
      <c r="U1071" s="171" t="s">
        <v>2530</v>
      </c>
      <c r="V1071" s="102">
        <v>0</v>
      </c>
      <c r="W1071" s="120">
        <f>100/350*100</f>
        <v>28.571428571428569</v>
      </c>
      <c r="X1071" s="120">
        <v>0</v>
      </c>
      <c r="Y1071" s="120">
        <v>0</v>
      </c>
      <c r="Z1071" s="120">
        <v>0</v>
      </c>
      <c r="AA1071" s="17">
        <v>0</v>
      </c>
      <c r="AB1071" s="17">
        <v>0</v>
      </c>
      <c r="AC1071" s="17">
        <v>0</v>
      </c>
      <c r="AD1071" s="17">
        <v>0</v>
      </c>
      <c r="AE1071" s="17">
        <v>0</v>
      </c>
      <c r="AF1071" s="17">
        <v>0</v>
      </c>
      <c r="AG1071" s="17">
        <v>0</v>
      </c>
      <c r="AH1071" s="17">
        <v>0</v>
      </c>
      <c r="AI1071" s="17">
        <v>0</v>
      </c>
      <c r="AJ1071" s="17">
        <v>0</v>
      </c>
      <c r="AK1071" s="17">
        <v>0</v>
      </c>
      <c r="AL1071" s="32">
        <v>0</v>
      </c>
      <c r="AM1071" s="780">
        <v>52.6</v>
      </c>
      <c r="AN1071" s="89"/>
      <c r="AO1071" s="280"/>
      <c r="AP1071" s="784"/>
      <c r="AQ1071" s="773" t="s">
        <v>271</v>
      </c>
      <c r="AR1071" s="188">
        <v>100</v>
      </c>
      <c r="AS1071" s="171"/>
      <c r="AT1071" s="171" t="str">
        <f t="shared" si="89"/>
        <v>400</v>
      </c>
      <c r="AU1071" s="255">
        <f t="shared" si="90"/>
        <v>22.222222222222221</v>
      </c>
      <c r="AV1071" s="172">
        <v>100</v>
      </c>
      <c r="AW1071" s="171">
        <v>7</v>
      </c>
      <c r="AX1071" s="89"/>
      <c r="AY1071" s="171">
        <v>20</v>
      </c>
      <c r="AZ1071" s="89"/>
      <c r="BA1071" s="175">
        <v>60</v>
      </c>
      <c r="BB1071" s="189" t="s">
        <v>2547</v>
      </c>
      <c r="BC1071" s="176"/>
      <c r="BD1071" s="179"/>
      <c r="BE1071" s="179"/>
      <c r="BF1071" s="178"/>
      <c r="BG1071" s="25"/>
      <c r="BH1071" s="25"/>
    </row>
    <row r="1072" spans="1:60" ht="15" customHeight="1">
      <c r="A1072" s="95">
        <v>1071</v>
      </c>
      <c r="B1072" s="98" t="s">
        <v>631</v>
      </c>
      <c r="C1072" s="191" t="s">
        <v>2691</v>
      </c>
      <c r="D1072" s="257" t="s">
        <v>549</v>
      </c>
      <c r="E1072" s="459" t="s">
        <v>3377</v>
      </c>
      <c r="F1072" s="171">
        <v>1997</v>
      </c>
      <c r="G1072" s="171">
        <v>223</v>
      </c>
      <c r="H1072" s="57"/>
      <c r="I1072" s="173" t="s">
        <v>2564</v>
      </c>
      <c r="J1072" s="212">
        <f>170/567</f>
        <v>0.29982363315696647</v>
      </c>
      <c r="K1072" s="213">
        <v>2.8536155202821871</v>
      </c>
      <c r="L1072" s="91"/>
      <c r="M1072" s="278">
        <v>567</v>
      </c>
      <c r="N1072" s="279"/>
      <c r="O1072" s="172" t="s">
        <v>12</v>
      </c>
      <c r="P1072" s="92"/>
      <c r="Q1072" s="173" t="s">
        <v>10</v>
      </c>
      <c r="R1072" s="507"/>
      <c r="S1072" s="94"/>
      <c r="T1072" s="171" t="s">
        <v>2306</v>
      </c>
      <c r="U1072" s="171" t="s">
        <v>2530</v>
      </c>
      <c r="V1072" s="102">
        <v>0</v>
      </c>
      <c r="W1072" s="120">
        <v>0</v>
      </c>
      <c r="X1072" s="120">
        <v>0</v>
      </c>
      <c r="Y1072" s="120">
        <v>0</v>
      </c>
      <c r="Z1072" s="120">
        <v>0</v>
      </c>
      <c r="AA1072" s="17">
        <v>0</v>
      </c>
      <c r="AB1072" s="17">
        <v>0</v>
      </c>
      <c r="AC1072" s="17">
        <v>0</v>
      </c>
      <c r="AD1072" s="17">
        <v>0</v>
      </c>
      <c r="AE1072" s="17">
        <v>0</v>
      </c>
      <c r="AF1072" s="17">
        <v>0</v>
      </c>
      <c r="AG1072" s="17">
        <v>0</v>
      </c>
      <c r="AH1072" s="17">
        <v>0</v>
      </c>
      <c r="AI1072" s="17">
        <v>0</v>
      </c>
      <c r="AJ1072" s="17">
        <v>0</v>
      </c>
      <c r="AK1072" s="17">
        <v>0</v>
      </c>
      <c r="AL1072" s="32">
        <v>0</v>
      </c>
      <c r="AM1072" s="57"/>
      <c r="AN1072" s="89"/>
      <c r="AO1072" s="280"/>
      <c r="AP1072" s="784"/>
      <c r="AQ1072" s="773" t="s">
        <v>271</v>
      </c>
      <c r="AR1072" s="188">
        <v>100</v>
      </c>
      <c r="AS1072" s="171"/>
      <c r="AT1072" s="171" t="str">
        <f t="shared" si="89"/>
        <v>400</v>
      </c>
      <c r="AU1072" s="255">
        <f t="shared" si="90"/>
        <v>22.222222222222221</v>
      </c>
      <c r="AV1072" s="57"/>
      <c r="AW1072" s="171">
        <v>1</v>
      </c>
      <c r="AX1072" s="89"/>
      <c r="AY1072" s="171">
        <v>20</v>
      </c>
      <c r="AZ1072" s="89"/>
      <c r="BA1072" s="175">
        <v>50</v>
      </c>
      <c r="BB1072" s="259"/>
      <c r="BC1072" s="176"/>
      <c r="BD1072" s="179"/>
      <c r="BE1072" s="179"/>
      <c r="BF1072" s="178"/>
      <c r="BG1072" s="25"/>
      <c r="BH1072" s="25"/>
    </row>
    <row r="1073" spans="1:60" ht="15" customHeight="1">
      <c r="A1073" s="95">
        <v>1072</v>
      </c>
      <c r="B1073" s="98" t="s">
        <v>630</v>
      </c>
      <c r="C1073" s="191" t="s">
        <v>2691</v>
      </c>
      <c r="D1073" s="257" t="s">
        <v>549</v>
      </c>
      <c r="E1073" s="459" t="s">
        <v>3377</v>
      </c>
      <c r="F1073" s="171">
        <v>1997</v>
      </c>
      <c r="G1073" s="171">
        <v>223</v>
      </c>
      <c r="H1073" s="57"/>
      <c r="I1073" s="173" t="s">
        <v>2564</v>
      </c>
      <c r="J1073" s="212">
        <f>170/327</f>
        <v>0.51987767584097855</v>
      </c>
      <c r="K1073" s="213">
        <v>5.3608562691131496</v>
      </c>
      <c r="L1073" s="91"/>
      <c r="M1073" s="278">
        <v>327</v>
      </c>
      <c r="N1073" s="279"/>
      <c r="O1073" s="172" t="s">
        <v>12</v>
      </c>
      <c r="P1073" s="92"/>
      <c r="Q1073" s="173" t="s">
        <v>10</v>
      </c>
      <c r="R1073" s="507"/>
      <c r="S1073" s="94"/>
      <c r="T1073" s="171" t="s">
        <v>2306</v>
      </c>
      <c r="U1073" s="171" t="s">
        <v>2530</v>
      </c>
      <c r="V1073" s="102">
        <v>0</v>
      </c>
      <c r="W1073" s="120">
        <v>0</v>
      </c>
      <c r="X1073" s="120">
        <v>0</v>
      </c>
      <c r="Y1073" s="120">
        <v>0</v>
      </c>
      <c r="Z1073" s="120">
        <v>0</v>
      </c>
      <c r="AA1073" s="17">
        <v>0</v>
      </c>
      <c r="AB1073" s="17">
        <v>0</v>
      </c>
      <c r="AC1073" s="17">
        <v>0</v>
      </c>
      <c r="AD1073" s="17">
        <v>0</v>
      </c>
      <c r="AE1073" s="17">
        <v>0</v>
      </c>
      <c r="AF1073" s="17">
        <v>0</v>
      </c>
      <c r="AG1073" s="17">
        <v>0</v>
      </c>
      <c r="AH1073" s="17">
        <v>0</v>
      </c>
      <c r="AI1073" s="17">
        <v>0</v>
      </c>
      <c r="AJ1073" s="17">
        <v>0</v>
      </c>
      <c r="AK1073" s="17">
        <v>0</v>
      </c>
      <c r="AL1073" s="32">
        <v>0</v>
      </c>
      <c r="AM1073" s="57"/>
      <c r="AN1073" s="89"/>
      <c r="AO1073" s="280"/>
      <c r="AP1073" s="784"/>
      <c r="AQ1073" s="773" t="s">
        <v>271</v>
      </c>
      <c r="AR1073" s="188">
        <v>100</v>
      </c>
      <c r="AS1073" s="171"/>
      <c r="AT1073" s="171" t="str">
        <f t="shared" si="89"/>
        <v>400</v>
      </c>
      <c r="AU1073" s="255">
        <f t="shared" si="90"/>
        <v>22.222222222222221</v>
      </c>
      <c r="AV1073" s="57"/>
      <c r="AW1073" s="171">
        <v>1</v>
      </c>
      <c r="AX1073" s="89"/>
      <c r="AY1073" s="171">
        <v>20</v>
      </c>
      <c r="AZ1073" s="89"/>
      <c r="BA1073" s="175">
        <v>70</v>
      </c>
      <c r="BB1073" s="259"/>
      <c r="BC1073" s="176"/>
      <c r="BD1073" s="179"/>
      <c r="BE1073" s="179"/>
      <c r="BF1073" s="178"/>
      <c r="BG1073" s="25"/>
      <c r="BH1073" s="25"/>
    </row>
    <row r="1074" spans="1:60" ht="15" customHeight="1">
      <c r="A1074" s="95">
        <v>1073</v>
      </c>
      <c r="B1074" s="98" t="s">
        <v>629</v>
      </c>
      <c r="C1074" s="191" t="s">
        <v>2691</v>
      </c>
      <c r="D1074" s="257" t="s">
        <v>549</v>
      </c>
      <c r="E1074" s="459" t="s">
        <v>3377</v>
      </c>
      <c r="F1074" s="171">
        <v>1997</v>
      </c>
      <c r="G1074" s="171">
        <v>223</v>
      </c>
      <c r="H1074" s="57"/>
      <c r="I1074" s="173" t="s">
        <v>2564</v>
      </c>
      <c r="J1074" s="212">
        <f>170/230</f>
        <v>0.73913043478260865</v>
      </c>
      <c r="K1074" s="213">
        <v>7.5869565217391308</v>
      </c>
      <c r="L1074" s="91"/>
      <c r="M1074" s="278">
        <v>230</v>
      </c>
      <c r="N1074" s="279"/>
      <c r="O1074" s="172" t="s">
        <v>12</v>
      </c>
      <c r="P1074" s="92"/>
      <c r="Q1074" s="173" t="s">
        <v>10</v>
      </c>
      <c r="R1074" s="507"/>
      <c r="S1074" s="94"/>
      <c r="T1074" s="171" t="s">
        <v>2306</v>
      </c>
      <c r="U1074" s="171" t="s">
        <v>2530</v>
      </c>
      <c r="V1074" s="102">
        <v>0</v>
      </c>
      <c r="W1074" s="120">
        <v>0</v>
      </c>
      <c r="X1074" s="120">
        <f>98/230*100</f>
        <v>42.608695652173914</v>
      </c>
      <c r="Y1074" s="120">
        <v>0</v>
      </c>
      <c r="Z1074" s="120">
        <v>0</v>
      </c>
      <c r="AA1074" s="17">
        <v>0</v>
      </c>
      <c r="AB1074" s="17">
        <v>0</v>
      </c>
      <c r="AC1074" s="17">
        <v>0</v>
      </c>
      <c r="AD1074" s="17">
        <v>0</v>
      </c>
      <c r="AE1074" s="17">
        <v>0</v>
      </c>
      <c r="AF1074" s="17">
        <v>0</v>
      </c>
      <c r="AG1074" s="17">
        <v>0</v>
      </c>
      <c r="AH1074" s="17">
        <v>0</v>
      </c>
      <c r="AI1074" s="17">
        <v>0</v>
      </c>
      <c r="AJ1074" s="17">
        <v>0</v>
      </c>
      <c r="AK1074" s="17">
        <v>0</v>
      </c>
      <c r="AL1074" s="32">
        <v>0</v>
      </c>
      <c r="AM1074" s="57"/>
      <c r="AN1074" s="89"/>
      <c r="AO1074" s="280"/>
      <c r="AP1074" s="784"/>
      <c r="AQ1074" s="773" t="s">
        <v>271</v>
      </c>
      <c r="AR1074" s="188">
        <v>100</v>
      </c>
      <c r="AS1074" s="171"/>
      <c r="AT1074" s="171" t="str">
        <f t="shared" si="89"/>
        <v>400</v>
      </c>
      <c r="AU1074" s="255">
        <f t="shared" si="90"/>
        <v>22.222222222222221</v>
      </c>
      <c r="AV1074" s="57"/>
      <c r="AW1074" s="171">
        <v>1</v>
      </c>
      <c r="AX1074" s="89"/>
      <c r="AY1074" s="171">
        <v>20</v>
      </c>
      <c r="AZ1074" s="89"/>
      <c r="BA1074" s="175">
        <v>70</v>
      </c>
      <c r="BB1074" s="259"/>
      <c r="BC1074" s="176"/>
      <c r="BD1074" s="179"/>
      <c r="BE1074" s="179"/>
      <c r="BF1074" s="178"/>
      <c r="BG1074" s="25"/>
      <c r="BH1074" s="25"/>
    </row>
    <row r="1075" spans="1:60" ht="15" customHeight="1">
      <c r="A1075" s="95">
        <v>1074</v>
      </c>
      <c r="B1075" s="98" t="s">
        <v>628</v>
      </c>
      <c r="C1075" s="191" t="s">
        <v>2691</v>
      </c>
      <c r="D1075" s="257" t="s">
        <v>549</v>
      </c>
      <c r="E1075" s="459" t="s">
        <v>3377</v>
      </c>
      <c r="F1075" s="171">
        <v>1997</v>
      </c>
      <c r="G1075" s="171">
        <v>223</v>
      </c>
      <c r="H1075" s="57"/>
      <c r="I1075" s="173" t="s">
        <v>2564</v>
      </c>
      <c r="J1075" s="212">
        <f>170/284</f>
        <v>0.59859154929577463</v>
      </c>
      <c r="K1075" s="213">
        <v>5.623239436619718</v>
      </c>
      <c r="L1075" s="91"/>
      <c r="M1075" s="278">
        <v>284</v>
      </c>
      <c r="N1075" s="279"/>
      <c r="O1075" s="172" t="s">
        <v>12</v>
      </c>
      <c r="P1075" s="92"/>
      <c r="Q1075" s="173" t="s">
        <v>10</v>
      </c>
      <c r="R1075" s="507"/>
      <c r="S1075" s="94"/>
      <c r="T1075" s="171" t="s">
        <v>2306</v>
      </c>
      <c r="U1075" s="171" t="s">
        <v>2530</v>
      </c>
      <c r="V1075" s="102">
        <v>0</v>
      </c>
      <c r="W1075" s="120">
        <v>0</v>
      </c>
      <c r="X1075" s="120">
        <v>100</v>
      </c>
      <c r="Y1075" s="120">
        <v>0</v>
      </c>
      <c r="Z1075" s="120">
        <v>0</v>
      </c>
      <c r="AA1075" s="17">
        <v>0</v>
      </c>
      <c r="AB1075" s="17">
        <v>0</v>
      </c>
      <c r="AC1075" s="17">
        <v>0</v>
      </c>
      <c r="AD1075" s="17">
        <v>0</v>
      </c>
      <c r="AE1075" s="17">
        <v>0</v>
      </c>
      <c r="AF1075" s="17">
        <v>0</v>
      </c>
      <c r="AG1075" s="17">
        <v>0</v>
      </c>
      <c r="AH1075" s="17">
        <v>0</v>
      </c>
      <c r="AI1075" s="17">
        <v>0</v>
      </c>
      <c r="AJ1075" s="17">
        <v>0</v>
      </c>
      <c r="AK1075" s="17">
        <v>0</v>
      </c>
      <c r="AL1075" s="32">
        <v>0</v>
      </c>
      <c r="AM1075" s="57"/>
      <c r="AN1075" s="89"/>
      <c r="AO1075" s="280"/>
      <c r="AP1075" s="784"/>
      <c r="AQ1075" s="773" t="s">
        <v>271</v>
      </c>
      <c r="AR1075" s="188">
        <v>100</v>
      </c>
      <c r="AS1075" s="171"/>
      <c r="AT1075" s="171" t="str">
        <f t="shared" si="89"/>
        <v>400</v>
      </c>
      <c r="AU1075" s="255">
        <f t="shared" si="90"/>
        <v>22.222222222222221</v>
      </c>
      <c r="AV1075" s="57"/>
      <c r="AW1075" s="171">
        <v>1</v>
      </c>
      <c r="AX1075" s="89"/>
      <c r="AY1075" s="171">
        <v>20</v>
      </c>
      <c r="AZ1075" s="89"/>
      <c r="BA1075" s="175">
        <v>50</v>
      </c>
      <c r="BB1075" s="259"/>
      <c r="BC1075" s="176"/>
      <c r="BD1075" s="179"/>
      <c r="BE1075" s="179"/>
      <c r="BF1075" s="178"/>
      <c r="BG1075" s="25"/>
      <c r="BH1075" s="25"/>
    </row>
    <row r="1076" spans="1:60" ht="15" customHeight="1">
      <c r="A1076" s="95">
        <v>1075</v>
      </c>
      <c r="B1076" s="98" t="s">
        <v>627</v>
      </c>
      <c r="C1076" s="191" t="s">
        <v>2691</v>
      </c>
      <c r="D1076" s="257" t="s">
        <v>549</v>
      </c>
      <c r="E1076" s="459" t="s">
        <v>3377</v>
      </c>
      <c r="F1076" s="171">
        <v>1997</v>
      </c>
      <c r="G1076" s="171">
        <v>223</v>
      </c>
      <c r="H1076" s="57"/>
      <c r="I1076" s="173" t="s">
        <v>2564</v>
      </c>
      <c r="J1076" s="212">
        <f>170/567</f>
        <v>0.29982363315696647</v>
      </c>
      <c r="K1076" s="213">
        <v>2.8536155202821871</v>
      </c>
      <c r="L1076" s="91"/>
      <c r="M1076" s="278">
        <v>567</v>
      </c>
      <c r="N1076" s="279"/>
      <c r="O1076" s="172" t="s">
        <v>12</v>
      </c>
      <c r="P1076" s="92"/>
      <c r="Q1076" s="173" t="s">
        <v>10</v>
      </c>
      <c r="R1076" s="507"/>
      <c r="S1076" s="94"/>
      <c r="T1076" s="171" t="s">
        <v>2306</v>
      </c>
      <c r="U1076" s="171" t="s">
        <v>2530</v>
      </c>
      <c r="V1076" s="102">
        <v>0</v>
      </c>
      <c r="W1076" s="120">
        <v>0</v>
      </c>
      <c r="X1076" s="120">
        <v>0</v>
      </c>
      <c r="Y1076" s="120">
        <v>0</v>
      </c>
      <c r="Z1076" s="120">
        <v>0</v>
      </c>
      <c r="AA1076" s="17">
        <v>0</v>
      </c>
      <c r="AB1076" s="17">
        <v>0</v>
      </c>
      <c r="AC1076" s="17">
        <v>0</v>
      </c>
      <c r="AD1076" s="17">
        <v>0</v>
      </c>
      <c r="AE1076" s="17">
        <v>0</v>
      </c>
      <c r="AF1076" s="17">
        <v>0</v>
      </c>
      <c r="AG1076" s="17">
        <v>0</v>
      </c>
      <c r="AH1076" s="17">
        <v>0</v>
      </c>
      <c r="AI1076" s="17">
        <v>0</v>
      </c>
      <c r="AJ1076" s="17">
        <v>0</v>
      </c>
      <c r="AK1076" s="17">
        <v>0</v>
      </c>
      <c r="AL1076" s="32">
        <v>0</v>
      </c>
      <c r="AM1076" s="57"/>
      <c r="AN1076" s="89"/>
      <c r="AO1076" s="280"/>
      <c r="AP1076" s="784"/>
      <c r="AQ1076" s="773" t="s">
        <v>271</v>
      </c>
      <c r="AR1076" s="188">
        <v>100</v>
      </c>
      <c r="AS1076" s="171"/>
      <c r="AT1076" s="171" t="str">
        <f t="shared" si="89"/>
        <v>400</v>
      </c>
      <c r="AU1076" s="255">
        <f t="shared" si="90"/>
        <v>22.222222222222221</v>
      </c>
      <c r="AV1076" s="57"/>
      <c r="AW1076" s="171">
        <v>1</v>
      </c>
      <c r="AX1076" s="89"/>
      <c r="AY1076" s="171">
        <v>20</v>
      </c>
      <c r="AZ1076" s="89"/>
      <c r="BA1076" s="175">
        <v>90</v>
      </c>
      <c r="BB1076" s="259"/>
      <c r="BC1076" s="176"/>
      <c r="BD1076" s="179"/>
      <c r="BE1076" s="179"/>
      <c r="BF1076" s="178"/>
      <c r="BG1076" s="25"/>
      <c r="BH1076" s="25"/>
    </row>
    <row r="1077" spans="1:60" ht="15" customHeight="1">
      <c r="A1077" s="95">
        <v>1076</v>
      </c>
      <c r="B1077" s="98" t="s">
        <v>626</v>
      </c>
      <c r="C1077" s="191" t="s">
        <v>2691</v>
      </c>
      <c r="D1077" s="257" t="s">
        <v>549</v>
      </c>
      <c r="E1077" s="459" t="s">
        <v>3377</v>
      </c>
      <c r="F1077" s="171">
        <v>1997</v>
      </c>
      <c r="G1077" s="171">
        <v>223</v>
      </c>
      <c r="H1077" s="57"/>
      <c r="I1077" s="173" t="s">
        <v>2564</v>
      </c>
      <c r="J1077" s="212">
        <f>170/284</f>
        <v>0.59859154929577463</v>
      </c>
      <c r="K1077" s="213">
        <v>5.623239436619718</v>
      </c>
      <c r="L1077" s="91"/>
      <c r="M1077" s="278">
        <v>284</v>
      </c>
      <c r="N1077" s="279"/>
      <c r="O1077" s="172" t="s">
        <v>12</v>
      </c>
      <c r="P1077" s="92"/>
      <c r="Q1077" s="173" t="s">
        <v>10</v>
      </c>
      <c r="R1077" s="507"/>
      <c r="S1077" s="94"/>
      <c r="T1077" s="171" t="s">
        <v>2306</v>
      </c>
      <c r="U1077" s="171" t="s">
        <v>2530</v>
      </c>
      <c r="V1077" s="102">
        <v>0</v>
      </c>
      <c r="W1077" s="120">
        <v>0</v>
      </c>
      <c r="X1077" s="120">
        <v>100</v>
      </c>
      <c r="Y1077" s="120">
        <v>0</v>
      </c>
      <c r="Z1077" s="120">
        <v>0</v>
      </c>
      <c r="AA1077" s="17">
        <v>0</v>
      </c>
      <c r="AB1077" s="17">
        <v>0</v>
      </c>
      <c r="AC1077" s="17">
        <v>0</v>
      </c>
      <c r="AD1077" s="17">
        <v>0</v>
      </c>
      <c r="AE1077" s="17">
        <v>0</v>
      </c>
      <c r="AF1077" s="17">
        <v>0</v>
      </c>
      <c r="AG1077" s="17">
        <v>0</v>
      </c>
      <c r="AH1077" s="17">
        <v>0</v>
      </c>
      <c r="AI1077" s="17">
        <v>0</v>
      </c>
      <c r="AJ1077" s="17">
        <v>0</v>
      </c>
      <c r="AK1077" s="17">
        <v>0</v>
      </c>
      <c r="AL1077" s="32">
        <v>0</v>
      </c>
      <c r="AM1077" s="57"/>
      <c r="AN1077" s="89"/>
      <c r="AO1077" s="280"/>
      <c r="AP1077" s="784"/>
      <c r="AQ1077" s="773" t="s">
        <v>271</v>
      </c>
      <c r="AR1077" s="188">
        <v>100</v>
      </c>
      <c r="AS1077" s="171"/>
      <c r="AT1077" s="171" t="str">
        <f t="shared" si="89"/>
        <v>400</v>
      </c>
      <c r="AU1077" s="255">
        <f t="shared" si="90"/>
        <v>22.222222222222221</v>
      </c>
      <c r="AV1077" s="57"/>
      <c r="AW1077" s="171">
        <v>1</v>
      </c>
      <c r="AX1077" s="89"/>
      <c r="AY1077" s="171">
        <v>20</v>
      </c>
      <c r="AZ1077" s="89"/>
      <c r="BA1077" s="175">
        <v>90</v>
      </c>
      <c r="BB1077" s="259"/>
      <c r="BC1077" s="176"/>
      <c r="BD1077" s="179"/>
      <c r="BE1077" s="179"/>
      <c r="BF1077" s="178"/>
      <c r="BG1077" s="25"/>
      <c r="BH1077" s="25"/>
    </row>
    <row r="1078" spans="1:60" ht="15" customHeight="1">
      <c r="A1078" s="95">
        <v>1077</v>
      </c>
      <c r="B1078" s="98" t="s">
        <v>625</v>
      </c>
      <c r="C1078" s="191" t="s">
        <v>2691</v>
      </c>
      <c r="D1078" s="257" t="s">
        <v>549</v>
      </c>
      <c r="E1078" s="459" t="s">
        <v>3377</v>
      </c>
      <c r="F1078" s="171">
        <v>1997</v>
      </c>
      <c r="G1078" s="171">
        <v>223</v>
      </c>
      <c r="H1078" s="57"/>
      <c r="I1078" s="173" t="s">
        <v>2564</v>
      </c>
      <c r="J1078" s="212">
        <f>170/567</f>
        <v>0.29982363315696647</v>
      </c>
      <c r="K1078" s="213">
        <v>2.8536155202821871</v>
      </c>
      <c r="L1078" s="91"/>
      <c r="M1078" s="278">
        <v>567</v>
      </c>
      <c r="N1078" s="279"/>
      <c r="O1078" s="172" t="s">
        <v>12</v>
      </c>
      <c r="P1078" s="92"/>
      <c r="Q1078" s="173" t="s">
        <v>10</v>
      </c>
      <c r="R1078" s="507"/>
      <c r="S1078" s="94"/>
      <c r="T1078" s="171" t="s">
        <v>2306</v>
      </c>
      <c r="U1078" s="171" t="s">
        <v>2530</v>
      </c>
      <c r="V1078" s="102">
        <v>0</v>
      </c>
      <c r="W1078" s="120">
        <v>0</v>
      </c>
      <c r="X1078" s="120">
        <v>0</v>
      </c>
      <c r="Y1078" s="120">
        <v>0</v>
      </c>
      <c r="Z1078" s="120">
        <v>0</v>
      </c>
      <c r="AA1078" s="17">
        <v>0</v>
      </c>
      <c r="AB1078" s="17">
        <v>0</v>
      </c>
      <c r="AC1078" s="17">
        <v>0</v>
      </c>
      <c r="AD1078" s="17">
        <v>0</v>
      </c>
      <c r="AE1078" s="17">
        <v>0</v>
      </c>
      <c r="AF1078" s="17">
        <v>0</v>
      </c>
      <c r="AG1078" s="17">
        <v>0</v>
      </c>
      <c r="AH1078" s="17">
        <v>0</v>
      </c>
      <c r="AI1078" s="17">
        <v>0</v>
      </c>
      <c r="AJ1078" s="17">
        <v>0</v>
      </c>
      <c r="AK1078" s="17">
        <v>0</v>
      </c>
      <c r="AL1078" s="32">
        <v>0</v>
      </c>
      <c r="AM1078" s="57"/>
      <c r="AN1078" s="89"/>
      <c r="AO1078" s="280"/>
      <c r="AP1078" s="784"/>
      <c r="AQ1078" s="773" t="s">
        <v>271</v>
      </c>
      <c r="AR1078" s="188">
        <v>100</v>
      </c>
      <c r="AS1078" s="171"/>
      <c r="AT1078" s="171" t="str">
        <f t="shared" si="89"/>
        <v>400</v>
      </c>
      <c r="AU1078" s="255">
        <f t="shared" si="90"/>
        <v>22.222222222222221</v>
      </c>
      <c r="AV1078" s="57"/>
      <c r="AW1078" s="171">
        <v>1</v>
      </c>
      <c r="AX1078" s="89"/>
      <c r="AY1078" s="171">
        <v>20</v>
      </c>
      <c r="AZ1078" s="89"/>
      <c r="BA1078" s="175">
        <v>70</v>
      </c>
      <c r="BB1078" s="259"/>
      <c r="BC1078" s="176"/>
      <c r="BD1078" s="179"/>
      <c r="BE1078" s="179"/>
      <c r="BF1078" s="178"/>
      <c r="BG1078" s="25"/>
      <c r="BH1078" s="25"/>
    </row>
    <row r="1079" spans="1:60" ht="15" customHeight="1">
      <c r="A1079" s="95">
        <v>1078</v>
      </c>
      <c r="B1079" s="98" t="s">
        <v>624</v>
      </c>
      <c r="C1079" s="191" t="s">
        <v>2691</v>
      </c>
      <c r="D1079" s="257" t="s">
        <v>549</v>
      </c>
      <c r="E1079" s="459" t="s">
        <v>3377</v>
      </c>
      <c r="F1079" s="171">
        <v>1997</v>
      </c>
      <c r="G1079" s="171">
        <v>223</v>
      </c>
      <c r="H1079" s="57"/>
      <c r="I1079" s="173" t="s">
        <v>2564</v>
      </c>
      <c r="J1079" s="212">
        <f>170/397</f>
        <v>0.4282115869017632</v>
      </c>
      <c r="K1079" s="213">
        <v>4.0428211586901766</v>
      </c>
      <c r="L1079" s="91"/>
      <c r="M1079" s="278">
        <v>397</v>
      </c>
      <c r="N1079" s="279"/>
      <c r="O1079" s="172" t="s">
        <v>12</v>
      </c>
      <c r="P1079" s="92"/>
      <c r="Q1079" s="173" t="s">
        <v>10</v>
      </c>
      <c r="R1079" s="507"/>
      <c r="S1079" s="94"/>
      <c r="T1079" s="171" t="s">
        <v>2306</v>
      </c>
      <c r="U1079" s="171" t="s">
        <v>2530</v>
      </c>
      <c r="V1079" s="102">
        <v>0</v>
      </c>
      <c r="W1079" s="120">
        <v>0</v>
      </c>
      <c r="X1079" s="120">
        <f>170/397*100</f>
        <v>42.821158690176318</v>
      </c>
      <c r="Y1079" s="120">
        <v>0</v>
      </c>
      <c r="Z1079" s="120">
        <v>0</v>
      </c>
      <c r="AA1079" s="17">
        <v>0</v>
      </c>
      <c r="AB1079" s="17">
        <v>0</v>
      </c>
      <c r="AC1079" s="17">
        <v>0</v>
      </c>
      <c r="AD1079" s="17">
        <v>0</v>
      </c>
      <c r="AE1079" s="17">
        <v>0</v>
      </c>
      <c r="AF1079" s="17">
        <v>0</v>
      </c>
      <c r="AG1079" s="17">
        <v>0</v>
      </c>
      <c r="AH1079" s="17">
        <v>0</v>
      </c>
      <c r="AI1079" s="17">
        <v>0</v>
      </c>
      <c r="AJ1079" s="17">
        <v>0</v>
      </c>
      <c r="AK1079" s="17">
        <v>0</v>
      </c>
      <c r="AL1079" s="32">
        <v>0</v>
      </c>
      <c r="AM1079" s="57"/>
      <c r="AN1079" s="89"/>
      <c r="AO1079" s="280"/>
      <c r="AP1079" s="784"/>
      <c r="AQ1079" s="773" t="s">
        <v>271</v>
      </c>
      <c r="AR1079" s="188">
        <v>100</v>
      </c>
      <c r="AS1079" s="171"/>
      <c r="AT1079" s="171" t="str">
        <f t="shared" si="89"/>
        <v>400</v>
      </c>
      <c r="AU1079" s="255">
        <f t="shared" si="90"/>
        <v>22.222222222222221</v>
      </c>
      <c r="AV1079" s="57"/>
      <c r="AW1079" s="171">
        <v>1</v>
      </c>
      <c r="AX1079" s="89"/>
      <c r="AY1079" s="171">
        <v>20</v>
      </c>
      <c r="AZ1079" s="89"/>
      <c r="BA1079" s="175">
        <v>70</v>
      </c>
      <c r="BB1079" s="259"/>
      <c r="BC1079" s="176"/>
      <c r="BD1079" s="179"/>
      <c r="BE1079" s="179"/>
      <c r="BF1079" s="178"/>
      <c r="BG1079" s="25"/>
      <c r="BH1079" s="25"/>
    </row>
    <row r="1080" spans="1:60" ht="15" customHeight="1">
      <c r="A1080" s="95">
        <v>1079</v>
      </c>
      <c r="B1080" s="98" t="s">
        <v>623</v>
      </c>
      <c r="C1080" s="191" t="s">
        <v>2691</v>
      </c>
      <c r="D1080" s="257" t="s">
        <v>549</v>
      </c>
      <c r="E1080" s="459" t="s">
        <v>3377</v>
      </c>
      <c r="F1080" s="171">
        <v>1997</v>
      </c>
      <c r="G1080" s="171">
        <v>223</v>
      </c>
      <c r="H1080" s="57"/>
      <c r="I1080" s="173" t="s">
        <v>2564</v>
      </c>
      <c r="J1080" s="212">
        <f>170/284</f>
        <v>0.59859154929577463</v>
      </c>
      <c r="K1080" s="213">
        <v>5.623239436619718</v>
      </c>
      <c r="L1080" s="91"/>
      <c r="M1080" s="278">
        <v>284</v>
      </c>
      <c r="N1080" s="279"/>
      <c r="O1080" s="172" t="s">
        <v>12</v>
      </c>
      <c r="P1080" s="92"/>
      <c r="Q1080" s="173" t="s">
        <v>10</v>
      </c>
      <c r="R1080" s="507"/>
      <c r="S1080" s="94"/>
      <c r="T1080" s="171" t="s">
        <v>2306</v>
      </c>
      <c r="U1080" s="171" t="s">
        <v>2530</v>
      </c>
      <c r="V1080" s="102">
        <v>0</v>
      </c>
      <c r="W1080" s="120">
        <v>0</v>
      </c>
      <c r="X1080" s="120">
        <v>100</v>
      </c>
      <c r="Y1080" s="120">
        <v>0</v>
      </c>
      <c r="Z1080" s="120">
        <v>0</v>
      </c>
      <c r="AA1080" s="17">
        <v>0</v>
      </c>
      <c r="AB1080" s="17">
        <v>0</v>
      </c>
      <c r="AC1080" s="17">
        <v>0</v>
      </c>
      <c r="AD1080" s="17">
        <v>0</v>
      </c>
      <c r="AE1080" s="17">
        <v>0</v>
      </c>
      <c r="AF1080" s="17">
        <v>0</v>
      </c>
      <c r="AG1080" s="17">
        <v>0</v>
      </c>
      <c r="AH1080" s="17">
        <v>0</v>
      </c>
      <c r="AI1080" s="17">
        <v>0</v>
      </c>
      <c r="AJ1080" s="17">
        <v>0</v>
      </c>
      <c r="AK1080" s="17">
        <v>0</v>
      </c>
      <c r="AL1080" s="32">
        <v>0</v>
      </c>
      <c r="AM1080" s="57"/>
      <c r="AN1080" s="89"/>
      <c r="AO1080" s="280"/>
      <c r="AP1080" s="784"/>
      <c r="AQ1080" s="773" t="s">
        <v>271</v>
      </c>
      <c r="AR1080" s="188">
        <v>100</v>
      </c>
      <c r="AS1080" s="171"/>
      <c r="AT1080" s="171" t="str">
        <f t="shared" si="89"/>
        <v>400</v>
      </c>
      <c r="AU1080" s="255">
        <f t="shared" si="90"/>
        <v>22.222222222222221</v>
      </c>
      <c r="AV1080" s="57"/>
      <c r="AW1080" s="171">
        <v>1</v>
      </c>
      <c r="AX1080" s="89"/>
      <c r="AY1080" s="171">
        <v>20</v>
      </c>
      <c r="AZ1080" s="89"/>
      <c r="BA1080" s="175">
        <v>70</v>
      </c>
      <c r="BB1080" s="259"/>
      <c r="BC1080" s="176"/>
      <c r="BD1080" s="179"/>
      <c r="BE1080" s="179"/>
      <c r="BF1080" s="178"/>
      <c r="BG1080" s="25"/>
      <c r="BH1080" s="25"/>
    </row>
    <row r="1081" spans="1:60" ht="15" customHeight="1">
      <c r="A1081" s="95">
        <v>1080</v>
      </c>
      <c r="B1081" s="98" t="s">
        <v>622</v>
      </c>
      <c r="C1081" s="191" t="s">
        <v>2691</v>
      </c>
      <c r="D1081" s="257" t="s">
        <v>549</v>
      </c>
      <c r="E1081" s="459" t="s">
        <v>3377</v>
      </c>
      <c r="F1081" s="171">
        <v>1997</v>
      </c>
      <c r="G1081" s="171">
        <v>223</v>
      </c>
      <c r="H1081" s="57"/>
      <c r="I1081" s="173" t="s">
        <v>2564</v>
      </c>
      <c r="J1081" s="212">
        <f>170/170</f>
        <v>1</v>
      </c>
      <c r="K1081" s="213">
        <v>9.3470588235294123</v>
      </c>
      <c r="L1081" s="91"/>
      <c r="M1081" s="278">
        <v>170</v>
      </c>
      <c r="N1081" s="279"/>
      <c r="O1081" s="172" t="s">
        <v>12</v>
      </c>
      <c r="P1081" s="92"/>
      <c r="Q1081" s="173" t="s">
        <v>10</v>
      </c>
      <c r="R1081" s="507"/>
      <c r="S1081" s="94"/>
      <c r="T1081" s="171" t="s">
        <v>2306</v>
      </c>
      <c r="U1081" s="171" t="s">
        <v>2530</v>
      </c>
      <c r="V1081" s="102">
        <v>0</v>
      </c>
      <c r="W1081" s="120">
        <v>0</v>
      </c>
      <c r="X1081" s="120">
        <f>397/170*100</f>
        <v>233.52941176470588</v>
      </c>
      <c r="Y1081" s="120">
        <v>0</v>
      </c>
      <c r="Z1081" s="120">
        <v>0</v>
      </c>
      <c r="AA1081" s="17">
        <v>0</v>
      </c>
      <c r="AB1081" s="17">
        <v>0</v>
      </c>
      <c r="AC1081" s="17">
        <v>0</v>
      </c>
      <c r="AD1081" s="17">
        <v>0</v>
      </c>
      <c r="AE1081" s="17">
        <v>0</v>
      </c>
      <c r="AF1081" s="17">
        <v>0</v>
      </c>
      <c r="AG1081" s="17">
        <v>0</v>
      </c>
      <c r="AH1081" s="17">
        <v>0</v>
      </c>
      <c r="AI1081" s="17">
        <v>0</v>
      </c>
      <c r="AJ1081" s="17">
        <v>0</v>
      </c>
      <c r="AK1081" s="17">
        <v>0</v>
      </c>
      <c r="AL1081" s="32">
        <v>0</v>
      </c>
      <c r="AM1081" s="57"/>
      <c r="AN1081" s="89"/>
      <c r="AO1081" s="280"/>
      <c r="AP1081" s="784"/>
      <c r="AQ1081" s="773" t="s">
        <v>271</v>
      </c>
      <c r="AR1081" s="188">
        <v>100</v>
      </c>
      <c r="AS1081" s="171"/>
      <c r="AT1081" s="171" t="str">
        <f t="shared" si="89"/>
        <v>400</v>
      </c>
      <c r="AU1081" s="255">
        <f t="shared" si="90"/>
        <v>22.222222222222221</v>
      </c>
      <c r="AV1081" s="57"/>
      <c r="AW1081" s="171">
        <v>1</v>
      </c>
      <c r="AX1081" s="89"/>
      <c r="AY1081" s="171">
        <v>20</v>
      </c>
      <c r="AZ1081" s="89"/>
      <c r="BA1081" s="175">
        <v>70</v>
      </c>
      <c r="BB1081" s="259"/>
      <c r="BC1081" s="176"/>
      <c r="BD1081" s="179"/>
      <c r="BE1081" s="179"/>
      <c r="BF1081" s="178"/>
      <c r="BG1081" s="25"/>
      <c r="BH1081" s="25"/>
    </row>
    <row r="1082" spans="1:60" ht="15" customHeight="1">
      <c r="A1082" s="95">
        <v>1081</v>
      </c>
      <c r="B1082" s="98" t="s">
        <v>621</v>
      </c>
      <c r="C1082" s="191" t="s">
        <v>2691</v>
      </c>
      <c r="D1082" s="257" t="s">
        <v>549</v>
      </c>
      <c r="E1082" s="459" t="s">
        <v>3377</v>
      </c>
      <c r="F1082" s="171">
        <v>1997</v>
      </c>
      <c r="G1082" s="171">
        <v>223</v>
      </c>
      <c r="H1082" s="57"/>
      <c r="I1082" s="173" t="s">
        <v>2564</v>
      </c>
      <c r="J1082" s="212">
        <f>170/397</f>
        <v>0.4282115869017632</v>
      </c>
      <c r="K1082" s="213">
        <v>4.0428211586901766</v>
      </c>
      <c r="L1082" s="91"/>
      <c r="M1082" s="278">
        <v>397</v>
      </c>
      <c r="N1082" s="279"/>
      <c r="O1082" s="172" t="s">
        <v>12</v>
      </c>
      <c r="P1082" s="92"/>
      <c r="Q1082" s="173" t="s">
        <v>10</v>
      </c>
      <c r="R1082" s="507"/>
      <c r="S1082" s="94"/>
      <c r="T1082" s="171" t="s">
        <v>2306</v>
      </c>
      <c r="U1082" s="171" t="s">
        <v>2530</v>
      </c>
      <c r="V1082" s="102">
        <v>0</v>
      </c>
      <c r="W1082" s="120">
        <v>0</v>
      </c>
      <c r="X1082" s="120">
        <f>170/397*100</f>
        <v>42.821158690176318</v>
      </c>
      <c r="Y1082" s="120">
        <v>0</v>
      </c>
      <c r="Z1082" s="120">
        <v>0</v>
      </c>
      <c r="AA1082" s="17">
        <v>0</v>
      </c>
      <c r="AB1082" s="17">
        <v>0</v>
      </c>
      <c r="AC1082" s="17">
        <v>0</v>
      </c>
      <c r="AD1082" s="17">
        <v>0</v>
      </c>
      <c r="AE1082" s="17">
        <v>0</v>
      </c>
      <c r="AF1082" s="17">
        <v>0</v>
      </c>
      <c r="AG1082" s="17">
        <v>0</v>
      </c>
      <c r="AH1082" s="17">
        <v>0</v>
      </c>
      <c r="AI1082" s="17">
        <v>0</v>
      </c>
      <c r="AJ1082" s="17">
        <v>0</v>
      </c>
      <c r="AK1082" s="17">
        <v>0</v>
      </c>
      <c r="AL1082" s="32">
        <v>0</v>
      </c>
      <c r="AM1082" s="57"/>
      <c r="AN1082" s="89"/>
      <c r="AO1082" s="280"/>
      <c r="AP1082" s="784"/>
      <c r="AQ1082" s="773" t="s">
        <v>271</v>
      </c>
      <c r="AR1082" s="188">
        <v>100</v>
      </c>
      <c r="AS1082" s="171"/>
      <c r="AT1082" s="171" t="str">
        <f t="shared" si="89"/>
        <v>400</v>
      </c>
      <c r="AU1082" s="255">
        <f t="shared" si="90"/>
        <v>22.222222222222221</v>
      </c>
      <c r="AV1082" s="57"/>
      <c r="AW1082" s="171">
        <v>1</v>
      </c>
      <c r="AX1082" s="89"/>
      <c r="AY1082" s="171">
        <v>20</v>
      </c>
      <c r="AZ1082" s="89"/>
      <c r="BA1082" s="175">
        <v>70</v>
      </c>
      <c r="BB1082" s="259"/>
      <c r="BC1082" s="176"/>
      <c r="BD1082" s="179"/>
      <c r="BE1082" s="179"/>
      <c r="BF1082" s="178"/>
      <c r="BG1082" s="25"/>
      <c r="BH1082" s="25"/>
    </row>
    <row r="1083" spans="1:60" ht="15" customHeight="1">
      <c r="A1083" s="95">
        <v>1082</v>
      </c>
      <c r="B1083" s="98" t="s">
        <v>620</v>
      </c>
      <c r="C1083" s="191" t="s">
        <v>2691</v>
      </c>
      <c r="D1083" s="257" t="s">
        <v>549</v>
      </c>
      <c r="E1083" s="459" t="s">
        <v>3377</v>
      </c>
      <c r="F1083" s="171">
        <v>1997</v>
      </c>
      <c r="G1083" s="171">
        <v>223</v>
      </c>
      <c r="H1083" s="57"/>
      <c r="I1083" s="173" t="s">
        <v>2564</v>
      </c>
      <c r="J1083" s="212">
        <f>170/284</f>
        <v>0.59859154929577463</v>
      </c>
      <c r="K1083" s="213">
        <v>5.623239436619718</v>
      </c>
      <c r="L1083" s="91"/>
      <c r="M1083" s="278">
        <v>284</v>
      </c>
      <c r="N1083" s="279"/>
      <c r="O1083" s="172" t="s">
        <v>12</v>
      </c>
      <c r="P1083" s="92"/>
      <c r="Q1083" s="173" t="s">
        <v>10</v>
      </c>
      <c r="R1083" s="507"/>
      <c r="S1083" s="94"/>
      <c r="T1083" s="171" t="s">
        <v>2306</v>
      </c>
      <c r="U1083" s="171" t="s">
        <v>2530</v>
      </c>
      <c r="V1083" s="102">
        <v>0</v>
      </c>
      <c r="W1083" s="120">
        <v>0</v>
      </c>
      <c r="X1083" s="120">
        <v>100</v>
      </c>
      <c r="Y1083" s="120">
        <v>0</v>
      </c>
      <c r="Z1083" s="120">
        <v>0</v>
      </c>
      <c r="AA1083" s="17">
        <v>0</v>
      </c>
      <c r="AB1083" s="17">
        <v>0</v>
      </c>
      <c r="AC1083" s="17">
        <v>0</v>
      </c>
      <c r="AD1083" s="17">
        <v>0</v>
      </c>
      <c r="AE1083" s="17">
        <v>0</v>
      </c>
      <c r="AF1083" s="17">
        <v>0</v>
      </c>
      <c r="AG1083" s="17">
        <v>0</v>
      </c>
      <c r="AH1083" s="17">
        <v>0</v>
      </c>
      <c r="AI1083" s="17">
        <v>0</v>
      </c>
      <c r="AJ1083" s="17">
        <v>0</v>
      </c>
      <c r="AK1083" s="17">
        <v>0</v>
      </c>
      <c r="AL1083" s="32">
        <v>0</v>
      </c>
      <c r="AM1083" s="57"/>
      <c r="AN1083" s="89"/>
      <c r="AO1083" s="280"/>
      <c r="AP1083" s="784"/>
      <c r="AQ1083" s="773" t="s">
        <v>271</v>
      </c>
      <c r="AR1083" s="188">
        <v>100</v>
      </c>
      <c r="AS1083" s="171"/>
      <c r="AT1083" s="171" t="str">
        <f t="shared" si="89"/>
        <v>400</v>
      </c>
      <c r="AU1083" s="255">
        <f t="shared" si="90"/>
        <v>22.222222222222221</v>
      </c>
      <c r="AV1083" s="57"/>
      <c r="AW1083" s="171">
        <v>1</v>
      </c>
      <c r="AX1083" s="89"/>
      <c r="AY1083" s="171">
        <v>20</v>
      </c>
      <c r="AZ1083" s="89"/>
      <c r="BA1083" s="175">
        <v>70</v>
      </c>
      <c r="BB1083" s="259"/>
      <c r="BC1083" s="176"/>
      <c r="BD1083" s="179"/>
      <c r="BE1083" s="179"/>
      <c r="BF1083" s="178"/>
      <c r="BG1083" s="25"/>
      <c r="BH1083" s="25"/>
    </row>
    <row r="1084" spans="1:60" ht="15" customHeight="1">
      <c r="A1084" s="95">
        <v>1083</v>
      </c>
      <c r="B1084" s="98" t="s">
        <v>619</v>
      </c>
      <c r="C1084" s="191" t="s">
        <v>2691</v>
      </c>
      <c r="D1084" s="257" t="s">
        <v>549</v>
      </c>
      <c r="E1084" s="459" t="s">
        <v>3377</v>
      </c>
      <c r="F1084" s="171">
        <v>1997</v>
      </c>
      <c r="G1084" s="171">
        <v>223</v>
      </c>
      <c r="H1084" s="57"/>
      <c r="I1084" s="173" t="s">
        <v>2564</v>
      </c>
      <c r="J1084" s="212">
        <f>170/170</f>
        <v>1</v>
      </c>
      <c r="K1084" s="213">
        <v>9.3470588235294123</v>
      </c>
      <c r="L1084" s="91"/>
      <c r="M1084" s="278">
        <v>170</v>
      </c>
      <c r="N1084" s="279"/>
      <c r="O1084" s="172" t="s">
        <v>12</v>
      </c>
      <c r="P1084" s="92"/>
      <c r="Q1084" s="173" t="s">
        <v>10</v>
      </c>
      <c r="R1084" s="94"/>
      <c r="S1084" s="94"/>
      <c r="T1084" s="171" t="s">
        <v>2306</v>
      </c>
      <c r="U1084" s="171" t="s">
        <v>2530</v>
      </c>
      <c r="V1084" s="102">
        <v>0</v>
      </c>
      <c r="W1084" s="120">
        <v>0</v>
      </c>
      <c r="X1084" s="120">
        <v>233.5</v>
      </c>
      <c r="Y1084" s="120">
        <v>0</v>
      </c>
      <c r="Z1084" s="120">
        <v>0</v>
      </c>
      <c r="AA1084" s="17">
        <v>0</v>
      </c>
      <c r="AB1084" s="17">
        <v>0</v>
      </c>
      <c r="AC1084" s="17">
        <v>0</v>
      </c>
      <c r="AD1084" s="17">
        <v>0</v>
      </c>
      <c r="AE1084" s="17">
        <v>0</v>
      </c>
      <c r="AF1084" s="17">
        <v>0</v>
      </c>
      <c r="AG1084" s="17">
        <v>0</v>
      </c>
      <c r="AH1084" s="17">
        <v>0</v>
      </c>
      <c r="AI1084" s="17">
        <v>0</v>
      </c>
      <c r="AJ1084" s="17">
        <v>0</v>
      </c>
      <c r="AK1084" s="17">
        <v>0</v>
      </c>
      <c r="AL1084" s="32">
        <v>0</v>
      </c>
      <c r="AM1084" s="57"/>
      <c r="AN1084" s="89"/>
      <c r="AO1084" s="280"/>
      <c r="AP1084" s="784"/>
      <c r="AQ1084" s="773" t="s">
        <v>271</v>
      </c>
      <c r="AR1084" s="188">
        <v>100</v>
      </c>
      <c r="AS1084" s="171"/>
      <c r="AT1084" s="171" t="str">
        <f t="shared" si="89"/>
        <v>400</v>
      </c>
      <c r="AU1084" s="255">
        <f t="shared" si="90"/>
        <v>22.222222222222221</v>
      </c>
      <c r="AV1084" s="57"/>
      <c r="AW1084" s="171">
        <v>1</v>
      </c>
      <c r="AX1084" s="89"/>
      <c r="AY1084" s="171">
        <v>20</v>
      </c>
      <c r="AZ1084" s="89"/>
      <c r="BA1084" s="175">
        <v>70</v>
      </c>
      <c r="BB1084" s="259"/>
      <c r="BC1084" s="176"/>
      <c r="BD1084" s="179"/>
      <c r="BE1084" s="179"/>
      <c r="BF1084" s="178"/>
      <c r="BG1084" s="25"/>
      <c r="BH1084" s="25"/>
    </row>
    <row r="1085" spans="1:60" ht="15" customHeight="1">
      <c r="A1085" s="95">
        <v>1084</v>
      </c>
      <c r="B1085" s="98" t="s">
        <v>618</v>
      </c>
      <c r="C1085" s="191" t="s">
        <v>2697</v>
      </c>
      <c r="D1085" s="257" t="s">
        <v>549</v>
      </c>
      <c r="E1085" s="459" t="s">
        <v>3377</v>
      </c>
      <c r="F1085" s="171">
        <v>1997</v>
      </c>
      <c r="G1085" s="171">
        <v>224</v>
      </c>
      <c r="H1085" s="57"/>
      <c r="I1085" s="173" t="s">
        <v>2564</v>
      </c>
      <c r="J1085" s="277">
        <v>0.6</v>
      </c>
      <c r="K1085" s="213">
        <v>5.549206349206349</v>
      </c>
      <c r="L1085" s="91"/>
      <c r="M1085" s="278">
        <v>315</v>
      </c>
      <c r="N1085" s="279"/>
      <c r="O1085" s="57"/>
      <c r="P1085" s="89"/>
      <c r="Q1085" s="88"/>
      <c r="R1085" s="89"/>
      <c r="S1085" s="94"/>
      <c r="T1085" s="89"/>
      <c r="U1085" s="89"/>
      <c r="V1085" s="102">
        <v>0</v>
      </c>
      <c r="W1085" s="120">
        <v>0</v>
      </c>
      <c r="X1085" s="120">
        <v>0</v>
      </c>
      <c r="Y1085" s="120">
        <v>0</v>
      </c>
      <c r="Z1085" s="120">
        <v>0</v>
      </c>
      <c r="AA1085" s="17">
        <v>0</v>
      </c>
      <c r="AB1085" s="17">
        <v>0</v>
      </c>
      <c r="AC1085" s="17">
        <v>0</v>
      </c>
      <c r="AD1085" s="17">
        <v>0</v>
      </c>
      <c r="AE1085" s="17">
        <v>0</v>
      </c>
      <c r="AF1085" s="17">
        <v>0</v>
      </c>
      <c r="AG1085" s="17">
        <v>0</v>
      </c>
      <c r="AH1085" s="17">
        <v>0</v>
      </c>
      <c r="AI1085" s="17">
        <v>0</v>
      </c>
      <c r="AJ1085" s="17">
        <v>0</v>
      </c>
      <c r="AK1085" s="17">
        <v>0</v>
      </c>
      <c r="AL1085" s="32">
        <v>0</v>
      </c>
      <c r="AM1085" s="780">
        <v>25.3</v>
      </c>
      <c r="AN1085" s="89"/>
      <c r="AO1085" s="280"/>
      <c r="AP1085" s="784"/>
      <c r="AQ1085" s="773" t="s">
        <v>614</v>
      </c>
      <c r="AR1085" s="188">
        <v>80</v>
      </c>
      <c r="AS1085" s="171">
        <v>100</v>
      </c>
      <c r="AT1085" s="171" t="str">
        <f t="shared" si="89"/>
        <v>500</v>
      </c>
      <c r="AU1085" s="255">
        <f t="shared" si="90"/>
        <v>20.408163265306122</v>
      </c>
      <c r="AV1085" s="172">
        <v>50</v>
      </c>
      <c r="AW1085" s="171">
        <v>7</v>
      </c>
      <c r="AX1085" s="89"/>
      <c r="AY1085" s="171">
        <v>20</v>
      </c>
      <c r="AZ1085" s="89"/>
      <c r="BA1085" s="175">
        <v>60</v>
      </c>
      <c r="BB1085" s="189" t="s">
        <v>2563</v>
      </c>
      <c r="BC1085" s="176"/>
      <c r="BD1085" s="179"/>
      <c r="BE1085" s="179"/>
      <c r="BF1085" s="178"/>
      <c r="BG1085" s="25"/>
      <c r="BH1085" s="25"/>
    </row>
    <row r="1086" spans="1:60" ht="15" customHeight="1">
      <c r="A1086" s="95">
        <v>1085</v>
      </c>
      <c r="B1086" s="98" t="s">
        <v>617</v>
      </c>
      <c r="C1086" s="191" t="s">
        <v>2697</v>
      </c>
      <c r="D1086" s="257" t="s">
        <v>549</v>
      </c>
      <c r="E1086" s="459" t="s">
        <v>3377</v>
      </c>
      <c r="F1086" s="171">
        <v>1997</v>
      </c>
      <c r="G1086" s="171">
        <v>224</v>
      </c>
      <c r="H1086" s="57"/>
      <c r="I1086" s="173" t="s">
        <v>2564</v>
      </c>
      <c r="J1086" s="277">
        <v>0.6</v>
      </c>
      <c r="K1086" s="213">
        <v>6.4858156028368796</v>
      </c>
      <c r="L1086" s="91"/>
      <c r="M1086" s="278">
        <v>282</v>
      </c>
      <c r="N1086" s="279"/>
      <c r="O1086" s="57"/>
      <c r="P1086" s="89"/>
      <c r="Q1086" s="88"/>
      <c r="R1086" s="89"/>
      <c r="S1086" s="94"/>
      <c r="T1086" s="89"/>
      <c r="U1086" s="89"/>
      <c r="V1086" s="102">
        <v>0</v>
      </c>
      <c r="W1086" s="120">
        <v>0</v>
      </c>
      <c r="X1086" s="120">
        <v>0</v>
      </c>
      <c r="Y1086" s="120">
        <v>0</v>
      </c>
      <c r="Z1086" s="120">
        <v>0</v>
      </c>
      <c r="AA1086" s="17">
        <v>0</v>
      </c>
      <c r="AB1086" s="17">
        <v>0</v>
      </c>
      <c r="AC1086" s="17">
        <v>0</v>
      </c>
      <c r="AD1086" s="17">
        <v>0</v>
      </c>
      <c r="AE1086" s="17">
        <v>0</v>
      </c>
      <c r="AF1086" s="17">
        <v>0</v>
      </c>
      <c r="AG1086" s="17">
        <v>0</v>
      </c>
      <c r="AH1086" s="17">
        <v>0</v>
      </c>
      <c r="AI1086" s="17">
        <v>0</v>
      </c>
      <c r="AJ1086" s="17">
        <v>0</v>
      </c>
      <c r="AK1086" s="17">
        <v>0</v>
      </c>
      <c r="AL1086" s="32">
        <v>0</v>
      </c>
      <c r="AM1086" s="780">
        <v>24.1</v>
      </c>
      <c r="AN1086" s="89"/>
      <c r="AO1086" s="280"/>
      <c r="AP1086" s="784"/>
      <c r="AQ1086" s="773" t="s">
        <v>614</v>
      </c>
      <c r="AR1086" s="188">
        <v>80</v>
      </c>
      <c r="AS1086" s="171">
        <v>100</v>
      </c>
      <c r="AT1086" s="171" t="str">
        <f t="shared" si="89"/>
        <v>500</v>
      </c>
      <c r="AU1086" s="255">
        <f t="shared" si="90"/>
        <v>20.408163265306122</v>
      </c>
      <c r="AV1086" s="172">
        <v>50</v>
      </c>
      <c r="AW1086" s="171">
        <v>7</v>
      </c>
      <c r="AX1086" s="89"/>
      <c r="AY1086" s="171">
        <v>20</v>
      </c>
      <c r="AZ1086" s="89"/>
      <c r="BA1086" s="175">
        <v>60</v>
      </c>
      <c r="BB1086" s="189" t="s">
        <v>2563</v>
      </c>
      <c r="BC1086" s="176"/>
      <c r="BD1086" s="179"/>
      <c r="BE1086" s="179"/>
      <c r="BF1086" s="178"/>
      <c r="BG1086" s="25"/>
      <c r="BH1086" s="25"/>
    </row>
    <row r="1087" spans="1:60" ht="15" customHeight="1">
      <c r="A1087" s="95">
        <v>1086</v>
      </c>
      <c r="B1087" s="98" t="s">
        <v>616</v>
      </c>
      <c r="C1087" s="191" t="s">
        <v>2697</v>
      </c>
      <c r="D1087" s="257" t="s">
        <v>549</v>
      </c>
      <c r="E1087" s="459" t="s">
        <v>3377</v>
      </c>
      <c r="F1087" s="171">
        <v>1997</v>
      </c>
      <c r="G1087" s="171">
        <v>224</v>
      </c>
      <c r="H1087" s="57"/>
      <c r="I1087" s="173" t="s">
        <v>2564</v>
      </c>
      <c r="J1087" s="277">
        <v>0.6</v>
      </c>
      <c r="K1087" s="213">
        <v>5.549206349206349</v>
      </c>
      <c r="L1087" s="91"/>
      <c r="M1087" s="278">
        <v>315</v>
      </c>
      <c r="N1087" s="279"/>
      <c r="O1087" s="57"/>
      <c r="P1087" s="89"/>
      <c r="Q1087" s="88"/>
      <c r="R1087" s="89"/>
      <c r="S1087" s="94"/>
      <c r="T1087" s="89"/>
      <c r="U1087" s="89"/>
      <c r="V1087" s="102">
        <v>0</v>
      </c>
      <c r="W1087" s="120">
        <v>0</v>
      </c>
      <c r="X1087" s="120">
        <v>0</v>
      </c>
      <c r="Y1087" s="120">
        <v>0</v>
      </c>
      <c r="Z1087" s="120">
        <v>0</v>
      </c>
      <c r="AA1087" s="17">
        <v>0</v>
      </c>
      <c r="AB1087" s="17">
        <v>0</v>
      </c>
      <c r="AC1087" s="17">
        <v>0</v>
      </c>
      <c r="AD1087" s="17">
        <v>0</v>
      </c>
      <c r="AE1087" s="17">
        <v>0</v>
      </c>
      <c r="AF1087" s="17">
        <v>0</v>
      </c>
      <c r="AG1087" s="17">
        <v>0</v>
      </c>
      <c r="AH1087" s="17">
        <v>0</v>
      </c>
      <c r="AI1087" s="17">
        <v>0</v>
      </c>
      <c r="AJ1087" s="17">
        <v>0</v>
      </c>
      <c r="AK1087" s="17">
        <v>0</v>
      </c>
      <c r="AL1087" s="32">
        <v>0</v>
      </c>
      <c r="AM1087" s="780">
        <v>24.1</v>
      </c>
      <c r="AN1087" s="89"/>
      <c r="AO1087" s="280"/>
      <c r="AP1087" s="784"/>
      <c r="AQ1087" s="773" t="s">
        <v>614</v>
      </c>
      <c r="AR1087" s="188">
        <v>80</v>
      </c>
      <c r="AS1087" s="171">
        <v>100</v>
      </c>
      <c r="AT1087" s="171" t="str">
        <f t="shared" si="89"/>
        <v>500</v>
      </c>
      <c r="AU1087" s="255">
        <f t="shared" si="90"/>
        <v>20.408163265306122</v>
      </c>
      <c r="AV1087" s="42" t="s">
        <v>521</v>
      </c>
      <c r="AW1087" s="171">
        <v>7</v>
      </c>
      <c r="AX1087" s="89"/>
      <c r="AY1087" s="171">
        <v>20</v>
      </c>
      <c r="AZ1087" s="89"/>
      <c r="BA1087" s="175">
        <v>60</v>
      </c>
      <c r="BB1087" s="752" t="s">
        <v>613</v>
      </c>
      <c r="BC1087" s="176"/>
      <c r="BD1087" s="179"/>
      <c r="BE1087" s="179"/>
      <c r="BF1087" s="77"/>
      <c r="BG1087" s="25"/>
      <c r="BH1087" s="25"/>
    </row>
    <row r="1088" spans="1:60" ht="15" customHeight="1">
      <c r="A1088" s="95">
        <v>1087</v>
      </c>
      <c r="B1088" s="98" t="s">
        <v>615</v>
      </c>
      <c r="C1088" s="191" t="s">
        <v>2697</v>
      </c>
      <c r="D1088" s="257" t="s">
        <v>549</v>
      </c>
      <c r="E1088" s="459" t="s">
        <v>3377</v>
      </c>
      <c r="F1088" s="171">
        <v>1997</v>
      </c>
      <c r="G1088" s="171">
        <v>224</v>
      </c>
      <c r="H1088" s="57"/>
      <c r="I1088" s="173" t="s">
        <v>2564</v>
      </c>
      <c r="J1088" s="277">
        <v>0.6</v>
      </c>
      <c r="K1088" s="213">
        <v>6.4858156028368796</v>
      </c>
      <c r="L1088" s="91"/>
      <c r="M1088" s="278">
        <v>282</v>
      </c>
      <c r="N1088" s="279"/>
      <c r="O1088" s="57"/>
      <c r="P1088" s="89"/>
      <c r="Q1088" s="88"/>
      <c r="R1088" s="89"/>
      <c r="S1088" s="94"/>
      <c r="T1088" s="89"/>
      <c r="U1088" s="89"/>
      <c r="V1088" s="102">
        <v>0</v>
      </c>
      <c r="W1088" s="120">
        <v>0</v>
      </c>
      <c r="X1088" s="120">
        <v>0</v>
      </c>
      <c r="Y1088" s="120">
        <v>0</v>
      </c>
      <c r="Z1088" s="120">
        <v>0</v>
      </c>
      <c r="AA1088" s="17">
        <v>0</v>
      </c>
      <c r="AB1088" s="17">
        <v>0</v>
      </c>
      <c r="AC1088" s="17">
        <v>0</v>
      </c>
      <c r="AD1088" s="17">
        <v>0</v>
      </c>
      <c r="AE1088" s="17">
        <v>0</v>
      </c>
      <c r="AF1088" s="17">
        <v>0</v>
      </c>
      <c r="AG1088" s="17">
        <v>0</v>
      </c>
      <c r="AH1088" s="17">
        <v>0</v>
      </c>
      <c r="AI1088" s="17">
        <v>0</v>
      </c>
      <c r="AJ1088" s="17">
        <v>0</v>
      </c>
      <c r="AK1088" s="17">
        <v>0</v>
      </c>
      <c r="AL1088" s="32">
        <v>0</v>
      </c>
      <c r="AM1088" s="780">
        <v>22.1</v>
      </c>
      <c r="AN1088" s="89"/>
      <c r="AO1088" s="280"/>
      <c r="AP1088" s="784"/>
      <c r="AQ1088" s="773" t="s">
        <v>614</v>
      </c>
      <c r="AR1088" s="188">
        <v>80</v>
      </c>
      <c r="AS1088" s="171">
        <v>100</v>
      </c>
      <c r="AT1088" s="171" t="str">
        <f t="shared" si="89"/>
        <v>500</v>
      </c>
      <c r="AU1088" s="255">
        <f t="shared" si="90"/>
        <v>20.408163265306122</v>
      </c>
      <c r="AV1088" s="42" t="s">
        <v>521</v>
      </c>
      <c r="AW1088" s="171">
        <v>7</v>
      </c>
      <c r="AX1088" s="89"/>
      <c r="AY1088" s="171">
        <v>20</v>
      </c>
      <c r="AZ1088" s="89"/>
      <c r="BA1088" s="175">
        <v>60</v>
      </c>
      <c r="BB1088" s="752" t="s">
        <v>613</v>
      </c>
      <c r="BC1088" s="176"/>
      <c r="BD1088" s="179"/>
      <c r="BE1088" s="179"/>
      <c r="BF1088" s="77"/>
      <c r="BG1088" s="25"/>
      <c r="BH1088" s="25"/>
    </row>
    <row r="1089" spans="1:60" ht="15" customHeight="1">
      <c r="A1089" s="95">
        <v>1088</v>
      </c>
      <c r="B1089" s="98" t="s">
        <v>612</v>
      </c>
      <c r="C1089" s="191" t="s">
        <v>2698</v>
      </c>
      <c r="D1089" s="257" t="s">
        <v>549</v>
      </c>
      <c r="E1089" s="459" t="s">
        <v>3377</v>
      </c>
      <c r="F1089" s="171">
        <v>1997</v>
      </c>
      <c r="G1089" s="171">
        <v>225</v>
      </c>
      <c r="H1089" s="57"/>
      <c r="I1089" s="173" t="s">
        <v>2564</v>
      </c>
      <c r="J1089" s="212">
        <f>190/455</f>
        <v>0.4175824175824176</v>
      </c>
      <c r="K1089" s="213">
        <v>3.5274725274725274</v>
      </c>
      <c r="L1089" s="91"/>
      <c r="M1089" s="278">
        <v>455</v>
      </c>
      <c r="N1089" s="279"/>
      <c r="O1089" s="172" t="s">
        <v>12</v>
      </c>
      <c r="P1089" s="92"/>
      <c r="Q1089" s="173" t="s">
        <v>10</v>
      </c>
      <c r="R1089" s="89"/>
      <c r="S1089" s="94"/>
      <c r="T1089" s="89"/>
      <c r="U1089" s="89"/>
      <c r="V1089" s="102">
        <v>0</v>
      </c>
      <c r="W1089" s="120">
        <v>0</v>
      </c>
      <c r="X1089" s="120">
        <v>0</v>
      </c>
      <c r="Y1089" s="120">
        <v>0</v>
      </c>
      <c r="Z1089" s="120">
        <v>0</v>
      </c>
      <c r="AA1089" s="17">
        <v>0</v>
      </c>
      <c r="AB1089" s="17">
        <v>0</v>
      </c>
      <c r="AC1089" s="17">
        <v>0</v>
      </c>
      <c r="AD1089" s="17">
        <v>0</v>
      </c>
      <c r="AE1089" s="17">
        <v>0</v>
      </c>
      <c r="AF1089" s="17">
        <v>0</v>
      </c>
      <c r="AG1089" s="17">
        <v>0</v>
      </c>
      <c r="AH1089" s="17">
        <v>0</v>
      </c>
      <c r="AI1089" s="17">
        <v>0</v>
      </c>
      <c r="AJ1089" s="17">
        <v>0</v>
      </c>
      <c r="AK1089" s="17">
        <v>0</v>
      </c>
      <c r="AL1089" s="32">
        <v>0</v>
      </c>
      <c r="AM1089" s="57"/>
      <c r="AN1089" s="89"/>
      <c r="AO1089" s="280"/>
      <c r="AP1089" s="784"/>
      <c r="AQ1089" s="773" t="s">
        <v>271</v>
      </c>
      <c r="AR1089" s="188">
        <v>100</v>
      </c>
      <c r="AS1089" s="171"/>
      <c r="AT1089" s="171" t="str">
        <f t="shared" si="89"/>
        <v>400</v>
      </c>
      <c r="AU1089" s="255">
        <f t="shared" si="90"/>
        <v>22.222222222222221</v>
      </c>
      <c r="AV1089" s="57"/>
      <c r="AW1089" s="171">
        <v>7</v>
      </c>
      <c r="AX1089" s="89"/>
      <c r="AY1089" s="171">
        <v>20</v>
      </c>
      <c r="AZ1089" s="89"/>
      <c r="BA1089" s="175">
        <v>60</v>
      </c>
      <c r="BB1089" s="259"/>
      <c r="BC1089" s="176"/>
      <c r="BD1089" s="179"/>
      <c r="BE1089" s="179"/>
      <c r="BF1089" s="178"/>
      <c r="BG1089" s="25"/>
      <c r="BH1089" s="25"/>
    </row>
    <row r="1090" spans="1:60" ht="15" customHeight="1">
      <c r="A1090" s="95">
        <v>1089</v>
      </c>
      <c r="B1090" s="98" t="s">
        <v>611</v>
      </c>
      <c r="C1090" s="191" t="s">
        <v>2698</v>
      </c>
      <c r="D1090" s="257" t="s">
        <v>549</v>
      </c>
      <c r="E1090" s="459" t="s">
        <v>3377</v>
      </c>
      <c r="F1090" s="171">
        <v>1997</v>
      </c>
      <c r="G1090" s="171">
        <v>225</v>
      </c>
      <c r="H1090" s="57"/>
      <c r="I1090" s="173" t="s">
        <v>2564</v>
      </c>
      <c r="J1090" s="212">
        <f>190/330</f>
        <v>0.5757575757575758</v>
      </c>
      <c r="K1090" s="213">
        <v>4.8969696969696965</v>
      </c>
      <c r="L1090" s="91"/>
      <c r="M1090" s="278">
        <v>330</v>
      </c>
      <c r="N1090" s="279"/>
      <c r="O1090" s="172" t="s">
        <v>12</v>
      </c>
      <c r="P1090" s="92"/>
      <c r="Q1090" s="173" t="s">
        <v>10</v>
      </c>
      <c r="R1090" s="89"/>
      <c r="S1090" s="94"/>
      <c r="T1090" s="89"/>
      <c r="U1090" s="89"/>
      <c r="V1090" s="102">
        <v>0</v>
      </c>
      <c r="W1090" s="120">
        <v>0</v>
      </c>
      <c r="X1090" s="120">
        <f>125/330*100</f>
        <v>37.878787878787875</v>
      </c>
      <c r="Y1090" s="120">
        <v>0</v>
      </c>
      <c r="Z1090" s="120">
        <v>0</v>
      </c>
      <c r="AA1090" s="17">
        <v>0</v>
      </c>
      <c r="AB1090" s="17">
        <v>0</v>
      </c>
      <c r="AC1090" s="17">
        <v>0</v>
      </c>
      <c r="AD1090" s="17">
        <v>0</v>
      </c>
      <c r="AE1090" s="17">
        <v>0</v>
      </c>
      <c r="AF1090" s="17">
        <v>0</v>
      </c>
      <c r="AG1090" s="17">
        <v>0</v>
      </c>
      <c r="AH1090" s="17">
        <v>0</v>
      </c>
      <c r="AI1090" s="17">
        <v>0</v>
      </c>
      <c r="AJ1090" s="17">
        <v>0</v>
      </c>
      <c r="AK1090" s="17">
        <v>0</v>
      </c>
      <c r="AL1090" s="32">
        <v>0</v>
      </c>
      <c r="AM1090" s="57"/>
      <c r="AN1090" s="89"/>
      <c r="AO1090" s="280"/>
      <c r="AP1090" s="784"/>
      <c r="AQ1090" s="773" t="s">
        <v>271</v>
      </c>
      <c r="AR1090" s="188">
        <v>100</v>
      </c>
      <c r="AS1090" s="171"/>
      <c r="AT1090" s="171" t="str">
        <f t="shared" si="89"/>
        <v>400</v>
      </c>
      <c r="AU1090" s="255">
        <f t="shared" si="90"/>
        <v>22.222222222222221</v>
      </c>
      <c r="AV1090" s="57"/>
      <c r="AW1090" s="171">
        <v>7</v>
      </c>
      <c r="AX1090" s="89"/>
      <c r="AY1090" s="171">
        <v>20</v>
      </c>
      <c r="AZ1090" s="89"/>
      <c r="BA1090" s="175">
        <v>60</v>
      </c>
      <c r="BB1090" s="259"/>
      <c r="BC1090" s="176"/>
      <c r="BD1090" s="179"/>
      <c r="BE1090" s="179"/>
      <c r="BF1090" s="178"/>
      <c r="BG1090" s="25"/>
      <c r="BH1090" s="25"/>
    </row>
    <row r="1091" spans="1:60" ht="15" customHeight="1">
      <c r="A1091" s="95">
        <v>1090</v>
      </c>
      <c r="B1091" s="98" t="s">
        <v>610</v>
      </c>
      <c r="C1091" s="191" t="s">
        <v>2698</v>
      </c>
      <c r="D1091" s="257" t="s">
        <v>549</v>
      </c>
      <c r="E1091" s="459" t="s">
        <v>3377</v>
      </c>
      <c r="F1091" s="171">
        <v>1997</v>
      </c>
      <c r="G1091" s="171">
        <v>225</v>
      </c>
      <c r="H1091" s="57"/>
      <c r="I1091" s="173" t="s">
        <v>2564</v>
      </c>
      <c r="J1091" s="212">
        <f>190/205</f>
        <v>0.92682926829268297</v>
      </c>
      <c r="K1091" s="213">
        <v>7.8829268292682926</v>
      </c>
      <c r="L1091" s="91"/>
      <c r="M1091" s="278">
        <v>205</v>
      </c>
      <c r="N1091" s="279"/>
      <c r="O1091" s="172" t="s">
        <v>12</v>
      </c>
      <c r="P1091" s="92"/>
      <c r="Q1091" s="173" t="s">
        <v>10</v>
      </c>
      <c r="R1091" s="89"/>
      <c r="S1091" s="94"/>
      <c r="T1091" s="89"/>
      <c r="U1091" s="89"/>
      <c r="V1091" s="102">
        <v>0</v>
      </c>
      <c r="W1091" s="120">
        <v>0</v>
      </c>
      <c r="X1091" s="120">
        <f>251/205*100</f>
        <v>122.4390243902439</v>
      </c>
      <c r="Y1091" s="120">
        <v>0</v>
      </c>
      <c r="Z1091" s="120">
        <v>0</v>
      </c>
      <c r="AA1091" s="17">
        <v>0</v>
      </c>
      <c r="AB1091" s="17">
        <v>0</v>
      </c>
      <c r="AC1091" s="17">
        <v>0</v>
      </c>
      <c r="AD1091" s="17">
        <v>0</v>
      </c>
      <c r="AE1091" s="17">
        <v>0</v>
      </c>
      <c r="AF1091" s="17">
        <v>0</v>
      </c>
      <c r="AG1091" s="17">
        <v>0</v>
      </c>
      <c r="AH1091" s="17">
        <v>0</v>
      </c>
      <c r="AI1091" s="17">
        <v>0</v>
      </c>
      <c r="AJ1091" s="17">
        <v>0</v>
      </c>
      <c r="AK1091" s="17">
        <v>0</v>
      </c>
      <c r="AL1091" s="32">
        <v>0</v>
      </c>
      <c r="AM1091" s="57"/>
      <c r="AN1091" s="89"/>
      <c r="AO1091" s="280"/>
      <c r="AP1091" s="784"/>
      <c r="AQ1091" s="773" t="s">
        <v>271</v>
      </c>
      <c r="AR1091" s="188">
        <v>100</v>
      </c>
      <c r="AS1091" s="171"/>
      <c r="AT1091" s="171" t="str">
        <f t="shared" si="89"/>
        <v>400</v>
      </c>
      <c r="AU1091" s="255">
        <f t="shared" si="90"/>
        <v>22.222222222222221</v>
      </c>
      <c r="AV1091" s="57"/>
      <c r="AW1091" s="171">
        <v>7</v>
      </c>
      <c r="AX1091" s="89"/>
      <c r="AY1091" s="171">
        <v>20</v>
      </c>
      <c r="AZ1091" s="89"/>
      <c r="BA1091" s="175">
        <v>60</v>
      </c>
      <c r="BB1091" s="259"/>
      <c r="BC1091" s="176"/>
      <c r="BD1091" s="179"/>
      <c r="BE1091" s="179"/>
      <c r="BF1091" s="178"/>
      <c r="BG1091" s="25"/>
      <c r="BH1091" s="25"/>
    </row>
    <row r="1092" spans="1:60" ht="15" customHeight="1">
      <c r="A1092" s="95">
        <v>1091</v>
      </c>
      <c r="B1092" s="98" t="s">
        <v>609</v>
      </c>
      <c r="C1092" s="191" t="s">
        <v>2698</v>
      </c>
      <c r="D1092" s="257" t="s">
        <v>549</v>
      </c>
      <c r="E1092" s="459" t="s">
        <v>3377</v>
      </c>
      <c r="F1092" s="171">
        <v>1997</v>
      </c>
      <c r="G1092" s="171">
        <v>225</v>
      </c>
      <c r="H1092" s="57"/>
      <c r="I1092" s="173" t="s">
        <v>2564</v>
      </c>
      <c r="J1092" s="212">
        <f>190/205</f>
        <v>0.92682926829268297</v>
      </c>
      <c r="K1092" s="213">
        <v>7.8829268292682926</v>
      </c>
      <c r="L1092" s="91"/>
      <c r="M1092" s="278">
        <v>205</v>
      </c>
      <c r="N1092" s="279"/>
      <c r="O1092" s="172" t="s">
        <v>12</v>
      </c>
      <c r="P1092" s="92"/>
      <c r="Q1092" s="173" t="s">
        <v>10</v>
      </c>
      <c r="R1092" s="89"/>
      <c r="S1092" s="94"/>
      <c r="T1092" s="89"/>
      <c r="U1092" s="89"/>
      <c r="V1092" s="102">
        <v>0</v>
      </c>
      <c r="W1092" s="120">
        <v>0</v>
      </c>
      <c r="X1092" s="120">
        <f>125/330*100</f>
        <v>37.878787878787875</v>
      </c>
      <c r="Y1092" s="120">
        <v>0</v>
      </c>
      <c r="Z1092" s="120">
        <v>0</v>
      </c>
      <c r="AA1092" s="17">
        <v>0</v>
      </c>
      <c r="AB1092" s="17">
        <v>0</v>
      </c>
      <c r="AC1092" s="17">
        <v>0</v>
      </c>
      <c r="AD1092" s="17">
        <v>0</v>
      </c>
      <c r="AE1092" s="17">
        <v>0</v>
      </c>
      <c r="AF1092" s="17">
        <v>0</v>
      </c>
      <c r="AG1092" s="17">
        <v>0</v>
      </c>
      <c r="AH1092" s="17">
        <v>0</v>
      </c>
      <c r="AI1092" s="17">
        <v>0</v>
      </c>
      <c r="AJ1092" s="17">
        <v>0</v>
      </c>
      <c r="AK1092" s="17">
        <v>0</v>
      </c>
      <c r="AL1092" s="32">
        <v>0</v>
      </c>
      <c r="AM1092" s="57"/>
      <c r="AN1092" s="89"/>
      <c r="AO1092" s="280"/>
      <c r="AP1092" s="784"/>
      <c r="AQ1092" s="773" t="s">
        <v>271</v>
      </c>
      <c r="AR1092" s="188">
        <v>100</v>
      </c>
      <c r="AS1092" s="171"/>
      <c r="AT1092" s="171" t="str">
        <f t="shared" si="89"/>
        <v>400</v>
      </c>
      <c r="AU1092" s="255">
        <f t="shared" si="90"/>
        <v>22.222222222222221</v>
      </c>
      <c r="AV1092" s="57"/>
      <c r="AW1092" s="171">
        <v>7</v>
      </c>
      <c r="AX1092" s="89"/>
      <c r="AY1092" s="171">
        <v>20</v>
      </c>
      <c r="AZ1092" s="89"/>
      <c r="BA1092" s="175">
        <v>60</v>
      </c>
      <c r="BB1092" s="259"/>
      <c r="BC1092" s="176"/>
      <c r="BD1092" s="179"/>
      <c r="BE1092" s="179"/>
      <c r="BF1092" s="178"/>
      <c r="BG1092" s="25"/>
      <c r="BH1092" s="25"/>
    </row>
    <row r="1093" spans="1:60" ht="15" customHeight="1">
      <c r="A1093" s="95">
        <v>1092</v>
      </c>
      <c r="B1093" s="98" t="s">
        <v>608</v>
      </c>
      <c r="C1093" s="191" t="s">
        <v>2698</v>
      </c>
      <c r="D1093" s="257" t="s">
        <v>549</v>
      </c>
      <c r="E1093" s="459" t="s">
        <v>3377</v>
      </c>
      <c r="F1093" s="171">
        <v>1997</v>
      </c>
      <c r="G1093" s="171">
        <v>225</v>
      </c>
      <c r="H1093" s="57"/>
      <c r="I1093" s="173" t="s">
        <v>2564</v>
      </c>
      <c r="J1093" s="212">
        <f>190/205</f>
        <v>0.92682926829268297</v>
      </c>
      <c r="K1093" s="213">
        <v>7.8195121951219511</v>
      </c>
      <c r="L1093" s="91"/>
      <c r="M1093" s="278">
        <v>205</v>
      </c>
      <c r="N1093" s="279"/>
      <c r="O1093" s="172" t="s">
        <v>12</v>
      </c>
      <c r="P1093" s="92"/>
      <c r="Q1093" s="173" t="s">
        <v>10</v>
      </c>
      <c r="R1093" s="89"/>
      <c r="S1093" s="94"/>
      <c r="T1093" s="89"/>
      <c r="U1093" s="89"/>
      <c r="V1093" s="102">
        <v>0</v>
      </c>
      <c r="W1093" s="120">
        <v>0</v>
      </c>
      <c r="X1093" s="120">
        <f>251/205*100</f>
        <v>122.4390243902439</v>
      </c>
      <c r="Y1093" s="120">
        <v>0</v>
      </c>
      <c r="Z1093" s="120">
        <v>0</v>
      </c>
      <c r="AA1093" s="17">
        <v>0</v>
      </c>
      <c r="AB1093" s="17">
        <v>0</v>
      </c>
      <c r="AC1093" s="17">
        <v>0</v>
      </c>
      <c r="AD1093" s="17">
        <v>0</v>
      </c>
      <c r="AE1093" s="17">
        <v>0</v>
      </c>
      <c r="AF1093" s="17">
        <v>0</v>
      </c>
      <c r="AG1093" s="17">
        <v>0</v>
      </c>
      <c r="AH1093" s="17">
        <v>0</v>
      </c>
      <c r="AI1093" s="17">
        <v>0</v>
      </c>
      <c r="AJ1093" s="17">
        <v>0</v>
      </c>
      <c r="AK1093" s="17">
        <v>0</v>
      </c>
      <c r="AL1093" s="32">
        <v>0</v>
      </c>
      <c r="AM1093" s="57"/>
      <c r="AN1093" s="89"/>
      <c r="AO1093" s="280"/>
      <c r="AP1093" s="784"/>
      <c r="AQ1093" s="773" t="s">
        <v>271</v>
      </c>
      <c r="AR1093" s="188">
        <v>100</v>
      </c>
      <c r="AS1093" s="171"/>
      <c r="AT1093" s="171" t="str">
        <f t="shared" si="89"/>
        <v>400</v>
      </c>
      <c r="AU1093" s="255">
        <f t="shared" si="90"/>
        <v>22.222222222222221</v>
      </c>
      <c r="AV1093" s="57"/>
      <c r="AW1093" s="171">
        <v>7</v>
      </c>
      <c r="AX1093" s="89"/>
      <c r="AY1093" s="171">
        <v>20</v>
      </c>
      <c r="AZ1093" s="89"/>
      <c r="BA1093" s="175">
        <v>60</v>
      </c>
      <c r="BB1093" s="259"/>
      <c r="BC1093" s="176"/>
      <c r="BD1093" s="179"/>
      <c r="BE1093" s="179"/>
      <c r="BF1093" s="178"/>
      <c r="BG1093" s="25"/>
      <c r="BH1093" s="25"/>
    </row>
    <row r="1094" spans="1:60" ht="15" customHeight="1">
      <c r="A1094" s="95">
        <v>1093</v>
      </c>
      <c r="B1094" s="98" t="s">
        <v>607</v>
      </c>
      <c r="C1094" s="191" t="s">
        <v>2698</v>
      </c>
      <c r="D1094" s="257" t="s">
        <v>549</v>
      </c>
      <c r="E1094" s="459" t="s">
        <v>3377</v>
      </c>
      <c r="F1094" s="171">
        <v>1997</v>
      </c>
      <c r="G1094" s="171">
        <v>225</v>
      </c>
      <c r="H1094" s="57"/>
      <c r="I1094" s="173" t="s">
        <v>2564</v>
      </c>
      <c r="J1094" s="212">
        <f>190/422</f>
        <v>0.45023696682464454</v>
      </c>
      <c r="K1094" s="213">
        <v>3.8364928909952605</v>
      </c>
      <c r="L1094" s="91"/>
      <c r="M1094" s="278">
        <v>422</v>
      </c>
      <c r="N1094" s="279"/>
      <c r="O1094" s="172" t="s">
        <v>12</v>
      </c>
      <c r="P1094" s="92"/>
      <c r="Q1094" s="173" t="s">
        <v>10</v>
      </c>
      <c r="R1094" s="89"/>
      <c r="S1094" s="94"/>
      <c r="T1094" s="89"/>
      <c r="U1094" s="89"/>
      <c r="V1094" s="102">
        <v>0</v>
      </c>
      <c r="W1094" s="120">
        <f>34/422*100</f>
        <v>8.0568720379146921</v>
      </c>
      <c r="X1094" s="120">
        <v>0</v>
      </c>
      <c r="Y1094" s="120">
        <v>0</v>
      </c>
      <c r="Z1094" s="120">
        <v>0</v>
      </c>
      <c r="AA1094" s="17">
        <v>0</v>
      </c>
      <c r="AB1094" s="17">
        <v>0</v>
      </c>
      <c r="AC1094" s="17">
        <v>0</v>
      </c>
      <c r="AD1094" s="17">
        <v>0</v>
      </c>
      <c r="AE1094" s="17">
        <v>0</v>
      </c>
      <c r="AF1094" s="17">
        <v>0</v>
      </c>
      <c r="AG1094" s="17">
        <v>0</v>
      </c>
      <c r="AH1094" s="17">
        <v>0</v>
      </c>
      <c r="AI1094" s="17">
        <v>0</v>
      </c>
      <c r="AJ1094" s="17">
        <v>0</v>
      </c>
      <c r="AK1094" s="17">
        <v>0</v>
      </c>
      <c r="AL1094" s="32">
        <v>0</v>
      </c>
      <c r="AM1094" s="57"/>
      <c r="AN1094" s="89"/>
      <c r="AO1094" s="280"/>
      <c r="AP1094" s="784"/>
      <c r="AQ1094" s="773" t="s">
        <v>271</v>
      </c>
      <c r="AR1094" s="188">
        <v>100</v>
      </c>
      <c r="AS1094" s="171"/>
      <c r="AT1094" s="171" t="str">
        <f t="shared" si="89"/>
        <v>400</v>
      </c>
      <c r="AU1094" s="255">
        <f t="shared" si="90"/>
        <v>22.222222222222221</v>
      </c>
      <c r="AV1094" s="57"/>
      <c r="AW1094" s="171">
        <v>7</v>
      </c>
      <c r="AX1094" s="89"/>
      <c r="AY1094" s="171">
        <v>20</v>
      </c>
      <c r="AZ1094" s="89"/>
      <c r="BA1094" s="175">
        <v>60</v>
      </c>
      <c r="BB1094" s="259"/>
      <c r="BC1094" s="176"/>
      <c r="BD1094" s="179"/>
      <c r="BE1094" s="179"/>
      <c r="BF1094" s="178"/>
      <c r="BG1094" s="25"/>
      <c r="BH1094" s="25"/>
    </row>
    <row r="1095" spans="1:60" ht="15" customHeight="1">
      <c r="A1095" s="95">
        <v>1094</v>
      </c>
      <c r="B1095" s="98" t="s">
        <v>606</v>
      </c>
      <c r="C1095" s="191" t="s">
        <v>2698</v>
      </c>
      <c r="D1095" s="257" t="s">
        <v>549</v>
      </c>
      <c r="E1095" s="459" t="s">
        <v>3377</v>
      </c>
      <c r="F1095" s="171">
        <v>1997</v>
      </c>
      <c r="G1095" s="171">
        <v>225</v>
      </c>
      <c r="H1095" s="57"/>
      <c r="I1095" s="173" t="s">
        <v>2564</v>
      </c>
      <c r="J1095" s="212">
        <f>190/388</f>
        <v>0.48969072164948452</v>
      </c>
      <c r="K1095" s="213">
        <v>4.1726804123711343</v>
      </c>
      <c r="L1095" s="91"/>
      <c r="M1095" s="278">
        <v>388</v>
      </c>
      <c r="N1095" s="279"/>
      <c r="O1095" s="172" t="s">
        <v>12</v>
      </c>
      <c r="P1095" s="92"/>
      <c r="Q1095" s="173" t="s">
        <v>10</v>
      </c>
      <c r="R1095" s="89"/>
      <c r="S1095" s="94"/>
      <c r="T1095" s="89"/>
      <c r="U1095" s="89"/>
      <c r="V1095" s="102">
        <v>0</v>
      </c>
      <c r="W1095" s="120">
        <f>67/388*100</f>
        <v>17.268041237113401</v>
      </c>
      <c r="X1095" s="120">
        <v>0</v>
      </c>
      <c r="Y1095" s="120">
        <v>0</v>
      </c>
      <c r="Z1095" s="120">
        <v>0</v>
      </c>
      <c r="AA1095" s="17">
        <v>0</v>
      </c>
      <c r="AB1095" s="17">
        <v>0</v>
      </c>
      <c r="AC1095" s="17">
        <v>0</v>
      </c>
      <c r="AD1095" s="17">
        <v>0</v>
      </c>
      <c r="AE1095" s="17">
        <v>0</v>
      </c>
      <c r="AF1095" s="17">
        <v>0</v>
      </c>
      <c r="AG1095" s="17">
        <v>0</v>
      </c>
      <c r="AH1095" s="17">
        <v>0</v>
      </c>
      <c r="AI1095" s="17">
        <v>0</v>
      </c>
      <c r="AJ1095" s="17">
        <v>0</v>
      </c>
      <c r="AK1095" s="17">
        <v>0</v>
      </c>
      <c r="AL1095" s="32">
        <v>0</v>
      </c>
      <c r="AM1095" s="57"/>
      <c r="AN1095" s="89"/>
      <c r="AO1095" s="280"/>
      <c r="AP1095" s="784"/>
      <c r="AQ1095" s="773" t="s">
        <v>271</v>
      </c>
      <c r="AR1095" s="188">
        <v>100</v>
      </c>
      <c r="AS1095" s="171"/>
      <c r="AT1095" s="171" t="str">
        <f t="shared" si="89"/>
        <v>400</v>
      </c>
      <c r="AU1095" s="255">
        <f t="shared" si="90"/>
        <v>22.222222222222221</v>
      </c>
      <c r="AV1095" s="57"/>
      <c r="AW1095" s="171">
        <v>7</v>
      </c>
      <c r="AX1095" s="89"/>
      <c r="AY1095" s="171">
        <v>20</v>
      </c>
      <c r="AZ1095" s="89"/>
      <c r="BA1095" s="175">
        <v>60</v>
      </c>
      <c r="BB1095" s="259"/>
      <c r="BC1095" s="176"/>
      <c r="BD1095" s="179"/>
      <c r="BE1095" s="179"/>
      <c r="BF1095" s="178"/>
      <c r="BG1095" s="25"/>
      <c r="BH1095" s="25"/>
    </row>
    <row r="1096" spans="1:60" ht="15" customHeight="1">
      <c r="A1096" s="95">
        <v>1095</v>
      </c>
      <c r="B1096" s="98" t="s">
        <v>605</v>
      </c>
      <c r="C1096" s="191" t="s">
        <v>2698</v>
      </c>
      <c r="D1096" s="257" t="s">
        <v>549</v>
      </c>
      <c r="E1096" s="459" t="s">
        <v>3377</v>
      </c>
      <c r="F1096" s="171">
        <v>1997</v>
      </c>
      <c r="G1096" s="171">
        <v>225</v>
      </c>
      <c r="H1096" s="57"/>
      <c r="I1096" s="173" t="s">
        <v>2564</v>
      </c>
      <c r="J1096" s="212">
        <f>190/422</f>
        <v>0.45023696682464454</v>
      </c>
      <c r="K1096" s="213">
        <v>3.7985781990521326</v>
      </c>
      <c r="L1096" s="91"/>
      <c r="M1096" s="278">
        <v>422</v>
      </c>
      <c r="N1096" s="279"/>
      <c r="O1096" s="172" t="s">
        <v>12</v>
      </c>
      <c r="P1096" s="92"/>
      <c r="Q1096" s="173" t="s">
        <v>10</v>
      </c>
      <c r="R1096" s="89"/>
      <c r="S1096" s="94"/>
      <c r="T1096" s="89"/>
      <c r="U1096" s="89"/>
      <c r="V1096" s="102">
        <v>0</v>
      </c>
      <c r="W1096" s="120">
        <f>34/422*100</f>
        <v>8.0568720379146921</v>
      </c>
      <c r="X1096" s="120">
        <v>0</v>
      </c>
      <c r="Y1096" s="120">
        <v>0</v>
      </c>
      <c r="Z1096" s="120">
        <v>0</v>
      </c>
      <c r="AA1096" s="17">
        <v>0</v>
      </c>
      <c r="AB1096" s="17">
        <v>0</v>
      </c>
      <c r="AC1096" s="17">
        <v>0</v>
      </c>
      <c r="AD1096" s="17">
        <v>0</v>
      </c>
      <c r="AE1096" s="17">
        <v>0</v>
      </c>
      <c r="AF1096" s="17">
        <v>0</v>
      </c>
      <c r="AG1096" s="17">
        <v>0</v>
      </c>
      <c r="AH1096" s="17">
        <v>0</v>
      </c>
      <c r="AI1096" s="17">
        <v>0</v>
      </c>
      <c r="AJ1096" s="17">
        <v>0</v>
      </c>
      <c r="AK1096" s="17">
        <v>0</v>
      </c>
      <c r="AL1096" s="32">
        <v>0</v>
      </c>
      <c r="AM1096" s="57"/>
      <c r="AN1096" s="89"/>
      <c r="AO1096" s="280"/>
      <c r="AP1096" s="784"/>
      <c r="AQ1096" s="773" t="s">
        <v>271</v>
      </c>
      <c r="AR1096" s="188">
        <v>100</v>
      </c>
      <c r="AS1096" s="171"/>
      <c r="AT1096" s="171" t="str">
        <f t="shared" si="89"/>
        <v>400</v>
      </c>
      <c r="AU1096" s="255">
        <f t="shared" si="90"/>
        <v>22.222222222222221</v>
      </c>
      <c r="AV1096" s="57"/>
      <c r="AW1096" s="171">
        <v>7</v>
      </c>
      <c r="AX1096" s="89"/>
      <c r="AY1096" s="171">
        <v>20</v>
      </c>
      <c r="AZ1096" s="89"/>
      <c r="BA1096" s="175">
        <v>60</v>
      </c>
      <c r="BB1096" s="259"/>
      <c r="BC1096" s="176"/>
      <c r="BD1096" s="179"/>
      <c r="BE1096" s="179"/>
      <c r="BF1096" s="178"/>
      <c r="BG1096" s="25"/>
      <c r="BH1096" s="25"/>
    </row>
    <row r="1097" spans="1:60" ht="15" customHeight="1">
      <c r="A1097" s="95">
        <v>1096</v>
      </c>
      <c r="B1097" s="98" t="s">
        <v>604</v>
      </c>
      <c r="C1097" s="191" t="s">
        <v>2698</v>
      </c>
      <c r="D1097" s="257" t="s">
        <v>549</v>
      </c>
      <c r="E1097" s="459" t="s">
        <v>3377</v>
      </c>
      <c r="F1097" s="171">
        <v>1997</v>
      </c>
      <c r="G1097" s="171">
        <v>225</v>
      </c>
      <c r="H1097" s="57"/>
      <c r="I1097" s="173" t="s">
        <v>2564</v>
      </c>
      <c r="J1097" s="212">
        <f>190/388</f>
        <v>0.48969072164948452</v>
      </c>
      <c r="K1097" s="213">
        <v>4.1314432989690726</v>
      </c>
      <c r="L1097" s="91"/>
      <c r="M1097" s="278">
        <v>388</v>
      </c>
      <c r="N1097" s="279"/>
      <c r="O1097" s="172" t="s">
        <v>12</v>
      </c>
      <c r="P1097" s="92"/>
      <c r="Q1097" s="173" t="s">
        <v>10</v>
      </c>
      <c r="R1097" s="89"/>
      <c r="S1097" s="94"/>
      <c r="T1097" s="89"/>
      <c r="U1097" s="89"/>
      <c r="V1097" s="102">
        <v>0</v>
      </c>
      <c r="W1097" s="120">
        <f>67/388*100</f>
        <v>17.268041237113401</v>
      </c>
      <c r="X1097" s="120">
        <v>0</v>
      </c>
      <c r="Y1097" s="120">
        <v>0</v>
      </c>
      <c r="Z1097" s="120">
        <v>0</v>
      </c>
      <c r="AA1097" s="17">
        <v>0</v>
      </c>
      <c r="AB1097" s="17">
        <v>0</v>
      </c>
      <c r="AC1097" s="17">
        <v>0</v>
      </c>
      <c r="AD1097" s="17">
        <v>0</v>
      </c>
      <c r="AE1097" s="17">
        <v>0</v>
      </c>
      <c r="AF1097" s="17">
        <v>0</v>
      </c>
      <c r="AG1097" s="17">
        <v>0</v>
      </c>
      <c r="AH1097" s="17">
        <v>0</v>
      </c>
      <c r="AI1097" s="17">
        <v>0</v>
      </c>
      <c r="AJ1097" s="17">
        <v>0</v>
      </c>
      <c r="AK1097" s="17">
        <v>0</v>
      </c>
      <c r="AL1097" s="32">
        <v>0</v>
      </c>
      <c r="AM1097" s="57"/>
      <c r="AN1097" s="89"/>
      <c r="AO1097" s="280"/>
      <c r="AP1097" s="784"/>
      <c r="AQ1097" s="773" t="s">
        <v>271</v>
      </c>
      <c r="AR1097" s="188">
        <v>100</v>
      </c>
      <c r="AS1097" s="171"/>
      <c r="AT1097" s="171" t="str">
        <f t="shared" si="89"/>
        <v>400</v>
      </c>
      <c r="AU1097" s="255">
        <f t="shared" si="90"/>
        <v>22.222222222222221</v>
      </c>
      <c r="AV1097" s="57"/>
      <c r="AW1097" s="171">
        <v>7</v>
      </c>
      <c r="AX1097" s="89"/>
      <c r="AY1097" s="171">
        <v>20</v>
      </c>
      <c r="AZ1097" s="89"/>
      <c r="BA1097" s="175">
        <v>60</v>
      </c>
      <c r="BB1097" s="259"/>
      <c r="BC1097" s="176"/>
      <c r="BD1097" s="179"/>
      <c r="BE1097" s="179"/>
      <c r="BF1097" s="178"/>
      <c r="BG1097" s="25"/>
      <c r="BH1097" s="25"/>
    </row>
    <row r="1098" spans="1:60" ht="15" customHeight="1">
      <c r="A1098" s="95">
        <v>1097</v>
      </c>
      <c r="B1098" s="98" t="s">
        <v>603</v>
      </c>
      <c r="C1098" s="191" t="s">
        <v>2698</v>
      </c>
      <c r="D1098" s="257" t="s">
        <v>549</v>
      </c>
      <c r="E1098" s="459" t="s">
        <v>3377</v>
      </c>
      <c r="F1098" s="171">
        <v>1997</v>
      </c>
      <c r="G1098" s="171">
        <v>225</v>
      </c>
      <c r="H1098" s="57"/>
      <c r="I1098" s="173" t="s">
        <v>2564</v>
      </c>
      <c r="J1098" s="212">
        <f>190/422</f>
        <v>0.45023696682464454</v>
      </c>
      <c r="K1098" s="213">
        <v>3.824644549763033</v>
      </c>
      <c r="L1098" s="91"/>
      <c r="M1098" s="278">
        <v>422</v>
      </c>
      <c r="N1098" s="279"/>
      <c r="O1098" s="172" t="s">
        <v>12</v>
      </c>
      <c r="P1098" s="92"/>
      <c r="Q1098" s="173" t="s">
        <v>10</v>
      </c>
      <c r="R1098" s="89"/>
      <c r="S1098" s="94"/>
      <c r="T1098" s="89"/>
      <c r="U1098" s="89"/>
      <c r="V1098" s="102">
        <v>0</v>
      </c>
      <c r="W1098" s="120">
        <f>8.057</f>
        <v>8.0570000000000004</v>
      </c>
      <c r="X1098" s="120">
        <v>0</v>
      </c>
      <c r="Y1098" s="120">
        <v>0</v>
      </c>
      <c r="Z1098" s="120">
        <v>0</v>
      </c>
      <c r="AA1098" s="17">
        <v>0</v>
      </c>
      <c r="AB1098" s="17">
        <v>0</v>
      </c>
      <c r="AC1098" s="17">
        <v>0</v>
      </c>
      <c r="AD1098" s="17">
        <v>0</v>
      </c>
      <c r="AE1098" s="17">
        <v>0</v>
      </c>
      <c r="AF1098" s="17">
        <v>0</v>
      </c>
      <c r="AG1098" s="17">
        <v>0</v>
      </c>
      <c r="AH1098" s="17">
        <v>0</v>
      </c>
      <c r="AI1098" s="17">
        <v>0</v>
      </c>
      <c r="AJ1098" s="17">
        <v>0</v>
      </c>
      <c r="AK1098" s="17">
        <v>0</v>
      </c>
      <c r="AL1098" s="32">
        <v>0</v>
      </c>
      <c r="AM1098" s="57"/>
      <c r="AN1098" s="89"/>
      <c r="AO1098" s="280"/>
      <c r="AP1098" s="784"/>
      <c r="AQ1098" s="773" t="s">
        <v>271</v>
      </c>
      <c r="AR1098" s="188">
        <v>100</v>
      </c>
      <c r="AS1098" s="171"/>
      <c r="AT1098" s="171" t="str">
        <f t="shared" si="89"/>
        <v>400</v>
      </c>
      <c r="AU1098" s="255">
        <f t="shared" si="90"/>
        <v>22.222222222222221</v>
      </c>
      <c r="AV1098" s="57"/>
      <c r="AW1098" s="171">
        <v>7</v>
      </c>
      <c r="AX1098" s="89"/>
      <c r="AY1098" s="171">
        <v>20</v>
      </c>
      <c r="AZ1098" s="89"/>
      <c r="BA1098" s="175">
        <v>60</v>
      </c>
      <c r="BB1098" s="259"/>
      <c r="BC1098" s="176"/>
      <c r="BD1098" s="179"/>
      <c r="BE1098" s="179"/>
      <c r="BF1098" s="178"/>
      <c r="BG1098" s="25"/>
      <c r="BH1098" s="25"/>
    </row>
    <row r="1099" spans="1:60" ht="15" customHeight="1">
      <c r="A1099" s="95">
        <v>1098</v>
      </c>
      <c r="B1099" s="98" t="s">
        <v>602</v>
      </c>
      <c r="C1099" s="191" t="s">
        <v>2698</v>
      </c>
      <c r="D1099" s="257" t="s">
        <v>549</v>
      </c>
      <c r="E1099" s="459" t="s">
        <v>3377</v>
      </c>
      <c r="F1099" s="171">
        <v>1997</v>
      </c>
      <c r="G1099" s="171">
        <v>225</v>
      </c>
      <c r="H1099" s="57"/>
      <c r="I1099" s="173" t="s">
        <v>2564</v>
      </c>
      <c r="J1099" s="212">
        <f>190/388</f>
        <v>0.48969072164948452</v>
      </c>
      <c r="K1099" s="213">
        <v>4.15979381443299</v>
      </c>
      <c r="L1099" s="91"/>
      <c r="M1099" s="278">
        <v>388</v>
      </c>
      <c r="N1099" s="279"/>
      <c r="O1099" s="172" t="s">
        <v>12</v>
      </c>
      <c r="P1099" s="92"/>
      <c r="Q1099" s="173" t="s">
        <v>10</v>
      </c>
      <c r="R1099" s="89"/>
      <c r="S1099" s="94"/>
      <c r="T1099" s="89"/>
      <c r="U1099" s="89"/>
      <c r="V1099" s="102">
        <v>0</v>
      </c>
      <c r="W1099" s="120">
        <v>17.27</v>
      </c>
      <c r="X1099" s="120">
        <v>0</v>
      </c>
      <c r="Y1099" s="120">
        <v>0</v>
      </c>
      <c r="Z1099" s="120">
        <v>0</v>
      </c>
      <c r="AA1099" s="17">
        <v>0</v>
      </c>
      <c r="AB1099" s="17">
        <v>0</v>
      </c>
      <c r="AC1099" s="17">
        <v>0</v>
      </c>
      <c r="AD1099" s="17">
        <v>0</v>
      </c>
      <c r="AE1099" s="17">
        <v>0</v>
      </c>
      <c r="AF1099" s="17">
        <v>0</v>
      </c>
      <c r="AG1099" s="17">
        <v>0</v>
      </c>
      <c r="AH1099" s="17">
        <v>0</v>
      </c>
      <c r="AI1099" s="17">
        <v>0</v>
      </c>
      <c r="AJ1099" s="17">
        <v>0</v>
      </c>
      <c r="AK1099" s="17">
        <v>0</v>
      </c>
      <c r="AL1099" s="32">
        <v>0</v>
      </c>
      <c r="AM1099" s="57"/>
      <c r="AN1099" s="89"/>
      <c r="AO1099" s="280"/>
      <c r="AP1099" s="784"/>
      <c r="AQ1099" s="773" t="s">
        <v>271</v>
      </c>
      <c r="AR1099" s="188">
        <v>100</v>
      </c>
      <c r="AS1099" s="171"/>
      <c r="AT1099" s="171" t="str">
        <f t="shared" si="89"/>
        <v>400</v>
      </c>
      <c r="AU1099" s="255">
        <f t="shared" si="90"/>
        <v>22.222222222222221</v>
      </c>
      <c r="AV1099" s="57"/>
      <c r="AW1099" s="171">
        <v>7</v>
      </c>
      <c r="AX1099" s="89"/>
      <c r="AY1099" s="171">
        <v>20</v>
      </c>
      <c r="AZ1099" s="89"/>
      <c r="BA1099" s="175">
        <v>60</v>
      </c>
      <c r="BB1099" s="259"/>
      <c r="BC1099" s="176"/>
      <c r="BD1099" s="179"/>
      <c r="BE1099" s="179"/>
      <c r="BF1099" s="178"/>
      <c r="BG1099" s="25"/>
      <c r="BH1099" s="25"/>
    </row>
    <row r="1100" spans="1:60" ht="15" customHeight="1">
      <c r="A1100" s="95">
        <v>1099</v>
      </c>
      <c r="B1100" s="98" t="s">
        <v>601</v>
      </c>
      <c r="C1100" s="191" t="s">
        <v>2976</v>
      </c>
      <c r="D1100" s="257" t="s">
        <v>549</v>
      </c>
      <c r="E1100" s="459" t="s">
        <v>3377</v>
      </c>
      <c r="F1100" s="171">
        <v>1997</v>
      </c>
      <c r="G1100" s="171">
        <v>226</v>
      </c>
      <c r="H1100" s="57"/>
      <c r="I1100" s="173" t="s">
        <v>2564</v>
      </c>
      <c r="J1100" s="277">
        <v>0.45</v>
      </c>
      <c r="K1100" s="213">
        <v>4.1326781326781328</v>
      </c>
      <c r="L1100" s="91"/>
      <c r="M1100" s="278">
        <v>407</v>
      </c>
      <c r="N1100" s="279"/>
      <c r="O1100" s="172" t="s">
        <v>12</v>
      </c>
      <c r="P1100" s="92"/>
      <c r="Q1100" s="173" t="s">
        <v>10</v>
      </c>
      <c r="R1100" s="171" t="s">
        <v>2735</v>
      </c>
      <c r="S1100" s="94"/>
      <c r="T1100" s="171" t="s">
        <v>2306</v>
      </c>
      <c r="U1100" s="171" t="s">
        <v>2551</v>
      </c>
      <c r="V1100" s="102">
        <v>0</v>
      </c>
      <c r="W1100" s="120">
        <v>0</v>
      </c>
      <c r="X1100" s="120">
        <v>0</v>
      </c>
      <c r="Y1100" s="120">
        <v>0</v>
      </c>
      <c r="Z1100" s="120">
        <v>0</v>
      </c>
      <c r="AA1100" s="17">
        <v>0</v>
      </c>
      <c r="AB1100" s="17">
        <v>0</v>
      </c>
      <c r="AC1100" s="17">
        <v>0</v>
      </c>
      <c r="AD1100" s="17">
        <v>0</v>
      </c>
      <c r="AE1100" s="17">
        <v>0</v>
      </c>
      <c r="AF1100" s="17">
        <v>0</v>
      </c>
      <c r="AG1100" s="17">
        <v>0</v>
      </c>
      <c r="AH1100" s="17">
        <v>0</v>
      </c>
      <c r="AI1100" s="17">
        <v>0</v>
      </c>
      <c r="AJ1100" s="17">
        <v>0</v>
      </c>
      <c r="AK1100" s="17">
        <v>0</v>
      </c>
      <c r="AL1100" s="32" t="s">
        <v>2541</v>
      </c>
      <c r="AM1100" s="780">
        <v>46.9</v>
      </c>
      <c r="AN1100" s="89"/>
      <c r="AO1100" s="280"/>
      <c r="AP1100" s="784"/>
      <c r="AQ1100" s="773" t="s">
        <v>271</v>
      </c>
      <c r="AR1100" s="188">
        <v>100</v>
      </c>
      <c r="AS1100" s="171"/>
      <c r="AT1100" s="171" t="str">
        <f t="shared" si="89"/>
        <v>400</v>
      </c>
      <c r="AU1100" s="255">
        <f t="shared" si="90"/>
        <v>22.222222222222221</v>
      </c>
      <c r="AV1100" s="57"/>
      <c r="AW1100" s="171">
        <v>7</v>
      </c>
      <c r="AX1100" s="89"/>
      <c r="AY1100" s="171">
        <v>20</v>
      </c>
      <c r="AZ1100" s="89"/>
      <c r="BA1100" s="175">
        <v>60</v>
      </c>
      <c r="BB1100" s="259"/>
      <c r="BC1100" s="176"/>
      <c r="BD1100" s="179"/>
      <c r="BE1100" s="179"/>
      <c r="BF1100" s="178" t="s">
        <v>3460</v>
      </c>
      <c r="BG1100" s="25"/>
      <c r="BH1100" s="25"/>
    </row>
    <row r="1101" spans="1:60" ht="15" customHeight="1">
      <c r="A1101" s="95">
        <v>1100</v>
      </c>
      <c r="B1101" s="98" t="s">
        <v>600</v>
      </c>
      <c r="C1101" s="191" t="s">
        <v>2976</v>
      </c>
      <c r="D1101" s="257" t="s">
        <v>549</v>
      </c>
      <c r="E1101" s="459" t="s">
        <v>3377</v>
      </c>
      <c r="F1101" s="171">
        <v>1997</v>
      </c>
      <c r="G1101" s="171">
        <v>226</v>
      </c>
      <c r="H1101" s="57"/>
      <c r="I1101" s="173" t="s">
        <v>2564</v>
      </c>
      <c r="J1101" s="277">
        <v>0.45</v>
      </c>
      <c r="K1101" s="213">
        <v>4.1326781326781328</v>
      </c>
      <c r="L1101" s="91"/>
      <c r="M1101" s="278">
        <v>407</v>
      </c>
      <c r="N1101" s="279"/>
      <c r="O1101" s="172" t="s">
        <v>12</v>
      </c>
      <c r="P1101" s="92"/>
      <c r="Q1101" s="173" t="s">
        <v>10</v>
      </c>
      <c r="R1101" s="171" t="s">
        <v>2735</v>
      </c>
      <c r="S1101" s="94"/>
      <c r="T1101" s="171" t="s">
        <v>2306</v>
      </c>
      <c r="U1101" s="171" t="s">
        <v>2551</v>
      </c>
      <c r="V1101" s="102">
        <v>0</v>
      </c>
      <c r="W1101" s="120">
        <v>0</v>
      </c>
      <c r="X1101" s="120">
        <v>0</v>
      </c>
      <c r="Y1101" s="120">
        <v>0</v>
      </c>
      <c r="Z1101" s="120">
        <v>0</v>
      </c>
      <c r="AA1101" s="17">
        <v>0</v>
      </c>
      <c r="AB1101" s="17">
        <v>0</v>
      </c>
      <c r="AC1101" s="17">
        <v>0</v>
      </c>
      <c r="AD1101" s="17">
        <v>0</v>
      </c>
      <c r="AE1101" s="17">
        <v>0</v>
      </c>
      <c r="AF1101" s="17">
        <v>0</v>
      </c>
      <c r="AG1101" s="17">
        <v>0</v>
      </c>
      <c r="AH1101" s="17">
        <v>0</v>
      </c>
      <c r="AI1101" s="17">
        <v>0</v>
      </c>
      <c r="AJ1101" s="17">
        <v>0</v>
      </c>
      <c r="AK1101" s="17">
        <v>0</v>
      </c>
      <c r="AL1101" s="32" t="s">
        <v>2541</v>
      </c>
      <c r="AM1101" s="780">
        <v>53.3</v>
      </c>
      <c r="AN1101" s="89"/>
      <c r="AO1101" s="280"/>
      <c r="AP1101" s="784"/>
      <c r="AQ1101" s="773" t="s">
        <v>271</v>
      </c>
      <c r="AR1101" s="188">
        <v>100</v>
      </c>
      <c r="AS1101" s="171"/>
      <c r="AT1101" s="171" t="str">
        <f t="shared" si="89"/>
        <v>400</v>
      </c>
      <c r="AU1101" s="255">
        <f t="shared" si="90"/>
        <v>22.222222222222221</v>
      </c>
      <c r="AV1101" s="57"/>
      <c r="AW1101" s="171">
        <v>7</v>
      </c>
      <c r="AX1101" s="89"/>
      <c r="AY1101" s="171">
        <v>20</v>
      </c>
      <c r="AZ1101" s="89"/>
      <c r="BA1101" s="175">
        <v>60</v>
      </c>
      <c r="BB1101" s="259"/>
      <c r="BC1101" s="176"/>
      <c r="BD1101" s="179"/>
      <c r="BE1101" s="179"/>
      <c r="BF1101" s="178" t="s">
        <v>3460</v>
      </c>
      <c r="BG1101" s="25"/>
      <c r="BH1101" s="25"/>
    </row>
    <row r="1102" spans="1:60" ht="15" customHeight="1">
      <c r="A1102" s="95">
        <v>1101</v>
      </c>
      <c r="B1102" s="98" t="s">
        <v>599</v>
      </c>
      <c r="C1102" s="191" t="s">
        <v>2976</v>
      </c>
      <c r="D1102" s="257" t="s">
        <v>549</v>
      </c>
      <c r="E1102" s="459" t="s">
        <v>3377</v>
      </c>
      <c r="F1102" s="171">
        <v>1997</v>
      </c>
      <c r="G1102" s="171">
        <v>226</v>
      </c>
      <c r="H1102" s="57"/>
      <c r="I1102" s="173" t="s">
        <v>2564</v>
      </c>
      <c r="J1102" s="277">
        <v>0.6</v>
      </c>
      <c r="K1102" s="213">
        <v>6.0644067796610166</v>
      </c>
      <c r="L1102" s="91"/>
      <c r="M1102" s="278">
        <v>295</v>
      </c>
      <c r="N1102" s="279"/>
      <c r="O1102" s="172" t="s">
        <v>12</v>
      </c>
      <c r="P1102" s="92"/>
      <c r="Q1102" s="173" t="s">
        <v>10</v>
      </c>
      <c r="R1102" s="171" t="s">
        <v>2735</v>
      </c>
      <c r="S1102" s="94"/>
      <c r="T1102" s="171" t="s">
        <v>2306</v>
      </c>
      <c r="U1102" s="171" t="s">
        <v>2551</v>
      </c>
      <c r="V1102" s="102">
        <v>0</v>
      </c>
      <c r="W1102" s="120">
        <v>0</v>
      </c>
      <c r="X1102" s="120">
        <v>0</v>
      </c>
      <c r="Y1102" s="120">
        <v>0</v>
      </c>
      <c r="Z1102" s="120">
        <v>0</v>
      </c>
      <c r="AA1102" s="17">
        <v>0</v>
      </c>
      <c r="AB1102" s="17">
        <v>0</v>
      </c>
      <c r="AC1102" s="17">
        <v>0</v>
      </c>
      <c r="AD1102" s="17">
        <v>0</v>
      </c>
      <c r="AE1102" s="17">
        <v>0</v>
      </c>
      <c r="AF1102" s="17">
        <v>0</v>
      </c>
      <c r="AG1102" s="17">
        <v>0</v>
      </c>
      <c r="AH1102" s="17">
        <v>0</v>
      </c>
      <c r="AI1102" s="17">
        <v>0</v>
      </c>
      <c r="AJ1102" s="17">
        <v>0</v>
      </c>
      <c r="AK1102" s="17">
        <v>0</v>
      </c>
      <c r="AL1102" s="32" t="s">
        <v>2541</v>
      </c>
      <c r="AM1102" s="780">
        <v>36.200000000000003</v>
      </c>
      <c r="AN1102" s="89"/>
      <c r="AO1102" s="280"/>
      <c r="AP1102" s="784"/>
      <c r="AQ1102" s="773" t="s">
        <v>271</v>
      </c>
      <c r="AR1102" s="188">
        <v>100</v>
      </c>
      <c r="AS1102" s="171"/>
      <c r="AT1102" s="171" t="str">
        <f t="shared" si="89"/>
        <v>400</v>
      </c>
      <c r="AU1102" s="255">
        <f t="shared" si="90"/>
        <v>22.222222222222221</v>
      </c>
      <c r="AV1102" s="57"/>
      <c r="AW1102" s="171">
        <v>7</v>
      </c>
      <c r="AX1102" s="89"/>
      <c r="AY1102" s="171">
        <v>20</v>
      </c>
      <c r="AZ1102" s="89"/>
      <c r="BA1102" s="175">
        <v>60</v>
      </c>
      <c r="BB1102" s="259"/>
      <c r="BC1102" s="176"/>
      <c r="BD1102" s="179"/>
      <c r="BE1102" s="179"/>
      <c r="BF1102" s="178" t="s">
        <v>3460</v>
      </c>
      <c r="BG1102" s="25"/>
      <c r="BH1102" s="25"/>
    </row>
    <row r="1103" spans="1:60" ht="15" customHeight="1">
      <c r="A1103" s="95">
        <v>1102</v>
      </c>
      <c r="B1103" s="98" t="s">
        <v>598</v>
      </c>
      <c r="C1103" s="191" t="s">
        <v>2976</v>
      </c>
      <c r="D1103" s="257" t="s">
        <v>549</v>
      </c>
      <c r="E1103" s="459" t="s">
        <v>3377</v>
      </c>
      <c r="F1103" s="171">
        <v>1997</v>
      </c>
      <c r="G1103" s="171">
        <v>226</v>
      </c>
      <c r="H1103" s="57"/>
      <c r="I1103" s="173" t="s">
        <v>2564</v>
      </c>
      <c r="J1103" s="277">
        <v>0.6</v>
      </c>
      <c r="K1103" s="213">
        <v>6.0644067796610166</v>
      </c>
      <c r="L1103" s="91"/>
      <c r="M1103" s="278">
        <v>295</v>
      </c>
      <c r="N1103" s="279"/>
      <c r="O1103" s="172" t="s">
        <v>12</v>
      </c>
      <c r="P1103" s="92"/>
      <c r="Q1103" s="173" t="s">
        <v>10</v>
      </c>
      <c r="R1103" s="171" t="s">
        <v>2735</v>
      </c>
      <c r="S1103" s="94"/>
      <c r="T1103" s="171" t="s">
        <v>2306</v>
      </c>
      <c r="U1103" s="171" t="s">
        <v>2551</v>
      </c>
      <c r="V1103" s="102">
        <v>0</v>
      </c>
      <c r="W1103" s="120">
        <v>0</v>
      </c>
      <c r="X1103" s="120">
        <v>0</v>
      </c>
      <c r="Y1103" s="120">
        <v>0</v>
      </c>
      <c r="Z1103" s="120">
        <v>0</v>
      </c>
      <c r="AA1103" s="17">
        <v>0</v>
      </c>
      <c r="AB1103" s="17">
        <v>0</v>
      </c>
      <c r="AC1103" s="17">
        <v>0</v>
      </c>
      <c r="AD1103" s="17">
        <v>0</v>
      </c>
      <c r="AE1103" s="17">
        <v>0</v>
      </c>
      <c r="AF1103" s="17">
        <v>0</v>
      </c>
      <c r="AG1103" s="17">
        <v>0</v>
      </c>
      <c r="AH1103" s="17">
        <v>0</v>
      </c>
      <c r="AI1103" s="17">
        <v>0</v>
      </c>
      <c r="AJ1103" s="17">
        <v>0</v>
      </c>
      <c r="AK1103" s="17">
        <v>0</v>
      </c>
      <c r="AL1103" s="32" t="s">
        <v>2541</v>
      </c>
      <c r="AM1103" s="780">
        <v>33.9</v>
      </c>
      <c r="AN1103" s="89"/>
      <c r="AO1103" s="280"/>
      <c r="AP1103" s="784"/>
      <c r="AQ1103" s="773" t="s">
        <v>271</v>
      </c>
      <c r="AR1103" s="188">
        <v>100</v>
      </c>
      <c r="AS1103" s="171"/>
      <c r="AT1103" s="171" t="str">
        <f t="shared" si="89"/>
        <v>400</v>
      </c>
      <c r="AU1103" s="255">
        <f t="shared" si="90"/>
        <v>22.222222222222221</v>
      </c>
      <c r="AV1103" s="57"/>
      <c r="AW1103" s="171">
        <v>7</v>
      </c>
      <c r="AX1103" s="89"/>
      <c r="AY1103" s="171">
        <v>20</v>
      </c>
      <c r="AZ1103" s="89"/>
      <c r="BA1103" s="175">
        <v>60</v>
      </c>
      <c r="BB1103" s="259"/>
      <c r="BC1103" s="176"/>
      <c r="BD1103" s="179"/>
      <c r="BE1103" s="179"/>
      <c r="BF1103" s="178" t="s">
        <v>3460</v>
      </c>
      <c r="BG1103" s="25"/>
      <c r="BH1103" s="25"/>
    </row>
    <row r="1104" spans="1:60" ht="15" customHeight="1">
      <c r="A1104" s="95">
        <v>1103</v>
      </c>
      <c r="B1104" s="98" t="s">
        <v>597</v>
      </c>
      <c r="C1104" s="191" t="s">
        <v>2976</v>
      </c>
      <c r="D1104" s="257" t="s">
        <v>549</v>
      </c>
      <c r="E1104" s="459" t="s">
        <v>3377</v>
      </c>
      <c r="F1104" s="171">
        <v>1997</v>
      </c>
      <c r="G1104" s="171">
        <v>226</v>
      </c>
      <c r="H1104" s="57"/>
      <c r="I1104" s="173" t="s">
        <v>2564</v>
      </c>
      <c r="J1104" s="277">
        <v>0.45</v>
      </c>
      <c r="K1104" s="213">
        <v>4.1326781326781328</v>
      </c>
      <c r="L1104" s="91"/>
      <c r="M1104" s="278">
        <v>407</v>
      </c>
      <c r="N1104" s="279"/>
      <c r="O1104" s="172" t="s">
        <v>12</v>
      </c>
      <c r="P1104" s="92"/>
      <c r="Q1104" s="173" t="s">
        <v>10</v>
      </c>
      <c r="R1104" s="171" t="s">
        <v>2735</v>
      </c>
      <c r="S1104" s="94"/>
      <c r="T1104" s="171" t="s">
        <v>2306</v>
      </c>
      <c r="U1104" s="171" t="s">
        <v>2551</v>
      </c>
      <c r="V1104" s="102">
        <v>0</v>
      </c>
      <c r="W1104" s="120">
        <v>0</v>
      </c>
      <c r="X1104" s="120">
        <v>0</v>
      </c>
      <c r="Y1104" s="120">
        <v>0</v>
      </c>
      <c r="Z1104" s="120">
        <v>0</v>
      </c>
      <c r="AA1104" s="17">
        <v>0</v>
      </c>
      <c r="AB1104" s="17">
        <v>0</v>
      </c>
      <c r="AC1104" s="17">
        <v>0</v>
      </c>
      <c r="AD1104" s="17">
        <v>0</v>
      </c>
      <c r="AE1104" s="17">
        <v>0</v>
      </c>
      <c r="AF1104" s="17">
        <v>0</v>
      </c>
      <c r="AG1104" s="17">
        <v>0</v>
      </c>
      <c r="AH1104" s="17">
        <v>0</v>
      </c>
      <c r="AI1104" s="17">
        <v>0</v>
      </c>
      <c r="AJ1104" s="17">
        <v>0</v>
      </c>
      <c r="AK1104" s="17">
        <v>0</v>
      </c>
      <c r="AL1104" s="32" t="s">
        <v>2541</v>
      </c>
      <c r="AM1104" s="780">
        <v>53.3</v>
      </c>
      <c r="AN1104" s="89"/>
      <c r="AO1104" s="280"/>
      <c r="AP1104" s="784"/>
      <c r="AQ1104" s="773" t="s">
        <v>271</v>
      </c>
      <c r="AR1104" s="188">
        <v>100</v>
      </c>
      <c r="AS1104" s="171"/>
      <c r="AT1104" s="171" t="str">
        <f t="shared" si="89"/>
        <v>400</v>
      </c>
      <c r="AU1104" s="255">
        <f t="shared" si="90"/>
        <v>22.222222222222221</v>
      </c>
      <c r="AV1104" s="57"/>
      <c r="AW1104" s="171">
        <v>7</v>
      </c>
      <c r="AX1104" s="89"/>
      <c r="AY1104" s="171">
        <v>20</v>
      </c>
      <c r="AZ1104" s="89"/>
      <c r="BA1104" s="175">
        <v>60</v>
      </c>
      <c r="BB1104" s="259"/>
      <c r="BC1104" s="176"/>
      <c r="BD1104" s="179"/>
      <c r="BE1104" s="179"/>
      <c r="BF1104" s="178" t="s">
        <v>3460</v>
      </c>
      <c r="BG1104" s="25"/>
      <c r="BH1104" s="25"/>
    </row>
    <row r="1105" spans="1:60" ht="15" customHeight="1">
      <c r="A1105" s="95">
        <v>1104</v>
      </c>
      <c r="B1105" s="98" t="s">
        <v>596</v>
      </c>
      <c r="C1105" s="191" t="s">
        <v>2976</v>
      </c>
      <c r="D1105" s="257" t="s">
        <v>549</v>
      </c>
      <c r="E1105" s="459" t="s">
        <v>3377</v>
      </c>
      <c r="F1105" s="171">
        <v>1997</v>
      </c>
      <c r="G1105" s="171">
        <v>226</v>
      </c>
      <c r="H1105" s="57"/>
      <c r="I1105" s="173" t="s">
        <v>2564</v>
      </c>
      <c r="J1105" s="277">
        <v>0.45</v>
      </c>
      <c r="K1105" s="213">
        <v>4.1326781326781328</v>
      </c>
      <c r="L1105" s="91"/>
      <c r="M1105" s="278">
        <v>407</v>
      </c>
      <c r="N1105" s="279"/>
      <c r="O1105" s="172" t="s">
        <v>12</v>
      </c>
      <c r="P1105" s="92"/>
      <c r="Q1105" s="173" t="s">
        <v>10</v>
      </c>
      <c r="R1105" s="171" t="s">
        <v>2735</v>
      </c>
      <c r="S1105" s="94"/>
      <c r="T1105" s="171" t="s">
        <v>2306</v>
      </c>
      <c r="U1105" s="171" t="s">
        <v>2551</v>
      </c>
      <c r="V1105" s="102">
        <v>0</v>
      </c>
      <c r="W1105" s="120">
        <v>0</v>
      </c>
      <c r="X1105" s="120">
        <v>0</v>
      </c>
      <c r="Y1105" s="120">
        <v>0</v>
      </c>
      <c r="Z1105" s="120">
        <v>0</v>
      </c>
      <c r="AA1105" s="17">
        <v>0</v>
      </c>
      <c r="AB1105" s="17">
        <v>0</v>
      </c>
      <c r="AC1105" s="17">
        <v>0</v>
      </c>
      <c r="AD1105" s="17">
        <v>0</v>
      </c>
      <c r="AE1105" s="17">
        <v>0</v>
      </c>
      <c r="AF1105" s="17">
        <v>0</v>
      </c>
      <c r="AG1105" s="17">
        <v>0</v>
      </c>
      <c r="AH1105" s="17">
        <v>0</v>
      </c>
      <c r="AI1105" s="17">
        <v>0</v>
      </c>
      <c r="AJ1105" s="17">
        <v>0</v>
      </c>
      <c r="AK1105" s="17">
        <v>0</v>
      </c>
      <c r="AL1105" s="32" t="s">
        <v>2541</v>
      </c>
      <c r="AM1105" s="780">
        <v>51.4</v>
      </c>
      <c r="AN1105" s="89"/>
      <c r="AO1105" s="280"/>
      <c r="AP1105" s="784"/>
      <c r="AQ1105" s="773" t="s">
        <v>271</v>
      </c>
      <c r="AR1105" s="188">
        <v>100</v>
      </c>
      <c r="AS1105" s="171"/>
      <c r="AT1105" s="171" t="str">
        <f t="shared" si="89"/>
        <v>400</v>
      </c>
      <c r="AU1105" s="255">
        <f t="shared" si="90"/>
        <v>22.222222222222221</v>
      </c>
      <c r="AV1105" s="57"/>
      <c r="AW1105" s="171">
        <v>7</v>
      </c>
      <c r="AX1105" s="89"/>
      <c r="AY1105" s="171">
        <v>20</v>
      </c>
      <c r="AZ1105" s="89"/>
      <c r="BA1105" s="175">
        <v>60</v>
      </c>
      <c r="BB1105" s="259"/>
      <c r="BC1105" s="176"/>
      <c r="BD1105" s="179"/>
      <c r="BE1105" s="179"/>
      <c r="BF1105" s="178" t="s">
        <v>3460</v>
      </c>
      <c r="BG1105" s="25"/>
      <c r="BH1105" s="25"/>
    </row>
    <row r="1106" spans="1:60" ht="15" customHeight="1">
      <c r="A1106" s="95">
        <v>1105</v>
      </c>
      <c r="B1106" s="98" t="s">
        <v>595</v>
      </c>
      <c r="C1106" s="191" t="s">
        <v>2976</v>
      </c>
      <c r="D1106" s="257" t="s">
        <v>549</v>
      </c>
      <c r="E1106" s="459" t="s">
        <v>3377</v>
      </c>
      <c r="F1106" s="171">
        <v>1997</v>
      </c>
      <c r="G1106" s="171">
        <v>226</v>
      </c>
      <c r="H1106" s="57"/>
      <c r="I1106" s="173" t="s">
        <v>2564</v>
      </c>
      <c r="J1106" s="277">
        <v>0.55000000000000004</v>
      </c>
      <c r="K1106" s="213">
        <v>5.379204892966361</v>
      </c>
      <c r="L1106" s="91"/>
      <c r="M1106" s="278">
        <v>327</v>
      </c>
      <c r="N1106" s="279"/>
      <c r="O1106" s="172" t="s">
        <v>12</v>
      </c>
      <c r="P1106" s="92"/>
      <c r="Q1106" s="173" t="s">
        <v>10</v>
      </c>
      <c r="R1106" s="171" t="s">
        <v>2735</v>
      </c>
      <c r="S1106" s="94"/>
      <c r="T1106" s="171" t="s">
        <v>2306</v>
      </c>
      <c r="U1106" s="171" t="s">
        <v>2551</v>
      </c>
      <c r="V1106" s="102">
        <v>0</v>
      </c>
      <c r="W1106" s="120">
        <v>0</v>
      </c>
      <c r="X1106" s="120">
        <v>0</v>
      </c>
      <c r="Y1106" s="120">
        <v>0</v>
      </c>
      <c r="Z1106" s="120">
        <v>0</v>
      </c>
      <c r="AA1106" s="17">
        <v>0</v>
      </c>
      <c r="AB1106" s="17">
        <v>0</v>
      </c>
      <c r="AC1106" s="17">
        <v>0</v>
      </c>
      <c r="AD1106" s="17">
        <v>0</v>
      </c>
      <c r="AE1106" s="17">
        <v>0</v>
      </c>
      <c r="AF1106" s="17">
        <v>0</v>
      </c>
      <c r="AG1106" s="17">
        <v>0</v>
      </c>
      <c r="AH1106" s="17">
        <v>0</v>
      </c>
      <c r="AI1106" s="17">
        <v>0</v>
      </c>
      <c r="AJ1106" s="17">
        <v>0</v>
      </c>
      <c r="AK1106" s="17">
        <v>0</v>
      </c>
      <c r="AL1106" s="32" t="s">
        <v>2541</v>
      </c>
      <c r="AM1106" s="780">
        <v>38.1</v>
      </c>
      <c r="AN1106" s="89"/>
      <c r="AO1106" s="280"/>
      <c r="AP1106" s="784"/>
      <c r="AQ1106" s="773" t="s">
        <v>271</v>
      </c>
      <c r="AR1106" s="188">
        <v>100</v>
      </c>
      <c r="AS1106" s="171"/>
      <c r="AT1106" s="171" t="str">
        <f t="shared" si="89"/>
        <v>400</v>
      </c>
      <c r="AU1106" s="255">
        <f t="shared" si="90"/>
        <v>22.222222222222221</v>
      </c>
      <c r="AV1106" s="57"/>
      <c r="AW1106" s="171">
        <v>7</v>
      </c>
      <c r="AX1106" s="89"/>
      <c r="AY1106" s="171">
        <v>20</v>
      </c>
      <c r="AZ1106" s="89"/>
      <c r="BA1106" s="175">
        <v>60</v>
      </c>
      <c r="BB1106" s="259"/>
      <c r="BC1106" s="176"/>
      <c r="BD1106" s="179"/>
      <c r="BE1106" s="179"/>
      <c r="BF1106" s="178" t="s">
        <v>3460</v>
      </c>
      <c r="BG1106" s="25"/>
      <c r="BH1106" s="25"/>
    </row>
    <row r="1107" spans="1:60" ht="15" customHeight="1">
      <c r="A1107" s="95">
        <v>1106</v>
      </c>
      <c r="B1107" s="98" t="s">
        <v>594</v>
      </c>
      <c r="C1107" s="191" t="s">
        <v>2976</v>
      </c>
      <c r="D1107" s="257" t="s">
        <v>549</v>
      </c>
      <c r="E1107" s="459" t="s">
        <v>3377</v>
      </c>
      <c r="F1107" s="171">
        <v>1997</v>
      </c>
      <c r="G1107" s="171">
        <v>226</v>
      </c>
      <c r="H1107" s="57"/>
      <c r="I1107" s="173" t="s">
        <v>2564</v>
      </c>
      <c r="J1107" s="277">
        <v>0.55000000000000004</v>
      </c>
      <c r="K1107" s="213">
        <v>5.379204892966361</v>
      </c>
      <c r="L1107" s="91"/>
      <c r="M1107" s="278">
        <v>327</v>
      </c>
      <c r="N1107" s="279"/>
      <c r="O1107" s="172" t="s">
        <v>12</v>
      </c>
      <c r="P1107" s="92"/>
      <c r="Q1107" s="173" t="s">
        <v>10</v>
      </c>
      <c r="R1107" s="171" t="s">
        <v>2735</v>
      </c>
      <c r="S1107" s="94"/>
      <c r="T1107" s="171" t="s">
        <v>2306</v>
      </c>
      <c r="U1107" s="171" t="s">
        <v>2551</v>
      </c>
      <c r="V1107" s="102">
        <v>0</v>
      </c>
      <c r="W1107" s="120">
        <v>0</v>
      </c>
      <c r="X1107" s="120">
        <v>0</v>
      </c>
      <c r="Y1107" s="120">
        <v>0</v>
      </c>
      <c r="Z1107" s="120">
        <v>0</v>
      </c>
      <c r="AA1107" s="17">
        <v>0</v>
      </c>
      <c r="AB1107" s="17">
        <v>0</v>
      </c>
      <c r="AC1107" s="17">
        <v>0</v>
      </c>
      <c r="AD1107" s="17">
        <v>0</v>
      </c>
      <c r="AE1107" s="17">
        <v>0</v>
      </c>
      <c r="AF1107" s="17">
        <v>0</v>
      </c>
      <c r="AG1107" s="17">
        <v>0</v>
      </c>
      <c r="AH1107" s="17">
        <v>0</v>
      </c>
      <c r="AI1107" s="17">
        <v>0</v>
      </c>
      <c r="AJ1107" s="17">
        <v>0</v>
      </c>
      <c r="AK1107" s="17">
        <v>0</v>
      </c>
      <c r="AL1107" s="32" t="s">
        <v>2541</v>
      </c>
      <c r="AM1107" s="780">
        <v>37.1</v>
      </c>
      <c r="AN1107" s="89"/>
      <c r="AO1107" s="280"/>
      <c r="AP1107" s="784"/>
      <c r="AQ1107" s="773" t="s">
        <v>271</v>
      </c>
      <c r="AR1107" s="188">
        <v>100</v>
      </c>
      <c r="AS1107" s="171"/>
      <c r="AT1107" s="171" t="str">
        <f t="shared" si="89"/>
        <v>400</v>
      </c>
      <c r="AU1107" s="255">
        <f t="shared" si="90"/>
        <v>22.222222222222221</v>
      </c>
      <c r="AV1107" s="57"/>
      <c r="AW1107" s="171">
        <v>7</v>
      </c>
      <c r="AX1107" s="89"/>
      <c r="AY1107" s="171">
        <v>20</v>
      </c>
      <c r="AZ1107" s="89"/>
      <c r="BA1107" s="175">
        <v>60</v>
      </c>
      <c r="BB1107" s="259"/>
      <c r="BC1107" s="176"/>
      <c r="BD1107" s="179"/>
      <c r="BE1107" s="179"/>
      <c r="BF1107" s="178" t="s">
        <v>3460</v>
      </c>
      <c r="BG1107" s="25"/>
      <c r="BH1107" s="25"/>
    </row>
    <row r="1108" spans="1:60" ht="15" customHeight="1">
      <c r="A1108" s="95">
        <v>1107</v>
      </c>
      <c r="B1108" s="98" t="s">
        <v>593</v>
      </c>
      <c r="C1108" s="191" t="s">
        <v>2976</v>
      </c>
      <c r="D1108" s="257" t="s">
        <v>549</v>
      </c>
      <c r="E1108" s="459" t="s">
        <v>3377</v>
      </c>
      <c r="F1108" s="171">
        <v>1997</v>
      </c>
      <c r="G1108" s="171">
        <v>226</v>
      </c>
      <c r="H1108" s="57"/>
      <c r="I1108" s="173" t="s">
        <v>2564</v>
      </c>
      <c r="J1108" s="277">
        <v>0.55000000000000004</v>
      </c>
      <c r="K1108" s="213">
        <v>5.379204892966361</v>
      </c>
      <c r="L1108" s="91"/>
      <c r="M1108" s="278">
        <v>327</v>
      </c>
      <c r="N1108" s="279"/>
      <c r="O1108" s="172" t="s">
        <v>12</v>
      </c>
      <c r="P1108" s="92"/>
      <c r="Q1108" s="173" t="s">
        <v>10</v>
      </c>
      <c r="R1108" s="171" t="s">
        <v>2735</v>
      </c>
      <c r="S1108" s="94"/>
      <c r="T1108" s="171" t="s">
        <v>2306</v>
      </c>
      <c r="U1108" s="171" t="s">
        <v>2551</v>
      </c>
      <c r="V1108" s="102">
        <v>0</v>
      </c>
      <c r="W1108" s="120">
        <v>0</v>
      </c>
      <c r="X1108" s="120">
        <v>0</v>
      </c>
      <c r="Y1108" s="120">
        <v>0</v>
      </c>
      <c r="Z1108" s="120">
        <v>0</v>
      </c>
      <c r="AA1108" s="17">
        <v>0</v>
      </c>
      <c r="AB1108" s="17">
        <v>0</v>
      </c>
      <c r="AC1108" s="17">
        <v>0</v>
      </c>
      <c r="AD1108" s="17">
        <v>0</v>
      </c>
      <c r="AE1108" s="17">
        <v>0</v>
      </c>
      <c r="AF1108" s="17">
        <v>0</v>
      </c>
      <c r="AG1108" s="17">
        <v>0</v>
      </c>
      <c r="AH1108" s="17">
        <v>0</v>
      </c>
      <c r="AI1108" s="17">
        <v>0</v>
      </c>
      <c r="AJ1108" s="17">
        <v>0</v>
      </c>
      <c r="AK1108" s="17">
        <v>0</v>
      </c>
      <c r="AL1108" s="32" t="s">
        <v>2541</v>
      </c>
      <c r="AM1108" s="780">
        <v>42.3</v>
      </c>
      <c r="AN1108" s="89"/>
      <c r="AO1108" s="280"/>
      <c r="AP1108" s="784"/>
      <c r="AQ1108" s="773" t="s">
        <v>271</v>
      </c>
      <c r="AR1108" s="188">
        <v>100</v>
      </c>
      <c r="AS1108" s="171"/>
      <c r="AT1108" s="171" t="str">
        <f t="shared" si="89"/>
        <v>400</v>
      </c>
      <c r="AU1108" s="255">
        <f t="shared" si="90"/>
        <v>22.222222222222221</v>
      </c>
      <c r="AV1108" s="57"/>
      <c r="AW1108" s="171">
        <v>7</v>
      </c>
      <c r="AX1108" s="89"/>
      <c r="AY1108" s="171">
        <v>20</v>
      </c>
      <c r="AZ1108" s="89"/>
      <c r="BA1108" s="175">
        <v>60</v>
      </c>
      <c r="BB1108" s="259"/>
      <c r="BC1108" s="176"/>
      <c r="BD1108" s="179"/>
      <c r="BE1108" s="179"/>
      <c r="BF1108" s="178" t="s">
        <v>3460</v>
      </c>
      <c r="BG1108" s="25"/>
      <c r="BH1108" s="25"/>
    </row>
    <row r="1109" spans="1:60" ht="15" customHeight="1">
      <c r="A1109" s="95">
        <v>1108</v>
      </c>
      <c r="B1109" s="98" t="s">
        <v>592</v>
      </c>
      <c r="C1109" s="191" t="s">
        <v>2976</v>
      </c>
      <c r="D1109" s="257" t="s">
        <v>549</v>
      </c>
      <c r="E1109" s="459" t="s">
        <v>3377</v>
      </c>
      <c r="F1109" s="171">
        <v>1997</v>
      </c>
      <c r="G1109" s="171">
        <v>226</v>
      </c>
      <c r="H1109" s="57"/>
      <c r="I1109" s="173" t="s">
        <v>2564</v>
      </c>
      <c r="J1109" s="277">
        <v>0.55000000000000004</v>
      </c>
      <c r="K1109" s="213">
        <v>5.379204892966361</v>
      </c>
      <c r="L1109" s="91"/>
      <c r="M1109" s="278">
        <v>327</v>
      </c>
      <c r="N1109" s="279"/>
      <c r="O1109" s="172" t="s">
        <v>12</v>
      </c>
      <c r="P1109" s="92"/>
      <c r="Q1109" s="173" t="s">
        <v>10</v>
      </c>
      <c r="R1109" s="171" t="s">
        <v>2735</v>
      </c>
      <c r="S1109" s="94"/>
      <c r="T1109" s="171" t="s">
        <v>2306</v>
      </c>
      <c r="U1109" s="171" t="s">
        <v>2551</v>
      </c>
      <c r="V1109" s="102">
        <v>0</v>
      </c>
      <c r="W1109" s="120">
        <v>0</v>
      </c>
      <c r="X1109" s="120">
        <v>0</v>
      </c>
      <c r="Y1109" s="120">
        <v>0</v>
      </c>
      <c r="Z1109" s="120">
        <v>0</v>
      </c>
      <c r="AA1109" s="17">
        <v>0</v>
      </c>
      <c r="AB1109" s="17">
        <v>0</v>
      </c>
      <c r="AC1109" s="17">
        <v>0</v>
      </c>
      <c r="AD1109" s="17">
        <v>0</v>
      </c>
      <c r="AE1109" s="17">
        <v>0</v>
      </c>
      <c r="AF1109" s="17">
        <v>0</v>
      </c>
      <c r="AG1109" s="17">
        <v>0</v>
      </c>
      <c r="AH1109" s="17">
        <v>0</v>
      </c>
      <c r="AI1109" s="17">
        <v>0</v>
      </c>
      <c r="AJ1109" s="17">
        <v>0</v>
      </c>
      <c r="AK1109" s="17">
        <v>0</v>
      </c>
      <c r="AL1109" s="32" t="s">
        <v>2541</v>
      </c>
      <c r="AM1109" s="780">
        <v>38.1</v>
      </c>
      <c r="AN1109" s="89"/>
      <c r="AO1109" s="280"/>
      <c r="AP1109" s="784"/>
      <c r="AQ1109" s="773" t="s">
        <v>271</v>
      </c>
      <c r="AR1109" s="188">
        <v>100</v>
      </c>
      <c r="AS1109" s="171"/>
      <c r="AT1109" s="171" t="str">
        <f t="shared" si="89"/>
        <v>400</v>
      </c>
      <c r="AU1109" s="255">
        <f t="shared" si="90"/>
        <v>22.222222222222221</v>
      </c>
      <c r="AV1109" s="57"/>
      <c r="AW1109" s="171">
        <v>7</v>
      </c>
      <c r="AX1109" s="89"/>
      <c r="AY1109" s="171">
        <v>20</v>
      </c>
      <c r="AZ1109" s="89"/>
      <c r="BA1109" s="175">
        <v>60</v>
      </c>
      <c r="BB1109" s="259"/>
      <c r="BC1109" s="176"/>
      <c r="BD1109" s="179"/>
      <c r="BE1109" s="179"/>
      <c r="BF1109" s="178" t="s">
        <v>3460</v>
      </c>
      <c r="BG1109" s="25"/>
      <c r="BH1109" s="25"/>
    </row>
    <row r="1110" spans="1:60" ht="15" customHeight="1">
      <c r="A1110" s="95">
        <v>1109</v>
      </c>
      <c r="B1110" s="98" t="s">
        <v>591</v>
      </c>
      <c r="C1110" s="191" t="s">
        <v>2976</v>
      </c>
      <c r="D1110" s="257" t="s">
        <v>549</v>
      </c>
      <c r="E1110" s="459" t="s">
        <v>3377</v>
      </c>
      <c r="F1110" s="171">
        <v>1997</v>
      </c>
      <c r="G1110" s="171">
        <v>226</v>
      </c>
      <c r="H1110" s="57"/>
      <c r="I1110" s="173" t="s">
        <v>2564</v>
      </c>
      <c r="J1110" s="277">
        <v>0.55000000000000004</v>
      </c>
      <c r="K1110" s="213">
        <v>5.379204892966361</v>
      </c>
      <c r="L1110" s="91"/>
      <c r="M1110" s="278">
        <v>327</v>
      </c>
      <c r="N1110" s="279"/>
      <c r="O1110" s="172" t="s">
        <v>12</v>
      </c>
      <c r="P1110" s="92"/>
      <c r="Q1110" s="173" t="s">
        <v>10</v>
      </c>
      <c r="R1110" s="171" t="s">
        <v>2735</v>
      </c>
      <c r="S1110" s="94"/>
      <c r="T1110" s="171" t="s">
        <v>2306</v>
      </c>
      <c r="U1110" s="171" t="s">
        <v>2551</v>
      </c>
      <c r="V1110" s="102">
        <v>0</v>
      </c>
      <c r="W1110" s="120">
        <v>0</v>
      </c>
      <c r="X1110" s="120">
        <v>0</v>
      </c>
      <c r="Y1110" s="120">
        <v>0</v>
      </c>
      <c r="Z1110" s="120">
        <v>0</v>
      </c>
      <c r="AA1110" s="17">
        <v>0</v>
      </c>
      <c r="AB1110" s="17">
        <v>0</v>
      </c>
      <c r="AC1110" s="17">
        <v>0</v>
      </c>
      <c r="AD1110" s="17">
        <v>0</v>
      </c>
      <c r="AE1110" s="17">
        <v>0</v>
      </c>
      <c r="AF1110" s="17">
        <v>0</v>
      </c>
      <c r="AG1110" s="17">
        <v>0</v>
      </c>
      <c r="AH1110" s="17">
        <v>0</v>
      </c>
      <c r="AI1110" s="17">
        <v>0</v>
      </c>
      <c r="AJ1110" s="17">
        <v>0</v>
      </c>
      <c r="AK1110" s="17">
        <v>0</v>
      </c>
      <c r="AL1110" s="32" t="s">
        <v>2541</v>
      </c>
      <c r="AM1110" s="780">
        <v>40</v>
      </c>
      <c r="AN1110" s="89"/>
      <c r="AO1110" s="280"/>
      <c r="AP1110" s="784"/>
      <c r="AQ1110" s="773" t="s">
        <v>271</v>
      </c>
      <c r="AR1110" s="188">
        <v>100</v>
      </c>
      <c r="AS1110" s="171"/>
      <c r="AT1110" s="171" t="str">
        <f t="shared" si="89"/>
        <v>400</v>
      </c>
      <c r="AU1110" s="255">
        <f t="shared" si="90"/>
        <v>22.222222222222221</v>
      </c>
      <c r="AV1110" s="57"/>
      <c r="AW1110" s="171">
        <v>7</v>
      </c>
      <c r="AX1110" s="89"/>
      <c r="AY1110" s="171">
        <v>20</v>
      </c>
      <c r="AZ1110" s="89"/>
      <c r="BA1110" s="175">
        <v>60</v>
      </c>
      <c r="BB1110" s="259"/>
      <c r="BC1110" s="176"/>
      <c r="BD1110" s="179"/>
      <c r="BE1110" s="179"/>
      <c r="BF1110" s="178" t="s">
        <v>3460</v>
      </c>
      <c r="BG1110" s="25"/>
      <c r="BH1110" s="25"/>
    </row>
    <row r="1111" spans="1:60" ht="15" customHeight="1">
      <c r="A1111" s="95">
        <v>1110</v>
      </c>
      <c r="B1111" s="98" t="s">
        <v>590</v>
      </c>
      <c r="C1111" s="191" t="s">
        <v>2976</v>
      </c>
      <c r="D1111" s="257" t="s">
        <v>549</v>
      </c>
      <c r="E1111" s="459" t="s">
        <v>3377</v>
      </c>
      <c r="F1111" s="171">
        <v>1997</v>
      </c>
      <c r="G1111" s="171">
        <v>226</v>
      </c>
      <c r="H1111" s="57"/>
      <c r="I1111" s="173" t="s">
        <v>2564</v>
      </c>
      <c r="J1111" s="277">
        <v>0.55000000000000004</v>
      </c>
      <c r="K1111" s="213">
        <v>5.379204892966361</v>
      </c>
      <c r="L1111" s="91"/>
      <c r="M1111" s="278">
        <v>327</v>
      </c>
      <c r="N1111" s="279"/>
      <c r="O1111" s="172" t="s">
        <v>12</v>
      </c>
      <c r="P1111" s="92"/>
      <c r="Q1111" s="173" t="s">
        <v>10</v>
      </c>
      <c r="R1111" s="171" t="s">
        <v>2735</v>
      </c>
      <c r="S1111" s="94"/>
      <c r="T1111" s="171" t="s">
        <v>2306</v>
      </c>
      <c r="U1111" s="171" t="s">
        <v>2551</v>
      </c>
      <c r="V1111" s="102">
        <v>0</v>
      </c>
      <c r="W1111" s="120">
        <v>0</v>
      </c>
      <c r="X1111" s="120">
        <v>0</v>
      </c>
      <c r="Y1111" s="120">
        <v>0</v>
      </c>
      <c r="Z1111" s="120">
        <v>0</v>
      </c>
      <c r="AA1111" s="17">
        <v>0</v>
      </c>
      <c r="AB1111" s="17">
        <v>0</v>
      </c>
      <c r="AC1111" s="17">
        <v>0</v>
      </c>
      <c r="AD1111" s="17">
        <v>0</v>
      </c>
      <c r="AE1111" s="17">
        <v>0</v>
      </c>
      <c r="AF1111" s="17">
        <v>0</v>
      </c>
      <c r="AG1111" s="17">
        <v>0</v>
      </c>
      <c r="AH1111" s="17">
        <v>0</v>
      </c>
      <c r="AI1111" s="17">
        <v>0</v>
      </c>
      <c r="AJ1111" s="17">
        <v>0</v>
      </c>
      <c r="AK1111" s="17">
        <v>0</v>
      </c>
      <c r="AL1111" s="32" t="s">
        <v>2541</v>
      </c>
      <c r="AM1111" s="780">
        <v>40.799999999999997</v>
      </c>
      <c r="AN1111" s="89"/>
      <c r="AO1111" s="280"/>
      <c r="AP1111" s="784"/>
      <c r="AQ1111" s="773" t="s">
        <v>271</v>
      </c>
      <c r="AR1111" s="188">
        <v>100</v>
      </c>
      <c r="AS1111" s="171"/>
      <c r="AT1111" s="171" t="str">
        <f t="shared" si="89"/>
        <v>400</v>
      </c>
      <c r="AU1111" s="255">
        <f t="shared" si="90"/>
        <v>22.222222222222221</v>
      </c>
      <c r="AV1111" s="57"/>
      <c r="AW1111" s="171">
        <v>7</v>
      </c>
      <c r="AX1111" s="89"/>
      <c r="AY1111" s="171">
        <v>20</v>
      </c>
      <c r="AZ1111" s="89"/>
      <c r="BA1111" s="175">
        <v>60</v>
      </c>
      <c r="BB1111" s="259"/>
      <c r="BC1111" s="176"/>
      <c r="BD1111" s="179"/>
      <c r="BE1111" s="179"/>
      <c r="BF1111" s="178" t="s">
        <v>3460</v>
      </c>
      <c r="BG1111" s="25"/>
      <c r="BH1111" s="25"/>
    </row>
    <row r="1112" spans="1:60" ht="15" customHeight="1">
      <c r="A1112" s="95">
        <v>1111</v>
      </c>
      <c r="B1112" s="98" t="s">
        <v>589</v>
      </c>
      <c r="C1112" s="191" t="s">
        <v>2976</v>
      </c>
      <c r="D1112" s="257" t="s">
        <v>549</v>
      </c>
      <c r="E1112" s="459" t="s">
        <v>3377</v>
      </c>
      <c r="F1112" s="171">
        <v>1997</v>
      </c>
      <c r="G1112" s="171">
        <v>226</v>
      </c>
      <c r="H1112" s="57"/>
      <c r="I1112" s="173" t="s">
        <v>2564</v>
      </c>
      <c r="J1112" s="277">
        <v>0.55000000000000004</v>
      </c>
      <c r="K1112" s="213">
        <v>5.379204892966361</v>
      </c>
      <c r="L1112" s="91"/>
      <c r="M1112" s="278">
        <v>327</v>
      </c>
      <c r="N1112" s="279"/>
      <c r="O1112" s="172" t="s">
        <v>12</v>
      </c>
      <c r="P1112" s="92"/>
      <c r="Q1112" s="173" t="s">
        <v>10</v>
      </c>
      <c r="R1112" s="171" t="s">
        <v>2735</v>
      </c>
      <c r="S1112" s="94"/>
      <c r="T1112" s="171" t="s">
        <v>2306</v>
      </c>
      <c r="U1112" s="171" t="s">
        <v>2551</v>
      </c>
      <c r="V1112" s="102">
        <v>0</v>
      </c>
      <c r="W1112" s="120">
        <v>0</v>
      </c>
      <c r="X1112" s="120">
        <v>0</v>
      </c>
      <c r="Y1112" s="120">
        <v>0</v>
      </c>
      <c r="Z1112" s="120">
        <v>0</v>
      </c>
      <c r="AA1112" s="17">
        <v>0</v>
      </c>
      <c r="AB1112" s="17">
        <v>0</v>
      </c>
      <c r="AC1112" s="17">
        <v>0</v>
      </c>
      <c r="AD1112" s="17">
        <v>0</v>
      </c>
      <c r="AE1112" s="17">
        <v>0</v>
      </c>
      <c r="AF1112" s="17">
        <v>0</v>
      </c>
      <c r="AG1112" s="17">
        <v>0</v>
      </c>
      <c r="AH1112" s="17">
        <v>0</v>
      </c>
      <c r="AI1112" s="17">
        <v>0</v>
      </c>
      <c r="AJ1112" s="17">
        <v>0</v>
      </c>
      <c r="AK1112" s="17">
        <v>0</v>
      </c>
      <c r="AL1112" s="32" t="s">
        <v>2541</v>
      </c>
      <c r="AM1112" s="780">
        <v>40</v>
      </c>
      <c r="AN1112" s="89"/>
      <c r="AO1112" s="280"/>
      <c r="AP1112" s="784"/>
      <c r="AQ1112" s="773" t="s">
        <v>271</v>
      </c>
      <c r="AR1112" s="188">
        <v>100</v>
      </c>
      <c r="AS1112" s="171"/>
      <c r="AT1112" s="171" t="str">
        <f t="shared" si="89"/>
        <v>400</v>
      </c>
      <c r="AU1112" s="255">
        <f t="shared" si="90"/>
        <v>22.222222222222221</v>
      </c>
      <c r="AV1112" s="57"/>
      <c r="AW1112" s="171">
        <v>7</v>
      </c>
      <c r="AX1112" s="89"/>
      <c r="AY1112" s="171">
        <v>20</v>
      </c>
      <c r="AZ1112" s="89"/>
      <c r="BA1112" s="175">
        <v>60</v>
      </c>
      <c r="BB1112" s="259"/>
      <c r="BC1112" s="176"/>
      <c r="BD1112" s="179"/>
      <c r="BE1112" s="179"/>
      <c r="BF1112" s="178" t="s">
        <v>3460</v>
      </c>
      <c r="BG1112" s="25"/>
      <c r="BH1112" s="25"/>
    </row>
    <row r="1113" spans="1:60" ht="15" customHeight="1">
      <c r="A1113" s="95">
        <v>1112</v>
      </c>
      <c r="B1113" s="98" t="s">
        <v>588</v>
      </c>
      <c r="C1113" s="191" t="s">
        <v>2976</v>
      </c>
      <c r="D1113" s="257" t="s">
        <v>549</v>
      </c>
      <c r="E1113" s="459" t="s">
        <v>3377</v>
      </c>
      <c r="F1113" s="171">
        <v>1997</v>
      </c>
      <c r="G1113" s="171">
        <v>226</v>
      </c>
      <c r="H1113" s="57"/>
      <c r="I1113" s="173" t="s">
        <v>2564</v>
      </c>
      <c r="J1113" s="277">
        <v>0.55000000000000004</v>
      </c>
      <c r="K1113" s="213">
        <v>5.379204892966361</v>
      </c>
      <c r="L1113" s="91"/>
      <c r="M1113" s="278">
        <v>327</v>
      </c>
      <c r="N1113" s="279"/>
      <c r="O1113" s="172" t="s">
        <v>12</v>
      </c>
      <c r="P1113" s="92"/>
      <c r="Q1113" s="173" t="s">
        <v>10</v>
      </c>
      <c r="R1113" s="171" t="s">
        <v>2735</v>
      </c>
      <c r="S1113" s="94"/>
      <c r="T1113" s="171" t="s">
        <v>2306</v>
      </c>
      <c r="U1113" s="171" t="s">
        <v>2551</v>
      </c>
      <c r="V1113" s="102">
        <v>0</v>
      </c>
      <c r="W1113" s="120">
        <v>0</v>
      </c>
      <c r="X1113" s="120">
        <v>0</v>
      </c>
      <c r="Y1113" s="120">
        <v>0</v>
      </c>
      <c r="Z1113" s="120">
        <v>0</v>
      </c>
      <c r="AA1113" s="17">
        <v>0</v>
      </c>
      <c r="AB1113" s="17">
        <v>0</v>
      </c>
      <c r="AC1113" s="17">
        <v>0</v>
      </c>
      <c r="AD1113" s="17">
        <v>0</v>
      </c>
      <c r="AE1113" s="17">
        <v>0</v>
      </c>
      <c r="AF1113" s="17">
        <v>0</v>
      </c>
      <c r="AG1113" s="17">
        <v>0</v>
      </c>
      <c r="AH1113" s="17">
        <v>0</v>
      </c>
      <c r="AI1113" s="17">
        <v>0</v>
      </c>
      <c r="AJ1113" s="17">
        <v>0</v>
      </c>
      <c r="AK1113" s="17">
        <v>0</v>
      </c>
      <c r="AL1113" s="32" t="s">
        <v>2541</v>
      </c>
      <c r="AM1113" s="780">
        <v>38.1</v>
      </c>
      <c r="AN1113" s="89"/>
      <c r="AO1113" s="280"/>
      <c r="AP1113" s="784"/>
      <c r="AQ1113" s="773" t="s">
        <v>271</v>
      </c>
      <c r="AR1113" s="188">
        <v>100</v>
      </c>
      <c r="AS1113" s="171"/>
      <c r="AT1113" s="171" t="str">
        <f t="shared" si="89"/>
        <v>400</v>
      </c>
      <c r="AU1113" s="255">
        <f t="shared" si="90"/>
        <v>22.222222222222221</v>
      </c>
      <c r="AV1113" s="57"/>
      <c r="AW1113" s="171">
        <v>7</v>
      </c>
      <c r="AX1113" s="89"/>
      <c r="AY1113" s="171">
        <v>20</v>
      </c>
      <c r="AZ1113" s="89"/>
      <c r="BA1113" s="175">
        <v>60</v>
      </c>
      <c r="BB1113" s="259"/>
      <c r="BC1113" s="176"/>
      <c r="BD1113" s="179"/>
      <c r="BE1113" s="179"/>
      <c r="BF1113" s="178" t="s">
        <v>3460</v>
      </c>
      <c r="BG1113" s="25"/>
      <c r="BH1113" s="25"/>
    </row>
    <row r="1114" spans="1:60" ht="15" customHeight="1">
      <c r="A1114" s="95">
        <v>1113</v>
      </c>
      <c r="B1114" s="98" t="s">
        <v>587</v>
      </c>
      <c r="C1114" s="191" t="s">
        <v>2976</v>
      </c>
      <c r="D1114" s="257" t="s">
        <v>549</v>
      </c>
      <c r="E1114" s="459" t="s">
        <v>3377</v>
      </c>
      <c r="F1114" s="171">
        <v>1997</v>
      </c>
      <c r="G1114" s="171">
        <v>226</v>
      </c>
      <c r="H1114" s="57"/>
      <c r="I1114" s="173" t="s">
        <v>2564</v>
      </c>
      <c r="J1114" s="277">
        <v>0.6</v>
      </c>
      <c r="K1114" s="213">
        <v>6.0644067796610166</v>
      </c>
      <c r="L1114" s="91"/>
      <c r="M1114" s="278">
        <v>295</v>
      </c>
      <c r="N1114" s="279"/>
      <c r="O1114" s="172" t="s">
        <v>12</v>
      </c>
      <c r="P1114" s="92"/>
      <c r="Q1114" s="173" t="s">
        <v>10</v>
      </c>
      <c r="R1114" s="171" t="s">
        <v>2735</v>
      </c>
      <c r="S1114" s="94"/>
      <c r="T1114" s="171" t="s">
        <v>2306</v>
      </c>
      <c r="U1114" s="171" t="s">
        <v>2551</v>
      </c>
      <c r="V1114" s="102">
        <v>0</v>
      </c>
      <c r="W1114" s="120">
        <v>0</v>
      </c>
      <c r="X1114" s="120">
        <v>0</v>
      </c>
      <c r="Y1114" s="120">
        <v>0</v>
      </c>
      <c r="Z1114" s="120">
        <v>0</v>
      </c>
      <c r="AA1114" s="17">
        <v>0</v>
      </c>
      <c r="AB1114" s="17">
        <v>0</v>
      </c>
      <c r="AC1114" s="17">
        <v>0</v>
      </c>
      <c r="AD1114" s="17">
        <v>0</v>
      </c>
      <c r="AE1114" s="17">
        <v>0</v>
      </c>
      <c r="AF1114" s="17">
        <v>0</v>
      </c>
      <c r="AG1114" s="17">
        <v>0</v>
      </c>
      <c r="AH1114" s="17">
        <v>0</v>
      </c>
      <c r="AI1114" s="17">
        <v>0</v>
      </c>
      <c r="AJ1114" s="17">
        <v>0</v>
      </c>
      <c r="AK1114" s="17">
        <v>0</v>
      </c>
      <c r="AL1114" s="32" t="s">
        <v>2541</v>
      </c>
      <c r="AM1114" s="780">
        <v>36.200000000000003</v>
      </c>
      <c r="AN1114" s="89"/>
      <c r="AO1114" s="280"/>
      <c r="AP1114" s="784"/>
      <c r="AQ1114" s="773" t="s">
        <v>271</v>
      </c>
      <c r="AR1114" s="188">
        <v>100</v>
      </c>
      <c r="AS1114" s="171"/>
      <c r="AT1114" s="171" t="str">
        <f t="shared" si="89"/>
        <v>400</v>
      </c>
      <c r="AU1114" s="255">
        <f t="shared" si="90"/>
        <v>22.222222222222221</v>
      </c>
      <c r="AV1114" s="57"/>
      <c r="AW1114" s="171">
        <v>7</v>
      </c>
      <c r="AX1114" s="89"/>
      <c r="AY1114" s="171">
        <v>20</v>
      </c>
      <c r="AZ1114" s="89"/>
      <c r="BA1114" s="175">
        <v>60</v>
      </c>
      <c r="BB1114" s="259"/>
      <c r="BC1114" s="176"/>
      <c r="BD1114" s="179"/>
      <c r="BE1114" s="179"/>
      <c r="BF1114" s="178" t="s">
        <v>3460</v>
      </c>
      <c r="BG1114" s="25"/>
      <c r="BH1114" s="25"/>
    </row>
    <row r="1115" spans="1:60" ht="15" customHeight="1">
      <c r="A1115" s="95">
        <v>1114</v>
      </c>
      <c r="B1115" s="98" t="s">
        <v>586</v>
      </c>
      <c r="C1115" s="191" t="s">
        <v>2976</v>
      </c>
      <c r="D1115" s="257" t="s">
        <v>549</v>
      </c>
      <c r="E1115" s="459" t="s">
        <v>3377</v>
      </c>
      <c r="F1115" s="171">
        <v>1997</v>
      </c>
      <c r="G1115" s="171">
        <v>226</v>
      </c>
      <c r="H1115" s="57"/>
      <c r="I1115" s="173" t="s">
        <v>2564</v>
      </c>
      <c r="J1115" s="277">
        <v>0.6</v>
      </c>
      <c r="K1115" s="213">
        <v>6.0644067796610166</v>
      </c>
      <c r="L1115" s="91"/>
      <c r="M1115" s="278">
        <v>295</v>
      </c>
      <c r="N1115" s="279"/>
      <c r="O1115" s="172" t="s">
        <v>12</v>
      </c>
      <c r="P1115" s="92"/>
      <c r="Q1115" s="173" t="s">
        <v>10</v>
      </c>
      <c r="R1115" s="171" t="s">
        <v>2735</v>
      </c>
      <c r="S1115" s="94"/>
      <c r="T1115" s="171" t="s">
        <v>2306</v>
      </c>
      <c r="U1115" s="171" t="s">
        <v>2551</v>
      </c>
      <c r="V1115" s="102">
        <v>0</v>
      </c>
      <c r="W1115" s="120">
        <v>0</v>
      </c>
      <c r="X1115" s="120">
        <v>0</v>
      </c>
      <c r="Y1115" s="120">
        <v>0</v>
      </c>
      <c r="Z1115" s="120">
        <v>0</v>
      </c>
      <c r="AA1115" s="17">
        <v>0</v>
      </c>
      <c r="AB1115" s="17">
        <v>0</v>
      </c>
      <c r="AC1115" s="17">
        <v>0</v>
      </c>
      <c r="AD1115" s="17">
        <v>0</v>
      </c>
      <c r="AE1115" s="17">
        <v>0</v>
      </c>
      <c r="AF1115" s="17">
        <v>0</v>
      </c>
      <c r="AG1115" s="17">
        <v>0</v>
      </c>
      <c r="AH1115" s="17">
        <v>0</v>
      </c>
      <c r="AI1115" s="17">
        <v>0</v>
      </c>
      <c r="AJ1115" s="17">
        <v>0</v>
      </c>
      <c r="AK1115" s="17">
        <v>0</v>
      </c>
      <c r="AL1115" s="32" t="s">
        <v>2541</v>
      </c>
      <c r="AM1115" s="780">
        <v>36.200000000000003</v>
      </c>
      <c r="AN1115" s="89"/>
      <c r="AO1115" s="280"/>
      <c r="AP1115" s="784"/>
      <c r="AQ1115" s="773" t="s">
        <v>271</v>
      </c>
      <c r="AR1115" s="188">
        <v>100</v>
      </c>
      <c r="AS1115" s="171"/>
      <c r="AT1115" s="171" t="str">
        <f t="shared" si="89"/>
        <v>400</v>
      </c>
      <c r="AU1115" s="255">
        <f t="shared" si="90"/>
        <v>22.222222222222221</v>
      </c>
      <c r="AV1115" s="57"/>
      <c r="AW1115" s="171">
        <v>7</v>
      </c>
      <c r="AX1115" s="89"/>
      <c r="AY1115" s="171">
        <v>20</v>
      </c>
      <c r="AZ1115" s="89"/>
      <c r="BA1115" s="175">
        <v>60</v>
      </c>
      <c r="BB1115" s="259"/>
      <c r="BC1115" s="176"/>
      <c r="BD1115" s="179"/>
      <c r="BE1115" s="179"/>
      <c r="BF1115" s="178" t="s">
        <v>3460</v>
      </c>
      <c r="BG1115" s="25"/>
      <c r="BH1115" s="25"/>
    </row>
    <row r="1116" spans="1:60" s="14" customFormat="1" ht="15" customHeight="1">
      <c r="A1116" s="95">
        <v>1115</v>
      </c>
      <c r="B1116" s="98" t="s">
        <v>585</v>
      </c>
      <c r="C1116" s="191" t="s">
        <v>2699</v>
      </c>
      <c r="D1116" s="257" t="s">
        <v>549</v>
      </c>
      <c r="E1116" s="459" t="s">
        <v>3377</v>
      </c>
      <c r="F1116" s="171">
        <v>1997</v>
      </c>
      <c r="G1116" s="171">
        <v>227</v>
      </c>
      <c r="H1116" s="57"/>
      <c r="I1116" s="173" t="s">
        <v>2564</v>
      </c>
      <c r="J1116" s="212">
        <v>0</v>
      </c>
      <c r="K1116" s="213">
        <v>4.9816513761467887</v>
      </c>
      <c r="L1116" s="91"/>
      <c r="M1116" s="278">
        <v>327</v>
      </c>
      <c r="N1116" s="279"/>
      <c r="O1116" s="172" t="s">
        <v>12</v>
      </c>
      <c r="P1116" s="92"/>
      <c r="Q1116" s="173" t="s">
        <v>10</v>
      </c>
      <c r="R1116" s="89"/>
      <c r="S1116" s="94"/>
      <c r="T1116" s="171" t="s">
        <v>2306</v>
      </c>
      <c r="U1116" s="171" t="s">
        <v>2530</v>
      </c>
      <c r="V1116" s="102">
        <v>0</v>
      </c>
      <c r="W1116" s="120">
        <v>0</v>
      </c>
      <c r="X1116" s="120">
        <v>0</v>
      </c>
      <c r="Y1116" s="120">
        <v>0</v>
      </c>
      <c r="Z1116" s="120">
        <v>0</v>
      </c>
      <c r="AA1116" s="17">
        <v>0</v>
      </c>
      <c r="AB1116" s="17">
        <v>52.9</v>
      </c>
      <c r="AC1116" s="17">
        <v>0</v>
      </c>
      <c r="AD1116" s="17">
        <v>0</v>
      </c>
      <c r="AE1116" s="17">
        <v>0</v>
      </c>
      <c r="AF1116" s="17">
        <v>0</v>
      </c>
      <c r="AG1116" s="17">
        <v>0</v>
      </c>
      <c r="AH1116" s="17">
        <v>0</v>
      </c>
      <c r="AI1116" s="17">
        <v>0</v>
      </c>
      <c r="AJ1116" s="17">
        <v>0</v>
      </c>
      <c r="AK1116" s="17">
        <v>0</v>
      </c>
      <c r="AL1116" s="32">
        <v>0</v>
      </c>
      <c r="AM1116" s="780">
        <v>47.5</v>
      </c>
      <c r="AN1116" s="89"/>
      <c r="AO1116" s="280"/>
      <c r="AP1116" s="784"/>
      <c r="AQ1116" s="773" t="s">
        <v>271</v>
      </c>
      <c r="AR1116" s="188">
        <v>100</v>
      </c>
      <c r="AS1116" s="171"/>
      <c r="AT1116" s="171" t="str">
        <f t="shared" si="89"/>
        <v>400</v>
      </c>
      <c r="AU1116" s="255">
        <f t="shared" si="90"/>
        <v>22.222222222222221</v>
      </c>
      <c r="AV1116" s="172">
        <v>100</v>
      </c>
      <c r="AW1116" s="171">
        <v>7</v>
      </c>
      <c r="AX1116" s="89"/>
      <c r="AY1116" s="171">
        <v>20</v>
      </c>
      <c r="AZ1116" s="89"/>
      <c r="BA1116" s="175">
        <v>60</v>
      </c>
      <c r="BB1116" s="189" t="s">
        <v>2547</v>
      </c>
      <c r="BC1116" s="176"/>
      <c r="BD1116" s="176"/>
      <c r="BE1116" s="176"/>
      <c r="BF1116" s="190" t="s">
        <v>2997</v>
      </c>
      <c r="BG1116" s="25"/>
      <c r="BH1116" s="25"/>
    </row>
    <row r="1117" spans="1:60" ht="15" customHeight="1">
      <c r="A1117" s="95">
        <v>1116</v>
      </c>
      <c r="B1117" s="98" t="s">
        <v>584</v>
      </c>
      <c r="C1117" s="191" t="s">
        <v>2700</v>
      </c>
      <c r="D1117" s="257" t="s">
        <v>549</v>
      </c>
      <c r="E1117" s="459" t="s">
        <v>3377</v>
      </c>
      <c r="F1117" s="171">
        <v>1997</v>
      </c>
      <c r="G1117" s="171">
        <v>228</v>
      </c>
      <c r="H1117" s="57"/>
      <c r="I1117" s="173" t="s">
        <v>2564</v>
      </c>
      <c r="J1117" s="277">
        <v>0.6</v>
      </c>
      <c r="K1117" s="213">
        <v>6.0266666666666664</v>
      </c>
      <c r="L1117" s="91"/>
      <c r="M1117" s="278">
        <v>300</v>
      </c>
      <c r="N1117" s="279"/>
      <c r="O1117" s="172" t="s">
        <v>12</v>
      </c>
      <c r="P1117" s="92"/>
      <c r="Q1117" s="173" t="s">
        <v>10</v>
      </c>
      <c r="R1117" s="89"/>
      <c r="S1117" s="94"/>
      <c r="T1117" s="171" t="s">
        <v>2306</v>
      </c>
      <c r="U1117" s="171" t="s">
        <v>2530</v>
      </c>
      <c r="V1117" s="102">
        <v>0</v>
      </c>
      <c r="W1117" s="120">
        <v>0</v>
      </c>
      <c r="X1117" s="120">
        <v>0</v>
      </c>
      <c r="Y1117" s="120">
        <v>0</v>
      </c>
      <c r="Z1117" s="120">
        <v>0</v>
      </c>
      <c r="AA1117" s="17">
        <v>0</v>
      </c>
      <c r="AB1117" s="17">
        <v>0</v>
      </c>
      <c r="AC1117" s="17">
        <v>0</v>
      </c>
      <c r="AD1117" s="17">
        <v>0</v>
      </c>
      <c r="AE1117" s="17">
        <v>0</v>
      </c>
      <c r="AF1117" s="17">
        <v>0</v>
      </c>
      <c r="AG1117" s="17">
        <v>0</v>
      </c>
      <c r="AH1117" s="17">
        <v>0</v>
      </c>
      <c r="AI1117" s="17">
        <v>0</v>
      </c>
      <c r="AJ1117" s="17">
        <v>0</v>
      </c>
      <c r="AK1117" s="17">
        <v>0</v>
      </c>
      <c r="AL1117" s="32">
        <v>0</v>
      </c>
      <c r="AM1117" s="780">
        <v>47.7</v>
      </c>
      <c r="AN1117" s="89"/>
      <c r="AO1117" s="280"/>
      <c r="AP1117" s="784"/>
      <c r="AQ1117" s="773" t="s">
        <v>271</v>
      </c>
      <c r="AR1117" s="188">
        <v>100</v>
      </c>
      <c r="AS1117" s="171"/>
      <c r="AT1117" s="171" t="str">
        <f t="shared" si="89"/>
        <v>400</v>
      </c>
      <c r="AU1117" s="255">
        <f t="shared" si="90"/>
        <v>22.222222222222221</v>
      </c>
      <c r="AV1117" s="57"/>
      <c r="AW1117" s="171">
        <v>7</v>
      </c>
      <c r="AX1117" s="89"/>
      <c r="AY1117" s="171">
        <v>20</v>
      </c>
      <c r="AZ1117" s="89"/>
      <c r="BA1117" s="175">
        <v>60</v>
      </c>
      <c r="BB1117" s="259"/>
      <c r="BC1117" s="176" t="s">
        <v>558</v>
      </c>
      <c r="BD1117" s="179"/>
      <c r="BE1117" s="179"/>
      <c r="BF1117" s="178"/>
      <c r="BG1117" s="25"/>
      <c r="BH1117" s="25"/>
    </row>
    <row r="1118" spans="1:60" ht="15" customHeight="1">
      <c r="A1118" s="95">
        <v>1117</v>
      </c>
      <c r="B1118" s="98" t="s">
        <v>583</v>
      </c>
      <c r="C1118" s="191" t="s">
        <v>2700</v>
      </c>
      <c r="D1118" s="257" t="s">
        <v>549</v>
      </c>
      <c r="E1118" s="459" t="s">
        <v>3377</v>
      </c>
      <c r="F1118" s="171">
        <v>1997</v>
      </c>
      <c r="G1118" s="171">
        <v>228</v>
      </c>
      <c r="H1118" s="57"/>
      <c r="I1118" s="173" t="s">
        <v>2564</v>
      </c>
      <c r="J1118" s="277">
        <v>0.6</v>
      </c>
      <c r="K1118" s="213">
        <v>6.5335689045936398</v>
      </c>
      <c r="L1118" s="91"/>
      <c r="M1118" s="278">
        <v>283</v>
      </c>
      <c r="N1118" s="279"/>
      <c r="O1118" s="172" t="s">
        <v>12</v>
      </c>
      <c r="P1118" s="92"/>
      <c r="Q1118" s="173" t="s">
        <v>10</v>
      </c>
      <c r="R1118" s="89"/>
      <c r="S1118" s="94"/>
      <c r="T1118" s="171" t="s">
        <v>2306</v>
      </c>
      <c r="U1118" s="171" t="s">
        <v>2530</v>
      </c>
      <c r="V1118" s="102">
        <v>0</v>
      </c>
      <c r="W1118" s="120">
        <v>0</v>
      </c>
      <c r="X1118" s="120">
        <v>0</v>
      </c>
      <c r="Y1118" s="120">
        <v>0</v>
      </c>
      <c r="Z1118" s="120">
        <v>0</v>
      </c>
      <c r="AA1118" s="17">
        <v>0</v>
      </c>
      <c r="AB1118" s="17">
        <v>0</v>
      </c>
      <c r="AC1118" s="17">
        <v>0</v>
      </c>
      <c r="AD1118" s="17">
        <v>0</v>
      </c>
      <c r="AE1118" s="17">
        <v>0</v>
      </c>
      <c r="AF1118" s="17">
        <v>0</v>
      </c>
      <c r="AG1118" s="17">
        <v>0</v>
      </c>
      <c r="AH1118" s="17">
        <v>0</v>
      </c>
      <c r="AI1118" s="17">
        <v>0</v>
      </c>
      <c r="AJ1118" s="17">
        <v>0</v>
      </c>
      <c r="AK1118" s="17">
        <v>0</v>
      </c>
      <c r="AL1118" s="32">
        <v>0</v>
      </c>
      <c r="AM1118" s="780">
        <v>45</v>
      </c>
      <c r="AN1118" s="89"/>
      <c r="AO1118" s="280"/>
      <c r="AP1118" s="784"/>
      <c r="AQ1118" s="773" t="s">
        <v>271</v>
      </c>
      <c r="AR1118" s="188">
        <v>100</v>
      </c>
      <c r="AS1118" s="171"/>
      <c r="AT1118" s="171" t="str">
        <f t="shared" si="89"/>
        <v>400</v>
      </c>
      <c r="AU1118" s="255">
        <f t="shared" si="90"/>
        <v>22.222222222222221</v>
      </c>
      <c r="AV1118" s="57"/>
      <c r="AW1118" s="171">
        <v>7</v>
      </c>
      <c r="AX1118" s="89"/>
      <c r="AY1118" s="171">
        <v>20</v>
      </c>
      <c r="AZ1118" s="89"/>
      <c r="BA1118" s="175">
        <v>60</v>
      </c>
      <c r="BB1118" s="259"/>
      <c r="BC1118" s="176" t="s">
        <v>558</v>
      </c>
      <c r="BD1118" s="179"/>
      <c r="BE1118" s="179"/>
      <c r="BF1118" s="178"/>
      <c r="BG1118" s="25"/>
      <c r="BH1118" s="25"/>
    </row>
    <row r="1119" spans="1:60" ht="15" customHeight="1">
      <c r="A1119" s="95">
        <v>1118</v>
      </c>
      <c r="B1119" s="98" t="s">
        <v>582</v>
      </c>
      <c r="C1119" s="191" t="s">
        <v>2700</v>
      </c>
      <c r="D1119" s="257" t="s">
        <v>549</v>
      </c>
      <c r="E1119" s="459" t="s">
        <v>3377</v>
      </c>
      <c r="F1119" s="171">
        <v>1997</v>
      </c>
      <c r="G1119" s="171">
        <v>228</v>
      </c>
      <c r="H1119" s="57"/>
      <c r="I1119" s="173" t="s">
        <v>2564</v>
      </c>
      <c r="J1119" s="277">
        <v>0.6</v>
      </c>
      <c r="K1119" s="213">
        <v>6.5335689045936398</v>
      </c>
      <c r="L1119" s="91"/>
      <c r="M1119" s="278">
        <v>283</v>
      </c>
      <c r="N1119" s="279"/>
      <c r="O1119" s="172" t="s">
        <v>12</v>
      </c>
      <c r="P1119" s="92"/>
      <c r="Q1119" s="173" t="s">
        <v>10</v>
      </c>
      <c r="R1119" s="89"/>
      <c r="S1119" s="94"/>
      <c r="T1119" s="171" t="s">
        <v>2306</v>
      </c>
      <c r="U1119" s="171" t="s">
        <v>2530</v>
      </c>
      <c r="V1119" s="102">
        <v>0</v>
      </c>
      <c r="W1119" s="120">
        <v>0</v>
      </c>
      <c r="X1119" s="120">
        <v>0</v>
      </c>
      <c r="Y1119" s="120">
        <v>0</v>
      </c>
      <c r="Z1119" s="120">
        <v>0</v>
      </c>
      <c r="AA1119" s="17">
        <v>0</v>
      </c>
      <c r="AB1119" s="17">
        <v>0</v>
      </c>
      <c r="AC1119" s="17">
        <v>0</v>
      </c>
      <c r="AD1119" s="17">
        <v>0</v>
      </c>
      <c r="AE1119" s="17">
        <v>0</v>
      </c>
      <c r="AF1119" s="17">
        <v>0</v>
      </c>
      <c r="AG1119" s="17">
        <v>0</v>
      </c>
      <c r="AH1119" s="17">
        <v>0</v>
      </c>
      <c r="AI1119" s="17">
        <v>0</v>
      </c>
      <c r="AJ1119" s="17">
        <v>0</v>
      </c>
      <c r="AK1119" s="17">
        <v>0</v>
      </c>
      <c r="AL1119" s="32">
        <v>0</v>
      </c>
      <c r="AM1119" s="780">
        <v>43.6</v>
      </c>
      <c r="AN1119" s="89"/>
      <c r="AO1119" s="280"/>
      <c r="AP1119" s="784"/>
      <c r="AQ1119" s="773" t="s">
        <v>271</v>
      </c>
      <c r="AR1119" s="188">
        <v>100</v>
      </c>
      <c r="AS1119" s="171"/>
      <c r="AT1119" s="171" t="str">
        <f t="shared" si="89"/>
        <v>400</v>
      </c>
      <c r="AU1119" s="255">
        <f t="shared" si="90"/>
        <v>22.222222222222221</v>
      </c>
      <c r="AV1119" s="57"/>
      <c r="AW1119" s="171">
        <v>7</v>
      </c>
      <c r="AX1119" s="89"/>
      <c r="AY1119" s="171">
        <v>20</v>
      </c>
      <c r="AZ1119" s="89"/>
      <c r="BA1119" s="175">
        <v>60</v>
      </c>
      <c r="BB1119" s="259"/>
      <c r="BC1119" s="176" t="s">
        <v>558</v>
      </c>
      <c r="BD1119" s="179"/>
      <c r="BE1119" s="179"/>
      <c r="BF1119" s="178"/>
      <c r="BG1119" s="25"/>
      <c r="BH1119" s="25"/>
    </row>
    <row r="1120" spans="1:60" ht="15" customHeight="1">
      <c r="A1120" s="95">
        <v>1119</v>
      </c>
      <c r="B1120" s="98" t="s">
        <v>581</v>
      </c>
      <c r="C1120" s="191" t="s">
        <v>2700</v>
      </c>
      <c r="D1120" s="257" t="s">
        <v>549</v>
      </c>
      <c r="E1120" s="459" t="s">
        <v>3377</v>
      </c>
      <c r="F1120" s="171">
        <v>1997</v>
      </c>
      <c r="G1120" s="171">
        <v>228</v>
      </c>
      <c r="H1120" s="57"/>
      <c r="I1120" s="173" t="s">
        <v>2564</v>
      </c>
      <c r="J1120" s="277">
        <v>0.6</v>
      </c>
      <c r="K1120" s="213">
        <v>6.5335689045936398</v>
      </c>
      <c r="L1120" s="91"/>
      <c r="M1120" s="278">
        <v>283</v>
      </c>
      <c r="N1120" s="279"/>
      <c r="O1120" s="172" t="s">
        <v>12</v>
      </c>
      <c r="P1120" s="92"/>
      <c r="Q1120" s="173" t="s">
        <v>10</v>
      </c>
      <c r="R1120" s="89"/>
      <c r="S1120" s="94"/>
      <c r="T1120" s="171" t="s">
        <v>2306</v>
      </c>
      <c r="U1120" s="171" t="s">
        <v>2530</v>
      </c>
      <c r="V1120" s="102">
        <v>0</v>
      </c>
      <c r="W1120" s="120">
        <v>0</v>
      </c>
      <c r="X1120" s="120">
        <v>0</v>
      </c>
      <c r="Y1120" s="120">
        <v>0</v>
      </c>
      <c r="Z1120" s="120">
        <v>0</v>
      </c>
      <c r="AA1120" s="17">
        <v>0</v>
      </c>
      <c r="AB1120" s="17">
        <v>0</v>
      </c>
      <c r="AC1120" s="17">
        <v>0</v>
      </c>
      <c r="AD1120" s="17">
        <v>0</v>
      </c>
      <c r="AE1120" s="17">
        <v>0</v>
      </c>
      <c r="AF1120" s="17">
        <v>0</v>
      </c>
      <c r="AG1120" s="17">
        <v>0</v>
      </c>
      <c r="AH1120" s="17">
        <v>0</v>
      </c>
      <c r="AI1120" s="17">
        <v>0</v>
      </c>
      <c r="AJ1120" s="17">
        <v>0</v>
      </c>
      <c r="AK1120" s="17">
        <v>0</v>
      </c>
      <c r="AL1120" s="32">
        <v>0</v>
      </c>
      <c r="AM1120" s="780">
        <v>41.8</v>
      </c>
      <c r="AN1120" s="89"/>
      <c r="AO1120" s="280"/>
      <c r="AP1120" s="784"/>
      <c r="AQ1120" s="773" t="s">
        <v>271</v>
      </c>
      <c r="AR1120" s="188">
        <v>100</v>
      </c>
      <c r="AS1120" s="171"/>
      <c r="AT1120" s="171" t="str">
        <f t="shared" si="89"/>
        <v>400</v>
      </c>
      <c r="AU1120" s="255">
        <f t="shared" si="90"/>
        <v>22.222222222222221</v>
      </c>
      <c r="AV1120" s="57"/>
      <c r="AW1120" s="171">
        <v>7</v>
      </c>
      <c r="AX1120" s="89"/>
      <c r="AY1120" s="171">
        <v>20</v>
      </c>
      <c r="AZ1120" s="89"/>
      <c r="BA1120" s="175">
        <v>60</v>
      </c>
      <c r="BB1120" s="259"/>
      <c r="BC1120" s="176" t="s">
        <v>558</v>
      </c>
      <c r="BD1120" s="179"/>
      <c r="BE1120" s="179"/>
      <c r="BF1120" s="178"/>
      <c r="BG1120" s="25"/>
      <c r="BH1120" s="25"/>
    </row>
    <row r="1121" spans="1:60" ht="15" customHeight="1">
      <c r="A1121" s="95">
        <v>1120</v>
      </c>
      <c r="B1121" s="98" t="s">
        <v>580</v>
      </c>
      <c r="C1121" s="191" t="s">
        <v>2700</v>
      </c>
      <c r="D1121" s="257" t="s">
        <v>549</v>
      </c>
      <c r="E1121" s="459" t="s">
        <v>3377</v>
      </c>
      <c r="F1121" s="171">
        <v>1997</v>
      </c>
      <c r="G1121" s="171">
        <v>228</v>
      </c>
      <c r="H1121" s="57"/>
      <c r="I1121" s="173" t="s">
        <v>2564</v>
      </c>
      <c r="J1121" s="277">
        <v>0.6</v>
      </c>
      <c r="K1121" s="213">
        <v>5.746666666666667</v>
      </c>
      <c r="L1121" s="91"/>
      <c r="M1121" s="278">
        <v>300</v>
      </c>
      <c r="N1121" s="279"/>
      <c r="O1121" s="172" t="s">
        <v>12</v>
      </c>
      <c r="P1121" s="92"/>
      <c r="Q1121" s="173" t="s">
        <v>10</v>
      </c>
      <c r="R1121" s="89"/>
      <c r="S1121" s="94"/>
      <c r="T1121" s="171" t="s">
        <v>2562</v>
      </c>
      <c r="U1121" s="171"/>
      <c r="V1121" s="102">
        <v>0</v>
      </c>
      <c r="W1121" s="120">
        <v>0</v>
      </c>
      <c r="X1121" s="120">
        <v>0</v>
      </c>
      <c r="Y1121" s="120">
        <v>0</v>
      </c>
      <c r="Z1121" s="120">
        <v>0</v>
      </c>
      <c r="AA1121" s="17">
        <v>0</v>
      </c>
      <c r="AB1121" s="17">
        <v>0</v>
      </c>
      <c r="AC1121" s="17">
        <v>0</v>
      </c>
      <c r="AD1121" s="17">
        <v>0</v>
      </c>
      <c r="AE1121" s="17">
        <v>0</v>
      </c>
      <c r="AF1121" s="17">
        <v>0</v>
      </c>
      <c r="AG1121" s="17">
        <v>0</v>
      </c>
      <c r="AH1121" s="17">
        <v>0</v>
      </c>
      <c r="AI1121" s="17">
        <v>0</v>
      </c>
      <c r="AJ1121" s="17">
        <v>0</v>
      </c>
      <c r="AK1121" s="17">
        <v>0</v>
      </c>
      <c r="AL1121" s="32">
        <v>0</v>
      </c>
      <c r="AM1121" s="780">
        <v>39.1</v>
      </c>
      <c r="AN1121" s="89"/>
      <c r="AO1121" s="280"/>
      <c r="AP1121" s="784"/>
      <c r="AQ1121" s="773" t="s">
        <v>271</v>
      </c>
      <c r="AR1121" s="188">
        <v>100</v>
      </c>
      <c r="AS1121" s="171"/>
      <c r="AT1121" s="171" t="str">
        <f t="shared" si="89"/>
        <v>400</v>
      </c>
      <c r="AU1121" s="255">
        <f t="shared" si="90"/>
        <v>22.222222222222221</v>
      </c>
      <c r="AV1121" s="57"/>
      <c r="AW1121" s="171">
        <v>7</v>
      </c>
      <c r="AX1121" s="89"/>
      <c r="AY1121" s="171">
        <v>20</v>
      </c>
      <c r="AZ1121" s="89"/>
      <c r="BA1121" s="175">
        <v>60</v>
      </c>
      <c r="BB1121" s="259"/>
      <c r="BC1121" s="176" t="s">
        <v>558</v>
      </c>
      <c r="BD1121" s="179"/>
      <c r="BE1121" s="179"/>
      <c r="BF1121" s="178"/>
      <c r="BG1121" s="25"/>
      <c r="BH1121" s="25"/>
    </row>
    <row r="1122" spans="1:60" ht="15" customHeight="1">
      <c r="A1122" s="95">
        <v>1121</v>
      </c>
      <c r="B1122" s="98" t="s">
        <v>579</v>
      </c>
      <c r="C1122" s="191" t="s">
        <v>2700</v>
      </c>
      <c r="D1122" s="257" t="s">
        <v>549</v>
      </c>
      <c r="E1122" s="459" t="s">
        <v>3377</v>
      </c>
      <c r="F1122" s="171">
        <v>1997</v>
      </c>
      <c r="G1122" s="171">
        <v>228</v>
      </c>
      <c r="H1122" s="57"/>
      <c r="I1122" s="173" t="s">
        <v>2564</v>
      </c>
      <c r="J1122" s="277">
        <v>0.6</v>
      </c>
      <c r="K1122" s="213">
        <v>6.2332155477031801</v>
      </c>
      <c r="L1122" s="91"/>
      <c r="M1122" s="278">
        <v>283</v>
      </c>
      <c r="N1122" s="279"/>
      <c r="O1122" s="172" t="s">
        <v>12</v>
      </c>
      <c r="P1122" s="92"/>
      <c r="Q1122" s="173" t="s">
        <v>10</v>
      </c>
      <c r="R1122" s="89"/>
      <c r="S1122" s="94"/>
      <c r="T1122" s="171" t="s">
        <v>2562</v>
      </c>
      <c r="U1122" s="171"/>
      <c r="V1122" s="102">
        <v>0</v>
      </c>
      <c r="W1122" s="120">
        <v>0</v>
      </c>
      <c r="X1122" s="120">
        <v>0</v>
      </c>
      <c r="Y1122" s="120">
        <v>0</v>
      </c>
      <c r="Z1122" s="120">
        <v>0</v>
      </c>
      <c r="AA1122" s="17">
        <v>0</v>
      </c>
      <c r="AB1122" s="17">
        <v>0</v>
      </c>
      <c r="AC1122" s="17">
        <v>0</v>
      </c>
      <c r="AD1122" s="17">
        <v>0</v>
      </c>
      <c r="AE1122" s="17">
        <v>0</v>
      </c>
      <c r="AF1122" s="17">
        <v>0</v>
      </c>
      <c r="AG1122" s="17">
        <v>0</v>
      </c>
      <c r="AH1122" s="17">
        <v>0</v>
      </c>
      <c r="AI1122" s="17">
        <v>0</v>
      </c>
      <c r="AJ1122" s="17">
        <v>0</v>
      </c>
      <c r="AK1122" s="17">
        <v>0</v>
      </c>
      <c r="AL1122" s="32">
        <v>0</v>
      </c>
      <c r="AM1122" s="780">
        <v>40.5</v>
      </c>
      <c r="AN1122" s="89"/>
      <c r="AO1122" s="280"/>
      <c r="AP1122" s="784"/>
      <c r="AQ1122" s="773" t="s">
        <v>271</v>
      </c>
      <c r="AR1122" s="188">
        <v>100</v>
      </c>
      <c r="AS1122" s="171"/>
      <c r="AT1122" s="171" t="str">
        <f t="shared" ref="AT1122:AT1148" si="91">RIGHT(AQ1122,LEN(AQ1122)-FIND("x",AQ1122,8))</f>
        <v>400</v>
      </c>
      <c r="AU1122" s="255">
        <f t="shared" ref="AU1122:AU1148" si="92">IF(ISBLANK(AS1122),(AR1122*AT1122)/((4*AT1122)+(2*AR1122)),AR1122*AS1122*AT1122/2/(AR1122*AS1122+AR1122*AT1122+AS1122*AT1122))</f>
        <v>22.222222222222221</v>
      </c>
      <c r="AV1122" s="57"/>
      <c r="AW1122" s="171">
        <v>7</v>
      </c>
      <c r="AX1122" s="89"/>
      <c r="AY1122" s="171">
        <v>20</v>
      </c>
      <c r="AZ1122" s="89"/>
      <c r="BA1122" s="175">
        <v>60</v>
      </c>
      <c r="BB1122" s="259"/>
      <c r="BC1122" s="176" t="s">
        <v>558</v>
      </c>
      <c r="BD1122" s="179"/>
      <c r="BE1122" s="179"/>
      <c r="BF1122" s="178"/>
      <c r="BG1122" s="25"/>
      <c r="BH1122" s="25"/>
    </row>
    <row r="1123" spans="1:60" ht="15" customHeight="1">
      <c r="A1123" s="95">
        <v>1122</v>
      </c>
      <c r="B1123" s="98" t="s">
        <v>578</v>
      </c>
      <c r="C1123" s="191" t="s">
        <v>2700</v>
      </c>
      <c r="D1123" s="257" t="s">
        <v>549</v>
      </c>
      <c r="E1123" s="459" t="s">
        <v>3377</v>
      </c>
      <c r="F1123" s="171">
        <v>1997</v>
      </c>
      <c r="G1123" s="171">
        <v>228</v>
      </c>
      <c r="H1123" s="57"/>
      <c r="I1123" s="173" t="s">
        <v>2564</v>
      </c>
      <c r="J1123" s="277">
        <v>0.6</v>
      </c>
      <c r="K1123" s="213">
        <v>6.2332155477031801</v>
      </c>
      <c r="L1123" s="91"/>
      <c r="M1123" s="278">
        <v>283</v>
      </c>
      <c r="N1123" s="279"/>
      <c r="O1123" s="172" t="s">
        <v>12</v>
      </c>
      <c r="P1123" s="92"/>
      <c r="Q1123" s="173" t="s">
        <v>10</v>
      </c>
      <c r="R1123" s="89"/>
      <c r="S1123" s="94"/>
      <c r="T1123" s="171" t="s">
        <v>2562</v>
      </c>
      <c r="U1123" s="171"/>
      <c r="V1123" s="102">
        <v>0</v>
      </c>
      <c r="W1123" s="120">
        <v>0</v>
      </c>
      <c r="X1123" s="120">
        <v>0</v>
      </c>
      <c r="Y1123" s="120">
        <v>0</v>
      </c>
      <c r="Z1123" s="120">
        <v>0</v>
      </c>
      <c r="AA1123" s="17">
        <v>0</v>
      </c>
      <c r="AB1123" s="17">
        <v>0</v>
      </c>
      <c r="AC1123" s="17">
        <v>0</v>
      </c>
      <c r="AD1123" s="17">
        <v>0</v>
      </c>
      <c r="AE1123" s="17">
        <v>0</v>
      </c>
      <c r="AF1123" s="17">
        <v>0</v>
      </c>
      <c r="AG1123" s="17">
        <v>0</v>
      </c>
      <c r="AH1123" s="17">
        <v>0</v>
      </c>
      <c r="AI1123" s="17">
        <v>0</v>
      </c>
      <c r="AJ1123" s="17">
        <v>0</v>
      </c>
      <c r="AK1123" s="17">
        <v>0</v>
      </c>
      <c r="AL1123" s="32">
        <v>0</v>
      </c>
      <c r="AM1123" s="780">
        <v>38.6</v>
      </c>
      <c r="AN1123" s="89"/>
      <c r="AO1123" s="280"/>
      <c r="AP1123" s="784"/>
      <c r="AQ1123" s="773" t="s">
        <v>271</v>
      </c>
      <c r="AR1123" s="188">
        <v>100</v>
      </c>
      <c r="AS1123" s="171"/>
      <c r="AT1123" s="171" t="str">
        <f t="shared" si="91"/>
        <v>400</v>
      </c>
      <c r="AU1123" s="255">
        <f t="shared" si="92"/>
        <v>22.222222222222221</v>
      </c>
      <c r="AV1123" s="57"/>
      <c r="AW1123" s="171">
        <v>7</v>
      </c>
      <c r="AX1123" s="89"/>
      <c r="AY1123" s="171">
        <v>20</v>
      </c>
      <c r="AZ1123" s="89"/>
      <c r="BA1123" s="175">
        <v>60</v>
      </c>
      <c r="BB1123" s="259"/>
      <c r="BC1123" s="176" t="s">
        <v>558</v>
      </c>
      <c r="BD1123" s="179"/>
      <c r="BE1123" s="179"/>
      <c r="BF1123" s="178"/>
      <c r="BG1123" s="25"/>
      <c r="BH1123" s="25"/>
    </row>
    <row r="1124" spans="1:60" ht="15" customHeight="1">
      <c r="A1124" s="95">
        <v>1123</v>
      </c>
      <c r="B1124" s="98" t="s">
        <v>577</v>
      </c>
      <c r="C1124" s="191" t="s">
        <v>2700</v>
      </c>
      <c r="D1124" s="257" t="s">
        <v>549</v>
      </c>
      <c r="E1124" s="459" t="s">
        <v>3377</v>
      </c>
      <c r="F1124" s="171">
        <v>1997</v>
      </c>
      <c r="G1124" s="171">
        <v>228</v>
      </c>
      <c r="H1124" s="57"/>
      <c r="I1124" s="173" t="s">
        <v>2564</v>
      </c>
      <c r="J1124" s="277">
        <v>0.6</v>
      </c>
      <c r="K1124" s="213">
        <v>5.2966666666666669</v>
      </c>
      <c r="L1124" s="91"/>
      <c r="M1124" s="278">
        <v>300</v>
      </c>
      <c r="N1124" s="279"/>
      <c r="O1124" s="172" t="s">
        <v>12</v>
      </c>
      <c r="P1124" s="92"/>
      <c r="Q1124" s="173" t="s">
        <v>10</v>
      </c>
      <c r="R1124" s="89"/>
      <c r="S1124" s="94"/>
      <c r="T1124" s="171" t="s">
        <v>2562</v>
      </c>
      <c r="U1124" s="171"/>
      <c r="V1124" s="102">
        <v>0</v>
      </c>
      <c r="W1124" s="120">
        <v>0</v>
      </c>
      <c r="X1124" s="120">
        <v>0</v>
      </c>
      <c r="Y1124" s="120">
        <v>0</v>
      </c>
      <c r="Z1124" s="120">
        <v>0</v>
      </c>
      <c r="AA1124" s="17">
        <v>0</v>
      </c>
      <c r="AB1124" s="17">
        <v>0</v>
      </c>
      <c r="AC1124" s="17">
        <v>0</v>
      </c>
      <c r="AD1124" s="17">
        <v>0</v>
      </c>
      <c r="AE1124" s="17">
        <v>0</v>
      </c>
      <c r="AF1124" s="17">
        <v>0</v>
      </c>
      <c r="AG1124" s="17">
        <v>0</v>
      </c>
      <c r="AH1124" s="17">
        <v>0</v>
      </c>
      <c r="AI1124" s="17">
        <v>0</v>
      </c>
      <c r="AJ1124" s="17">
        <v>0</v>
      </c>
      <c r="AK1124" s="17">
        <v>0</v>
      </c>
      <c r="AL1124" s="32">
        <v>0</v>
      </c>
      <c r="AM1124" s="780">
        <v>27.3</v>
      </c>
      <c r="AN1124" s="89"/>
      <c r="AO1124" s="280"/>
      <c r="AP1124" s="784"/>
      <c r="AQ1124" s="773" t="s">
        <v>271</v>
      </c>
      <c r="AR1124" s="188">
        <v>100</v>
      </c>
      <c r="AS1124" s="171"/>
      <c r="AT1124" s="171" t="str">
        <f t="shared" si="91"/>
        <v>400</v>
      </c>
      <c r="AU1124" s="255">
        <f t="shared" si="92"/>
        <v>22.222222222222221</v>
      </c>
      <c r="AV1124" s="57"/>
      <c r="AW1124" s="171">
        <v>7</v>
      </c>
      <c r="AX1124" s="89"/>
      <c r="AY1124" s="171">
        <v>20</v>
      </c>
      <c r="AZ1124" s="89"/>
      <c r="BA1124" s="175">
        <v>60</v>
      </c>
      <c r="BB1124" s="259"/>
      <c r="BC1124" s="176" t="s">
        <v>558</v>
      </c>
      <c r="BD1124" s="179"/>
      <c r="BE1124" s="179"/>
      <c r="BF1124" s="178"/>
      <c r="BG1124" s="25"/>
      <c r="BH1124" s="25"/>
    </row>
    <row r="1125" spans="1:60" ht="15" customHeight="1">
      <c r="A1125" s="95">
        <v>1124</v>
      </c>
      <c r="B1125" s="98" t="s">
        <v>576</v>
      </c>
      <c r="C1125" s="191" t="s">
        <v>2700</v>
      </c>
      <c r="D1125" s="257" t="s">
        <v>549</v>
      </c>
      <c r="E1125" s="459" t="s">
        <v>3377</v>
      </c>
      <c r="F1125" s="171">
        <v>1997</v>
      </c>
      <c r="G1125" s="171">
        <v>228</v>
      </c>
      <c r="H1125" s="57"/>
      <c r="I1125" s="173" t="s">
        <v>2564</v>
      </c>
      <c r="J1125" s="277">
        <v>0.6</v>
      </c>
      <c r="K1125" s="213">
        <v>5.7420494699646643</v>
      </c>
      <c r="L1125" s="91"/>
      <c r="M1125" s="278">
        <v>283</v>
      </c>
      <c r="N1125" s="279"/>
      <c r="O1125" s="172" t="s">
        <v>12</v>
      </c>
      <c r="P1125" s="92"/>
      <c r="Q1125" s="173" t="s">
        <v>10</v>
      </c>
      <c r="R1125" s="89"/>
      <c r="S1125" s="94"/>
      <c r="T1125" s="171" t="s">
        <v>2562</v>
      </c>
      <c r="U1125" s="171"/>
      <c r="V1125" s="102">
        <v>0</v>
      </c>
      <c r="W1125" s="120">
        <v>0</v>
      </c>
      <c r="X1125" s="120">
        <v>0</v>
      </c>
      <c r="Y1125" s="120">
        <v>0</v>
      </c>
      <c r="Z1125" s="120">
        <v>0</v>
      </c>
      <c r="AA1125" s="17">
        <v>0</v>
      </c>
      <c r="AB1125" s="17">
        <v>0</v>
      </c>
      <c r="AC1125" s="17">
        <v>0</v>
      </c>
      <c r="AD1125" s="17">
        <v>0</v>
      </c>
      <c r="AE1125" s="17">
        <v>0</v>
      </c>
      <c r="AF1125" s="17">
        <v>0</v>
      </c>
      <c r="AG1125" s="17">
        <v>0</v>
      </c>
      <c r="AH1125" s="17">
        <v>0</v>
      </c>
      <c r="AI1125" s="17">
        <v>0</v>
      </c>
      <c r="AJ1125" s="17">
        <v>0</v>
      </c>
      <c r="AK1125" s="17">
        <v>0</v>
      </c>
      <c r="AL1125" s="32">
        <v>0</v>
      </c>
      <c r="AM1125" s="780">
        <v>24.5</v>
      </c>
      <c r="AN1125" s="89"/>
      <c r="AO1125" s="280"/>
      <c r="AP1125" s="784"/>
      <c r="AQ1125" s="773" t="s">
        <v>271</v>
      </c>
      <c r="AR1125" s="188">
        <v>100</v>
      </c>
      <c r="AS1125" s="171"/>
      <c r="AT1125" s="171" t="str">
        <f t="shared" si="91"/>
        <v>400</v>
      </c>
      <c r="AU1125" s="255">
        <f t="shared" si="92"/>
        <v>22.222222222222221</v>
      </c>
      <c r="AV1125" s="57"/>
      <c r="AW1125" s="171">
        <v>7</v>
      </c>
      <c r="AX1125" s="89"/>
      <c r="AY1125" s="171">
        <v>20</v>
      </c>
      <c r="AZ1125" s="89"/>
      <c r="BA1125" s="175">
        <v>60</v>
      </c>
      <c r="BB1125" s="259"/>
      <c r="BC1125" s="176" t="s">
        <v>558</v>
      </c>
      <c r="BD1125" s="179"/>
      <c r="BE1125" s="179"/>
      <c r="BF1125" s="178"/>
      <c r="BG1125" s="25"/>
      <c r="BH1125" s="25"/>
    </row>
    <row r="1126" spans="1:60" ht="15" customHeight="1">
      <c r="A1126" s="95">
        <v>1125</v>
      </c>
      <c r="B1126" s="98" t="s">
        <v>575</v>
      </c>
      <c r="C1126" s="191" t="s">
        <v>2700</v>
      </c>
      <c r="D1126" s="257" t="s">
        <v>549</v>
      </c>
      <c r="E1126" s="459" t="s">
        <v>3377</v>
      </c>
      <c r="F1126" s="171">
        <v>1997</v>
      </c>
      <c r="G1126" s="171">
        <v>228</v>
      </c>
      <c r="H1126" s="57"/>
      <c r="I1126" s="173" t="s">
        <v>2564</v>
      </c>
      <c r="J1126" s="277">
        <v>0.6</v>
      </c>
      <c r="K1126" s="213">
        <v>5.7420494699646643</v>
      </c>
      <c r="L1126" s="91"/>
      <c r="M1126" s="278">
        <v>283</v>
      </c>
      <c r="N1126" s="279"/>
      <c r="O1126" s="172" t="s">
        <v>12</v>
      </c>
      <c r="P1126" s="92"/>
      <c r="Q1126" s="173" t="s">
        <v>10</v>
      </c>
      <c r="R1126" s="89"/>
      <c r="S1126" s="94"/>
      <c r="T1126" s="171" t="s">
        <v>2562</v>
      </c>
      <c r="U1126" s="171"/>
      <c r="V1126" s="102">
        <v>0</v>
      </c>
      <c r="W1126" s="120">
        <v>0</v>
      </c>
      <c r="X1126" s="120">
        <v>0</v>
      </c>
      <c r="Y1126" s="120">
        <v>0</v>
      </c>
      <c r="Z1126" s="120">
        <v>0</v>
      </c>
      <c r="AA1126" s="17">
        <v>0</v>
      </c>
      <c r="AB1126" s="17">
        <v>0</v>
      </c>
      <c r="AC1126" s="17">
        <v>0</v>
      </c>
      <c r="AD1126" s="17">
        <v>0</v>
      </c>
      <c r="AE1126" s="17">
        <v>0</v>
      </c>
      <c r="AF1126" s="17">
        <v>0</v>
      </c>
      <c r="AG1126" s="17">
        <v>0</v>
      </c>
      <c r="AH1126" s="17">
        <v>0</v>
      </c>
      <c r="AI1126" s="17">
        <v>0</v>
      </c>
      <c r="AJ1126" s="17">
        <v>0</v>
      </c>
      <c r="AK1126" s="17">
        <v>0</v>
      </c>
      <c r="AL1126" s="32">
        <v>0</v>
      </c>
      <c r="AM1126" s="780">
        <v>26.4</v>
      </c>
      <c r="AN1126" s="89"/>
      <c r="AO1126" s="280"/>
      <c r="AP1126" s="784"/>
      <c r="AQ1126" s="773" t="s">
        <v>271</v>
      </c>
      <c r="AR1126" s="188">
        <v>100</v>
      </c>
      <c r="AS1126" s="171"/>
      <c r="AT1126" s="171" t="str">
        <f t="shared" si="91"/>
        <v>400</v>
      </c>
      <c r="AU1126" s="255">
        <f t="shared" si="92"/>
        <v>22.222222222222221</v>
      </c>
      <c r="AV1126" s="57"/>
      <c r="AW1126" s="171">
        <v>7</v>
      </c>
      <c r="AX1126" s="89"/>
      <c r="AY1126" s="171">
        <v>20</v>
      </c>
      <c r="AZ1126" s="89"/>
      <c r="BA1126" s="175">
        <v>60</v>
      </c>
      <c r="BB1126" s="259"/>
      <c r="BC1126" s="176" t="s">
        <v>558</v>
      </c>
      <c r="BD1126" s="179"/>
      <c r="BE1126" s="179"/>
      <c r="BF1126" s="178"/>
      <c r="BG1126" s="25"/>
      <c r="BH1126" s="25"/>
    </row>
    <row r="1127" spans="1:60" ht="15" customHeight="1">
      <c r="A1127" s="95">
        <v>1126</v>
      </c>
      <c r="B1127" s="98" t="s">
        <v>574</v>
      </c>
      <c r="C1127" s="191" t="s">
        <v>2700</v>
      </c>
      <c r="D1127" s="257" t="s">
        <v>549</v>
      </c>
      <c r="E1127" s="459" t="s">
        <v>3377</v>
      </c>
      <c r="F1127" s="171">
        <v>1997</v>
      </c>
      <c r="G1127" s="171">
        <v>228</v>
      </c>
      <c r="H1127" s="57"/>
      <c r="I1127" s="173" t="s">
        <v>2564</v>
      </c>
      <c r="J1127" s="277">
        <v>0.6</v>
      </c>
      <c r="K1127" s="213">
        <v>5.7420494699646643</v>
      </c>
      <c r="L1127" s="91"/>
      <c r="M1127" s="278">
        <v>283</v>
      </c>
      <c r="N1127" s="279"/>
      <c r="O1127" s="172" t="s">
        <v>12</v>
      </c>
      <c r="P1127" s="92"/>
      <c r="Q1127" s="173" t="s">
        <v>10</v>
      </c>
      <c r="R1127" s="89"/>
      <c r="S1127" s="89"/>
      <c r="T1127" s="171" t="s">
        <v>2562</v>
      </c>
      <c r="U1127" s="171"/>
      <c r="V1127" s="102">
        <v>0</v>
      </c>
      <c r="W1127" s="120">
        <v>0</v>
      </c>
      <c r="X1127" s="120">
        <v>0</v>
      </c>
      <c r="Y1127" s="120">
        <v>0</v>
      </c>
      <c r="Z1127" s="120">
        <v>0</v>
      </c>
      <c r="AA1127" s="17">
        <v>0</v>
      </c>
      <c r="AB1127" s="17">
        <v>0</v>
      </c>
      <c r="AC1127" s="17">
        <v>0</v>
      </c>
      <c r="AD1127" s="17">
        <v>0</v>
      </c>
      <c r="AE1127" s="17">
        <v>0</v>
      </c>
      <c r="AF1127" s="17">
        <v>0</v>
      </c>
      <c r="AG1127" s="17">
        <v>0</v>
      </c>
      <c r="AH1127" s="17">
        <v>0</v>
      </c>
      <c r="AI1127" s="17">
        <v>0</v>
      </c>
      <c r="AJ1127" s="17">
        <v>0</v>
      </c>
      <c r="AK1127" s="17">
        <v>0</v>
      </c>
      <c r="AL1127" s="32">
        <v>0</v>
      </c>
      <c r="AM1127" s="780">
        <v>27.3</v>
      </c>
      <c r="AN1127" s="89"/>
      <c r="AO1127" s="280"/>
      <c r="AP1127" s="784"/>
      <c r="AQ1127" s="773" t="s">
        <v>271</v>
      </c>
      <c r="AR1127" s="188">
        <v>100</v>
      </c>
      <c r="AS1127" s="171"/>
      <c r="AT1127" s="171" t="str">
        <f t="shared" si="91"/>
        <v>400</v>
      </c>
      <c r="AU1127" s="255">
        <f t="shared" si="92"/>
        <v>22.222222222222221</v>
      </c>
      <c r="AV1127" s="57"/>
      <c r="AW1127" s="171">
        <v>7</v>
      </c>
      <c r="AX1127" s="89"/>
      <c r="AY1127" s="171">
        <v>20</v>
      </c>
      <c r="AZ1127" s="89"/>
      <c r="BA1127" s="175">
        <v>60</v>
      </c>
      <c r="BB1127" s="259"/>
      <c r="BC1127" s="176" t="s">
        <v>558</v>
      </c>
      <c r="BD1127" s="179"/>
      <c r="BE1127" s="179"/>
      <c r="BF1127" s="178"/>
      <c r="BG1127" s="25"/>
      <c r="BH1127" s="25"/>
    </row>
    <row r="1128" spans="1:60" ht="15" customHeight="1">
      <c r="A1128" s="95">
        <v>1127</v>
      </c>
      <c r="B1128" s="98" t="s">
        <v>573</v>
      </c>
      <c r="C1128" s="191" t="s">
        <v>2701</v>
      </c>
      <c r="D1128" s="257" t="s">
        <v>549</v>
      </c>
      <c r="E1128" s="459" t="s">
        <v>3377</v>
      </c>
      <c r="F1128" s="171">
        <v>1997</v>
      </c>
      <c r="G1128" s="171">
        <v>229</v>
      </c>
      <c r="H1128" s="57"/>
      <c r="I1128" s="173" t="s">
        <v>2564</v>
      </c>
      <c r="J1128" s="277">
        <v>0.27</v>
      </c>
      <c r="K1128" s="213">
        <v>2.6841243862520456</v>
      </c>
      <c r="L1128" s="91"/>
      <c r="M1128" s="278">
        <v>611</v>
      </c>
      <c r="N1128" s="279"/>
      <c r="O1128" s="172" t="s">
        <v>120</v>
      </c>
      <c r="P1128" s="92"/>
      <c r="Q1128" s="173" t="s">
        <v>2532</v>
      </c>
      <c r="R1128" s="89"/>
      <c r="S1128" s="89"/>
      <c r="T1128" s="171" t="s">
        <v>2306</v>
      </c>
      <c r="U1128" s="171" t="s">
        <v>2530</v>
      </c>
      <c r="V1128" s="102">
        <v>0</v>
      </c>
      <c r="W1128" s="120">
        <v>0</v>
      </c>
      <c r="X1128" s="120">
        <v>0</v>
      </c>
      <c r="Y1128" s="120">
        <v>0</v>
      </c>
      <c r="Z1128" s="120">
        <v>0</v>
      </c>
      <c r="AA1128" s="17">
        <v>0</v>
      </c>
      <c r="AB1128" s="17">
        <v>0</v>
      </c>
      <c r="AC1128" s="17">
        <v>0</v>
      </c>
      <c r="AD1128" s="17">
        <v>0</v>
      </c>
      <c r="AE1128" s="17">
        <v>0</v>
      </c>
      <c r="AF1128" s="17">
        <v>0</v>
      </c>
      <c r="AG1128" s="17">
        <v>0</v>
      </c>
      <c r="AH1128" s="17">
        <v>0</v>
      </c>
      <c r="AI1128" s="17">
        <v>0</v>
      </c>
      <c r="AJ1128" s="17">
        <v>0</v>
      </c>
      <c r="AK1128" s="17">
        <v>0</v>
      </c>
      <c r="AL1128" s="32">
        <v>0</v>
      </c>
      <c r="AM1128" s="780">
        <v>62.9</v>
      </c>
      <c r="AN1128" s="89"/>
      <c r="AO1128" s="280"/>
      <c r="AP1128" s="784"/>
      <c r="AQ1128" s="773" t="s">
        <v>271</v>
      </c>
      <c r="AR1128" s="188">
        <v>100</v>
      </c>
      <c r="AS1128" s="171"/>
      <c r="AT1128" s="171" t="str">
        <f t="shared" si="91"/>
        <v>400</v>
      </c>
      <c r="AU1128" s="255">
        <f t="shared" si="92"/>
        <v>22.222222222222221</v>
      </c>
      <c r="AV1128" s="57"/>
      <c r="AW1128" s="171">
        <v>7</v>
      </c>
      <c r="AX1128" s="89"/>
      <c r="AY1128" s="171">
        <v>20</v>
      </c>
      <c r="AZ1128" s="89"/>
      <c r="BA1128" s="175">
        <v>60</v>
      </c>
      <c r="BB1128" s="259"/>
      <c r="BC1128" s="176" t="s">
        <v>558</v>
      </c>
      <c r="BD1128" s="179"/>
      <c r="BE1128" s="179"/>
      <c r="BF1128" s="178"/>
      <c r="BG1128" s="25"/>
      <c r="BH1128" s="25"/>
    </row>
    <row r="1129" spans="1:60" ht="15" customHeight="1">
      <c r="A1129" s="95">
        <v>1128</v>
      </c>
      <c r="B1129" s="98" t="s">
        <v>572</v>
      </c>
      <c r="C1129" s="191" t="s">
        <v>2701</v>
      </c>
      <c r="D1129" s="257" t="s">
        <v>549</v>
      </c>
      <c r="E1129" s="459" t="s">
        <v>3377</v>
      </c>
      <c r="F1129" s="171">
        <v>1997</v>
      </c>
      <c r="G1129" s="171">
        <v>229</v>
      </c>
      <c r="H1129" s="57"/>
      <c r="I1129" s="173" t="s">
        <v>2564</v>
      </c>
      <c r="J1129" s="277">
        <v>0.5</v>
      </c>
      <c r="K1129" s="213">
        <v>5.4323529411764708</v>
      </c>
      <c r="L1129" s="91"/>
      <c r="M1129" s="278">
        <v>340</v>
      </c>
      <c r="N1129" s="279"/>
      <c r="O1129" s="172" t="s">
        <v>12</v>
      </c>
      <c r="P1129" s="92"/>
      <c r="Q1129" s="173" t="s">
        <v>10</v>
      </c>
      <c r="R1129" s="89"/>
      <c r="S1129" s="89"/>
      <c r="T1129" s="171" t="s">
        <v>2306</v>
      </c>
      <c r="U1129" s="171" t="s">
        <v>2530</v>
      </c>
      <c r="V1129" s="102">
        <v>0</v>
      </c>
      <c r="W1129" s="120">
        <v>0</v>
      </c>
      <c r="X1129" s="120">
        <v>0</v>
      </c>
      <c r="Y1129" s="120">
        <v>0</v>
      </c>
      <c r="Z1129" s="120">
        <v>0</v>
      </c>
      <c r="AA1129" s="17">
        <v>0</v>
      </c>
      <c r="AB1129" s="17">
        <v>0</v>
      </c>
      <c r="AC1129" s="17">
        <v>0</v>
      </c>
      <c r="AD1129" s="17">
        <v>0</v>
      </c>
      <c r="AE1129" s="17">
        <v>0</v>
      </c>
      <c r="AF1129" s="17">
        <v>0</v>
      </c>
      <c r="AG1129" s="17">
        <v>0</v>
      </c>
      <c r="AH1129" s="17">
        <v>0</v>
      </c>
      <c r="AI1129" s="17">
        <v>0</v>
      </c>
      <c r="AJ1129" s="17">
        <v>0</v>
      </c>
      <c r="AK1129" s="17">
        <v>0</v>
      </c>
      <c r="AL1129" s="32">
        <v>0</v>
      </c>
      <c r="AM1129" s="780">
        <v>88.6</v>
      </c>
      <c r="AN1129" s="89"/>
      <c r="AO1129" s="280"/>
      <c r="AP1129" s="784"/>
      <c r="AQ1129" s="773" t="s">
        <v>271</v>
      </c>
      <c r="AR1129" s="188">
        <v>100</v>
      </c>
      <c r="AS1129" s="171"/>
      <c r="AT1129" s="171" t="str">
        <f t="shared" si="91"/>
        <v>400</v>
      </c>
      <c r="AU1129" s="255">
        <f t="shared" si="92"/>
        <v>22.222222222222221</v>
      </c>
      <c r="AV1129" s="57"/>
      <c r="AW1129" s="171">
        <v>7</v>
      </c>
      <c r="AX1129" s="89"/>
      <c r="AY1129" s="171">
        <v>20</v>
      </c>
      <c r="AZ1129" s="89"/>
      <c r="BA1129" s="175">
        <v>60</v>
      </c>
      <c r="BB1129" s="259"/>
      <c r="BC1129" s="176"/>
      <c r="BD1129" s="179"/>
      <c r="BE1129" s="179"/>
      <c r="BF1129" s="178"/>
      <c r="BG1129" s="25"/>
      <c r="BH1129" s="25"/>
    </row>
    <row r="1130" spans="1:60" ht="15" customHeight="1">
      <c r="A1130" s="95">
        <v>1129</v>
      </c>
      <c r="B1130" s="98" t="s">
        <v>571</v>
      </c>
      <c r="C1130" s="191" t="s">
        <v>2701</v>
      </c>
      <c r="D1130" s="257" t="s">
        <v>549</v>
      </c>
      <c r="E1130" s="459" t="s">
        <v>3377</v>
      </c>
      <c r="F1130" s="171">
        <v>1997</v>
      </c>
      <c r="G1130" s="171">
        <v>229</v>
      </c>
      <c r="H1130" s="57"/>
      <c r="I1130" s="173" t="s">
        <v>2564</v>
      </c>
      <c r="J1130" s="277">
        <v>0.35</v>
      </c>
      <c r="K1130" s="213">
        <v>3.7367303609341826</v>
      </c>
      <c r="L1130" s="91"/>
      <c r="M1130" s="278">
        <v>471</v>
      </c>
      <c r="N1130" s="279"/>
      <c r="O1130" s="172" t="s">
        <v>120</v>
      </c>
      <c r="P1130" s="92"/>
      <c r="Q1130" s="173" t="s">
        <v>2532</v>
      </c>
      <c r="R1130" s="89"/>
      <c r="S1130" s="89"/>
      <c r="T1130" s="171" t="s">
        <v>2306</v>
      </c>
      <c r="U1130" s="171" t="s">
        <v>2530</v>
      </c>
      <c r="V1130" s="102">
        <v>0</v>
      </c>
      <c r="W1130" s="120">
        <v>0</v>
      </c>
      <c r="X1130" s="120">
        <v>0</v>
      </c>
      <c r="Y1130" s="120">
        <v>0</v>
      </c>
      <c r="Z1130" s="120">
        <v>0</v>
      </c>
      <c r="AA1130" s="17">
        <v>0</v>
      </c>
      <c r="AB1130" s="17">
        <v>0</v>
      </c>
      <c r="AC1130" s="17">
        <v>0</v>
      </c>
      <c r="AD1130" s="17">
        <v>0</v>
      </c>
      <c r="AE1130" s="17">
        <v>0</v>
      </c>
      <c r="AF1130" s="17">
        <v>0</v>
      </c>
      <c r="AG1130" s="17">
        <v>0</v>
      </c>
      <c r="AH1130" s="17">
        <v>0</v>
      </c>
      <c r="AI1130" s="17">
        <v>0</v>
      </c>
      <c r="AJ1130" s="17">
        <v>0</v>
      </c>
      <c r="AK1130" s="17">
        <v>0</v>
      </c>
      <c r="AL1130" s="32">
        <v>0</v>
      </c>
      <c r="AM1130" s="780">
        <v>87.1</v>
      </c>
      <c r="AN1130" s="89"/>
      <c r="AO1130" s="280"/>
      <c r="AP1130" s="784"/>
      <c r="AQ1130" s="773" t="s">
        <v>271</v>
      </c>
      <c r="AR1130" s="188">
        <v>100</v>
      </c>
      <c r="AS1130" s="171"/>
      <c r="AT1130" s="171" t="str">
        <f t="shared" si="91"/>
        <v>400</v>
      </c>
      <c r="AU1130" s="255">
        <f t="shared" si="92"/>
        <v>22.222222222222221</v>
      </c>
      <c r="AV1130" s="57"/>
      <c r="AW1130" s="171">
        <v>7</v>
      </c>
      <c r="AX1130" s="89"/>
      <c r="AY1130" s="171">
        <v>20</v>
      </c>
      <c r="AZ1130" s="89"/>
      <c r="BA1130" s="175">
        <v>60</v>
      </c>
      <c r="BB1130" s="259"/>
      <c r="BC1130" s="176"/>
      <c r="BD1130" s="179"/>
      <c r="BE1130" s="179"/>
      <c r="BF1130" s="178"/>
      <c r="BG1130" s="25"/>
      <c r="BH1130" s="25"/>
    </row>
    <row r="1131" spans="1:60" ht="15" customHeight="1">
      <c r="A1131" s="95">
        <v>1130</v>
      </c>
      <c r="B1131" s="98" t="s">
        <v>570</v>
      </c>
      <c r="C1131" s="191" t="s">
        <v>2701</v>
      </c>
      <c r="D1131" s="257" t="s">
        <v>549</v>
      </c>
      <c r="E1131" s="459" t="s">
        <v>3377</v>
      </c>
      <c r="F1131" s="171">
        <v>1997</v>
      </c>
      <c r="G1131" s="171">
        <v>229</v>
      </c>
      <c r="H1131" s="57"/>
      <c r="I1131" s="173" t="s">
        <v>2564</v>
      </c>
      <c r="J1131" s="277">
        <v>0.27</v>
      </c>
      <c r="K1131" s="213">
        <v>2.6775777414075286</v>
      </c>
      <c r="L1131" s="91"/>
      <c r="M1131" s="278">
        <v>611</v>
      </c>
      <c r="N1131" s="279"/>
      <c r="O1131" s="172" t="s">
        <v>12</v>
      </c>
      <c r="P1131" s="92"/>
      <c r="Q1131" s="173" t="s">
        <v>10</v>
      </c>
      <c r="R1131" s="89"/>
      <c r="S1131" s="89"/>
      <c r="T1131" s="171" t="s">
        <v>2306</v>
      </c>
      <c r="U1131" s="171" t="s">
        <v>2530</v>
      </c>
      <c r="V1131" s="102">
        <v>0</v>
      </c>
      <c r="W1131" s="120">
        <v>0</v>
      </c>
      <c r="X1131" s="120">
        <v>0</v>
      </c>
      <c r="Y1131" s="120">
        <v>0</v>
      </c>
      <c r="Z1131" s="120">
        <v>0</v>
      </c>
      <c r="AA1131" s="17">
        <v>0</v>
      </c>
      <c r="AB1131" s="17">
        <v>0</v>
      </c>
      <c r="AC1131" s="17">
        <v>0</v>
      </c>
      <c r="AD1131" s="17">
        <v>0</v>
      </c>
      <c r="AE1131" s="17">
        <v>0</v>
      </c>
      <c r="AF1131" s="17">
        <v>0</v>
      </c>
      <c r="AG1131" s="17">
        <v>0</v>
      </c>
      <c r="AH1131" s="17">
        <v>0</v>
      </c>
      <c r="AI1131" s="17">
        <v>0</v>
      </c>
      <c r="AJ1131" s="17">
        <v>0</v>
      </c>
      <c r="AK1131" s="17">
        <v>0</v>
      </c>
      <c r="AL1131" s="32">
        <v>0</v>
      </c>
      <c r="AM1131" s="780">
        <v>70</v>
      </c>
      <c r="AN1131" s="89"/>
      <c r="AO1131" s="280"/>
      <c r="AP1131" s="784"/>
      <c r="AQ1131" s="773" t="s">
        <v>271</v>
      </c>
      <c r="AR1131" s="188">
        <v>100</v>
      </c>
      <c r="AS1131" s="171"/>
      <c r="AT1131" s="171" t="str">
        <f t="shared" si="91"/>
        <v>400</v>
      </c>
      <c r="AU1131" s="255">
        <f t="shared" si="92"/>
        <v>22.222222222222221</v>
      </c>
      <c r="AV1131" s="57"/>
      <c r="AW1131" s="171">
        <v>7</v>
      </c>
      <c r="AX1131" s="89"/>
      <c r="AY1131" s="171">
        <v>20</v>
      </c>
      <c r="AZ1131" s="89"/>
      <c r="BA1131" s="175">
        <v>60</v>
      </c>
      <c r="BB1131" s="259"/>
      <c r="BC1131" s="176"/>
      <c r="BD1131" s="179"/>
      <c r="BE1131" s="179"/>
      <c r="BF1131" s="178"/>
      <c r="BG1131" s="25"/>
      <c r="BH1131" s="25"/>
    </row>
    <row r="1132" spans="1:60" ht="15" customHeight="1">
      <c r="A1132" s="95">
        <v>1131</v>
      </c>
      <c r="B1132" s="98" t="s">
        <v>569</v>
      </c>
      <c r="C1132" s="191" t="s">
        <v>2701</v>
      </c>
      <c r="D1132" s="257" t="s">
        <v>549</v>
      </c>
      <c r="E1132" s="459" t="s">
        <v>3377</v>
      </c>
      <c r="F1132" s="171">
        <v>1997</v>
      </c>
      <c r="G1132" s="171">
        <v>229</v>
      </c>
      <c r="H1132" s="57"/>
      <c r="I1132" s="173" t="s">
        <v>2564</v>
      </c>
      <c r="J1132" s="277">
        <v>0.35</v>
      </c>
      <c r="K1132" s="213">
        <v>3.5576131687242798</v>
      </c>
      <c r="L1132" s="91"/>
      <c r="M1132" s="278">
        <v>486</v>
      </c>
      <c r="N1132" s="279"/>
      <c r="O1132" s="172" t="s">
        <v>12</v>
      </c>
      <c r="P1132" s="92"/>
      <c r="Q1132" s="173" t="s">
        <v>10</v>
      </c>
      <c r="R1132" s="89"/>
      <c r="S1132" s="89"/>
      <c r="T1132" s="171" t="s">
        <v>2306</v>
      </c>
      <c r="U1132" s="171" t="s">
        <v>2530</v>
      </c>
      <c r="V1132" s="102">
        <v>0</v>
      </c>
      <c r="W1132" s="120">
        <v>0</v>
      </c>
      <c r="X1132" s="120">
        <v>0</v>
      </c>
      <c r="Y1132" s="120">
        <v>0</v>
      </c>
      <c r="Z1132" s="120">
        <v>0</v>
      </c>
      <c r="AA1132" s="17">
        <v>0</v>
      </c>
      <c r="AB1132" s="17">
        <v>0</v>
      </c>
      <c r="AC1132" s="17">
        <v>0</v>
      </c>
      <c r="AD1132" s="17">
        <v>0</v>
      </c>
      <c r="AE1132" s="17">
        <v>0</v>
      </c>
      <c r="AF1132" s="17">
        <v>0</v>
      </c>
      <c r="AG1132" s="17">
        <v>0</v>
      </c>
      <c r="AH1132" s="17">
        <v>0</v>
      </c>
      <c r="AI1132" s="17">
        <v>0</v>
      </c>
      <c r="AJ1132" s="17">
        <v>0</v>
      </c>
      <c r="AK1132" s="17">
        <v>0</v>
      </c>
      <c r="AL1132" s="32">
        <v>0</v>
      </c>
      <c r="AM1132" s="780">
        <v>84.3</v>
      </c>
      <c r="AN1132" s="89"/>
      <c r="AO1132" s="280"/>
      <c r="AP1132" s="784"/>
      <c r="AQ1132" s="773" t="s">
        <v>271</v>
      </c>
      <c r="AR1132" s="188">
        <v>100</v>
      </c>
      <c r="AS1132" s="171"/>
      <c r="AT1132" s="171" t="str">
        <f t="shared" si="91"/>
        <v>400</v>
      </c>
      <c r="AU1132" s="255">
        <f t="shared" si="92"/>
        <v>22.222222222222221</v>
      </c>
      <c r="AV1132" s="57"/>
      <c r="AW1132" s="171">
        <v>7</v>
      </c>
      <c r="AX1132" s="89"/>
      <c r="AY1132" s="171">
        <v>20</v>
      </c>
      <c r="AZ1132" s="89"/>
      <c r="BA1132" s="175">
        <v>60</v>
      </c>
      <c r="BB1132" s="259"/>
      <c r="BC1132" s="176"/>
      <c r="BD1132" s="176"/>
      <c r="BE1132" s="176"/>
      <c r="BF1132" s="190"/>
      <c r="BG1132" s="25"/>
      <c r="BH1132" s="25"/>
    </row>
    <row r="1133" spans="1:60" ht="15" customHeight="1">
      <c r="A1133" s="95">
        <v>1132</v>
      </c>
      <c r="B1133" s="98" t="s">
        <v>568</v>
      </c>
      <c r="C1133" s="191" t="s">
        <v>2702</v>
      </c>
      <c r="D1133" s="257" t="s">
        <v>549</v>
      </c>
      <c r="E1133" s="459" t="s">
        <v>3377</v>
      </c>
      <c r="F1133" s="171">
        <v>1997</v>
      </c>
      <c r="G1133" s="171">
        <v>230</v>
      </c>
      <c r="H1133" s="57"/>
      <c r="I1133" s="173" t="s">
        <v>2564</v>
      </c>
      <c r="J1133" s="277">
        <v>0.55000000000000004</v>
      </c>
      <c r="K1133" s="213">
        <v>5.2529761904761907</v>
      </c>
      <c r="L1133" s="91"/>
      <c r="M1133" s="278">
        <v>336</v>
      </c>
      <c r="N1133" s="279"/>
      <c r="O1133" s="172" t="s">
        <v>12</v>
      </c>
      <c r="P1133" s="92"/>
      <c r="Q1133" s="173" t="s">
        <v>10</v>
      </c>
      <c r="R1133" s="89"/>
      <c r="S1133" s="89"/>
      <c r="T1133" s="171"/>
      <c r="U1133" s="171"/>
      <c r="V1133" s="102">
        <v>0</v>
      </c>
      <c r="W1133" s="120">
        <v>0</v>
      </c>
      <c r="X1133" s="120">
        <v>0</v>
      </c>
      <c r="Y1133" s="120">
        <v>0</v>
      </c>
      <c r="Z1133" s="120">
        <v>0</v>
      </c>
      <c r="AA1133" s="17">
        <v>0</v>
      </c>
      <c r="AB1133" s="17">
        <v>0</v>
      </c>
      <c r="AC1133" s="17">
        <v>0</v>
      </c>
      <c r="AD1133" s="17">
        <v>0</v>
      </c>
      <c r="AE1133" s="17">
        <v>0</v>
      </c>
      <c r="AF1133" s="17">
        <v>0</v>
      </c>
      <c r="AG1133" s="17">
        <v>0</v>
      </c>
      <c r="AH1133" s="17">
        <v>0</v>
      </c>
      <c r="AI1133" s="17">
        <v>0</v>
      </c>
      <c r="AJ1133" s="17">
        <v>0</v>
      </c>
      <c r="AK1133" s="17">
        <v>0</v>
      </c>
      <c r="AL1133" s="32">
        <v>0</v>
      </c>
      <c r="AM1133" s="780">
        <v>22.4</v>
      </c>
      <c r="AN1133" s="89"/>
      <c r="AO1133" s="280"/>
      <c r="AP1133" s="784"/>
      <c r="AQ1133" s="773" t="s">
        <v>271</v>
      </c>
      <c r="AR1133" s="188">
        <v>100</v>
      </c>
      <c r="AS1133" s="171"/>
      <c r="AT1133" s="171" t="str">
        <f t="shared" si="91"/>
        <v>400</v>
      </c>
      <c r="AU1133" s="255">
        <f t="shared" si="92"/>
        <v>22.222222222222221</v>
      </c>
      <c r="AV1133" s="57"/>
      <c r="AW1133" s="171">
        <v>7</v>
      </c>
      <c r="AX1133" s="89"/>
      <c r="AY1133" s="171">
        <v>20</v>
      </c>
      <c r="AZ1133" s="89"/>
      <c r="BA1133" s="175">
        <v>60</v>
      </c>
      <c r="BB1133" s="259"/>
      <c r="BC1133" s="176"/>
      <c r="BD1133" s="179"/>
      <c r="BE1133" s="179"/>
      <c r="BF1133" s="178"/>
      <c r="BG1133" s="25"/>
      <c r="BH1133" s="25"/>
    </row>
    <row r="1134" spans="1:60" ht="15" customHeight="1">
      <c r="A1134" s="95">
        <v>1133</v>
      </c>
      <c r="B1134" s="98" t="s">
        <v>567</v>
      </c>
      <c r="C1134" s="191" t="s">
        <v>2702</v>
      </c>
      <c r="D1134" s="257" t="s">
        <v>549</v>
      </c>
      <c r="E1134" s="459" t="s">
        <v>3377</v>
      </c>
      <c r="F1134" s="171">
        <v>1997</v>
      </c>
      <c r="G1134" s="171">
        <v>230</v>
      </c>
      <c r="H1134" s="57"/>
      <c r="I1134" s="173" t="s">
        <v>2564</v>
      </c>
      <c r="J1134" s="277">
        <v>0.32</v>
      </c>
      <c r="K1134" s="213">
        <v>2.9177330895795248</v>
      </c>
      <c r="L1134" s="91"/>
      <c r="M1134" s="278">
        <v>547</v>
      </c>
      <c r="N1134" s="279"/>
      <c r="O1134" s="172" t="s">
        <v>120</v>
      </c>
      <c r="P1134" s="89"/>
      <c r="Q1134" s="173" t="s">
        <v>2533</v>
      </c>
      <c r="R1134" s="89"/>
      <c r="S1134" s="89"/>
      <c r="T1134" s="171"/>
      <c r="U1134" s="171" t="s">
        <v>3346</v>
      </c>
      <c r="V1134" s="102">
        <v>0</v>
      </c>
      <c r="W1134" s="120">
        <v>0</v>
      </c>
      <c r="X1134" s="87"/>
      <c r="Y1134" s="120">
        <v>0</v>
      </c>
      <c r="Z1134" s="120">
        <v>0</v>
      </c>
      <c r="AA1134" s="17">
        <v>0</v>
      </c>
      <c r="AB1134" s="17">
        <v>0</v>
      </c>
      <c r="AC1134" s="17">
        <v>0</v>
      </c>
      <c r="AD1134" s="17">
        <v>0</v>
      </c>
      <c r="AE1134" s="17">
        <v>0</v>
      </c>
      <c r="AF1134" s="17">
        <v>0</v>
      </c>
      <c r="AG1134" s="17">
        <v>0</v>
      </c>
      <c r="AH1134" s="17">
        <v>0</v>
      </c>
      <c r="AI1134" s="17">
        <v>0</v>
      </c>
      <c r="AJ1134" s="17">
        <v>0</v>
      </c>
      <c r="AK1134" s="17">
        <v>0</v>
      </c>
      <c r="AL1134" s="32">
        <v>0</v>
      </c>
      <c r="AM1134" s="780">
        <v>38.1</v>
      </c>
      <c r="AN1134" s="89"/>
      <c r="AO1134" s="280"/>
      <c r="AP1134" s="784"/>
      <c r="AQ1134" s="773" t="s">
        <v>271</v>
      </c>
      <c r="AR1134" s="188">
        <v>100</v>
      </c>
      <c r="AS1134" s="171"/>
      <c r="AT1134" s="171" t="str">
        <f t="shared" si="91"/>
        <v>400</v>
      </c>
      <c r="AU1134" s="255">
        <f t="shared" si="92"/>
        <v>22.222222222222221</v>
      </c>
      <c r="AV1134" s="57"/>
      <c r="AW1134" s="171">
        <v>7</v>
      </c>
      <c r="AX1134" s="89"/>
      <c r="AY1134" s="171">
        <v>20</v>
      </c>
      <c r="AZ1134" s="89"/>
      <c r="BA1134" s="175">
        <v>60</v>
      </c>
      <c r="BB1134" s="259"/>
      <c r="BC1134" s="176"/>
      <c r="BD1134" s="179"/>
      <c r="BE1134" s="179"/>
      <c r="BF1134" s="178"/>
      <c r="BG1134" s="25"/>
      <c r="BH1134" s="25"/>
    </row>
    <row r="1135" spans="1:60" ht="15" customHeight="1">
      <c r="A1135" s="95">
        <v>1134</v>
      </c>
      <c r="B1135" s="98" t="s">
        <v>566</v>
      </c>
      <c r="C1135" s="191" t="s">
        <v>2702</v>
      </c>
      <c r="D1135" s="257" t="s">
        <v>549</v>
      </c>
      <c r="E1135" s="459" t="s">
        <v>3377</v>
      </c>
      <c r="F1135" s="171">
        <v>1997</v>
      </c>
      <c r="G1135" s="171">
        <v>230</v>
      </c>
      <c r="H1135" s="57"/>
      <c r="I1135" s="173" t="s">
        <v>2564</v>
      </c>
      <c r="J1135" s="277">
        <v>0.32</v>
      </c>
      <c r="K1135" s="213">
        <v>2.9177330895795248</v>
      </c>
      <c r="L1135" s="91"/>
      <c r="M1135" s="278">
        <v>547</v>
      </c>
      <c r="N1135" s="279"/>
      <c r="O1135" s="172" t="s">
        <v>120</v>
      </c>
      <c r="P1135" s="89"/>
      <c r="Q1135" s="173" t="s">
        <v>2533</v>
      </c>
      <c r="R1135" s="89"/>
      <c r="S1135" s="89"/>
      <c r="T1135" s="171"/>
      <c r="U1135" s="171" t="s">
        <v>3346</v>
      </c>
      <c r="V1135" s="102">
        <v>0</v>
      </c>
      <c r="W1135" s="120">
        <v>0</v>
      </c>
      <c r="X1135" s="87"/>
      <c r="Y1135" s="120">
        <v>0</v>
      </c>
      <c r="Z1135" s="120">
        <v>0</v>
      </c>
      <c r="AA1135" s="17">
        <v>0</v>
      </c>
      <c r="AB1135" s="17">
        <v>0</v>
      </c>
      <c r="AC1135" s="17">
        <v>0</v>
      </c>
      <c r="AD1135" s="17">
        <v>0</v>
      </c>
      <c r="AE1135" s="17">
        <v>0</v>
      </c>
      <c r="AF1135" s="17">
        <v>0</v>
      </c>
      <c r="AG1135" s="17">
        <v>0</v>
      </c>
      <c r="AH1135" s="17">
        <v>0</v>
      </c>
      <c r="AI1135" s="17">
        <v>0</v>
      </c>
      <c r="AJ1135" s="17">
        <v>0</v>
      </c>
      <c r="AK1135" s="17">
        <v>0</v>
      </c>
      <c r="AL1135" s="32">
        <v>0</v>
      </c>
      <c r="AM1135" s="780">
        <v>38.6</v>
      </c>
      <c r="AN1135" s="89"/>
      <c r="AO1135" s="280"/>
      <c r="AP1135" s="784"/>
      <c r="AQ1135" s="773" t="s">
        <v>271</v>
      </c>
      <c r="AR1135" s="188">
        <v>100</v>
      </c>
      <c r="AS1135" s="171"/>
      <c r="AT1135" s="171" t="str">
        <f t="shared" si="91"/>
        <v>400</v>
      </c>
      <c r="AU1135" s="255">
        <f t="shared" si="92"/>
        <v>22.222222222222221</v>
      </c>
      <c r="AV1135" s="57"/>
      <c r="AW1135" s="171">
        <v>7</v>
      </c>
      <c r="AX1135" s="89"/>
      <c r="AY1135" s="171">
        <v>20</v>
      </c>
      <c r="AZ1135" s="89"/>
      <c r="BA1135" s="175">
        <v>60</v>
      </c>
      <c r="BB1135" s="259"/>
      <c r="BC1135" s="176"/>
      <c r="BD1135" s="179"/>
      <c r="BE1135" s="179"/>
      <c r="BF1135" s="178"/>
      <c r="BG1135" s="25"/>
      <c r="BH1135" s="25"/>
    </row>
    <row r="1136" spans="1:60" ht="15" customHeight="1">
      <c r="A1136" s="95">
        <v>1135</v>
      </c>
      <c r="B1136" s="98" t="s">
        <v>565</v>
      </c>
      <c r="C1136" s="191" t="s">
        <v>2702</v>
      </c>
      <c r="D1136" s="257" t="s">
        <v>549</v>
      </c>
      <c r="E1136" s="459" t="s">
        <v>3377</v>
      </c>
      <c r="F1136" s="171">
        <v>1997</v>
      </c>
      <c r="G1136" s="171">
        <v>230</v>
      </c>
      <c r="H1136" s="57"/>
      <c r="I1136" s="173" t="s">
        <v>2564</v>
      </c>
      <c r="J1136" s="277">
        <v>0.32</v>
      </c>
      <c r="K1136" s="213">
        <v>2.9177330895795248</v>
      </c>
      <c r="L1136" s="91"/>
      <c r="M1136" s="278">
        <v>547</v>
      </c>
      <c r="N1136" s="279"/>
      <c r="O1136" s="172" t="s">
        <v>120</v>
      </c>
      <c r="P1136" s="89"/>
      <c r="Q1136" s="173" t="s">
        <v>2533</v>
      </c>
      <c r="R1136" s="89"/>
      <c r="S1136" s="89"/>
      <c r="T1136" s="171"/>
      <c r="U1136" s="171" t="s">
        <v>3346</v>
      </c>
      <c r="V1136" s="102">
        <v>0</v>
      </c>
      <c r="W1136" s="120">
        <v>0</v>
      </c>
      <c r="X1136" s="87"/>
      <c r="Y1136" s="120">
        <v>0</v>
      </c>
      <c r="Z1136" s="120">
        <v>0</v>
      </c>
      <c r="AA1136" s="17">
        <v>0</v>
      </c>
      <c r="AB1136" s="17">
        <v>0</v>
      </c>
      <c r="AC1136" s="17">
        <v>0</v>
      </c>
      <c r="AD1136" s="17">
        <v>0</v>
      </c>
      <c r="AE1136" s="17">
        <v>0</v>
      </c>
      <c r="AF1136" s="17">
        <v>0</v>
      </c>
      <c r="AG1136" s="17">
        <v>0</v>
      </c>
      <c r="AH1136" s="17">
        <v>0</v>
      </c>
      <c r="AI1136" s="17">
        <v>0</v>
      </c>
      <c r="AJ1136" s="17">
        <v>0</v>
      </c>
      <c r="AK1136" s="17">
        <v>0</v>
      </c>
      <c r="AL1136" s="32">
        <v>0</v>
      </c>
      <c r="AM1136" s="780">
        <v>38.6</v>
      </c>
      <c r="AN1136" s="89"/>
      <c r="AO1136" s="280"/>
      <c r="AP1136" s="784"/>
      <c r="AQ1136" s="773" t="s">
        <v>271</v>
      </c>
      <c r="AR1136" s="188">
        <v>100</v>
      </c>
      <c r="AS1136" s="171"/>
      <c r="AT1136" s="171" t="str">
        <f t="shared" si="91"/>
        <v>400</v>
      </c>
      <c r="AU1136" s="255">
        <f t="shared" si="92"/>
        <v>22.222222222222221</v>
      </c>
      <c r="AV1136" s="57"/>
      <c r="AW1136" s="171">
        <v>7</v>
      </c>
      <c r="AX1136" s="89"/>
      <c r="AY1136" s="171">
        <v>20</v>
      </c>
      <c r="AZ1136" s="89"/>
      <c r="BA1136" s="175">
        <v>60</v>
      </c>
      <c r="BB1136" s="259"/>
      <c r="BC1136" s="176"/>
      <c r="BD1136" s="179"/>
      <c r="BE1136" s="179"/>
      <c r="BF1136" s="178"/>
      <c r="BG1136" s="25"/>
      <c r="BH1136" s="25"/>
    </row>
    <row r="1137" spans="1:82" ht="15" customHeight="1">
      <c r="A1137" s="95">
        <v>1136</v>
      </c>
      <c r="B1137" s="98" t="s">
        <v>564</v>
      </c>
      <c r="C1137" s="191" t="s">
        <v>2703</v>
      </c>
      <c r="D1137" s="257" t="s">
        <v>549</v>
      </c>
      <c r="E1137" s="459" t="s">
        <v>3377</v>
      </c>
      <c r="F1137" s="171">
        <v>1997</v>
      </c>
      <c r="G1137" s="171">
        <v>231</v>
      </c>
      <c r="H1137" s="57"/>
      <c r="I1137" s="173" t="s">
        <v>2564</v>
      </c>
      <c r="J1137" s="277">
        <v>0.55000000000000004</v>
      </c>
      <c r="K1137" s="213">
        <v>5.948553054662379</v>
      </c>
      <c r="L1137" s="91"/>
      <c r="M1137" s="278">
        <v>311</v>
      </c>
      <c r="N1137" s="279"/>
      <c r="O1137" s="172" t="s">
        <v>12</v>
      </c>
      <c r="P1137" s="92"/>
      <c r="Q1137" s="173" t="s">
        <v>10</v>
      </c>
      <c r="R1137" s="89"/>
      <c r="S1137" s="89"/>
      <c r="T1137" s="171" t="s">
        <v>2561</v>
      </c>
      <c r="U1137" s="171" t="s">
        <v>2530</v>
      </c>
      <c r="V1137" s="102">
        <v>0</v>
      </c>
      <c r="W1137" s="120">
        <v>0</v>
      </c>
      <c r="X1137" s="120">
        <v>0</v>
      </c>
      <c r="Y1137" s="120">
        <v>0</v>
      </c>
      <c r="Z1137" s="120">
        <v>0</v>
      </c>
      <c r="AA1137" s="17">
        <v>0</v>
      </c>
      <c r="AB1137" s="17">
        <v>0</v>
      </c>
      <c r="AC1137" s="17">
        <v>0</v>
      </c>
      <c r="AD1137" s="17">
        <v>0</v>
      </c>
      <c r="AE1137" s="17">
        <v>0</v>
      </c>
      <c r="AF1137" s="17">
        <v>0</v>
      </c>
      <c r="AG1137" s="17">
        <v>0</v>
      </c>
      <c r="AH1137" s="17">
        <v>0</v>
      </c>
      <c r="AI1137" s="17">
        <v>0</v>
      </c>
      <c r="AJ1137" s="17">
        <v>0</v>
      </c>
      <c r="AK1137" s="17">
        <v>0</v>
      </c>
      <c r="AL1137" s="32">
        <v>0</v>
      </c>
      <c r="AM1137" s="780">
        <v>35.200000000000003</v>
      </c>
      <c r="AN1137" s="89"/>
      <c r="AO1137" s="280"/>
      <c r="AP1137" s="784"/>
      <c r="AQ1137" s="773" t="s">
        <v>271</v>
      </c>
      <c r="AR1137" s="188">
        <v>100</v>
      </c>
      <c r="AS1137" s="171"/>
      <c r="AT1137" s="171" t="str">
        <f t="shared" si="91"/>
        <v>400</v>
      </c>
      <c r="AU1137" s="255">
        <f t="shared" si="92"/>
        <v>22.222222222222221</v>
      </c>
      <c r="AV1137" s="57"/>
      <c r="AW1137" s="171">
        <v>7</v>
      </c>
      <c r="AX1137" s="89"/>
      <c r="AY1137" s="171">
        <v>20</v>
      </c>
      <c r="AZ1137" s="89"/>
      <c r="BA1137" s="175">
        <v>60</v>
      </c>
      <c r="BB1137" s="259"/>
      <c r="BC1137" s="176"/>
      <c r="BD1137" s="179"/>
      <c r="BE1137" s="179"/>
      <c r="BF1137" s="178"/>
      <c r="BG1137" s="25"/>
      <c r="BH1137" s="25"/>
    </row>
    <row r="1138" spans="1:82" ht="15" customHeight="1">
      <c r="A1138" s="95">
        <v>1137</v>
      </c>
      <c r="B1138" s="98" t="s">
        <v>563</v>
      </c>
      <c r="C1138" s="191" t="s">
        <v>2703</v>
      </c>
      <c r="D1138" s="257" t="s">
        <v>549</v>
      </c>
      <c r="E1138" s="459" t="s">
        <v>3377</v>
      </c>
      <c r="F1138" s="171">
        <v>1997</v>
      </c>
      <c r="G1138" s="171">
        <v>231</v>
      </c>
      <c r="H1138" s="57"/>
      <c r="I1138" s="173" t="s">
        <v>2564</v>
      </c>
      <c r="J1138" s="277">
        <v>0.55000000000000004</v>
      </c>
      <c r="K1138" s="213">
        <v>4.625</v>
      </c>
      <c r="L1138" s="91"/>
      <c r="M1138" s="278">
        <v>336</v>
      </c>
      <c r="N1138" s="279"/>
      <c r="O1138" s="172" t="s">
        <v>12</v>
      </c>
      <c r="P1138" s="92"/>
      <c r="Q1138" s="173" t="s">
        <v>10</v>
      </c>
      <c r="R1138" s="89"/>
      <c r="S1138" s="89"/>
      <c r="T1138" s="171" t="s">
        <v>2562</v>
      </c>
      <c r="U1138" s="171"/>
      <c r="V1138" s="102">
        <v>0</v>
      </c>
      <c r="W1138" s="120">
        <v>0</v>
      </c>
      <c r="X1138" s="120">
        <v>0</v>
      </c>
      <c r="Y1138" s="120">
        <v>0</v>
      </c>
      <c r="Z1138" s="120">
        <v>0</v>
      </c>
      <c r="AA1138" s="17">
        <v>0</v>
      </c>
      <c r="AB1138" s="17">
        <v>0</v>
      </c>
      <c r="AC1138" s="17">
        <v>0</v>
      </c>
      <c r="AD1138" s="17">
        <v>0</v>
      </c>
      <c r="AE1138" s="17">
        <v>0</v>
      </c>
      <c r="AF1138" s="17">
        <v>0</v>
      </c>
      <c r="AG1138" s="17">
        <v>0</v>
      </c>
      <c r="AH1138" s="17">
        <v>0</v>
      </c>
      <c r="AI1138" s="17">
        <v>0</v>
      </c>
      <c r="AJ1138" s="17">
        <v>0</v>
      </c>
      <c r="AK1138" s="17">
        <v>0</v>
      </c>
      <c r="AL1138" s="32">
        <v>0</v>
      </c>
      <c r="AM1138" s="780">
        <v>23.5</v>
      </c>
      <c r="AN1138" s="89"/>
      <c r="AO1138" s="280"/>
      <c r="AP1138" s="784"/>
      <c r="AQ1138" s="773" t="s">
        <v>271</v>
      </c>
      <c r="AR1138" s="188">
        <v>100</v>
      </c>
      <c r="AS1138" s="171"/>
      <c r="AT1138" s="171" t="str">
        <f t="shared" si="91"/>
        <v>400</v>
      </c>
      <c r="AU1138" s="255">
        <f t="shared" si="92"/>
        <v>22.222222222222221</v>
      </c>
      <c r="AV1138" s="57"/>
      <c r="AW1138" s="171">
        <v>7</v>
      </c>
      <c r="AX1138" s="89"/>
      <c r="AY1138" s="171">
        <v>20</v>
      </c>
      <c r="AZ1138" s="89"/>
      <c r="BA1138" s="175">
        <v>60</v>
      </c>
      <c r="BB1138" s="259"/>
      <c r="BC1138" s="176" t="s">
        <v>558</v>
      </c>
      <c r="BD1138" s="179"/>
      <c r="BE1138" s="179"/>
      <c r="BF1138" s="178"/>
      <c r="BG1138" s="25"/>
      <c r="BH1138" s="25"/>
    </row>
    <row r="1139" spans="1:82" ht="15" customHeight="1">
      <c r="A1139" s="95">
        <v>1138</v>
      </c>
      <c r="B1139" s="98" t="s">
        <v>562</v>
      </c>
      <c r="C1139" s="191" t="s">
        <v>2703</v>
      </c>
      <c r="D1139" s="257" t="s">
        <v>549</v>
      </c>
      <c r="E1139" s="459" t="s">
        <v>3377</v>
      </c>
      <c r="F1139" s="171">
        <v>1997</v>
      </c>
      <c r="G1139" s="171">
        <v>231</v>
      </c>
      <c r="H1139" s="57"/>
      <c r="I1139" s="173" t="s">
        <v>2564</v>
      </c>
      <c r="J1139" s="277">
        <v>0.55000000000000004</v>
      </c>
      <c r="K1139" s="213">
        <v>5.7769516728624533</v>
      </c>
      <c r="L1139" s="91"/>
      <c r="M1139" s="278">
        <v>269</v>
      </c>
      <c r="N1139" s="279"/>
      <c r="O1139" s="172" t="s">
        <v>12</v>
      </c>
      <c r="P1139" s="92"/>
      <c r="Q1139" s="173" t="s">
        <v>10</v>
      </c>
      <c r="R1139" s="89"/>
      <c r="S1139" s="89"/>
      <c r="T1139" s="171" t="s">
        <v>2562</v>
      </c>
      <c r="U1139" s="171"/>
      <c r="V1139" s="102">
        <v>0</v>
      </c>
      <c r="W1139" s="120">
        <v>0</v>
      </c>
      <c r="X1139" s="120">
        <v>0</v>
      </c>
      <c r="Y1139" s="120">
        <v>0</v>
      </c>
      <c r="Z1139" s="120">
        <v>0</v>
      </c>
      <c r="AA1139" s="17">
        <v>0</v>
      </c>
      <c r="AB1139" s="17">
        <v>0</v>
      </c>
      <c r="AC1139" s="17">
        <v>0</v>
      </c>
      <c r="AD1139" s="17">
        <v>0</v>
      </c>
      <c r="AE1139" s="17">
        <v>0</v>
      </c>
      <c r="AF1139" s="17">
        <v>0</v>
      </c>
      <c r="AG1139" s="17">
        <v>0</v>
      </c>
      <c r="AH1139" s="17">
        <v>0</v>
      </c>
      <c r="AI1139" s="17">
        <v>0</v>
      </c>
      <c r="AJ1139" s="17">
        <v>0</v>
      </c>
      <c r="AK1139" s="17">
        <v>0</v>
      </c>
      <c r="AL1139" s="32" t="s">
        <v>3471</v>
      </c>
      <c r="AM1139" s="780">
        <v>23.5</v>
      </c>
      <c r="AN1139" s="89"/>
      <c r="AO1139" s="280"/>
      <c r="AP1139" s="784"/>
      <c r="AQ1139" s="773" t="s">
        <v>271</v>
      </c>
      <c r="AR1139" s="188">
        <v>100</v>
      </c>
      <c r="AS1139" s="171"/>
      <c r="AT1139" s="171" t="str">
        <f t="shared" si="91"/>
        <v>400</v>
      </c>
      <c r="AU1139" s="255">
        <f t="shared" si="92"/>
        <v>22.222222222222221</v>
      </c>
      <c r="AV1139" s="57"/>
      <c r="AW1139" s="171">
        <v>7</v>
      </c>
      <c r="AX1139" s="89"/>
      <c r="AY1139" s="171">
        <v>20</v>
      </c>
      <c r="AZ1139" s="89"/>
      <c r="BA1139" s="175">
        <v>60</v>
      </c>
      <c r="BB1139" s="259"/>
      <c r="BC1139" s="176" t="s">
        <v>558</v>
      </c>
      <c r="BD1139" s="179"/>
      <c r="BE1139" s="179"/>
      <c r="BF1139" s="178" t="s">
        <v>561</v>
      </c>
      <c r="BG1139" s="25"/>
      <c r="BH1139" s="25"/>
    </row>
    <row r="1140" spans="1:82" ht="15" customHeight="1">
      <c r="A1140" s="95">
        <v>1139</v>
      </c>
      <c r="B1140" s="98" t="s">
        <v>560</v>
      </c>
      <c r="C1140" s="191" t="s">
        <v>2703</v>
      </c>
      <c r="D1140" s="257" t="s">
        <v>549</v>
      </c>
      <c r="E1140" s="459" t="s">
        <v>3377</v>
      </c>
      <c r="F1140" s="171">
        <v>1997</v>
      </c>
      <c r="G1140" s="171">
        <v>231</v>
      </c>
      <c r="H1140" s="57"/>
      <c r="I1140" s="173" t="s">
        <v>2564</v>
      </c>
      <c r="J1140" s="277">
        <v>0.55000000000000004</v>
      </c>
      <c r="K1140" s="213">
        <v>4.6361031518624642</v>
      </c>
      <c r="L1140" s="91"/>
      <c r="M1140" s="278">
        <v>349</v>
      </c>
      <c r="N1140" s="279"/>
      <c r="O1140" s="172" t="s">
        <v>12</v>
      </c>
      <c r="P1140" s="92"/>
      <c r="Q1140" s="173" t="s">
        <v>10</v>
      </c>
      <c r="R1140" s="89"/>
      <c r="S1140" s="89"/>
      <c r="T1140" s="171" t="s">
        <v>2562</v>
      </c>
      <c r="U1140" s="171"/>
      <c r="V1140" s="102">
        <v>0</v>
      </c>
      <c r="W1140" s="120">
        <v>0</v>
      </c>
      <c r="X1140" s="120">
        <v>0</v>
      </c>
      <c r="Y1140" s="120">
        <v>0</v>
      </c>
      <c r="Z1140" s="120">
        <v>0</v>
      </c>
      <c r="AA1140" s="17">
        <v>0</v>
      </c>
      <c r="AB1140" s="17">
        <v>0</v>
      </c>
      <c r="AC1140" s="17">
        <v>0</v>
      </c>
      <c r="AD1140" s="17">
        <v>0</v>
      </c>
      <c r="AE1140" s="17">
        <v>0</v>
      </c>
      <c r="AF1140" s="17">
        <v>0</v>
      </c>
      <c r="AG1140" s="17">
        <v>0</v>
      </c>
      <c r="AH1140" s="17">
        <v>2.86</v>
      </c>
      <c r="AI1140" s="17">
        <v>0</v>
      </c>
      <c r="AJ1140" s="17">
        <v>0</v>
      </c>
      <c r="AK1140" s="17">
        <v>0</v>
      </c>
      <c r="AL1140" s="32">
        <v>0</v>
      </c>
      <c r="AM1140" s="780">
        <v>27.4</v>
      </c>
      <c r="AN1140" s="89"/>
      <c r="AO1140" s="280"/>
      <c r="AP1140" s="784"/>
      <c r="AQ1140" s="773" t="s">
        <v>271</v>
      </c>
      <c r="AR1140" s="188">
        <v>100</v>
      </c>
      <c r="AS1140" s="171"/>
      <c r="AT1140" s="171" t="str">
        <f t="shared" si="91"/>
        <v>400</v>
      </c>
      <c r="AU1140" s="255">
        <f t="shared" si="92"/>
        <v>22.222222222222221</v>
      </c>
      <c r="AV1140" s="57"/>
      <c r="AW1140" s="171">
        <v>7</v>
      </c>
      <c r="AX1140" s="89"/>
      <c r="AY1140" s="171">
        <v>20</v>
      </c>
      <c r="AZ1140" s="89"/>
      <c r="BA1140" s="175">
        <v>60</v>
      </c>
      <c r="BB1140" s="259"/>
      <c r="BC1140" s="176" t="s">
        <v>558</v>
      </c>
      <c r="BD1140" s="179"/>
      <c r="BE1140" s="179"/>
      <c r="BF1140" s="178" t="s">
        <v>557</v>
      </c>
      <c r="BG1140" s="25"/>
      <c r="BH1140" s="25"/>
    </row>
    <row r="1141" spans="1:82" ht="15" customHeight="1">
      <c r="A1141" s="95">
        <v>1140</v>
      </c>
      <c r="B1141" s="98" t="s">
        <v>556</v>
      </c>
      <c r="C1141" s="191" t="s">
        <v>2704</v>
      </c>
      <c r="D1141" s="257" t="s">
        <v>549</v>
      </c>
      <c r="E1141" s="459" t="s">
        <v>3377</v>
      </c>
      <c r="F1141" s="171">
        <v>1997</v>
      </c>
      <c r="G1141" s="171">
        <v>232</v>
      </c>
      <c r="H1141" s="57"/>
      <c r="I1141" s="173" t="s">
        <v>2564</v>
      </c>
      <c r="J1141" s="212">
        <f>165/300</f>
        <v>0.55000000000000004</v>
      </c>
      <c r="K1141" s="213">
        <v>6.1366666666666667</v>
      </c>
      <c r="L1141" s="91"/>
      <c r="M1141" s="278">
        <v>300</v>
      </c>
      <c r="N1141" s="279"/>
      <c r="O1141" s="172" t="s">
        <v>12</v>
      </c>
      <c r="P1141" s="92"/>
      <c r="Q1141" s="173" t="s">
        <v>10</v>
      </c>
      <c r="R1141" s="512" t="s">
        <v>2734</v>
      </c>
      <c r="S1141" s="89"/>
      <c r="T1141" s="171" t="s">
        <v>2306</v>
      </c>
      <c r="U1141" s="171" t="s">
        <v>2558</v>
      </c>
      <c r="V1141" s="102">
        <v>0</v>
      </c>
      <c r="W1141" s="120">
        <v>0</v>
      </c>
      <c r="X1141" s="120">
        <v>0</v>
      </c>
      <c r="Y1141" s="120">
        <v>0</v>
      </c>
      <c r="Z1141" s="120">
        <v>0</v>
      </c>
      <c r="AA1141" s="17">
        <v>0</v>
      </c>
      <c r="AB1141" s="17">
        <v>0</v>
      </c>
      <c r="AC1141" s="17">
        <v>0</v>
      </c>
      <c r="AD1141" s="17">
        <v>0</v>
      </c>
      <c r="AE1141" s="17">
        <v>0</v>
      </c>
      <c r="AF1141" s="17">
        <v>0</v>
      </c>
      <c r="AG1141" s="17">
        <v>0</v>
      </c>
      <c r="AH1141" s="17">
        <v>0</v>
      </c>
      <c r="AI1141" s="17">
        <v>0</v>
      </c>
      <c r="AJ1141" s="17">
        <v>0</v>
      </c>
      <c r="AK1141" s="17">
        <v>0</v>
      </c>
      <c r="AL1141" s="32">
        <v>0</v>
      </c>
      <c r="AM1141" s="57"/>
      <c r="AN1141" s="89"/>
      <c r="AO1141" s="280"/>
      <c r="AP1141" s="784"/>
      <c r="AQ1141" s="773" t="s">
        <v>271</v>
      </c>
      <c r="AR1141" s="188">
        <v>100</v>
      </c>
      <c r="AS1141" s="171"/>
      <c r="AT1141" s="171" t="str">
        <f t="shared" si="91"/>
        <v>400</v>
      </c>
      <c r="AU1141" s="255">
        <f t="shared" si="92"/>
        <v>22.222222222222221</v>
      </c>
      <c r="AV1141" s="172">
        <v>100</v>
      </c>
      <c r="AW1141" s="171">
        <v>7</v>
      </c>
      <c r="AX1141" s="89"/>
      <c r="AY1141" s="171">
        <v>20</v>
      </c>
      <c r="AZ1141" s="89"/>
      <c r="BA1141" s="175">
        <v>60</v>
      </c>
      <c r="BB1141" s="189" t="s">
        <v>2547</v>
      </c>
      <c r="BC1141" s="176"/>
      <c r="BD1141" s="179"/>
      <c r="BE1141" s="179"/>
      <c r="BF1141" s="178"/>
      <c r="BG1141" s="25"/>
      <c r="BH1141" s="25"/>
    </row>
    <row r="1142" spans="1:82" ht="15" customHeight="1">
      <c r="A1142" s="95">
        <v>1141</v>
      </c>
      <c r="B1142" s="98" t="s">
        <v>555</v>
      </c>
      <c r="C1142" s="191" t="s">
        <v>2704</v>
      </c>
      <c r="D1142" s="257" t="s">
        <v>549</v>
      </c>
      <c r="E1142" s="459" t="s">
        <v>3377</v>
      </c>
      <c r="F1142" s="171">
        <v>1997</v>
      </c>
      <c r="G1142" s="171">
        <v>232</v>
      </c>
      <c r="H1142" s="57"/>
      <c r="I1142" s="173" t="s">
        <v>2564</v>
      </c>
      <c r="J1142" s="212">
        <f>165/300</f>
        <v>0.55000000000000004</v>
      </c>
      <c r="K1142" s="213">
        <v>6.1366666666666667</v>
      </c>
      <c r="L1142" s="91"/>
      <c r="M1142" s="278">
        <v>300</v>
      </c>
      <c r="N1142" s="279"/>
      <c r="O1142" s="172" t="s">
        <v>12</v>
      </c>
      <c r="P1142" s="92"/>
      <c r="Q1142" s="173" t="s">
        <v>10</v>
      </c>
      <c r="R1142" s="512" t="s">
        <v>2734</v>
      </c>
      <c r="S1142" s="89"/>
      <c r="T1142" s="171" t="s">
        <v>2306</v>
      </c>
      <c r="U1142" s="171" t="s">
        <v>2558</v>
      </c>
      <c r="V1142" s="102">
        <v>0</v>
      </c>
      <c r="W1142" s="120">
        <v>0</v>
      </c>
      <c r="X1142" s="120">
        <v>0</v>
      </c>
      <c r="Y1142" s="120">
        <v>0</v>
      </c>
      <c r="Z1142" s="120">
        <v>0</v>
      </c>
      <c r="AA1142" s="17">
        <v>0</v>
      </c>
      <c r="AB1142" s="17">
        <v>0</v>
      </c>
      <c r="AC1142" s="17">
        <v>0</v>
      </c>
      <c r="AD1142" s="17">
        <v>0</v>
      </c>
      <c r="AE1142" s="17">
        <v>0</v>
      </c>
      <c r="AF1142" s="17">
        <v>0</v>
      </c>
      <c r="AG1142" s="17">
        <v>0</v>
      </c>
      <c r="AH1142" s="17">
        <v>0</v>
      </c>
      <c r="AI1142" s="17">
        <v>0</v>
      </c>
      <c r="AJ1142" s="17">
        <v>0</v>
      </c>
      <c r="AK1142" s="17">
        <v>0</v>
      </c>
      <c r="AL1142" s="32">
        <v>0</v>
      </c>
      <c r="AM1142" s="57"/>
      <c r="AN1142" s="89"/>
      <c r="AO1142" s="280"/>
      <c r="AP1142" s="784"/>
      <c r="AQ1142" s="773" t="s">
        <v>271</v>
      </c>
      <c r="AR1142" s="188">
        <v>100</v>
      </c>
      <c r="AS1142" s="171"/>
      <c r="AT1142" s="171" t="str">
        <f t="shared" si="91"/>
        <v>400</v>
      </c>
      <c r="AU1142" s="255">
        <f t="shared" si="92"/>
        <v>22.222222222222221</v>
      </c>
      <c r="AV1142" s="57"/>
      <c r="AW1142" s="171">
        <v>7</v>
      </c>
      <c r="AX1142" s="89"/>
      <c r="AY1142" s="171">
        <v>20</v>
      </c>
      <c r="AZ1142" s="89"/>
      <c r="BA1142" s="175">
        <v>60</v>
      </c>
      <c r="BB1142" s="259"/>
      <c r="BC1142" s="176"/>
      <c r="BD1142" s="179"/>
      <c r="BE1142" s="179"/>
      <c r="BF1142" s="178"/>
      <c r="BG1142" s="25"/>
      <c r="BH1142" s="25"/>
    </row>
    <row r="1143" spans="1:82" ht="15" customHeight="1">
      <c r="A1143" s="95">
        <v>1142</v>
      </c>
      <c r="B1143" s="98" t="s">
        <v>554</v>
      </c>
      <c r="C1143" s="191" t="s">
        <v>2704</v>
      </c>
      <c r="D1143" s="257" t="s">
        <v>549</v>
      </c>
      <c r="E1143" s="459" t="s">
        <v>3377</v>
      </c>
      <c r="F1143" s="171">
        <v>1997</v>
      </c>
      <c r="G1143" s="171">
        <v>232</v>
      </c>
      <c r="H1143" s="57"/>
      <c r="I1143" s="173" t="s">
        <v>2564</v>
      </c>
      <c r="J1143" s="212">
        <f>172/313</f>
        <v>0.54952076677316297</v>
      </c>
      <c r="K1143" s="213">
        <v>5.5623003194888181</v>
      </c>
      <c r="L1143" s="91"/>
      <c r="M1143" s="278">
        <v>313</v>
      </c>
      <c r="N1143" s="279"/>
      <c r="O1143" s="172" t="s">
        <v>12</v>
      </c>
      <c r="P1143" s="92"/>
      <c r="Q1143" s="173" t="s">
        <v>10</v>
      </c>
      <c r="R1143" s="89"/>
      <c r="S1143" s="89"/>
      <c r="T1143" s="171" t="s">
        <v>2562</v>
      </c>
      <c r="U1143" s="171"/>
      <c r="V1143" s="102">
        <v>0</v>
      </c>
      <c r="W1143" s="120">
        <v>0</v>
      </c>
      <c r="X1143" s="120">
        <v>0</v>
      </c>
      <c r="Y1143" s="120">
        <v>0</v>
      </c>
      <c r="Z1143" s="120">
        <v>0</v>
      </c>
      <c r="AA1143" s="17">
        <v>0</v>
      </c>
      <c r="AB1143" s="17">
        <v>0</v>
      </c>
      <c r="AC1143" s="17">
        <v>0</v>
      </c>
      <c r="AD1143" s="17">
        <v>0</v>
      </c>
      <c r="AE1143" s="17">
        <v>0</v>
      </c>
      <c r="AF1143" s="17">
        <v>0</v>
      </c>
      <c r="AG1143" s="17">
        <v>0</v>
      </c>
      <c r="AH1143" s="17">
        <v>0</v>
      </c>
      <c r="AI1143" s="17">
        <v>0</v>
      </c>
      <c r="AJ1143" s="17">
        <v>0</v>
      </c>
      <c r="AK1143" s="17">
        <v>0</v>
      </c>
      <c r="AL1143" s="32">
        <v>0</v>
      </c>
      <c r="AM1143" s="57"/>
      <c r="AN1143" s="89"/>
      <c r="AO1143" s="280"/>
      <c r="AP1143" s="784"/>
      <c r="AQ1143" s="773" t="s">
        <v>271</v>
      </c>
      <c r="AR1143" s="188">
        <v>100</v>
      </c>
      <c r="AS1143" s="171"/>
      <c r="AT1143" s="171" t="str">
        <f t="shared" si="91"/>
        <v>400</v>
      </c>
      <c r="AU1143" s="255">
        <f t="shared" si="92"/>
        <v>22.222222222222221</v>
      </c>
      <c r="AV1143" s="172">
        <v>100</v>
      </c>
      <c r="AW1143" s="171">
        <v>7</v>
      </c>
      <c r="AX1143" s="89"/>
      <c r="AY1143" s="171">
        <v>20</v>
      </c>
      <c r="AZ1143" s="89"/>
      <c r="BA1143" s="175">
        <v>60</v>
      </c>
      <c r="BB1143" s="189" t="s">
        <v>2547</v>
      </c>
      <c r="BC1143" s="176"/>
      <c r="BD1143" s="179"/>
      <c r="BE1143" s="179"/>
      <c r="BF1143" s="178"/>
      <c r="BG1143" s="25"/>
      <c r="BH1143" s="25"/>
    </row>
    <row r="1144" spans="1:82" ht="15" customHeight="1">
      <c r="A1144" s="95">
        <v>1143</v>
      </c>
      <c r="B1144" s="98" t="s">
        <v>553</v>
      </c>
      <c r="C1144" s="191" t="s">
        <v>2704</v>
      </c>
      <c r="D1144" s="257" t="s">
        <v>549</v>
      </c>
      <c r="E1144" s="459" t="s">
        <v>3377</v>
      </c>
      <c r="F1144" s="171">
        <v>1997</v>
      </c>
      <c r="G1144" s="171">
        <v>232</v>
      </c>
      <c r="H1144" s="57"/>
      <c r="I1144" s="173" t="s">
        <v>2564</v>
      </c>
      <c r="J1144" s="212">
        <f>172/313</f>
        <v>0.54952076677316297</v>
      </c>
      <c r="K1144" s="213">
        <v>5.5623003194888181</v>
      </c>
      <c r="L1144" s="91"/>
      <c r="M1144" s="278">
        <v>313</v>
      </c>
      <c r="N1144" s="279"/>
      <c r="O1144" s="172" t="s">
        <v>12</v>
      </c>
      <c r="P1144" s="92"/>
      <c r="Q1144" s="173" t="s">
        <v>10</v>
      </c>
      <c r="R1144" s="89"/>
      <c r="S1144" s="89"/>
      <c r="T1144" s="171" t="s">
        <v>2562</v>
      </c>
      <c r="U1144" s="171"/>
      <c r="V1144" s="102">
        <v>0</v>
      </c>
      <c r="W1144" s="120">
        <v>0</v>
      </c>
      <c r="X1144" s="120">
        <v>0</v>
      </c>
      <c r="Y1144" s="120">
        <v>0</v>
      </c>
      <c r="Z1144" s="120">
        <v>0</v>
      </c>
      <c r="AA1144" s="17">
        <v>0</v>
      </c>
      <c r="AB1144" s="17">
        <v>0</v>
      </c>
      <c r="AC1144" s="17">
        <v>0</v>
      </c>
      <c r="AD1144" s="17">
        <v>0</v>
      </c>
      <c r="AE1144" s="17">
        <v>0</v>
      </c>
      <c r="AF1144" s="17">
        <v>0</v>
      </c>
      <c r="AG1144" s="17">
        <v>0</v>
      </c>
      <c r="AH1144" s="17">
        <v>0</v>
      </c>
      <c r="AI1144" s="17">
        <v>0</v>
      </c>
      <c r="AJ1144" s="17">
        <v>0</v>
      </c>
      <c r="AK1144" s="17">
        <v>0</v>
      </c>
      <c r="AL1144" s="32">
        <v>0</v>
      </c>
      <c r="AM1144" s="57"/>
      <c r="AN1144" s="89"/>
      <c r="AO1144" s="280"/>
      <c r="AP1144" s="784"/>
      <c r="AQ1144" s="773" t="s">
        <v>271</v>
      </c>
      <c r="AR1144" s="188">
        <v>100</v>
      </c>
      <c r="AS1144" s="171"/>
      <c r="AT1144" s="171" t="str">
        <f t="shared" si="91"/>
        <v>400</v>
      </c>
      <c r="AU1144" s="255">
        <f t="shared" si="92"/>
        <v>22.222222222222221</v>
      </c>
      <c r="AV1144" s="57"/>
      <c r="AW1144" s="171">
        <v>7</v>
      </c>
      <c r="AX1144" s="89"/>
      <c r="AY1144" s="171">
        <v>20</v>
      </c>
      <c r="AZ1144" s="89"/>
      <c r="BA1144" s="175">
        <v>60</v>
      </c>
      <c r="BB1144" s="259"/>
      <c r="BC1144" s="176"/>
      <c r="BD1144" s="179"/>
      <c r="BE1144" s="179"/>
      <c r="BF1144" s="178"/>
      <c r="BG1144" s="25"/>
      <c r="BH1144" s="25"/>
    </row>
    <row r="1145" spans="1:82" ht="15" customHeight="1">
      <c r="A1145" s="95">
        <v>1144</v>
      </c>
      <c r="B1145" s="98" t="s">
        <v>552</v>
      </c>
      <c r="C1145" s="191" t="s">
        <v>2704</v>
      </c>
      <c r="D1145" s="257" t="s">
        <v>549</v>
      </c>
      <c r="E1145" s="459" t="s">
        <v>3377</v>
      </c>
      <c r="F1145" s="171">
        <v>1997</v>
      </c>
      <c r="G1145" s="171">
        <v>232</v>
      </c>
      <c r="H1145" s="57"/>
      <c r="I1145" s="173" t="s">
        <v>2564</v>
      </c>
      <c r="J1145" s="212">
        <f>181/329</f>
        <v>0.55015197568389063</v>
      </c>
      <c r="K1145" s="213">
        <v>4.948328267477204</v>
      </c>
      <c r="L1145" s="91"/>
      <c r="M1145" s="278">
        <v>329</v>
      </c>
      <c r="N1145" s="279"/>
      <c r="O1145" s="172" t="s">
        <v>12</v>
      </c>
      <c r="P1145" s="92"/>
      <c r="Q1145" s="173" t="s">
        <v>10</v>
      </c>
      <c r="R1145" s="89"/>
      <c r="S1145" s="89"/>
      <c r="T1145" s="171" t="s">
        <v>2562</v>
      </c>
      <c r="U1145" s="171"/>
      <c r="V1145" s="102">
        <v>0</v>
      </c>
      <c r="W1145" s="120">
        <v>0</v>
      </c>
      <c r="X1145" s="120">
        <v>0</v>
      </c>
      <c r="Y1145" s="120">
        <v>0</v>
      </c>
      <c r="Z1145" s="120">
        <v>0</v>
      </c>
      <c r="AA1145" s="17">
        <v>0</v>
      </c>
      <c r="AB1145" s="17">
        <v>0</v>
      </c>
      <c r="AC1145" s="17">
        <v>0</v>
      </c>
      <c r="AD1145" s="17">
        <v>0</v>
      </c>
      <c r="AE1145" s="17">
        <v>0</v>
      </c>
      <c r="AF1145" s="17">
        <v>0</v>
      </c>
      <c r="AG1145" s="17">
        <v>0</v>
      </c>
      <c r="AH1145" s="17">
        <v>0</v>
      </c>
      <c r="AI1145" s="17">
        <v>0</v>
      </c>
      <c r="AJ1145" s="17">
        <v>0</v>
      </c>
      <c r="AK1145" s="17">
        <v>0</v>
      </c>
      <c r="AL1145" s="32">
        <v>0</v>
      </c>
      <c r="AM1145" s="57"/>
      <c r="AN1145" s="89"/>
      <c r="AO1145" s="280"/>
      <c r="AP1145" s="784"/>
      <c r="AQ1145" s="773" t="s">
        <v>271</v>
      </c>
      <c r="AR1145" s="188">
        <v>100</v>
      </c>
      <c r="AS1145" s="171"/>
      <c r="AT1145" s="171" t="str">
        <f t="shared" si="91"/>
        <v>400</v>
      </c>
      <c r="AU1145" s="255">
        <f t="shared" si="92"/>
        <v>22.222222222222221</v>
      </c>
      <c r="AV1145" s="172">
        <v>100</v>
      </c>
      <c r="AW1145" s="171">
        <v>7</v>
      </c>
      <c r="AX1145" s="89"/>
      <c r="AY1145" s="171">
        <v>20</v>
      </c>
      <c r="AZ1145" s="89"/>
      <c r="BA1145" s="175">
        <v>60</v>
      </c>
      <c r="BB1145" s="189" t="s">
        <v>2547</v>
      </c>
      <c r="BC1145" s="176"/>
      <c r="BD1145" s="179"/>
      <c r="BE1145" s="179"/>
      <c r="BF1145" s="178"/>
      <c r="BG1145" s="25"/>
      <c r="BH1145" s="25"/>
    </row>
    <row r="1146" spans="1:82" ht="15" customHeight="1">
      <c r="A1146" s="95">
        <v>1145</v>
      </c>
      <c r="B1146" s="98" t="s">
        <v>551</v>
      </c>
      <c r="C1146" s="191" t="s">
        <v>2704</v>
      </c>
      <c r="D1146" s="257" t="s">
        <v>549</v>
      </c>
      <c r="E1146" s="459" t="s">
        <v>3377</v>
      </c>
      <c r="F1146" s="171">
        <v>1997</v>
      </c>
      <c r="G1146" s="171">
        <v>232</v>
      </c>
      <c r="H1146" s="57"/>
      <c r="I1146" s="173" t="s">
        <v>2564</v>
      </c>
      <c r="J1146" s="212">
        <f>181/329</f>
        <v>0.55015197568389063</v>
      </c>
      <c r="K1146" s="213">
        <v>4.948328267477204</v>
      </c>
      <c r="L1146" s="91"/>
      <c r="M1146" s="278">
        <v>329</v>
      </c>
      <c r="N1146" s="279"/>
      <c r="O1146" s="172" t="s">
        <v>12</v>
      </c>
      <c r="P1146" s="92"/>
      <c r="Q1146" s="173" t="s">
        <v>10</v>
      </c>
      <c r="R1146" s="89"/>
      <c r="S1146" s="89"/>
      <c r="T1146" s="171" t="s">
        <v>2562</v>
      </c>
      <c r="U1146" s="171"/>
      <c r="V1146" s="102">
        <v>0</v>
      </c>
      <c r="W1146" s="120">
        <v>0</v>
      </c>
      <c r="X1146" s="120">
        <v>0</v>
      </c>
      <c r="Y1146" s="120">
        <v>0</v>
      </c>
      <c r="Z1146" s="120">
        <v>0</v>
      </c>
      <c r="AA1146" s="17">
        <v>0</v>
      </c>
      <c r="AB1146" s="17">
        <v>0</v>
      </c>
      <c r="AC1146" s="17">
        <v>0</v>
      </c>
      <c r="AD1146" s="17">
        <v>0</v>
      </c>
      <c r="AE1146" s="17">
        <v>0</v>
      </c>
      <c r="AF1146" s="17">
        <v>0</v>
      </c>
      <c r="AG1146" s="17">
        <v>0</v>
      </c>
      <c r="AH1146" s="17">
        <v>0</v>
      </c>
      <c r="AI1146" s="17">
        <v>0</v>
      </c>
      <c r="AJ1146" s="17">
        <v>0</v>
      </c>
      <c r="AK1146" s="17">
        <v>0</v>
      </c>
      <c r="AL1146" s="32">
        <v>0</v>
      </c>
      <c r="AM1146" s="57"/>
      <c r="AN1146" s="89"/>
      <c r="AO1146" s="280"/>
      <c r="AP1146" s="784"/>
      <c r="AQ1146" s="773" t="s">
        <v>271</v>
      </c>
      <c r="AR1146" s="188">
        <v>100</v>
      </c>
      <c r="AS1146" s="171"/>
      <c r="AT1146" s="171" t="str">
        <f t="shared" si="91"/>
        <v>400</v>
      </c>
      <c r="AU1146" s="255">
        <f t="shared" si="92"/>
        <v>22.222222222222221</v>
      </c>
      <c r="AV1146" s="57"/>
      <c r="AW1146" s="171">
        <v>7</v>
      </c>
      <c r="AX1146" s="89"/>
      <c r="AY1146" s="171">
        <v>20</v>
      </c>
      <c r="AZ1146" s="89"/>
      <c r="BA1146" s="175">
        <v>60</v>
      </c>
      <c r="BB1146" s="259"/>
      <c r="BC1146" s="176"/>
      <c r="BD1146" s="179"/>
      <c r="BE1146" s="179"/>
      <c r="BF1146" s="178"/>
      <c r="BG1146" s="25"/>
      <c r="BH1146" s="25"/>
    </row>
    <row r="1147" spans="1:82" ht="15" customHeight="1">
      <c r="A1147" s="95">
        <v>1146</v>
      </c>
      <c r="B1147" s="98" t="s">
        <v>550</v>
      </c>
      <c r="C1147" s="191" t="s">
        <v>2704</v>
      </c>
      <c r="D1147" s="257" t="s">
        <v>549</v>
      </c>
      <c r="E1147" s="459" t="s">
        <v>3377</v>
      </c>
      <c r="F1147" s="171">
        <v>1997</v>
      </c>
      <c r="G1147" s="171">
        <v>232</v>
      </c>
      <c r="H1147" s="57"/>
      <c r="I1147" s="173" t="s">
        <v>2564</v>
      </c>
      <c r="J1147" s="212">
        <f>190/345</f>
        <v>0.55072463768115942</v>
      </c>
      <c r="K1147" s="213">
        <v>4.5478260869565217</v>
      </c>
      <c r="L1147" s="91"/>
      <c r="M1147" s="278">
        <v>345</v>
      </c>
      <c r="N1147" s="279"/>
      <c r="O1147" s="172" t="s">
        <v>12</v>
      </c>
      <c r="P1147" s="92"/>
      <c r="Q1147" s="173" t="s">
        <v>10</v>
      </c>
      <c r="R1147" s="89"/>
      <c r="S1147" s="89"/>
      <c r="T1147" s="171" t="s">
        <v>2562</v>
      </c>
      <c r="U1147" s="171"/>
      <c r="V1147" s="102">
        <v>0</v>
      </c>
      <c r="W1147" s="120">
        <v>0</v>
      </c>
      <c r="X1147" s="120">
        <v>0</v>
      </c>
      <c r="Y1147" s="120">
        <v>0</v>
      </c>
      <c r="Z1147" s="120">
        <v>0</v>
      </c>
      <c r="AA1147" s="17">
        <v>0</v>
      </c>
      <c r="AB1147" s="17">
        <v>0</v>
      </c>
      <c r="AC1147" s="17">
        <v>0</v>
      </c>
      <c r="AD1147" s="17">
        <v>0</v>
      </c>
      <c r="AE1147" s="17">
        <v>0</v>
      </c>
      <c r="AF1147" s="17">
        <v>0</v>
      </c>
      <c r="AG1147" s="17">
        <v>0</v>
      </c>
      <c r="AH1147" s="17">
        <v>0</v>
      </c>
      <c r="AI1147" s="17">
        <v>0</v>
      </c>
      <c r="AJ1147" s="17">
        <v>0</v>
      </c>
      <c r="AK1147" s="17">
        <v>0</v>
      </c>
      <c r="AL1147" s="32">
        <v>0</v>
      </c>
      <c r="AM1147" s="57"/>
      <c r="AN1147" s="89"/>
      <c r="AO1147" s="280"/>
      <c r="AP1147" s="784"/>
      <c r="AQ1147" s="773" t="s">
        <v>271</v>
      </c>
      <c r="AR1147" s="188">
        <v>100</v>
      </c>
      <c r="AS1147" s="171"/>
      <c r="AT1147" s="171" t="str">
        <f t="shared" si="91"/>
        <v>400</v>
      </c>
      <c r="AU1147" s="255">
        <f t="shared" si="92"/>
        <v>22.222222222222221</v>
      </c>
      <c r="AV1147" s="172">
        <v>100</v>
      </c>
      <c r="AW1147" s="171">
        <v>7</v>
      </c>
      <c r="AX1147" s="89"/>
      <c r="AY1147" s="171">
        <v>20</v>
      </c>
      <c r="AZ1147" s="89"/>
      <c r="BA1147" s="175">
        <v>60</v>
      </c>
      <c r="BB1147" s="189" t="s">
        <v>2547</v>
      </c>
      <c r="BC1147" s="176"/>
      <c r="BD1147" s="179"/>
      <c r="BE1147" s="179"/>
      <c r="BF1147" s="178"/>
      <c r="BG1147" s="25"/>
      <c r="BH1147" s="25"/>
    </row>
    <row r="1148" spans="1:82" s="82" customFormat="1" ht="15.75" customHeight="1">
      <c r="A1148" s="95">
        <v>1147</v>
      </c>
      <c r="B1148" s="98" t="s">
        <v>548</v>
      </c>
      <c r="C1148" s="191" t="s">
        <v>2704</v>
      </c>
      <c r="D1148" s="273" t="s">
        <v>549</v>
      </c>
      <c r="E1148" s="461" t="s">
        <v>3377</v>
      </c>
      <c r="F1148" s="171">
        <v>1997</v>
      </c>
      <c r="G1148" s="171">
        <v>232</v>
      </c>
      <c r="H1148" s="57"/>
      <c r="I1148" s="173" t="s">
        <v>2564</v>
      </c>
      <c r="J1148" s="212">
        <f>190/345</f>
        <v>0.55072463768115942</v>
      </c>
      <c r="K1148" s="213">
        <v>4.5478260869565217</v>
      </c>
      <c r="L1148" s="91"/>
      <c r="M1148" s="281">
        <v>345</v>
      </c>
      <c r="N1148" s="279"/>
      <c r="O1148" s="172" t="s">
        <v>12</v>
      </c>
      <c r="P1148" s="92"/>
      <c r="Q1148" s="173" t="s">
        <v>10</v>
      </c>
      <c r="R1148" s="89"/>
      <c r="S1148" s="89"/>
      <c r="T1148" s="171" t="s">
        <v>2562</v>
      </c>
      <c r="U1148" s="171"/>
      <c r="V1148" s="102">
        <v>0</v>
      </c>
      <c r="W1148" s="120">
        <v>0</v>
      </c>
      <c r="X1148" s="120">
        <v>0</v>
      </c>
      <c r="Y1148" s="120">
        <v>0</v>
      </c>
      <c r="Z1148" s="120">
        <v>0</v>
      </c>
      <c r="AA1148" s="17">
        <v>0</v>
      </c>
      <c r="AB1148" s="17">
        <v>0</v>
      </c>
      <c r="AC1148" s="17">
        <v>0</v>
      </c>
      <c r="AD1148" s="17">
        <v>0</v>
      </c>
      <c r="AE1148" s="17">
        <v>0</v>
      </c>
      <c r="AF1148" s="17">
        <v>0</v>
      </c>
      <c r="AG1148" s="17">
        <v>0</v>
      </c>
      <c r="AH1148" s="17">
        <v>0</v>
      </c>
      <c r="AI1148" s="17">
        <v>0</v>
      </c>
      <c r="AJ1148" s="17">
        <v>0</v>
      </c>
      <c r="AK1148" s="17">
        <v>0</v>
      </c>
      <c r="AL1148" s="32">
        <v>0</v>
      </c>
      <c r="AM1148" s="57"/>
      <c r="AN1148" s="89"/>
      <c r="AO1148" s="280"/>
      <c r="AP1148" s="784"/>
      <c r="AQ1148" s="774" t="s">
        <v>271</v>
      </c>
      <c r="AR1148" s="188">
        <v>100</v>
      </c>
      <c r="AS1148" s="171"/>
      <c r="AT1148" s="171" t="str">
        <f t="shared" si="91"/>
        <v>400</v>
      </c>
      <c r="AU1148" s="282">
        <f t="shared" si="92"/>
        <v>22.222222222222221</v>
      </c>
      <c r="AV1148" s="57"/>
      <c r="AW1148" s="210">
        <v>7</v>
      </c>
      <c r="AX1148" s="89"/>
      <c r="AY1148" s="171">
        <v>20</v>
      </c>
      <c r="AZ1148" s="89"/>
      <c r="BA1148" s="175">
        <v>60</v>
      </c>
      <c r="BB1148" s="259"/>
      <c r="BC1148" s="176"/>
      <c r="BD1148" s="176"/>
      <c r="BE1148" s="176"/>
      <c r="BF1148" s="190"/>
      <c r="BG1148" s="81"/>
      <c r="BH1148" s="81"/>
      <c r="BI1148" s="15"/>
      <c r="BJ1148" s="15"/>
      <c r="BK1148" s="15"/>
      <c r="BL1148" s="15"/>
      <c r="BM1148" s="15"/>
      <c r="BN1148" s="15"/>
      <c r="BO1148" s="15"/>
      <c r="BP1148" s="15"/>
      <c r="BQ1148" s="15"/>
      <c r="BR1148" s="15"/>
      <c r="BS1148" s="15"/>
      <c r="BT1148" s="15"/>
      <c r="BU1148" s="15"/>
      <c r="BV1148" s="15"/>
      <c r="BW1148" s="15"/>
      <c r="BX1148" s="15"/>
      <c r="BY1148" s="15"/>
      <c r="BZ1148" s="15"/>
      <c r="CA1148" s="15"/>
      <c r="CB1148" s="15"/>
      <c r="CC1148" s="15"/>
      <c r="CD1148" s="15"/>
    </row>
    <row r="1149" spans="1:82" s="82" customFormat="1">
      <c r="A1149" s="95">
        <v>1148</v>
      </c>
      <c r="B1149" s="211" t="s">
        <v>1855</v>
      </c>
      <c r="C1149" s="191" t="s">
        <v>1762</v>
      </c>
      <c r="D1149" s="171" t="s">
        <v>1763</v>
      </c>
      <c r="E1149" s="463" t="s">
        <v>3377</v>
      </c>
      <c r="F1149" s="171">
        <v>2007</v>
      </c>
      <c r="G1149" s="171">
        <v>289</v>
      </c>
      <c r="H1149" s="172" t="s">
        <v>1738</v>
      </c>
      <c r="I1149" s="173" t="s">
        <v>1752</v>
      </c>
      <c r="J1149" s="212">
        <v>0.35399999999999998</v>
      </c>
      <c r="K1149" s="213">
        <v>3.98</v>
      </c>
      <c r="L1149" s="91"/>
      <c r="M1149" s="171">
        <v>438</v>
      </c>
      <c r="N1149" s="171"/>
      <c r="O1149" s="172" t="s">
        <v>12</v>
      </c>
      <c r="P1149" s="92"/>
      <c r="Q1149" s="173" t="s">
        <v>11</v>
      </c>
      <c r="R1149" s="89"/>
      <c r="S1149" s="89"/>
      <c r="T1149" s="171"/>
      <c r="U1149" s="171"/>
      <c r="V1149" s="102">
        <v>0</v>
      </c>
      <c r="W1149" s="120">
        <v>0</v>
      </c>
      <c r="X1149" s="120">
        <v>0</v>
      </c>
      <c r="Y1149" s="120">
        <v>0</v>
      </c>
      <c r="Z1149" s="120">
        <v>0</v>
      </c>
      <c r="AA1149" s="17">
        <v>0</v>
      </c>
      <c r="AB1149" s="17">
        <v>0</v>
      </c>
      <c r="AC1149" s="17">
        <v>0</v>
      </c>
      <c r="AD1149" s="17">
        <v>0</v>
      </c>
      <c r="AE1149" s="17">
        <v>0</v>
      </c>
      <c r="AF1149" s="17">
        <v>1</v>
      </c>
      <c r="AG1149" s="17">
        <v>0</v>
      </c>
      <c r="AH1149" s="17">
        <v>0</v>
      </c>
      <c r="AI1149" s="17">
        <v>0</v>
      </c>
      <c r="AJ1149" s="17">
        <v>0</v>
      </c>
      <c r="AK1149" s="17">
        <v>0</v>
      </c>
      <c r="AL1149" s="32">
        <v>0</v>
      </c>
      <c r="AM1149" s="172">
        <v>50.4</v>
      </c>
      <c r="AN1149" s="89"/>
      <c r="AO1149" s="280"/>
      <c r="AP1149" s="783">
        <v>29000</v>
      </c>
      <c r="AQ1149" s="17" t="s">
        <v>271</v>
      </c>
      <c r="AR1149" s="174">
        <v>100</v>
      </c>
      <c r="AS1149" s="171" t="s">
        <v>2571</v>
      </c>
      <c r="AT1149" s="171">
        <v>400</v>
      </c>
      <c r="AU1149" s="254"/>
      <c r="AV1149" s="172">
        <v>40</v>
      </c>
      <c r="AW1149" s="171">
        <v>1</v>
      </c>
      <c r="AX1149" s="89"/>
      <c r="AY1149" s="171">
        <v>30</v>
      </c>
      <c r="AZ1149" s="171">
        <v>0</v>
      </c>
      <c r="BA1149" s="175">
        <v>99</v>
      </c>
      <c r="BB1149" s="259"/>
      <c r="BC1149" s="190"/>
      <c r="BD1149" s="171"/>
      <c r="BE1149" s="171"/>
      <c r="BF1149" s="190" t="s">
        <v>2321</v>
      </c>
      <c r="BG1149" s="15"/>
      <c r="BH1149" s="15"/>
      <c r="BI1149" s="15"/>
      <c r="BJ1149" s="15"/>
      <c r="BK1149" s="15"/>
      <c r="BL1149" s="15"/>
      <c r="BM1149" s="15"/>
      <c r="BN1149" s="15"/>
      <c r="BO1149" s="15"/>
      <c r="BP1149" s="15"/>
      <c r="BQ1149" s="15"/>
      <c r="BR1149" s="15"/>
      <c r="BS1149" s="15"/>
      <c r="BT1149" s="15"/>
      <c r="BU1149" s="15"/>
      <c r="BV1149" s="15"/>
      <c r="BW1149" s="15"/>
      <c r="BX1149" s="15"/>
      <c r="BY1149" s="15"/>
      <c r="BZ1149" s="15"/>
      <c r="CA1149" s="15"/>
      <c r="CB1149" s="15"/>
      <c r="CC1149" s="15"/>
      <c r="CD1149" s="15"/>
    </row>
    <row r="1150" spans="1:82" ht="15" customHeight="1">
      <c r="A1150" s="95">
        <v>1149</v>
      </c>
      <c r="B1150" s="211" t="s">
        <v>1856</v>
      </c>
      <c r="C1150" s="191" t="s">
        <v>1762</v>
      </c>
      <c r="D1150" s="171" t="s">
        <v>1763</v>
      </c>
      <c r="E1150" s="463" t="s">
        <v>3377</v>
      </c>
      <c r="F1150" s="171">
        <v>2007</v>
      </c>
      <c r="G1150" s="171">
        <v>289</v>
      </c>
      <c r="H1150" s="172" t="s">
        <v>1738</v>
      </c>
      <c r="I1150" s="173" t="s">
        <v>1751</v>
      </c>
      <c r="J1150" s="212">
        <v>0.35399999999999998</v>
      </c>
      <c r="K1150" s="213">
        <v>3.98</v>
      </c>
      <c r="L1150" s="91"/>
      <c r="M1150" s="171">
        <v>438</v>
      </c>
      <c r="N1150" s="171"/>
      <c r="O1150" s="172" t="s">
        <v>12</v>
      </c>
      <c r="P1150" s="92"/>
      <c r="Q1150" s="173" t="s">
        <v>11</v>
      </c>
      <c r="R1150" s="89"/>
      <c r="S1150" s="89"/>
      <c r="T1150" s="171"/>
      <c r="U1150" s="171"/>
      <c r="V1150" s="102">
        <v>0</v>
      </c>
      <c r="W1150" s="120">
        <v>0</v>
      </c>
      <c r="X1150" s="120">
        <v>0</v>
      </c>
      <c r="Y1150" s="120">
        <v>0</v>
      </c>
      <c r="Z1150" s="120">
        <v>0</v>
      </c>
      <c r="AA1150" s="17">
        <v>0</v>
      </c>
      <c r="AB1150" s="17">
        <v>0</v>
      </c>
      <c r="AC1150" s="17">
        <v>0</v>
      </c>
      <c r="AD1150" s="17">
        <v>0</v>
      </c>
      <c r="AE1150" s="17">
        <v>0</v>
      </c>
      <c r="AF1150" s="17">
        <v>1</v>
      </c>
      <c r="AG1150" s="17">
        <v>0</v>
      </c>
      <c r="AH1150" s="17">
        <v>0</v>
      </c>
      <c r="AI1150" s="17">
        <v>0</v>
      </c>
      <c r="AJ1150" s="17">
        <v>0</v>
      </c>
      <c r="AK1150" s="17">
        <v>0</v>
      </c>
      <c r="AL1150" s="32">
        <v>0</v>
      </c>
      <c r="AM1150" s="172">
        <v>50.4</v>
      </c>
      <c r="AN1150" s="89"/>
      <c r="AO1150" s="280"/>
      <c r="AP1150" s="783">
        <v>29000</v>
      </c>
      <c r="AQ1150" s="17" t="s">
        <v>271</v>
      </c>
      <c r="AR1150" s="174">
        <v>100</v>
      </c>
      <c r="AS1150" s="171" t="s">
        <v>2571</v>
      </c>
      <c r="AT1150" s="171">
        <v>400</v>
      </c>
      <c r="AU1150" s="255"/>
      <c r="AV1150" s="172">
        <v>40</v>
      </c>
      <c r="AW1150" s="171">
        <v>1</v>
      </c>
      <c r="AX1150" s="89"/>
      <c r="AY1150" s="171">
        <v>30</v>
      </c>
      <c r="AZ1150" s="171">
        <v>0</v>
      </c>
      <c r="BA1150" s="175">
        <v>100</v>
      </c>
      <c r="BB1150" s="259"/>
      <c r="BC1150" s="190"/>
      <c r="BD1150" s="177"/>
      <c r="BE1150" s="177"/>
      <c r="BF1150" s="178" t="s">
        <v>2321</v>
      </c>
    </row>
    <row r="1151" spans="1:82" ht="15" customHeight="1">
      <c r="A1151" s="95">
        <v>1150</v>
      </c>
      <c r="B1151" s="211" t="s">
        <v>1857</v>
      </c>
      <c r="C1151" s="191" t="s">
        <v>1762</v>
      </c>
      <c r="D1151" s="171" t="s">
        <v>1763</v>
      </c>
      <c r="E1151" s="463" t="s">
        <v>3377</v>
      </c>
      <c r="F1151" s="171">
        <v>2007</v>
      </c>
      <c r="G1151" s="171">
        <v>289</v>
      </c>
      <c r="H1151" s="172" t="s">
        <v>1738</v>
      </c>
      <c r="I1151" s="173" t="s">
        <v>1743</v>
      </c>
      <c r="J1151" s="212">
        <v>0.35399999999999998</v>
      </c>
      <c r="K1151" s="213">
        <v>3.98</v>
      </c>
      <c r="L1151" s="91"/>
      <c r="M1151" s="171">
        <v>438</v>
      </c>
      <c r="N1151" s="171"/>
      <c r="O1151" s="172" t="s">
        <v>12</v>
      </c>
      <c r="P1151" s="92"/>
      <c r="Q1151" s="173" t="s">
        <v>11</v>
      </c>
      <c r="R1151" s="89"/>
      <c r="S1151" s="89"/>
      <c r="T1151" s="171"/>
      <c r="U1151" s="171"/>
      <c r="V1151" s="102">
        <v>0</v>
      </c>
      <c r="W1151" s="120">
        <v>0</v>
      </c>
      <c r="X1151" s="120">
        <v>0</v>
      </c>
      <c r="Y1151" s="120">
        <v>0</v>
      </c>
      <c r="Z1151" s="120">
        <v>0</v>
      </c>
      <c r="AA1151" s="17">
        <v>0</v>
      </c>
      <c r="AB1151" s="17">
        <v>0</v>
      </c>
      <c r="AC1151" s="17">
        <v>0</v>
      </c>
      <c r="AD1151" s="17">
        <v>0</v>
      </c>
      <c r="AE1151" s="17">
        <v>0</v>
      </c>
      <c r="AF1151" s="17">
        <v>1</v>
      </c>
      <c r="AG1151" s="17">
        <v>0</v>
      </c>
      <c r="AH1151" s="17">
        <v>0</v>
      </c>
      <c r="AI1151" s="17">
        <v>0</v>
      </c>
      <c r="AJ1151" s="17">
        <v>0</v>
      </c>
      <c r="AK1151" s="17">
        <v>0</v>
      </c>
      <c r="AL1151" s="32">
        <v>0</v>
      </c>
      <c r="AM1151" s="172">
        <v>50.4</v>
      </c>
      <c r="AN1151" s="89"/>
      <c r="AO1151" s="280"/>
      <c r="AP1151" s="783">
        <v>29000</v>
      </c>
      <c r="AQ1151" s="17" t="s">
        <v>271</v>
      </c>
      <c r="AR1151" s="174">
        <v>100</v>
      </c>
      <c r="AS1151" s="171" t="s">
        <v>2571</v>
      </c>
      <c r="AT1151" s="171">
        <v>400</v>
      </c>
      <c r="AU1151" s="255"/>
      <c r="AV1151" s="172">
        <v>40</v>
      </c>
      <c r="AW1151" s="171">
        <v>1</v>
      </c>
      <c r="AX1151" s="89"/>
      <c r="AY1151" s="171">
        <v>30</v>
      </c>
      <c r="AZ1151" s="171">
        <v>0</v>
      </c>
      <c r="BA1151" s="175">
        <v>100</v>
      </c>
      <c r="BB1151" s="259"/>
      <c r="BC1151" s="190"/>
      <c r="BD1151" s="177"/>
      <c r="BE1151" s="177"/>
      <c r="BF1151" s="178" t="s">
        <v>2321</v>
      </c>
    </row>
    <row r="1152" spans="1:82">
      <c r="A1152" s="95">
        <v>1151</v>
      </c>
      <c r="B1152" s="211" t="s">
        <v>1858</v>
      </c>
      <c r="C1152" s="191" t="s">
        <v>1762</v>
      </c>
      <c r="D1152" s="171" t="s">
        <v>1763</v>
      </c>
      <c r="E1152" s="463" t="s">
        <v>3377</v>
      </c>
      <c r="F1152" s="171">
        <v>2007</v>
      </c>
      <c r="G1152" s="171">
        <v>289</v>
      </c>
      <c r="H1152" s="172" t="s">
        <v>1738</v>
      </c>
      <c r="I1152" s="173" t="s">
        <v>1752</v>
      </c>
      <c r="J1152" s="212">
        <v>0.39300000000000002</v>
      </c>
      <c r="K1152" s="213">
        <v>4.43</v>
      </c>
      <c r="L1152" s="91"/>
      <c r="M1152" s="171">
        <v>394</v>
      </c>
      <c r="N1152" s="171"/>
      <c r="O1152" s="172" t="s">
        <v>12</v>
      </c>
      <c r="P1152" s="92"/>
      <c r="Q1152" s="173" t="s">
        <v>11</v>
      </c>
      <c r="R1152" s="89"/>
      <c r="S1152" s="89"/>
      <c r="T1152" s="171"/>
      <c r="U1152" s="171"/>
      <c r="V1152" s="102">
        <v>0</v>
      </c>
      <c r="W1152" s="120">
        <v>11.1</v>
      </c>
      <c r="X1152" s="120">
        <v>0</v>
      </c>
      <c r="Y1152" s="120">
        <v>0</v>
      </c>
      <c r="Z1152" s="120">
        <v>0</v>
      </c>
      <c r="AA1152" s="17">
        <v>0</v>
      </c>
      <c r="AB1152" s="17">
        <v>0</v>
      </c>
      <c r="AC1152" s="17">
        <v>0</v>
      </c>
      <c r="AD1152" s="17">
        <v>0</v>
      </c>
      <c r="AE1152" s="17">
        <v>0</v>
      </c>
      <c r="AF1152" s="17">
        <v>1</v>
      </c>
      <c r="AG1152" s="17">
        <v>0</v>
      </c>
      <c r="AH1152" s="17">
        <v>0</v>
      </c>
      <c r="AI1152" s="17">
        <v>0</v>
      </c>
      <c r="AJ1152" s="17">
        <v>0</v>
      </c>
      <c r="AK1152" s="17">
        <v>0</v>
      </c>
      <c r="AL1152" s="32">
        <v>0</v>
      </c>
      <c r="AM1152" s="172">
        <v>48.4</v>
      </c>
      <c r="AN1152" s="89"/>
      <c r="AO1152" s="280"/>
      <c r="AP1152" s="783">
        <v>27900</v>
      </c>
      <c r="AQ1152" s="17" t="s">
        <v>271</v>
      </c>
      <c r="AR1152" s="174">
        <v>100</v>
      </c>
      <c r="AS1152" s="171" t="s">
        <v>2571</v>
      </c>
      <c r="AT1152" s="171">
        <v>400</v>
      </c>
      <c r="AU1152" s="255"/>
      <c r="AV1152" s="172">
        <v>40</v>
      </c>
      <c r="AW1152" s="171">
        <v>1</v>
      </c>
      <c r="AX1152" s="89"/>
      <c r="AY1152" s="171">
        <v>30</v>
      </c>
      <c r="AZ1152" s="171">
        <v>0</v>
      </c>
      <c r="BA1152" s="175">
        <v>99</v>
      </c>
      <c r="BB1152" s="259"/>
      <c r="BC1152" s="190"/>
      <c r="BD1152" s="177"/>
      <c r="BE1152" s="177"/>
      <c r="BF1152" s="178" t="s">
        <v>2523</v>
      </c>
    </row>
    <row r="1153" spans="1:58" ht="15" customHeight="1">
      <c r="A1153" s="95">
        <v>1152</v>
      </c>
      <c r="B1153" s="211" t="s">
        <v>1859</v>
      </c>
      <c r="C1153" s="191" t="s">
        <v>1762</v>
      </c>
      <c r="D1153" s="171" t="s">
        <v>1763</v>
      </c>
      <c r="E1153" s="463" t="s">
        <v>3377</v>
      </c>
      <c r="F1153" s="171">
        <v>2007</v>
      </c>
      <c r="G1153" s="171">
        <v>289</v>
      </c>
      <c r="H1153" s="172" t="s">
        <v>1738</v>
      </c>
      <c r="I1153" s="173" t="s">
        <v>1751</v>
      </c>
      <c r="J1153" s="212">
        <v>0.39300000000000002</v>
      </c>
      <c r="K1153" s="213">
        <v>4.43</v>
      </c>
      <c r="L1153" s="91"/>
      <c r="M1153" s="171">
        <v>394</v>
      </c>
      <c r="N1153" s="171"/>
      <c r="O1153" s="172" t="s">
        <v>12</v>
      </c>
      <c r="P1153" s="92"/>
      <c r="Q1153" s="173" t="s">
        <v>11</v>
      </c>
      <c r="R1153" s="89"/>
      <c r="S1153" s="89"/>
      <c r="T1153" s="171"/>
      <c r="U1153" s="171"/>
      <c r="V1153" s="102">
        <v>0</v>
      </c>
      <c r="W1153" s="120">
        <v>11.1</v>
      </c>
      <c r="X1153" s="120">
        <v>0</v>
      </c>
      <c r="Y1153" s="120">
        <v>0</v>
      </c>
      <c r="Z1153" s="120">
        <v>0</v>
      </c>
      <c r="AA1153" s="17">
        <v>0</v>
      </c>
      <c r="AB1153" s="17">
        <v>0</v>
      </c>
      <c r="AC1153" s="17">
        <v>0</v>
      </c>
      <c r="AD1153" s="17">
        <v>0</v>
      </c>
      <c r="AE1153" s="17">
        <v>0</v>
      </c>
      <c r="AF1153" s="17">
        <v>1</v>
      </c>
      <c r="AG1153" s="17">
        <v>0</v>
      </c>
      <c r="AH1153" s="17">
        <v>0</v>
      </c>
      <c r="AI1153" s="17">
        <v>0</v>
      </c>
      <c r="AJ1153" s="17">
        <v>0</v>
      </c>
      <c r="AK1153" s="17">
        <v>0</v>
      </c>
      <c r="AL1153" s="32">
        <v>0</v>
      </c>
      <c r="AM1153" s="172">
        <v>48.4</v>
      </c>
      <c r="AN1153" s="89"/>
      <c r="AO1153" s="280"/>
      <c r="AP1153" s="783">
        <v>27900</v>
      </c>
      <c r="AQ1153" s="17" t="s">
        <v>271</v>
      </c>
      <c r="AR1153" s="174">
        <v>100</v>
      </c>
      <c r="AS1153" s="171" t="s">
        <v>2571</v>
      </c>
      <c r="AT1153" s="171">
        <v>400</v>
      </c>
      <c r="AU1153" s="255"/>
      <c r="AV1153" s="172">
        <v>40</v>
      </c>
      <c r="AW1153" s="171">
        <v>1</v>
      </c>
      <c r="AX1153" s="89"/>
      <c r="AY1153" s="171">
        <v>30</v>
      </c>
      <c r="AZ1153" s="171">
        <v>0</v>
      </c>
      <c r="BA1153" s="175">
        <v>100</v>
      </c>
      <c r="BB1153" s="259"/>
      <c r="BC1153" s="190"/>
      <c r="BD1153" s="177"/>
      <c r="BE1153" s="177"/>
      <c r="BF1153" s="178" t="s">
        <v>2523</v>
      </c>
    </row>
    <row r="1154" spans="1:58" ht="15" customHeight="1">
      <c r="A1154" s="95">
        <v>1153</v>
      </c>
      <c r="B1154" s="211" t="s">
        <v>1860</v>
      </c>
      <c r="C1154" s="191" t="s">
        <v>1762</v>
      </c>
      <c r="D1154" s="171" t="s">
        <v>1763</v>
      </c>
      <c r="E1154" s="463" t="s">
        <v>3377</v>
      </c>
      <c r="F1154" s="171">
        <v>2007</v>
      </c>
      <c r="G1154" s="171">
        <v>289</v>
      </c>
      <c r="H1154" s="172" t="s">
        <v>1738</v>
      </c>
      <c r="I1154" s="173" t="s">
        <v>1743</v>
      </c>
      <c r="J1154" s="212">
        <v>0.39300000000000002</v>
      </c>
      <c r="K1154" s="213">
        <v>4.43</v>
      </c>
      <c r="L1154" s="91"/>
      <c r="M1154" s="171">
        <v>394</v>
      </c>
      <c r="N1154" s="171"/>
      <c r="O1154" s="172" t="s">
        <v>12</v>
      </c>
      <c r="P1154" s="92"/>
      <c r="Q1154" s="173" t="s">
        <v>11</v>
      </c>
      <c r="R1154" s="89"/>
      <c r="S1154" s="89"/>
      <c r="T1154" s="171"/>
      <c r="U1154" s="171"/>
      <c r="V1154" s="102">
        <v>0</v>
      </c>
      <c r="W1154" s="120">
        <v>11.1</v>
      </c>
      <c r="X1154" s="120">
        <v>0</v>
      </c>
      <c r="Y1154" s="120">
        <v>0</v>
      </c>
      <c r="Z1154" s="120">
        <v>0</v>
      </c>
      <c r="AA1154" s="17">
        <v>0</v>
      </c>
      <c r="AB1154" s="17">
        <v>0</v>
      </c>
      <c r="AC1154" s="17">
        <v>0</v>
      </c>
      <c r="AD1154" s="17">
        <v>0</v>
      </c>
      <c r="AE1154" s="17">
        <v>0</v>
      </c>
      <c r="AF1154" s="17">
        <v>1</v>
      </c>
      <c r="AG1154" s="17">
        <v>0</v>
      </c>
      <c r="AH1154" s="17">
        <v>0</v>
      </c>
      <c r="AI1154" s="17">
        <v>0</v>
      </c>
      <c r="AJ1154" s="17">
        <v>0</v>
      </c>
      <c r="AK1154" s="17">
        <v>0</v>
      </c>
      <c r="AL1154" s="32">
        <v>0</v>
      </c>
      <c r="AM1154" s="172">
        <v>48.4</v>
      </c>
      <c r="AN1154" s="89"/>
      <c r="AO1154" s="280"/>
      <c r="AP1154" s="783">
        <v>27900</v>
      </c>
      <c r="AQ1154" s="17" t="s">
        <v>271</v>
      </c>
      <c r="AR1154" s="174">
        <v>100</v>
      </c>
      <c r="AS1154" s="171" t="s">
        <v>2571</v>
      </c>
      <c r="AT1154" s="171">
        <v>400</v>
      </c>
      <c r="AU1154" s="255"/>
      <c r="AV1154" s="172">
        <v>40</v>
      </c>
      <c r="AW1154" s="171">
        <v>1</v>
      </c>
      <c r="AX1154" s="89"/>
      <c r="AY1154" s="171">
        <v>30</v>
      </c>
      <c r="AZ1154" s="171">
        <v>0</v>
      </c>
      <c r="BA1154" s="175">
        <v>100</v>
      </c>
      <c r="BB1154" s="259"/>
      <c r="BC1154" s="190"/>
      <c r="BD1154" s="177"/>
      <c r="BE1154" s="177"/>
      <c r="BF1154" s="178" t="s">
        <v>2523</v>
      </c>
    </row>
    <row r="1155" spans="1:58">
      <c r="A1155" s="95">
        <v>1154</v>
      </c>
      <c r="B1155" s="211" t="s">
        <v>1861</v>
      </c>
      <c r="C1155" s="191" t="s">
        <v>1762</v>
      </c>
      <c r="D1155" s="171" t="s">
        <v>1763</v>
      </c>
      <c r="E1155" s="463" t="s">
        <v>3377</v>
      </c>
      <c r="F1155" s="171">
        <v>2007</v>
      </c>
      <c r="G1155" s="171">
        <v>289</v>
      </c>
      <c r="H1155" s="172" t="s">
        <v>1738</v>
      </c>
      <c r="I1155" s="173" t="s">
        <v>1752</v>
      </c>
      <c r="J1155" s="212">
        <v>0.443</v>
      </c>
      <c r="K1155" s="213">
        <v>4.9800000000000004</v>
      </c>
      <c r="L1155" s="91"/>
      <c r="M1155" s="171">
        <v>350</v>
      </c>
      <c r="N1155" s="171"/>
      <c r="O1155" s="172" t="s">
        <v>12</v>
      </c>
      <c r="P1155" s="92"/>
      <c r="Q1155" s="173" t="s">
        <v>11</v>
      </c>
      <c r="R1155" s="89"/>
      <c r="S1155" s="89"/>
      <c r="T1155" s="171"/>
      <c r="U1155" s="171"/>
      <c r="V1155" s="102">
        <v>0</v>
      </c>
      <c r="W1155" s="120">
        <v>20.3</v>
      </c>
      <c r="X1155" s="120">
        <v>0</v>
      </c>
      <c r="Y1155" s="120">
        <v>0</v>
      </c>
      <c r="Z1155" s="120">
        <v>0</v>
      </c>
      <c r="AA1155" s="17">
        <v>0</v>
      </c>
      <c r="AB1155" s="17">
        <v>0</v>
      </c>
      <c r="AC1155" s="17">
        <v>0</v>
      </c>
      <c r="AD1155" s="17">
        <v>0</v>
      </c>
      <c r="AE1155" s="17">
        <v>0</v>
      </c>
      <c r="AF1155" s="17">
        <v>1</v>
      </c>
      <c r="AG1155" s="17">
        <v>0</v>
      </c>
      <c r="AH1155" s="17">
        <v>0</v>
      </c>
      <c r="AI1155" s="17">
        <v>0</v>
      </c>
      <c r="AJ1155" s="17">
        <v>0</v>
      </c>
      <c r="AK1155" s="17">
        <v>0</v>
      </c>
      <c r="AL1155" s="32">
        <v>0</v>
      </c>
      <c r="AM1155" s="172">
        <v>44.2</v>
      </c>
      <c r="AN1155" s="89"/>
      <c r="AO1155" s="280"/>
      <c r="AP1155" s="783">
        <v>25300</v>
      </c>
      <c r="AQ1155" s="17" t="s">
        <v>271</v>
      </c>
      <c r="AR1155" s="174">
        <v>100</v>
      </c>
      <c r="AS1155" s="171" t="s">
        <v>2571</v>
      </c>
      <c r="AT1155" s="171">
        <v>400</v>
      </c>
      <c r="AU1155" s="255"/>
      <c r="AV1155" s="172">
        <v>40</v>
      </c>
      <c r="AW1155" s="171">
        <v>1</v>
      </c>
      <c r="AX1155" s="89"/>
      <c r="AY1155" s="171">
        <v>30</v>
      </c>
      <c r="AZ1155" s="171">
        <v>0</v>
      </c>
      <c r="BA1155" s="175">
        <v>99</v>
      </c>
      <c r="BB1155" s="259"/>
      <c r="BC1155" s="190"/>
      <c r="BD1155" s="177"/>
      <c r="BE1155" s="177"/>
      <c r="BF1155" s="178" t="s">
        <v>2523</v>
      </c>
    </row>
    <row r="1156" spans="1:58" ht="15" customHeight="1">
      <c r="A1156" s="95">
        <v>1155</v>
      </c>
      <c r="B1156" s="211" t="s">
        <v>1862</v>
      </c>
      <c r="C1156" s="191" t="s">
        <v>1762</v>
      </c>
      <c r="D1156" s="171" t="s">
        <v>1763</v>
      </c>
      <c r="E1156" s="463" t="s">
        <v>3377</v>
      </c>
      <c r="F1156" s="171">
        <v>2007</v>
      </c>
      <c r="G1156" s="171">
        <v>289</v>
      </c>
      <c r="H1156" s="172" t="s">
        <v>1738</v>
      </c>
      <c r="I1156" s="173" t="s">
        <v>1751</v>
      </c>
      <c r="J1156" s="212">
        <v>0.443</v>
      </c>
      <c r="K1156" s="213">
        <v>4.9800000000000004</v>
      </c>
      <c r="L1156" s="91"/>
      <c r="M1156" s="171">
        <v>350</v>
      </c>
      <c r="N1156" s="171"/>
      <c r="O1156" s="172" t="s">
        <v>12</v>
      </c>
      <c r="P1156" s="92"/>
      <c r="Q1156" s="173" t="s">
        <v>11</v>
      </c>
      <c r="R1156" s="89"/>
      <c r="S1156" s="89"/>
      <c r="T1156" s="171"/>
      <c r="U1156" s="171"/>
      <c r="V1156" s="102">
        <v>0</v>
      </c>
      <c r="W1156" s="120">
        <v>20.3</v>
      </c>
      <c r="X1156" s="120">
        <v>0</v>
      </c>
      <c r="Y1156" s="120">
        <v>0</v>
      </c>
      <c r="Z1156" s="120">
        <v>0</v>
      </c>
      <c r="AA1156" s="17">
        <v>0</v>
      </c>
      <c r="AB1156" s="17">
        <v>0</v>
      </c>
      <c r="AC1156" s="17">
        <v>0</v>
      </c>
      <c r="AD1156" s="17">
        <v>0</v>
      </c>
      <c r="AE1156" s="17">
        <v>0</v>
      </c>
      <c r="AF1156" s="17">
        <v>1</v>
      </c>
      <c r="AG1156" s="17">
        <v>0</v>
      </c>
      <c r="AH1156" s="17">
        <v>0</v>
      </c>
      <c r="AI1156" s="17">
        <v>0</v>
      </c>
      <c r="AJ1156" s="17">
        <v>0</v>
      </c>
      <c r="AK1156" s="17">
        <v>0</v>
      </c>
      <c r="AL1156" s="32">
        <v>0</v>
      </c>
      <c r="AM1156" s="172">
        <v>44.2</v>
      </c>
      <c r="AN1156" s="89"/>
      <c r="AO1156" s="280"/>
      <c r="AP1156" s="783">
        <v>25300</v>
      </c>
      <c r="AQ1156" s="17" t="s">
        <v>271</v>
      </c>
      <c r="AR1156" s="174">
        <v>100</v>
      </c>
      <c r="AS1156" s="171" t="s">
        <v>2571</v>
      </c>
      <c r="AT1156" s="171">
        <v>400</v>
      </c>
      <c r="AU1156" s="255"/>
      <c r="AV1156" s="172">
        <v>40</v>
      </c>
      <c r="AW1156" s="171">
        <v>1</v>
      </c>
      <c r="AX1156" s="89"/>
      <c r="AY1156" s="171">
        <v>30</v>
      </c>
      <c r="AZ1156" s="171">
        <v>0</v>
      </c>
      <c r="BA1156" s="175">
        <v>100</v>
      </c>
      <c r="BB1156" s="259"/>
      <c r="BC1156" s="190"/>
      <c r="BD1156" s="177"/>
      <c r="BE1156" s="177"/>
      <c r="BF1156" s="178" t="s">
        <v>2523</v>
      </c>
    </row>
    <row r="1157" spans="1:58" ht="15" customHeight="1">
      <c r="A1157" s="95">
        <v>1156</v>
      </c>
      <c r="B1157" s="211" t="s">
        <v>1863</v>
      </c>
      <c r="C1157" s="191" t="s">
        <v>1762</v>
      </c>
      <c r="D1157" s="171" t="s">
        <v>1763</v>
      </c>
      <c r="E1157" s="463" t="s">
        <v>3377</v>
      </c>
      <c r="F1157" s="171">
        <v>2007</v>
      </c>
      <c r="G1157" s="171">
        <v>289</v>
      </c>
      <c r="H1157" s="172" t="s">
        <v>1738</v>
      </c>
      <c r="I1157" s="173" t="s">
        <v>1743</v>
      </c>
      <c r="J1157" s="212">
        <v>0.443</v>
      </c>
      <c r="K1157" s="213">
        <v>4.9800000000000004</v>
      </c>
      <c r="L1157" s="91"/>
      <c r="M1157" s="171">
        <v>350</v>
      </c>
      <c r="N1157" s="171"/>
      <c r="O1157" s="172" t="s">
        <v>12</v>
      </c>
      <c r="P1157" s="92"/>
      <c r="Q1157" s="173" t="s">
        <v>11</v>
      </c>
      <c r="R1157" s="89"/>
      <c r="S1157" s="89"/>
      <c r="T1157" s="171"/>
      <c r="U1157" s="171"/>
      <c r="V1157" s="102">
        <v>0</v>
      </c>
      <c r="W1157" s="120">
        <v>20.3</v>
      </c>
      <c r="X1157" s="120">
        <v>0</v>
      </c>
      <c r="Y1157" s="120">
        <v>0</v>
      </c>
      <c r="Z1157" s="120">
        <v>0</v>
      </c>
      <c r="AA1157" s="17">
        <v>0</v>
      </c>
      <c r="AB1157" s="17">
        <v>0</v>
      </c>
      <c r="AC1157" s="17">
        <v>0</v>
      </c>
      <c r="AD1157" s="17">
        <v>0</v>
      </c>
      <c r="AE1157" s="17">
        <v>0</v>
      </c>
      <c r="AF1157" s="17">
        <v>1</v>
      </c>
      <c r="AG1157" s="17">
        <v>0</v>
      </c>
      <c r="AH1157" s="17">
        <v>0</v>
      </c>
      <c r="AI1157" s="17">
        <v>0</v>
      </c>
      <c r="AJ1157" s="17">
        <v>0</v>
      </c>
      <c r="AK1157" s="17">
        <v>0</v>
      </c>
      <c r="AL1157" s="32">
        <v>0</v>
      </c>
      <c r="AM1157" s="172">
        <v>44.2</v>
      </c>
      <c r="AN1157" s="89"/>
      <c r="AO1157" s="280"/>
      <c r="AP1157" s="783">
        <v>25300</v>
      </c>
      <c r="AQ1157" s="17" t="s">
        <v>271</v>
      </c>
      <c r="AR1157" s="174">
        <v>100</v>
      </c>
      <c r="AS1157" s="171" t="s">
        <v>2571</v>
      </c>
      <c r="AT1157" s="171">
        <v>400</v>
      </c>
      <c r="AU1157" s="255"/>
      <c r="AV1157" s="172">
        <v>40</v>
      </c>
      <c r="AW1157" s="171">
        <v>1</v>
      </c>
      <c r="AX1157" s="89"/>
      <c r="AY1157" s="171">
        <v>30</v>
      </c>
      <c r="AZ1157" s="171">
        <v>0</v>
      </c>
      <c r="BA1157" s="175">
        <v>100</v>
      </c>
      <c r="BB1157" s="259"/>
      <c r="BC1157" s="190"/>
      <c r="BD1157" s="177"/>
      <c r="BE1157" s="177"/>
      <c r="BF1157" s="178" t="s">
        <v>2523</v>
      </c>
    </row>
    <row r="1158" spans="1:58">
      <c r="A1158" s="95">
        <v>1157</v>
      </c>
      <c r="B1158" s="211" t="s">
        <v>1864</v>
      </c>
      <c r="C1158" s="191" t="s">
        <v>1762</v>
      </c>
      <c r="D1158" s="171" t="s">
        <v>1763</v>
      </c>
      <c r="E1158" s="463" t="s">
        <v>3377</v>
      </c>
      <c r="F1158" s="171">
        <v>2007</v>
      </c>
      <c r="G1158" s="171">
        <v>289</v>
      </c>
      <c r="H1158" s="172" t="s">
        <v>1738</v>
      </c>
      <c r="I1158" s="173" t="s">
        <v>1752</v>
      </c>
      <c r="J1158" s="212">
        <v>0.505</v>
      </c>
      <c r="K1158" s="213">
        <v>5.69</v>
      </c>
      <c r="L1158" s="91"/>
      <c r="M1158" s="171">
        <v>307</v>
      </c>
      <c r="N1158" s="171"/>
      <c r="O1158" s="172" t="s">
        <v>12</v>
      </c>
      <c r="P1158" s="92"/>
      <c r="Q1158" s="173" t="s">
        <v>11</v>
      </c>
      <c r="R1158" s="89"/>
      <c r="S1158" s="89"/>
      <c r="T1158" s="171"/>
      <c r="U1158" s="171"/>
      <c r="V1158" s="102">
        <v>0</v>
      </c>
      <c r="W1158" s="120">
        <v>31.4</v>
      </c>
      <c r="X1158" s="120">
        <v>0</v>
      </c>
      <c r="Y1158" s="120">
        <v>0</v>
      </c>
      <c r="Z1158" s="120">
        <v>0</v>
      </c>
      <c r="AA1158" s="17">
        <v>0</v>
      </c>
      <c r="AB1158" s="17">
        <v>0</v>
      </c>
      <c r="AC1158" s="17">
        <v>0</v>
      </c>
      <c r="AD1158" s="17">
        <v>0</v>
      </c>
      <c r="AE1158" s="17">
        <v>0</v>
      </c>
      <c r="AF1158" s="17">
        <v>1</v>
      </c>
      <c r="AG1158" s="17">
        <v>0</v>
      </c>
      <c r="AH1158" s="17">
        <v>0</v>
      </c>
      <c r="AI1158" s="17">
        <v>0</v>
      </c>
      <c r="AJ1158" s="17">
        <v>0</v>
      </c>
      <c r="AK1158" s="17">
        <v>0</v>
      </c>
      <c r="AL1158" s="32">
        <v>0</v>
      </c>
      <c r="AM1158" s="172">
        <v>40.299999999999997</v>
      </c>
      <c r="AN1158" s="89"/>
      <c r="AO1158" s="280"/>
      <c r="AP1158" s="783">
        <v>25700</v>
      </c>
      <c r="AQ1158" s="17" t="s">
        <v>271</v>
      </c>
      <c r="AR1158" s="174">
        <v>100</v>
      </c>
      <c r="AS1158" s="171" t="s">
        <v>2571</v>
      </c>
      <c r="AT1158" s="171">
        <v>400</v>
      </c>
      <c r="AU1158" s="255"/>
      <c r="AV1158" s="172">
        <v>40</v>
      </c>
      <c r="AW1158" s="171">
        <v>1</v>
      </c>
      <c r="AX1158" s="89"/>
      <c r="AY1158" s="171">
        <v>30</v>
      </c>
      <c r="AZ1158" s="171">
        <v>0</v>
      </c>
      <c r="BA1158" s="175">
        <v>99</v>
      </c>
      <c r="BB1158" s="259"/>
      <c r="BC1158" s="190"/>
      <c r="BD1158" s="177"/>
      <c r="BE1158" s="177"/>
      <c r="BF1158" s="178" t="s">
        <v>2523</v>
      </c>
    </row>
    <row r="1159" spans="1:58" ht="15" customHeight="1">
      <c r="A1159" s="95">
        <v>1158</v>
      </c>
      <c r="B1159" s="211" t="s">
        <v>1865</v>
      </c>
      <c r="C1159" s="191" t="s">
        <v>1762</v>
      </c>
      <c r="D1159" s="171" t="s">
        <v>1763</v>
      </c>
      <c r="E1159" s="463" t="s">
        <v>3377</v>
      </c>
      <c r="F1159" s="171">
        <v>2007</v>
      </c>
      <c r="G1159" s="171">
        <v>289</v>
      </c>
      <c r="H1159" s="172" t="s">
        <v>1738</v>
      </c>
      <c r="I1159" s="173" t="s">
        <v>1751</v>
      </c>
      <c r="J1159" s="212">
        <v>0.505</v>
      </c>
      <c r="K1159" s="213">
        <v>5.69</v>
      </c>
      <c r="L1159" s="91"/>
      <c r="M1159" s="171">
        <v>307</v>
      </c>
      <c r="N1159" s="171"/>
      <c r="O1159" s="172" t="s">
        <v>12</v>
      </c>
      <c r="P1159" s="92"/>
      <c r="Q1159" s="173" t="s">
        <v>11</v>
      </c>
      <c r="R1159" s="89"/>
      <c r="S1159" s="89"/>
      <c r="T1159" s="171"/>
      <c r="U1159" s="171"/>
      <c r="V1159" s="102">
        <v>0</v>
      </c>
      <c r="W1159" s="120">
        <v>31.4</v>
      </c>
      <c r="X1159" s="120">
        <v>0</v>
      </c>
      <c r="Y1159" s="120">
        <v>0</v>
      </c>
      <c r="Z1159" s="120">
        <v>0</v>
      </c>
      <c r="AA1159" s="17">
        <v>0</v>
      </c>
      <c r="AB1159" s="17">
        <v>0</v>
      </c>
      <c r="AC1159" s="17">
        <v>0</v>
      </c>
      <c r="AD1159" s="17">
        <v>0</v>
      </c>
      <c r="AE1159" s="17">
        <v>0</v>
      </c>
      <c r="AF1159" s="17">
        <v>1</v>
      </c>
      <c r="AG1159" s="17">
        <v>0</v>
      </c>
      <c r="AH1159" s="17">
        <v>0</v>
      </c>
      <c r="AI1159" s="17">
        <v>0</v>
      </c>
      <c r="AJ1159" s="17">
        <v>0</v>
      </c>
      <c r="AK1159" s="17">
        <v>0</v>
      </c>
      <c r="AL1159" s="32">
        <v>0</v>
      </c>
      <c r="AM1159" s="172">
        <v>40.299999999999997</v>
      </c>
      <c r="AN1159" s="89"/>
      <c r="AO1159" s="280"/>
      <c r="AP1159" s="783">
        <v>25700</v>
      </c>
      <c r="AQ1159" s="17" t="s">
        <v>271</v>
      </c>
      <c r="AR1159" s="174">
        <v>100</v>
      </c>
      <c r="AS1159" s="171" t="s">
        <v>2571</v>
      </c>
      <c r="AT1159" s="171">
        <v>400</v>
      </c>
      <c r="AU1159" s="255"/>
      <c r="AV1159" s="172">
        <v>40</v>
      </c>
      <c r="AW1159" s="171">
        <v>1</v>
      </c>
      <c r="AX1159" s="89"/>
      <c r="AY1159" s="171">
        <v>30</v>
      </c>
      <c r="AZ1159" s="171">
        <v>0</v>
      </c>
      <c r="BA1159" s="175">
        <v>100</v>
      </c>
      <c r="BB1159" s="259"/>
      <c r="BC1159" s="190"/>
      <c r="BD1159" s="177"/>
      <c r="BE1159" s="177"/>
      <c r="BF1159" s="178" t="s">
        <v>2523</v>
      </c>
    </row>
    <row r="1160" spans="1:58" ht="15" customHeight="1">
      <c r="A1160" s="95">
        <v>1159</v>
      </c>
      <c r="B1160" s="211" t="s">
        <v>1866</v>
      </c>
      <c r="C1160" s="191" t="s">
        <v>1762</v>
      </c>
      <c r="D1160" s="171" t="s">
        <v>1763</v>
      </c>
      <c r="E1160" s="463" t="s">
        <v>3377</v>
      </c>
      <c r="F1160" s="171">
        <v>2007</v>
      </c>
      <c r="G1160" s="171">
        <v>289</v>
      </c>
      <c r="H1160" s="172" t="s">
        <v>1738</v>
      </c>
      <c r="I1160" s="173" t="s">
        <v>1743</v>
      </c>
      <c r="J1160" s="212">
        <v>0.505</v>
      </c>
      <c r="K1160" s="213">
        <v>5.69</v>
      </c>
      <c r="L1160" s="91"/>
      <c r="M1160" s="171">
        <v>307</v>
      </c>
      <c r="N1160" s="171"/>
      <c r="O1160" s="172" t="s">
        <v>12</v>
      </c>
      <c r="P1160" s="92"/>
      <c r="Q1160" s="173" t="s">
        <v>11</v>
      </c>
      <c r="R1160" s="89"/>
      <c r="S1160" s="89"/>
      <c r="T1160" s="171"/>
      <c r="U1160" s="171"/>
      <c r="V1160" s="102">
        <v>0</v>
      </c>
      <c r="W1160" s="120">
        <v>31.4</v>
      </c>
      <c r="X1160" s="120">
        <v>0</v>
      </c>
      <c r="Y1160" s="120">
        <v>0</v>
      </c>
      <c r="Z1160" s="120">
        <v>0</v>
      </c>
      <c r="AA1160" s="17">
        <v>0</v>
      </c>
      <c r="AB1160" s="17">
        <v>0</v>
      </c>
      <c r="AC1160" s="17">
        <v>0</v>
      </c>
      <c r="AD1160" s="17">
        <v>0</v>
      </c>
      <c r="AE1160" s="17">
        <v>0</v>
      </c>
      <c r="AF1160" s="17">
        <v>1</v>
      </c>
      <c r="AG1160" s="17">
        <v>0</v>
      </c>
      <c r="AH1160" s="17">
        <v>0</v>
      </c>
      <c r="AI1160" s="17">
        <v>0</v>
      </c>
      <c r="AJ1160" s="17">
        <v>0</v>
      </c>
      <c r="AK1160" s="17">
        <v>0</v>
      </c>
      <c r="AL1160" s="32">
        <v>0</v>
      </c>
      <c r="AM1160" s="172">
        <v>40.299999999999997</v>
      </c>
      <c r="AN1160" s="89"/>
      <c r="AO1160" s="280"/>
      <c r="AP1160" s="783">
        <v>25700</v>
      </c>
      <c r="AQ1160" s="17" t="s">
        <v>271</v>
      </c>
      <c r="AR1160" s="174">
        <v>100</v>
      </c>
      <c r="AS1160" s="171" t="s">
        <v>2571</v>
      </c>
      <c r="AT1160" s="171">
        <v>400</v>
      </c>
      <c r="AU1160" s="255"/>
      <c r="AV1160" s="172">
        <v>40</v>
      </c>
      <c r="AW1160" s="171">
        <v>1</v>
      </c>
      <c r="AX1160" s="89"/>
      <c r="AY1160" s="171">
        <v>30</v>
      </c>
      <c r="AZ1160" s="171">
        <v>0</v>
      </c>
      <c r="BA1160" s="175">
        <v>100</v>
      </c>
      <c r="BB1160" s="259"/>
      <c r="BC1160" s="190"/>
      <c r="BD1160" s="177"/>
      <c r="BE1160" s="177"/>
      <c r="BF1160" s="178" t="s">
        <v>2523</v>
      </c>
    </row>
    <row r="1161" spans="1:58">
      <c r="A1161" s="95">
        <v>1160</v>
      </c>
      <c r="B1161" s="211" t="s">
        <v>1867</v>
      </c>
      <c r="C1161" s="191" t="s">
        <v>1762</v>
      </c>
      <c r="D1161" s="171" t="s">
        <v>1763</v>
      </c>
      <c r="E1161" s="463" t="s">
        <v>3377</v>
      </c>
      <c r="F1161" s="171">
        <v>2007</v>
      </c>
      <c r="G1161" s="171">
        <v>289</v>
      </c>
      <c r="H1161" s="172" t="s">
        <v>1738</v>
      </c>
      <c r="I1161" s="173" t="s">
        <v>1752</v>
      </c>
      <c r="J1161" s="212">
        <v>0.49199999999999999</v>
      </c>
      <c r="K1161" s="213">
        <v>5.53</v>
      </c>
      <c r="L1161" s="91"/>
      <c r="M1161" s="171">
        <v>315</v>
      </c>
      <c r="N1161" s="171"/>
      <c r="O1161" s="172" t="s">
        <v>12</v>
      </c>
      <c r="P1161" s="92"/>
      <c r="Q1161" s="173" t="s">
        <v>11</v>
      </c>
      <c r="R1161" s="89"/>
      <c r="S1161" s="89"/>
      <c r="T1161" s="171"/>
      <c r="U1161" s="171"/>
      <c r="V1161" s="102">
        <v>7.6</v>
      </c>
      <c r="W1161" s="120">
        <v>20.3</v>
      </c>
      <c r="X1161" s="120">
        <v>0</v>
      </c>
      <c r="Y1161" s="120">
        <v>0</v>
      </c>
      <c r="Z1161" s="120">
        <v>0</v>
      </c>
      <c r="AA1161" s="17">
        <v>0</v>
      </c>
      <c r="AB1161" s="17">
        <v>0</v>
      </c>
      <c r="AC1161" s="17">
        <v>0</v>
      </c>
      <c r="AD1161" s="17">
        <v>0</v>
      </c>
      <c r="AE1161" s="17">
        <v>0</v>
      </c>
      <c r="AF1161" s="17">
        <v>1</v>
      </c>
      <c r="AG1161" s="17">
        <v>0</v>
      </c>
      <c r="AH1161" s="17">
        <v>0</v>
      </c>
      <c r="AI1161" s="17">
        <v>0</v>
      </c>
      <c r="AJ1161" s="17">
        <v>0</v>
      </c>
      <c r="AK1161" s="17">
        <v>0</v>
      </c>
      <c r="AL1161" s="32">
        <v>0</v>
      </c>
      <c r="AM1161" s="172">
        <v>41.2</v>
      </c>
      <c r="AN1161" s="89"/>
      <c r="AO1161" s="280"/>
      <c r="AP1161" s="783">
        <v>24100</v>
      </c>
      <c r="AQ1161" s="17" t="s">
        <v>271</v>
      </c>
      <c r="AR1161" s="174">
        <v>100</v>
      </c>
      <c r="AS1161" s="171" t="s">
        <v>2571</v>
      </c>
      <c r="AT1161" s="171">
        <v>400</v>
      </c>
      <c r="AU1161" s="255"/>
      <c r="AV1161" s="172">
        <v>40</v>
      </c>
      <c r="AW1161" s="171">
        <v>1</v>
      </c>
      <c r="AX1161" s="89"/>
      <c r="AY1161" s="171">
        <v>30</v>
      </c>
      <c r="AZ1161" s="171">
        <v>0</v>
      </c>
      <c r="BA1161" s="175">
        <v>99</v>
      </c>
      <c r="BB1161" s="259"/>
      <c r="BC1161" s="190"/>
      <c r="BD1161" s="177"/>
      <c r="BE1161" s="177"/>
      <c r="BF1161" s="178" t="s">
        <v>2523</v>
      </c>
    </row>
    <row r="1162" spans="1:58" ht="15" customHeight="1">
      <c r="A1162" s="95">
        <v>1161</v>
      </c>
      <c r="B1162" s="211" t="s">
        <v>1868</v>
      </c>
      <c r="C1162" s="191" t="s">
        <v>1762</v>
      </c>
      <c r="D1162" s="171" t="s">
        <v>1763</v>
      </c>
      <c r="E1162" s="463" t="s">
        <v>3377</v>
      </c>
      <c r="F1162" s="171">
        <v>2007</v>
      </c>
      <c r="G1162" s="171">
        <v>289</v>
      </c>
      <c r="H1162" s="172" t="s">
        <v>1738</v>
      </c>
      <c r="I1162" s="173" t="s">
        <v>1751</v>
      </c>
      <c r="J1162" s="212">
        <v>0.49199999999999999</v>
      </c>
      <c r="K1162" s="213">
        <v>5.53</v>
      </c>
      <c r="L1162" s="91"/>
      <c r="M1162" s="171">
        <v>315</v>
      </c>
      <c r="N1162" s="171"/>
      <c r="O1162" s="172" t="s">
        <v>12</v>
      </c>
      <c r="P1162" s="92"/>
      <c r="Q1162" s="173" t="s">
        <v>11</v>
      </c>
      <c r="R1162" s="89"/>
      <c r="S1162" s="89"/>
      <c r="T1162" s="171"/>
      <c r="U1162" s="171"/>
      <c r="V1162" s="102">
        <v>7.6</v>
      </c>
      <c r="W1162" s="120">
        <v>20.3</v>
      </c>
      <c r="X1162" s="120">
        <v>0</v>
      </c>
      <c r="Y1162" s="120">
        <v>0</v>
      </c>
      <c r="Z1162" s="120">
        <v>0</v>
      </c>
      <c r="AA1162" s="17">
        <v>0</v>
      </c>
      <c r="AB1162" s="17">
        <v>0</v>
      </c>
      <c r="AC1162" s="17">
        <v>0</v>
      </c>
      <c r="AD1162" s="17">
        <v>0</v>
      </c>
      <c r="AE1162" s="17">
        <v>0</v>
      </c>
      <c r="AF1162" s="17">
        <v>1</v>
      </c>
      <c r="AG1162" s="17">
        <v>0</v>
      </c>
      <c r="AH1162" s="17">
        <v>0</v>
      </c>
      <c r="AI1162" s="17">
        <v>0</v>
      </c>
      <c r="AJ1162" s="17">
        <v>0</v>
      </c>
      <c r="AK1162" s="17">
        <v>0</v>
      </c>
      <c r="AL1162" s="32">
        <v>0</v>
      </c>
      <c r="AM1162" s="172">
        <v>41.2</v>
      </c>
      <c r="AN1162" s="89"/>
      <c r="AO1162" s="280"/>
      <c r="AP1162" s="783">
        <v>24100</v>
      </c>
      <c r="AQ1162" s="17" t="s">
        <v>271</v>
      </c>
      <c r="AR1162" s="174">
        <v>100</v>
      </c>
      <c r="AS1162" s="171" t="s">
        <v>2571</v>
      </c>
      <c r="AT1162" s="171">
        <v>400</v>
      </c>
      <c r="AU1162" s="255"/>
      <c r="AV1162" s="172">
        <v>40</v>
      </c>
      <c r="AW1162" s="171">
        <v>1</v>
      </c>
      <c r="AX1162" s="89"/>
      <c r="AY1162" s="171">
        <v>30</v>
      </c>
      <c r="AZ1162" s="171">
        <v>0</v>
      </c>
      <c r="BA1162" s="175">
        <v>100</v>
      </c>
      <c r="BB1162" s="259"/>
      <c r="BC1162" s="190"/>
      <c r="BD1162" s="177"/>
      <c r="BE1162" s="177"/>
      <c r="BF1162" s="178" t="s">
        <v>2523</v>
      </c>
    </row>
    <row r="1163" spans="1:58" ht="15" customHeight="1">
      <c r="A1163" s="95">
        <v>1162</v>
      </c>
      <c r="B1163" s="211" t="s">
        <v>1869</v>
      </c>
      <c r="C1163" s="191" t="s">
        <v>1762</v>
      </c>
      <c r="D1163" s="171" t="s">
        <v>1763</v>
      </c>
      <c r="E1163" s="463" t="s">
        <v>3377</v>
      </c>
      <c r="F1163" s="171">
        <v>2007</v>
      </c>
      <c r="G1163" s="171">
        <v>289</v>
      </c>
      <c r="H1163" s="172" t="s">
        <v>1738</v>
      </c>
      <c r="I1163" s="173" t="s">
        <v>1743</v>
      </c>
      <c r="J1163" s="212">
        <v>0.49199999999999999</v>
      </c>
      <c r="K1163" s="213">
        <v>5.53</v>
      </c>
      <c r="L1163" s="91"/>
      <c r="M1163" s="171">
        <v>315</v>
      </c>
      <c r="N1163" s="171"/>
      <c r="O1163" s="172" t="s">
        <v>12</v>
      </c>
      <c r="P1163" s="92"/>
      <c r="Q1163" s="173" t="s">
        <v>11</v>
      </c>
      <c r="R1163" s="89"/>
      <c r="S1163" s="89"/>
      <c r="T1163" s="171"/>
      <c r="U1163" s="171"/>
      <c r="V1163" s="102">
        <v>7.6</v>
      </c>
      <c r="W1163" s="120">
        <v>20.3</v>
      </c>
      <c r="X1163" s="120">
        <v>0</v>
      </c>
      <c r="Y1163" s="120">
        <v>0</v>
      </c>
      <c r="Z1163" s="120">
        <v>0</v>
      </c>
      <c r="AA1163" s="17">
        <v>0</v>
      </c>
      <c r="AB1163" s="17">
        <v>0</v>
      </c>
      <c r="AC1163" s="17">
        <v>0</v>
      </c>
      <c r="AD1163" s="17">
        <v>0</v>
      </c>
      <c r="AE1163" s="17">
        <v>0</v>
      </c>
      <c r="AF1163" s="17">
        <v>1</v>
      </c>
      <c r="AG1163" s="17">
        <v>0</v>
      </c>
      <c r="AH1163" s="17">
        <v>0</v>
      </c>
      <c r="AI1163" s="17">
        <v>0</v>
      </c>
      <c r="AJ1163" s="17">
        <v>0</v>
      </c>
      <c r="AK1163" s="17">
        <v>0</v>
      </c>
      <c r="AL1163" s="32">
        <v>0</v>
      </c>
      <c r="AM1163" s="172">
        <v>41.2</v>
      </c>
      <c r="AN1163" s="89"/>
      <c r="AO1163" s="280"/>
      <c r="AP1163" s="783">
        <v>24100</v>
      </c>
      <c r="AQ1163" s="17" t="s">
        <v>271</v>
      </c>
      <c r="AR1163" s="174">
        <v>100</v>
      </c>
      <c r="AS1163" s="171" t="s">
        <v>2571</v>
      </c>
      <c r="AT1163" s="171">
        <v>400</v>
      </c>
      <c r="AU1163" s="255"/>
      <c r="AV1163" s="172">
        <v>40</v>
      </c>
      <c r="AW1163" s="171">
        <v>1</v>
      </c>
      <c r="AX1163" s="89"/>
      <c r="AY1163" s="171">
        <v>30</v>
      </c>
      <c r="AZ1163" s="171">
        <v>0</v>
      </c>
      <c r="BA1163" s="175">
        <v>100</v>
      </c>
      <c r="BB1163" s="259"/>
      <c r="BC1163" s="190"/>
      <c r="BD1163" s="177"/>
      <c r="BE1163" s="177"/>
      <c r="BF1163" s="178" t="s">
        <v>2523</v>
      </c>
    </row>
    <row r="1164" spans="1:58" ht="15" customHeight="1">
      <c r="A1164" s="95">
        <v>1163</v>
      </c>
      <c r="B1164" s="211" t="s">
        <v>277</v>
      </c>
      <c r="C1164" s="191" t="s">
        <v>424</v>
      </c>
      <c r="D1164" s="171" t="s">
        <v>442</v>
      </c>
      <c r="E1164" s="463" t="s">
        <v>3377</v>
      </c>
      <c r="F1164" s="171">
        <v>1994</v>
      </c>
      <c r="G1164" s="171">
        <v>290</v>
      </c>
      <c r="H1164" s="172" t="s">
        <v>1738</v>
      </c>
      <c r="I1164" s="173" t="s">
        <v>1743</v>
      </c>
      <c r="J1164" s="212">
        <v>0.38900000000000001</v>
      </c>
      <c r="K1164" s="213">
        <v>4.05</v>
      </c>
      <c r="L1164" s="91"/>
      <c r="M1164" s="171">
        <v>450</v>
      </c>
      <c r="N1164" s="171"/>
      <c r="O1164" s="172" t="s">
        <v>12</v>
      </c>
      <c r="P1164" s="92"/>
      <c r="Q1164" s="173" t="s">
        <v>11</v>
      </c>
      <c r="R1164" s="512" t="s">
        <v>2729</v>
      </c>
      <c r="S1164" s="89"/>
      <c r="T1164" s="214" t="s">
        <v>2306</v>
      </c>
      <c r="U1164" s="214" t="s">
        <v>2307</v>
      </c>
      <c r="V1164" s="102">
        <v>0</v>
      </c>
      <c r="W1164" s="120">
        <v>0</v>
      </c>
      <c r="X1164" s="120">
        <v>0</v>
      </c>
      <c r="Y1164" s="120">
        <v>0</v>
      </c>
      <c r="Z1164" s="120">
        <v>0</v>
      </c>
      <c r="AA1164" s="17">
        <v>0</v>
      </c>
      <c r="AB1164" s="17">
        <v>0</v>
      </c>
      <c r="AC1164" s="17">
        <v>0</v>
      </c>
      <c r="AD1164" s="17">
        <v>0</v>
      </c>
      <c r="AE1164" s="17">
        <v>0</v>
      </c>
      <c r="AF1164" s="17">
        <v>0.6</v>
      </c>
      <c r="AG1164" s="17">
        <v>0</v>
      </c>
      <c r="AH1164" s="17">
        <v>0</v>
      </c>
      <c r="AI1164" s="17">
        <v>0</v>
      </c>
      <c r="AJ1164" s="17">
        <v>0</v>
      </c>
      <c r="AK1164" s="17">
        <v>0</v>
      </c>
      <c r="AL1164" s="32">
        <v>0</v>
      </c>
      <c r="AM1164" s="172">
        <v>71.2</v>
      </c>
      <c r="AN1164" s="89"/>
      <c r="AO1164" s="280"/>
      <c r="AP1164" s="784"/>
      <c r="AQ1164" s="17" t="s">
        <v>270</v>
      </c>
      <c r="AR1164" s="174">
        <v>100</v>
      </c>
      <c r="AS1164" s="171"/>
      <c r="AT1164" s="171">
        <v>500</v>
      </c>
      <c r="AU1164" s="255">
        <f>IF(ISBLANK(AS1164),(AR1164*AT1164)/((4*AT1164)+(2*AR1164)),AR1164*AS1164*AT1164/2/(AR1164*AS1164+AR1164*AT1164+AS1164*AT1164))</f>
        <v>22.727272727272727</v>
      </c>
      <c r="AV1164" s="172">
        <v>100</v>
      </c>
      <c r="AW1164" s="171">
        <v>3</v>
      </c>
      <c r="AX1164" s="89"/>
      <c r="AY1164" s="171">
        <v>23</v>
      </c>
      <c r="AZ1164" s="171">
        <v>0</v>
      </c>
      <c r="BA1164" s="175">
        <v>68</v>
      </c>
      <c r="BB1164" s="259"/>
      <c r="BC1164" s="190"/>
      <c r="BD1164" s="177"/>
      <c r="BE1164" s="177"/>
      <c r="BF1164" s="178" t="s">
        <v>539</v>
      </c>
    </row>
    <row r="1165" spans="1:58" ht="15" customHeight="1">
      <c r="A1165" s="95">
        <v>1164</v>
      </c>
      <c r="B1165" s="211" t="s">
        <v>278</v>
      </c>
      <c r="C1165" s="191" t="s">
        <v>424</v>
      </c>
      <c r="D1165" s="171" t="s">
        <v>442</v>
      </c>
      <c r="E1165" s="463" t="s">
        <v>3377</v>
      </c>
      <c r="F1165" s="171">
        <v>1994</v>
      </c>
      <c r="G1165" s="171">
        <v>290</v>
      </c>
      <c r="H1165" s="172" t="s">
        <v>1738</v>
      </c>
      <c r="I1165" s="173" t="s">
        <v>1743</v>
      </c>
      <c r="J1165" s="212">
        <v>0.42199999999999999</v>
      </c>
      <c r="K1165" s="213">
        <v>4.47</v>
      </c>
      <c r="L1165" s="91"/>
      <c r="M1165" s="171">
        <v>405</v>
      </c>
      <c r="N1165" s="171"/>
      <c r="O1165" s="172" t="s">
        <v>12</v>
      </c>
      <c r="P1165" s="92"/>
      <c r="Q1165" s="173" t="s">
        <v>11</v>
      </c>
      <c r="R1165" s="512" t="s">
        <v>2729</v>
      </c>
      <c r="S1165" s="89"/>
      <c r="T1165" s="214" t="s">
        <v>2306</v>
      </c>
      <c r="U1165" s="214" t="s">
        <v>2307</v>
      </c>
      <c r="V1165" s="102">
        <v>11.1</v>
      </c>
      <c r="W1165" s="120">
        <v>0</v>
      </c>
      <c r="X1165" s="120">
        <v>0</v>
      </c>
      <c r="Y1165" s="120">
        <v>0</v>
      </c>
      <c r="Z1165" s="120">
        <v>0</v>
      </c>
      <c r="AA1165" s="17">
        <v>0</v>
      </c>
      <c r="AB1165" s="17">
        <v>0</v>
      </c>
      <c r="AC1165" s="17">
        <v>0</v>
      </c>
      <c r="AD1165" s="17">
        <v>0</v>
      </c>
      <c r="AE1165" s="17">
        <v>0</v>
      </c>
      <c r="AF1165" s="17">
        <v>0.8</v>
      </c>
      <c r="AG1165" s="17">
        <v>0</v>
      </c>
      <c r="AH1165" s="17">
        <v>0</v>
      </c>
      <c r="AI1165" s="17">
        <v>0</v>
      </c>
      <c r="AJ1165" s="17">
        <v>0</v>
      </c>
      <c r="AK1165" s="17">
        <v>0</v>
      </c>
      <c r="AL1165" s="32">
        <v>0</v>
      </c>
      <c r="AM1165" s="172">
        <v>84.2</v>
      </c>
      <c r="AN1165" s="89"/>
      <c r="AO1165" s="280"/>
      <c r="AP1165" s="784"/>
      <c r="AQ1165" s="17" t="s">
        <v>270</v>
      </c>
      <c r="AR1165" s="174">
        <v>100</v>
      </c>
      <c r="AS1165" s="171"/>
      <c r="AT1165" s="171">
        <v>500</v>
      </c>
      <c r="AU1165" s="255">
        <f>IF(ISBLANK(AS1165),(AR1165*AT1165)/((4*AT1165)+(2*AR1165)),AR1165*AS1165*AT1165/2/(AR1165*AS1165+AR1165*AT1165+AS1165*AT1165))</f>
        <v>22.727272727272727</v>
      </c>
      <c r="AV1165" s="172">
        <v>100</v>
      </c>
      <c r="AW1165" s="171">
        <v>3</v>
      </c>
      <c r="AX1165" s="89"/>
      <c r="AY1165" s="171">
        <v>23</v>
      </c>
      <c r="AZ1165" s="171">
        <v>0</v>
      </c>
      <c r="BA1165" s="175">
        <v>68</v>
      </c>
      <c r="BB1165" s="259"/>
      <c r="BC1165" s="190"/>
      <c r="BD1165" s="177"/>
      <c r="BE1165" s="177"/>
      <c r="BF1165" s="178" t="s">
        <v>539</v>
      </c>
    </row>
    <row r="1166" spans="1:58" ht="15" customHeight="1">
      <c r="A1166" s="95">
        <v>1165</v>
      </c>
      <c r="B1166" s="211" t="s">
        <v>279</v>
      </c>
      <c r="C1166" s="191" t="s">
        <v>425</v>
      </c>
      <c r="D1166" s="171" t="s">
        <v>443</v>
      </c>
      <c r="E1166" s="463" t="s">
        <v>3377</v>
      </c>
      <c r="F1166" s="171">
        <v>1980</v>
      </c>
      <c r="G1166" s="171">
        <v>291</v>
      </c>
      <c r="H1166" s="172" t="s">
        <v>1811</v>
      </c>
      <c r="I1166" s="173" t="s">
        <v>1751</v>
      </c>
      <c r="J1166" s="212">
        <v>0.29799999999999999</v>
      </c>
      <c r="K1166" s="213">
        <v>2.99</v>
      </c>
      <c r="L1166" s="91"/>
      <c r="M1166" s="171">
        <v>570</v>
      </c>
      <c r="N1166" s="171"/>
      <c r="O1166" s="172" t="s">
        <v>12</v>
      </c>
      <c r="P1166" s="92"/>
      <c r="Q1166" s="173" t="s">
        <v>11</v>
      </c>
      <c r="R1166" s="506" t="s">
        <v>2308</v>
      </c>
      <c r="S1166" s="89"/>
      <c r="T1166" s="214" t="s">
        <v>2306</v>
      </c>
      <c r="U1166" s="214" t="s">
        <v>2308</v>
      </c>
      <c r="V1166" s="102">
        <v>0</v>
      </c>
      <c r="W1166" s="120">
        <v>0</v>
      </c>
      <c r="X1166" s="120">
        <v>0</v>
      </c>
      <c r="Y1166" s="120">
        <v>0</v>
      </c>
      <c r="Z1166" s="120">
        <v>0</v>
      </c>
      <c r="AA1166" s="17">
        <v>0</v>
      </c>
      <c r="AB1166" s="17">
        <v>0</v>
      </c>
      <c r="AC1166" s="17">
        <v>0</v>
      </c>
      <c r="AD1166" s="17">
        <v>0</v>
      </c>
      <c r="AE1166" s="17">
        <v>0</v>
      </c>
      <c r="AF1166" s="17">
        <v>0</v>
      </c>
      <c r="AG1166" s="17">
        <v>0</v>
      </c>
      <c r="AH1166" s="17">
        <v>0</v>
      </c>
      <c r="AI1166" s="17">
        <v>0</v>
      </c>
      <c r="AJ1166" s="17">
        <v>0</v>
      </c>
      <c r="AK1166" s="17">
        <v>0</v>
      </c>
      <c r="AL1166" s="32">
        <v>0</v>
      </c>
      <c r="AM1166" s="172">
        <v>64.900000000000006</v>
      </c>
      <c r="AN1166" s="89"/>
      <c r="AO1166" s="280"/>
      <c r="AP1166" s="783">
        <v>37000</v>
      </c>
      <c r="AQ1166" s="17" t="s">
        <v>127</v>
      </c>
      <c r="AR1166" s="174">
        <v>75</v>
      </c>
      <c r="AS1166" s="171"/>
      <c r="AT1166" s="171">
        <v>300</v>
      </c>
      <c r="AU1166" s="255">
        <f>(AR1166*AT1166)/((2*AT1166)+(2*AR1166))</f>
        <v>30</v>
      </c>
      <c r="AV1166" s="172">
        <v>99</v>
      </c>
      <c r="AW1166" s="171">
        <v>8</v>
      </c>
      <c r="AX1166" s="89"/>
      <c r="AY1166" s="171">
        <v>23</v>
      </c>
      <c r="AZ1166" s="171">
        <v>0</v>
      </c>
      <c r="BA1166" s="175">
        <v>50</v>
      </c>
      <c r="BB1166" s="189" t="s">
        <v>2996</v>
      </c>
      <c r="BC1166" s="190"/>
      <c r="BD1166" s="177"/>
      <c r="BE1166" s="177"/>
      <c r="BF1166" s="178" t="s">
        <v>540</v>
      </c>
    </row>
    <row r="1167" spans="1:58" ht="15" customHeight="1">
      <c r="A1167" s="95">
        <v>1166</v>
      </c>
      <c r="B1167" s="211" t="s">
        <v>280</v>
      </c>
      <c r="C1167" s="191" t="s">
        <v>425</v>
      </c>
      <c r="D1167" s="171" t="s">
        <v>443</v>
      </c>
      <c r="E1167" s="463" t="s">
        <v>3377</v>
      </c>
      <c r="F1167" s="171">
        <v>1980</v>
      </c>
      <c r="G1167" s="171">
        <v>291</v>
      </c>
      <c r="H1167" s="172" t="s">
        <v>1811</v>
      </c>
      <c r="I1167" s="173" t="s">
        <v>1751</v>
      </c>
      <c r="J1167" s="212">
        <v>0.29799999999999999</v>
      </c>
      <c r="K1167" s="213">
        <v>2.99</v>
      </c>
      <c r="L1167" s="91"/>
      <c r="M1167" s="171">
        <v>570</v>
      </c>
      <c r="N1167" s="171"/>
      <c r="O1167" s="172" t="s">
        <v>12</v>
      </c>
      <c r="P1167" s="92"/>
      <c r="Q1167" s="173" t="s">
        <v>11</v>
      </c>
      <c r="R1167" s="506" t="s">
        <v>2308</v>
      </c>
      <c r="S1167" s="89"/>
      <c r="T1167" s="214" t="s">
        <v>2306</v>
      </c>
      <c r="U1167" s="214" t="s">
        <v>2308</v>
      </c>
      <c r="V1167" s="102">
        <v>0</v>
      </c>
      <c r="W1167" s="120">
        <v>0</v>
      </c>
      <c r="X1167" s="120">
        <v>0</v>
      </c>
      <c r="Y1167" s="120">
        <v>0</v>
      </c>
      <c r="Z1167" s="120">
        <v>0</v>
      </c>
      <c r="AA1167" s="17">
        <v>0</v>
      </c>
      <c r="AB1167" s="17">
        <v>0</v>
      </c>
      <c r="AC1167" s="17">
        <v>0</v>
      </c>
      <c r="AD1167" s="17">
        <v>0</v>
      </c>
      <c r="AE1167" s="17">
        <v>0</v>
      </c>
      <c r="AF1167" s="17">
        <v>1</v>
      </c>
      <c r="AG1167" s="17">
        <v>0</v>
      </c>
      <c r="AH1167" s="17">
        <v>0</v>
      </c>
      <c r="AI1167" s="17">
        <v>0</v>
      </c>
      <c r="AJ1167" s="17">
        <v>0</v>
      </c>
      <c r="AK1167" s="17">
        <v>0</v>
      </c>
      <c r="AL1167" s="32">
        <v>0</v>
      </c>
      <c r="AM1167" s="172">
        <v>65.400000000000006</v>
      </c>
      <c r="AN1167" s="89"/>
      <c r="AO1167" s="280"/>
      <c r="AP1167" s="783">
        <v>36000</v>
      </c>
      <c r="AQ1167" s="17" t="s">
        <v>127</v>
      </c>
      <c r="AR1167" s="174">
        <v>75</v>
      </c>
      <c r="AS1167" s="171"/>
      <c r="AT1167" s="171">
        <v>300</v>
      </c>
      <c r="AU1167" s="255">
        <f>(AR1167*AT1167)/((2*AT1167)+(2*AR1167))</f>
        <v>30</v>
      </c>
      <c r="AV1167" s="172">
        <v>99</v>
      </c>
      <c r="AW1167" s="171">
        <v>8</v>
      </c>
      <c r="AX1167" s="89"/>
      <c r="AY1167" s="171">
        <v>23</v>
      </c>
      <c r="AZ1167" s="171">
        <v>0</v>
      </c>
      <c r="BA1167" s="175">
        <v>50</v>
      </c>
      <c r="BB1167" s="189" t="s">
        <v>2996</v>
      </c>
      <c r="BC1167" s="190"/>
      <c r="BD1167" s="177"/>
      <c r="BE1167" s="177"/>
      <c r="BF1167" s="178" t="s">
        <v>1830</v>
      </c>
    </row>
    <row r="1168" spans="1:58" ht="15" customHeight="1">
      <c r="A1168" s="95">
        <v>1167</v>
      </c>
      <c r="B1168" s="211" t="s">
        <v>1870</v>
      </c>
      <c r="C1168" s="191" t="s">
        <v>425</v>
      </c>
      <c r="D1168" s="171" t="s">
        <v>443</v>
      </c>
      <c r="E1168" s="463" t="s">
        <v>3377</v>
      </c>
      <c r="F1168" s="171">
        <v>1980</v>
      </c>
      <c r="G1168" s="171">
        <v>291</v>
      </c>
      <c r="H1168" s="172" t="s">
        <v>1811</v>
      </c>
      <c r="I1168" s="173" t="s">
        <v>1751</v>
      </c>
      <c r="J1168" s="212">
        <v>0.29799999999999999</v>
      </c>
      <c r="K1168" s="213">
        <v>2.99</v>
      </c>
      <c r="L1168" s="91"/>
      <c r="M1168" s="171">
        <v>570</v>
      </c>
      <c r="N1168" s="171"/>
      <c r="O1168" s="172" t="s">
        <v>12</v>
      </c>
      <c r="P1168" s="92"/>
      <c r="Q1168" s="173" t="s">
        <v>11</v>
      </c>
      <c r="R1168" s="506" t="s">
        <v>2308</v>
      </c>
      <c r="S1168" s="89"/>
      <c r="T1168" s="214" t="s">
        <v>2306</v>
      </c>
      <c r="U1168" s="214" t="s">
        <v>2308</v>
      </c>
      <c r="V1168" s="102">
        <v>0</v>
      </c>
      <c r="W1168" s="120">
        <v>0</v>
      </c>
      <c r="X1168" s="120">
        <v>0</v>
      </c>
      <c r="Y1168" s="120">
        <v>0</v>
      </c>
      <c r="Z1168" s="120">
        <v>0</v>
      </c>
      <c r="AA1168" s="17">
        <v>0</v>
      </c>
      <c r="AB1168" s="17">
        <v>0</v>
      </c>
      <c r="AC1168" s="17">
        <v>0</v>
      </c>
      <c r="AD1168" s="17">
        <v>0</v>
      </c>
      <c r="AE1168" s="17">
        <v>0</v>
      </c>
      <c r="AF1168" s="17">
        <v>0</v>
      </c>
      <c r="AG1168" s="17">
        <v>0</v>
      </c>
      <c r="AH1168" s="17">
        <v>0</v>
      </c>
      <c r="AI1168" s="17">
        <v>0</v>
      </c>
      <c r="AJ1168" s="17">
        <v>0</v>
      </c>
      <c r="AK1168" s="17">
        <v>0</v>
      </c>
      <c r="AL1168" s="32">
        <v>0</v>
      </c>
      <c r="AM1168" s="172">
        <v>64.900000000000006</v>
      </c>
      <c r="AN1168" s="89"/>
      <c r="AO1168" s="280"/>
      <c r="AP1168" s="783">
        <v>37000</v>
      </c>
      <c r="AQ1168" s="17" t="s">
        <v>2527</v>
      </c>
      <c r="AR1168" s="174">
        <v>75</v>
      </c>
      <c r="AS1168" s="171"/>
      <c r="AT1168" s="171">
        <v>200</v>
      </c>
      <c r="AU1168" s="255">
        <f>IF(ISBLANK(AS1168),(AR1168*AT1168)/((4*AT1168)+(2*AR1168)),AR1168*AS1168*AT1168/2/(AR1168*AS1168+AR1168*AT1168+AS1168*AT1168))</f>
        <v>15.789473684210526</v>
      </c>
      <c r="AV1168" s="172">
        <v>99</v>
      </c>
      <c r="AW1168" s="171">
        <v>8</v>
      </c>
      <c r="AX1168" s="89"/>
      <c r="AY1168" s="171">
        <v>23</v>
      </c>
      <c r="AZ1168" s="171">
        <v>0</v>
      </c>
      <c r="BA1168" s="175">
        <v>50</v>
      </c>
      <c r="BB1168" s="189" t="s">
        <v>2996</v>
      </c>
      <c r="BC1168" s="190"/>
      <c r="BD1168" s="177"/>
      <c r="BE1168" s="177"/>
      <c r="BF1168" s="178" t="s">
        <v>540</v>
      </c>
    </row>
    <row r="1169" spans="1:58" ht="15" customHeight="1">
      <c r="A1169" s="95">
        <v>1168</v>
      </c>
      <c r="B1169" s="211" t="s">
        <v>1871</v>
      </c>
      <c r="C1169" s="191" t="s">
        <v>425</v>
      </c>
      <c r="D1169" s="171" t="s">
        <v>443</v>
      </c>
      <c r="E1169" s="463" t="s">
        <v>3377</v>
      </c>
      <c r="F1169" s="171">
        <v>1980</v>
      </c>
      <c r="G1169" s="171">
        <v>291</v>
      </c>
      <c r="H1169" s="172" t="s">
        <v>1811</v>
      </c>
      <c r="I1169" s="173" t="s">
        <v>1751</v>
      </c>
      <c r="J1169" s="212">
        <v>0.29799999999999999</v>
      </c>
      <c r="K1169" s="213">
        <v>2.99</v>
      </c>
      <c r="L1169" s="91"/>
      <c r="M1169" s="171">
        <v>570</v>
      </c>
      <c r="N1169" s="171"/>
      <c r="O1169" s="172" t="s">
        <v>12</v>
      </c>
      <c r="P1169" s="92"/>
      <c r="Q1169" s="173" t="s">
        <v>11</v>
      </c>
      <c r="R1169" s="506" t="s">
        <v>2308</v>
      </c>
      <c r="S1169" s="89"/>
      <c r="T1169" s="214" t="s">
        <v>2306</v>
      </c>
      <c r="U1169" s="214" t="s">
        <v>2308</v>
      </c>
      <c r="V1169" s="102">
        <v>0</v>
      </c>
      <c r="W1169" s="120">
        <v>0</v>
      </c>
      <c r="X1169" s="120">
        <v>0</v>
      </c>
      <c r="Y1169" s="120">
        <v>0</v>
      </c>
      <c r="Z1169" s="120">
        <v>0</v>
      </c>
      <c r="AA1169" s="17">
        <v>0</v>
      </c>
      <c r="AB1169" s="17">
        <v>0</v>
      </c>
      <c r="AC1169" s="17">
        <v>0</v>
      </c>
      <c r="AD1169" s="17">
        <v>0</v>
      </c>
      <c r="AE1169" s="17">
        <v>0</v>
      </c>
      <c r="AF1169" s="17">
        <v>1</v>
      </c>
      <c r="AG1169" s="17">
        <v>0</v>
      </c>
      <c r="AH1169" s="17">
        <v>0</v>
      </c>
      <c r="AI1169" s="17">
        <v>0</v>
      </c>
      <c r="AJ1169" s="17">
        <v>0</v>
      </c>
      <c r="AK1169" s="17">
        <v>0</v>
      </c>
      <c r="AL1169" s="32">
        <v>0</v>
      </c>
      <c r="AM1169" s="172">
        <v>65.400000000000006</v>
      </c>
      <c r="AN1169" s="89"/>
      <c r="AO1169" s="280"/>
      <c r="AP1169" s="783">
        <v>36000</v>
      </c>
      <c r="AQ1169" s="17" t="s">
        <v>2527</v>
      </c>
      <c r="AR1169" s="174">
        <v>75</v>
      </c>
      <c r="AS1169" s="171"/>
      <c r="AT1169" s="171">
        <v>200</v>
      </c>
      <c r="AU1169" s="255">
        <f>IF(ISBLANK(AS1169),(AR1169*AT1169)/((4*AT1169)+(2*AR1169)),AR1169*AS1169*AT1169/2/(AR1169*AS1169+AR1169*AT1169+AS1169*AT1169))</f>
        <v>15.789473684210526</v>
      </c>
      <c r="AV1169" s="172">
        <v>99</v>
      </c>
      <c r="AW1169" s="171">
        <v>8</v>
      </c>
      <c r="AX1169" s="89"/>
      <c r="AY1169" s="171">
        <v>23</v>
      </c>
      <c r="AZ1169" s="171">
        <v>0</v>
      </c>
      <c r="BA1169" s="175">
        <v>50</v>
      </c>
      <c r="BB1169" s="189" t="s">
        <v>2996</v>
      </c>
      <c r="BC1169" s="190"/>
      <c r="BD1169" s="177"/>
      <c r="BE1169" s="177"/>
      <c r="BF1169" s="178" t="s">
        <v>1830</v>
      </c>
    </row>
    <row r="1170" spans="1:58">
      <c r="A1170" s="95">
        <v>1169</v>
      </c>
      <c r="B1170" s="211" t="s">
        <v>1872</v>
      </c>
      <c r="C1170" s="191" t="s">
        <v>1753</v>
      </c>
      <c r="D1170" s="171" t="s">
        <v>254</v>
      </c>
      <c r="E1170" s="463" t="s">
        <v>3377</v>
      </c>
      <c r="F1170" s="171">
        <v>2009</v>
      </c>
      <c r="G1170" s="171">
        <v>292</v>
      </c>
      <c r="H1170" s="172" t="s">
        <v>1738</v>
      </c>
      <c r="I1170" s="173" t="s">
        <v>1752</v>
      </c>
      <c r="J1170" s="212">
        <v>0.47</v>
      </c>
      <c r="K1170" s="213">
        <v>3.06</v>
      </c>
      <c r="L1170" s="91"/>
      <c r="M1170" s="171">
        <v>350</v>
      </c>
      <c r="N1170" s="171"/>
      <c r="O1170" s="172" t="s">
        <v>12</v>
      </c>
      <c r="P1170" s="89"/>
      <c r="Q1170" s="173" t="s">
        <v>1754</v>
      </c>
      <c r="R1170" s="506" t="s">
        <v>2308</v>
      </c>
      <c r="S1170" s="89"/>
      <c r="T1170" s="214"/>
      <c r="U1170" s="171"/>
      <c r="V1170" s="102">
        <v>0</v>
      </c>
      <c r="W1170" s="120">
        <v>0</v>
      </c>
      <c r="X1170" s="120">
        <v>0</v>
      </c>
      <c r="Y1170" s="120">
        <v>0</v>
      </c>
      <c r="Z1170" s="120">
        <v>0</v>
      </c>
      <c r="AA1170" s="17">
        <v>37</v>
      </c>
      <c r="AB1170" s="17">
        <v>0</v>
      </c>
      <c r="AC1170" s="17">
        <v>0</v>
      </c>
      <c r="AD1170" s="17">
        <v>0.14199999999999999</v>
      </c>
      <c r="AE1170" s="17">
        <v>0</v>
      </c>
      <c r="AF1170" s="17">
        <v>0</v>
      </c>
      <c r="AG1170" s="17">
        <v>0</v>
      </c>
      <c r="AH1170" s="17">
        <v>0</v>
      </c>
      <c r="AI1170" s="17">
        <v>0</v>
      </c>
      <c r="AJ1170" s="17">
        <v>0</v>
      </c>
      <c r="AK1170" s="17">
        <v>0</v>
      </c>
      <c r="AL1170" s="32">
        <v>0</v>
      </c>
      <c r="AM1170" s="57"/>
      <c r="AN1170" s="89"/>
      <c r="AO1170" s="280"/>
      <c r="AP1170" s="784"/>
      <c r="AQ1170" s="17" t="s">
        <v>1755</v>
      </c>
      <c r="AR1170" s="174">
        <v>10</v>
      </c>
      <c r="AS1170" s="171"/>
      <c r="AT1170" s="171">
        <v>160</v>
      </c>
      <c r="AU1170" s="255">
        <f t="shared" ref="AU1170:AU1201" si="93">(AR1170*AT1170)/((2*AT1170)+(2*AR1170))</f>
        <v>4.7058823529411766</v>
      </c>
      <c r="AV1170" s="172">
        <v>97</v>
      </c>
      <c r="AW1170" s="171">
        <v>1</v>
      </c>
      <c r="AX1170" s="89"/>
      <c r="AY1170" s="171">
        <v>20</v>
      </c>
      <c r="AZ1170" s="171">
        <v>0</v>
      </c>
      <c r="BA1170" s="175">
        <v>99</v>
      </c>
      <c r="BB1170" s="189" t="s">
        <v>2518</v>
      </c>
      <c r="BC1170" s="190"/>
      <c r="BD1170" s="177"/>
      <c r="BE1170" s="177"/>
      <c r="BF1170" s="178" t="s">
        <v>2518</v>
      </c>
    </row>
    <row r="1171" spans="1:58">
      <c r="A1171" s="95">
        <v>1170</v>
      </c>
      <c r="B1171" s="211" t="s">
        <v>1873</v>
      </c>
      <c r="C1171" s="191" t="s">
        <v>1753</v>
      </c>
      <c r="D1171" s="171" t="s">
        <v>254</v>
      </c>
      <c r="E1171" s="463" t="s">
        <v>3377</v>
      </c>
      <c r="F1171" s="171">
        <v>2009</v>
      </c>
      <c r="G1171" s="171">
        <v>292</v>
      </c>
      <c r="H1171" s="172" t="s">
        <v>1738</v>
      </c>
      <c r="I1171" s="173" t="s">
        <v>1752</v>
      </c>
      <c r="J1171" s="212">
        <v>0.56999999999999995</v>
      </c>
      <c r="K1171" s="213">
        <v>3.06</v>
      </c>
      <c r="L1171" s="91"/>
      <c r="M1171" s="171">
        <v>350</v>
      </c>
      <c r="N1171" s="171"/>
      <c r="O1171" s="172" t="s">
        <v>12</v>
      </c>
      <c r="P1171" s="89"/>
      <c r="Q1171" s="173" t="s">
        <v>1754</v>
      </c>
      <c r="R1171" s="506" t="s">
        <v>2308</v>
      </c>
      <c r="S1171" s="89"/>
      <c r="T1171" s="214"/>
      <c r="U1171" s="171"/>
      <c r="V1171" s="102">
        <v>0</v>
      </c>
      <c r="W1171" s="120">
        <v>0</v>
      </c>
      <c r="X1171" s="120">
        <v>0</v>
      </c>
      <c r="Y1171" s="120">
        <v>0</v>
      </c>
      <c r="Z1171" s="120">
        <v>0</v>
      </c>
      <c r="AA1171" s="17">
        <v>37</v>
      </c>
      <c r="AB1171" s="17">
        <v>0</v>
      </c>
      <c r="AC1171" s="17">
        <v>0</v>
      </c>
      <c r="AD1171" s="17">
        <v>0.14199999999999999</v>
      </c>
      <c r="AE1171" s="17">
        <v>0</v>
      </c>
      <c r="AF1171" s="17">
        <v>0</v>
      </c>
      <c r="AG1171" s="17">
        <v>0</v>
      </c>
      <c r="AH1171" s="17">
        <v>0</v>
      </c>
      <c r="AI1171" s="17">
        <v>0</v>
      </c>
      <c r="AJ1171" s="17">
        <v>0</v>
      </c>
      <c r="AK1171" s="17">
        <v>0</v>
      </c>
      <c r="AL1171" s="32">
        <v>0</v>
      </c>
      <c r="AM1171" s="57"/>
      <c r="AN1171" s="89"/>
      <c r="AO1171" s="280"/>
      <c r="AP1171" s="784"/>
      <c r="AQ1171" s="17" t="s">
        <v>1755</v>
      </c>
      <c r="AR1171" s="174">
        <v>10</v>
      </c>
      <c r="AS1171" s="171"/>
      <c r="AT1171" s="171">
        <v>160</v>
      </c>
      <c r="AU1171" s="255">
        <f t="shared" si="93"/>
        <v>4.7058823529411766</v>
      </c>
      <c r="AV1171" s="172">
        <v>97</v>
      </c>
      <c r="AW1171" s="171">
        <v>1</v>
      </c>
      <c r="AX1171" s="89"/>
      <c r="AY1171" s="171">
        <v>20</v>
      </c>
      <c r="AZ1171" s="171">
        <v>0</v>
      </c>
      <c r="BA1171" s="175">
        <v>99</v>
      </c>
      <c r="BB1171" s="189" t="s">
        <v>2518</v>
      </c>
      <c r="BC1171" s="190"/>
      <c r="BD1171" s="177"/>
      <c r="BE1171" s="177"/>
      <c r="BF1171" s="178" t="s">
        <v>2518</v>
      </c>
    </row>
    <row r="1172" spans="1:58">
      <c r="A1172" s="95">
        <v>1171</v>
      </c>
      <c r="B1172" s="211" t="s">
        <v>1874</v>
      </c>
      <c r="C1172" s="191" t="s">
        <v>1753</v>
      </c>
      <c r="D1172" s="171" t="s">
        <v>254</v>
      </c>
      <c r="E1172" s="463" t="s">
        <v>3377</v>
      </c>
      <c r="F1172" s="171">
        <v>2009</v>
      </c>
      <c r="G1172" s="171">
        <v>292</v>
      </c>
      <c r="H1172" s="172" t="s">
        <v>1738</v>
      </c>
      <c r="I1172" s="173" t="s">
        <v>1752</v>
      </c>
      <c r="J1172" s="212">
        <v>0.67</v>
      </c>
      <c r="K1172" s="213">
        <v>3.06</v>
      </c>
      <c r="L1172" s="91"/>
      <c r="M1172" s="171">
        <v>350</v>
      </c>
      <c r="N1172" s="171"/>
      <c r="O1172" s="172" t="s">
        <v>12</v>
      </c>
      <c r="P1172" s="89"/>
      <c r="Q1172" s="173" t="s">
        <v>1754</v>
      </c>
      <c r="R1172" s="506" t="s">
        <v>2308</v>
      </c>
      <c r="S1172" s="89"/>
      <c r="T1172" s="214"/>
      <c r="U1172" s="171"/>
      <c r="V1172" s="102">
        <v>0</v>
      </c>
      <c r="W1172" s="120">
        <v>0</v>
      </c>
      <c r="X1172" s="120">
        <v>0</v>
      </c>
      <c r="Y1172" s="120">
        <v>0</v>
      </c>
      <c r="Z1172" s="120">
        <v>0</v>
      </c>
      <c r="AA1172" s="17">
        <v>37</v>
      </c>
      <c r="AB1172" s="17">
        <v>0</v>
      </c>
      <c r="AC1172" s="17">
        <v>0</v>
      </c>
      <c r="AD1172" s="17">
        <v>0.14199999999999999</v>
      </c>
      <c r="AE1172" s="17">
        <v>0</v>
      </c>
      <c r="AF1172" s="17">
        <v>0</v>
      </c>
      <c r="AG1172" s="17">
        <v>0</v>
      </c>
      <c r="AH1172" s="17">
        <v>0</v>
      </c>
      <c r="AI1172" s="17">
        <v>0</v>
      </c>
      <c r="AJ1172" s="17">
        <v>0</v>
      </c>
      <c r="AK1172" s="17">
        <v>0</v>
      </c>
      <c r="AL1172" s="32">
        <v>0</v>
      </c>
      <c r="AM1172" s="57"/>
      <c r="AN1172" s="89"/>
      <c r="AO1172" s="280"/>
      <c r="AP1172" s="784"/>
      <c r="AQ1172" s="17" t="s">
        <v>1755</v>
      </c>
      <c r="AR1172" s="174">
        <v>10</v>
      </c>
      <c r="AS1172" s="171"/>
      <c r="AT1172" s="171">
        <v>160</v>
      </c>
      <c r="AU1172" s="255">
        <f t="shared" si="93"/>
        <v>4.7058823529411766</v>
      </c>
      <c r="AV1172" s="172">
        <v>97</v>
      </c>
      <c r="AW1172" s="171">
        <v>1</v>
      </c>
      <c r="AX1172" s="89"/>
      <c r="AY1172" s="171">
        <v>20</v>
      </c>
      <c r="AZ1172" s="171">
        <v>0</v>
      </c>
      <c r="BA1172" s="175">
        <v>99</v>
      </c>
      <c r="BB1172" s="189" t="s">
        <v>2518</v>
      </c>
      <c r="BC1172" s="190"/>
      <c r="BD1172" s="177"/>
      <c r="BE1172" s="177"/>
      <c r="BF1172" s="178" t="s">
        <v>2518</v>
      </c>
    </row>
    <row r="1173" spans="1:58">
      <c r="A1173" s="95">
        <v>1172</v>
      </c>
      <c r="B1173" s="211" t="s">
        <v>1875</v>
      </c>
      <c r="C1173" s="191" t="s">
        <v>1753</v>
      </c>
      <c r="D1173" s="171" t="s">
        <v>254</v>
      </c>
      <c r="E1173" s="463" t="s">
        <v>3377</v>
      </c>
      <c r="F1173" s="171">
        <v>2009</v>
      </c>
      <c r="G1173" s="171">
        <v>292</v>
      </c>
      <c r="H1173" s="172" t="s">
        <v>1738</v>
      </c>
      <c r="I1173" s="173" t="s">
        <v>1752</v>
      </c>
      <c r="J1173" s="212">
        <v>0.56999999999999995</v>
      </c>
      <c r="K1173" s="213">
        <v>3.06</v>
      </c>
      <c r="L1173" s="91"/>
      <c r="M1173" s="171">
        <v>350</v>
      </c>
      <c r="N1173" s="171"/>
      <c r="O1173" s="172" t="s">
        <v>12</v>
      </c>
      <c r="P1173" s="89"/>
      <c r="Q1173" s="173" t="s">
        <v>1754</v>
      </c>
      <c r="R1173" s="506" t="s">
        <v>2308</v>
      </c>
      <c r="S1173" s="89"/>
      <c r="T1173" s="214"/>
      <c r="U1173" s="171"/>
      <c r="V1173" s="102">
        <v>0</v>
      </c>
      <c r="W1173" s="120">
        <v>0</v>
      </c>
      <c r="X1173" s="120">
        <v>0</v>
      </c>
      <c r="Y1173" s="120">
        <v>0</v>
      </c>
      <c r="Z1173" s="120">
        <v>0</v>
      </c>
      <c r="AA1173" s="17">
        <v>27</v>
      </c>
      <c r="AB1173" s="17">
        <v>0</v>
      </c>
      <c r="AC1173" s="17">
        <v>0</v>
      </c>
      <c r="AD1173" s="17">
        <v>0.14199999999999999</v>
      </c>
      <c r="AE1173" s="17">
        <v>0</v>
      </c>
      <c r="AF1173" s="17">
        <v>0</v>
      </c>
      <c r="AG1173" s="17">
        <v>0</v>
      </c>
      <c r="AH1173" s="17">
        <v>0</v>
      </c>
      <c r="AI1173" s="17">
        <v>0</v>
      </c>
      <c r="AJ1173" s="17">
        <v>0</v>
      </c>
      <c r="AK1173" s="17">
        <v>0</v>
      </c>
      <c r="AL1173" s="32">
        <v>0</v>
      </c>
      <c r="AM1173" s="57"/>
      <c r="AN1173" s="89"/>
      <c r="AO1173" s="280"/>
      <c r="AP1173" s="784"/>
      <c r="AQ1173" s="17" t="s">
        <v>1755</v>
      </c>
      <c r="AR1173" s="174">
        <v>10</v>
      </c>
      <c r="AS1173" s="171"/>
      <c r="AT1173" s="171">
        <v>160</v>
      </c>
      <c r="AU1173" s="255">
        <f t="shared" si="93"/>
        <v>4.7058823529411766</v>
      </c>
      <c r="AV1173" s="172">
        <v>97</v>
      </c>
      <c r="AW1173" s="171">
        <v>1</v>
      </c>
      <c r="AX1173" s="89"/>
      <c r="AY1173" s="171">
        <v>20</v>
      </c>
      <c r="AZ1173" s="171">
        <v>0</v>
      </c>
      <c r="BA1173" s="175">
        <v>99</v>
      </c>
      <c r="BB1173" s="189" t="s">
        <v>2518</v>
      </c>
      <c r="BC1173" s="190"/>
      <c r="BD1173" s="177"/>
      <c r="BE1173" s="177"/>
      <c r="BF1173" s="178" t="s">
        <v>2518</v>
      </c>
    </row>
    <row r="1174" spans="1:58">
      <c r="A1174" s="95">
        <v>1173</v>
      </c>
      <c r="B1174" s="211" t="s">
        <v>1876</v>
      </c>
      <c r="C1174" s="191" t="s">
        <v>1753</v>
      </c>
      <c r="D1174" s="171" t="s">
        <v>254</v>
      </c>
      <c r="E1174" s="463" t="s">
        <v>3377</v>
      </c>
      <c r="F1174" s="171">
        <v>2009</v>
      </c>
      <c r="G1174" s="171">
        <v>292</v>
      </c>
      <c r="H1174" s="172" t="s">
        <v>1738</v>
      </c>
      <c r="I1174" s="173" t="s">
        <v>1752</v>
      </c>
      <c r="J1174" s="212">
        <v>0.56999999999999995</v>
      </c>
      <c r="K1174" s="213">
        <v>3.06</v>
      </c>
      <c r="L1174" s="91"/>
      <c r="M1174" s="171">
        <v>350</v>
      </c>
      <c r="N1174" s="171"/>
      <c r="O1174" s="172" t="s">
        <v>12</v>
      </c>
      <c r="P1174" s="89"/>
      <c r="Q1174" s="173" t="s">
        <v>1754</v>
      </c>
      <c r="R1174" s="506" t="s">
        <v>2308</v>
      </c>
      <c r="S1174" s="89"/>
      <c r="T1174" s="214"/>
      <c r="U1174" s="171"/>
      <c r="V1174" s="102">
        <v>0</v>
      </c>
      <c r="W1174" s="120">
        <v>0</v>
      </c>
      <c r="X1174" s="120">
        <v>0</v>
      </c>
      <c r="Y1174" s="120">
        <v>0</v>
      </c>
      <c r="Z1174" s="120">
        <v>0</v>
      </c>
      <c r="AA1174" s="17">
        <v>37</v>
      </c>
      <c r="AB1174" s="17">
        <v>0</v>
      </c>
      <c r="AC1174" s="17">
        <v>0</v>
      </c>
      <c r="AD1174" s="17">
        <v>0.14199999999999999</v>
      </c>
      <c r="AE1174" s="17">
        <v>0</v>
      </c>
      <c r="AF1174" s="17">
        <v>0</v>
      </c>
      <c r="AG1174" s="17">
        <v>0</v>
      </c>
      <c r="AH1174" s="17">
        <v>0</v>
      </c>
      <c r="AI1174" s="17">
        <v>0</v>
      </c>
      <c r="AJ1174" s="17">
        <v>0</v>
      </c>
      <c r="AK1174" s="17">
        <v>0</v>
      </c>
      <c r="AL1174" s="32">
        <v>0</v>
      </c>
      <c r="AM1174" s="57"/>
      <c r="AN1174" s="89"/>
      <c r="AO1174" s="280"/>
      <c r="AP1174" s="784"/>
      <c r="AQ1174" s="17" t="s">
        <v>1755</v>
      </c>
      <c r="AR1174" s="174">
        <v>10</v>
      </c>
      <c r="AS1174" s="171"/>
      <c r="AT1174" s="171">
        <v>160</v>
      </c>
      <c r="AU1174" s="255">
        <f t="shared" si="93"/>
        <v>4.7058823529411766</v>
      </c>
      <c r="AV1174" s="172">
        <v>97</v>
      </c>
      <c r="AW1174" s="171">
        <v>1</v>
      </c>
      <c r="AX1174" s="89"/>
      <c r="AY1174" s="171">
        <v>20</v>
      </c>
      <c r="AZ1174" s="171">
        <v>0</v>
      </c>
      <c r="BA1174" s="175">
        <v>99</v>
      </c>
      <c r="BB1174" s="189" t="s">
        <v>2518</v>
      </c>
      <c r="BC1174" s="190"/>
      <c r="BD1174" s="177"/>
      <c r="BE1174" s="177"/>
      <c r="BF1174" s="178" t="s">
        <v>2518</v>
      </c>
    </row>
    <row r="1175" spans="1:58">
      <c r="A1175" s="95">
        <v>1174</v>
      </c>
      <c r="B1175" s="211" t="s">
        <v>1877</v>
      </c>
      <c r="C1175" s="191" t="s">
        <v>1753</v>
      </c>
      <c r="D1175" s="171" t="s">
        <v>254</v>
      </c>
      <c r="E1175" s="463" t="s">
        <v>3377</v>
      </c>
      <c r="F1175" s="171">
        <v>2009</v>
      </c>
      <c r="G1175" s="171">
        <v>292</v>
      </c>
      <c r="H1175" s="172" t="s">
        <v>1738</v>
      </c>
      <c r="I1175" s="173" t="s">
        <v>1752</v>
      </c>
      <c r="J1175" s="212">
        <v>0.56999999999999995</v>
      </c>
      <c r="K1175" s="213">
        <v>3.06</v>
      </c>
      <c r="L1175" s="91"/>
      <c r="M1175" s="171">
        <v>350</v>
      </c>
      <c r="N1175" s="171"/>
      <c r="O1175" s="172" t="s">
        <v>12</v>
      </c>
      <c r="P1175" s="89"/>
      <c r="Q1175" s="173" t="s">
        <v>1754</v>
      </c>
      <c r="R1175" s="506" t="s">
        <v>2308</v>
      </c>
      <c r="S1175" s="89"/>
      <c r="T1175" s="214"/>
      <c r="U1175" s="171"/>
      <c r="V1175" s="102">
        <v>0</v>
      </c>
      <c r="W1175" s="120">
        <v>0</v>
      </c>
      <c r="X1175" s="120">
        <v>0</v>
      </c>
      <c r="Y1175" s="120">
        <v>0</v>
      </c>
      <c r="Z1175" s="120">
        <v>0</v>
      </c>
      <c r="AA1175" s="17">
        <v>47</v>
      </c>
      <c r="AB1175" s="17">
        <v>0</v>
      </c>
      <c r="AC1175" s="17">
        <v>0</v>
      </c>
      <c r="AD1175" s="17">
        <v>0.14199999999999999</v>
      </c>
      <c r="AE1175" s="17">
        <v>0</v>
      </c>
      <c r="AF1175" s="17">
        <v>0</v>
      </c>
      <c r="AG1175" s="17">
        <v>0</v>
      </c>
      <c r="AH1175" s="17">
        <v>0</v>
      </c>
      <c r="AI1175" s="17">
        <v>0</v>
      </c>
      <c r="AJ1175" s="17">
        <v>0</v>
      </c>
      <c r="AK1175" s="17">
        <v>0</v>
      </c>
      <c r="AL1175" s="32">
        <v>0</v>
      </c>
      <c r="AM1175" s="57"/>
      <c r="AN1175" s="89"/>
      <c r="AO1175" s="280"/>
      <c r="AP1175" s="784"/>
      <c r="AQ1175" s="17" t="s">
        <v>1755</v>
      </c>
      <c r="AR1175" s="174">
        <v>10</v>
      </c>
      <c r="AS1175" s="171"/>
      <c r="AT1175" s="171">
        <v>160</v>
      </c>
      <c r="AU1175" s="255">
        <f t="shared" si="93"/>
        <v>4.7058823529411766</v>
      </c>
      <c r="AV1175" s="172">
        <v>97</v>
      </c>
      <c r="AW1175" s="171">
        <v>1</v>
      </c>
      <c r="AX1175" s="89"/>
      <c r="AY1175" s="171">
        <v>20</v>
      </c>
      <c r="AZ1175" s="171">
        <v>0</v>
      </c>
      <c r="BA1175" s="175">
        <v>99</v>
      </c>
      <c r="BB1175" s="189" t="s">
        <v>2518</v>
      </c>
      <c r="BC1175" s="190"/>
      <c r="BD1175" s="177"/>
      <c r="BE1175" s="177"/>
      <c r="BF1175" s="178" t="s">
        <v>2518</v>
      </c>
    </row>
    <row r="1176" spans="1:58">
      <c r="A1176" s="95">
        <v>1175</v>
      </c>
      <c r="B1176" s="211" t="s">
        <v>1878</v>
      </c>
      <c r="C1176" s="191" t="s">
        <v>1753</v>
      </c>
      <c r="D1176" s="171" t="s">
        <v>254</v>
      </c>
      <c r="E1176" s="463" t="s">
        <v>3377</v>
      </c>
      <c r="F1176" s="171">
        <v>2009</v>
      </c>
      <c r="G1176" s="171">
        <v>292</v>
      </c>
      <c r="H1176" s="172" t="s">
        <v>1738</v>
      </c>
      <c r="I1176" s="173" t="s">
        <v>1752</v>
      </c>
      <c r="J1176" s="212">
        <v>0.56999999999999995</v>
      </c>
      <c r="K1176" s="213">
        <v>3.06</v>
      </c>
      <c r="L1176" s="91"/>
      <c r="M1176" s="171">
        <v>350</v>
      </c>
      <c r="N1176" s="171"/>
      <c r="O1176" s="172" t="s">
        <v>12</v>
      </c>
      <c r="P1176" s="89"/>
      <c r="Q1176" s="173" t="s">
        <v>1754</v>
      </c>
      <c r="R1176" s="506" t="s">
        <v>2308</v>
      </c>
      <c r="S1176" s="89"/>
      <c r="T1176" s="214"/>
      <c r="U1176" s="171"/>
      <c r="V1176" s="102">
        <v>0</v>
      </c>
      <c r="W1176" s="120">
        <v>0</v>
      </c>
      <c r="X1176" s="120">
        <v>0</v>
      </c>
      <c r="Y1176" s="120">
        <v>0</v>
      </c>
      <c r="Z1176" s="120">
        <v>0</v>
      </c>
      <c r="AA1176" s="17">
        <v>57</v>
      </c>
      <c r="AB1176" s="17">
        <v>0</v>
      </c>
      <c r="AC1176" s="17">
        <v>0</v>
      </c>
      <c r="AD1176" s="17">
        <v>0.14199999999999999</v>
      </c>
      <c r="AE1176" s="17">
        <v>0</v>
      </c>
      <c r="AF1176" s="17">
        <v>0</v>
      </c>
      <c r="AG1176" s="17">
        <v>0</v>
      </c>
      <c r="AH1176" s="17">
        <v>0</v>
      </c>
      <c r="AI1176" s="17">
        <v>0</v>
      </c>
      <c r="AJ1176" s="17">
        <v>0</v>
      </c>
      <c r="AK1176" s="17">
        <v>0</v>
      </c>
      <c r="AL1176" s="32">
        <v>0</v>
      </c>
      <c r="AM1176" s="57"/>
      <c r="AN1176" s="89"/>
      <c r="AO1176" s="280"/>
      <c r="AP1176" s="784"/>
      <c r="AQ1176" s="17" t="s">
        <v>1755</v>
      </c>
      <c r="AR1176" s="174">
        <v>10</v>
      </c>
      <c r="AS1176" s="171"/>
      <c r="AT1176" s="171">
        <v>160</v>
      </c>
      <c r="AU1176" s="255">
        <f t="shared" si="93"/>
        <v>4.7058823529411766</v>
      </c>
      <c r="AV1176" s="172">
        <v>97</v>
      </c>
      <c r="AW1176" s="171">
        <v>1</v>
      </c>
      <c r="AX1176" s="89"/>
      <c r="AY1176" s="171">
        <v>20</v>
      </c>
      <c r="AZ1176" s="171">
        <v>0</v>
      </c>
      <c r="BA1176" s="175">
        <v>99</v>
      </c>
      <c r="BB1176" s="189" t="s">
        <v>2518</v>
      </c>
      <c r="BC1176" s="190"/>
      <c r="BD1176" s="177"/>
      <c r="BE1176" s="177"/>
      <c r="BF1176" s="178" t="s">
        <v>2518</v>
      </c>
    </row>
    <row r="1177" spans="1:58">
      <c r="A1177" s="95">
        <v>1176</v>
      </c>
      <c r="B1177" s="211" t="s">
        <v>1879</v>
      </c>
      <c r="C1177" s="191" t="s">
        <v>1753</v>
      </c>
      <c r="D1177" s="171" t="s">
        <v>254</v>
      </c>
      <c r="E1177" s="463" t="s">
        <v>3377</v>
      </c>
      <c r="F1177" s="171">
        <v>2009</v>
      </c>
      <c r="G1177" s="171">
        <v>292</v>
      </c>
      <c r="H1177" s="172" t="s">
        <v>1738</v>
      </c>
      <c r="I1177" s="173" t="s">
        <v>1752</v>
      </c>
      <c r="J1177" s="212">
        <v>0.5</v>
      </c>
      <c r="K1177" s="213">
        <v>3.01</v>
      </c>
      <c r="L1177" s="91"/>
      <c r="M1177" s="171">
        <v>472</v>
      </c>
      <c r="N1177" s="171"/>
      <c r="O1177" s="172" t="s">
        <v>12</v>
      </c>
      <c r="P1177" s="89"/>
      <c r="Q1177" s="173" t="s">
        <v>522</v>
      </c>
      <c r="R1177" s="506" t="s">
        <v>2308</v>
      </c>
      <c r="S1177" s="89"/>
      <c r="T1177" s="214"/>
      <c r="U1177" s="171" t="s">
        <v>2308</v>
      </c>
      <c r="V1177" s="102">
        <v>0</v>
      </c>
      <c r="W1177" s="120">
        <v>0</v>
      </c>
      <c r="X1177" s="120">
        <v>0</v>
      </c>
      <c r="Y1177" s="120">
        <v>0</v>
      </c>
      <c r="Z1177" s="120">
        <v>0</v>
      </c>
      <c r="AA1177" s="17">
        <v>69</v>
      </c>
      <c r="AB1177" s="17">
        <v>0</v>
      </c>
      <c r="AC1177" s="17">
        <v>0</v>
      </c>
      <c r="AD1177" s="17">
        <v>0.20100000000000001</v>
      </c>
      <c r="AE1177" s="17">
        <v>0</v>
      </c>
      <c r="AF1177" s="17">
        <v>0</v>
      </c>
      <c r="AG1177" s="17">
        <v>0</v>
      </c>
      <c r="AH1177" s="17">
        <v>0</v>
      </c>
      <c r="AI1177" s="17">
        <v>0</v>
      </c>
      <c r="AJ1177" s="17">
        <v>0</v>
      </c>
      <c r="AK1177" s="17">
        <v>0</v>
      </c>
      <c r="AL1177" s="32">
        <v>0</v>
      </c>
      <c r="AM1177" s="57"/>
      <c r="AN1177" s="89"/>
      <c r="AO1177" s="280"/>
      <c r="AP1177" s="784"/>
      <c r="AQ1177" s="17" t="s">
        <v>1755</v>
      </c>
      <c r="AR1177" s="174">
        <v>10</v>
      </c>
      <c r="AS1177" s="171"/>
      <c r="AT1177" s="171">
        <v>160</v>
      </c>
      <c r="AU1177" s="255">
        <f t="shared" si="93"/>
        <v>4.7058823529411766</v>
      </c>
      <c r="AV1177" s="172">
        <v>97</v>
      </c>
      <c r="AW1177" s="171">
        <v>1</v>
      </c>
      <c r="AX1177" s="89"/>
      <c r="AY1177" s="171">
        <v>20</v>
      </c>
      <c r="AZ1177" s="171">
        <v>0</v>
      </c>
      <c r="BA1177" s="175">
        <v>99</v>
      </c>
      <c r="BB1177" s="189" t="s">
        <v>2518</v>
      </c>
      <c r="BC1177" s="190"/>
      <c r="BD1177" s="177"/>
      <c r="BE1177" s="177"/>
      <c r="BF1177" s="178" t="s">
        <v>2518</v>
      </c>
    </row>
    <row r="1178" spans="1:58">
      <c r="A1178" s="95">
        <v>1177</v>
      </c>
      <c r="B1178" s="211" t="s">
        <v>1880</v>
      </c>
      <c r="C1178" s="191" t="s">
        <v>1753</v>
      </c>
      <c r="D1178" s="171" t="s">
        <v>254</v>
      </c>
      <c r="E1178" s="463" t="s">
        <v>3377</v>
      </c>
      <c r="F1178" s="171">
        <v>2009</v>
      </c>
      <c r="G1178" s="171">
        <v>292</v>
      </c>
      <c r="H1178" s="172" t="s">
        <v>1738</v>
      </c>
      <c r="I1178" s="173" t="s">
        <v>1752</v>
      </c>
      <c r="J1178" s="212">
        <v>0.6</v>
      </c>
      <c r="K1178" s="213">
        <v>3.01</v>
      </c>
      <c r="L1178" s="91"/>
      <c r="M1178" s="171">
        <v>472</v>
      </c>
      <c r="N1178" s="171"/>
      <c r="O1178" s="172" t="s">
        <v>12</v>
      </c>
      <c r="P1178" s="89"/>
      <c r="Q1178" s="173" t="s">
        <v>522</v>
      </c>
      <c r="R1178" s="506" t="s">
        <v>2308</v>
      </c>
      <c r="S1178" s="89"/>
      <c r="T1178" s="214"/>
      <c r="U1178" s="171" t="s">
        <v>2308</v>
      </c>
      <c r="V1178" s="102">
        <v>0</v>
      </c>
      <c r="W1178" s="120">
        <v>0</v>
      </c>
      <c r="X1178" s="120">
        <v>0</v>
      </c>
      <c r="Y1178" s="120">
        <v>0</v>
      </c>
      <c r="Z1178" s="120">
        <v>0</v>
      </c>
      <c r="AA1178" s="17">
        <v>69</v>
      </c>
      <c r="AB1178" s="17">
        <v>0</v>
      </c>
      <c r="AC1178" s="17">
        <v>0</v>
      </c>
      <c r="AD1178" s="17">
        <v>0.20100000000000001</v>
      </c>
      <c r="AE1178" s="17">
        <v>0</v>
      </c>
      <c r="AF1178" s="17">
        <v>0</v>
      </c>
      <c r="AG1178" s="17">
        <v>0</v>
      </c>
      <c r="AH1178" s="17">
        <v>0</v>
      </c>
      <c r="AI1178" s="17">
        <v>0</v>
      </c>
      <c r="AJ1178" s="17">
        <v>0</v>
      </c>
      <c r="AK1178" s="17">
        <v>0</v>
      </c>
      <c r="AL1178" s="32">
        <v>0</v>
      </c>
      <c r="AM1178" s="57"/>
      <c r="AN1178" s="89"/>
      <c r="AO1178" s="280"/>
      <c r="AP1178" s="784"/>
      <c r="AQ1178" s="17" t="s">
        <v>1755</v>
      </c>
      <c r="AR1178" s="174">
        <v>10</v>
      </c>
      <c r="AS1178" s="171"/>
      <c r="AT1178" s="171">
        <v>160</v>
      </c>
      <c r="AU1178" s="255">
        <f t="shared" si="93"/>
        <v>4.7058823529411766</v>
      </c>
      <c r="AV1178" s="172">
        <v>97</v>
      </c>
      <c r="AW1178" s="171">
        <v>1</v>
      </c>
      <c r="AX1178" s="89"/>
      <c r="AY1178" s="171">
        <v>20</v>
      </c>
      <c r="AZ1178" s="171">
        <v>0</v>
      </c>
      <c r="BA1178" s="175">
        <v>99</v>
      </c>
      <c r="BB1178" s="189" t="s">
        <v>2518</v>
      </c>
      <c r="BC1178" s="190"/>
      <c r="BD1178" s="177"/>
      <c r="BE1178" s="177"/>
      <c r="BF1178" s="178" t="s">
        <v>2518</v>
      </c>
    </row>
    <row r="1179" spans="1:58">
      <c r="A1179" s="95">
        <v>1178</v>
      </c>
      <c r="B1179" s="211" t="s">
        <v>1881</v>
      </c>
      <c r="C1179" s="191" t="s">
        <v>1753</v>
      </c>
      <c r="D1179" s="171" t="s">
        <v>254</v>
      </c>
      <c r="E1179" s="463" t="s">
        <v>3377</v>
      </c>
      <c r="F1179" s="171">
        <v>2009</v>
      </c>
      <c r="G1179" s="171">
        <v>292</v>
      </c>
      <c r="H1179" s="172" t="s">
        <v>1738</v>
      </c>
      <c r="I1179" s="173" t="s">
        <v>1752</v>
      </c>
      <c r="J1179" s="212">
        <v>0.7</v>
      </c>
      <c r="K1179" s="213">
        <v>3.01</v>
      </c>
      <c r="L1179" s="91"/>
      <c r="M1179" s="171">
        <v>472</v>
      </c>
      <c r="N1179" s="171"/>
      <c r="O1179" s="172" t="s">
        <v>12</v>
      </c>
      <c r="P1179" s="89"/>
      <c r="Q1179" s="173" t="s">
        <v>522</v>
      </c>
      <c r="R1179" s="506" t="s">
        <v>2308</v>
      </c>
      <c r="S1179" s="89"/>
      <c r="T1179" s="214"/>
      <c r="U1179" s="171" t="s">
        <v>2308</v>
      </c>
      <c r="V1179" s="102">
        <v>0</v>
      </c>
      <c r="W1179" s="120">
        <v>0</v>
      </c>
      <c r="X1179" s="120">
        <v>0</v>
      </c>
      <c r="Y1179" s="120">
        <v>0</v>
      </c>
      <c r="Z1179" s="120">
        <v>0</v>
      </c>
      <c r="AA1179" s="17">
        <v>69</v>
      </c>
      <c r="AB1179" s="17">
        <v>0</v>
      </c>
      <c r="AC1179" s="17">
        <v>0</v>
      </c>
      <c r="AD1179" s="17">
        <v>0.20100000000000001</v>
      </c>
      <c r="AE1179" s="17">
        <v>0</v>
      </c>
      <c r="AF1179" s="17">
        <v>0</v>
      </c>
      <c r="AG1179" s="17">
        <v>0</v>
      </c>
      <c r="AH1179" s="17">
        <v>0</v>
      </c>
      <c r="AI1179" s="17">
        <v>0</v>
      </c>
      <c r="AJ1179" s="17">
        <v>0</v>
      </c>
      <c r="AK1179" s="17">
        <v>0</v>
      </c>
      <c r="AL1179" s="32">
        <v>0</v>
      </c>
      <c r="AM1179" s="57"/>
      <c r="AN1179" s="89"/>
      <c r="AO1179" s="280"/>
      <c r="AP1179" s="784"/>
      <c r="AQ1179" s="17" t="s">
        <v>1755</v>
      </c>
      <c r="AR1179" s="174">
        <v>10</v>
      </c>
      <c r="AS1179" s="171"/>
      <c r="AT1179" s="171">
        <v>160</v>
      </c>
      <c r="AU1179" s="255">
        <f t="shared" si="93"/>
        <v>4.7058823529411766</v>
      </c>
      <c r="AV1179" s="172">
        <v>97</v>
      </c>
      <c r="AW1179" s="171">
        <v>1</v>
      </c>
      <c r="AX1179" s="89"/>
      <c r="AY1179" s="171">
        <v>20</v>
      </c>
      <c r="AZ1179" s="171">
        <v>0</v>
      </c>
      <c r="BA1179" s="175">
        <v>99</v>
      </c>
      <c r="BB1179" s="189" t="s">
        <v>2518</v>
      </c>
      <c r="BC1179" s="190"/>
      <c r="BD1179" s="177"/>
      <c r="BE1179" s="177"/>
      <c r="BF1179" s="178" t="s">
        <v>2518</v>
      </c>
    </row>
    <row r="1180" spans="1:58">
      <c r="A1180" s="95">
        <v>1179</v>
      </c>
      <c r="B1180" s="211" t="s">
        <v>1882</v>
      </c>
      <c r="C1180" s="191" t="s">
        <v>1753</v>
      </c>
      <c r="D1180" s="171" t="s">
        <v>254</v>
      </c>
      <c r="E1180" s="463" t="s">
        <v>3377</v>
      </c>
      <c r="F1180" s="171">
        <v>2009</v>
      </c>
      <c r="G1180" s="171">
        <v>292</v>
      </c>
      <c r="H1180" s="172" t="s">
        <v>1738</v>
      </c>
      <c r="I1180" s="173" t="s">
        <v>1752</v>
      </c>
      <c r="J1180" s="212">
        <v>0.59</v>
      </c>
      <c r="K1180" s="213">
        <v>3.01</v>
      </c>
      <c r="L1180" s="91"/>
      <c r="M1180" s="171">
        <v>472</v>
      </c>
      <c r="N1180" s="171"/>
      <c r="O1180" s="172" t="s">
        <v>12</v>
      </c>
      <c r="P1180" s="89"/>
      <c r="Q1180" s="173" t="s">
        <v>522</v>
      </c>
      <c r="R1180" s="506" t="s">
        <v>2308</v>
      </c>
      <c r="S1180" s="89"/>
      <c r="T1180" s="214"/>
      <c r="U1180" s="171" t="s">
        <v>2308</v>
      </c>
      <c r="V1180" s="102">
        <v>0</v>
      </c>
      <c r="W1180" s="120">
        <v>0</v>
      </c>
      <c r="X1180" s="120">
        <v>0</v>
      </c>
      <c r="Y1180" s="120">
        <v>0</v>
      </c>
      <c r="Z1180" s="120">
        <v>0</v>
      </c>
      <c r="AA1180" s="17">
        <v>27</v>
      </c>
      <c r="AB1180" s="17">
        <v>0</v>
      </c>
      <c r="AC1180" s="17">
        <v>0</v>
      </c>
      <c r="AD1180" s="17">
        <v>0.20100000000000001</v>
      </c>
      <c r="AE1180" s="17">
        <v>0</v>
      </c>
      <c r="AF1180" s="17">
        <v>0</v>
      </c>
      <c r="AG1180" s="17">
        <v>0</v>
      </c>
      <c r="AH1180" s="17">
        <v>0</v>
      </c>
      <c r="AI1180" s="17">
        <v>0</v>
      </c>
      <c r="AJ1180" s="17">
        <v>0</v>
      </c>
      <c r="AK1180" s="17">
        <v>0</v>
      </c>
      <c r="AL1180" s="32">
        <v>0</v>
      </c>
      <c r="AM1180" s="57"/>
      <c r="AN1180" s="89"/>
      <c r="AO1180" s="280"/>
      <c r="AP1180" s="784"/>
      <c r="AQ1180" s="17" t="s">
        <v>1755</v>
      </c>
      <c r="AR1180" s="174">
        <v>10</v>
      </c>
      <c r="AS1180" s="171"/>
      <c r="AT1180" s="171">
        <v>160</v>
      </c>
      <c r="AU1180" s="255">
        <f t="shared" si="93"/>
        <v>4.7058823529411766</v>
      </c>
      <c r="AV1180" s="172">
        <v>97</v>
      </c>
      <c r="AW1180" s="171">
        <v>1</v>
      </c>
      <c r="AX1180" s="89"/>
      <c r="AY1180" s="171">
        <v>20</v>
      </c>
      <c r="AZ1180" s="171">
        <v>0</v>
      </c>
      <c r="BA1180" s="175">
        <v>99</v>
      </c>
      <c r="BB1180" s="189" t="s">
        <v>2518</v>
      </c>
      <c r="BC1180" s="190"/>
      <c r="BD1180" s="177"/>
      <c r="BE1180" s="177"/>
      <c r="BF1180" s="178" t="s">
        <v>2518</v>
      </c>
    </row>
    <row r="1181" spans="1:58">
      <c r="A1181" s="95">
        <v>1180</v>
      </c>
      <c r="B1181" s="211" t="s">
        <v>1883</v>
      </c>
      <c r="C1181" s="191" t="s">
        <v>1753</v>
      </c>
      <c r="D1181" s="171" t="s">
        <v>254</v>
      </c>
      <c r="E1181" s="463" t="s">
        <v>3377</v>
      </c>
      <c r="F1181" s="171">
        <v>2009</v>
      </c>
      <c r="G1181" s="171">
        <v>292</v>
      </c>
      <c r="H1181" s="172" t="s">
        <v>1738</v>
      </c>
      <c r="I1181" s="173" t="s">
        <v>1752</v>
      </c>
      <c r="J1181" s="212">
        <v>0.59</v>
      </c>
      <c r="K1181" s="213">
        <v>3.01</v>
      </c>
      <c r="L1181" s="91"/>
      <c r="M1181" s="171">
        <v>472</v>
      </c>
      <c r="N1181" s="171"/>
      <c r="O1181" s="172" t="s">
        <v>12</v>
      </c>
      <c r="P1181" s="89"/>
      <c r="Q1181" s="173" t="s">
        <v>522</v>
      </c>
      <c r="R1181" s="506" t="s">
        <v>2308</v>
      </c>
      <c r="S1181" s="89"/>
      <c r="T1181" s="214"/>
      <c r="U1181" s="171" t="s">
        <v>2308</v>
      </c>
      <c r="V1181" s="102">
        <v>0</v>
      </c>
      <c r="W1181" s="120">
        <v>0</v>
      </c>
      <c r="X1181" s="120">
        <v>0</v>
      </c>
      <c r="Y1181" s="120">
        <v>0</v>
      </c>
      <c r="Z1181" s="120">
        <v>0</v>
      </c>
      <c r="AA1181" s="17">
        <v>37</v>
      </c>
      <c r="AB1181" s="17">
        <v>0</v>
      </c>
      <c r="AC1181" s="17">
        <v>0</v>
      </c>
      <c r="AD1181" s="17">
        <v>0.20100000000000001</v>
      </c>
      <c r="AE1181" s="17">
        <v>0</v>
      </c>
      <c r="AF1181" s="17">
        <v>0</v>
      </c>
      <c r="AG1181" s="17">
        <v>0</v>
      </c>
      <c r="AH1181" s="17">
        <v>0</v>
      </c>
      <c r="AI1181" s="17">
        <v>0</v>
      </c>
      <c r="AJ1181" s="17">
        <v>0</v>
      </c>
      <c r="AK1181" s="17">
        <v>0</v>
      </c>
      <c r="AL1181" s="32">
        <v>0</v>
      </c>
      <c r="AM1181" s="57"/>
      <c r="AN1181" s="89"/>
      <c r="AO1181" s="280"/>
      <c r="AP1181" s="784"/>
      <c r="AQ1181" s="17" t="s">
        <v>1755</v>
      </c>
      <c r="AR1181" s="174">
        <v>10</v>
      </c>
      <c r="AS1181" s="171"/>
      <c r="AT1181" s="171">
        <v>160</v>
      </c>
      <c r="AU1181" s="255">
        <f t="shared" si="93"/>
        <v>4.7058823529411766</v>
      </c>
      <c r="AV1181" s="172">
        <v>97</v>
      </c>
      <c r="AW1181" s="171">
        <v>1</v>
      </c>
      <c r="AX1181" s="89"/>
      <c r="AY1181" s="171">
        <v>20</v>
      </c>
      <c r="AZ1181" s="171">
        <v>0</v>
      </c>
      <c r="BA1181" s="175">
        <v>99</v>
      </c>
      <c r="BB1181" s="189" t="s">
        <v>2518</v>
      </c>
      <c r="BC1181" s="190"/>
      <c r="BD1181" s="177"/>
      <c r="BE1181" s="177"/>
      <c r="BF1181" s="178" t="s">
        <v>2518</v>
      </c>
    </row>
    <row r="1182" spans="1:58">
      <c r="A1182" s="95">
        <v>1181</v>
      </c>
      <c r="B1182" s="211" t="s">
        <v>1884</v>
      </c>
      <c r="C1182" s="191" t="s">
        <v>1753</v>
      </c>
      <c r="D1182" s="171" t="s">
        <v>254</v>
      </c>
      <c r="E1182" s="463" t="s">
        <v>3377</v>
      </c>
      <c r="F1182" s="171">
        <v>2009</v>
      </c>
      <c r="G1182" s="171">
        <v>292</v>
      </c>
      <c r="H1182" s="172" t="s">
        <v>1738</v>
      </c>
      <c r="I1182" s="173" t="s">
        <v>1752</v>
      </c>
      <c r="J1182" s="212">
        <v>0.59</v>
      </c>
      <c r="K1182" s="213">
        <v>3.01</v>
      </c>
      <c r="L1182" s="91"/>
      <c r="M1182" s="171">
        <v>472</v>
      </c>
      <c r="N1182" s="171"/>
      <c r="O1182" s="172" t="s">
        <v>12</v>
      </c>
      <c r="P1182" s="89"/>
      <c r="Q1182" s="173" t="s">
        <v>522</v>
      </c>
      <c r="R1182" s="506" t="s">
        <v>2308</v>
      </c>
      <c r="S1182" s="89"/>
      <c r="T1182" s="214"/>
      <c r="U1182" s="171" t="s">
        <v>2308</v>
      </c>
      <c r="V1182" s="102">
        <v>0</v>
      </c>
      <c r="W1182" s="120">
        <v>0</v>
      </c>
      <c r="X1182" s="120">
        <v>0</v>
      </c>
      <c r="Y1182" s="120">
        <v>0</v>
      </c>
      <c r="Z1182" s="120">
        <v>0</v>
      </c>
      <c r="AA1182" s="17">
        <v>47</v>
      </c>
      <c r="AB1182" s="17">
        <v>0</v>
      </c>
      <c r="AC1182" s="17">
        <v>0</v>
      </c>
      <c r="AD1182" s="17">
        <v>0.20100000000000001</v>
      </c>
      <c r="AE1182" s="17">
        <v>0</v>
      </c>
      <c r="AF1182" s="17">
        <v>0</v>
      </c>
      <c r="AG1182" s="17">
        <v>0</v>
      </c>
      <c r="AH1182" s="17">
        <v>0</v>
      </c>
      <c r="AI1182" s="17">
        <v>0</v>
      </c>
      <c r="AJ1182" s="17">
        <v>0</v>
      </c>
      <c r="AK1182" s="17">
        <v>0</v>
      </c>
      <c r="AL1182" s="32">
        <v>0</v>
      </c>
      <c r="AM1182" s="57"/>
      <c r="AN1182" s="89"/>
      <c r="AO1182" s="280"/>
      <c r="AP1182" s="784"/>
      <c r="AQ1182" s="17" t="s">
        <v>1755</v>
      </c>
      <c r="AR1182" s="174">
        <v>10</v>
      </c>
      <c r="AS1182" s="171"/>
      <c r="AT1182" s="171">
        <v>160</v>
      </c>
      <c r="AU1182" s="255">
        <f t="shared" si="93"/>
        <v>4.7058823529411766</v>
      </c>
      <c r="AV1182" s="172">
        <v>97</v>
      </c>
      <c r="AW1182" s="171">
        <v>1</v>
      </c>
      <c r="AX1182" s="89"/>
      <c r="AY1182" s="171">
        <v>20</v>
      </c>
      <c r="AZ1182" s="171">
        <v>0</v>
      </c>
      <c r="BA1182" s="175">
        <v>99</v>
      </c>
      <c r="BB1182" s="189" t="s">
        <v>2518</v>
      </c>
      <c r="BC1182" s="190"/>
      <c r="BD1182" s="177"/>
      <c r="BE1182" s="177"/>
      <c r="BF1182" s="178" t="s">
        <v>2518</v>
      </c>
    </row>
    <row r="1183" spans="1:58">
      <c r="A1183" s="95">
        <v>1182</v>
      </c>
      <c r="B1183" s="211" t="s">
        <v>1885</v>
      </c>
      <c r="C1183" s="191" t="s">
        <v>1753</v>
      </c>
      <c r="D1183" s="171" t="s">
        <v>254</v>
      </c>
      <c r="E1183" s="463" t="s">
        <v>3377</v>
      </c>
      <c r="F1183" s="171">
        <v>2009</v>
      </c>
      <c r="G1183" s="171">
        <v>292</v>
      </c>
      <c r="H1183" s="172" t="s">
        <v>1738</v>
      </c>
      <c r="I1183" s="173" t="s">
        <v>1752</v>
      </c>
      <c r="J1183" s="212">
        <v>0.59</v>
      </c>
      <c r="K1183" s="213">
        <v>3.01</v>
      </c>
      <c r="L1183" s="91"/>
      <c r="M1183" s="171">
        <v>472</v>
      </c>
      <c r="N1183" s="171"/>
      <c r="O1183" s="172" t="s">
        <v>12</v>
      </c>
      <c r="P1183" s="89"/>
      <c r="Q1183" s="173" t="s">
        <v>522</v>
      </c>
      <c r="R1183" s="506" t="s">
        <v>2308</v>
      </c>
      <c r="S1183" s="89"/>
      <c r="T1183" s="214"/>
      <c r="U1183" s="171" t="s">
        <v>2308</v>
      </c>
      <c r="V1183" s="102">
        <v>0</v>
      </c>
      <c r="W1183" s="120">
        <v>0</v>
      </c>
      <c r="X1183" s="120">
        <v>0</v>
      </c>
      <c r="Y1183" s="120">
        <v>0</v>
      </c>
      <c r="Z1183" s="120">
        <v>0</v>
      </c>
      <c r="AA1183" s="17">
        <v>57</v>
      </c>
      <c r="AB1183" s="17">
        <v>0</v>
      </c>
      <c r="AC1183" s="17">
        <v>0</v>
      </c>
      <c r="AD1183" s="17">
        <v>0.20100000000000001</v>
      </c>
      <c r="AE1183" s="17">
        <v>0</v>
      </c>
      <c r="AF1183" s="17">
        <v>0</v>
      </c>
      <c r="AG1183" s="17">
        <v>0</v>
      </c>
      <c r="AH1183" s="17">
        <v>0</v>
      </c>
      <c r="AI1183" s="17">
        <v>0</v>
      </c>
      <c r="AJ1183" s="17">
        <v>0</v>
      </c>
      <c r="AK1183" s="17">
        <v>0</v>
      </c>
      <c r="AL1183" s="32">
        <v>0</v>
      </c>
      <c r="AM1183" s="57"/>
      <c r="AN1183" s="89"/>
      <c r="AO1183" s="280"/>
      <c r="AP1183" s="784"/>
      <c r="AQ1183" s="17" t="s">
        <v>1755</v>
      </c>
      <c r="AR1183" s="174">
        <v>10</v>
      </c>
      <c r="AS1183" s="171"/>
      <c r="AT1183" s="171">
        <v>160</v>
      </c>
      <c r="AU1183" s="255">
        <f t="shared" si="93"/>
        <v>4.7058823529411766</v>
      </c>
      <c r="AV1183" s="172">
        <v>97</v>
      </c>
      <c r="AW1183" s="171">
        <v>1</v>
      </c>
      <c r="AX1183" s="89"/>
      <c r="AY1183" s="171">
        <v>20</v>
      </c>
      <c r="AZ1183" s="171">
        <v>0</v>
      </c>
      <c r="BA1183" s="175">
        <v>99</v>
      </c>
      <c r="BB1183" s="189" t="s">
        <v>2518</v>
      </c>
      <c r="BC1183" s="190"/>
      <c r="BD1183" s="177"/>
      <c r="BE1183" s="177"/>
      <c r="BF1183" s="178" t="s">
        <v>2518</v>
      </c>
    </row>
    <row r="1184" spans="1:58" ht="15" customHeight="1">
      <c r="A1184" s="95">
        <v>1183</v>
      </c>
      <c r="B1184" s="211" t="s">
        <v>281</v>
      </c>
      <c r="C1184" s="191" t="s">
        <v>426</v>
      </c>
      <c r="D1184" s="171" t="s">
        <v>254</v>
      </c>
      <c r="E1184" s="463" t="s">
        <v>3377</v>
      </c>
      <c r="F1184" s="171">
        <v>2005</v>
      </c>
      <c r="G1184" s="171">
        <v>293</v>
      </c>
      <c r="H1184" s="172" t="s">
        <v>1738</v>
      </c>
      <c r="I1184" s="173" t="s">
        <v>1743</v>
      </c>
      <c r="J1184" s="212">
        <v>0.67</v>
      </c>
      <c r="K1184" s="213">
        <v>5.3</v>
      </c>
      <c r="L1184" s="91"/>
      <c r="M1184" s="171">
        <v>315</v>
      </c>
      <c r="N1184" s="171"/>
      <c r="O1184" s="172" t="s">
        <v>12</v>
      </c>
      <c r="P1184" s="89"/>
      <c r="Q1184" s="173" t="s">
        <v>522</v>
      </c>
      <c r="R1184" s="89"/>
      <c r="S1184" s="89"/>
      <c r="T1184" s="214" t="s">
        <v>2319</v>
      </c>
      <c r="U1184" s="214" t="s">
        <v>2309</v>
      </c>
      <c r="V1184" s="102">
        <v>0</v>
      </c>
      <c r="W1184" s="120">
        <v>0</v>
      </c>
      <c r="X1184" s="120">
        <v>0</v>
      </c>
      <c r="Y1184" s="120">
        <v>0</v>
      </c>
      <c r="Z1184" s="120">
        <v>0</v>
      </c>
      <c r="AA1184" s="17">
        <v>48</v>
      </c>
      <c r="AB1184" s="17">
        <v>0</v>
      </c>
      <c r="AC1184" s="17">
        <v>0</v>
      </c>
      <c r="AD1184" s="17">
        <v>0</v>
      </c>
      <c r="AE1184" s="17">
        <v>0</v>
      </c>
      <c r="AF1184" s="17">
        <v>2.2200000000000002</v>
      </c>
      <c r="AG1184" s="17">
        <v>0</v>
      </c>
      <c r="AH1184" s="17">
        <v>0</v>
      </c>
      <c r="AI1184" s="17">
        <v>0</v>
      </c>
      <c r="AJ1184" s="17">
        <v>0</v>
      </c>
      <c r="AK1184" s="17">
        <v>0</v>
      </c>
      <c r="AL1184" s="32">
        <v>0</v>
      </c>
      <c r="AM1184" s="172">
        <v>25.5</v>
      </c>
      <c r="AN1184" s="89"/>
      <c r="AO1184" s="280"/>
      <c r="AP1184" s="784"/>
      <c r="AQ1184" s="17" t="s">
        <v>268</v>
      </c>
      <c r="AR1184" s="174">
        <v>55</v>
      </c>
      <c r="AS1184" s="171"/>
      <c r="AT1184" s="171">
        <v>220</v>
      </c>
      <c r="AU1184" s="255">
        <f t="shared" si="93"/>
        <v>22</v>
      </c>
      <c r="AV1184" s="57"/>
      <c r="AW1184" s="171">
        <v>1</v>
      </c>
      <c r="AX1184" s="89"/>
      <c r="AY1184" s="89"/>
      <c r="AZ1184" s="171">
        <v>0</v>
      </c>
      <c r="BA1184" s="89"/>
      <c r="BB1184" s="259"/>
      <c r="BC1184" s="190"/>
      <c r="BD1184" s="177"/>
      <c r="BE1184" s="177"/>
      <c r="BF1184" s="178" t="s">
        <v>541</v>
      </c>
    </row>
    <row r="1185" spans="1:58" ht="15" customHeight="1">
      <c r="A1185" s="95">
        <v>1184</v>
      </c>
      <c r="B1185" s="211" t="s">
        <v>282</v>
      </c>
      <c r="C1185" s="191" t="s">
        <v>426</v>
      </c>
      <c r="D1185" s="171" t="s">
        <v>254</v>
      </c>
      <c r="E1185" s="463" t="s">
        <v>3377</v>
      </c>
      <c r="F1185" s="171">
        <v>2005</v>
      </c>
      <c r="G1185" s="171">
        <v>293</v>
      </c>
      <c r="H1185" s="172" t="s">
        <v>1738</v>
      </c>
      <c r="I1185" s="173" t="s">
        <v>1743</v>
      </c>
      <c r="J1185" s="212">
        <v>0.53</v>
      </c>
      <c r="K1185" s="213">
        <v>4.8</v>
      </c>
      <c r="L1185" s="91"/>
      <c r="M1185" s="171">
        <v>350</v>
      </c>
      <c r="N1185" s="171"/>
      <c r="O1185" s="172" t="s">
        <v>12</v>
      </c>
      <c r="P1185" s="89"/>
      <c r="Q1185" s="173" t="s">
        <v>522</v>
      </c>
      <c r="R1185" s="89"/>
      <c r="S1185" s="89"/>
      <c r="T1185" s="214" t="s">
        <v>2319</v>
      </c>
      <c r="U1185" s="214" t="s">
        <v>2309</v>
      </c>
      <c r="V1185" s="102">
        <v>0</v>
      </c>
      <c r="W1185" s="120">
        <v>0</v>
      </c>
      <c r="X1185" s="120">
        <v>0</v>
      </c>
      <c r="Y1185" s="120">
        <v>0</v>
      </c>
      <c r="Z1185" s="120">
        <v>0</v>
      </c>
      <c r="AA1185" s="17">
        <v>40</v>
      </c>
      <c r="AB1185" s="17">
        <v>0</v>
      </c>
      <c r="AC1185" s="17">
        <v>0</v>
      </c>
      <c r="AD1185" s="17">
        <v>0</v>
      </c>
      <c r="AE1185" s="17">
        <v>0</v>
      </c>
      <c r="AF1185" s="17">
        <v>3.8</v>
      </c>
      <c r="AG1185" s="17">
        <v>0</v>
      </c>
      <c r="AH1185" s="17">
        <v>0</v>
      </c>
      <c r="AI1185" s="17">
        <v>0</v>
      </c>
      <c r="AJ1185" s="17">
        <v>0</v>
      </c>
      <c r="AK1185" s="17">
        <v>0</v>
      </c>
      <c r="AL1185" s="32">
        <v>0</v>
      </c>
      <c r="AM1185" s="172">
        <v>49.3</v>
      </c>
      <c r="AN1185" s="89"/>
      <c r="AO1185" s="280"/>
      <c r="AP1185" s="784"/>
      <c r="AQ1185" s="17" t="s">
        <v>268</v>
      </c>
      <c r="AR1185" s="174">
        <v>55</v>
      </c>
      <c r="AS1185" s="171"/>
      <c r="AT1185" s="171">
        <v>220</v>
      </c>
      <c r="AU1185" s="255">
        <f t="shared" si="93"/>
        <v>22</v>
      </c>
      <c r="AV1185" s="57"/>
      <c r="AW1185" s="171">
        <v>1</v>
      </c>
      <c r="AX1185" s="89"/>
      <c r="AY1185" s="89"/>
      <c r="AZ1185" s="171">
        <v>0</v>
      </c>
      <c r="BA1185" s="89"/>
      <c r="BB1185" s="259"/>
      <c r="BC1185" s="190"/>
      <c r="BD1185" s="177"/>
      <c r="BE1185" s="177"/>
      <c r="BF1185" s="178" t="s">
        <v>541</v>
      </c>
    </row>
    <row r="1186" spans="1:58" ht="15" customHeight="1">
      <c r="A1186" s="95">
        <v>1185</v>
      </c>
      <c r="B1186" s="211" t="s">
        <v>283</v>
      </c>
      <c r="C1186" s="191" t="s">
        <v>426</v>
      </c>
      <c r="D1186" s="171" t="s">
        <v>254</v>
      </c>
      <c r="E1186" s="463" t="s">
        <v>3377</v>
      </c>
      <c r="F1186" s="171">
        <v>2005</v>
      </c>
      <c r="G1186" s="171">
        <v>293</v>
      </c>
      <c r="H1186" s="172" t="s">
        <v>1738</v>
      </c>
      <c r="I1186" s="173" t="s">
        <v>1743</v>
      </c>
      <c r="J1186" s="212">
        <v>0.42</v>
      </c>
      <c r="K1186" s="213">
        <v>3.73</v>
      </c>
      <c r="L1186" s="91"/>
      <c r="M1186" s="171">
        <v>450</v>
      </c>
      <c r="N1186" s="171"/>
      <c r="O1186" s="172" t="s">
        <v>12</v>
      </c>
      <c r="P1186" s="89"/>
      <c r="Q1186" s="173" t="s">
        <v>522</v>
      </c>
      <c r="R1186" s="89"/>
      <c r="S1186" s="89"/>
      <c r="T1186" s="214" t="s">
        <v>2319</v>
      </c>
      <c r="U1186" s="214" t="s">
        <v>2309</v>
      </c>
      <c r="V1186" s="102">
        <v>0</v>
      </c>
      <c r="W1186" s="120">
        <v>0</v>
      </c>
      <c r="X1186" s="120">
        <v>0</v>
      </c>
      <c r="Y1186" s="120">
        <v>0</v>
      </c>
      <c r="Z1186" s="120">
        <v>0</v>
      </c>
      <c r="AA1186" s="17">
        <v>16</v>
      </c>
      <c r="AB1186" s="17">
        <v>0</v>
      </c>
      <c r="AC1186" s="17">
        <v>0</v>
      </c>
      <c r="AD1186" s="17">
        <v>0</v>
      </c>
      <c r="AE1186" s="17">
        <v>0</v>
      </c>
      <c r="AF1186" s="17">
        <v>3</v>
      </c>
      <c r="AG1186" s="17">
        <v>0</v>
      </c>
      <c r="AH1186" s="17">
        <v>0</v>
      </c>
      <c r="AI1186" s="17">
        <v>0</v>
      </c>
      <c r="AJ1186" s="17">
        <v>0</v>
      </c>
      <c r="AK1186" s="17">
        <v>0</v>
      </c>
      <c r="AL1186" s="32">
        <v>0</v>
      </c>
      <c r="AM1186" s="172">
        <v>69.2</v>
      </c>
      <c r="AN1186" s="89"/>
      <c r="AO1186" s="280"/>
      <c r="AP1186" s="784"/>
      <c r="AQ1186" s="17" t="s">
        <v>268</v>
      </c>
      <c r="AR1186" s="174">
        <v>55</v>
      </c>
      <c r="AS1186" s="171"/>
      <c r="AT1186" s="171">
        <v>220</v>
      </c>
      <c r="AU1186" s="255">
        <f t="shared" si="93"/>
        <v>22</v>
      </c>
      <c r="AV1186" s="57"/>
      <c r="AW1186" s="171">
        <v>1</v>
      </c>
      <c r="AX1186" s="89"/>
      <c r="AY1186" s="89"/>
      <c r="AZ1186" s="171">
        <v>0</v>
      </c>
      <c r="BA1186" s="89"/>
      <c r="BB1186" s="259"/>
      <c r="BC1186" s="190"/>
      <c r="BD1186" s="177"/>
      <c r="BE1186" s="177"/>
      <c r="BF1186" s="178" t="s">
        <v>541</v>
      </c>
    </row>
    <row r="1187" spans="1:58" ht="15" customHeight="1">
      <c r="A1187" s="95">
        <v>1186</v>
      </c>
      <c r="B1187" s="211" t="s">
        <v>284</v>
      </c>
      <c r="C1187" s="191" t="s">
        <v>426</v>
      </c>
      <c r="D1187" s="171" t="s">
        <v>254</v>
      </c>
      <c r="E1187" s="463" t="s">
        <v>3377</v>
      </c>
      <c r="F1187" s="171">
        <v>2005</v>
      </c>
      <c r="G1187" s="171">
        <v>293</v>
      </c>
      <c r="H1187" s="172" t="s">
        <v>1738</v>
      </c>
      <c r="I1187" s="173" t="s">
        <v>1743</v>
      </c>
      <c r="J1187" s="212">
        <v>0.6</v>
      </c>
      <c r="K1187" s="213">
        <v>5.78</v>
      </c>
      <c r="L1187" s="91"/>
      <c r="M1187" s="171">
        <v>315</v>
      </c>
      <c r="N1187" s="171"/>
      <c r="O1187" s="172" t="s">
        <v>12</v>
      </c>
      <c r="P1187" s="89"/>
      <c r="Q1187" s="173" t="s">
        <v>522</v>
      </c>
      <c r="R1187" s="89"/>
      <c r="S1187" s="89"/>
      <c r="T1187" s="214" t="s">
        <v>2319</v>
      </c>
      <c r="U1187" s="214" t="s">
        <v>2309</v>
      </c>
      <c r="V1187" s="102">
        <v>0</v>
      </c>
      <c r="W1187" s="120">
        <v>0</v>
      </c>
      <c r="X1187" s="120">
        <v>0</v>
      </c>
      <c r="Y1187" s="120">
        <v>0</v>
      </c>
      <c r="Z1187" s="120">
        <v>0</v>
      </c>
      <c r="AA1187" s="17">
        <v>0</v>
      </c>
      <c r="AB1187" s="17">
        <v>0</v>
      </c>
      <c r="AC1187" s="17">
        <v>0</v>
      </c>
      <c r="AD1187" s="17">
        <v>0</v>
      </c>
      <c r="AE1187" s="17">
        <v>0</v>
      </c>
      <c r="AF1187" s="17">
        <v>0.63</v>
      </c>
      <c r="AG1187" s="17">
        <v>0</v>
      </c>
      <c r="AH1187" s="17">
        <v>0</v>
      </c>
      <c r="AI1187" s="17">
        <v>0</v>
      </c>
      <c r="AJ1187" s="17">
        <v>0</v>
      </c>
      <c r="AK1187" s="17">
        <v>0</v>
      </c>
      <c r="AL1187" s="32">
        <v>0</v>
      </c>
      <c r="AM1187" s="172">
        <v>20</v>
      </c>
      <c r="AN1187" s="89"/>
      <c r="AO1187" s="280"/>
      <c r="AP1187" s="784"/>
      <c r="AQ1187" s="17" t="s">
        <v>268</v>
      </c>
      <c r="AR1187" s="174">
        <v>55</v>
      </c>
      <c r="AS1187" s="171"/>
      <c r="AT1187" s="171">
        <v>220</v>
      </c>
      <c r="AU1187" s="255">
        <f t="shared" si="93"/>
        <v>22</v>
      </c>
      <c r="AV1187" s="57"/>
      <c r="AW1187" s="171">
        <v>1</v>
      </c>
      <c r="AX1187" s="89"/>
      <c r="AY1187" s="89"/>
      <c r="AZ1187" s="171">
        <v>0</v>
      </c>
      <c r="BA1187" s="89"/>
      <c r="BB1187" s="259"/>
      <c r="BC1187" s="190"/>
      <c r="BD1187" s="177"/>
      <c r="BE1187" s="177"/>
      <c r="BF1187" s="178" t="s">
        <v>541</v>
      </c>
    </row>
    <row r="1188" spans="1:58" ht="15" customHeight="1">
      <c r="A1188" s="95">
        <v>1187</v>
      </c>
      <c r="B1188" s="211" t="s">
        <v>285</v>
      </c>
      <c r="C1188" s="191" t="s">
        <v>426</v>
      </c>
      <c r="D1188" s="171" t="s">
        <v>254</v>
      </c>
      <c r="E1188" s="463" t="s">
        <v>3377</v>
      </c>
      <c r="F1188" s="171">
        <v>2005</v>
      </c>
      <c r="G1188" s="171">
        <v>293</v>
      </c>
      <c r="H1188" s="172" t="s">
        <v>1738</v>
      </c>
      <c r="I1188" s="173" t="s">
        <v>1743</v>
      </c>
      <c r="J1188" s="212">
        <v>0.5</v>
      </c>
      <c r="K1188" s="213">
        <v>5.19</v>
      </c>
      <c r="L1188" s="91"/>
      <c r="M1188" s="171">
        <v>350</v>
      </c>
      <c r="N1188" s="171"/>
      <c r="O1188" s="172" t="s">
        <v>12</v>
      </c>
      <c r="P1188" s="89"/>
      <c r="Q1188" s="173" t="s">
        <v>522</v>
      </c>
      <c r="R1188" s="89"/>
      <c r="S1188" s="89"/>
      <c r="T1188" s="214" t="s">
        <v>2319</v>
      </c>
      <c r="U1188" s="214" t="s">
        <v>2309</v>
      </c>
      <c r="V1188" s="102">
        <v>0</v>
      </c>
      <c r="W1188" s="120">
        <v>0</v>
      </c>
      <c r="X1188" s="120">
        <v>0</v>
      </c>
      <c r="Y1188" s="120">
        <v>0</v>
      </c>
      <c r="Z1188" s="120">
        <v>0</v>
      </c>
      <c r="AA1188" s="17">
        <v>0</v>
      </c>
      <c r="AB1188" s="17">
        <v>0</v>
      </c>
      <c r="AC1188" s="17">
        <v>0</v>
      </c>
      <c r="AD1188" s="17">
        <v>0</v>
      </c>
      <c r="AE1188" s="17">
        <v>0</v>
      </c>
      <c r="AF1188" s="17">
        <v>2.31</v>
      </c>
      <c r="AG1188" s="17">
        <v>0</v>
      </c>
      <c r="AH1188" s="17">
        <v>0</v>
      </c>
      <c r="AI1188" s="17">
        <v>0</v>
      </c>
      <c r="AJ1188" s="17">
        <v>0</v>
      </c>
      <c r="AK1188" s="17">
        <v>0</v>
      </c>
      <c r="AL1188" s="32">
        <v>0</v>
      </c>
      <c r="AM1188" s="172">
        <v>45.2</v>
      </c>
      <c r="AN1188" s="89"/>
      <c r="AO1188" s="280"/>
      <c r="AP1188" s="784"/>
      <c r="AQ1188" s="17" t="s">
        <v>268</v>
      </c>
      <c r="AR1188" s="174">
        <v>55</v>
      </c>
      <c r="AS1188" s="171"/>
      <c r="AT1188" s="171">
        <v>220</v>
      </c>
      <c r="AU1188" s="255">
        <f t="shared" si="93"/>
        <v>22</v>
      </c>
      <c r="AV1188" s="57"/>
      <c r="AW1188" s="171">
        <v>1</v>
      </c>
      <c r="AX1188" s="89"/>
      <c r="AY1188" s="89"/>
      <c r="AZ1188" s="171">
        <v>0</v>
      </c>
      <c r="BA1188" s="89"/>
      <c r="BB1188" s="259"/>
      <c r="BC1188" s="190"/>
      <c r="BD1188" s="177"/>
      <c r="BE1188" s="177"/>
      <c r="BF1188" s="178" t="s">
        <v>541</v>
      </c>
    </row>
    <row r="1189" spans="1:58" ht="15" customHeight="1">
      <c r="A1189" s="95">
        <v>1188</v>
      </c>
      <c r="B1189" s="211" t="s">
        <v>286</v>
      </c>
      <c r="C1189" s="191" t="s">
        <v>426</v>
      </c>
      <c r="D1189" s="171" t="s">
        <v>254</v>
      </c>
      <c r="E1189" s="463" t="s">
        <v>3377</v>
      </c>
      <c r="F1189" s="171">
        <v>2005</v>
      </c>
      <c r="G1189" s="171">
        <v>293</v>
      </c>
      <c r="H1189" s="172" t="s">
        <v>1738</v>
      </c>
      <c r="I1189" s="173" t="s">
        <v>1743</v>
      </c>
      <c r="J1189" s="212">
        <v>0.36</v>
      </c>
      <c r="K1189" s="213">
        <v>4.09</v>
      </c>
      <c r="L1189" s="91"/>
      <c r="M1189" s="171">
        <v>450</v>
      </c>
      <c r="N1189" s="171"/>
      <c r="O1189" s="172" t="s">
        <v>12</v>
      </c>
      <c r="P1189" s="89"/>
      <c r="Q1189" s="173" t="s">
        <v>522</v>
      </c>
      <c r="R1189" s="89"/>
      <c r="S1189" s="89"/>
      <c r="T1189" s="214" t="s">
        <v>2319</v>
      </c>
      <c r="U1189" s="214" t="s">
        <v>2309</v>
      </c>
      <c r="V1189" s="102">
        <v>0</v>
      </c>
      <c r="W1189" s="120">
        <v>0</v>
      </c>
      <c r="X1189" s="120">
        <v>0</v>
      </c>
      <c r="Y1189" s="120">
        <v>0</v>
      </c>
      <c r="Z1189" s="120">
        <v>0</v>
      </c>
      <c r="AA1189" s="17">
        <v>0</v>
      </c>
      <c r="AB1189" s="17">
        <v>0</v>
      </c>
      <c r="AC1189" s="17">
        <v>0</v>
      </c>
      <c r="AD1189" s="17">
        <v>0</v>
      </c>
      <c r="AE1189" s="17">
        <v>0</v>
      </c>
      <c r="AF1189" s="17">
        <v>1.31</v>
      </c>
      <c r="AG1189" s="17">
        <v>0</v>
      </c>
      <c r="AH1189" s="17">
        <v>0</v>
      </c>
      <c r="AI1189" s="17">
        <v>0</v>
      </c>
      <c r="AJ1189" s="17">
        <v>0</v>
      </c>
      <c r="AK1189" s="17">
        <v>0</v>
      </c>
      <c r="AL1189" s="32">
        <v>0</v>
      </c>
      <c r="AM1189" s="172">
        <v>68.599999999999994</v>
      </c>
      <c r="AN1189" s="89"/>
      <c r="AO1189" s="280"/>
      <c r="AP1189" s="784"/>
      <c r="AQ1189" s="17" t="s">
        <v>268</v>
      </c>
      <c r="AR1189" s="174">
        <v>55</v>
      </c>
      <c r="AS1189" s="171"/>
      <c r="AT1189" s="171">
        <v>220</v>
      </c>
      <c r="AU1189" s="255">
        <f t="shared" si="93"/>
        <v>22</v>
      </c>
      <c r="AV1189" s="57"/>
      <c r="AW1189" s="171">
        <v>1</v>
      </c>
      <c r="AX1189" s="89"/>
      <c r="AY1189" s="89"/>
      <c r="AZ1189" s="171">
        <v>0</v>
      </c>
      <c r="BA1189" s="89"/>
      <c r="BB1189" s="259"/>
      <c r="BC1189" s="190"/>
      <c r="BD1189" s="177"/>
      <c r="BE1189" s="177"/>
      <c r="BF1189" s="178" t="s">
        <v>541</v>
      </c>
    </row>
    <row r="1190" spans="1:58">
      <c r="A1190" s="95">
        <v>1189</v>
      </c>
      <c r="B1190" s="211" t="s">
        <v>1886</v>
      </c>
      <c r="C1190" s="191" t="s">
        <v>426</v>
      </c>
      <c r="D1190" s="171" t="s">
        <v>254</v>
      </c>
      <c r="E1190" s="463" t="s">
        <v>3377</v>
      </c>
      <c r="F1190" s="171">
        <v>2005</v>
      </c>
      <c r="G1190" s="171">
        <v>293</v>
      </c>
      <c r="H1190" s="172" t="s">
        <v>1738</v>
      </c>
      <c r="I1190" s="173" t="s">
        <v>1752</v>
      </c>
      <c r="J1190" s="212">
        <v>0.67</v>
      </c>
      <c r="K1190" s="213">
        <v>5.3</v>
      </c>
      <c r="L1190" s="91"/>
      <c r="M1190" s="171">
        <v>315</v>
      </c>
      <c r="N1190" s="171"/>
      <c r="O1190" s="172" t="s">
        <v>12</v>
      </c>
      <c r="P1190" s="89"/>
      <c r="Q1190" s="173" t="s">
        <v>522</v>
      </c>
      <c r="R1190" s="89"/>
      <c r="S1190" s="89"/>
      <c r="T1190" s="214" t="s">
        <v>2319</v>
      </c>
      <c r="U1190" s="214" t="s">
        <v>2309</v>
      </c>
      <c r="V1190" s="102">
        <v>0</v>
      </c>
      <c r="W1190" s="120">
        <v>0</v>
      </c>
      <c r="X1190" s="120">
        <v>0</v>
      </c>
      <c r="Y1190" s="120">
        <v>0</v>
      </c>
      <c r="Z1190" s="120">
        <v>0</v>
      </c>
      <c r="AA1190" s="17">
        <v>48</v>
      </c>
      <c r="AB1190" s="17">
        <v>0</v>
      </c>
      <c r="AC1190" s="17">
        <v>0</v>
      </c>
      <c r="AD1190" s="17">
        <v>0</v>
      </c>
      <c r="AE1190" s="17">
        <v>0</v>
      </c>
      <c r="AF1190" s="17">
        <v>2.2200000000000002</v>
      </c>
      <c r="AG1190" s="17">
        <v>0</v>
      </c>
      <c r="AH1190" s="17">
        <v>0</v>
      </c>
      <c r="AI1190" s="17">
        <v>0</v>
      </c>
      <c r="AJ1190" s="17">
        <v>0</v>
      </c>
      <c r="AK1190" s="17">
        <v>0</v>
      </c>
      <c r="AL1190" s="32">
        <v>0</v>
      </c>
      <c r="AM1190" s="172">
        <v>25.5</v>
      </c>
      <c r="AN1190" s="89"/>
      <c r="AO1190" s="280"/>
      <c r="AP1190" s="784"/>
      <c r="AQ1190" s="17" t="s">
        <v>268</v>
      </c>
      <c r="AR1190" s="174">
        <v>55</v>
      </c>
      <c r="AS1190" s="171"/>
      <c r="AT1190" s="171">
        <v>220</v>
      </c>
      <c r="AU1190" s="255">
        <f t="shared" si="93"/>
        <v>22</v>
      </c>
      <c r="AV1190" s="57"/>
      <c r="AW1190" s="171">
        <v>1</v>
      </c>
      <c r="AX1190" s="89"/>
      <c r="AY1190" s="89"/>
      <c r="AZ1190" s="171">
        <v>0</v>
      </c>
      <c r="BA1190" s="175">
        <v>99</v>
      </c>
      <c r="BB1190" s="259"/>
      <c r="BC1190" s="190"/>
      <c r="BD1190" s="177"/>
      <c r="BE1190" s="177"/>
      <c r="BF1190" s="178" t="s">
        <v>541</v>
      </c>
    </row>
    <row r="1191" spans="1:58">
      <c r="A1191" s="95">
        <v>1190</v>
      </c>
      <c r="B1191" s="211" t="s">
        <v>1887</v>
      </c>
      <c r="C1191" s="191" t="s">
        <v>426</v>
      </c>
      <c r="D1191" s="171" t="s">
        <v>254</v>
      </c>
      <c r="E1191" s="463" t="s">
        <v>3377</v>
      </c>
      <c r="F1191" s="171">
        <v>2005</v>
      </c>
      <c r="G1191" s="171">
        <v>293</v>
      </c>
      <c r="H1191" s="172" t="s">
        <v>1738</v>
      </c>
      <c r="I1191" s="173" t="s">
        <v>1752</v>
      </c>
      <c r="J1191" s="212">
        <v>0.53</v>
      </c>
      <c r="K1191" s="213">
        <v>4.8</v>
      </c>
      <c r="L1191" s="91"/>
      <c r="M1191" s="171">
        <v>350</v>
      </c>
      <c r="N1191" s="171"/>
      <c r="O1191" s="172" t="s">
        <v>12</v>
      </c>
      <c r="P1191" s="89"/>
      <c r="Q1191" s="173" t="s">
        <v>522</v>
      </c>
      <c r="R1191" s="89"/>
      <c r="S1191" s="89"/>
      <c r="T1191" s="214" t="s">
        <v>2319</v>
      </c>
      <c r="U1191" s="214" t="s">
        <v>2309</v>
      </c>
      <c r="V1191" s="102">
        <v>0</v>
      </c>
      <c r="W1191" s="120">
        <v>0</v>
      </c>
      <c r="X1191" s="120">
        <v>0</v>
      </c>
      <c r="Y1191" s="120">
        <v>0</v>
      </c>
      <c r="Z1191" s="120">
        <v>0</v>
      </c>
      <c r="AA1191" s="17">
        <v>40</v>
      </c>
      <c r="AB1191" s="17">
        <v>0</v>
      </c>
      <c r="AC1191" s="17">
        <v>0</v>
      </c>
      <c r="AD1191" s="17">
        <v>0</v>
      </c>
      <c r="AE1191" s="17">
        <v>0</v>
      </c>
      <c r="AF1191" s="17">
        <v>3.8</v>
      </c>
      <c r="AG1191" s="17">
        <v>0</v>
      </c>
      <c r="AH1191" s="17">
        <v>0</v>
      </c>
      <c r="AI1191" s="17">
        <v>0</v>
      </c>
      <c r="AJ1191" s="17">
        <v>0</v>
      </c>
      <c r="AK1191" s="17">
        <v>0</v>
      </c>
      <c r="AL1191" s="32">
        <v>0</v>
      </c>
      <c r="AM1191" s="172">
        <v>49.3</v>
      </c>
      <c r="AN1191" s="89"/>
      <c r="AO1191" s="280"/>
      <c r="AP1191" s="784"/>
      <c r="AQ1191" s="17" t="s">
        <v>268</v>
      </c>
      <c r="AR1191" s="174">
        <v>55</v>
      </c>
      <c r="AS1191" s="171"/>
      <c r="AT1191" s="171">
        <v>220</v>
      </c>
      <c r="AU1191" s="255">
        <f t="shared" si="93"/>
        <v>22</v>
      </c>
      <c r="AV1191" s="57"/>
      <c r="AW1191" s="171">
        <v>1</v>
      </c>
      <c r="AX1191" s="89"/>
      <c r="AY1191" s="89"/>
      <c r="AZ1191" s="171">
        <v>0</v>
      </c>
      <c r="BA1191" s="175">
        <v>99</v>
      </c>
      <c r="BB1191" s="259"/>
      <c r="BC1191" s="190"/>
      <c r="BD1191" s="177"/>
      <c r="BE1191" s="177"/>
      <c r="BF1191" s="178" t="s">
        <v>541</v>
      </c>
    </row>
    <row r="1192" spans="1:58">
      <c r="A1192" s="95">
        <v>1191</v>
      </c>
      <c r="B1192" s="211" t="s">
        <v>1888</v>
      </c>
      <c r="C1192" s="191" t="s">
        <v>426</v>
      </c>
      <c r="D1192" s="171" t="s">
        <v>254</v>
      </c>
      <c r="E1192" s="463" t="s">
        <v>3377</v>
      </c>
      <c r="F1192" s="171">
        <v>2005</v>
      </c>
      <c r="G1192" s="171">
        <v>293</v>
      </c>
      <c r="H1192" s="172" t="s">
        <v>1738</v>
      </c>
      <c r="I1192" s="173" t="s">
        <v>1752</v>
      </c>
      <c r="J1192" s="212">
        <v>0.42</v>
      </c>
      <c r="K1192" s="213">
        <v>3.73</v>
      </c>
      <c r="L1192" s="91"/>
      <c r="M1192" s="171">
        <v>450</v>
      </c>
      <c r="N1192" s="171"/>
      <c r="O1192" s="172" t="s">
        <v>12</v>
      </c>
      <c r="P1192" s="89"/>
      <c r="Q1192" s="173" t="s">
        <v>522</v>
      </c>
      <c r="R1192" s="89"/>
      <c r="S1192" s="89"/>
      <c r="T1192" s="214" t="s">
        <v>2319</v>
      </c>
      <c r="U1192" s="214" t="s">
        <v>2309</v>
      </c>
      <c r="V1192" s="102">
        <v>0</v>
      </c>
      <c r="W1192" s="120">
        <v>0</v>
      </c>
      <c r="X1192" s="120">
        <v>0</v>
      </c>
      <c r="Y1192" s="120">
        <v>0</v>
      </c>
      <c r="Z1192" s="120">
        <v>0</v>
      </c>
      <c r="AA1192" s="17">
        <v>16</v>
      </c>
      <c r="AB1192" s="17">
        <v>0</v>
      </c>
      <c r="AC1192" s="17">
        <v>0</v>
      </c>
      <c r="AD1192" s="17">
        <v>0</v>
      </c>
      <c r="AE1192" s="17">
        <v>0</v>
      </c>
      <c r="AF1192" s="17">
        <v>3</v>
      </c>
      <c r="AG1192" s="17">
        <v>0</v>
      </c>
      <c r="AH1192" s="17">
        <v>0</v>
      </c>
      <c r="AI1192" s="17">
        <v>0</v>
      </c>
      <c r="AJ1192" s="17">
        <v>0</v>
      </c>
      <c r="AK1192" s="17">
        <v>0</v>
      </c>
      <c r="AL1192" s="32">
        <v>0</v>
      </c>
      <c r="AM1192" s="172">
        <v>69.2</v>
      </c>
      <c r="AN1192" s="89"/>
      <c r="AO1192" s="280"/>
      <c r="AP1192" s="784"/>
      <c r="AQ1192" s="17" t="s">
        <v>268</v>
      </c>
      <c r="AR1192" s="174">
        <v>55</v>
      </c>
      <c r="AS1192" s="171"/>
      <c r="AT1192" s="171">
        <v>220</v>
      </c>
      <c r="AU1192" s="255">
        <f t="shared" si="93"/>
        <v>22</v>
      </c>
      <c r="AV1192" s="57"/>
      <c r="AW1192" s="171">
        <v>1</v>
      </c>
      <c r="AX1192" s="89"/>
      <c r="AY1192" s="89"/>
      <c r="AZ1192" s="171">
        <v>0</v>
      </c>
      <c r="BA1192" s="175">
        <v>99</v>
      </c>
      <c r="BB1192" s="259"/>
      <c r="BC1192" s="190"/>
      <c r="BD1192" s="177"/>
      <c r="BE1192" s="177"/>
      <c r="BF1192" s="178" t="s">
        <v>541</v>
      </c>
    </row>
    <row r="1193" spans="1:58">
      <c r="A1193" s="95">
        <v>1192</v>
      </c>
      <c r="B1193" s="211" t="s">
        <v>1889</v>
      </c>
      <c r="C1193" s="191" t="s">
        <v>426</v>
      </c>
      <c r="D1193" s="171" t="s">
        <v>254</v>
      </c>
      <c r="E1193" s="463" t="s">
        <v>3377</v>
      </c>
      <c r="F1193" s="171">
        <v>2005</v>
      </c>
      <c r="G1193" s="171">
        <v>293</v>
      </c>
      <c r="H1193" s="172" t="s">
        <v>1738</v>
      </c>
      <c r="I1193" s="173" t="s">
        <v>1752</v>
      </c>
      <c r="J1193" s="212">
        <v>0.6</v>
      </c>
      <c r="K1193" s="213">
        <v>5.78</v>
      </c>
      <c r="L1193" s="91"/>
      <c r="M1193" s="171">
        <v>315</v>
      </c>
      <c r="N1193" s="171"/>
      <c r="O1193" s="172" t="s">
        <v>12</v>
      </c>
      <c r="P1193" s="89"/>
      <c r="Q1193" s="173" t="s">
        <v>522</v>
      </c>
      <c r="R1193" s="89"/>
      <c r="S1193" s="89"/>
      <c r="T1193" s="214" t="s">
        <v>2319</v>
      </c>
      <c r="U1193" s="214" t="s">
        <v>2309</v>
      </c>
      <c r="V1193" s="102">
        <v>0</v>
      </c>
      <c r="W1193" s="120">
        <v>0</v>
      </c>
      <c r="X1193" s="120">
        <v>0</v>
      </c>
      <c r="Y1193" s="120">
        <v>0</v>
      </c>
      <c r="Z1193" s="120">
        <v>0</v>
      </c>
      <c r="AA1193" s="17">
        <v>0</v>
      </c>
      <c r="AB1193" s="17">
        <v>0</v>
      </c>
      <c r="AC1193" s="17">
        <v>0</v>
      </c>
      <c r="AD1193" s="17">
        <v>0</v>
      </c>
      <c r="AE1193" s="17">
        <v>0</v>
      </c>
      <c r="AF1193" s="17">
        <v>0.63</v>
      </c>
      <c r="AG1193" s="17">
        <v>0</v>
      </c>
      <c r="AH1193" s="17">
        <v>0</v>
      </c>
      <c r="AI1193" s="17">
        <v>0</v>
      </c>
      <c r="AJ1193" s="17">
        <v>0</v>
      </c>
      <c r="AK1193" s="17">
        <v>0</v>
      </c>
      <c r="AL1193" s="32">
        <v>0</v>
      </c>
      <c r="AM1193" s="172">
        <v>20</v>
      </c>
      <c r="AN1193" s="89"/>
      <c r="AO1193" s="280"/>
      <c r="AP1193" s="784"/>
      <c r="AQ1193" s="17" t="s">
        <v>268</v>
      </c>
      <c r="AR1193" s="174">
        <v>55</v>
      </c>
      <c r="AS1193" s="171"/>
      <c r="AT1193" s="171">
        <v>220</v>
      </c>
      <c r="AU1193" s="255">
        <f t="shared" si="93"/>
        <v>22</v>
      </c>
      <c r="AV1193" s="57"/>
      <c r="AW1193" s="171">
        <v>1</v>
      </c>
      <c r="AX1193" s="89"/>
      <c r="AY1193" s="89"/>
      <c r="AZ1193" s="171">
        <v>0</v>
      </c>
      <c r="BA1193" s="175">
        <v>99</v>
      </c>
      <c r="BB1193" s="259"/>
      <c r="BC1193" s="190"/>
      <c r="BD1193" s="177"/>
      <c r="BE1193" s="177"/>
      <c r="BF1193" s="178" t="s">
        <v>541</v>
      </c>
    </row>
    <row r="1194" spans="1:58">
      <c r="A1194" s="95">
        <v>1193</v>
      </c>
      <c r="B1194" s="211" t="s">
        <v>1890</v>
      </c>
      <c r="C1194" s="191" t="s">
        <v>426</v>
      </c>
      <c r="D1194" s="171" t="s">
        <v>254</v>
      </c>
      <c r="E1194" s="463" t="s">
        <v>3377</v>
      </c>
      <c r="F1194" s="171">
        <v>2005</v>
      </c>
      <c r="G1194" s="171">
        <v>293</v>
      </c>
      <c r="H1194" s="172" t="s">
        <v>1738</v>
      </c>
      <c r="I1194" s="173" t="s">
        <v>1752</v>
      </c>
      <c r="J1194" s="212">
        <v>0.5</v>
      </c>
      <c r="K1194" s="213">
        <v>5.19</v>
      </c>
      <c r="L1194" s="91"/>
      <c r="M1194" s="171">
        <v>350</v>
      </c>
      <c r="N1194" s="171"/>
      <c r="O1194" s="172" t="s">
        <v>12</v>
      </c>
      <c r="P1194" s="89"/>
      <c r="Q1194" s="173" t="s">
        <v>522</v>
      </c>
      <c r="R1194" s="89"/>
      <c r="S1194" s="89"/>
      <c r="T1194" s="214" t="s">
        <v>2319</v>
      </c>
      <c r="U1194" s="214" t="s">
        <v>2309</v>
      </c>
      <c r="V1194" s="102">
        <v>0</v>
      </c>
      <c r="W1194" s="120">
        <v>0</v>
      </c>
      <c r="X1194" s="120">
        <v>0</v>
      </c>
      <c r="Y1194" s="120">
        <v>0</v>
      </c>
      <c r="Z1194" s="120">
        <v>0</v>
      </c>
      <c r="AA1194" s="17">
        <v>0</v>
      </c>
      <c r="AB1194" s="17">
        <v>0</v>
      </c>
      <c r="AC1194" s="17">
        <v>0</v>
      </c>
      <c r="AD1194" s="17">
        <v>0</v>
      </c>
      <c r="AE1194" s="17">
        <v>0</v>
      </c>
      <c r="AF1194" s="17">
        <v>2.31</v>
      </c>
      <c r="AG1194" s="17">
        <v>0</v>
      </c>
      <c r="AH1194" s="17">
        <v>0</v>
      </c>
      <c r="AI1194" s="17">
        <v>0</v>
      </c>
      <c r="AJ1194" s="17">
        <v>0</v>
      </c>
      <c r="AK1194" s="17">
        <v>0</v>
      </c>
      <c r="AL1194" s="32">
        <v>0</v>
      </c>
      <c r="AM1194" s="172">
        <v>45.2</v>
      </c>
      <c r="AN1194" s="89"/>
      <c r="AO1194" s="280"/>
      <c r="AP1194" s="784"/>
      <c r="AQ1194" s="17" t="s">
        <v>268</v>
      </c>
      <c r="AR1194" s="174">
        <v>55</v>
      </c>
      <c r="AS1194" s="171"/>
      <c r="AT1194" s="171">
        <v>220</v>
      </c>
      <c r="AU1194" s="255">
        <f t="shared" si="93"/>
        <v>22</v>
      </c>
      <c r="AV1194" s="57"/>
      <c r="AW1194" s="171">
        <v>1</v>
      </c>
      <c r="AX1194" s="89"/>
      <c r="AY1194" s="89"/>
      <c r="AZ1194" s="171">
        <v>0</v>
      </c>
      <c r="BA1194" s="175">
        <v>99</v>
      </c>
      <c r="BB1194" s="259"/>
      <c r="BC1194" s="190"/>
      <c r="BD1194" s="177"/>
      <c r="BE1194" s="177"/>
      <c r="BF1194" s="178" t="s">
        <v>541</v>
      </c>
    </row>
    <row r="1195" spans="1:58">
      <c r="A1195" s="95">
        <v>1194</v>
      </c>
      <c r="B1195" s="211" t="s">
        <v>1891</v>
      </c>
      <c r="C1195" s="191" t="s">
        <v>426</v>
      </c>
      <c r="D1195" s="171" t="s">
        <v>254</v>
      </c>
      <c r="E1195" s="463" t="s">
        <v>3377</v>
      </c>
      <c r="F1195" s="171">
        <v>2005</v>
      </c>
      <c r="G1195" s="171">
        <v>293</v>
      </c>
      <c r="H1195" s="172" t="s">
        <v>1738</v>
      </c>
      <c r="I1195" s="173" t="s">
        <v>1752</v>
      </c>
      <c r="J1195" s="212">
        <v>0.36</v>
      </c>
      <c r="K1195" s="213">
        <v>4.09</v>
      </c>
      <c r="L1195" s="91"/>
      <c r="M1195" s="171">
        <v>450</v>
      </c>
      <c r="N1195" s="171"/>
      <c r="O1195" s="172" t="s">
        <v>12</v>
      </c>
      <c r="P1195" s="89"/>
      <c r="Q1195" s="173" t="s">
        <v>522</v>
      </c>
      <c r="R1195" s="89"/>
      <c r="S1195" s="89"/>
      <c r="T1195" s="214" t="s">
        <v>2319</v>
      </c>
      <c r="U1195" s="214" t="s">
        <v>2309</v>
      </c>
      <c r="V1195" s="102">
        <v>0</v>
      </c>
      <c r="W1195" s="120">
        <v>0</v>
      </c>
      <c r="X1195" s="120">
        <v>0</v>
      </c>
      <c r="Y1195" s="120">
        <v>0</v>
      </c>
      <c r="Z1195" s="120">
        <v>0</v>
      </c>
      <c r="AA1195" s="17">
        <v>0</v>
      </c>
      <c r="AB1195" s="17">
        <v>0</v>
      </c>
      <c r="AC1195" s="17">
        <v>0</v>
      </c>
      <c r="AD1195" s="17">
        <v>0</v>
      </c>
      <c r="AE1195" s="17">
        <v>0</v>
      </c>
      <c r="AF1195" s="17">
        <v>1.31</v>
      </c>
      <c r="AG1195" s="17">
        <v>0</v>
      </c>
      <c r="AH1195" s="17">
        <v>0</v>
      </c>
      <c r="AI1195" s="17">
        <v>0</v>
      </c>
      <c r="AJ1195" s="17">
        <v>0</v>
      </c>
      <c r="AK1195" s="17">
        <v>0</v>
      </c>
      <c r="AL1195" s="32">
        <v>0</v>
      </c>
      <c r="AM1195" s="172">
        <v>68.599999999999994</v>
      </c>
      <c r="AN1195" s="89"/>
      <c r="AO1195" s="280"/>
      <c r="AP1195" s="784"/>
      <c r="AQ1195" s="17" t="s">
        <v>268</v>
      </c>
      <c r="AR1195" s="174">
        <v>55</v>
      </c>
      <c r="AS1195" s="171"/>
      <c r="AT1195" s="171">
        <v>220</v>
      </c>
      <c r="AU1195" s="255">
        <f t="shared" si="93"/>
        <v>22</v>
      </c>
      <c r="AV1195" s="57"/>
      <c r="AW1195" s="171">
        <v>1</v>
      </c>
      <c r="AX1195" s="89"/>
      <c r="AY1195" s="89"/>
      <c r="AZ1195" s="171">
        <v>0</v>
      </c>
      <c r="BA1195" s="175">
        <v>99</v>
      </c>
      <c r="BB1195" s="259"/>
      <c r="BC1195" s="190"/>
      <c r="BD1195" s="177"/>
      <c r="BE1195" s="177"/>
      <c r="BF1195" s="178" t="s">
        <v>541</v>
      </c>
    </row>
    <row r="1196" spans="1:58" ht="15" customHeight="1">
      <c r="A1196" s="95">
        <v>1195</v>
      </c>
      <c r="B1196" s="211" t="s">
        <v>287</v>
      </c>
      <c r="C1196" s="191" t="s">
        <v>427</v>
      </c>
      <c r="D1196" s="171" t="s">
        <v>251</v>
      </c>
      <c r="E1196" s="463" t="s">
        <v>3377</v>
      </c>
      <c r="F1196" s="171">
        <v>1999</v>
      </c>
      <c r="G1196" s="171">
        <v>294</v>
      </c>
      <c r="H1196" s="172" t="s">
        <v>1738</v>
      </c>
      <c r="I1196" s="173" t="s">
        <v>1743</v>
      </c>
      <c r="J1196" s="212">
        <v>0.56000000000000005</v>
      </c>
      <c r="K1196" s="213">
        <v>4.5</v>
      </c>
      <c r="L1196" s="91"/>
      <c r="M1196" s="171">
        <v>400</v>
      </c>
      <c r="N1196" s="171"/>
      <c r="O1196" s="172" t="s">
        <v>12</v>
      </c>
      <c r="P1196" s="511"/>
      <c r="Q1196" s="173" t="s">
        <v>273</v>
      </c>
      <c r="R1196" s="89"/>
      <c r="S1196" s="89"/>
      <c r="T1196" s="171"/>
      <c r="U1196" s="171"/>
      <c r="V1196" s="102">
        <v>0</v>
      </c>
      <c r="W1196" s="120">
        <v>0</v>
      </c>
      <c r="X1196" s="120">
        <v>0</v>
      </c>
      <c r="Y1196" s="120">
        <v>0</v>
      </c>
      <c r="Z1196" s="120">
        <v>0</v>
      </c>
      <c r="AA1196" s="17">
        <v>0</v>
      </c>
      <c r="AB1196" s="17">
        <v>0</v>
      </c>
      <c r="AC1196" s="17">
        <v>0</v>
      </c>
      <c r="AD1196" s="17">
        <v>0</v>
      </c>
      <c r="AE1196" s="17">
        <v>0</v>
      </c>
      <c r="AF1196" s="17">
        <v>0</v>
      </c>
      <c r="AG1196" s="17">
        <v>0</v>
      </c>
      <c r="AH1196" s="17">
        <v>0</v>
      </c>
      <c r="AI1196" s="17">
        <v>0</v>
      </c>
      <c r="AJ1196" s="17">
        <v>0</v>
      </c>
      <c r="AK1196" s="17">
        <v>0</v>
      </c>
      <c r="AL1196" s="32">
        <v>0</v>
      </c>
      <c r="AM1196" s="172">
        <v>42</v>
      </c>
      <c r="AN1196" s="89"/>
      <c r="AO1196" s="280"/>
      <c r="AP1196" s="784"/>
      <c r="AQ1196" s="17" t="s">
        <v>530</v>
      </c>
      <c r="AR1196" s="174">
        <v>50</v>
      </c>
      <c r="AS1196" s="171"/>
      <c r="AT1196" s="171">
        <v>200</v>
      </c>
      <c r="AU1196" s="255">
        <f t="shared" si="93"/>
        <v>20</v>
      </c>
      <c r="AV1196" s="172">
        <v>65</v>
      </c>
      <c r="AW1196" s="171">
        <v>1</v>
      </c>
      <c r="AX1196" s="171" t="s">
        <v>521</v>
      </c>
      <c r="AY1196" s="171">
        <v>20</v>
      </c>
      <c r="AZ1196" s="171">
        <v>0</v>
      </c>
      <c r="BA1196" s="175">
        <v>65</v>
      </c>
      <c r="BB1196" s="259"/>
      <c r="BC1196" s="190"/>
      <c r="BD1196" s="177"/>
      <c r="BE1196" s="177"/>
      <c r="BF1196" s="178"/>
    </row>
    <row r="1197" spans="1:58" ht="15" customHeight="1">
      <c r="A1197" s="95">
        <v>1196</v>
      </c>
      <c r="B1197" s="211" t="s">
        <v>288</v>
      </c>
      <c r="C1197" s="191" t="s">
        <v>427</v>
      </c>
      <c r="D1197" s="171" t="s">
        <v>251</v>
      </c>
      <c r="E1197" s="463" t="s">
        <v>3377</v>
      </c>
      <c r="F1197" s="171">
        <v>1999</v>
      </c>
      <c r="G1197" s="171">
        <v>294</v>
      </c>
      <c r="H1197" s="172" t="s">
        <v>1738</v>
      </c>
      <c r="I1197" s="173" t="s">
        <v>1743</v>
      </c>
      <c r="J1197" s="212">
        <v>0.5</v>
      </c>
      <c r="K1197" s="213">
        <v>4.62</v>
      </c>
      <c r="L1197" s="91"/>
      <c r="M1197" s="171">
        <v>400</v>
      </c>
      <c r="N1197" s="171"/>
      <c r="O1197" s="172" t="s">
        <v>12</v>
      </c>
      <c r="P1197" s="511"/>
      <c r="Q1197" s="173" t="s">
        <v>273</v>
      </c>
      <c r="R1197" s="89"/>
      <c r="S1197" s="89"/>
      <c r="T1197" s="171"/>
      <c r="U1197" s="171"/>
      <c r="V1197" s="102">
        <v>0</v>
      </c>
      <c r="W1197" s="120">
        <v>0</v>
      </c>
      <c r="X1197" s="120">
        <v>0</v>
      </c>
      <c r="Y1197" s="120">
        <v>0</v>
      </c>
      <c r="Z1197" s="120">
        <v>0</v>
      </c>
      <c r="AA1197" s="17">
        <v>0</v>
      </c>
      <c r="AB1197" s="17">
        <v>0</v>
      </c>
      <c r="AC1197" s="17">
        <v>0</v>
      </c>
      <c r="AD1197" s="17">
        <v>0</v>
      </c>
      <c r="AE1197" s="17">
        <v>0</v>
      </c>
      <c r="AF1197" s="17">
        <v>0</v>
      </c>
      <c r="AG1197" s="17">
        <v>0</v>
      </c>
      <c r="AH1197" s="17">
        <v>0</v>
      </c>
      <c r="AI1197" s="17">
        <v>0</v>
      </c>
      <c r="AJ1197" s="17">
        <v>0</v>
      </c>
      <c r="AK1197" s="17">
        <v>0</v>
      </c>
      <c r="AL1197" s="32">
        <v>0</v>
      </c>
      <c r="AM1197" s="172">
        <v>61</v>
      </c>
      <c r="AN1197" s="89"/>
      <c r="AO1197" s="280"/>
      <c r="AP1197" s="784"/>
      <c r="AQ1197" s="17" t="s">
        <v>530</v>
      </c>
      <c r="AR1197" s="174">
        <v>50</v>
      </c>
      <c r="AS1197" s="171"/>
      <c r="AT1197" s="171">
        <v>200</v>
      </c>
      <c r="AU1197" s="255">
        <f t="shared" si="93"/>
        <v>20</v>
      </c>
      <c r="AV1197" s="172">
        <v>65</v>
      </c>
      <c r="AW1197" s="171">
        <v>1</v>
      </c>
      <c r="AX1197" s="171" t="s">
        <v>521</v>
      </c>
      <c r="AY1197" s="171">
        <v>20</v>
      </c>
      <c r="AZ1197" s="171">
        <v>0</v>
      </c>
      <c r="BA1197" s="175">
        <v>65</v>
      </c>
      <c r="BB1197" s="259"/>
      <c r="BC1197" s="190"/>
      <c r="BD1197" s="177"/>
      <c r="BE1197" s="177"/>
      <c r="BF1197" s="178"/>
    </row>
    <row r="1198" spans="1:58" ht="15" customHeight="1">
      <c r="A1198" s="95">
        <v>1197</v>
      </c>
      <c r="B1198" s="211" t="s">
        <v>289</v>
      </c>
      <c r="C1198" s="191" t="s">
        <v>427</v>
      </c>
      <c r="D1198" s="171" t="s">
        <v>251</v>
      </c>
      <c r="E1198" s="463" t="s">
        <v>3377</v>
      </c>
      <c r="F1198" s="171">
        <v>1999</v>
      </c>
      <c r="G1198" s="171">
        <v>294</v>
      </c>
      <c r="H1198" s="172" t="s">
        <v>1738</v>
      </c>
      <c r="I1198" s="173" t="s">
        <v>1743</v>
      </c>
      <c r="J1198" s="212">
        <v>0.5</v>
      </c>
      <c r="K1198" s="213">
        <v>5.62</v>
      </c>
      <c r="L1198" s="91"/>
      <c r="M1198" s="171">
        <v>340</v>
      </c>
      <c r="N1198" s="171"/>
      <c r="O1198" s="172" t="s">
        <v>12</v>
      </c>
      <c r="P1198" s="511"/>
      <c r="Q1198" s="173" t="s">
        <v>273</v>
      </c>
      <c r="R1198" s="89"/>
      <c r="S1198" s="89"/>
      <c r="T1198" s="171"/>
      <c r="U1198" s="171"/>
      <c r="V1198" s="102">
        <v>11</v>
      </c>
      <c r="W1198" s="120">
        <v>0</v>
      </c>
      <c r="X1198" s="120">
        <v>0</v>
      </c>
      <c r="Y1198" s="120">
        <v>0</v>
      </c>
      <c r="Z1198" s="120">
        <v>0</v>
      </c>
      <c r="AA1198" s="17">
        <v>0</v>
      </c>
      <c r="AB1198" s="17">
        <v>0</v>
      </c>
      <c r="AC1198" s="17">
        <v>0</v>
      </c>
      <c r="AD1198" s="17">
        <v>0</v>
      </c>
      <c r="AE1198" s="17">
        <v>0</v>
      </c>
      <c r="AF1198" s="17">
        <v>0</v>
      </c>
      <c r="AG1198" s="17">
        <v>0</v>
      </c>
      <c r="AH1198" s="17">
        <v>0</v>
      </c>
      <c r="AI1198" s="17">
        <v>0</v>
      </c>
      <c r="AJ1198" s="17">
        <v>0</v>
      </c>
      <c r="AK1198" s="17">
        <v>0</v>
      </c>
      <c r="AL1198" s="32">
        <v>0</v>
      </c>
      <c r="AM1198" s="172">
        <v>83</v>
      </c>
      <c r="AN1198" s="89"/>
      <c r="AO1198" s="280"/>
      <c r="AP1198" s="784"/>
      <c r="AQ1198" s="17" t="s">
        <v>530</v>
      </c>
      <c r="AR1198" s="174">
        <v>50</v>
      </c>
      <c r="AS1198" s="171"/>
      <c r="AT1198" s="171">
        <v>200</v>
      </c>
      <c r="AU1198" s="255">
        <f t="shared" si="93"/>
        <v>20</v>
      </c>
      <c r="AV1198" s="172">
        <v>65</v>
      </c>
      <c r="AW1198" s="171">
        <v>1</v>
      </c>
      <c r="AX1198" s="171" t="s">
        <v>521</v>
      </c>
      <c r="AY1198" s="171">
        <v>20</v>
      </c>
      <c r="AZ1198" s="171">
        <v>0</v>
      </c>
      <c r="BA1198" s="175">
        <v>65</v>
      </c>
      <c r="BB1198" s="259"/>
      <c r="BC1198" s="190"/>
      <c r="BD1198" s="177"/>
      <c r="BE1198" s="177"/>
      <c r="BF1198" s="178"/>
    </row>
    <row r="1199" spans="1:58" ht="15" customHeight="1">
      <c r="A1199" s="95">
        <v>1198</v>
      </c>
      <c r="B1199" s="211" t="s">
        <v>1892</v>
      </c>
      <c r="C1199" s="191" t="s">
        <v>427</v>
      </c>
      <c r="D1199" s="171" t="s">
        <v>251</v>
      </c>
      <c r="E1199" s="463" t="s">
        <v>3377</v>
      </c>
      <c r="F1199" s="171">
        <v>1999</v>
      </c>
      <c r="G1199" s="171">
        <v>294</v>
      </c>
      <c r="H1199" s="172" t="s">
        <v>1738</v>
      </c>
      <c r="I1199" s="173" t="s">
        <v>1743</v>
      </c>
      <c r="J1199" s="212">
        <v>0.35</v>
      </c>
      <c r="K1199" s="213">
        <v>4.74</v>
      </c>
      <c r="L1199" s="91"/>
      <c r="M1199" s="171">
        <v>400</v>
      </c>
      <c r="N1199" s="171"/>
      <c r="O1199" s="172" t="s">
        <v>12</v>
      </c>
      <c r="P1199" s="511"/>
      <c r="Q1199" s="173" t="s">
        <v>273</v>
      </c>
      <c r="R1199" s="89"/>
      <c r="S1199" s="89"/>
      <c r="T1199" s="171"/>
      <c r="U1199" s="171"/>
      <c r="V1199" s="102">
        <v>11</v>
      </c>
      <c r="W1199" s="120">
        <v>0</v>
      </c>
      <c r="X1199" s="120">
        <v>0</v>
      </c>
      <c r="Y1199" s="120">
        <v>0</v>
      </c>
      <c r="Z1199" s="120">
        <v>0</v>
      </c>
      <c r="AA1199" s="17">
        <v>0</v>
      </c>
      <c r="AB1199" s="17">
        <v>0</v>
      </c>
      <c r="AC1199" s="17">
        <v>0</v>
      </c>
      <c r="AD1199" s="17">
        <v>0</v>
      </c>
      <c r="AE1199" s="17">
        <v>0</v>
      </c>
      <c r="AF1199" s="17">
        <v>0</v>
      </c>
      <c r="AG1199" s="17">
        <v>0</v>
      </c>
      <c r="AH1199" s="17">
        <v>0</v>
      </c>
      <c r="AI1199" s="17">
        <v>0</v>
      </c>
      <c r="AJ1199" s="17">
        <v>0</v>
      </c>
      <c r="AK1199" s="17">
        <v>0</v>
      </c>
      <c r="AL1199" s="32">
        <v>0</v>
      </c>
      <c r="AM1199" s="172">
        <v>101</v>
      </c>
      <c r="AN1199" s="89"/>
      <c r="AO1199" s="280"/>
      <c r="AP1199" s="784"/>
      <c r="AQ1199" s="17" t="s">
        <v>530</v>
      </c>
      <c r="AR1199" s="174">
        <v>50</v>
      </c>
      <c r="AS1199" s="171"/>
      <c r="AT1199" s="171">
        <v>200</v>
      </c>
      <c r="AU1199" s="255">
        <f t="shared" si="93"/>
        <v>20</v>
      </c>
      <c r="AV1199" s="172">
        <v>65</v>
      </c>
      <c r="AW1199" s="171">
        <v>1</v>
      </c>
      <c r="AX1199" s="171" t="s">
        <v>521</v>
      </c>
      <c r="AY1199" s="171">
        <v>20</v>
      </c>
      <c r="AZ1199" s="171">
        <v>0</v>
      </c>
      <c r="BA1199" s="175">
        <v>65</v>
      </c>
      <c r="BB1199" s="259"/>
      <c r="BC1199" s="190"/>
      <c r="BD1199" s="177"/>
      <c r="BE1199" s="177"/>
      <c r="BF1199" s="178"/>
    </row>
    <row r="1200" spans="1:58" ht="15" customHeight="1">
      <c r="A1200" s="95">
        <v>1199</v>
      </c>
      <c r="B1200" s="211" t="s">
        <v>1893</v>
      </c>
      <c r="C1200" s="191" t="s">
        <v>427</v>
      </c>
      <c r="D1200" s="171" t="s">
        <v>251</v>
      </c>
      <c r="E1200" s="463" t="s">
        <v>3377</v>
      </c>
      <c r="F1200" s="171">
        <v>1999</v>
      </c>
      <c r="G1200" s="171">
        <v>294</v>
      </c>
      <c r="H1200" s="172" t="s">
        <v>1738</v>
      </c>
      <c r="I1200" s="173" t="s">
        <v>1743</v>
      </c>
      <c r="J1200" s="212">
        <v>0.24</v>
      </c>
      <c r="K1200" s="213">
        <v>3.41</v>
      </c>
      <c r="L1200" s="91"/>
      <c r="M1200" s="171">
        <v>510</v>
      </c>
      <c r="N1200" s="171"/>
      <c r="O1200" s="172" t="s">
        <v>12</v>
      </c>
      <c r="P1200" s="511"/>
      <c r="Q1200" s="173" t="s">
        <v>273</v>
      </c>
      <c r="R1200" s="89"/>
      <c r="S1200" s="89"/>
      <c r="T1200" s="171"/>
      <c r="U1200" s="171"/>
      <c r="V1200" s="102">
        <v>11</v>
      </c>
      <c r="W1200" s="120">
        <v>0</v>
      </c>
      <c r="X1200" s="120">
        <v>0</v>
      </c>
      <c r="Y1200" s="120">
        <v>0</v>
      </c>
      <c r="Z1200" s="120">
        <v>0</v>
      </c>
      <c r="AA1200" s="17">
        <v>0</v>
      </c>
      <c r="AB1200" s="17">
        <v>0</v>
      </c>
      <c r="AC1200" s="17">
        <v>0</v>
      </c>
      <c r="AD1200" s="17">
        <v>0</v>
      </c>
      <c r="AE1200" s="17">
        <v>0</v>
      </c>
      <c r="AF1200" s="17">
        <v>0</v>
      </c>
      <c r="AG1200" s="17">
        <v>0</v>
      </c>
      <c r="AH1200" s="17">
        <v>0</v>
      </c>
      <c r="AI1200" s="17">
        <v>0</v>
      </c>
      <c r="AJ1200" s="17">
        <v>0</v>
      </c>
      <c r="AK1200" s="17">
        <v>0</v>
      </c>
      <c r="AL1200" s="32">
        <v>0</v>
      </c>
      <c r="AM1200" s="172">
        <v>112</v>
      </c>
      <c r="AN1200" s="89"/>
      <c r="AO1200" s="280"/>
      <c r="AP1200" s="784"/>
      <c r="AQ1200" s="17" t="s">
        <v>530</v>
      </c>
      <c r="AR1200" s="174">
        <v>50</v>
      </c>
      <c r="AS1200" s="171"/>
      <c r="AT1200" s="171">
        <v>200</v>
      </c>
      <c r="AU1200" s="255">
        <f t="shared" si="93"/>
        <v>20</v>
      </c>
      <c r="AV1200" s="172">
        <v>65</v>
      </c>
      <c r="AW1200" s="171">
        <v>1</v>
      </c>
      <c r="AX1200" s="171" t="s">
        <v>521</v>
      </c>
      <c r="AY1200" s="171">
        <v>20</v>
      </c>
      <c r="AZ1200" s="171">
        <v>0</v>
      </c>
      <c r="BA1200" s="175">
        <v>65</v>
      </c>
      <c r="BB1200" s="259"/>
      <c r="BC1200" s="190"/>
      <c r="BD1200" s="177"/>
      <c r="BE1200" s="177"/>
      <c r="BF1200" s="178"/>
    </row>
    <row r="1201" spans="1:58" ht="15" customHeight="1">
      <c r="A1201" s="95">
        <v>1200</v>
      </c>
      <c r="B1201" s="211" t="s">
        <v>1894</v>
      </c>
      <c r="C1201" s="191" t="s">
        <v>427</v>
      </c>
      <c r="D1201" s="171" t="s">
        <v>251</v>
      </c>
      <c r="E1201" s="463" t="s">
        <v>3377</v>
      </c>
      <c r="F1201" s="171">
        <v>1999</v>
      </c>
      <c r="G1201" s="171">
        <v>294</v>
      </c>
      <c r="H1201" s="172" t="s">
        <v>1738</v>
      </c>
      <c r="I1201" s="173" t="s">
        <v>1743</v>
      </c>
      <c r="J1201" s="212">
        <v>0.56000000000000005</v>
      </c>
      <c r="K1201" s="213">
        <v>4.5</v>
      </c>
      <c r="L1201" s="91"/>
      <c r="M1201" s="171">
        <v>400</v>
      </c>
      <c r="N1201" s="171"/>
      <c r="O1201" s="172" t="s">
        <v>12</v>
      </c>
      <c r="P1201" s="511"/>
      <c r="Q1201" s="173" t="s">
        <v>273</v>
      </c>
      <c r="R1201" s="89"/>
      <c r="S1201" s="89"/>
      <c r="T1201" s="171"/>
      <c r="U1201" s="171"/>
      <c r="V1201" s="102">
        <v>0</v>
      </c>
      <c r="W1201" s="120">
        <v>0</v>
      </c>
      <c r="X1201" s="120">
        <v>0</v>
      </c>
      <c r="Y1201" s="120">
        <v>0</v>
      </c>
      <c r="Z1201" s="120">
        <v>0</v>
      </c>
      <c r="AA1201" s="17">
        <v>0</v>
      </c>
      <c r="AB1201" s="17">
        <v>0</v>
      </c>
      <c r="AC1201" s="17">
        <v>0</v>
      </c>
      <c r="AD1201" s="17">
        <v>0</v>
      </c>
      <c r="AE1201" s="17">
        <v>0</v>
      </c>
      <c r="AF1201" s="17">
        <v>0</v>
      </c>
      <c r="AG1201" s="17">
        <v>0</v>
      </c>
      <c r="AH1201" s="17">
        <v>0</v>
      </c>
      <c r="AI1201" s="17">
        <v>0</v>
      </c>
      <c r="AJ1201" s="17">
        <v>0</v>
      </c>
      <c r="AK1201" s="17">
        <v>0</v>
      </c>
      <c r="AL1201" s="32">
        <v>0</v>
      </c>
      <c r="AM1201" s="172">
        <v>42</v>
      </c>
      <c r="AN1201" s="89"/>
      <c r="AO1201" s="280"/>
      <c r="AP1201" s="784"/>
      <c r="AQ1201" s="17" t="s">
        <v>530</v>
      </c>
      <c r="AR1201" s="174">
        <v>50</v>
      </c>
      <c r="AS1201" s="171"/>
      <c r="AT1201" s="171">
        <v>200</v>
      </c>
      <c r="AU1201" s="255">
        <f t="shared" si="93"/>
        <v>20</v>
      </c>
      <c r="AV1201" s="172">
        <v>65</v>
      </c>
      <c r="AW1201" s="171">
        <v>1</v>
      </c>
      <c r="AX1201" s="171" t="s">
        <v>521</v>
      </c>
      <c r="AY1201" s="171">
        <v>20</v>
      </c>
      <c r="AZ1201" s="171">
        <v>0</v>
      </c>
      <c r="BA1201" s="175">
        <v>65</v>
      </c>
      <c r="BB1201" s="259"/>
      <c r="BC1201" s="190"/>
      <c r="BD1201" s="177"/>
      <c r="BE1201" s="177"/>
      <c r="BF1201" s="178"/>
    </row>
    <row r="1202" spans="1:58" ht="15" customHeight="1">
      <c r="A1202" s="95">
        <v>1201</v>
      </c>
      <c r="B1202" s="211" t="s">
        <v>1895</v>
      </c>
      <c r="C1202" s="191" t="s">
        <v>427</v>
      </c>
      <c r="D1202" s="171" t="s">
        <v>251</v>
      </c>
      <c r="E1202" s="463" t="s">
        <v>3377</v>
      </c>
      <c r="F1202" s="171">
        <v>1999</v>
      </c>
      <c r="G1202" s="171">
        <v>294</v>
      </c>
      <c r="H1202" s="172" t="s">
        <v>1738</v>
      </c>
      <c r="I1202" s="173" t="s">
        <v>1743</v>
      </c>
      <c r="J1202" s="212">
        <v>0.5</v>
      </c>
      <c r="K1202" s="213">
        <v>4.62</v>
      </c>
      <c r="L1202" s="91"/>
      <c r="M1202" s="171">
        <v>400</v>
      </c>
      <c r="N1202" s="171"/>
      <c r="O1202" s="172" t="s">
        <v>12</v>
      </c>
      <c r="P1202" s="511"/>
      <c r="Q1202" s="173" t="s">
        <v>273</v>
      </c>
      <c r="R1202" s="89"/>
      <c r="S1202" s="89"/>
      <c r="T1202" s="171"/>
      <c r="U1202" s="171"/>
      <c r="V1202" s="102">
        <v>0</v>
      </c>
      <c r="W1202" s="120">
        <v>0</v>
      </c>
      <c r="X1202" s="120">
        <v>0</v>
      </c>
      <c r="Y1202" s="120">
        <v>0</v>
      </c>
      <c r="Z1202" s="120">
        <v>0</v>
      </c>
      <c r="AA1202" s="17">
        <v>0</v>
      </c>
      <c r="AB1202" s="17">
        <v>0</v>
      </c>
      <c r="AC1202" s="17">
        <v>0</v>
      </c>
      <c r="AD1202" s="17">
        <v>0</v>
      </c>
      <c r="AE1202" s="17">
        <v>0</v>
      </c>
      <c r="AF1202" s="17">
        <v>0</v>
      </c>
      <c r="AG1202" s="17">
        <v>0</v>
      </c>
      <c r="AH1202" s="17">
        <v>0</v>
      </c>
      <c r="AI1202" s="17">
        <v>0</v>
      </c>
      <c r="AJ1202" s="17">
        <v>0</v>
      </c>
      <c r="AK1202" s="17">
        <v>0</v>
      </c>
      <c r="AL1202" s="32">
        <v>0</v>
      </c>
      <c r="AM1202" s="172">
        <v>61</v>
      </c>
      <c r="AN1202" s="89"/>
      <c r="AO1202" s="280"/>
      <c r="AP1202" s="784"/>
      <c r="AQ1202" s="17" t="s">
        <v>530</v>
      </c>
      <c r="AR1202" s="174">
        <v>50</v>
      </c>
      <c r="AS1202" s="171"/>
      <c r="AT1202" s="171">
        <v>200</v>
      </c>
      <c r="AU1202" s="255">
        <f t="shared" ref="AU1202:AU1230" si="94">(AR1202*AT1202)/((2*AT1202)+(2*AR1202))</f>
        <v>20</v>
      </c>
      <c r="AV1202" s="172">
        <v>65</v>
      </c>
      <c r="AW1202" s="171">
        <v>1</v>
      </c>
      <c r="AX1202" s="171" t="s">
        <v>521</v>
      </c>
      <c r="AY1202" s="171">
        <v>20</v>
      </c>
      <c r="AZ1202" s="171">
        <v>0</v>
      </c>
      <c r="BA1202" s="175">
        <v>65</v>
      </c>
      <c r="BB1202" s="259"/>
      <c r="BC1202" s="190"/>
      <c r="BD1202" s="177"/>
      <c r="BE1202" s="177"/>
      <c r="BF1202" s="178"/>
    </row>
    <row r="1203" spans="1:58" ht="15" customHeight="1">
      <c r="A1203" s="95">
        <v>1202</v>
      </c>
      <c r="B1203" s="211" t="s">
        <v>1896</v>
      </c>
      <c r="C1203" s="191" t="s">
        <v>427</v>
      </c>
      <c r="D1203" s="171" t="s">
        <v>251</v>
      </c>
      <c r="E1203" s="463" t="s">
        <v>3377</v>
      </c>
      <c r="F1203" s="171">
        <v>1999</v>
      </c>
      <c r="G1203" s="171">
        <v>294</v>
      </c>
      <c r="H1203" s="172" t="s">
        <v>1738</v>
      </c>
      <c r="I1203" s="173" t="s">
        <v>1743</v>
      </c>
      <c r="J1203" s="212">
        <v>0.5</v>
      </c>
      <c r="K1203" s="213">
        <v>5.62</v>
      </c>
      <c r="L1203" s="91"/>
      <c r="M1203" s="171">
        <v>340</v>
      </c>
      <c r="N1203" s="171"/>
      <c r="O1203" s="172" t="s">
        <v>12</v>
      </c>
      <c r="P1203" s="511"/>
      <c r="Q1203" s="173" t="s">
        <v>273</v>
      </c>
      <c r="R1203" s="89"/>
      <c r="S1203" s="89"/>
      <c r="T1203" s="171"/>
      <c r="U1203" s="171"/>
      <c r="V1203" s="102">
        <v>11</v>
      </c>
      <c r="W1203" s="120">
        <v>0</v>
      </c>
      <c r="X1203" s="120">
        <v>0</v>
      </c>
      <c r="Y1203" s="120">
        <v>0</v>
      </c>
      <c r="Z1203" s="120">
        <v>0</v>
      </c>
      <c r="AA1203" s="17">
        <v>0</v>
      </c>
      <c r="AB1203" s="17">
        <v>0</v>
      </c>
      <c r="AC1203" s="17">
        <v>0</v>
      </c>
      <c r="AD1203" s="17">
        <v>0</v>
      </c>
      <c r="AE1203" s="17">
        <v>0</v>
      </c>
      <c r="AF1203" s="17">
        <v>0</v>
      </c>
      <c r="AG1203" s="17">
        <v>0</v>
      </c>
      <c r="AH1203" s="17">
        <v>0</v>
      </c>
      <c r="AI1203" s="17">
        <v>0</v>
      </c>
      <c r="AJ1203" s="17">
        <v>0</v>
      </c>
      <c r="AK1203" s="17">
        <v>0</v>
      </c>
      <c r="AL1203" s="32">
        <v>0</v>
      </c>
      <c r="AM1203" s="172">
        <v>83</v>
      </c>
      <c r="AN1203" s="89"/>
      <c r="AO1203" s="280"/>
      <c r="AP1203" s="784"/>
      <c r="AQ1203" s="17" t="s">
        <v>530</v>
      </c>
      <c r="AR1203" s="174">
        <v>50</v>
      </c>
      <c r="AS1203" s="171"/>
      <c r="AT1203" s="171">
        <v>200</v>
      </c>
      <c r="AU1203" s="255">
        <f t="shared" si="94"/>
        <v>20</v>
      </c>
      <c r="AV1203" s="172">
        <v>65</v>
      </c>
      <c r="AW1203" s="171">
        <v>1</v>
      </c>
      <c r="AX1203" s="171" t="s">
        <v>521</v>
      </c>
      <c r="AY1203" s="171">
        <v>20</v>
      </c>
      <c r="AZ1203" s="171">
        <v>0</v>
      </c>
      <c r="BA1203" s="175">
        <v>65</v>
      </c>
      <c r="BB1203" s="259"/>
      <c r="BC1203" s="190"/>
      <c r="BD1203" s="177"/>
      <c r="BE1203" s="177"/>
      <c r="BF1203" s="178"/>
    </row>
    <row r="1204" spans="1:58" ht="15" customHeight="1">
      <c r="A1204" s="95">
        <v>1203</v>
      </c>
      <c r="B1204" s="211" t="s">
        <v>1897</v>
      </c>
      <c r="C1204" s="191" t="s">
        <v>427</v>
      </c>
      <c r="D1204" s="171" t="s">
        <v>251</v>
      </c>
      <c r="E1204" s="463" t="s">
        <v>3377</v>
      </c>
      <c r="F1204" s="171">
        <v>1999</v>
      </c>
      <c r="G1204" s="171">
        <v>294</v>
      </c>
      <c r="H1204" s="172" t="s">
        <v>1738</v>
      </c>
      <c r="I1204" s="173" t="s">
        <v>1743</v>
      </c>
      <c r="J1204" s="212">
        <v>0.35</v>
      </c>
      <c r="K1204" s="213">
        <v>4.74</v>
      </c>
      <c r="L1204" s="91"/>
      <c r="M1204" s="171">
        <v>400</v>
      </c>
      <c r="N1204" s="171"/>
      <c r="O1204" s="172" t="s">
        <v>12</v>
      </c>
      <c r="P1204" s="511"/>
      <c r="Q1204" s="173" t="s">
        <v>273</v>
      </c>
      <c r="R1204" s="89"/>
      <c r="S1204" s="89"/>
      <c r="T1204" s="171"/>
      <c r="U1204" s="171"/>
      <c r="V1204" s="102">
        <v>11</v>
      </c>
      <c r="W1204" s="120">
        <v>0</v>
      </c>
      <c r="X1204" s="120">
        <v>0</v>
      </c>
      <c r="Y1204" s="120">
        <v>0</v>
      </c>
      <c r="Z1204" s="120">
        <v>0</v>
      </c>
      <c r="AA1204" s="17">
        <v>0</v>
      </c>
      <c r="AB1204" s="17">
        <v>0</v>
      </c>
      <c r="AC1204" s="17">
        <v>0</v>
      </c>
      <c r="AD1204" s="17">
        <v>0</v>
      </c>
      <c r="AE1204" s="17">
        <v>0</v>
      </c>
      <c r="AF1204" s="17">
        <v>0</v>
      </c>
      <c r="AG1204" s="17">
        <v>0</v>
      </c>
      <c r="AH1204" s="17">
        <v>0</v>
      </c>
      <c r="AI1204" s="17">
        <v>0</v>
      </c>
      <c r="AJ1204" s="17">
        <v>0</v>
      </c>
      <c r="AK1204" s="17">
        <v>0</v>
      </c>
      <c r="AL1204" s="32">
        <v>0</v>
      </c>
      <c r="AM1204" s="172">
        <v>101</v>
      </c>
      <c r="AN1204" s="89"/>
      <c r="AO1204" s="280"/>
      <c r="AP1204" s="784"/>
      <c r="AQ1204" s="17" t="s">
        <v>530</v>
      </c>
      <c r="AR1204" s="174">
        <v>50</v>
      </c>
      <c r="AS1204" s="171"/>
      <c r="AT1204" s="171">
        <v>200</v>
      </c>
      <c r="AU1204" s="255">
        <f t="shared" si="94"/>
        <v>20</v>
      </c>
      <c r="AV1204" s="172">
        <v>65</v>
      </c>
      <c r="AW1204" s="171">
        <v>1</v>
      </c>
      <c r="AX1204" s="171" t="s">
        <v>521</v>
      </c>
      <c r="AY1204" s="171">
        <v>20</v>
      </c>
      <c r="AZ1204" s="171">
        <v>0</v>
      </c>
      <c r="BA1204" s="175">
        <v>65</v>
      </c>
      <c r="BB1204" s="259"/>
      <c r="BC1204" s="190"/>
      <c r="BD1204" s="177"/>
      <c r="BE1204" s="177"/>
      <c r="BF1204" s="178"/>
    </row>
    <row r="1205" spans="1:58" ht="15" customHeight="1">
      <c r="A1205" s="95">
        <v>1204</v>
      </c>
      <c r="B1205" s="211" t="s">
        <v>1898</v>
      </c>
      <c r="C1205" s="191" t="s">
        <v>427</v>
      </c>
      <c r="D1205" s="171" t="s">
        <v>251</v>
      </c>
      <c r="E1205" s="463" t="s">
        <v>3377</v>
      </c>
      <c r="F1205" s="171">
        <v>1999</v>
      </c>
      <c r="G1205" s="171">
        <v>294</v>
      </c>
      <c r="H1205" s="172" t="s">
        <v>1738</v>
      </c>
      <c r="I1205" s="173" t="s">
        <v>1743</v>
      </c>
      <c r="J1205" s="212">
        <v>0.24</v>
      </c>
      <c r="K1205" s="213">
        <v>3.41</v>
      </c>
      <c r="L1205" s="91"/>
      <c r="M1205" s="171">
        <v>510</v>
      </c>
      <c r="N1205" s="171"/>
      <c r="O1205" s="172" t="s">
        <v>12</v>
      </c>
      <c r="P1205" s="511"/>
      <c r="Q1205" s="173" t="s">
        <v>273</v>
      </c>
      <c r="R1205" s="89"/>
      <c r="S1205" s="89"/>
      <c r="T1205" s="171"/>
      <c r="U1205" s="171"/>
      <c r="V1205" s="102">
        <v>11</v>
      </c>
      <c r="W1205" s="120">
        <v>0</v>
      </c>
      <c r="X1205" s="120">
        <v>0</v>
      </c>
      <c r="Y1205" s="120">
        <v>0</v>
      </c>
      <c r="Z1205" s="120">
        <v>0</v>
      </c>
      <c r="AA1205" s="17">
        <v>0</v>
      </c>
      <c r="AB1205" s="17">
        <v>0</v>
      </c>
      <c r="AC1205" s="17">
        <v>0</v>
      </c>
      <c r="AD1205" s="17">
        <v>0</v>
      </c>
      <c r="AE1205" s="17">
        <v>0</v>
      </c>
      <c r="AF1205" s="17">
        <v>0</v>
      </c>
      <c r="AG1205" s="17">
        <v>0</v>
      </c>
      <c r="AH1205" s="17">
        <v>0</v>
      </c>
      <c r="AI1205" s="17">
        <v>0</v>
      </c>
      <c r="AJ1205" s="17">
        <v>0</v>
      </c>
      <c r="AK1205" s="17">
        <v>0</v>
      </c>
      <c r="AL1205" s="32">
        <v>0</v>
      </c>
      <c r="AM1205" s="172">
        <v>112</v>
      </c>
      <c r="AN1205" s="89"/>
      <c r="AO1205" s="280"/>
      <c r="AP1205" s="784"/>
      <c r="AQ1205" s="17" t="s">
        <v>530</v>
      </c>
      <c r="AR1205" s="174">
        <v>50</v>
      </c>
      <c r="AS1205" s="171"/>
      <c r="AT1205" s="171">
        <v>200</v>
      </c>
      <c r="AU1205" s="255">
        <f t="shared" si="94"/>
        <v>20</v>
      </c>
      <c r="AV1205" s="172">
        <v>65</v>
      </c>
      <c r="AW1205" s="171">
        <v>1</v>
      </c>
      <c r="AX1205" s="171" t="s">
        <v>521</v>
      </c>
      <c r="AY1205" s="171">
        <v>20</v>
      </c>
      <c r="AZ1205" s="171">
        <v>0</v>
      </c>
      <c r="BA1205" s="175">
        <v>65</v>
      </c>
      <c r="BB1205" s="259"/>
      <c r="BC1205" s="190"/>
      <c r="BD1205" s="177"/>
      <c r="BE1205" s="177"/>
      <c r="BF1205" s="178"/>
    </row>
    <row r="1206" spans="1:58" ht="15" customHeight="1">
      <c r="A1206" s="95">
        <v>1205</v>
      </c>
      <c r="B1206" s="211" t="s">
        <v>1899</v>
      </c>
      <c r="C1206" s="191" t="s">
        <v>427</v>
      </c>
      <c r="D1206" s="171" t="s">
        <v>251</v>
      </c>
      <c r="E1206" s="463" t="s">
        <v>3377</v>
      </c>
      <c r="F1206" s="171">
        <v>1999</v>
      </c>
      <c r="G1206" s="171">
        <v>294</v>
      </c>
      <c r="H1206" s="172" t="s">
        <v>1738</v>
      </c>
      <c r="I1206" s="173" t="s">
        <v>1743</v>
      </c>
      <c r="J1206" s="212">
        <v>0.56000000000000005</v>
      </c>
      <c r="K1206" s="213">
        <v>4.5</v>
      </c>
      <c r="L1206" s="91"/>
      <c r="M1206" s="171">
        <v>400</v>
      </c>
      <c r="N1206" s="171"/>
      <c r="O1206" s="172" t="s">
        <v>12</v>
      </c>
      <c r="P1206" s="511"/>
      <c r="Q1206" s="173" t="s">
        <v>273</v>
      </c>
      <c r="R1206" s="89"/>
      <c r="S1206" s="89"/>
      <c r="T1206" s="171"/>
      <c r="U1206" s="171"/>
      <c r="V1206" s="102">
        <v>0</v>
      </c>
      <c r="W1206" s="120">
        <v>0</v>
      </c>
      <c r="X1206" s="120">
        <v>0</v>
      </c>
      <c r="Y1206" s="120">
        <v>0</v>
      </c>
      <c r="Z1206" s="120">
        <v>0</v>
      </c>
      <c r="AA1206" s="17">
        <v>0</v>
      </c>
      <c r="AB1206" s="17">
        <v>0</v>
      </c>
      <c r="AC1206" s="17">
        <v>0</v>
      </c>
      <c r="AD1206" s="17">
        <v>0</v>
      </c>
      <c r="AE1206" s="17">
        <v>0</v>
      </c>
      <c r="AF1206" s="17">
        <v>0</v>
      </c>
      <c r="AG1206" s="17">
        <v>0</v>
      </c>
      <c r="AH1206" s="17">
        <v>0</v>
      </c>
      <c r="AI1206" s="17">
        <v>0</v>
      </c>
      <c r="AJ1206" s="17">
        <v>0</v>
      </c>
      <c r="AK1206" s="17">
        <v>0</v>
      </c>
      <c r="AL1206" s="32">
        <v>0</v>
      </c>
      <c r="AM1206" s="172">
        <v>42</v>
      </c>
      <c r="AN1206" s="89"/>
      <c r="AO1206" s="280"/>
      <c r="AP1206" s="784"/>
      <c r="AQ1206" s="17" t="s">
        <v>530</v>
      </c>
      <c r="AR1206" s="174">
        <v>50</v>
      </c>
      <c r="AS1206" s="171"/>
      <c r="AT1206" s="171">
        <v>200</v>
      </c>
      <c r="AU1206" s="255">
        <f t="shared" si="94"/>
        <v>20</v>
      </c>
      <c r="AV1206" s="172">
        <v>65</v>
      </c>
      <c r="AW1206" s="171">
        <v>1</v>
      </c>
      <c r="AX1206" s="171" t="s">
        <v>521</v>
      </c>
      <c r="AY1206" s="171">
        <v>20</v>
      </c>
      <c r="AZ1206" s="171">
        <v>0</v>
      </c>
      <c r="BA1206" s="175">
        <v>65</v>
      </c>
      <c r="BB1206" s="259"/>
      <c r="BC1206" s="190"/>
      <c r="BD1206" s="177"/>
      <c r="BE1206" s="177"/>
      <c r="BF1206" s="178"/>
    </row>
    <row r="1207" spans="1:58" ht="15" customHeight="1">
      <c r="A1207" s="95">
        <v>1206</v>
      </c>
      <c r="B1207" s="211" t="s">
        <v>1900</v>
      </c>
      <c r="C1207" s="191" t="s">
        <v>427</v>
      </c>
      <c r="D1207" s="171" t="s">
        <v>251</v>
      </c>
      <c r="E1207" s="463" t="s">
        <v>3377</v>
      </c>
      <c r="F1207" s="171">
        <v>1999</v>
      </c>
      <c r="G1207" s="171">
        <v>294</v>
      </c>
      <c r="H1207" s="172" t="s">
        <v>1738</v>
      </c>
      <c r="I1207" s="173" t="s">
        <v>1743</v>
      </c>
      <c r="J1207" s="212">
        <v>0.5</v>
      </c>
      <c r="K1207" s="213">
        <v>4.62</v>
      </c>
      <c r="L1207" s="91"/>
      <c r="M1207" s="171">
        <v>400</v>
      </c>
      <c r="N1207" s="171"/>
      <c r="O1207" s="172" t="s">
        <v>12</v>
      </c>
      <c r="P1207" s="511"/>
      <c r="Q1207" s="173" t="s">
        <v>273</v>
      </c>
      <c r="R1207" s="89"/>
      <c r="S1207" s="89"/>
      <c r="T1207" s="171"/>
      <c r="U1207" s="171"/>
      <c r="V1207" s="102">
        <v>0</v>
      </c>
      <c r="W1207" s="120">
        <v>0</v>
      </c>
      <c r="X1207" s="120">
        <v>0</v>
      </c>
      <c r="Y1207" s="120">
        <v>0</v>
      </c>
      <c r="Z1207" s="120">
        <v>0</v>
      </c>
      <c r="AA1207" s="17">
        <v>0</v>
      </c>
      <c r="AB1207" s="17">
        <v>0</v>
      </c>
      <c r="AC1207" s="17">
        <v>0</v>
      </c>
      <c r="AD1207" s="17">
        <v>0</v>
      </c>
      <c r="AE1207" s="17">
        <v>0</v>
      </c>
      <c r="AF1207" s="17">
        <v>0</v>
      </c>
      <c r="AG1207" s="17">
        <v>0</v>
      </c>
      <c r="AH1207" s="17">
        <v>0</v>
      </c>
      <c r="AI1207" s="17">
        <v>0</v>
      </c>
      <c r="AJ1207" s="17">
        <v>0</v>
      </c>
      <c r="AK1207" s="17">
        <v>0</v>
      </c>
      <c r="AL1207" s="32">
        <v>0</v>
      </c>
      <c r="AM1207" s="172">
        <v>61</v>
      </c>
      <c r="AN1207" s="89"/>
      <c r="AO1207" s="280"/>
      <c r="AP1207" s="784"/>
      <c r="AQ1207" s="17" t="s">
        <v>530</v>
      </c>
      <c r="AR1207" s="174">
        <v>50</v>
      </c>
      <c r="AS1207" s="171"/>
      <c r="AT1207" s="171">
        <v>200</v>
      </c>
      <c r="AU1207" s="255">
        <f t="shared" si="94"/>
        <v>20</v>
      </c>
      <c r="AV1207" s="172">
        <v>65</v>
      </c>
      <c r="AW1207" s="171">
        <v>1</v>
      </c>
      <c r="AX1207" s="171" t="s">
        <v>521</v>
      </c>
      <c r="AY1207" s="171">
        <v>20</v>
      </c>
      <c r="AZ1207" s="171">
        <v>0</v>
      </c>
      <c r="BA1207" s="175">
        <v>65</v>
      </c>
      <c r="BB1207" s="259"/>
      <c r="BC1207" s="190"/>
      <c r="BD1207" s="177"/>
      <c r="BE1207" s="177"/>
      <c r="BF1207" s="178"/>
    </row>
    <row r="1208" spans="1:58" ht="15" customHeight="1">
      <c r="A1208" s="95">
        <v>1207</v>
      </c>
      <c r="B1208" s="211" t="s">
        <v>1901</v>
      </c>
      <c r="C1208" s="191" t="s">
        <v>427</v>
      </c>
      <c r="D1208" s="171" t="s">
        <v>251</v>
      </c>
      <c r="E1208" s="463" t="s">
        <v>3377</v>
      </c>
      <c r="F1208" s="171">
        <v>1999</v>
      </c>
      <c r="G1208" s="171">
        <v>294</v>
      </c>
      <c r="H1208" s="172" t="s">
        <v>1738</v>
      </c>
      <c r="I1208" s="173" t="s">
        <v>1743</v>
      </c>
      <c r="J1208" s="212">
        <v>0.5</v>
      </c>
      <c r="K1208" s="213">
        <v>5.62</v>
      </c>
      <c r="L1208" s="91"/>
      <c r="M1208" s="171">
        <v>340</v>
      </c>
      <c r="N1208" s="171"/>
      <c r="O1208" s="172" t="s">
        <v>12</v>
      </c>
      <c r="P1208" s="511"/>
      <c r="Q1208" s="173" t="s">
        <v>273</v>
      </c>
      <c r="R1208" s="89"/>
      <c r="S1208" s="89"/>
      <c r="T1208" s="171"/>
      <c r="U1208" s="171"/>
      <c r="V1208" s="102">
        <v>11</v>
      </c>
      <c r="W1208" s="120">
        <v>0</v>
      </c>
      <c r="X1208" s="120">
        <v>0</v>
      </c>
      <c r="Y1208" s="120">
        <v>0</v>
      </c>
      <c r="Z1208" s="120">
        <v>0</v>
      </c>
      <c r="AA1208" s="17">
        <v>0</v>
      </c>
      <c r="AB1208" s="17">
        <v>0</v>
      </c>
      <c r="AC1208" s="17">
        <v>0</v>
      </c>
      <c r="AD1208" s="17">
        <v>0</v>
      </c>
      <c r="AE1208" s="17">
        <v>0</v>
      </c>
      <c r="AF1208" s="17">
        <v>0</v>
      </c>
      <c r="AG1208" s="17">
        <v>0</v>
      </c>
      <c r="AH1208" s="17">
        <v>0</v>
      </c>
      <c r="AI1208" s="17">
        <v>0</v>
      </c>
      <c r="AJ1208" s="17">
        <v>0</v>
      </c>
      <c r="AK1208" s="17">
        <v>0</v>
      </c>
      <c r="AL1208" s="32">
        <v>0</v>
      </c>
      <c r="AM1208" s="172">
        <v>83</v>
      </c>
      <c r="AN1208" s="89"/>
      <c r="AO1208" s="280"/>
      <c r="AP1208" s="784"/>
      <c r="AQ1208" s="17" t="s">
        <v>530</v>
      </c>
      <c r="AR1208" s="174">
        <v>50</v>
      </c>
      <c r="AS1208" s="171"/>
      <c r="AT1208" s="171">
        <v>200</v>
      </c>
      <c r="AU1208" s="255">
        <f t="shared" si="94"/>
        <v>20</v>
      </c>
      <c r="AV1208" s="172">
        <v>65</v>
      </c>
      <c r="AW1208" s="171">
        <v>1</v>
      </c>
      <c r="AX1208" s="171" t="s">
        <v>521</v>
      </c>
      <c r="AY1208" s="171">
        <v>20</v>
      </c>
      <c r="AZ1208" s="171">
        <v>0</v>
      </c>
      <c r="BA1208" s="175">
        <v>65</v>
      </c>
      <c r="BB1208" s="259"/>
      <c r="BC1208" s="190"/>
      <c r="BD1208" s="177"/>
      <c r="BE1208" s="177"/>
      <c r="BF1208" s="178"/>
    </row>
    <row r="1209" spans="1:58" ht="15" customHeight="1">
      <c r="A1209" s="95">
        <v>1208</v>
      </c>
      <c r="B1209" s="211" t="s">
        <v>1902</v>
      </c>
      <c r="C1209" s="191" t="s">
        <v>427</v>
      </c>
      <c r="D1209" s="171" t="s">
        <v>251</v>
      </c>
      <c r="E1209" s="463" t="s">
        <v>3377</v>
      </c>
      <c r="F1209" s="171">
        <v>1999</v>
      </c>
      <c r="G1209" s="171">
        <v>294</v>
      </c>
      <c r="H1209" s="172" t="s">
        <v>1738</v>
      </c>
      <c r="I1209" s="173" t="s">
        <v>1743</v>
      </c>
      <c r="J1209" s="212">
        <v>0.35</v>
      </c>
      <c r="K1209" s="213">
        <v>4.74</v>
      </c>
      <c r="L1209" s="91"/>
      <c r="M1209" s="171">
        <v>400</v>
      </c>
      <c r="N1209" s="171"/>
      <c r="O1209" s="172" t="s">
        <v>12</v>
      </c>
      <c r="P1209" s="511"/>
      <c r="Q1209" s="173" t="s">
        <v>273</v>
      </c>
      <c r="R1209" s="89"/>
      <c r="S1209" s="89"/>
      <c r="T1209" s="171"/>
      <c r="U1209" s="171"/>
      <c r="V1209" s="102">
        <v>11</v>
      </c>
      <c r="W1209" s="120">
        <v>0</v>
      </c>
      <c r="X1209" s="120">
        <v>0</v>
      </c>
      <c r="Y1209" s="120">
        <v>0</v>
      </c>
      <c r="Z1209" s="120">
        <v>0</v>
      </c>
      <c r="AA1209" s="17">
        <v>0</v>
      </c>
      <c r="AB1209" s="17">
        <v>0</v>
      </c>
      <c r="AC1209" s="17">
        <v>0</v>
      </c>
      <c r="AD1209" s="17">
        <v>0</v>
      </c>
      <c r="AE1209" s="17">
        <v>0</v>
      </c>
      <c r="AF1209" s="17">
        <v>0</v>
      </c>
      <c r="AG1209" s="17">
        <v>0</v>
      </c>
      <c r="AH1209" s="17">
        <v>0</v>
      </c>
      <c r="AI1209" s="17">
        <v>0</v>
      </c>
      <c r="AJ1209" s="17">
        <v>0</v>
      </c>
      <c r="AK1209" s="17">
        <v>0</v>
      </c>
      <c r="AL1209" s="32">
        <v>0</v>
      </c>
      <c r="AM1209" s="172">
        <v>101</v>
      </c>
      <c r="AN1209" s="89"/>
      <c r="AO1209" s="280"/>
      <c r="AP1209" s="784"/>
      <c r="AQ1209" s="17" t="s">
        <v>530</v>
      </c>
      <c r="AR1209" s="174">
        <v>50</v>
      </c>
      <c r="AS1209" s="171"/>
      <c r="AT1209" s="171">
        <v>200</v>
      </c>
      <c r="AU1209" s="255">
        <f t="shared" si="94"/>
        <v>20</v>
      </c>
      <c r="AV1209" s="172">
        <v>65</v>
      </c>
      <c r="AW1209" s="171">
        <v>1</v>
      </c>
      <c r="AX1209" s="171" t="s">
        <v>521</v>
      </c>
      <c r="AY1209" s="171">
        <v>20</v>
      </c>
      <c r="AZ1209" s="171">
        <v>0</v>
      </c>
      <c r="BA1209" s="175">
        <v>65</v>
      </c>
      <c r="BB1209" s="259"/>
      <c r="BC1209" s="190"/>
      <c r="BD1209" s="177"/>
      <c r="BE1209" s="177"/>
      <c r="BF1209" s="178"/>
    </row>
    <row r="1210" spans="1:58" ht="15" customHeight="1">
      <c r="A1210" s="95">
        <v>1209</v>
      </c>
      <c r="B1210" s="211" t="s">
        <v>1903</v>
      </c>
      <c r="C1210" s="191" t="s">
        <v>427</v>
      </c>
      <c r="D1210" s="171" t="s">
        <v>251</v>
      </c>
      <c r="E1210" s="463" t="s">
        <v>3377</v>
      </c>
      <c r="F1210" s="171">
        <v>1999</v>
      </c>
      <c r="G1210" s="171">
        <v>294</v>
      </c>
      <c r="H1210" s="172" t="s">
        <v>1738</v>
      </c>
      <c r="I1210" s="173" t="s">
        <v>1743</v>
      </c>
      <c r="J1210" s="212">
        <v>0.24</v>
      </c>
      <c r="K1210" s="213">
        <v>3.41</v>
      </c>
      <c r="L1210" s="91"/>
      <c r="M1210" s="171">
        <v>510</v>
      </c>
      <c r="N1210" s="171"/>
      <c r="O1210" s="172" t="s">
        <v>12</v>
      </c>
      <c r="P1210" s="511"/>
      <c r="Q1210" s="173" t="s">
        <v>273</v>
      </c>
      <c r="R1210" s="89"/>
      <c r="S1210" s="89"/>
      <c r="T1210" s="171"/>
      <c r="U1210" s="171"/>
      <c r="V1210" s="102">
        <v>11</v>
      </c>
      <c r="W1210" s="120">
        <v>0</v>
      </c>
      <c r="X1210" s="120">
        <v>0</v>
      </c>
      <c r="Y1210" s="120">
        <v>0</v>
      </c>
      <c r="Z1210" s="120">
        <v>0</v>
      </c>
      <c r="AA1210" s="17">
        <v>0</v>
      </c>
      <c r="AB1210" s="17">
        <v>0</v>
      </c>
      <c r="AC1210" s="17">
        <v>0</v>
      </c>
      <c r="AD1210" s="17">
        <v>0</v>
      </c>
      <c r="AE1210" s="17">
        <v>0</v>
      </c>
      <c r="AF1210" s="17">
        <v>0</v>
      </c>
      <c r="AG1210" s="17">
        <v>0</v>
      </c>
      <c r="AH1210" s="17">
        <v>0</v>
      </c>
      <c r="AI1210" s="17">
        <v>0</v>
      </c>
      <c r="AJ1210" s="17">
        <v>0</v>
      </c>
      <c r="AK1210" s="17">
        <v>0</v>
      </c>
      <c r="AL1210" s="32">
        <v>0</v>
      </c>
      <c r="AM1210" s="172">
        <v>112</v>
      </c>
      <c r="AN1210" s="89"/>
      <c r="AO1210" s="280"/>
      <c r="AP1210" s="784"/>
      <c r="AQ1210" s="17" t="s">
        <v>530</v>
      </c>
      <c r="AR1210" s="174">
        <v>50</v>
      </c>
      <c r="AS1210" s="171"/>
      <c r="AT1210" s="171">
        <v>200</v>
      </c>
      <c r="AU1210" s="255">
        <f t="shared" si="94"/>
        <v>20</v>
      </c>
      <c r="AV1210" s="172">
        <v>65</v>
      </c>
      <c r="AW1210" s="171">
        <v>1</v>
      </c>
      <c r="AX1210" s="171" t="s">
        <v>521</v>
      </c>
      <c r="AY1210" s="171">
        <v>20</v>
      </c>
      <c r="AZ1210" s="171">
        <v>0</v>
      </c>
      <c r="BA1210" s="175">
        <v>65</v>
      </c>
      <c r="BB1210" s="259"/>
      <c r="BC1210" s="190"/>
      <c r="BD1210" s="177"/>
      <c r="BE1210" s="177"/>
      <c r="BF1210" s="178"/>
    </row>
    <row r="1211" spans="1:58">
      <c r="A1211" s="95">
        <v>1210</v>
      </c>
      <c r="B1211" s="211" t="s">
        <v>290</v>
      </c>
      <c r="C1211" s="191" t="s">
        <v>149</v>
      </c>
      <c r="D1211" s="171" t="s">
        <v>251</v>
      </c>
      <c r="E1211" s="463" t="s">
        <v>3377</v>
      </c>
      <c r="F1211" s="171">
        <v>2001</v>
      </c>
      <c r="G1211" s="171">
        <v>295</v>
      </c>
      <c r="H1211" s="172" t="s">
        <v>1738</v>
      </c>
      <c r="I1211" s="173" t="s">
        <v>1752</v>
      </c>
      <c r="J1211" s="212">
        <v>0.28999999999999998</v>
      </c>
      <c r="K1211" s="213">
        <v>4.21</v>
      </c>
      <c r="L1211" s="91"/>
      <c r="M1211" s="171">
        <v>428</v>
      </c>
      <c r="N1211" s="171"/>
      <c r="O1211" s="172" t="s">
        <v>12</v>
      </c>
      <c r="P1211" s="511"/>
      <c r="Q1211" s="173" t="s">
        <v>273</v>
      </c>
      <c r="R1211" s="506" t="s">
        <v>2731</v>
      </c>
      <c r="S1211" s="89"/>
      <c r="T1211" s="214"/>
      <c r="U1211" s="214" t="s">
        <v>2320</v>
      </c>
      <c r="V1211" s="102">
        <v>0</v>
      </c>
      <c r="W1211" s="120">
        <v>0</v>
      </c>
      <c r="X1211" s="120">
        <v>0</v>
      </c>
      <c r="Y1211" s="120">
        <v>0</v>
      </c>
      <c r="Z1211" s="120">
        <v>0</v>
      </c>
      <c r="AA1211" s="17">
        <v>0</v>
      </c>
      <c r="AB1211" s="17">
        <v>0</v>
      </c>
      <c r="AC1211" s="17">
        <v>5</v>
      </c>
      <c r="AD1211" s="17">
        <v>0</v>
      </c>
      <c r="AE1211" s="17">
        <v>0</v>
      </c>
      <c r="AF1211" s="17">
        <v>3.33</v>
      </c>
      <c r="AG1211" s="17">
        <v>0</v>
      </c>
      <c r="AH1211" s="17">
        <v>0</v>
      </c>
      <c r="AI1211" s="17">
        <v>0</v>
      </c>
      <c r="AJ1211" s="17">
        <v>0</v>
      </c>
      <c r="AK1211" s="17">
        <v>0</v>
      </c>
      <c r="AL1211" s="32">
        <v>0</v>
      </c>
      <c r="AM1211" s="172">
        <v>91.5</v>
      </c>
      <c r="AN1211" s="89"/>
      <c r="AO1211" s="280"/>
      <c r="AP1211" s="783">
        <v>42500</v>
      </c>
      <c r="AQ1211" s="17" t="s">
        <v>531</v>
      </c>
      <c r="AR1211" s="174">
        <v>133.5</v>
      </c>
      <c r="AS1211" s="171"/>
      <c r="AT1211" s="171">
        <v>76</v>
      </c>
      <c r="AU1211" s="255">
        <f t="shared" si="94"/>
        <v>24.214797136038186</v>
      </c>
      <c r="AV1211" s="172">
        <v>99</v>
      </c>
      <c r="AW1211" s="171">
        <v>1</v>
      </c>
      <c r="AX1211" s="89"/>
      <c r="AY1211" s="171">
        <v>21</v>
      </c>
      <c r="AZ1211" s="171">
        <v>0</v>
      </c>
      <c r="BA1211" s="175">
        <v>99</v>
      </c>
      <c r="BB1211" s="259"/>
      <c r="BC1211" s="190"/>
      <c r="BD1211" s="177"/>
      <c r="BE1211" s="177"/>
      <c r="BF1211" s="178" t="s">
        <v>542</v>
      </c>
    </row>
    <row r="1212" spans="1:58">
      <c r="A1212" s="95">
        <v>1211</v>
      </c>
      <c r="B1212" s="211" t="s">
        <v>291</v>
      </c>
      <c r="C1212" s="191" t="s">
        <v>149</v>
      </c>
      <c r="D1212" s="171" t="s">
        <v>251</v>
      </c>
      <c r="E1212" s="463" t="s">
        <v>3377</v>
      </c>
      <c r="F1212" s="171">
        <v>2001</v>
      </c>
      <c r="G1212" s="171">
        <v>295</v>
      </c>
      <c r="H1212" s="172" t="s">
        <v>1738</v>
      </c>
      <c r="I1212" s="173" t="s">
        <v>1752</v>
      </c>
      <c r="J1212" s="212">
        <v>0.31</v>
      </c>
      <c r="K1212" s="213">
        <v>4.4400000000000004</v>
      </c>
      <c r="L1212" s="91"/>
      <c r="M1212" s="171">
        <v>405</v>
      </c>
      <c r="N1212" s="171"/>
      <c r="O1212" s="172" t="s">
        <v>12</v>
      </c>
      <c r="P1212" s="511"/>
      <c r="Q1212" s="173" t="s">
        <v>273</v>
      </c>
      <c r="R1212" s="506" t="s">
        <v>2731</v>
      </c>
      <c r="S1212" s="89"/>
      <c r="T1212" s="214"/>
      <c r="U1212" s="214" t="s">
        <v>2320</v>
      </c>
      <c r="V1212" s="102">
        <v>0</v>
      </c>
      <c r="W1212" s="120">
        <v>0</v>
      </c>
      <c r="X1212" s="120">
        <v>0</v>
      </c>
      <c r="Y1212" s="120">
        <v>0</v>
      </c>
      <c r="Z1212" s="120">
        <v>0</v>
      </c>
      <c r="AA1212" s="17">
        <v>0</v>
      </c>
      <c r="AB1212" s="17">
        <v>0</v>
      </c>
      <c r="AC1212" s="17">
        <v>10</v>
      </c>
      <c r="AD1212" s="17">
        <v>0</v>
      </c>
      <c r="AE1212" s="17">
        <v>0</v>
      </c>
      <c r="AF1212" s="17">
        <v>3.46</v>
      </c>
      <c r="AG1212" s="17">
        <v>0</v>
      </c>
      <c r="AH1212" s="17">
        <v>0</v>
      </c>
      <c r="AI1212" s="17">
        <v>0</v>
      </c>
      <c r="AJ1212" s="17">
        <v>0</v>
      </c>
      <c r="AK1212" s="17">
        <v>0</v>
      </c>
      <c r="AL1212" s="32">
        <v>0</v>
      </c>
      <c r="AM1212" s="172">
        <v>104</v>
      </c>
      <c r="AN1212" s="89"/>
      <c r="AO1212" s="280"/>
      <c r="AP1212" s="783">
        <v>43400</v>
      </c>
      <c r="AQ1212" s="17" t="s">
        <v>531</v>
      </c>
      <c r="AR1212" s="174">
        <v>133.5</v>
      </c>
      <c r="AS1212" s="171"/>
      <c r="AT1212" s="171">
        <v>76</v>
      </c>
      <c r="AU1212" s="255">
        <f t="shared" si="94"/>
        <v>24.214797136038186</v>
      </c>
      <c r="AV1212" s="172">
        <v>99</v>
      </c>
      <c r="AW1212" s="171">
        <v>1</v>
      </c>
      <c r="AX1212" s="89"/>
      <c r="AY1212" s="171">
        <v>21</v>
      </c>
      <c r="AZ1212" s="171">
        <v>0</v>
      </c>
      <c r="BA1212" s="175">
        <v>99</v>
      </c>
      <c r="BB1212" s="259"/>
      <c r="BC1212" s="190"/>
      <c r="BD1212" s="177"/>
      <c r="BE1212" s="177"/>
      <c r="BF1212" s="178" t="s">
        <v>542</v>
      </c>
    </row>
    <row r="1213" spans="1:58">
      <c r="A1213" s="95">
        <v>1212</v>
      </c>
      <c r="B1213" s="211" t="s">
        <v>292</v>
      </c>
      <c r="C1213" s="191" t="s">
        <v>149</v>
      </c>
      <c r="D1213" s="171" t="s">
        <v>251</v>
      </c>
      <c r="E1213" s="463" t="s">
        <v>3377</v>
      </c>
      <c r="F1213" s="171">
        <v>2001</v>
      </c>
      <c r="G1213" s="171">
        <v>295</v>
      </c>
      <c r="H1213" s="172" t="s">
        <v>1738</v>
      </c>
      <c r="I1213" s="173" t="s">
        <v>1752</v>
      </c>
      <c r="J1213" s="212">
        <v>0.33</v>
      </c>
      <c r="K1213" s="213">
        <v>4.71</v>
      </c>
      <c r="L1213" s="91"/>
      <c r="M1213" s="171">
        <v>383</v>
      </c>
      <c r="N1213" s="171"/>
      <c r="O1213" s="172" t="s">
        <v>12</v>
      </c>
      <c r="P1213" s="511"/>
      <c r="Q1213" s="173" t="s">
        <v>273</v>
      </c>
      <c r="R1213" s="506" t="s">
        <v>2731</v>
      </c>
      <c r="S1213" s="89"/>
      <c r="T1213" s="214"/>
      <c r="U1213" s="214" t="s">
        <v>2320</v>
      </c>
      <c r="V1213" s="102">
        <v>0</v>
      </c>
      <c r="W1213" s="120">
        <v>0</v>
      </c>
      <c r="X1213" s="120">
        <v>0</v>
      </c>
      <c r="Y1213" s="120">
        <v>0</v>
      </c>
      <c r="Z1213" s="120">
        <v>0</v>
      </c>
      <c r="AA1213" s="17">
        <v>0</v>
      </c>
      <c r="AB1213" s="17">
        <v>0</v>
      </c>
      <c r="AC1213" s="17">
        <v>15</v>
      </c>
      <c r="AD1213" s="17">
        <v>0</v>
      </c>
      <c r="AE1213" s="17">
        <v>0</v>
      </c>
      <c r="AF1213" s="17">
        <v>3.66</v>
      </c>
      <c r="AG1213" s="17">
        <v>0</v>
      </c>
      <c r="AH1213" s="17">
        <v>0</v>
      </c>
      <c r="AI1213" s="17">
        <v>0</v>
      </c>
      <c r="AJ1213" s="17">
        <v>0</v>
      </c>
      <c r="AK1213" s="17">
        <v>0</v>
      </c>
      <c r="AL1213" s="32">
        <v>0</v>
      </c>
      <c r="AM1213" s="172">
        <v>103.5</v>
      </c>
      <c r="AN1213" s="89"/>
      <c r="AO1213" s="280"/>
      <c r="AP1213" s="783">
        <v>42900</v>
      </c>
      <c r="AQ1213" s="17" t="s">
        <v>531</v>
      </c>
      <c r="AR1213" s="174">
        <v>133.5</v>
      </c>
      <c r="AS1213" s="171"/>
      <c r="AT1213" s="171">
        <v>76</v>
      </c>
      <c r="AU1213" s="255">
        <f t="shared" si="94"/>
        <v>24.214797136038186</v>
      </c>
      <c r="AV1213" s="172">
        <v>99</v>
      </c>
      <c r="AW1213" s="171">
        <v>1</v>
      </c>
      <c r="AX1213" s="89"/>
      <c r="AY1213" s="171">
        <v>21</v>
      </c>
      <c r="AZ1213" s="171">
        <v>0</v>
      </c>
      <c r="BA1213" s="175">
        <v>99</v>
      </c>
      <c r="BB1213" s="259"/>
      <c r="BC1213" s="190"/>
      <c r="BD1213" s="177"/>
      <c r="BE1213" s="177"/>
      <c r="BF1213" s="178" t="s">
        <v>542</v>
      </c>
    </row>
    <row r="1214" spans="1:58">
      <c r="A1214" s="95">
        <v>1213</v>
      </c>
      <c r="B1214" s="211" t="s">
        <v>293</v>
      </c>
      <c r="C1214" s="191" t="s">
        <v>149</v>
      </c>
      <c r="D1214" s="171" t="s">
        <v>251</v>
      </c>
      <c r="E1214" s="463" t="s">
        <v>3377</v>
      </c>
      <c r="F1214" s="171">
        <v>2001</v>
      </c>
      <c r="G1214" s="171">
        <v>295</v>
      </c>
      <c r="H1214" s="172" t="s">
        <v>1738</v>
      </c>
      <c r="I1214" s="173" t="s">
        <v>1752</v>
      </c>
      <c r="J1214" s="212">
        <v>0.28000000000000003</v>
      </c>
      <c r="K1214" s="213">
        <v>4</v>
      </c>
      <c r="L1214" s="91"/>
      <c r="M1214" s="171">
        <v>450</v>
      </c>
      <c r="N1214" s="171"/>
      <c r="O1214" s="172" t="s">
        <v>12</v>
      </c>
      <c r="P1214" s="92"/>
      <c r="Q1214" s="173" t="s">
        <v>273</v>
      </c>
      <c r="R1214" s="506" t="s">
        <v>2731</v>
      </c>
      <c r="S1214" s="89"/>
      <c r="T1214" s="214"/>
      <c r="U1214" s="214" t="s">
        <v>2320</v>
      </c>
      <c r="V1214" s="102">
        <v>0</v>
      </c>
      <c r="W1214" s="120">
        <v>0</v>
      </c>
      <c r="X1214" s="120">
        <v>0</v>
      </c>
      <c r="Y1214" s="120">
        <v>0</v>
      </c>
      <c r="Z1214" s="120">
        <v>0</v>
      </c>
      <c r="AA1214" s="17">
        <v>0</v>
      </c>
      <c r="AB1214" s="17">
        <v>0</v>
      </c>
      <c r="AC1214" s="17">
        <v>0</v>
      </c>
      <c r="AD1214" s="17">
        <v>0</v>
      </c>
      <c r="AE1214" s="17">
        <v>0</v>
      </c>
      <c r="AF1214" s="17">
        <v>3.11</v>
      </c>
      <c r="AG1214" s="17">
        <v>0</v>
      </c>
      <c r="AH1214" s="17">
        <v>0</v>
      </c>
      <c r="AI1214" s="17">
        <v>0</v>
      </c>
      <c r="AJ1214" s="17">
        <v>0</v>
      </c>
      <c r="AK1214" s="17">
        <v>0</v>
      </c>
      <c r="AL1214" s="32">
        <v>0</v>
      </c>
      <c r="AM1214" s="172">
        <v>87</v>
      </c>
      <c r="AN1214" s="89"/>
      <c r="AO1214" s="280"/>
      <c r="AP1214" s="783">
        <v>41300</v>
      </c>
      <c r="AQ1214" s="17" t="s">
        <v>531</v>
      </c>
      <c r="AR1214" s="174">
        <v>133.5</v>
      </c>
      <c r="AS1214" s="171"/>
      <c r="AT1214" s="171">
        <v>76</v>
      </c>
      <c r="AU1214" s="255">
        <f t="shared" si="94"/>
        <v>24.214797136038186</v>
      </c>
      <c r="AV1214" s="172">
        <v>99</v>
      </c>
      <c r="AW1214" s="171">
        <v>1</v>
      </c>
      <c r="AX1214" s="89"/>
      <c r="AY1214" s="171">
        <v>21</v>
      </c>
      <c r="AZ1214" s="171">
        <v>0</v>
      </c>
      <c r="BA1214" s="175">
        <v>99</v>
      </c>
      <c r="BB1214" s="259"/>
      <c r="BC1214" s="190"/>
      <c r="BD1214" s="177"/>
      <c r="BE1214" s="177"/>
      <c r="BF1214" s="178" t="s">
        <v>542</v>
      </c>
    </row>
    <row r="1215" spans="1:58">
      <c r="A1215" s="95">
        <v>1214</v>
      </c>
      <c r="B1215" s="211" t="s">
        <v>294</v>
      </c>
      <c r="C1215" s="191" t="s">
        <v>149</v>
      </c>
      <c r="D1215" s="171" t="s">
        <v>251</v>
      </c>
      <c r="E1215" s="463" t="s">
        <v>3377</v>
      </c>
      <c r="F1215" s="171">
        <v>2001</v>
      </c>
      <c r="G1215" s="171">
        <v>295</v>
      </c>
      <c r="H1215" s="172" t="s">
        <v>1738</v>
      </c>
      <c r="I1215" s="173" t="s">
        <v>1752</v>
      </c>
      <c r="J1215" s="212">
        <v>0.28999999999999998</v>
      </c>
      <c r="K1215" s="213">
        <v>4.21</v>
      </c>
      <c r="L1215" s="91"/>
      <c r="M1215" s="171">
        <v>428</v>
      </c>
      <c r="N1215" s="171"/>
      <c r="O1215" s="172" t="s">
        <v>12</v>
      </c>
      <c r="P1215" s="92"/>
      <c r="Q1215" s="173" t="s">
        <v>273</v>
      </c>
      <c r="R1215" s="506" t="s">
        <v>2731</v>
      </c>
      <c r="S1215" s="89"/>
      <c r="T1215" s="214"/>
      <c r="U1215" s="214" t="s">
        <v>2320</v>
      </c>
      <c r="V1215" s="102">
        <v>0</v>
      </c>
      <c r="W1215" s="120">
        <v>0</v>
      </c>
      <c r="X1215" s="120">
        <v>0</v>
      </c>
      <c r="Y1215" s="120">
        <v>0</v>
      </c>
      <c r="Z1215" s="120">
        <v>0</v>
      </c>
      <c r="AA1215" s="17">
        <v>0</v>
      </c>
      <c r="AB1215" s="17">
        <v>0</v>
      </c>
      <c r="AC1215" s="17">
        <v>5</v>
      </c>
      <c r="AD1215" s="17">
        <v>0</v>
      </c>
      <c r="AE1215" s="17">
        <v>0</v>
      </c>
      <c r="AF1215" s="17">
        <v>3.33</v>
      </c>
      <c r="AG1215" s="17">
        <v>0</v>
      </c>
      <c r="AH1215" s="17">
        <v>0</v>
      </c>
      <c r="AI1215" s="17">
        <v>0</v>
      </c>
      <c r="AJ1215" s="17">
        <v>0</v>
      </c>
      <c r="AK1215" s="17">
        <v>0</v>
      </c>
      <c r="AL1215" s="32">
        <v>0</v>
      </c>
      <c r="AM1215" s="172">
        <v>91.5</v>
      </c>
      <c r="AN1215" s="89"/>
      <c r="AO1215" s="280"/>
      <c r="AP1215" s="783">
        <v>42500</v>
      </c>
      <c r="AQ1215" s="17" t="s">
        <v>531</v>
      </c>
      <c r="AR1215" s="174">
        <v>133.5</v>
      </c>
      <c r="AS1215" s="171"/>
      <c r="AT1215" s="171">
        <v>76</v>
      </c>
      <c r="AU1215" s="255">
        <f t="shared" si="94"/>
        <v>24.214797136038186</v>
      </c>
      <c r="AV1215" s="172">
        <v>99</v>
      </c>
      <c r="AW1215" s="171">
        <v>1</v>
      </c>
      <c r="AX1215" s="89"/>
      <c r="AY1215" s="171">
        <v>21</v>
      </c>
      <c r="AZ1215" s="171">
        <v>0</v>
      </c>
      <c r="BA1215" s="175">
        <v>99</v>
      </c>
      <c r="BB1215" s="259"/>
      <c r="BC1215" s="190"/>
      <c r="BD1215" s="177"/>
      <c r="BE1215" s="177"/>
      <c r="BF1215" s="178" t="s">
        <v>542</v>
      </c>
    </row>
    <row r="1216" spans="1:58">
      <c r="A1216" s="95">
        <v>1215</v>
      </c>
      <c r="B1216" s="211" t="s">
        <v>295</v>
      </c>
      <c r="C1216" s="191" t="s">
        <v>149</v>
      </c>
      <c r="D1216" s="171" t="s">
        <v>251</v>
      </c>
      <c r="E1216" s="463" t="s">
        <v>3377</v>
      </c>
      <c r="F1216" s="171">
        <v>2001</v>
      </c>
      <c r="G1216" s="171">
        <v>295</v>
      </c>
      <c r="H1216" s="172" t="s">
        <v>1738</v>
      </c>
      <c r="I1216" s="173" t="s">
        <v>1752</v>
      </c>
      <c r="J1216" s="212">
        <v>0.31</v>
      </c>
      <c r="K1216" s="213">
        <v>4.4400000000000004</v>
      </c>
      <c r="L1216" s="91"/>
      <c r="M1216" s="171">
        <v>405</v>
      </c>
      <c r="N1216" s="171"/>
      <c r="O1216" s="172" t="s">
        <v>12</v>
      </c>
      <c r="P1216" s="92"/>
      <c r="Q1216" s="173" t="s">
        <v>273</v>
      </c>
      <c r="R1216" s="506" t="s">
        <v>2731</v>
      </c>
      <c r="S1216" s="89"/>
      <c r="T1216" s="214"/>
      <c r="U1216" s="214" t="s">
        <v>2320</v>
      </c>
      <c r="V1216" s="102">
        <v>0</v>
      </c>
      <c r="W1216" s="120">
        <v>0</v>
      </c>
      <c r="X1216" s="120">
        <v>0</v>
      </c>
      <c r="Y1216" s="120">
        <v>0</v>
      </c>
      <c r="Z1216" s="120">
        <v>0</v>
      </c>
      <c r="AA1216" s="17">
        <v>0</v>
      </c>
      <c r="AB1216" s="17">
        <v>0</v>
      </c>
      <c r="AC1216" s="17">
        <v>10</v>
      </c>
      <c r="AD1216" s="17">
        <v>0</v>
      </c>
      <c r="AE1216" s="17">
        <v>0</v>
      </c>
      <c r="AF1216" s="17">
        <v>3.46</v>
      </c>
      <c r="AG1216" s="17">
        <v>0</v>
      </c>
      <c r="AH1216" s="17">
        <v>0</v>
      </c>
      <c r="AI1216" s="17">
        <v>0</v>
      </c>
      <c r="AJ1216" s="17">
        <v>0</v>
      </c>
      <c r="AK1216" s="17">
        <v>0</v>
      </c>
      <c r="AL1216" s="32">
        <v>0</v>
      </c>
      <c r="AM1216" s="172">
        <v>104</v>
      </c>
      <c r="AN1216" s="89"/>
      <c r="AO1216" s="280"/>
      <c r="AP1216" s="783">
        <v>43400</v>
      </c>
      <c r="AQ1216" s="17" t="s">
        <v>531</v>
      </c>
      <c r="AR1216" s="174">
        <v>133.5</v>
      </c>
      <c r="AS1216" s="171"/>
      <c r="AT1216" s="171">
        <v>76</v>
      </c>
      <c r="AU1216" s="255">
        <f t="shared" si="94"/>
        <v>24.214797136038186</v>
      </c>
      <c r="AV1216" s="172">
        <v>99</v>
      </c>
      <c r="AW1216" s="171">
        <v>1</v>
      </c>
      <c r="AX1216" s="89"/>
      <c r="AY1216" s="171">
        <v>21</v>
      </c>
      <c r="AZ1216" s="171">
        <v>0</v>
      </c>
      <c r="BA1216" s="175">
        <v>99</v>
      </c>
      <c r="BB1216" s="259"/>
      <c r="BC1216" s="190"/>
      <c r="BD1216" s="177"/>
      <c r="BE1216" s="177"/>
      <c r="BF1216" s="178" t="s">
        <v>542</v>
      </c>
    </row>
    <row r="1217" spans="1:58" ht="15" customHeight="1">
      <c r="A1217" s="95">
        <v>1216</v>
      </c>
      <c r="B1217" s="211" t="s">
        <v>296</v>
      </c>
      <c r="C1217" s="191" t="s">
        <v>149</v>
      </c>
      <c r="D1217" s="171" t="s">
        <v>251</v>
      </c>
      <c r="E1217" s="463" t="s">
        <v>3377</v>
      </c>
      <c r="F1217" s="171">
        <v>2001</v>
      </c>
      <c r="G1217" s="171">
        <v>295</v>
      </c>
      <c r="H1217" s="172" t="s">
        <v>1738</v>
      </c>
      <c r="I1217" s="173" t="s">
        <v>1752</v>
      </c>
      <c r="J1217" s="212">
        <v>0.33</v>
      </c>
      <c r="K1217" s="213">
        <v>4.71</v>
      </c>
      <c r="L1217" s="91"/>
      <c r="M1217" s="171">
        <v>383</v>
      </c>
      <c r="N1217" s="171"/>
      <c r="O1217" s="172" t="s">
        <v>12</v>
      </c>
      <c r="P1217" s="92"/>
      <c r="Q1217" s="173" t="s">
        <v>273</v>
      </c>
      <c r="R1217" s="506" t="s">
        <v>2731</v>
      </c>
      <c r="S1217" s="89"/>
      <c r="T1217" s="214"/>
      <c r="U1217" s="214" t="s">
        <v>2320</v>
      </c>
      <c r="V1217" s="102">
        <v>0</v>
      </c>
      <c r="W1217" s="120">
        <v>0</v>
      </c>
      <c r="X1217" s="120">
        <v>0</v>
      </c>
      <c r="Y1217" s="120">
        <v>0</v>
      </c>
      <c r="Z1217" s="120">
        <v>0</v>
      </c>
      <c r="AA1217" s="17">
        <v>0</v>
      </c>
      <c r="AB1217" s="17">
        <v>0</v>
      </c>
      <c r="AC1217" s="17">
        <v>15</v>
      </c>
      <c r="AD1217" s="17">
        <v>0</v>
      </c>
      <c r="AE1217" s="17">
        <v>0</v>
      </c>
      <c r="AF1217" s="17">
        <v>3.66</v>
      </c>
      <c r="AG1217" s="17">
        <v>0</v>
      </c>
      <c r="AH1217" s="17">
        <v>0</v>
      </c>
      <c r="AI1217" s="17">
        <v>0</v>
      </c>
      <c r="AJ1217" s="17">
        <v>0</v>
      </c>
      <c r="AK1217" s="17">
        <v>0</v>
      </c>
      <c r="AL1217" s="32">
        <v>0</v>
      </c>
      <c r="AM1217" s="172">
        <v>103.5</v>
      </c>
      <c r="AN1217" s="89"/>
      <c r="AO1217" s="280"/>
      <c r="AP1217" s="783">
        <v>42900</v>
      </c>
      <c r="AQ1217" s="17" t="s">
        <v>531</v>
      </c>
      <c r="AR1217" s="174">
        <v>133.5</v>
      </c>
      <c r="AS1217" s="171"/>
      <c r="AT1217" s="171">
        <v>76</v>
      </c>
      <c r="AU1217" s="255">
        <f t="shared" si="94"/>
        <v>24.214797136038186</v>
      </c>
      <c r="AV1217" s="172">
        <v>99</v>
      </c>
      <c r="AW1217" s="171">
        <v>1</v>
      </c>
      <c r="AX1217" s="89"/>
      <c r="AY1217" s="171">
        <v>21</v>
      </c>
      <c r="AZ1217" s="171">
        <v>0</v>
      </c>
      <c r="BA1217" s="175">
        <v>99</v>
      </c>
      <c r="BB1217" s="259"/>
      <c r="BC1217" s="190"/>
      <c r="BD1217" s="177"/>
      <c r="BE1217" s="177"/>
      <c r="BF1217" s="178" t="s">
        <v>542</v>
      </c>
    </row>
    <row r="1218" spans="1:58">
      <c r="A1218" s="95">
        <v>1217</v>
      </c>
      <c r="B1218" s="211" t="s">
        <v>297</v>
      </c>
      <c r="C1218" s="191" t="s">
        <v>149</v>
      </c>
      <c r="D1218" s="171" t="s">
        <v>251</v>
      </c>
      <c r="E1218" s="463" t="s">
        <v>3377</v>
      </c>
      <c r="F1218" s="171">
        <v>2001</v>
      </c>
      <c r="G1218" s="171">
        <v>295</v>
      </c>
      <c r="H1218" s="172" t="s">
        <v>1738</v>
      </c>
      <c r="I1218" s="173" t="s">
        <v>1752</v>
      </c>
      <c r="J1218" s="212">
        <v>0.28000000000000003</v>
      </c>
      <c r="K1218" s="213">
        <v>4</v>
      </c>
      <c r="L1218" s="91"/>
      <c r="M1218" s="171">
        <v>450</v>
      </c>
      <c r="N1218" s="171"/>
      <c r="O1218" s="172" t="s">
        <v>12</v>
      </c>
      <c r="P1218" s="92"/>
      <c r="Q1218" s="173" t="s">
        <v>273</v>
      </c>
      <c r="R1218" s="506" t="s">
        <v>2731</v>
      </c>
      <c r="S1218" s="89"/>
      <c r="T1218" s="214"/>
      <c r="U1218" s="214" t="s">
        <v>2320</v>
      </c>
      <c r="V1218" s="102">
        <v>0</v>
      </c>
      <c r="W1218" s="120">
        <v>0</v>
      </c>
      <c r="X1218" s="120">
        <v>0</v>
      </c>
      <c r="Y1218" s="120">
        <v>0</v>
      </c>
      <c r="Z1218" s="120">
        <v>0</v>
      </c>
      <c r="AA1218" s="17">
        <v>0</v>
      </c>
      <c r="AB1218" s="17">
        <v>0</v>
      </c>
      <c r="AC1218" s="17">
        <v>0</v>
      </c>
      <c r="AD1218" s="17">
        <v>0</v>
      </c>
      <c r="AE1218" s="17">
        <v>0</v>
      </c>
      <c r="AF1218" s="17">
        <v>3.11</v>
      </c>
      <c r="AG1218" s="17">
        <v>0</v>
      </c>
      <c r="AH1218" s="17">
        <v>0</v>
      </c>
      <c r="AI1218" s="17">
        <v>0</v>
      </c>
      <c r="AJ1218" s="17">
        <v>0</v>
      </c>
      <c r="AK1218" s="17">
        <v>0</v>
      </c>
      <c r="AL1218" s="32">
        <v>0</v>
      </c>
      <c r="AM1218" s="172">
        <v>87</v>
      </c>
      <c r="AN1218" s="89"/>
      <c r="AO1218" s="280"/>
      <c r="AP1218" s="783">
        <v>41300</v>
      </c>
      <c r="AQ1218" s="17" t="s">
        <v>531</v>
      </c>
      <c r="AR1218" s="174">
        <v>133.5</v>
      </c>
      <c r="AS1218" s="171"/>
      <c r="AT1218" s="171">
        <v>76</v>
      </c>
      <c r="AU1218" s="255">
        <f t="shared" si="94"/>
        <v>24.214797136038186</v>
      </c>
      <c r="AV1218" s="172">
        <v>99</v>
      </c>
      <c r="AW1218" s="171">
        <v>1</v>
      </c>
      <c r="AX1218" s="89"/>
      <c r="AY1218" s="171">
        <v>21</v>
      </c>
      <c r="AZ1218" s="171">
        <v>0</v>
      </c>
      <c r="BA1218" s="175">
        <v>99</v>
      </c>
      <c r="BB1218" s="259"/>
      <c r="BC1218" s="190"/>
      <c r="BD1218" s="177"/>
      <c r="BE1218" s="177"/>
      <c r="BF1218" s="178" t="s">
        <v>542</v>
      </c>
    </row>
    <row r="1219" spans="1:58" ht="15" customHeight="1">
      <c r="A1219" s="95">
        <v>1218</v>
      </c>
      <c r="B1219" s="211" t="s">
        <v>1904</v>
      </c>
      <c r="C1219" s="191" t="s">
        <v>149</v>
      </c>
      <c r="D1219" s="171" t="s">
        <v>251</v>
      </c>
      <c r="E1219" s="463" t="s">
        <v>3377</v>
      </c>
      <c r="F1219" s="171">
        <v>2001</v>
      </c>
      <c r="G1219" s="171">
        <v>295</v>
      </c>
      <c r="H1219" s="172" t="s">
        <v>1738</v>
      </c>
      <c r="I1219" s="173" t="s">
        <v>1752</v>
      </c>
      <c r="J1219" s="212">
        <v>0.28999999999999998</v>
      </c>
      <c r="K1219" s="213">
        <v>4.21</v>
      </c>
      <c r="L1219" s="91"/>
      <c r="M1219" s="171">
        <v>428</v>
      </c>
      <c r="N1219" s="171"/>
      <c r="O1219" s="172" t="s">
        <v>12</v>
      </c>
      <c r="P1219" s="92"/>
      <c r="Q1219" s="173" t="s">
        <v>273</v>
      </c>
      <c r="R1219" s="506" t="s">
        <v>2731</v>
      </c>
      <c r="S1219" s="89"/>
      <c r="T1219" s="214"/>
      <c r="U1219" s="214" t="s">
        <v>2320</v>
      </c>
      <c r="V1219" s="102">
        <v>0</v>
      </c>
      <c r="W1219" s="120">
        <v>0</v>
      </c>
      <c r="X1219" s="120">
        <v>0</v>
      </c>
      <c r="Y1219" s="120">
        <v>0</v>
      </c>
      <c r="Z1219" s="120">
        <v>0</v>
      </c>
      <c r="AA1219" s="17">
        <v>0</v>
      </c>
      <c r="AB1219" s="17">
        <v>0</v>
      </c>
      <c r="AC1219" s="17">
        <v>5</v>
      </c>
      <c r="AD1219" s="17">
        <v>0</v>
      </c>
      <c r="AE1219" s="17">
        <v>0</v>
      </c>
      <c r="AF1219" s="17">
        <v>3.33</v>
      </c>
      <c r="AG1219" s="17">
        <v>0</v>
      </c>
      <c r="AH1219" s="17">
        <v>0</v>
      </c>
      <c r="AI1219" s="17">
        <v>0</v>
      </c>
      <c r="AJ1219" s="17">
        <v>0</v>
      </c>
      <c r="AK1219" s="17">
        <v>0</v>
      </c>
      <c r="AL1219" s="32">
        <v>0</v>
      </c>
      <c r="AM1219" s="172">
        <v>91.5</v>
      </c>
      <c r="AN1219" s="89"/>
      <c r="AO1219" s="280"/>
      <c r="AP1219" s="783">
        <v>42500</v>
      </c>
      <c r="AQ1219" s="17" t="s">
        <v>531</v>
      </c>
      <c r="AR1219" s="174">
        <v>133.5</v>
      </c>
      <c r="AS1219" s="171"/>
      <c r="AT1219" s="171">
        <v>76</v>
      </c>
      <c r="AU1219" s="255">
        <f t="shared" si="94"/>
        <v>24.214797136038186</v>
      </c>
      <c r="AV1219" s="172">
        <v>99</v>
      </c>
      <c r="AW1219" s="171">
        <v>1</v>
      </c>
      <c r="AX1219" s="89"/>
      <c r="AY1219" s="171">
        <v>21</v>
      </c>
      <c r="AZ1219" s="171">
        <v>0</v>
      </c>
      <c r="BA1219" s="175">
        <v>99</v>
      </c>
      <c r="BB1219" s="259"/>
      <c r="BC1219" s="190"/>
      <c r="BD1219" s="177"/>
      <c r="BE1219" s="177"/>
      <c r="BF1219" s="178" t="s">
        <v>542</v>
      </c>
    </row>
    <row r="1220" spans="1:58">
      <c r="A1220" s="95">
        <v>1219</v>
      </c>
      <c r="B1220" s="211" t="s">
        <v>1905</v>
      </c>
      <c r="C1220" s="191" t="s">
        <v>149</v>
      </c>
      <c r="D1220" s="171" t="s">
        <v>251</v>
      </c>
      <c r="E1220" s="463" t="s">
        <v>3377</v>
      </c>
      <c r="F1220" s="171">
        <v>2001</v>
      </c>
      <c r="G1220" s="171">
        <v>295</v>
      </c>
      <c r="H1220" s="172" t="s">
        <v>1738</v>
      </c>
      <c r="I1220" s="173" t="s">
        <v>1752</v>
      </c>
      <c r="J1220" s="212">
        <v>0.31</v>
      </c>
      <c r="K1220" s="213">
        <v>4.4400000000000004</v>
      </c>
      <c r="L1220" s="91"/>
      <c r="M1220" s="171">
        <v>405</v>
      </c>
      <c r="N1220" s="171"/>
      <c r="O1220" s="172" t="s">
        <v>12</v>
      </c>
      <c r="P1220" s="92"/>
      <c r="Q1220" s="173" t="s">
        <v>273</v>
      </c>
      <c r="R1220" s="506" t="s">
        <v>2731</v>
      </c>
      <c r="S1220" s="89"/>
      <c r="T1220" s="214"/>
      <c r="U1220" s="214" t="s">
        <v>2320</v>
      </c>
      <c r="V1220" s="102">
        <v>0</v>
      </c>
      <c r="W1220" s="120">
        <v>0</v>
      </c>
      <c r="X1220" s="120">
        <v>0</v>
      </c>
      <c r="Y1220" s="120">
        <v>0</v>
      </c>
      <c r="Z1220" s="120">
        <v>0</v>
      </c>
      <c r="AA1220" s="17">
        <v>0</v>
      </c>
      <c r="AB1220" s="17">
        <v>0</v>
      </c>
      <c r="AC1220" s="17">
        <v>10</v>
      </c>
      <c r="AD1220" s="17">
        <v>0</v>
      </c>
      <c r="AE1220" s="17">
        <v>0</v>
      </c>
      <c r="AF1220" s="17">
        <v>3.46</v>
      </c>
      <c r="AG1220" s="17">
        <v>0</v>
      </c>
      <c r="AH1220" s="17">
        <v>0</v>
      </c>
      <c r="AI1220" s="17">
        <v>0</v>
      </c>
      <c r="AJ1220" s="17">
        <v>0</v>
      </c>
      <c r="AK1220" s="17">
        <v>0</v>
      </c>
      <c r="AL1220" s="32">
        <v>0</v>
      </c>
      <c r="AM1220" s="172">
        <v>104</v>
      </c>
      <c r="AN1220" s="89"/>
      <c r="AO1220" s="280"/>
      <c r="AP1220" s="783">
        <v>43400</v>
      </c>
      <c r="AQ1220" s="17" t="s">
        <v>531</v>
      </c>
      <c r="AR1220" s="174">
        <v>133.5</v>
      </c>
      <c r="AS1220" s="171"/>
      <c r="AT1220" s="171">
        <v>76</v>
      </c>
      <c r="AU1220" s="255">
        <f t="shared" si="94"/>
        <v>24.214797136038186</v>
      </c>
      <c r="AV1220" s="172">
        <v>99</v>
      </c>
      <c r="AW1220" s="171">
        <v>1</v>
      </c>
      <c r="AX1220" s="89"/>
      <c r="AY1220" s="171">
        <v>21</v>
      </c>
      <c r="AZ1220" s="171">
        <v>0</v>
      </c>
      <c r="BA1220" s="175">
        <v>99</v>
      </c>
      <c r="BB1220" s="259"/>
      <c r="BC1220" s="190"/>
      <c r="BD1220" s="177"/>
      <c r="BE1220" s="177"/>
      <c r="BF1220" s="178" t="s">
        <v>542</v>
      </c>
    </row>
    <row r="1221" spans="1:58" ht="15" customHeight="1">
      <c r="A1221" s="95">
        <v>1220</v>
      </c>
      <c r="B1221" s="211" t="s">
        <v>1906</v>
      </c>
      <c r="C1221" s="191" t="s">
        <v>149</v>
      </c>
      <c r="D1221" s="171" t="s">
        <v>251</v>
      </c>
      <c r="E1221" s="463" t="s">
        <v>3377</v>
      </c>
      <c r="F1221" s="171">
        <v>2001</v>
      </c>
      <c r="G1221" s="171">
        <v>295</v>
      </c>
      <c r="H1221" s="172" t="s">
        <v>1738</v>
      </c>
      <c r="I1221" s="173" t="s">
        <v>1752</v>
      </c>
      <c r="J1221" s="212">
        <v>0.33</v>
      </c>
      <c r="K1221" s="213">
        <v>4.71</v>
      </c>
      <c r="L1221" s="91"/>
      <c r="M1221" s="171">
        <v>383</v>
      </c>
      <c r="N1221" s="171"/>
      <c r="O1221" s="172" t="s">
        <v>12</v>
      </c>
      <c r="P1221" s="92"/>
      <c r="Q1221" s="173" t="s">
        <v>273</v>
      </c>
      <c r="R1221" s="506" t="s">
        <v>2731</v>
      </c>
      <c r="S1221" s="89"/>
      <c r="T1221" s="214"/>
      <c r="U1221" s="214" t="s">
        <v>2320</v>
      </c>
      <c r="V1221" s="102">
        <v>0</v>
      </c>
      <c r="W1221" s="120">
        <v>0</v>
      </c>
      <c r="X1221" s="120">
        <v>0</v>
      </c>
      <c r="Y1221" s="120">
        <v>0</v>
      </c>
      <c r="Z1221" s="120">
        <v>0</v>
      </c>
      <c r="AA1221" s="17">
        <v>0</v>
      </c>
      <c r="AB1221" s="17">
        <v>0</v>
      </c>
      <c r="AC1221" s="17">
        <v>15</v>
      </c>
      <c r="AD1221" s="17">
        <v>0</v>
      </c>
      <c r="AE1221" s="17">
        <v>0</v>
      </c>
      <c r="AF1221" s="17">
        <v>3.66</v>
      </c>
      <c r="AG1221" s="17">
        <v>0</v>
      </c>
      <c r="AH1221" s="17">
        <v>0</v>
      </c>
      <c r="AI1221" s="17">
        <v>0</v>
      </c>
      <c r="AJ1221" s="17">
        <v>0</v>
      </c>
      <c r="AK1221" s="17">
        <v>0</v>
      </c>
      <c r="AL1221" s="32">
        <v>0</v>
      </c>
      <c r="AM1221" s="172">
        <v>103.5</v>
      </c>
      <c r="AN1221" s="89"/>
      <c r="AO1221" s="280"/>
      <c r="AP1221" s="783">
        <v>42900</v>
      </c>
      <c r="AQ1221" s="17" t="s">
        <v>531</v>
      </c>
      <c r="AR1221" s="174">
        <v>133.5</v>
      </c>
      <c r="AS1221" s="171"/>
      <c r="AT1221" s="171">
        <v>76</v>
      </c>
      <c r="AU1221" s="255">
        <f t="shared" si="94"/>
        <v>24.214797136038186</v>
      </c>
      <c r="AV1221" s="172">
        <v>99</v>
      </c>
      <c r="AW1221" s="171">
        <v>1</v>
      </c>
      <c r="AX1221" s="89"/>
      <c r="AY1221" s="171">
        <v>21</v>
      </c>
      <c r="AZ1221" s="171">
        <v>0</v>
      </c>
      <c r="BA1221" s="175">
        <v>99</v>
      </c>
      <c r="BB1221" s="259"/>
      <c r="BC1221" s="190"/>
      <c r="BD1221" s="177"/>
      <c r="BE1221" s="177"/>
      <c r="BF1221" s="178" t="s">
        <v>542</v>
      </c>
    </row>
    <row r="1222" spans="1:58">
      <c r="A1222" s="95">
        <v>1221</v>
      </c>
      <c r="B1222" s="211" t="s">
        <v>1907</v>
      </c>
      <c r="C1222" s="191" t="s">
        <v>149</v>
      </c>
      <c r="D1222" s="171" t="s">
        <v>251</v>
      </c>
      <c r="E1222" s="463" t="s">
        <v>3377</v>
      </c>
      <c r="F1222" s="171">
        <v>2001</v>
      </c>
      <c r="G1222" s="171">
        <v>295</v>
      </c>
      <c r="H1222" s="172" t="s">
        <v>1738</v>
      </c>
      <c r="I1222" s="173" t="s">
        <v>1752</v>
      </c>
      <c r="J1222" s="212">
        <v>0.28000000000000003</v>
      </c>
      <c r="K1222" s="213">
        <v>4</v>
      </c>
      <c r="L1222" s="91"/>
      <c r="M1222" s="171">
        <v>450</v>
      </c>
      <c r="N1222" s="171"/>
      <c r="O1222" s="172" t="s">
        <v>12</v>
      </c>
      <c r="P1222" s="92"/>
      <c r="Q1222" s="173" t="s">
        <v>273</v>
      </c>
      <c r="R1222" s="506" t="s">
        <v>2731</v>
      </c>
      <c r="S1222" s="89"/>
      <c r="T1222" s="214"/>
      <c r="U1222" s="214" t="s">
        <v>2320</v>
      </c>
      <c r="V1222" s="102">
        <v>0</v>
      </c>
      <c r="W1222" s="120">
        <v>0</v>
      </c>
      <c r="X1222" s="120">
        <v>0</v>
      </c>
      <c r="Y1222" s="120">
        <v>0</v>
      </c>
      <c r="Z1222" s="120">
        <v>0</v>
      </c>
      <c r="AA1222" s="17">
        <v>0</v>
      </c>
      <c r="AB1222" s="17">
        <v>0</v>
      </c>
      <c r="AC1222" s="17">
        <v>0</v>
      </c>
      <c r="AD1222" s="17">
        <v>0</v>
      </c>
      <c r="AE1222" s="17">
        <v>0</v>
      </c>
      <c r="AF1222" s="17">
        <v>3.11</v>
      </c>
      <c r="AG1222" s="17">
        <v>0</v>
      </c>
      <c r="AH1222" s="17">
        <v>0</v>
      </c>
      <c r="AI1222" s="17">
        <v>0</v>
      </c>
      <c r="AJ1222" s="17">
        <v>0</v>
      </c>
      <c r="AK1222" s="17">
        <v>0</v>
      </c>
      <c r="AL1222" s="32">
        <v>0</v>
      </c>
      <c r="AM1222" s="172">
        <v>87</v>
      </c>
      <c r="AN1222" s="89"/>
      <c r="AO1222" s="280"/>
      <c r="AP1222" s="783">
        <v>41300</v>
      </c>
      <c r="AQ1222" s="17" t="s">
        <v>531</v>
      </c>
      <c r="AR1222" s="174">
        <v>133.5</v>
      </c>
      <c r="AS1222" s="171"/>
      <c r="AT1222" s="171">
        <v>76</v>
      </c>
      <c r="AU1222" s="255">
        <f t="shared" si="94"/>
        <v>24.214797136038186</v>
      </c>
      <c r="AV1222" s="172">
        <v>99</v>
      </c>
      <c r="AW1222" s="171">
        <v>1</v>
      </c>
      <c r="AX1222" s="89"/>
      <c r="AY1222" s="171">
        <v>21</v>
      </c>
      <c r="AZ1222" s="171">
        <v>0</v>
      </c>
      <c r="BA1222" s="175">
        <v>99</v>
      </c>
      <c r="BB1222" s="259"/>
      <c r="BC1222" s="190"/>
      <c r="BD1222" s="177"/>
      <c r="BE1222" s="177"/>
      <c r="BF1222" s="178" t="s">
        <v>542</v>
      </c>
    </row>
    <row r="1223" spans="1:58" ht="15" customHeight="1">
      <c r="A1223" s="95">
        <v>1222</v>
      </c>
      <c r="B1223" s="211" t="s">
        <v>1908</v>
      </c>
      <c r="C1223" s="191" t="s">
        <v>149</v>
      </c>
      <c r="D1223" s="171" t="s">
        <v>251</v>
      </c>
      <c r="E1223" s="463" t="s">
        <v>3377</v>
      </c>
      <c r="F1223" s="171">
        <v>2001</v>
      </c>
      <c r="G1223" s="171">
        <v>295</v>
      </c>
      <c r="H1223" s="172" t="s">
        <v>1738</v>
      </c>
      <c r="I1223" s="173" t="s">
        <v>1751</v>
      </c>
      <c r="J1223" s="212">
        <v>0.28999999999999998</v>
      </c>
      <c r="K1223" s="213">
        <v>4.21</v>
      </c>
      <c r="L1223" s="91"/>
      <c r="M1223" s="171">
        <v>428</v>
      </c>
      <c r="N1223" s="171"/>
      <c r="O1223" s="172" t="s">
        <v>12</v>
      </c>
      <c r="P1223" s="92"/>
      <c r="Q1223" s="173" t="s">
        <v>273</v>
      </c>
      <c r="R1223" s="506" t="s">
        <v>2731</v>
      </c>
      <c r="S1223" s="89"/>
      <c r="T1223" s="214"/>
      <c r="U1223" s="214" t="s">
        <v>2320</v>
      </c>
      <c r="V1223" s="102">
        <v>0</v>
      </c>
      <c r="W1223" s="120">
        <v>0</v>
      </c>
      <c r="X1223" s="120">
        <v>0</v>
      </c>
      <c r="Y1223" s="120">
        <v>0</v>
      </c>
      <c r="Z1223" s="120">
        <v>0</v>
      </c>
      <c r="AA1223" s="17">
        <v>0</v>
      </c>
      <c r="AB1223" s="17">
        <v>0</v>
      </c>
      <c r="AC1223" s="17">
        <v>5</v>
      </c>
      <c r="AD1223" s="17">
        <v>0</v>
      </c>
      <c r="AE1223" s="17">
        <v>0</v>
      </c>
      <c r="AF1223" s="17">
        <v>3.33</v>
      </c>
      <c r="AG1223" s="17">
        <v>0</v>
      </c>
      <c r="AH1223" s="17">
        <v>0</v>
      </c>
      <c r="AI1223" s="17">
        <v>0</v>
      </c>
      <c r="AJ1223" s="17">
        <v>0</v>
      </c>
      <c r="AK1223" s="17">
        <v>0</v>
      </c>
      <c r="AL1223" s="32">
        <v>0</v>
      </c>
      <c r="AM1223" s="172">
        <v>91.5</v>
      </c>
      <c r="AN1223" s="89"/>
      <c r="AO1223" s="280"/>
      <c r="AP1223" s="783">
        <v>42500</v>
      </c>
      <c r="AQ1223" s="17" t="s">
        <v>531</v>
      </c>
      <c r="AR1223" s="174">
        <v>133.5</v>
      </c>
      <c r="AS1223" s="171"/>
      <c r="AT1223" s="171">
        <v>76</v>
      </c>
      <c r="AU1223" s="255">
        <f t="shared" si="94"/>
        <v>24.214797136038186</v>
      </c>
      <c r="AV1223" s="172">
        <v>99</v>
      </c>
      <c r="AW1223" s="171">
        <v>1</v>
      </c>
      <c r="AX1223" s="89"/>
      <c r="AY1223" s="171">
        <v>21</v>
      </c>
      <c r="AZ1223" s="171">
        <v>0</v>
      </c>
      <c r="BA1223" s="175">
        <v>65</v>
      </c>
      <c r="BB1223" s="259"/>
      <c r="BC1223" s="190"/>
      <c r="BD1223" s="177"/>
      <c r="BE1223" s="177"/>
      <c r="BF1223" s="178" t="s">
        <v>542</v>
      </c>
    </row>
    <row r="1224" spans="1:58">
      <c r="A1224" s="95">
        <v>1223</v>
      </c>
      <c r="B1224" s="211" t="s">
        <v>2271</v>
      </c>
      <c r="C1224" s="191" t="s">
        <v>149</v>
      </c>
      <c r="D1224" s="171" t="s">
        <v>251</v>
      </c>
      <c r="E1224" s="463" t="s">
        <v>3377</v>
      </c>
      <c r="F1224" s="171">
        <v>2001</v>
      </c>
      <c r="G1224" s="171">
        <v>295</v>
      </c>
      <c r="H1224" s="172" t="s">
        <v>1738</v>
      </c>
      <c r="I1224" s="173" t="s">
        <v>1751</v>
      </c>
      <c r="J1224" s="212">
        <v>0.31</v>
      </c>
      <c r="K1224" s="213">
        <v>4.4400000000000004</v>
      </c>
      <c r="L1224" s="91"/>
      <c r="M1224" s="171">
        <v>405</v>
      </c>
      <c r="N1224" s="171"/>
      <c r="O1224" s="172" t="s">
        <v>12</v>
      </c>
      <c r="P1224" s="92"/>
      <c r="Q1224" s="173" t="s">
        <v>273</v>
      </c>
      <c r="R1224" s="506" t="s">
        <v>2731</v>
      </c>
      <c r="S1224" s="89"/>
      <c r="T1224" s="214"/>
      <c r="U1224" s="214" t="s">
        <v>2320</v>
      </c>
      <c r="V1224" s="102">
        <v>0</v>
      </c>
      <c r="W1224" s="120">
        <v>0</v>
      </c>
      <c r="X1224" s="120">
        <v>0</v>
      </c>
      <c r="Y1224" s="120">
        <v>0</v>
      </c>
      <c r="Z1224" s="120">
        <v>0</v>
      </c>
      <c r="AA1224" s="17">
        <v>0</v>
      </c>
      <c r="AB1224" s="17">
        <v>0</v>
      </c>
      <c r="AC1224" s="17">
        <v>10</v>
      </c>
      <c r="AD1224" s="17">
        <v>0</v>
      </c>
      <c r="AE1224" s="17">
        <v>0</v>
      </c>
      <c r="AF1224" s="17">
        <v>3.46</v>
      </c>
      <c r="AG1224" s="17">
        <v>0</v>
      </c>
      <c r="AH1224" s="17">
        <v>0</v>
      </c>
      <c r="AI1224" s="17">
        <v>0</v>
      </c>
      <c r="AJ1224" s="17">
        <v>0</v>
      </c>
      <c r="AK1224" s="17">
        <v>0</v>
      </c>
      <c r="AL1224" s="32">
        <v>0</v>
      </c>
      <c r="AM1224" s="172">
        <v>104</v>
      </c>
      <c r="AN1224" s="89"/>
      <c r="AO1224" s="280"/>
      <c r="AP1224" s="783">
        <v>43400</v>
      </c>
      <c r="AQ1224" s="17" t="s">
        <v>531</v>
      </c>
      <c r="AR1224" s="174">
        <v>133.5</v>
      </c>
      <c r="AS1224" s="171"/>
      <c r="AT1224" s="171">
        <v>76</v>
      </c>
      <c r="AU1224" s="255">
        <f t="shared" si="94"/>
        <v>24.214797136038186</v>
      </c>
      <c r="AV1224" s="172">
        <v>99</v>
      </c>
      <c r="AW1224" s="171">
        <v>1</v>
      </c>
      <c r="AX1224" s="89"/>
      <c r="AY1224" s="171">
        <v>21</v>
      </c>
      <c r="AZ1224" s="171">
        <v>0</v>
      </c>
      <c r="BA1224" s="175">
        <v>65</v>
      </c>
      <c r="BB1224" s="259"/>
      <c r="BC1224" s="190"/>
      <c r="BD1224" s="177"/>
      <c r="BE1224" s="177"/>
      <c r="BF1224" s="178" t="s">
        <v>542</v>
      </c>
    </row>
    <row r="1225" spans="1:58" ht="15" customHeight="1">
      <c r="A1225" s="95">
        <v>1224</v>
      </c>
      <c r="B1225" s="211" t="s">
        <v>2272</v>
      </c>
      <c r="C1225" s="191" t="s">
        <v>149</v>
      </c>
      <c r="D1225" s="171" t="s">
        <v>251</v>
      </c>
      <c r="E1225" s="463" t="s">
        <v>3377</v>
      </c>
      <c r="F1225" s="171">
        <v>2001</v>
      </c>
      <c r="G1225" s="171">
        <v>295</v>
      </c>
      <c r="H1225" s="172" t="s">
        <v>1738</v>
      </c>
      <c r="I1225" s="173" t="s">
        <v>1751</v>
      </c>
      <c r="J1225" s="212">
        <v>0.33</v>
      </c>
      <c r="K1225" s="213">
        <v>4.71</v>
      </c>
      <c r="L1225" s="91"/>
      <c r="M1225" s="171">
        <v>383</v>
      </c>
      <c r="N1225" s="171"/>
      <c r="O1225" s="172" t="s">
        <v>12</v>
      </c>
      <c r="P1225" s="92"/>
      <c r="Q1225" s="173" t="s">
        <v>273</v>
      </c>
      <c r="R1225" s="506" t="s">
        <v>2731</v>
      </c>
      <c r="S1225" s="89"/>
      <c r="T1225" s="214"/>
      <c r="U1225" s="214" t="s">
        <v>2320</v>
      </c>
      <c r="V1225" s="102">
        <v>0</v>
      </c>
      <c r="W1225" s="120">
        <v>0</v>
      </c>
      <c r="X1225" s="120">
        <v>0</v>
      </c>
      <c r="Y1225" s="120">
        <v>0</v>
      </c>
      <c r="Z1225" s="120">
        <v>0</v>
      </c>
      <c r="AA1225" s="17">
        <v>0</v>
      </c>
      <c r="AB1225" s="17">
        <v>0</v>
      </c>
      <c r="AC1225" s="17">
        <v>15</v>
      </c>
      <c r="AD1225" s="17">
        <v>0</v>
      </c>
      <c r="AE1225" s="17">
        <v>0</v>
      </c>
      <c r="AF1225" s="17">
        <v>3.66</v>
      </c>
      <c r="AG1225" s="17">
        <v>0</v>
      </c>
      <c r="AH1225" s="17">
        <v>0</v>
      </c>
      <c r="AI1225" s="17">
        <v>0</v>
      </c>
      <c r="AJ1225" s="17">
        <v>0</v>
      </c>
      <c r="AK1225" s="17">
        <v>0</v>
      </c>
      <c r="AL1225" s="32">
        <v>0</v>
      </c>
      <c r="AM1225" s="172">
        <v>103.5</v>
      </c>
      <c r="AN1225" s="89"/>
      <c r="AO1225" s="280"/>
      <c r="AP1225" s="783">
        <v>42900</v>
      </c>
      <c r="AQ1225" s="17" t="s">
        <v>531</v>
      </c>
      <c r="AR1225" s="174">
        <v>133.5</v>
      </c>
      <c r="AS1225" s="171"/>
      <c r="AT1225" s="171">
        <v>76</v>
      </c>
      <c r="AU1225" s="255">
        <f t="shared" si="94"/>
        <v>24.214797136038186</v>
      </c>
      <c r="AV1225" s="172">
        <v>99</v>
      </c>
      <c r="AW1225" s="171">
        <v>1</v>
      </c>
      <c r="AX1225" s="89"/>
      <c r="AY1225" s="171">
        <v>21</v>
      </c>
      <c r="AZ1225" s="171">
        <v>0</v>
      </c>
      <c r="BA1225" s="175">
        <v>65</v>
      </c>
      <c r="BB1225" s="259"/>
      <c r="BC1225" s="190"/>
      <c r="BD1225" s="177"/>
      <c r="BE1225" s="177"/>
      <c r="BF1225" s="178" t="s">
        <v>542</v>
      </c>
    </row>
    <row r="1226" spans="1:58">
      <c r="A1226" s="95">
        <v>1225</v>
      </c>
      <c r="B1226" s="211" t="s">
        <v>2273</v>
      </c>
      <c r="C1226" s="191" t="s">
        <v>149</v>
      </c>
      <c r="D1226" s="171" t="s">
        <v>251</v>
      </c>
      <c r="E1226" s="463" t="s">
        <v>3377</v>
      </c>
      <c r="F1226" s="171">
        <v>2001</v>
      </c>
      <c r="G1226" s="171">
        <v>295</v>
      </c>
      <c r="H1226" s="172" t="s">
        <v>1738</v>
      </c>
      <c r="I1226" s="173" t="s">
        <v>1751</v>
      </c>
      <c r="J1226" s="212">
        <v>0.28000000000000003</v>
      </c>
      <c r="K1226" s="213">
        <v>4</v>
      </c>
      <c r="L1226" s="91"/>
      <c r="M1226" s="171">
        <v>450</v>
      </c>
      <c r="N1226" s="171"/>
      <c r="O1226" s="172" t="s">
        <v>12</v>
      </c>
      <c r="P1226" s="92"/>
      <c r="Q1226" s="173" t="s">
        <v>273</v>
      </c>
      <c r="R1226" s="506" t="s">
        <v>2731</v>
      </c>
      <c r="S1226" s="89"/>
      <c r="T1226" s="214"/>
      <c r="U1226" s="214" t="s">
        <v>2320</v>
      </c>
      <c r="V1226" s="102">
        <v>0</v>
      </c>
      <c r="W1226" s="120">
        <v>0</v>
      </c>
      <c r="X1226" s="120">
        <v>0</v>
      </c>
      <c r="Y1226" s="120">
        <v>0</v>
      </c>
      <c r="Z1226" s="120">
        <v>0</v>
      </c>
      <c r="AA1226" s="17">
        <v>0</v>
      </c>
      <c r="AB1226" s="17">
        <v>0</v>
      </c>
      <c r="AC1226" s="17">
        <v>0</v>
      </c>
      <c r="AD1226" s="17">
        <v>0</v>
      </c>
      <c r="AE1226" s="17">
        <v>0</v>
      </c>
      <c r="AF1226" s="17">
        <v>3.11</v>
      </c>
      <c r="AG1226" s="17">
        <v>0</v>
      </c>
      <c r="AH1226" s="17">
        <v>0</v>
      </c>
      <c r="AI1226" s="17">
        <v>0</v>
      </c>
      <c r="AJ1226" s="17">
        <v>0</v>
      </c>
      <c r="AK1226" s="17">
        <v>0</v>
      </c>
      <c r="AL1226" s="32">
        <v>0</v>
      </c>
      <c r="AM1226" s="172">
        <v>87</v>
      </c>
      <c r="AN1226" s="89"/>
      <c r="AO1226" s="280"/>
      <c r="AP1226" s="783">
        <v>41300</v>
      </c>
      <c r="AQ1226" s="17" t="s">
        <v>531</v>
      </c>
      <c r="AR1226" s="174">
        <v>133.5</v>
      </c>
      <c r="AS1226" s="171"/>
      <c r="AT1226" s="171">
        <v>76</v>
      </c>
      <c r="AU1226" s="255">
        <f t="shared" si="94"/>
        <v>24.214797136038186</v>
      </c>
      <c r="AV1226" s="172">
        <v>99</v>
      </c>
      <c r="AW1226" s="171">
        <v>1</v>
      </c>
      <c r="AX1226" s="89"/>
      <c r="AY1226" s="171">
        <v>21</v>
      </c>
      <c r="AZ1226" s="171">
        <v>0</v>
      </c>
      <c r="BA1226" s="175">
        <v>65</v>
      </c>
      <c r="BB1226" s="259"/>
      <c r="BC1226" s="190"/>
      <c r="BD1226" s="177"/>
      <c r="BE1226" s="177"/>
      <c r="BF1226" s="178" t="s">
        <v>542</v>
      </c>
    </row>
    <row r="1227" spans="1:58" ht="15" customHeight="1">
      <c r="A1227" s="95">
        <v>1226</v>
      </c>
      <c r="B1227" s="211" t="s">
        <v>2274</v>
      </c>
      <c r="C1227" s="191" t="s">
        <v>149</v>
      </c>
      <c r="D1227" s="171" t="s">
        <v>251</v>
      </c>
      <c r="E1227" s="463" t="s">
        <v>3377</v>
      </c>
      <c r="F1227" s="171">
        <v>2001</v>
      </c>
      <c r="G1227" s="171">
        <v>295</v>
      </c>
      <c r="H1227" s="172" t="s">
        <v>1738</v>
      </c>
      <c r="I1227" s="173" t="s">
        <v>1743</v>
      </c>
      <c r="J1227" s="212">
        <v>0.28999999999999998</v>
      </c>
      <c r="K1227" s="213">
        <v>4.21</v>
      </c>
      <c r="L1227" s="91"/>
      <c r="M1227" s="171">
        <v>428</v>
      </c>
      <c r="N1227" s="171"/>
      <c r="O1227" s="172" t="s">
        <v>12</v>
      </c>
      <c r="P1227" s="92"/>
      <c r="Q1227" s="173" t="s">
        <v>273</v>
      </c>
      <c r="R1227" s="506" t="s">
        <v>2731</v>
      </c>
      <c r="S1227" s="89"/>
      <c r="T1227" s="214"/>
      <c r="U1227" s="214" t="s">
        <v>2320</v>
      </c>
      <c r="V1227" s="102">
        <v>0</v>
      </c>
      <c r="W1227" s="120">
        <v>0</v>
      </c>
      <c r="X1227" s="120">
        <v>0</v>
      </c>
      <c r="Y1227" s="120">
        <v>0</v>
      </c>
      <c r="Z1227" s="120">
        <v>0</v>
      </c>
      <c r="AA1227" s="17">
        <v>0</v>
      </c>
      <c r="AB1227" s="17">
        <v>0</v>
      </c>
      <c r="AC1227" s="17">
        <v>5</v>
      </c>
      <c r="AD1227" s="17">
        <v>0</v>
      </c>
      <c r="AE1227" s="17">
        <v>0</v>
      </c>
      <c r="AF1227" s="17">
        <v>3.33</v>
      </c>
      <c r="AG1227" s="17">
        <v>0</v>
      </c>
      <c r="AH1227" s="17">
        <v>0</v>
      </c>
      <c r="AI1227" s="17">
        <v>0</v>
      </c>
      <c r="AJ1227" s="17">
        <v>0</v>
      </c>
      <c r="AK1227" s="17">
        <v>0</v>
      </c>
      <c r="AL1227" s="32">
        <v>0</v>
      </c>
      <c r="AM1227" s="172">
        <v>91.5</v>
      </c>
      <c r="AN1227" s="89"/>
      <c r="AO1227" s="280"/>
      <c r="AP1227" s="783">
        <v>42500</v>
      </c>
      <c r="AQ1227" s="17" t="s">
        <v>531</v>
      </c>
      <c r="AR1227" s="174">
        <v>133.5</v>
      </c>
      <c r="AS1227" s="171"/>
      <c r="AT1227" s="171">
        <v>76</v>
      </c>
      <c r="AU1227" s="255">
        <f t="shared" si="94"/>
        <v>24.214797136038186</v>
      </c>
      <c r="AV1227" s="172">
        <v>99</v>
      </c>
      <c r="AW1227" s="171">
        <v>1</v>
      </c>
      <c r="AX1227" s="89"/>
      <c r="AY1227" s="171">
        <v>21</v>
      </c>
      <c r="AZ1227" s="171">
        <v>0</v>
      </c>
      <c r="BA1227" s="175">
        <v>65</v>
      </c>
      <c r="BB1227" s="259"/>
      <c r="BC1227" s="190"/>
      <c r="BD1227" s="177"/>
      <c r="BE1227" s="177"/>
      <c r="BF1227" s="178" t="s">
        <v>542</v>
      </c>
    </row>
    <row r="1228" spans="1:58">
      <c r="A1228" s="95">
        <v>1227</v>
      </c>
      <c r="B1228" s="211" t="s">
        <v>2275</v>
      </c>
      <c r="C1228" s="191" t="s">
        <v>149</v>
      </c>
      <c r="D1228" s="171" t="s">
        <v>251</v>
      </c>
      <c r="E1228" s="463" t="s">
        <v>3377</v>
      </c>
      <c r="F1228" s="171">
        <v>2001</v>
      </c>
      <c r="G1228" s="171">
        <v>295</v>
      </c>
      <c r="H1228" s="172" t="s">
        <v>1738</v>
      </c>
      <c r="I1228" s="173" t="s">
        <v>1743</v>
      </c>
      <c r="J1228" s="212">
        <v>0.31</v>
      </c>
      <c r="K1228" s="213">
        <v>4.4400000000000004</v>
      </c>
      <c r="L1228" s="91"/>
      <c r="M1228" s="171">
        <v>405</v>
      </c>
      <c r="N1228" s="171"/>
      <c r="O1228" s="172" t="s">
        <v>12</v>
      </c>
      <c r="P1228" s="92"/>
      <c r="Q1228" s="173" t="s">
        <v>273</v>
      </c>
      <c r="R1228" s="506" t="s">
        <v>2731</v>
      </c>
      <c r="S1228" s="89"/>
      <c r="T1228" s="214"/>
      <c r="U1228" s="214" t="s">
        <v>2320</v>
      </c>
      <c r="V1228" s="102">
        <v>0</v>
      </c>
      <c r="W1228" s="120">
        <v>0</v>
      </c>
      <c r="X1228" s="120">
        <v>0</v>
      </c>
      <c r="Y1228" s="120">
        <v>0</v>
      </c>
      <c r="Z1228" s="120">
        <v>0</v>
      </c>
      <c r="AA1228" s="17">
        <v>0</v>
      </c>
      <c r="AB1228" s="17">
        <v>0</v>
      </c>
      <c r="AC1228" s="17">
        <v>10</v>
      </c>
      <c r="AD1228" s="17">
        <v>0</v>
      </c>
      <c r="AE1228" s="17">
        <v>0</v>
      </c>
      <c r="AF1228" s="17">
        <v>3.46</v>
      </c>
      <c r="AG1228" s="17">
        <v>0</v>
      </c>
      <c r="AH1228" s="17">
        <v>0</v>
      </c>
      <c r="AI1228" s="17">
        <v>0</v>
      </c>
      <c r="AJ1228" s="17">
        <v>0</v>
      </c>
      <c r="AK1228" s="17">
        <v>0</v>
      </c>
      <c r="AL1228" s="32">
        <v>0</v>
      </c>
      <c r="AM1228" s="172">
        <v>104</v>
      </c>
      <c r="AN1228" s="89"/>
      <c r="AO1228" s="280"/>
      <c r="AP1228" s="783">
        <v>43400</v>
      </c>
      <c r="AQ1228" s="17" t="s">
        <v>531</v>
      </c>
      <c r="AR1228" s="174">
        <v>133.5</v>
      </c>
      <c r="AS1228" s="171"/>
      <c r="AT1228" s="171">
        <v>76</v>
      </c>
      <c r="AU1228" s="255">
        <f t="shared" si="94"/>
        <v>24.214797136038186</v>
      </c>
      <c r="AV1228" s="172">
        <v>99</v>
      </c>
      <c r="AW1228" s="171">
        <v>1</v>
      </c>
      <c r="AX1228" s="89"/>
      <c r="AY1228" s="171">
        <v>21</v>
      </c>
      <c r="AZ1228" s="171">
        <v>0</v>
      </c>
      <c r="BA1228" s="175">
        <v>65</v>
      </c>
      <c r="BB1228" s="259"/>
      <c r="BC1228" s="190"/>
      <c r="BD1228" s="177"/>
      <c r="BE1228" s="177"/>
      <c r="BF1228" s="178" t="s">
        <v>542</v>
      </c>
    </row>
    <row r="1229" spans="1:58" ht="15" customHeight="1">
      <c r="A1229" s="95">
        <v>1228</v>
      </c>
      <c r="B1229" s="211" t="s">
        <v>2276</v>
      </c>
      <c r="C1229" s="191" t="s">
        <v>149</v>
      </c>
      <c r="D1229" s="171" t="s">
        <v>251</v>
      </c>
      <c r="E1229" s="463" t="s">
        <v>3377</v>
      </c>
      <c r="F1229" s="171">
        <v>2001</v>
      </c>
      <c r="G1229" s="171">
        <v>295</v>
      </c>
      <c r="H1229" s="172" t="s">
        <v>1738</v>
      </c>
      <c r="I1229" s="173" t="s">
        <v>1743</v>
      </c>
      <c r="J1229" s="212">
        <v>0.33</v>
      </c>
      <c r="K1229" s="213">
        <v>4.71</v>
      </c>
      <c r="L1229" s="91"/>
      <c r="M1229" s="171">
        <v>383</v>
      </c>
      <c r="N1229" s="171"/>
      <c r="O1229" s="172" t="s">
        <v>12</v>
      </c>
      <c r="P1229" s="92"/>
      <c r="Q1229" s="173" t="s">
        <v>273</v>
      </c>
      <c r="R1229" s="506" t="s">
        <v>2731</v>
      </c>
      <c r="S1229" s="89"/>
      <c r="T1229" s="214"/>
      <c r="U1229" s="214" t="s">
        <v>2320</v>
      </c>
      <c r="V1229" s="102">
        <v>0</v>
      </c>
      <c r="W1229" s="120">
        <v>0</v>
      </c>
      <c r="X1229" s="120">
        <v>0</v>
      </c>
      <c r="Y1229" s="120">
        <v>0</v>
      </c>
      <c r="Z1229" s="120">
        <v>0</v>
      </c>
      <c r="AA1229" s="17">
        <v>0</v>
      </c>
      <c r="AB1229" s="17">
        <v>0</v>
      </c>
      <c r="AC1229" s="17">
        <v>15</v>
      </c>
      <c r="AD1229" s="17">
        <v>0</v>
      </c>
      <c r="AE1229" s="17">
        <v>0</v>
      </c>
      <c r="AF1229" s="17">
        <v>3.66</v>
      </c>
      <c r="AG1229" s="17">
        <v>0</v>
      </c>
      <c r="AH1229" s="17">
        <v>0</v>
      </c>
      <c r="AI1229" s="17">
        <v>0</v>
      </c>
      <c r="AJ1229" s="17">
        <v>0</v>
      </c>
      <c r="AK1229" s="17">
        <v>0</v>
      </c>
      <c r="AL1229" s="32">
        <v>0</v>
      </c>
      <c r="AM1229" s="172">
        <v>103.5</v>
      </c>
      <c r="AN1229" s="89"/>
      <c r="AO1229" s="280"/>
      <c r="AP1229" s="783">
        <v>42900</v>
      </c>
      <c r="AQ1229" s="17" t="s">
        <v>531</v>
      </c>
      <c r="AR1229" s="174">
        <v>133.5</v>
      </c>
      <c r="AS1229" s="171"/>
      <c r="AT1229" s="171">
        <v>76</v>
      </c>
      <c r="AU1229" s="255">
        <f t="shared" si="94"/>
        <v>24.214797136038186</v>
      </c>
      <c r="AV1229" s="172">
        <v>99</v>
      </c>
      <c r="AW1229" s="171">
        <v>1</v>
      </c>
      <c r="AX1229" s="89"/>
      <c r="AY1229" s="171">
        <v>21</v>
      </c>
      <c r="AZ1229" s="171">
        <v>0</v>
      </c>
      <c r="BA1229" s="175">
        <v>65</v>
      </c>
      <c r="BB1229" s="259"/>
      <c r="BC1229" s="190"/>
      <c r="BD1229" s="177"/>
      <c r="BE1229" s="177"/>
      <c r="BF1229" s="178" t="s">
        <v>542</v>
      </c>
    </row>
    <row r="1230" spans="1:58" ht="15" customHeight="1">
      <c r="A1230" s="95">
        <v>1229</v>
      </c>
      <c r="B1230" s="211" t="s">
        <v>2277</v>
      </c>
      <c r="C1230" s="191" t="s">
        <v>149</v>
      </c>
      <c r="D1230" s="171" t="s">
        <v>251</v>
      </c>
      <c r="E1230" s="463" t="s">
        <v>3377</v>
      </c>
      <c r="F1230" s="171">
        <v>2001</v>
      </c>
      <c r="G1230" s="171">
        <v>295</v>
      </c>
      <c r="H1230" s="172" t="s">
        <v>1738</v>
      </c>
      <c r="I1230" s="173" t="s">
        <v>1743</v>
      </c>
      <c r="J1230" s="212">
        <v>0.28000000000000003</v>
      </c>
      <c r="K1230" s="213">
        <v>4</v>
      </c>
      <c r="L1230" s="91"/>
      <c r="M1230" s="171">
        <v>450</v>
      </c>
      <c r="N1230" s="171"/>
      <c r="O1230" s="172" t="s">
        <v>12</v>
      </c>
      <c r="P1230" s="92"/>
      <c r="Q1230" s="173" t="s">
        <v>273</v>
      </c>
      <c r="R1230" s="506" t="s">
        <v>2731</v>
      </c>
      <c r="S1230" s="89"/>
      <c r="T1230" s="214"/>
      <c r="U1230" s="214" t="s">
        <v>2320</v>
      </c>
      <c r="V1230" s="102">
        <v>0</v>
      </c>
      <c r="W1230" s="120">
        <v>0</v>
      </c>
      <c r="X1230" s="120">
        <v>0</v>
      </c>
      <c r="Y1230" s="120">
        <v>0</v>
      </c>
      <c r="Z1230" s="120">
        <v>0</v>
      </c>
      <c r="AA1230" s="17">
        <v>0</v>
      </c>
      <c r="AB1230" s="17">
        <v>0</v>
      </c>
      <c r="AC1230" s="17">
        <v>0</v>
      </c>
      <c r="AD1230" s="17">
        <v>0</v>
      </c>
      <c r="AE1230" s="17">
        <v>0</v>
      </c>
      <c r="AF1230" s="17">
        <v>3.11</v>
      </c>
      <c r="AG1230" s="17">
        <v>0</v>
      </c>
      <c r="AH1230" s="17">
        <v>0</v>
      </c>
      <c r="AI1230" s="17">
        <v>0</v>
      </c>
      <c r="AJ1230" s="17">
        <v>0</v>
      </c>
      <c r="AK1230" s="17">
        <v>0</v>
      </c>
      <c r="AL1230" s="32">
        <v>0</v>
      </c>
      <c r="AM1230" s="172">
        <v>87</v>
      </c>
      <c r="AN1230" s="89"/>
      <c r="AO1230" s="280"/>
      <c r="AP1230" s="783">
        <v>41300</v>
      </c>
      <c r="AQ1230" s="17" t="s">
        <v>531</v>
      </c>
      <c r="AR1230" s="174">
        <v>133.5</v>
      </c>
      <c r="AS1230" s="171"/>
      <c r="AT1230" s="171">
        <v>76</v>
      </c>
      <c r="AU1230" s="255">
        <f t="shared" si="94"/>
        <v>24.214797136038186</v>
      </c>
      <c r="AV1230" s="172">
        <v>99</v>
      </c>
      <c r="AW1230" s="171">
        <v>1</v>
      </c>
      <c r="AX1230" s="89"/>
      <c r="AY1230" s="171">
        <v>21</v>
      </c>
      <c r="AZ1230" s="171">
        <v>0</v>
      </c>
      <c r="BA1230" s="175">
        <v>65</v>
      </c>
      <c r="BB1230" s="259"/>
      <c r="BC1230" s="190"/>
      <c r="BD1230" s="177"/>
      <c r="BE1230" s="177"/>
      <c r="BF1230" s="178" t="s">
        <v>542</v>
      </c>
    </row>
    <row r="1231" spans="1:58" ht="15" customHeight="1">
      <c r="A1231" s="95">
        <v>1230</v>
      </c>
      <c r="B1231" s="211" t="s">
        <v>1909</v>
      </c>
      <c r="C1231" s="191" t="s">
        <v>1812</v>
      </c>
      <c r="D1231" s="171" t="s">
        <v>445</v>
      </c>
      <c r="E1231" s="463" t="s">
        <v>3377</v>
      </c>
      <c r="F1231" s="171">
        <v>1993</v>
      </c>
      <c r="G1231" s="171">
        <v>296</v>
      </c>
      <c r="H1231" s="172" t="s">
        <v>1811</v>
      </c>
      <c r="I1231" s="173" t="s">
        <v>1743</v>
      </c>
      <c r="J1231" s="212">
        <v>0.78</v>
      </c>
      <c r="K1231" s="213">
        <v>12.059210526315789</v>
      </c>
      <c r="L1231" s="91"/>
      <c r="M1231" s="171">
        <v>152</v>
      </c>
      <c r="N1231" s="171"/>
      <c r="O1231" s="172" t="s">
        <v>12</v>
      </c>
      <c r="P1231" s="92"/>
      <c r="Q1231" s="173" t="s">
        <v>523</v>
      </c>
      <c r="R1231" s="512" t="s">
        <v>2729</v>
      </c>
      <c r="S1231" s="89"/>
      <c r="T1231" s="215" t="s">
        <v>2306</v>
      </c>
      <c r="U1231" s="214" t="s">
        <v>2307</v>
      </c>
      <c r="V1231" s="153">
        <v>0</v>
      </c>
      <c r="W1231" s="154">
        <f t="shared" ref="W1231:W1262" si="95">(211/152)*100</f>
        <v>138.81578947368419</v>
      </c>
      <c r="X1231" s="120">
        <v>0</v>
      </c>
      <c r="Y1231" s="120">
        <v>0</v>
      </c>
      <c r="Z1231" s="120">
        <v>0</v>
      </c>
      <c r="AA1231" s="17">
        <v>0</v>
      </c>
      <c r="AB1231" s="17">
        <v>0</v>
      </c>
      <c r="AC1231" s="17">
        <v>0</v>
      </c>
      <c r="AD1231" s="17">
        <v>0</v>
      </c>
      <c r="AE1231" s="17">
        <v>0</v>
      </c>
      <c r="AF1231" s="17">
        <v>0</v>
      </c>
      <c r="AG1231" s="17">
        <v>0</v>
      </c>
      <c r="AH1231" s="17">
        <v>0</v>
      </c>
      <c r="AI1231" s="17">
        <v>0</v>
      </c>
      <c r="AJ1231" s="33">
        <v>0.19736799999999999</v>
      </c>
      <c r="AK1231" s="17">
        <v>0</v>
      </c>
      <c r="AL1231" s="32">
        <v>0</v>
      </c>
      <c r="AM1231" s="172">
        <v>28.8</v>
      </c>
      <c r="AN1231" s="89"/>
      <c r="AO1231" s="280"/>
      <c r="AP1231" s="783">
        <v>33000</v>
      </c>
      <c r="AQ1231" s="17" t="s">
        <v>1813</v>
      </c>
      <c r="AR1231" s="174">
        <v>76</v>
      </c>
      <c r="AS1231" s="171">
        <v>102</v>
      </c>
      <c r="AT1231" s="171">
        <v>390</v>
      </c>
      <c r="AU1231" s="255">
        <f t="shared" ref="AU1231:AU1262" si="96">IF(ISBLANK(AS1231),(AR1231*AT1231)/((4*AT1231)+(2*AR1231)),AR1231*AS1231*AT1231/2/(AR1231*AS1231+AR1231*AT1231+AS1231*AT1231))</f>
        <v>19.587933447364328</v>
      </c>
      <c r="AV1231" s="172">
        <v>100</v>
      </c>
      <c r="AW1231" s="171">
        <v>7</v>
      </c>
      <c r="AX1231" s="89"/>
      <c r="AY1231" s="171" t="s">
        <v>521</v>
      </c>
      <c r="AZ1231" s="171">
        <v>0</v>
      </c>
      <c r="BA1231" s="175" t="s">
        <v>521</v>
      </c>
      <c r="BB1231" s="259"/>
      <c r="BC1231" s="190"/>
      <c r="BD1231" s="177"/>
      <c r="BE1231" s="177"/>
      <c r="BF1231" s="216" t="s">
        <v>1814</v>
      </c>
    </row>
    <row r="1232" spans="1:58" ht="15" customHeight="1">
      <c r="A1232" s="95">
        <v>1231</v>
      </c>
      <c r="B1232" s="211" t="s">
        <v>1910</v>
      </c>
      <c r="C1232" s="191" t="s">
        <v>1812</v>
      </c>
      <c r="D1232" s="171" t="s">
        <v>445</v>
      </c>
      <c r="E1232" s="463" t="s">
        <v>3377</v>
      </c>
      <c r="F1232" s="171">
        <v>1993</v>
      </c>
      <c r="G1232" s="171">
        <v>296</v>
      </c>
      <c r="H1232" s="172" t="s">
        <v>1811</v>
      </c>
      <c r="I1232" s="173" t="s">
        <v>1743</v>
      </c>
      <c r="J1232" s="212">
        <v>0.78</v>
      </c>
      <c r="K1232" s="213">
        <v>12.059210526315789</v>
      </c>
      <c r="L1232" s="91"/>
      <c r="M1232" s="171">
        <v>152</v>
      </c>
      <c r="N1232" s="171"/>
      <c r="O1232" s="172" t="s">
        <v>12</v>
      </c>
      <c r="P1232" s="92"/>
      <c r="Q1232" s="173" t="s">
        <v>523</v>
      </c>
      <c r="R1232" s="512" t="s">
        <v>2729</v>
      </c>
      <c r="S1232" s="89"/>
      <c r="T1232" s="215" t="s">
        <v>2306</v>
      </c>
      <c r="U1232" s="214" t="s">
        <v>2307</v>
      </c>
      <c r="V1232" s="153">
        <v>0</v>
      </c>
      <c r="W1232" s="154">
        <f t="shared" si="95"/>
        <v>138.81578947368419</v>
      </c>
      <c r="X1232" s="120">
        <v>0</v>
      </c>
      <c r="Y1232" s="120">
        <v>0</v>
      </c>
      <c r="Z1232" s="120">
        <v>0</v>
      </c>
      <c r="AA1232" s="17">
        <v>0</v>
      </c>
      <c r="AB1232" s="17">
        <v>0</v>
      </c>
      <c r="AC1232" s="17">
        <v>0</v>
      </c>
      <c r="AD1232" s="17">
        <v>0</v>
      </c>
      <c r="AE1232" s="17">
        <v>0</v>
      </c>
      <c r="AF1232" s="17">
        <v>0</v>
      </c>
      <c r="AG1232" s="17">
        <v>0</v>
      </c>
      <c r="AH1232" s="17">
        <v>0</v>
      </c>
      <c r="AI1232" s="17">
        <v>0</v>
      </c>
      <c r="AJ1232" s="33">
        <v>0.19736799999999999</v>
      </c>
      <c r="AK1232" s="17">
        <v>0</v>
      </c>
      <c r="AL1232" s="32">
        <v>0</v>
      </c>
      <c r="AM1232" s="172">
        <v>28.8</v>
      </c>
      <c r="AN1232" s="89"/>
      <c r="AO1232" s="280"/>
      <c r="AP1232" s="783">
        <v>33000</v>
      </c>
      <c r="AQ1232" s="17" t="s">
        <v>1813</v>
      </c>
      <c r="AR1232" s="174">
        <v>76</v>
      </c>
      <c r="AS1232" s="171">
        <v>102</v>
      </c>
      <c r="AT1232" s="171">
        <v>390</v>
      </c>
      <c r="AU1232" s="255">
        <f t="shared" si="96"/>
        <v>19.587933447364328</v>
      </c>
      <c r="AV1232" s="172">
        <v>100</v>
      </c>
      <c r="AW1232" s="171">
        <v>91</v>
      </c>
      <c r="AX1232" s="171" t="s">
        <v>521</v>
      </c>
      <c r="AY1232" s="171">
        <v>20</v>
      </c>
      <c r="AZ1232" s="171">
        <v>0</v>
      </c>
      <c r="BA1232" s="175" t="s">
        <v>521</v>
      </c>
      <c r="BB1232" s="259"/>
      <c r="BC1232" s="190"/>
      <c r="BD1232" s="177"/>
      <c r="BE1232" s="177"/>
      <c r="BF1232" s="216" t="s">
        <v>1831</v>
      </c>
    </row>
    <row r="1233" spans="1:58" ht="15" customHeight="1">
      <c r="A1233" s="95">
        <v>1232</v>
      </c>
      <c r="B1233" s="211" t="s">
        <v>1911</v>
      </c>
      <c r="C1233" s="191" t="s">
        <v>1812</v>
      </c>
      <c r="D1233" s="171" t="s">
        <v>445</v>
      </c>
      <c r="E1233" s="463" t="s">
        <v>3377</v>
      </c>
      <c r="F1233" s="171">
        <v>1993</v>
      </c>
      <c r="G1233" s="171">
        <v>296</v>
      </c>
      <c r="H1233" s="172" t="s">
        <v>1811</v>
      </c>
      <c r="I1233" s="173" t="s">
        <v>1743</v>
      </c>
      <c r="J1233" s="212">
        <v>0.79</v>
      </c>
      <c r="K1233" s="213">
        <v>12.098684210526315</v>
      </c>
      <c r="L1233" s="91"/>
      <c r="M1233" s="171">
        <v>152</v>
      </c>
      <c r="N1233" s="171"/>
      <c r="O1233" s="172" t="s">
        <v>12</v>
      </c>
      <c r="P1233" s="92"/>
      <c r="Q1233" s="173" t="s">
        <v>523</v>
      </c>
      <c r="R1233" s="512" t="s">
        <v>2729</v>
      </c>
      <c r="S1233" s="89"/>
      <c r="T1233" s="215" t="s">
        <v>2306</v>
      </c>
      <c r="U1233" s="214" t="s">
        <v>2307</v>
      </c>
      <c r="V1233" s="153">
        <v>0</v>
      </c>
      <c r="W1233" s="154">
        <f t="shared" si="95"/>
        <v>138.81578947368419</v>
      </c>
      <c r="X1233" s="120">
        <v>0</v>
      </c>
      <c r="Y1233" s="120">
        <v>0</v>
      </c>
      <c r="Z1233" s="120">
        <v>0</v>
      </c>
      <c r="AA1233" s="17">
        <v>0</v>
      </c>
      <c r="AB1233" s="17">
        <v>0</v>
      </c>
      <c r="AC1233" s="17">
        <v>0</v>
      </c>
      <c r="AD1233" s="17">
        <v>0</v>
      </c>
      <c r="AE1233" s="17">
        <v>0</v>
      </c>
      <c r="AF1233" s="17">
        <v>0</v>
      </c>
      <c r="AG1233" s="17">
        <v>0</v>
      </c>
      <c r="AH1233" s="17">
        <v>0</v>
      </c>
      <c r="AI1233" s="17">
        <v>0</v>
      </c>
      <c r="AJ1233" s="33">
        <v>0.138158</v>
      </c>
      <c r="AK1233" s="17">
        <v>0</v>
      </c>
      <c r="AL1233" s="32">
        <v>0</v>
      </c>
      <c r="AM1233" s="172">
        <v>39.299999999999997</v>
      </c>
      <c r="AN1233" s="89"/>
      <c r="AO1233" s="280"/>
      <c r="AP1233" s="783">
        <v>35800</v>
      </c>
      <c r="AQ1233" s="17" t="s">
        <v>1813</v>
      </c>
      <c r="AR1233" s="174">
        <v>76</v>
      </c>
      <c r="AS1233" s="171">
        <v>102</v>
      </c>
      <c r="AT1233" s="171">
        <v>390</v>
      </c>
      <c r="AU1233" s="255">
        <f t="shared" si="96"/>
        <v>19.587933447364328</v>
      </c>
      <c r="AV1233" s="172">
        <v>100</v>
      </c>
      <c r="AW1233" s="171">
        <v>7</v>
      </c>
      <c r="AX1233" s="89"/>
      <c r="AY1233" s="171" t="s">
        <v>521</v>
      </c>
      <c r="AZ1233" s="171">
        <v>0</v>
      </c>
      <c r="BA1233" s="175" t="s">
        <v>521</v>
      </c>
      <c r="BB1233" s="259"/>
      <c r="BC1233" s="190"/>
      <c r="BD1233" s="177"/>
      <c r="BE1233" s="177"/>
      <c r="BF1233" s="216" t="s">
        <v>1814</v>
      </c>
    </row>
    <row r="1234" spans="1:58" ht="15" customHeight="1">
      <c r="A1234" s="95">
        <v>1233</v>
      </c>
      <c r="B1234" s="211" t="s">
        <v>1912</v>
      </c>
      <c r="C1234" s="191" t="s">
        <v>1812</v>
      </c>
      <c r="D1234" s="171" t="s">
        <v>445</v>
      </c>
      <c r="E1234" s="463" t="s">
        <v>3377</v>
      </c>
      <c r="F1234" s="171">
        <v>1993</v>
      </c>
      <c r="G1234" s="171">
        <v>296</v>
      </c>
      <c r="H1234" s="172" t="s">
        <v>1811</v>
      </c>
      <c r="I1234" s="173" t="s">
        <v>1743</v>
      </c>
      <c r="J1234" s="212">
        <v>0.79</v>
      </c>
      <c r="K1234" s="213">
        <v>12.098684210526315</v>
      </c>
      <c r="L1234" s="91"/>
      <c r="M1234" s="171">
        <v>152</v>
      </c>
      <c r="N1234" s="171"/>
      <c r="O1234" s="172" t="s">
        <v>12</v>
      </c>
      <c r="P1234" s="92"/>
      <c r="Q1234" s="173" t="s">
        <v>523</v>
      </c>
      <c r="R1234" s="512" t="s">
        <v>2729</v>
      </c>
      <c r="S1234" s="89"/>
      <c r="T1234" s="215" t="s">
        <v>2306</v>
      </c>
      <c r="U1234" s="214" t="s">
        <v>2307</v>
      </c>
      <c r="V1234" s="153">
        <v>0</v>
      </c>
      <c r="W1234" s="154">
        <f t="shared" si="95"/>
        <v>138.81578947368419</v>
      </c>
      <c r="X1234" s="120">
        <v>0</v>
      </c>
      <c r="Y1234" s="120">
        <v>0</v>
      </c>
      <c r="Z1234" s="120">
        <v>0</v>
      </c>
      <c r="AA1234" s="17">
        <v>0</v>
      </c>
      <c r="AB1234" s="17">
        <v>0</v>
      </c>
      <c r="AC1234" s="17">
        <v>0</v>
      </c>
      <c r="AD1234" s="17">
        <v>0</v>
      </c>
      <c r="AE1234" s="17">
        <v>0</v>
      </c>
      <c r="AF1234" s="17">
        <v>0</v>
      </c>
      <c r="AG1234" s="17">
        <v>0</v>
      </c>
      <c r="AH1234" s="17">
        <v>0</v>
      </c>
      <c r="AI1234" s="17">
        <v>0</v>
      </c>
      <c r="AJ1234" s="33">
        <v>0.138158</v>
      </c>
      <c r="AK1234" s="17">
        <v>0</v>
      </c>
      <c r="AL1234" s="32">
        <v>0</v>
      </c>
      <c r="AM1234" s="172">
        <v>39.299999999999997</v>
      </c>
      <c r="AN1234" s="89"/>
      <c r="AO1234" s="280"/>
      <c r="AP1234" s="783">
        <v>35800</v>
      </c>
      <c r="AQ1234" s="17" t="s">
        <v>1813</v>
      </c>
      <c r="AR1234" s="174">
        <v>76</v>
      </c>
      <c r="AS1234" s="171">
        <v>102</v>
      </c>
      <c r="AT1234" s="171">
        <v>390</v>
      </c>
      <c r="AU1234" s="255">
        <f t="shared" si="96"/>
        <v>19.587933447364328</v>
      </c>
      <c r="AV1234" s="172">
        <v>100</v>
      </c>
      <c r="AW1234" s="171">
        <v>91</v>
      </c>
      <c r="AX1234" s="171" t="s">
        <v>521</v>
      </c>
      <c r="AY1234" s="171">
        <v>20</v>
      </c>
      <c r="AZ1234" s="171">
        <v>0</v>
      </c>
      <c r="BA1234" s="175" t="s">
        <v>521</v>
      </c>
      <c r="BB1234" s="259"/>
      <c r="BC1234" s="190"/>
      <c r="BD1234" s="177"/>
      <c r="BE1234" s="177"/>
      <c r="BF1234" s="216" t="s">
        <v>1831</v>
      </c>
    </row>
    <row r="1235" spans="1:58" ht="15" customHeight="1">
      <c r="A1235" s="95">
        <v>1234</v>
      </c>
      <c r="B1235" s="211" t="s">
        <v>1913</v>
      </c>
      <c r="C1235" s="191" t="s">
        <v>1812</v>
      </c>
      <c r="D1235" s="171" t="s">
        <v>445</v>
      </c>
      <c r="E1235" s="463" t="s">
        <v>3377</v>
      </c>
      <c r="F1235" s="171">
        <v>1993</v>
      </c>
      <c r="G1235" s="171">
        <v>296</v>
      </c>
      <c r="H1235" s="172" t="s">
        <v>1811</v>
      </c>
      <c r="I1235" s="173" t="s">
        <v>1743</v>
      </c>
      <c r="J1235" s="212">
        <v>0.78</v>
      </c>
      <c r="K1235" s="213">
        <v>11.96078431372549</v>
      </c>
      <c r="L1235" s="91"/>
      <c r="M1235" s="171">
        <v>153</v>
      </c>
      <c r="N1235" s="171"/>
      <c r="O1235" s="172" t="s">
        <v>12</v>
      </c>
      <c r="P1235" s="92"/>
      <c r="Q1235" s="173" t="s">
        <v>523</v>
      </c>
      <c r="R1235" s="512" t="s">
        <v>2729</v>
      </c>
      <c r="S1235" s="89"/>
      <c r="T1235" s="215" t="s">
        <v>2306</v>
      </c>
      <c r="U1235" s="214" t="s">
        <v>2307</v>
      </c>
      <c r="V1235" s="153">
        <v>0</v>
      </c>
      <c r="W1235" s="154">
        <f t="shared" si="95"/>
        <v>138.81578947368419</v>
      </c>
      <c r="X1235" s="120">
        <v>0</v>
      </c>
      <c r="Y1235" s="120">
        <v>0</v>
      </c>
      <c r="Z1235" s="120">
        <v>0</v>
      </c>
      <c r="AA1235" s="17">
        <v>0</v>
      </c>
      <c r="AB1235" s="17">
        <v>0</v>
      </c>
      <c r="AC1235" s="17">
        <v>0</v>
      </c>
      <c r="AD1235" s="17">
        <v>0</v>
      </c>
      <c r="AE1235" s="17">
        <v>0</v>
      </c>
      <c r="AF1235" s="17">
        <v>0</v>
      </c>
      <c r="AG1235" s="17">
        <v>0</v>
      </c>
      <c r="AH1235" s="17">
        <v>0</v>
      </c>
      <c r="AI1235" s="17">
        <v>0</v>
      </c>
      <c r="AJ1235" s="33">
        <v>0.30719000000000002</v>
      </c>
      <c r="AK1235" s="17">
        <v>0</v>
      </c>
      <c r="AL1235" s="32">
        <v>0</v>
      </c>
      <c r="AM1235" s="172">
        <v>29.5</v>
      </c>
      <c r="AN1235" s="89"/>
      <c r="AO1235" s="280"/>
      <c r="AP1235" s="783">
        <v>32100</v>
      </c>
      <c r="AQ1235" s="17" t="s">
        <v>1813</v>
      </c>
      <c r="AR1235" s="174">
        <v>76</v>
      </c>
      <c r="AS1235" s="171">
        <v>102</v>
      </c>
      <c r="AT1235" s="171">
        <v>390</v>
      </c>
      <c r="AU1235" s="255">
        <f t="shared" si="96"/>
        <v>19.587933447364328</v>
      </c>
      <c r="AV1235" s="172">
        <v>100</v>
      </c>
      <c r="AW1235" s="171">
        <v>7</v>
      </c>
      <c r="AX1235" s="89"/>
      <c r="AY1235" s="171" t="s">
        <v>521</v>
      </c>
      <c r="AZ1235" s="171">
        <v>0</v>
      </c>
      <c r="BA1235" s="175" t="s">
        <v>521</v>
      </c>
      <c r="BB1235" s="259"/>
      <c r="BC1235" s="190"/>
      <c r="BD1235" s="177"/>
      <c r="BE1235" s="177"/>
      <c r="BF1235" s="216" t="s">
        <v>1814</v>
      </c>
    </row>
    <row r="1236" spans="1:58" ht="15" customHeight="1">
      <c r="A1236" s="95">
        <v>1235</v>
      </c>
      <c r="B1236" s="211" t="s">
        <v>1914</v>
      </c>
      <c r="C1236" s="191" t="s">
        <v>1812</v>
      </c>
      <c r="D1236" s="171" t="s">
        <v>445</v>
      </c>
      <c r="E1236" s="463" t="s">
        <v>3377</v>
      </c>
      <c r="F1236" s="171">
        <v>1993</v>
      </c>
      <c r="G1236" s="171">
        <v>296</v>
      </c>
      <c r="H1236" s="172" t="s">
        <v>1811</v>
      </c>
      <c r="I1236" s="173" t="s">
        <v>1743</v>
      </c>
      <c r="J1236" s="212">
        <v>0.78</v>
      </c>
      <c r="K1236" s="213">
        <v>11.96078431372549</v>
      </c>
      <c r="L1236" s="91"/>
      <c r="M1236" s="171">
        <v>153</v>
      </c>
      <c r="N1236" s="171"/>
      <c r="O1236" s="172" t="s">
        <v>12</v>
      </c>
      <c r="P1236" s="92"/>
      <c r="Q1236" s="173" t="s">
        <v>523</v>
      </c>
      <c r="R1236" s="512" t="s">
        <v>2729</v>
      </c>
      <c r="S1236" s="89"/>
      <c r="T1236" s="215" t="s">
        <v>2306</v>
      </c>
      <c r="U1236" s="214" t="s">
        <v>2307</v>
      </c>
      <c r="V1236" s="153">
        <v>0</v>
      </c>
      <c r="W1236" s="154">
        <f t="shared" si="95"/>
        <v>138.81578947368419</v>
      </c>
      <c r="X1236" s="120">
        <v>0</v>
      </c>
      <c r="Y1236" s="120">
        <v>0</v>
      </c>
      <c r="Z1236" s="120">
        <v>0</v>
      </c>
      <c r="AA1236" s="17">
        <v>0</v>
      </c>
      <c r="AB1236" s="17">
        <v>0</v>
      </c>
      <c r="AC1236" s="17">
        <v>0</v>
      </c>
      <c r="AD1236" s="17">
        <v>0</v>
      </c>
      <c r="AE1236" s="17">
        <v>0</v>
      </c>
      <c r="AF1236" s="17">
        <v>0</v>
      </c>
      <c r="AG1236" s="17">
        <v>0</v>
      </c>
      <c r="AH1236" s="17">
        <v>0</v>
      </c>
      <c r="AI1236" s="17">
        <v>0</v>
      </c>
      <c r="AJ1236" s="33">
        <v>0.30719000000000002</v>
      </c>
      <c r="AK1236" s="17">
        <v>0</v>
      </c>
      <c r="AL1236" s="32">
        <v>0</v>
      </c>
      <c r="AM1236" s="172">
        <v>29.5</v>
      </c>
      <c r="AN1236" s="89"/>
      <c r="AO1236" s="280"/>
      <c r="AP1236" s="783">
        <v>32100</v>
      </c>
      <c r="AQ1236" s="17" t="s">
        <v>1813</v>
      </c>
      <c r="AR1236" s="174">
        <v>76</v>
      </c>
      <c r="AS1236" s="171">
        <v>102</v>
      </c>
      <c r="AT1236" s="171">
        <v>390</v>
      </c>
      <c r="AU1236" s="255">
        <f t="shared" si="96"/>
        <v>19.587933447364328</v>
      </c>
      <c r="AV1236" s="172">
        <v>100</v>
      </c>
      <c r="AW1236" s="171">
        <v>91</v>
      </c>
      <c r="AX1236" s="171" t="s">
        <v>521</v>
      </c>
      <c r="AY1236" s="171">
        <v>20</v>
      </c>
      <c r="AZ1236" s="171">
        <v>0</v>
      </c>
      <c r="BA1236" s="175" t="s">
        <v>521</v>
      </c>
      <c r="BB1236" s="259"/>
      <c r="BC1236" s="190"/>
      <c r="BD1236" s="177"/>
      <c r="BE1236" s="177"/>
      <c r="BF1236" s="216" t="s">
        <v>1831</v>
      </c>
    </row>
    <row r="1237" spans="1:58" ht="15" customHeight="1">
      <c r="A1237" s="95">
        <v>1236</v>
      </c>
      <c r="B1237" s="211" t="s">
        <v>1915</v>
      </c>
      <c r="C1237" s="191" t="s">
        <v>1812</v>
      </c>
      <c r="D1237" s="171" t="s">
        <v>445</v>
      </c>
      <c r="E1237" s="463" t="s">
        <v>3377</v>
      </c>
      <c r="F1237" s="171">
        <v>1993</v>
      </c>
      <c r="G1237" s="171">
        <v>296</v>
      </c>
      <c r="H1237" s="172" t="s">
        <v>1811</v>
      </c>
      <c r="I1237" s="173" t="s">
        <v>1743</v>
      </c>
      <c r="J1237" s="212">
        <v>0.78</v>
      </c>
      <c r="K1237" s="213">
        <v>11.967320261437909</v>
      </c>
      <c r="L1237" s="91"/>
      <c r="M1237" s="171">
        <v>153</v>
      </c>
      <c r="N1237" s="171"/>
      <c r="O1237" s="172" t="s">
        <v>12</v>
      </c>
      <c r="P1237" s="92"/>
      <c r="Q1237" s="173" t="s">
        <v>523</v>
      </c>
      <c r="R1237" s="512" t="s">
        <v>2729</v>
      </c>
      <c r="S1237" s="89"/>
      <c r="T1237" s="215" t="s">
        <v>2306</v>
      </c>
      <c r="U1237" s="214" t="s">
        <v>2307</v>
      </c>
      <c r="V1237" s="153">
        <v>0</v>
      </c>
      <c r="W1237" s="154">
        <f t="shared" si="95"/>
        <v>138.81578947368419</v>
      </c>
      <c r="X1237" s="120">
        <v>0</v>
      </c>
      <c r="Y1237" s="120">
        <v>0</v>
      </c>
      <c r="Z1237" s="120">
        <v>0</v>
      </c>
      <c r="AA1237" s="17">
        <v>0</v>
      </c>
      <c r="AB1237" s="17">
        <v>0</v>
      </c>
      <c r="AC1237" s="17">
        <v>0</v>
      </c>
      <c r="AD1237" s="17">
        <v>0</v>
      </c>
      <c r="AE1237" s="17">
        <v>0</v>
      </c>
      <c r="AF1237" s="17">
        <v>0</v>
      </c>
      <c r="AG1237" s="17">
        <v>0</v>
      </c>
      <c r="AH1237" s="17">
        <v>0</v>
      </c>
      <c r="AI1237" s="17">
        <v>0</v>
      </c>
      <c r="AJ1237" s="33">
        <v>0.261438</v>
      </c>
      <c r="AK1237" s="17">
        <v>0</v>
      </c>
      <c r="AL1237" s="32">
        <v>0</v>
      </c>
      <c r="AM1237" s="172">
        <v>32.5</v>
      </c>
      <c r="AN1237" s="89"/>
      <c r="AO1237" s="280"/>
      <c r="AP1237" s="783">
        <v>33600</v>
      </c>
      <c r="AQ1237" s="17" t="s">
        <v>1813</v>
      </c>
      <c r="AR1237" s="174">
        <v>76</v>
      </c>
      <c r="AS1237" s="171">
        <v>102</v>
      </c>
      <c r="AT1237" s="171">
        <v>390</v>
      </c>
      <c r="AU1237" s="255">
        <f t="shared" si="96"/>
        <v>19.587933447364328</v>
      </c>
      <c r="AV1237" s="172">
        <v>100</v>
      </c>
      <c r="AW1237" s="171">
        <v>7</v>
      </c>
      <c r="AX1237" s="89"/>
      <c r="AY1237" s="171" t="s">
        <v>521</v>
      </c>
      <c r="AZ1237" s="171">
        <v>0</v>
      </c>
      <c r="BA1237" s="175" t="s">
        <v>521</v>
      </c>
      <c r="BB1237" s="259"/>
      <c r="BC1237" s="190"/>
      <c r="BD1237" s="177"/>
      <c r="BE1237" s="177"/>
      <c r="BF1237" s="216" t="s">
        <v>1814</v>
      </c>
    </row>
    <row r="1238" spans="1:58" ht="15" customHeight="1">
      <c r="A1238" s="95">
        <v>1237</v>
      </c>
      <c r="B1238" s="211" t="s">
        <v>1916</v>
      </c>
      <c r="C1238" s="191" t="s">
        <v>1812</v>
      </c>
      <c r="D1238" s="171" t="s">
        <v>445</v>
      </c>
      <c r="E1238" s="463" t="s">
        <v>3377</v>
      </c>
      <c r="F1238" s="171">
        <v>1993</v>
      </c>
      <c r="G1238" s="171">
        <v>296</v>
      </c>
      <c r="H1238" s="172" t="s">
        <v>1811</v>
      </c>
      <c r="I1238" s="173" t="s">
        <v>1743</v>
      </c>
      <c r="J1238" s="212">
        <v>0.78</v>
      </c>
      <c r="K1238" s="213">
        <v>11.967320261437909</v>
      </c>
      <c r="L1238" s="91"/>
      <c r="M1238" s="171">
        <v>153</v>
      </c>
      <c r="N1238" s="171"/>
      <c r="O1238" s="172" t="s">
        <v>12</v>
      </c>
      <c r="P1238" s="92"/>
      <c r="Q1238" s="173" t="s">
        <v>523</v>
      </c>
      <c r="R1238" s="512" t="s">
        <v>2729</v>
      </c>
      <c r="S1238" s="89"/>
      <c r="T1238" s="215" t="s">
        <v>2306</v>
      </c>
      <c r="U1238" s="214" t="s">
        <v>2307</v>
      </c>
      <c r="V1238" s="153">
        <v>0</v>
      </c>
      <c r="W1238" s="154">
        <f t="shared" si="95"/>
        <v>138.81578947368419</v>
      </c>
      <c r="X1238" s="120">
        <v>0</v>
      </c>
      <c r="Y1238" s="120">
        <v>0</v>
      </c>
      <c r="Z1238" s="120">
        <v>0</v>
      </c>
      <c r="AA1238" s="17">
        <v>0</v>
      </c>
      <c r="AB1238" s="17">
        <v>0</v>
      </c>
      <c r="AC1238" s="17">
        <v>0</v>
      </c>
      <c r="AD1238" s="17">
        <v>0</v>
      </c>
      <c r="AE1238" s="17">
        <v>0</v>
      </c>
      <c r="AF1238" s="17">
        <v>0</v>
      </c>
      <c r="AG1238" s="17">
        <v>0</v>
      </c>
      <c r="AH1238" s="17">
        <v>0</v>
      </c>
      <c r="AI1238" s="17">
        <v>0</v>
      </c>
      <c r="AJ1238" s="33">
        <v>0.261438</v>
      </c>
      <c r="AK1238" s="17">
        <v>0</v>
      </c>
      <c r="AL1238" s="32">
        <v>0</v>
      </c>
      <c r="AM1238" s="172">
        <v>32.5</v>
      </c>
      <c r="AN1238" s="89"/>
      <c r="AO1238" s="280"/>
      <c r="AP1238" s="783">
        <v>33600</v>
      </c>
      <c r="AQ1238" s="17" t="s">
        <v>1813</v>
      </c>
      <c r="AR1238" s="174">
        <v>76</v>
      </c>
      <c r="AS1238" s="171">
        <v>102</v>
      </c>
      <c r="AT1238" s="171">
        <v>390</v>
      </c>
      <c r="AU1238" s="255">
        <f t="shared" si="96"/>
        <v>19.587933447364328</v>
      </c>
      <c r="AV1238" s="172">
        <v>100</v>
      </c>
      <c r="AW1238" s="171">
        <v>91</v>
      </c>
      <c r="AX1238" s="171" t="s">
        <v>521</v>
      </c>
      <c r="AY1238" s="171">
        <v>20</v>
      </c>
      <c r="AZ1238" s="171">
        <v>0</v>
      </c>
      <c r="BA1238" s="175" t="s">
        <v>521</v>
      </c>
      <c r="BB1238" s="259"/>
      <c r="BC1238" s="190"/>
      <c r="BD1238" s="177"/>
      <c r="BE1238" s="177"/>
      <c r="BF1238" s="216" t="s">
        <v>1831</v>
      </c>
    </row>
    <row r="1239" spans="1:58" ht="15" customHeight="1">
      <c r="A1239" s="95">
        <v>1238</v>
      </c>
      <c r="B1239" s="211" t="s">
        <v>1917</v>
      </c>
      <c r="C1239" s="191" t="s">
        <v>1812</v>
      </c>
      <c r="D1239" s="171" t="s">
        <v>445</v>
      </c>
      <c r="E1239" s="463" t="s">
        <v>3377</v>
      </c>
      <c r="F1239" s="171">
        <v>1993</v>
      </c>
      <c r="G1239" s="171">
        <v>296</v>
      </c>
      <c r="H1239" s="172" t="s">
        <v>1811</v>
      </c>
      <c r="I1239" s="173" t="s">
        <v>1743</v>
      </c>
      <c r="J1239" s="212">
        <v>0.78</v>
      </c>
      <c r="K1239" s="213">
        <v>12.105263157894736</v>
      </c>
      <c r="L1239" s="91"/>
      <c r="M1239" s="171">
        <v>152</v>
      </c>
      <c r="N1239" s="171"/>
      <c r="O1239" s="172" t="s">
        <v>12</v>
      </c>
      <c r="P1239" s="92"/>
      <c r="Q1239" s="173" t="s">
        <v>523</v>
      </c>
      <c r="R1239" s="512" t="s">
        <v>2729</v>
      </c>
      <c r="S1239" s="89"/>
      <c r="T1239" s="215" t="s">
        <v>2306</v>
      </c>
      <c r="U1239" s="214" t="s">
        <v>2307</v>
      </c>
      <c r="V1239" s="153">
        <v>0</v>
      </c>
      <c r="W1239" s="154">
        <f t="shared" si="95"/>
        <v>138.81578947368419</v>
      </c>
      <c r="X1239" s="120">
        <v>0</v>
      </c>
      <c r="Y1239" s="120">
        <v>0</v>
      </c>
      <c r="Z1239" s="120">
        <v>0</v>
      </c>
      <c r="AA1239" s="17">
        <v>0</v>
      </c>
      <c r="AB1239" s="17">
        <v>0</v>
      </c>
      <c r="AC1239" s="17">
        <v>0</v>
      </c>
      <c r="AD1239" s="17">
        <v>0</v>
      </c>
      <c r="AE1239" s="17">
        <v>0</v>
      </c>
      <c r="AF1239" s="17">
        <v>0</v>
      </c>
      <c r="AG1239" s="17">
        <v>0</v>
      </c>
      <c r="AH1239" s="17">
        <v>0</v>
      </c>
      <c r="AI1239" s="17">
        <v>0</v>
      </c>
      <c r="AJ1239" s="33">
        <v>5.2631999999999998E-2</v>
      </c>
      <c r="AK1239" s="17">
        <v>0</v>
      </c>
      <c r="AL1239" s="32">
        <v>0</v>
      </c>
      <c r="AM1239" s="172">
        <v>38.1</v>
      </c>
      <c r="AN1239" s="89"/>
      <c r="AO1239" s="280"/>
      <c r="AP1239" s="783">
        <v>37700</v>
      </c>
      <c r="AQ1239" s="17" t="s">
        <v>1813</v>
      </c>
      <c r="AR1239" s="174">
        <v>76</v>
      </c>
      <c r="AS1239" s="171">
        <v>102</v>
      </c>
      <c r="AT1239" s="171">
        <v>390</v>
      </c>
      <c r="AU1239" s="255">
        <f t="shared" si="96"/>
        <v>19.587933447364328</v>
      </c>
      <c r="AV1239" s="172">
        <v>100</v>
      </c>
      <c r="AW1239" s="171">
        <v>7</v>
      </c>
      <c r="AX1239" s="89"/>
      <c r="AY1239" s="171" t="s">
        <v>521</v>
      </c>
      <c r="AZ1239" s="171">
        <v>0</v>
      </c>
      <c r="BA1239" s="175" t="s">
        <v>521</v>
      </c>
      <c r="BB1239" s="259"/>
      <c r="BC1239" s="190"/>
      <c r="BD1239" s="177"/>
      <c r="BE1239" s="177"/>
      <c r="BF1239" s="216" t="s">
        <v>1814</v>
      </c>
    </row>
    <row r="1240" spans="1:58" ht="15" customHeight="1">
      <c r="A1240" s="95">
        <v>1239</v>
      </c>
      <c r="B1240" s="211" t="s">
        <v>1918</v>
      </c>
      <c r="C1240" s="191" t="s">
        <v>1812</v>
      </c>
      <c r="D1240" s="171" t="s">
        <v>445</v>
      </c>
      <c r="E1240" s="463" t="s">
        <v>3377</v>
      </c>
      <c r="F1240" s="171">
        <v>1993</v>
      </c>
      <c r="G1240" s="171">
        <v>296</v>
      </c>
      <c r="H1240" s="172" t="s">
        <v>1811</v>
      </c>
      <c r="I1240" s="173" t="s">
        <v>1743</v>
      </c>
      <c r="J1240" s="212">
        <v>0.78</v>
      </c>
      <c r="K1240" s="213">
        <v>12.105263157894736</v>
      </c>
      <c r="L1240" s="91"/>
      <c r="M1240" s="171">
        <v>152</v>
      </c>
      <c r="N1240" s="171"/>
      <c r="O1240" s="172" t="s">
        <v>12</v>
      </c>
      <c r="P1240" s="92"/>
      <c r="Q1240" s="173" t="s">
        <v>523</v>
      </c>
      <c r="R1240" s="512" t="s">
        <v>2729</v>
      </c>
      <c r="S1240" s="89"/>
      <c r="T1240" s="215" t="s">
        <v>2306</v>
      </c>
      <c r="U1240" s="214" t="s">
        <v>2307</v>
      </c>
      <c r="V1240" s="153">
        <v>0</v>
      </c>
      <c r="W1240" s="154">
        <f t="shared" si="95"/>
        <v>138.81578947368419</v>
      </c>
      <c r="X1240" s="120">
        <v>0</v>
      </c>
      <c r="Y1240" s="120">
        <v>0</v>
      </c>
      <c r="Z1240" s="120">
        <v>0</v>
      </c>
      <c r="AA1240" s="17">
        <v>0</v>
      </c>
      <c r="AB1240" s="17">
        <v>0</v>
      </c>
      <c r="AC1240" s="17">
        <v>0</v>
      </c>
      <c r="AD1240" s="17">
        <v>0</v>
      </c>
      <c r="AE1240" s="17">
        <v>0</v>
      </c>
      <c r="AF1240" s="17">
        <v>0</v>
      </c>
      <c r="AG1240" s="17">
        <v>0</v>
      </c>
      <c r="AH1240" s="17">
        <v>0</v>
      </c>
      <c r="AI1240" s="17">
        <v>0</v>
      </c>
      <c r="AJ1240" s="33">
        <v>5.2631999999999998E-2</v>
      </c>
      <c r="AK1240" s="17">
        <v>0</v>
      </c>
      <c r="AL1240" s="32">
        <v>0</v>
      </c>
      <c r="AM1240" s="172">
        <v>38.1</v>
      </c>
      <c r="AN1240" s="89"/>
      <c r="AO1240" s="280"/>
      <c r="AP1240" s="783">
        <v>37700</v>
      </c>
      <c r="AQ1240" s="17" t="s">
        <v>1813</v>
      </c>
      <c r="AR1240" s="174">
        <v>76</v>
      </c>
      <c r="AS1240" s="171">
        <v>102</v>
      </c>
      <c r="AT1240" s="171">
        <v>390</v>
      </c>
      <c r="AU1240" s="255">
        <f t="shared" si="96"/>
        <v>19.587933447364328</v>
      </c>
      <c r="AV1240" s="172">
        <v>100</v>
      </c>
      <c r="AW1240" s="171">
        <v>91</v>
      </c>
      <c r="AX1240" s="171" t="s">
        <v>521</v>
      </c>
      <c r="AY1240" s="171">
        <v>20</v>
      </c>
      <c r="AZ1240" s="171">
        <v>0</v>
      </c>
      <c r="BA1240" s="175" t="s">
        <v>521</v>
      </c>
      <c r="BB1240" s="259"/>
      <c r="BC1240" s="190"/>
      <c r="BD1240" s="177"/>
      <c r="BE1240" s="177"/>
      <c r="BF1240" s="216" t="s">
        <v>1831</v>
      </c>
    </row>
    <row r="1241" spans="1:58" ht="15" customHeight="1">
      <c r="A1241" s="95">
        <v>1240</v>
      </c>
      <c r="B1241" s="211" t="s">
        <v>1919</v>
      </c>
      <c r="C1241" s="191" t="s">
        <v>1812</v>
      </c>
      <c r="D1241" s="171" t="s">
        <v>445</v>
      </c>
      <c r="E1241" s="463" t="s">
        <v>3377</v>
      </c>
      <c r="F1241" s="171">
        <v>1993</v>
      </c>
      <c r="G1241" s="171">
        <v>296</v>
      </c>
      <c r="H1241" s="172" t="s">
        <v>1811</v>
      </c>
      <c r="I1241" s="173" t="s">
        <v>1743</v>
      </c>
      <c r="J1241" s="212">
        <v>0.78</v>
      </c>
      <c r="K1241" s="213">
        <v>12.117647058823529</v>
      </c>
      <c r="L1241" s="91"/>
      <c r="M1241" s="171">
        <v>153</v>
      </c>
      <c r="N1241" s="171"/>
      <c r="O1241" s="172" t="s">
        <v>12</v>
      </c>
      <c r="P1241" s="92"/>
      <c r="Q1241" s="173" t="s">
        <v>523</v>
      </c>
      <c r="R1241" s="512" t="s">
        <v>2729</v>
      </c>
      <c r="S1241" s="89"/>
      <c r="T1241" s="215" t="s">
        <v>2306</v>
      </c>
      <c r="U1241" s="214" t="s">
        <v>2307</v>
      </c>
      <c r="V1241" s="153">
        <v>0</v>
      </c>
      <c r="W1241" s="154">
        <f t="shared" si="95"/>
        <v>138.81578947368419</v>
      </c>
      <c r="X1241" s="120">
        <v>0</v>
      </c>
      <c r="Y1241" s="120">
        <v>0</v>
      </c>
      <c r="Z1241" s="120">
        <v>0</v>
      </c>
      <c r="AA1241" s="17">
        <v>0</v>
      </c>
      <c r="AB1241" s="17">
        <v>0</v>
      </c>
      <c r="AC1241" s="17">
        <v>0</v>
      </c>
      <c r="AD1241" s="17">
        <v>0</v>
      </c>
      <c r="AE1241" s="17">
        <v>0</v>
      </c>
      <c r="AF1241" s="17">
        <v>0</v>
      </c>
      <c r="AG1241" s="17">
        <v>0</v>
      </c>
      <c r="AH1241" s="17">
        <v>0</v>
      </c>
      <c r="AI1241" s="17">
        <v>0</v>
      </c>
      <c r="AJ1241" s="33">
        <v>2.9412000000000001E-2</v>
      </c>
      <c r="AK1241" s="17">
        <v>0</v>
      </c>
      <c r="AL1241" s="32">
        <v>0</v>
      </c>
      <c r="AM1241" s="172">
        <v>37.200000000000003</v>
      </c>
      <c r="AN1241" s="89"/>
      <c r="AO1241" s="280"/>
      <c r="AP1241" s="783">
        <v>37600</v>
      </c>
      <c r="AQ1241" s="17" t="s">
        <v>1813</v>
      </c>
      <c r="AR1241" s="174">
        <v>76</v>
      </c>
      <c r="AS1241" s="171">
        <v>102</v>
      </c>
      <c r="AT1241" s="171">
        <v>390</v>
      </c>
      <c r="AU1241" s="255">
        <f t="shared" si="96"/>
        <v>19.587933447364328</v>
      </c>
      <c r="AV1241" s="172">
        <v>100</v>
      </c>
      <c r="AW1241" s="171">
        <v>7</v>
      </c>
      <c r="AX1241" s="89"/>
      <c r="AY1241" s="171" t="s">
        <v>521</v>
      </c>
      <c r="AZ1241" s="171">
        <v>0</v>
      </c>
      <c r="BA1241" s="175" t="s">
        <v>521</v>
      </c>
      <c r="BB1241" s="259"/>
      <c r="BC1241" s="190"/>
      <c r="BD1241" s="177"/>
      <c r="BE1241" s="177"/>
      <c r="BF1241" s="216" t="s">
        <v>1814</v>
      </c>
    </row>
    <row r="1242" spans="1:58" ht="15" customHeight="1">
      <c r="A1242" s="95">
        <v>1241</v>
      </c>
      <c r="B1242" s="211" t="s">
        <v>1920</v>
      </c>
      <c r="C1242" s="191" t="s">
        <v>1812</v>
      </c>
      <c r="D1242" s="171" t="s">
        <v>445</v>
      </c>
      <c r="E1242" s="463" t="s">
        <v>3377</v>
      </c>
      <c r="F1242" s="171">
        <v>1993</v>
      </c>
      <c r="G1242" s="171">
        <v>296</v>
      </c>
      <c r="H1242" s="172" t="s">
        <v>1811</v>
      </c>
      <c r="I1242" s="173" t="s">
        <v>1743</v>
      </c>
      <c r="J1242" s="212">
        <v>0.78</v>
      </c>
      <c r="K1242" s="213">
        <v>12.117647058823529</v>
      </c>
      <c r="L1242" s="91"/>
      <c r="M1242" s="171">
        <v>153</v>
      </c>
      <c r="N1242" s="171"/>
      <c r="O1242" s="172" t="s">
        <v>12</v>
      </c>
      <c r="P1242" s="92"/>
      <c r="Q1242" s="173" t="s">
        <v>523</v>
      </c>
      <c r="R1242" s="512" t="s">
        <v>2729</v>
      </c>
      <c r="S1242" s="89"/>
      <c r="T1242" s="215" t="s">
        <v>2306</v>
      </c>
      <c r="U1242" s="214" t="s">
        <v>2307</v>
      </c>
      <c r="V1242" s="153">
        <v>0</v>
      </c>
      <c r="W1242" s="154">
        <f t="shared" si="95"/>
        <v>138.81578947368419</v>
      </c>
      <c r="X1242" s="120">
        <v>0</v>
      </c>
      <c r="Y1242" s="120">
        <v>0</v>
      </c>
      <c r="Z1242" s="120">
        <v>0</v>
      </c>
      <c r="AA1242" s="17">
        <v>0</v>
      </c>
      <c r="AB1242" s="17">
        <v>0</v>
      </c>
      <c r="AC1242" s="17">
        <v>0</v>
      </c>
      <c r="AD1242" s="17">
        <v>0</v>
      </c>
      <c r="AE1242" s="17">
        <v>0</v>
      </c>
      <c r="AF1242" s="17">
        <v>0</v>
      </c>
      <c r="AG1242" s="17">
        <v>0</v>
      </c>
      <c r="AH1242" s="17">
        <v>0</v>
      </c>
      <c r="AI1242" s="17">
        <v>0</v>
      </c>
      <c r="AJ1242" s="33">
        <v>2.9412000000000001E-2</v>
      </c>
      <c r="AK1242" s="17">
        <v>0</v>
      </c>
      <c r="AL1242" s="32">
        <v>0</v>
      </c>
      <c r="AM1242" s="172">
        <v>37.200000000000003</v>
      </c>
      <c r="AN1242" s="89"/>
      <c r="AO1242" s="280"/>
      <c r="AP1242" s="783">
        <v>37600</v>
      </c>
      <c r="AQ1242" s="17" t="s">
        <v>1813</v>
      </c>
      <c r="AR1242" s="174">
        <v>76</v>
      </c>
      <c r="AS1242" s="171">
        <v>102</v>
      </c>
      <c r="AT1242" s="171">
        <v>390</v>
      </c>
      <c r="AU1242" s="255">
        <f t="shared" si="96"/>
        <v>19.587933447364328</v>
      </c>
      <c r="AV1242" s="172">
        <v>100</v>
      </c>
      <c r="AW1242" s="171">
        <v>91</v>
      </c>
      <c r="AX1242" s="171" t="s">
        <v>521</v>
      </c>
      <c r="AY1242" s="171">
        <v>20</v>
      </c>
      <c r="AZ1242" s="171">
        <v>0</v>
      </c>
      <c r="BA1242" s="175" t="s">
        <v>521</v>
      </c>
      <c r="BB1242" s="259"/>
      <c r="BC1242" s="190"/>
      <c r="BD1242" s="177"/>
      <c r="BE1242" s="177"/>
      <c r="BF1242" s="216" t="s">
        <v>1831</v>
      </c>
    </row>
    <row r="1243" spans="1:58" ht="15" customHeight="1">
      <c r="A1243" s="95">
        <v>1242</v>
      </c>
      <c r="B1243" s="211" t="s">
        <v>1921</v>
      </c>
      <c r="C1243" s="191" t="s">
        <v>1812</v>
      </c>
      <c r="D1243" s="171" t="s">
        <v>445</v>
      </c>
      <c r="E1243" s="463" t="s">
        <v>3377</v>
      </c>
      <c r="F1243" s="171">
        <v>1993</v>
      </c>
      <c r="G1243" s="171">
        <v>296</v>
      </c>
      <c r="H1243" s="172" t="s">
        <v>1811</v>
      </c>
      <c r="I1243" s="173" t="s">
        <v>1743</v>
      </c>
      <c r="J1243" s="212">
        <v>0.78</v>
      </c>
      <c r="K1243" s="213">
        <v>12.144736842105264</v>
      </c>
      <c r="L1243" s="91"/>
      <c r="M1243" s="171">
        <v>152</v>
      </c>
      <c r="N1243" s="171"/>
      <c r="O1243" s="172" t="s">
        <v>12</v>
      </c>
      <c r="P1243" s="92"/>
      <c r="Q1243" s="173" t="s">
        <v>523</v>
      </c>
      <c r="R1243" s="512" t="s">
        <v>2729</v>
      </c>
      <c r="S1243" s="89"/>
      <c r="T1243" s="215" t="s">
        <v>2306</v>
      </c>
      <c r="U1243" s="214" t="s">
        <v>2307</v>
      </c>
      <c r="V1243" s="153">
        <v>0</v>
      </c>
      <c r="W1243" s="154">
        <f t="shared" si="95"/>
        <v>138.81578947368419</v>
      </c>
      <c r="X1243" s="120">
        <v>0</v>
      </c>
      <c r="Y1243" s="120">
        <v>0</v>
      </c>
      <c r="Z1243" s="120">
        <v>0</v>
      </c>
      <c r="AA1243" s="17">
        <v>0</v>
      </c>
      <c r="AB1243" s="17">
        <v>0</v>
      </c>
      <c r="AC1243" s="17">
        <v>0</v>
      </c>
      <c r="AD1243" s="17">
        <v>0</v>
      </c>
      <c r="AE1243" s="17">
        <v>0</v>
      </c>
      <c r="AF1243" s="17">
        <v>0</v>
      </c>
      <c r="AG1243" s="17">
        <v>0</v>
      </c>
      <c r="AH1243" s="17">
        <v>0</v>
      </c>
      <c r="AI1243" s="17">
        <v>0</v>
      </c>
      <c r="AJ1243" s="33">
        <v>0.174342</v>
      </c>
      <c r="AK1243" s="17">
        <v>0</v>
      </c>
      <c r="AL1243" s="32">
        <v>0</v>
      </c>
      <c r="AM1243" s="172">
        <v>34.299999999999997</v>
      </c>
      <c r="AN1243" s="89"/>
      <c r="AO1243" s="280"/>
      <c r="AP1243" s="783">
        <v>35900</v>
      </c>
      <c r="AQ1243" s="17" t="s">
        <v>1813</v>
      </c>
      <c r="AR1243" s="174">
        <v>76</v>
      </c>
      <c r="AS1243" s="171">
        <v>102</v>
      </c>
      <c r="AT1243" s="171">
        <v>390</v>
      </c>
      <c r="AU1243" s="255">
        <f t="shared" si="96"/>
        <v>19.587933447364328</v>
      </c>
      <c r="AV1243" s="172">
        <v>100</v>
      </c>
      <c r="AW1243" s="171">
        <v>7</v>
      </c>
      <c r="AX1243" s="89"/>
      <c r="AY1243" s="171" t="s">
        <v>521</v>
      </c>
      <c r="AZ1243" s="171">
        <v>0</v>
      </c>
      <c r="BA1243" s="175" t="s">
        <v>521</v>
      </c>
      <c r="BB1243" s="259"/>
      <c r="BC1243" s="190"/>
      <c r="BD1243" s="177"/>
      <c r="BE1243" s="177"/>
      <c r="BF1243" s="216" t="s">
        <v>1814</v>
      </c>
    </row>
    <row r="1244" spans="1:58" ht="15" customHeight="1">
      <c r="A1244" s="95">
        <v>1243</v>
      </c>
      <c r="B1244" s="211" t="s">
        <v>1922</v>
      </c>
      <c r="C1244" s="191" t="s">
        <v>1812</v>
      </c>
      <c r="D1244" s="171" t="s">
        <v>445</v>
      </c>
      <c r="E1244" s="463" t="s">
        <v>3377</v>
      </c>
      <c r="F1244" s="171">
        <v>1993</v>
      </c>
      <c r="G1244" s="171">
        <v>296</v>
      </c>
      <c r="H1244" s="172" t="s">
        <v>1811</v>
      </c>
      <c r="I1244" s="173" t="s">
        <v>1743</v>
      </c>
      <c r="J1244" s="212">
        <v>0.78</v>
      </c>
      <c r="K1244" s="213">
        <v>12.144736842105264</v>
      </c>
      <c r="L1244" s="91"/>
      <c r="M1244" s="171">
        <v>152</v>
      </c>
      <c r="N1244" s="171"/>
      <c r="O1244" s="172" t="s">
        <v>12</v>
      </c>
      <c r="P1244" s="92"/>
      <c r="Q1244" s="173" t="s">
        <v>523</v>
      </c>
      <c r="R1244" s="512" t="s">
        <v>2729</v>
      </c>
      <c r="S1244" s="89"/>
      <c r="T1244" s="215" t="s">
        <v>2306</v>
      </c>
      <c r="U1244" s="214" t="s">
        <v>2307</v>
      </c>
      <c r="V1244" s="153">
        <v>0</v>
      </c>
      <c r="W1244" s="154">
        <f t="shared" si="95"/>
        <v>138.81578947368419</v>
      </c>
      <c r="X1244" s="120">
        <v>0</v>
      </c>
      <c r="Y1244" s="120">
        <v>0</v>
      </c>
      <c r="Z1244" s="120">
        <v>0</v>
      </c>
      <c r="AA1244" s="17">
        <v>0</v>
      </c>
      <c r="AB1244" s="17">
        <v>0</v>
      </c>
      <c r="AC1244" s="17">
        <v>0</v>
      </c>
      <c r="AD1244" s="17">
        <v>0</v>
      </c>
      <c r="AE1244" s="17">
        <v>0</v>
      </c>
      <c r="AF1244" s="17">
        <v>0</v>
      </c>
      <c r="AG1244" s="17">
        <v>0</v>
      </c>
      <c r="AH1244" s="17">
        <v>0</v>
      </c>
      <c r="AI1244" s="17">
        <v>0</v>
      </c>
      <c r="AJ1244" s="33">
        <v>0.174342</v>
      </c>
      <c r="AK1244" s="17">
        <v>0</v>
      </c>
      <c r="AL1244" s="32">
        <v>0</v>
      </c>
      <c r="AM1244" s="172">
        <v>34.299999999999997</v>
      </c>
      <c r="AN1244" s="89"/>
      <c r="AO1244" s="280"/>
      <c r="AP1244" s="783">
        <v>35900</v>
      </c>
      <c r="AQ1244" s="17" t="s">
        <v>1813</v>
      </c>
      <c r="AR1244" s="174">
        <v>76</v>
      </c>
      <c r="AS1244" s="171">
        <v>102</v>
      </c>
      <c r="AT1244" s="171">
        <v>390</v>
      </c>
      <c r="AU1244" s="255">
        <f t="shared" si="96"/>
        <v>19.587933447364328</v>
      </c>
      <c r="AV1244" s="172">
        <v>100</v>
      </c>
      <c r="AW1244" s="171">
        <v>91</v>
      </c>
      <c r="AX1244" s="171" t="s">
        <v>521</v>
      </c>
      <c r="AY1244" s="171">
        <v>20</v>
      </c>
      <c r="AZ1244" s="171">
        <v>0</v>
      </c>
      <c r="BA1244" s="175" t="s">
        <v>521</v>
      </c>
      <c r="BB1244" s="259"/>
      <c r="BC1244" s="190"/>
      <c r="BD1244" s="177"/>
      <c r="BE1244" s="177"/>
      <c r="BF1244" s="216" t="s">
        <v>1831</v>
      </c>
    </row>
    <row r="1245" spans="1:58" ht="15" customHeight="1">
      <c r="A1245" s="95">
        <v>1244</v>
      </c>
      <c r="B1245" s="211" t="s">
        <v>1923</v>
      </c>
      <c r="C1245" s="191" t="s">
        <v>1812</v>
      </c>
      <c r="D1245" s="171" t="s">
        <v>445</v>
      </c>
      <c r="E1245" s="463" t="s">
        <v>3377</v>
      </c>
      <c r="F1245" s="171">
        <v>1993</v>
      </c>
      <c r="G1245" s="171">
        <v>296</v>
      </c>
      <c r="H1245" s="172" t="s">
        <v>1811</v>
      </c>
      <c r="I1245" s="173" t="s">
        <v>1743</v>
      </c>
      <c r="J1245" s="212">
        <v>0.78</v>
      </c>
      <c r="K1245" s="213">
        <v>12.085526315789474</v>
      </c>
      <c r="L1245" s="91"/>
      <c r="M1245" s="171">
        <v>152</v>
      </c>
      <c r="N1245" s="171"/>
      <c r="O1245" s="172" t="s">
        <v>12</v>
      </c>
      <c r="P1245" s="92"/>
      <c r="Q1245" s="173" t="s">
        <v>523</v>
      </c>
      <c r="R1245" s="512" t="s">
        <v>2729</v>
      </c>
      <c r="S1245" s="89"/>
      <c r="T1245" s="215" t="s">
        <v>2306</v>
      </c>
      <c r="U1245" s="214" t="s">
        <v>2307</v>
      </c>
      <c r="V1245" s="153">
        <v>0</v>
      </c>
      <c r="W1245" s="154">
        <f t="shared" si="95"/>
        <v>138.81578947368419</v>
      </c>
      <c r="X1245" s="120">
        <v>0</v>
      </c>
      <c r="Y1245" s="120">
        <v>0</v>
      </c>
      <c r="Z1245" s="120">
        <v>0</v>
      </c>
      <c r="AA1245" s="17">
        <v>0</v>
      </c>
      <c r="AB1245" s="17">
        <v>0</v>
      </c>
      <c r="AC1245" s="17">
        <v>0</v>
      </c>
      <c r="AD1245" s="17">
        <v>0</v>
      </c>
      <c r="AE1245" s="17">
        <v>0</v>
      </c>
      <c r="AF1245" s="17">
        <v>0</v>
      </c>
      <c r="AG1245" s="17">
        <v>0</v>
      </c>
      <c r="AH1245" s="17">
        <v>0</v>
      </c>
      <c r="AI1245" s="17">
        <v>0</v>
      </c>
      <c r="AJ1245" s="33">
        <v>8.8816000000000006E-2</v>
      </c>
      <c r="AK1245" s="17">
        <v>0</v>
      </c>
      <c r="AL1245" s="32">
        <v>0</v>
      </c>
      <c r="AM1245" s="172">
        <v>37.4</v>
      </c>
      <c r="AN1245" s="89"/>
      <c r="AO1245" s="280"/>
      <c r="AP1245" s="783">
        <v>36400</v>
      </c>
      <c r="AQ1245" s="17" t="s">
        <v>1813</v>
      </c>
      <c r="AR1245" s="174">
        <v>76</v>
      </c>
      <c r="AS1245" s="171">
        <v>102</v>
      </c>
      <c r="AT1245" s="171">
        <v>390</v>
      </c>
      <c r="AU1245" s="255">
        <f t="shared" si="96"/>
        <v>19.587933447364328</v>
      </c>
      <c r="AV1245" s="172">
        <v>100</v>
      </c>
      <c r="AW1245" s="171">
        <v>7</v>
      </c>
      <c r="AX1245" s="89"/>
      <c r="AY1245" s="171" t="s">
        <v>521</v>
      </c>
      <c r="AZ1245" s="171">
        <v>0</v>
      </c>
      <c r="BA1245" s="175" t="s">
        <v>521</v>
      </c>
      <c r="BB1245" s="259"/>
      <c r="BC1245" s="190"/>
      <c r="BD1245" s="177"/>
      <c r="BE1245" s="177"/>
      <c r="BF1245" s="216" t="s">
        <v>1814</v>
      </c>
    </row>
    <row r="1246" spans="1:58" ht="15" customHeight="1">
      <c r="A1246" s="95">
        <v>1245</v>
      </c>
      <c r="B1246" s="211" t="s">
        <v>1924</v>
      </c>
      <c r="C1246" s="191" t="s">
        <v>1812</v>
      </c>
      <c r="D1246" s="171" t="s">
        <v>445</v>
      </c>
      <c r="E1246" s="463" t="s">
        <v>3377</v>
      </c>
      <c r="F1246" s="171">
        <v>1993</v>
      </c>
      <c r="G1246" s="171">
        <v>296</v>
      </c>
      <c r="H1246" s="172" t="s">
        <v>1811</v>
      </c>
      <c r="I1246" s="173" t="s">
        <v>1743</v>
      </c>
      <c r="J1246" s="212">
        <v>0.78</v>
      </c>
      <c r="K1246" s="213">
        <v>12.085526315789474</v>
      </c>
      <c r="L1246" s="91"/>
      <c r="M1246" s="171">
        <v>152</v>
      </c>
      <c r="N1246" s="171"/>
      <c r="O1246" s="172" t="s">
        <v>12</v>
      </c>
      <c r="P1246" s="92"/>
      <c r="Q1246" s="173" t="s">
        <v>523</v>
      </c>
      <c r="R1246" s="512" t="s">
        <v>2729</v>
      </c>
      <c r="S1246" s="89"/>
      <c r="T1246" s="215" t="s">
        <v>2306</v>
      </c>
      <c r="U1246" s="214" t="s">
        <v>2307</v>
      </c>
      <c r="V1246" s="153">
        <v>0</v>
      </c>
      <c r="W1246" s="154">
        <f t="shared" si="95"/>
        <v>138.81578947368419</v>
      </c>
      <c r="X1246" s="120">
        <v>0</v>
      </c>
      <c r="Y1246" s="120">
        <v>0</v>
      </c>
      <c r="Z1246" s="120">
        <v>0</v>
      </c>
      <c r="AA1246" s="17">
        <v>0</v>
      </c>
      <c r="AB1246" s="17">
        <v>0</v>
      </c>
      <c r="AC1246" s="17">
        <v>0</v>
      </c>
      <c r="AD1246" s="17">
        <v>0</v>
      </c>
      <c r="AE1246" s="17">
        <v>0</v>
      </c>
      <c r="AF1246" s="17">
        <v>0</v>
      </c>
      <c r="AG1246" s="17">
        <v>0</v>
      </c>
      <c r="AH1246" s="17">
        <v>0</v>
      </c>
      <c r="AI1246" s="17">
        <v>0</v>
      </c>
      <c r="AJ1246" s="33">
        <v>8.8816000000000006E-2</v>
      </c>
      <c r="AK1246" s="17">
        <v>0</v>
      </c>
      <c r="AL1246" s="32">
        <v>0</v>
      </c>
      <c r="AM1246" s="172">
        <v>37.4</v>
      </c>
      <c r="AN1246" s="89"/>
      <c r="AO1246" s="280"/>
      <c r="AP1246" s="783">
        <v>36400</v>
      </c>
      <c r="AQ1246" s="17" t="s">
        <v>1813</v>
      </c>
      <c r="AR1246" s="174">
        <v>76</v>
      </c>
      <c r="AS1246" s="171">
        <v>102</v>
      </c>
      <c r="AT1246" s="171">
        <v>390</v>
      </c>
      <c r="AU1246" s="255">
        <f t="shared" si="96"/>
        <v>19.587933447364328</v>
      </c>
      <c r="AV1246" s="172">
        <v>100</v>
      </c>
      <c r="AW1246" s="171">
        <v>91</v>
      </c>
      <c r="AX1246" s="171" t="s">
        <v>521</v>
      </c>
      <c r="AY1246" s="171">
        <v>20</v>
      </c>
      <c r="AZ1246" s="171">
        <v>0</v>
      </c>
      <c r="BA1246" s="175" t="s">
        <v>521</v>
      </c>
      <c r="BB1246" s="259"/>
      <c r="BC1246" s="190"/>
      <c r="BD1246" s="177"/>
      <c r="BE1246" s="177"/>
      <c r="BF1246" s="216" t="s">
        <v>1831</v>
      </c>
    </row>
    <row r="1247" spans="1:58" ht="15" customHeight="1">
      <c r="A1247" s="95">
        <v>1246</v>
      </c>
      <c r="B1247" s="211" t="s">
        <v>1925</v>
      </c>
      <c r="C1247" s="191" t="s">
        <v>1812</v>
      </c>
      <c r="D1247" s="171" t="s">
        <v>445</v>
      </c>
      <c r="E1247" s="463" t="s">
        <v>3377</v>
      </c>
      <c r="F1247" s="171">
        <v>1993</v>
      </c>
      <c r="G1247" s="171">
        <v>296</v>
      </c>
      <c r="H1247" s="172" t="s">
        <v>1811</v>
      </c>
      <c r="I1247" s="173" t="s">
        <v>1743</v>
      </c>
      <c r="J1247" s="212">
        <v>0.78</v>
      </c>
      <c r="K1247" s="213">
        <v>12.144736842105264</v>
      </c>
      <c r="L1247" s="91"/>
      <c r="M1247" s="171">
        <v>152</v>
      </c>
      <c r="N1247" s="171"/>
      <c r="O1247" s="172" t="s">
        <v>12</v>
      </c>
      <c r="P1247" s="92"/>
      <c r="Q1247" s="173" t="s">
        <v>523</v>
      </c>
      <c r="R1247" s="512" t="s">
        <v>2729</v>
      </c>
      <c r="S1247" s="89"/>
      <c r="T1247" s="215" t="s">
        <v>2306</v>
      </c>
      <c r="U1247" s="214" t="s">
        <v>2307</v>
      </c>
      <c r="V1247" s="153">
        <v>0</v>
      </c>
      <c r="W1247" s="154">
        <f t="shared" si="95"/>
        <v>138.81578947368419</v>
      </c>
      <c r="X1247" s="120">
        <v>0</v>
      </c>
      <c r="Y1247" s="120">
        <v>0</v>
      </c>
      <c r="Z1247" s="120">
        <v>0</v>
      </c>
      <c r="AA1247" s="17">
        <v>0</v>
      </c>
      <c r="AB1247" s="17">
        <v>0</v>
      </c>
      <c r="AC1247" s="17">
        <v>0</v>
      </c>
      <c r="AD1247" s="17">
        <v>0</v>
      </c>
      <c r="AE1247" s="17">
        <v>0</v>
      </c>
      <c r="AF1247" s="17">
        <v>0</v>
      </c>
      <c r="AG1247" s="17">
        <v>0</v>
      </c>
      <c r="AH1247" s="17">
        <v>0</v>
      </c>
      <c r="AI1247" s="17">
        <v>0</v>
      </c>
      <c r="AJ1247" s="33">
        <v>0.111842</v>
      </c>
      <c r="AK1247" s="17">
        <v>0</v>
      </c>
      <c r="AL1247" s="32">
        <v>0</v>
      </c>
      <c r="AM1247" s="172">
        <v>38.5</v>
      </c>
      <c r="AN1247" s="89"/>
      <c r="AO1247" s="280"/>
      <c r="AP1247" s="783">
        <v>34900</v>
      </c>
      <c r="AQ1247" s="17" t="s">
        <v>1813</v>
      </c>
      <c r="AR1247" s="174">
        <v>76</v>
      </c>
      <c r="AS1247" s="171">
        <v>102</v>
      </c>
      <c r="AT1247" s="171">
        <v>390</v>
      </c>
      <c r="AU1247" s="255">
        <f t="shared" si="96"/>
        <v>19.587933447364328</v>
      </c>
      <c r="AV1247" s="172">
        <v>100</v>
      </c>
      <c r="AW1247" s="171">
        <v>7</v>
      </c>
      <c r="AX1247" s="89"/>
      <c r="AY1247" s="171" t="s">
        <v>521</v>
      </c>
      <c r="AZ1247" s="171">
        <v>0</v>
      </c>
      <c r="BA1247" s="175" t="s">
        <v>521</v>
      </c>
      <c r="BB1247" s="259"/>
      <c r="BC1247" s="190"/>
      <c r="BD1247" s="177"/>
      <c r="BE1247" s="177"/>
      <c r="BF1247" s="216" t="s">
        <v>1814</v>
      </c>
    </row>
    <row r="1248" spans="1:58" ht="15" customHeight="1">
      <c r="A1248" s="95">
        <v>1247</v>
      </c>
      <c r="B1248" s="211" t="s">
        <v>1926</v>
      </c>
      <c r="C1248" s="191" t="s">
        <v>1812</v>
      </c>
      <c r="D1248" s="171" t="s">
        <v>445</v>
      </c>
      <c r="E1248" s="463" t="s">
        <v>3377</v>
      </c>
      <c r="F1248" s="171">
        <v>1993</v>
      </c>
      <c r="G1248" s="171">
        <v>296</v>
      </c>
      <c r="H1248" s="172" t="s">
        <v>1811</v>
      </c>
      <c r="I1248" s="173" t="s">
        <v>1743</v>
      </c>
      <c r="J1248" s="212">
        <v>0.78</v>
      </c>
      <c r="K1248" s="213">
        <v>12.144736842105264</v>
      </c>
      <c r="L1248" s="91"/>
      <c r="M1248" s="171">
        <v>152</v>
      </c>
      <c r="N1248" s="171"/>
      <c r="O1248" s="172" t="s">
        <v>12</v>
      </c>
      <c r="P1248" s="92"/>
      <c r="Q1248" s="173" t="s">
        <v>523</v>
      </c>
      <c r="R1248" s="512" t="s">
        <v>2729</v>
      </c>
      <c r="S1248" s="89"/>
      <c r="T1248" s="215" t="s">
        <v>2306</v>
      </c>
      <c r="U1248" s="214" t="s">
        <v>2307</v>
      </c>
      <c r="V1248" s="153">
        <v>0</v>
      </c>
      <c r="W1248" s="154">
        <f t="shared" si="95"/>
        <v>138.81578947368419</v>
      </c>
      <c r="X1248" s="120">
        <v>0</v>
      </c>
      <c r="Y1248" s="120">
        <v>0</v>
      </c>
      <c r="Z1248" s="120">
        <v>0</v>
      </c>
      <c r="AA1248" s="17">
        <v>0</v>
      </c>
      <c r="AB1248" s="17">
        <v>0</v>
      </c>
      <c r="AC1248" s="17">
        <v>0</v>
      </c>
      <c r="AD1248" s="17">
        <v>0</v>
      </c>
      <c r="AE1248" s="17">
        <v>0</v>
      </c>
      <c r="AF1248" s="17">
        <v>0</v>
      </c>
      <c r="AG1248" s="17">
        <v>0</v>
      </c>
      <c r="AH1248" s="17">
        <v>0</v>
      </c>
      <c r="AI1248" s="17">
        <v>0</v>
      </c>
      <c r="AJ1248" s="33">
        <v>0.111842</v>
      </c>
      <c r="AK1248" s="17">
        <v>0</v>
      </c>
      <c r="AL1248" s="32">
        <v>0</v>
      </c>
      <c r="AM1248" s="172">
        <v>38.5</v>
      </c>
      <c r="AN1248" s="89"/>
      <c r="AO1248" s="280"/>
      <c r="AP1248" s="783">
        <v>34900</v>
      </c>
      <c r="AQ1248" s="17" t="s">
        <v>1813</v>
      </c>
      <c r="AR1248" s="174">
        <v>76</v>
      </c>
      <c r="AS1248" s="171">
        <v>102</v>
      </c>
      <c r="AT1248" s="171">
        <v>390</v>
      </c>
      <c r="AU1248" s="255">
        <f t="shared" si="96"/>
        <v>19.587933447364328</v>
      </c>
      <c r="AV1248" s="172">
        <v>100</v>
      </c>
      <c r="AW1248" s="171">
        <v>91</v>
      </c>
      <c r="AX1248" s="171" t="s">
        <v>521</v>
      </c>
      <c r="AY1248" s="171">
        <v>20</v>
      </c>
      <c r="AZ1248" s="171">
        <v>0</v>
      </c>
      <c r="BA1248" s="175" t="s">
        <v>521</v>
      </c>
      <c r="BB1248" s="259"/>
      <c r="BC1248" s="190"/>
      <c r="BD1248" s="177"/>
      <c r="BE1248" s="177"/>
      <c r="BF1248" s="216" t="s">
        <v>1831</v>
      </c>
    </row>
    <row r="1249" spans="1:58" ht="15" customHeight="1">
      <c r="A1249" s="95">
        <v>1248</v>
      </c>
      <c r="B1249" s="211" t="s">
        <v>1927</v>
      </c>
      <c r="C1249" s="191" t="s">
        <v>1812</v>
      </c>
      <c r="D1249" s="171" t="s">
        <v>445</v>
      </c>
      <c r="E1249" s="463" t="s">
        <v>3377</v>
      </c>
      <c r="F1249" s="171">
        <v>1993</v>
      </c>
      <c r="G1249" s="171">
        <v>296</v>
      </c>
      <c r="H1249" s="172" t="s">
        <v>1811</v>
      </c>
      <c r="I1249" s="173" t="s">
        <v>1743</v>
      </c>
      <c r="J1249" s="212">
        <v>0.78</v>
      </c>
      <c r="K1249" s="213">
        <v>12.151315789473685</v>
      </c>
      <c r="L1249" s="91"/>
      <c r="M1249" s="171">
        <v>152</v>
      </c>
      <c r="N1249" s="171"/>
      <c r="O1249" s="172" t="s">
        <v>12</v>
      </c>
      <c r="P1249" s="92"/>
      <c r="Q1249" s="173" t="s">
        <v>523</v>
      </c>
      <c r="R1249" s="512" t="s">
        <v>2729</v>
      </c>
      <c r="S1249" s="89"/>
      <c r="T1249" s="215" t="s">
        <v>2306</v>
      </c>
      <c r="U1249" s="214" t="s">
        <v>2307</v>
      </c>
      <c r="V1249" s="153">
        <v>0</v>
      </c>
      <c r="W1249" s="154">
        <f t="shared" si="95"/>
        <v>138.81578947368419</v>
      </c>
      <c r="X1249" s="120">
        <v>0</v>
      </c>
      <c r="Y1249" s="120">
        <v>0</v>
      </c>
      <c r="Z1249" s="120">
        <v>0</v>
      </c>
      <c r="AA1249" s="17">
        <v>0</v>
      </c>
      <c r="AB1249" s="17">
        <v>0</v>
      </c>
      <c r="AC1249" s="17">
        <v>0</v>
      </c>
      <c r="AD1249" s="17">
        <v>0</v>
      </c>
      <c r="AE1249" s="17">
        <v>0</v>
      </c>
      <c r="AF1249" s="17">
        <v>0</v>
      </c>
      <c r="AG1249" s="17">
        <v>0</v>
      </c>
      <c r="AH1249" s="17">
        <v>0</v>
      </c>
      <c r="AI1249" s="17">
        <v>0</v>
      </c>
      <c r="AJ1249" s="33">
        <v>5.5920999999999998E-2</v>
      </c>
      <c r="AK1249" s="17">
        <v>0</v>
      </c>
      <c r="AL1249" s="32">
        <v>0</v>
      </c>
      <c r="AM1249" s="172">
        <v>41.4</v>
      </c>
      <c r="AN1249" s="89"/>
      <c r="AO1249" s="280"/>
      <c r="AP1249" s="783">
        <v>39500</v>
      </c>
      <c r="AQ1249" s="17" t="s">
        <v>1813</v>
      </c>
      <c r="AR1249" s="174">
        <v>76</v>
      </c>
      <c r="AS1249" s="171">
        <v>102</v>
      </c>
      <c r="AT1249" s="171">
        <v>390</v>
      </c>
      <c r="AU1249" s="255">
        <f t="shared" si="96"/>
        <v>19.587933447364328</v>
      </c>
      <c r="AV1249" s="172">
        <v>100</v>
      </c>
      <c r="AW1249" s="171">
        <v>7</v>
      </c>
      <c r="AX1249" s="89"/>
      <c r="AY1249" s="171" t="s">
        <v>521</v>
      </c>
      <c r="AZ1249" s="171">
        <v>0</v>
      </c>
      <c r="BA1249" s="175" t="s">
        <v>521</v>
      </c>
      <c r="BB1249" s="259"/>
      <c r="BC1249" s="190"/>
      <c r="BD1249" s="177"/>
      <c r="BE1249" s="177"/>
      <c r="BF1249" s="216" t="s">
        <v>1814</v>
      </c>
    </row>
    <row r="1250" spans="1:58" ht="15" customHeight="1">
      <c r="A1250" s="95">
        <v>1249</v>
      </c>
      <c r="B1250" s="211" t="s">
        <v>1928</v>
      </c>
      <c r="C1250" s="191" t="s">
        <v>1812</v>
      </c>
      <c r="D1250" s="171" t="s">
        <v>445</v>
      </c>
      <c r="E1250" s="463" t="s">
        <v>3377</v>
      </c>
      <c r="F1250" s="171">
        <v>1993</v>
      </c>
      <c r="G1250" s="171">
        <v>296</v>
      </c>
      <c r="H1250" s="172" t="s">
        <v>1811</v>
      </c>
      <c r="I1250" s="173" t="s">
        <v>1743</v>
      </c>
      <c r="J1250" s="212">
        <v>0.78</v>
      </c>
      <c r="K1250" s="213">
        <v>12.151315789473685</v>
      </c>
      <c r="L1250" s="91"/>
      <c r="M1250" s="171">
        <v>152</v>
      </c>
      <c r="N1250" s="171"/>
      <c r="O1250" s="172" t="s">
        <v>12</v>
      </c>
      <c r="P1250" s="92"/>
      <c r="Q1250" s="173" t="s">
        <v>523</v>
      </c>
      <c r="R1250" s="512" t="s">
        <v>2729</v>
      </c>
      <c r="S1250" s="89"/>
      <c r="T1250" s="215" t="s">
        <v>2306</v>
      </c>
      <c r="U1250" s="214" t="s">
        <v>2307</v>
      </c>
      <c r="V1250" s="153">
        <v>0</v>
      </c>
      <c r="W1250" s="154">
        <f t="shared" si="95"/>
        <v>138.81578947368419</v>
      </c>
      <c r="X1250" s="120">
        <v>0</v>
      </c>
      <c r="Y1250" s="120">
        <v>0</v>
      </c>
      <c r="Z1250" s="120">
        <v>0</v>
      </c>
      <c r="AA1250" s="17">
        <v>0</v>
      </c>
      <c r="AB1250" s="17">
        <v>0</v>
      </c>
      <c r="AC1250" s="17">
        <v>0</v>
      </c>
      <c r="AD1250" s="17">
        <v>0</v>
      </c>
      <c r="AE1250" s="17">
        <v>0</v>
      </c>
      <c r="AF1250" s="17">
        <v>0</v>
      </c>
      <c r="AG1250" s="17">
        <v>0</v>
      </c>
      <c r="AH1250" s="17">
        <v>0</v>
      </c>
      <c r="AI1250" s="17">
        <v>0</v>
      </c>
      <c r="AJ1250" s="33">
        <v>5.5920999999999998E-2</v>
      </c>
      <c r="AK1250" s="17">
        <v>0</v>
      </c>
      <c r="AL1250" s="32">
        <v>0</v>
      </c>
      <c r="AM1250" s="172">
        <v>41.4</v>
      </c>
      <c r="AN1250" s="89"/>
      <c r="AO1250" s="280"/>
      <c r="AP1250" s="783">
        <v>39500</v>
      </c>
      <c r="AQ1250" s="17" t="s">
        <v>1813</v>
      </c>
      <c r="AR1250" s="174">
        <v>76</v>
      </c>
      <c r="AS1250" s="171">
        <v>102</v>
      </c>
      <c r="AT1250" s="171">
        <v>390</v>
      </c>
      <c r="AU1250" s="255">
        <f t="shared" si="96"/>
        <v>19.587933447364328</v>
      </c>
      <c r="AV1250" s="172">
        <v>100</v>
      </c>
      <c r="AW1250" s="171">
        <v>91</v>
      </c>
      <c r="AX1250" s="171" t="s">
        <v>521</v>
      </c>
      <c r="AY1250" s="171">
        <v>20</v>
      </c>
      <c r="AZ1250" s="171">
        <v>0</v>
      </c>
      <c r="BA1250" s="175" t="s">
        <v>521</v>
      </c>
      <c r="BB1250" s="259"/>
      <c r="BC1250" s="190"/>
      <c r="BD1250" s="177"/>
      <c r="BE1250" s="177"/>
      <c r="BF1250" s="216" t="s">
        <v>1831</v>
      </c>
    </row>
    <row r="1251" spans="1:58" ht="15" customHeight="1">
      <c r="A1251" s="95">
        <v>1250</v>
      </c>
      <c r="B1251" s="211" t="s">
        <v>1929</v>
      </c>
      <c r="C1251" s="191" t="s">
        <v>1812</v>
      </c>
      <c r="D1251" s="171" t="s">
        <v>445</v>
      </c>
      <c r="E1251" s="463" t="s">
        <v>3377</v>
      </c>
      <c r="F1251" s="171">
        <v>1993</v>
      </c>
      <c r="G1251" s="171">
        <v>296</v>
      </c>
      <c r="H1251" s="172" t="s">
        <v>1811</v>
      </c>
      <c r="I1251" s="173" t="s">
        <v>1743</v>
      </c>
      <c r="J1251" s="212">
        <v>0.78</v>
      </c>
      <c r="K1251" s="213">
        <v>12.032894736842104</v>
      </c>
      <c r="L1251" s="91"/>
      <c r="M1251" s="171">
        <v>152</v>
      </c>
      <c r="N1251" s="171"/>
      <c r="O1251" s="172" t="s">
        <v>12</v>
      </c>
      <c r="P1251" s="92"/>
      <c r="Q1251" s="173" t="s">
        <v>523</v>
      </c>
      <c r="R1251" s="512" t="s">
        <v>2729</v>
      </c>
      <c r="S1251" s="89"/>
      <c r="T1251" s="215" t="s">
        <v>2306</v>
      </c>
      <c r="U1251" s="214" t="s">
        <v>2307</v>
      </c>
      <c r="V1251" s="153">
        <v>0</v>
      </c>
      <c r="W1251" s="154">
        <f t="shared" si="95"/>
        <v>138.81578947368419</v>
      </c>
      <c r="X1251" s="120">
        <v>0</v>
      </c>
      <c r="Y1251" s="120">
        <v>0</v>
      </c>
      <c r="Z1251" s="120">
        <v>0</v>
      </c>
      <c r="AA1251" s="17">
        <v>0</v>
      </c>
      <c r="AB1251" s="17">
        <v>0</v>
      </c>
      <c r="AC1251" s="17">
        <v>0</v>
      </c>
      <c r="AD1251" s="17">
        <v>0</v>
      </c>
      <c r="AE1251" s="17">
        <v>0</v>
      </c>
      <c r="AF1251" s="17">
        <v>0</v>
      </c>
      <c r="AG1251" s="17">
        <v>0</v>
      </c>
      <c r="AH1251" s="17">
        <v>0</v>
      </c>
      <c r="AI1251" s="17">
        <v>0</v>
      </c>
      <c r="AJ1251" s="33">
        <v>0.3125</v>
      </c>
      <c r="AK1251" s="17">
        <v>0</v>
      </c>
      <c r="AL1251" s="32">
        <v>0</v>
      </c>
      <c r="AM1251" s="172">
        <v>27.8</v>
      </c>
      <c r="AN1251" s="89"/>
      <c r="AO1251" s="280"/>
      <c r="AP1251" s="783">
        <v>32800</v>
      </c>
      <c r="AQ1251" s="17" t="s">
        <v>1813</v>
      </c>
      <c r="AR1251" s="174">
        <v>76</v>
      </c>
      <c r="AS1251" s="171">
        <v>102</v>
      </c>
      <c r="AT1251" s="171">
        <v>390</v>
      </c>
      <c r="AU1251" s="255">
        <f t="shared" si="96"/>
        <v>19.587933447364328</v>
      </c>
      <c r="AV1251" s="172">
        <v>100</v>
      </c>
      <c r="AW1251" s="171">
        <v>7</v>
      </c>
      <c r="AX1251" s="89"/>
      <c r="AY1251" s="171" t="s">
        <v>521</v>
      </c>
      <c r="AZ1251" s="171">
        <v>0</v>
      </c>
      <c r="BA1251" s="175" t="s">
        <v>521</v>
      </c>
      <c r="BB1251" s="259"/>
      <c r="BC1251" s="190"/>
      <c r="BD1251" s="177"/>
      <c r="BE1251" s="177"/>
      <c r="BF1251" s="216" t="s">
        <v>1814</v>
      </c>
    </row>
    <row r="1252" spans="1:58" ht="15" customHeight="1">
      <c r="A1252" s="95">
        <v>1251</v>
      </c>
      <c r="B1252" s="211" t="s">
        <v>1930</v>
      </c>
      <c r="C1252" s="191" t="s">
        <v>1812</v>
      </c>
      <c r="D1252" s="171" t="s">
        <v>445</v>
      </c>
      <c r="E1252" s="463" t="s">
        <v>3377</v>
      </c>
      <c r="F1252" s="171">
        <v>1993</v>
      </c>
      <c r="G1252" s="171">
        <v>296</v>
      </c>
      <c r="H1252" s="172" t="s">
        <v>1811</v>
      </c>
      <c r="I1252" s="173" t="s">
        <v>1743</v>
      </c>
      <c r="J1252" s="212">
        <v>0.78</v>
      </c>
      <c r="K1252" s="213">
        <v>12.032894736842104</v>
      </c>
      <c r="L1252" s="91"/>
      <c r="M1252" s="171">
        <v>152</v>
      </c>
      <c r="N1252" s="171"/>
      <c r="O1252" s="172" t="s">
        <v>12</v>
      </c>
      <c r="P1252" s="92"/>
      <c r="Q1252" s="173" t="s">
        <v>523</v>
      </c>
      <c r="R1252" s="512" t="s">
        <v>2729</v>
      </c>
      <c r="S1252" s="89"/>
      <c r="T1252" s="215" t="s">
        <v>2306</v>
      </c>
      <c r="U1252" s="214" t="s">
        <v>2307</v>
      </c>
      <c r="V1252" s="153">
        <v>0</v>
      </c>
      <c r="W1252" s="154">
        <f t="shared" si="95"/>
        <v>138.81578947368419</v>
      </c>
      <c r="X1252" s="120">
        <v>0</v>
      </c>
      <c r="Y1252" s="120">
        <v>0</v>
      </c>
      <c r="Z1252" s="120">
        <v>0</v>
      </c>
      <c r="AA1252" s="17">
        <v>0</v>
      </c>
      <c r="AB1252" s="17">
        <v>0</v>
      </c>
      <c r="AC1252" s="17">
        <v>0</v>
      </c>
      <c r="AD1252" s="17">
        <v>0</v>
      </c>
      <c r="AE1252" s="17">
        <v>0</v>
      </c>
      <c r="AF1252" s="17">
        <v>0</v>
      </c>
      <c r="AG1252" s="17">
        <v>0</v>
      </c>
      <c r="AH1252" s="17">
        <v>0</v>
      </c>
      <c r="AI1252" s="17">
        <v>0</v>
      </c>
      <c r="AJ1252" s="33">
        <v>0.3125</v>
      </c>
      <c r="AK1252" s="17">
        <v>0</v>
      </c>
      <c r="AL1252" s="32">
        <v>0</v>
      </c>
      <c r="AM1252" s="172">
        <v>27.8</v>
      </c>
      <c r="AN1252" s="89"/>
      <c r="AO1252" s="280"/>
      <c r="AP1252" s="783">
        <v>32800</v>
      </c>
      <c r="AQ1252" s="17" t="s">
        <v>1813</v>
      </c>
      <c r="AR1252" s="174">
        <v>76</v>
      </c>
      <c r="AS1252" s="171">
        <v>102</v>
      </c>
      <c r="AT1252" s="171">
        <v>390</v>
      </c>
      <c r="AU1252" s="255">
        <f t="shared" si="96"/>
        <v>19.587933447364328</v>
      </c>
      <c r="AV1252" s="172">
        <v>100</v>
      </c>
      <c r="AW1252" s="171">
        <v>91</v>
      </c>
      <c r="AX1252" s="171" t="s">
        <v>521</v>
      </c>
      <c r="AY1252" s="171">
        <v>20</v>
      </c>
      <c r="AZ1252" s="171">
        <v>0</v>
      </c>
      <c r="BA1252" s="175" t="s">
        <v>521</v>
      </c>
      <c r="BB1252" s="259"/>
      <c r="BC1252" s="190"/>
      <c r="BD1252" s="177"/>
      <c r="BE1252" s="177"/>
      <c r="BF1252" s="216" t="s">
        <v>1831</v>
      </c>
    </row>
    <row r="1253" spans="1:58" ht="15" customHeight="1">
      <c r="A1253" s="95">
        <v>1252</v>
      </c>
      <c r="B1253" s="211" t="s">
        <v>1931</v>
      </c>
      <c r="C1253" s="191" t="s">
        <v>1812</v>
      </c>
      <c r="D1253" s="171" t="s">
        <v>445</v>
      </c>
      <c r="E1253" s="463" t="s">
        <v>3377</v>
      </c>
      <c r="F1253" s="171">
        <v>1993</v>
      </c>
      <c r="G1253" s="171">
        <v>296</v>
      </c>
      <c r="H1253" s="172" t="s">
        <v>1811</v>
      </c>
      <c r="I1253" s="173" t="s">
        <v>1743</v>
      </c>
      <c r="J1253" s="212">
        <v>0.78</v>
      </c>
      <c r="K1253" s="213">
        <v>12.019736842105264</v>
      </c>
      <c r="L1253" s="91"/>
      <c r="M1253" s="171">
        <v>152</v>
      </c>
      <c r="N1253" s="171"/>
      <c r="O1253" s="172" t="s">
        <v>12</v>
      </c>
      <c r="P1253" s="92"/>
      <c r="Q1253" s="173" t="s">
        <v>523</v>
      </c>
      <c r="R1253" s="512" t="s">
        <v>2729</v>
      </c>
      <c r="S1253" s="89"/>
      <c r="T1253" s="215" t="s">
        <v>2306</v>
      </c>
      <c r="U1253" s="214" t="s">
        <v>2307</v>
      </c>
      <c r="V1253" s="153">
        <v>0</v>
      </c>
      <c r="W1253" s="154">
        <f t="shared" si="95"/>
        <v>138.81578947368419</v>
      </c>
      <c r="X1253" s="120">
        <v>0</v>
      </c>
      <c r="Y1253" s="120">
        <v>0</v>
      </c>
      <c r="Z1253" s="120">
        <v>0</v>
      </c>
      <c r="AA1253" s="17">
        <v>0</v>
      </c>
      <c r="AB1253" s="17">
        <v>0</v>
      </c>
      <c r="AC1253" s="17">
        <v>0</v>
      </c>
      <c r="AD1253" s="17">
        <v>0</v>
      </c>
      <c r="AE1253" s="17">
        <v>0</v>
      </c>
      <c r="AF1253" s="17">
        <v>0</v>
      </c>
      <c r="AG1253" s="17">
        <v>0</v>
      </c>
      <c r="AH1253" s="17">
        <v>0</v>
      </c>
      <c r="AI1253" s="17">
        <v>0</v>
      </c>
      <c r="AJ1253" s="33">
        <v>0.22368399999999999</v>
      </c>
      <c r="AK1253" s="17">
        <v>0</v>
      </c>
      <c r="AL1253" s="32">
        <v>0</v>
      </c>
      <c r="AM1253" s="172">
        <v>35</v>
      </c>
      <c r="AN1253" s="89"/>
      <c r="AO1253" s="280"/>
      <c r="AP1253" s="783">
        <v>36200</v>
      </c>
      <c r="AQ1253" s="17" t="s">
        <v>1813</v>
      </c>
      <c r="AR1253" s="174">
        <v>76</v>
      </c>
      <c r="AS1253" s="171">
        <v>102</v>
      </c>
      <c r="AT1253" s="171">
        <v>390</v>
      </c>
      <c r="AU1253" s="255">
        <f t="shared" si="96"/>
        <v>19.587933447364328</v>
      </c>
      <c r="AV1253" s="172">
        <v>100</v>
      </c>
      <c r="AW1253" s="171">
        <v>7</v>
      </c>
      <c r="AX1253" s="89"/>
      <c r="AY1253" s="171" t="s">
        <v>521</v>
      </c>
      <c r="AZ1253" s="171">
        <v>0</v>
      </c>
      <c r="BA1253" s="175" t="s">
        <v>521</v>
      </c>
      <c r="BB1253" s="259"/>
      <c r="BC1253" s="190"/>
      <c r="BD1253" s="177"/>
      <c r="BE1253" s="177"/>
      <c r="BF1253" s="216" t="s">
        <v>1814</v>
      </c>
    </row>
    <row r="1254" spans="1:58" ht="15" customHeight="1">
      <c r="A1254" s="95">
        <v>1253</v>
      </c>
      <c r="B1254" s="211" t="s">
        <v>1932</v>
      </c>
      <c r="C1254" s="191" t="s">
        <v>1812</v>
      </c>
      <c r="D1254" s="171" t="s">
        <v>445</v>
      </c>
      <c r="E1254" s="463" t="s">
        <v>3377</v>
      </c>
      <c r="F1254" s="171">
        <v>1993</v>
      </c>
      <c r="G1254" s="171">
        <v>296</v>
      </c>
      <c r="H1254" s="172" t="s">
        <v>1811</v>
      </c>
      <c r="I1254" s="173" t="s">
        <v>1743</v>
      </c>
      <c r="J1254" s="212">
        <v>0.78</v>
      </c>
      <c r="K1254" s="213">
        <v>12.019736842105264</v>
      </c>
      <c r="L1254" s="91"/>
      <c r="M1254" s="171">
        <v>152</v>
      </c>
      <c r="N1254" s="171"/>
      <c r="O1254" s="172" t="s">
        <v>12</v>
      </c>
      <c r="P1254" s="92"/>
      <c r="Q1254" s="173" t="s">
        <v>523</v>
      </c>
      <c r="R1254" s="512" t="s">
        <v>2729</v>
      </c>
      <c r="S1254" s="89"/>
      <c r="T1254" s="215" t="s">
        <v>2306</v>
      </c>
      <c r="U1254" s="214" t="s">
        <v>2307</v>
      </c>
      <c r="V1254" s="153">
        <v>0</v>
      </c>
      <c r="W1254" s="154">
        <f t="shared" si="95"/>
        <v>138.81578947368419</v>
      </c>
      <c r="X1254" s="120">
        <v>0</v>
      </c>
      <c r="Y1254" s="120">
        <v>0</v>
      </c>
      <c r="Z1254" s="120">
        <v>0</v>
      </c>
      <c r="AA1254" s="17">
        <v>0</v>
      </c>
      <c r="AB1254" s="17">
        <v>0</v>
      </c>
      <c r="AC1254" s="17">
        <v>0</v>
      </c>
      <c r="AD1254" s="17">
        <v>0</v>
      </c>
      <c r="AE1254" s="17">
        <v>0</v>
      </c>
      <c r="AF1254" s="17">
        <v>0</v>
      </c>
      <c r="AG1254" s="17">
        <v>0</v>
      </c>
      <c r="AH1254" s="17">
        <v>0</v>
      </c>
      <c r="AI1254" s="17">
        <v>0</v>
      </c>
      <c r="AJ1254" s="33">
        <v>0.22368399999999999</v>
      </c>
      <c r="AK1254" s="17">
        <v>0</v>
      </c>
      <c r="AL1254" s="32">
        <v>0</v>
      </c>
      <c r="AM1254" s="172">
        <v>35</v>
      </c>
      <c r="AN1254" s="89"/>
      <c r="AO1254" s="280"/>
      <c r="AP1254" s="783">
        <v>36200</v>
      </c>
      <c r="AQ1254" s="17" t="s">
        <v>1813</v>
      </c>
      <c r="AR1254" s="174">
        <v>76</v>
      </c>
      <c r="AS1254" s="171">
        <v>102</v>
      </c>
      <c r="AT1254" s="171">
        <v>390</v>
      </c>
      <c r="AU1254" s="255">
        <f t="shared" si="96"/>
        <v>19.587933447364328</v>
      </c>
      <c r="AV1254" s="172">
        <v>100</v>
      </c>
      <c r="AW1254" s="171">
        <v>91</v>
      </c>
      <c r="AX1254" s="171" t="s">
        <v>521</v>
      </c>
      <c r="AY1254" s="171">
        <v>20</v>
      </c>
      <c r="AZ1254" s="171">
        <v>0</v>
      </c>
      <c r="BA1254" s="175" t="s">
        <v>521</v>
      </c>
      <c r="BB1254" s="259"/>
      <c r="BC1254" s="190"/>
      <c r="BD1254" s="177"/>
      <c r="BE1254" s="177"/>
      <c r="BF1254" s="216" t="s">
        <v>1831</v>
      </c>
    </row>
    <row r="1255" spans="1:58" ht="15" customHeight="1">
      <c r="A1255" s="95">
        <v>1254</v>
      </c>
      <c r="B1255" s="211" t="s">
        <v>1933</v>
      </c>
      <c r="C1255" s="191" t="s">
        <v>1812</v>
      </c>
      <c r="D1255" s="171" t="s">
        <v>445</v>
      </c>
      <c r="E1255" s="463" t="s">
        <v>3377</v>
      </c>
      <c r="F1255" s="171">
        <v>1993</v>
      </c>
      <c r="G1255" s="171">
        <v>296</v>
      </c>
      <c r="H1255" s="172" t="s">
        <v>1811</v>
      </c>
      <c r="I1255" s="173" t="s">
        <v>1743</v>
      </c>
      <c r="J1255" s="212">
        <v>0.78</v>
      </c>
      <c r="K1255" s="213">
        <v>12.085526315789474</v>
      </c>
      <c r="L1255" s="91"/>
      <c r="M1255" s="171">
        <v>152</v>
      </c>
      <c r="N1255" s="171"/>
      <c r="O1255" s="172" t="s">
        <v>12</v>
      </c>
      <c r="P1255" s="92"/>
      <c r="Q1255" s="173" t="s">
        <v>523</v>
      </c>
      <c r="R1255" s="512" t="s">
        <v>2729</v>
      </c>
      <c r="S1255" s="89"/>
      <c r="T1255" s="215" t="s">
        <v>2306</v>
      </c>
      <c r="U1255" s="214" t="s">
        <v>2307</v>
      </c>
      <c r="V1255" s="153">
        <v>0</v>
      </c>
      <c r="W1255" s="154">
        <f t="shared" si="95"/>
        <v>138.81578947368419</v>
      </c>
      <c r="X1255" s="120">
        <v>0</v>
      </c>
      <c r="Y1255" s="120">
        <v>0</v>
      </c>
      <c r="Z1255" s="120">
        <v>0</v>
      </c>
      <c r="AA1255" s="17">
        <v>0</v>
      </c>
      <c r="AB1255" s="17">
        <v>0</v>
      </c>
      <c r="AC1255" s="17">
        <v>0</v>
      </c>
      <c r="AD1255" s="17">
        <v>0</v>
      </c>
      <c r="AE1255" s="17">
        <v>0</v>
      </c>
      <c r="AF1255" s="17">
        <v>0</v>
      </c>
      <c r="AG1255" s="17">
        <v>0</v>
      </c>
      <c r="AH1255" s="17">
        <v>0</v>
      </c>
      <c r="AI1255" s="17">
        <v>0</v>
      </c>
      <c r="AJ1255" s="33">
        <v>0.1875</v>
      </c>
      <c r="AK1255" s="17">
        <v>0</v>
      </c>
      <c r="AL1255" s="32">
        <v>0</v>
      </c>
      <c r="AM1255" s="172">
        <v>30.1</v>
      </c>
      <c r="AN1255" s="89"/>
      <c r="AO1255" s="280"/>
      <c r="AP1255" s="783">
        <v>33500</v>
      </c>
      <c r="AQ1255" s="17" t="s">
        <v>1813</v>
      </c>
      <c r="AR1255" s="174">
        <v>76</v>
      </c>
      <c r="AS1255" s="171">
        <v>102</v>
      </c>
      <c r="AT1255" s="171">
        <v>390</v>
      </c>
      <c r="AU1255" s="255">
        <f t="shared" si="96"/>
        <v>19.587933447364328</v>
      </c>
      <c r="AV1255" s="172">
        <v>100</v>
      </c>
      <c r="AW1255" s="171">
        <v>7</v>
      </c>
      <c r="AX1255" s="89"/>
      <c r="AY1255" s="171" t="s">
        <v>521</v>
      </c>
      <c r="AZ1255" s="171">
        <v>0</v>
      </c>
      <c r="BA1255" s="175" t="s">
        <v>521</v>
      </c>
      <c r="BB1255" s="259"/>
      <c r="BC1255" s="190"/>
      <c r="BD1255" s="177"/>
      <c r="BE1255" s="177"/>
      <c r="BF1255" s="216" t="s">
        <v>1814</v>
      </c>
    </row>
    <row r="1256" spans="1:58" ht="15" customHeight="1">
      <c r="A1256" s="95">
        <v>1255</v>
      </c>
      <c r="B1256" s="211" t="s">
        <v>1934</v>
      </c>
      <c r="C1256" s="191" t="s">
        <v>1812</v>
      </c>
      <c r="D1256" s="171" t="s">
        <v>445</v>
      </c>
      <c r="E1256" s="463" t="s">
        <v>3377</v>
      </c>
      <c r="F1256" s="171">
        <v>1993</v>
      </c>
      <c r="G1256" s="171">
        <v>296</v>
      </c>
      <c r="H1256" s="172" t="s">
        <v>1811</v>
      </c>
      <c r="I1256" s="173" t="s">
        <v>1743</v>
      </c>
      <c r="J1256" s="212">
        <v>0.78</v>
      </c>
      <c r="K1256" s="213">
        <v>12.085526315789474</v>
      </c>
      <c r="L1256" s="91"/>
      <c r="M1256" s="171">
        <v>152</v>
      </c>
      <c r="N1256" s="171"/>
      <c r="O1256" s="172" t="s">
        <v>12</v>
      </c>
      <c r="P1256" s="92"/>
      <c r="Q1256" s="173" t="s">
        <v>523</v>
      </c>
      <c r="R1256" s="512" t="s">
        <v>2729</v>
      </c>
      <c r="S1256" s="89"/>
      <c r="T1256" s="215" t="s">
        <v>2306</v>
      </c>
      <c r="U1256" s="214" t="s">
        <v>2307</v>
      </c>
      <c r="V1256" s="153">
        <v>0</v>
      </c>
      <c r="W1256" s="154">
        <f t="shared" si="95"/>
        <v>138.81578947368419</v>
      </c>
      <c r="X1256" s="120">
        <v>0</v>
      </c>
      <c r="Y1256" s="120">
        <v>0</v>
      </c>
      <c r="Z1256" s="120">
        <v>0</v>
      </c>
      <c r="AA1256" s="17">
        <v>0</v>
      </c>
      <c r="AB1256" s="17">
        <v>0</v>
      </c>
      <c r="AC1256" s="17">
        <v>0</v>
      </c>
      <c r="AD1256" s="17">
        <v>0</v>
      </c>
      <c r="AE1256" s="17">
        <v>0</v>
      </c>
      <c r="AF1256" s="17">
        <v>0</v>
      </c>
      <c r="AG1256" s="17">
        <v>0</v>
      </c>
      <c r="AH1256" s="17">
        <v>0</v>
      </c>
      <c r="AI1256" s="17">
        <v>0</v>
      </c>
      <c r="AJ1256" s="33">
        <v>0.1875</v>
      </c>
      <c r="AK1256" s="17">
        <v>0</v>
      </c>
      <c r="AL1256" s="32">
        <v>0</v>
      </c>
      <c r="AM1256" s="172">
        <v>30.1</v>
      </c>
      <c r="AN1256" s="89"/>
      <c r="AO1256" s="280"/>
      <c r="AP1256" s="783">
        <v>33500</v>
      </c>
      <c r="AQ1256" s="17" t="s">
        <v>1813</v>
      </c>
      <c r="AR1256" s="174">
        <v>76</v>
      </c>
      <c r="AS1256" s="171">
        <v>102</v>
      </c>
      <c r="AT1256" s="171">
        <v>390</v>
      </c>
      <c r="AU1256" s="255">
        <f t="shared" si="96"/>
        <v>19.587933447364328</v>
      </c>
      <c r="AV1256" s="172">
        <v>100</v>
      </c>
      <c r="AW1256" s="171">
        <v>91</v>
      </c>
      <c r="AX1256" s="171" t="s">
        <v>521</v>
      </c>
      <c r="AY1256" s="171">
        <v>20</v>
      </c>
      <c r="AZ1256" s="171">
        <v>0</v>
      </c>
      <c r="BA1256" s="175" t="s">
        <v>521</v>
      </c>
      <c r="BB1256" s="259"/>
      <c r="BC1256" s="190"/>
      <c r="BD1256" s="177"/>
      <c r="BE1256" s="177"/>
      <c r="BF1256" s="216" t="s">
        <v>1831</v>
      </c>
    </row>
    <row r="1257" spans="1:58" ht="15" customHeight="1">
      <c r="A1257" s="95">
        <v>1256</v>
      </c>
      <c r="B1257" s="211" t="s">
        <v>1935</v>
      </c>
      <c r="C1257" s="191" t="s">
        <v>1812</v>
      </c>
      <c r="D1257" s="171" t="s">
        <v>445</v>
      </c>
      <c r="E1257" s="463" t="s">
        <v>3377</v>
      </c>
      <c r="F1257" s="171">
        <v>1993</v>
      </c>
      <c r="G1257" s="171">
        <v>296</v>
      </c>
      <c r="H1257" s="172" t="s">
        <v>1811</v>
      </c>
      <c r="I1257" s="173" t="s">
        <v>1743</v>
      </c>
      <c r="J1257" s="212">
        <v>0.78</v>
      </c>
      <c r="K1257" s="213">
        <v>12.065789473684211</v>
      </c>
      <c r="L1257" s="91"/>
      <c r="M1257" s="171">
        <v>152</v>
      </c>
      <c r="N1257" s="171"/>
      <c r="O1257" s="172" t="s">
        <v>12</v>
      </c>
      <c r="P1257" s="92"/>
      <c r="Q1257" s="173" t="s">
        <v>523</v>
      </c>
      <c r="R1257" s="512" t="s">
        <v>2729</v>
      </c>
      <c r="S1257" s="89"/>
      <c r="T1257" s="215" t="s">
        <v>2306</v>
      </c>
      <c r="U1257" s="214" t="s">
        <v>2307</v>
      </c>
      <c r="V1257" s="153">
        <v>0</v>
      </c>
      <c r="W1257" s="154">
        <f t="shared" si="95"/>
        <v>138.81578947368419</v>
      </c>
      <c r="X1257" s="120">
        <v>0</v>
      </c>
      <c r="Y1257" s="120">
        <v>0</v>
      </c>
      <c r="Z1257" s="120">
        <v>0</v>
      </c>
      <c r="AA1257" s="17">
        <v>0</v>
      </c>
      <c r="AB1257" s="17">
        <v>0</v>
      </c>
      <c r="AC1257" s="17">
        <v>0</v>
      </c>
      <c r="AD1257" s="17">
        <v>0</v>
      </c>
      <c r="AE1257" s="17">
        <v>0</v>
      </c>
      <c r="AF1257" s="17">
        <v>0</v>
      </c>
      <c r="AG1257" s="17">
        <v>0</v>
      </c>
      <c r="AH1257" s="17">
        <v>0</v>
      </c>
      <c r="AI1257" s="17">
        <v>0</v>
      </c>
      <c r="AJ1257" s="33">
        <v>0.138158</v>
      </c>
      <c r="AK1257" s="17">
        <v>0</v>
      </c>
      <c r="AL1257" s="32">
        <v>0</v>
      </c>
      <c r="AM1257" s="172">
        <v>36.9</v>
      </c>
      <c r="AN1257" s="89"/>
      <c r="AO1257" s="280"/>
      <c r="AP1257" s="783">
        <v>35900</v>
      </c>
      <c r="AQ1257" s="17" t="s">
        <v>1813</v>
      </c>
      <c r="AR1257" s="174">
        <v>76</v>
      </c>
      <c r="AS1257" s="171">
        <v>102</v>
      </c>
      <c r="AT1257" s="171">
        <v>390</v>
      </c>
      <c r="AU1257" s="255">
        <f t="shared" si="96"/>
        <v>19.587933447364328</v>
      </c>
      <c r="AV1257" s="172">
        <v>100</v>
      </c>
      <c r="AW1257" s="171">
        <v>7</v>
      </c>
      <c r="AX1257" s="89"/>
      <c r="AY1257" s="171" t="s">
        <v>521</v>
      </c>
      <c r="AZ1257" s="171">
        <v>0</v>
      </c>
      <c r="BA1257" s="175" t="s">
        <v>521</v>
      </c>
      <c r="BB1257" s="259"/>
      <c r="BC1257" s="190"/>
      <c r="BD1257" s="177"/>
      <c r="BE1257" s="177"/>
      <c r="BF1257" s="216" t="s">
        <v>1814</v>
      </c>
    </row>
    <row r="1258" spans="1:58" ht="15" customHeight="1">
      <c r="A1258" s="95">
        <v>1257</v>
      </c>
      <c r="B1258" s="211" t="s">
        <v>1936</v>
      </c>
      <c r="C1258" s="191" t="s">
        <v>1812</v>
      </c>
      <c r="D1258" s="171" t="s">
        <v>445</v>
      </c>
      <c r="E1258" s="463" t="s">
        <v>3377</v>
      </c>
      <c r="F1258" s="171">
        <v>1993</v>
      </c>
      <c r="G1258" s="171">
        <v>296</v>
      </c>
      <c r="H1258" s="172" t="s">
        <v>1811</v>
      </c>
      <c r="I1258" s="173" t="s">
        <v>1743</v>
      </c>
      <c r="J1258" s="212">
        <v>0.78</v>
      </c>
      <c r="K1258" s="213">
        <v>12.065789473684211</v>
      </c>
      <c r="L1258" s="91"/>
      <c r="M1258" s="171">
        <v>152</v>
      </c>
      <c r="N1258" s="171"/>
      <c r="O1258" s="172" t="s">
        <v>12</v>
      </c>
      <c r="P1258" s="92"/>
      <c r="Q1258" s="173" t="s">
        <v>523</v>
      </c>
      <c r="R1258" s="512" t="s">
        <v>2729</v>
      </c>
      <c r="S1258" s="89"/>
      <c r="T1258" s="215" t="s">
        <v>2306</v>
      </c>
      <c r="U1258" s="214" t="s">
        <v>2307</v>
      </c>
      <c r="V1258" s="153">
        <v>0</v>
      </c>
      <c r="W1258" s="154">
        <f t="shared" si="95"/>
        <v>138.81578947368419</v>
      </c>
      <c r="X1258" s="120">
        <v>0</v>
      </c>
      <c r="Y1258" s="120">
        <v>0</v>
      </c>
      <c r="Z1258" s="120">
        <v>0</v>
      </c>
      <c r="AA1258" s="17">
        <v>0</v>
      </c>
      <c r="AB1258" s="17">
        <v>0</v>
      </c>
      <c r="AC1258" s="17">
        <v>0</v>
      </c>
      <c r="AD1258" s="17">
        <v>0</v>
      </c>
      <c r="AE1258" s="17">
        <v>0</v>
      </c>
      <c r="AF1258" s="17">
        <v>0</v>
      </c>
      <c r="AG1258" s="17">
        <v>0</v>
      </c>
      <c r="AH1258" s="17">
        <v>0</v>
      </c>
      <c r="AI1258" s="17">
        <v>0</v>
      </c>
      <c r="AJ1258" s="33">
        <v>0.138158</v>
      </c>
      <c r="AK1258" s="17">
        <v>0</v>
      </c>
      <c r="AL1258" s="32">
        <v>0</v>
      </c>
      <c r="AM1258" s="172">
        <v>36.9</v>
      </c>
      <c r="AN1258" s="89"/>
      <c r="AO1258" s="280"/>
      <c r="AP1258" s="783">
        <v>35900</v>
      </c>
      <c r="AQ1258" s="17" t="s">
        <v>1813</v>
      </c>
      <c r="AR1258" s="174">
        <v>76</v>
      </c>
      <c r="AS1258" s="171">
        <v>102</v>
      </c>
      <c r="AT1258" s="171">
        <v>390</v>
      </c>
      <c r="AU1258" s="255">
        <f t="shared" si="96"/>
        <v>19.587933447364328</v>
      </c>
      <c r="AV1258" s="172">
        <v>100</v>
      </c>
      <c r="AW1258" s="171">
        <v>91</v>
      </c>
      <c r="AX1258" s="171" t="s">
        <v>521</v>
      </c>
      <c r="AY1258" s="171">
        <v>20</v>
      </c>
      <c r="AZ1258" s="171">
        <v>0</v>
      </c>
      <c r="BA1258" s="175" t="s">
        <v>521</v>
      </c>
      <c r="BB1258" s="259"/>
      <c r="BC1258" s="190"/>
      <c r="BD1258" s="177"/>
      <c r="BE1258" s="177"/>
      <c r="BF1258" s="216" t="s">
        <v>1831</v>
      </c>
    </row>
    <row r="1259" spans="1:58" ht="15" customHeight="1">
      <c r="A1259" s="95">
        <v>1258</v>
      </c>
      <c r="B1259" s="211" t="s">
        <v>1937</v>
      </c>
      <c r="C1259" s="191" t="s">
        <v>1812</v>
      </c>
      <c r="D1259" s="171" t="s">
        <v>445</v>
      </c>
      <c r="E1259" s="463" t="s">
        <v>3377</v>
      </c>
      <c r="F1259" s="171">
        <v>1993</v>
      </c>
      <c r="G1259" s="171">
        <v>296</v>
      </c>
      <c r="H1259" s="172" t="s">
        <v>1811</v>
      </c>
      <c r="I1259" s="173" t="s">
        <v>1743</v>
      </c>
      <c r="J1259" s="212">
        <v>0.78</v>
      </c>
      <c r="K1259" s="213">
        <v>12.072368421052632</v>
      </c>
      <c r="L1259" s="91"/>
      <c r="M1259" s="171">
        <v>152</v>
      </c>
      <c r="N1259" s="171"/>
      <c r="O1259" s="172" t="s">
        <v>12</v>
      </c>
      <c r="P1259" s="92"/>
      <c r="Q1259" s="173" t="s">
        <v>523</v>
      </c>
      <c r="R1259" s="512" t="s">
        <v>2729</v>
      </c>
      <c r="S1259" s="89"/>
      <c r="T1259" s="215" t="s">
        <v>2306</v>
      </c>
      <c r="U1259" s="214" t="s">
        <v>2307</v>
      </c>
      <c r="V1259" s="153">
        <v>0</v>
      </c>
      <c r="W1259" s="154">
        <f t="shared" si="95"/>
        <v>138.81578947368419</v>
      </c>
      <c r="X1259" s="120">
        <v>0</v>
      </c>
      <c r="Y1259" s="120">
        <v>0</v>
      </c>
      <c r="Z1259" s="120">
        <v>0</v>
      </c>
      <c r="AA1259" s="17">
        <v>0</v>
      </c>
      <c r="AB1259" s="17">
        <v>0</v>
      </c>
      <c r="AC1259" s="17">
        <v>0</v>
      </c>
      <c r="AD1259" s="17">
        <v>0</v>
      </c>
      <c r="AE1259" s="17">
        <v>0</v>
      </c>
      <c r="AF1259" s="17">
        <v>0</v>
      </c>
      <c r="AG1259" s="17">
        <v>0</v>
      </c>
      <c r="AH1259" s="17">
        <v>0</v>
      </c>
      <c r="AI1259" s="17">
        <v>0</v>
      </c>
      <c r="AJ1259" s="33">
        <v>0.144737</v>
      </c>
      <c r="AK1259" s="17">
        <v>0</v>
      </c>
      <c r="AL1259" s="32">
        <v>0</v>
      </c>
      <c r="AM1259" s="172">
        <v>38.1</v>
      </c>
      <c r="AN1259" s="89"/>
      <c r="AO1259" s="280"/>
      <c r="AP1259" s="783">
        <v>36800</v>
      </c>
      <c r="AQ1259" s="17" t="s">
        <v>1813</v>
      </c>
      <c r="AR1259" s="174">
        <v>76</v>
      </c>
      <c r="AS1259" s="171">
        <v>102</v>
      </c>
      <c r="AT1259" s="171">
        <v>390</v>
      </c>
      <c r="AU1259" s="255">
        <f t="shared" si="96"/>
        <v>19.587933447364328</v>
      </c>
      <c r="AV1259" s="172">
        <v>100</v>
      </c>
      <c r="AW1259" s="171">
        <v>7</v>
      </c>
      <c r="AX1259" s="89"/>
      <c r="AY1259" s="171" t="s">
        <v>521</v>
      </c>
      <c r="AZ1259" s="171">
        <v>0</v>
      </c>
      <c r="BA1259" s="175" t="s">
        <v>521</v>
      </c>
      <c r="BB1259" s="259"/>
      <c r="BC1259" s="190"/>
      <c r="BD1259" s="177"/>
      <c r="BE1259" s="177"/>
      <c r="BF1259" s="216" t="s">
        <v>1814</v>
      </c>
    </row>
    <row r="1260" spans="1:58" ht="15" customHeight="1">
      <c r="A1260" s="95">
        <v>1259</v>
      </c>
      <c r="B1260" s="211" t="s">
        <v>1938</v>
      </c>
      <c r="C1260" s="191" t="s">
        <v>1812</v>
      </c>
      <c r="D1260" s="171" t="s">
        <v>445</v>
      </c>
      <c r="E1260" s="463" t="s">
        <v>3377</v>
      </c>
      <c r="F1260" s="171">
        <v>1993</v>
      </c>
      <c r="G1260" s="171">
        <v>296</v>
      </c>
      <c r="H1260" s="172" t="s">
        <v>1811</v>
      </c>
      <c r="I1260" s="173" t="s">
        <v>1743</v>
      </c>
      <c r="J1260" s="212">
        <v>0.78</v>
      </c>
      <c r="K1260" s="213">
        <v>12.072368421052632</v>
      </c>
      <c r="L1260" s="91"/>
      <c r="M1260" s="171">
        <v>152</v>
      </c>
      <c r="N1260" s="171"/>
      <c r="O1260" s="172" t="s">
        <v>12</v>
      </c>
      <c r="P1260" s="92"/>
      <c r="Q1260" s="173" t="s">
        <v>523</v>
      </c>
      <c r="R1260" s="512" t="s">
        <v>2729</v>
      </c>
      <c r="S1260" s="89"/>
      <c r="T1260" s="215" t="s">
        <v>2306</v>
      </c>
      <c r="U1260" s="214" t="s">
        <v>2307</v>
      </c>
      <c r="V1260" s="153">
        <v>0</v>
      </c>
      <c r="W1260" s="154">
        <f t="shared" si="95"/>
        <v>138.81578947368419</v>
      </c>
      <c r="X1260" s="120">
        <v>0</v>
      </c>
      <c r="Y1260" s="120">
        <v>0</v>
      </c>
      <c r="Z1260" s="120">
        <v>0</v>
      </c>
      <c r="AA1260" s="17">
        <v>0</v>
      </c>
      <c r="AB1260" s="17">
        <v>0</v>
      </c>
      <c r="AC1260" s="17">
        <v>0</v>
      </c>
      <c r="AD1260" s="17">
        <v>0</v>
      </c>
      <c r="AE1260" s="17">
        <v>0</v>
      </c>
      <c r="AF1260" s="17">
        <v>0</v>
      </c>
      <c r="AG1260" s="17">
        <v>0</v>
      </c>
      <c r="AH1260" s="17">
        <v>0</v>
      </c>
      <c r="AI1260" s="17">
        <v>0</v>
      </c>
      <c r="AJ1260" s="33">
        <v>0.144737</v>
      </c>
      <c r="AK1260" s="17">
        <v>0</v>
      </c>
      <c r="AL1260" s="32">
        <v>0</v>
      </c>
      <c r="AM1260" s="172">
        <v>38.1</v>
      </c>
      <c r="AN1260" s="89"/>
      <c r="AO1260" s="280"/>
      <c r="AP1260" s="783">
        <v>36800</v>
      </c>
      <c r="AQ1260" s="17" t="s">
        <v>1813</v>
      </c>
      <c r="AR1260" s="174">
        <v>76</v>
      </c>
      <c r="AS1260" s="171">
        <v>102</v>
      </c>
      <c r="AT1260" s="171">
        <v>390</v>
      </c>
      <c r="AU1260" s="255">
        <f t="shared" si="96"/>
        <v>19.587933447364328</v>
      </c>
      <c r="AV1260" s="172">
        <v>100</v>
      </c>
      <c r="AW1260" s="171">
        <v>91</v>
      </c>
      <c r="AX1260" s="171" t="s">
        <v>521</v>
      </c>
      <c r="AY1260" s="171">
        <v>20</v>
      </c>
      <c r="AZ1260" s="171">
        <v>0</v>
      </c>
      <c r="BA1260" s="175" t="s">
        <v>521</v>
      </c>
      <c r="BB1260" s="259"/>
      <c r="BC1260" s="190"/>
      <c r="BD1260" s="177"/>
      <c r="BE1260" s="177"/>
      <c r="BF1260" s="216" t="s">
        <v>1831</v>
      </c>
    </row>
    <row r="1261" spans="1:58" ht="15" customHeight="1">
      <c r="A1261" s="95">
        <v>1260</v>
      </c>
      <c r="B1261" s="211" t="s">
        <v>1939</v>
      </c>
      <c r="C1261" s="191" t="s">
        <v>1812</v>
      </c>
      <c r="D1261" s="171" t="s">
        <v>445</v>
      </c>
      <c r="E1261" s="463" t="s">
        <v>3377</v>
      </c>
      <c r="F1261" s="171">
        <v>1993</v>
      </c>
      <c r="G1261" s="171">
        <v>296</v>
      </c>
      <c r="H1261" s="172" t="s">
        <v>1811</v>
      </c>
      <c r="I1261" s="173" t="s">
        <v>1743</v>
      </c>
      <c r="J1261" s="212">
        <v>0.77</v>
      </c>
      <c r="K1261" s="213">
        <v>12.086092715231787</v>
      </c>
      <c r="L1261" s="91"/>
      <c r="M1261" s="171">
        <v>151</v>
      </c>
      <c r="N1261" s="171"/>
      <c r="O1261" s="172" t="s">
        <v>12</v>
      </c>
      <c r="P1261" s="92"/>
      <c r="Q1261" s="173" t="s">
        <v>523</v>
      </c>
      <c r="R1261" s="512" t="s">
        <v>2729</v>
      </c>
      <c r="S1261" s="89"/>
      <c r="T1261" s="215" t="s">
        <v>2306</v>
      </c>
      <c r="U1261" s="214" t="s">
        <v>2307</v>
      </c>
      <c r="V1261" s="153">
        <v>0</v>
      </c>
      <c r="W1261" s="154">
        <f t="shared" si="95"/>
        <v>138.81578947368419</v>
      </c>
      <c r="X1261" s="120">
        <v>0</v>
      </c>
      <c r="Y1261" s="120">
        <v>0</v>
      </c>
      <c r="Z1261" s="120">
        <v>0</v>
      </c>
      <c r="AA1261" s="17">
        <v>0</v>
      </c>
      <c r="AB1261" s="17">
        <v>0</v>
      </c>
      <c r="AC1261" s="17">
        <v>0</v>
      </c>
      <c r="AD1261" s="17">
        <v>0</v>
      </c>
      <c r="AE1261" s="17">
        <v>0</v>
      </c>
      <c r="AF1261" s="17">
        <v>0</v>
      </c>
      <c r="AG1261" s="17">
        <v>0</v>
      </c>
      <c r="AH1261" s="17">
        <v>0</v>
      </c>
      <c r="AI1261" s="17">
        <v>0</v>
      </c>
      <c r="AJ1261" s="33">
        <v>9.9337999999999996E-2</v>
      </c>
      <c r="AK1261" s="17">
        <v>0</v>
      </c>
      <c r="AL1261" s="32">
        <v>0</v>
      </c>
      <c r="AM1261" s="172">
        <v>42.2</v>
      </c>
      <c r="AN1261" s="89"/>
      <c r="AO1261" s="280"/>
      <c r="AP1261" s="783">
        <v>39400</v>
      </c>
      <c r="AQ1261" s="17" t="s">
        <v>1813</v>
      </c>
      <c r="AR1261" s="174">
        <v>76</v>
      </c>
      <c r="AS1261" s="171">
        <v>102</v>
      </c>
      <c r="AT1261" s="171">
        <v>390</v>
      </c>
      <c r="AU1261" s="255">
        <f t="shared" si="96"/>
        <v>19.587933447364328</v>
      </c>
      <c r="AV1261" s="172">
        <v>100</v>
      </c>
      <c r="AW1261" s="171">
        <v>7</v>
      </c>
      <c r="AX1261" s="89"/>
      <c r="AY1261" s="171" t="s">
        <v>521</v>
      </c>
      <c r="AZ1261" s="171">
        <v>0</v>
      </c>
      <c r="BA1261" s="175" t="s">
        <v>521</v>
      </c>
      <c r="BB1261" s="259"/>
      <c r="BC1261" s="190"/>
      <c r="BD1261" s="177"/>
      <c r="BE1261" s="177"/>
      <c r="BF1261" s="216" t="s">
        <v>1814</v>
      </c>
    </row>
    <row r="1262" spans="1:58" ht="15" customHeight="1">
      <c r="A1262" s="95">
        <v>1261</v>
      </c>
      <c r="B1262" s="211" t="s">
        <v>1940</v>
      </c>
      <c r="C1262" s="191" t="s">
        <v>1812</v>
      </c>
      <c r="D1262" s="171" t="s">
        <v>445</v>
      </c>
      <c r="E1262" s="463" t="s">
        <v>3377</v>
      </c>
      <c r="F1262" s="171">
        <v>1993</v>
      </c>
      <c r="G1262" s="171">
        <v>296</v>
      </c>
      <c r="H1262" s="172" t="s">
        <v>1811</v>
      </c>
      <c r="I1262" s="173" t="s">
        <v>1743</v>
      </c>
      <c r="J1262" s="212">
        <v>0.77</v>
      </c>
      <c r="K1262" s="213">
        <v>12.086092715231787</v>
      </c>
      <c r="L1262" s="91"/>
      <c r="M1262" s="171">
        <v>151</v>
      </c>
      <c r="N1262" s="171"/>
      <c r="O1262" s="172" t="s">
        <v>12</v>
      </c>
      <c r="P1262" s="92"/>
      <c r="Q1262" s="173" t="s">
        <v>523</v>
      </c>
      <c r="R1262" s="512" t="s">
        <v>2729</v>
      </c>
      <c r="S1262" s="89"/>
      <c r="T1262" s="215" t="s">
        <v>2306</v>
      </c>
      <c r="U1262" s="214" t="s">
        <v>2307</v>
      </c>
      <c r="V1262" s="153">
        <v>0</v>
      </c>
      <c r="W1262" s="154">
        <f t="shared" si="95"/>
        <v>138.81578947368419</v>
      </c>
      <c r="X1262" s="120">
        <v>0</v>
      </c>
      <c r="Y1262" s="120">
        <v>0</v>
      </c>
      <c r="Z1262" s="120">
        <v>0</v>
      </c>
      <c r="AA1262" s="17">
        <v>0</v>
      </c>
      <c r="AB1262" s="17">
        <v>0</v>
      </c>
      <c r="AC1262" s="17">
        <v>0</v>
      </c>
      <c r="AD1262" s="17">
        <v>0</v>
      </c>
      <c r="AE1262" s="17">
        <v>0</v>
      </c>
      <c r="AF1262" s="17">
        <v>0</v>
      </c>
      <c r="AG1262" s="17">
        <v>0</v>
      </c>
      <c r="AH1262" s="17">
        <v>0</v>
      </c>
      <c r="AI1262" s="17">
        <v>0</v>
      </c>
      <c r="AJ1262" s="33">
        <v>9.9337999999999996E-2</v>
      </c>
      <c r="AK1262" s="17">
        <v>0</v>
      </c>
      <c r="AL1262" s="32">
        <v>0</v>
      </c>
      <c r="AM1262" s="172">
        <v>42.2</v>
      </c>
      <c r="AN1262" s="89"/>
      <c r="AO1262" s="280"/>
      <c r="AP1262" s="783">
        <v>39400</v>
      </c>
      <c r="AQ1262" s="17" t="s">
        <v>1813</v>
      </c>
      <c r="AR1262" s="174">
        <v>76</v>
      </c>
      <c r="AS1262" s="171">
        <v>102</v>
      </c>
      <c r="AT1262" s="171">
        <v>390</v>
      </c>
      <c r="AU1262" s="255">
        <f t="shared" si="96"/>
        <v>19.587933447364328</v>
      </c>
      <c r="AV1262" s="172">
        <v>100</v>
      </c>
      <c r="AW1262" s="171">
        <v>91</v>
      </c>
      <c r="AX1262" s="171" t="s">
        <v>521</v>
      </c>
      <c r="AY1262" s="171">
        <v>20</v>
      </c>
      <c r="AZ1262" s="171">
        <v>0</v>
      </c>
      <c r="BA1262" s="175" t="s">
        <v>521</v>
      </c>
      <c r="BB1262" s="259"/>
      <c r="BC1262" s="190"/>
      <c r="BD1262" s="177"/>
      <c r="BE1262" s="177"/>
      <c r="BF1262" s="216" t="s">
        <v>1831</v>
      </c>
    </row>
    <row r="1263" spans="1:58" ht="15" customHeight="1">
      <c r="A1263" s="95">
        <v>1262</v>
      </c>
      <c r="B1263" s="211" t="s">
        <v>298</v>
      </c>
      <c r="C1263" s="191" t="s">
        <v>428</v>
      </c>
      <c r="D1263" s="171" t="s">
        <v>444</v>
      </c>
      <c r="E1263" s="463" t="s">
        <v>3377</v>
      </c>
      <c r="F1263" s="171">
        <v>1989</v>
      </c>
      <c r="G1263" s="171">
        <v>297</v>
      </c>
      <c r="H1263" s="172" t="s">
        <v>1811</v>
      </c>
      <c r="I1263" s="173" t="s">
        <v>1743</v>
      </c>
      <c r="J1263" s="212">
        <v>0.42142857142857143</v>
      </c>
      <c r="K1263" s="213">
        <v>4.1500000000000004</v>
      </c>
      <c r="L1263" s="91"/>
      <c r="M1263" s="174">
        <v>415.33</v>
      </c>
      <c r="N1263" s="174"/>
      <c r="O1263" s="172" t="s">
        <v>12</v>
      </c>
      <c r="P1263" s="92"/>
      <c r="Q1263" s="173" t="s">
        <v>523</v>
      </c>
      <c r="R1263" s="512" t="s">
        <v>2729</v>
      </c>
      <c r="S1263" s="89"/>
      <c r="T1263" s="215" t="s">
        <v>2306</v>
      </c>
      <c r="U1263" s="214" t="s">
        <v>2307</v>
      </c>
      <c r="V1263" s="102">
        <v>0</v>
      </c>
      <c r="W1263" s="155">
        <f>(120/700)*100</f>
        <v>17.142857142857142</v>
      </c>
      <c r="X1263" s="120">
        <v>0</v>
      </c>
      <c r="Y1263" s="120">
        <v>0</v>
      </c>
      <c r="Z1263" s="120">
        <v>0</v>
      </c>
      <c r="AA1263" s="17">
        <v>0</v>
      </c>
      <c r="AB1263" s="17">
        <v>0</v>
      </c>
      <c r="AC1263" s="17">
        <v>0</v>
      </c>
      <c r="AD1263" s="17">
        <v>0</v>
      </c>
      <c r="AE1263" s="17">
        <v>0</v>
      </c>
      <c r="AF1263" s="17">
        <v>0</v>
      </c>
      <c r="AG1263" s="33">
        <v>0.30740000000000001</v>
      </c>
      <c r="AH1263" s="17">
        <v>0</v>
      </c>
      <c r="AI1263" s="17">
        <v>0</v>
      </c>
      <c r="AJ1263" s="17">
        <v>0</v>
      </c>
      <c r="AK1263" s="17">
        <v>0</v>
      </c>
      <c r="AL1263" s="32">
        <v>0</v>
      </c>
      <c r="AM1263" s="172">
        <v>60.605224873652929</v>
      </c>
      <c r="AN1263" s="89"/>
      <c r="AO1263" s="280"/>
      <c r="AP1263" s="784"/>
      <c r="AQ1263" s="17" t="s">
        <v>154</v>
      </c>
      <c r="AR1263" s="174">
        <v>76</v>
      </c>
      <c r="AS1263" s="280"/>
      <c r="AT1263" s="171">
        <v>305</v>
      </c>
      <c r="AU1263" s="255">
        <f t="shared" ref="AU1263:AU1273" si="97">(AR1263*AT1263)/((2*AT1263)+(2*AR1263))</f>
        <v>30.41994750656168</v>
      </c>
      <c r="AV1263" s="172">
        <v>100</v>
      </c>
      <c r="AW1263" s="171">
        <v>7</v>
      </c>
      <c r="AX1263" s="89"/>
      <c r="AY1263" s="171">
        <v>21</v>
      </c>
      <c r="AZ1263" s="171">
        <v>0</v>
      </c>
      <c r="BA1263" s="175">
        <v>50</v>
      </c>
      <c r="BB1263" s="259"/>
      <c r="BC1263" s="190"/>
      <c r="BD1263" s="177"/>
      <c r="BE1263" s="177"/>
      <c r="BF1263" s="178"/>
    </row>
    <row r="1264" spans="1:58" ht="15" customHeight="1">
      <c r="A1264" s="95">
        <v>1263</v>
      </c>
      <c r="B1264" s="211" t="s">
        <v>299</v>
      </c>
      <c r="C1264" s="191" t="s">
        <v>428</v>
      </c>
      <c r="D1264" s="171" t="s">
        <v>444</v>
      </c>
      <c r="E1264" s="463" t="s">
        <v>3377</v>
      </c>
      <c r="F1264" s="171">
        <v>1989</v>
      </c>
      <c r="G1264" s="171">
        <v>297</v>
      </c>
      <c r="H1264" s="172" t="s">
        <v>1811</v>
      </c>
      <c r="I1264" s="173" t="s">
        <v>1739</v>
      </c>
      <c r="J1264" s="212">
        <v>0.42142857142857143</v>
      </c>
      <c r="K1264" s="213">
        <v>4.1500000000000004</v>
      </c>
      <c r="L1264" s="91"/>
      <c r="M1264" s="174">
        <v>415.33</v>
      </c>
      <c r="N1264" s="174"/>
      <c r="O1264" s="172" t="s">
        <v>12</v>
      </c>
      <c r="P1264" s="92"/>
      <c r="Q1264" s="173" t="s">
        <v>523</v>
      </c>
      <c r="R1264" s="512" t="s">
        <v>2729</v>
      </c>
      <c r="S1264" s="89"/>
      <c r="T1264" s="215" t="s">
        <v>2306</v>
      </c>
      <c r="U1264" s="214" t="s">
        <v>2307</v>
      </c>
      <c r="V1264" s="102">
        <v>0</v>
      </c>
      <c r="W1264" s="155">
        <f>(120/700)*100</f>
        <v>17.142857142857142</v>
      </c>
      <c r="X1264" s="120">
        <v>0</v>
      </c>
      <c r="Y1264" s="120">
        <v>0</v>
      </c>
      <c r="Z1264" s="120">
        <v>0</v>
      </c>
      <c r="AA1264" s="17">
        <v>0</v>
      </c>
      <c r="AB1264" s="17">
        <v>0</v>
      </c>
      <c r="AC1264" s="17">
        <v>0</v>
      </c>
      <c r="AD1264" s="17">
        <v>0</v>
      </c>
      <c r="AE1264" s="17">
        <v>0</v>
      </c>
      <c r="AF1264" s="17">
        <v>0</v>
      </c>
      <c r="AG1264" s="33">
        <v>0.30740000000000001</v>
      </c>
      <c r="AH1264" s="17">
        <v>0</v>
      </c>
      <c r="AI1264" s="17">
        <v>0</v>
      </c>
      <c r="AJ1264" s="17">
        <v>0</v>
      </c>
      <c r="AK1264" s="17">
        <v>0</v>
      </c>
      <c r="AL1264" s="32">
        <v>0</v>
      </c>
      <c r="AM1264" s="172">
        <v>60.605224873652929</v>
      </c>
      <c r="AN1264" s="89"/>
      <c r="AO1264" s="280"/>
      <c r="AP1264" s="784"/>
      <c r="AQ1264" s="17" t="s">
        <v>154</v>
      </c>
      <c r="AR1264" s="174">
        <v>76</v>
      </c>
      <c r="AS1264" s="280"/>
      <c r="AT1264" s="171">
        <v>305</v>
      </c>
      <c r="AU1264" s="255">
        <f t="shared" si="97"/>
        <v>30.41994750656168</v>
      </c>
      <c r="AV1264" s="172">
        <v>100</v>
      </c>
      <c r="AW1264" s="171">
        <v>28</v>
      </c>
      <c r="AX1264" s="89"/>
      <c r="AY1264" s="171">
        <v>21</v>
      </c>
      <c r="AZ1264" s="171">
        <v>0</v>
      </c>
      <c r="BA1264" s="175">
        <v>99</v>
      </c>
      <c r="BB1264" s="259"/>
      <c r="BC1264" s="190"/>
      <c r="BD1264" s="177"/>
      <c r="BE1264" s="177"/>
      <c r="BF1264" s="178"/>
    </row>
    <row r="1265" spans="1:58" ht="15" customHeight="1">
      <c r="A1265" s="95">
        <v>1264</v>
      </c>
      <c r="B1265" s="211" t="s">
        <v>300</v>
      </c>
      <c r="C1265" s="191" t="s">
        <v>428</v>
      </c>
      <c r="D1265" s="171" t="s">
        <v>444</v>
      </c>
      <c r="E1265" s="463" t="s">
        <v>3377</v>
      </c>
      <c r="F1265" s="171">
        <v>1989</v>
      </c>
      <c r="G1265" s="171">
        <v>297</v>
      </c>
      <c r="H1265" s="172" t="s">
        <v>1811</v>
      </c>
      <c r="I1265" s="173" t="s">
        <v>1743</v>
      </c>
      <c r="J1265" s="212">
        <v>0.42142857142857143</v>
      </c>
      <c r="K1265" s="213">
        <v>4.1500000000000004</v>
      </c>
      <c r="L1265" s="91"/>
      <c r="M1265" s="174">
        <v>415.33</v>
      </c>
      <c r="N1265" s="174"/>
      <c r="O1265" s="172" t="s">
        <v>12</v>
      </c>
      <c r="P1265" s="92"/>
      <c r="Q1265" s="173" t="s">
        <v>523</v>
      </c>
      <c r="R1265" s="512" t="s">
        <v>2729</v>
      </c>
      <c r="S1265" s="89"/>
      <c r="T1265" s="215" t="s">
        <v>2306</v>
      </c>
      <c r="U1265" s="214" t="s">
        <v>2307</v>
      </c>
      <c r="V1265" s="102">
        <v>0</v>
      </c>
      <c r="W1265" s="155">
        <f>(120/700)*100</f>
        <v>17.142857142857142</v>
      </c>
      <c r="X1265" s="120">
        <v>0</v>
      </c>
      <c r="Y1265" s="120">
        <v>0</v>
      </c>
      <c r="Z1265" s="120">
        <v>0</v>
      </c>
      <c r="AA1265" s="17">
        <v>0</v>
      </c>
      <c r="AB1265" s="17">
        <v>0</v>
      </c>
      <c r="AC1265" s="17">
        <v>0</v>
      </c>
      <c r="AD1265" s="17">
        <v>0</v>
      </c>
      <c r="AE1265" s="17">
        <v>0</v>
      </c>
      <c r="AF1265" s="17">
        <v>0</v>
      </c>
      <c r="AG1265" s="33">
        <v>0.30740000000000001</v>
      </c>
      <c r="AH1265" s="17">
        <v>0</v>
      </c>
      <c r="AI1265" s="17">
        <v>0</v>
      </c>
      <c r="AJ1265" s="17">
        <v>0</v>
      </c>
      <c r="AK1265" s="17">
        <v>0</v>
      </c>
      <c r="AL1265" s="32">
        <v>0</v>
      </c>
      <c r="AM1265" s="172">
        <v>60.605224873652929</v>
      </c>
      <c r="AN1265" s="89"/>
      <c r="AO1265" s="280"/>
      <c r="AP1265" s="784"/>
      <c r="AQ1265" s="17" t="s">
        <v>154</v>
      </c>
      <c r="AR1265" s="174">
        <v>76</v>
      </c>
      <c r="AS1265" s="280"/>
      <c r="AT1265" s="171">
        <v>305</v>
      </c>
      <c r="AU1265" s="255">
        <f t="shared" si="97"/>
        <v>30.41994750656168</v>
      </c>
      <c r="AV1265" s="172">
        <v>100</v>
      </c>
      <c r="AW1265" s="171">
        <v>28</v>
      </c>
      <c r="AX1265" s="89"/>
      <c r="AY1265" s="171">
        <v>21</v>
      </c>
      <c r="AZ1265" s="171">
        <v>0</v>
      </c>
      <c r="BA1265" s="175">
        <v>50</v>
      </c>
      <c r="BB1265" s="259"/>
      <c r="BC1265" s="190"/>
      <c r="BD1265" s="177"/>
      <c r="BE1265" s="177"/>
      <c r="BF1265" s="178"/>
    </row>
    <row r="1266" spans="1:58" ht="15" customHeight="1">
      <c r="A1266" s="95">
        <v>1265</v>
      </c>
      <c r="B1266" s="211" t="s">
        <v>301</v>
      </c>
      <c r="C1266" s="191" t="s">
        <v>428</v>
      </c>
      <c r="D1266" s="171" t="s">
        <v>444</v>
      </c>
      <c r="E1266" s="463" t="s">
        <v>3377</v>
      </c>
      <c r="F1266" s="171">
        <v>1989</v>
      </c>
      <c r="G1266" s="171">
        <v>297</v>
      </c>
      <c r="H1266" s="172" t="s">
        <v>1811</v>
      </c>
      <c r="I1266" s="173" t="s">
        <v>1739</v>
      </c>
      <c r="J1266" s="212">
        <v>0.42063492063492064</v>
      </c>
      <c r="K1266" s="213">
        <v>4.8492063492063489</v>
      </c>
      <c r="L1266" s="91"/>
      <c r="M1266" s="174">
        <v>373.79500000000002</v>
      </c>
      <c r="N1266" s="174"/>
      <c r="O1266" s="172" t="s">
        <v>12</v>
      </c>
      <c r="P1266" s="92"/>
      <c r="Q1266" s="173" t="s">
        <v>523</v>
      </c>
      <c r="R1266" s="512" t="s">
        <v>2729</v>
      </c>
      <c r="S1266" s="89"/>
      <c r="T1266" s="215" t="s">
        <v>2306</v>
      </c>
      <c r="U1266" s="214" t="s">
        <v>2307</v>
      </c>
      <c r="V1266" s="102">
        <v>0</v>
      </c>
      <c r="W1266" s="155">
        <f>(110/630)*100</f>
        <v>17.460317460317459</v>
      </c>
      <c r="X1266" s="120">
        <v>0</v>
      </c>
      <c r="Y1266" s="120">
        <v>0</v>
      </c>
      <c r="Z1266" s="120">
        <v>0</v>
      </c>
      <c r="AA1266" s="17">
        <v>0</v>
      </c>
      <c r="AB1266" s="17">
        <v>0</v>
      </c>
      <c r="AC1266" s="17">
        <v>0</v>
      </c>
      <c r="AD1266" s="17">
        <v>0</v>
      </c>
      <c r="AE1266" s="17">
        <v>0</v>
      </c>
      <c r="AF1266" s="17">
        <v>0</v>
      </c>
      <c r="AG1266" s="33">
        <v>0.89280000000000004</v>
      </c>
      <c r="AH1266" s="17">
        <v>0</v>
      </c>
      <c r="AI1266" s="17">
        <v>0</v>
      </c>
      <c r="AJ1266" s="17">
        <v>0</v>
      </c>
      <c r="AK1266" s="17">
        <v>0</v>
      </c>
      <c r="AL1266" s="32">
        <v>0</v>
      </c>
      <c r="AM1266" s="172">
        <v>56.813089073822539</v>
      </c>
      <c r="AN1266" s="89"/>
      <c r="AO1266" s="280"/>
      <c r="AP1266" s="784"/>
      <c r="AQ1266" s="17" t="s">
        <v>154</v>
      </c>
      <c r="AR1266" s="174">
        <v>76</v>
      </c>
      <c r="AS1266" s="280"/>
      <c r="AT1266" s="171">
        <v>305</v>
      </c>
      <c r="AU1266" s="255">
        <f t="shared" si="97"/>
        <v>30.41994750656168</v>
      </c>
      <c r="AV1266" s="172">
        <v>100</v>
      </c>
      <c r="AW1266" s="171">
        <v>28</v>
      </c>
      <c r="AX1266" s="89"/>
      <c r="AY1266" s="171">
        <v>21</v>
      </c>
      <c r="AZ1266" s="171">
        <v>0</v>
      </c>
      <c r="BA1266" s="175">
        <v>99</v>
      </c>
      <c r="BB1266" s="259"/>
      <c r="BC1266" s="190"/>
      <c r="BD1266" s="177"/>
      <c r="BE1266" s="177"/>
      <c r="BF1266" s="178"/>
    </row>
    <row r="1267" spans="1:58" ht="15" customHeight="1">
      <c r="A1267" s="95">
        <v>1266</v>
      </c>
      <c r="B1267" s="211" t="s">
        <v>302</v>
      </c>
      <c r="C1267" s="191" t="s">
        <v>428</v>
      </c>
      <c r="D1267" s="171" t="s">
        <v>444</v>
      </c>
      <c r="E1267" s="463" t="s">
        <v>3377</v>
      </c>
      <c r="F1267" s="171">
        <v>1989</v>
      </c>
      <c r="G1267" s="171">
        <v>297</v>
      </c>
      <c r="H1267" s="172" t="s">
        <v>1811</v>
      </c>
      <c r="I1267" s="173" t="s">
        <v>1743</v>
      </c>
      <c r="J1267" s="212">
        <v>0.42063492063492064</v>
      </c>
      <c r="K1267" s="213">
        <v>4.8492063492063489</v>
      </c>
      <c r="L1267" s="91"/>
      <c r="M1267" s="174">
        <v>373.79500000000002</v>
      </c>
      <c r="N1267" s="174"/>
      <c r="O1267" s="172" t="s">
        <v>12</v>
      </c>
      <c r="P1267" s="92"/>
      <c r="Q1267" s="173" t="s">
        <v>523</v>
      </c>
      <c r="R1267" s="512" t="s">
        <v>2729</v>
      </c>
      <c r="S1267" s="89"/>
      <c r="T1267" s="215" t="s">
        <v>2306</v>
      </c>
      <c r="U1267" s="214" t="s">
        <v>2307</v>
      </c>
      <c r="V1267" s="102">
        <v>0</v>
      </c>
      <c r="W1267" s="155">
        <f>(110/630)*100</f>
        <v>17.460317460317459</v>
      </c>
      <c r="X1267" s="120">
        <v>0</v>
      </c>
      <c r="Y1267" s="120">
        <v>0</v>
      </c>
      <c r="Z1267" s="120">
        <v>0</v>
      </c>
      <c r="AA1267" s="17">
        <v>0</v>
      </c>
      <c r="AB1267" s="17">
        <v>0</v>
      </c>
      <c r="AC1267" s="17">
        <v>0</v>
      </c>
      <c r="AD1267" s="17">
        <v>0</v>
      </c>
      <c r="AE1267" s="17">
        <v>0</v>
      </c>
      <c r="AF1267" s="17">
        <v>0</v>
      </c>
      <c r="AG1267" s="33">
        <v>0.89280000000000004</v>
      </c>
      <c r="AH1267" s="17">
        <v>0</v>
      </c>
      <c r="AI1267" s="17">
        <v>0</v>
      </c>
      <c r="AJ1267" s="17">
        <v>0</v>
      </c>
      <c r="AK1267" s="17">
        <v>0</v>
      </c>
      <c r="AL1267" s="32">
        <v>0</v>
      </c>
      <c r="AM1267" s="172">
        <v>56.813089073822539</v>
      </c>
      <c r="AN1267" s="89"/>
      <c r="AO1267" s="280"/>
      <c r="AP1267" s="784"/>
      <c r="AQ1267" s="17" t="s">
        <v>154</v>
      </c>
      <c r="AR1267" s="174">
        <v>76</v>
      </c>
      <c r="AS1267" s="280"/>
      <c r="AT1267" s="171">
        <v>305</v>
      </c>
      <c r="AU1267" s="255">
        <f t="shared" si="97"/>
        <v>30.41994750656168</v>
      </c>
      <c r="AV1267" s="172">
        <v>100</v>
      </c>
      <c r="AW1267" s="171">
        <v>28</v>
      </c>
      <c r="AX1267" s="89"/>
      <c r="AY1267" s="171">
        <v>21</v>
      </c>
      <c r="AZ1267" s="171">
        <v>0</v>
      </c>
      <c r="BA1267" s="175">
        <v>50</v>
      </c>
      <c r="BB1267" s="259"/>
      <c r="BC1267" s="190"/>
      <c r="BD1267" s="177"/>
      <c r="BE1267" s="177"/>
      <c r="BF1267" s="178"/>
    </row>
    <row r="1268" spans="1:58" ht="15" customHeight="1">
      <c r="A1268" s="95">
        <v>1267</v>
      </c>
      <c r="B1268" s="211" t="s">
        <v>303</v>
      </c>
      <c r="C1268" s="191" t="s">
        <v>428</v>
      </c>
      <c r="D1268" s="171" t="s">
        <v>444</v>
      </c>
      <c r="E1268" s="463" t="s">
        <v>3377</v>
      </c>
      <c r="F1268" s="171">
        <v>1989</v>
      </c>
      <c r="G1268" s="171">
        <v>297</v>
      </c>
      <c r="H1268" s="172" t="s">
        <v>1811</v>
      </c>
      <c r="I1268" s="173" t="s">
        <v>1739</v>
      </c>
      <c r="J1268" s="212">
        <v>0.41176470588235292</v>
      </c>
      <c r="K1268" s="213">
        <v>4.3897058823529411</v>
      </c>
      <c r="L1268" s="91"/>
      <c r="M1268" s="174">
        <v>403.46100000000001</v>
      </c>
      <c r="N1268" s="174"/>
      <c r="O1268" s="172" t="s">
        <v>12</v>
      </c>
      <c r="P1268" s="92"/>
      <c r="Q1268" s="173" t="s">
        <v>523</v>
      </c>
      <c r="R1268" s="512" t="s">
        <v>2729</v>
      </c>
      <c r="S1268" s="89"/>
      <c r="T1268" s="215" t="s">
        <v>2306</v>
      </c>
      <c r="U1268" s="214" t="s">
        <v>2307</v>
      </c>
      <c r="V1268" s="102">
        <v>0</v>
      </c>
      <c r="W1268" s="155">
        <f>(120/680)*100</f>
        <v>17.647058823529413</v>
      </c>
      <c r="X1268" s="120">
        <v>0</v>
      </c>
      <c r="Y1268" s="120">
        <v>0</v>
      </c>
      <c r="Z1268" s="120">
        <v>0</v>
      </c>
      <c r="AA1268" s="17">
        <v>0</v>
      </c>
      <c r="AB1268" s="17">
        <v>0</v>
      </c>
      <c r="AC1268" s="17">
        <v>0</v>
      </c>
      <c r="AD1268" s="17">
        <v>0</v>
      </c>
      <c r="AE1268" s="17">
        <v>0</v>
      </c>
      <c r="AF1268" s="17">
        <v>0</v>
      </c>
      <c r="AG1268" s="33">
        <v>0.29399999999999998</v>
      </c>
      <c r="AH1268" s="17">
        <v>0</v>
      </c>
      <c r="AI1268" s="17">
        <v>0</v>
      </c>
      <c r="AJ1268" s="17">
        <v>0</v>
      </c>
      <c r="AK1268" s="17">
        <v>0</v>
      </c>
      <c r="AL1268" s="32">
        <v>0</v>
      </c>
      <c r="AM1268" s="172">
        <v>58.950474706454216</v>
      </c>
      <c r="AN1268" s="89"/>
      <c r="AO1268" s="280"/>
      <c r="AP1268" s="784"/>
      <c r="AQ1268" s="17" t="s">
        <v>154</v>
      </c>
      <c r="AR1268" s="174">
        <v>76</v>
      </c>
      <c r="AS1268" s="280"/>
      <c r="AT1268" s="171">
        <v>305</v>
      </c>
      <c r="AU1268" s="255">
        <f t="shared" si="97"/>
        <v>30.41994750656168</v>
      </c>
      <c r="AV1268" s="172">
        <v>100</v>
      </c>
      <c r="AW1268" s="171">
        <v>28</v>
      </c>
      <c r="AX1268" s="89"/>
      <c r="AY1268" s="171">
        <v>21</v>
      </c>
      <c r="AZ1268" s="171">
        <v>0</v>
      </c>
      <c r="BA1268" s="175">
        <v>99</v>
      </c>
      <c r="BB1268" s="259"/>
      <c r="BC1268" s="190"/>
      <c r="BD1268" s="177"/>
      <c r="BE1268" s="177"/>
      <c r="BF1268" s="178"/>
    </row>
    <row r="1269" spans="1:58" ht="15" customHeight="1">
      <c r="A1269" s="95">
        <v>1268</v>
      </c>
      <c r="B1269" s="211" t="s">
        <v>304</v>
      </c>
      <c r="C1269" s="191" t="s">
        <v>428</v>
      </c>
      <c r="D1269" s="171" t="s">
        <v>444</v>
      </c>
      <c r="E1269" s="463" t="s">
        <v>3377</v>
      </c>
      <c r="F1269" s="171">
        <v>1989</v>
      </c>
      <c r="G1269" s="171">
        <v>297</v>
      </c>
      <c r="H1269" s="172" t="s">
        <v>1811</v>
      </c>
      <c r="I1269" s="173" t="s">
        <v>1743</v>
      </c>
      <c r="J1269" s="212">
        <v>0.41176470588235292</v>
      </c>
      <c r="K1269" s="213">
        <v>4.3897058823529411</v>
      </c>
      <c r="L1269" s="91"/>
      <c r="M1269" s="174">
        <v>403.46100000000001</v>
      </c>
      <c r="N1269" s="174"/>
      <c r="O1269" s="172" t="s">
        <v>12</v>
      </c>
      <c r="P1269" s="92"/>
      <c r="Q1269" s="173" t="s">
        <v>523</v>
      </c>
      <c r="R1269" s="512" t="s">
        <v>2729</v>
      </c>
      <c r="S1269" s="89"/>
      <c r="T1269" s="215" t="s">
        <v>2306</v>
      </c>
      <c r="U1269" s="214" t="s">
        <v>2307</v>
      </c>
      <c r="V1269" s="102">
        <v>0</v>
      </c>
      <c r="W1269" s="155">
        <f>(120/680)*100</f>
        <v>17.647058823529413</v>
      </c>
      <c r="X1269" s="120">
        <v>0</v>
      </c>
      <c r="Y1269" s="120">
        <v>0</v>
      </c>
      <c r="Z1269" s="120">
        <v>0</v>
      </c>
      <c r="AA1269" s="17">
        <v>0</v>
      </c>
      <c r="AB1269" s="17">
        <v>0</v>
      </c>
      <c r="AC1269" s="17">
        <v>0</v>
      </c>
      <c r="AD1269" s="17">
        <v>0</v>
      </c>
      <c r="AE1269" s="17">
        <v>0</v>
      </c>
      <c r="AF1269" s="17">
        <v>0</v>
      </c>
      <c r="AG1269" s="33">
        <v>0.29399999999999998</v>
      </c>
      <c r="AH1269" s="17">
        <v>0</v>
      </c>
      <c r="AI1269" s="17">
        <v>0</v>
      </c>
      <c r="AJ1269" s="17">
        <v>0</v>
      </c>
      <c r="AK1269" s="17">
        <v>0</v>
      </c>
      <c r="AL1269" s="32">
        <v>0</v>
      </c>
      <c r="AM1269" s="172">
        <v>58.950474706454216</v>
      </c>
      <c r="AN1269" s="89"/>
      <c r="AO1269" s="280"/>
      <c r="AP1269" s="784"/>
      <c r="AQ1269" s="17" t="s">
        <v>154</v>
      </c>
      <c r="AR1269" s="174">
        <v>76</v>
      </c>
      <c r="AS1269" s="280"/>
      <c r="AT1269" s="171">
        <v>305</v>
      </c>
      <c r="AU1269" s="255">
        <f t="shared" si="97"/>
        <v>30.41994750656168</v>
      </c>
      <c r="AV1269" s="172">
        <v>100</v>
      </c>
      <c r="AW1269" s="171">
        <v>28</v>
      </c>
      <c r="AX1269" s="89"/>
      <c r="AY1269" s="171">
        <v>21</v>
      </c>
      <c r="AZ1269" s="171">
        <v>0</v>
      </c>
      <c r="BA1269" s="175">
        <v>50</v>
      </c>
      <c r="BB1269" s="259"/>
      <c r="BC1269" s="190"/>
      <c r="BD1269" s="177"/>
      <c r="BE1269" s="177"/>
      <c r="BF1269" s="178"/>
    </row>
    <row r="1270" spans="1:58" ht="15" customHeight="1">
      <c r="A1270" s="95">
        <v>1269</v>
      </c>
      <c r="B1270" s="211" t="s">
        <v>305</v>
      </c>
      <c r="C1270" s="191" t="s">
        <v>428</v>
      </c>
      <c r="D1270" s="171" t="s">
        <v>444</v>
      </c>
      <c r="E1270" s="463" t="s">
        <v>3377</v>
      </c>
      <c r="F1270" s="171">
        <v>1989</v>
      </c>
      <c r="G1270" s="171">
        <v>297</v>
      </c>
      <c r="H1270" s="172" t="s">
        <v>1811</v>
      </c>
      <c r="I1270" s="173" t="s">
        <v>1739</v>
      </c>
      <c r="J1270" s="212">
        <v>0.40322580645161288</v>
      </c>
      <c r="K1270" s="213">
        <v>5.040322580645161</v>
      </c>
      <c r="L1270" s="91"/>
      <c r="M1270" s="174">
        <v>367.86099999999999</v>
      </c>
      <c r="N1270" s="174"/>
      <c r="O1270" s="172" t="s">
        <v>12</v>
      </c>
      <c r="P1270" s="92"/>
      <c r="Q1270" s="173" t="s">
        <v>523</v>
      </c>
      <c r="R1270" s="512" t="s">
        <v>2729</v>
      </c>
      <c r="S1270" s="89"/>
      <c r="T1270" s="215" t="s">
        <v>2306</v>
      </c>
      <c r="U1270" s="214" t="s">
        <v>2307</v>
      </c>
      <c r="V1270" s="102">
        <v>0</v>
      </c>
      <c r="W1270" s="155">
        <f>(110/620)*100</f>
        <v>17.741935483870968</v>
      </c>
      <c r="X1270" s="120">
        <v>0</v>
      </c>
      <c r="Y1270" s="120">
        <v>0</v>
      </c>
      <c r="Z1270" s="120">
        <v>0</v>
      </c>
      <c r="AA1270" s="17">
        <v>0</v>
      </c>
      <c r="AB1270" s="17">
        <v>0</v>
      </c>
      <c r="AC1270" s="17">
        <v>0</v>
      </c>
      <c r="AD1270" s="17">
        <v>0</v>
      </c>
      <c r="AE1270" s="17">
        <v>0</v>
      </c>
      <c r="AF1270" s="17">
        <v>0</v>
      </c>
      <c r="AG1270" s="33">
        <v>0.85670000000000002</v>
      </c>
      <c r="AH1270" s="17">
        <v>0</v>
      </c>
      <c r="AI1270" s="17">
        <v>0</v>
      </c>
      <c r="AJ1270" s="17">
        <v>0</v>
      </c>
      <c r="AK1270" s="17">
        <v>0</v>
      </c>
      <c r="AL1270" s="32">
        <v>0</v>
      </c>
      <c r="AM1270" s="172">
        <v>55.503078524790226</v>
      </c>
      <c r="AN1270" s="89"/>
      <c r="AO1270" s="280"/>
      <c r="AP1270" s="784"/>
      <c r="AQ1270" s="17" t="s">
        <v>154</v>
      </c>
      <c r="AR1270" s="174">
        <v>76</v>
      </c>
      <c r="AS1270" s="280"/>
      <c r="AT1270" s="171">
        <v>305</v>
      </c>
      <c r="AU1270" s="255">
        <f t="shared" si="97"/>
        <v>30.41994750656168</v>
      </c>
      <c r="AV1270" s="172">
        <v>100</v>
      </c>
      <c r="AW1270" s="171">
        <v>28</v>
      </c>
      <c r="AX1270" s="89"/>
      <c r="AY1270" s="171">
        <v>21</v>
      </c>
      <c r="AZ1270" s="171">
        <v>0</v>
      </c>
      <c r="BA1270" s="175">
        <v>99</v>
      </c>
      <c r="BB1270" s="259"/>
      <c r="BC1270" s="190"/>
      <c r="BD1270" s="177"/>
      <c r="BE1270" s="177"/>
      <c r="BF1270" s="178"/>
    </row>
    <row r="1271" spans="1:58" ht="15" customHeight="1">
      <c r="A1271" s="95">
        <v>1270</v>
      </c>
      <c r="B1271" s="211" t="s">
        <v>306</v>
      </c>
      <c r="C1271" s="191" t="s">
        <v>428</v>
      </c>
      <c r="D1271" s="171" t="s">
        <v>444</v>
      </c>
      <c r="E1271" s="463" t="s">
        <v>3377</v>
      </c>
      <c r="F1271" s="171">
        <v>1989</v>
      </c>
      <c r="G1271" s="171">
        <v>297</v>
      </c>
      <c r="H1271" s="172" t="s">
        <v>1811</v>
      </c>
      <c r="I1271" s="173" t="s">
        <v>1743</v>
      </c>
      <c r="J1271" s="212">
        <v>0.40322580645161288</v>
      </c>
      <c r="K1271" s="213">
        <v>5.040322580645161</v>
      </c>
      <c r="L1271" s="91"/>
      <c r="M1271" s="174">
        <v>367.86099999999999</v>
      </c>
      <c r="N1271" s="174"/>
      <c r="O1271" s="172" t="s">
        <v>12</v>
      </c>
      <c r="P1271" s="92"/>
      <c r="Q1271" s="173" t="s">
        <v>523</v>
      </c>
      <c r="R1271" s="512" t="s">
        <v>2729</v>
      </c>
      <c r="S1271" s="89"/>
      <c r="T1271" s="215" t="s">
        <v>2306</v>
      </c>
      <c r="U1271" s="214" t="s">
        <v>2307</v>
      </c>
      <c r="V1271" s="102">
        <v>0</v>
      </c>
      <c r="W1271" s="155">
        <f>(110/620)*100</f>
        <v>17.741935483870968</v>
      </c>
      <c r="X1271" s="120">
        <v>0</v>
      </c>
      <c r="Y1271" s="120">
        <v>0</v>
      </c>
      <c r="Z1271" s="120">
        <v>0</v>
      </c>
      <c r="AA1271" s="17">
        <v>0</v>
      </c>
      <c r="AB1271" s="17">
        <v>0</v>
      </c>
      <c r="AC1271" s="17">
        <v>0</v>
      </c>
      <c r="AD1271" s="17">
        <v>0</v>
      </c>
      <c r="AE1271" s="17">
        <v>0</v>
      </c>
      <c r="AF1271" s="17">
        <v>0</v>
      </c>
      <c r="AG1271" s="33">
        <v>0.85670000000000002</v>
      </c>
      <c r="AH1271" s="17">
        <v>0</v>
      </c>
      <c r="AI1271" s="17">
        <v>0</v>
      </c>
      <c r="AJ1271" s="17">
        <v>0</v>
      </c>
      <c r="AK1271" s="17">
        <v>0</v>
      </c>
      <c r="AL1271" s="32">
        <v>0</v>
      </c>
      <c r="AM1271" s="172">
        <v>55.503078524790226</v>
      </c>
      <c r="AN1271" s="89"/>
      <c r="AO1271" s="280"/>
      <c r="AP1271" s="784"/>
      <c r="AQ1271" s="17" t="s">
        <v>154</v>
      </c>
      <c r="AR1271" s="174">
        <v>76</v>
      </c>
      <c r="AS1271" s="280"/>
      <c r="AT1271" s="171">
        <v>305</v>
      </c>
      <c r="AU1271" s="255">
        <f t="shared" si="97"/>
        <v>30.41994750656168</v>
      </c>
      <c r="AV1271" s="172">
        <v>100</v>
      </c>
      <c r="AW1271" s="171">
        <v>28</v>
      </c>
      <c r="AX1271" s="89"/>
      <c r="AY1271" s="171">
        <v>21</v>
      </c>
      <c r="AZ1271" s="171">
        <v>0</v>
      </c>
      <c r="BA1271" s="175">
        <v>50</v>
      </c>
      <c r="BB1271" s="259"/>
      <c r="BC1271" s="190"/>
      <c r="BD1271" s="177"/>
      <c r="BE1271" s="177"/>
      <c r="BF1271" s="178"/>
    </row>
    <row r="1272" spans="1:58" ht="15" customHeight="1">
      <c r="A1272" s="95">
        <v>1271</v>
      </c>
      <c r="B1272" s="211" t="s">
        <v>307</v>
      </c>
      <c r="C1272" s="191" t="s">
        <v>428</v>
      </c>
      <c r="D1272" s="171" t="s">
        <v>444</v>
      </c>
      <c r="E1272" s="463" t="s">
        <v>3377</v>
      </c>
      <c r="F1272" s="171">
        <v>1989</v>
      </c>
      <c r="G1272" s="171">
        <v>297</v>
      </c>
      <c r="H1272" s="172" t="s">
        <v>1811</v>
      </c>
      <c r="I1272" s="173" t="s">
        <v>1739</v>
      </c>
      <c r="J1272" s="212">
        <v>0.42142857142857143</v>
      </c>
      <c r="K1272" s="213">
        <v>4.128571428571429</v>
      </c>
      <c r="L1272" s="91"/>
      <c r="M1272" s="174">
        <v>415.33</v>
      </c>
      <c r="N1272" s="174"/>
      <c r="O1272" s="172" t="s">
        <v>12</v>
      </c>
      <c r="P1272" s="92"/>
      <c r="Q1272" s="173" t="s">
        <v>523</v>
      </c>
      <c r="R1272" s="512" t="s">
        <v>2729</v>
      </c>
      <c r="S1272" s="89"/>
      <c r="T1272" s="215" t="s">
        <v>2306</v>
      </c>
      <c r="U1272" s="214" t="s">
        <v>2307</v>
      </c>
      <c r="V1272" s="102">
        <v>0</v>
      </c>
      <c r="W1272" s="155">
        <f>(120/700)*100</f>
        <v>17.142857142857142</v>
      </c>
      <c r="X1272" s="120">
        <v>0</v>
      </c>
      <c r="Y1272" s="120">
        <v>0</v>
      </c>
      <c r="Z1272" s="120">
        <v>0</v>
      </c>
      <c r="AA1272" s="17">
        <v>0</v>
      </c>
      <c r="AB1272" s="17">
        <v>0</v>
      </c>
      <c r="AC1272" s="17">
        <v>0</v>
      </c>
      <c r="AD1272" s="17">
        <v>0</v>
      </c>
      <c r="AE1272" s="17">
        <v>0</v>
      </c>
      <c r="AF1272" s="17">
        <v>0</v>
      </c>
      <c r="AG1272" s="33">
        <v>0.25890000000000002</v>
      </c>
      <c r="AH1272" s="17">
        <v>0</v>
      </c>
      <c r="AI1272" s="17">
        <v>0</v>
      </c>
      <c r="AJ1272" s="17">
        <v>0</v>
      </c>
      <c r="AK1272" s="17">
        <v>0</v>
      </c>
      <c r="AL1272" s="32">
        <v>0</v>
      </c>
      <c r="AM1272" s="172">
        <v>63.983673131683638</v>
      </c>
      <c r="AN1272" s="89"/>
      <c r="AO1272" s="280"/>
      <c r="AP1272" s="784"/>
      <c r="AQ1272" s="17" t="s">
        <v>154</v>
      </c>
      <c r="AR1272" s="174">
        <v>76</v>
      </c>
      <c r="AS1272" s="280"/>
      <c r="AT1272" s="171">
        <v>305</v>
      </c>
      <c r="AU1272" s="255">
        <f t="shared" si="97"/>
        <v>30.41994750656168</v>
      </c>
      <c r="AV1272" s="172">
        <v>100</v>
      </c>
      <c r="AW1272" s="171">
        <v>28</v>
      </c>
      <c r="AX1272" s="89"/>
      <c r="AY1272" s="171">
        <v>21</v>
      </c>
      <c r="AZ1272" s="171">
        <v>0</v>
      </c>
      <c r="BA1272" s="175">
        <v>99</v>
      </c>
      <c r="BB1272" s="259"/>
      <c r="BC1272" s="190"/>
      <c r="BD1272" s="177"/>
      <c r="BE1272" s="177"/>
      <c r="BF1272" s="178"/>
    </row>
    <row r="1273" spans="1:58" ht="15" customHeight="1">
      <c r="A1273" s="95">
        <v>1272</v>
      </c>
      <c r="B1273" s="211" t="s">
        <v>308</v>
      </c>
      <c r="C1273" s="191" t="s">
        <v>428</v>
      </c>
      <c r="D1273" s="171" t="s">
        <v>444</v>
      </c>
      <c r="E1273" s="463" t="s">
        <v>3377</v>
      </c>
      <c r="F1273" s="171">
        <v>1989</v>
      </c>
      <c r="G1273" s="171">
        <v>297</v>
      </c>
      <c r="H1273" s="172" t="s">
        <v>1811</v>
      </c>
      <c r="I1273" s="173" t="s">
        <v>1743</v>
      </c>
      <c r="J1273" s="212">
        <v>0.42142857142857143</v>
      </c>
      <c r="K1273" s="213">
        <v>4.128571428571429</v>
      </c>
      <c r="L1273" s="91"/>
      <c r="M1273" s="174">
        <v>415.33</v>
      </c>
      <c r="N1273" s="174"/>
      <c r="O1273" s="172" t="s">
        <v>12</v>
      </c>
      <c r="P1273" s="92"/>
      <c r="Q1273" s="173" t="s">
        <v>523</v>
      </c>
      <c r="R1273" s="512" t="s">
        <v>2729</v>
      </c>
      <c r="S1273" s="89"/>
      <c r="T1273" s="215" t="s">
        <v>2306</v>
      </c>
      <c r="U1273" s="214" t="s">
        <v>2307</v>
      </c>
      <c r="V1273" s="102">
        <v>0</v>
      </c>
      <c r="W1273" s="155">
        <f>(120/700)*100</f>
        <v>17.142857142857142</v>
      </c>
      <c r="X1273" s="120">
        <v>0</v>
      </c>
      <c r="Y1273" s="120">
        <v>0</v>
      </c>
      <c r="Z1273" s="120">
        <v>0</v>
      </c>
      <c r="AA1273" s="17">
        <v>0</v>
      </c>
      <c r="AB1273" s="17">
        <v>0</v>
      </c>
      <c r="AC1273" s="17">
        <v>0</v>
      </c>
      <c r="AD1273" s="17">
        <v>0</v>
      </c>
      <c r="AE1273" s="17">
        <v>0</v>
      </c>
      <c r="AF1273" s="17">
        <v>0</v>
      </c>
      <c r="AG1273" s="33">
        <v>0.25890000000000002</v>
      </c>
      <c r="AH1273" s="17">
        <v>0</v>
      </c>
      <c r="AI1273" s="17">
        <v>0</v>
      </c>
      <c r="AJ1273" s="17">
        <v>0</v>
      </c>
      <c r="AK1273" s="17">
        <v>0</v>
      </c>
      <c r="AL1273" s="32">
        <v>0</v>
      </c>
      <c r="AM1273" s="172">
        <v>63.983673131683638</v>
      </c>
      <c r="AN1273" s="89"/>
      <c r="AO1273" s="280"/>
      <c r="AP1273" s="784"/>
      <c r="AQ1273" s="17" t="s">
        <v>154</v>
      </c>
      <c r="AR1273" s="174">
        <v>76</v>
      </c>
      <c r="AS1273" s="280"/>
      <c r="AT1273" s="171">
        <v>305</v>
      </c>
      <c r="AU1273" s="255">
        <f t="shared" si="97"/>
        <v>30.41994750656168</v>
      </c>
      <c r="AV1273" s="172">
        <v>100</v>
      </c>
      <c r="AW1273" s="171">
        <v>28</v>
      </c>
      <c r="AX1273" s="89"/>
      <c r="AY1273" s="171">
        <v>21</v>
      </c>
      <c r="AZ1273" s="171">
        <v>0</v>
      </c>
      <c r="BA1273" s="175">
        <v>50</v>
      </c>
      <c r="BB1273" s="259"/>
      <c r="BC1273" s="190"/>
      <c r="BD1273" s="177"/>
      <c r="BE1273" s="177"/>
      <c r="BF1273" s="178"/>
    </row>
    <row r="1274" spans="1:58">
      <c r="A1274" s="95">
        <v>1273</v>
      </c>
      <c r="B1274" s="211" t="s">
        <v>1941</v>
      </c>
      <c r="C1274" s="191" t="s">
        <v>1834</v>
      </c>
      <c r="D1274" s="171" t="s">
        <v>252</v>
      </c>
      <c r="E1274" s="463" t="s">
        <v>3377</v>
      </c>
      <c r="F1274" s="171">
        <v>2008</v>
      </c>
      <c r="G1274" s="171">
        <v>298</v>
      </c>
      <c r="H1274" s="57"/>
      <c r="I1274" s="173" t="s">
        <v>1752</v>
      </c>
      <c r="J1274" s="212">
        <v>0.21</v>
      </c>
      <c r="K1274" s="213" t="s">
        <v>1839</v>
      </c>
      <c r="M1274" s="89"/>
      <c r="N1274" s="89"/>
      <c r="O1274" s="57"/>
      <c r="P1274" s="89"/>
      <c r="Q1274" s="88"/>
      <c r="R1274" s="89"/>
      <c r="S1274" s="89"/>
      <c r="T1274" s="89"/>
      <c r="U1274" s="89"/>
      <c r="V1274" s="104"/>
      <c r="W1274" s="87"/>
      <c r="X1274" s="87"/>
      <c r="Y1274" s="87"/>
      <c r="Z1274" s="87"/>
      <c r="AA1274" s="87"/>
      <c r="AB1274" s="17">
        <v>0</v>
      </c>
      <c r="AC1274" s="17">
        <v>0</v>
      </c>
      <c r="AD1274" s="87"/>
      <c r="AE1274" s="87"/>
      <c r="AF1274" s="17">
        <v>0</v>
      </c>
      <c r="AG1274" s="87"/>
      <c r="AH1274" s="17">
        <v>0</v>
      </c>
      <c r="AI1274" s="17">
        <v>0</v>
      </c>
      <c r="AJ1274" s="17">
        <v>0</v>
      </c>
      <c r="AK1274" s="17">
        <v>0</v>
      </c>
      <c r="AL1274" s="32">
        <v>0</v>
      </c>
      <c r="AM1274" s="57"/>
      <c r="AN1274" s="89"/>
      <c r="AO1274" s="280"/>
      <c r="AP1274" s="784"/>
      <c r="AQ1274" s="280"/>
      <c r="AR1274" s="280"/>
      <c r="AS1274" s="280"/>
      <c r="AT1274" s="280"/>
      <c r="AU1274" s="89"/>
      <c r="AV1274" s="172">
        <v>99</v>
      </c>
      <c r="AW1274" s="171">
        <v>0</v>
      </c>
      <c r="AX1274" s="171" t="s">
        <v>521</v>
      </c>
      <c r="AY1274" s="171">
        <v>20</v>
      </c>
      <c r="AZ1274" s="171">
        <v>0</v>
      </c>
      <c r="BA1274" s="89"/>
      <c r="BB1274" s="259"/>
      <c r="BC1274" s="190"/>
      <c r="BD1274" s="177"/>
      <c r="BE1274" s="177"/>
      <c r="BF1274" s="178"/>
    </row>
    <row r="1275" spans="1:58">
      <c r="A1275" s="95">
        <v>1274</v>
      </c>
      <c r="B1275" s="211" t="s">
        <v>1942</v>
      </c>
      <c r="C1275" s="191" t="s">
        <v>1834</v>
      </c>
      <c r="D1275" s="171" t="s">
        <v>252</v>
      </c>
      <c r="E1275" s="463" t="s">
        <v>3377</v>
      </c>
      <c r="F1275" s="171">
        <v>2008</v>
      </c>
      <c r="G1275" s="171">
        <v>298</v>
      </c>
      <c r="H1275" s="57"/>
      <c r="I1275" s="173" t="s">
        <v>1752</v>
      </c>
      <c r="J1275" s="212">
        <v>0.22</v>
      </c>
      <c r="K1275" s="213" t="s">
        <v>1839</v>
      </c>
      <c r="M1275" s="89"/>
      <c r="N1275" s="89"/>
      <c r="O1275" s="57"/>
      <c r="P1275" s="89"/>
      <c r="Q1275" s="88"/>
      <c r="R1275" s="89"/>
      <c r="S1275" s="89"/>
      <c r="T1275" s="89"/>
      <c r="U1275" s="89"/>
      <c r="V1275" s="104"/>
      <c r="W1275" s="87"/>
      <c r="X1275" s="87"/>
      <c r="Y1275" s="87"/>
      <c r="Z1275" s="87"/>
      <c r="AA1275" s="87"/>
      <c r="AB1275" s="17">
        <v>0</v>
      </c>
      <c r="AC1275" s="17">
        <v>0</v>
      </c>
      <c r="AD1275" s="87"/>
      <c r="AE1275" s="87"/>
      <c r="AF1275" s="17">
        <v>0</v>
      </c>
      <c r="AG1275" s="87"/>
      <c r="AH1275" s="17">
        <v>0</v>
      </c>
      <c r="AI1275" s="17">
        <v>0</v>
      </c>
      <c r="AJ1275" s="17">
        <v>0</v>
      </c>
      <c r="AK1275" s="17">
        <v>0</v>
      </c>
      <c r="AL1275" s="32">
        <v>0</v>
      </c>
      <c r="AM1275" s="57"/>
      <c r="AN1275" s="89"/>
      <c r="AO1275" s="280"/>
      <c r="AP1275" s="784"/>
      <c r="AQ1275" s="280"/>
      <c r="AR1275" s="280"/>
      <c r="AS1275" s="280"/>
      <c r="AT1275" s="280"/>
      <c r="AU1275" s="89"/>
      <c r="AV1275" s="172">
        <v>99</v>
      </c>
      <c r="AW1275" s="171">
        <v>0</v>
      </c>
      <c r="AX1275" s="171" t="s">
        <v>521</v>
      </c>
      <c r="AY1275" s="171">
        <v>20</v>
      </c>
      <c r="AZ1275" s="171">
        <v>0</v>
      </c>
      <c r="BA1275" s="89"/>
      <c r="BB1275" s="259"/>
      <c r="BC1275" s="190"/>
      <c r="BD1275" s="177"/>
      <c r="BE1275" s="177"/>
      <c r="BF1275" s="178"/>
    </row>
    <row r="1276" spans="1:58">
      <c r="A1276" s="95">
        <v>1275</v>
      </c>
      <c r="B1276" s="211" t="s">
        <v>1943</v>
      </c>
      <c r="C1276" s="191" t="s">
        <v>1834</v>
      </c>
      <c r="D1276" s="171" t="s">
        <v>252</v>
      </c>
      <c r="E1276" s="463" t="s">
        <v>3377</v>
      </c>
      <c r="F1276" s="171">
        <v>2008</v>
      </c>
      <c r="G1276" s="171">
        <v>298</v>
      </c>
      <c r="H1276" s="57"/>
      <c r="I1276" s="173" t="s">
        <v>1752</v>
      </c>
      <c r="J1276" s="212">
        <v>0.26</v>
      </c>
      <c r="K1276" s="213" t="s">
        <v>1839</v>
      </c>
      <c r="M1276" s="89"/>
      <c r="N1276" s="89"/>
      <c r="O1276" s="57"/>
      <c r="P1276" s="89"/>
      <c r="Q1276" s="88"/>
      <c r="R1276" s="89"/>
      <c r="S1276" s="89"/>
      <c r="T1276" s="89"/>
      <c r="U1276" s="89"/>
      <c r="V1276" s="104"/>
      <c r="W1276" s="87"/>
      <c r="X1276" s="87"/>
      <c r="Y1276" s="87"/>
      <c r="Z1276" s="87"/>
      <c r="AA1276" s="87"/>
      <c r="AB1276" s="17">
        <v>0</v>
      </c>
      <c r="AC1276" s="17">
        <v>0</v>
      </c>
      <c r="AD1276" s="87"/>
      <c r="AE1276" s="87"/>
      <c r="AF1276" s="17">
        <v>0</v>
      </c>
      <c r="AG1276" s="87"/>
      <c r="AH1276" s="17">
        <v>0</v>
      </c>
      <c r="AI1276" s="17">
        <v>0</v>
      </c>
      <c r="AJ1276" s="17">
        <v>0</v>
      </c>
      <c r="AK1276" s="17">
        <v>0</v>
      </c>
      <c r="AL1276" s="32">
        <v>0</v>
      </c>
      <c r="AM1276" s="57"/>
      <c r="AN1276" s="89"/>
      <c r="AO1276" s="280"/>
      <c r="AP1276" s="784"/>
      <c r="AQ1276" s="280"/>
      <c r="AR1276" s="280"/>
      <c r="AS1276" s="280"/>
      <c r="AT1276" s="280"/>
      <c r="AU1276" s="89"/>
      <c r="AV1276" s="172">
        <v>99</v>
      </c>
      <c r="AW1276" s="171">
        <v>0</v>
      </c>
      <c r="AX1276" s="171" t="s">
        <v>521</v>
      </c>
      <c r="AY1276" s="171">
        <v>20</v>
      </c>
      <c r="AZ1276" s="171">
        <v>0</v>
      </c>
      <c r="BA1276" s="89"/>
      <c r="BB1276" s="259"/>
      <c r="BC1276" s="190"/>
      <c r="BD1276" s="177"/>
      <c r="BE1276" s="177"/>
      <c r="BF1276" s="178"/>
    </row>
    <row r="1277" spans="1:58">
      <c r="A1277" s="95">
        <v>1276</v>
      </c>
      <c r="B1277" s="211" t="s">
        <v>1944</v>
      </c>
      <c r="C1277" s="191" t="s">
        <v>1834</v>
      </c>
      <c r="D1277" s="171" t="s">
        <v>252</v>
      </c>
      <c r="E1277" s="463" t="s">
        <v>3377</v>
      </c>
      <c r="F1277" s="171">
        <v>2008</v>
      </c>
      <c r="G1277" s="171">
        <v>298</v>
      </c>
      <c r="H1277" s="57"/>
      <c r="I1277" s="173" t="s">
        <v>1752</v>
      </c>
      <c r="J1277" s="212">
        <v>0.25</v>
      </c>
      <c r="K1277" s="213" t="s">
        <v>1839</v>
      </c>
      <c r="M1277" s="89"/>
      <c r="N1277" s="89"/>
      <c r="O1277" s="57"/>
      <c r="P1277" s="89"/>
      <c r="Q1277" s="88"/>
      <c r="R1277" s="89"/>
      <c r="S1277" s="89"/>
      <c r="T1277" s="89"/>
      <c r="U1277" s="89"/>
      <c r="V1277" s="104"/>
      <c r="W1277" s="87"/>
      <c r="X1277" s="87"/>
      <c r="Y1277" s="87"/>
      <c r="Z1277" s="87"/>
      <c r="AA1277" s="87"/>
      <c r="AB1277" s="17">
        <v>0</v>
      </c>
      <c r="AC1277" s="17">
        <v>0</v>
      </c>
      <c r="AD1277" s="87"/>
      <c r="AE1277" s="87"/>
      <c r="AF1277" s="17">
        <v>0</v>
      </c>
      <c r="AG1277" s="87"/>
      <c r="AH1277" s="17">
        <v>0</v>
      </c>
      <c r="AI1277" s="17">
        <v>0</v>
      </c>
      <c r="AJ1277" s="17">
        <v>0</v>
      </c>
      <c r="AK1277" s="17">
        <v>0</v>
      </c>
      <c r="AL1277" s="32">
        <v>0</v>
      </c>
      <c r="AM1277" s="57"/>
      <c r="AN1277" s="89"/>
      <c r="AO1277" s="280"/>
      <c r="AP1277" s="784"/>
      <c r="AQ1277" s="280"/>
      <c r="AR1277" s="280"/>
      <c r="AS1277" s="280"/>
      <c r="AT1277" s="280"/>
      <c r="AU1277" s="89"/>
      <c r="AV1277" s="172">
        <v>99</v>
      </c>
      <c r="AW1277" s="171">
        <v>0</v>
      </c>
      <c r="AX1277" s="171" t="s">
        <v>521</v>
      </c>
      <c r="AY1277" s="171">
        <v>20</v>
      </c>
      <c r="AZ1277" s="171">
        <v>0</v>
      </c>
      <c r="BA1277" s="89"/>
      <c r="BB1277" s="259"/>
      <c r="BC1277" s="190"/>
      <c r="BD1277" s="177"/>
      <c r="BE1277" s="177"/>
      <c r="BF1277" s="178"/>
    </row>
    <row r="1278" spans="1:58" ht="15" customHeight="1">
      <c r="A1278" s="95">
        <v>1277</v>
      </c>
      <c r="B1278" s="211" t="s">
        <v>1945</v>
      </c>
      <c r="C1278" s="191" t="s">
        <v>1834</v>
      </c>
      <c r="D1278" s="171" t="s">
        <v>252</v>
      </c>
      <c r="E1278" s="463" t="s">
        <v>3377</v>
      </c>
      <c r="F1278" s="171">
        <v>2008</v>
      </c>
      <c r="G1278" s="171">
        <v>298</v>
      </c>
      <c r="H1278" s="57"/>
      <c r="I1278" s="173" t="s">
        <v>1743</v>
      </c>
      <c r="J1278" s="212">
        <v>0.2</v>
      </c>
      <c r="K1278" s="213" t="s">
        <v>2302</v>
      </c>
      <c r="M1278" s="89"/>
      <c r="N1278" s="89"/>
      <c r="O1278" s="57"/>
      <c r="P1278" s="89"/>
      <c r="Q1278" s="88"/>
      <c r="R1278" s="89"/>
      <c r="S1278" s="89"/>
      <c r="T1278" s="89"/>
      <c r="U1278" s="89"/>
      <c r="V1278" s="104"/>
      <c r="W1278" s="87"/>
      <c r="X1278" s="87"/>
      <c r="Y1278" s="87"/>
      <c r="Z1278" s="87"/>
      <c r="AA1278" s="87"/>
      <c r="AB1278" s="17">
        <v>0</v>
      </c>
      <c r="AC1278" s="17">
        <v>0</v>
      </c>
      <c r="AD1278" s="87"/>
      <c r="AE1278" s="87"/>
      <c r="AF1278" s="17">
        <v>0</v>
      </c>
      <c r="AG1278" s="87"/>
      <c r="AH1278" s="17">
        <v>0</v>
      </c>
      <c r="AI1278" s="17">
        <v>0</v>
      </c>
      <c r="AJ1278" s="17">
        <v>0</v>
      </c>
      <c r="AK1278" s="17">
        <v>0</v>
      </c>
      <c r="AL1278" s="32">
        <v>0</v>
      </c>
      <c r="AM1278" s="57"/>
      <c r="AN1278" s="89"/>
      <c r="AO1278" s="280"/>
      <c r="AP1278" s="784"/>
      <c r="AQ1278" s="280"/>
      <c r="AR1278" s="280"/>
      <c r="AS1278" s="280"/>
      <c r="AT1278" s="280"/>
      <c r="AU1278" s="89"/>
      <c r="AV1278" s="172">
        <v>99</v>
      </c>
      <c r="AW1278" s="171">
        <v>0</v>
      </c>
      <c r="AX1278" s="171" t="s">
        <v>521</v>
      </c>
      <c r="AY1278" s="171">
        <v>20</v>
      </c>
      <c r="AZ1278" s="171">
        <v>0</v>
      </c>
      <c r="BA1278" s="175">
        <v>60</v>
      </c>
      <c r="BB1278" s="259"/>
      <c r="BC1278" s="190"/>
      <c r="BD1278" s="177"/>
      <c r="BE1278" s="177"/>
      <c r="BF1278" s="178"/>
    </row>
    <row r="1279" spans="1:58" ht="15" customHeight="1">
      <c r="A1279" s="95">
        <v>1278</v>
      </c>
      <c r="B1279" s="211" t="s">
        <v>1946</v>
      </c>
      <c r="C1279" s="191" t="s">
        <v>1834</v>
      </c>
      <c r="D1279" s="171" t="s">
        <v>252</v>
      </c>
      <c r="E1279" s="463" t="s">
        <v>3377</v>
      </c>
      <c r="F1279" s="171">
        <v>2008</v>
      </c>
      <c r="G1279" s="171">
        <v>298</v>
      </c>
      <c r="H1279" s="57"/>
      <c r="I1279" s="173" t="s">
        <v>1743</v>
      </c>
      <c r="J1279" s="212">
        <v>0.2</v>
      </c>
      <c r="K1279" s="213" t="s">
        <v>2302</v>
      </c>
      <c r="M1279" s="89"/>
      <c r="N1279" s="89"/>
      <c r="O1279" s="57"/>
      <c r="P1279" s="89"/>
      <c r="Q1279" s="88"/>
      <c r="R1279" s="89"/>
      <c r="S1279" s="89"/>
      <c r="T1279" s="89"/>
      <c r="U1279" s="89"/>
      <c r="V1279" s="104"/>
      <c r="W1279" s="87"/>
      <c r="X1279" s="87"/>
      <c r="Y1279" s="87"/>
      <c r="Z1279" s="87"/>
      <c r="AA1279" s="87"/>
      <c r="AB1279" s="17">
        <v>0</v>
      </c>
      <c r="AC1279" s="17">
        <v>0</v>
      </c>
      <c r="AD1279" s="87"/>
      <c r="AE1279" s="87"/>
      <c r="AF1279" s="17">
        <v>0</v>
      </c>
      <c r="AG1279" s="87"/>
      <c r="AH1279" s="17">
        <v>0</v>
      </c>
      <c r="AI1279" s="17">
        <v>0</v>
      </c>
      <c r="AJ1279" s="17">
        <v>0</v>
      </c>
      <c r="AK1279" s="17">
        <v>0</v>
      </c>
      <c r="AL1279" s="32">
        <v>0</v>
      </c>
      <c r="AM1279" s="57"/>
      <c r="AN1279" s="89"/>
      <c r="AO1279" s="280"/>
      <c r="AP1279" s="784"/>
      <c r="AQ1279" s="280"/>
      <c r="AR1279" s="280"/>
      <c r="AS1279" s="280"/>
      <c r="AT1279" s="280"/>
      <c r="AU1279" s="89"/>
      <c r="AV1279" s="172">
        <v>99</v>
      </c>
      <c r="AW1279" s="171">
        <v>0</v>
      </c>
      <c r="AX1279" s="171" t="s">
        <v>521</v>
      </c>
      <c r="AY1279" s="171">
        <v>20</v>
      </c>
      <c r="AZ1279" s="171">
        <v>0</v>
      </c>
      <c r="BA1279" s="175">
        <v>60</v>
      </c>
      <c r="BB1279" s="259"/>
      <c r="BC1279" s="190"/>
      <c r="BD1279" s="177"/>
      <c r="BE1279" s="177"/>
      <c r="BF1279" s="178"/>
    </row>
    <row r="1280" spans="1:58" ht="15" customHeight="1">
      <c r="A1280" s="95">
        <v>1279</v>
      </c>
      <c r="B1280" s="211" t="s">
        <v>1947</v>
      </c>
      <c r="C1280" s="191" t="s">
        <v>1834</v>
      </c>
      <c r="D1280" s="171" t="s">
        <v>252</v>
      </c>
      <c r="E1280" s="463" t="s">
        <v>3377</v>
      </c>
      <c r="F1280" s="171">
        <v>2008</v>
      </c>
      <c r="G1280" s="171">
        <v>298</v>
      </c>
      <c r="H1280" s="57"/>
      <c r="I1280" s="173" t="s">
        <v>1743</v>
      </c>
      <c r="J1280" s="212">
        <v>0.2</v>
      </c>
      <c r="K1280" s="213" t="s">
        <v>2302</v>
      </c>
      <c r="M1280" s="89"/>
      <c r="N1280" s="89"/>
      <c r="O1280" s="57"/>
      <c r="P1280" s="89"/>
      <c r="Q1280" s="88"/>
      <c r="R1280" s="89"/>
      <c r="S1280" s="89"/>
      <c r="T1280" s="89"/>
      <c r="U1280" s="89"/>
      <c r="V1280" s="104"/>
      <c r="W1280" s="87"/>
      <c r="X1280" s="87"/>
      <c r="Y1280" s="87"/>
      <c r="Z1280" s="87"/>
      <c r="AA1280" s="87"/>
      <c r="AB1280" s="17">
        <v>0</v>
      </c>
      <c r="AC1280" s="17">
        <v>0</v>
      </c>
      <c r="AD1280" s="87"/>
      <c r="AE1280" s="87"/>
      <c r="AF1280" s="17">
        <v>0</v>
      </c>
      <c r="AG1280" s="87"/>
      <c r="AH1280" s="17">
        <v>0</v>
      </c>
      <c r="AI1280" s="17">
        <v>0</v>
      </c>
      <c r="AJ1280" s="17">
        <v>0</v>
      </c>
      <c r="AK1280" s="17">
        <v>0</v>
      </c>
      <c r="AL1280" s="32">
        <v>0</v>
      </c>
      <c r="AM1280" s="57"/>
      <c r="AN1280" s="89"/>
      <c r="AO1280" s="280"/>
      <c r="AP1280" s="784"/>
      <c r="AQ1280" s="280"/>
      <c r="AR1280" s="280"/>
      <c r="AS1280" s="280"/>
      <c r="AT1280" s="280"/>
      <c r="AU1280" s="89"/>
      <c r="AV1280" s="172">
        <v>99</v>
      </c>
      <c r="AW1280" s="171">
        <v>0</v>
      </c>
      <c r="AX1280" s="171" t="s">
        <v>521</v>
      </c>
      <c r="AY1280" s="171">
        <v>20</v>
      </c>
      <c r="AZ1280" s="171">
        <v>0</v>
      </c>
      <c r="BA1280" s="175">
        <v>60</v>
      </c>
      <c r="BB1280" s="259"/>
      <c r="BC1280" s="190"/>
      <c r="BD1280" s="177"/>
      <c r="BE1280" s="177"/>
      <c r="BF1280" s="178"/>
    </row>
    <row r="1281" spans="1:58" ht="15" customHeight="1">
      <c r="A1281" s="95">
        <v>1280</v>
      </c>
      <c r="B1281" s="211" t="s">
        <v>1948</v>
      </c>
      <c r="C1281" s="191" t="s">
        <v>1834</v>
      </c>
      <c r="D1281" s="171" t="s">
        <v>252</v>
      </c>
      <c r="E1281" s="463" t="s">
        <v>3377</v>
      </c>
      <c r="F1281" s="171">
        <v>2008</v>
      </c>
      <c r="G1281" s="171">
        <v>298</v>
      </c>
      <c r="H1281" s="57"/>
      <c r="I1281" s="173" t="s">
        <v>1743</v>
      </c>
      <c r="J1281" s="212">
        <v>0.2</v>
      </c>
      <c r="K1281" s="213" t="s">
        <v>2302</v>
      </c>
      <c r="M1281" s="89"/>
      <c r="N1281" s="89"/>
      <c r="O1281" s="57"/>
      <c r="P1281" s="89"/>
      <c r="Q1281" s="88"/>
      <c r="R1281" s="89"/>
      <c r="S1281" s="89"/>
      <c r="T1281" s="89"/>
      <c r="U1281" s="89"/>
      <c r="V1281" s="104"/>
      <c r="W1281" s="87"/>
      <c r="X1281" s="87"/>
      <c r="Y1281" s="87"/>
      <c r="Z1281" s="87"/>
      <c r="AA1281" s="87"/>
      <c r="AB1281" s="17">
        <v>0</v>
      </c>
      <c r="AC1281" s="17">
        <v>0</v>
      </c>
      <c r="AD1281" s="87"/>
      <c r="AE1281" s="87"/>
      <c r="AF1281" s="17">
        <v>0</v>
      </c>
      <c r="AG1281" s="87"/>
      <c r="AH1281" s="17">
        <v>0</v>
      </c>
      <c r="AI1281" s="17">
        <v>0</v>
      </c>
      <c r="AJ1281" s="17">
        <v>0</v>
      </c>
      <c r="AK1281" s="17">
        <v>0</v>
      </c>
      <c r="AL1281" s="32">
        <v>0</v>
      </c>
      <c r="AM1281" s="57"/>
      <c r="AN1281" s="89"/>
      <c r="AO1281" s="280"/>
      <c r="AP1281" s="784"/>
      <c r="AQ1281" s="280"/>
      <c r="AR1281" s="280"/>
      <c r="AS1281" s="280"/>
      <c r="AT1281" s="280"/>
      <c r="AU1281" s="89"/>
      <c r="AV1281" s="172">
        <v>99</v>
      </c>
      <c r="AW1281" s="171">
        <v>0</v>
      </c>
      <c r="AX1281" s="171" t="s">
        <v>521</v>
      </c>
      <c r="AY1281" s="171">
        <v>20</v>
      </c>
      <c r="AZ1281" s="171">
        <v>0</v>
      </c>
      <c r="BA1281" s="175">
        <v>60</v>
      </c>
      <c r="BB1281" s="259"/>
      <c r="BC1281" s="190"/>
      <c r="BD1281" s="177"/>
      <c r="BE1281" s="177"/>
      <c r="BF1281" s="178"/>
    </row>
    <row r="1282" spans="1:58" ht="15" customHeight="1">
      <c r="A1282" s="95">
        <v>1281</v>
      </c>
      <c r="B1282" s="211" t="s">
        <v>1949</v>
      </c>
      <c r="C1282" s="191" t="s">
        <v>1834</v>
      </c>
      <c r="D1282" s="171" t="s">
        <v>252</v>
      </c>
      <c r="E1282" s="463" t="s">
        <v>3377</v>
      </c>
      <c r="F1282" s="171">
        <v>2008</v>
      </c>
      <c r="G1282" s="171">
        <v>298</v>
      </c>
      <c r="H1282" s="57"/>
      <c r="I1282" s="173" t="s">
        <v>1743</v>
      </c>
      <c r="J1282" s="212">
        <v>0.22</v>
      </c>
      <c r="K1282" s="213" t="s">
        <v>2302</v>
      </c>
      <c r="M1282" s="89"/>
      <c r="N1282" s="89"/>
      <c r="O1282" s="57"/>
      <c r="P1282" s="89"/>
      <c r="Q1282" s="88"/>
      <c r="R1282" s="89"/>
      <c r="S1282" s="89"/>
      <c r="T1282" s="89"/>
      <c r="U1282" s="89"/>
      <c r="V1282" s="104"/>
      <c r="W1282" s="87"/>
      <c r="X1282" s="87"/>
      <c r="Y1282" s="87"/>
      <c r="Z1282" s="87"/>
      <c r="AA1282" s="87"/>
      <c r="AB1282" s="17">
        <v>0</v>
      </c>
      <c r="AC1282" s="17">
        <v>0</v>
      </c>
      <c r="AD1282" s="87"/>
      <c r="AE1282" s="87"/>
      <c r="AF1282" s="17">
        <v>0</v>
      </c>
      <c r="AG1282" s="87"/>
      <c r="AH1282" s="17">
        <v>0</v>
      </c>
      <c r="AI1282" s="17">
        <v>0</v>
      </c>
      <c r="AJ1282" s="17">
        <v>0</v>
      </c>
      <c r="AK1282" s="17">
        <v>0</v>
      </c>
      <c r="AL1282" s="32">
        <v>0</v>
      </c>
      <c r="AM1282" s="57"/>
      <c r="AN1282" s="89"/>
      <c r="AO1282" s="280"/>
      <c r="AP1282" s="784"/>
      <c r="AQ1282" s="280"/>
      <c r="AR1282" s="280"/>
      <c r="AS1282" s="280"/>
      <c r="AT1282" s="280"/>
      <c r="AU1282" s="89"/>
      <c r="AV1282" s="172">
        <v>99</v>
      </c>
      <c r="AW1282" s="171">
        <v>0</v>
      </c>
      <c r="AX1282" s="171" t="s">
        <v>521</v>
      </c>
      <c r="AY1282" s="171">
        <v>20</v>
      </c>
      <c r="AZ1282" s="171">
        <v>0</v>
      </c>
      <c r="BA1282" s="175">
        <v>60</v>
      </c>
      <c r="BB1282" s="259"/>
      <c r="BC1282" s="190"/>
      <c r="BD1282" s="177"/>
      <c r="BE1282" s="177"/>
      <c r="BF1282" s="178"/>
    </row>
    <row r="1283" spans="1:58" ht="15" customHeight="1">
      <c r="A1283" s="95">
        <v>1282</v>
      </c>
      <c r="B1283" s="211" t="s">
        <v>1950</v>
      </c>
      <c r="C1283" s="191" t="s">
        <v>1834</v>
      </c>
      <c r="D1283" s="171" t="s">
        <v>252</v>
      </c>
      <c r="E1283" s="463" t="s">
        <v>3377</v>
      </c>
      <c r="F1283" s="171">
        <v>2008</v>
      </c>
      <c r="G1283" s="171">
        <v>298</v>
      </c>
      <c r="H1283" s="57"/>
      <c r="I1283" s="173" t="s">
        <v>1743</v>
      </c>
      <c r="J1283" s="212">
        <v>0.25</v>
      </c>
      <c r="K1283" s="213" t="s">
        <v>2302</v>
      </c>
      <c r="M1283" s="89"/>
      <c r="N1283" s="89"/>
      <c r="O1283" s="57"/>
      <c r="P1283" s="89"/>
      <c r="Q1283" s="88"/>
      <c r="R1283" s="89"/>
      <c r="S1283" s="89"/>
      <c r="T1283" s="89"/>
      <c r="U1283" s="89"/>
      <c r="V1283" s="104"/>
      <c r="W1283" s="87"/>
      <c r="X1283" s="87"/>
      <c r="Y1283" s="87"/>
      <c r="Z1283" s="87"/>
      <c r="AA1283" s="87"/>
      <c r="AB1283" s="17">
        <v>0</v>
      </c>
      <c r="AC1283" s="17">
        <v>0</v>
      </c>
      <c r="AD1283" s="87"/>
      <c r="AE1283" s="87"/>
      <c r="AF1283" s="17">
        <v>0</v>
      </c>
      <c r="AG1283" s="87"/>
      <c r="AH1283" s="17">
        <v>0</v>
      </c>
      <c r="AI1283" s="17">
        <v>0</v>
      </c>
      <c r="AJ1283" s="17">
        <v>0</v>
      </c>
      <c r="AK1283" s="17">
        <v>0</v>
      </c>
      <c r="AL1283" s="32">
        <v>0</v>
      </c>
      <c r="AM1283" s="57"/>
      <c r="AN1283" s="89"/>
      <c r="AO1283" s="280"/>
      <c r="AP1283" s="784"/>
      <c r="AQ1283" s="280"/>
      <c r="AR1283" s="280"/>
      <c r="AS1283" s="280"/>
      <c r="AT1283" s="280"/>
      <c r="AU1283" s="89"/>
      <c r="AV1283" s="172">
        <v>99</v>
      </c>
      <c r="AW1283" s="171">
        <v>0</v>
      </c>
      <c r="AX1283" s="171" t="s">
        <v>521</v>
      </c>
      <c r="AY1283" s="171">
        <v>20</v>
      </c>
      <c r="AZ1283" s="171">
        <v>0</v>
      </c>
      <c r="BA1283" s="175">
        <v>60</v>
      </c>
      <c r="BB1283" s="259"/>
      <c r="BC1283" s="190"/>
      <c r="BD1283" s="177"/>
      <c r="BE1283" s="177"/>
      <c r="BF1283" s="178"/>
    </row>
    <row r="1284" spans="1:58" ht="15" customHeight="1">
      <c r="A1284" s="95">
        <v>1283</v>
      </c>
      <c r="B1284" s="211" t="s">
        <v>1951</v>
      </c>
      <c r="C1284" s="191" t="s">
        <v>1834</v>
      </c>
      <c r="D1284" s="171" t="s">
        <v>252</v>
      </c>
      <c r="E1284" s="463" t="s">
        <v>3377</v>
      </c>
      <c r="F1284" s="171">
        <v>2008</v>
      </c>
      <c r="G1284" s="171">
        <v>298</v>
      </c>
      <c r="H1284" s="57"/>
      <c r="I1284" s="173" t="s">
        <v>1743</v>
      </c>
      <c r="J1284" s="212">
        <v>0.2</v>
      </c>
      <c r="K1284" s="213" t="s">
        <v>2302</v>
      </c>
      <c r="M1284" s="89"/>
      <c r="N1284" s="89"/>
      <c r="O1284" s="57"/>
      <c r="P1284" s="89"/>
      <c r="Q1284" s="88"/>
      <c r="R1284" s="89"/>
      <c r="S1284" s="89"/>
      <c r="T1284" s="89"/>
      <c r="U1284" s="89"/>
      <c r="V1284" s="104"/>
      <c r="W1284" s="87"/>
      <c r="X1284" s="87"/>
      <c r="Y1284" s="87"/>
      <c r="Z1284" s="87"/>
      <c r="AA1284" s="87"/>
      <c r="AB1284" s="17">
        <v>0</v>
      </c>
      <c r="AC1284" s="17">
        <v>0</v>
      </c>
      <c r="AD1284" s="87"/>
      <c r="AE1284" s="87"/>
      <c r="AF1284" s="17">
        <v>0</v>
      </c>
      <c r="AG1284" s="87"/>
      <c r="AH1284" s="17">
        <v>0</v>
      </c>
      <c r="AI1284" s="17">
        <v>0</v>
      </c>
      <c r="AJ1284" s="17">
        <v>0</v>
      </c>
      <c r="AK1284" s="17">
        <v>0</v>
      </c>
      <c r="AL1284" s="32">
        <v>0</v>
      </c>
      <c r="AM1284" s="57"/>
      <c r="AN1284" s="89"/>
      <c r="AO1284" s="280"/>
      <c r="AP1284" s="784"/>
      <c r="AQ1284" s="280"/>
      <c r="AR1284" s="280"/>
      <c r="AS1284" s="280"/>
      <c r="AT1284" s="280"/>
      <c r="AU1284" s="89"/>
      <c r="AV1284" s="172">
        <v>99</v>
      </c>
      <c r="AW1284" s="171">
        <v>0</v>
      </c>
      <c r="AX1284" s="171" t="s">
        <v>521</v>
      </c>
      <c r="AY1284" s="171">
        <v>20</v>
      </c>
      <c r="AZ1284" s="171">
        <v>0</v>
      </c>
      <c r="BA1284" s="175">
        <v>60</v>
      </c>
      <c r="BB1284" s="259"/>
      <c r="BC1284" s="190"/>
      <c r="BD1284" s="177"/>
      <c r="BE1284" s="177"/>
      <c r="BF1284" s="178"/>
    </row>
    <row r="1285" spans="1:58" ht="15" customHeight="1">
      <c r="A1285" s="95">
        <v>1284</v>
      </c>
      <c r="B1285" s="211" t="s">
        <v>1952</v>
      </c>
      <c r="C1285" s="191" t="s">
        <v>1834</v>
      </c>
      <c r="D1285" s="171" t="s">
        <v>252</v>
      </c>
      <c r="E1285" s="463" t="s">
        <v>3377</v>
      </c>
      <c r="F1285" s="171">
        <v>2008</v>
      </c>
      <c r="G1285" s="171">
        <v>298</v>
      </c>
      <c r="H1285" s="57"/>
      <c r="I1285" s="173" t="s">
        <v>1743</v>
      </c>
      <c r="J1285" s="212">
        <v>0.2</v>
      </c>
      <c r="K1285" s="213" t="s">
        <v>2302</v>
      </c>
      <c r="M1285" s="89"/>
      <c r="N1285" s="89"/>
      <c r="O1285" s="57"/>
      <c r="P1285" s="89"/>
      <c r="Q1285" s="88"/>
      <c r="R1285" s="89"/>
      <c r="S1285" s="89"/>
      <c r="T1285" s="89"/>
      <c r="U1285" s="89"/>
      <c r="V1285" s="104"/>
      <c r="W1285" s="87"/>
      <c r="X1285" s="87"/>
      <c r="Y1285" s="87"/>
      <c r="Z1285" s="87"/>
      <c r="AA1285" s="87"/>
      <c r="AB1285" s="17">
        <v>0</v>
      </c>
      <c r="AC1285" s="17">
        <v>0</v>
      </c>
      <c r="AD1285" s="87"/>
      <c r="AE1285" s="87"/>
      <c r="AF1285" s="17">
        <v>0</v>
      </c>
      <c r="AG1285" s="87"/>
      <c r="AH1285" s="17">
        <v>0</v>
      </c>
      <c r="AI1285" s="17">
        <v>0</v>
      </c>
      <c r="AJ1285" s="17">
        <v>0</v>
      </c>
      <c r="AK1285" s="17">
        <v>0</v>
      </c>
      <c r="AL1285" s="32">
        <v>0</v>
      </c>
      <c r="AM1285" s="57"/>
      <c r="AN1285" s="89"/>
      <c r="AO1285" s="280"/>
      <c r="AP1285" s="784"/>
      <c r="AQ1285" s="280"/>
      <c r="AR1285" s="280"/>
      <c r="AS1285" s="280"/>
      <c r="AT1285" s="280"/>
      <c r="AU1285" s="89"/>
      <c r="AV1285" s="172">
        <v>99</v>
      </c>
      <c r="AW1285" s="171">
        <v>0</v>
      </c>
      <c r="AX1285" s="171" t="s">
        <v>521</v>
      </c>
      <c r="AY1285" s="171">
        <v>20</v>
      </c>
      <c r="AZ1285" s="171">
        <v>0</v>
      </c>
      <c r="BA1285" s="175">
        <v>60</v>
      </c>
      <c r="BB1285" s="259"/>
      <c r="BC1285" s="190"/>
      <c r="BD1285" s="177"/>
      <c r="BE1285" s="177"/>
      <c r="BF1285" s="178"/>
    </row>
    <row r="1286" spans="1:58" ht="15" customHeight="1">
      <c r="A1286" s="95">
        <v>1285</v>
      </c>
      <c r="B1286" s="211" t="s">
        <v>1953</v>
      </c>
      <c r="C1286" s="191" t="s">
        <v>1818</v>
      </c>
      <c r="D1286" s="171" t="s">
        <v>165</v>
      </c>
      <c r="E1286" s="463" t="s">
        <v>3377</v>
      </c>
      <c r="F1286" s="171">
        <v>2005</v>
      </c>
      <c r="G1286" s="171">
        <v>299</v>
      </c>
      <c r="H1286" s="172" t="s">
        <v>1738</v>
      </c>
      <c r="I1286" s="173" t="s">
        <v>1743</v>
      </c>
      <c r="J1286" s="212">
        <v>0.45</v>
      </c>
      <c r="K1286" s="213">
        <v>0</v>
      </c>
      <c r="L1286" s="91"/>
      <c r="M1286" s="171">
        <v>565</v>
      </c>
      <c r="N1286" s="171"/>
      <c r="O1286" s="172" t="s">
        <v>12</v>
      </c>
      <c r="P1286" s="92"/>
      <c r="Q1286" s="173" t="s">
        <v>273</v>
      </c>
      <c r="R1286" s="171" t="s">
        <v>2733</v>
      </c>
      <c r="S1286" s="89"/>
      <c r="T1286" s="214" t="s">
        <v>2306</v>
      </c>
      <c r="U1286" s="214" t="s">
        <v>2310</v>
      </c>
      <c r="V1286" s="102">
        <v>0</v>
      </c>
      <c r="W1286" s="120">
        <v>0</v>
      </c>
      <c r="X1286" s="120">
        <v>0</v>
      </c>
      <c r="Y1286" s="120">
        <v>0</v>
      </c>
      <c r="Z1286" s="120">
        <v>0</v>
      </c>
      <c r="AA1286" s="17">
        <v>0</v>
      </c>
      <c r="AB1286" s="17">
        <v>0</v>
      </c>
      <c r="AC1286" s="17">
        <v>0</v>
      </c>
      <c r="AD1286" s="17">
        <v>0</v>
      </c>
      <c r="AE1286" s="17">
        <v>0</v>
      </c>
      <c r="AF1286" s="17">
        <v>0</v>
      </c>
      <c r="AG1286" s="17">
        <v>0</v>
      </c>
      <c r="AH1286" s="17">
        <v>0</v>
      </c>
      <c r="AI1286" s="17">
        <v>0</v>
      </c>
      <c r="AJ1286" s="17">
        <v>0</v>
      </c>
      <c r="AK1286" s="17">
        <v>0</v>
      </c>
      <c r="AL1286" s="32">
        <v>0</v>
      </c>
      <c r="AM1286" s="57"/>
      <c r="AN1286" s="89"/>
      <c r="AO1286" s="280"/>
      <c r="AP1286" s="784"/>
      <c r="AQ1286" s="17" t="s">
        <v>1131</v>
      </c>
      <c r="AR1286" s="174">
        <v>40</v>
      </c>
      <c r="AS1286" s="280"/>
      <c r="AT1286" s="171">
        <v>160</v>
      </c>
      <c r="AU1286" s="255">
        <f t="shared" ref="AU1286:AU1295" si="98">IF(ISBLANK(AS1286),(AR1286*AT1286)/((4*AT1286)+(2*AR1286)),AR1286*AS1286*AT1286/2/(AR1286*AS1286+AR1286*AT1286+AS1286*AT1286))</f>
        <v>8.8888888888888893</v>
      </c>
      <c r="AV1286" s="172">
        <v>99</v>
      </c>
      <c r="AW1286" s="171">
        <v>28</v>
      </c>
      <c r="AX1286" s="89"/>
      <c r="AY1286" s="171">
        <v>20</v>
      </c>
      <c r="AZ1286" s="171">
        <v>0</v>
      </c>
      <c r="BA1286" s="175">
        <v>60</v>
      </c>
      <c r="BB1286" s="259"/>
      <c r="BC1286" s="190"/>
      <c r="BD1286" s="177"/>
      <c r="BE1286" s="177"/>
      <c r="BF1286" s="178" t="s">
        <v>1819</v>
      </c>
    </row>
    <row r="1287" spans="1:58" ht="15" customHeight="1">
      <c r="A1287" s="95">
        <v>1286</v>
      </c>
      <c r="B1287" s="211" t="s">
        <v>1954</v>
      </c>
      <c r="C1287" s="191" t="s">
        <v>1818</v>
      </c>
      <c r="D1287" s="171" t="s">
        <v>165</v>
      </c>
      <c r="E1287" s="463" t="s">
        <v>3377</v>
      </c>
      <c r="F1287" s="171">
        <v>2005</v>
      </c>
      <c r="G1287" s="171">
        <v>299</v>
      </c>
      <c r="H1287" s="172" t="s">
        <v>1738</v>
      </c>
      <c r="I1287" s="173" t="s">
        <v>1743</v>
      </c>
      <c r="J1287" s="212">
        <v>0.6</v>
      </c>
      <c r="K1287" s="213">
        <v>0</v>
      </c>
      <c r="L1287" s="91"/>
      <c r="M1287" s="171">
        <v>452</v>
      </c>
      <c r="N1287" s="171"/>
      <c r="O1287" s="172" t="s">
        <v>12</v>
      </c>
      <c r="P1287" s="92"/>
      <c r="Q1287" s="173" t="s">
        <v>273</v>
      </c>
      <c r="R1287" s="171" t="s">
        <v>2733</v>
      </c>
      <c r="S1287" s="89"/>
      <c r="T1287" s="214" t="s">
        <v>2306</v>
      </c>
      <c r="U1287" s="214" t="s">
        <v>2310</v>
      </c>
      <c r="V1287" s="102">
        <v>0</v>
      </c>
      <c r="W1287" s="120">
        <v>0</v>
      </c>
      <c r="X1287" s="120">
        <v>0</v>
      </c>
      <c r="Y1287" s="120">
        <v>0</v>
      </c>
      <c r="Z1287" s="120">
        <v>0</v>
      </c>
      <c r="AA1287" s="17">
        <v>0</v>
      </c>
      <c r="AB1287" s="17">
        <v>0</v>
      </c>
      <c r="AC1287" s="17">
        <v>0</v>
      </c>
      <c r="AD1287" s="17">
        <v>0</v>
      </c>
      <c r="AE1287" s="17">
        <v>0</v>
      </c>
      <c r="AF1287" s="17">
        <v>0</v>
      </c>
      <c r="AG1287" s="17">
        <v>0</v>
      </c>
      <c r="AH1287" s="17">
        <v>0</v>
      </c>
      <c r="AI1287" s="17">
        <v>0</v>
      </c>
      <c r="AJ1287" s="17">
        <v>0</v>
      </c>
      <c r="AK1287" s="17">
        <v>0</v>
      </c>
      <c r="AL1287" s="32">
        <v>0</v>
      </c>
      <c r="AM1287" s="57"/>
      <c r="AN1287" s="89"/>
      <c r="AO1287" s="280"/>
      <c r="AP1287" s="784"/>
      <c r="AQ1287" s="17" t="s">
        <v>1131</v>
      </c>
      <c r="AR1287" s="174">
        <v>40</v>
      </c>
      <c r="AS1287" s="280"/>
      <c r="AT1287" s="171">
        <v>160</v>
      </c>
      <c r="AU1287" s="255">
        <f t="shared" si="98"/>
        <v>8.8888888888888893</v>
      </c>
      <c r="AV1287" s="172">
        <v>99</v>
      </c>
      <c r="AW1287" s="171">
        <v>28</v>
      </c>
      <c r="AX1287" s="89"/>
      <c r="AY1287" s="171">
        <v>20</v>
      </c>
      <c r="AZ1287" s="171">
        <v>0</v>
      </c>
      <c r="BA1287" s="175">
        <v>60</v>
      </c>
      <c r="BB1287" s="259"/>
      <c r="BC1287" s="190"/>
      <c r="BD1287" s="177"/>
      <c r="BE1287" s="177"/>
      <c r="BF1287" s="178" t="s">
        <v>1820</v>
      </c>
    </row>
    <row r="1288" spans="1:58" ht="15" customHeight="1">
      <c r="A1288" s="95">
        <v>1287</v>
      </c>
      <c r="B1288" s="211" t="s">
        <v>1955</v>
      </c>
      <c r="C1288" s="191" t="s">
        <v>1818</v>
      </c>
      <c r="D1288" s="171" t="s">
        <v>165</v>
      </c>
      <c r="E1288" s="463" t="s">
        <v>3377</v>
      </c>
      <c r="F1288" s="171">
        <v>2005</v>
      </c>
      <c r="G1288" s="171">
        <v>299</v>
      </c>
      <c r="H1288" s="172" t="s">
        <v>1738</v>
      </c>
      <c r="I1288" s="173" t="s">
        <v>1743</v>
      </c>
      <c r="J1288" s="212">
        <v>0.45</v>
      </c>
      <c r="K1288" s="213">
        <v>5.83</v>
      </c>
      <c r="L1288" s="91"/>
      <c r="M1288" s="171">
        <v>565</v>
      </c>
      <c r="N1288" s="171"/>
      <c r="O1288" s="172" t="s">
        <v>12</v>
      </c>
      <c r="P1288" s="92"/>
      <c r="Q1288" s="173" t="s">
        <v>273</v>
      </c>
      <c r="R1288" s="171" t="s">
        <v>2733</v>
      </c>
      <c r="S1288" s="89"/>
      <c r="T1288" s="214" t="s">
        <v>2306</v>
      </c>
      <c r="U1288" s="214" t="s">
        <v>2310</v>
      </c>
      <c r="V1288" s="102">
        <v>0</v>
      </c>
      <c r="W1288" s="120">
        <v>0</v>
      </c>
      <c r="X1288" s="120">
        <v>0</v>
      </c>
      <c r="Y1288" s="120">
        <v>0</v>
      </c>
      <c r="Z1288" s="120">
        <v>0</v>
      </c>
      <c r="AA1288" s="17">
        <v>0</v>
      </c>
      <c r="AB1288" s="17">
        <v>0</v>
      </c>
      <c r="AC1288" s="17">
        <v>0</v>
      </c>
      <c r="AD1288" s="17">
        <v>0</v>
      </c>
      <c r="AE1288" s="17">
        <v>0</v>
      </c>
      <c r="AF1288" s="17">
        <v>0</v>
      </c>
      <c r="AG1288" s="17">
        <v>0</v>
      </c>
      <c r="AH1288" s="17">
        <v>0</v>
      </c>
      <c r="AI1288" s="17">
        <v>0</v>
      </c>
      <c r="AJ1288" s="17">
        <v>0</v>
      </c>
      <c r="AK1288" s="17">
        <v>0</v>
      </c>
      <c r="AL1288" s="32">
        <v>0</v>
      </c>
      <c r="AM1288" s="57"/>
      <c r="AN1288" s="89"/>
      <c r="AO1288" s="280"/>
      <c r="AP1288" s="784"/>
      <c r="AQ1288" s="17" t="s">
        <v>271</v>
      </c>
      <c r="AR1288" s="174">
        <v>100</v>
      </c>
      <c r="AS1288" s="280"/>
      <c r="AT1288" s="171">
        <v>400</v>
      </c>
      <c r="AU1288" s="255">
        <f t="shared" si="98"/>
        <v>22.222222222222221</v>
      </c>
      <c r="AV1288" s="172">
        <v>99</v>
      </c>
      <c r="AW1288" s="171">
        <v>28</v>
      </c>
      <c r="AX1288" s="89"/>
      <c r="AY1288" s="171">
        <v>20</v>
      </c>
      <c r="AZ1288" s="171">
        <v>0</v>
      </c>
      <c r="BA1288" s="175">
        <v>60</v>
      </c>
      <c r="BB1288" s="259"/>
      <c r="BC1288" s="190"/>
      <c r="BD1288" s="177"/>
      <c r="BE1288" s="177"/>
      <c r="BF1288" s="178" t="s">
        <v>1821</v>
      </c>
    </row>
    <row r="1289" spans="1:58" ht="15" customHeight="1">
      <c r="A1289" s="95">
        <v>1288</v>
      </c>
      <c r="B1289" s="211" t="s">
        <v>1956</v>
      </c>
      <c r="C1289" s="191" t="s">
        <v>1818</v>
      </c>
      <c r="D1289" s="171" t="s">
        <v>165</v>
      </c>
      <c r="E1289" s="463" t="s">
        <v>3377</v>
      </c>
      <c r="F1289" s="171">
        <v>2005</v>
      </c>
      <c r="G1289" s="171">
        <v>299</v>
      </c>
      <c r="H1289" s="172" t="s">
        <v>1738</v>
      </c>
      <c r="I1289" s="173" t="s">
        <v>1743</v>
      </c>
      <c r="J1289" s="212">
        <v>0.6</v>
      </c>
      <c r="K1289" s="213">
        <v>5.3250000000000002</v>
      </c>
      <c r="L1289" s="91"/>
      <c r="M1289" s="171">
        <v>452</v>
      </c>
      <c r="N1289" s="171"/>
      <c r="O1289" s="172" t="s">
        <v>12</v>
      </c>
      <c r="P1289" s="92"/>
      <c r="Q1289" s="173" t="s">
        <v>273</v>
      </c>
      <c r="R1289" s="171" t="s">
        <v>2733</v>
      </c>
      <c r="S1289" s="89"/>
      <c r="T1289" s="214" t="s">
        <v>2306</v>
      </c>
      <c r="U1289" s="214" t="s">
        <v>2310</v>
      </c>
      <c r="V1289" s="102">
        <v>0</v>
      </c>
      <c r="W1289" s="120">
        <v>0</v>
      </c>
      <c r="X1289" s="120">
        <v>0</v>
      </c>
      <c r="Y1289" s="120">
        <v>0</v>
      </c>
      <c r="Z1289" s="120">
        <v>0</v>
      </c>
      <c r="AA1289" s="17">
        <v>0</v>
      </c>
      <c r="AB1289" s="17">
        <v>0</v>
      </c>
      <c r="AC1289" s="17">
        <v>0</v>
      </c>
      <c r="AD1289" s="17">
        <v>0</v>
      </c>
      <c r="AE1289" s="17">
        <v>0</v>
      </c>
      <c r="AF1289" s="17">
        <v>0</v>
      </c>
      <c r="AG1289" s="17">
        <v>0</v>
      </c>
      <c r="AH1289" s="17">
        <v>0</v>
      </c>
      <c r="AI1289" s="17">
        <v>0</v>
      </c>
      <c r="AJ1289" s="17">
        <v>0</v>
      </c>
      <c r="AK1289" s="17">
        <v>0</v>
      </c>
      <c r="AL1289" s="32">
        <v>0</v>
      </c>
      <c r="AM1289" s="57"/>
      <c r="AN1289" s="89"/>
      <c r="AO1289" s="280"/>
      <c r="AP1289" s="784"/>
      <c r="AQ1289" s="17" t="s">
        <v>271</v>
      </c>
      <c r="AR1289" s="174">
        <v>100</v>
      </c>
      <c r="AS1289" s="280"/>
      <c r="AT1289" s="171">
        <v>400</v>
      </c>
      <c r="AU1289" s="255">
        <f t="shared" si="98"/>
        <v>22.222222222222221</v>
      </c>
      <c r="AV1289" s="172">
        <v>99</v>
      </c>
      <c r="AW1289" s="171">
        <v>28</v>
      </c>
      <c r="AX1289" s="89"/>
      <c r="AY1289" s="171">
        <v>20</v>
      </c>
      <c r="AZ1289" s="171">
        <v>0</v>
      </c>
      <c r="BA1289" s="175">
        <v>60</v>
      </c>
      <c r="BB1289" s="259"/>
      <c r="BC1289" s="190"/>
      <c r="BD1289" s="177"/>
      <c r="BE1289" s="177"/>
      <c r="BF1289" s="178" t="s">
        <v>1822</v>
      </c>
    </row>
    <row r="1290" spans="1:58" ht="15" customHeight="1">
      <c r="A1290" s="95">
        <v>1289</v>
      </c>
      <c r="B1290" s="211" t="s">
        <v>1957</v>
      </c>
      <c r="C1290" s="191" t="s">
        <v>1818</v>
      </c>
      <c r="D1290" s="171" t="s">
        <v>165</v>
      </c>
      <c r="E1290" s="463" t="s">
        <v>3377</v>
      </c>
      <c r="F1290" s="171">
        <v>2005</v>
      </c>
      <c r="G1290" s="171">
        <v>299</v>
      </c>
      <c r="H1290" s="172" t="s">
        <v>1738</v>
      </c>
      <c r="I1290" s="173" t="s">
        <v>1743</v>
      </c>
      <c r="J1290" s="212">
        <v>0.45</v>
      </c>
      <c r="K1290" s="213">
        <v>6.3255999999999997</v>
      </c>
      <c r="L1290" s="91"/>
      <c r="M1290" s="171">
        <v>565</v>
      </c>
      <c r="N1290" s="171"/>
      <c r="O1290" s="172" t="s">
        <v>12</v>
      </c>
      <c r="P1290" s="92"/>
      <c r="Q1290" s="173" t="s">
        <v>273</v>
      </c>
      <c r="R1290" s="171" t="s">
        <v>2733</v>
      </c>
      <c r="S1290" s="89"/>
      <c r="T1290" s="214" t="s">
        <v>2306</v>
      </c>
      <c r="U1290" s="214" t="s">
        <v>2310</v>
      </c>
      <c r="V1290" s="102">
        <v>0</v>
      </c>
      <c r="W1290" s="120">
        <v>0</v>
      </c>
      <c r="X1290" s="120">
        <v>0</v>
      </c>
      <c r="Y1290" s="120">
        <v>0</v>
      </c>
      <c r="Z1290" s="120">
        <v>0</v>
      </c>
      <c r="AA1290" s="17">
        <v>0</v>
      </c>
      <c r="AB1290" s="17">
        <v>0</v>
      </c>
      <c r="AC1290" s="17">
        <v>0</v>
      </c>
      <c r="AD1290" s="17">
        <v>0</v>
      </c>
      <c r="AE1290" s="17">
        <v>0</v>
      </c>
      <c r="AF1290" s="17">
        <v>0</v>
      </c>
      <c r="AG1290" s="17">
        <v>0</v>
      </c>
      <c r="AH1290" s="17">
        <v>0</v>
      </c>
      <c r="AI1290" s="17">
        <v>0</v>
      </c>
      <c r="AJ1290" s="17">
        <v>0</v>
      </c>
      <c r="AK1290" s="17">
        <v>0</v>
      </c>
      <c r="AL1290" s="32">
        <v>0</v>
      </c>
      <c r="AM1290" s="57"/>
      <c r="AN1290" s="89"/>
      <c r="AO1290" s="280"/>
      <c r="AP1290" s="784"/>
      <c r="AQ1290" s="17" t="s">
        <v>271</v>
      </c>
      <c r="AR1290" s="174">
        <v>100</v>
      </c>
      <c r="AS1290" s="280"/>
      <c r="AT1290" s="171">
        <v>400</v>
      </c>
      <c r="AU1290" s="255">
        <f t="shared" si="98"/>
        <v>22.222222222222221</v>
      </c>
      <c r="AV1290" s="172">
        <v>99</v>
      </c>
      <c r="AW1290" s="171">
        <v>28</v>
      </c>
      <c r="AX1290" s="89"/>
      <c r="AY1290" s="171">
        <v>20</v>
      </c>
      <c r="AZ1290" s="171">
        <v>0</v>
      </c>
      <c r="BA1290" s="175">
        <v>60</v>
      </c>
      <c r="BB1290" s="259"/>
      <c r="BC1290" s="190"/>
      <c r="BD1290" s="177"/>
      <c r="BE1290" s="177"/>
      <c r="BF1290" s="178" t="s">
        <v>1823</v>
      </c>
    </row>
    <row r="1291" spans="1:58" ht="15" customHeight="1">
      <c r="A1291" s="95">
        <v>1290</v>
      </c>
      <c r="B1291" s="211" t="s">
        <v>1958</v>
      </c>
      <c r="C1291" s="191" t="s">
        <v>1818</v>
      </c>
      <c r="D1291" s="171" t="s">
        <v>165</v>
      </c>
      <c r="E1291" s="463" t="s">
        <v>3377</v>
      </c>
      <c r="F1291" s="171">
        <v>2005</v>
      </c>
      <c r="G1291" s="171">
        <v>299</v>
      </c>
      <c r="H1291" s="172" t="s">
        <v>1738</v>
      </c>
      <c r="I1291" s="173" t="s">
        <v>1743</v>
      </c>
      <c r="J1291" s="212">
        <v>0.6</v>
      </c>
      <c r="K1291" s="213">
        <v>7.258</v>
      </c>
      <c r="L1291" s="91"/>
      <c r="M1291" s="171">
        <v>452</v>
      </c>
      <c r="N1291" s="171"/>
      <c r="O1291" s="172" t="s">
        <v>12</v>
      </c>
      <c r="P1291" s="92"/>
      <c r="Q1291" s="173" t="s">
        <v>273</v>
      </c>
      <c r="R1291" s="171" t="s">
        <v>2733</v>
      </c>
      <c r="S1291" s="89"/>
      <c r="T1291" s="214" t="s">
        <v>2306</v>
      </c>
      <c r="U1291" s="214" t="s">
        <v>2310</v>
      </c>
      <c r="V1291" s="102">
        <v>0</v>
      </c>
      <c r="W1291" s="120">
        <v>0</v>
      </c>
      <c r="X1291" s="120">
        <v>0</v>
      </c>
      <c r="Y1291" s="120">
        <v>0</v>
      </c>
      <c r="Z1291" s="120">
        <v>0</v>
      </c>
      <c r="AA1291" s="17">
        <v>0</v>
      </c>
      <c r="AB1291" s="17">
        <v>0</v>
      </c>
      <c r="AC1291" s="17">
        <v>0</v>
      </c>
      <c r="AD1291" s="17">
        <v>0</v>
      </c>
      <c r="AE1291" s="17">
        <v>0</v>
      </c>
      <c r="AF1291" s="17">
        <v>0</v>
      </c>
      <c r="AG1291" s="17">
        <v>0</v>
      </c>
      <c r="AH1291" s="17">
        <v>0</v>
      </c>
      <c r="AI1291" s="17">
        <v>0</v>
      </c>
      <c r="AJ1291" s="17">
        <v>0</v>
      </c>
      <c r="AK1291" s="17">
        <v>0</v>
      </c>
      <c r="AL1291" s="32">
        <v>0</v>
      </c>
      <c r="AM1291" s="57"/>
      <c r="AN1291" s="89"/>
      <c r="AO1291" s="280"/>
      <c r="AP1291" s="784"/>
      <c r="AQ1291" s="17" t="s">
        <v>271</v>
      </c>
      <c r="AR1291" s="174">
        <v>100</v>
      </c>
      <c r="AS1291" s="280"/>
      <c r="AT1291" s="171">
        <v>400</v>
      </c>
      <c r="AU1291" s="255">
        <f t="shared" si="98"/>
        <v>22.222222222222221</v>
      </c>
      <c r="AV1291" s="172">
        <v>99</v>
      </c>
      <c r="AW1291" s="171">
        <v>28</v>
      </c>
      <c r="AX1291" s="89"/>
      <c r="AY1291" s="171">
        <v>20</v>
      </c>
      <c r="AZ1291" s="171">
        <v>0</v>
      </c>
      <c r="BA1291" s="175">
        <v>60</v>
      </c>
      <c r="BB1291" s="259"/>
      <c r="BC1291" s="190"/>
      <c r="BD1291" s="177"/>
      <c r="BE1291" s="177"/>
      <c r="BF1291" s="178" t="s">
        <v>1824</v>
      </c>
    </row>
    <row r="1292" spans="1:58" ht="15" customHeight="1">
      <c r="A1292" s="95">
        <v>1291</v>
      </c>
      <c r="B1292" s="211" t="s">
        <v>1959</v>
      </c>
      <c r="C1292" s="191" t="s">
        <v>1756</v>
      </c>
      <c r="D1292" s="171" t="s">
        <v>444</v>
      </c>
      <c r="E1292" s="463" t="s">
        <v>3377</v>
      </c>
      <c r="F1292" s="171">
        <v>1997</v>
      </c>
      <c r="G1292" s="171">
        <v>300</v>
      </c>
      <c r="H1292" s="172" t="s">
        <v>1738</v>
      </c>
      <c r="I1292" s="173" t="s">
        <v>1743</v>
      </c>
      <c r="J1292" s="212">
        <v>0.35</v>
      </c>
      <c r="K1292" s="213">
        <v>4.0940919037199128</v>
      </c>
      <c r="L1292" s="91"/>
      <c r="M1292" s="171">
        <v>457</v>
      </c>
      <c r="N1292" s="171"/>
      <c r="O1292" s="172" t="s">
        <v>12</v>
      </c>
      <c r="P1292" s="92"/>
      <c r="Q1292" s="173" t="s">
        <v>523</v>
      </c>
      <c r="R1292" s="506" t="s">
        <v>2730</v>
      </c>
      <c r="S1292" s="89"/>
      <c r="T1292" s="214" t="s">
        <v>2306</v>
      </c>
      <c r="U1292" s="214" t="s">
        <v>2311</v>
      </c>
      <c r="V1292" s="102">
        <v>0</v>
      </c>
      <c r="W1292" s="120">
        <v>0</v>
      </c>
      <c r="X1292" s="120">
        <v>0</v>
      </c>
      <c r="Y1292" s="120">
        <v>0</v>
      </c>
      <c r="Z1292" s="120">
        <v>0</v>
      </c>
      <c r="AA1292" s="17">
        <v>0</v>
      </c>
      <c r="AB1292" s="17">
        <v>0</v>
      </c>
      <c r="AC1292" s="17">
        <v>0</v>
      </c>
      <c r="AD1292" s="17">
        <v>0</v>
      </c>
      <c r="AE1292" s="17">
        <v>0</v>
      </c>
      <c r="AF1292" s="17">
        <v>0</v>
      </c>
      <c r="AG1292" s="17">
        <v>1.08</v>
      </c>
      <c r="AH1292" s="17">
        <v>0</v>
      </c>
      <c r="AI1292" s="17">
        <v>0</v>
      </c>
      <c r="AJ1292" s="17">
        <v>0</v>
      </c>
      <c r="AK1292" s="17">
        <v>0</v>
      </c>
      <c r="AL1292" s="32">
        <v>0</v>
      </c>
      <c r="AM1292" s="172">
        <v>63.9</v>
      </c>
      <c r="AN1292" s="89"/>
      <c r="AO1292" s="280"/>
      <c r="AP1292" s="783">
        <v>39500</v>
      </c>
      <c r="AQ1292" s="17" t="s">
        <v>1757</v>
      </c>
      <c r="AR1292" s="174">
        <v>75</v>
      </c>
      <c r="AS1292" s="280"/>
      <c r="AT1292" s="171">
        <v>285</v>
      </c>
      <c r="AU1292" s="255">
        <f t="shared" si="98"/>
        <v>16.569767441860463</v>
      </c>
      <c r="AV1292" s="172">
        <v>100</v>
      </c>
      <c r="AW1292" s="171">
        <v>1</v>
      </c>
      <c r="AX1292" s="171">
        <v>20</v>
      </c>
      <c r="AY1292" s="171">
        <v>20</v>
      </c>
      <c r="AZ1292" s="171">
        <v>0</v>
      </c>
      <c r="BA1292" s="175">
        <v>50</v>
      </c>
      <c r="BB1292" s="259"/>
      <c r="BC1292" s="190"/>
      <c r="BD1292" s="177"/>
      <c r="BE1292" s="177"/>
      <c r="BF1292" s="178" t="s">
        <v>1758</v>
      </c>
    </row>
    <row r="1293" spans="1:58" ht="15" customHeight="1">
      <c r="A1293" s="95">
        <v>1292</v>
      </c>
      <c r="B1293" s="211" t="s">
        <v>1960</v>
      </c>
      <c r="C1293" s="191" t="s">
        <v>1756</v>
      </c>
      <c r="D1293" s="171" t="s">
        <v>444</v>
      </c>
      <c r="E1293" s="463" t="s">
        <v>3377</v>
      </c>
      <c r="F1293" s="171">
        <v>1997</v>
      </c>
      <c r="G1293" s="171">
        <v>300</v>
      </c>
      <c r="H1293" s="172" t="s">
        <v>1738</v>
      </c>
      <c r="I1293" s="173" t="s">
        <v>1743</v>
      </c>
      <c r="J1293" s="212">
        <v>0.34</v>
      </c>
      <c r="K1293" s="213">
        <v>4.0940919037199128</v>
      </c>
      <c r="L1293" s="91"/>
      <c r="M1293" s="171">
        <v>457</v>
      </c>
      <c r="N1293" s="171"/>
      <c r="O1293" s="172" t="s">
        <v>12</v>
      </c>
      <c r="P1293" s="92"/>
      <c r="Q1293" s="173" t="s">
        <v>523</v>
      </c>
      <c r="R1293" s="506" t="s">
        <v>2730</v>
      </c>
      <c r="S1293" s="89"/>
      <c r="T1293" s="214" t="s">
        <v>2306</v>
      </c>
      <c r="U1293" s="214" t="s">
        <v>2311</v>
      </c>
      <c r="V1293" s="102">
        <v>0</v>
      </c>
      <c r="W1293" s="120">
        <v>0</v>
      </c>
      <c r="X1293" s="120">
        <v>0</v>
      </c>
      <c r="Y1293" s="120">
        <v>0</v>
      </c>
      <c r="Z1293" s="120">
        <v>0</v>
      </c>
      <c r="AA1293" s="17">
        <v>0</v>
      </c>
      <c r="AB1293" s="17">
        <v>0</v>
      </c>
      <c r="AC1293" s="17">
        <v>0</v>
      </c>
      <c r="AD1293" s="17">
        <v>0</v>
      </c>
      <c r="AE1293" s="17">
        <v>0</v>
      </c>
      <c r="AF1293" s="17">
        <v>0</v>
      </c>
      <c r="AG1293" s="17">
        <v>1.03</v>
      </c>
      <c r="AH1293" s="17">
        <v>6.9</v>
      </c>
      <c r="AI1293" s="17">
        <v>0</v>
      </c>
      <c r="AJ1293" s="17">
        <v>0</v>
      </c>
      <c r="AK1293" s="17">
        <v>0</v>
      </c>
      <c r="AL1293" s="32">
        <v>0</v>
      </c>
      <c r="AM1293" s="172">
        <v>58.7</v>
      </c>
      <c r="AN1293" s="89"/>
      <c r="AO1293" s="280"/>
      <c r="AP1293" s="783">
        <v>36800</v>
      </c>
      <c r="AQ1293" s="17" t="s">
        <v>1757</v>
      </c>
      <c r="AR1293" s="174">
        <v>75</v>
      </c>
      <c r="AS1293" s="280"/>
      <c r="AT1293" s="171">
        <v>285</v>
      </c>
      <c r="AU1293" s="255">
        <f t="shared" si="98"/>
        <v>16.569767441860463</v>
      </c>
      <c r="AV1293" s="172">
        <v>100</v>
      </c>
      <c r="AW1293" s="171">
        <v>1</v>
      </c>
      <c r="AX1293" s="171">
        <v>20</v>
      </c>
      <c r="AY1293" s="171">
        <v>20</v>
      </c>
      <c r="AZ1293" s="171">
        <v>0</v>
      </c>
      <c r="BA1293" s="175">
        <v>50</v>
      </c>
      <c r="BB1293" s="259"/>
      <c r="BC1293" s="190"/>
      <c r="BD1293" s="177"/>
      <c r="BE1293" s="177"/>
      <c r="BF1293" s="178" t="s">
        <v>1758</v>
      </c>
    </row>
    <row r="1294" spans="1:58" ht="15" customHeight="1">
      <c r="A1294" s="95">
        <v>1293</v>
      </c>
      <c r="B1294" s="211" t="s">
        <v>1961</v>
      </c>
      <c r="C1294" s="191" t="s">
        <v>1756</v>
      </c>
      <c r="D1294" s="171" t="s">
        <v>444</v>
      </c>
      <c r="E1294" s="463" t="s">
        <v>3377</v>
      </c>
      <c r="F1294" s="171">
        <v>1997</v>
      </c>
      <c r="G1294" s="171">
        <v>300</v>
      </c>
      <c r="H1294" s="172" t="s">
        <v>1738</v>
      </c>
      <c r="I1294" s="173" t="s">
        <v>1743</v>
      </c>
      <c r="J1294" s="212">
        <v>0.38</v>
      </c>
      <c r="K1294" s="213">
        <v>4.3924349881796694</v>
      </c>
      <c r="L1294" s="91"/>
      <c r="M1294" s="171">
        <v>423</v>
      </c>
      <c r="N1294" s="171"/>
      <c r="O1294" s="172" t="s">
        <v>12</v>
      </c>
      <c r="P1294" s="92"/>
      <c r="Q1294" s="173" t="s">
        <v>523</v>
      </c>
      <c r="R1294" s="506" t="s">
        <v>2730</v>
      </c>
      <c r="S1294" s="89"/>
      <c r="T1294" s="214" t="s">
        <v>2306</v>
      </c>
      <c r="U1294" s="214" t="s">
        <v>2311</v>
      </c>
      <c r="V1294" s="102">
        <v>21.1</v>
      </c>
      <c r="W1294" s="120">
        <v>0</v>
      </c>
      <c r="X1294" s="120">
        <v>0</v>
      </c>
      <c r="Y1294" s="120">
        <v>0</v>
      </c>
      <c r="Z1294" s="120">
        <v>0</v>
      </c>
      <c r="AA1294" s="17">
        <v>0</v>
      </c>
      <c r="AB1294" s="17">
        <v>0</v>
      </c>
      <c r="AC1294" s="17">
        <v>0</v>
      </c>
      <c r="AD1294" s="17">
        <v>0</v>
      </c>
      <c r="AE1294" s="17">
        <v>0</v>
      </c>
      <c r="AF1294" s="17">
        <v>0</v>
      </c>
      <c r="AG1294" s="17">
        <v>1.27</v>
      </c>
      <c r="AH1294" s="17">
        <v>0</v>
      </c>
      <c r="AI1294" s="17">
        <v>0</v>
      </c>
      <c r="AJ1294" s="17">
        <v>0</v>
      </c>
      <c r="AK1294" s="17">
        <v>0</v>
      </c>
      <c r="AL1294" s="32">
        <v>0</v>
      </c>
      <c r="AM1294" s="172">
        <v>76.400000000000006</v>
      </c>
      <c r="AN1294" s="89"/>
      <c r="AO1294" s="280"/>
      <c r="AP1294" s="783">
        <v>40700</v>
      </c>
      <c r="AQ1294" s="17" t="s">
        <v>1757</v>
      </c>
      <c r="AR1294" s="174">
        <v>75</v>
      </c>
      <c r="AS1294" s="280"/>
      <c r="AT1294" s="171">
        <v>285</v>
      </c>
      <c r="AU1294" s="255">
        <f t="shared" si="98"/>
        <v>16.569767441860463</v>
      </c>
      <c r="AV1294" s="172">
        <v>100</v>
      </c>
      <c r="AW1294" s="171">
        <v>1</v>
      </c>
      <c r="AX1294" s="171">
        <v>20</v>
      </c>
      <c r="AY1294" s="171">
        <v>20</v>
      </c>
      <c r="AZ1294" s="171">
        <v>0</v>
      </c>
      <c r="BA1294" s="175">
        <v>50</v>
      </c>
      <c r="BB1294" s="259"/>
      <c r="BC1294" s="190"/>
      <c r="BD1294" s="177"/>
      <c r="BE1294" s="177"/>
      <c r="BF1294" s="178" t="s">
        <v>1758</v>
      </c>
    </row>
    <row r="1295" spans="1:58" ht="15" customHeight="1">
      <c r="A1295" s="95">
        <v>1294</v>
      </c>
      <c r="B1295" s="211" t="s">
        <v>1962</v>
      </c>
      <c r="C1295" s="191" t="s">
        <v>1756</v>
      </c>
      <c r="D1295" s="171" t="s">
        <v>444</v>
      </c>
      <c r="E1295" s="463" t="s">
        <v>3377</v>
      </c>
      <c r="F1295" s="171">
        <v>1997</v>
      </c>
      <c r="G1295" s="171">
        <v>300</v>
      </c>
      <c r="H1295" s="172" t="s">
        <v>1738</v>
      </c>
      <c r="I1295" s="173" t="s">
        <v>1743</v>
      </c>
      <c r="J1295" s="212">
        <v>0.36</v>
      </c>
      <c r="K1295" s="213">
        <v>4.3924349881796694</v>
      </c>
      <c r="L1295" s="91"/>
      <c r="M1295" s="171">
        <v>423</v>
      </c>
      <c r="N1295" s="171"/>
      <c r="O1295" s="172" t="s">
        <v>12</v>
      </c>
      <c r="P1295" s="92"/>
      <c r="Q1295" s="173" t="s">
        <v>523</v>
      </c>
      <c r="R1295" s="506" t="s">
        <v>2730</v>
      </c>
      <c r="S1295" s="89"/>
      <c r="T1295" s="214" t="s">
        <v>2306</v>
      </c>
      <c r="U1295" s="214" t="s">
        <v>2311</v>
      </c>
      <c r="V1295" s="102">
        <v>21.1</v>
      </c>
      <c r="W1295" s="120">
        <v>0</v>
      </c>
      <c r="X1295" s="120">
        <v>0</v>
      </c>
      <c r="Y1295" s="120">
        <v>0</v>
      </c>
      <c r="Z1295" s="120">
        <v>0</v>
      </c>
      <c r="AA1295" s="17">
        <v>0</v>
      </c>
      <c r="AB1295" s="17">
        <v>0</v>
      </c>
      <c r="AC1295" s="17">
        <v>0</v>
      </c>
      <c r="AD1295" s="17">
        <v>0</v>
      </c>
      <c r="AE1295" s="17">
        <v>0</v>
      </c>
      <c r="AF1295" s="17">
        <v>0</v>
      </c>
      <c r="AG1295" s="17">
        <v>1.1990000000000001</v>
      </c>
      <c r="AH1295" s="17">
        <v>6.9</v>
      </c>
      <c r="AI1295" s="17">
        <v>0</v>
      </c>
      <c r="AJ1295" s="17">
        <v>0</v>
      </c>
      <c r="AK1295" s="17">
        <v>0</v>
      </c>
      <c r="AL1295" s="32">
        <v>0</v>
      </c>
      <c r="AM1295" s="172">
        <v>71.7</v>
      </c>
      <c r="AN1295" s="89"/>
      <c r="AO1295" s="280"/>
      <c r="AP1295" s="783">
        <v>37400</v>
      </c>
      <c r="AQ1295" s="17" t="s">
        <v>1757</v>
      </c>
      <c r="AR1295" s="174">
        <v>75</v>
      </c>
      <c r="AS1295" s="280"/>
      <c r="AT1295" s="171">
        <v>285</v>
      </c>
      <c r="AU1295" s="255">
        <f t="shared" si="98"/>
        <v>16.569767441860463</v>
      </c>
      <c r="AV1295" s="172">
        <v>100</v>
      </c>
      <c r="AW1295" s="171">
        <v>1</v>
      </c>
      <c r="AX1295" s="171">
        <v>20</v>
      </c>
      <c r="AY1295" s="171">
        <v>20</v>
      </c>
      <c r="AZ1295" s="171">
        <v>0</v>
      </c>
      <c r="BA1295" s="175">
        <v>50</v>
      </c>
      <c r="BB1295" s="259"/>
      <c r="BC1295" s="190"/>
      <c r="BD1295" s="177"/>
      <c r="BE1295" s="177"/>
      <c r="BF1295" s="178" t="s">
        <v>1758</v>
      </c>
    </row>
    <row r="1296" spans="1:58" ht="15" customHeight="1">
      <c r="A1296" s="95">
        <v>1295</v>
      </c>
      <c r="B1296" s="211" t="s">
        <v>1963</v>
      </c>
      <c r="C1296" s="191" t="s">
        <v>1835</v>
      </c>
      <c r="D1296" s="171" t="s">
        <v>444</v>
      </c>
      <c r="E1296" s="463" t="s">
        <v>3377</v>
      </c>
      <c r="F1296" s="171">
        <v>2008</v>
      </c>
      <c r="G1296" s="171">
        <v>301</v>
      </c>
      <c r="H1296" s="57"/>
      <c r="I1296" s="88"/>
      <c r="J1296" s="168" t="s">
        <v>2300</v>
      </c>
      <c r="K1296" s="90"/>
      <c r="M1296" s="89"/>
      <c r="N1296" s="89"/>
      <c r="O1296" s="57"/>
      <c r="P1296" s="89"/>
      <c r="Q1296" s="88"/>
      <c r="R1296" s="89"/>
      <c r="S1296" s="89"/>
      <c r="T1296" s="89"/>
      <c r="U1296" s="89"/>
      <c r="V1296" s="102"/>
      <c r="Y1296" s="120">
        <v>0</v>
      </c>
      <c r="Z1296" s="120">
        <v>0</v>
      </c>
      <c r="AA1296" s="87"/>
      <c r="AB1296" s="17">
        <v>0</v>
      </c>
      <c r="AC1296" s="17">
        <v>0</v>
      </c>
      <c r="AD1296" s="87"/>
      <c r="AE1296" s="87"/>
      <c r="AF1296" s="17">
        <v>0</v>
      </c>
      <c r="AG1296" s="87"/>
      <c r="AH1296" s="17">
        <v>0</v>
      </c>
      <c r="AI1296" s="17">
        <v>0</v>
      </c>
      <c r="AJ1296" s="17">
        <v>0</v>
      </c>
      <c r="AK1296" s="17">
        <v>0</v>
      </c>
      <c r="AL1296" s="32">
        <v>0</v>
      </c>
      <c r="AM1296" s="172"/>
      <c r="AN1296" s="89"/>
      <c r="AO1296" s="280"/>
      <c r="AP1296" s="784"/>
      <c r="AQ1296" s="280"/>
      <c r="AR1296" s="280"/>
      <c r="AS1296" s="280"/>
      <c r="AT1296" s="280"/>
      <c r="AU1296" s="280"/>
      <c r="AV1296" s="57"/>
      <c r="AW1296" s="89"/>
      <c r="AX1296" s="89"/>
      <c r="AY1296" s="89"/>
      <c r="AZ1296" s="89"/>
      <c r="BA1296" s="89"/>
      <c r="BB1296" s="259"/>
      <c r="BC1296" s="190"/>
      <c r="BD1296" s="177"/>
      <c r="BE1296" s="177"/>
      <c r="BF1296" s="178"/>
    </row>
    <row r="1297" spans="1:58" ht="15" customHeight="1">
      <c r="A1297" s="95">
        <v>1296</v>
      </c>
      <c r="B1297" s="211" t="s">
        <v>1964</v>
      </c>
      <c r="C1297" s="191" t="s">
        <v>1835</v>
      </c>
      <c r="D1297" s="171" t="s">
        <v>444</v>
      </c>
      <c r="E1297" s="463" t="s">
        <v>3377</v>
      </c>
      <c r="F1297" s="171">
        <v>2008</v>
      </c>
      <c r="G1297" s="171">
        <v>301</v>
      </c>
      <c r="H1297" s="57"/>
      <c r="I1297" s="88"/>
      <c r="J1297" s="168" t="s">
        <v>1839</v>
      </c>
      <c r="K1297" s="90"/>
      <c r="M1297" s="89"/>
      <c r="N1297" s="89"/>
      <c r="O1297" s="57"/>
      <c r="P1297" s="89"/>
      <c r="Q1297" s="88"/>
      <c r="R1297" s="89"/>
      <c r="S1297" s="89"/>
      <c r="T1297" s="89"/>
      <c r="U1297" s="89"/>
      <c r="V1297" s="102"/>
      <c r="Y1297" s="120">
        <v>0</v>
      </c>
      <c r="Z1297" s="120">
        <v>0</v>
      </c>
      <c r="AA1297" s="87"/>
      <c r="AB1297" s="17">
        <v>0</v>
      </c>
      <c r="AC1297" s="17">
        <v>0</v>
      </c>
      <c r="AD1297" s="87"/>
      <c r="AE1297" s="87"/>
      <c r="AF1297" s="17">
        <v>0</v>
      </c>
      <c r="AG1297" s="87"/>
      <c r="AH1297" s="17">
        <v>0</v>
      </c>
      <c r="AI1297" s="17">
        <v>0</v>
      </c>
      <c r="AJ1297" s="17">
        <v>0</v>
      </c>
      <c r="AK1297" s="17">
        <v>0</v>
      </c>
      <c r="AL1297" s="32">
        <v>0</v>
      </c>
      <c r="AM1297" s="172"/>
      <c r="AN1297" s="89"/>
      <c r="AO1297" s="280"/>
      <c r="AP1297" s="784"/>
      <c r="AQ1297" s="280"/>
      <c r="AR1297" s="280"/>
      <c r="AS1297" s="280"/>
      <c r="AT1297" s="280"/>
      <c r="AU1297" s="280"/>
      <c r="AV1297" s="57"/>
      <c r="AW1297" s="89"/>
      <c r="AX1297" s="89"/>
      <c r="AY1297" s="89"/>
      <c r="AZ1297" s="89"/>
      <c r="BA1297" s="89"/>
      <c r="BB1297" s="259"/>
      <c r="BC1297" s="190"/>
      <c r="BD1297" s="177"/>
      <c r="BE1297" s="177"/>
      <c r="BF1297" s="178"/>
    </row>
    <row r="1298" spans="1:58" ht="15" customHeight="1">
      <c r="A1298" s="95">
        <v>1297</v>
      </c>
      <c r="B1298" s="211" t="s">
        <v>1965</v>
      </c>
      <c r="C1298" s="191" t="s">
        <v>1835</v>
      </c>
      <c r="D1298" s="171" t="s">
        <v>444</v>
      </c>
      <c r="E1298" s="463" t="s">
        <v>3377</v>
      </c>
      <c r="F1298" s="171">
        <v>2008</v>
      </c>
      <c r="G1298" s="171">
        <v>301</v>
      </c>
      <c r="H1298" s="57"/>
      <c r="I1298" s="88"/>
      <c r="J1298" s="168" t="s">
        <v>1839</v>
      </c>
      <c r="K1298" s="90"/>
      <c r="M1298" s="89"/>
      <c r="N1298" s="89"/>
      <c r="O1298" s="57"/>
      <c r="P1298" s="89"/>
      <c r="Q1298" s="88"/>
      <c r="R1298" s="89"/>
      <c r="S1298" s="89"/>
      <c r="T1298" s="89"/>
      <c r="U1298" s="89"/>
      <c r="V1298" s="102"/>
      <c r="Y1298" s="120">
        <v>0</v>
      </c>
      <c r="Z1298" s="120">
        <v>0</v>
      </c>
      <c r="AA1298" s="87"/>
      <c r="AB1298" s="17">
        <v>0</v>
      </c>
      <c r="AC1298" s="17">
        <v>0</v>
      </c>
      <c r="AD1298" s="87"/>
      <c r="AE1298" s="87"/>
      <c r="AF1298" s="17">
        <v>0</v>
      </c>
      <c r="AG1298" s="87"/>
      <c r="AH1298" s="17">
        <v>0</v>
      </c>
      <c r="AI1298" s="17">
        <v>0</v>
      </c>
      <c r="AJ1298" s="17">
        <v>0</v>
      </c>
      <c r="AK1298" s="17">
        <v>0</v>
      </c>
      <c r="AL1298" s="32">
        <v>0</v>
      </c>
      <c r="AM1298" s="172"/>
      <c r="AN1298" s="89"/>
      <c r="AO1298" s="280"/>
      <c r="AP1298" s="784"/>
      <c r="AQ1298" s="280"/>
      <c r="AR1298" s="280"/>
      <c r="AS1298" s="280"/>
      <c r="AT1298" s="280"/>
      <c r="AU1298" s="280"/>
      <c r="AV1298" s="57"/>
      <c r="AW1298" s="89"/>
      <c r="AX1298" s="89"/>
      <c r="AY1298" s="89"/>
      <c r="AZ1298" s="89"/>
      <c r="BA1298" s="89"/>
      <c r="BB1298" s="259"/>
      <c r="BC1298" s="190"/>
      <c r="BD1298" s="177"/>
      <c r="BE1298" s="177"/>
      <c r="BF1298" s="178"/>
    </row>
    <row r="1299" spans="1:58">
      <c r="A1299" s="95">
        <v>1298</v>
      </c>
      <c r="B1299" s="211" t="s">
        <v>1966</v>
      </c>
      <c r="C1299" s="191" t="s">
        <v>1836</v>
      </c>
      <c r="D1299" s="171" t="s">
        <v>447</v>
      </c>
      <c r="E1299" s="463" t="s">
        <v>3377</v>
      </c>
      <c r="F1299" s="171">
        <v>2005</v>
      </c>
      <c r="G1299" s="171">
        <v>303</v>
      </c>
      <c r="H1299" s="172" t="s">
        <v>1738</v>
      </c>
      <c r="I1299" s="173" t="s">
        <v>1739</v>
      </c>
      <c r="J1299" s="212">
        <v>0.3</v>
      </c>
      <c r="K1299" s="213">
        <v>0</v>
      </c>
      <c r="L1299" s="91"/>
      <c r="M1299" s="171">
        <v>915</v>
      </c>
      <c r="N1299" s="171"/>
      <c r="O1299" s="172" t="s">
        <v>129</v>
      </c>
      <c r="P1299" s="92"/>
      <c r="Q1299" s="173" t="s">
        <v>525</v>
      </c>
      <c r="R1299" s="506" t="s">
        <v>2727</v>
      </c>
      <c r="S1299" s="89"/>
      <c r="T1299" s="214"/>
      <c r="U1299" s="214" t="s">
        <v>2312</v>
      </c>
      <c r="V1299" s="102">
        <v>0</v>
      </c>
      <c r="W1299" s="120">
        <v>0</v>
      </c>
      <c r="X1299" s="120">
        <v>0</v>
      </c>
      <c r="Y1299" s="120">
        <v>0</v>
      </c>
      <c r="Z1299" s="120">
        <v>0</v>
      </c>
      <c r="AA1299" s="17">
        <v>0</v>
      </c>
      <c r="AB1299" s="17">
        <v>0</v>
      </c>
      <c r="AC1299" s="17">
        <v>0</v>
      </c>
      <c r="AD1299" s="17">
        <v>0</v>
      </c>
      <c r="AE1299" s="17">
        <v>0</v>
      </c>
      <c r="AF1299" s="17">
        <v>0</v>
      </c>
      <c r="AG1299" s="17">
        <v>0</v>
      </c>
      <c r="AH1299" s="17">
        <v>0</v>
      </c>
      <c r="AI1299" s="17">
        <v>0</v>
      </c>
      <c r="AJ1299" s="17">
        <v>0</v>
      </c>
      <c r="AK1299" s="17">
        <v>0</v>
      </c>
      <c r="AL1299" s="32">
        <v>0</v>
      </c>
      <c r="AM1299" s="172" t="s">
        <v>1837</v>
      </c>
      <c r="AN1299" s="89"/>
      <c r="AO1299" s="280"/>
      <c r="AP1299" s="784"/>
      <c r="AQ1299" s="17" t="s">
        <v>1838</v>
      </c>
      <c r="AR1299" s="280"/>
      <c r="AS1299" s="280"/>
      <c r="AT1299" s="280"/>
      <c r="AU1299" s="280"/>
      <c r="AV1299" s="172" t="s">
        <v>521</v>
      </c>
      <c r="AW1299" s="171">
        <v>7.0000000000000007E-2</v>
      </c>
      <c r="AX1299" s="171" t="s">
        <v>521</v>
      </c>
      <c r="AY1299" s="171" t="s">
        <v>521</v>
      </c>
      <c r="AZ1299" s="171">
        <v>0</v>
      </c>
      <c r="BA1299" s="175" t="s">
        <v>521</v>
      </c>
      <c r="BB1299" s="259"/>
      <c r="BC1299" s="190"/>
      <c r="BD1299" s="177"/>
      <c r="BE1299" s="177"/>
      <c r="BF1299" s="178"/>
    </row>
    <row r="1300" spans="1:58">
      <c r="A1300" s="95">
        <v>1299</v>
      </c>
      <c r="B1300" s="211" t="s">
        <v>1967</v>
      </c>
      <c r="C1300" s="191" t="s">
        <v>1836</v>
      </c>
      <c r="D1300" s="171" t="s">
        <v>447</v>
      </c>
      <c r="E1300" s="463" t="s">
        <v>3377</v>
      </c>
      <c r="F1300" s="171">
        <v>2005</v>
      </c>
      <c r="G1300" s="171">
        <v>303</v>
      </c>
      <c r="H1300" s="172" t="s">
        <v>1738</v>
      </c>
      <c r="I1300" s="173" t="s">
        <v>1739</v>
      </c>
      <c r="J1300" s="212">
        <v>0.35</v>
      </c>
      <c r="K1300" s="213">
        <v>0</v>
      </c>
      <c r="L1300" s="91"/>
      <c r="M1300" s="171">
        <v>786</v>
      </c>
      <c r="N1300" s="171"/>
      <c r="O1300" s="172" t="s">
        <v>129</v>
      </c>
      <c r="P1300" s="92"/>
      <c r="Q1300" s="173" t="s">
        <v>525</v>
      </c>
      <c r="R1300" s="506" t="s">
        <v>2727</v>
      </c>
      <c r="S1300" s="89"/>
      <c r="T1300" s="214"/>
      <c r="U1300" s="214" t="s">
        <v>2312</v>
      </c>
      <c r="V1300" s="102">
        <v>0</v>
      </c>
      <c r="W1300" s="120">
        <v>0</v>
      </c>
      <c r="X1300" s="120">
        <v>0</v>
      </c>
      <c r="Y1300" s="120">
        <v>0</v>
      </c>
      <c r="Z1300" s="120">
        <v>0</v>
      </c>
      <c r="AA1300" s="17">
        <v>0</v>
      </c>
      <c r="AB1300" s="17">
        <v>0</v>
      </c>
      <c r="AC1300" s="17">
        <v>0</v>
      </c>
      <c r="AD1300" s="17">
        <v>0</v>
      </c>
      <c r="AE1300" s="17">
        <v>0</v>
      </c>
      <c r="AF1300" s="17">
        <v>0</v>
      </c>
      <c r="AG1300" s="17">
        <v>0</v>
      </c>
      <c r="AH1300" s="17">
        <v>0</v>
      </c>
      <c r="AI1300" s="17">
        <v>0</v>
      </c>
      <c r="AJ1300" s="17">
        <v>0</v>
      </c>
      <c r="AK1300" s="17">
        <v>0</v>
      </c>
      <c r="AL1300" s="32">
        <v>0</v>
      </c>
      <c r="AM1300" s="172" t="s">
        <v>1837</v>
      </c>
      <c r="AN1300" s="89"/>
      <c r="AO1300" s="280"/>
      <c r="AP1300" s="784"/>
      <c r="AQ1300" s="17" t="s">
        <v>1838</v>
      </c>
      <c r="AR1300" s="280"/>
      <c r="AS1300" s="280"/>
      <c r="AT1300" s="280"/>
      <c r="AU1300" s="280"/>
      <c r="AV1300" s="172" t="s">
        <v>521</v>
      </c>
      <c r="AW1300" s="171">
        <v>0.19</v>
      </c>
      <c r="AX1300" s="171" t="s">
        <v>521</v>
      </c>
      <c r="AY1300" s="171" t="s">
        <v>521</v>
      </c>
      <c r="AZ1300" s="171">
        <v>0</v>
      </c>
      <c r="BA1300" s="175" t="s">
        <v>521</v>
      </c>
      <c r="BB1300" s="259"/>
      <c r="BC1300" s="190"/>
      <c r="BD1300" s="177"/>
      <c r="BE1300" s="177"/>
      <c r="BF1300" s="178"/>
    </row>
    <row r="1301" spans="1:58">
      <c r="A1301" s="95">
        <v>1300</v>
      </c>
      <c r="B1301" s="211" t="s">
        <v>1968</v>
      </c>
      <c r="C1301" s="191" t="s">
        <v>1836</v>
      </c>
      <c r="D1301" s="171" t="s">
        <v>447</v>
      </c>
      <c r="E1301" s="463" t="s">
        <v>3377</v>
      </c>
      <c r="F1301" s="171">
        <v>2005</v>
      </c>
      <c r="G1301" s="171">
        <v>303</v>
      </c>
      <c r="H1301" s="172" t="s">
        <v>1738</v>
      </c>
      <c r="I1301" s="173" t="s">
        <v>1739</v>
      </c>
      <c r="J1301" s="212">
        <v>0.4</v>
      </c>
      <c r="K1301" s="213">
        <v>0</v>
      </c>
      <c r="L1301" s="91"/>
      <c r="M1301" s="171">
        <v>688</v>
      </c>
      <c r="N1301" s="171"/>
      <c r="O1301" s="172" t="s">
        <v>129</v>
      </c>
      <c r="P1301" s="92"/>
      <c r="Q1301" s="173" t="s">
        <v>525</v>
      </c>
      <c r="R1301" s="506" t="s">
        <v>2727</v>
      </c>
      <c r="S1301" s="89"/>
      <c r="T1301" s="214"/>
      <c r="U1301" s="214" t="s">
        <v>2312</v>
      </c>
      <c r="V1301" s="102">
        <v>0</v>
      </c>
      <c r="W1301" s="120">
        <v>0</v>
      </c>
      <c r="X1301" s="120">
        <v>0</v>
      </c>
      <c r="Y1301" s="120">
        <v>0</v>
      </c>
      <c r="Z1301" s="120">
        <v>0</v>
      </c>
      <c r="AA1301" s="17">
        <v>0</v>
      </c>
      <c r="AB1301" s="17">
        <v>0</v>
      </c>
      <c r="AC1301" s="17">
        <v>0</v>
      </c>
      <c r="AD1301" s="17">
        <v>0</v>
      </c>
      <c r="AE1301" s="17">
        <v>0</v>
      </c>
      <c r="AF1301" s="17">
        <v>0</v>
      </c>
      <c r="AG1301" s="17">
        <v>0</v>
      </c>
      <c r="AH1301" s="17">
        <v>0</v>
      </c>
      <c r="AI1301" s="17">
        <v>0</v>
      </c>
      <c r="AJ1301" s="17">
        <v>0</v>
      </c>
      <c r="AK1301" s="17">
        <v>0</v>
      </c>
      <c r="AL1301" s="32">
        <v>0</v>
      </c>
      <c r="AM1301" s="172" t="s">
        <v>1837</v>
      </c>
      <c r="AN1301" s="89"/>
      <c r="AO1301" s="280"/>
      <c r="AP1301" s="784"/>
      <c r="AQ1301" s="17" t="s">
        <v>1838</v>
      </c>
      <c r="AR1301" s="280"/>
      <c r="AS1301" s="280"/>
      <c r="AT1301" s="280"/>
      <c r="AU1301" s="280"/>
      <c r="AV1301" s="172" t="s">
        <v>521</v>
      </c>
      <c r="AW1301" s="171">
        <v>0.17</v>
      </c>
      <c r="AX1301" s="171" t="s">
        <v>521</v>
      </c>
      <c r="AY1301" s="171" t="s">
        <v>521</v>
      </c>
      <c r="AZ1301" s="171">
        <v>0</v>
      </c>
      <c r="BA1301" s="175" t="s">
        <v>521</v>
      </c>
      <c r="BB1301" s="259"/>
      <c r="BC1301" s="190"/>
      <c r="BD1301" s="177"/>
      <c r="BE1301" s="177"/>
      <c r="BF1301" s="178"/>
    </row>
    <row r="1302" spans="1:58">
      <c r="A1302" s="95">
        <v>1301</v>
      </c>
      <c r="B1302" s="211" t="s">
        <v>1969</v>
      </c>
      <c r="C1302" s="191" t="s">
        <v>1836</v>
      </c>
      <c r="D1302" s="171" t="s">
        <v>447</v>
      </c>
      <c r="E1302" s="463" t="s">
        <v>3377</v>
      </c>
      <c r="F1302" s="171">
        <v>2005</v>
      </c>
      <c r="G1302" s="171">
        <v>303</v>
      </c>
      <c r="H1302" s="172" t="s">
        <v>1738</v>
      </c>
      <c r="I1302" s="173" t="s">
        <v>1739</v>
      </c>
      <c r="J1302" s="212">
        <v>0.45</v>
      </c>
      <c r="K1302" s="213">
        <v>0</v>
      </c>
      <c r="L1302" s="91"/>
      <c r="M1302" s="171">
        <v>611</v>
      </c>
      <c r="N1302" s="171"/>
      <c r="O1302" s="172" t="s">
        <v>129</v>
      </c>
      <c r="P1302" s="92"/>
      <c r="Q1302" s="173" t="s">
        <v>525</v>
      </c>
      <c r="R1302" s="506" t="s">
        <v>2727</v>
      </c>
      <c r="S1302" s="89"/>
      <c r="T1302" s="214"/>
      <c r="U1302" s="214" t="s">
        <v>2312</v>
      </c>
      <c r="V1302" s="102">
        <v>0</v>
      </c>
      <c r="W1302" s="120">
        <v>0</v>
      </c>
      <c r="X1302" s="120">
        <v>0</v>
      </c>
      <c r="Y1302" s="120">
        <v>0</v>
      </c>
      <c r="Z1302" s="120">
        <v>0</v>
      </c>
      <c r="AA1302" s="17">
        <v>0</v>
      </c>
      <c r="AB1302" s="17">
        <v>0</v>
      </c>
      <c r="AC1302" s="17">
        <v>0</v>
      </c>
      <c r="AD1302" s="17">
        <v>0</v>
      </c>
      <c r="AE1302" s="17">
        <v>0</v>
      </c>
      <c r="AF1302" s="17">
        <v>0</v>
      </c>
      <c r="AG1302" s="17">
        <v>0</v>
      </c>
      <c r="AH1302" s="17">
        <v>0</v>
      </c>
      <c r="AI1302" s="17">
        <v>0</v>
      </c>
      <c r="AJ1302" s="17">
        <v>0</v>
      </c>
      <c r="AK1302" s="17">
        <v>0</v>
      </c>
      <c r="AL1302" s="32">
        <v>0</v>
      </c>
      <c r="AM1302" s="172" t="s">
        <v>1837</v>
      </c>
      <c r="AN1302" s="89"/>
      <c r="AO1302" s="280"/>
      <c r="AP1302" s="784"/>
      <c r="AQ1302" s="17" t="s">
        <v>1838</v>
      </c>
      <c r="AR1302" s="280"/>
      <c r="AS1302" s="280"/>
      <c r="AT1302" s="280"/>
      <c r="AU1302" s="280"/>
      <c r="AV1302" s="172" t="s">
        <v>521</v>
      </c>
      <c r="AW1302" s="171">
        <v>0.35</v>
      </c>
      <c r="AX1302" s="171" t="s">
        <v>521</v>
      </c>
      <c r="AY1302" s="171" t="s">
        <v>521</v>
      </c>
      <c r="AZ1302" s="171">
        <v>0</v>
      </c>
      <c r="BA1302" s="175" t="s">
        <v>521</v>
      </c>
      <c r="BB1302" s="259"/>
      <c r="BC1302" s="190"/>
      <c r="BD1302" s="177"/>
      <c r="BE1302" s="177"/>
      <c r="BF1302" s="178"/>
    </row>
    <row r="1303" spans="1:58">
      <c r="A1303" s="95">
        <v>1302</v>
      </c>
      <c r="B1303" s="211" t="s">
        <v>1970</v>
      </c>
      <c r="C1303" s="191" t="s">
        <v>1836</v>
      </c>
      <c r="D1303" s="171" t="s">
        <v>447</v>
      </c>
      <c r="E1303" s="463" t="s">
        <v>3377</v>
      </c>
      <c r="F1303" s="171">
        <v>2005</v>
      </c>
      <c r="G1303" s="171">
        <v>303</v>
      </c>
      <c r="H1303" s="172" t="s">
        <v>1738</v>
      </c>
      <c r="I1303" s="173" t="s">
        <v>1739</v>
      </c>
      <c r="J1303" s="212">
        <v>0.3</v>
      </c>
      <c r="K1303" s="213">
        <v>0</v>
      </c>
      <c r="L1303" s="91"/>
      <c r="M1303" s="171">
        <v>915</v>
      </c>
      <c r="N1303" s="171"/>
      <c r="O1303" s="172" t="s">
        <v>129</v>
      </c>
      <c r="P1303" s="92"/>
      <c r="Q1303" s="173" t="s">
        <v>525</v>
      </c>
      <c r="R1303" s="506" t="s">
        <v>2727</v>
      </c>
      <c r="S1303" s="89"/>
      <c r="T1303" s="214"/>
      <c r="U1303" s="214" t="s">
        <v>2312</v>
      </c>
      <c r="V1303" s="102">
        <v>0</v>
      </c>
      <c r="W1303" s="120">
        <v>0</v>
      </c>
      <c r="X1303" s="120">
        <v>0</v>
      </c>
      <c r="Y1303" s="120">
        <v>0</v>
      </c>
      <c r="Z1303" s="120">
        <v>0</v>
      </c>
      <c r="AA1303" s="17">
        <v>0</v>
      </c>
      <c r="AB1303" s="17">
        <v>0</v>
      </c>
      <c r="AC1303" s="17">
        <v>0</v>
      </c>
      <c r="AD1303" s="17">
        <v>0</v>
      </c>
      <c r="AE1303" s="17">
        <v>0</v>
      </c>
      <c r="AF1303" s="17">
        <v>0</v>
      </c>
      <c r="AG1303" s="17">
        <v>0</v>
      </c>
      <c r="AH1303" s="17">
        <v>0</v>
      </c>
      <c r="AI1303" s="17">
        <v>0</v>
      </c>
      <c r="AJ1303" s="17">
        <v>0</v>
      </c>
      <c r="AK1303" s="17">
        <v>0</v>
      </c>
      <c r="AL1303" s="32">
        <v>0</v>
      </c>
      <c r="AM1303" s="172" t="s">
        <v>1837</v>
      </c>
      <c r="AN1303" s="89"/>
      <c r="AO1303" s="280"/>
      <c r="AP1303" s="784"/>
      <c r="AQ1303" s="280"/>
      <c r="AR1303" s="280"/>
      <c r="AS1303" s="280"/>
      <c r="AT1303" s="280"/>
      <c r="AU1303" s="280"/>
      <c r="AV1303" s="172" t="s">
        <v>521</v>
      </c>
      <c r="AW1303" s="171">
        <v>0.06</v>
      </c>
      <c r="AX1303" s="171" t="s">
        <v>521</v>
      </c>
      <c r="AY1303" s="171" t="s">
        <v>521</v>
      </c>
      <c r="AZ1303" s="171">
        <v>0</v>
      </c>
      <c r="BA1303" s="175" t="s">
        <v>521</v>
      </c>
      <c r="BB1303" s="259"/>
      <c r="BC1303" s="190"/>
      <c r="BD1303" s="177"/>
      <c r="BE1303" s="177"/>
      <c r="BF1303" s="178"/>
    </row>
    <row r="1304" spans="1:58">
      <c r="A1304" s="95">
        <v>1303</v>
      </c>
      <c r="B1304" s="211" t="s">
        <v>1971</v>
      </c>
      <c r="C1304" s="191" t="s">
        <v>1836</v>
      </c>
      <c r="D1304" s="171" t="s">
        <v>447</v>
      </c>
      <c r="E1304" s="463" t="s">
        <v>3377</v>
      </c>
      <c r="F1304" s="171">
        <v>2005</v>
      </c>
      <c r="G1304" s="171">
        <v>303</v>
      </c>
      <c r="H1304" s="172" t="s">
        <v>1738</v>
      </c>
      <c r="I1304" s="173" t="s">
        <v>1739</v>
      </c>
      <c r="J1304" s="212">
        <v>0.3</v>
      </c>
      <c r="K1304" s="213">
        <v>0</v>
      </c>
      <c r="L1304" s="91"/>
      <c r="M1304" s="171">
        <v>915</v>
      </c>
      <c r="N1304" s="171"/>
      <c r="O1304" s="172" t="s">
        <v>129</v>
      </c>
      <c r="P1304" s="92"/>
      <c r="Q1304" s="173" t="s">
        <v>525</v>
      </c>
      <c r="R1304" s="506" t="s">
        <v>2727</v>
      </c>
      <c r="S1304" s="89"/>
      <c r="T1304" s="214"/>
      <c r="U1304" s="214" t="s">
        <v>2312</v>
      </c>
      <c r="V1304" s="102">
        <v>0</v>
      </c>
      <c r="W1304" s="120">
        <v>0</v>
      </c>
      <c r="X1304" s="120">
        <v>0</v>
      </c>
      <c r="Y1304" s="120">
        <v>0</v>
      </c>
      <c r="Z1304" s="120">
        <v>0</v>
      </c>
      <c r="AA1304" s="17">
        <v>0</v>
      </c>
      <c r="AB1304" s="17">
        <v>0</v>
      </c>
      <c r="AC1304" s="17">
        <v>0</v>
      </c>
      <c r="AD1304" s="17">
        <v>0</v>
      </c>
      <c r="AE1304" s="17">
        <v>0</v>
      </c>
      <c r="AF1304" s="17">
        <v>1</v>
      </c>
      <c r="AG1304" s="17">
        <v>0</v>
      </c>
      <c r="AH1304" s="17">
        <v>0</v>
      </c>
      <c r="AI1304" s="17">
        <v>0</v>
      </c>
      <c r="AJ1304" s="17">
        <v>0</v>
      </c>
      <c r="AK1304" s="17">
        <v>0</v>
      </c>
      <c r="AL1304" s="32">
        <v>0</v>
      </c>
      <c r="AM1304" s="172" t="s">
        <v>1837</v>
      </c>
      <c r="AN1304" s="89"/>
      <c r="AO1304" s="280"/>
      <c r="AP1304" s="784"/>
      <c r="AQ1304" s="280"/>
      <c r="AR1304" s="280"/>
      <c r="AS1304" s="280"/>
      <c r="AT1304" s="280"/>
      <c r="AU1304" s="280"/>
      <c r="AV1304" s="172" t="s">
        <v>521</v>
      </c>
      <c r="AW1304" s="171">
        <v>7.0000000000000007E-2</v>
      </c>
      <c r="AX1304" s="171" t="s">
        <v>521</v>
      </c>
      <c r="AY1304" s="171" t="s">
        <v>521</v>
      </c>
      <c r="AZ1304" s="171">
        <v>0</v>
      </c>
      <c r="BA1304" s="175" t="s">
        <v>521</v>
      </c>
      <c r="BB1304" s="259"/>
      <c r="BC1304" s="190"/>
      <c r="BD1304" s="177"/>
      <c r="BE1304" s="177"/>
      <c r="BF1304" s="178"/>
    </row>
    <row r="1305" spans="1:58" ht="15" customHeight="1">
      <c r="A1305" s="95">
        <v>1304</v>
      </c>
      <c r="B1305" s="211" t="s">
        <v>309</v>
      </c>
      <c r="C1305" s="191" t="s">
        <v>429</v>
      </c>
      <c r="D1305" s="171" t="s">
        <v>445</v>
      </c>
      <c r="E1305" s="463" t="s">
        <v>3377</v>
      </c>
      <c r="F1305" s="171">
        <v>1971</v>
      </c>
      <c r="G1305" s="171">
        <v>304</v>
      </c>
      <c r="H1305" s="172" t="s">
        <v>1738</v>
      </c>
      <c r="I1305" s="173" t="s">
        <v>1743</v>
      </c>
      <c r="J1305" s="212">
        <v>0.68</v>
      </c>
      <c r="K1305" s="213">
        <v>6.32</v>
      </c>
      <c r="L1305" s="91"/>
      <c r="M1305" s="171">
        <v>277</v>
      </c>
      <c r="N1305" s="171"/>
      <c r="O1305" s="172" t="s">
        <v>12</v>
      </c>
      <c r="P1305" s="92"/>
      <c r="Q1305" s="173" t="s">
        <v>523</v>
      </c>
      <c r="R1305" s="506" t="s">
        <v>2727</v>
      </c>
      <c r="S1305" s="89"/>
      <c r="T1305" s="214" t="s">
        <v>2319</v>
      </c>
      <c r="U1305" s="214" t="s">
        <v>2312</v>
      </c>
      <c r="V1305" s="102">
        <v>0</v>
      </c>
      <c r="W1305" s="120">
        <v>0</v>
      </c>
      <c r="X1305" s="120">
        <v>0</v>
      </c>
      <c r="Y1305" s="120">
        <v>0</v>
      </c>
      <c r="Z1305" s="120">
        <v>0</v>
      </c>
      <c r="AA1305" s="17">
        <v>0</v>
      </c>
      <c r="AB1305" s="17">
        <v>0</v>
      </c>
      <c r="AC1305" s="17">
        <v>0</v>
      </c>
      <c r="AD1305" s="17">
        <v>0</v>
      </c>
      <c r="AE1305" s="17">
        <v>0</v>
      </c>
      <c r="AF1305" s="17">
        <v>0</v>
      </c>
      <c r="AG1305" s="17">
        <v>0</v>
      </c>
      <c r="AH1305" s="17">
        <v>0</v>
      </c>
      <c r="AI1305" s="17">
        <v>0</v>
      </c>
      <c r="AJ1305" s="17">
        <v>0</v>
      </c>
      <c r="AK1305" s="17">
        <v>0</v>
      </c>
      <c r="AL1305" s="32">
        <v>0</v>
      </c>
      <c r="AM1305" s="172">
        <v>26.75</v>
      </c>
      <c r="AN1305" s="89"/>
      <c r="AO1305" s="280"/>
      <c r="AP1305" s="783">
        <v>16547</v>
      </c>
      <c r="AQ1305" s="17" t="s">
        <v>532</v>
      </c>
      <c r="AR1305" s="174">
        <v>25.5</v>
      </c>
      <c r="AS1305" s="280"/>
      <c r="AT1305" s="171">
        <v>235</v>
      </c>
      <c r="AU1305" s="255">
        <f>(AR1305*AT1305)/((2*AT1305)+(2*AR1305))</f>
        <v>11.501919385796546</v>
      </c>
      <c r="AV1305" s="172">
        <v>100</v>
      </c>
      <c r="AW1305" s="171">
        <v>7</v>
      </c>
      <c r="AX1305" s="89"/>
      <c r="AY1305" s="89"/>
      <c r="AZ1305" s="171">
        <v>0</v>
      </c>
      <c r="BA1305" s="175">
        <v>35</v>
      </c>
      <c r="BB1305" s="189" t="s">
        <v>543</v>
      </c>
      <c r="BC1305" s="190"/>
      <c r="BD1305" s="177"/>
      <c r="BE1305" s="177"/>
      <c r="BF1305" s="178" t="s">
        <v>543</v>
      </c>
    </row>
    <row r="1306" spans="1:58" ht="15" customHeight="1">
      <c r="A1306" s="95">
        <v>1305</v>
      </c>
      <c r="B1306" s="211" t="s">
        <v>310</v>
      </c>
      <c r="C1306" s="191" t="s">
        <v>429</v>
      </c>
      <c r="D1306" s="171" t="s">
        <v>445</v>
      </c>
      <c r="E1306" s="463" t="s">
        <v>3377</v>
      </c>
      <c r="F1306" s="171">
        <v>1971</v>
      </c>
      <c r="G1306" s="171">
        <v>304</v>
      </c>
      <c r="H1306" s="172" t="s">
        <v>1738</v>
      </c>
      <c r="I1306" s="173" t="s">
        <v>1743</v>
      </c>
      <c r="J1306" s="212">
        <v>0.7</v>
      </c>
      <c r="K1306" s="213">
        <v>5.98</v>
      </c>
      <c r="L1306" s="91"/>
      <c r="M1306" s="171">
        <v>295</v>
      </c>
      <c r="N1306" s="171"/>
      <c r="O1306" s="172" t="s">
        <v>12</v>
      </c>
      <c r="P1306" s="92"/>
      <c r="Q1306" s="173" t="s">
        <v>523</v>
      </c>
      <c r="R1306" s="506" t="s">
        <v>2727</v>
      </c>
      <c r="S1306" s="89"/>
      <c r="T1306" s="214" t="s">
        <v>2319</v>
      </c>
      <c r="U1306" s="214" t="s">
        <v>2312</v>
      </c>
      <c r="V1306" s="102">
        <v>0</v>
      </c>
      <c r="W1306" s="120">
        <v>0</v>
      </c>
      <c r="X1306" s="120">
        <v>0</v>
      </c>
      <c r="Y1306" s="120">
        <v>0</v>
      </c>
      <c r="Z1306" s="120">
        <v>0</v>
      </c>
      <c r="AA1306" s="17">
        <v>0</v>
      </c>
      <c r="AB1306" s="17">
        <v>0</v>
      </c>
      <c r="AC1306" s="17">
        <v>0</v>
      </c>
      <c r="AD1306" s="17">
        <v>0</v>
      </c>
      <c r="AE1306" s="17">
        <v>0</v>
      </c>
      <c r="AF1306" s="17">
        <v>0</v>
      </c>
      <c r="AG1306" s="17">
        <v>0</v>
      </c>
      <c r="AH1306" s="17">
        <v>0</v>
      </c>
      <c r="AI1306" s="17">
        <v>0.26300000000000001</v>
      </c>
      <c r="AJ1306" s="17">
        <v>0</v>
      </c>
      <c r="AK1306" s="17">
        <v>0</v>
      </c>
      <c r="AL1306" s="32">
        <v>0</v>
      </c>
      <c r="AM1306" s="172">
        <v>22.68</v>
      </c>
      <c r="AN1306" s="89"/>
      <c r="AO1306" s="280"/>
      <c r="AP1306" s="783">
        <v>16892</v>
      </c>
      <c r="AQ1306" s="17" t="s">
        <v>532</v>
      </c>
      <c r="AR1306" s="174">
        <v>25.5</v>
      </c>
      <c r="AS1306" s="280"/>
      <c r="AT1306" s="171">
        <v>235</v>
      </c>
      <c r="AU1306" s="255">
        <f>(AR1306*AT1306)/((2*AT1306)+(2*AR1306))</f>
        <v>11.501919385796546</v>
      </c>
      <c r="AV1306" s="172">
        <v>100</v>
      </c>
      <c r="AW1306" s="171">
        <v>7</v>
      </c>
      <c r="AX1306" s="89"/>
      <c r="AY1306" s="89"/>
      <c r="AZ1306" s="171">
        <v>0</v>
      </c>
      <c r="BA1306" s="175">
        <v>35</v>
      </c>
      <c r="BB1306" s="189" t="s">
        <v>544</v>
      </c>
      <c r="BC1306" s="190"/>
      <c r="BD1306" s="177"/>
      <c r="BE1306" s="177"/>
      <c r="BF1306" s="178" t="s">
        <v>544</v>
      </c>
    </row>
    <row r="1307" spans="1:58" ht="15" customHeight="1">
      <c r="A1307" s="95">
        <v>1306</v>
      </c>
      <c r="B1307" s="211" t="s">
        <v>311</v>
      </c>
      <c r="C1307" s="191" t="s">
        <v>429</v>
      </c>
      <c r="D1307" s="171" t="s">
        <v>445</v>
      </c>
      <c r="E1307" s="463" t="s">
        <v>3377</v>
      </c>
      <c r="F1307" s="171">
        <v>1971</v>
      </c>
      <c r="G1307" s="171">
        <v>304</v>
      </c>
      <c r="H1307" s="172" t="s">
        <v>1738</v>
      </c>
      <c r="I1307" s="173" t="s">
        <v>1743</v>
      </c>
      <c r="J1307" s="212">
        <v>0.68</v>
      </c>
      <c r="K1307" s="213">
        <v>6.32</v>
      </c>
      <c r="L1307" s="91"/>
      <c r="M1307" s="171">
        <v>277</v>
      </c>
      <c r="N1307" s="171"/>
      <c r="O1307" s="172" t="s">
        <v>12</v>
      </c>
      <c r="P1307" s="92"/>
      <c r="Q1307" s="173" t="s">
        <v>523</v>
      </c>
      <c r="R1307" s="506" t="s">
        <v>2727</v>
      </c>
      <c r="S1307" s="89"/>
      <c r="T1307" s="214" t="s">
        <v>2319</v>
      </c>
      <c r="U1307" s="214" t="s">
        <v>2312</v>
      </c>
      <c r="V1307" s="102">
        <v>0</v>
      </c>
      <c r="W1307" s="120">
        <v>0</v>
      </c>
      <c r="X1307" s="120">
        <v>0</v>
      </c>
      <c r="Y1307" s="120">
        <v>0</v>
      </c>
      <c r="Z1307" s="120">
        <v>0</v>
      </c>
      <c r="AA1307" s="17">
        <v>0</v>
      </c>
      <c r="AB1307" s="17">
        <v>0</v>
      </c>
      <c r="AC1307" s="17">
        <v>0</v>
      </c>
      <c r="AD1307" s="17">
        <v>0</v>
      </c>
      <c r="AE1307" s="17">
        <v>0</v>
      </c>
      <c r="AF1307" s="17">
        <v>0</v>
      </c>
      <c r="AG1307" s="17">
        <v>0</v>
      </c>
      <c r="AH1307" s="17">
        <v>0</v>
      </c>
      <c r="AI1307" s="17">
        <v>0</v>
      </c>
      <c r="AJ1307" s="17">
        <v>0</v>
      </c>
      <c r="AK1307" s="17">
        <v>0</v>
      </c>
      <c r="AL1307" s="32">
        <v>0</v>
      </c>
      <c r="AM1307" s="172">
        <v>23.09</v>
      </c>
      <c r="AN1307" s="89"/>
      <c r="AO1307" s="280"/>
      <c r="AP1307" s="783">
        <v>17926</v>
      </c>
      <c r="AQ1307" s="17" t="s">
        <v>532</v>
      </c>
      <c r="AR1307" s="174">
        <v>25.5</v>
      </c>
      <c r="AS1307" s="280"/>
      <c r="AT1307" s="171">
        <v>235</v>
      </c>
      <c r="AU1307" s="255">
        <f>(AR1307*AT1307)/((2*AT1307)+(2*AR1307))</f>
        <v>11.501919385796546</v>
      </c>
      <c r="AV1307" s="172">
        <v>100</v>
      </c>
      <c r="AW1307" s="171">
        <v>7</v>
      </c>
      <c r="AX1307" s="89"/>
      <c r="AY1307" s="89"/>
      <c r="AZ1307" s="171">
        <v>0</v>
      </c>
      <c r="BA1307" s="175">
        <v>35</v>
      </c>
      <c r="BB1307" s="189" t="s">
        <v>545</v>
      </c>
      <c r="BC1307" s="190"/>
      <c r="BD1307" s="177"/>
      <c r="BE1307" s="177"/>
      <c r="BF1307" s="178" t="s">
        <v>545</v>
      </c>
    </row>
    <row r="1308" spans="1:58" ht="15" customHeight="1">
      <c r="A1308" s="95">
        <v>1307</v>
      </c>
      <c r="B1308" s="211" t="s">
        <v>312</v>
      </c>
      <c r="C1308" s="191" t="s">
        <v>429</v>
      </c>
      <c r="D1308" s="171" t="s">
        <v>445</v>
      </c>
      <c r="E1308" s="463" t="s">
        <v>3377</v>
      </c>
      <c r="F1308" s="171">
        <v>1971</v>
      </c>
      <c r="G1308" s="171">
        <v>304</v>
      </c>
      <c r="H1308" s="172" t="s">
        <v>1738</v>
      </c>
      <c r="I1308" s="173" t="s">
        <v>1743</v>
      </c>
      <c r="J1308" s="212">
        <v>0.7</v>
      </c>
      <c r="K1308" s="213">
        <v>5.98</v>
      </c>
      <c r="L1308" s="91"/>
      <c r="M1308" s="171">
        <v>295</v>
      </c>
      <c r="N1308" s="171"/>
      <c r="O1308" s="172" t="s">
        <v>12</v>
      </c>
      <c r="P1308" s="92"/>
      <c r="Q1308" s="173" t="s">
        <v>523</v>
      </c>
      <c r="R1308" s="506" t="s">
        <v>2727</v>
      </c>
      <c r="S1308" s="89"/>
      <c r="T1308" s="214" t="s">
        <v>2319</v>
      </c>
      <c r="U1308" s="214" t="s">
        <v>2312</v>
      </c>
      <c r="V1308" s="102">
        <v>0</v>
      </c>
      <c r="W1308" s="120">
        <v>0</v>
      </c>
      <c r="X1308" s="120">
        <v>0</v>
      </c>
      <c r="Y1308" s="120">
        <v>0</v>
      </c>
      <c r="Z1308" s="120">
        <v>0</v>
      </c>
      <c r="AA1308" s="17">
        <v>0</v>
      </c>
      <c r="AB1308" s="17">
        <v>0</v>
      </c>
      <c r="AC1308" s="17">
        <v>0</v>
      </c>
      <c r="AD1308" s="17">
        <v>0</v>
      </c>
      <c r="AE1308" s="17">
        <v>0</v>
      </c>
      <c r="AF1308" s="17">
        <v>0</v>
      </c>
      <c r="AG1308" s="17">
        <v>0</v>
      </c>
      <c r="AH1308" s="17">
        <v>0</v>
      </c>
      <c r="AI1308" s="17">
        <v>0.26300000000000001</v>
      </c>
      <c r="AJ1308" s="17">
        <v>0</v>
      </c>
      <c r="AK1308" s="17">
        <v>0</v>
      </c>
      <c r="AL1308" s="32">
        <v>0</v>
      </c>
      <c r="AM1308" s="172">
        <v>22.61</v>
      </c>
      <c r="AN1308" s="89"/>
      <c r="AO1308" s="280"/>
      <c r="AP1308" s="783">
        <v>17236</v>
      </c>
      <c r="AQ1308" s="17" t="s">
        <v>532</v>
      </c>
      <c r="AR1308" s="174">
        <v>25.5</v>
      </c>
      <c r="AS1308" s="280"/>
      <c r="AT1308" s="171">
        <v>235</v>
      </c>
      <c r="AU1308" s="255">
        <f>(AR1308*AT1308)/((2*AT1308)+(2*AR1308))</f>
        <v>11.501919385796546</v>
      </c>
      <c r="AV1308" s="172">
        <v>100</v>
      </c>
      <c r="AW1308" s="171">
        <v>7</v>
      </c>
      <c r="AX1308" s="89"/>
      <c r="AY1308" s="89"/>
      <c r="AZ1308" s="171">
        <v>0</v>
      </c>
      <c r="BA1308" s="175">
        <v>35</v>
      </c>
      <c r="BB1308" s="189" t="s">
        <v>546</v>
      </c>
      <c r="BC1308" s="190"/>
      <c r="BD1308" s="177"/>
      <c r="BE1308" s="177"/>
      <c r="BF1308" s="178" t="s">
        <v>546</v>
      </c>
    </row>
    <row r="1309" spans="1:58" ht="15" customHeight="1">
      <c r="A1309" s="95">
        <v>1308</v>
      </c>
      <c r="B1309" s="211" t="s">
        <v>1972</v>
      </c>
      <c r="C1309" s="191" t="s">
        <v>1794</v>
      </c>
      <c r="D1309" s="171" t="s">
        <v>1795</v>
      </c>
      <c r="E1309" s="463" t="s">
        <v>3377</v>
      </c>
      <c r="F1309" s="171">
        <v>1990</v>
      </c>
      <c r="G1309" s="171">
        <v>305</v>
      </c>
      <c r="H1309" s="172" t="s">
        <v>1738</v>
      </c>
      <c r="I1309" s="173" t="s">
        <v>1743</v>
      </c>
      <c r="J1309" s="212">
        <v>0.35</v>
      </c>
      <c r="K1309" s="213">
        <v>3.0370370370370372</v>
      </c>
      <c r="L1309" s="91"/>
      <c r="M1309" s="171">
        <v>540</v>
      </c>
      <c r="N1309" s="171"/>
      <c r="O1309" s="172" t="s">
        <v>120</v>
      </c>
      <c r="P1309" s="92"/>
      <c r="Q1309" s="173" t="s">
        <v>1796</v>
      </c>
      <c r="R1309" s="171" t="s">
        <v>2723</v>
      </c>
      <c r="S1309" s="89"/>
      <c r="T1309" s="214" t="s">
        <v>2306</v>
      </c>
      <c r="U1309" s="214" t="s">
        <v>2313</v>
      </c>
      <c r="V1309" s="102">
        <v>0</v>
      </c>
      <c r="W1309" s="120" t="s">
        <v>527</v>
      </c>
      <c r="X1309" s="120">
        <v>0</v>
      </c>
      <c r="Y1309" s="120">
        <v>0</v>
      </c>
      <c r="Z1309" s="120">
        <v>0</v>
      </c>
      <c r="AA1309" s="17">
        <v>0</v>
      </c>
      <c r="AB1309" s="17">
        <v>0</v>
      </c>
      <c r="AC1309" s="17">
        <v>0</v>
      </c>
      <c r="AD1309" s="17">
        <v>0</v>
      </c>
      <c r="AE1309" s="17">
        <v>0</v>
      </c>
      <c r="AF1309" s="17">
        <v>0</v>
      </c>
      <c r="AG1309" s="17">
        <v>0.92500000000000004</v>
      </c>
      <c r="AH1309" s="17">
        <v>0</v>
      </c>
      <c r="AI1309" s="17">
        <v>0</v>
      </c>
      <c r="AJ1309" s="17">
        <v>0</v>
      </c>
      <c r="AK1309" s="17">
        <v>0</v>
      </c>
      <c r="AL1309" s="32">
        <v>0</v>
      </c>
      <c r="AM1309" s="172">
        <v>55.8</v>
      </c>
      <c r="AN1309" s="89"/>
      <c r="AO1309" s="280"/>
      <c r="AP1309" s="783">
        <v>33000</v>
      </c>
      <c r="AQ1309" s="17" t="s">
        <v>1797</v>
      </c>
      <c r="AR1309" s="174">
        <v>100</v>
      </c>
      <c r="AS1309" s="280"/>
      <c r="AT1309" s="171">
        <v>380</v>
      </c>
      <c r="AU1309" s="255">
        <f>IF(ISBLANK(AS1309),(AR1309*AT1309)/((4*AT1309)+(2*AR1309)),AR1309*AS1309*AT1309/2/(AR1309*AS1309+AR1309*AT1309+AS1309*AT1309))</f>
        <v>22.093023255813954</v>
      </c>
      <c r="AV1309" s="172">
        <v>85</v>
      </c>
      <c r="AW1309" s="171">
        <v>2</v>
      </c>
      <c r="AX1309" s="89"/>
      <c r="AY1309" s="89"/>
      <c r="AZ1309" s="171">
        <v>0</v>
      </c>
      <c r="BA1309" s="89"/>
      <c r="BB1309" s="189" t="s">
        <v>2994</v>
      </c>
      <c r="BC1309" s="190"/>
      <c r="BD1309" s="177"/>
      <c r="BE1309" s="177"/>
      <c r="BF1309" s="178" t="s">
        <v>2995</v>
      </c>
    </row>
    <row r="1310" spans="1:58">
      <c r="A1310" s="95">
        <v>1309</v>
      </c>
      <c r="B1310" s="211" t="s">
        <v>313</v>
      </c>
      <c r="C1310" s="191" t="s">
        <v>430</v>
      </c>
      <c r="D1310" s="171" t="s">
        <v>165</v>
      </c>
      <c r="E1310" s="463" t="s">
        <v>3377</v>
      </c>
      <c r="F1310" s="171">
        <v>2006</v>
      </c>
      <c r="G1310" s="171">
        <v>306</v>
      </c>
      <c r="H1310" s="172" t="s">
        <v>1738</v>
      </c>
      <c r="I1310" s="173" t="s">
        <v>1739</v>
      </c>
      <c r="J1310" s="212">
        <v>0.17</v>
      </c>
      <c r="K1310" s="213">
        <v>1.5570175438596492</v>
      </c>
      <c r="L1310" s="91"/>
      <c r="M1310" s="171">
        <v>912</v>
      </c>
      <c r="N1310" s="171"/>
      <c r="O1310" s="57"/>
      <c r="P1310" s="89"/>
      <c r="Q1310" s="88"/>
      <c r="R1310" s="89"/>
      <c r="S1310" s="89"/>
      <c r="T1310" s="89"/>
      <c r="U1310" s="89"/>
      <c r="V1310" s="102" t="s">
        <v>527</v>
      </c>
      <c r="W1310" s="120">
        <v>0</v>
      </c>
      <c r="X1310" s="120">
        <v>0</v>
      </c>
      <c r="Y1310" s="120">
        <v>0</v>
      </c>
      <c r="Z1310" s="120">
        <v>0</v>
      </c>
      <c r="AA1310" s="17">
        <v>0</v>
      </c>
      <c r="AB1310" s="17">
        <v>0</v>
      </c>
      <c r="AC1310" s="17">
        <v>0</v>
      </c>
      <c r="AD1310" s="17">
        <v>0</v>
      </c>
      <c r="AE1310" s="17">
        <v>0</v>
      </c>
      <c r="AF1310" s="17">
        <v>4.09</v>
      </c>
      <c r="AG1310" s="17">
        <v>0</v>
      </c>
      <c r="AH1310" s="17">
        <v>0</v>
      </c>
      <c r="AI1310" s="17">
        <v>0</v>
      </c>
      <c r="AJ1310" s="17">
        <v>0</v>
      </c>
      <c r="AK1310" s="17">
        <v>0</v>
      </c>
      <c r="AL1310" s="32">
        <v>0</v>
      </c>
      <c r="AM1310" s="172">
        <v>167</v>
      </c>
      <c r="AN1310" s="89"/>
      <c r="AO1310" s="280"/>
      <c r="AP1310" s="783">
        <v>45000</v>
      </c>
      <c r="AQ1310" s="17" t="s">
        <v>271</v>
      </c>
      <c r="AR1310" s="174">
        <v>100</v>
      </c>
      <c r="AS1310" s="280"/>
      <c r="AT1310" s="171">
        <v>400</v>
      </c>
      <c r="AU1310" s="255">
        <f>IF(ISBLANK(AS1310),(AR1310*AT1310)/((4*AT1310)+(2*AR1310)),AR1310*AS1310*AT1310/2/(AR1310*AS1310+AR1310*AT1310+AS1310*AT1310))</f>
        <v>22.222222222222221</v>
      </c>
      <c r="AV1310" s="57"/>
      <c r="AW1310" s="171">
        <v>0.25</v>
      </c>
      <c r="AX1310" s="89"/>
      <c r="AY1310" s="89"/>
      <c r="AZ1310" s="89"/>
      <c r="BA1310" s="175">
        <v>99</v>
      </c>
      <c r="BB1310" s="259"/>
      <c r="BC1310" s="190"/>
      <c r="BD1310" s="177"/>
      <c r="BE1310" s="177"/>
      <c r="BF1310" s="178" t="s">
        <v>2519</v>
      </c>
    </row>
    <row r="1311" spans="1:58">
      <c r="A1311" s="95">
        <v>1310</v>
      </c>
      <c r="B1311" s="211" t="s">
        <v>1973</v>
      </c>
      <c r="C1311" s="191" t="s">
        <v>430</v>
      </c>
      <c r="D1311" s="171" t="s">
        <v>165</v>
      </c>
      <c r="E1311" s="463" t="s">
        <v>3377</v>
      </c>
      <c r="F1311" s="171">
        <v>2006</v>
      </c>
      <c r="G1311" s="171">
        <v>306</v>
      </c>
      <c r="H1311" s="172" t="s">
        <v>1738</v>
      </c>
      <c r="I1311" s="173" t="s">
        <v>1739</v>
      </c>
      <c r="J1311" s="212">
        <v>0.17</v>
      </c>
      <c r="K1311" s="213">
        <v>1.5728699551569507</v>
      </c>
      <c r="L1311" s="91"/>
      <c r="M1311" s="171">
        <v>892</v>
      </c>
      <c r="N1311" s="171"/>
      <c r="O1311" s="57"/>
      <c r="P1311" s="89"/>
      <c r="Q1311" s="88"/>
      <c r="R1311" s="89"/>
      <c r="S1311" s="89"/>
      <c r="T1311" s="89"/>
      <c r="U1311" s="89"/>
      <c r="V1311" s="102" t="s">
        <v>527</v>
      </c>
      <c r="W1311" s="120">
        <v>0</v>
      </c>
      <c r="X1311" s="120">
        <v>0</v>
      </c>
      <c r="Y1311" s="120">
        <v>0</v>
      </c>
      <c r="Z1311" s="120">
        <v>0</v>
      </c>
      <c r="AA1311" s="17">
        <v>0</v>
      </c>
      <c r="AB1311" s="17">
        <v>0</v>
      </c>
      <c r="AC1311" s="17">
        <v>0</v>
      </c>
      <c r="AD1311" s="17">
        <v>0</v>
      </c>
      <c r="AE1311" s="17">
        <v>0</v>
      </c>
      <c r="AF1311" s="17">
        <v>4.1500000000000004</v>
      </c>
      <c r="AG1311" s="17">
        <v>0</v>
      </c>
      <c r="AH1311" s="17">
        <v>0</v>
      </c>
      <c r="AI1311" s="17">
        <v>0</v>
      </c>
      <c r="AJ1311" s="17">
        <v>0</v>
      </c>
      <c r="AK1311" s="17">
        <v>0.224</v>
      </c>
      <c r="AL1311" s="32" t="s">
        <v>2541</v>
      </c>
      <c r="AM1311" s="172">
        <v>167</v>
      </c>
      <c r="AN1311" s="89"/>
      <c r="AO1311" s="280"/>
      <c r="AP1311" s="783">
        <v>43000</v>
      </c>
      <c r="AQ1311" s="17" t="s">
        <v>271</v>
      </c>
      <c r="AR1311" s="174">
        <v>100</v>
      </c>
      <c r="AS1311" s="280"/>
      <c r="AT1311" s="171">
        <v>400</v>
      </c>
      <c r="AU1311" s="255">
        <f>IF(ISBLANK(AS1311),(AR1311*AT1311)/((4*AT1311)+(2*AR1311)),AR1311*AS1311*AT1311/2/(AR1311*AS1311+AR1311*AT1311+AS1311*AT1311))</f>
        <v>22.222222222222221</v>
      </c>
      <c r="AV1311" s="57"/>
      <c r="AW1311" s="171">
        <v>0.25</v>
      </c>
      <c r="AX1311" s="89"/>
      <c r="AY1311" s="89"/>
      <c r="AZ1311" s="89"/>
      <c r="BA1311" s="175">
        <v>99</v>
      </c>
      <c r="BB1311" s="259"/>
      <c r="BC1311" s="190"/>
      <c r="BD1311" s="177"/>
      <c r="BE1311" s="177"/>
      <c r="BF1311" s="178" t="s">
        <v>2520</v>
      </c>
    </row>
    <row r="1312" spans="1:58">
      <c r="A1312" s="95">
        <v>1311</v>
      </c>
      <c r="B1312" s="211" t="s">
        <v>1974</v>
      </c>
      <c r="C1312" s="191" t="s">
        <v>1746</v>
      </c>
      <c r="D1312" s="171" t="s">
        <v>1747</v>
      </c>
      <c r="E1312" s="463" t="s">
        <v>3377</v>
      </c>
      <c r="F1312" s="171">
        <v>1999</v>
      </c>
      <c r="G1312" s="171">
        <v>308</v>
      </c>
      <c r="H1312" s="172" t="s">
        <v>1738</v>
      </c>
      <c r="I1312" s="173" t="s">
        <v>1739</v>
      </c>
      <c r="J1312" s="164"/>
      <c r="K1312" s="90"/>
      <c r="L1312" s="91"/>
      <c r="M1312" s="89"/>
      <c r="N1312" s="89"/>
      <c r="O1312" s="172" t="s">
        <v>12</v>
      </c>
      <c r="P1312" s="92"/>
      <c r="Q1312" s="173" t="s">
        <v>524</v>
      </c>
      <c r="R1312" s="89"/>
      <c r="S1312" s="89"/>
      <c r="T1312" s="89"/>
      <c r="U1312" s="89"/>
      <c r="V1312" s="102"/>
      <c r="Y1312" s="120">
        <v>0</v>
      </c>
      <c r="Z1312" s="120">
        <v>0</v>
      </c>
      <c r="AA1312" s="87"/>
      <c r="AB1312" s="17">
        <v>0</v>
      </c>
      <c r="AC1312" s="17">
        <v>0</v>
      </c>
      <c r="AD1312" s="87"/>
      <c r="AE1312" s="87"/>
      <c r="AF1312" s="17" t="s">
        <v>1748</v>
      </c>
      <c r="AG1312" s="87"/>
      <c r="AH1312" s="17">
        <v>0</v>
      </c>
      <c r="AI1312" s="87"/>
      <c r="AJ1312" s="87"/>
      <c r="AK1312" s="17">
        <v>0</v>
      </c>
      <c r="AL1312" s="93"/>
      <c r="AM1312" s="57"/>
      <c r="AN1312" s="89"/>
      <c r="AO1312" s="280"/>
      <c r="AP1312" s="784"/>
      <c r="AQ1312" s="280"/>
      <c r="AR1312" s="280"/>
      <c r="AS1312" s="280"/>
      <c r="AT1312" s="280"/>
      <c r="AU1312" s="280"/>
      <c r="AV1312" s="57"/>
      <c r="AW1312" s="171">
        <v>0</v>
      </c>
      <c r="AX1312" s="89"/>
      <c r="AY1312" s="171">
        <v>15</v>
      </c>
      <c r="AZ1312" s="89"/>
      <c r="BA1312" s="89"/>
      <c r="BB1312" s="259"/>
      <c r="BC1312" s="190"/>
      <c r="BD1312" s="177"/>
      <c r="BE1312" s="177"/>
      <c r="BF1312" s="178" t="s">
        <v>2279</v>
      </c>
    </row>
    <row r="1313" spans="1:58">
      <c r="A1313" s="95">
        <v>1312</v>
      </c>
      <c r="B1313" s="211" t="s">
        <v>1975</v>
      </c>
      <c r="C1313" s="191" t="s">
        <v>1746</v>
      </c>
      <c r="D1313" s="171" t="s">
        <v>1747</v>
      </c>
      <c r="E1313" s="463" t="s">
        <v>3377</v>
      </c>
      <c r="F1313" s="171">
        <v>1999</v>
      </c>
      <c r="G1313" s="171">
        <v>308</v>
      </c>
      <c r="H1313" s="172" t="s">
        <v>1738</v>
      </c>
      <c r="I1313" s="173" t="s">
        <v>1739</v>
      </c>
      <c r="J1313" s="164"/>
      <c r="K1313" s="90"/>
      <c r="L1313" s="91"/>
      <c r="M1313" s="89"/>
      <c r="N1313" s="89"/>
      <c r="O1313" s="172" t="s">
        <v>12</v>
      </c>
      <c r="P1313" s="92"/>
      <c r="Q1313" s="173" t="s">
        <v>524</v>
      </c>
      <c r="R1313" s="89"/>
      <c r="S1313" s="89"/>
      <c r="T1313" s="89"/>
      <c r="U1313" s="89"/>
      <c r="V1313" s="102"/>
      <c r="Y1313" s="120">
        <v>0</v>
      </c>
      <c r="Z1313" s="120">
        <v>0</v>
      </c>
      <c r="AA1313" s="87"/>
      <c r="AB1313" s="17">
        <v>0</v>
      </c>
      <c r="AC1313" s="17">
        <v>0</v>
      </c>
      <c r="AD1313" s="87"/>
      <c r="AE1313" s="87"/>
      <c r="AF1313" s="17" t="s">
        <v>1748</v>
      </c>
      <c r="AG1313" s="87"/>
      <c r="AH1313" s="17">
        <v>0</v>
      </c>
      <c r="AI1313" s="87"/>
      <c r="AJ1313" s="87"/>
      <c r="AK1313" s="17">
        <v>0</v>
      </c>
      <c r="AL1313" s="93"/>
      <c r="AM1313" s="57"/>
      <c r="AN1313" s="89"/>
      <c r="AO1313" s="280"/>
      <c r="AP1313" s="784"/>
      <c r="AQ1313" s="280"/>
      <c r="AR1313" s="280"/>
      <c r="AS1313" s="280"/>
      <c r="AT1313" s="280"/>
      <c r="AU1313" s="280"/>
      <c r="AV1313" s="57"/>
      <c r="AW1313" s="171">
        <v>0</v>
      </c>
      <c r="AX1313" s="89"/>
      <c r="AY1313" s="171">
        <v>20</v>
      </c>
      <c r="AZ1313" s="89"/>
      <c r="BA1313" s="89"/>
      <c r="BB1313" s="259"/>
      <c r="BC1313" s="190"/>
      <c r="BD1313" s="177"/>
      <c r="BE1313" s="177"/>
      <c r="BF1313" s="178" t="s">
        <v>2279</v>
      </c>
    </row>
    <row r="1314" spans="1:58">
      <c r="A1314" s="95">
        <v>1313</v>
      </c>
      <c r="B1314" s="211" t="s">
        <v>1976</v>
      </c>
      <c r="C1314" s="191" t="s">
        <v>1746</v>
      </c>
      <c r="D1314" s="171" t="s">
        <v>1747</v>
      </c>
      <c r="E1314" s="463" t="s">
        <v>3377</v>
      </c>
      <c r="F1314" s="171">
        <v>1999</v>
      </c>
      <c r="G1314" s="171">
        <v>308</v>
      </c>
      <c r="H1314" s="172" t="s">
        <v>1738</v>
      </c>
      <c r="I1314" s="173" t="s">
        <v>1739</v>
      </c>
      <c r="J1314" s="164"/>
      <c r="K1314" s="90"/>
      <c r="L1314" s="91"/>
      <c r="M1314" s="89"/>
      <c r="N1314" s="89"/>
      <c r="O1314" s="172" t="s">
        <v>12</v>
      </c>
      <c r="P1314" s="92"/>
      <c r="Q1314" s="173" t="s">
        <v>524</v>
      </c>
      <c r="R1314" s="89"/>
      <c r="S1314" s="89"/>
      <c r="T1314" s="89"/>
      <c r="U1314" s="89"/>
      <c r="V1314" s="102"/>
      <c r="Y1314" s="120">
        <v>0</v>
      </c>
      <c r="Z1314" s="120">
        <v>0</v>
      </c>
      <c r="AA1314" s="87"/>
      <c r="AB1314" s="17">
        <v>0</v>
      </c>
      <c r="AC1314" s="17">
        <v>0</v>
      </c>
      <c r="AD1314" s="87"/>
      <c r="AE1314" s="87"/>
      <c r="AF1314" s="17" t="s">
        <v>1748</v>
      </c>
      <c r="AG1314" s="87"/>
      <c r="AH1314" s="17">
        <v>0</v>
      </c>
      <c r="AI1314" s="87"/>
      <c r="AJ1314" s="87"/>
      <c r="AK1314" s="17">
        <v>0</v>
      </c>
      <c r="AL1314" s="93"/>
      <c r="AM1314" s="57"/>
      <c r="AN1314" s="89"/>
      <c r="AO1314" s="280"/>
      <c r="AP1314" s="784"/>
      <c r="AQ1314" s="280"/>
      <c r="AR1314" s="280"/>
      <c r="AS1314" s="280"/>
      <c r="AT1314" s="280"/>
      <c r="AU1314" s="280"/>
      <c r="AV1314" s="57"/>
      <c r="AW1314" s="171">
        <v>0</v>
      </c>
      <c r="AX1314" s="89"/>
      <c r="AY1314" s="171">
        <v>30</v>
      </c>
      <c r="AZ1314" s="89"/>
      <c r="BA1314" s="89"/>
      <c r="BB1314" s="259"/>
      <c r="BC1314" s="190"/>
      <c r="BD1314" s="177"/>
      <c r="BE1314" s="177"/>
      <c r="BF1314" s="178" t="s">
        <v>2279</v>
      </c>
    </row>
    <row r="1315" spans="1:58">
      <c r="A1315" s="95">
        <v>1314</v>
      </c>
      <c r="B1315" s="211" t="s">
        <v>1977</v>
      </c>
      <c r="C1315" s="191" t="s">
        <v>1746</v>
      </c>
      <c r="D1315" s="171" t="s">
        <v>1747</v>
      </c>
      <c r="E1315" s="463" t="s">
        <v>3377</v>
      </c>
      <c r="F1315" s="171">
        <v>1999</v>
      </c>
      <c r="G1315" s="171">
        <v>308</v>
      </c>
      <c r="H1315" s="172" t="s">
        <v>1738</v>
      </c>
      <c r="I1315" s="173" t="s">
        <v>1739</v>
      </c>
      <c r="J1315" s="164"/>
      <c r="K1315" s="90"/>
      <c r="L1315" s="91"/>
      <c r="M1315" s="89"/>
      <c r="N1315" s="89"/>
      <c r="O1315" s="172" t="s">
        <v>12</v>
      </c>
      <c r="P1315" s="92"/>
      <c r="Q1315" s="173" t="s">
        <v>524</v>
      </c>
      <c r="R1315" s="89"/>
      <c r="S1315" s="89"/>
      <c r="T1315" s="89"/>
      <c r="U1315" s="89"/>
      <c r="V1315" s="102"/>
      <c r="Y1315" s="120">
        <v>0</v>
      </c>
      <c r="Z1315" s="120">
        <v>0</v>
      </c>
      <c r="AA1315" s="87"/>
      <c r="AB1315" s="17">
        <v>0</v>
      </c>
      <c r="AC1315" s="17">
        <v>0</v>
      </c>
      <c r="AD1315" s="87"/>
      <c r="AE1315" s="87"/>
      <c r="AF1315" s="17" t="s">
        <v>1748</v>
      </c>
      <c r="AG1315" s="87"/>
      <c r="AH1315" s="17">
        <v>0</v>
      </c>
      <c r="AI1315" s="87"/>
      <c r="AJ1315" s="87"/>
      <c r="AK1315" s="17">
        <v>0</v>
      </c>
      <c r="AL1315" s="93"/>
      <c r="AM1315" s="57"/>
      <c r="AN1315" s="89"/>
      <c r="AO1315" s="280"/>
      <c r="AP1315" s="784"/>
      <c r="AQ1315" s="280"/>
      <c r="AR1315" s="280"/>
      <c r="AS1315" s="280"/>
      <c r="AT1315" s="280"/>
      <c r="AU1315" s="280"/>
      <c r="AV1315" s="57"/>
      <c r="AW1315" s="171">
        <v>0</v>
      </c>
      <c r="AX1315" s="89"/>
      <c r="AY1315" s="171">
        <v>40</v>
      </c>
      <c r="AZ1315" s="89"/>
      <c r="BA1315" s="89"/>
      <c r="BB1315" s="259"/>
      <c r="BC1315" s="190"/>
      <c r="BD1315" s="177"/>
      <c r="BE1315" s="177"/>
      <c r="BF1315" s="178" t="s">
        <v>2279</v>
      </c>
    </row>
    <row r="1316" spans="1:58" ht="15" customHeight="1">
      <c r="A1316" s="95">
        <v>1315</v>
      </c>
      <c r="B1316" s="211" t="s">
        <v>314</v>
      </c>
      <c r="C1316" s="191" t="s">
        <v>431</v>
      </c>
      <c r="D1316" s="171" t="s">
        <v>256</v>
      </c>
      <c r="E1316" s="463" t="s">
        <v>3377</v>
      </c>
      <c r="F1316" s="171">
        <v>2001</v>
      </c>
      <c r="G1316" s="171">
        <v>309</v>
      </c>
      <c r="H1316" s="172" t="s">
        <v>1738</v>
      </c>
      <c r="I1316" s="173" t="s">
        <v>1743</v>
      </c>
      <c r="J1316" s="217">
        <v>0.26</v>
      </c>
      <c r="K1316" s="213">
        <v>2.9066666666666667</v>
      </c>
      <c r="L1316" s="91"/>
      <c r="M1316" s="171">
        <v>600</v>
      </c>
      <c r="N1316" s="171"/>
      <c r="O1316" s="172" t="s">
        <v>12</v>
      </c>
      <c r="P1316" s="218">
        <v>52.5</v>
      </c>
      <c r="Q1316" s="118"/>
      <c r="R1316" s="512" t="s">
        <v>2729</v>
      </c>
      <c r="S1316" s="89"/>
      <c r="T1316" s="214" t="s">
        <v>2306</v>
      </c>
      <c r="U1316" s="214" t="s">
        <v>2307</v>
      </c>
      <c r="V1316" s="102">
        <v>0</v>
      </c>
      <c r="W1316" s="120">
        <v>0</v>
      </c>
      <c r="X1316" s="120">
        <v>0</v>
      </c>
      <c r="Y1316" s="120">
        <v>0</v>
      </c>
      <c r="Z1316" s="120">
        <v>0</v>
      </c>
      <c r="AA1316" s="17">
        <v>0</v>
      </c>
      <c r="AB1316" s="17">
        <v>0</v>
      </c>
      <c r="AC1316" s="17">
        <v>0</v>
      </c>
      <c r="AD1316" s="17">
        <v>0</v>
      </c>
      <c r="AE1316" s="17">
        <v>0</v>
      </c>
      <c r="AF1316" s="33">
        <v>1.6</v>
      </c>
      <c r="AG1316" s="17">
        <v>0</v>
      </c>
      <c r="AH1316" s="17">
        <v>0</v>
      </c>
      <c r="AI1316" s="17">
        <v>0</v>
      </c>
      <c r="AJ1316" s="17">
        <v>0</v>
      </c>
      <c r="AK1316" s="17">
        <v>0</v>
      </c>
      <c r="AL1316" s="32">
        <v>0</v>
      </c>
      <c r="AM1316" s="172">
        <v>81</v>
      </c>
      <c r="AN1316" s="89"/>
      <c r="AO1316" s="280"/>
      <c r="AP1316" s="784"/>
      <c r="AQ1316" s="17" t="s">
        <v>270</v>
      </c>
      <c r="AR1316" s="174">
        <v>100</v>
      </c>
      <c r="AS1316" s="280"/>
      <c r="AT1316" s="171">
        <v>500</v>
      </c>
      <c r="AU1316" s="255">
        <f>IF(ISBLANK(AS1316),(AR1316*AT1316)/((4*AT1316)+(2*AR1316)),AR1316*AS1316*AT1316/2/(AR1316*AS1316+AR1316*AT1316+AS1316*AT1316))</f>
        <v>22.727272727272727</v>
      </c>
      <c r="AV1316" s="172">
        <v>100</v>
      </c>
      <c r="AW1316" s="171">
        <v>28</v>
      </c>
      <c r="AX1316" s="171">
        <v>20</v>
      </c>
      <c r="AY1316" s="171">
        <v>20</v>
      </c>
      <c r="AZ1316" s="89"/>
      <c r="BA1316" s="89"/>
      <c r="BB1316" s="259"/>
      <c r="BC1316" s="190"/>
      <c r="BD1316" s="177"/>
      <c r="BE1316" s="177"/>
      <c r="BF1316" s="178"/>
    </row>
    <row r="1317" spans="1:58" ht="15" customHeight="1">
      <c r="A1317" s="95">
        <v>1316</v>
      </c>
      <c r="B1317" s="211" t="s">
        <v>315</v>
      </c>
      <c r="C1317" s="191" t="s">
        <v>431</v>
      </c>
      <c r="D1317" s="171" t="s">
        <v>256</v>
      </c>
      <c r="E1317" s="463" t="s">
        <v>3377</v>
      </c>
      <c r="F1317" s="171">
        <v>2001</v>
      </c>
      <c r="G1317" s="171">
        <v>309</v>
      </c>
      <c r="H1317" s="172" t="s">
        <v>1738</v>
      </c>
      <c r="I1317" s="173" t="s">
        <v>1743</v>
      </c>
      <c r="J1317" s="217">
        <v>0.26</v>
      </c>
      <c r="K1317" s="213">
        <v>2.9066666666666667</v>
      </c>
      <c r="L1317" s="91"/>
      <c r="M1317" s="171">
        <v>420</v>
      </c>
      <c r="N1317" s="171"/>
      <c r="O1317" s="172" t="s">
        <v>12</v>
      </c>
      <c r="P1317" s="171" t="s">
        <v>3452</v>
      </c>
      <c r="Q1317" s="88"/>
      <c r="R1317" s="512" t="s">
        <v>2729</v>
      </c>
      <c r="S1317" s="89"/>
      <c r="T1317" s="214" t="s">
        <v>2306</v>
      </c>
      <c r="U1317" s="214" t="s">
        <v>2307</v>
      </c>
      <c r="V1317" s="102">
        <v>0</v>
      </c>
      <c r="W1317" s="120">
        <v>0</v>
      </c>
      <c r="X1317" s="120">
        <f>(180/420)*100</f>
        <v>42.857142857142854</v>
      </c>
      <c r="Y1317" s="120">
        <v>0</v>
      </c>
      <c r="Z1317" s="120">
        <v>0</v>
      </c>
      <c r="AA1317" s="17">
        <v>0</v>
      </c>
      <c r="AB1317" s="17">
        <v>0</v>
      </c>
      <c r="AC1317" s="17">
        <v>0</v>
      </c>
      <c r="AD1317" s="17">
        <v>0</v>
      </c>
      <c r="AE1317" s="17">
        <v>0</v>
      </c>
      <c r="AF1317" s="33">
        <v>2.2857142857142856</v>
      </c>
      <c r="AG1317" s="17">
        <v>0</v>
      </c>
      <c r="AH1317" s="17">
        <v>0</v>
      </c>
      <c r="AI1317" s="17">
        <v>0</v>
      </c>
      <c r="AJ1317" s="17">
        <v>0</v>
      </c>
      <c r="AK1317" s="17">
        <v>0</v>
      </c>
      <c r="AL1317" s="32">
        <v>0</v>
      </c>
      <c r="AM1317" s="172">
        <v>100.4</v>
      </c>
      <c r="AN1317" s="89"/>
      <c r="AO1317" s="280"/>
      <c r="AP1317" s="784"/>
      <c r="AQ1317" s="17" t="s">
        <v>270</v>
      </c>
      <c r="AR1317" s="174">
        <v>100</v>
      </c>
      <c r="AS1317" s="280"/>
      <c r="AT1317" s="171">
        <v>500</v>
      </c>
      <c r="AU1317" s="255">
        <f>IF(ISBLANK(AS1317),(AR1317*AT1317)/((4*AT1317)+(2*AR1317)),AR1317*AS1317*AT1317/2/(AR1317*AS1317+AR1317*AT1317+AS1317*AT1317))</f>
        <v>22.727272727272727</v>
      </c>
      <c r="AV1317" s="172">
        <v>100</v>
      </c>
      <c r="AW1317" s="171">
        <v>28</v>
      </c>
      <c r="AX1317" s="171">
        <v>20</v>
      </c>
      <c r="AY1317" s="171">
        <v>20</v>
      </c>
      <c r="AZ1317" s="89"/>
      <c r="BA1317" s="89"/>
      <c r="BB1317" s="259"/>
      <c r="BC1317" s="190"/>
      <c r="BD1317" s="177"/>
      <c r="BE1317" s="177"/>
      <c r="BF1317" s="178"/>
    </row>
    <row r="1318" spans="1:58" ht="15" customHeight="1">
      <c r="A1318" s="95">
        <v>1317</v>
      </c>
      <c r="B1318" s="211" t="s">
        <v>316</v>
      </c>
      <c r="C1318" s="191" t="s">
        <v>431</v>
      </c>
      <c r="D1318" s="171" t="s">
        <v>256</v>
      </c>
      <c r="E1318" s="463" t="s">
        <v>3377</v>
      </c>
      <c r="F1318" s="171">
        <v>2001</v>
      </c>
      <c r="G1318" s="171">
        <v>309</v>
      </c>
      <c r="H1318" s="172" t="s">
        <v>1738</v>
      </c>
      <c r="I1318" s="173" t="s">
        <v>1743</v>
      </c>
      <c r="J1318" s="217">
        <v>0.26</v>
      </c>
      <c r="K1318" s="213">
        <v>2.9066666666666667</v>
      </c>
      <c r="L1318" s="91"/>
      <c r="M1318" s="171">
        <v>360</v>
      </c>
      <c r="N1318" s="171"/>
      <c r="O1318" s="172" t="s">
        <v>12</v>
      </c>
      <c r="P1318" s="171" t="s">
        <v>3452</v>
      </c>
      <c r="Q1318" s="88"/>
      <c r="R1318" s="512" t="s">
        <v>2729</v>
      </c>
      <c r="S1318" s="89"/>
      <c r="T1318" s="214" t="s">
        <v>2306</v>
      </c>
      <c r="U1318" s="214" t="s">
        <v>2307</v>
      </c>
      <c r="V1318" s="103">
        <f>60/360*100</f>
        <v>16.666666666666664</v>
      </c>
      <c r="W1318" s="120">
        <v>0</v>
      </c>
      <c r="X1318" s="120">
        <f>(180/360)*100</f>
        <v>50</v>
      </c>
      <c r="Y1318" s="120">
        <v>0</v>
      </c>
      <c r="Z1318" s="120">
        <v>0</v>
      </c>
      <c r="AA1318" s="17">
        <v>0</v>
      </c>
      <c r="AB1318" s="17">
        <v>0</v>
      </c>
      <c r="AC1318" s="17">
        <v>0</v>
      </c>
      <c r="AD1318" s="17">
        <v>0</v>
      </c>
      <c r="AE1318" s="17">
        <v>0</v>
      </c>
      <c r="AF1318" s="33">
        <v>2.6666666666666665</v>
      </c>
      <c r="AG1318" s="17">
        <v>0</v>
      </c>
      <c r="AH1318" s="17">
        <v>0</v>
      </c>
      <c r="AI1318" s="17">
        <v>0</v>
      </c>
      <c r="AJ1318" s="17">
        <v>0</v>
      </c>
      <c r="AK1318" s="17">
        <v>0</v>
      </c>
      <c r="AL1318" s="32">
        <v>0</v>
      </c>
      <c r="AM1318" s="172">
        <v>104</v>
      </c>
      <c r="AN1318" s="89"/>
      <c r="AO1318" s="280"/>
      <c r="AP1318" s="784"/>
      <c r="AQ1318" s="17" t="s">
        <v>270</v>
      </c>
      <c r="AR1318" s="174">
        <v>100</v>
      </c>
      <c r="AS1318" s="280"/>
      <c r="AT1318" s="171">
        <v>500</v>
      </c>
      <c r="AU1318" s="255">
        <f>IF(ISBLANK(AS1318),(AR1318*AT1318)/((4*AT1318)+(2*AR1318)),AR1318*AS1318*AT1318/2/(AR1318*AS1318+AR1318*AT1318+AS1318*AT1318))</f>
        <v>22.727272727272727</v>
      </c>
      <c r="AV1318" s="172">
        <v>100</v>
      </c>
      <c r="AW1318" s="171">
        <v>28</v>
      </c>
      <c r="AX1318" s="171">
        <v>20</v>
      </c>
      <c r="AY1318" s="171">
        <v>20</v>
      </c>
      <c r="AZ1318" s="89"/>
      <c r="BA1318" s="89"/>
      <c r="BB1318" s="259"/>
      <c r="BC1318" s="190"/>
      <c r="BD1318" s="177"/>
      <c r="BE1318" s="177"/>
      <c r="BF1318" s="178"/>
    </row>
    <row r="1319" spans="1:58">
      <c r="A1319" s="95">
        <v>1318</v>
      </c>
      <c r="B1319" s="211" t="s">
        <v>317</v>
      </c>
      <c r="C1319" s="191" t="s">
        <v>432</v>
      </c>
      <c r="D1319" s="171" t="s">
        <v>254</v>
      </c>
      <c r="E1319" s="463" t="s">
        <v>3377</v>
      </c>
      <c r="F1319" s="171">
        <v>1990</v>
      </c>
      <c r="G1319" s="171">
        <v>310</v>
      </c>
      <c r="H1319" s="172" t="s">
        <v>1738</v>
      </c>
      <c r="I1319" s="173" t="s">
        <v>1739</v>
      </c>
      <c r="J1319" s="217">
        <v>0.3511111111111111</v>
      </c>
      <c r="K1319" s="213">
        <v>3.9555555555555557</v>
      </c>
      <c r="L1319" s="91"/>
      <c r="M1319" s="171">
        <v>450</v>
      </c>
      <c r="N1319" s="171"/>
      <c r="O1319" s="172" t="s">
        <v>12</v>
      </c>
      <c r="P1319" s="92"/>
      <c r="Q1319" s="173" t="s">
        <v>524</v>
      </c>
      <c r="R1319" s="89"/>
      <c r="S1319" s="89"/>
      <c r="T1319" s="89"/>
      <c r="U1319" s="89"/>
      <c r="V1319" s="102">
        <v>0</v>
      </c>
      <c r="W1319" s="120">
        <v>0</v>
      </c>
      <c r="X1319" s="120">
        <v>0</v>
      </c>
      <c r="Y1319" s="120">
        <v>0</v>
      </c>
      <c r="Z1319" s="120">
        <v>0</v>
      </c>
      <c r="AA1319" s="17">
        <v>0</v>
      </c>
      <c r="AB1319" s="17">
        <v>0</v>
      </c>
      <c r="AC1319" s="17">
        <v>0</v>
      </c>
      <c r="AD1319" s="17">
        <v>0</v>
      </c>
      <c r="AE1319" s="17">
        <v>0</v>
      </c>
      <c r="AF1319" s="33">
        <v>2.5</v>
      </c>
      <c r="AG1319" s="17">
        <v>0</v>
      </c>
      <c r="AH1319" s="17">
        <v>0</v>
      </c>
      <c r="AI1319" s="33">
        <v>1</v>
      </c>
      <c r="AJ1319" s="17">
        <v>0</v>
      </c>
      <c r="AK1319" s="17">
        <v>0</v>
      </c>
      <c r="AL1319" s="32">
        <v>0</v>
      </c>
      <c r="AM1319" s="172">
        <v>73.459999999999994</v>
      </c>
      <c r="AN1319" s="89"/>
      <c r="AO1319" s="280"/>
      <c r="AP1319" s="784"/>
      <c r="AQ1319" s="17" t="s">
        <v>534</v>
      </c>
      <c r="AR1319" s="174">
        <v>80</v>
      </c>
      <c r="AS1319" s="280"/>
      <c r="AT1319" s="171">
        <v>500</v>
      </c>
      <c r="AU1319" s="255">
        <f t="shared" ref="AU1319:AU1334" si="99">(AR1319*AT1319)/((2*AT1319)+(2*AR1319))</f>
        <v>34.482758620689658</v>
      </c>
      <c r="AV1319" s="172">
        <v>99</v>
      </c>
      <c r="AW1319" s="171">
        <v>1</v>
      </c>
      <c r="AX1319" s="89"/>
      <c r="AY1319" s="171">
        <v>20</v>
      </c>
      <c r="AZ1319" s="89"/>
      <c r="BA1319" s="175">
        <v>99</v>
      </c>
      <c r="BB1319" s="259"/>
      <c r="BC1319" s="190"/>
      <c r="BD1319" s="177"/>
      <c r="BE1319" s="177"/>
      <c r="BF1319" s="178"/>
    </row>
    <row r="1320" spans="1:58">
      <c r="A1320" s="95">
        <v>1319</v>
      </c>
      <c r="B1320" s="211" t="s">
        <v>318</v>
      </c>
      <c r="C1320" s="191" t="s">
        <v>432</v>
      </c>
      <c r="D1320" s="171" t="s">
        <v>254</v>
      </c>
      <c r="E1320" s="463" t="s">
        <v>3377</v>
      </c>
      <c r="F1320" s="171">
        <v>1990</v>
      </c>
      <c r="G1320" s="171">
        <v>310</v>
      </c>
      <c r="H1320" s="172" t="s">
        <v>1738</v>
      </c>
      <c r="I1320" s="173" t="s">
        <v>1739</v>
      </c>
      <c r="J1320" s="217">
        <v>0.3511111111111111</v>
      </c>
      <c r="K1320" s="213">
        <v>3.9555555555555557</v>
      </c>
      <c r="L1320" s="91"/>
      <c r="M1320" s="171">
        <v>450</v>
      </c>
      <c r="N1320" s="171"/>
      <c r="O1320" s="172" t="s">
        <v>12</v>
      </c>
      <c r="P1320" s="92"/>
      <c r="Q1320" s="173" t="s">
        <v>524</v>
      </c>
      <c r="R1320" s="89"/>
      <c r="S1320" s="89"/>
      <c r="T1320" s="89"/>
      <c r="U1320" s="89"/>
      <c r="V1320" s="102">
        <v>0</v>
      </c>
      <c r="W1320" s="120">
        <v>0</v>
      </c>
      <c r="X1320" s="120">
        <v>0</v>
      </c>
      <c r="Y1320" s="120">
        <v>0</v>
      </c>
      <c r="Z1320" s="120">
        <v>0</v>
      </c>
      <c r="AA1320" s="17">
        <v>0</v>
      </c>
      <c r="AB1320" s="17">
        <v>0</v>
      </c>
      <c r="AC1320" s="17">
        <v>0</v>
      </c>
      <c r="AD1320" s="17">
        <v>0</v>
      </c>
      <c r="AE1320" s="17">
        <v>0</v>
      </c>
      <c r="AF1320" s="33">
        <v>2.5</v>
      </c>
      <c r="AG1320" s="17">
        <v>0</v>
      </c>
      <c r="AH1320" s="17">
        <v>0</v>
      </c>
      <c r="AI1320" s="33">
        <v>1</v>
      </c>
      <c r="AJ1320" s="17">
        <v>0</v>
      </c>
      <c r="AK1320" s="17">
        <v>0</v>
      </c>
      <c r="AL1320" s="32">
        <v>0</v>
      </c>
      <c r="AM1320" s="172">
        <v>73.459999999999994</v>
      </c>
      <c r="AN1320" s="89"/>
      <c r="AO1320" s="280"/>
      <c r="AP1320" s="784"/>
      <c r="AQ1320" s="17" t="s">
        <v>534</v>
      </c>
      <c r="AR1320" s="174">
        <v>80</v>
      </c>
      <c r="AS1320" s="280"/>
      <c r="AT1320" s="171">
        <v>500</v>
      </c>
      <c r="AU1320" s="255">
        <f t="shared" si="99"/>
        <v>34.482758620689658</v>
      </c>
      <c r="AV1320" s="172">
        <v>99</v>
      </c>
      <c r="AW1320" s="171">
        <v>1</v>
      </c>
      <c r="AX1320" s="89"/>
      <c r="AY1320" s="171">
        <v>20</v>
      </c>
      <c r="AZ1320" s="89"/>
      <c r="BA1320" s="175">
        <v>99</v>
      </c>
      <c r="BB1320" s="259"/>
      <c r="BC1320" s="190"/>
      <c r="BD1320" s="177"/>
      <c r="BE1320" s="177"/>
      <c r="BF1320" s="178"/>
    </row>
    <row r="1321" spans="1:58">
      <c r="A1321" s="95">
        <v>1320</v>
      </c>
      <c r="B1321" s="211" t="s">
        <v>319</v>
      </c>
      <c r="C1321" s="191" t="s">
        <v>432</v>
      </c>
      <c r="D1321" s="171" t="s">
        <v>254</v>
      </c>
      <c r="E1321" s="463" t="s">
        <v>3377</v>
      </c>
      <c r="F1321" s="171">
        <v>1990</v>
      </c>
      <c r="G1321" s="171">
        <v>310</v>
      </c>
      <c r="H1321" s="172" t="s">
        <v>1738</v>
      </c>
      <c r="I1321" s="173" t="s">
        <v>1739</v>
      </c>
      <c r="J1321" s="217">
        <v>0.3511111111111111</v>
      </c>
      <c r="K1321" s="213">
        <v>3.9555555555555557</v>
      </c>
      <c r="L1321" s="91"/>
      <c r="M1321" s="171">
        <v>450</v>
      </c>
      <c r="N1321" s="171"/>
      <c r="O1321" s="172" t="s">
        <v>12</v>
      </c>
      <c r="P1321" s="92"/>
      <c r="Q1321" s="173" t="s">
        <v>524</v>
      </c>
      <c r="R1321" s="89"/>
      <c r="S1321" s="89"/>
      <c r="T1321" s="89"/>
      <c r="U1321" s="89"/>
      <c r="V1321" s="102">
        <v>0</v>
      </c>
      <c r="W1321" s="120">
        <v>0</v>
      </c>
      <c r="X1321" s="120">
        <v>0</v>
      </c>
      <c r="Y1321" s="120">
        <v>0</v>
      </c>
      <c r="Z1321" s="120">
        <v>0</v>
      </c>
      <c r="AA1321" s="17">
        <v>0</v>
      </c>
      <c r="AB1321" s="17">
        <v>0</v>
      </c>
      <c r="AC1321" s="17">
        <v>0</v>
      </c>
      <c r="AD1321" s="17">
        <v>0</v>
      </c>
      <c r="AE1321" s="17">
        <v>0</v>
      </c>
      <c r="AF1321" s="33">
        <v>2.5</v>
      </c>
      <c r="AG1321" s="17">
        <v>0</v>
      </c>
      <c r="AH1321" s="17">
        <v>0</v>
      </c>
      <c r="AI1321" s="33">
        <v>1</v>
      </c>
      <c r="AJ1321" s="17">
        <v>0</v>
      </c>
      <c r="AK1321" s="17">
        <v>0</v>
      </c>
      <c r="AL1321" s="32">
        <v>0</v>
      </c>
      <c r="AM1321" s="172">
        <v>73.459999999999994</v>
      </c>
      <c r="AN1321" s="89"/>
      <c r="AO1321" s="280"/>
      <c r="AP1321" s="784"/>
      <c r="AQ1321" s="17" t="s">
        <v>534</v>
      </c>
      <c r="AR1321" s="174">
        <v>80</v>
      </c>
      <c r="AS1321" s="280"/>
      <c r="AT1321" s="171">
        <v>500</v>
      </c>
      <c r="AU1321" s="255">
        <f t="shared" si="99"/>
        <v>34.482758620689658</v>
      </c>
      <c r="AV1321" s="172">
        <v>99</v>
      </c>
      <c r="AW1321" s="171">
        <v>1</v>
      </c>
      <c r="AX1321" s="89"/>
      <c r="AY1321" s="171">
        <v>20</v>
      </c>
      <c r="AZ1321" s="89"/>
      <c r="BA1321" s="175">
        <v>99</v>
      </c>
      <c r="BB1321" s="259"/>
      <c r="BC1321" s="190"/>
      <c r="BD1321" s="177"/>
      <c r="BE1321" s="177"/>
      <c r="BF1321" s="178"/>
    </row>
    <row r="1322" spans="1:58" ht="15" customHeight="1">
      <c r="A1322" s="95">
        <v>1321</v>
      </c>
      <c r="B1322" s="211" t="s">
        <v>320</v>
      </c>
      <c r="C1322" s="191" t="s">
        <v>432</v>
      </c>
      <c r="D1322" s="171" t="s">
        <v>254</v>
      </c>
      <c r="E1322" s="463" t="s">
        <v>3377</v>
      </c>
      <c r="F1322" s="171">
        <v>1990</v>
      </c>
      <c r="G1322" s="171">
        <v>310</v>
      </c>
      <c r="H1322" s="172" t="s">
        <v>1738</v>
      </c>
      <c r="I1322" s="173" t="s">
        <v>1743</v>
      </c>
      <c r="J1322" s="217">
        <v>0.3511111111111111</v>
      </c>
      <c r="K1322" s="213">
        <v>3.9555555555555557</v>
      </c>
      <c r="L1322" s="91"/>
      <c r="M1322" s="171">
        <v>450</v>
      </c>
      <c r="N1322" s="171"/>
      <c r="O1322" s="172" t="s">
        <v>12</v>
      </c>
      <c r="P1322" s="92"/>
      <c r="Q1322" s="173" t="s">
        <v>524</v>
      </c>
      <c r="R1322" s="89"/>
      <c r="S1322" s="89"/>
      <c r="T1322" s="89"/>
      <c r="U1322" s="89"/>
      <c r="V1322" s="102">
        <v>0</v>
      </c>
      <c r="W1322" s="120">
        <v>0</v>
      </c>
      <c r="X1322" s="120">
        <v>0</v>
      </c>
      <c r="Y1322" s="120">
        <v>0</v>
      </c>
      <c r="Z1322" s="120">
        <v>0</v>
      </c>
      <c r="AA1322" s="17">
        <v>0</v>
      </c>
      <c r="AB1322" s="17">
        <v>0</v>
      </c>
      <c r="AC1322" s="17">
        <v>0</v>
      </c>
      <c r="AD1322" s="17">
        <v>0</v>
      </c>
      <c r="AE1322" s="17">
        <v>0</v>
      </c>
      <c r="AF1322" s="33">
        <v>2.5</v>
      </c>
      <c r="AG1322" s="17">
        <v>0</v>
      </c>
      <c r="AH1322" s="17">
        <v>0</v>
      </c>
      <c r="AI1322" s="33">
        <v>1</v>
      </c>
      <c r="AJ1322" s="17">
        <v>0</v>
      </c>
      <c r="AK1322" s="17">
        <v>0</v>
      </c>
      <c r="AL1322" s="32">
        <v>0</v>
      </c>
      <c r="AM1322" s="172">
        <v>73.459999999999994</v>
      </c>
      <c r="AN1322" s="89"/>
      <c r="AO1322" s="280"/>
      <c r="AP1322" s="784"/>
      <c r="AQ1322" s="17" t="s">
        <v>534</v>
      </c>
      <c r="AR1322" s="174">
        <v>80</v>
      </c>
      <c r="AS1322" s="280"/>
      <c r="AT1322" s="171">
        <v>500</v>
      </c>
      <c r="AU1322" s="255">
        <f t="shared" si="99"/>
        <v>34.482758620689658</v>
      </c>
      <c r="AV1322" s="172">
        <v>99</v>
      </c>
      <c r="AW1322" s="171">
        <v>1</v>
      </c>
      <c r="AX1322" s="89"/>
      <c r="AY1322" s="171">
        <v>20</v>
      </c>
      <c r="AZ1322" s="89"/>
      <c r="BA1322" s="175">
        <v>50</v>
      </c>
      <c r="BB1322" s="259"/>
      <c r="BC1322" s="190"/>
      <c r="BD1322" s="177"/>
      <c r="BE1322" s="177"/>
      <c r="BF1322" s="178"/>
    </row>
    <row r="1323" spans="1:58" ht="15" customHeight="1">
      <c r="A1323" s="95">
        <v>1322</v>
      </c>
      <c r="B1323" s="211" t="s">
        <v>321</v>
      </c>
      <c r="C1323" s="191" t="s">
        <v>432</v>
      </c>
      <c r="D1323" s="171" t="s">
        <v>254</v>
      </c>
      <c r="E1323" s="463" t="s">
        <v>3377</v>
      </c>
      <c r="F1323" s="171">
        <v>1990</v>
      </c>
      <c r="G1323" s="171">
        <v>310</v>
      </c>
      <c r="H1323" s="172" t="s">
        <v>1738</v>
      </c>
      <c r="I1323" s="173" t="s">
        <v>1739</v>
      </c>
      <c r="J1323" s="217">
        <v>0.3511111111111111</v>
      </c>
      <c r="K1323" s="213">
        <v>3.9555555555555557</v>
      </c>
      <c r="L1323" s="91"/>
      <c r="M1323" s="171">
        <v>450</v>
      </c>
      <c r="N1323" s="171"/>
      <c r="O1323" s="172" t="s">
        <v>12</v>
      </c>
      <c r="P1323" s="92"/>
      <c r="Q1323" s="173" t="s">
        <v>524</v>
      </c>
      <c r="R1323" s="89"/>
      <c r="S1323" s="89"/>
      <c r="T1323" s="89"/>
      <c r="U1323" s="89"/>
      <c r="V1323" s="102">
        <v>0</v>
      </c>
      <c r="W1323" s="120">
        <v>0</v>
      </c>
      <c r="X1323" s="120">
        <v>0</v>
      </c>
      <c r="Y1323" s="120">
        <v>0</v>
      </c>
      <c r="Z1323" s="120">
        <v>0</v>
      </c>
      <c r="AA1323" s="17">
        <v>0</v>
      </c>
      <c r="AB1323" s="17">
        <v>0</v>
      </c>
      <c r="AC1323" s="17">
        <v>0</v>
      </c>
      <c r="AD1323" s="17">
        <v>0</v>
      </c>
      <c r="AE1323" s="17">
        <v>0</v>
      </c>
      <c r="AF1323" s="33">
        <v>2.5</v>
      </c>
      <c r="AG1323" s="17">
        <v>0</v>
      </c>
      <c r="AH1323" s="17">
        <v>0</v>
      </c>
      <c r="AI1323" s="33">
        <v>1</v>
      </c>
      <c r="AJ1323" s="17">
        <v>0</v>
      </c>
      <c r="AK1323" s="17">
        <v>0</v>
      </c>
      <c r="AL1323" s="32">
        <v>0</v>
      </c>
      <c r="AM1323" s="172">
        <v>73.459999999999994</v>
      </c>
      <c r="AN1323" s="89"/>
      <c r="AO1323" s="280"/>
      <c r="AP1323" s="784"/>
      <c r="AQ1323" s="17" t="s">
        <v>534</v>
      </c>
      <c r="AR1323" s="174">
        <v>80</v>
      </c>
      <c r="AS1323" s="280"/>
      <c r="AT1323" s="171">
        <v>500</v>
      </c>
      <c r="AU1323" s="255">
        <f t="shared" si="99"/>
        <v>34.482758620689658</v>
      </c>
      <c r="AV1323" s="172">
        <v>99</v>
      </c>
      <c r="AW1323" s="171">
        <v>1</v>
      </c>
      <c r="AX1323" s="89"/>
      <c r="AY1323" s="171">
        <v>20</v>
      </c>
      <c r="AZ1323" s="89"/>
      <c r="BA1323" s="175">
        <v>99</v>
      </c>
      <c r="BB1323" s="259"/>
      <c r="BC1323" s="190"/>
      <c r="BD1323" s="177"/>
      <c r="BE1323" s="177"/>
      <c r="BF1323" s="178"/>
    </row>
    <row r="1324" spans="1:58" ht="15" customHeight="1">
      <c r="A1324" s="95">
        <v>1323</v>
      </c>
      <c r="B1324" s="211" t="s">
        <v>322</v>
      </c>
      <c r="C1324" s="191" t="s">
        <v>432</v>
      </c>
      <c r="D1324" s="171" t="s">
        <v>254</v>
      </c>
      <c r="E1324" s="463" t="s">
        <v>3377</v>
      </c>
      <c r="F1324" s="171">
        <v>1990</v>
      </c>
      <c r="G1324" s="171">
        <v>310</v>
      </c>
      <c r="H1324" s="172" t="s">
        <v>1738</v>
      </c>
      <c r="I1324" s="173" t="s">
        <v>1743</v>
      </c>
      <c r="J1324" s="217">
        <v>0.3511111111111111</v>
      </c>
      <c r="K1324" s="213">
        <v>3.9555555555555557</v>
      </c>
      <c r="L1324" s="91"/>
      <c r="M1324" s="171">
        <v>450</v>
      </c>
      <c r="N1324" s="171"/>
      <c r="O1324" s="172" t="s">
        <v>12</v>
      </c>
      <c r="P1324" s="92"/>
      <c r="Q1324" s="173" t="s">
        <v>524</v>
      </c>
      <c r="R1324" s="89"/>
      <c r="S1324" s="89"/>
      <c r="T1324" s="89"/>
      <c r="U1324" s="89"/>
      <c r="V1324" s="102">
        <v>0</v>
      </c>
      <c r="W1324" s="120">
        <v>0</v>
      </c>
      <c r="X1324" s="120">
        <v>0</v>
      </c>
      <c r="Y1324" s="120">
        <v>0</v>
      </c>
      <c r="Z1324" s="120">
        <v>0</v>
      </c>
      <c r="AA1324" s="17">
        <v>0</v>
      </c>
      <c r="AB1324" s="17">
        <v>0</v>
      </c>
      <c r="AC1324" s="17">
        <v>0</v>
      </c>
      <c r="AD1324" s="17">
        <v>0</v>
      </c>
      <c r="AE1324" s="17">
        <v>0</v>
      </c>
      <c r="AF1324" s="33">
        <v>2.5</v>
      </c>
      <c r="AG1324" s="17">
        <v>0</v>
      </c>
      <c r="AH1324" s="17">
        <v>0</v>
      </c>
      <c r="AI1324" s="33">
        <v>1</v>
      </c>
      <c r="AJ1324" s="17">
        <v>0</v>
      </c>
      <c r="AK1324" s="17">
        <v>0</v>
      </c>
      <c r="AL1324" s="32">
        <v>0</v>
      </c>
      <c r="AM1324" s="172">
        <v>73.459999999999994</v>
      </c>
      <c r="AN1324" s="89"/>
      <c r="AO1324" s="280"/>
      <c r="AP1324" s="784"/>
      <c r="AQ1324" s="17" t="s">
        <v>534</v>
      </c>
      <c r="AR1324" s="174">
        <v>80</v>
      </c>
      <c r="AS1324" s="280"/>
      <c r="AT1324" s="171">
        <v>500</v>
      </c>
      <c r="AU1324" s="255">
        <f t="shared" si="99"/>
        <v>34.482758620689658</v>
      </c>
      <c r="AV1324" s="172">
        <v>99</v>
      </c>
      <c r="AW1324" s="171">
        <v>1</v>
      </c>
      <c r="AX1324" s="89"/>
      <c r="AY1324" s="171">
        <v>20</v>
      </c>
      <c r="AZ1324" s="89"/>
      <c r="BA1324" s="175">
        <v>50</v>
      </c>
      <c r="BB1324" s="259"/>
      <c r="BC1324" s="190"/>
      <c r="BD1324" s="177"/>
      <c r="BE1324" s="177"/>
      <c r="BF1324" s="178"/>
    </row>
    <row r="1325" spans="1:58">
      <c r="A1325" s="95">
        <v>1324</v>
      </c>
      <c r="B1325" s="211" t="s">
        <v>323</v>
      </c>
      <c r="C1325" s="191" t="s">
        <v>432</v>
      </c>
      <c r="D1325" s="171" t="s">
        <v>254</v>
      </c>
      <c r="E1325" s="463" t="s">
        <v>3377</v>
      </c>
      <c r="F1325" s="171">
        <v>1990</v>
      </c>
      <c r="G1325" s="171">
        <v>310</v>
      </c>
      <c r="H1325" s="172" t="s">
        <v>1738</v>
      </c>
      <c r="I1325" s="173" t="s">
        <v>1739</v>
      </c>
      <c r="J1325" s="217">
        <v>0.26535087719298245</v>
      </c>
      <c r="K1325" s="213">
        <v>3.7872807017543861</v>
      </c>
      <c r="L1325" s="91"/>
      <c r="M1325" s="171">
        <v>456</v>
      </c>
      <c r="N1325" s="171"/>
      <c r="O1325" s="172" t="s">
        <v>12</v>
      </c>
      <c r="P1325" s="92"/>
      <c r="Q1325" s="173" t="s">
        <v>524</v>
      </c>
      <c r="R1325" s="89"/>
      <c r="S1325" s="89"/>
      <c r="T1325" s="89"/>
      <c r="U1325" s="89"/>
      <c r="V1325" s="103">
        <f>(36/456)*100</f>
        <v>7.8947368421052628</v>
      </c>
      <c r="W1325" s="120">
        <v>0</v>
      </c>
      <c r="X1325" s="120">
        <v>0</v>
      </c>
      <c r="Y1325" s="120">
        <v>0</v>
      </c>
      <c r="Z1325" s="120">
        <v>0</v>
      </c>
      <c r="AA1325" s="17">
        <v>0</v>
      </c>
      <c r="AB1325" s="17">
        <v>0</v>
      </c>
      <c r="AC1325" s="17">
        <v>0</v>
      </c>
      <c r="AD1325" s="17">
        <v>0</v>
      </c>
      <c r="AE1325" s="17">
        <v>0</v>
      </c>
      <c r="AF1325" s="33">
        <v>7.6754385964912286</v>
      </c>
      <c r="AG1325" s="17">
        <v>0</v>
      </c>
      <c r="AH1325" s="17">
        <v>0</v>
      </c>
      <c r="AI1325" s="33">
        <v>0.49780701754385964</v>
      </c>
      <c r="AJ1325" s="17">
        <v>0</v>
      </c>
      <c r="AK1325" s="17">
        <v>0</v>
      </c>
      <c r="AL1325" s="32">
        <v>0</v>
      </c>
      <c r="AM1325" s="172">
        <v>94.5</v>
      </c>
      <c r="AN1325" s="89"/>
      <c r="AO1325" s="280"/>
      <c r="AP1325" s="784"/>
      <c r="AQ1325" s="17" t="s">
        <v>534</v>
      </c>
      <c r="AR1325" s="174">
        <v>80</v>
      </c>
      <c r="AS1325" s="280"/>
      <c r="AT1325" s="171">
        <v>500</v>
      </c>
      <c r="AU1325" s="255">
        <f t="shared" si="99"/>
        <v>34.482758620689658</v>
      </c>
      <c r="AV1325" s="172">
        <v>99</v>
      </c>
      <c r="AW1325" s="171">
        <v>1</v>
      </c>
      <c r="AX1325" s="89"/>
      <c r="AY1325" s="171">
        <v>20</v>
      </c>
      <c r="AZ1325" s="89"/>
      <c r="BA1325" s="175">
        <v>99</v>
      </c>
      <c r="BB1325" s="259"/>
      <c r="BC1325" s="190"/>
      <c r="BD1325" s="177"/>
      <c r="BE1325" s="177"/>
      <c r="BF1325" s="178"/>
    </row>
    <row r="1326" spans="1:58" ht="15" customHeight="1">
      <c r="A1326" s="95">
        <v>1325</v>
      </c>
      <c r="B1326" s="211" t="s">
        <v>324</v>
      </c>
      <c r="C1326" s="191" t="s">
        <v>432</v>
      </c>
      <c r="D1326" s="171" t="s">
        <v>254</v>
      </c>
      <c r="E1326" s="463" t="s">
        <v>3377</v>
      </c>
      <c r="F1326" s="171">
        <v>1990</v>
      </c>
      <c r="G1326" s="171">
        <v>310</v>
      </c>
      <c r="H1326" s="172" t="s">
        <v>1738</v>
      </c>
      <c r="I1326" s="173" t="s">
        <v>1743</v>
      </c>
      <c r="J1326" s="217">
        <v>0.26535087719298245</v>
      </c>
      <c r="K1326" s="213">
        <v>3.7872807017543861</v>
      </c>
      <c r="L1326" s="91"/>
      <c r="M1326" s="171">
        <v>456</v>
      </c>
      <c r="N1326" s="171"/>
      <c r="O1326" s="172" t="s">
        <v>12</v>
      </c>
      <c r="P1326" s="92"/>
      <c r="Q1326" s="173" t="s">
        <v>524</v>
      </c>
      <c r="R1326" s="89"/>
      <c r="S1326" s="89"/>
      <c r="T1326" s="89"/>
      <c r="U1326" s="89"/>
      <c r="V1326" s="103">
        <f>(36/456)*100</f>
        <v>7.8947368421052628</v>
      </c>
      <c r="W1326" s="120">
        <v>0</v>
      </c>
      <c r="X1326" s="120">
        <v>0</v>
      </c>
      <c r="Y1326" s="120">
        <v>0</v>
      </c>
      <c r="Z1326" s="120">
        <v>0</v>
      </c>
      <c r="AA1326" s="17">
        <v>0</v>
      </c>
      <c r="AB1326" s="17">
        <v>0</v>
      </c>
      <c r="AC1326" s="17">
        <v>0</v>
      </c>
      <c r="AD1326" s="17">
        <v>0</v>
      </c>
      <c r="AE1326" s="17">
        <v>0</v>
      </c>
      <c r="AF1326" s="33">
        <v>7.6754385964912286</v>
      </c>
      <c r="AG1326" s="17">
        <v>0</v>
      </c>
      <c r="AH1326" s="17">
        <v>0</v>
      </c>
      <c r="AI1326" s="33">
        <v>0.49780701754385964</v>
      </c>
      <c r="AJ1326" s="17">
        <v>0</v>
      </c>
      <c r="AK1326" s="17">
        <v>0</v>
      </c>
      <c r="AL1326" s="32">
        <v>0</v>
      </c>
      <c r="AM1326" s="172">
        <v>94.5</v>
      </c>
      <c r="AN1326" s="89"/>
      <c r="AO1326" s="280"/>
      <c r="AP1326" s="784"/>
      <c r="AQ1326" s="17" t="s">
        <v>534</v>
      </c>
      <c r="AR1326" s="174">
        <v>80</v>
      </c>
      <c r="AS1326" s="280"/>
      <c r="AT1326" s="171">
        <v>500</v>
      </c>
      <c r="AU1326" s="255">
        <f t="shared" si="99"/>
        <v>34.482758620689658</v>
      </c>
      <c r="AV1326" s="172">
        <v>99</v>
      </c>
      <c r="AW1326" s="171">
        <v>1</v>
      </c>
      <c r="AX1326" s="89"/>
      <c r="AY1326" s="171">
        <v>20</v>
      </c>
      <c r="AZ1326" s="89"/>
      <c r="BA1326" s="175">
        <v>50</v>
      </c>
      <c r="BB1326" s="259"/>
      <c r="BC1326" s="190"/>
      <c r="BD1326" s="177"/>
      <c r="BE1326" s="177"/>
      <c r="BF1326" s="178"/>
    </row>
    <row r="1327" spans="1:58">
      <c r="A1327" s="95">
        <v>1326</v>
      </c>
      <c r="B1327" s="211" t="s">
        <v>325</v>
      </c>
      <c r="C1327" s="191" t="s">
        <v>432</v>
      </c>
      <c r="D1327" s="171" t="s">
        <v>254</v>
      </c>
      <c r="E1327" s="463" t="s">
        <v>3377</v>
      </c>
      <c r="F1327" s="171">
        <v>1990</v>
      </c>
      <c r="G1327" s="171">
        <v>310</v>
      </c>
      <c r="H1327" s="172" t="s">
        <v>1738</v>
      </c>
      <c r="I1327" s="173" t="s">
        <v>1739</v>
      </c>
      <c r="J1327" s="217">
        <v>0.32450331125827814</v>
      </c>
      <c r="K1327" s="213">
        <v>3.7704194260485653</v>
      </c>
      <c r="L1327" s="91"/>
      <c r="M1327" s="171">
        <v>453</v>
      </c>
      <c r="N1327" s="171"/>
      <c r="O1327" s="172" t="s">
        <v>12</v>
      </c>
      <c r="P1327" s="92"/>
      <c r="Q1327" s="173" t="s">
        <v>524</v>
      </c>
      <c r="R1327" s="89"/>
      <c r="S1327" s="89"/>
      <c r="T1327" s="89"/>
      <c r="U1327" s="89"/>
      <c r="V1327" s="103">
        <f>(36/453)*100</f>
        <v>7.9470198675496695</v>
      </c>
      <c r="W1327" s="120">
        <v>0</v>
      </c>
      <c r="X1327" s="120">
        <v>0</v>
      </c>
      <c r="Y1327" s="120">
        <v>0</v>
      </c>
      <c r="Z1327" s="120">
        <v>0</v>
      </c>
      <c r="AA1327" s="17">
        <v>0</v>
      </c>
      <c r="AB1327" s="17">
        <v>0</v>
      </c>
      <c r="AC1327" s="17">
        <v>0</v>
      </c>
      <c r="AD1327" s="17">
        <v>0</v>
      </c>
      <c r="AE1327" s="17">
        <v>0</v>
      </c>
      <c r="AF1327" s="33">
        <v>7.7262693156732896</v>
      </c>
      <c r="AG1327" s="17">
        <v>0</v>
      </c>
      <c r="AH1327" s="17">
        <v>0</v>
      </c>
      <c r="AI1327" s="33">
        <v>0.5011037527593819</v>
      </c>
      <c r="AJ1327" s="17">
        <v>0</v>
      </c>
      <c r="AK1327" s="17">
        <v>0</v>
      </c>
      <c r="AL1327" s="32">
        <v>0</v>
      </c>
      <c r="AM1327" s="172">
        <v>83.3</v>
      </c>
      <c r="AN1327" s="89"/>
      <c r="AO1327" s="280"/>
      <c r="AP1327" s="784"/>
      <c r="AQ1327" s="17" t="s">
        <v>534</v>
      </c>
      <c r="AR1327" s="174">
        <v>80</v>
      </c>
      <c r="AS1327" s="280"/>
      <c r="AT1327" s="171">
        <v>500</v>
      </c>
      <c r="AU1327" s="255">
        <f t="shared" si="99"/>
        <v>34.482758620689658</v>
      </c>
      <c r="AV1327" s="172">
        <v>99</v>
      </c>
      <c r="AW1327" s="171">
        <v>1</v>
      </c>
      <c r="AX1327" s="89"/>
      <c r="AY1327" s="171">
        <v>20</v>
      </c>
      <c r="AZ1327" s="89"/>
      <c r="BA1327" s="175">
        <v>99</v>
      </c>
      <c r="BB1327" s="259"/>
      <c r="BC1327" s="190"/>
      <c r="BD1327" s="177"/>
      <c r="BE1327" s="177"/>
      <c r="BF1327" s="178"/>
    </row>
    <row r="1328" spans="1:58">
      <c r="A1328" s="95">
        <v>1327</v>
      </c>
      <c r="B1328" s="211" t="s">
        <v>326</v>
      </c>
      <c r="C1328" s="191" t="s">
        <v>432</v>
      </c>
      <c r="D1328" s="171" t="s">
        <v>254</v>
      </c>
      <c r="E1328" s="463" t="s">
        <v>3377</v>
      </c>
      <c r="F1328" s="171">
        <v>1990</v>
      </c>
      <c r="G1328" s="171">
        <v>310</v>
      </c>
      <c r="H1328" s="172" t="s">
        <v>1738</v>
      </c>
      <c r="I1328" s="173" t="s">
        <v>1743</v>
      </c>
      <c r="J1328" s="217">
        <v>0.32450331125827814</v>
      </c>
      <c r="K1328" s="213">
        <v>3.7704194260485653</v>
      </c>
      <c r="L1328" s="91"/>
      <c r="M1328" s="171">
        <v>453</v>
      </c>
      <c r="N1328" s="171"/>
      <c r="O1328" s="172" t="s">
        <v>12</v>
      </c>
      <c r="P1328" s="92"/>
      <c r="Q1328" s="173" t="s">
        <v>524</v>
      </c>
      <c r="R1328" s="89"/>
      <c r="S1328" s="89"/>
      <c r="T1328" s="89"/>
      <c r="U1328" s="89"/>
      <c r="V1328" s="103">
        <f>(36/453)*100</f>
        <v>7.9470198675496695</v>
      </c>
      <c r="W1328" s="120">
        <v>0</v>
      </c>
      <c r="X1328" s="120">
        <v>0</v>
      </c>
      <c r="Y1328" s="120">
        <v>0</v>
      </c>
      <c r="Z1328" s="120">
        <v>0</v>
      </c>
      <c r="AA1328" s="17">
        <v>0</v>
      </c>
      <c r="AB1328" s="17">
        <v>0</v>
      </c>
      <c r="AC1328" s="17">
        <v>0</v>
      </c>
      <c r="AD1328" s="17">
        <v>0</v>
      </c>
      <c r="AE1328" s="17">
        <v>0</v>
      </c>
      <c r="AF1328" s="33">
        <v>7.7262693156732896</v>
      </c>
      <c r="AG1328" s="17">
        <v>0</v>
      </c>
      <c r="AH1328" s="17">
        <v>0</v>
      </c>
      <c r="AI1328" s="33">
        <v>0.5011037527593819</v>
      </c>
      <c r="AJ1328" s="17">
        <v>0</v>
      </c>
      <c r="AK1328" s="17">
        <v>0</v>
      </c>
      <c r="AL1328" s="32">
        <v>0</v>
      </c>
      <c r="AM1328" s="172">
        <v>83.3</v>
      </c>
      <c r="AN1328" s="89"/>
      <c r="AO1328" s="280"/>
      <c r="AP1328" s="784"/>
      <c r="AQ1328" s="17" t="s">
        <v>534</v>
      </c>
      <c r="AR1328" s="174">
        <v>80</v>
      </c>
      <c r="AS1328" s="280"/>
      <c r="AT1328" s="171">
        <v>500</v>
      </c>
      <c r="AU1328" s="255">
        <f t="shared" si="99"/>
        <v>34.482758620689658</v>
      </c>
      <c r="AV1328" s="172">
        <v>99</v>
      </c>
      <c r="AW1328" s="171">
        <v>1</v>
      </c>
      <c r="AX1328" s="89"/>
      <c r="AY1328" s="171">
        <v>20</v>
      </c>
      <c r="AZ1328" s="89"/>
      <c r="BA1328" s="175">
        <v>50</v>
      </c>
      <c r="BB1328" s="259"/>
      <c r="BC1328" s="190"/>
      <c r="BD1328" s="177"/>
      <c r="BE1328" s="177"/>
      <c r="BF1328" s="178"/>
    </row>
    <row r="1329" spans="1:58">
      <c r="A1329" s="95">
        <v>1328</v>
      </c>
      <c r="B1329" s="211" t="s">
        <v>327</v>
      </c>
      <c r="C1329" s="191" t="s">
        <v>432</v>
      </c>
      <c r="D1329" s="171" t="s">
        <v>254</v>
      </c>
      <c r="E1329" s="463" t="s">
        <v>3377</v>
      </c>
      <c r="F1329" s="171">
        <v>1990</v>
      </c>
      <c r="G1329" s="171">
        <v>310</v>
      </c>
      <c r="H1329" s="172" t="s">
        <v>1738</v>
      </c>
      <c r="I1329" s="173" t="s">
        <v>1739</v>
      </c>
      <c r="J1329" s="217">
        <v>0.3443708609271523</v>
      </c>
      <c r="K1329" s="213">
        <v>3.7704194260485653</v>
      </c>
      <c r="L1329" s="91"/>
      <c r="M1329" s="171">
        <v>453</v>
      </c>
      <c r="N1329" s="171"/>
      <c r="O1329" s="172" t="s">
        <v>12</v>
      </c>
      <c r="P1329" s="92"/>
      <c r="Q1329" s="173" t="s">
        <v>524</v>
      </c>
      <c r="R1329" s="89"/>
      <c r="S1329" s="89"/>
      <c r="T1329" s="89"/>
      <c r="U1329" s="89"/>
      <c r="V1329" s="102">
        <v>0</v>
      </c>
      <c r="W1329" s="120">
        <v>0</v>
      </c>
      <c r="X1329" s="120">
        <v>0</v>
      </c>
      <c r="Y1329" s="120">
        <v>0</v>
      </c>
      <c r="Z1329" s="120">
        <v>0</v>
      </c>
      <c r="AA1329" s="17">
        <v>0</v>
      </c>
      <c r="AB1329" s="17">
        <v>0</v>
      </c>
      <c r="AC1329" s="17">
        <v>0</v>
      </c>
      <c r="AD1329" s="17">
        <v>0</v>
      </c>
      <c r="AE1329" s="17">
        <v>0</v>
      </c>
      <c r="AF1329" s="33">
        <v>7.7262693156732896</v>
      </c>
      <c r="AG1329" s="17">
        <v>0</v>
      </c>
      <c r="AH1329" s="17">
        <v>0</v>
      </c>
      <c r="AI1329" s="33">
        <v>0.5011037527593819</v>
      </c>
      <c r="AJ1329" s="17">
        <v>0</v>
      </c>
      <c r="AK1329" s="17">
        <v>0</v>
      </c>
      <c r="AL1329" s="32">
        <v>0</v>
      </c>
      <c r="AM1329" s="172">
        <v>72.5</v>
      </c>
      <c r="AN1329" s="89"/>
      <c r="AO1329" s="280"/>
      <c r="AP1329" s="784"/>
      <c r="AQ1329" s="17" t="s">
        <v>534</v>
      </c>
      <c r="AR1329" s="174">
        <v>80</v>
      </c>
      <c r="AS1329" s="280"/>
      <c r="AT1329" s="171">
        <v>500</v>
      </c>
      <c r="AU1329" s="255">
        <f t="shared" si="99"/>
        <v>34.482758620689658</v>
      </c>
      <c r="AV1329" s="172">
        <v>99</v>
      </c>
      <c r="AW1329" s="171">
        <v>1</v>
      </c>
      <c r="AX1329" s="89"/>
      <c r="AY1329" s="171">
        <v>20</v>
      </c>
      <c r="AZ1329" s="89"/>
      <c r="BA1329" s="175">
        <v>99</v>
      </c>
      <c r="BB1329" s="259"/>
      <c r="BC1329" s="190"/>
      <c r="BD1329" s="177"/>
      <c r="BE1329" s="177"/>
      <c r="BF1329" s="178"/>
    </row>
    <row r="1330" spans="1:58" ht="15" customHeight="1">
      <c r="A1330" s="95">
        <v>1329</v>
      </c>
      <c r="B1330" s="211" t="s">
        <v>328</v>
      </c>
      <c r="C1330" s="191" t="s">
        <v>432</v>
      </c>
      <c r="D1330" s="171" t="s">
        <v>254</v>
      </c>
      <c r="E1330" s="463" t="s">
        <v>3377</v>
      </c>
      <c r="F1330" s="171">
        <v>1990</v>
      </c>
      <c r="G1330" s="171">
        <v>310</v>
      </c>
      <c r="H1330" s="172" t="s">
        <v>1738</v>
      </c>
      <c r="I1330" s="173" t="s">
        <v>1743</v>
      </c>
      <c r="J1330" s="217">
        <v>0.3443708609271523</v>
      </c>
      <c r="K1330" s="213">
        <v>3.7704194260485653</v>
      </c>
      <c r="L1330" s="91"/>
      <c r="M1330" s="171">
        <v>453</v>
      </c>
      <c r="N1330" s="171"/>
      <c r="O1330" s="172" t="s">
        <v>12</v>
      </c>
      <c r="P1330" s="511"/>
      <c r="Q1330" s="173" t="s">
        <v>524</v>
      </c>
      <c r="R1330" s="89"/>
      <c r="S1330" s="89"/>
      <c r="T1330" s="89"/>
      <c r="U1330" s="89"/>
      <c r="V1330" s="102">
        <v>0</v>
      </c>
      <c r="W1330" s="120">
        <v>0</v>
      </c>
      <c r="X1330" s="120">
        <v>0</v>
      </c>
      <c r="Y1330" s="120">
        <v>0</v>
      </c>
      <c r="Z1330" s="120">
        <v>0</v>
      </c>
      <c r="AA1330" s="17">
        <v>0</v>
      </c>
      <c r="AB1330" s="17">
        <v>0</v>
      </c>
      <c r="AC1330" s="17">
        <v>0</v>
      </c>
      <c r="AD1330" s="17">
        <v>0</v>
      </c>
      <c r="AE1330" s="17">
        <v>0</v>
      </c>
      <c r="AF1330" s="33">
        <v>7.7262693156732896</v>
      </c>
      <c r="AG1330" s="17">
        <v>0</v>
      </c>
      <c r="AH1330" s="17">
        <v>0</v>
      </c>
      <c r="AI1330" s="33">
        <v>0.5011037527593819</v>
      </c>
      <c r="AJ1330" s="17">
        <v>0</v>
      </c>
      <c r="AK1330" s="17">
        <v>0</v>
      </c>
      <c r="AL1330" s="32">
        <v>0</v>
      </c>
      <c r="AM1330" s="172">
        <v>72.5</v>
      </c>
      <c r="AN1330" s="89"/>
      <c r="AO1330" s="280"/>
      <c r="AP1330" s="784"/>
      <c r="AQ1330" s="17" t="s">
        <v>534</v>
      </c>
      <c r="AR1330" s="174">
        <v>80</v>
      </c>
      <c r="AS1330" s="280"/>
      <c r="AT1330" s="171">
        <v>500</v>
      </c>
      <c r="AU1330" s="255">
        <f t="shared" si="99"/>
        <v>34.482758620689658</v>
      </c>
      <c r="AV1330" s="172">
        <v>99</v>
      </c>
      <c r="AW1330" s="171">
        <v>1</v>
      </c>
      <c r="AX1330" s="89"/>
      <c r="AY1330" s="171">
        <v>20</v>
      </c>
      <c r="AZ1330" s="89"/>
      <c r="BA1330" s="175">
        <v>50</v>
      </c>
      <c r="BB1330" s="259"/>
      <c r="BC1330" s="190"/>
      <c r="BD1330" s="177"/>
      <c r="BE1330" s="177"/>
      <c r="BF1330" s="178"/>
    </row>
    <row r="1331" spans="1:58">
      <c r="A1331" s="95">
        <v>1330</v>
      </c>
      <c r="B1331" s="211" t="s">
        <v>329</v>
      </c>
      <c r="C1331" s="191" t="s">
        <v>432</v>
      </c>
      <c r="D1331" s="171" t="s">
        <v>254</v>
      </c>
      <c r="E1331" s="463" t="s">
        <v>3377</v>
      </c>
      <c r="F1331" s="171">
        <v>1990</v>
      </c>
      <c r="G1331" s="171">
        <v>310</v>
      </c>
      <c r="H1331" s="172" t="s">
        <v>1738</v>
      </c>
      <c r="I1331" s="173" t="s">
        <v>1739</v>
      </c>
      <c r="J1331" s="217">
        <v>0.37969094922737306</v>
      </c>
      <c r="K1331" s="213">
        <v>3.7704194260485653</v>
      </c>
      <c r="L1331" s="91"/>
      <c r="M1331" s="171">
        <v>453</v>
      </c>
      <c r="N1331" s="171"/>
      <c r="O1331" s="172" t="s">
        <v>12</v>
      </c>
      <c r="P1331" s="511"/>
      <c r="Q1331" s="173" t="s">
        <v>524</v>
      </c>
      <c r="R1331" s="89"/>
      <c r="S1331" s="89"/>
      <c r="T1331" s="89"/>
      <c r="U1331" s="89"/>
      <c r="V1331" s="103">
        <f>(36/453)*100</f>
        <v>7.9470198675496695</v>
      </c>
      <c r="W1331" s="120">
        <v>0</v>
      </c>
      <c r="X1331" s="120">
        <v>0</v>
      </c>
      <c r="Y1331" s="120">
        <v>0</v>
      </c>
      <c r="Z1331" s="120">
        <v>0</v>
      </c>
      <c r="AA1331" s="17">
        <v>0</v>
      </c>
      <c r="AB1331" s="17">
        <v>0</v>
      </c>
      <c r="AC1331" s="17">
        <v>0</v>
      </c>
      <c r="AD1331" s="17">
        <v>0</v>
      </c>
      <c r="AE1331" s="17">
        <v>0</v>
      </c>
      <c r="AF1331" s="33">
        <v>7.7262693156732896</v>
      </c>
      <c r="AG1331" s="17">
        <v>0</v>
      </c>
      <c r="AH1331" s="17">
        <v>0</v>
      </c>
      <c r="AI1331" s="33">
        <v>0.5011037527593819</v>
      </c>
      <c r="AJ1331" s="17">
        <v>0</v>
      </c>
      <c r="AK1331" s="17">
        <v>0</v>
      </c>
      <c r="AL1331" s="32">
        <v>0</v>
      </c>
      <c r="AM1331" s="172">
        <v>73.8</v>
      </c>
      <c r="AN1331" s="89"/>
      <c r="AO1331" s="280"/>
      <c r="AP1331" s="784"/>
      <c r="AQ1331" s="17" t="s">
        <v>534</v>
      </c>
      <c r="AR1331" s="174">
        <v>80</v>
      </c>
      <c r="AS1331" s="280"/>
      <c r="AT1331" s="171">
        <v>500</v>
      </c>
      <c r="AU1331" s="255">
        <f t="shared" si="99"/>
        <v>34.482758620689658</v>
      </c>
      <c r="AV1331" s="172">
        <v>99</v>
      </c>
      <c r="AW1331" s="171">
        <v>1</v>
      </c>
      <c r="AX1331" s="89"/>
      <c r="AY1331" s="171">
        <v>20</v>
      </c>
      <c r="AZ1331" s="89"/>
      <c r="BA1331" s="175">
        <v>99</v>
      </c>
      <c r="BB1331" s="259"/>
      <c r="BC1331" s="190"/>
      <c r="BD1331" s="177"/>
      <c r="BE1331" s="177"/>
      <c r="BF1331" s="178"/>
    </row>
    <row r="1332" spans="1:58" ht="15" customHeight="1">
      <c r="A1332" s="95">
        <v>1331</v>
      </c>
      <c r="B1332" s="211" t="s">
        <v>330</v>
      </c>
      <c r="C1332" s="191" t="s">
        <v>432</v>
      </c>
      <c r="D1332" s="171" t="s">
        <v>254</v>
      </c>
      <c r="E1332" s="463" t="s">
        <v>3377</v>
      </c>
      <c r="F1332" s="171">
        <v>1990</v>
      </c>
      <c r="G1332" s="171">
        <v>310</v>
      </c>
      <c r="H1332" s="172" t="s">
        <v>1738</v>
      </c>
      <c r="I1332" s="173" t="s">
        <v>1743</v>
      </c>
      <c r="J1332" s="217">
        <v>0.37969094922737306</v>
      </c>
      <c r="K1332" s="213">
        <v>3.7704194260485653</v>
      </c>
      <c r="L1332" s="91"/>
      <c r="M1332" s="171">
        <v>453</v>
      </c>
      <c r="N1332" s="171"/>
      <c r="O1332" s="172" t="s">
        <v>12</v>
      </c>
      <c r="P1332" s="511"/>
      <c r="Q1332" s="173" t="s">
        <v>524</v>
      </c>
      <c r="R1332" s="89"/>
      <c r="S1332" s="89"/>
      <c r="T1332" s="89"/>
      <c r="U1332" s="89"/>
      <c r="V1332" s="103">
        <f>(36/453)*100</f>
        <v>7.9470198675496695</v>
      </c>
      <c r="W1332" s="120">
        <v>0</v>
      </c>
      <c r="X1332" s="120">
        <v>0</v>
      </c>
      <c r="Y1332" s="120">
        <v>0</v>
      </c>
      <c r="Z1332" s="120">
        <v>0</v>
      </c>
      <c r="AA1332" s="17">
        <v>0</v>
      </c>
      <c r="AB1332" s="17">
        <v>0</v>
      </c>
      <c r="AC1332" s="17">
        <v>0</v>
      </c>
      <c r="AD1332" s="17">
        <v>0</v>
      </c>
      <c r="AE1332" s="17">
        <v>0</v>
      </c>
      <c r="AF1332" s="33">
        <v>7.7262693156732896</v>
      </c>
      <c r="AG1332" s="17">
        <v>0</v>
      </c>
      <c r="AH1332" s="17">
        <v>0</v>
      </c>
      <c r="AI1332" s="33">
        <v>0.5011037527593819</v>
      </c>
      <c r="AJ1332" s="17">
        <v>0</v>
      </c>
      <c r="AK1332" s="17">
        <v>0</v>
      </c>
      <c r="AL1332" s="32">
        <v>0</v>
      </c>
      <c r="AM1332" s="172">
        <v>73.8</v>
      </c>
      <c r="AN1332" s="89"/>
      <c r="AO1332" s="280"/>
      <c r="AP1332" s="784"/>
      <c r="AQ1332" s="17" t="s">
        <v>534</v>
      </c>
      <c r="AR1332" s="174">
        <v>80</v>
      </c>
      <c r="AS1332" s="280"/>
      <c r="AT1332" s="171">
        <v>500</v>
      </c>
      <c r="AU1332" s="255">
        <f t="shared" si="99"/>
        <v>34.482758620689658</v>
      </c>
      <c r="AV1332" s="172">
        <v>99</v>
      </c>
      <c r="AW1332" s="171">
        <v>1</v>
      </c>
      <c r="AX1332" s="89"/>
      <c r="AY1332" s="171">
        <v>20</v>
      </c>
      <c r="AZ1332" s="89"/>
      <c r="BA1332" s="175">
        <v>50</v>
      </c>
      <c r="BB1332" s="259"/>
      <c r="BC1332" s="190"/>
      <c r="BD1332" s="177"/>
      <c r="BE1332" s="177"/>
      <c r="BF1332" s="178"/>
    </row>
    <row r="1333" spans="1:58">
      <c r="A1333" s="95">
        <v>1332</v>
      </c>
      <c r="B1333" s="211" t="s">
        <v>331</v>
      </c>
      <c r="C1333" s="191" t="s">
        <v>432</v>
      </c>
      <c r="D1333" s="171" t="s">
        <v>254</v>
      </c>
      <c r="E1333" s="463" t="s">
        <v>3377</v>
      </c>
      <c r="F1333" s="171">
        <v>1990</v>
      </c>
      <c r="G1333" s="171">
        <v>310</v>
      </c>
      <c r="H1333" s="172" t="s">
        <v>1738</v>
      </c>
      <c r="I1333" s="173" t="s">
        <v>1739</v>
      </c>
      <c r="J1333" s="217">
        <v>0.38461538461538464</v>
      </c>
      <c r="K1333" s="213">
        <v>3.7538461538461538</v>
      </c>
      <c r="L1333" s="91"/>
      <c r="M1333" s="171">
        <v>455</v>
      </c>
      <c r="N1333" s="171"/>
      <c r="O1333" s="172" t="s">
        <v>12</v>
      </c>
      <c r="P1333" s="92"/>
      <c r="Q1333" s="173" t="s">
        <v>524</v>
      </c>
      <c r="R1333" s="89"/>
      <c r="S1333" s="89"/>
      <c r="T1333" s="89"/>
      <c r="U1333" s="89"/>
      <c r="V1333" s="102">
        <v>0</v>
      </c>
      <c r="W1333" s="120">
        <v>0</v>
      </c>
      <c r="X1333" s="120">
        <v>0</v>
      </c>
      <c r="Y1333" s="120">
        <v>0</v>
      </c>
      <c r="Z1333" s="120">
        <v>0</v>
      </c>
      <c r="AA1333" s="17">
        <v>0</v>
      </c>
      <c r="AB1333" s="17">
        <v>0</v>
      </c>
      <c r="AC1333" s="17">
        <v>0</v>
      </c>
      <c r="AD1333" s="17">
        <v>0</v>
      </c>
      <c r="AE1333" s="17">
        <v>0</v>
      </c>
      <c r="AF1333" s="33">
        <v>7.6923076923076925</v>
      </c>
      <c r="AG1333" s="17">
        <v>0</v>
      </c>
      <c r="AH1333" s="17">
        <v>0</v>
      </c>
      <c r="AI1333" s="33">
        <v>0.49890109890109891</v>
      </c>
      <c r="AJ1333" s="17">
        <v>0</v>
      </c>
      <c r="AK1333" s="17">
        <v>0</v>
      </c>
      <c r="AL1333" s="32">
        <v>0</v>
      </c>
      <c r="AM1333" s="172">
        <v>64</v>
      </c>
      <c r="AN1333" s="89"/>
      <c r="AO1333" s="280"/>
      <c r="AP1333" s="784"/>
      <c r="AQ1333" s="17" t="s">
        <v>534</v>
      </c>
      <c r="AR1333" s="174">
        <v>80</v>
      </c>
      <c r="AS1333" s="280"/>
      <c r="AT1333" s="171">
        <v>500</v>
      </c>
      <c r="AU1333" s="255">
        <f t="shared" si="99"/>
        <v>34.482758620689658</v>
      </c>
      <c r="AV1333" s="172">
        <v>99</v>
      </c>
      <c r="AW1333" s="171">
        <v>1</v>
      </c>
      <c r="AX1333" s="89"/>
      <c r="AY1333" s="171">
        <v>20</v>
      </c>
      <c r="AZ1333" s="89"/>
      <c r="BA1333" s="175">
        <v>99</v>
      </c>
      <c r="BB1333" s="259"/>
      <c r="BC1333" s="190"/>
      <c r="BD1333" s="177"/>
      <c r="BE1333" s="177"/>
      <c r="BF1333" s="178"/>
    </row>
    <row r="1334" spans="1:58" ht="15" customHeight="1">
      <c r="A1334" s="95">
        <v>1333</v>
      </c>
      <c r="B1334" s="211" t="s">
        <v>332</v>
      </c>
      <c r="C1334" s="191" t="s">
        <v>432</v>
      </c>
      <c r="D1334" s="171" t="s">
        <v>254</v>
      </c>
      <c r="E1334" s="463" t="s">
        <v>3377</v>
      </c>
      <c r="F1334" s="171">
        <v>1990</v>
      </c>
      <c r="G1334" s="171">
        <v>310</v>
      </c>
      <c r="H1334" s="172" t="s">
        <v>1738</v>
      </c>
      <c r="I1334" s="173" t="s">
        <v>1743</v>
      </c>
      <c r="J1334" s="217">
        <v>0.38461538461538464</v>
      </c>
      <c r="K1334" s="213">
        <v>3.7538461538461538</v>
      </c>
      <c r="L1334" s="91"/>
      <c r="M1334" s="171">
        <v>455</v>
      </c>
      <c r="N1334" s="171"/>
      <c r="O1334" s="172" t="s">
        <v>12</v>
      </c>
      <c r="P1334" s="92"/>
      <c r="Q1334" s="173" t="s">
        <v>524</v>
      </c>
      <c r="R1334" s="89"/>
      <c r="S1334" s="89"/>
      <c r="T1334" s="89"/>
      <c r="U1334" s="89"/>
      <c r="V1334" s="102">
        <v>0</v>
      </c>
      <c r="W1334" s="120">
        <v>0</v>
      </c>
      <c r="X1334" s="120">
        <v>0</v>
      </c>
      <c r="Y1334" s="120">
        <v>0</v>
      </c>
      <c r="Z1334" s="120">
        <v>0</v>
      </c>
      <c r="AA1334" s="17">
        <v>0</v>
      </c>
      <c r="AB1334" s="17">
        <v>0</v>
      </c>
      <c r="AC1334" s="17">
        <v>0</v>
      </c>
      <c r="AD1334" s="17">
        <v>0</v>
      </c>
      <c r="AE1334" s="17">
        <v>0</v>
      </c>
      <c r="AF1334" s="33">
        <v>7.6923076923076925</v>
      </c>
      <c r="AG1334" s="17">
        <v>0</v>
      </c>
      <c r="AH1334" s="17">
        <v>0</v>
      </c>
      <c r="AI1334" s="33">
        <v>0.49890109890109891</v>
      </c>
      <c r="AJ1334" s="17">
        <v>0</v>
      </c>
      <c r="AK1334" s="17">
        <v>0</v>
      </c>
      <c r="AL1334" s="32">
        <v>0</v>
      </c>
      <c r="AM1334" s="172">
        <v>64</v>
      </c>
      <c r="AN1334" s="89"/>
      <c r="AO1334" s="280"/>
      <c r="AP1334" s="784"/>
      <c r="AQ1334" s="17" t="s">
        <v>534</v>
      </c>
      <c r="AR1334" s="174">
        <v>80</v>
      </c>
      <c r="AS1334" s="280"/>
      <c r="AT1334" s="171">
        <v>500</v>
      </c>
      <c r="AU1334" s="255">
        <f t="shared" si="99"/>
        <v>34.482758620689658</v>
      </c>
      <c r="AV1334" s="172">
        <v>99</v>
      </c>
      <c r="AW1334" s="171">
        <v>1</v>
      </c>
      <c r="AX1334" s="89"/>
      <c r="AY1334" s="171">
        <v>20</v>
      </c>
      <c r="AZ1334" s="89"/>
      <c r="BA1334" s="175">
        <v>50</v>
      </c>
      <c r="BB1334" s="259"/>
      <c r="BC1334" s="190"/>
      <c r="BD1334" s="177"/>
      <c r="BE1334" s="177"/>
      <c r="BF1334" s="178"/>
    </row>
    <row r="1335" spans="1:58">
      <c r="A1335" s="95">
        <v>1334</v>
      </c>
      <c r="B1335" s="211" t="s">
        <v>1978</v>
      </c>
      <c r="C1335" s="191" t="s">
        <v>433</v>
      </c>
      <c r="D1335" s="171" t="s">
        <v>446</v>
      </c>
      <c r="E1335" s="463" t="s">
        <v>3377</v>
      </c>
      <c r="F1335" s="171">
        <v>2003</v>
      </c>
      <c r="G1335" s="171">
        <v>311</v>
      </c>
      <c r="H1335" s="172" t="s">
        <v>1738</v>
      </c>
      <c r="I1335" s="173" t="s">
        <v>1739</v>
      </c>
      <c r="J1335" s="217">
        <v>0.5</v>
      </c>
      <c r="K1335" s="213">
        <v>4.6567567567567565</v>
      </c>
      <c r="L1335" s="91"/>
      <c r="M1335" s="171">
        <v>370</v>
      </c>
      <c r="N1335" s="171"/>
      <c r="O1335" s="172" t="s">
        <v>12</v>
      </c>
      <c r="P1335" s="92"/>
      <c r="Q1335" s="173" t="s">
        <v>523</v>
      </c>
      <c r="R1335" s="506" t="s">
        <v>2727</v>
      </c>
      <c r="S1335" s="89"/>
      <c r="T1335" s="214" t="s">
        <v>2306</v>
      </c>
      <c r="U1335" s="214" t="s">
        <v>2312</v>
      </c>
      <c r="V1335" s="102">
        <v>0</v>
      </c>
      <c r="W1335" s="120">
        <v>0</v>
      </c>
      <c r="X1335" s="120">
        <v>0</v>
      </c>
      <c r="Y1335" s="120">
        <v>0</v>
      </c>
      <c r="Z1335" s="120">
        <v>0</v>
      </c>
      <c r="AA1335" s="17">
        <v>0</v>
      </c>
      <c r="AB1335" s="17">
        <v>0</v>
      </c>
      <c r="AC1335" s="17">
        <v>0</v>
      </c>
      <c r="AD1335" s="17">
        <v>0</v>
      </c>
      <c r="AE1335" s="17">
        <v>0</v>
      </c>
      <c r="AF1335" s="33">
        <v>9.4594594594594597</v>
      </c>
      <c r="AG1335" s="17">
        <v>0</v>
      </c>
      <c r="AH1335" s="17">
        <v>0</v>
      </c>
      <c r="AI1335" s="33">
        <v>0.61351351351351358</v>
      </c>
      <c r="AJ1335" s="17">
        <v>0.5</v>
      </c>
      <c r="AK1335" s="17">
        <v>0</v>
      </c>
      <c r="AL1335" s="32">
        <v>0</v>
      </c>
      <c r="AM1335" s="172">
        <v>31.1</v>
      </c>
      <c r="AN1335" s="89"/>
      <c r="AO1335" s="280"/>
      <c r="AP1335" s="783">
        <v>26900</v>
      </c>
      <c r="AQ1335" s="17" t="s">
        <v>271</v>
      </c>
      <c r="AR1335" s="174">
        <v>100</v>
      </c>
      <c r="AS1335" s="280"/>
      <c r="AT1335" s="171">
        <v>400</v>
      </c>
      <c r="AU1335" s="255">
        <f t="shared" ref="AU1335:AU1359" si="100">IF(ISBLANK(AS1335),(AR1335*AT1335)/((4*AT1335)+(2*AR1335)),AR1335*AS1335*AT1335/2/(AR1335*AS1335+AR1335*AT1335+AS1335*AT1335))</f>
        <v>22.222222222222221</v>
      </c>
      <c r="AV1335" s="172">
        <v>99</v>
      </c>
      <c r="AW1335" s="171">
        <v>0.25</v>
      </c>
      <c r="AX1335" s="89"/>
      <c r="AY1335" s="171">
        <v>20</v>
      </c>
      <c r="AZ1335" s="89"/>
      <c r="BA1335" s="175">
        <v>99</v>
      </c>
      <c r="BB1335" s="259"/>
      <c r="BC1335" s="190"/>
      <c r="BD1335" s="177"/>
      <c r="BE1335" s="177"/>
      <c r="BF1335" s="178" t="s">
        <v>1749</v>
      </c>
    </row>
    <row r="1336" spans="1:58">
      <c r="A1336" s="95">
        <v>1335</v>
      </c>
      <c r="B1336" s="211" t="s">
        <v>1979</v>
      </c>
      <c r="C1336" s="191" t="s">
        <v>433</v>
      </c>
      <c r="D1336" s="171" t="s">
        <v>446</v>
      </c>
      <c r="E1336" s="463" t="s">
        <v>3377</v>
      </c>
      <c r="F1336" s="171">
        <v>2003</v>
      </c>
      <c r="G1336" s="171">
        <v>311</v>
      </c>
      <c r="H1336" s="172" t="s">
        <v>1738</v>
      </c>
      <c r="I1336" s="173" t="s">
        <v>1739</v>
      </c>
      <c r="J1336" s="217">
        <v>0.3511111111111111</v>
      </c>
      <c r="K1336" s="213">
        <v>3.8511111111111109</v>
      </c>
      <c r="L1336" s="91"/>
      <c r="M1336" s="171">
        <v>450</v>
      </c>
      <c r="N1336" s="171"/>
      <c r="O1336" s="172" t="s">
        <v>12</v>
      </c>
      <c r="P1336" s="92"/>
      <c r="Q1336" s="173" t="s">
        <v>523</v>
      </c>
      <c r="R1336" s="506" t="s">
        <v>2727</v>
      </c>
      <c r="S1336" s="89"/>
      <c r="T1336" s="214" t="s">
        <v>2306</v>
      </c>
      <c r="U1336" s="214" t="s">
        <v>2312</v>
      </c>
      <c r="V1336" s="102">
        <v>0</v>
      </c>
      <c r="W1336" s="120">
        <v>0</v>
      </c>
      <c r="X1336" s="120">
        <v>0</v>
      </c>
      <c r="Y1336" s="120">
        <v>0</v>
      </c>
      <c r="Z1336" s="120">
        <v>0</v>
      </c>
      <c r="AA1336" s="17">
        <v>0</v>
      </c>
      <c r="AB1336" s="17">
        <v>0</v>
      </c>
      <c r="AC1336" s="17">
        <v>0</v>
      </c>
      <c r="AD1336" s="17">
        <v>0</v>
      </c>
      <c r="AE1336" s="17">
        <v>0</v>
      </c>
      <c r="AF1336" s="33">
        <v>7.7777777777777777</v>
      </c>
      <c r="AG1336" s="17">
        <v>0</v>
      </c>
      <c r="AH1336" s="17">
        <v>0</v>
      </c>
      <c r="AI1336" s="33">
        <v>0.50444444444444447</v>
      </c>
      <c r="AJ1336" s="17">
        <v>0</v>
      </c>
      <c r="AK1336" s="17">
        <v>0</v>
      </c>
      <c r="AL1336" s="32">
        <v>0</v>
      </c>
      <c r="AM1336" s="172">
        <v>47.1</v>
      </c>
      <c r="AN1336" s="89"/>
      <c r="AO1336" s="280"/>
      <c r="AP1336" s="783">
        <v>32900</v>
      </c>
      <c r="AQ1336" s="17" t="s">
        <v>271</v>
      </c>
      <c r="AR1336" s="174">
        <v>100</v>
      </c>
      <c r="AS1336" s="280"/>
      <c r="AT1336" s="171">
        <v>400</v>
      </c>
      <c r="AU1336" s="255">
        <f t="shared" si="100"/>
        <v>22.222222222222221</v>
      </c>
      <c r="AV1336" s="172">
        <v>99</v>
      </c>
      <c r="AW1336" s="171">
        <v>0.25</v>
      </c>
      <c r="AX1336" s="89"/>
      <c r="AY1336" s="171">
        <v>20</v>
      </c>
      <c r="AZ1336" s="89"/>
      <c r="BA1336" s="175">
        <v>99</v>
      </c>
      <c r="BB1336" s="259"/>
      <c r="BC1336" s="190"/>
      <c r="BD1336" s="177"/>
      <c r="BE1336" s="177"/>
      <c r="BF1336" s="178" t="s">
        <v>1750</v>
      </c>
    </row>
    <row r="1337" spans="1:58">
      <c r="A1337" s="95">
        <v>1336</v>
      </c>
      <c r="B1337" s="211" t="s">
        <v>1980</v>
      </c>
      <c r="C1337" s="191" t="s">
        <v>433</v>
      </c>
      <c r="D1337" s="171" t="s">
        <v>446</v>
      </c>
      <c r="E1337" s="463" t="s">
        <v>3377</v>
      </c>
      <c r="F1337" s="171">
        <v>2003</v>
      </c>
      <c r="G1337" s="171">
        <v>311</v>
      </c>
      <c r="H1337" s="172" t="s">
        <v>1738</v>
      </c>
      <c r="I1337" s="173" t="s">
        <v>1739</v>
      </c>
      <c r="J1337" s="217">
        <v>0.31</v>
      </c>
      <c r="K1337" s="213">
        <v>3.4</v>
      </c>
      <c r="L1337" s="91"/>
      <c r="M1337" s="171">
        <v>500</v>
      </c>
      <c r="N1337" s="171"/>
      <c r="O1337" s="172" t="s">
        <v>12</v>
      </c>
      <c r="P1337" s="92"/>
      <c r="Q1337" s="173" t="s">
        <v>523</v>
      </c>
      <c r="R1337" s="506" t="s">
        <v>2727</v>
      </c>
      <c r="S1337" s="89"/>
      <c r="T1337" s="214" t="s">
        <v>2306</v>
      </c>
      <c r="U1337" s="214" t="s">
        <v>2312</v>
      </c>
      <c r="V1337" s="102">
        <v>0</v>
      </c>
      <c r="W1337" s="120">
        <v>0</v>
      </c>
      <c r="X1337" s="120">
        <v>0</v>
      </c>
      <c r="Y1337" s="120">
        <v>0</v>
      </c>
      <c r="Z1337" s="120">
        <v>0</v>
      </c>
      <c r="AA1337" s="17">
        <v>0</v>
      </c>
      <c r="AB1337" s="17">
        <v>0</v>
      </c>
      <c r="AC1337" s="17">
        <v>0</v>
      </c>
      <c r="AD1337" s="17">
        <v>0</v>
      </c>
      <c r="AE1337" s="17">
        <v>0</v>
      </c>
      <c r="AF1337" s="33">
        <v>7.0000000000000009</v>
      </c>
      <c r="AG1337" s="17">
        <v>0</v>
      </c>
      <c r="AH1337" s="17">
        <v>0</v>
      </c>
      <c r="AI1337" s="33">
        <v>0.45399999999999996</v>
      </c>
      <c r="AJ1337" s="17">
        <v>0</v>
      </c>
      <c r="AK1337" s="17">
        <v>0</v>
      </c>
      <c r="AL1337" s="32">
        <v>0</v>
      </c>
      <c r="AM1337" s="172">
        <v>55.5</v>
      </c>
      <c r="AN1337" s="89"/>
      <c r="AO1337" s="280"/>
      <c r="AP1337" s="783">
        <v>34300</v>
      </c>
      <c r="AQ1337" s="17" t="s">
        <v>271</v>
      </c>
      <c r="AR1337" s="174">
        <v>100</v>
      </c>
      <c r="AS1337" s="280"/>
      <c r="AT1337" s="171">
        <v>400</v>
      </c>
      <c r="AU1337" s="255">
        <f t="shared" si="100"/>
        <v>22.222222222222221</v>
      </c>
      <c r="AV1337" s="172">
        <v>99</v>
      </c>
      <c r="AW1337" s="171">
        <v>0.25</v>
      </c>
      <c r="AX1337" s="89"/>
      <c r="AY1337" s="171">
        <v>20</v>
      </c>
      <c r="AZ1337" s="89"/>
      <c r="BA1337" s="175">
        <v>99</v>
      </c>
      <c r="BB1337" s="259"/>
      <c r="BC1337" s="190"/>
      <c r="BD1337" s="177"/>
      <c r="BE1337" s="177"/>
      <c r="BF1337" s="178"/>
    </row>
    <row r="1338" spans="1:58">
      <c r="A1338" s="95">
        <v>1337</v>
      </c>
      <c r="B1338" s="211" t="s">
        <v>1981</v>
      </c>
      <c r="C1338" s="191" t="s">
        <v>433</v>
      </c>
      <c r="D1338" s="171" t="s">
        <v>446</v>
      </c>
      <c r="E1338" s="463" t="s">
        <v>3377</v>
      </c>
      <c r="F1338" s="171">
        <v>2003</v>
      </c>
      <c r="G1338" s="171">
        <v>311</v>
      </c>
      <c r="H1338" s="172" t="s">
        <v>1738</v>
      </c>
      <c r="I1338" s="173" t="s">
        <v>1739</v>
      </c>
      <c r="J1338" s="217">
        <v>0.2690909090909091</v>
      </c>
      <c r="K1338" s="213">
        <v>3.0490909090909093</v>
      </c>
      <c r="L1338" s="91"/>
      <c r="M1338" s="171">
        <v>550</v>
      </c>
      <c r="N1338" s="171"/>
      <c r="O1338" s="172" t="s">
        <v>12</v>
      </c>
      <c r="P1338" s="92"/>
      <c r="Q1338" s="173" t="s">
        <v>523</v>
      </c>
      <c r="R1338" s="506" t="s">
        <v>2727</v>
      </c>
      <c r="S1338" s="89"/>
      <c r="T1338" s="214" t="s">
        <v>2306</v>
      </c>
      <c r="U1338" s="214" t="s">
        <v>2312</v>
      </c>
      <c r="V1338" s="102">
        <v>0</v>
      </c>
      <c r="W1338" s="120">
        <v>0</v>
      </c>
      <c r="X1338" s="120">
        <v>0</v>
      </c>
      <c r="Y1338" s="120">
        <v>0</v>
      </c>
      <c r="Z1338" s="120">
        <v>0</v>
      </c>
      <c r="AA1338" s="17">
        <v>0</v>
      </c>
      <c r="AB1338" s="17">
        <v>0</v>
      </c>
      <c r="AC1338" s="17">
        <v>0</v>
      </c>
      <c r="AD1338" s="17">
        <v>0</v>
      </c>
      <c r="AE1338" s="17">
        <v>0</v>
      </c>
      <c r="AF1338" s="33">
        <v>6.3636363636363633</v>
      </c>
      <c r="AG1338" s="17">
        <v>0</v>
      </c>
      <c r="AH1338" s="17">
        <v>0</v>
      </c>
      <c r="AI1338" s="33">
        <v>0.41272727272727278</v>
      </c>
      <c r="AJ1338" s="17">
        <v>0</v>
      </c>
      <c r="AK1338" s="17">
        <v>0</v>
      </c>
      <c r="AL1338" s="32">
        <v>0</v>
      </c>
      <c r="AM1338" s="172">
        <v>66.2</v>
      </c>
      <c r="AN1338" s="89"/>
      <c r="AO1338" s="280"/>
      <c r="AP1338" s="783">
        <v>36200</v>
      </c>
      <c r="AQ1338" s="17" t="s">
        <v>271</v>
      </c>
      <c r="AR1338" s="174">
        <v>100</v>
      </c>
      <c r="AS1338" s="280"/>
      <c r="AT1338" s="171">
        <v>400</v>
      </c>
      <c r="AU1338" s="255">
        <f t="shared" si="100"/>
        <v>22.222222222222221</v>
      </c>
      <c r="AV1338" s="172">
        <v>99</v>
      </c>
      <c r="AW1338" s="171">
        <v>0.25</v>
      </c>
      <c r="AX1338" s="89"/>
      <c r="AY1338" s="171">
        <v>20</v>
      </c>
      <c r="AZ1338" s="89"/>
      <c r="BA1338" s="175">
        <v>99</v>
      </c>
      <c r="BB1338" s="259"/>
      <c r="BC1338" s="190"/>
      <c r="BD1338" s="177"/>
      <c r="BE1338" s="177"/>
      <c r="BF1338" s="178"/>
    </row>
    <row r="1339" spans="1:58">
      <c r="A1339" s="95">
        <v>1338</v>
      </c>
      <c r="B1339" s="211" t="s">
        <v>1982</v>
      </c>
      <c r="C1339" s="191" t="s">
        <v>433</v>
      </c>
      <c r="D1339" s="171" t="s">
        <v>446</v>
      </c>
      <c r="E1339" s="463" t="s">
        <v>3377</v>
      </c>
      <c r="F1339" s="171">
        <v>2003</v>
      </c>
      <c r="G1339" s="171">
        <v>311</v>
      </c>
      <c r="H1339" s="172" t="s">
        <v>1738</v>
      </c>
      <c r="I1339" s="173" t="s">
        <v>1739</v>
      </c>
      <c r="J1339" s="217">
        <v>0.625</v>
      </c>
      <c r="K1339" s="213">
        <v>5.743243243243243</v>
      </c>
      <c r="L1339" s="91"/>
      <c r="M1339" s="171">
        <v>296</v>
      </c>
      <c r="N1339" s="171"/>
      <c r="O1339" s="172" t="s">
        <v>12</v>
      </c>
      <c r="P1339" s="92"/>
      <c r="Q1339" s="173" t="s">
        <v>523</v>
      </c>
      <c r="R1339" s="506" t="s">
        <v>2727</v>
      </c>
      <c r="S1339" s="89"/>
      <c r="T1339" s="214" t="s">
        <v>2306</v>
      </c>
      <c r="U1339" s="214" t="s">
        <v>2312</v>
      </c>
      <c r="V1339" s="102">
        <v>0</v>
      </c>
      <c r="W1339" s="120">
        <v>25</v>
      </c>
      <c r="X1339" s="120">
        <v>0</v>
      </c>
      <c r="Y1339" s="120">
        <v>0</v>
      </c>
      <c r="Z1339" s="120">
        <v>0</v>
      </c>
      <c r="AA1339" s="17">
        <v>0</v>
      </c>
      <c r="AB1339" s="17">
        <v>0</v>
      </c>
      <c r="AC1339" s="17">
        <v>0</v>
      </c>
      <c r="AD1339" s="17">
        <v>0</v>
      </c>
      <c r="AE1339" s="17">
        <v>0</v>
      </c>
      <c r="AF1339" s="33">
        <v>11.824324324324325</v>
      </c>
      <c r="AG1339" s="17">
        <v>0</v>
      </c>
      <c r="AH1339" s="17">
        <v>0</v>
      </c>
      <c r="AI1339" s="33">
        <v>0.76689189189189189</v>
      </c>
      <c r="AJ1339" s="17">
        <v>0.5</v>
      </c>
      <c r="AK1339" s="17">
        <v>0</v>
      </c>
      <c r="AL1339" s="32">
        <v>0</v>
      </c>
      <c r="AM1339" s="172">
        <v>29.3</v>
      </c>
      <c r="AN1339" s="89"/>
      <c r="AO1339" s="280"/>
      <c r="AP1339" s="783">
        <v>26700</v>
      </c>
      <c r="AQ1339" s="17" t="s">
        <v>271</v>
      </c>
      <c r="AR1339" s="174">
        <v>100</v>
      </c>
      <c r="AS1339" s="280"/>
      <c r="AT1339" s="171">
        <v>400</v>
      </c>
      <c r="AU1339" s="255">
        <f t="shared" si="100"/>
        <v>22.222222222222221</v>
      </c>
      <c r="AV1339" s="172">
        <v>99</v>
      </c>
      <c r="AW1339" s="171">
        <v>0.25</v>
      </c>
      <c r="AX1339" s="89"/>
      <c r="AY1339" s="171">
        <v>20</v>
      </c>
      <c r="AZ1339" s="89"/>
      <c r="BA1339" s="175">
        <v>99</v>
      </c>
      <c r="BB1339" s="259"/>
      <c r="BC1339" s="190"/>
      <c r="BD1339" s="177"/>
      <c r="BE1339" s="177"/>
      <c r="BF1339" s="178"/>
    </row>
    <row r="1340" spans="1:58">
      <c r="A1340" s="95">
        <v>1339</v>
      </c>
      <c r="B1340" s="211" t="s">
        <v>1983</v>
      </c>
      <c r="C1340" s="191" t="s">
        <v>433</v>
      </c>
      <c r="D1340" s="171" t="s">
        <v>446</v>
      </c>
      <c r="E1340" s="463" t="s">
        <v>3377</v>
      </c>
      <c r="F1340" s="171">
        <v>2003</v>
      </c>
      <c r="G1340" s="171">
        <v>311</v>
      </c>
      <c r="H1340" s="172" t="s">
        <v>1738</v>
      </c>
      <c r="I1340" s="173" t="s">
        <v>1739</v>
      </c>
      <c r="J1340" s="217">
        <v>0.43888888888888888</v>
      </c>
      <c r="K1340" s="213">
        <v>4.7333333333333334</v>
      </c>
      <c r="L1340" s="91"/>
      <c r="M1340" s="171">
        <v>360</v>
      </c>
      <c r="N1340" s="171"/>
      <c r="O1340" s="172" t="s">
        <v>12</v>
      </c>
      <c r="P1340" s="92"/>
      <c r="Q1340" s="173" t="s">
        <v>523</v>
      </c>
      <c r="R1340" s="506" t="s">
        <v>2727</v>
      </c>
      <c r="S1340" s="89"/>
      <c r="T1340" s="214" t="s">
        <v>2306</v>
      </c>
      <c r="U1340" s="214" t="s">
        <v>2312</v>
      </c>
      <c r="V1340" s="102">
        <v>0</v>
      </c>
      <c r="W1340" s="120">
        <v>25</v>
      </c>
      <c r="X1340" s="120">
        <v>0</v>
      </c>
      <c r="Y1340" s="120">
        <v>0</v>
      </c>
      <c r="Z1340" s="120">
        <v>0</v>
      </c>
      <c r="AA1340" s="17">
        <v>0</v>
      </c>
      <c r="AB1340" s="17">
        <v>0</v>
      </c>
      <c r="AC1340" s="17">
        <v>0</v>
      </c>
      <c r="AD1340" s="17">
        <v>0</v>
      </c>
      <c r="AE1340" s="17">
        <v>0</v>
      </c>
      <c r="AF1340" s="33">
        <v>9.7222222222222232</v>
      </c>
      <c r="AG1340" s="17">
        <v>0</v>
      </c>
      <c r="AH1340" s="17">
        <v>0</v>
      </c>
      <c r="AI1340" s="33">
        <v>0.63055555555555554</v>
      </c>
      <c r="AJ1340" s="17">
        <v>0</v>
      </c>
      <c r="AK1340" s="17">
        <v>0</v>
      </c>
      <c r="AL1340" s="32">
        <v>0</v>
      </c>
      <c r="AM1340" s="172">
        <v>45.9</v>
      </c>
      <c r="AN1340" s="89"/>
      <c r="AO1340" s="280"/>
      <c r="AP1340" s="783">
        <v>32400</v>
      </c>
      <c r="AQ1340" s="17" t="s">
        <v>271</v>
      </c>
      <c r="AR1340" s="174">
        <v>100</v>
      </c>
      <c r="AS1340" s="280"/>
      <c r="AT1340" s="171">
        <v>400</v>
      </c>
      <c r="AU1340" s="255">
        <f t="shared" si="100"/>
        <v>22.222222222222221</v>
      </c>
      <c r="AV1340" s="172">
        <v>99</v>
      </c>
      <c r="AW1340" s="171">
        <v>0.25</v>
      </c>
      <c r="AX1340" s="89"/>
      <c r="AY1340" s="171">
        <v>20</v>
      </c>
      <c r="AZ1340" s="89"/>
      <c r="BA1340" s="175">
        <v>99</v>
      </c>
      <c r="BB1340" s="259"/>
      <c r="BC1340" s="190"/>
      <c r="BD1340" s="177"/>
      <c r="BE1340" s="177"/>
      <c r="BF1340" s="178"/>
    </row>
    <row r="1341" spans="1:58">
      <c r="A1341" s="95">
        <v>1340</v>
      </c>
      <c r="B1341" s="211" t="s">
        <v>1984</v>
      </c>
      <c r="C1341" s="191" t="s">
        <v>433</v>
      </c>
      <c r="D1341" s="171" t="s">
        <v>446</v>
      </c>
      <c r="E1341" s="463" t="s">
        <v>3377</v>
      </c>
      <c r="F1341" s="171">
        <v>2003</v>
      </c>
      <c r="G1341" s="171">
        <v>311</v>
      </c>
      <c r="H1341" s="172" t="s">
        <v>1738</v>
      </c>
      <c r="I1341" s="173" t="s">
        <v>1739</v>
      </c>
      <c r="J1341" s="217">
        <v>0.38750000000000001</v>
      </c>
      <c r="K1341" s="213">
        <v>4.17</v>
      </c>
      <c r="L1341" s="91"/>
      <c r="M1341" s="171">
        <v>400</v>
      </c>
      <c r="N1341" s="171"/>
      <c r="O1341" s="172" t="s">
        <v>12</v>
      </c>
      <c r="P1341" s="92"/>
      <c r="Q1341" s="173" t="s">
        <v>523</v>
      </c>
      <c r="R1341" s="506" t="s">
        <v>2727</v>
      </c>
      <c r="S1341" s="89"/>
      <c r="T1341" s="214" t="s">
        <v>2306</v>
      </c>
      <c r="U1341" s="214" t="s">
        <v>2312</v>
      </c>
      <c r="V1341" s="102">
        <v>0</v>
      </c>
      <c r="W1341" s="120">
        <v>25</v>
      </c>
      <c r="X1341" s="120">
        <v>0</v>
      </c>
      <c r="Y1341" s="120">
        <v>0</v>
      </c>
      <c r="Z1341" s="120">
        <v>0</v>
      </c>
      <c r="AA1341" s="17">
        <v>0</v>
      </c>
      <c r="AB1341" s="17">
        <v>0</v>
      </c>
      <c r="AC1341" s="17">
        <v>0</v>
      </c>
      <c r="AD1341" s="17">
        <v>0</v>
      </c>
      <c r="AE1341" s="17">
        <v>0</v>
      </c>
      <c r="AF1341" s="33">
        <v>8.75</v>
      </c>
      <c r="AG1341" s="17">
        <v>0</v>
      </c>
      <c r="AH1341" s="17">
        <v>0</v>
      </c>
      <c r="AI1341" s="33">
        <v>0.5675</v>
      </c>
      <c r="AJ1341" s="17">
        <v>0</v>
      </c>
      <c r="AK1341" s="17">
        <v>0</v>
      </c>
      <c r="AL1341" s="32">
        <v>0</v>
      </c>
      <c r="AM1341" s="172">
        <v>52.6</v>
      </c>
      <c r="AN1341" s="89"/>
      <c r="AO1341" s="280"/>
      <c r="AP1341" s="783">
        <v>33600</v>
      </c>
      <c r="AQ1341" s="17" t="s">
        <v>271</v>
      </c>
      <c r="AR1341" s="174">
        <v>100</v>
      </c>
      <c r="AS1341" s="280"/>
      <c r="AT1341" s="171">
        <v>400</v>
      </c>
      <c r="AU1341" s="255">
        <f t="shared" si="100"/>
        <v>22.222222222222221</v>
      </c>
      <c r="AV1341" s="172">
        <v>99</v>
      </c>
      <c r="AW1341" s="171">
        <v>0.25</v>
      </c>
      <c r="AX1341" s="89"/>
      <c r="AY1341" s="171">
        <v>20</v>
      </c>
      <c r="AZ1341" s="89"/>
      <c r="BA1341" s="175">
        <v>99</v>
      </c>
      <c r="BB1341" s="259"/>
      <c r="BC1341" s="190"/>
      <c r="BD1341" s="177"/>
      <c r="BE1341" s="177"/>
      <c r="BF1341" s="178"/>
    </row>
    <row r="1342" spans="1:58">
      <c r="A1342" s="95">
        <v>1341</v>
      </c>
      <c r="B1342" s="211" t="s">
        <v>1985</v>
      </c>
      <c r="C1342" s="191" t="s">
        <v>433</v>
      </c>
      <c r="D1342" s="171" t="s">
        <v>446</v>
      </c>
      <c r="E1342" s="463" t="s">
        <v>3377</v>
      </c>
      <c r="F1342" s="171">
        <v>2003</v>
      </c>
      <c r="G1342" s="171">
        <v>311</v>
      </c>
      <c r="H1342" s="172" t="s">
        <v>1738</v>
      </c>
      <c r="I1342" s="173" t="s">
        <v>1739</v>
      </c>
      <c r="J1342" s="217">
        <v>0.33636363636363636</v>
      </c>
      <c r="K1342" s="213">
        <v>3.7340909090909089</v>
      </c>
      <c r="L1342" s="91"/>
      <c r="M1342" s="171">
        <v>440</v>
      </c>
      <c r="N1342" s="171"/>
      <c r="O1342" s="172" t="s">
        <v>12</v>
      </c>
      <c r="P1342" s="92"/>
      <c r="Q1342" s="173" t="s">
        <v>523</v>
      </c>
      <c r="R1342" s="506" t="s">
        <v>2727</v>
      </c>
      <c r="S1342" s="89"/>
      <c r="T1342" s="214" t="s">
        <v>2306</v>
      </c>
      <c r="U1342" s="214" t="s">
        <v>2312</v>
      </c>
      <c r="V1342" s="102">
        <v>0</v>
      </c>
      <c r="W1342" s="120">
        <v>25</v>
      </c>
      <c r="X1342" s="120">
        <v>0</v>
      </c>
      <c r="Y1342" s="120">
        <v>0</v>
      </c>
      <c r="Z1342" s="120">
        <v>0</v>
      </c>
      <c r="AA1342" s="17">
        <v>0</v>
      </c>
      <c r="AB1342" s="17">
        <v>0</v>
      </c>
      <c r="AC1342" s="17">
        <v>0</v>
      </c>
      <c r="AD1342" s="17">
        <v>0</v>
      </c>
      <c r="AE1342" s="17">
        <v>0</v>
      </c>
      <c r="AF1342" s="33">
        <v>7.9545454545454541</v>
      </c>
      <c r="AG1342" s="17">
        <v>0</v>
      </c>
      <c r="AH1342" s="17">
        <v>0</v>
      </c>
      <c r="AI1342" s="33">
        <v>0.51590909090909087</v>
      </c>
      <c r="AJ1342" s="17">
        <v>0</v>
      </c>
      <c r="AK1342" s="17">
        <v>0</v>
      </c>
      <c r="AL1342" s="32">
        <v>0</v>
      </c>
      <c r="AM1342" s="172">
        <v>62.4</v>
      </c>
      <c r="AN1342" s="89"/>
      <c r="AO1342" s="280"/>
      <c r="AP1342" s="783">
        <v>34500</v>
      </c>
      <c r="AQ1342" s="17" t="s">
        <v>271</v>
      </c>
      <c r="AR1342" s="174">
        <v>100</v>
      </c>
      <c r="AS1342" s="280"/>
      <c r="AT1342" s="171">
        <v>400</v>
      </c>
      <c r="AU1342" s="255">
        <f t="shared" si="100"/>
        <v>22.222222222222221</v>
      </c>
      <c r="AV1342" s="172">
        <v>99</v>
      </c>
      <c r="AW1342" s="171">
        <v>0.25</v>
      </c>
      <c r="AX1342" s="89"/>
      <c r="AY1342" s="171">
        <v>20</v>
      </c>
      <c r="AZ1342" s="89"/>
      <c r="BA1342" s="175">
        <v>99</v>
      </c>
      <c r="BB1342" s="259"/>
      <c r="BC1342" s="190"/>
      <c r="BD1342" s="177"/>
      <c r="BE1342" s="177"/>
      <c r="BF1342" s="178"/>
    </row>
    <row r="1343" spans="1:58">
      <c r="A1343" s="95">
        <v>1342</v>
      </c>
      <c r="B1343" s="211" t="s">
        <v>1986</v>
      </c>
      <c r="C1343" s="191" t="s">
        <v>433</v>
      </c>
      <c r="D1343" s="171" t="s">
        <v>446</v>
      </c>
      <c r="E1343" s="463" t="s">
        <v>3377</v>
      </c>
      <c r="F1343" s="171">
        <v>2003</v>
      </c>
      <c r="G1343" s="171">
        <v>311</v>
      </c>
      <c r="H1343" s="172" t="s">
        <v>1738</v>
      </c>
      <c r="I1343" s="173" t="s">
        <v>1739</v>
      </c>
      <c r="J1343" s="217">
        <v>0.31</v>
      </c>
      <c r="K1343" s="213">
        <v>3.4</v>
      </c>
      <c r="L1343" s="91"/>
      <c r="M1343" s="171">
        <v>500</v>
      </c>
      <c r="N1343" s="171"/>
      <c r="O1343" s="172" t="s">
        <v>12</v>
      </c>
      <c r="P1343" s="92"/>
      <c r="Q1343" s="173" t="s">
        <v>523</v>
      </c>
      <c r="R1343" s="506" t="s">
        <v>2727</v>
      </c>
      <c r="S1343" s="89"/>
      <c r="T1343" s="214" t="s">
        <v>2306</v>
      </c>
      <c r="U1343" s="214" t="s">
        <v>2312</v>
      </c>
      <c r="V1343" s="102">
        <v>0</v>
      </c>
      <c r="W1343" s="120">
        <v>0</v>
      </c>
      <c r="X1343" s="120">
        <v>0</v>
      </c>
      <c r="Y1343" s="120">
        <v>0</v>
      </c>
      <c r="Z1343" s="120">
        <v>0</v>
      </c>
      <c r="AA1343" s="17">
        <v>0</v>
      </c>
      <c r="AB1343" s="17">
        <v>0</v>
      </c>
      <c r="AC1343" s="17">
        <v>0</v>
      </c>
      <c r="AD1343" s="17">
        <v>0</v>
      </c>
      <c r="AE1343" s="17">
        <v>0</v>
      </c>
      <c r="AF1343" s="33">
        <v>7.0000000000000009</v>
      </c>
      <c r="AG1343" s="17">
        <v>0</v>
      </c>
      <c r="AH1343" s="17">
        <v>0</v>
      </c>
      <c r="AI1343" s="33">
        <v>0.45399999999999996</v>
      </c>
      <c r="AJ1343" s="17">
        <v>0</v>
      </c>
      <c r="AK1343" s="17">
        <v>0</v>
      </c>
      <c r="AL1343" s="32">
        <v>0</v>
      </c>
      <c r="AM1343" s="172">
        <v>55.5</v>
      </c>
      <c r="AN1343" s="89"/>
      <c r="AO1343" s="280"/>
      <c r="AP1343" s="783">
        <v>34300</v>
      </c>
      <c r="AQ1343" s="17" t="s">
        <v>271</v>
      </c>
      <c r="AR1343" s="174">
        <v>100</v>
      </c>
      <c r="AS1343" s="280"/>
      <c r="AT1343" s="171">
        <v>400</v>
      </c>
      <c r="AU1343" s="255">
        <f t="shared" si="100"/>
        <v>22.222222222222221</v>
      </c>
      <c r="AV1343" s="172">
        <v>99</v>
      </c>
      <c r="AW1343" s="171">
        <v>0.25</v>
      </c>
      <c r="AX1343" s="89"/>
      <c r="AY1343" s="171">
        <v>20</v>
      </c>
      <c r="AZ1343" s="89"/>
      <c r="BA1343" s="175">
        <v>99</v>
      </c>
      <c r="BB1343" s="259"/>
      <c r="BC1343" s="190"/>
      <c r="BD1343" s="177"/>
      <c r="BE1343" s="177"/>
      <c r="BF1343" s="178"/>
    </row>
    <row r="1344" spans="1:58">
      <c r="A1344" s="95">
        <v>1343</v>
      </c>
      <c r="B1344" s="211" t="s">
        <v>1987</v>
      </c>
      <c r="C1344" s="191" t="s">
        <v>433</v>
      </c>
      <c r="D1344" s="171" t="s">
        <v>446</v>
      </c>
      <c r="E1344" s="463" t="s">
        <v>3377</v>
      </c>
      <c r="F1344" s="171">
        <v>2003</v>
      </c>
      <c r="G1344" s="171">
        <v>311</v>
      </c>
      <c r="H1344" s="172" t="s">
        <v>1738</v>
      </c>
      <c r="I1344" s="173" t="s">
        <v>1739</v>
      </c>
      <c r="J1344" s="217">
        <v>0.34444444444444444</v>
      </c>
      <c r="K1344" s="213">
        <v>3.7422222222222223</v>
      </c>
      <c r="L1344" s="91"/>
      <c r="M1344" s="171">
        <v>450</v>
      </c>
      <c r="N1344" s="171"/>
      <c r="O1344" s="172" t="s">
        <v>12</v>
      </c>
      <c r="P1344" s="92"/>
      <c r="Q1344" s="173" t="s">
        <v>523</v>
      </c>
      <c r="R1344" s="506" t="s">
        <v>2727</v>
      </c>
      <c r="S1344" s="89"/>
      <c r="T1344" s="214" t="s">
        <v>2306</v>
      </c>
      <c r="U1344" s="214" t="s">
        <v>2312</v>
      </c>
      <c r="V1344" s="102">
        <v>0</v>
      </c>
      <c r="W1344" s="120">
        <f>50/M1344*100</f>
        <v>11.111111111111111</v>
      </c>
      <c r="X1344" s="120">
        <v>0</v>
      </c>
      <c r="Y1344" s="120">
        <v>0</v>
      </c>
      <c r="Z1344" s="120">
        <v>0</v>
      </c>
      <c r="AA1344" s="17">
        <v>0</v>
      </c>
      <c r="AB1344" s="17">
        <v>0</v>
      </c>
      <c r="AC1344" s="17">
        <v>0</v>
      </c>
      <c r="AD1344" s="17">
        <v>0</v>
      </c>
      <c r="AE1344" s="17">
        <v>0</v>
      </c>
      <c r="AF1344" s="33">
        <v>7.7777777777777777</v>
      </c>
      <c r="AG1344" s="17">
        <v>0</v>
      </c>
      <c r="AH1344" s="17">
        <v>0</v>
      </c>
      <c r="AI1344" s="33">
        <v>0.50444444444444447</v>
      </c>
      <c r="AJ1344" s="17">
        <v>0</v>
      </c>
      <c r="AK1344" s="17">
        <v>0</v>
      </c>
      <c r="AL1344" s="32">
        <v>0</v>
      </c>
      <c r="AM1344" s="172">
        <v>53.4</v>
      </c>
      <c r="AN1344" s="89"/>
      <c r="AO1344" s="280"/>
      <c r="AP1344" s="783">
        <v>34000</v>
      </c>
      <c r="AQ1344" s="17" t="s">
        <v>271</v>
      </c>
      <c r="AR1344" s="174">
        <v>100</v>
      </c>
      <c r="AS1344" s="280"/>
      <c r="AT1344" s="171">
        <v>400</v>
      </c>
      <c r="AU1344" s="255">
        <f t="shared" si="100"/>
        <v>22.222222222222221</v>
      </c>
      <c r="AV1344" s="172">
        <v>99</v>
      </c>
      <c r="AW1344" s="171">
        <v>0.25</v>
      </c>
      <c r="AX1344" s="89"/>
      <c r="AY1344" s="171">
        <v>20</v>
      </c>
      <c r="AZ1344" s="89"/>
      <c r="BA1344" s="175">
        <v>99</v>
      </c>
      <c r="BB1344" s="259"/>
      <c r="BC1344" s="190"/>
      <c r="BD1344" s="177"/>
      <c r="BE1344" s="177"/>
      <c r="BF1344" s="178"/>
    </row>
    <row r="1345" spans="1:58">
      <c r="A1345" s="95">
        <v>1344</v>
      </c>
      <c r="B1345" s="211" t="s">
        <v>1988</v>
      </c>
      <c r="C1345" s="191" t="s">
        <v>433</v>
      </c>
      <c r="D1345" s="171" t="s">
        <v>446</v>
      </c>
      <c r="E1345" s="463" t="s">
        <v>3377</v>
      </c>
      <c r="F1345" s="171">
        <v>2003</v>
      </c>
      <c r="G1345" s="171">
        <v>311</v>
      </c>
      <c r="H1345" s="172" t="s">
        <v>1738</v>
      </c>
      <c r="I1345" s="173" t="s">
        <v>1739</v>
      </c>
      <c r="J1345" s="217">
        <v>0.38750000000000001</v>
      </c>
      <c r="K1345" s="213">
        <v>4.17</v>
      </c>
      <c r="L1345" s="91"/>
      <c r="M1345" s="171">
        <v>400</v>
      </c>
      <c r="N1345" s="171"/>
      <c r="O1345" s="172" t="s">
        <v>12</v>
      </c>
      <c r="P1345" s="511"/>
      <c r="Q1345" s="173" t="s">
        <v>523</v>
      </c>
      <c r="R1345" s="506" t="s">
        <v>2727</v>
      </c>
      <c r="S1345" s="89"/>
      <c r="T1345" s="214" t="s">
        <v>2306</v>
      </c>
      <c r="U1345" s="214" t="s">
        <v>2312</v>
      </c>
      <c r="V1345" s="102">
        <v>0</v>
      </c>
      <c r="W1345" s="120">
        <f>100/400*100</f>
        <v>25</v>
      </c>
      <c r="X1345" s="120">
        <v>0</v>
      </c>
      <c r="Y1345" s="120">
        <v>0</v>
      </c>
      <c r="Z1345" s="120">
        <v>0</v>
      </c>
      <c r="AA1345" s="17">
        <v>0</v>
      </c>
      <c r="AB1345" s="17">
        <v>0</v>
      </c>
      <c r="AC1345" s="17">
        <v>0</v>
      </c>
      <c r="AD1345" s="17">
        <v>0</v>
      </c>
      <c r="AE1345" s="17">
        <v>0</v>
      </c>
      <c r="AF1345" s="33">
        <v>8.75</v>
      </c>
      <c r="AG1345" s="17">
        <v>0</v>
      </c>
      <c r="AH1345" s="17">
        <v>0</v>
      </c>
      <c r="AI1345" s="33">
        <v>0.5675</v>
      </c>
      <c r="AJ1345" s="17">
        <v>0</v>
      </c>
      <c r="AK1345" s="17">
        <v>0</v>
      </c>
      <c r="AL1345" s="32">
        <v>0</v>
      </c>
      <c r="AM1345" s="172">
        <v>52.6</v>
      </c>
      <c r="AN1345" s="89"/>
      <c r="AO1345" s="280"/>
      <c r="AP1345" s="783">
        <v>33600</v>
      </c>
      <c r="AQ1345" s="17" t="s">
        <v>271</v>
      </c>
      <c r="AR1345" s="174">
        <v>100</v>
      </c>
      <c r="AS1345" s="280"/>
      <c r="AT1345" s="171">
        <v>400</v>
      </c>
      <c r="AU1345" s="255">
        <f t="shared" si="100"/>
        <v>22.222222222222221</v>
      </c>
      <c r="AV1345" s="172">
        <v>99</v>
      </c>
      <c r="AW1345" s="171">
        <v>0.25</v>
      </c>
      <c r="AX1345" s="89"/>
      <c r="AY1345" s="171">
        <v>20</v>
      </c>
      <c r="AZ1345" s="89"/>
      <c r="BA1345" s="175">
        <v>99</v>
      </c>
      <c r="BB1345" s="259"/>
      <c r="BC1345" s="190"/>
      <c r="BD1345" s="177"/>
      <c r="BE1345" s="177"/>
      <c r="BF1345" s="178"/>
    </row>
    <row r="1346" spans="1:58">
      <c r="A1346" s="95">
        <v>1345</v>
      </c>
      <c r="B1346" s="211" t="s">
        <v>1989</v>
      </c>
      <c r="C1346" s="191" t="s">
        <v>433</v>
      </c>
      <c r="D1346" s="171" t="s">
        <v>446</v>
      </c>
      <c r="E1346" s="463" t="s">
        <v>3377</v>
      </c>
      <c r="F1346" s="171">
        <v>2003</v>
      </c>
      <c r="G1346" s="171">
        <v>311</v>
      </c>
      <c r="H1346" s="172" t="s">
        <v>1738</v>
      </c>
      <c r="I1346" s="173" t="s">
        <v>1739</v>
      </c>
      <c r="J1346" s="217">
        <v>0.44285714285714284</v>
      </c>
      <c r="K1346" s="213">
        <v>4.72</v>
      </c>
      <c r="L1346" s="91"/>
      <c r="M1346" s="171">
        <v>350</v>
      </c>
      <c r="N1346" s="171"/>
      <c r="O1346" s="172" t="s">
        <v>12</v>
      </c>
      <c r="P1346" s="511"/>
      <c r="Q1346" s="173" t="s">
        <v>523</v>
      </c>
      <c r="R1346" s="506" t="s">
        <v>2727</v>
      </c>
      <c r="S1346" s="89"/>
      <c r="T1346" s="214" t="s">
        <v>2306</v>
      </c>
      <c r="U1346" s="214" t="s">
        <v>2312</v>
      </c>
      <c r="V1346" s="102">
        <v>0</v>
      </c>
      <c r="W1346" s="120">
        <f>150/350*100</f>
        <v>42.857142857142854</v>
      </c>
      <c r="X1346" s="120">
        <v>0</v>
      </c>
      <c r="Y1346" s="120">
        <v>0</v>
      </c>
      <c r="Z1346" s="120">
        <v>0</v>
      </c>
      <c r="AA1346" s="17">
        <v>0</v>
      </c>
      <c r="AB1346" s="17">
        <v>0</v>
      </c>
      <c r="AC1346" s="17">
        <v>0</v>
      </c>
      <c r="AD1346" s="17">
        <v>0</v>
      </c>
      <c r="AE1346" s="17">
        <v>0</v>
      </c>
      <c r="AF1346" s="33">
        <v>10</v>
      </c>
      <c r="AG1346" s="17">
        <v>0</v>
      </c>
      <c r="AH1346" s="17">
        <v>0</v>
      </c>
      <c r="AI1346" s="33">
        <v>0.64857142857142858</v>
      </c>
      <c r="AJ1346" s="17">
        <v>0</v>
      </c>
      <c r="AK1346" s="17">
        <v>0</v>
      </c>
      <c r="AL1346" s="32">
        <v>0</v>
      </c>
      <c r="AM1346" s="172">
        <v>49.3</v>
      </c>
      <c r="AN1346" s="89"/>
      <c r="AO1346" s="280"/>
      <c r="AP1346" s="783">
        <v>32800</v>
      </c>
      <c r="AQ1346" s="17" t="s">
        <v>271</v>
      </c>
      <c r="AR1346" s="174">
        <v>100</v>
      </c>
      <c r="AS1346" s="280"/>
      <c r="AT1346" s="171">
        <v>400</v>
      </c>
      <c r="AU1346" s="255">
        <f t="shared" si="100"/>
        <v>22.222222222222221</v>
      </c>
      <c r="AV1346" s="172">
        <v>99</v>
      </c>
      <c r="AW1346" s="171">
        <v>0.25</v>
      </c>
      <c r="AX1346" s="89"/>
      <c r="AY1346" s="171">
        <v>20</v>
      </c>
      <c r="AZ1346" s="89"/>
      <c r="BA1346" s="175">
        <v>99</v>
      </c>
      <c r="BB1346" s="259"/>
      <c r="BC1346" s="190"/>
      <c r="BD1346" s="177"/>
      <c r="BE1346" s="177"/>
      <c r="BF1346" s="178"/>
    </row>
    <row r="1347" spans="1:58">
      <c r="A1347" s="95">
        <v>1346</v>
      </c>
      <c r="B1347" s="211" t="s">
        <v>1990</v>
      </c>
      <c r="C1347" s="191" t="s">
        <v>433</v>
      </c>
      <c r="D1347" s="171" t="s">
        <v>446</v>
      </c>
      <c r="E1347" s="463" t="s">
        <v>3377</v>
      </c>
      <c r="F1347" s="171">
        <v>2003</v>
      </c>
      <c r="G1347" s="171">
        <v>311</v>
      </c>
      <c r="H1347" s="172" t="s">
        <v>1738</v>
      </c>
      <c r="I1347" s="173" t="s">
        <v>1739</v>
      </c>
      <c r="J1347" s="217">
        <v>0.2690909090909091</v>
      </c>
      <c r="K1347" s="213">
        <v>3.0490909090909093</v>
      </c>
      <c r="L1347" s="91"/>
      <c r="M1347" s="171">
        <v>550</v>
      </c>
      <c r="N1347" s="171"/>
      <c r="O1347" s="172" t="s">
        <v>12</v>
      </c>
      <c r="P1347" s="511"/>
      <c r="Q1347" s="173" t="s">
        <v>523</v>
      </c>
      <c r="R1347" s="506" t="s">
        <v>2727</v>
      </c>
      <c r="S1347" s="89"/>
      <c r="T1347" s="214" t="s">
        <v>2306</v>
      </c>
      <c r="U1347" s="214" t="s">
        <v>2312</v>
      </c>
      <c r="V1347" s="102">
        <v>0</v>
      </c>
      <c r="W1347" s="120">
        <v>0</v>
      </c>
      <c r="X1347" s="120">
        <v>0</v>
      </c>
      <c r="Y1347" s="120">
        <v>0</v>
      </c>
      <c r="Z1347" s="120">
        <v>0</v>
      </c>
      <c r="AA1347" s="17">
        <v>0</v>
      </c>
      <c r="AB1347" s="17">
        <v>0</v>
      </c>
      <c r="AC1347" s="17">
        <v>0</v>
      </c>
      <c r="AD1347" s="17">
        <v>0</v>
      </c>
      <c r="AE1347" s="17">
        <v>0</v>
      </c>
      <c r="AF1347" s="33">
        <v>6.3636363636363633</v>
      </c>
      <c r="AG1347" s="17">
        <v>0</v>
      </c>
      <c r="AH1347" s="17">
        <v>0</v>
      </c>
      <c r="AI1347" s="33">
        <v>0.41272727272727278</v>
      </c>
      <c r="AJ1347" s="17">
        <v>0</v>
      </c>
      <c r="AK1347" s="17">
        <v>0</v>
      </c>
      <c r="AL1347" s="32">
        <v>0</v>
      </c>
      <c r="AM1347" s="172">
        <v>66.2</v>
      </c>
      <c r="AN1347" s="89"/>
      <c r="AO1347" s="280"/>
      <c r="AP1347" s="783">
        <v>36200</v>
      </c>
      <c r="AQ1347" s="17" t="s">
        <v>271</v>
      </c>
      <c r="AR1347" s="174">
        <v>100</v>
      </c>
      <c r="AS1347" s="280"/>
      <c r="AT1347" s="171">
        <v>400</v>
      </c>
      <c r="AU1347" s="255">
        <f t="shared" si="100"/>
        <v>22.222222222222221</v>
      </c>
      <c r="AV1347" s="172">
        <v>99</v>
      </c>
      <c r="AW1347" s="171">
        <v>0.25</v>
      </c>
      <c r="AX1347" s="89"/>
      <c r="AY1347" s="171">
        <v>20</v>
      </c>
      <c r="AZ1347" s="89"/>
      <c r="BA1347" s="175">
        <v>99</v>
      </c>
      <c r="BB1347" s="259"/>
      <c r="BC1347" s="190"/>
      <c r="BD1347" s="177"/>
      <c r="BE1347" s="177"/>
      <c r="BF1347" s="178"/>
    </row>
    <row r="1348" spans="1:58">
      <c r="A1348" s="95">
        <v>1347</v>
      </c>
      <c r="B1348" s="211" t="s">
        <v>1991</v>
      </c>
      <c r="C1348" s="191" t="s">
        <v>433</v>
      </c>
      <c r="D1348" s="171" t="s">
        <v>446</v>
      </c>
      <c r="E1348" s="463" t="s">
        <v>3377</v>
      </c>
      <c r="F1348" s="171">
        <v>2003</v>
      </c>
      <c r="G1348" s="171">
        <v>311</v>
      </c>
      <c r="H1348" s="172" t="s">
        <v>1738</v>
      </c>
      <c r="I1348" s="173" t="s">
        <v>1739</v>
      </c>
      <c r="J1348" s="217">
        <v>0.29898989898989897</v>
      </c>
      <c r="K1348" s="213">
        <v>3.3555555555555556</v>
      </c>
      <c r="L1348" s="91"/>
      <c r="M1348" s="171">
        <v>495</v>
      </c>
      <c r="N1348" s="171"/>
      <c r="O1348" s="172" t="s">
        <v>12</v>
      </c>
      <c r="P1348" s="511"/>
      <c r="Q1348" s="173" t="s">
        <v>523</v>
      </c>
      <c r="R1348" s="506" t="s">
        <v>2727</v>
      </c>
      <c r="S1348" s="89"/>
      <c r="T1348" s="214" t="s">
        <v>2306</v>
      </c>
      <c r="U1348" s="214" t="s">
        <v>2312</v>
      </c>
      <c r="V1348" s="102">
        <v>0</v>
      </c>
      <c r="W1348" s="120">
        <f>55/M1348*100</f>
        <v>11.111111111111111</v>
      </c>
      <c r="X1348" s="120">
        <v>0</v>
      </c>
      <c r="Y1348" s="120">
        <v>0</v>
      </c>
      <c r="Z1348" s="120">
        <v>0</v>
      </c>
      <c r="AA1348" s="17">
        <v>0</v>
      </c>
      <c r="AB1348" s="17">
        <v>0</v>
      </c>
      <c r="AC1348" s="17">
        <v>0</v>
      </c>
      <c r="AD1348" s="17">
        <v>0</v>
      </c>
      <c r="AE1348" s="17">
        <v>0</v>
      </c>
      <c r="AF1348" s="33">
        <v>7.0707070707070701</v>
      </c>
      <c r="AG1348" s="17">
        <v>0</v>
      </c>
      <c r="AH1348" s="17">
        <v>0</v>
      </c>
      <c r="AI1348" s="33">
        <v>0.45858585858585854</v>
      </c>
      <c r="AJ1348" s="17">
        <v>0</v>
      </c>
      <c r="AK1348" s="17">
        <v>0</v>
      </c>
      <c r="AL1348" s="32">
        <v>0</v>
      </c>
      <c r="AM1348" s="172">
        <v>63.6</v>
      </c>
      <c r="AN1348" s="89"/>
      <c r="AO1348" s="280"/>
      <c r="AP1348" s="783">
        <v>35100</v>
      </c>
      <c r="AQ1348" s="17" t="s">
        <v>271</v>
      </c>
      <c r="AR1348" s="174">
        <v>100</v>
      </c>
      <c r="AS1348" s="280"/>
      <c r="AT1348" s="171">
        <v>400</v>
      </c>
      <c r="AU1348" s="255">
        <f t="shared" si="100"/>
        <v>22.222222222222221</v>
      </c>
      <c r="AV1348" s="172">
        <v>99</v>
      </c>
      <c r="AW1348" s="171">
        <v>0.25</v>
      </c>
      <c r="AX1348" s="89"/>
      <c r="AY1348" s="171">
        <v>20</v>
      </c>
      <c r="AZ1348" s="89"/>
      <c r="BA1348" s="175">
        <v>99</v>
      </c>
      <c r="BB1348" s="259"/>
      <c r="BC1348" s="190"/>
      <c r="BD1348" s="177"/>
      <c r="BE1348" s="177"/>
      <c r="BF1348" s="178"/>
    </row>
    <row r="1349" spans="1:58">
      <c r="A1349" s="95">
        <v>1348</v>
      </c>
      <c r="B1349" s="211" t="s">
        <v>1992</v>
      </c>
      <c r="C1349" s="191" t="s">
        <v>433</v>
      </c>
      <c r="D1349" s="171" t="s">
        <v>446</v>
      </c>
      <c r="E1349" s="463" t="s">
        <v>3377</v>
      </c>
      <c r="F1349" s="171">
        <v>2003</v>
      </c>
      <c r="G1349" s="171">
        <v>311</v>
      </c>
      <c r="H1349" s="172" t="s">
        <v>1738</v>
      </c>
      <c r="I1349" s="173" t="s">
        <v>1739</v>
      </c>
      <c r="J1349" s="217">
        <v>0.33636363636363636</v>
      </c>
      <c r="K1349" s="213">
        <v>3.7340909090909089</v>
      </c>
      <c r="L1349" s="91"/>
      <c r="M1349" s="171">
        <v>440</v>
      </c>
      <c r="N1349" s="171"/>
      <c r="O1349" s="172" t="s">
        <v>12</v>
      </c>
      <c r="P1349" s="511"/>
      <c r="Q1349" s="173" t="s">
        <v>523</v>
      </c>
      <c r="R1349" s="506" t="s">
        <v>2727</v>
      </c>
      <c r="S1349" s="89"/>
      <c r="T1349" s="214" t="s">
        <v>2306</v>
      </c>
      <c r="U1349" s="214" t="s">
        <v>2312</v>
      </c>
      <c r="V1349" s="102">
        <v>0</v>
      </c>
      <c r="W1349" s="120">
        <f>110/440*100</f>
        <v>25</v>
      </c>
      <c r="X1349" s="120">
        <v>0</v>
      </c>
      <c r="Y1349" s="120">
        <v>0</v>
      </c>
      <c r="Z1349" s="120">
        <v>0</v>
      </c>
      <c r="AA1349" s="17">
        <v>0</v>
      </c>
      <c r="AB1349" s="17">
        <v>0</v>
      </c>
      <c r="AC1349" s="17">
        <v>0</v>
      </c>
      <c r="AD1349" s="17">
        <v>0</v>
      </c>
      <c r="AE1349" s="17">
        <v>0</v>
      </c>
      <c r="AF1349" s="33">
        <v>7.9545454545454541</v>
      </c>
      <c r="AG1349" s="17">
        <v>0</v>
      </c>
      <c r="AH1349" s="17">
        <v>0</v>
      </c>
      <c r="AI1349" s="33">
        <v>0.51590909090909087</v>
      </c>
      <c r="AJ1349" s="17">
        <v>0</v>
      </c>
      <c r="AK1349" s="17">
        <v>0</v>
      </c>
      <c r="AL1349" s="32">
        <v>0</v>
      </c>
      <c r="AM1349" s="172">
        <v>62.4</v>
      </c>
      <c r="AN1349" s="89"/>
      <c r="AO1349" s="280"/>
      <c r="AP1349" s="783">
        <v>34500</v>
      </c>
      <c r="AQ1349" s="17" t="s">
        <v>271</v>
      </c>
      <c r="AR1349" s="174">
        <v>100</v>
      </c>
      <c r="AS1349" s="280"/>
      <c r="AT1349" s="171">
        <v>400</v>
      </c>
      <c r="AU1349" s="255">
        <f t="shared" si="100"/>
        <v>22.222222222222221</v>
      </c>
      <c r="AV1349" s="172">
        <v>99</v>
      </c>
      <c r="AW1349" s="171">
        <v>0.25</v>
      </c>
      <c r="AX1349" s="89"/>
      <c r="AY1349" s="171">
        <v>20</v>
      </c>
      <c r="AZ1349" s="89"/>
      <c r="BA1349" s="175">
        <v>99</v>
      </c>
      <c r="BB1349" s="259"/>
      <c r="BC1349" s="190"/>
      <c r="BD1349" s="177"/>
      <c r="BE1349" s="177"/>
      <c r="BF1349" s="178"/>
    </row>
    <row r="1350" spans="1:58">
      <c r="A1350" s="95">
        <v>1349</v>
      </c>
      <c r="B1350" s="211" t="s">
        <v>1993</v>
      </c>
      <c r="C1350" s="191" t="s">
        <v>433</v>
      </c>
      <c r="D1350" s="171" t="s">
        <v>446</v>
      </c>
      <c r="E1350" s="463" t="s">
        <v>3377</v>
      </c>
      <c r="F1350" s="171">
        <v>2003</v>
      </c>
      <c r="G1350" s="171">
        <v>311</v>
      </c>
      <c r="H1350" s="172" t="s">
        <v>1738</v>
      </c>
      <c r="I1350" s="173" t="s">
        <v>1739</v>
      </c>
      <c r="J1350" s="217">
        <v>0.38441558441558443</v>
      </c>
      <c r="K1350" s="213">
        <v>4.220779220779221</v>
      </c>
      <c r="L1350" s="91"/>
      <c r="M1350" s="171">
        <v>385</v>
      </c>
      <c r="N1350" s="171"/>
      <c r="O1350" s="172" t="s">
        <v>12</v>
      </c>
      <c r="P1350" s="511"/>
      <c r="Q1350" s="173" t="s">
        <v>523</v>
      </c>
      <c r="R1350" s="506" t="s">
        <v>2727</v>
      </c>
      <c r="S1350" s="89"/>
      <c r="T1350" s="214" t="s">
        <v>2306</v>
      </c>
      <c r="U1350" s="214" t="s">
        <v>2312</v>
      </c>
      <c r="V1350" s="102">
        <v>0</v>
      </c>
      <c r="W1350" s="120">
        <f>165/385*100</f>
        <v>42.857142857142854</v>
      </c>
      <c r="X1350" s="120">
        <v>0</v>
      </c>
      <c r="Y1350" s="120">
        <v>0</v>
      </c>
      <c r="Z1350" s="120">
        <v>0</v>
      </c>
      <c r="AA1350" s="17">
        <v>0</v>
      </c>
      <c r="AB1350" s="17">
        <v>0</v>
      </c>
      <c r="AC1350" s="17">
        <v>0</v>
      </c>
      <c r="AD1350" s="17">
        <v>0</v>
      </c>
      <c r="AE1350" s="17">
        <v>0</v>
      </c>
      <c r="AF1350" s="33">
        <v>9.0909090909090917</v>
      </c>
      <c r="AG1350" s="17">
        <v>0</v>
      </c>
      <c r="AH1350" s="17">
        <v>0</v>
      </c>
      <c r="AI1350" s="33">
        <v>0.5896103896103897</v>
      </c>
      <c r="AJ1350" s="17">
        <v>0</v>
      </c>
      <c r="AK1350" s="17">
        <v>0</v>
      </c>
      <c r="AL1350" s="32">
        <v>0</v>
      </c>
      <c r="AM1350" s="172">
        <v>55.8</v>
      </c>
      <c r="AN1350" s="89"/>
      <c r="AO1350" s="280"/>
      <c r="AP1350" s="783">
        <v>35000</v>
      </c>
      <c r="AQ1350" s="17" t="s">
        <v>271</v>
      </c>
      <c r="AR1350" s="174">
        <v>100</v>
      </c>
      <c r="AS1350" s="280"/>
      <c r="AT1350" s="171">
        <v>400</v>
      </c>
      <c r="AU1350" s="255">
        <f t="shared" si="100"/>
        <v>22.222222222222221</v>
      </c>
      <c r="AV1350" s="172">
        <v>99</v>
      </c>
      <c r="AW1350" s="171">
        <v>0.25</v>
      </c>
      <c r="AX1350" s="89"/>
      <c r="AY1350" s="171">
        <v>20</v>
      </c>
      <c r="AZ1350" s="89"/>
      <c r="BA1350" s="175">
        <v>99</v>
      </c>
      <c r="BB1350" s="259"/>
      <c r="BC1350" s="190"/>
      <c r="BD1350" s="177"/>
      <c r="BE1350" s="177"/>
      <c r="BF1350" s="178"/>
    </row>
    <row r="1351" spans="1:58">
      <c r="A1351" s="95">
        <v>1350</v>
      </c>
      <c r="B1351" s="211" t="s">
        <v>333</v>
      </c>
      <c r="C1351" s="191" t="s">
        <v>433</v>
      </c>
      <c r="D1351" s="171" t="s">
        <v>446</v>
      </c>
      <c r="E1351" s="463" t="s">
        <v>3377</v>
      </c>
      <c r="F1351" s="171">
        <v>2006</v>
      </c>
      <c r="G1351" s="171">
        <v>312</v>
      </c>
      <c r="H1351" s="172" t="s">
        <v>1738</v>
      </c>
      <c r="I1351" s="173" t="s">
        <v>1739</v>
      </c>
      <c r="J1351" s="217">
        <v>0.3</v>
      </c>
      <c r="K1351" s="213">
        <v>2.7272727272727271</v>
      </c>
      <c r="L1351" s="91"/>
      <c r="M1351" s="171">
        <v>583</v>
      </c>
      <c r="N1351" s="171"/>
      <c r="O1351" s="172" t="s">
        <v>12</v>
      </c>
      <c r="P1351" s="92"/>
      <c r="Q1351" s="173" t="s">
        <v>523</v>
      </c>
      <c r="R1351" s="506" t="s">
        <v>2308</v>
      </c>
      <c r="S1351" s="89"/>
      <c r="T1351" s="214" t="s">
        <v>2306</v>
      </c>
      <c r="U1351" s="214" t="s">
        <v>2308</v>
      </c>
      <c r="V1351" s="102">
        <v>0</v>
      </c>
      <c r="W1351" s="120">
        <v>0</v>
      </c>
      <c r="X1351" s="120">
        <v>0</v>
      </c>
      <c r="Y1351" s="120">
        <v>0</v>
      </c>
      <c r="Z1351" s="120">
        <v>0</v>
      </c>
      <c r="AA1351" s="17">
        <v>0</v>
      </c>
      <c r="AB1351" s="17">
        <v>0</v>
      </c>
      <c r="AC1351" s="17">
        <v>0</v>
      </c>
      <c r="AD1351" s="17">
        <v>0</v>
      </c>
      <c r="AE1351" s="17">
        <v>0</v>
      </c>
      <c r="AF1351" s="33">
        <v>1</v>
      </c>
      <c r="AG1351" s="17">
        <v>0</v>
      </c>
      <c r="AH1351" s="17">
        <v>0</v>
      </c>
      <c r="AI1351" s="17">
        <v>0</v>
      </c>
      <c r="AJ1351" s="17">
        <v>0</v>
      </c>
      <c r="AK1351" s="17">
        <v>0</v>
      </c>
      <c r="AL1351" s="93"/>
      <c r="AM1351" s="172">
        <v>56.59</v>
      </c>
      <c r="AN1351" s="89"/>
      <c r="AO1351" s="280"/>
      <c r="AP1351" s="784"/>
      <c r="AQ1351" s="17" t="s">
        <v>271</v>
      </c>
      <c r="AR1351" s="174">
        <v>100</v>
      </c>
      <c r="AS1351" s="280"/>
      <c r="AT1351" s="171">
        <v>400</v>
      </c>
      <c r="AU1351" s="255">
        <f t="shared" si="100"/>
        <v>22.222222222222221</v>
      </c>
      <c r="AV1351" s="172">
        <v>99</v>
      </c>
      <c r="AW1351" s="171">
        <v>1</v>
      </c>
      <c r="AX1351" s="171">
        <v>20</v>
      </c>
      <c r="AY1351" s="171">
        <v>20</v>
      </c>
      <c r="AZ1351" s="171">
        <v>0</v>
      </c>
      <c r="BA1351" s="175">
        <v>99</v>
      </c>
      <c r="BB1351" s="259"/>
      <c r="BC1351" s="190"/>
      <c r="BD1351" s="177"/>
      <c r="BE1351" s="177"/>
      <c r="BF1351" s="178"/>
    </row>
    <row r="1352" spans="1:58">
      <c r="A1352" s="95">
        <v>1351</v>
      </c>
      <c r="B1352" s="211" t="s">
        <v>334</v>
      </c>
      <c r="C1352" s="191" t="s">
        <v>433</v>
      </c>
      <c r="D1352" s="171" t="s">
        <v>446</v>
      </c>
      <c r="E1352" s="463" t="s">
        <v>3377</v>
      </c>
      <c r="F1352" s="171">
        <v>2006</v>
      </c>
      <c r="G1352" s="171">
        <v>312</v>
      </c>
      <c r="H1352" s="172" t="s">
        <v>1738</v>
      </c>
      <c r="I1352" s="173" t="s">
        <v>1739</v>
      </c>
      <c r="J1352" s="217">
        <v>0.4</v>
      </c>
      <c r="K1352" s="213">
        <v>3.9223744292237441</v>
      </c>
      <c r="L1352" s="91"/>
      <c r="M1352" s="171">
        <v>438</v>
      </c>
      <c r="N1352" s="171"/>
      <c r="O1352" s="172" t="s">
        <v>12</v>
      </c>
      <c r="P1352" s="92"/>
      <c r="Q1352" s="173" t="s">
        <v>523</v>
      </c>
      <c r="R1352" s="506" t="s">
        <v>2308</v>
      </c>
      <c r="S1352" s="89"/>
      <c r="T1352" s="214" t="s">
        <v>2306</v>
      </c>
      <c r="U1352" s="214" t="s">
        <v>2308</v>
      </c>
      <c r="V1352" s="102">
        <v>0</v>
      </c>
      <c r="W1352" s="120">
        <v>0</v>
      </c>
      <c r="X1352" s="120">
        <v>0</v>
      </c>
      <c r="Y1352" s="120">
        <v>0</v>
      </c>
      <c r="Z1352" s="120">
        <v>0</v>
      </c>
      <c r="AA1352" s="17">
        <v>0</v>
      </c>
      <c r="AB1352" s="17">
        <v>0</v>
      </c>
      <c r="AC1352" s="17">
        <v>0</v>
      </c>
      <c r="AD1352" s="17">
        <v>0</v>
      </c>
      <c r="AE1352" s="17">
        <v>0</v>
      </c>
      <c r="AF1352" s="33">
        <v>0.6</v>
      </c>
      <c r="AG1352" s="17">
        <v>0</v>
      </c>
      <c r="AH1352" s="17">
        <v>0</v>
      </c>
      <c r="AI1352" s="17">
        <v>0</v>
      </c>
      <c r="AJ1352" s="17">
        <v>0</v>
      </c>
      <c r="AK1352" s="17">
        <v>0</v>
      </c>
      <c r="AL1352" s="93"/>
      <c r="AM1352" s="172">
        <v>42.36</v>
      </c>
      <c r="AN1352" s="89"/>
      <c r="AO1352" s="280"/>
      <c r="AP1352" s="784"/>
      <c r="AQ1352" s="17" t="s">
        <v>271</v>
      </c>
      <c r="AR1352" s="174">
        <v>100</v>
      </c>
      <c r="AS1352" s="280"/>
      <c r="AT1352" s="171">
        <v>400</v>
      </c>
      <c r="AU1352" s="255">
        <f t="shared" si="100"/>
        <v>22.222222222222221</v>
      </c>
      <c r="AV1352" s="172">
        <v>99</v>
      </c>
      <c r="AW1352" s="171">
        <v>1</v>
      </c>
      <c r="AX1352" s="171">
        <v>20</v>
      </c>
      <c r="AY1352" s="171">
        <v>20</v>
      </c>
      <c r="AZ1352" s="171">
        <v>0</v>
      </c>
      <c r="BA1352" s="175">
        <v>99</v>
      </c>
      <c r="BB1352" s="259"/>
      <c r="BC1352" s="190"/>
      <c r="BD1352" s="177"/>
      <c r="BE1352" s="177"/>
      <c r="BF1352" s="178"/>
    </row>
    <row r="1353" spans="1:58">
      <c r="A1353" s="95">
        <v>1352</v>
      </c>
      <c r="B1353" s="211" t="s">
        <v>335</v>
      </c>
      <c r="C1353" s="191" t="s">
        <v>433</v>
      </c>
      <c r="D1353" s="171" t="s">
        <v>446</v>
      </c>
      <c r="E1353" s="463" t="s">
        <v>3377</v>
      </c>
      <c r="F1353" s="171">
        <v>2006</v>
      </c>
      <c r="G1353" s="171">
        <v>312</v>
      </c>
      <c r="H1353" s="172" t="s">
        <v>1738</v>
      </c>
      <c r="I1353" s="173" t="s">
        <v>1739</v>
      </c>
      <c r="J1353" s="217">
        <v>0.5</v>
      </c>
      <c r="K1353" s="213">
        <v>5.0942857142857143</v>
      </c>
      <c r="L1353" s="91"/>
      <c r="M1353" s="171">
        <v>350</v>
      </c>
      <c r="N1353" s="171"/>
      <c r="O1353" s="172" t="s">
        <v>12</v>
      </c>
      <c r="P1353" s="92"/>
      <c r="Q1353" s="173" t="s">
        <v>523</v>
      </c>
      <c r="R1353" s="506" t="s">
        <v>2308</v>
      </c>
      <c r="S1353" s="89"/>
      <c r="T1353" s="214" t="s">
        <v>2306</v>
      </c>
      <c r="U1353" s="214" t="s">
        <v>2308</v>
      </c>
      <c r="V1353" s="102">
        <v>0</v>
      </c>
      <c r="W1353" s="120">
        <v>0</v>
      </c>
      <c r="X1353" s="120">
        <v>0</v>
      </c>
      <c r="Y1353" s="120">
        <v>0</v>
      </c>
      <c r="Z1353" s="120">
        <v>0</v>
      </c>
      <c r="AA1353" s="17">
        <v>0</v>
      </c>
      <c r="AB1353" s="17">
        <v>0</v>
      </c>
      <c r="AC1353" s="17">
        <v>0</v>
      </c>
      <c r="AD1353" s="17">
        <v>0</v>
      </c>
      <c r="AE1353" s="17">
        <v>0</v>
      </c>
      <c r="AF1353" s="33">
        <v>0.3</v>
      </c>
      <c r="AG1353" s="17">
        <v>0</v>
      </c>
      <c r="AH1353" s="17">
        <v>0</v>
      </c>
      <c r="AI1353" s="17">
        <v>0</v>
      </c>
      <c r="AJ1353" s="17">
        <v>0</v>
      </c>
      <c r="AK1353" s="17">
        <v>0</v>
      </c>
      <c r="AL1353" s="93"/>
      <c r="AM1353" s="172">
        <v>35.18</v>
      </c>
      <c r="AN1353" s="89"/>
      <c r="AO1353" s="280"/>
      <c r="AP1353" s="784"/>
      <c r="AQ1353" s="17" t="s">
        <v>271</v>
      </c>
      <c r="AR1353" s="174">
        <v>100</v>
      </c>
      <c r="AS1353" s="280"/>
      <c r="AT1353" s="171">
        <v>400</v>
      </c>
      <c r="AU1353" s="255">
        <f t="shared" si="100"/>
        <v>22.222222222222221</v>
      </c>
      <c r="AV1353" s="172">
        <v>99</v>
      </c>
      <c r="AW1353" s="171">
        <v>1</v>
      </c>
      <c r="AX1353" s="171">
        <v>20</v>
      </c>
      <c r="AY1353" s="171">
        <v>20</v>
      </c>
      <c r="AZ1353" s="171">
        <v>0</v>
      </c>
      <c r="BA1353" s="175">
        <v>99</v>
      </c>
      <c r="BB1353" s="259"/>
      <c r="BC1353" s="190"/>
      <c r="BD1353" s="177"/>
      <c r="BE1353" s="177"/>
      <c r="BF1353" s="178"/>
    </row>
    <row r="1354" spans="1:58">
      <c r="A1354" s="95">
        <v>1353</v>
      </c>
      <c r="B1354" s="211" t="s">
        <v>336</v>
      </c>
      <c r="C1354" s="191" t="s">
        <v>433</v>
      </c>
      <c r="D1354" s="171" t="s">
        <v>446</v>
      </c>
      <c r="E1354" s="463" t="s">
        <v>3377</v>
      </c>
      <c r="F1354" s="171">
        <v>2006</v>
      </c>
      <c r="G1354" s="171">
        <v>312</v>
      </c>
      <c r="H1354" s="172" t="s">
        <v>1738</v>
      </c>
      <c r="I1354" s="173" t="s">
        <v>1739</v>
      </c>
      <c r="J1354" s="217">
        <v>0.6</v>
      </c>
      <c r="K1354" s="213">
        <v>6.4349315068493151</v>
      </c>
      <c r="L1354" s="91"/>
      <c r="M1354" s="171">
        <v>292</v>
      </c>
      <c r="N1354" s="171"/>
      <c r="O1354" s="172" t="s">
        <v>12</v>
      </c>
      <c r="P1354" s="92"/>
      <c r="Q1354" s="173" t="s">
        <v>523</v>
      </c>
      <c r="R1354" s="506" t="s">
        <v>2308</v>
      </c>
      <c r="S1354" s="89"/>
      <c r="T1354" s="214" t="s">
        <v>2306</v>
      </c>
      <c r="U1354" s="214" t="s">
        <v>2308</v>
      </c>
      <c r="V1354" s="102">
        <v>0</v>
      </c>
      <c r="W1354" s="120">
        <v>0</v>
      </c>
      <c r="X1354" s="120">
        <v>0</v>
      </c>
      <c r="Y1354" s="120">
        <v>0</v>
      </c>
      <c r="Z1354" s="120">
        <v>0</v>
      </c>
      <c r="AA1354" s="17">
        <v>0</v>
      </c>
      <c r="AB1354" s="17">
        <v>0</v>
      </c>
      <c r="AC1354" s="17">
        <v>0</v>
      </c>
      <c r="AD1354" s="17">
        <v>0</v>
      </c>
      <c r="AE1354" s="17">
        <v>0</v>
      </c>
      <c r="AF1354" s="33">
        <v>0.1</v>
      </c>
      <c r="AG1354" s="17">
        <v>0</v>
      </c>
      <c r="AH1354" s="17">
        <v>0</v>
      </c>
      <c r="AI1354" s="17">
        <v>0</v>
      </c>
      <c r="AJ1354" s="17">
        <v>0</v>
      </c>
      <c r="AK1354" s="17">
        <v>0</v>
      </c>
      <c r="AL1354" s="93"/>
      <c r="AM1354" s="172">
        <v>26.45</v>
      </c>
      <c r="AN1354" s="89"/>
      <c r="AO1354" s="280"/>
      <c r="AP1354" s="784"/>
      <c r="AQ1354" s="17" t="s">
        <v>271</v>
      </c>
      <c r="AR1354" s="174">
        <v>100</v>
      </c>
      <c r="AS1354" s="280"/>
      <c r="AT1354" s="171">
        <v>400</v>
      </c>
      <c r="AU1354" s="255">
        <f t="shared" si="100"/>
        <v>22.222222222222221</v>
      </c>
      <c r="AV1354" s="172">
        <v>99</v>
      </c>
      <c r="AW1354" s="171">
        <v>1</v>
      </c>
      <c r="AX1354" s="171">
        <v>20</v>
      </c>
      <c r="AY1354" s="171">
        <v>20</v>
      </c>
      <c r="AZ1354" s="171">
        <v>0</v>
      </c>
      <c r="BA1354" s="175">
        <v>99</v>
      </c>
      <c r="BB1354" s="259"/>
      <c r="BC1354" s="190"/>
      <c r="BD1354" s="177"/>
      <c r="BE1354" s="177"/>
      <c r="BF1354" s="178"/>
    </row>
    <row r="1355" spans="1:58" ht="15" customHeight="1">
      <c r="A1355" s="95">
        <v>1354</v>
      </c>
      <c r="B1355" s="211" t="s">
        <v>1994</v>
      </c>
      <c r="C1355" s="191" t="s">
        <v>1825</v>
      </c>
      <c r="D1355" s="171" t="s">
        <v>119</v>
      </c>
      <c r="E1355" s="463" t="s">
        <v>3377</v>
      </c>
      <c r="F1355" s="171">
        <v>2010</v>
      </c>
      <c r="G1355" s="171">
        <v>313</v>
      </c>
      <c r="H1355" s="172" t="s">
        <v>1738</v>
      </c>
      <c r="I1355" s="173" t="s">
        <v>1743</v>
      </c>
      <c r="J1355" s="217">
        <v>0.4</v>
      </c>
      <c r="K1355" s="213">
        <v>4.5012987012987011</v>
      </c>
      <c r="L1355" s="91"/>
      <c r="M1355" s="171">
        <v>385</v>
      </c>
      <c r="N1355" s="171"/>
      <c r="O1355" s="172" t="s">
        <v>129</v>
      </c>
      <c r="P1355" s="92"/>
      <c r="Q1355" s="173" t="s">
        <v>525</v>
      </c>
      <c r="R1355" s="512" t="s">
        <v>2729</v>
      </c>
      <c r="S1355" s="89"/>
      <c r="T1355" s="214" t="s">
        <v>2306</v>
      </c>
      <c r="U1355" s="214" t="s">
        <v>2307</v>
      </c>
      <c r="V1355" s="102">
        <v>0</v>
      </c>
      <c r="W1355" s="120">
        <f>133/M1355*100</f>
        <v>34.545454545454547</v>
      </c>
      <c r="X1355" s="120">
        <v>0</v>
      </c>
      <c r="Y1355" s="120">
        <v>0</v>
      </c>
      <c r="Z1355" s="120">
        <v>0</v>
      </c>
      <c r="AA1355" s="17">
        <v>0</v>
      </c>
      <c r="AB1355" s="17">
        <v>0</v>
      </c>
      <c r="AC1355" s="17">
        <v>0</v>
      </c>
      <c r="AD1355" s="17">
        <v>0</v>
      </c>
      <c r="AE1355" s="17">
        <v>0</v>
      </c>
      <c r="AF1355" s="17">
        <v>0</v>
      </c>
      <c r="AG1355" s="33">
        <v>0.41558441558441561</v>
      </c>
      <c r="AH1355" s="17">
        <v>0</v>
      </c>
      <c r="AI1355" s="17">
        <v>0</v>
      </c>
      <c r="AJ1355" s="33">
        <v>3.3766233766233771E-2</v>
      </c>
      <c r="AK1355" s="17">
        <v>0</v>
      </c>
      <c r="AL1355" s="32">
        <v>0</v>
      </c>
      <c r="AM1355" s="172">
        <v>89.2</v>
      </c>
      <c r="AN1355" s="89"/>
      <c r="AO1355" s="280"/>
      <c r="AP1355" s="783">
        <v>49300</v>
      </c>
      <c r="AQ1355" s="17" t="s">
        <v>1826</v>
      </c>
      <c r="AR1355" s="174">
        <v>152</v>
      </c>
      <c r="AS1355" s="171">
        <v>102</v>
      </c>
      <c r="AT1355" s="171">
        <v>1220</v>
      </c>
      <c r="AU1355" s="255">
        <f t="shared" si="100"/>
        <v>29.065473409878788</v>
      </c>
      <c r="AV1355" s="172">
        <v>85</v>
      </c>
      <c r="AW1355" s="171">
        <v>28</v>
      </c>
      <c r="AX1355" s="89"/>
      <c r="AY1355" s="171">
        <v>21</v>
      </c>
      <c r="AZ1355" s="89"/>
      <c r="BA1355" s="175">
        <v>55</v>
      </c>
      <c r="BB1355" s="259"/>
      <c r="BC1355" s="190"/>
      <c r="BD1355" s="177"/>
      <c r="BE1355" s="177"/>
      <c r="BF1355" s="178" t="s">
        <v>1827</v>
      </c>
    </row>
    <row r="1356" spans="1:58" ht="15" customHeight="1">
      <c r="A1356" s="95">
        <v>1355</v>
      </c>
      <c r="B1356" s="211" t="s">
        <v>1995</v>
      </c>
      <c r="C1356" s="191" t="s">
        <v>1825</v>
      </c>
      <c r="D1356" s="171" t="s">
        <v>119</v>
      </c>
      <c r="E1356" s="463" t="s">
        <v>3377</v>
      </c>
      <c r="F1356" s="171">
        <v>2010</v>
      </c>
      <c r="G1356" s="171">
        <v>313</v>
      </c>
      <c r="H1356" s="172" t="s">
        <v>1738</v>
      </c>
      <c r="I1356" s="173" t="s">
        <v>1743</v>
      </c>
      <c r="J1356" s="217">
        <v>0.4</v>
      </c>
      <c r="K1356" s="213">
        <v>4.3272727272727272</v>
      </c>
      <c r="L1356" s="91"/>
      <c r="M1356" s="171">
        <v>385</v>
      </c>
      <c r="N1356" s="171"/>
      <c r="O1356" s="172" t="s">
        <v>129</v>
      </c>
      <c r="P1356" s="92"/>
      <c r="Q1356" s="173" t="s">
        <v>525</v>
      </c>
      <c r="R1356" s="512" t="s">
        <v>2729</v>
      </c>
      <c r="S1356" s="89"/>
      <c r="T1356" s="214" t="s">
        <v>2306</v>
      </c>
      <c r="U1356" s="214" t="s">
        <v>2307</v>
      </c>
      <c r="V1356" s="102">
        <v>0</v>
      </c>
      <c r="W1356" s="120">
        <v>0</v>
      </c>
      <c r="X1356" s="120">
        <f>(165/385)*100</f>
        <v>42.857142857142854</v>
      </c>
      <c r="Y1356" s="120">
        <v>0</v>
      </c>
      <c r="Z1356" s="120">
        <v>0</v>
      </c>
      <c r="AA1356" s="17">
        <v>0</v>
      </c>
      <c r="AB1356" s="17">
        <v>0</v>
      </c>
      <c r="AC1356" s="17">
        <v>0</v>
      </c>
      <c r="AD1356" s="17">
        <v>0</v>
      </c>
      <c r="AE1356" s="17">
        <v>0</v>
      </c>
      <c r="AF1356" s="17">
        <v>0</v>
      </c>
      <c r="AG1356" s="33">
        <v>0.41558441558441561</v>
      </c>
      <c r="AH1356" s="17">
        <v>0</v>
      </c>
      <c r="AI1356" s="17">
        <v>0</v>
      </c>
      <c r="AJ1356" s="33">
        <v>0.31168831168831168</v>
      </c>
      <c r="AK1356" s="17">
        <v>0</v>
      </c>
      <c r="AL1356" s="32">
        <v>0</v>
      </c>
      <c r="AM1356" s="172">
        <v>91.2</v>
      </c>
      <c r="AN1356" s="89"/>
      <c r="AO1356" s="280"/>
      <c r="AP1356" s="783">
        <v>51400</v>
      </c>
      <c r="AQ1356" s="17" t="s">
        <v>1826</v>
      </c>
      <c r="AR1356" s="174">
        <v>152</v>
      </c>
      <c r="AS1356" s="171">
        <v>102</v>
      </c>
      <c r="AT1356" s="171">
        <v>1220</v>
      </c>
      <c r="AU1356" s="255">
        <f t="shared" si="100"/>
        <v>29.065473409878788</v>
      </c>
      <c r="AV1356" s="172">
        <v>85</v>
      </c>
      <c r="AW1356" s="171">
        <v>28</v>
      </c>
      <c r="AX1356" s="89"/>
      <c r="AY1356" s="171">
        <v>21</v>
      </c>
      <c r="AZ1356" s="89"/>
      <c r="BA1356" s="175">
        <v>55</v>
      </c>
      <c r="BB1356" s="259"/>
      <c r="BC1356" s="190"/>
      <c r="BD1356" s="177"/>
      <c r="BE1356" s="177"/>
      <c r="BF1356" s="178" t="s">
        <v>1828</v>
      </c>
    </row>
    <row r="1357" spans="1:58" ht="15" customHeight="1">
      <c r="A1357" s="95">
        <v>1356</v>
      </c>
      <c r="B1357" s="211" t="s">
        <v>1996</v>
      </c>
      <c r="C1357" s="191" t="s">
        <v>1825</v>
      </c>
      <c r="D1357" s="171" t="s">
        <v>119</v>
      </c>
      <c r="E1357" s="463" t="s">
        <v>3377</v>
      </c>
      <c r="F1357" s="171">
        <v>2010</v>
      </c>
      <c r="G1357" s="171">
        <v>313</v>
      </c>
      <c r="H1357" s="172" t="s">
        <v>1738</v>
      </c>
      <c r="I1357" s="173" t="s">
        <v>1743</v>
      </c>
      <c r="J1357" s="217">
        <v>0.51446945337620575</v>
      </c>
      <c r="K1357" s="213">
        <v>5.572347266881029</v>
      </c>
      <c r="L1357" s="91"/>
      <c r="M1357" s="171">
        <v>311</v>
      </c>
      <c r="N1357" s="171"/>
      <c r="O1357" s="172" t="s">
        <v>129</v>
      </c>
      <c r="P1357" s="92"/>
      <c r="Q1357" s="173" t="s">
        <v>525</v>
      </c>
      <c r="R1357" s="512" t="s">
        <v>2729</v>
      </c>
      <c r="S1357" s="89"/>
      <c r="T1357" s="214" t="s">
        <v>2306</v>
      </c>
      <c r="U1357" s="214" t="s">
        <v>2307</v>
      </c>
      <c r="V1357" s="102">
        <v>0</v>
      </c>
      <c r="W1357" s="120">
        <f>133/M1357*100</f>
        <v>42.765273311897104</v>
      </c>
      <c r="X1357" s="120">
        <v>0</v>
      </c>
      <c r="Y1357" s="120">
        <v>0</v>
      </c>
      <c r="Z1357" s="120">
        <v>0</v>
      </c>
      <c r="AA1357" s="17">
        <v>0</v>
      </c>
      <c r="AB1357" s="17">
        <v>0</v>
      </c>
      <c r="AC1357" s="17">
        <v>0</v>
      </c>
      <c r="AD1357" s="17">
        <v>0</v>
      </c>
      <c r="AE1357" s="17">
        <v>0</v>
      </c>
      <c r="AF1357" s="17">
        <v>0</v>
      </c>
      <c r="AG1357" s="33">
        <v>0.33440514469453375</v>
      </c>
      <c r="AH1357" s="17">
        <v>0</v>
      </c>
      <c r="AI1357" s="17">
        <v>0</v>
      </c>
      <c r="AJ1357" s="33">
        <v>3.215434083601286E-2</v>
      </c>
      <c r="AK1357" s="17">
        <v>0</v>
      </c>
      <c r="AL1357" s="32">
        <v>0</v>
      </c>
      <c r="AM1357" s="172">
        <v>64.7</v>
      </c>
      <c r="AN1357" s="89"/>
      <c r="AO1357" s="280"/>
      <c r="AP1357" s="783">
        <v>44100</v>
      </c>
      <c r="AQ1357" s="17" t="s">
        <v>1826</v>
      </c>
      <c r="AR1357" s="174">
        <v>152</v>
      </c>
      <c r="AS1357" s="171">
        <v>102</v>
      </c>
      <c r="AT1357" s="171">
        <v>1220</v>
      </c>
      <c r="AU1357" s="255">
        <f t="shared" si="100"/>
        <v>29.065473409878788</v>
      </c>
      <c r="AV1357" s="172">
        <v>85</v>
      </c>
      <c r="AW1357" s="171">
        <v>28</v>
      </c>
      <c r="AX1357" s="89"/>
      <c r="AY1357" s="171">
        <v>21</v>
      </c>
      <c r="AZ1357" s="89"/>
      <c r="BA1357" s="175">
        <v>55</v>
      </c>
      <c r="BB1357" s="259"/>
      <c r="BC1357" s="190"/>
      <c r="BD1357" s="177"/>
      <c r="BE1357" s="177"/>
      <c r="BF1357" s="178" t="s">
        <v>1829</v>
      </c>
    </row>
    <row r="1358" spans="1:58" ht="15" customHeight="1">
      <c r="A1358" s="95">
        <v>1357</v>
      </c>
      <c r="B1358" s="211" t="s">
        <v>1997</v>
      </c>
      <c r="C1358" s="191" t="s">
        <v>1825</v>
      </c>
      <c r="D1358" s="171" t="s">
        <v>119</v>
      </c>
      <c r="E1358" s="463" t="s">
        <v>3377</v>
      </c>
      <c r="F1358" s="171">
        <v>2010</v>
      </c>
      <c r="G1358" s="171">
        <v>313</v>
      </c>
      <c r="H1358" s="172" t="s">
        <v>1738</v>
      </c>
      <c r="I1358" s="173" t="s">
        <v>1743</v>
      </c>
      <c r="J1358" s="217">
        <v>0.72072072072072069</v>
      </c>
      <c r="K1358" s="213">
        <v>7.8378378378378377</v>
      </c>
      <c r="L1358" s="91"/>
      <c r="M1358" s="171">
        <v>222</v>
      </c>
      <c r="N1358" s="171"/>
      <c r="O1358" s="172" t="s">
        <v>129</v>
      </c>
      <c r="P1358" s="92"/>
      <c r="Q1358" s="173" t="s">
        <v>525</v>
      </c>
      <c r="R1358" s="512" t="s">
        <v>2729</v>
      </c>
      <c r="S1358" s="89"/>
      <c r="T1358" s="214" t="s">
        <v>2306</v>
      </c>
      <c r="U1358" s="214" t="s">
        <v>2307</v>
      </c>
      <c r="V1358" s="102">
        <v>0</v>
      </c>
      <c r="W1358" s="120">
        <v>0</v>
      </c>
      <c r="X1358" s="120">
        <f>(222/222)*100</f>
        <v>100</v>
      </c>
      <c r="Y1358" s="120">
        <v>0</v>
      </c>
      <c r="Z1358" s="120">
        <v>0</v>
      </c>
      <c r="AA1358" s="17">
        <v>0</v>
      </c>
      <c r="AB1358" s="17">
        <v>0</v>
      </c>
      <c r="AC1358" s="17">
        <v>0</v>
      </c>
      <c r="AD1358" s="17">
        <v>0</v>
      </c>
      <c r="AE1358" s="17">
        <v>0</v>
      </c>
      <c r="AF1358" s="17">
        <v>0</v>
      </c>
      <c r="AG1358" s="33">
        <v>0.69819819819819817</v>
      </c>
      <c r="AH1358" s="17">
        <v>0</v>
      </c>
      <c r="AI1358" s="17">
        <v>0</v>
      </c>
      <c r="AJ1358" s="33">
        <v>0.17567567567567569</v>
      </c>
      <c r="AK1358" s="17">
        <v>0</v>
      </c>
      <c r="AL1358" s="32">
        <v>0</v>
      </c>
      <c r="AM1358" s="172">
        <v>62.1</v>
      </c>
      <c r="AN1358" s="89"/>
      <c r="AO1358" s="280"/>
      <c r="AP1358" s="783">
        <v>44500</v>
      </c>
      <c r="AQ1358" s="17" t="s">
        <v>1826</v>
      </c>
      <c r="AR1358" s="174">
        <v>152</v>
      </c>
      <c r="AS1358" s="171">
        <v>102</v>
      </c>
      <c r="AT1358" s="171">
        <v>1220</v>
      </c>
      <c r="AU1358" s="255">
        <f t="shared" si="100"/>
        <v>29.065473409878788</v>
      </c>
      <c r="AV1358" s="172">
        <v>85</v>
      </c>
      <c r="AW1358" s="171">
        <v>28</v>
      </c>
      <c r="AX1358" s="89"/>
      <c r="AY1358" s="171">
        <v>21</v>
      </c>
      <c r="AZ1358" s="89"/>
      <c r="BA1358" s="175">
        <v>55</v>
      </c>
      <c r="BB1358" s="259"/>
      <c r="BC1358" s="190"/>
      <c r="BD1358" s="177"/>
      <c r="BE1358" s="177"/>
      <c r="BF1358" s="178"/>
    </row>
    <row r="1359" spans="1:58" ht="15" customHeight="1">
      <c r="A1359" s="95">
        <v>1358</v>
      </c>
      <c r="B1359" s="211" t="s">
        <v>1998</v>
      </c>
      <c r="C1359" s="191" t="s">
        <v>1825</v>
      </c>
      <c r="D1359" s="171" t="s">
        <v>119</v>
      </c>
      <c r="E1359" s="463" t="s">
        <v>3377</v>
      </c>
      <c r="F1359" s="171">
        <v>2010</v>
      </c>
      <c r="G1359" s="171">
        <v>313</v>
      </c>
      <c r="H1359" s="172" t="s">
        <v>1738</v>
      </c>
      <c r="I1359" s="173" t="s">
        <v>1743</v>
      </c>
      <c r="J1359" s="217">
        <v>0.42105263157894735</v>
      </c>
      <c r="K1359" s="213">
        <v>4.8052631578947365</v>
      </c>
      <c r="L1359" s="91"/>
      <c r="M1359" s="171">
        <v>380</v>
      </c>
      <c r="N1359" s="171"/>
      <c r="O1359" s="172" t="s">
        <v>129</v>
      </c>
      <c r="P1359" s="92"/>
      <c r="Q1359" s="173" t="s">
        <v>525</v>
      </c>
      <c r="R1359" s="512" t="s">
        <v>2729</v>
      </c>
      <c r="S1359" s="89"/>
      <c r="T1359" s="214" t="s">
        <v>2306</v>
      </c>
      <c r="U1359" s="214" t="s">
        <v>2307</v>
      </c>
      <c r="V1359" s="102">
        <v>0</v>
      </c>
      <c r="W1359" s="120">
        <v>0</v>
      </c>
      <c r="X1359" s="120">
        <v>0</v>
      </c>
      <c r="Y1359" s="120">
        <v>0</v>
      </c>
      <c r="Z1359" s="120">
        <v>0</v>
      </c>
      <c r="AA1359" s="17">
        <v>0</v>
      </c>
      <c r="AB1359" s="17">
        <v>0</v>
      </c>
      <c r="AC1359" s="17">
        <v>0</v>
      </c>
      <c r="AD1359" s="17">
        <v>0</v>
      </c>
      <c r="AE1359" s="17">
        <v>0</v>
      </c>
      <c r="AF1359" s="17">
        <v>0</v>
      </c>
      <c r="AG1359" s="33">
        <v>0.23157894736842108</v>
      </c>
      <c r="AH1359" s="17">
        <v>0</v>
      </c>
      <c r="AI1359" s="17">
        <v>0</v>
      </c>
      <c r="AJ1359" s="33">
        <v>1.8421052631578949E-2</v>
      </c>
      <c r="AK1359" s="17">
        <v>0</v>
      </c>
      <c r="AL1359" s="32">
        <v>0</v>
      </c>
      <c r="AM1359" s="172">
        <v>51.4</v>
      </c>
      <c r="AN1359" s="89"/>
      <c r="AO1359" s="280"/>
      <c r="AP1359" s="783">
        <v>41400</v>
      </c>
      <c r="AQ1359" s="17" t="s">
        <v>1826</v>
      </c>
      <c r="AR1359" s="174">
        <v>152</v>
      </c>
      <c r="AS1359" s="171">
        <v>102</v>
      </c>
      <c r="AT1359" s="171">
        <v>1220</v>
      </c>
      <c r="AU1359" s="255">
        <f t="shared" si="100"/>
        <v>29.065473409878788</v>
      </c>
      <c r="AV1359" s="172">
        <v>85</v>
      </c>
      <c r="AW1359" s="171">
        <v>28</v>
      </c>
      <c r="AX1359" s="89"/>
      <c r="AY1359" s="171">
        <v>21</v>
      </c>
      <c r="AZ1359" s="89"/>
      <c r="BA1359" s="175">
        <v>55</v>
      </c>
      <c r="BB1359" s="259"/>
      <c r="BC1359" s="190"/>
      <c r="BD1359" s="177"/>
      <c r="BE1359" s="177"/>
      <c r="BF1359" s="178"/>
    </row>
    <row r="1360" spans="1:58" ht="15" customHeight="1">
      <c r="A1360" s="95">
        <v>1359</v>
      </c>
      <c r="B1360" s="211" t="s">
        <v>337</v>
      </c>
      <c r="C1360" s="191" t="s">
        <v>434</v>
      </c>
      <c r="D1360" s="171" t="s">
        <v>252</v>
      </c>
      <c r="E1360" s="463" t="s">
        <v>3377</v>
      </c>
      <c r="F1360" s="171">
        <v>2009</v>
      </c>
      <c r="G1360" s="171">
        <v>315</v>
      </c>
      <c r="H1360" s="172" t="s">
        <v>1738</v>
      </c>
      <c r="I1360" s="173" t="s">
        <v>1743</v>
      </c>
      <c r="J1360" s="217">
        <v>0.55000000000000004</v>
      </c>
      <c r="K1360" s="213">
        <v>4.2411764705882353</v>
      </c>
      <c r="L1360" s="91"/>
      <c r="M1360" s="171">
        <v>340</v>
      </c>
      <c r="N1360" s="171"/>
      <c r="O1360" s="172" t="s">
        <v>12</v>
      </c>
      <c r="P1360" s="92"/>
      <c r="Q1360" s="173" t="s">
        <v>12</v>
      </c>
      <c r="R1360" s="89"/>
      <c r="S1360" s="89"/>
      <c r="T1360" s="89"/>
      <c r="U1360" s="89"/>
      <c r="V1360" s="102">
        <v>0</v>
      </c>
      <c r="W1360" s="120">
        <v>0</v>
      </c>
      <c r="X1360" s="120">
        <v>0</v>
      </c>
      <c r="Y1360" s="120">
        <v>0</v>
      </c>
      <c r="Z1360" s="120">
        <v>0</v>
      </c>
      <c r="AA1360" s="17">
        <v>0</v>
      </c>
      <c r="AB1360" s="33">
        <f>296/340*100</f>
        <v>87.058823529411768</v>
      </c>
      <c r="AC1360" s="17">
        <v>0</v>
      </c>
      <c r="AD1360" s="17">
        <v>1</v>
      </c>
      <c r="AE1360" s="17">
        <v>0</v>
      </c>
      <c r="AF1360" s="17">
        <v>2.2000000000000002</v>
      </c>
      <c r="AG1360" s="17">
        <v>0</v>
      </c>
      <c r="AH1360" s="17">
        <v>0</v>
      </c>
      <c r="AI1360" s="17">
        <v>0</v>
      </c>
      <c r="AJ1360" s="17">
        <v>0</v>
      </c>
      <c r="AK1360" s="17">
        <v>0</v>
      </c>
      <c r="AL1360" s="32">
        <v>0</v>
      </c>
      <c r="AM1360" s="172">
        <v>41</v>
      </c>
      <c r="AN1360" s="89"/>
      <c r="AO1360" s="280"/>
      <c r="AP1360" s="784"/>
      <c r="AQ1360" s="17" t="s">
        <v>1759</v>
      </c>
      <c r="AR1360" s="174" t="s">
        <v>2628</v>
      </c>
      <c r="AS1360" s="171"/>
      <c r="AT1360" s="171">
        <v>300</v>
      </c>
      <c r="AU1360" s="174">
        <f t="shared" ref="AU1360:AU1368" si="101">(((75^2)*300)-((35^2)*300))/(2*(75*300+35*300+(75^2)-(35^2)))</f>
        <v>17.647058823529413</v>
      </c>
      <c r="AV1360" s="172">
        <v>99</v>
      </c>
      <c r="AW1360" s="171">
        <v>1</v>
      </c>
      <c r="AX1360" s="89"/>
      <c r="AY1360" s="171">
        <v>20</v>
      </c>
      <c r="AZ1360" s="89"/>
      <c r="BA1360" s="175">
        <v>65</v>
      </c>
      <c r="BB1360" s="259"/>
      <c r="BC1360" s="190"/>
      <c r="BD1360" s="177"/>
      <c r="BE1360" s="177"/>
      <c r="BF1360" s="178" t="s">
        <v>1760</v>
      </c>
    </row>
    <row r="1361" spans="1:58" ht="15" customHeight="1">
      <c r="A1361" s="95">
        <v>1360</v>
      </c>
      <c r="B1361" s="211" t="s">
        <v>338</v>
      </c>
      <c r="C1361" s="191" t="s">
        <v>434</v>
      </c>
      <c r="D1361" s="171" t="s">
        <v>252</v>
      </c>
      <c r="E1361" s="463" t="s">
        <v>3377</v>
      </c>
      <c r="F1361" s="171">
        <v>2009</v>
      </c>
      <c r="G1361" s="171">
        <v>315</v>
      </c>
      <c r="H1361" s="172" t="s">
        <v>1738</v>
      </c>
      <c r="I1361" s="173" t="s">
        <v>1743</v>
      </c>
      <c r="J1361" s="217">
        <v>0.55000000000000004</v>
      </c>
      <c r="K1361" s="213">
        <v>5.158823529411765</v>
      </c>
      <c r="L1361" s="91"/>
      <c r="M1361" s="171">
        <v>340</v>
      </c>
      <c r="N1361" s="171"/>
      <c r="O1361" s="172" t="s">
        <v>12</v>
      </c>
      <c r="P1361" s="92"/>
      <c r="Q1361" s="173" t="s">
        <v>12</v>
      </c>
      <c r="R1361" s="89"/>
      <c r="S1361" s="89"/>
      <c r="T1361" s="89"/>
      <c r="U1361" s="89"/>
      <c r="V1361" s="102">
        <v>0</v>
      </c>
      <c r="W1361" s="120">
        <v>0</v>
      </c>
      <c r="X1361" s="120">
        <v>0</v>
      </c>
      <c r="Y1361" s="120">
        <v>0</v>
      </c>
      <c r="Z1361" s="120">
        <v>0</v>
      </c>
      <c r="AA1361" s="33">
        <f>89/340*100</f>
        <v>26.176470588235297</v>
      </c>
      <c r="AB1361" s="17">
        <v>0</v>
      </c>
      <c r="AC1361" s="17">
        <v>0</v>
      </c>
      <c r="AD1361" s="17">
        <v>1</v>
      </c>
      <c r="AE1361" s="17">
        <v>0</v>
      </c>
      <c r="AF1361" s="17">
        <v>2.2000000000000002</v>
      </c>
      <c r="AG1361" s="17">
        <v>0</v>
      </c>
      <c r="AH1361" s="17">
        <v>0</v>
      </c>
      <c r="AI1361" s="17">
        <v>0</v>
      </c>
      <c r="AJ1361" s="17">
        <v>0</v>
      </c>
      <c r="AK1361" s="17">
        <v>0</v>
      </c>
      <c r="AL1361" s="32">
        <v>0</v>
      </c>
      <c r="AM1361" s="172">
        <v>47</v>
      </c>
      <c r="AN1361" s="89"/>
      <c r="AO1361" s="280"/>
      <c r="AP1361" s="784"/>
      <c r="AQ1361" s="17" t="s">
        <v>1759</v>
      </c>
      <c r="AR1361" s="174" t="s">
        <v>2628</v>
      </c>
      <c r="AS1361" s="171"/>
      <c r="AT1361" s="171">
        <v>300</v>
      </c>
      <c r="AU1361" s="174">
        <f t="shared" si="101"/>
        <v>17.647058823529413</v>
      </c>
      <c r="AV1361" s="172">
        <v>99</v>
      </c>
      <c r="AW1361" s="171">
        <v>1</v>
      </c>
      <c r="AX1361" s="89"/>
      <c r="AY1361" s="171">
        <v>20</v>
      </c>
      <c r="AZ1361" s="89"/>
      <c r="BA1361" s="175">
        <v>65</v>
      </c>
      <c r="BB1361" s="259"/>
      <c r="BC1361" s="190"/>
      <c r="BD1361" s="177"/>
      <c r="BE1361" s="177"/>
      <c r="BF1361" s="178"/>
    </row>
    <row r="1362" spans="1:58" ht="15" customHeight="1">
      <c r="A1362" s="95">
        <v>1361</v>
      </c>
      <c r="B1362" s="211" t="s">
        <v>339</v>
      </c>
      <c r="C1362" s="191" t="s">
        <v>434</v>
      </c>
      <c r="D1362" s="171" t="s">
        <v>252</v>
      </c>
      <c r="E1362" s="463" t="s">
        <v>3377</v>
      </c>
      <c r="F1362" s="171">
        <v>2009</v>
      </c>
      <c r="G1362" s="171">
        <v>315</v>
      </c>
      <c r="H1362" s="172" t="s">
        <v>1738</v>
      </c>
      <c r="I1362" s="173" t="s">
        <v>1743</v>
      </c>
      <c r="J1362" s="217">
        <v>0.55145118733509235</v>
      </c>
      <c r="K1362" s="213">
        <v>4.4538258575197887</v>
      </c>
      <c r="L1362" s="91"/>
      <c r="M1362" s="171">
        <v>379</v>
      </c>
      <c r="N1362" s="171"/>
      <c r="O1362" s="172" t="s">
        <v>12</v>
      </c>
      <c r="P1362" s="92"/>
      <c r="Q1362" s="173" t="s">
        <v>12</v>
      </c>
      <c r="R1362" s="89"/>
      <c r="S1362" s="89"/>
      <c r="T1362" s="89"/>
      <c r="U1362" s="89"/>
      <c r="V1362" s="102">
        <v>0</v>
      </c>
      <c r="W1362" s="120">
        <v>0</v>
      </c>
      <c r="X1362" s="120">
        <v>0</v>
      </c>
      <c r="Y1362" s="120">
        <v>0</v>
      </c>
      <c r="Z1362" s="120">
        <v>0</v>
      </c>
      <c r="AA1362" s="33">
        <f>63/379*100</f>
        <v>16.622691292875992</v>
      </c>
      <c r="AB1362" s="17">
        <v>0</v>
      </c>
      <c r="AC1362" s="17">
        <v>0</v>
      </c>
      <c r="AD1362" s="17">
        <v>1</v>
      </c>
      <c r="AE1362" s="17">
        <v>0</v>
      </c>
      <c r="AF1362" s="17">
        <v>2.2000000000000002</v>
      </c>
      <c r="AG1362" s="17">
        <v>0</v>
      </c>
      <c r="AH1362" s="17">
        <v>0</v>
      </c>
      <c r="AI1362" s="17">
        <v>0</v>
      </c>
      <c r="AJ1362" s="17">
        <v>0</v>
      </c>
      <c r="AK1362" s="17">
        <v>0</v>
      </c>
      <c r="AL1362" s="32">
        <v>0</v>
      </c>
      <c r="AM1362" s="172">
        <v>43</v>
      </c>
      <c r="AN1362" s="89"/>
      <c r="AO1362" s="280"/>
      <c r="AP1362" s="784"/>
      <c r="AQ1362" s="17" t="s">
        <v>1759</v>
      </c>
      <c r="AR1362" s="174" t="s">
        <v>2628</v>
      </c>
      <c r="AS1362" s="171"/>
      <c r="AT1362" s="171">
        <v>300</v>
      </c>
      <c r="AU1362" s="174">
        <f t="shared" si="101"/>
        <v>17.647058823529413</v>
      </c>
      <c r="AV1362" s="172">
        <v>99</v>
      </c>
      <c r="AW1362" s="171">
        <v>1</v>
      </c>
      <c r="AX1362" s="89"/>
      <c r="AY1362" s="171">
        <v>20</v>
      </c>
      <c r="AZ1362" s="89"/>
      <c r="BA1362" s="175">
        <v>65</v>
      </c>
      <c r="BB1362" s="259"/>
      <c r="BC1362" s="190"/>
      <c r="BD1362" s="177"/>
      <c r="BE1362" s="177"/>
      <c r="BF1362" s="178"/>
    </row>
    <row r="1363" spans="1:58" ht="15" customHeight="1">
      <c r="A1363" s="95">
        <v>1362</v>
      </c>
      <c r="B1363" s="211" t="s">
        <v>340</v>
      </c>
      <c r="C1363" s="191" t="s">
        <v>434</v>
      </c>
      <c r="D1363" s="171" t="s">
        <v>252</v>
      </c>
      <c r="E1363" s="463" t="s">
        <v>3377</v>
      </c>
      <c r="F1363" s="171">
        <v>2009</v>
      </c>
      <c r="G1363" s="171">
        <v>315</v>
      </c>
      <c r="H1363" s="172" t="s">
        <v>1738</v>
      </c>
      <c r="I1363" s="173" t="s">
        <v>1743</v>
      </c>
      <c r="J1363" s="217">
        <v>0.55000000000000004</v>
      </c>
      <c r="K1363" s="213">
        <v>4.5647058823529409</v>
      </c>
      <c r="L1363" s="91"/>
      <c r="M1363" s="171">
        <v>340</v>
      </c>
      <c r="N1363" s="171"/>
      <c r="O1363" s="172" t="s">
        <v>12</v>
      </c>
      <c r="P1363" s="92"/>
      <c r="Q1363" s="173" t="s">
        <v>12</v>
      </c>
      <c r="R1363" s="89"/>
      <c r="S1363" s="89"/>
      <c r="T1363" s="89"/>
      <c r="U1363" s="89"/>
      <c r="V1363" s="102">
        <v>0</v>
      </c>
      <c r="W1363" s="120">
        <v>0</v>
      </c>
      <c r="X1363" s="120">
        <v>0</v>
      </c>
      <c r="Y1363" s="120">
        <v>0</v>
      </c>
      <c r="Z1363" s="120">
        <v>0</v>
      </c>
      <c r="AA1363" s="33">
        <f>296/340*100</f>
        <v>87.058823529411768</v>
      </c>
      <c r="AB1363" s="17">
        <v>0</v>
      </c>
      <c r="AC1363" s="17">
        <v>0</v>
      </c>
      <c r="AD1363" s="17">
        <v>0</v>
      </c>
      <c r="AE1363" s="17">
        <v>0</v>
      </c>
      <c r="AF1363" s="17">
        <v>1.8</v>
      </c>
      <c r="AG1363" s="17">
        <v>0</v>
      </c>
      <c r="AH1363" s="17">
        <v>0</v>
      </c>
      <c r="AI1363" s="17">
        <v>0</v>
      </c>
      <c r="AJ1363" s="17">
        <v>0</v>
      </c>
      <c r="AK1363" s="17">
        <v>0</v>
      </c>
      <c r="AL1363" s="32">
        <v>0</v>
      </c>
      <c r="AM1363" s="172">
        <v>50</v>
      </c>
      <c r="AN1363" s="89"/>
      <c r="AO1363" s="280"/>
      <c r="AP1363" s="784"/>
      <c r="AQ1363" s="17" t="s">
        <v>1759</v>
      </c>
      <c r="AR1363" s="174" t="s">
        <v>2628</v>
      </c>
      <c r="AS1363" s="171"/>
      <c r="AT1363" s="171">
        <v>300</v>
      </c>
      <c r="AU1363" s="174">
        <f t="shared" si="101"/>
        <v>17.647058823529413</v>
      </c>
      <c r="AV1363" s="172">
        <v>99</v>
      </c>
      <c r="AW1363" s="171">
        <v>1</v>
      </c>
      <c r="AX1363" s="89"/>
      <c r="AY1363" s="171">
        <v>20</v>
      </c>
      <c r="AZ1363" s="89"/>
      <c r="BA1363" s="175">
        <v>65</v>
      </c>
      <c r="BB1363" s="259"/>
      <c r="BC1363" s="190"/>
      <c r="BD1363" s="177"/>
      <c r="BE1363" s="177"/>
      <c r="BF1363" s="178"/>
    </row>
    <row r="1364" spans="1:58" ht="15" customHeight="1">
      <c r="A1364" s="95">
        <v>1363</v>
      </c>
      <c r="B1364" s="211" t="s">
        <v>341</v>
      </c>
      <c r="C1364" s="191" t="s">
        <v>434</v>
      </c>
      <c r="D1364" s="171" t="s">
        <v>252</v>
      </c>
      <c r="E1364" s="463" t="s">
        <v>3377</v>
      </c>
      <c r="F1364" s="171">
        <v>2009</v>
      </c>
      <c r="G1364" s="171">
        <v>315</v>
      </c>
      <c r="H1364" s="172" t="s">
        <v>1738</v>
      </c>
      <c r="I1364" s="173" t="s">
        <v>1743</v>
      </c>
      <c r="J1364" s="217">
        <v>0.55000000000000004</v>
      </c>
      <c r="K1364" s="213">
        <v>4.5647058823529409</v>
      </c>
      <c r="L1364" s="91"/>
      <c r="M1364" s="171">
        <v>340</v>
      </c>
      <c r="N1364" s="171"/>
      <c r="O1364" s="172" t="s">
        <v>12</v>
      </c>
      <c r="P1364" s="92"/>
      <c r="Q1364" s="173" t="s">
        <v>12</v>
      </c>
      <c r="R1364" s="89"/>
      <c r="S1364" s="89"/>
      <c r="T1364" s="89"/>
      <c r="U1364" s="89"/>
      <c r="V1364" s="102">
        <v>0</v>
      </c>
      <c r="W1364" s="120">
        <v>0</v>
      </c>
      <c r="X1364" s="120">
        <v>0</v>
      </c>
      <c r="Y1364" s="120">
        <v>0</v>
      </c>
      <c r="Z1364" s="120">
        <v>0</v>
      </c>
      <c r="AA1364" s="33">
        <f>296/340*100</f>
        <v>87.058823529411768</v>
      </c>
      <c r="AB1364" s="17">
        <v>0</v>
      </c>
      <c r="AC1364" s="17">
        <v>0</v>
      </c>
      <c r="AD1364" s="17">
        <v>1</v>
      </c>
      <c r="AE1364" s="17">
        <v>0</v>
      </c>
      <c r="AF1364" s="17">
        <v>2.2000000000000002</v>
      </c>
      <c r="AG1364" s="17">
        <v>0</v>
      </c>
      <c r="AH1364" s="17">
        <v>0</v>
      </c>
      <c r="AI1364" s="17">
        <v>0</v>
      </c>
      <c r="AJ1364" s="17">
        <v>0</v>
      </c>
      <c r="AK1364" s="17">
        <v>0</v>
      </c>
      <c r="AL1364" s="32">
        <v>0</v>
      </c>
      <c r="AM1364" s="172">
        <v>57</v>
      </c>
      <c r="AN1364" s="89"/>
      <c r="AO1364" s="280"/>
      <c r="AP1364" s="784"/>
      <c r="AQ1364" s="17" t="s">
        <v>1759</v>
      </c>
      <c r="AR1364" s="174" t="s">
        <v>2628</v>
      </c>
      <c r="AS1364" s="171"/>
      <c r="AT1364" s="171">
        <v>300</v>
      </c>
      <c r="AU1364" s="174">
        <f t="shared" si="101"/>
        <v>17.647058823529413</v>
      </c>
      <c r="AV1364" s="172">
        <v>99</v>
      </c>
      <c r="AW1364" s="171">
        <v>1</v>
      </c>
      <c r="AX1364" s="89"/>
      <c r="AY1364" s="171">
        <v>20</v>
      </c>
      <c r="AZ1364" s="89"/>
      <c r="BA1364" s="175">
        <v>65</v>
      </c>
      <c r="BB1364" s="259"/>
      <c r="BC1364" s="190"/>
      <c r="BD1364" s="177"/>
      <c r="BE1364" s="177"/>
      <c r="BF1364" s="178" t="s">
        <v>1761</v>
      </c>
    </row>
    <row r="1365" spans="1:58" ht="15" customHeight="1">
      <c r="A1365" s="95">
        <v>1364</v>
      </c>
      <c r="B1365" s="211" t="s">
        <v>342</v>
      </c>
      <c r="C1365" s="191" t="s">
        <v>434</v>
      </c>
      <c r="D1365" s="171" t="s">
        <v>252</v>
      </c>
      <c r="E1365" s="463" t="s">
        <v>3377</v>
      </c>
      <c r="F1365" s="171">
        <v>2009</v>
      </c>
      <c r="G1365" s="171">
        <v>315</v>
      </c>
      <c r="H1365" s="172" t="s">
        <v>1738</v>
      </c>
      <c r="I1365" s="173" t="s">
        <v>1743</v>
      </c>
      <c r="J1365" s="217">
        <v>0.55000000000000004</v>
      </c>
      <c r="K1365" s="213">
        <v>4.5647058823529409</v>
      </c>
      <c r="L1365" s="91"/>
      <c r="M1365" s="171">
        <v>340</v>
      </c>
      <c r="N1365" s="171"/>
      <c r="O1365" s="172" t="s">
        <v>12</v>
      </c>
      <c r="P1365" s="92"/>
      <c r="Q1365" s="173" t="s">
        <v>12</v>
      </c>
      <c r="R1365" s="89"/>
      <c r="S1365" s="89"/>
      <c r="T1365" s="89"/>
      <c r="U1365" s="89"/>
      <c r="V1365" s="102">
        <v>0</v>
      </c>
      <c r="W1365" s="120">
        <v>0</v>
      </c>
      <c r="X1365" s="120">
        <v>0</v>
      </c>
      <c r="Y1365" s="120">
        <v>0</v>
      </c>
      <c r="Z1365" s="120">
        <v>0</v>
      </c>
      <c r="AA1365" s="33">
        <f>296/340*100</f>
        <v>87.058823529411768</v>
      </c>
      <c r="AB1365" s="17">
        <v>0</v>
      </c>
      <c r="AC1365" s="17">
        <v>0</v>
      </c>
      <c r="AD1365" s="17">
        <v>1.5</v>
      </c>
      <c r="AE1365" s="17">
        <v>0</v>
      </c>
      <c r="AF1365" s="17">
        <v>2.2000000000000002</v>
      </c>
      <c r="AG1365" s="17">
        <v>0</v>
      </c>
      <c r="AH1365" s="17">
        <v>0</v>
      </c>
      <c r="AI1365" s="17">
        <v>0</v>
      </c>
      <c r="AJ1365" s="17">
        <v>0</v>
      </c>
      <c r="AK1365" s="17">
        <v>0</v>
      </c>
      <c r="AL1365" s="32">
        <v>0</v>
      </c>
      <c r="AM1365" s="172">
        <v>53</v>
      </c>
      <c r="AN1365" s="89"/>
      <c r="AO1365" s="280"/>
      <c r="AP1365" s="784"/>
      <c r="AQ1365" s="17" t="s">
        <v>1759</v>
      </c>
      <c r="AR1365" s="174" t="s">
        <v>2628</v>
      </c>
      <c r="AS1365" s="171"/>
      <c r="AT1365" s="171">
        <v>300</v>
      </c>
      <c r="AU1365" s="174">
        <f t="shared" si="101"/>
        <v>17.647058823529413</v>
      </c>
      <c r="AV1365" s="172">
        <v>99</v>
      </c>
      <c r="AW1365" s="171">
        <v>1</v>
      </c>
      <c r="AX1365" s="89"/>
      <c r="AY1365" s="171">
        <v>20</v>
      </c>
      <c r="AZ1365" s="89"/>
      <c r="BA1365" s="175">
        <v>65</v>
      </c>
      <c r="BB1365" s="259"/>
      <c r="BC1365" s="190"/>
      <c r="BD1365" s="177"/>
      <c r="BE1365" s="177"/>
      <c r="BF1365" s="178"/>
    </row>
    <row r="1366" spans="1:58" ht="15" customHeight="1">
      <c r="A1366" s="95">
        <v>1365</v>
      </c>
      <c r="B1366" s="211" t="s">
        <v>343</v>
      </c>
      <c r="C1366" s="191" t="s">
        <v>434</v>
      </c>
      <c r="D1366" s="171" t="s">
        <v>252</v>
      </c>
      <c r="E1366" s="463" t="s">
        <v>3377</v>
      </c>
      <c r="F1366" s="171">
        <v>2009</v>
      </c>
      <c r="G1366" s="171">
        <v>315</v>
      </c>
      <c r="H1366" s="172" t="s">
        <v>1738</v>
      </c>
      <c r="I1366" s="173" t="s">
        <v>1743</v>
      </c>
      <c r="J1366" s="217">
        <v>0.55000000000000004</v>
      </c>
      <c r="K1366" s="213">
        <v>4.5647058823529409</v>
      </c>
      <c r="L1366" s="91"/>
      <c r="M1366" s="171">
        <v>340</v>
      </c>
      <c r="N1366" s="171"/>
      <c r="O1366" s="172" t="s">
        <v>12</v>
      </c>
      <c r="P1366" s="92"/>
      <c r="Q1366" s="173" t="s">
        <v>12</v>
      </c>
      <c r="R1366" s="89"/>
      <c r="S1366" s="89"/>
      <c r="T1366" s="89"/>
      <c r="U1366" s="89"/>
      <c r="V1366" s="102">
        <v>0</v>
      </c>
      <c r="W1366" s="120">
        <v>0</v>
      </c>
      <c r="X1366" s="120">
        <v>0</v>
      </c>
      <c r="Y1366" s="120">
        <v>0</v>
      </c>
      <c r="Z1366" s="120">
        <v>0</v>
      </c>
      <c r="AA1366" s="33">
        <f>296/340*100</f>
        <v>87.058823529411768</v>
      </c>
      <c r="AB1366" s="17">
        <v>0</v>
      </c>
      <c r="AC1366" s="17">
        <v>0</v>
      </c>
      <c r="AD1366" s="17">
        <v>0.2</v>
      </c>
      <c r="AE1366" s="17">
        <v>0</v>
      </c>
      <c r="AF1366" s="17">
        <v>2.2000000000000002</v>
      </c>
      <c r="AG1366" s="17">
        <v>0</v>
      </c>
      <c r="AH1366" s="17">
        <v>0</v>
      </c>
      <c r="AI1366" s="17">
        <v>0</v>
      </c>
      <c r="AJ1366" s="17">
        <v>0</v>
      </c>
      <c r="AK1366" s="17">
        <v>0</v>
      </c>
      <c r="AL1366" s="32">
        <v>0</v>
      </c>
      <c r="AM1366" s="172">
        <v>54</v>
      </c>
      <c r="AN1366" s="89"/>
      <c r="AO1366" s="280"/>
      <c r="AP1366" s="784"/>
      <c r="AQ1366" s="17" t="s">
        <v>1759</v>
      </c>
      <c r="AR1366" s="174" t="s">
        <v>2628</v>
      </c>
      <c r="AS1366" s="171"/>
      <c r="AT1366" s="171">
        <v>300</v>
      </c>
      <c r="AU1366" s="174">
        <f t="shared" si="101"/>
        <v>17.647058823529413</v>
      </c>
      <c r="AV1366" s="172">
        <v>99</v>
      </c>
      <c r="AW1366" s="171">
        <v>1</v>
      </c>
      <c r="AX1366" s="89"/>
      <c r="AY1366" s="171">
        <v>20</v>
      </c>
      <c r="AZ1366" s="89"/>
      <c r="BA1366" s="175">
        <v>65</v>
      </c>
      <c r="BB1366" s="259"/>
      <c r="BC1366" s="190"/>
      <c r="BD1366" s="177"/>
      <c r="BE1366" s="177"/>
      <c r="BF1366" s="178"/>
    </row>
    <row r="1367" spans="1:58" ht="15" customHeight="1">
      <c r="A1367" s="95">
        <v>1366</v>
      </c>
      <c r="B1367" s="211" t="s">
        <v>1999</v>
      </c>
      <c r="C1367" s="191" t="s">
        <v>434</v>
      </c>
      <c r="D1367" s="171" t="s">
        <v>252</v>
      </c>
      <c r="E1367" s="463" t="s">
        <v>3377</v>
      </c>
      <c r="F1367" s="171">
        <v>2009</v>
      </c>
      <c r="G1367" s="171">
        <v>315</v>
      </c>
      <c r="H1367" s="172" t="s">
        <v>1738</v>
      </c>
      <c r="I1367" s="173" t="s">
        <v>1743</v>
      </c>
      <c r="J1367" s="217">
        <v>0.55000000000000004</v>
      </c>
      <c r="K1367" s="213">
        <v>4.5647058823529409</v>
      </c>
      <c r="L1367" s="91"/>
      <c r="M1367" s="171">
        <v>340</v>
      </c>
      <c r="N1367" s="171"/>
      <c r="O1367" s="172" t="s">
        <v>12</v>
      </c>
      <c r="P1367" s="92"/>
      <c r="Q1367" s="173" t="s">
        <v>12</v>
      </c>
      <c r="R1367" s="89"/>
      <c r="S1367" s="89"/>
      <c r="T1367" s="89"/>
      <c r="U1367" s="89"/>
      <c r="V1367" s="102">
        <v>0</v>
      </c>
      <c r="W1367" s="120">
        <v>0</v>
      </c>
      <c r="X1367" s="120">
        <v>0</v>
      </c>
      <c r="Y1367" s="120">
        <v>0</v>
      </c>
      <c r="Z1367" s="120">
        <v>0</v>
      </c>
      <c r="AA1367" s="33">
        <f>296/340*100</f>
        <v>87.058823529411768</v>
      </c>
      <c r="AB1367" s="17">
        <v>0</v>
      </c>
      <c r="AC1367" s="17">
        <v>0</v>
      </c>
      <c r="AD1367" s="17">
        <v>5</v>
      </c>
      <c r="AE1367" s="17">
        <v>0</v>
      </c>
      <c r="AF1367" s="17">
        <v>2.2000000000000002</v>
      </c>
      <c r="AG1367" s="17">
        <v>0</v>
      </c>
      <c r="AH1367" s="17">
        <v>0</v>
      </c>
      <c r="AI1367" s="17">
        <v>0</v>
      </c>
      <c r="AJ1367" s="17">
        <v>0</v>
      </c>
      <c r="AK1367" s="17">
        <v>0</v>
      </c>
      <c r="AL1367" s="32">
        <v>0</v>
      </c>
      <c r="AM1367" s="172">
        <v>47</v>
      </c>
      <c r="AN1367" s="89"/>
      <c r="AO1367" s="280"/>
      <c r="AP1367" s="784"/>
      <c r="AQ1367" s="17" t="s">
        <v>1759</v>
      </c>
      <c r="AR1367" s="174" t="s">
        <v>2628</v>
      </c>
      <c r="AS1367" s="171"/>
      <c r="AT1367" s="171">
        <v>300</v>
      </c>
      <c r="AU1367" s="174">
        <f t="shared" si="101"/>
        <v>17.647058823529413</v>
      </c>
      <c r="AV1367" s="172">
        <v>99</v>
      </c>
      <c r="AW1367" s="171">
        <v>1</v>
      </c>
      <c r="AX1367" s="89"/>
      <c r="AY1367" s="171">
        <v>20</v>
      </c>
      <c r="AZ1367" s="89"/>
      <c r="BA1367" s="175">
        <v>65</v>
      </c>
      <c r="BB1367" s="259"/>
      <c r="BC1367" s="190"/>
      <c r="BD1367" s="177"/>
      <c r="BE1367" s="177"/>
      <c r="BF1367" s="178"/>
    </row>
    <row r="1368" spans="1:58" ht="15" customHeight="1">
      <c r="A1368" s="95">
        <v>1367</v>
      </c>
      <c r="B1368" s="211" t="s">
        <v>2000</v>
      </c>
      <c r="C1368" s="191" t="s">
        <v>434</v>
      </c>
      <c r="D1368" s="171" t="s">
        <v>252</v>
      </c>
      <c r="E1368" s="463" t="s">
        <v>3377</v>
      </c>
      <c r="F1368" s="171">
        <v>2009</v>
      </c>
      <c r="G1368" s="171">
        <v>315</v>
      </c>
      <c r="H1368" s="172" t="s">
        <v>1738</v>
      </c>
      <c r="I1368" s="173" t="s">
        <v>1743</v>
      </c>
      <c r="J1368" s="217">
        <v>0.5</v>
      </c>
      <c r="K1368" s="213">
        <v>6.1343750000000004</v>
      </c>
      <c r="L1368" s="91"/>
      <c r="M1368" s="171">
        <v>320</v>
      </c>
      <c r="N1368" s="171"/>
      <c r="O1368" s="172" t="s">
        <v>12</v>
      </c>
      <c r="P1368" s="92"/>
      <c r="Q1368" s="173" t="s">
        <v>12</v>
      </c>
      <c r="R1368" s="89"/>
      <c r="S1368" s="89"/>
      <c r="T1368" s="89"/>
      <c r="U1368" s="89"/>
      <c r="V1368" s="102">
        <v>0</v>
      </c>
      <c r="W1368" s="120">
        <v>0</v>
      </c>
      <c r="X1368" s="120">
        <v>0</v>
      </c>
      <c r="Y1368" s="120">
        <v>0</v>
      </c>
      <c r="Z1368" s="120">
        <v>0</v>
      </c>
      <c r="AA1368" s="33">
        <f>296/320*100</f>
        <v>92.5</v>
      </c>
      <c r="AB1368" s="17">
        <v>0</v>
      </c>
      <c r="AC1368" s="17">
        <v>0</v>
      </c>
      <c r="AD1368" s="17">
        <v>0</v>
      </c>
      <c r="AE1368" s="17">
        <v>0</v>
      </c>
      <c r="AF1368" s="17">
        <v>0.3</v>
      </c>
      <c r="AG1368" s="17">
        <v>0</v>
      </c>
      <c r="AH1368" s="17">
        <v>0</v>
      </c>
      <c r="AI1368" s="17">
        <v>0</v>
      </c>
      <c r="AJ1368" s="17">
        <v>0</v>
      </c>
      <c r="AK1368" s="17">
        <v>0</v>
      </c>
      <c r="AL1368" s="32">
        <v>0</v>
      </c>
      <c r="AM1368" s="172">
        <v>39</v>
      </c>
      <c r="AN1368" s="89"/>
      <c r="AO1368" s="280"/>
      <c r="AP1368" s="784"/>
      <c r="AQ1368" s="17" t="s">
        <v>1759</v>
      </c>
      <c r="AR1368" s="174" t="s">
        <v>2628</v>
      </c>
      <c r="AS1368" s="171"/>
      <c r="AT1368" s="171">
        <v>300</v>
      </c>
      <c r="AU1368" s="174">
        <f t="shared" si="101"/>
        <v>17.647058823529413</v>
      </c>
      <c r="AV1368" s="172">
        <v>99</v>
      </c>
      <c r="AW1368" s="171">
        <v>1</v>
      </c>
      <c r="AX1368" s="89"/>
      <c r="AY1368" s="171">
        <v>20</v>
      </c>
      <c r="AZ1368" s="89"/>
      <c r="BA1368" s="175">
        <v>65</v>
      </c>
      <c r="BB1368" s="259"/>
      <c r="BC1368" s="190"/>
      <c r="BD1368" s="177"/>
      <c r="BE1368" s="177"/>
      <c r="BF1368" s="178"/>
    </row>
    <row r="1369" spans="1:58" ht="15" customHeight="1">
      <c r="A1369" s="95">
        <v>1368</v>
      </c>
      <c r="B1369" s="211" t="s">
        <v>344</v>
      </c>
      <c r="C1369" s="191" t="s">
        <v>435</v>
      </c>
      <c r="D1369" s="171" t="s">
        <v>269</v>
      </c>
      <c r="E1369" s="463" t="s">
        <v>3377</v>
      </c>
      <c r="F1369" s="171">
        <v>2005</v>
      </c>
      <c r="G1369" s="171">
        <v>317</v>
      </c>
      <c r="H1369" s="172" t="s">
        <v>1738</v>
      </c>
      <c r="I1369" s="173" t="s">
        <v>1743</v>
      </c>
      <c r="J1369" s="217">
        <v>0.39999999999999997</v>
      </c>
      <c r="K1369" s="213">
        <v>3.2255707762557075</v>
      </c>
      <c r="L1369" s="91"/>
      <c r="M1369" s="171">
        <v>438</v>
      </c>
      <c r="N1369" s="171"/>
      <c r="O1369" s="172" t="s">
        <v>12</v>
      </c>
      <c r="P1369" s="92"/>
      <c r="Q1369" s="173" t="s">
        <v>12</v>
      </c>
      <c r="R1369" s="65" t="s">
        <v>2727</v>
      </c>
      <c r="S1369" s="89"/>
      <c r="T1369" s="214" t="s">
        <v>2306</v>
      </c>
      <c r="U1369" s="214" t="s">
        <v>2312</v>
      </c>
      <c r="V1369" s="102">
        <v>0</v>
      </c>
      <c r="W1369" s="120">
        <v>0</v>
      </c>
      <c r="X1369" s="120">
        <v>0</v>
      </c>
      <c r="Y1369" s="120">
        <v>0</v>
      </c>
      <c r="Z1369" s="120">
        <v>0</v>
      </c>
      <c r="AA1369" s="17">
        <v>0</v>
      </c>
      <c r="AB1369" s="33">
        <f>303.3/438*100</f>
        <v>69.246575342465761</v>
      </c>
      <c r="AC1369" s="17">
        <v>0</v>
      </c>
      <c r="AD1369" s="17">
        <v>0</v>
      </c>
      <c r="AE1369" s="17">
        <v>0</v>
      </c>
      <c r="AF1369" s="33">
        <v>1.5616438356164382</v>
      </c>
      <c r="AG1369" s="17">
        <v>0</v>
      </c>
      <c r="AH1369" s="17">
        <v>0</v>
      </c>
      <c r="AI1369" s="17">
        <v>0</v>
      </c>
      <c r="AJ1369" s="17">
        <v>0</v>
      </c>
      <c r="AK1369" s="17">
        <v>0</v>
      </c>
      <c r="AL1369" s="32">
        <v>0</v>
      </c>
      <c r="AM1369" s="172">
        <v>69.444444444444443</v>
      </c>
      <c r="AN1369" s="89"/>
      <c r="AO1369" s="280"/>
      <c r="AP1369" s="784"/>
      <c r="AQ1369" s="17" t="s">
        <v>270</v>
      </c>
      <c r="AR1369" s="174">
        <v>100</v>
      </c>
      <c r="AS1369" s="171"/>
      <c r="AT1369" s="171">
        <v>500</v>
      </c>
      <c r="AU1369" s="255">
        <f>IF(ISBLANK(AS1369),(AR1369*AT1369)/((4*AT1369)+(2*AR1369)),AR1369*AS1369*AT1369/2/(AR1369*AS1369+AR1369*AT1369+AS1369*AT1369))</f>
        <v>22.727272727272727</v>
      </c>
      <c r="AV1369" s="172">
        <v>99</v>
      </c>
      <c r="AW1369" s="171">
        <v>1</v>
      </c>
      <c r="AX1369" s="89"/>
      <c r="AY1369" s="171">
        <v>20</v>
      </c>
      <c r="AZ1369" s="89"/>
      <c r="BA1369" s="175">
        <v>50</v>
      </c>
      <c r="BB1369" s="259"/>
      <c r="BC1369" s="190"/>
      <c r="BD1369" s="177"/>
      <c r="BE1369" s="177"/>
      <c r="BF1369" s="178" t="s">
        <v>1764</v>
      </c>
    </row>
    <row r="1370" spans="1:58" ht="15" customHeight="1">
      <c r="A1370" s="95">
        <v>1369</v>
      </c>
      <c r="B1370" s="211" t="s">
        <v>345</v>
      </c>
      <c r="C1370" s="191" t="s">
        <v>435</v>
      </c>
      <c r="D1370" s="171" t="s">
        <v>269</v>
      </c>
      <c r="E1370" s="463" t="s">
        <v>3377</v>
      </c>
      <c r="F1370" s="171">
        <v>2005</v>
      </c>
      <c r="G1370" s="171">
        <v>317</v>
      </c>
      <c r="H1370" s="172" t="s">
        <v>1738</v>
      </c>
      <c r="I1370" s="173" t="s">
        <v>1743</v>
      </c>
      <c r="J1370" s="217">
        <v>0.4</v>
      </c>
      <c r="K1370" s="213">
        <v>3.5709832134292565</v>
      </c>
      <c r="L1370" s="91"/>
      <c r="M1370" s="171">
        <v>417</v>
      </c>
      <c r="N1370" s="171"/>
      <c r="O1370" s="172" t="s">
        <v>12</v>
      </c>
      <c r="P1370" s="92"/>
      <c r="Q1370" s="173" t="s">
        <v>12</v>
      </c>
      <c r="R1370" s="65" t="s">
        <v>2727</v>
      </c>
      <c r="S1370" s="89"/>
      <c r="T1370" s="214" t="s">
        <v>2306</v>
      </c>
      <c r="U1370" s="214" t="s">
        <v>2312</v>
      </c>
      <c r="V1370" s="102">
        <v>0</v>
      </c>
      <c r="W1370" s="120">
        <v>0</v>
      </c>
      <c r="X1370" s="120">
        <v>0</v>
      </c>
      <c r="Y1370" s="120">
        <v>0</v>
      </c>
      <c r="Z1370" s="120">
        <v>0</v>
      </c>
      <c r="AA1370" s="33">
        <f>239.2/417*100</f>
        <v>57.362110311750591</v>
      </c>
      <c r="AB1370" s="17">
        <v>0</v>
      </c>
      <c r="AC1370" s="17">
        <v>0</v>
      </c>
      <c r="AD1370" s="17">
        <v>0</v>
      </c>
      <c r="AE1370" s="17">
        <v>0</v>
      </c>
      <c r="AF1370" s="33">
        <v>1.6019184652278178</v>
      </c>
      <c r="AG1370" s="17">
        <v>0</v>
      </c>
      <c r="AH1370" s="17">
        <v>0</v>
      </c>
      <c r="AI1370" s="17">
        <v>0</v>
      </c>
      <c r="AJ1370" s="17">
        <v>0</v>
      </c>
      <c r="AK1370" s="17">
        <v>0</v>
      </c>
      <c r="AL1370" s="32">
        <v>0</v>
      </c>
      <c r="AM1370" s="172">
        <v>67.567567567567565</v>
      </c>
      <c r="AN1370" s="89"/>
      <c r="AO1370" s="280"/>
      <c r="AP1370" s="784"/>
      <c r="AQ1370" s="17" t="s">
        <v>270</v>
      </c>
      <c r="AR1370" s="174">
        <v>100</v>
      </c>
      <c r="AS1370" s="171"/>
      <c r="AT1370" s="171">
        <v>500</v>
      </c>
      <c r="AU1370" s="255">
        <f>IF(ISBLANK(AS1370),(AR1370*AT1370)/((4*AT1370)+(2*AR1370)),AR1370*AS1370*AT1370/2/(AR1370*AS1370+AR1370*AT1370+AS1370*AT1370))</f>
        <v>22.727272727272727</v>
      </c>
      <c r="AV1370" s="172">
        <v>99</v>
      </c>
      <c r="AW1370" s="171">
        <v>1</v>
      </c>
      <c r="AX1370" s="89"/>
      <c r="AY1370" s="171">
        <v>20</v>
      </c>
      <c r="AZ1370" s="89"/>
      <c r="BA1370" s="175">
        <v>50</v>
      </c>
      <c r="BB1370" s="259"/>
      <c r="BC1370" s="190"/>
      <c r="BD1370" s="177"/>
      <c r="BE1370" s="177"/>
      <c r="BF1370" s="178"/>
    </row>
    <row r="1371" spans="1:58" ht="15" customHeight="1">
      <c r="A1371" s="95">
        <v>1370</v>
      </c>
      <c r="B1371" s="211" t="s">
        <v>346</v>
      </c>
      <c r="C1371" s="191" t="s">
        <v>435</v>
      </c>
      <c r="D1371" s="171" t="s">
        <v>269</v>
      </c>
      <c r="E1371" s="463" t="s">
        <v>3377</v>
      </c>
      <c r="F1371" s="171">
        <v>2005</v>
      </c>
      <c r="G1371" s="171">
        <v>317</v>
      </c>
      <c r="H1371" s="172" t="s">
        <v>1738</v>
      </c>
      <c r="I1371" s="173" t="s">
        <v>1743</v>
      </c>
      <c r="J1371" s="217">
        <v>0.39990678163598226</v>
      </c>
      <c r="K1371" s="213">
        <v>3.6571894663248656</v>
      </c>
      <c r="L1371" s="91"/>
      <c r="M1371" s="171">
        <v>429.1</v>
      </c>
      <c r="N1371" s="171"/>
      <c r="O1371" s="172" t="s">
        <v>12</v>
      </c>
      <c r="P1371" s="92"/>
      <c r="Q1371" s="173" t="s">
        <v>12</v>
      </c>
      <c r="R1371" s="65" t="s">
        <v>2727</v>
      </c>
      <c r="S1371" s="89"/>
      <c r="T1371" s="214" t="s">
        <v>2306</v>
      </c>
      <c r="U1371" s="214" t="s">
        <v>2312</v>
      </c>
      <c r="V1371" s="102">
        <v>0</v>
      </c>
      <c r="W1371" s="120">
        <v>0</v>
      </c>
      <c r="X1371" s="120">
        <v>0</v>
      </c>
      <c r="Y1371" s="120">
        <v>0</v>
      </c>
      <c r="Z1371" s="120">
        <v>0</v>
      </c>
      <c r="AA1371" s="33">
        <f>178.1/429.1*100</f>
        <v>41.505476578886032</v>
      </c>
      <c r="AB1371" s="17">
        <v>0</v>
      </c>
      <c r="AC1371" s="17">
        <v>0</v>
      </c>
      <c r="AD1371" s="17">
        <v>0</v>
      </c>
      <c r="AE1371" s="17">
        <v>0</v>
      </c>
      <c r="AF1371" s="33">
        <v>1.5381030062922394</v>
      </c>
      <c r="AG1371" s="17">
        <v>0</v>
      </c>
      <c r="AH1371" s="17">
        <v>0</v>
      </c>
      <c r="AI1371" s="17">
        <v>0</v>
      </c>
      <c r="AJ1371" s="17">
        <v>0</v>
      </c>
      <c r="AK1371" s="17">
        <v>0</v>
      </c>
      <c r="AL1371" s="32">
        <v>0</v>
      </c>
      <c r="AM1371" s="172">
        <v>67.567567567567565</v>
      </c>
      <c r="AN1371" s="89"/>
      <c r="AO1371" s="280"/>
      <c r="AP1371" s="784"/>
      <c r="AQ1371" s="17" t="s">
        <v>270</v>
      </c>
      <c r="AR1371" s="174">
        <v>100</v>
      </c>
      <c r="AS1371" s="171"/>
      <c r="AT1371" s="171">
        <v>500</v>
      </c>
      <c r="AU1371" s="255">
        <f>IF(ISBLANK(AS1371),(AR1371*AT1371)/((4*AT1371)+(2*AR1371)),AR1371*AS1371*AT1371/2/(AR1371*AS1371+AR1371*AT1371+AS1371*AT1371))</f>
        <v>22.727272727272727</v>
      </c>
      <c r="AV1371" s="172">
        <v>99</v>
      </c>
      <c r="AW1371" s="171">
        <v>1</v>
      </c>
      <c r="AX1371" s="89"/>
      <c r="AY1371" s="171">
        <v>20</v>
      </c>
      <c r="AZ1371" s="89"/>
      <c r="BA1371" s="175">
        <v>50</v>
      </c>
      <c r="BB1371" s="259"/>
      <c r="BC1371" s="190"/>
      <c r="BD1371" s="177"/>
      <c r="BE1371" s="177"/>
      <c r="BF1371" s="178"/>
    </row>
    <row r="1372" spans="1:58" ht="15" customHeight="1">
      <c r="A1372" s="95">
        <v>1371</v>
      </c>
      <c r="B1372" s="211" t="s">
        <v>347</v>
      </c>
      <c r="C1372" s="191" t="s">
        <v>436</v>
      </c>
      <c r="D1372" s="171" t="s">
        <v>272</v>
      </c>
      <c r="E1372" s="463" t="s">
        <v>3377</v>
      </c>
      <c r="F1372" s="171">
        <v>2004</v>
      </c>
      <c r="G1372" s="171">
        <v>319</v>
      </c>
      <c r="H1372" s="172" t="s">
        <v>1738</v>
      </c>
      <c r="I1372" s="173" t="s">
        <v>1743</v>
      </c>
      <c r="J1372" s="217">
        <v>0.35</v>
      </c>
      <c r="K1372" s="213">
        <v>3.7</v>
      </c>
      <c r="L1372" s="91"/>
      <c r="M1372" s="171">
        <v>500</v>
      </c>
      <c r="N1372" s="171"/>
      <c r="O1372" s="172" t="s">
        <v>12</v>
      </c>
      <c r="P1372" s="511"/>
      <c r="Q1372" s="173" t="s">
        <v>273</v>
      </c>
      <c r="R1372" s="65" t="s">
        <v>2727</v>
      </c>
      <c r="S1372" s="89"/>
      <c r="T1372" s="89"/>
      <c r="U1372" s="214" t="s">
        <v>2312</v>
      </c>
      <c r="V1372" s="102">
        <v>0</v>
      </c>
      <c r="W1372" s="120">
        <v>0</v>
      </c>
      <c r="X1372" s="120">
        <v>0</v>
      </c>
      <c r="Y1372" s="120">
        <v>0</v>
      </c>
      <c r="Z1372" s="120">
        <v>0</v>
      </c>
      <c r="AA1372" s="17">
        <v>0</v>
      </c>
      <c r="AB1372" s="17">
        <v>0</v>
      </c>
      <c r="AC1372" s="17">
        <v>0</v>
      </c>
      <c r="AD1372" s="17">
        <v>0</v>
      </c>
      <c r="AE1372" s="17">
        <v>0</v>
      </c>
      <c r="AF1372" s="33">
        <v>1.6340000000000001</v>
      </c>
      <c r="AG1372" s="17">
        <v>0</v>
      </c>
      <c r="AH1372" s="17">
        <v>0</v>
      </c>
      <c r="AI1372" s="17">
        <v>0</v>
      </c>
      <c r="AJ1372" s="17">
        <v>0</v>
      </c>
      <c r="AK1372" s="17">
        <v>0</v>
      </c>
      <c r="AL1372" s="32">
        <v>0</v>
      </c>
      <c r="AM1372" s="172">
        <v>58</v>
      </c>
      <c r="AN1372" s="89"/>
      <c r="AO1372" s="171">
        <v>46</v>
      </c>
      <c r="AP1372" s="783">
        <v>34400</v>
      </c>
      <c r="AQ1372" s="17" t="s">
        <v>274</v>
      </c>
      <c r="AR1372" s="174">
        <v>40</v>
      </c>
      <c r="AS1372" s="171"/>
      <c r="AT1372" s="171">
        <v>270</v>
      </c>
      <c r="AU1372" s="255">
        <f t="shared" ref="AU1372:AU1391" si="102">(AR1372*AT1372)/((2*AT1372)+(2*AR1372))</f>
        <v>17.419354838709676</v>
      </c>
      <c r="AV1372" s="172">
        <v>100</v>
      </c>
      <c r="AW1372" s="171">
        <v>7</v>
      </c>
      <c r="AX1372" s="89"/>
      <c r="AY1372" s="171">
        <v>20</v>
      </c>
      <c r="AZ1372" s="89"/>
      <c r="BA1372" s="175">
        <v>50</v>
      </c>
      <c r="BB1372" s="259"/>
      <c r="BC1372" s="190"/>
      <c r="BD1372" s="177"/>
      <c r="BE1372" s="177"/>
      <c r="BF1372" s="178"/>
    </row>
    <row r="1373" spans="1:58">
      <c r="A1373" s="95">
        <v>1372</v>
      </c>
      <c r="B1373" s="211" t="s">
        <v>348</v>
      </c>
      <c r="C1373" s="191" t="s">
        <v>436</v>
      </c>
      <c r="D1373" s="171" t="s">
        <v>272</v>
      </c>
      <c r="E1373" s="463" t="s">
        <v>3377</v>
      </c>
      <c r="F1373" s="171">
        <v>2004</v>
      </c>
      <c r="G1373" s="171">
        <v>319</v>
      </c>
      <c r="H1373" s="172" t="s">
        <v>1738</v>
      </c>
      <c r="I1373" s="173" t="s">
        <v>1739</v>
      </c>
      <c r="J1373" s="217">
        <v>0.35</v>
      </c>
      <c r="K1373" s="213">
        <v>3.7</v>
      </c>
      <c r="L1373" s="91"/>
      <c r="M1373" s="171">
        <v>500</v>
      </c>
      <c r="N1373" s="171"/>
      <c r="O1373" s="172" t="s">
        <v>12</v>
      </c>
      <c r="P1373" s="511"/>
      <c r="Q1373" s="173" t="s">
        <v>273</v>
      </c>
      <c r="R1373" s="65" t="s">
        <v>2727</v>
      </c>
      <c r="S1373" s="89"/>
      <c r="T1373" s="89"/>
      <c r="U1373" s="214" t="s">
        <v>2312</v>
      </c>
      <c r="V1373" s="102">
        <v>0</v>
      </c>
      <c r="W1373" s="120">
        <v>0</v>
      </c>
      <c r="X1373" s="120">
        <v>0</v>
      </c>
      <c r="Y1373" s="120">
        <v>0</v>
      </c>
      <c r="Z1373" s="120">
        <v>0</v>
      </c>
      <c r="AA1373" s="17">
        <v>0</v>
      </c>
      <c r="AB1373" s="17">
        <v>0</v>
      </c>
      <c r="AC1373" s="17">
        <v>0</v>
      </c>
      <c r="AD1373" s="17">
        <v>0</v>
      </c>
      <c r="AE1373" s="17">
        <v>0</v>
      </c>
      <c r="AF1373" s="33">
        <v>1.6340000000000001</v>
      </c>
      <c r="AG1373" s="17">
        <v>0</v>
      </c>
      <c r="AH1373" s="17">
        <v>0</v>
      </c>
      <c r="AI1373" s="17">
        <v>0</v>
      </c>
      <c r="AJ1373" s="17">
        <v>0</v>
      </c>
      <c r="AK1373" s="17">
        <v>0</v>
      </c>
      <c r="AL1373" s="32">
        <v>0</v>
      </c>
      <c r="AM1373" s="172">
        <v>58</v>
      </c>
      <c r="AN1373" s="89"/>
      <c r="AO1373" s="171">
        <v>46</v>
      </c>
      <c r="AP1373" s="783">
        <v>34400</v>
      </c>
      <c r="AQ1373" s="17" t="s">
        <v>274</v>
      </c>
      <c r="AR1373" s="174">
        <v>40</v>
      </c>
      <c r="AS1373" s="171"/>
      <c r="AT1373" s="171">
        <v>270</v>
      </c>
      <c r="AU1373" s="255">
        <f t="shared" si="102"/>
        <v>17.419354838709676</v>
      </c>
      <c r="AV1373" s="172">
        <v>100</v>
      </c>
      <c r="AW1373" s="171">
        <v>7</v>
      </c>
      <c r="AX1373" s="89"/>
      <c r="AY1373" s="171">
        <v>20</v>
      </c>
      <c r="AZ1373" s="89"/>
      <c r="BA1373" s="175">
        <v>99</v>
      </c>
      <c r="BB1373" s="259"/>
      <c r="BC1373" s="190"/>
      <c r="BD1373" s="177"/>
      <c r="BE1373" s="177"/>
      <c r="BF1373" s="178"/>
    </row>
    <row r="1374" spans="1:58" ht="15" customHeight="1">
      <c r="A1374" s="95">
        <v>1373</v>
      </c>
      <c r="B1374" s="211" t="s">
        <v>349</v>
      </c>
      <c r="C1374" s="191" t="s">
        <v>436</v>
      </c>
      <c r="D1374" s="171" t="s">
        <v>272</v>
      </c>
      <c r="E1374" s="463" t="s">
        <v>3377</v>
      </c>
      <c r="F1374" s="171">
        <v>2004</v>
      </c>
      <c r="G1374" s="171">
        <v>319</v>
      </c>
      <c r="H1374" s="172" t="s">
        <v>1738</v>
      </c>
      <c r="I1374" s="173" t="s">
        <v>1743</v>
      </c>
      <c r="J1374" s="217">
        <v>0.37234042553191488</v>
      </c>
      <c r="K1374" s="213">
        <v>3.9361702127659575</v>
      </c>
      <c r="L1374" s="91"/>
      <c r="M1374" s="171">
        <v>470</v>
      </c>
      <c r="N1374" s="171"/>
      <c r="O1374" s="172" t="s">
        <v>12</v>
      </c>
      <c r="P1374" s="511"/>
      <c r="Q1374" s="173" t="s">
        <v>273</v>
      </c>
      <c r="R1374" s="65" t="s">
        <v>2727</v>
      </c>
      <c r="S1374" s="89"/>
      <c r="T1374" s="89"/>
      <c r="U1374" s="214" t="s">
        <v>2312</v>
      </c>
      <c r="V1374" s="103">
        <f>30/470*100</f>
        <v>6.3829787234042552</v>
      </c>
      <c r="W1374" s="120">
        <v>0</v>
      </c>
      <c r="X1374" s="120">
        <v>0</v>
      </c>
      <c r="Y1374" s="120">
        <v>0</v>
      </c>
      <c r="Z1374" s="120">
        <v>0</v>
      </c>
      <c r="AA1374" s="17">
        <v>0</v>
      </c>
      <c r="AB1374" s="17">
        <v>0</v>
      </c>
      <c r="AC1374" s="17">
        <v>0</v>
      </c>
      <c r="AD1374" s="17">
        <v>0</v>
      </c>
      <c r="AE1374" s="17">
        <v>0</v>
      </c>
      <c r="AF1374" s="33">
        <v>2.0808510638297872</v>
      </c>
      <c r="AG1374" s="17">
        <v>0</v>
      </c>
      <c r="AH1374" s="17">
        <v>0</v>
      </c>
      <c r="AI1374" s="17">
        <v>0</v>
      </c>
      <c r="AJ1374" s="17">
        <v>0</v>
      </c>
      <c r="AK1374" s="17">
        <v>0</v>
      </c>
      <c r="AL1374" s="32">
        <v>0</v>
      </c>
      <c r="AM1374" s="172">
        <v>65</v>
      </c>
      <c r="AN1374" s="89"/>
      <c r="AO1374" s="171">
        <v>50.5</v>
      </c>
      <c r="AP1374" s="783">
        <v>35500</v>
      </c>
      <c r="AQ1374" s="17" t="s">
        <v>274</v>
      </c>
      <c r="AR1374" s="174">
        <v>40</v>
      </c>
      <c r="AS1374" s="171"/>
      <c r="AT1374" s="171">
        <v>270</v>
      </c>
      <c r="AU1374" s="255">
        <f t="shared" si="102"/>
        <v>17.419354838709676</v>
      </c>
      <c r="AV1374" s="172">
        <v>100</v>
      </c>
      <c r="AW1374" s="171">
        <v>7</v>
      </c>
      <c r="AX1374" s="89"/>
      <c r="AY1374" s="171">
        <v>20</v>
      </c>
      <c r="AZ1374" s="89"/>
      <c r="BA1374" s="175">
        <v>50</v>
      </c>
      <c r="BB1374" s="259"/>
      <c r="BC1374" s="190"/>
      <c r="BD1374" s="177"/>
      <c r="BE1374" s="177"/>
      <c r="BF1374" s="178"/>
    </row>
    <row r="1375" spans="1:58">
      <c r="A1375" s="95">
        <v>1374</v>
      </c>
      <c r="B1375" s="211" t="s">
        <v>350</v>
      </c>
      <c r="C1375" s="191" t="s">
        <v>436</v>
      </c>
      <c r="D1375" s="171" t="s">
        <v>272</v>
      </c>
      <c r="E1375" s="463" t="s">
        <v>3377</v>
      </c>
      <c r="F1375" s="171">
        <v>2004</v>
      </c>
      <c r="G1375" s="171">
        <v>319</v>
      </c>
      <c r="H1375" s="172" t="s">
        <v>1738</v>
      </c>
      <c r="I1375" s="173" t="s">
        <v>1739</v>
      </c>
      <c r="J1375" s="217">
        <v>0.37234042553191488</v>
      </c>
      <c r="K1375" s="213">
        <v>3.9361702127659575</v>
      </c>
      <c r="L1375" s="91"/>
      <c r="M1375" s="171">
        <v>470</v>
      </c>
      <c r="N1375" s="171"/>
      <c r="O1375" s="172" t="s">
        <v>12</v>
      </c>
      <c r="P1375" s="511"/>
      <c r="Q1375" s="173" t="s">
        <v>273</v>
      </c>
      <c r="R1375" s="65" t="s">
        <v>2727</v>
      </c>
      <c r="S1375" s="89"/>
      <c r="T1375" s="89"/>
      <c r="U1375" s="214" t="s">
        <v>2312</v>
      </c>
      <c r="V1375" s="103">
        <f>30/470*100</f>
        <v>6.3829787234042552</v>
      </c>
      <c r="W1375" s="120">
        <v>0</v>
      </c>
      <c r="X1375" s="120">
        <v>0</v>
      </c>
      <c r="Y1375" s="120">
        <v>0</v>
      </c>
      <c r="Z1375" s="120">
        <v>0</v>
      </c>
      <c r="AA1375" s="17">
        <v>0</v>
      </c>
      <c r="AB1375" s="17">
        <v>0</v>
      </c>
      <c r="AC1375" s="17">
        <v>0</v>
      </c>
      <c r="AD1375" s="17">
        <v>0</v>
      </c>
      <c r="AE1375" s="17">
        <v>0</v>
      </c>
      <c r="AF1375" s="33">
        <v>2.0808510638297872</v>
      </c>
      <c r="AG1375" s="17">
        <v>0</v>
      </c>
      <c r="AH1375" s="17">
        <v>0</v>
      </c>
      <c r="AI1375" s="17">
        <v>0</v>
      </c>
      <c r="AJ1375" s="17">
        <v>0</v>
      </c>
      <c r="AK1375" s="17">
        <v>0</v>
      </c>
      <c r="AL1375" s="32">
        <v>0</v>
      </c>
      <c r="AM1375" s="172">
        <v>65</v>
      </c>
      <c r="AN1375" s="89"/>
      <c r="AO1375" s="171">
        <v>50.5</v>
      </c>
      <c r="AP1375" s="783">
        <v>35500</v>
      </c>
      <c r="AQ1375" s="17" t="s">
        <v>274</v>
      </c>
      <c r="AR1375" s="174">
        <v>40</v>
      </c>
      <c r="AS1375" s="171"/>
      <c r="AT1375" s="171">
        <v>270</v>
      </c>
      <c r="AU1375" s="255">
        <f t="shared" si="102"/>
        <v>17.419354838709676</v>
      </c>
      <c r="AV1375" s="172">
        <v>100</v>
      </c>
      <c r="AW1375" s="171">
        <v>7</v>
      </c>
      <c r="AX1375" s="89"/>
      <c r="AY1375" s="171">
        <v>20</v>
      </c>
      <c r="AZ1375" s="89"/>
      <c r="BA1375" s="175">
        <v>99</v>
      </c>
      <c r="BB1375" s="259"/>
      <c r="BC1375" s="190"/>
      <c r="BD1375" s="177"/>
      <c r="BE1375" s="177"/>
      <c r="BF1375" s="178"/>
    </row>
    <row r="1376" spans="1:58" ht="15" customHeight="1">
      <c r="A1376" s="95">
        <v>1375</v>
      </c>
      <c r="B1376" s="211" t="s">
        <v>351</v>
      </c>
      <c r="C1376" s="191" t="s">
        <v>436</v>
      </c>
      <c r="D1376" s="171" t="s">
        <v>272</v>
      </c>
      <c r="E1376" s="463" t="s">
        <v>3377</v>
      </c>
      <c r="F1376" s="171">
        <v>2004</v>
      </c>
      <c r="G1376" s="171">
        <v>319</v>
      </c>
      <c r="H1376" s="172" t="s">
        <v>1738</v>
      </c>
      <c r="I1376" s="173" t="s">
        <v>1743</v>
      </c>
      <c r="J1376" s="217">
        <v>0.3888888888888889</v>
      </c>
      <c r="K1376" s="213">
        <v>4.1111111111111107</v>
      </c>
      <c r="L1376" s="91"/>
      <c r="M1376" s="171">
        <v>450</v>
      </c>
      <c r="N1376" s="171"/>
      <c r="O1376" s="172" t="s">
        <v>12</v>
      </c>
      <c r="P1376" s="511"/>
      <c r="Q1376" s="173" t="s">
        <v>273</v>
      </c>
      <c r="R1376" s="65" t="s">
        <v>2727</v>
      </c>
      <c r="S1376" s="89"/>
      <c r="T1376" s="89"/>
      <c r="U1376" s="214" t="s">
        <v>2312</v>
      </c>
      <c r="V1376" s="103">
        <f>50/450*100</f>
        <v>11.111111111111111</v>
      </c>
      <c r="W1376" s="120">
        <v>0</v>
      </c>
      <c r="X1376" s="120">
        <v>0</v>
      </c>
      <c r="Y1376" s="120">
        <v>0</v>
      </c>
      <c r="Z1376" s="120">
        <v>0</v>
      </c>
      <c r="AA1376" s="17">
        <v>0</v>
      </c>
      <c r="AB1376" s="17">
        <v>0</v>
      </c>
      <c r="AC1376" s="17">
        <v>0</v>
      </c>
      <c r="AD1376" s="17">
        <v>0</v>
      </c>
      <c r="AE1376" s="17">
        <v>0</v>
      </c>
      <c r="AF1376" s="33">
        <v>2.6022222222222222</v>
      </c>
      <c r="AG1376" s="17">
        <v>0</v>
      </c>
      <c r="AH1376" s="17">
        <v>0</v>
      </c>
      <c r="AI1376" s="17">
        <v>0</v>
      </c>
      <c r="AJ1376" s="17">
        <v>0</v>
      </c>
      <c r="AK1376" s="17">
        <v>0</v>
      </c>
      <c r="AL1376" s="32">
        <v>0</v>
      </c>
      <c r="AM1376" s="172">
        <v>67.5</v>
      </c>
      <c r="AN1376" s="89"/>
      <c r="AO1376" s="171">
        <v>52</v>
      </c>
      <c r="AP1376" s="783">
        <v>37000</v>
      </c>
      <c r="AQ1376" s="17" t="s">
        <v>274</v>
      </c>
      <c r="AR1376" s="174">
        <v>40</v>
      </c>
      <c r="AS1376" s="171"/>
      <c r="AT1376" s="171">
        <v>270</v>
      </c>
      <c r="AU1376" s="255">
        <f t="shared" si="102"/>
        <v>17.419354838709676</v>
      </c>
      <c r="AV1376" s="172">
        <v>100</v>
      </c>
      <c r="AW1376" s="171">
        <v>7</v>
      </c>
      <c r="AX1376" s="89"/>
      <c r="AY1376" s="171">
        <v>20</v>
      </c>
      <c r="AZ1376" s="89"/>
      <c r="BA1376" s="175">
        <v>50</v>
      </c>
      <c r="BB1376" s="259"/>
      <c r="BC1376" s="190"/>
      <c r="BD1376" s="177"/>
      <c r="BE1376" s="177"/>
      <c r="BF1376" s="178"/>
    </row>
    <row r="1377" spans="1:58">
      <c r="A1377" s="95">
        <v>1376</v>
      </c>
      <c r="B1377" s="211" t="s">
        <v>352</v>
      </c>
      <c r="C1377" s="191" t="s">
        <v>436</v>
      </c>
      <c r="D1377" s="171" t="s">
        <v>272</v>
      </c>
      <c r="E1377" s="463" t="s">
        <v>3377</v>
      </c>
      <c r="F1377" s="171">
        <v>2004</v>
      </c>
      <c r="G1377" s="171">
        <v>319</v>
      </c>
      <c r="H1377" s="172" t="s">
        <v>1738</v>
      </c>
      <c r="I1377" s="173" t="s">
        <v>1739</v>
      </c>
      <c r="J1377" s="217">
        <v>0.3888888888888889</v>
      </c>
      <c r="K1377" s="213">
        <v>4.1111111111111107</v>
      </c>
      <c r="L1377" s="91"/>
      <c r="M1377" s="171">
        <v>450</v>
      </c>
      <c r="N1377" s="171"/>
      <c r="O1377" s="172" t="s">
        <v>12</v>
      </c>
      <c r="P1377" s="511"/>
      <c r="Q1377" s="173" t="s">
        <v>273</v>
      </c>
      <c r="R1377" s="65" t="s">
        <v>2727</v>
      </c>
      <c r="S1377" s="89"/>
      <c r="T1377" s="89"/>
      <c r="U1377" s="214" t="s">
        <v>2312</v>
      </c>
      <c r="V1377" s="103">
        <f>50/450*100</f>
        <v>11.111111111111111</v>
      </c>
      <c r="W1377" s="120">
        <v>0</v>
      </c>
      <c r="X1377" s="120">
        <v>0</v>
      </c>
      <c r="Y1377" s="120">
        <v>0</v>
      </c>
      <c r="Z1377" s="120">
        <v>0</v>
      </c>
      <c r="AA1377" s="17">
        <v>0</v>
      </c>
      <c r="AB1377" s="17">
        <v>0</v>
      </c>
      <c r="AC1377" s="17">
        <v>0</v>
      </c>
      <c r="AD1377" s="17">
        <v>0</v>
      </c>
      <c r="AE1377" s="17">
        <v>0</v>
      </c>
      <c r="AF1377" s="33">
        <v>2.6022222222222222</v>
      </c>
      <c r="AG1377" s="17">
        <v>0</v>
      </c>
      <c r="AH1377" s="17">
        <v>0</v>
      </c>
      <c r="AI1377" s="17">
        <v>0</v>
      </c>
      <c r="AJ1377" s="17">
        <v>0</v>
      </c>
      <c r="AK1377" s="17">
        <v>0</v>
      </c>
      <c r="AL1377" s="32">
        <v>0</v>
      </c>
      <c r="AM1377" s="172">
        <v>67.5</v>
      </c>
      <c r="AN1377" s="89"/>
      <c r="AO1377" s="171">
        <v>52</v>
      </c>
      <c r="AP1377" s="783">
        <v>37000</v>
      </c>
      <c r="AQ1377" s="17" t="s">
        <v>274</v>
      </c>
      <c r="AR1377" s="174">
        <v>40</v>
      </c>
      <c r="AS1377" s="171"/>
      <c r="AT1377" s="171">
        <v>270</v>
      </c>
      <c r="AU1377" s="255">
        <f t="shared" si="102"/>
        <v>17.419354838709676</v>
      </c>
      <c r="AV1377" s="172">
        <v>100</v>
      </c>
      <c r="AW1377" s="171">
        <v>7</v>
      </c>
      <c r="AX1377" s="89"/>
      <c r="AY1377" s="171">
        <v>20</v>
      </c>
      <c r="AZ1377" s="89"/>
      <c r="BA1377" s="175">
        <v>99</v>
      </c>
      <c r="BB1377" s="259"/>
      <c r="BC1377" s="190"/>
      <c r="BD1377" s="177"/>
      <c r="BE1377" s="177"/>
      <c r="BF1377" s="178"/>
    </row>
    <row r="1378" spans="1:58" ht="15" customHeight="1">
      <c r="A1378" s="95">
        <v>1377</v>
      </c>
      <c r="B1378" s="211" t="s">
        <v>353</v>
      </c>
      <c r="C1378" s="191" t="s">
        <v>436</v>
      </c>
      <c r="D1378" s="171" t="s">
        <v>272</v>
      </c>
      <c r="E1378" s="463" t="s">
        <v>3377</v>
      </c>
      <c r="F1378" s="171">
        <v>2004</v>
      </c>
      <c r="G1378" s="171">
        <v>319</v>
      </c>
      <c r="H1378" s="172" t="s">
        <v>1738</v>
      </c>
      <c r="I1378" s="173" t="s">
        <v>1743</v>
      </c>
      <c r="J1378" s="217">
        <v>0.41176470588235292</v>
      </c>
      <c r="K1378" s="213">
        <v>4.3529411764705879</v>
      </c>
      <c r="L1378" s="91"/>
      <c r="M1378" s="171">
        <v>425</v>
      </c>
      <c r="N1378" s="171"/>
      <c r="O1378" s="172" t="s">
        <v>12</v>
      </c>
      <c r="P1378" s="511"/>
      <c r="Q1378" s="173" t="s">
        <v>273</v>
      </c>
      <c r="R1378" s="65" t="s">
        <v>2727</v>
      </c>
      <c r="S1378" s="89"/>
      <c r="T1378" s="89"/>
      <c r="U1378" s="214" t="s">
        <v>2312</v>
      </c>
      <c r="V1378" s="103">
        <f>70/425*100</f>
        <v>16.470588235294116</v>
      </c>
      <c r="W1378" s="120">
        <v>0</v>
      </c>
      <c r="X1378" s="120">
        <v>0</v>
      </c>
      <c r="Y1378" s="120">
        <v>0</v>
      </c>
      <c r="Z1378" s="120">
        <v>0</v>
      </c>
      <c r="AA1378" s="17">
        <v>0</v>
      </c>
      <c r="AB1378" s="17">
        <v>0</v>
      </c>
      <c r="AC1378" s="17">
        <v>0</v>
      </c>
      <c r="AD1378" s="17">
        <v>0</v>
      </c>
      <c r="AE1378" s="17">
        <v>0</v>
      </c>
      <c r="AF1378" s="33">
        <v>3.1388235294117646</v>
      </c>
      <c r="AG1378" s="17">
        <v>0</v>
      </c>
      <c r="AH1378" s="17">
        <v>0</v>
      </c>
      <c r="AI1378" s="17">
        <v>0</v>
      </c>
      <c r="AJ1378" s="17">
        <v>0</v>
      </c>
      <c r="AK1378" s="17">
        <v>0</v>
      </c>
      <c r="AL1378" s="32">
        <v>0</v>
      </c>
      <c r="AM1378" s="172">
        <v>70</v>
      </c>
      <c r="AN1378" s="89"/>
      <c r="AO1378" s="171">
        <v>53</v>
      </c>
      <c r="AP1378" s="783">
        <v>38100</v>
      </c>
      <c r="AQ1378" s="17" t="s">
        <v>274</v>
      </c>
      <c r="AR1378" s="174">
        <v>40</v>
      </c>
      <c r="AS1378" s="171"/>
      <c r="AT1378" s="171">
        <v>270</v>
      </c>
      <c r="AU1378" s="255">
        <f t="shared" si="102"/>
        <v>17.419354838709676</v>
      </c>
      <c r="AV1378" s="172">
        <v>100</v>
      </c>
      <c r="AW1378" s="171">
        <v>7</v>
      </c>
      <c r="AX1378" s="89"/>
      <c r="AY1378" s="171">
        <v>20</v>
      </c>
      <c r="AZ1378" s="89"/>
      <c r="BA1378" s="175">
        <v>50</v>
      </c>
      <c r="BB1378" s="259"/>
      <c r="BC1378" s="190"/>
      <c r="BD1378" s="177"/>
      <c r="BE1378" s="177"/>
      <c r="BF1378" s="178"/>
    </row>
    <row r="1379" spans="1:58">
      <c r="A1379" s="95">
        <v>1378</v>
      </c>
      <c r="B1379" s="211" t="s">
        <v>354</v>
      </c>
      <c r="C1379" s="191" t="s">
        <v>436</v>
      </c>
      <c r="D1379" s="171" t="s">
        <v>272</v>
      </c>
      <c r="E1379" s="463" t="s">
        <v>3377</v>
      </c>
      <c r="F1379" s="171">
        <v>2004</v>
      </c>
      <c r="G1379" s="171">
        <v>319</v>
      </c>
      <c r="H1379" s="172" t="s">
        <v>1738</v>
      </c>
      <c r="I1379" s="173" t="s">
        <v>1739</v>
      </c>
      <c r="J1379" s="217">
        <v>0.41176470588235292</v>
      </c>
      <c r="K1379" s="213">
        <v>4.3529411764705879</v>
      </c>
      <c r="L1379" s="91"/>
      <c r="M1379" s="171">
        <v>425</v>
      </c>
      <c r="N1379" s="171"/>
      <c r="O1379" s="172" t="s">
        <v>12</v>
      </c>
      <c r="P1379" s="511"/>
      <c r="Q1379" s="173" t="s">
        <v>273</v>
      </c>
      <c r="R1379" s="65" t="s">
        <v>2727</v>
      </c>
      <c r="S1379" s="89"/>
      <c r="T1379" s="89"/>
      <c r="U1379" s="214" t="s">
        <v>2312</v>
      </c>
      <c r="V1379" s="103">
        <f>70/425*100</f>
        <v>16.470588235294116</v>
      </c>
      <c r="W1379" s="120">
        <v>0</v>
      </c>
      <c r="X1379" s="120">
        <v>0</v>
      </c>
      <c r="Y1379" s="120">
        <v>0</v>
      </c>
      <c r="Z1379" s="120">
        <v>0</v>
      </c>
      <c r="AA1379" s="17">
        <v>0</v>
      </c>
      <c r="AB1379" s="17">
        <v>0</v>
      </c>
      <c r="AC1379" s="17">
        <v>0</v>
      </c>
      <c r="AD1379" s="17">
        <v>0</v>
      </c>
      <c r="AE1379" s="17">
        <v>0</v>
      </c>
      <c r="AF1379" s="33">
        <v>3.1388235294117646</v>
      </c>
      <c r="AG1379" s="17">
        <v>0</v>
      </c>
      <c r="AH1379" s="17">
        <v>0</v>
      </c>
      <c r="AI1379" s="17">
        <v>0</v>
      </c>
      <c r="AJ1379" s="17">
        <v>0</v>
      </c>
      <c r="AK1379" s="17">
        <v>0</v>
      </c>
      <c r="AL1379" s="32">
        <v>0</v>
      </c>
      <c r="AM1379" s="172">
        <v>70</v>
      </c>
      <c r="AN1379" s="89"/>
      <c r="AO1379" s="171">
        <v>53</v>
      </c>
      <c r="AP1379" s="783">
        <v>38100</v>
      </c>
      <c r="AQ1379" s="17" t="s">
        <v>274</v>
      </c>
      <c r="AR1379" s="174">
        <v>40</v>
      </c>
      <c r="AS1379" s="171"/>
      <c r="AT1379" s="171">
        <v>270</v>
      </c>
      <c r="AU1379" s="255">
        <f t="shared" si="102"/>
        <v>17.419354838709676</v>
      </c>
      <c r="AV1379" s="172">
        <v>100</v>
      </c>
      <c r="AW1379" s="171">
        <v>7</v>
      </c>
      <c r="AX1379" s="89"/>
      <c r="AY1379" s="171">
        <v>20</v>
      </c>
      <c r="AZ1379" s="89"/>
      <c r="BA1379" s="175">
        <v>99</v>
      </c>
      <c r="BB1379" s="259"/>
      <c r="BC1379" s="190"/>
      <c r="BD1379" s="177"/>
      <c r="BE1379" s="177"/>
      <c r="BF1379" s="178"/>
    </row>
    <row r="1380" spans="1:58" ht="15" customHeight="1">
      <c r="A1380" s="95">
        <v>1379</v>
      </c>
      <c r="B1380" s="211" t="s">
        <v>355</v>
      </c>
      <c r="C1380" s="191" t="s">
        <v>436</v>
      </c>
      <c r="D1380" s="171" t="s">
        <v>272</v>
      </c>
      <c r="E1380" s="463" t="s">
        <v>3377</v>
      </c>
      <c r="F1380" s="171">
        <v>2004</v>
      </c>
      <c r="G1380" s="171">
        <v>319</v>
      </c>
      <c r="H1380" s="172" t="s">
        <v>1738</v>
      </c>
      <c r="I1380" s="173" t="s">
        <v>1743</v>
      </c>
      <c r="J1380" s="217">
        <v>0.35</v>
      </c>
      <c r="K1380" s="213">
        <v>3.7</v>
      </c>
      <c r="L1380" s="91"/>
      <c r="M1380" s="171">
        <v>500</v>
      </c>
      <c r="N1380" s="171"/>
      <c r="O1380" s="172" t="s">
        <v>12</v>
      </c>
      <c r="P1380" s="511"/>
      <c r="Q1380" s="173" t="s">
        <v>273</v>
      </c>
      <c r="R1380" s="65" t="s">
        <v>2727</v>
      </c>
      <c r="S1380" s="89"/>
      <c r="T1380" s="89"/>
      <c r="U1380" s="214" t="s">
        <v>2312</v>
      </c>
      <c r="V1380" s="102">
        <v>0</v>
      </c>
      <c r="W1380" s="120">
        <v>0</v>
      </c>
      <c r="X1380" s="120">
        <v>0</v>
      </c>
      <c r="Y1380" s="120">
        <v>0</v>
      </c>
      <c r="Z1380" s="120">
        <v>0</v>
      </c>
      <c r="AA1380" s="17">
        <v>0</v>
      </c>
      <c r="AB1380" s="17">
        <v>0</v>
      </c>
      <c r="AC1380" s="17">
        <v>0</v>
      </c>
      <c r="AD1380" s="17">
        <v>0</v>
      </c>
      <c r="AE1380" s="17">
        <v>0</v>
      </c>
      <c r="AF1380" s="33">
        <v>1.6340000000000001</v>
      </c>
      <c r="AG1380" s="17">
        <v>0</v>
      </c>
      <c r="AH1380" s="17">
        <v>0</v>
      </c>
      <c r="AI1380" s="17">
        <v>0</v>
      </c>
      <c r="AJ1380" s="17">
        <v>0</v>
      </c>
      <c r="AK1380" s="17">
        <v>0</v>
      </c>
      <c r="AL1380" s="32">
        <v>0</v>
      </c>
      <c r="AM1380" s="172">
        <v>58</v>
      </c>
      <c r="AN1380" s="89"/>
      <c r="AO1380" s="171">
        <v>46</v>
      </c>
      <c r="AP1380" s="783">
        <v>34400</v>
      </c>
      <c r="AQ1380" s="17" t="s">
        <v>127</v>
      </c>
      <c r="AR1380" s="174">
        <v>75</v>
      </c>
      <c r="AS1380" s="171"/>
      <c r="AT1380" s="171">
        <v>300</v>
      </c>
      <c r="AU1380" s="255">
        <f t="shared" si="102"/>
        <v>30</v>
      </c>
      <c r="AV1380" s="172">
        <v>100</v>
      </c>
      <c r="AW1380" s="171">
        <v>7</v>
      </c>
      <c r="AX1380" s="89"/>
      <c r="AY1380" s="171">
        <v>20</v>
      </c>
      <c r="AZ1380" s="89"/>
      <c r="BA1380" s="175">
        <v>50</v>
      </c>
      <c r="BB1380" s="259"/>
      <c r="BC1380" s="190"/>
      <c r="BD1380" s="177"/>
      <c r="BE1380" s="177"/>
      <c r="BF1380" s="178"/>
    </row>
    <row r="1381" spans="1:58" ht="15" customHeight="1">
      <c r="A1381" s="95">
        <v>1380</v>
      </c>
      <c r="B1381" s="211" t="s">
        <v>356</v>
      </c>
      <c r="C1381" s="191" t="s">
        <v>436</v>
      </c>
      <c r="D1381" s="171" t="s">
        <v>272</v>
      </c>
      <c r="E1381" s="463" t="s">
        <v>3377</v>
      </c>
      <c r="F1381" s="171">
        <v>2004</v>
      </c>
      <c r="G1381" s="171">
        <v>319</v>
      </c>
      <c r="H1381" s="172" t="s">
        <v>1738</v>
      </c>
      <c r="I1381" s="173" t="s">
        <v>1743</v>
      </c>
      <c r="J1381" s="217">
        <v>0.37234042553191488</v>
      </c>
      <c r="K1381" s="213">
        <v>3.9361702127659575</v>
      </c>
      <c r="L1381" s="91"/>
      <c r="M1381" s="171">
        <v>470</v>
      </c>
      <c r="N1381" s="171"/>
      <c r="O1381" s="172" t="s">
        <v>12</v>
      </c>
      <c r="P1381" s="511"/>
      <c r="Q1381" s="173" t="s">
        <v>273</v>
      </c>
      <c r="R1381" s="65" t="s">
        <v>2727</v>
      </c>
      <c r="S1381" s="89"/>
      <c r="T1381" s="89"/>
      <c r="U1381" s="214" t="s">
        <v>2312</v>
      </c>
      <c r="V1381" s="103">
        <f>30/470*100</f>
        <v>6.3829787234042552</v>
      </c>
      <c r="W1381" s="120">
        <v>0</v>
      </c>
      <c r="X1381" s="120">
        <v>0</v>
      </c>
      <c r="Y1381" s="120">
        <v>0</v>
      </c>
      <c r="Z1381" s="120">
        <v>0</v>
      </c>
      <c r="AA1381" s="17">
        <v>0</v>
      </c>
      <c r="AB1381" s="17">
        <v>0</v>
      </c>
      <c r="AC1381" s="17">
        <v>0</v>
      </c>
      <c r="AD1381" s="17">
        <v>0</v>
      </c>
      <c r="AE1381" s="17">
        <v>0</v>
      </c>
      <c r="AF1381" s="33">
        <v>2.0808510638297872</v>
      </c>
      <c r="AG1381" s="17">
        <v>0</v>
      </c>
      <c r="AH1381" s="17">
        <v>0</v>
      </c>
      <c r="AI1381" s="17">
        <v>0</v>
      </c>
      <c r="AJ1381" s="17">
        <v>0</v>
      </c>
      <c r="AK1381" s="17">
        <v>0</v>
      </c>
      <c r="AL1381" s="32">
        <v>0</v>
      </c>
      <c r="AM1381" s="172">
        <v>65</v>
      </c>
      <c r="AN1381" s="89"/>
      <c r="AO1381" s="171">
        <v>50.5</v>
      </c>
      <c r="AP1381" s="783">
        <v>35500</v>
      </c>
      <c r="AQ1381" s="17" t="s">
        <v>127</v>
      </c>
      <c r="AR1381" s="174">
        <v>75</v>
      </c>
      <c r="AS1381" s="171"/>
      <c r="AT1381" s="171">
        <v>300</v>
      </c>
      <c r="AU1381" s="255">
        <f t="shared" si="102"/>
        <v>30</v>
      </c>
      <c r="AV1381" s="172">
        <v>100</v>
      </c>
      <c r="AW1381" s="171">
        <v>7</v>
      </c>
      <c r="AX1381" s="89"/>
      <c r="AY1381" s="171">
        <v>20</v>
      </c>
      <c r="AZ1381" s="89"/>
      <c r="BA1381" s="175">
        <v>50</v>
      </c>
      <c r="BB1381" s="259"/>
      <c r="BC1381" s="190"/>
      <c r="BD1381" s="177"/>
      <c r="BE1381" s="177"/>
      <c r="BF1381" s="178"/>
    </row>
    <row r="1382" spans="1:58" ht="15" customHeight="1">
      <c r="A1382" s="95">
        <v>1381</v>
      </c>
      <c r="B1382" s="211" t="s">
        <v>357</v>
      </c>
      <c r="C1382" s="191" t="s">
        <v>436</v>
      </c>
      <c r="D1382" s="171" t="s">
        <v>272</v>
      </c>
      <c r="E1382" s="463" t="s">
        <v>3377</v>
      </c>
      <c r="F1382" s="171">
        <v>2004</v>
      </c>
      <c r="G1382" s="171">
        <v>319</v>
      </c>
      <c r="H1382" s="172" t="s">
        <v>1738</v>
      </c>
      <c r="I1382" s="173" t="s">
        <v>1743</v>
      </c>
      <c r="J1382" s="217">
        <v>0.3888888888888889</v>
      </c>
      <c r="K1382" s="213">
        <v>4.1111111111111107</v>
      </c>
      <c r="L1382" s="91"/>
      <c r="M1382" s="171">
        <v>450</v>
      </c>
      <c r="N1382" s="171"/>
      <c r="O1382" s="172" t="s">
        <v>12</v>
      </c>
      <c r="P1382" s="511"/>
      <c r="Q1382" s="173" t="s">
        <v>273</v>
      </c>
      <c r="R1382" s="65" t="s">
        <v>2727</v>
      </c>
      <c r="S1382" s="89"/>
      <c r="T1382" s="89"/>
      <c r="U1382" s="214" t="s">
        <v>2312</v>
      </c>
      <c r="V1382" s="103">
        <f>50/450*100</f>
        <v>11.111111111111111</v>
      </c>
      <c r="W1382" s="120">
        <v>0</v>
      </c>
      <c r="X1382" s="120">
        <v>0</v>
      </c>
      <c r="Y1382" s="120">
        <v>0</v>
      </c>
      <c r="Z1382" s="120">
        <v>0</v>
      </c>
      <c r="AA1382" s="17">
        <v>0</v>
      </c>
      <c r="AB1382" s="17">
        <v>0</v>
      </c>
      <c r="AC1382" s="17">
        <v>0</v>
      </c>
      <c r="AD1382" s="17">
        <v>0</v>
      </c>
      <c r="AE1382" s="17">
        <v>0</v>
      </c>
      <c r="AF1382" s="33">
        <v>2.6022222222222222</v>
      </c>
      <c r="AG1382" s="17">
        <v>0</v>
      </c>
      <c r="AH1382" s="17">
        <v>0</v>
      </c>
      <c r="AI1382" s="17">
        <v>0</v>
      </c>
      <c r="AJ1382" s="17">
        <v>0</v>
      </c>
      <c r="AK1382" s="17">
        <v>0</v>
      </c>
      <c r="AL1382" s="32">
        <v>0</v>
      </c>
      <c r="AM1382" s="172">
        <v>67.5</v>
      </c>
      <c r="AN1382" s="89"/>
      <c r="AO1382" s="171">
        <v>52</v>
      </c>
      <c r="AP1382" s="783">
        <v>37000</v>
      </c>
      <c r="AQ1382" s="17" t="s">
        <v>127</v>
      </c>
      <c r="AR1382" s="174">
        <v>75</v>
      </c>
      <c r="AS1382" s="171"/>
      <c r="AT1382" s="171">
        <v>300</v>
      </c>
      <c r="AU1382" s="255">
        <f t="shared" si="102"/>
        <v>30</v>
      </c>
      <c r="AV1382" s="172">
        <v>100</v>
      </c>
      <c r="AW1382" s="171">
        <v>7</v>
      </c>
      <c r="AX1382" s="89"/>
      <c r="AY1382" s="171">
        <v>20</v>
      </c>
      <c r="AZ1382" s="89"/>
      <c r="BA1382" s="175">
        <v>50</v>
      </c>
      <c r="BB1382" s="259"/>
      <c r="BC1382" s="190"/>
      <c r="BD1382" s="177"/>
      <c r="BE1382" s="177"/>
      <c r="BF1382" s="178"/>
    </row>
    <row r="1383" spans="1:58" ht="15" customHeight="1">
      <c r="A1383" s="95">
        <v>1382</v>
      </c>
      <c r="B1383" s="211" t="s">
        <v>358</v>
      </c>
      <c r="C1383" s="191" t="s">
        <v>436</v>
      </c>
      <c r="D1383" s="171" t="s">
        <v>272</v>
      </c>
      <c r="E1383" s="463" t="s">
        <v>3377</v>
      </c>
      <c r="F1383" s="171">
        <v>2004</v>
      </c>
      <c r="G1383" s="171">
        <v>319</v>
      </c>
      <c r="H1383" s="172" t="s">
        <v>1738</v>
      </c>
      <c r="I1383" s="173" t="s">
        <v>1743</v>
      </c>
      <c r="J1383" s="217">
        <v>0.41176470588235292</v>
      </c>
      <c r="K1383" s="213">
        <v>4.3529411764705879</v>
      </c>
      <c r="L1383" s="91"/>
      <c r="M1383" s="171">
        <v>425</v>
      </c>
      <c r="N1383" s="171"/>
      <c r="O1383" s="172" t="s">
        <v>12</v>
      </c>
      <c r="P1383" s="511"/>
      <c r="Q1383" s="173" t="s">
        <v>273</v>
      </c>
      <c r="R1383" s="65" t="s">
        <v>2727</v>
      </c>
      <c r="S1383" s="89"/>
      <c r="T1383" s="89"/>
      <c r="U1383" s="214" t="s">
        <v>2312</v>
      </c>
      <c r="V1383" s="103">
        <f>70/425*100</f>
        <v>16.470588235294116</v>
      </c>
      <c r="W1383" s="120">
        <v>0</v>
      </c>
      <c r="X1383" s="120">
        <v>0</v>
      </c>
      <c r="Y1383" s="120">
        <v>0</v>
      </c>
      <c r="Z1383" s="120">
        <v>0</v>
      </c>
      <c r="AA1383" s="17">
        <v>0</v>
      </c>
      <c r="AB1383" s="17">
        <v>0</v>
      </c>
      <c r="AC1383" s="17">
        <v>0</v>
      </c>
      <c r="AD1383" s="17">
        <v>0</v>
      </c>
      <c r="AE1383" s="17">
        <v>0</v>
      </c>
      <c r="AF1383" s="33">
        <v>3.1388235294117646</v>
      </c>
      <c r="AG1383" s="17">
        <v>0</v>
      </c>
      <c r="AH1383" s="17">
        <v>0</v>
      </c>
      <c r="AI1383" s="17">
        <v>0</v>
      </c>
      <c r="AJ1383" s="17">
        <v>0</v>
      </c>
      <c r="AK1383" s="17">
        <v>0</v>
      </c>
      <c r="AL1383" s="32">
        <v>0</v>
      </c>
      <c r="AM1383" s="172">
        <v>70</v>
      </c>
      <c r="AN1383" s="89"/>
      <c r="AO1383" s="171">
        <v>53</v>
      </c>
      <c r="AP1383" s="783">
        <v>38100</v>
      </c>
      <c r="AQ1383" s="17" t="s">
        <v>127</v>
      </c>
      <c r="AR1383" s="174">
        <v>75</v>
      </c>
      <c r="AS1383" s="171"/>
      <c r="AT1383" s="171">
        <v>300</v>
      </c>
      <c r="AU1383" s="255">
        <f t="shared" si="102"/>
        <v>30</v>
      </c>
      <c r="AV1383" s="172">
        <v>100</v>
      </c>
      <c r="AW1383" s="171">
        <v>7</v>
      </c>
      <c r="AX1383" s="89"/>
      <c r="AY1383" s="171">
        <v>20</v>
      </c>
      <c r="AZ1383" s="89"/>
      <c r="BA1383" s="175">
        <v>50</v>
      </c>
      <c r="BB1383" s="259"/>
      <c r="BC1383" s="190"/>
      <c r="BD1383" s="177"/>
      <c r="BE1383" s="177"/>
      <c r="BF1383" s="178"/>
    </row>
    <row r="1384" spans="1:58" ht="15" customHeight="1">
      <c r="A1384" s="95">
        <v>1383</v>
      </c>
      <c r="B1384" s="211" t="s">
        <v>359</v>
      </c>
      <c r="C1384" s="191" t="s">
        <v>1816</v>
      </c>
      <c r="D1384" s="171" t="s">
        <v>264</v>
      </c>
      <c r="E1384" s="463" t="s">
        <v>3377</v>
      </c>
      <c r="F1384" s="171">
        <v>2009</v>
      </c>
      <c r="G1384" s="171">
        <v>320</v>
      </c>
      <c r="H1384" s="172" t="s">
        <v>1745</v>
      </c>
      <c r="I1384" s="173" t="s">
        <v>1743</v>
      </c>
      <c r="J1384" s="217">
        <v>0.48</v>
      </c>
      <c r="K1384" s="213">
        <v>4.563380281690141</v>
      </c>
      <c r="L1384" s="91"/>
      <c r="M1384" s="174">
        <v>361.87563710499489</v>
      </c>
      <c r="N1384" s="174"/>
      <c r="O1384" s="172" t="s">
        <v>12</v>
      </c>
      <c r="P1384" s="511"/>
      <c r="Q1384" s="173" t="s">
        <v>12</v>
      </c>
      <c r="R1384" s="65" t="s">
        <v>2308</v>
      </c>
      <c r="S1384" s="89"/>
      <c r="T1384" s="89"/>
      <c r="U1384" s="171" t="s">
        <v>2308</v>
      </c>
      <c r="V1384" s="102">
        <v>0</v>
      </c>
      <c r="W1384" s="120">
        <v>0</v>
      </c>
      <c r="X1384" s="120">
        <v>0</v>
      </c>
      <c r="Y1384" s="120">
        <v>0</v>
      </c>
      <c r="Z1384" s="120">
        <v>0</v>
      </c>
      <c r="AA1384" s="33">
        <f>1.99/0.00981/361.9*100</f>
        <v>56.052564348484715</v>
      </c>
      <c r="AB1384" s="17">
        <v>0</v>
      </c>
      <c r="AC1384" s="17">
        <v>0</v>
      </c>
      <c r="AD1384" s="17" t="s">
        <v>529</v>
      </c>
      <c r="AE1384" s="17">
        <v>0</v>
      </c>
      <c r="AF1384" s="17">
        <v>0</v>
      </c>
      <c r="AG1384" s="17">
        <v>0</v>
      </c>
      <c r="AH1384" s="17">
        <v>0</v>
      </c>
      <c r="AI1384" s="17">
        <v>0</v>
      </c>
      <c r="AJ1384" s="17">
        <v>0</v>
      </c>
      <c r="AK1384" s="17">
        <v>0</v>
      </c>
      <c r="AL1384" s="32">
        <v>0</v>
      </c>
      <c r="AM1384" s="172">
        <v>42.62</v>
      </c>
      <c r="AN1384" s="89"/>
      <c r="AO1384" s="171">
        <v>32.200000000000003</v>
      </c>
      <c r="AP1384" s="88"/>
      <c r="AQ1384" s="17" t="s">
        <v>265</v>
      </c>
      <c r="AR1384" s="174">
        <v>49</v>
      </c>
      <c r="AS1384" s="171"/>
      <c r="AT1384" s="171">
        <v>200</v>
      </c>
      <c r="AU1384" s="255">
        <f t="shared" si="102"/>
        <v>19.678714859437751</v>
      </c>
      <c r="AV1384" s="172">
        <v>60</v>
      </c>
      <c r="AW1384" s="171">
        <v>7</v>
      </c>
      <c r="AX1384" s="171">
        <v>20</v>
      </c>
      <c r="AY1384" s="171">
        <v>20</v>
      </c>
      <c r="AZ1384" s="89"/>
      <c r="BA1384" s="175">
        <v>60</v>
      </c>
      <c r="BB1384" s="189" t="s">
        <v>1817</v>
      </c>
      <c r="BC1384" s="190"/>
      <c r="BD1384" s="177"/>
      <c r="BE1384" s="177"/>
      <c r="BF1384" s="178"/>
    </row>
    <row r="1385" spans="1:58" ht="15" customHeight="1">
      <c r="A1385" s="95">
        <v>1384</v>
      </c>
      <c r="B1385" s="211" t="s">
        <v>360</v>
      </c>
      <c r="C1385" s="191" t="s">
        <v>1816</v>
      </c>
      <c r="D1385" s="171" t="s">
        <v>264</v>
      </c>
      <c r="E1385" s="463" t="s">
        <v>3377</v>
      </c>
      <c r="F1385" s="171">
        <v>2009</v>
      </c>
      <c r="G1385" s="171">
        <v>320</v>
      </c>
      <c r="H1385" s="172" t="s">
        <v>1745</v>
      </c>
      <c r="I1385" s="173" t="s">
        <v>1743</v>
      </c>
      <c r="J1385" s="217">
        <v>0.56999999999999995</v>
      </c>
      <c r="K1385" s="213">
        <v>4.427777777777778</v>
      </c>
      <c r="L1385" s="91"/>
      <c r="M1385" s="174">
        <v>366.97247706422024</v>
      </c>
      <c r="N1385" s="174"/>
      <c r="O1385" s="172" t="s">
        <v>12</v>
      </c>
      <c r="P1385" s="511"/>
      <c r="Q1385" s="173" t="s">
        <v>12</v>
      </c>
      <c r="R1385" s="65" t="s">
        <v>2308</v>
      </c>
      <c r="S1385" s="89"/>
      <c r="T1385" s="89"/>
      <c r="U1385" s="171" t="s">
        <v>2308</v>
      </c>
      <c r="V1385" s="102">
        <v>0</v>
      </c>
      <c r="W1385" s="120">
        <v>0</v>
      </c>
      <c r="X1385" s="120">
        <v>0</v>
      </c>
      <c r="Y1385" s="120">
        <v>0</v>
      </c>
      <c r="Z1385" s="120">
        <v>0</v>
      </c>
      <c r="AA1385" s="33">
        <f>1.73/0.00981/367*100</f>
        <v>48.051951659181121</v>
      </c>
      <c r="AB1385" s="17">
        <v>0</v>
      </c>
      <c r="AC1385" s="17">
        <v>0</v>
      </c>
      <c r="AD1385" s="17" t="s">
        <v>529</v>
      </c>
      <c r="AE1385" s="17">
        <v>0</v>
      </c>
      <c r="AF1385" s="17">
        <v>0</v>
      </c>
      <c r="AG1385" s="17">
        <v>0</v>
      </c>
      <c r="AH1385" s="17">
        <v>0</v>
      </c>
      <c r="AI1385" s="17">
        <v>0</v>
      </c>
      <c r="AJ1385" s="17">
        <v>0</v>
      </c>
      <c r="AK1385" s="17">
        <v>0</v>
      </c>
      <c r="AL1385" s="32">
        <v>0</v>
      </c>
      <c r="AM1385" s="172">
        <v>34.340000000000003</v>
      </c>
      <c r="AN1385" s="89"/>
      <c r="AO1385" s="171">
        <v>26.5</v>
      </c>
      <c r="AP1385" s="88"/>
      <c r="AQ1385" s="17" t="s">
        <v>265</v>
      </c>
      <c r="AR1385" s="174">
        <v>49</v>
      </c>
      <c r="AS1385" s="171"/>
      <c r="AT1385" s="171">
        <v>200</v>
      </c>
      <c r="AU1385" s="255">
        <f t="shared" si="102"/>
        <v>19.678714859437751</v>
      </c>
      <c r="AV1385" s="172">
        <v>60</v>
      </c>
      <c r="AW1385" s="171">
        <v>7</v>
      </c>
      <c r="AX1385" s="171">
        <v>20</v>
      </c>
      <c r="AY1385" s="171">
        <v>20</v>
      </c>
      <c r="AZ1385" s="89"/>
      <c r="BA1385" s="175">
        <v>60</v>
      </c>
      <c r="BB1385" s="189" t="s">
        <v>1817</v>
      </c>
      <c r="BC1385" s="190"/>
      <c r="BD1385" s="177"/>
      <c r="BE1385" s="177"/>
      <c r="BF1385" s="178"/>
    </row>
    <row r="1386" spans="1:58" ht="15" customHeight="1">
      <c r="A1386" s="95">
        <v>1385</v>
      </c>
      <c r="B1386" s="211" t="s">
        <v>361</v>
      </c>
      <c r="C1386" s="191" t="s">
        <v>1816</v>
      </c>
      <c r="D1386" s="171" t="s">
        <v>264</v>
      </c>
      <c r="E1386" s="463" t="s">
        <v>3377</v>
      </c>
      <c r="F1386" s="171">
        <v>2009</v>
      </c>
      <c r="G1386" s="171">
        <v>320</v>
      </c>
      <c r="H1386" s="172" t="s">
        <v>1745</v>
      </c>
      <c r="I1386" s="173" t="s">
        <v>1743</v>
      </c>
      <c r="J1386" s="217">
        <v>0.46</v>
      </c>
      <c r="K1386" s="213">
        <v>3.6045454545454545</v>
      </c>
      <c r="L1386" s="91"/>
      <c r="M1386" s="174">
        <v>448.52191641182475</v>
      </c>
      <c r="N1386" s="174"/>
      <c r="O1386" s="172" t="s">
        <v>12</v>
      </c>
      <c r="P1386" s="511"/>
      <c r="Q1386" s="173" t="s">
        <v>12</v>
      </c>
      <c r="R1386" s="506" t="s">
        <v>2308</v>
      </c>
      <c r="S1386" s="89"/>
      <c r="T1386" s="89"/>
      <c r="U1386" s="171" t="s">
        <v>2308</v>
      </c>
      <c r="V1386" s="102">
        <v>0</v>
      </c>
      <c r="W1386" s="120">
        <v>0</v>
      </c>
      <c r="X1386" s="120">
        <v>0</v>
      </c>
      <c r="Y1386" s="120">
        <v>0</v>
      </c>
      <c r="Z1386" s="120">
        <v>0</v>
      </c>
      <c r="AA1386" s="33">
        <f>1.1/0.00981/448.5*100</f>
        <v>25.001221650603384</v>
      </c>
      <c r="AB1386" s="17">
        <v>0</v>
      </c>
      <c r="AC1386" s="17">
        <v>0</v>
      </c>
      <c r="AD1386" s="17" t="s">
        <v>529</v>
      </c>
      <c r="AE1386" s="17">
        <v>0</v>
      </c>
      <c r="AF1386" s="17">
        <v>0</v>
      </c>
      <c r="AG1386" s="17">
        <v>0</v>
      </c>
      <c r="AH1386" s="17">
        <v>0</v>
      </c>
      <c r="AI1386" s="17">
        <v>0</v>
      </c>
      <c r="AJ1386" s="17">
        <v>0</v>
      </c>
      <c r="AK1386" s="17">
        <v>0</v>
      </c>
      <c r="AL1386" s="32">
        <v>0</v>
      </c>
      <c r="AM1386" s="172">
        <v>40.049999999999997</v>
      </c>
      <c r="AN1386" s="89"/>
      <c r="AO1386" s="171">
        <v>33.5</v>
      </c>
      <c r="AP1386" s="88"/>
      <c r="AQ1386" s="17" t="s">
        <v>265</v>
      </c>
      <c r="AR1386" s="174">
        <v>49</v>
      </c>
      <c r="AS1386" s="171"/>
      <c r="AT1386" s="171">
        <v>200</v>
      </c>
      <c r="AU1386" s="255">
        <f t="shared" si="102"/>
        <v>19.678714859437751</v>
      </c>
      <c r="AV1386" s="172">
        <v>60</v>
      </c>
      <c r="AW1386" s="171">
        <v>7</v>
      </c>
      <c r="AX1386" s="171">
        <v>20</v>
      </c>
      <c r="AY1386" s="171">
        <v>20</v>
      </c>
      <c r="AZ1386" s="89"/>
      <c r="BA1386" s="175">
        <v>60</v>
      </c>
      <c r="BB1386" s="189" t="s">
        <v>1817</v>
      </c>
      <c r="BC1386" s="190"/>
      <c r="BD1386" s="177"/>
      <c r="BE1386" s="177"/>
      <c r="BF1386" s="178"/>
    </row>
    <row r="1387" spans="1:58" ht="15" customHeight="1">
      <c r="A1387" s="95">
        <v>1386</v>
      </c>
      <c r="B1387" s="211" t="s">
        <v>362</v>
      </c>
      <c r="C1387" s="191" t="s">
        <v>1816</v>
      </c>
      <c r="D1387" s="171" t="s">
        <v>264</v>
      </c>
      <c r="E1387" s="463" t="s">
        <v>3377</v>
      </c>
      <c r="F1387" s="171">
        <v>2009</v>
      </c>
      <c r="G1387" s="171">
        <v>320</v>
      </c>
      <c r="H1387" s="172" t="s">
        <v>1745</v>
      </c>
      <c r="I1387" s="173" t="s">
        <v>1743</v>
      </c>
      <c r="J1387" s="217">
        <v>0.47</v>
      </c>
      <c r="K1387" s="213">
        <v>3.6045454545454545</v>
      </c>
      <c r="L1387" s="91"/>
      <c r="M1387" s="174">
        <v>448.52191641182475</v>
      </c>
      <c r="N1387" s="174"/>
      <c r="O1387" s="172" t="s">
        <v>129</v>
      </c>
      <c r="P1387" s="511"/>
      <c r="Q1387" s="173" t="s">
        <v>129</v>
      </c>
      <c r="R1387" s="506" t="s">
        <v>2308</v>
      </c>
      <c r="S1387" s="89"/>
      <c r="T1387" s="89"/>
      <c r="U1387" s="171" t="s">
        <v>2308</v>
      </c>
      <c r="V1387" s="102">
        <v>0</v>
      </c>
      <c r="W1387" s="120">
        <v>0</v>
      </c>
      <c r="X1387" s="120">
        <v>0</v>
      </c>
      <c r="Y1387" s="120">
        <v>0</v>
      </c>
      <c r="Z1387" s="120">
        <v>0</v>
      </c>
      <c r="AA1387" s="33">
        <f>1.1/0.00981/448.5*100</f>
        <v>25.001221650603384</v>
      </c>
      <c r="AB1387" s="17">
        <v>0</v>
      </c>
      <c r="AC1387" s="17">
        <v>0</v>
      </c>
      <c r="AD1387" s="17" t="s">
        <v>529</v>
      </c>
      <c r="AE1387" s="17">
        <v>0</v>
      </c>
      <c r="AF1387" s="17">
        <v>0</v>
      </c>
      <c r="AG1387" s="17">
        <v>0</v>
      </c>
      <c r="AH1387" s="17">
        <v>0</v>
      </c>
      <c r="AI1387" s="17">
        <v>0</v>
      </c>
      <c r="AJ1387" s="17">
        <v>0</v>
      </c>
      <c r="AK1387" s="17">
        <v>0</v>
      </c>
      <c r="AL1387" s="32">
        <v>0</v>
      </c>
      <c r="AM1387" s="172">
        <v>57.85</v>
      </c>
      <c r="AN1387" s="89"/>
      <c r="AO1387" s="171">
        <v>49.63</v>
      </c>
      <c r="AP1387" s="88"/>
      <c r="AQ1387" s="17" t="s">
        <v>265</v>
      </c>
      <c r="AR1387" s="174">
        <v>49</v>
      </c>
      <c r="AS1387" s="171"/>
      <c r="AT1387" s="171">
        <v>200</v>
      </c>
      <c r="AU1387" s="255">
        <f t="shared" si="102"/>
        <v>19.678714859437751</v>
      </c>
      <c r="AV1387" s="172">
        <v>60</v>
      </c>
      <c r="AW1387" s="171">
        <v>7</v>
      </c>
      <c r="AX1387" s="171">
        <v>20</v>
      </c>
      <c r="AY1387" s="171">
        <v>20</v>
      </c>
      <c r="AZ1387" s="89"/>
      <c r="BA1387" s="175">
        <v>60</v>
      </c>
      <c r="BB1387" s="189" t="s">
        <v>1817</v>
      </c>
      <c r="BC1387" s="190"/>
      <c r="BD1387" s="177"/>
      <c r="BE1387" s="177"/>
      <c r="BF1387" s="178"/>
    </row>
    <row r="1388" spans="1:58">
      <c r="A1388" s="95">
        <v>1387</v>
      </c>
      <c r="B1388" s="211" t="s">
        <v>363</v>
      </c>
      <c r="C1388" s="191" t="s">
        <v>1816</v>
      </c>
      <c r="D1388" s="171" t="s">
        <v>264</v>
      </c>
      <c r="E1388" s="463" t="s">
        <v>3377</v>
      </c>
      <c r="F1388" s="171">
        <v>2005</v>
      </c>
      <c r="G1388" s="171">
        <v>321</v>
      </c>
      <c r="H1388" s="172" t="s">
        <v>1745</v>
      </c>
      <c r="I1388" s="173" t="s">
        <v>1739</v>
      </c>
      <c r="J1388" s="217">
        <v>0.44565428571428567</v>
      </c>
      <c r="K1388" s="213">
        <v>4.5285714285714276</v>
      </c>
      <c r="L1388" s="91"/>
      <c r="M1388" s="174">
        <v>356.77879714576966</v>
      </c>
      <c r="N1388" s="174"/>
      <c r="O1388" s="172" t="s">
        <v>12</v>
      </c>
      <c r="P1388" s="511"/>
      <c r="Q1388" s="173" t="s">
        <v>12</v>
      </c>
      <c r="R1388" s="506" t="s">
        <v>2308</v>
      </c>
      <c r="S1388" s="89"/>
      <c r="T1388" s="89"/>
      <c r="U1388" s="171" t="s">
        <v>2308</v>
      </c>
      <c r="V1388" s="102">
        <v>0</v>
      </c>
      <c r="W1388" s="120">
        <v>0</v>
      </c>
      <c r="X1388" s="120">
        <v>0</v>
      </c>
      <c r="Y1388" s="120">
        <v>0</v>
      </c>
      <c r="Z1388" s="120">
        <v>0</v>
      </c>
      <c r="AA1388" s="33">
        <f>1.95/0.00981/356.8*100</f>
        <v>55.710974890635065</v>
      </c>
      <c r="AB1388" s="17">
        <v>0</v>
      </c>
      <c r="AC1388" s="17">
        <v>0</v>
      </c>
      <c r="AD1388" s="17">
        <v>0</v>
      </c>
      <c r="AE1388" s="17">
        <v>0</v>
      </c>
      <c r="AF1388" s="17">
        <v>0</v>
      </c>
      <c r="AG1388" s="17">
        <v>0</v>
      </c>
      <c r="AH1388" s="17">
        <v>0</v>
      </c>
      <c r="AI1388" s="17">
        <v>0</v>
      </c>
      <c r="AJ1388" s="17">
        <v>0</v>
      </c>
      <c r="AK1388" s="17">
        <v>0</v>
      </c>
      <c r="AL1388" s="32">
        <v>0</v>
      </c>
      <c r="AM1388" s="172">
        <v>43</v>
      </c>
      <c r="AN1388" s="89"/>
      <c r="AO1388" s="171">
        <v>32</v>
      </c>
      <c r="AP1388" s="88"/>
      <c r="AQ1388" s="17" t="s">
        <v>265</v>
      </c>
      <c r="AR1388" s="174">
        <v>49</v>
      </c>
      <c r="AS1388" s="171"/>
      <c r="AT1388" s="171">
        <v>200</v>
      </c>
      <c r="AU1388" s="255">
        <f t="shared" si="102"/>
        <v>19.678714859437751</v>
      </c>
      <c r="AV1388" s="172">
        <v>95</v>
      </c>
      <c r="AW1388" s="171">
        <v>2</v>
      </c>
      <c r="AX1388" s="171">
        <v>20</v>
      </c>
      <c r="AY1388" s="171">
        <v>20</v>
      </c>
      <c r="AZ1388" s="89"/>
      <c r="BA1388" s="175">
        <v>99</v>
      </c>
      <c r="BB1388" s="259"/>
      <c r="BC1388" s="190"/>
      <c r="BD1388" s="177"/>
      <c r="BE1388" s="177"/>
      <c r="BF1388" s="178" t="s">
        <v>2517</v>
      </c>
    </row>
    <row r="1389" spans="1:58">
      <c r="A1389" s="95">
        <v>1388</v>
      </c>
      <c r="B1389" s="211" t="s">
        <v>364</v>
      </c>
      <c r="C1389" s="191" t="s">
        <v>1816</v>
      </c>
      <c r="D1389" s="171" t="s">
        <v>264</v>
      </c>
      <c r="E1389" s="463" t="s">
        <v>3377</v>
      </c>
      <c r="F1389" s="171">
        <v>2005</v>
      </c>
      <c r="G1389" s="171">
        <v>321</v>
      </c>
      <c r="H1389" s="172" t="s">
        <v>1745</v>
      </c>
      <c r="I1389" s="173" t="s">
        <v>1739</v>
      </c>
      <c r="J1389" s="217">
        <v>0.41632682926829268</v>
      </c>
      <c r="K1389" s="213">
        <v>4.3170731707317076</v>
      </c>
      <c r="L1389" s="91"/>
      <c r="M1389" s="174">
        <v>417.94087665647299</v>
      </c>
      <c r="N1389" s="174"/>
      <c r="O1389" s="172" t="s">
        <v>12</v>
      </c>
      <c r="P1389" s="511"/>
      <c r="Q1389" s="173" t="s">
        <v>12</v>
      </c>
      <c r="R1389" s="506" t="s">
        <v>2308</v>
      </c>
      <c r="S1389" s="89"/>
      <c r="T1389" s="89"/>
      <c r="U1389" s="171" t="s">
        <v>2308</v>
      </c>
      <c r="V1389" s="102">
        <v>0</v>
      </c>
      <c r="W1389" s="120">
        <v>0</v>
      </c>
      <c r="X1389" s="120">
        <v>0</v>
      </c>
      <c r="Y1389" s="120">
        <v>0</v>
      </c>
      <c r="Z1389" s="120">
        <v>0</v>
      </c>
      <c r="AA1389" s="17">
        <v>0</v>
      </c>
      <c r="AB1389" s="17">
        <v>0</v>
      </c>
      <c r="AC1389" s="17">
        <v>0</v>
      </c>
      <c r="AD1389" s="17">
        <v>0</v>
      </c>
      <c r="AE1389" s="17">
        <v>0</v>
      </c>
      <c r="AF1389" s="17">
        <v>0</v>
      </c>
      <c r="AG1389" s="17">
        <v>0</v>
      </c>
      <c r="AH1389" s="17">
        <v>0</v>
      </c>
      <c r="AI1389" s="17">
        <v>0</v>
      </c>
      <c r="AJ1389" s="17">
        <v>0</v>
      </c>
      <c r="AK1389" s="17">
        <v>0</v>
      </c>
      <c r="AL1389" s="32"/>
      <c r="AM1389" s="172">
        <v>48</v>
      </c>
      <c r="AN1389" s="89"/>
      <c r="AO1389" s="171">
        <v>38</v>
      </c>
      <c r="AP1389" s="88"/>
      <c r="AQ1389" s="17" t="s">
        <v>265</v>
      </c>
      <c r="AR1389" s="174">
        <v>49</v>
      </c>
      <c r="AS1389" s="171"/>
      <c r="AT1389" s="171">
        <v>200</v>
      </c>
      <c r="AU1389" s="255">
        <f t="shared" si="102"/>
        <v>19.678714859437751</v>
      </c>
      <c r="AV1389" s="172">
        <v>95</v>
      </c>
      <c r="AW1389" s="171">
        <v>2</v>
      </c>
      <c r="AX1389" s="171">
        <v>20</v>
      </c>
      <c r="AY1389" s="171">
        <v>20</v>
      </c>
      <c r="AZ1389" s="89"/>
      <c r="BA1389" s="175">
        <v>99</v>
      </c>
      <c r="BB1389" s="259"/>
      <c r="BC1389" s="190"/>
      <c r="BD1389" s="177"/>
      <c r="BE1389" s="177"/>
      <c r="BF1389" s="178" t="s">
        <v>2517</v>
      </c>
    </row>
    <row r="1390" spans="1:58" s="159" customFormat="1" ht="15" customHeight="1">
      <c r="A1390" s="95">
        <v>1389</v>
      </c>
      <c r="B1390" s="211" t="s">
        <v>365</v>
      </c>
      <c r="C1390" s="191" t="s">
        <v>1816</v>
      </c>
      <c r="D1390" s="171" t="s">
        <v>264</v>
      </c>
      <c r="E1390" s="463" t="s">
        <v>3377</v>
      </c>
      <c r="F1390" s="171">
        <v>2005</v>
      </c>
      <c r="G1390" s="171">
        <v>321</v>
      </c>
      <c r="H1390" s="172" t="s">
        <v>1745</v>
      </c>
      <c r="I1390" s="173" t="s">
        <v>1751</v>
      </c>
      <c r="J1390" s="217">
        <v>0.44565428571428567</v>
      </c>
      <c r="K1390" s="213">
        <v>4.5285714285714276</v>
      </c>
      <c r="L1390" s="91"/>
      <c r="M1390" s="174">
        <v>356.77879714576966</v>
      </c>
      <c r="N1390" s="174"/>
      <c r="O1390" s="172" t="s">
        <v>12</v>
      </c>
      <c r="P1390" s="511"/>
      <c r="Q1390" s="173" t="s">
        <v>12</v>
      </c>
      <c r="R1390" s="506" t="s">
        <v>2308</v>
      </c>
      <c r="S1390" s="89"/>
      <c r="T1390" s="89"/>
      <c r="U1390" s="171" t="s">
        <v>2308</v>
      </c>
      <c r="V1390" s="102">
        <v>0</v>
      </c>
      <c r="W1390" s="120">
        <v>0</v>
      </c>
      <c r="X1390" s="120">
        <v>0</v>
      </c>
      <c r="Y1390" s="120">
        <v>0</v>
      </c>
      <c r="Z1390" s="120">
        <v>0</v>
      </c>
      <c r="AA1390" s="17">
        <f>1.95/0.00981/356.8*100</f>
        <v>55.710974890635065</v>
      </c>
      <c r="AB1390" s="17">
        <v>0</v>
      </c>
      <c r="AC1390" s="17">
        <v>0</v>
      </c>
      <c r="AD1390" s="17">
        <v>0</v>
      </c>
      <c r="AE1390" s="17">
        <v>0</v>
      </c>
      <c r="AF1390" s="17">
        <v>0</v>
      </c>
      <c r="AG1390" s="17">
        <v>0</v>
      </c>
      <c r="AH1390" s="17">
        <v>0</v>
      </c>
      <c r="AI1390" s="17">
        <v>0</v>
      </c>
      <c r="AJ1390" s="17">
        <v>0</v>
      </c>
      <c r="AK1390" s="17">
        <v>0</v>
      </c>
      <c r="AL1390" s="32">
        <v>0</v>
      </c>
      <c r="AM1390" s="172">
        <v>43</v>
      </c>
      <c r="AN1390" s="89"/>
      <c r="AO1390" s="171">
        <v>32</v>
      </c>
      <c r="AP1390" s="88"/>
      <c r="AQ1390" s="17" t="s">
        <v>265</v>
      </c>
      <c r="AR1390" s="174">
        <v>49</v>
      </c>
      <c r="AS1390" s="171"/>
      <c r="AT1390" s="171">
        <v>200</v>
      </c>
      <c r="AU1390" s="255">
        <f t="shared" si="102"/>
        <v>19.678714859437751</v>
      </c>
      <c r="AV1390" s="172">
        <v>95</v>
      </c>
      <c r="AW1390" s="171">
        <v>7</v>
      </c>
      <c r="AX1390" s="171">
        <v>20</v>
      </c>
      <c r="AY1390" s="171">
        <v>20</v>
      </c>
      <c r="AZ1390" s="89"/>
      <c r="BA1390" s="175">
        <v>60</v>
      </c>
      <c r="BB1390" s="259"/>
      <c r="BC1390" s="190"/>
      <c r="BD1390" s="177"/>
      <c r="BE1390" s="177"/>
      <c r="BF1390" s="178"/>
    </row>
    <row r="1391" spans="1:58" s="159" customFormat="1" ht="15" customHeight="1">
      <c r="A1391" s="95">
        <v>1390</v>
      </c>
      <c r="B1391" s="211" t="s">
        <v>366</v>
      </c>
      <c r="C1391" s="191" t="s">
        <v>1816</v>
      </c>
      <c r="D1391" s="171" t="s">
        <v>264</v>
      </c>
      <c r="E1391" s="463" t="s">
        <v>3377</v>
      </c>
      <c r="F1391" s="171">
        <v>2005</v>
      </c>
      <c r="G1391" s="171">
        <v>321</v>
      </c>
      <c r="H1391" s="172" t="s">
        <v>1745</v>
      </c>
      <c r="I1391" s="173" t="s">
        <v>1751</v>
      </c>
      <c r="J1391" s="217">
        <v>0.41632682926829268</v>
      </c>
      <c r="K1391" s="213">
        <v>4.3170731707317076</v>
      </c>
      <c r="L1391" s="91"/>
      <c r="M1391" s="174">
        <v>417.94087665647299</v>
      </c>
      <c r="N1391" s="174"/>
      <c r="O1391" s="172" t="s">
        <v>12</v>
      </c>
      <c r="P1391" s="511"/>
      <c r="Q1391" s="173" t="s">
        <v>12</v>
      </c>
      <c r="R1391" s="506" t="s">
        <v>2308</v>
      </c>
      <c r="S1391" s="89"/>
      <c r="T1391" s="89"/>
      <c r="U1391" s="171" t="s">
        <v>2308</v>
      </c>
      <c r="V1391" s="102">
        <v>0</v>
      </c>
      <c r="W1391" s="120">
        <v>0</v>
      </c>
      <c r="X1391" s="120">
        <v>0</v>
      </c>
      <c r="Y1391" s="120">
        <v>0</v>
      </c>
      <c r="Z1391" s="120">
        <v>0</v>
      </c>
      <c r="AA1391" s="17">
        <v>0</v>
      </c>
      <c r="AB1391" s="17">
        <v>0</v>
      </c>
      <c r="AC1391" s="17">
        <v>0</v>
      </c>
      <c r="AD1391" s="17">
        <v>0</v>
      </c>
      <c r="AE1391" s="17">
        <v>0</v>
      </c>
      <c r="AF1391" s="17">
        <v>0</v>
      </c>
      <c r="AG1391" s="17">
        <v>0</v>
      </c>
      <c r="AH1391" s="17">
        <v>0</v>
      </c>
      <c r="AI1391" s="17">
        <v>0</v>
      </c>
      <c r="AJ1391" s="17">
        <v>0</v>
      </c>
      <c r="AK1391" s="17">
        <v>0</v>
      </c>
      <c r="AL1391" s="32"/>
      <c r="AM1391" s="172">
        <v>48</v>
      </c>
      <c r="AN1391" s="89"/>
      <c r="AO1391" s="171">
        <v>38</v>
      </c>
      <c r="AP1391" s="88"/>
      <c r="AQ1391" s="17" t="s">
        <v>265</v>
      </c>
      <c r="AR1391" s="174">
        <v>49</v>
      </c>
      <c r="AS1391" s="171"/>
      <c r="AT1391" s="171">
        <v>200</v>
      </c>
      <c r="AU1391" s="255">
        <f t="shared" si="102"/>
        <v>19.678714859437751</v>
      </c>
      <c r="AV1391" s="172">
        <v>95</v>
      </c>
      <c r="AW1391" s="171">
        <v>7</v>
      </c>
      <c r="AX1391" s="171">
        <v>20</v>
      </c>
      <c r="AY1391" s="171">
        <v>20</v>
      </c>
      <c r="AZ1391" s="89"/>
      <c r="BA1391" s="175">
        <v>60</v>
      </c>
      <c r="BB1391" s="259"/>
      <c r="BC1391" s="190"/>
      <c r="BD1391" s="177"/>
      <c r="BE1391" s="177"/>
      <c r="BF1391" s="178"/>
    </row>
    <row r="1392" spans="1:58" ht="15" customHeight="1">
      <c r="A1392" s="95">
        <v>1391</v>
      </c>
      <c r="B1392" s="211" t="s">
        <v>2001</v>
      </c>
      <c r="C1392" s="191" t="s">
        <v>1800</v>
      </c>
      <c r="D1392" s="171" t="s">
        <v>119</v>
      </c>
      <c r="E1392" s="463" t="s">
        <v>3377</v>
      </c>
      <c r="F1392" s="171">
        <v>2010</v>
      </c>
      <c r="G1392" s="171">
        <v>322</v>
      </c>
      <c r="H1392" s="172" t="s">
        <v>1738</v>
      </c>
      <c r="I1392" s="173" t="s">
        <v>1743</v>
      </c>
      <c r="J1392" s="217">
        <v>0.41499999999999998</v>
      </c>
      <c r="K1392" s="213">
        <v>4.1050000000000004</v>
      </c>
      <c r="L1392" s="91"/>
      <c r="M1392" s="171">
        <v>417</v>
      </c>
      <c r="N1392" s="171"/>
      <c r="O1392" s="172" t="s">
        <v>12</v>
      </c>
      <c r="P1392" s="511"/>
      <c r="Q1392" s="173" t="s">
        <v>1801</v>
      </c>
      <c r="R1392" s="89"/>
      <c r="S1392" s="89"/>
      <c r="T1392" s="214" t="s">
        <v>2306</v>
      </c>
      <c r="U1392" s="89"/>
      <c r="V1392" s="103">
        <f>(75/703)*100</f>
        <v>10.668563300142248</v>
      </c>
      <c r="W1392" s="120">
        <f>(192/703)*100</f>
        <v>27.311522048364157</v>
      </c>
      <c r="X1392" s="120">
        <v>0</v>
      </c>
      <c r="Y1392" s="120">
        <v>0</v>
      </c>
      <c r="Z1392" s="120">
        <v>0</v>
      </c>
      <c r="AA1392" s="17">
        <v>0</v>
      </c>
      <c r="AB1392" s="17">
        <v>0</v>
      </c>
      <c r="AC1392" s="17">
        <v>0</v>
      </c>
      <c r="AD1392" s="17">
        <v>0</v>
      </c>
      <c r="AE1392" s="17">
        <v>0</v>
      </c>
      <c r="AF1392" s="17">
        <v>0</v>
      </c>
      <c r="AG1392" s="33">
        <v>1.5328999999999999</v>
      </c>
      <c r="AH1392" s="17">
        <v>0</v>
      </c>
      <c r="AI1392" s="33">
        <v>0.27050000000000002</v>
      </c>
      <c r="AJ1392" s="17">
        <v>0</v>
      </c>
      <c r="AK1392" s="17">
        <v>0</v>
      </c>
      <c r="AL1392" s="32">
        <v>0</v>
      </c>
      <c r="AM1392" s="172">
        <v>79</v>
      </c>
      <c r="AN1392" s="89"/>
      <c r="AO1392" s="171" t="s">
        <v>521</v>
      </c>
      <c r="AP1392" s="88"/>
      <c r="AQ1392" s="17" t="s">
        <v>1802</v>
      </c>
      <c r="AR1392" s="174">
        <v>75</v>
      </c>
      <c r="AS1392" s="171"/>
      <c r="AT1392" s="171">
        <v>290</v>
      </c>
      <c r="AU1392" s="255">
        <f t="shared" ref="AU1392:AU1414" si="103">IF(ISBLANK(AS1392),(AR1392*AT1392)/((4*AT1392)+(2*AR1392)),AR1392*AS1392*AT1392/2/(AR1392*AS1392+AR1392*AT1392+AS1392*AT1392))</f>
        <v>16.603053435114504</v>
      </c>
      <c r="AV1392" s="172">
        <v>100</v>
      </c>
      <c r="AW1392" s="171">
        <v>7</v>
      </c>
      <c r="AX1392" s="171">
        <v>23</v>
      </c>
      <c r="AY1392" s="171">
        <v>22</v>
      </c>
      <c r="AZ1392" s="89"/>
      <c r="BA1392" s="175">
        <v>50</v>
      </c>
      <c r="BB1392" s="259"/>
      <c r="BC1392" s="190"/>
      <c r="BD1392" s="177"/>
      <c r="BE1392" s="177"/>
      <c r="BF1392" s="178"/>
    </row>
    <row r="1393" spans="1:58" ht="15" customHeight="1">
      <c r="A1393" s="95">
        <v>1392</v>
      </c>
      <c r="B1393" s="211" t="s">
        <v>2002</v>
      </c>
      <c r="C1393" s="191" t="s">
        <v>1800</v>
      </c>
      <c r="D1393" s="171" t="s">
        <v>119</v>
      </c>
      <c r="E1393" s="463" t="s">
        <v>3377</v>
      </c>
      <c r="F1393" s="171">
        <v>2010</v>
      </c>
      <c r="G1393" s="171">
        <v>322</v>
      </c>
      <c r="H1393" s="172" t="s">
        <v>1738</v>
      </c>
      <c r="I1393" s="173" t="s">
        <v>1743</v>
      </c>
      <c r="J1393" s="217">
        <v>0.35499999999999998</v>
      </c>
      <c r="K1393" s="213">
        <v>4.4749999999999996</v>
      </c>
      <c r="L1393" s="91"/>
      <c r="M1393" s="171">
        <v>417</v>
      </c>
      <c r="N1393" s="171"/>
      <c r="O1393" s="172" t="s">
        <v>12</v>
      </c>
      <c r="P1393" s="511"/>
      <c r="Q1393" s="173" t="s">
        <v>1801</v>
      </c>
      <c r="R1393" s="89"/>
      <c r="S1393" s="89"/>
      <c r="T1393" s="214" t="s">
        <v>2306</v>
      </c>
      <c r="U1393" s="89"/>
      <c r="V1393" s="103">
        <f>(75/703)*100</f>
        <v>10.668563300142248</v>
      </c>
      <c r="W1393" s="120">
        <f>(192/703)*100</f>
        <v>27.311522048364157</v>
      </c>
      <c r="X1393" s="120">
        <v>0</v>
      </c>
      <c r="Y1393" s="120">
        <v>0</v>
      </c>
      <c r="Z1393" s="120">
        <v>0</v>
      </c>
      <c r="AA1393" s="17">
        <v>0</v>
      </c>
      <c r="AB1393" s="17">
        <v>0</v>
      </c>
      <c r="AC1393" s="17">
        <v>0</v>
      </c>
      <c r="AD1393" s="17">
        <v>0</v>
      </c>
      <c r="AE1393" s="17">
        <v>0</v>
      </c>
      <c r="AF1393" s="17">
        <v>0</v>
      </c>
      <c r="AG1393" s="33">
        <v>2.1642000000000001</v>
      </c>
      <c r="AH1393" s="17">
        <v>0</v>
      </c>
      <c r="AI1393" s="33">
        <v>0.27050000000000002</v>
      </c>
      <c r="AJ1393" s="17">
        <v>0</v>
      </c>
      <c r="AK1393" s="17">
        <v>0</v>
      </c>
      <c r="AL1393" s="32">
        <v>0</v>
      </c>
      <c r="AM1393" s="172">
        <v>99</v>
      </c>
      <c r="AN1393" s="89"/>
      <c r="AO1393" s="171" t="s">
        <v>521</v>
      </c>
      <c r="AP1393" s="88"/>
      <c r="AQ1393" s="17" t="s">
        <v>1802</v>
      </c>
      <c r="AR1393" s="174">
        <v>75</v>
      </c>
      <c r="AS1393" s="171"/>
      <c r="AT1393" s="171">
        <v>290</v>
      </c>
      <c r="AU1393" s="255">
        <f t="shared" si="103"/>
        <v>16.603053435114504</v>
      </c>
      <c r="AV1393" s="172">
        <v>100</v>
      </c>
      <c r="AW1393" s="171">
        <v>7</v>
      </c>
      <c r="AX1393" s="171">
        <v>23</v>
      </c>
      <c r="AY1393" s="171">
        <v>22</v>
      </c>
      <c r="AZ1393" s="89"/>
      <c r="BA1393" s="175">
        <v>50</v>
      </c>
      <c r="BB1393" s="259"/>
      <c r="BC1393" s="190"/>
      <c r="BD1393" s="177"/>
      <c r="BE1393" s="177"/>
      <c r="BF1393" s="178"/>
    </row>
    <row r="1394" spans="1:58" ht="15" customHeight="1">
      <c r="A1394" s="95">
        <v>1393</v>
      </c>
      <c r="B1394" s="211" t="s">
        <v>2003</v>
      </c>
      <c r="C1394" s="191" t="s">
        <v>1800</v>
      </c>
      <c r="D1394" s="171" t="s">
        <v>119</v>
      </c>
      <c r="E1394" s="463" t="s">
        <v>3377</v>
      </c>
      <c r="F1394" s="171">
        <v>2010</v>
      </c>
      <c r="G1394" s="171">
        <v>322</v>
      </c>
      <c r="H1394" s="172" t="s">
        <v>1738</v>
      </c>
      <c r="I1394" s="173" t="s">
        <v>1743</v>
      </c>
      <c r="J1394" s="217">
        <v>0.28499999999999998</v>
      </c>
      <c r="K1394" s="213">
        <v>3.2829999999999999</v>
      </c>
      <c r="L1394" s="91"/>
      <c r="M1394" s="171">
        <v>555</v>
      </c>
      <c r="N1394" s="171"/>
      <c r="O1394" s="172" t="s">
        <v>12</v>
      </c>
      <c r="P1394" s="511"/>
      <c r="Q1394" s="173" t="s">
        <v>1801</v>
      </c>
      <c r="R1394" s="89"/>
      <c r="S1394" s="89"/>
      <c r="T1394" s="214" t="s">
        <v>2306</v>
      </c>
      <c r="U1394" s="89"/>
      <c r="V1394" s="103">
        <f>(75/935)*100</f>
        <v>8.0213903743315509</v>
      </c>
      <c r="W1394" s="120">
        <f>(50/935)*100</f>
        <v>5.3475935828877006</v>
      </c>
      <c r="X1394" s="120">
        <v>0</v>
      </c>
      <c r="Y1394" s="120">
        <v>0</v>
      </c>
      <c r="Z1394" s="120">
        <v>0</v>
      </c>
      <c r="AA1394" s="17">
        <v>0</v>
      </c>
      <c r="AB1394" s="17">
        <v>0</v>
      </c>
      <c r="AC1394" s="17">
        <v>0</v>
      </c>
      <c r="AD1394" s="17">
        <v>0</v>
      </c>
      <c r="AE1394" s="17">
        <v>0</v>
      </c>
      <c r="AF1394" s="17">
        <v>0</v>
      </c>
      <c r="AG1394" s="33">
        <v>2.6667999999999998</v>
      </c>
      <c r="AH1394" s="17">
        <v>0</v>
      </c>
      <c r="AI1394" s="33">
        <v>0.22209999999999999</v>
      </c>
      <c r="AJ1394" s="17">
        <v>0</v>
      </c>
      <c r="AK1394" s="17">
        <v>0</v>
      </c>
      <c r="AL1394" s="32">
        <v>0</v>
      </c>
      <c r="AM1394" s="172">
        <v>118</v>
      </c>
      <c r="AN1394" s="89"/>
      <c r="AO1394" s="171" t="s">
        <v>521</v>
      </c>
      <c r="AP1394" s="88"/>
      <c r="AQ1394" s="17" t="s">
        <v>1802</v>
      </c>
      <c r="AR1394" s="174">
        <v>75</v>
      </c>
      <c r="AS1394" s="171"/>
      <c r="AT1394" s="171">
        <v>290</v>
      </c>
      <c r="AU1394" s="255">
        <f t="shared" si="103"/>
        <v>16.603053435114504</v>
      </c>
      <c r="AV1394" s="172">
        <v>100</v>
      </c>
      <c r="AW1394" s="171">
        <v>7</v>
      </c>
      <c r="AX1394" s="171">
        <v>23</v>
      </c>
      <c r="AY1394" s="171">
        <v>22</v>
      </c>
      <c r="AZ1394" s="89"/>
      <c r="BA1394" s="175">
        <v>50</v>
      </c>
      <c r="BB1394" s="259"/>
      <c r="BC1394" s="190"/>
      <c r="BD1394" s="177"/>
      <c r="BE1394" s="177"/>
      <c r="BF1394" s="178"/>
    </row>
    <row r="1395" spans="1:58" ht="15" customHeight="1">
      <c r="A1395" s="95">
        <v>1394</v>
      </c>
      <c r="B1395" s="211" t="s">
        <v>2004</v>
      </c>
      <c r="C1395" s="191" t="s">
        <v>1800</v>
      </c>
      <c r="D1395" s="171" t="s">
        <v>119</v>
      </c>
      <c r="E1395" s="463" t="s">
        <v>3377</v>
      </c>
      <c r="F1395" s="171">
        <v>2010</v>
      </c>
      <c r="G1395" s="171">
        <v>322</v>
      </c>
      <c r="H1395" s="172" t="s">
        <v>1738</v>
      </c>
      <c r="I1395" s="173" t="s">
        <v>1743</v>
      </c>
      <c r="J1395" s="217">
        <v>0.28499999999999998</v>
      </c>
      <c r="K1395" s="213">
        <v>3.2829999999999999</v>
      </c>
      <c r="L1395" s="91"/>
      <c r="M1395" s="171">
        <v>555</v>
      </c>
      <c r="N1395" s="171"/>
      <c r="O1395" s="172" t="s">
        <v>12</v>
      </c>
      <c r="P1395" s="511"/>
      <c r="Q1395" s="173" t="s">
        <v>1801</v>
      </c>
      <c r="R1395" s="89"/>
      <c r="S1395" s="89"/>
      <c r="T1395" s="214" t="s">
        <v>2306</v>
      </c>
      <c r="U1395" s="89"/>
      <c r="V1395" s="103">
        <f>(75/935)*100</f>
        <v>8.0213903743315509</v>
      </c>
      <c r="W1395" s="120">
        <f>(50/935)*100</f>
        <v>5.3475935828877006</v>
      </c>
      <c r="X1395" s="120">
        <v>0</v>
      </c>
      <c r="Y1395" s="120">
        <v>0</v>
      </c>
      <c r="Z1395" s="120">
        <v>0</v>
      </c>
      <c r="AA1395" s="17">
        <v>0</v>
      </c>
      <c r="AB1395" s="17">
        <v>0</v>
      </c>
      <c r="AC1395" s="17">
        <v>0</v>
      </c>
      <c r="AD1395" s="17">
        <v>0</v>
      </c>
      <c r="AE1395" s="17">
        <v>0</v>
      </c>
      <c r="AF1395" s="17">
        <v>0</v>
      </c>
      <c r="AG1395" s="33">
        <v>2.6667999999999998</v>
      </c>
      <c r="AH1395" s="17">
        <v>0</v>
      </c>
      <c r="AI1395" s="33">
        <v>0.22209999999999999</v>
      </c>
      <c r="AJ1395" s="17">
        <v>0</v>
      </c>
      <c r="AK1395" s="17">
        <v>0</v>
      </c>
      <c r="AL1395" s="32">
        <v>0</v>
      </c>
      <c r="AM1395" s="172">
        <v>118</v>
      </c>
      <c r="AN1395" s="89"/>
      <c r="AO1395" s="171" t="s">
        <v>521</v>
      </c>
      <c r="AP1395" s="88"/>
      <c r="AQ1395" s="17" t="s">
        <v>1802</v>
      </c>
      <c r="AR1395" s="174">
        <v>75</v>
      </c>
      <c r="AS1395" s="171"/>
      <c r="AT1395" s="171">
        <v>290</v>
      </c>
      <c r="AU1395" s="255">
        <f t="shared" si="103"/>
        <v>16.603053435114504</v>
      </c>
      <c r="AV1395" s="172">
        <v>100</v>
      </c>
      <c r="AW1395" s="171">
        <v>7</v>
      </c>
      <c r="AX1395" s="171">
        <v>23</v>
      </c>
      <c r="AY1395" s="171">
        <v>22</v>
      </c>
      <c r="AZ1395" s="89"/>
      <c r="BA1395" s="175">
        <v>50</v>
      </c>
      <c r="BB1395" s="259"/>
      <c r="BC1395" s="190"/>
      <c r="BD1395" s="177"/>
      <c r="BE1395" s="177"/>
      <c r="BF1395" s="178"/>
    </row>
    <row r="1396" spans="1:58" ht="15" customHeight="1">
      <c r="A1396" s="95">
        <v>1395</v>
      </c>
      <c r="B1396" s="211" t="s">
        <v>2005</v>
      </c>
      <c r="C1396" s="191" t="s">
        <v>1800</v>
      </c>
      <c r="D1396" s="171" t="s">
        <v>119</v>
      </c>
      <c r="E1396" s="463" t="s">
        <v>3377</v>
      </c>
      <c r="F1396" s="171">
        <v>2010</v>
      </c>
      <c r="G1396" s="171">
        <v>322</v>
      </c>
      <c r="H1396" s="172" t="s">
        <v>1738</v>
      </c>
      <c r="I1396" s="173" t="s">
        <v>1743</v>
      </c>
      <c r="J1396" s="217">
        <v>0.28499999999999998</v>
      </c>
      <c r="K1396" s="213">
        <v>3.2829999999999999</v>
      </c>
      <c r="L1396" s="91"/>
      <c r="M1396" s="171">
        <v>555</v>
      </c>
      <c r="N1396" s="171"/>
      <c r="O1396" s="172" t="s">
        <v>12</v>
      </c>
      <c r="P1396" s="511"/>
      <c r="Q1396" s="173" t="s">
        <v>1801</v>
      </c>
      <c r="R1396" s="89"/>
      <c r="S1396" s="89"/>
      <c r="T1396" s="214" t="s">
        <v>2306</v>
      </c>
      <c r="U1396" s="89"/>
      <c r="V1396" s="103">
        <f>(75/935)*100</f>
        <v>8.0213903743315509</v>
      </c>
      <c r="W1396" s="120">
        <f>(50/935)*100</f>
        <v>5.3475935828877006</v>
      </c>
      <c r="X1396" s="120">
        <v>0</v>
      </c>
      <c r="Y1396" s="120">
        <v>0</v>
      </c>
      <c r="Z1396" s="120">
        <v>0</v>
      </c>
      <c r="AA1396" s="17">
        <v>0</v>
      </c>
      <c r="AB1396" s="17">
        <v>0</v>
      </c>
      <c r="AC1396" s="17">
        <v>0</v>
      </c>
      <c r="AD1396" s="17">
        <v>0</v>
      </c>
      <c r="AE1396" s="17">
        <v>0</v>
      </c>
      <c r="AF1396" s="17">
        <v>0</v>
      </c>
      <c r="AG1396" s="33">
        <v>2.6667999999999998</v>
      </c>
      <c r="AH1396" s="17">
        <v>0</v>
      </c>
      <c r="AI1396" s="33">
        <v>0.22209999999999999</v>
      </c>
      <c r="AJ1396" s="17">
        <v>0</v>
      </c>
      <c r="AK1396" s="17">
        <v>0</v>
      </c>
      <c r="AL1396" s="32">
        <v>0</v>
      </c>
      <c r="AM1396" s="172">
        <v>118</v>
      </c>
      <c r="AN1396" s="89"/>
      <c r="AO1396" s="171" t="s">
        <v>521</v>
      </c>
      <c r="AP1396" s="88"/>
      <c r="AQ1396" s="17" t="s">
        <v>1802</v>
      </c>
      <c r="AR1396" s="174">
        <v>75</v>
      </c>
      <c r="AS1396" s="171"/>
      <c r="AT1396" s="171">
        <v>290</v>
      </c>
      <c r="AU1396" s="255">
        <f t="shared" si="103"/>
        <v>16.603053435114504</v>
      </c>
      <c r="AV1396" s="172">
        <v>100</v>
      </c>
      <c r="AW1396" s="171">
        <v>7</v>
      </c>
      <c r="AX1396" s="171">
        <v>23</v>
      </c>
      <c r="AY1396" s="171">
        <v>22</v>
      </c>
      <c r="AZ1396" s="89"/>
      <c r="BA1396" s="175">
        <v>50</v>
      </c>
      <c r="BB1396" s="259"/>
      <c r="BC1396" s="190"/>
      <c r="BD1396" s="177"/>
      <c r="BE1396" s="177"/>
      <c r="BF1396" s="178"/>
    </row>
    <row r="1397" spans="1:58" ht="15" customHeight="1">
      <c r="A1397" s="95">
        <v>1396</v>
      </c>
      <c r="B1397" s="211" t="s">
        <v>2006</v>
      </c>
      <c r="C1397" s="191" t="s">
        <v>1803</v>
      </c>
      <c r="D1397" s="171" t="s">
        <v>119</v>
      </c>
      <c r="E1397" s="463" t="s">
        <v>3377</v>
      </c>
      <c r="F1397" s="171">
        <v>2005</v>
      </c>
      <c r="G1397" s="171">
        <v>323</v>
      </c>
      <c r="H1397" s="172" t="s">
        <v>1745</v>
      </c>
      <c r="I1397" s="173" t="s">
        <v>1743</v>
      </c>
      <c r="J1397" s="217">
        <v>0.46</v>
      </c>
      <c r="K1397" s="213">
        <v>5.3223880597014928</v>
      </c>
      <c r="L1397" s="91"/>
      <c r="M1397" s="171">
        <v>335</v>
      </c>
      <c r="N1397" s="171"/>
      <c r="O1397" s="172" t="s">
        <v>12</v>
      </c>
      <c r="P1397" s="511"/>
      <c r="Q1397" s="173" t="s">
        <v>523</v>
      </c>
      <c r="R1397" s="506" t="s">
        <v>2308</v>
      </c>
      <c r="S1397" s="89"/>
      <c r="T1397" s="89"/>
      <c r="U1397" s="171" t="s">
        <v>2308</v>
      </c>
      <c r="V1397" s="102">
        <v>0</v>
      </c>
      <c r="W1397" s="120">
        <v>0</v>
      </c>
      <c r="X1397" s="120">
        <v>0</v>
      </c>
      <c r="Y1397" s="120">
        <v>0</v>
      </c>
      <c r="Z1397" s="120">
        <v>0</v>
      </c>
      <c r="AA1397" s="17">
        <v>0</v>
      </c>
      <c r="AB1397" s="17">
        <v>0</v>
      </c>
      <c r="AC1397" s="17">
        <v>0</v>
      </c>
      <c r="AD1397" s="17">
        <v>0</v>
      </c>
      <c r="AE1397" s="17">
        <v>0</v>
      </c>
      <c r="AF1397" s="17">
        <v>0</v>
      </c>
      <c r="AG1397" s="33">
        <v>0.56119402985074618</v>
      </c>
      <c r="AH1397" s="17">
        <v>0</v>
      </c>
      <c r="AI1397" s="17">
        <v>0</v>
      </c>
      <c r="AJ1397" s="33">
        <v>3.7313432835820899E-2</v>
      </c>
      <c r="AK1397" s="17">
        <v>0</v>
      </c>
      <c r="AL1397" s="32">
        <v>0</v>
      </c>
      <c r="AM1397" s="172">
        <v>41</v>
      </c>
      <c r="AN1397" s="89"/>
      <c r="AO1397" s="171">
        <v>37</v>
      </c>
      <c r="AP1397" s="88"/>
      <c r="AQ1397" s="17" t="s">
        <v>1804</v>
      </c>
      <c r="AR1397" s="174">
        <v>75</v>
      </c>
      <c r="AS1397" s="171"/>
      <c r="AT1397" s="171">
        <v>279</v>
      </c>
      <c r="AU1397" s="255">
        <f t="shared" si="103"/>
        <v>16.528436018957347</v>
      </c>
      <c r="AV1397" s="172">
        <v>100</v>
      </c>
      <c r="AW1397" s="171">
        <v>7</v>
      </c>
      <c r="AX1397" s="89"/>
      <c r="AY1397" s="171">
        <v>23</v>
      </c>
      <c r="AZ1397" s="89"/>
      <c r="BA1397" s="175">
        <v>50</v>
      </c>
      <c r="BB1397" s="259"/>
      <c r="BC1397" s="190"/>
      <c r="BD1397" s="177"/>
      <c r="BE1397" s="177"/>
      <c r="BF1397" s="178" t="s">
        <v>1805</v>
      </c>
    </row>
    <row r="1398" spans="1:58" s="159" customFormat="1" ht="15" customHeight="1">
      <c r="A1398" s="95">
        <v>1397</v>
      </c>
      <c r="B1398" s="211" t="s">
        <v>2007</v>
      </c>
      <c r="C1398" s="191" t="s">
        <v>1803</v>
      </c>
      <c r="D1398" s="171" t="s">
        <v>119</v>
      </c>
      <c r="E1398" s="463" t="s">
        <v>3377</v>
      </c>
      <c r="F1398" s="171">
        <v>2005</v>
      </c>
      <c r="G1398" s="171">
        <v>323</v>
      </c>
      <c r="H1398" s="172" t="s">
        <v>1745</v>
      </c>
      <c r="I1398" s="173" t="s">
        <v>1743</v>
      </c>
      <c r="J1398" s="217">
        <v>0.42</v>
      </c>
      <c r="K1398" s="213">
        <v>4.4615384615384617</v>
      </c>
      <c r="L1398" s="91"/>
      <c r="M1398" s="171">
        <v>377</v>
      </c>
      <c r="N1398" s="171"/>
      <c r="O1398" s="172" t="s">
        <v>12</v>
      </c>
      <c r="P1398" s="92"/>
      <c r="Q1398" s="173" t="s">
        <v>523</v>
      </c>
      <c r="R1398" s="506" t="s">
        <v>2308</v>
      </c>
      <c r="S1398" s="89"/>
      <c r="T1398" s="89"/>
      <c r="U1398" s="171" t="s">
        <v>2308</v>
      </c>
      <c r="V1398" s="102">
        <v>0</v>
      </c>
      <c r="W1398" s="120">
        <v>0</v>
      </c>
      <c r="X1398" s="120">
        <v>0</v>
      </c>
      <c r="Y1398" s="120">
        <v>0</v>
      </c>
      <c r="Z1398" s="120">
        <v>0</v>
      </c>
      <c r="AA1398" s="17">
        <v>0</v>
      </c>
      <c r="AB1398" s="17">
        <v>0</v>
      </c>
      <c r="AC1398" s="17">
        <v>0</v>
      </c>
      <c r="AD1398" s="17">
        <v>0</v>
      </c>
      <c r="AE1398" s="17">
        <v>0</v>
      </c>
      <c r="AF1398" s="17">
        <v>0</v>
      </c>
      <c r="AG1398" s="33">
        <v>0.44270557029177715</v>
      </c>
      <c r="AH1398" s="17">
        <v>0</v>
      </c>
      <c r="AI1398" s="33">
        <v>0.14960212201591511</v>
      </c>
      <c r="AJ1398" s="33">
        <v>3.7400530503978777E-2</v>
      </c>
      <c r="AK1398" s="17">
        <v>0</v>
      </c>
      <c r="AL1398" s="32">
        <v>0</v>
      </c>
      <c r="AM1398" s="172">
        <v>44</v>
      </c>
      <c r="AN1398" s="89"/>
      <c r="AO1398" s="171">
        <v>37</v>
      </c>
      <c r="AP1398" s="88"/>
      <c r="AQ1398" s="17" t="s">
        <v>1806</v>
      </c>
      <c r="AR1398" s="174">
        <v>75</v>
      </c>
      <c r="AS1398" s="171"/>
      <c r="AT1398" s="171">
        <v>279</v>
      </c>
      <c r="AU1398" s="255">
        <f t="shared" si="103"/>
        <v>16.528436018957347</v>
      </c>
      <c r="AV1398" s="172">
        <v>100</v>
      </c>
      <c r="AW1398" s="171">
        <v>7</v>
      </c>
      <c r="AX1398" s="89"/>
      <c r="AY1398" s="171">
        <v>23</v>
      </c>
      <c r="AZ1398" s="89"/>
      <c r="BA1398" s="175">
        <v>50</v>
      </c>
      <c r="BB1398" s="259"/>
      <c r="BC1398" s="190"/>
      <c r="BD1398" s="177"/>
      <c r="BE1398" s="177"/>
      <c r="BF1398" s="178" t="s">
        <v>1805</v>
      </c>
    </row>
    <row r="1399" spans="1:58" ht="15" customHeight="1">
      <c r="A1399" s="95">
        <v>1398</v>
      </c>
      <c r="B1399" s="211" t="s">
        <v>2008</v>
      </c>
      <c r="C1399" s="191" t="s">
        <v>1803</v>
      </c>
      <c r="D1399" s="171" t="s">
        <v>119</v>
      </c>
      <c r="E1399" s="463" t="s">
        <v>3377</v>
      </c>
      <c r="F1399" s="171">
        <v>2005</v>
      </c>
      <c r="G1399" s="171">
        <v>323</v>
      </c>
      <c r="H1399" s="172" t="s">
        <v>1745</v>
      </c>
      <c r="I1399" s="173" t="s">
        <v>1743</v>
      </c>
      <c r="J1399" s="217">
        <v>0.35</v>
      </c>
      <c r="K1399" s="213">
        <v>4.1578947368421053</v>
      </c>
      <c r="L1399" s="91"/>
      <c r="M1399" s="171">
        <v>418</v>
      </c>
      <c r="N1399" s="171"/>
      <c r="O1399" s="172" t="s">
        <v>12</v>
      </c>
      <c r="P1399" s="92"/>
      <c r="Q1399" s="173" t="s">
        <v>523</v>
      </c>
      <c r="R1399" s="506" t="s">
        <v>2308</v>
      </c>
      <c r="S1399" s="89"/>
      <c r="T1399" s="89"/>
      <c r="U1399" s="171" t="s">
        <v>2308</v>
      </c>
      <c r="V1399" s="102">
        <v>0</v>
      </c>
      <c r="W1399" s="120">
        <v>0</v>
      </c>
      <c r="X1399" s="120">
        <v>0</v>
      </c>
      <c r="Y1399" s="120">
        <v>0</v>
      </c>
      <c r="Z1399" s="120">
        <v>0</v>
      </c>
      <c r="AA1399" s="17">
        <v>0</v>
      </c>
      <c r="AB1399" s="17">
        <v>0</v>
      </c>
      <c r="AC1399" s="17">
        <v>0</v>
      </c>
      <c r="AD1399" s="17">
        <v>0</v>
      </c>
      <c r="AE1399" s="17">
        <v>0</v>
      </c>
      <c r="AF1399" s="17">
        <v>0</v>
      </c>
      <c r="AG1399" s="33">
        <v>0.49928229665071772</v>
      </c>
      <c r="AH1399" s="17">
        <v>0</v>
      </c>
      <c r="AI1399" s="17">
        <v>0</v>
      </c>
      <c r="AJ1399" s="33">
        <v>3.7559808612440196E-2</v>
      </c>
      <c r="AK1399" s="17">
        <v>0</v>
      </c>
      <c r="AL1399" s="32">
        <v>0</v>
      </c>
      <c r="AM1399" s="172">
        <v>50</v>
      </c>
      <c r="AN1399" s="89"/>
      <c r="AO1399" s="171">
        <v>46</v>
      </c>
      <c r="AP1399" s="88"/>
      <c r="AQ1399" s="17" t="s">
        <v>1807</v>
      </c>
      <c r="AR1399" s="174">
        <v>75</v>
      </c>
      <c r="AS1399" s="171"/>
      <c r="AT1399" s="171">
        <v>279</v>
      </c>
      <c r="AU1399" s="255">
        <f t="shared" si="103"/>
        <v>16.528436018957347</v>
      </c>
      <c r="AV1399" s="172">
        <v>100</v>
      </c>
      <c r="AW1399" s="171">
        <v>7</v>
      </c>
      <c r="AX1399" s="89"/>
      <c r="AY1399" s="171">
        <v>23</v>
      </c>
      <c r="AZ1399" s="89"/>
      <c r="BA1399" s="175">
        <v>50</v>
      </c>
      <c r="BB1399" s="259"/>
      <c r="BC1399" s="190"/>
      <c r="BD1399" s="177"/>
      <c r="BE1399" s="177"/>
      <c r="BF1399" s="178" t="s">
        <v>1805</v>
      </c>
    </row>
    <row r="1400" spans="1:58" ht="15" customHeight="1">
      <c r="A1400" s="95">
        <v>1399</v>
      </c>
      <c r="B1400" s="211" t="s">
        <v>2009</v>
      </c>
      <c r="C1400" s="191" t="s">
        <v>1803</v>
      </c>
      <c r="D1400" s="171" t="s">
        <v>119</v>
      </c>
      <c r="E1400" s="463" t="s">
        <v>3377</v>
      </c>
      <c r="F1400" s="171">
        <v>2005</v>
      </c>
      <c r="G1400" s="171">
        <v>323</v>
      </c>
      <c r="H1400" s="172" t="s">
        <v>1745</v>
      </c>
      <c r="I1400" s="173" t="s">
        <v>1743</v>
      </c>
      <c r="J1400" s="217">
        <v>0.56343283582089554</v>
      </c>
      <c r="K1400" s="213">
        <v>4.9402985074626864</v>
      </c>
      <c r="L1400" s="91"/>
      <c r="M1400" s="171">
        <v>268</v>
      </c>
      <c r="N1400" s="171"/>
      <c r="O1400" s="172" t="s">
        <v>12</v>
      </c>
      <c r="P1400" s="92"/>
      <c r="Q1400" s="173" t="s">
        <v>523</v>
      </c>
      <c r="R1400" s="171" t="s">
        <v>2725</v>
      </c>
      <c r="S1400" s="89"/>
      <c r="T1400" s="214" t="s">
        <v>2306</v>
      </c>
      <c r="U1400" s="214" t="s">
        <v>2314</v>
      </c>
      <c r="V1400" s="102">
        <v>0</v>
      </c>
      <c r="W1400" s="120">
        <v>0</v>
      </c>
      <c r="X1400" s="120">
        <f>(179/268)*100</f>
        <v>66.791044776119406</v>
      </c>
      <c r="Y1400" s="120">
        <v>0</v>
      </c>
      <c r="Z1400" s="120">
        <v>0</v>
      </c>
      <c r="AA1400" s="17">
        <v>0</v>
      </c>
      <c r="AB1400" s="17">
        <v>0</v>
      </c>
      <c r="AC1400" s="17">
        <v>0</v>
      </c>
      <c r="AD1400" s="17">
        <v>0</v>
      </c>
      <c r="AE1400" s="17">
        <v>0</v>
      </c>
      <c r="AF1400" s="17">
        <v>0</v>
      </c>
      <c r="AG1400" s="33">
        <v>0.24291044776119405</v>
      </c>
      <c r="AH1400" s="17">
        <v>0</v>
      </c>
      <c r="AI1400" s="17">
        <v>0</v>
      </c>
      <c r="AJ1400" s="33">
        <v>0.13246268656716417</v>
      </c>
      <c r="AK1400" s="17">
        <v>0</v>
      </c>
      <c r="AL1400" s="32">
        <v>0</v>
      </c>
      <c r="AM1400" s="172">
        <v>43</v>
      </c>
      <c r="AN1400" s="89"/>
      <c r="AO1400" s="171">
        <v>36</v>
      </c>
      <c r="AP1400" s="88"/>
      <c r="AQ1400" s="17" t="s">
        <v>1808</v>
      </c>
      <c r="AR1400" s="174">
        <v>75</v>
      </c>
      <c r="AS1400" s="171"/>
      <c r="AT1400" s="171">
        <v>279</v>
      </c>
      <c r="AU1400" s="255">
        <f t="shared" si="103"/>
        <v>16.528436018957347</v>
      </c>
      <c r="AV1400" s="172">
        <v>85</v>
      </c>
      <c r="AW1400" s="171">
        <v>7</v>
      </c>
      <c r="AX1400" s="171">
        <v>23</v>
      </c>
      <c r="AY1400" s="171">
        <v>23</v>
      </c>
      <c r="AZ1400" s="89"/>
      <c r="BA1400" s="175">
        <v>50</v>
      </c>
      <c r="BB1400" s="259"/>
      <c r="BC1400" s="190"/>
      <c r="BD1400" s="177"/>
      <c r="BE1400" s="177"/>
      <c r="BF1400" s="178"/>
    </row>
    <row r="1401" spans="1:58" ht="15" customHeight="1">
      <c r="A1401" s="95">
        <v>1400</v>
      </c>
      <c r="B1401" s="211" t="s">
        <v>2010</v>
      </c>
      <c r="C1401" s="191" t="s">
        <v>1803</v>
      </c>
      <c r="D1401" s="171" t="s">
        <v>119</v>
      </c>
      <c r="E1401" s="463" t="s">
        <v>3377</v>
      </c>
      <c r="F1401" s="171">
        <v>2005</v>
      </c>
      <c r="G1401" s="171">
        <v>323</v>
      </c>
      <c r="H1401" s="172" t="s">
        <v>1745</v>
      </c>
      <c r="I1401" s="173" t="s">
        <v>1743</v>
      </c>
      <c r="J1401" s="217">
        <v>0.49174917491749176</v>
      </c>
      <c r="K1401" s="213">
        <v>5.7524752475247523</v>
      </c>
      <c r="L1401" s="91"/>
      <c r="M1401" s="171">
        <v>303</v>
      </c>
      <c r="N1401" s="171"/>
      <c r="O1401" s="172" t="s">
        <v>12</v>
      </c>
      <c r="P1401" s="92"/>
      <c r="Q1401" s="173" t="s">
        <v>523</v>
      </c>
      <c r="R1401" s="171" t="s">
        <v>2725</v>
      </c>
      <c r="S1401" s="89"/>
      <c r="T1401" s="214" t="s">
        <v>2306</v>
      </c>
      <c r="U1401" s="214" t="s">
        <v>2314</v>
      </c>
      <c r="V1401" s="102">
        <v>0</v>
      </c>
      <c r="W1401" s="120">
        <v>0</v>
      </c>
      <c r="X1401" s="120">
        <f>(202/303)*100</f>
        <v>66.666666666666657</v>
      </c>
      <c r="Y1401" s="120">
        <v>0</v>
      </c>
      <c r="Z1401" s="120">
        <v>0</v>
      </c>
      <c r="AA1401" s="17">
        <v>0</v>
      </c>
      <c r="AB1401" s="17">
        <v>0</v>
      </c>
      <c r="AC1401" s="17">
        <v>0</v>
      </c>
      <c r="AD1401" s="17">
        <v>0</v>
      </c>
      <c r="AE1401" s="17">
        <v>0</v>
      </c>
      <c r="AF1401" s="17">
        <v>0</v>
      </c>
      <c r="AG1401" s="33">
        <v>0.34455445544554458</v>
      </c>
      <c r="AH1401" s="17">
        <v>0</v>
      </c>
      <c r="AI1401" s="17">
        <v>0</v>
      </c>
      <c r="AJ1401" s="33">
        <v>0.1914191419141914</v>
      </c>
      <c r="AK1401" s="17">
        <v>0</v>
      </c>
      <c r="AL1401" s="32">
        <v>0</v>
      </c>
      <c r="AM1401" s="172">
        <v>91</v>
      </c>
      <c r="AN1401" s="89"/>
      <c r="AO1401" s="171">
        <v>71</v>
      </c>
      <c r="AP1401" s="88"/>
      <c r="AQ1401" s="17" t="s">
        <v>1809</v>
      </c>
      <c r="AR1401" s="174">
        <v>75</v>
      </c>
      <c r="AS1401" s="171"/>
      <c r="AT1401" s="171">
        <v>279</v>
      </c>
      <c r="AU1401" s="255">
        <f t="shared" si="103"/>
        <v>16.528436018957347</v>
      </c>
      <c r="AV1401" s="172">
        <v>85</v>
      </c>
      <c r="AW1401" s="171">
        <v>7</v>
      </c>
      <c r="AX1401" s="171">
        <v>23</v>
      </c>
      <c r="AY1401" s="171">
        <v>23</v>
      </c>
      <c r="AZ1401" s="89"/>
      <c r="BA1401" s="175">
        <v>50</v>
      </c>
      <c r="BB1401" s="259"/>
      <c r="BC1401" s="190"/>
      <c r="BD1401" s="177"/>
      <c r="BE1401" s="177"/>
      <c r="BF1401" s="178"/>
    </row>
    <row r="1402" spans="1:58" ht="15" customHeight="1">
      <c r="A1402" s="95">
        <v>1401</v>
      </c>
      <c r="B1402" s="211" t="s">
        <v>367</v>
      </c>
      <c r="C1402" s="191" t="s">
        <v>437</v>
      </c>
      <c r="D1402" s="171" t="s">
        <v>251</v>
      </c>
      <c r="E1402" s="463" t="s">
        <v>3377</v>
      </c>
      <c r="F1402" s="171">
        <v>2009</v>
      </c>
      <c r="G1402" s="171">
        <v>324</v>
      </c>
      <c r="H1402" s="172" t="s">
        <v>1738</v>
      </c>
      <c r="I1402" s="173" t="s">
        <v>1743</v>
      </c>
      <c r="J1402" s="217">
        <v>0.40909090909090912</v>
      </c>
      <c r="K1402" s="213">
        <v>2.9545454545454546</v>
      </c>
      <c r="L1402" s="91"/>
      <c r="M1402" s="171">
        <v>550</v>
      </c>
      <c r="N1402" s="171"/>
      <c r="O1402" s="172" t="s">
        <v>12</v>
      </c>
      <c r="P1402" s="89"/>
      <c r="Q1402" s="173" t="s">
        <v>2577</v>
      </c>
      <c r="R1402" s="506" t="s">
        <v>2731</v>
      </c>
      <c r="S1402" s="89"/>
      <c r="T1402" s="89"/>
      <c r="U1402" s="214" t="s">
        <v>3345</v>
      </c>
      <c r="V1402" s="102">
        <v>0</v>
      </c>
      <c r="W1402" s="120">
        <v>0</v>
      </c>
      <c r="X1402" s="120">
        <v>0</v>
      </c>
      <c r="Y1402" s="120">
        <v>0</v>
      </c>
      <c r="Z1402" s="120">
        <v>0</v>
      </c>
      <c r="AA1402" s="17">
        <v>0</v>
      </c>
      <c r="AB1402" s="17">
        <v>0</v>
      </c>
      <c r="AC1402" s="17">
        <v>0</v>
      </c>
      <c r="AD1402" s="17">
        <v>0</v>
      </c>
      <c r="AE1402" s="17">
        <v>0</v>
      </c>
      <c r="AF1402" s="17">
        <v>0</v>
      </c>
      <c r="AG1402" s="17">
        <v>0</v>
      </c>
      <c r="AH1402" s="17">
        <v>0</v>
      </c>
      <c r="AI1402" s="17">
        <v>0</v>
      </c>
      <c r="AJ1402" s="17">
        <v>0</v>
      </c>
      <c r="AK1402" s="17">
        <v>0</v>
      </c>
      <c r="AL1402" s="32">
        <v>0</v>
      </c>
      <c r="AM1402" s="172">
        <v>64.599999999999994</v>
      </c>
      <c r="AN1402" s="89"/>
      <c r="AO1402" s="171">
        <v>44.1</v>
      </c>
      <c r="AP1402" s="88"/>
      <c r="AQ1402" s="17" t="s">
        <v>535</v>
      </c>
      <c r="AR1402" s="174">
        <v>70</v>
      </c>
      <c r="AS1402" s="171"/>
      <c r="AT1402" s="171">
        <v>200</v>
      </c>
      <c r="AU1402" s="255">
        <f t="shared" si="103"/>
        <v>14.893617021276595</v>
      </c>
      <c r="AV1402" s="172">
        <v>95</v>
      </c>
      <c r="AW1402" s="171">
        <v>3</v>
      </c>
      <c r="AX1402" s="171">
        <v>20</v>
      </c>
      <c r="AY1402" s="171">
        <v>21</v>
      </c>
      <c r="AZ1402" s="89"/>
      <c r="BA1402" s="175">
        <v>65</v>
      </c>
      <c r="BB1402" s="259"/>
      <c r="BC1402" s="190"/>
      <c r="BD1402" s="177"/>
      <c r="BE1402" s="177"/>
      <c r="BF1402" s="178" t="s">
        <v>1798</v>
      </c>
    </row>
    <row r="1403" spans="1:58" ht="15" customHeight="1">
      <c r="A1403" s="95">
        <v>1402</v>
      </c>
      <c r="B1403" s="211" t="s">
        <v>368</v>
      </c>
      <c r="C1403" s="191" t="s">
        <v>437</v>
      </c>
      <c r="D1403" s="171" t="s">
        <v>251</v>
      </c>
      <c r="E1403" s="463" t="s">
        <v>3377</v>
      </c>
      <c r="F1403" s="171">
        <v>2009</v>
      </c>
      <c r="G1403" s="171">
        <v>324</v>
      </c>
      <c r="H1403" s="172" t="s">
        <v>1738</v>
      </c>
      <c r="I1403" s="173" t="s">
        <v>1743</v>
      </c>
      <c r="J1403" s="217">
        <v>0.58181818181818179</v>
      </c>
      <c r="K1403" s="213">
        <v>7.1454545454545455</v>
      </c>
      <c r="L1403" s="91"/>
      <c r="M1403" s="171">
        <v>275</v>
      </c>
      <c r="N1403" s="171"/>
      <c r="O1403" s="172" t="s">
        <v>12</v>
      </c>
      <c r="P1403" s="89"/>
      <c r="Q1403" s="173" t="s">
        <v>2577</v>
      </c>
      <c r="R1403" s="506" t="s">
        <v>2731</v>
      </c>
      <c r="S1403" s="89"/>
      <c r="T1403" s="89"/>
      <c r="U1403" s="214" t="s">
        <v>3345</v>
      </c>
      <c r="V1403" s="102">
        <v>0</v>
      </c>
      <c r="W1403" s="120">
        <v>0</v>
      </c>
      <c r="X1403" s="120">
        <v>0</v>
      </c>
      <c r="Y1403" s="120">
        <v>0</v>
      </c>
      <c r="Z1403" s="120">
        <v>0</v>
      </c>
      <c r="AA1403" s="17">
        <v>0</v>
      </c>
      <c r="AB1403" s="17">
        <v>0</v>
      </c>
      <c r="AC1403" s="17">
        <v>0</v>
      </c>
      <c r="AD1403" s="17">
        <v>0</v>
      </c>
      <c r="AE1403" s="17">
        <v>0</v>
      </c>
      <c r="AF1403" s="17">
        <v>0</v>
      </c>
      <c r="AG1403" s="17">
        <v>0</v>
      </c>
      <c r="AH1403" s="17">
        <v>0</v>
      </c>
      <c r="AI1403" s="17">
        <v>0</v>
      </c>
      <c r="AJ1403" s="17">
        <v>0</v>
      </c>
      <c r="AK1403" s="17">
        <v>0</v>
      </c>
      <c r="AL1403" s="32">
        <v>0</v>
      </c>
      <c r="AM1403" s="172">
        <v>51.4</v>
      </c>
      <c r="AN1403" s="89"/>
      <c r="AO1403" s="171">
        <v>31.3</v>
      </c>
      <c r="AP1403" s="88"/>
      <c r="AQ1403" s="17" t="s">
        <v>535</v>
      </c>
      <c r="AR1403" s="174">
        <v>70</v>
      </c>
      <c r="AS1403" s="171"/>
      <c r="AT1403" s="171">
        <v>200</v>
      </c>
      <c r="AU1403" s="255">
        <f t="shared" si="103"/>
        <v>14.893617021276595</v>
      </c>
      <c r="AV1403" s="172">
        <v>95</v>
      </c>
      <c r="AW1403" s="171">
        <v>3</v>
      </c>
      <c r="AX1403" s="171">
        <v>20</v>
      </c>
      <c r="AY1403" s="171">
        <v>21</v>
      </c>
      <c r="AZ1403" s="89"/>
      <c r="BA1403" s="175">
        <v>65</v>
      </c>
      <c r="BB1403" s="259"/>
      <c r="BC1403" s="190"/>
      <c r="BD1403" s="177"/>
      <c r="BE1403" s="177"/>
      <c r="BF1403" s="178"/>
    </row>
    <row r="1404" spans="1:58" ht="15" customHeight="1">
      <c r="A1404" s="95">
        <v>1403</v>
      </c>
      <c r="B1404" s="211" t="s">
        <v>369</v>
      </c>
      <c r="C1404" s="191" t="s">
        <v>437</v>
      </c>
      <c r="D1404" s="171" t="s">
        <v>251</v>
      </c>
      <c r="E1404" s="463" t="s">
        <v>3377</v>
      </c>
      <c r="F1404" s="171">
        <v>2009</v>
      </c>
      <c r="G1404" s="171">
        <v>324</v>
      </c>
      <c r="H1404" s="172" t="s">
        <v>1738</v>
      </c>
      <c r="I1404" s="173" t="s">
        <v>1743</v>
      </c>
      <c r="J1404" s="217">
        <v>0.58181818181818179</v>
      </c>
      <c r="K1404" s="213">
        <v>7.1454545454545455</v>
      </c>
      <c r="L1404" s="91"/>
      <c r="M1404" s="171">
        <v>275</v>
      </c>
      <c r="N1404" s="171"/>
      <c r="O1404" s="172" t="s">
        <v>12</v>
      </c>
      <c r="P1404" s="89"/>
      <c r="Q1404" s="173" t="s">
        <v>2577</v>
      </c>
      <c r="R1404" s="506" t="s">
        <v>2727</v>
      </c>
      <c r="S1404" s="89"/>
      <c r="T1404" s="89"/>
      <c r="U1404" s="214" t="s">
        <v>3345</v>
      </c>
      <c r="V1404" s="102">
        <v>0</v>
      </c>
      <c r="W1404" s="120">
        <v>0</v>
      </c>
      <c r="X1404" s="120">
        <v>0</v>
      </c>
      <c r="Y1404" s="120">
        <v>0</v>
      </c>
      <c r="Z1404" s="120">
        <v>0</v>
      </c>
      <c r="AA1404" s="17">
        <v>0</v>
      </c>
      <c r="AB1404" s="17">
        <v>0</v>
      </c>
      <c r="AC1404" s="17">
        <v>0</v>
      </c>
      <c r="AD1404" s="17">
        <v>0</v>
      </c>
      <c r="AE1404" s="17">
        <v>0</v>
      </c>
      <c r="AF1404" s="17">
        <v>0</v>
      </c>
      <c r="AG1404" s="17">
        <v>0</v>
      </c>
      <c r="AH1404" s="17">
        <v>0</v>
      </c>
      <c r="AI1404" s="17">
        <v>0</v>
      </c>
      <c r="AJ1404" s="17">
        <v>0</v>
      </c>
      <c r="AK1404" s="17">
        <v>0</v>
      </c>
      <c r="AL1404" s="32">
        <v>0</v>
      </c>
      <c r="AM1404" s="172">
        <v>44</v>
      </c>
      <c r="AN1404" s="89"/>
      <c r="AO1404" s="171">
        <v>24</v>
      </c>
      <c r="AP1404" s="88"/>
      <c r="AQ1404" s="17" t="s">
        <v>535</v>
      </c>
      <c r="AR1404" s="174">
        <v>70</v>
      </c>
      <c r="AS1404" s="171"/>
      <c r="AT1404" s="171">
        <v>200</v>
      </c>
      <c r="AU1404" s="255">
        <f t="shared" si="103"/>
        <v>14.893617021276595</v>
      </c>
      <c r="AV1404" s="172">
        <v>95</v>
      </c>
      <c r="AW1404" s="171">
        <v>3</v>
      </c>
      <c r="AX1404" s="171">
        <v>20</v>
      </c>
      <c r="AY1404" s="171">
        <v>21</v>
      </c>
      <c r="AZ1404" s="89"/>
      <c r="BA1404" s="175">
        <v>65</v>
      </c>
      <c r="BB1404" s="259"/>
      <c r="BC1404" s="190"/>
      <c r="BD1404" s="177"/>
      <c r="BE1404" s="177"/>
      <c r="BF1404" s="178"/>
    </row>
    <row r="1405" spans="1:58" ht="15" customHeight="1">
      <c r="A1405" s="95">
        <v>1404</v>
      </c>
      <c r="B1405" s="211" t="s">
        <v>370</v>
      </c>
      <c r="C1405" s="191" t="s">
        <v>437</v>
      </c>
      <c r="D1405" s="171" t="s">
        <v>251</v>
      </c>
      <c r="E1405" s="463" t="s">
        <v>3377</v>
      </c>
      <c r="F1405" s="171">
        <v>2009</v>
      </c>
      <c r="G1405" s="171">
        <v>324</v>
      </c>
      <c r="H1405" s="172" t="s">
        <v>1738</v>
      </c>
      <c r="I1405" s="173" t="s">
        <v>1743</v>
      </c>
      <c r="J1405" s="217">
        <v>0.58181818181818179</v>
      </c>
      <c r="K1405" s="213">
        <v>7.1454545454545455</v>
      </c>
      <c r="L1405" s="91"/>
      <c r="M1405" s="171">
        <v>275</v>
      </c>
      <c r="N1405" s="171"/>
      <c r="O1405" s="172" t="s">
        <v>12</v>
      </c>
      <c r="P1405" s="89"/>
      <c r="Q1405" s="173" t="s">
        <v>2577</v>
      </c>
      <c r="R1405" s="512" t="s">
        <v>2729</v>
      </c>
      <c r="S1405" s="89"/>
      <c r="T1405" s="89"/>
      <c r="U1405" s="214" t="s">
        <v>3345</v>
      </c>
      <c r="V1405" s="102">
        <v>0</v>
      </c>
      <c r="W1405" s="120">
        <v>0</v>
      </c>
      <c r="X1405" s="120">
        <v>0</v>
      </c>
      <c r="Y1405" s="120">
        <v>0</v>
      </c>
      <c r="Z1405" s="120">
        <v>0</v>
      </c>
      <c r="AA1405" s="17">
        <v>0</v>
      </c>
      <c r="AB1405" s="17">
        <v>0</v>
      </c>
      <c r="AC1405" s="17">
        <v>0</v>
      </c>
      <c r="AD1405" s="17">
        <v>0</v>
      </c>
      <c r="AE1405" s="17">
        <v>0</v>
      </c>
      <c r="AF1405" s="17">
        <v>0</v>
      </c>
      <c r="AG1405" s="17">
        <v>0</v>
      </c>
      <c r="AH1405" s="17">
        <v>0</v>
      </c>
      <c r="AI1405" s="17">
        <v>0</v>
      </c>
      <c r="AJ1405" s="17">
        <v>0</v>
      </c>
      <c r="AK1405" s="17">
        <v>0</v>
      </c>
      <c r="AL1405" s="32">
        <v>0</v>
      </c>
      <c r="AM1405" s="172">
        <v>47.4</v>
      </c>
      <c r="AN1405" s="89"/>
      <c r="AO1405" s="171">
        <v>25</v>
      </c>
      <c r="AP1405" s="88"/>
      <c r="AQ1405" s="17" t="s">
        <v>535</v>
      </c>
      <c r="AR1405" s="174">
        <v>70</v>
      </c>
      <c r="AS1405" s="171"/>
      <c r="AT1405" s="171">
        <v>200</v>
      </c>
      <c r="AU1405" s="255">
        <f t="shared" si="103"/>
        <v>14.893617021276595</v>
      </c>
      <c r="AV1405" s="172">
        <v>95</v>
      </c>
      <c r="AW1405" s="171">
        <v>3</v>
      </c>
      <c r="AX1405" s="171">
        <v>20</v>
      </c>
      <c r="AY1405" s="171">
        <v>21</v>
      </c>
      <c r="AZ1405" s="89"/>
      <c r="BA1405" s="175">
        <v>65</v>
      </c>
      <c r="BB1405" s="259"/>
      <c r="BC1405" s="190"/>
      <c r="BD1405" s="177"/>
      <c r="BE1405" s="177"/>
      <c r="BF1405" s="178"/>
    </row>
    <row r="1406" spans="1:58" ht="15" customHeight="1">
      <c r="A1406" s="95">
        <v>1405</v>
      </c>
      <c r="B1406" s="211" t="s">
        <v>371</v>
      </c>
      <c r="C1406" s="191" t="s">
        <v>437</v>
      </c>
      <c r="D1406" s="171" t="s">
        <v>251</v>
      </c>
      <c r="E1406" s="463" t="s">
        <v>3377</v>
      </c>
      <c r="F1406" s="171">
        <v>2009</v>
      </c>
      <c r="G1406" s="171">
        <v>324</v>
      </c>
      <c r="H1406" s="172" t="s">
        <v>1738</v>
      </c>
      <c r="I1406" s="173" t="s">
        <v>1743</v>
      </c>
      <c r="J1406" s="217">
        <v>0.40909090909090912</v>
      </c>
      <c r="K1406" s="213">
        <v>2.9545454545454546</v>
      </c>
      <c r="L1406" s="91"/>
      <c r="M1406" s="171">
        <v>550</v>
      </c>
      <c r="N1406" s="171"/>
      <c r="O1406" s="172" t="s">
        <v>12</v>
      </c>
      <c r="P1406" s="89"/>
      <c r="Q1406" s="173" t="s">
        <v>2577</v>
      </c>
      <c r="R1406" s="506" t="s">
        <v>2731</v>
      </c>
      <c r="S1406" s="89"/>
      <c r="T1406" s="89"/>
      <c r="U1406" s="214" t="s">
        <v>3345</v>
      </c>
      <c r="V1406" s="102">
        <v>0</v>
      </c>
      <c r="W1406" s="120">
        <v>0</v>
      </c>
      <c r="X1406" s="120">
        <v>0</v>
      </c>
      <c r="Y1406" s="120">
        <v>0</v>
      </c>
      <c r="Z1406" s="120">
        <v>0</v>
      </c>
      <c r="AA1406" s="17">
        <v>0</v>
      </c>
      <c r="AB1406" s="17">
        <v>0</v>
      </c>
      <c r="AC1406" s="17">
        <v>0</v>
      </c>
      <c r="AD1406" s="17">
        <v>0</v>
      </c>
      <c r="AE1406" s="17">
        <v>0</v>
      </c>
      <c r="AF1406" s="17">
        <v>0</v>
      </c>
      <c r="AG1406" s="17">
        <v>0</v>
      </c>
      <c r="AH1406" s="17">
        <v>2</v>
      </c>
      <c r="AI1406" s="17">
        <v>0</v>
      </c>
      <c r="AJ1406" s="17">
        <v>0</v>
      </c>
      <c r="AK1406" s="17">
        <v>0</v>
      </c>
      <c r="AL1406" s="32">
        <v>0</v>
      </c>
      <c r="AM1406" s="172">
        <v>56.5</v>
      </c>
      <c r="AN1406" s="89"/>
      <c r="AO1406" s="171">
        <v>32</v>
      </c>
      <c r="AP1406" s="88"/>
      <c r="AQ1406" s="17" t="s">
        <v>535</v>
      </c>
      <c r="AR1406" s="174">
        <v>70</v>
      </c>
      <c r="AS1406" s="171"/>
      <c r="AT1406" s="171">
        <v>200</v>
      </c>
      <c r="AU1406" s="255">
        <f t="shared" si="103"/>
        <v>14.893617021276595</v>
      </c>
      <c r="AV1406" s="172">
        <v>95</v>
      </c>
      <c r="AW1406" s="171">
        <v>3</v>
      </c>
      <c r="AX1406" s="171">
        <v>20</v>
      </c>
      <c r="AY1406" s="171">
        <v>21</v>
      </c>
      <c r="AZ1406" s="89"/>
      <c r="BA1406" s="175">
        <v>65</v>
      </c>
      <c r="BB1406" s="259"/>
      <c r="BC1406" s="190"/>
      <c r="BD1406" s="177"/>
      <c r="BE1406" s="177"/>
      <c r="BF1406" s="178" t="s">
        <v>1799</v>
      </c>
    </row>
    <row r="1407" spans="1:58" ht="15" customHeight="1">
      <c r="A1407" s="95">
        <v>1406</v>
      </c>
      <c r="B1407" s="211" t="s">
        <v>372</v>
      </c>
      <c r="C1407" s="191" t="s">
        <v>437</v>
      </c>
      <c r="D1407" s="171" t="s">
        <v>251</v>
      </c>
      <c r="E1407" s="463" t="s">
        <v>3377</v>
      </c>
      <c r="F1407" s="171">
        <v>2009</v>
      </c>
      <c r="G1407" s="171">
        <v>324</v>
      </c>
      <c r="H1407" s="172" t="s">
        <v>1738</v>
      </c>
      <c r="I1407" s="173" t="s">
        <v>1743</v>
      </c>
      <c r="J1407" s="217">
        <v>0.58181818181818179</v>
      </c>
      <c r="K1407" s="213">
        <v>7.1454545454545455</v>
      </c>
      <c r="L1407" s="91"/>
      <c r="M1407" s="171">
        <v>275</v>
      </c>
      <c r="N1407" s="171"/>
      <c r="O1407" s="172" t="s">
        <v>12</v>
      </c>
      <c r="P1407" s="89"/>
      <c r="Q1407" s="173" t="s">
        <v>2577</v>
      </c>
      <c r="R1407" s="506" t="s">
        <v>2731</v>
      </c>
      <c r="S1407" s="89"/>
      <c r="T1407" s="89"/>
      <c r="U1407" s="214" t="s">
        <v>3345</v>
      </c>
      <c r="V1407" s="102">
        <v>0</v>
      </c>
      <c r="W1407" s="120">
        <v>0</v>
      </c>
      <c r="X1407" s="120">
        <v>0</v>
      </c>
      <c r="Y1407" s="120">
        <v>0</v>
      </c>
      <c r="Z1407" s="120">
        <v>0</v>
      </c>
      <c r="AA1407" s="17">
        <v>0</v>
      </c>
      <c r="AB1407" s="17">
        <v>0</v>
      </c>
      <c r="AC1407" s="17">
        <v>0</v>
      </c>
      <c r="AD1407" s="17">
        <v>0</v>
      </c>
      <c r="AE1407" s="17">
        <v>0</v>
      </c>
      <c r="AF1407" s="17">
        <v>0</v>
      </c>
      <c r="AG1407" s="17">
        <v>0</v>
      </c>
      <c r="AH1407" s="123">
        <v>2</v>
      </c>
      <c r="AI1407" s="17">
        <v>0</v>
      </c>
      <c r="AJ1407" s="17">
        <v>0</v>
      </c>
      <c r="AK1407" s="17">
        <v>0</v>
      </c>
      <c r="AL1407" s="32">
        <v>0</v>
      </c>
      <c r="AM1407" s="172">
        <v>40.5</v>
      </c>
      <c r="AN1407" s="89"/>
      <c r="AO1407" s="171">
        <v>22.5</v>
      </c>
      <c r="AP1407" s="88"/>
      <c r="AQ1407" s="17" t="s">
        <v>535</v>
      </c>
      <c r="AR1407" s="174">
        <v>70</v>
      </c>
      <c r="AS1407" s="171"/>
      <c r="AT1407" s="171">
        <v>200</v>
      </c>
      <c r="AU1407" s="255">
        <f t="shared" si="103"/>
        <v>14.893617021276595</v>
      </c>
      <c r="AV1407" s="172">
        <v>95</v>
      </c>
      <c r="AW1407" s="171">
        <v>3</v>
      </c>
      <c r="AX1407" s="171">
        <v>20</v>
      </c>
      <c r="AY1407" s="171">
        <v>21</v>
      </c>
      <c r="AZ1407" s="89"/>
      <c r="BA1407" s="175">
        <v>65</v>
      </c>
      <c r="BB1407" s="259"/>
      <c r="BC1407" s="190"/>
      <c r="BD1407" s="177"/>
      <c r="BE1407" s="177"/>
      <c r="BF1407" s="178"/>
    </row>
    <row r="1408" spans="1:58" ht="15" customHeight="1">
      <c r="A1408" s="95">
        <v>1407</v>
      </c>
      <c r="B1408" s="211" t="s">
        <v>373</v>
      </c>
      <c r="C1408" s="191" t="s">
        <v>437</v>
      </c>
      <c r="D1408" s="171" t="s">
        <v>251</v>
      </c>
      <c r="E1408" s="463" t="s">
        <v>3377</v>
      </c>
      <c r="F1408" s="171">
        <v>2009</v>
      </c>
      <c r="G1408" s="171">
        <v>324</v>
      </c>
      <c r="H1408" s="172" t="s">
        <v>1738</v>
      </c>
      <c r="I1408" s="173" t="s">
        <v>1743</v>
      </c>
      <c r="J1408" s="217">
        <v>0.58181818181818179</v>
      </c>
      <c r="K1408" s="213">
        <v>7.1454545454545455</v>
      </c>
      <c r="L1408" s="91"/>
      <c r="M1408" s="171">
        <v>275</v>
      </c>
      <c r="N1408" s="171"/>
      <c r="O1408" s="172" t="s">
        <v>12</v>
      </c>
      <c r="P1408" s="89"/>
      <c r="Q1408" s="173" t="s">
        <v>2577</v>
      </c>
      <c r="R1408" s="506" t="s">
        <v>2727</v>
      </c>
      <c r="S1408" s="89"/>
      <c r="T1408" s="89"/>
      <c r="U1408" s="214" t="s">
        <v>3345</v>
      </c>
      <c r="V1408" s="102">
        <v>0</v>
      </c>
      <c r="W1408" s="120">
        <v>0</v>
      </c>
      <c r="X1408" s="120">
        <v>0</v>
      </c>
      <c r="Y1408" s="120">
        <v>0</v>
      </c>
      <c r="Z1408" s="120">
        <v>0</v>
      </c>
      <c r="AA1408" s="17">
        <v>0</v>
      </c>
      <c r="AB1408" s="17">
        <v>0</v>
      </c>
      <c r="AC1408" s="17">
        <v>0</v>
      </c>
      <c r="AD1408" s="17">
        <v>0</v>
      </c>
      <c r="AE1408" s="17">
        <v>0</v>
      </c>
      <c r="AF1408" s="17">
        <v>0</v>
      </c>
      <c r="AG1408" s="17">
        <v>0</v>
      </c>
      <c r="AH1408" s="17">
        <v>0</v>
      </c>
      <c r="AI1408" s="17">
        <v>0</v>
      </c>
      <c r="AJ1408" s="17">
        <v>0</v>
      </c>
      <c r="AK1408" s="17">
        <v>0</v>
      </c>
      <c r="AL1408" s="32">
        <v>0</v>
      </c>
      <c r="AM1408" s="172">
        <v>44</v>
      </c>
      <c r="AN1408" s="89"/>
      <c r="AO1408" s="171">
        <v>24</v>
      </c>
      <c r="AP1408" s="88"/>
      <c r="AQ1408" s="17" t="s">
        <v>535</v>
      </c>
      <c r="AR1408" s="174">
        <v>70</v>
      </c>
      <c r="AS1408" s="171"/>
      <c r="AT1408" s="171">
        <v>200</v>
      </c>
      <c r="AU1408" s="255">
        <f t="shared" si="103"/>
        <v>14.893617021276595</v>
      </c>
      <c r="AV1408" s="172">
        <v>95</v>
      </c>
      <c r="AW1408" s="171">
        <v>3</v>
      </c>
      <c r="AX1408" s="171">
        <v>20</v>
      </c>
      <c r="AY1408" s="171">
        <v>21</v>
      </c>
      <c r="AZ1408" s="89"/>
      <c r="BA1408" s="175">
        <v>65</v>
      </c>
      <c r="BB1408" s="259"/>
      <c r="BC1408" s="190"/>
      <c r="BD1408" s="177"/>
      <c r="BE1408" s="177"/>
      <c r="BF1408" s="178" t="s">
        <v>2624</v>
      </c>
    </row>
    <row r="1409" spans="1:58">
      <c r="A1409" s="95">
        <v>1408</v>
      </c>
      <c r="B1409" s="211" t="s">
        <v>374</v>
      </c>
      <c r="C1409" s="191" t="s">
        <v>437</v>
      </c>
      <c r="D1409" s="171" t="s">
        <v>251</v>
      </c>
      <c r="E1409" s="463" t="s">
        <v>3377</v>
      </c>
      <c r="F1409" s="171">
        <v>2009</v>
      </c>
      <c r="G1409" s="171">
        <v>324</v>
      </c>
      <c r="H1409" s="172" t="s">
        <v>1738</v>
      </c>
      <c r="I1409" s="173" t="s">
        <v>1739</v>
      </c>
      <c r="J1409" s="217">
        <v>0.58181818181818179</v>
      </c>
      <c r="K1409" s="213">
        <v>7.1454545454545455</v>
      </c>
      <c r="L1409" s="91"/>
      <c r="M1409" s="171">
        <v>275</v>
      </c>
      <c r="N1409" s="171"/>
      <c r="O1409" s="172" t="s">
        <v>12</v>
      </c>
      <c r="P1409" s="89"/>
      <c r="Q1409" s="173" t="s">
        <v>2577</v>
      </c>
      <c r="R1409" s="506" t="s">
        <v>2727</v>
      </c>
      <c r="S1409" s="89"/>
      <c r="T1409" s="89"/>
      <c r="U1409" s="214" t="s">
        <v>3345</v>
      </c>
      <c r="V1409" s="102">
        <v>0</v>
      </c>
      <c r="W1409" s="120">
        <v>0</v>
      </c>
      <c r="X1409" s="120">
        <v>0</v>
      </c>
      <c r="Y1409" s="120">
        <v>0</v>
      </c>
      <c r="Z1409" s="120">
        <v>0</v>
      </c>
      <c r="AA1409" s="17">
        <v>0</v>
      </c>
      <c r="AB1409" s="17">
        <v>0</v>
      </c>
      <c r="AC1409" s="17">
        <v>0</v>
      </c>
      <c r="AD1409" s="17">
        <v>0</v>
      </c>
      <c r="AE1409" s="17">
        <v>0</v>
      </c>
      <c r="AF1409" s="17">
        <v>0</v>
      </c>
      <c r="AG1409" s="17">
        <v>0</v>
      </c>
      <c r="AH1409" s="17">
        <v>0</v>
      </c>
      <c r="AI1409" s="17">
        <v>0</v>
      </c>
      <c r="AJ1409" s="17">
        <v>0</v>
      </c>
      <c r="AK1409" s="17">
        <v>0</v>
      </c>
      <c r="AL1409" s="32">
        <v>0</v>
      </c>
      <c r="AM1409" s="172">
        <v>44</v>
      </c>
      <c r="AN1409" s="89"/>
      <c r="AO1409" s="171">
        <v>24</v>
      </c>
      <c r="AP1409" s="88"/>
      <c r="AQ1409" s="17" t="s">
        <v>535</v>
      </c>
      <c r="AR1409" s="174">
        <v>70</v>
      </c>
      <c r="AS1409" s="171"/>
      <c r="AT1409" s="171">
        <v>200</v>
      </c>
      <c r="AU1409" s="255">
        <f t="shared" si="103"/>
        <v>14.893617021276595</v>
      </c>
      <c r="AV1409" s="172">
        <v>99</v>
      </c>
      <c r="AW1409" s="171">
        <v>3</v>
      </c>
      <c r="AX1409" s="171">
        <v>20</v>
      </c>
      <c r="AY1409" s="171">
        <v>21</v>
      </c>
      <c r="AZ1409" s="89"/>
      <c r="BA1409" s="175">
        <v>65</v>
      </c>
      <c r="BB1409" s="259"/>
      <c r="BC1409" s="190"/>
      <c r="BD1409" s="177"/>
      <c r="BE1409" s="177"/>
      <c r="BF1409" s="178" t="s">
        <v>2624</v>
      </c>
    </row>
    <row r="1410" spans="1:58" ht="15" customHeight="1">
      <c r="A1410" s="95">
        <v>1409</v>
      </c>
      <c r="B1410" s="211" t="s">
        <v>375</v>
      </c>
      <c r="C1410" s="191" t="s">
        <v>437</v>
      </c>
      <c r="D1410" s="171" t="s">
        <v>251</v>
      </c>
      <c r="E1410" s="463" t="s">
        <v>3377</v>
      </c>
      <c r="F1410" s="171">
        <v>2009</v>
      </c>
      <c r="G1410" s="171">
        <v>324</v>
      </c>
      <c r="H1410" s="172" t="s">
        <v>1738</v>
      </c>
      <c r="I1410" s="173" t="s">
        <v>1743</v>
      </c>
      <c r="J1410" s="217">
        <v>0.58181818181818179</v>
      </c>
      <c r="K1410" s="213">
        <v>7.1454545454545455</v>
      </c>
      <c r="L1410" s="91"/>
      <c r="M1410" s="171">
        <v>275</v>
      </c>
      <c r="N1410" s="171"/>
      <c r="O1410" s="172" t="s">
        <v>12</v>
      </c>
      <c r="P1410" s="89"/>
      <c r="Q1410" s="173" t="s">
        <v>2577</v>
      </c>
      <c r="R1410" s="506" t="s">
        <v>2727</v>
      </c>
      <c r="S1410" s="89"/>
      <c r="T1410" s="89"/>
      <c r="U1410" s="214" t="s">
        <v>3345</v>
      </c>
      <c r="V1410" s="102">
        <v>0</v>
      </c>
      <c r="W1410" s="120">
        <v>0</v>
      </c>
      <c r="X1410" s="120">
        <v>0</v>
      </c>
      <c r="Y1410" s="120">
        <v>0</v>
      </c>
      <c r="Z1410" s="120">
        <v>0</v>
      </c>
      <c r="AA1410" s="17">
        <v>0</v>
      </c>
      <c r="AB1410" s="17">
        <v>0</v>
      </c>
      <c r="AC1410" s="17">
        <v>0</v>
      </c>
      <c r="AD1410" s="17">
        <v>0</v>
      </c>
      <c r="AE1410" s="17">
        <v>0</v>
      </c>
      <c r="AF1410" s="17">
        <v>0</v>
      </c>
      <c r="AG1410" s="17">
        <v>0</v>
      </c>
      <c r="AH1410" s="17">
        <v>0</v>
      </c>
      <c r="AI1410" s="17">
        <v>0</v>
      </c>
      <c r="AJ1410" s="17">
        <v>0</v>
      </c>
      <c r="AK1410" s="17">
        <v>0</v>
      </c>
      <c r="AL1410" s="32">
        <v>0</v>
      </c>
      <c r="AM1410" s="172">
        <v>44</v>
      </c>
      <c r="AN1410" s="89"/>
      <c r="AO1410" s="171">
        <v>24</v>
      </c>
      <c r="AP1410" s="88"/>
      <c r="AQ1410" s="17" t="s">
        <v>535</v>
      </c>
      <c r="AR1410" s="174">
        <v>70</v>
      </c>
      <c r="AS1410" s="171"/>
      <c r="AT1410" s="171">
        <v>200</v>
      </c>
      <c r="AU1410" s="255">
        <f t="shared" si="103"/>
        <v>14.893617021276595</v>
      </c>
      <c r="AV1410" s="172">
        <v>95</v>
      </c>
      <c r="AW1410" s="171">
        <v>3</v>
      </c>
      <c r="AX1410" s="171">
        <v>20</v>
      </c>
      <c r="AY1410" s="171">
        <v>21</v>
      </c>
      <c r="AZ1410" s="89"/>
      <c r="BA1410" s="175">
        <v>65</v>
      </c>
      <c r="BB1410" s="259"/>
      <c r="BC1410" s="190"/>
      <c r="BD1410" s="177"/>
      <c r="BE1410" s="177"/>
      <c r="BF1410" s="178" t="s">
        <v>2624</v>
      </c>
    </row>
    <row r="1411" spans="1:58" ht="15" customHeight="1">
      <c r="A1411" s="95">
        <v>1410</v>
      </c>
      <c r="B1411" s="211" t="s">
        <v>376</v>
      </c>
      <c r="C1411" s="191" t="s">
        <v>437</v>
      </c>
      <c r="D1411" s="171" t="s">
        <v>251</v>
      </c>
      <c r="E1411" s="463" t="s">
        <v>3377</v>
      </c>
      <c r="F1411" s="171">
        <v>2009</v>
      </c>
      <c r="G1411" s="171">
        <v>324</v>
      </c>
      <c r="H1411" s="172" t="s">
        <v>1738</v>
      </c>
      <c r="I1411" s="173" t="s">
        <v>1743</v>
      </c>
      <c r="J1411" s="217">
        <v>0.40909090909090912</v>
      </c>
      <c r="K1411" s="213">
        <v>2.9545454545454546</v>
      </c>
      <c r="L1411" s="91"/>
      <c r="M1411" s="171">
        <v>550</v>
      </c>
      <c r="N1411" s="171"/>
      <c r="O1411" s="172" t="s">
        <v>12</v>
      </c>
      <c r="P1411" s="89"/>
      <c r="Q1411" s="173" t="s">
        <v>2577</v>
      </c>
      <c r="R1411" s="506" t="s">
        <v>2731</v>
      </c>
      <c r="S1411" s="89"/>
      <c r="T1411" s="89"/>
      <c r="U1411" s="214" t="s">
        <v>3345</v>
      </c>
      <c r="V1411" s="102">
        <v>0</v>
      </c>
      <c r="W1411" s="120">
        <v>0</v>
      </c>
      <c r="X1411" s="120">
        <v>0</v>
      </c>
      <c r="Y1411" s="120">
        <v>0</v>
      </c>
      <c r="Z1411" s="120">
        <v>0</v>
      </c>
      <c r="AA1411" s="17">
        <v>0</v>
      </c>
      <c r="AB1411" s="17">
        <v>0</v>
      </c>
      <c r="AC1411" s="17">
        <v>0</v>
      </c>
      <c r="AD1411" s="17">
        <v>0</v>
      </c>
      <c r="AE1411" s="17">
        <v>0</v>
      </c>
      <c r="AF1411" s="17">
        <v>0</v>
      </c>
      <c r="AG1411" s="17">
        <v>0</v>
      </c>
      <c r="AH1411" s="123">
        <v>2</v>
      </c>
      <c r="AI1411" s="17">
        <v>0</v>
      </c>
      <c r="AJ1411" s="17">
        <v>0</v>
      </c>
      <c r="AK1411" s="17">
        <v>0</v>
      </c>
      <c r="AL1411" s="32">
        <v>0</v>
      </c>
      <c r="AM1411" s="172">
        <v>56.5</v>
      </c>
      <c r="AN1411" s="89"/>
      <c r="AO1411" s="171">
        <v>32</v>
      </c>
      <c r="AP1411" s="88"/>
      <c r="AQ1411" s="17" t="s">
        <v>535</v>
      </c>
      <c r="AR1411" s="174">
        <v>70</v>
      </c>
      <c r="AS1411" s="171"/>
      <c r="AT1411" s="171">
        <v>200</v>
      </c>
      <c r="AU1411" s="255">
        <f t="shared" si="103"/>
        <v>14.893617021276595</v>
      </c>
      <c r="AV1411" s="172">
        <v>95</v>
      </c>
      <c r="AW1411" s="171">
        <v>3</v>
      </c>
      <c r="AX1411" s="171">
        <v>20</v>
      </c>
      <c r="AY1411" s="171">
        <v>21</v>
      </c>
      <c r="AZ1411" s="89"/>
      <c r="BA1411" s="175">
        <v>65</v>
      </c>
      <c r="BB1411" s="259"/>
      <c r="BC1411" s="190"/>
      <c r="BD1411" s="177"/>
      <c r="BE1411" s="177"/>
      <c r="BF1411" s="178"/>
    </row>
    <row r="1412" spans="1:58" ht="15" customHeight="1">
      <c r="A1412" s="95">
        <v>1411</v>
      </c>
      <c r="B1412" s="211" t="s">
        <v>377</v>
      </c>
      <c r="C1412" s="191" t="s">
        <v>437</v>
      </c>
      <c r="D1412" s="171" t="s">
        <v>251</v>
      </c>
      <c r="E1412" s="463" t="s">
        <v>3377</v>
      </c>
      <c r="F1412" s="171">
        <v>2009</v>
      </c>
      <c r="G1412" s="171">
        <v>324</v>
      </c>
      <c r="H1412" s="172" t="s">
        <v>1738</v>
      </c>
      <c r="I1412" s="173" t="s">
        <v>1743</v>
      </c>
      <c r="J1412" s="217">
        <v>0.58181818181818179</v>
      </c>
      <c r="K1412" s="213">
        <v>7.1454545454545455</v>
      </c>
      <c r="L1412" s="91"/>
      <c r="M1412" s="171">
        <v>275</v>
      </c>
      <c r="N1412" s="171"/>
      <c r="O1412" s="172" t="s">
        <v>12</v>
      </c>
      <c r="P1412" s="89"/>
      <c r="Q1412" s="173" t="s">
        <v>2577</v>
      </c>
      <c r="R1412" s="506" t="s">
        <v>2731</v>
      </c>
      <c r="S1412" s="89"/>
      <c r="T1412" s="89"/>
      <c r="U1412" s="214" t="s">
        <v>3345</v>
      </c>
      <c r="V1412" s="102">
        <v>0</v>
      </c>
      <c r="W1412" s="120">
        <v>0</v>
      </c>
      <c r="X1412" s="120">
        <v>0</v>
      </c>
      <c r="Y1412" s="120">
        <v>0</v>
      </c>
      <c r="Z1412" s="120">
        <v>0</v>
      </c>
      <c r="AA1412" s="17">
        <v>0</v>
      </c>
      <c r="AB1412" s="17">
        <v>0</v>
      </c>
      <c r="AC1412" s="17">
        <v>0</v>
      </c>
      <c r="AD1412" s="17">
        <v>0</v>
      </c>
      <c r="AE1412" s="17">
        <v>0</v>
      </c>
      <c r="AF1412" s="17">
        <v>0</v>
      </c>
      <c r="AG1412" s="17">
        <v>0</v>
      </c>
      <c r="AH1412" s="123">
        <v>2</v>
      </c>
      <c r="AI1412" s="17">
        <v>0</v>
      </c>
      <c r="AJ1412" s="17">
        <v>0</v>
      </c>
      <c r="AK1412" s="17">
        <v>0</v>
      </c>
      <c r="AL1412" s="32">
        <v>0</v>
      </c>
      <c r="AM1412" s="172">
        <v>56.5</v>
      </c>
      <c r="AN1412" s="89"/>
      <c r="AO1412" s="171">
        <v>34.9</v>
      </c>
      <c r="AP1412" s="88"/>
      <c r="AQ1412" s="17" t="s">
        <v>535</v>
      </c>
      <c r="AR1412" s="174">
        <v>70</v>
      </c>
      <c r="AS1412" s="171"/>
      <c r="AT1412" s="171">
        <v>200</v>
      </c>
      <c r="AU1412" s="255">
        <f t="shared" si="103"/>
        <v>14.893617021276595</v>
      </c>
      <c r="AV1412" s="172">
        <v>95</v>
      </c>
      <c r="AW1412" s="171">
        <v>3</v>
      </c>
      <c r="AX1412" s="171">
        <v>20</v>
      </c>
      <c r="AY1412" s="171">
        <v>21</v>
      </c>
      <c r="AZ1412" s="89"/>
      <c r="BA1412" s="175">
        <v>65</v>
      </c>
      <c r="BB1412" s="259"/>
      <c r="BC1412" s="190"/>
      <c r="BD1412" s="177"/>
      <c r="BE1412" s="177"/>
      <c r="BF1412" s="178"/>
    </row>
    <row r="1413" spans="1:58" ht="15" customHeight="1">
      <c r="A1413" s="95">
        <v>1412</v>
      </c>
      <c r="B1413" s="211" t="s">
        <v>378</v>
      </c>
      <c r="C1413" s="191" t="s">
        <v>437</v>
      </c>
      <c r="D1413" s="171" t="s">
        <v>251</v>
      </c>
      <c r="E1413" s="463" t="s">
        <v>3377</v>
      </c>
      <c r="F1413" s="171">
        <v>2009</v>
      </c>
      <c r="G1413" s="171">
        <v>324</v>
      </c>
      <c r="H1413" s="172" t="s">
        <v>1738</v>
      </c>
      <c r="I1413" s="173" t="s">
        <v>1743</v>
      </c>
      <c r="J1413" s="217">
        <v>0.58181818181818179</v>
      </c>
      <c r="K1413" s="213">
        <v>7.1454545454545455</v>
      </c>
      <c r="L1413" s="91"/>
      <c r="M1413" s="171">
        <v>275</v>
      </c>
      <c r="N1413" s="171"/>
      <c r="O1413" s="172" t="s">
        <v>12</v>
      </c>
      <c r="P1413" s="89"/>
      <c r="Q1413" s="173" t="s">
        <v>2577</v>
      </c>
      <c r="R1413" s="65" t="s">
        <v>2727</v>
      </c>
      <c r="S1413" s="89"/>
      <c r="T1413" s="89"/>
      <c r="U1413" s="214" t="s">
        <v>3345</v>
      </c>
      <c r="V1413" s="102">
        <v>0</v>
      </c>
      <c r="W1413" s="120">
        <v>0</v>
      </c>
      <c r="X1413" s="120">
        <v>0</v>
      </c>
      <c r="Y1413" s="120">
        <v>0</v>
      </c>
      <c r="Z1413" s="120">
        <v>0</v>
      </c>
      <c r="AA1413" s="17">
        <v>0</v>
      </c>
      <c r="AB1413" s="17">
        <v>0</v>
      </c>
      <c r="AC1413" s="17">
        <v>0</v>
      </c>
      <c r="AD1413" s="17">
        <v>0</v>
      </c>
      <c r="AE1413" s="17">
        <v>0</v>
      </c>
      <c r="AF1413" s="17">
        <v>0</v>
      </c>
      <c r="AG1413" s="17">
        <v>0</v>
      </c>
      <c r="AH1413" s="17">
        <v>0</v>
      </c>
      <c r="AI1413" s="17">
        <v>0</v>
      </c>
      <c r="AJ1413" s="17">
        <v>0</v>
      </c>
      <c r="AK1413" s="17">
        <v>0</v>
      </c>
      <c r="AL1413" s="32">
        <v>0</v>
      </c>
      <c r="AM1413" s="172">
        <v>53.6</v>
      </c>
      <c r="AN1413" s="89"/>
      <c r="AO1413" s="171">
        <v>33.700000000000003</v>
      </c>
      <c r="AP1413" s="88"/>
      <c r="AQ1413" s="17" t="s">
        <v>535</v>
      </c>
      <c r="AR1413" s="174">
        <v>70</v>
      </c>
      <c r="AS1413" s="171"/>
      <c r="AT1413" s="171">
        <v>200</v>
      </c>
      <c r="AU1413" s="255">
        <f t="shared" si="103"/>
        <v>14.893617021276595</v>
      </c>
      <c r="AV1413" s="172">
        <v>95</v>
      </c>
      <c r="AW1413" s="171">
        <v>3</v>
      </c>
      <c r="AX1413" s="171">
        <v>20</v>
      </c>
      <c r="AY1413" s="171">
        <v>21</v>
      </c>
      <c r="AZ1413" s="89"/>
      <c r="BA1413" s="175">
        <v>65</v>
      </c>
      <c r="BB1413" s="259"/>
      <c r="BC1413" s="190"/>
      <c r="BD1413" s="177"/>
      <c r="BE1413" s="177"/>
      <c r="BF1413" s="178"/>
    </row>
    <row r="1414" spans="1:58">
      <c r="A1414" s="95">
        <v>1413</v>
      </c>
      <c r="B1414" s="211" t="s">
        <v>379</v>
      </c>
      <c r="C1414" s="191" t="s">
        <v>437</v>
      </c>
      <c r="D1414" s="171" t="s">
        <v>251</v>
      </c>
      <c r="E1414" s="463" t="s">
        <v>3377</v>
      </c>
      <c r="F1414" s="171">
        <v>2009</v>
      </c>
      <c r="G1414" s="171">
        <v>324</v>
      </c>
      <c r="H1414" s="172" t="s">
        <v>1738</v>
      </c>
      <c r="I1414" s="173" t="s">
        <v>1739</v>
      </c>
      <c r="J1414" s="217">
        <v>0.69090909090909092</v>
      </c>
      <c r="K1414" s="213">
        <v>7.0363636363636362</v>
      </c>
      <c r="L1414" s="91"/>
      <c r="M1414" s="171">
        <v>275</v>
      </c>
      <c r="N1414" s="171"/>
      <c r="O1414" s="172" t="s">
        <v>12</v>
      </c>
      <c r="P1414" s="89"/>
      <c r="Q1414" s="173" t="s">
        <v>2577</v>
      </c>
      <c r="R1414" s="65" t="s">
        <v>2727</v>
      </c>
      <c r="S1414" s="89"/>
      <c r="T1414" s="89"/>
      <c r="U1414" s="214" t="s">
        <v>3345</v>
      </c>
      <c r="V1414" s="102">
        <v>0</v>
      </c>
      <c r="W1414" s="120">
        <v>0</v>
      </c>
      <c r="X1414" s="120">
        <v>0</v>
      </c>
      <c r="Y1414" s="120">
        <v>0</v>
      </c>
      <c r="Z1414" s="120">
        <v>0</v>
      </c>
      <c r="AA1414" s="17">
        <v>0</v>
      </c>
      <c r="AB1414" s="17">
        <v>0</v>
      </c>
      <c r="AC1414" s="17">
        <v>0</v>
      </c>
      <c r="AD1414" s="17">
        <v>0</v>
      </c>
      <c r="AE1414" s="17">
        <v>0</v>
      </c>
      <c r="AF1414" s="17">
        <v>0</v>
      </c>
      <c r="AG1414" s="17">
        <v>0</v>
      </c>
      <c r="AH1414" s="17">
        <v>0</v>
      </c>
      <c r="AI1414" s="17">
        <v>0</v>
      </c>
      <c r="AJ1414" s="17">
        <v>0</v>
      </c>
      <c r="AK1414" s="17">
        <v>0</v>
      </c>
      <c r="AL1414" s="32">
        <v>0</v>
      </c>
      <c r="AM1414" s="172">
        <v>45.2</v>
      </c>
      <c r="AN1414" s="89"/>
      <c r="AO1414" s="171">
        <v>25.3</v>
      </c>
      <c r="AP1414" s="88"/>
      <c r="AQ1414" s="17" t="s">
        <v>535</v>
      </c>
      <c r="AR1414" s="174">
        <v>70</v>
      </c>
      <c r="AS1414" s="171"/>
      <c r="AT1414" s="171">
        <v>200</v>
      </c>
      <c r="AU1414" s="255">
        <f t="shared" si="103"/>
        <v>14.893617021276595</v>
      </c>
      <c r="AV1414" s="172">
        <v>99</v>
      </c>
      <c r="AW1414" s="171">
        <v>3</v>
      </c>
      <c r="AX1414" s="171">
        <v>20</v>
      </c>
      <c r="AY1414" s="171">
        <v>21</v>
      </c>
      <c r="AZ1414" s="89"/>
      <c r="BA1414" s="175">
        <v>65</v>
      </c>
      <c r="BB1414" s="259"/>
      <c r="BC1414" s="190"/>
      <c r="BD1414" s="177"/>
      <c r="BE1414" s="177"/>
      <c r="BF1414" s="178"/>
    </row>
    <row r="1415" spans="1:58">
      <c r="A1415" s="95">
        <v>1414</v>
      </c>
      <c r="B1415" s="211" t="s">
        <v>380</v>
      </c>
      <c r="C1415" s="191" t="s">
        <v>438</v>
      </c>
      <c r="D1415" s="171" t="s">
        <v>252</v>
      </c>
      <c r="E1415" s="463" t="s">
        <v>3377</v>
      </c>
      <c r="F1415" s="171">
        <v>2010</v>
      </c>
      <c r="G1415" s="171">
        <v>325</v>
      </c>
      <c r="H1415" s="172" t="s">
        <v>1738</v>
      </c>
      <c r="I1415" s="173" t="s">
        <v>1739</v>
      </c>
      <c r="J1415" s="212" t="s">
        <v>1839</v>
      </c>
      <c r="K1415" s="90"/>
      <c r="L1415" s="91"/>
      <c r="M1415" s="89"/>
      <c r="N1415" s="89"/>
      <c r="O1415" s="57"/>
      <c r="P1415" s="89"/>
      <c r="Q1415" s="88"/>
      <c r="R1415" s="89"/>
      <c r="S1415" s="89"/>
      <c r="T1415" s="89"/>
      <c r="U1415" s="89"/>
      <c r="V1415" s="102"/>
      <c r="W1415" s="120">
        <v>0</v>
      </c>
      <c r="X1415" s="120">
        <v>0</v>
      </c>
      <c r="Y1415" s="120">
        <v>0</v>
      </c>
      <c r="Z1415" s="120">
        <v>0</v>
      </c>
      <c r="AA1415" s="17">
        <v>0</v>
      </c>
      <c r="AB1415" s="17">
        <v>0</v>
      </c>
      <c r="AC1415" s="17">
        <v>0</v>
      </c>
      <c r="AD1415" s="17">
        <v>0</v>
      </c>
      <c r="AE1415" s="17">
        <v>0</v>
      </c>
      <c r="AF1415" s="17">
        <v>0</v>
      </c>
      <c r="AG1415" s="17">
        <v>0</v>
      </c>
      <c r="AH1415" s="17">
        <v>0</v>
      </c>
      <c r="AI1415" s="17">
        <v>0</v>
      </c>
      <c r="AJ1415" s="17">
        <v>0</v>
      </c>
      <c r="AK1415" s="17">
        <v>0</v>
      </c>
      <c r="AL1415" s="32">
        <v>0</v>
      </c>
      <c r="AM1415" s="57"/>
      <c r="AN1415" s="89"/>
      <c r="AO1415" s="89"/>
      <c r="AP1415" s="88"/>
      <c r="AQ1415" s="89"/>
      <c r="AR1415" s="89"/>
      <c r="AS1415" s="89"/>
      <c r="AT1415" s="89"/>
      <c r="AU1415" s="89"/>
      <c r="AV1415" s="57"/>
      <c r="AW1415" s="89"/>
      <c r="AX1415" s="89"/>
      <c r="AY1415" s="89"/>
      <c r="AZ1415" s="89"/>
      <c r="BA1415" s="89"/>
      <c r="BB1415" s="259"/>
      <c r="BC1415" s="190"/>
      <c r="BD1415" s="177"/>
      <c r="BE1415" s="177"/>
      <c r="BF1415" s="178"/>
    </row>
    <row r="1416" spans="1:58" ht="15" customHeight="1">
      <c r="A1416" s="95">
        <v>1415</v>
      </c>
      <c r="B1416" s="211" t="s">
        <v>381</v>
      </c>
      <c r="C1416" s="191" t="s">
        <v>438</v>
      </c>
      <c r="D1416" s="171" t="s">
        <v>252</v>
      </c>
      <c r="E1416" s="463" t="s">
        <v>3377</v>
      </c>
      <c r="F1416" s="171">
        <v>2010</v>
      </c>
      <c r="G1416" s="171">
        <v>325</v>
      </c>
      <c r="H1416" s="172" t="s">
        <v>1738</v>
      </c>
      <c r="I1416" s="173" t="s">
        <v>1743</v>
      </c>
      <c r="J1416" s="212" t="s">
        <v>1839</v>
      </c>
      <c r="K1416" s="90"/>
      <c r="L1416" s="91"/>
      <c r="M1416" s="89"/>
      <c r="N1416" s="89"/>
      <c r="O1416" s="57"/>
      <c r="P1416" s="89"/>
      <c r="Q1416" s="88"/>
      <c r="R1416" s="89"/>
      <c r="S1416" s="89"/>
      <c r="T1416" s="89"/>
      <c r="U1416" s="89"/>
      <c r="V1416" s="102"/>
      <c r="W1416" s="120">
        <v>0</v>
      </c>
      <c r="X1416" s="120">
        <v>0</v>
      </c>
      <c r="Y1416" s="120">
        <v>0</v>
      </c>
      <c r="Z1416" s="120">
        <v>0</v>
      </c>
      <c r="AA1416" s="17">
        <v>0</v>
      </c>
      <c r="AB1416" s="17">
        <v>0</v>
      </c>
      <c r="AC1416" s="17">
        <v>0</v>
      </c>
      <c r="AD1416" s="17">
        <v>0</v>
      </c>
      <c r="AE1416" s="17">
        <v>0</v>
      </c>
      <c r="AF1416" s="17">
        <v>0</v>
      </c>
      <c r="AG1416" s="17">
        <v>0</v>
      </c>
      <c r="AH1416" s="17">
        <v>0</v>
      </c>
      <c r="AI1416" s="17">
        <v>0</v>
      </c>
      <c r="AJ1416" s="17">
        <v>0</v>
      </c>
      <c r="AK1416" s="17">
        <v>0</v>
      </c>
      <c r="AL1416" s="32">
        <v>0</v>
      </c>
      <c r="AM1416" s="57"/>
      <c r="AN1416" s="89"/>
      <c r="AO1416" s="89"/>
      <c r="AP1416" s="88"/>
      <c r="AQ1416" s="89"/>
      <c r="AR1416" s="89"/>
      <c r="AS1416" s="89"/>
      <c r="AT1416" s="89"/>
      <c r="AU1416" s="89"/>
      <c r="AV1416" s="57"/>
      <c r="AW1416" s="89"/>
      <c r="AX1416" s="89"/>
      <c r="AY1416" s="89"/>
      <c r="AZ1416" s="89"/>
      <c r="BA1416" s="89"/>
      <c r="BB1416" s="259"/>
      <c r="BC1416" s="190"/>
      <c r="BD1416" s="177"/>
      <c r="BE1416" s="177"/>
      <c r="BF1416" s="178"/>
    </row>
    <row r="1417" spans="1:58" ht="15" customHeight="1">
      <c r="A1417" s="95">
        <v>1416</v>
      </c>
      <c r="B1417" s="211" t="s">
        <v>2011</v>
      </c>
      <c r="C1417" s="191" t="s">
        <v>1765</v>
      </c>
      <c r="D1417" s="171" t="s">
        <v>165</v>
      </c>
      <c r="E1417" s="463" t="s">
        <v>3377</v>
      </c>
      <c r="F1417" s="171">
        <v>2003</v>
      </c>
      <c r="G1417" s="171">
        <v>326</v>
      </c>
      <c r="H1417" s="172" t="s">
        <v>1738</v>
      </c>
      <c r="I1417" s="173" t="s">
        <v>1751</v>
      </c>
      <c r="J1417" s="212">
        <v>0.53</v>
      </c>
      <c r="K1417" s="91">
        <v>5.8677419354838714</v>
      </c>
      <c r="L1417" s="91"/>
      <c r="M1417" s="37">
        <v>310</v>
      </c>
      <c r="N1417" s="37"/>
      <c r="O1417" s="172" t="s">
        <v>12</v>
      </c>
      <c r="P1417" s="92"/>
      <c r="Q1417" s="173" t="s">
        <v>273</v>
      </c>
      <c r="R1417" s="171" t="s">
        <v>2733</v>
      </c>
      <c r="S1417" s="89"/>
      <c r="T1417" s="214" t="s">
        <v>2306</v>
      </c>
      <c r="U1417" s="214" t="s">
        <v>2310</v>
      </c>
      <c r="V1417" s="102">
        <v>0</v>
      </c>
      <c r="W1417" s="120">
        <v>0</v>
      </c>
      <c r="X1417" s="120">
        <v>0</v>
      </c>
      <c r="Y1417" s="120">
        <v>0</v>
      </c>
      <c r="Z1417" s="120">
        <v>0</v>
      </c>
      <c r="AA1417" s="17">
        <v>0</v>
      </c>
      <c r="AB1417" s="17">
        <v>0</v>
      </c>
      <c r="AC1417" s="17">
        <v>0</v>
      </c>
      <c r="AD1417" s="17">
        <v>0</v>
      </c>
      <c r="AE1417" s="17">
        <v>0</v>
      </c>
      <c r="AF1417" s="17">
        <v>0</v>
      </c>
      <c r="AG1417" s="17">
        <v>0</v>
      </c>
      <c r="AH1417" s="17">
        <v>0.5</v>
      </c>
      <c r="AI1417" s="17">
        <v>0</v>
      </c>
      <c r="AJ1417" s="17">
        <v>0</v>
      </c>
      <c r="AK1417" s="17">
        <v>0</v>
      </c>
      <c r="AL1417" s="32">
        <v>0</v>
      </c>
      <c r="AM1417" s="172">
        <v>44.2</v>
      </c>
      <c r="AN1417" s="89"/>
      <c r="AO1417" s="89"/>
      <c r="AP1417" s="88"/>
      <c r="AQ1417" s="89"/>
      <c r="AR1417" s="89"/>
      <c r="AS1417" s="89"/>
      <c r="AT1417" s="171" t="s">
        <v>521</v>
      </c>
      <c r="AU1417" s="89"/>
      <c r="AV1417" s="172" t="s">
        <v>521</v>
      </c>
      <c r="AW1417" s="171">
        <v>1</v>
      </c>
      <c r="AX1417" s="171" t="s">
        <v>521</v>
      </c>
      <c r="AY1417" s="171">
        <v>20</v>
      </c>
      <c r="AZ1417" s="171">
        <v>0</v>
      </c>
      <c r="BA1417" s="175">
        <v>60</v>
      </c>
      <c r="BB1417" s="259"/>
      <c r="BC1417" s="190"/>
      <c r="BD1417" s="177"/>
      <c r="BE1417" s="177"/>
      <c r="BF1417" s="178" t="s">
        <v>1766</v>
      </c>
    </row>
    <row r="1418" spans="1:58" ht="15" customHeight="1">
      <c r="A1418" s="95">
        <v>1417</v>
      </c>
      <c r="B1418" s="211" t="s">
        <v>2012</v>
      </c>
      <c r="C1418" s="191" t="s">
        <v>1765</v>
      </c>
      <c r="D1418" s="171" t="s">
        <v>165</v>
      </c>
      <c r="E1418" s="463" t="s">
        <v>3377</v>
      </c>
      <c r="F1418" s="171">
        <v>2003</v>
      </c>
      <c r="G1418" s="171">
        <v>326</v>
      </c>
      <c r="H1418" s="172" t="s">
        <v>1738</v>
      </c>
      <c r="I1418" s="173" t="s">
        <v>1751</v>
      </c>
      <c r="J1418" s="212">
        <v>0.53</v>
      </c>
      <c r="K1418" s="213">
        <v>5.8677419354838714</v>
      </c>
      <c r="L1418" s="91"/>
      <c r="M1418" s="171">
        <v>310</v>
      </c>
      <c r="N1418" s="171"/>
      <c r="O1418" s="172" t="s">
        <v>12</v>
      </c>
      <c r="P1418" s="92"/>
      <c r="Q1418" s="173" t="s">
        <v>273</v>
      </c>
      <c r="R1418" s="171" t="s">
        <v>2733</v>
      </c>
      <c r="S1418" s="89"/>
      <c r="T1418" s="214" t="s">
        <v>2306</v>
      </c>
      <c r="U1418" s="214" t="s">
        <v>2310</v>
      </c>
      <c r="V1418" s="102">
        <v>0</v>
      </c>
      <c r="W1418" s="120">
        <v>0</v>
      </c>
      <c r="X1418" s="120">
        <v>0</v>
      </c>
      <c r="Y1418" s="120">
        <v>0</v>
      </c>
      <c r="Z1418" s="120">
        <v>0</v>
      </c>
      <c r="AA1418" s="17">
        <v>0</v>
      </c>
      <c r="AB1418" s="17">
        <v>0</v>
      </c>
      <c r="AC1418" s="17">
        <v>0</v>
      </c>
      <c r="AD1418" s="17">
        <v>0</v>
      </c>
      <c r="AE1418" s="17">
        <v>0</v>
      </c>
      <c r="AF1418" s="17">
        <v>1</v>
      </c>
      <c r="AG1418" s="17">
        <v>0</v>
      </c>
      <c r="AH1418" s="17">
        <v>0</v>
      </c>
      <c r="AI1418" s="17">
        <v>0</v>
      </c>
      <c r="AJ1418" s="17">
        <v>0</v>
      </c>
      <c r="AK1418" s="17">
        <v>0</v>
      </c>
      <c r="AL1418" s="32">
        <v>0</v>
      </c>
      <c r="AM1418" s="172">
        <v>48.5</v>
      </c>
      <c r="AN1418" s="89"/>
      <c r="AO1418" s="89"/>
      <c r="AP1418" s="88"/>
      <c r="AQ1418" s="89"/>
      <c r="AR1418" s="89"/>
      <c r="AS1418" s="89"/>
      <c r="AT1418" s="171" t="s">
        <v>521</v>
      </c>
      <c r="AU1418" s="89"/>
      <c r="AV1418" s="172" t="s">
        <v>521</v>
      </c>
      <c r="AW1418" s="171">
        <v>1</v>
      </c>
      <c r="AX1418" s="171" t="s">
        <v>521</v>
      </c>
      <c r="AY1418" s="171">
        <v>20</v>
      </c>
      <c r="AZ1418" s="171">
        <v>0</v>
      </c>
      <c r="BA1418" s="175">
        <v>60</v>
      </c>
      <c r="BB1418" s="259"/>
      <c r="BC1418" s="190"/>
      <c r="BD1418" s="177"/>
      <c r="BE1418" s="177"/>
      <c r="BF1418" s="178" t="s">
        <v>1767</v>
      </c>
    </row>
    <row r="1419" spans="1:58" ht="15" customHeight="1">
      <c r="A1419" s="95">
        <v>1418</v>
      </c>
      <c r="B1419" s="211" t="s">
        <v>2013</v>
      </c>
      <c r="C1419" s="191" t="s">
        <v>1765</v>
      </c>
      <c r="D1419" s="171" t="s">
        <v>165</v>
      </c>
      <c r="E1419" s="463" t="s">
        <v>3377</v>
      </c>
      <c r="F1419" s="171">
        <v>2003</v>
      </c>
      <c r="G1419" s="171">
        <v>326</v>
      </c>
      <c r="H1419" s="172" t="s">
        <v>1738</v>
      </c>
      <c r="I1419" s="173" t="s">
        <v>1751</v>
      </c>
      <c r="J1419" s="212">
        <v>0.53</v>
      </c>
      <c r="K1419" s="213">
        <v>5.8677419354838714</v>
      </c>
      <c r="L1419" s="91"/>
      <c r="M1419" s="171">
        <v>310</v>
      </c>
      <c r="N1419" s="171"/>
      <c r="O1419" s="172" t="s">
        <v>12</v>
      </c>
      <c r="P1419" s="92"/>
      <c r="Q1419" s="173" t="s">
        <v>273</v>
      </c>
      <c r="R1419" s="171" t="s">
        <v>2733</v>
      </c>
      <c r="S1419" s="89"/>
      <c r="T1419" s="214" t="s">
        <v>2306</v>
      </c>
      <c r="U1419" s="214" t="s">
        <v>2310</v>
      </c>
      <c r="V1419" s="102">
        <v>0</v>
      </c>
      <c r="W1419" s="120">
        <v>0</v>
      </c>
      <c r="X1419" s="120">
        <v>0</v>
      </c>
      <c r="Y1419" s="120">
        <v>0</v>
      </c>
      <c r="Z1419" s="120">
        <v>0</v>
      </c>
      <c r="AA1419" s="17">
        <v>0</v>
      </c>
      <c r="AB1419" s="17">
        <v>0</v>
      </c>
      <c r="AC1419" s="17">
        <v>0</v>
      </c>
      <c r="AD1419" s="17">
        <v>0</v>
      </c>
      <c r="AE1419" s="17">
        <v>0</v>
      </c>
      <c r="AF1419" s="17">
        <v>1</v>
      </c>
      <c r="AG1419" s="17">
        <v>0</v>
      </c>
      <c r="AH1419" s="17">
        <v>0</v>
      </c>
      <c r="AI1419" s="17">
        <v>0</v>
      </c>
      <c r="AJ1419" s="17">
        <v>0</v>
      </c>
      <c r="AK1419" s="17">
        <v>0</v>
      </c>
      <c r="AL1419" s="32">
        <v>0</v>
      </c>
      <c r="AM1419" s="172">
        <v>45.1</v>
      </c>
      <c r="AN1419" s="89"/>
      <c r="AO1419" s="89"/>
      <c r="AP1419" s="88"/>
      <c r="AQ1419" s="89"/>
      <c r="AR1419" s="89"/>
      <c r="AS1419" s="89"/>
      <c r="AT1419" s="171" t="s">
        <v>521</v>
      </c>
      <c r="AU1419" s="89"/>
      <c r="AV1419" s="172" t="s">
        <v>521</v>
      </c>
      <c r="AW1419" s="171">
        <v>1</v>
      </c>
      <c r="AX1419" s="171" t="s">
        <v>521</v>
      </c>
      <c r="AY1419" s="171">
        <v>20</v>
      </c>
      <c r="AZ1419" s="171">
        <v>0</v>
      </c>
      <c r="BA1419" s="175">
        <v>60</v>
      </c>
      <c r="BB1419" s="259"/>
      <c r="BC1419" s="190"/>
      <c r="BD1419" s="177"/>
      <c r="BE1419" s="177"/>
      <c r="BF1419" s="178" t="s">
        <v>1793</v>
      </c>
    </row>
    <row r="1420" spans="1:58" ht="15" customHeight="1">
      <c r="A1420" s="95">
        <v>1419</v>
      </c>
      <c r="B1420" s="211" t="s">
        <v>2014</v>
      </c>
      <c r="C1420" s="191" t="s">
        <v>1765</v>
      </c>
      <c r="D1420" s="171" t="s">
        <v>165</v>
      </c>
      <c r="E1420" s="463" t="s">
        <v>3377</v>
      </c>
      <c r="F1420" s="171">
        <v>2003</v>
      </c>
      <c r="G1420" s="171">
        <v>326</v>
      </c>
      <c r="H1420" s="172" t="s">
        <v>1738</v>
      </c>
      <c r="I1420" s="173" t="s">
        <v>1751</v>
      </c>
      <c r="J1420" s="212">
        <v>0.47</v>
      </c>
      <c r="K1420" s="213">
        <v>5.1293103448275863</v>
      </c>
      <c r="L1420" s="91"/>
      <c r="M1420" s="171">
        <v>348</v>
      </c>
      <c r="N1420" s="171"/>
      <c r="O1420" s="172" t="s">
        <v>12</v>
      </c>
      <c r="P1420" s="92"/>
      <c r="Q1420" s="173" t="s">
        <v>273</v>
      </c>
      <c r="R1420" s="171" t="s">
        <v>2733</v>
      </c>
      <c r="S1420" s="89"/>
      <c r="T1420" s="214" t="s">
        <v>2306</v>
      </c>
      <c r="U1420" s="214" t="s">
        <v>2310</v>
      </c>
      <c r="V1420" s="102">
        <v>0</v>
      </c>
      <c r="W1420" s="120">
        <v>0</v>
      </c>
      <c r="X1420" s="120">
        <v>0</v>
      </c>
      <c r="Y1420" s="120">
        <v>0</v>
      </c>
      <c r="Z1420" s="120">
        <v>0</v>
      </c>
      <c r="AA1420" s="17">
        <v>0</v>
      </c>
      <c r="AB1420" s="17">
        <v>0</v>
      </c>
      <c r="AC1420" s="17">
        <v>0</v>
      </c>
      <c r="AD1420" s="17">
        <v>0</v>
      </c>
      <c r="AE1420" s="17">
        <v>0</v>
      </c>
      <c r="AF1420" s="17">
        <v>0</v>
      </c>
      <c r="AG1420" s="17">
        <v>0</v>
      </c>
      <c r="AH1420" s="17">
        <v>0.6</v>
      </c>
      <c r="AI1420" s="17">
        <v>0</v>
      </c>
      <c r="AJ1420" s="17">
        <v>0</v>
      </c>
      <c r="AK1420" s="17">
        <v>0</v>
      </c>
      <c r="AL1420" s="32">
        <v>0</v>
      </c>
      <c r="AM1420" s="172">
        <v>47.8</v>
      </c>
      <c r="AN1420" s="89"/>
      <c r="AO1420" s="89"/>
      <c r="AP1420" s="88"/>
      <c r="AQ1420" s="89"/>
      <c r="AR1420" s="89"/>
      <c r="AS1420" s="89"/>
      <c r="AT1420" s="171" t="s">
        <v>521</v>
      </c>
      <c r="AU1420" s="89"/>
      <c r="AV1420" s="172" t="s">
        <v>521</v>
      </c>
      <c r="AW1420" s="171">
        <v>1</v>
      </c>
      <c r="AX1420" s="171" t="s">
        <v>521</v>
      </c>
      <c r="AY1420" s="171">
        <v>20</v>
      </c>
      <c r="AZ1420" s="171">
        <v>0</v>
      </c>
      <c r="BA1420" s="175">
        <v>60</v>
      </c>
      <c r="BB1420" s="259"/>
      <c r="BC1420" s="190"/>
      <c r="BD1420" s="177"/>
      <c r="BE1420" s="177"/>
      <c r="BF1420" s="178" t="s">
        <v>1766</v>
      </c>
    </row>
    <row r="1421" spans="1:58" ht="15" customHeight="1">
      <c r="A1421" s="95">
        <v>1420</v>
      </c>
      <c r="B1421" s="211" t="s">
        <v>2015</v>
      </c>
      <c r="C1421" s="191" t="s">
        <v>1765</v>
      </c>
      <c r="D1421" s="171" t="s">
        <v>165</v>
      </c>
      <c r="E1421" s="463" t="s">
        <v>3377</v>
      </c>
      <c r="F1421" s="171">
        <v>2003</v>
      </c>
      <c r="G1421" s="171">
        <v>326</v>
      </c>
      <c r="H1421" s="172" t="s">
        <v>1738</v>
      </c>
      <c r="I1421" s="173" t="s">
        <v>1751</v>
      </c>
      <c r="J1421" s="212">
        <v>0.47</v>
      </c>
      <c r="K1421" s="213">
        <v>5.1293103448275863</v>
      </c>
      <c r="L1421" s="91"/>
      <c r="M1421" s="171">
        <v>348</v>
      </c>
      <c r="N1421" s="171"/>
      <c r="O1421" s="172" t="s">
        <v>12</v>
      </c>
      <c r="P1421" s="92"/>
      <c r="Q1421" s="173" t="s">
        <v>273</v>
      </c>
      <c r="R1421" s="171" t="s">
        <v>2733</v>
      </c>
      <c r="S1421" s="89"/>
      <c r="T1421" s="214" t="s">
        <v>2306</v>
      </c>
      <c r="U1421" s="214" t="s">
        <v>2310</v>
      </c>
      <c r="V1421" s="102">
        <v>0</v>
      </c>
      <c r="W1421" s="120">
        <v>0</v>
      </c>
      <c r="X1421" s="120">
        <v>0</v>
      </c>
      <c r="Y1421" s="120">
        <v>0</v>
      </c>
      <c r="Z1421" s="120">
        <v>0</v>
      </c>
      <c r="AA1421" s="17">
        <v>0</v>
      </c>
      <c r="AB1421" s="17">
        <v>0</v>
      </c>
      <c r="AC1421" s="17">
        <v>0</v>
      </c>
      <c r="AD1421" s="17">
        <v>0</v>
      </c>
      <c r="AE1421" s="17">
        <v>0</v>
      </c>
      <c r="AF1421" s="17">
        <v>0</v>
      </c>
      <c r="AG1421" s="17">
        <v>0</v>
      </c>
      <c r="AH1421" s="17">
        <v>0.55000000000000004</v>
      </c>
      <c r="AI1421" s="17">
        <v>0</v>
      </c>
      <c r="AJ1421" s="17">
        <v>0</v>
      </c>
      <c r="AK1421" s="17">
        <v>0</v>
      </c>
      <c r="AL1421" s="32">
        <v>0</v>
      </c>
      <c r="AM1421" s="172">
        <v>47.5</v>
      </c>
      <c r="AN1421" s="89"/>
      <c r="AO1421" s="89"/>
      <c r="AP1421" s="88"/>
      <c r="AQ1421" s="89"/>
      <c r="AR1421" s="89"/>
      <c r="AS1421" s="89"/>
      <c r="AT1421" s="171" t="s">
        <v>521</v>
      </c>
      <c r="AU1421" s="89"/>
      <c r="AV1421" s="172" t="s">
        <v>521</v>
      </c>
      <c r="AW1421" s="171">
        <v>1</v>
      </c>
      <c r="AX1421" s="171" t="s">
        <v>521</v>
      </c>
      <c r="AY1421" s="171">
        <v>20</v>
      </c>
      <c r="AZ1421" s="171">
        <v>0</v>
      </c>
      <c r="BA1421" s="175">
        <v>60</v>
      </c>
      <c r="BB1421" s="259"/>
      <c r="BC1421" s="190"/>
      <c r="BD1421" s="177"/>
      <c r="BE1421" s="177"/>
      <c r="BF1421" s="178" t="s">
        <v>1766</v>
      </c>
    </row>
    <row r="1422" spans="1:58" s="159" customFormat="1" ht="15" customHeight="1">
      <c r="A1422" s="95">
        <v>1421</v>
      </c>
      <c r="B1422" s="211" t="s">
        <v>2016</v>
      </c>
      <c r="C1422" s="191" t="s">
        <v>1765</v>
      </c>
      <c r="D1422" s="171" t="s">
        <v>165</v>
      </c>
      <c r="E1422" s="463" t="s">
        <v>3377</v>
      </c>
      <c r="F1422" s="171">
        <v>2003</v>
      </c>
      <c r="G1422" s="171">
        <v>326</v>
      </c>
      <c r="H1422" s="172" t="s">
        <v>1738</v>
      </c>
      <c r="I1422" s="173" t="s">
        <v>1751</v>
      </c>
      <c r="J1422" s="212">
        <v>0.47</v>
      </c>
      <c r="K1422" s="213">
        <v>5.1293103448275863</v>
      </c>
      <c r="L1422" s="91"/>
      <c r="M1422" s="171">
        <v>348</v>
      </c>
      <c r="N1422" s="171"/>
      <c r="O1422" s="172" t="s">
        <v>12</v>
      </c>
      <c r="P1422" s="92"/>
      <c r="Q1422" s="173" t="s">
        <v>273</v>
      </c>
      <c r="R1422" s="171" t="s">
        <v>2733</v>
      </c>
      <c r="S1422" s="89"/>
      <c r="T1422" s="214" t="s">
        <v>2306</v>
      </c>
      <c r="U1422" s="214" t="s">
        <v>2310</v>
      </c>
      <c r="V1422" s="102">
        <v>0</v>
      </c>
      <c r="W1422" s="120">
        <v>0</v>
      </c>
      <c r="X1422" s="120">
        <v>0</v>
      </c>
      <c r="Y1422" s="120">
        <v>0</v>
      </c>
      <c r="Z1422" s="120">
        <v>0</v>
      </c>
      <c r="AA1422" s="17">
        <v>0</v>
      </c>
      <c r="AB1422" s="17">
        <v>0</v>
      </c>
      <c r="AC1422" s="17">
        <v>0</v>
      </c>
      <c r="AD1422" s="17">
        <v>0</v>
      </c>
      <c r="AE1422" s="17">
        <v>0</v>
      </c>
      <c r="AF1422" s="17">
        <v>0.75</v>
      </c>
      <c r="AG1422" s="17">
        <v>0</v>
      </c>
      <c r="AH1422" s="17">
        <v>0</v>
      </c>
      <c r="AI1422" s="17">
        <v>0</v>
      </c>
      <c r="AJ1422" s="17">
        <v>0</v>
      </c>
      <c r="AK1422" s="17">
        <v>0</v>
      </c>
      <c r="AL1422" s="32">
        <v>0</v>
      </c>
      <c r="AM1422" s="172">
        <v>49.6</v>
      </c>
      <c r="AN1422" s="89"/>
      <c r="AO1422" s="89"/>
      <c r="AP1422" s="88"/>
      <c r="AQ1422" s="89"/>
      <c r="AR1422" s="89"/>
      <c r="AS1422" s="89"/>
      <c r="AT1422" s="171" t="s">
        <v>521</v>
      </c>
      <c r="AU1422" s="89"/>
      <c r="AV1422" s="172" t="s">
        <v>521</v>
      </c>
      <c r="AW1422" s="171">
        <v>1</v>
      </c>
      <c r="AX1422" s="171" t="s">
        <v>521</v>
      </c>
      <c r="AY1422" s="171">
        <v>20</v>
      </c>
      <c r="AZ1422" s="171">
        <v>0</v>
      </c>
      <c r="BA1422" s="175">
        <v>60</v>
      </c>
      <c r="BB1422" s="259"/>
      <c r="BC1422" s="190"/>
      <c r="BD1422" s="177"/>
      <c r="BE1422" s="177"/>
      <c r="BF1422" s="178" t="s">
        <v>1767</v>
      </c>
    </row>
    <row r="1423" spans="1:58" ht="15" customHeight="1">
      <c r="A1423" s="95">
        <v>1422</v>
      </c>
      <c r="B1423" s="211" t="s">
        <v>2017</v>
      </c>
      <c r="C1423" s="191" t="s">
        <v>1765</v>
      </c>
      <c r="D1423" s="171" t="s">
        <v>165</v>
      </c>
      <c r="E1423" s="463" t="s">
        <v>3377</v>
      </c>
      <c r="F1423" s="171">
        <v>2003</v>
      </c>
      <c r="G1423" s="171">
        <v>326</v>
      </c>
      <c r="H1423" s="172" t="s">
        <v>1738</v>
      </c>
      <c r="I1423" s="173" t="s">
        <v>1751</v>
      </c>
      <c r="J1423" s="212">
        <v>0.24475524475524477</v>
      </c>
      <c r="K1423" s="213">
        <v>1.9902097902097902</v>
      </c>
      <c r="L1423" s="91"/>
      <c r="M1423" s="171">
        <v>715</v>
      </c>
      <c r="N1423" s="171"/>
      <c r="O1423" s="172" t="s">
        <v>12</v>
      </c>
      <c r="P1423" s="92"/>
      <c r="Q1423" s="173" t="s">
        <v>273</v>
      </c>
      <c r="R1423" s="171" t="s">
        <v>2733</v>
      </c>
      <c r="S1423" s="89"/>
      <c r="T1423" s="214" t="s">
        <v>2306</v>
      </c>
      <c r="U1423" s="214" t="s">
        <v>2310</v>
      </c>
      <c r="V1423" s="103">
        <f>(80/715)*100</f>
        <v>11.188811188811188</v>
      </c>
      <c r="W1423" s="120">
        <v>0</v>
      </c>
      <c r="X1423" s="120">
        <v>0</v>
      </c>
      <c r="Y1423" s="120">
        <v>0</v>
      </c>
      <c r="Z1423" s="120">
        <v>0</v>
      </c>
      <c r="AA1423" s="17">
        <v>0</v>
      </c>
      <c r="AB1423" s="17">
        <v>0</v>
      </c>
      <c r="AC1423" s="17">
        <v>0</v>
      </c>
      <c r="AD1423" s="17">
        <v>0</v>
      </c>
      <c r="AE1423" s="17">
        <v>0</v>
      </c>
      <c r="AF1423" s="17">
        <v>0</v>
      </c>
      <c r="AG1423" s="17">
        <v>0</v>
      </c>
      <c r="AH1423" s="17">
        <v>1.8</v>
      </c>
      <c r="AI1423" s="17">
        <v>0</v>
      </c>
      <c r="AJ1423" s="17">
        <v>0</v>
      </c>
      <c r="AK1423" s="17">
        <v>0</v>
      </c>
      <c r="AL1423" s="32">
        <v>0</v>
      </c>
      <c r="AM1423" s="172">
        <v>133</v>
      </c>
      <c r="AN1423" s="89"/>
      <c r="AO1423" s="89"/>
      <c r="AP1423" s="88"/>
      <c r="AQ1423" s="89"/>
      <c r="AR1423" s="89"/>
      <c r="AS1423" s="89"/>
      <c r="AT1423" s="171" t="s">
        <v>521</v>
      </c>
      <c r="AU1423" s="89"/>
      <c r="AV1423" s="172" t="s">
        <v>521</v>
      </c>
      <c r="AW1423" s="171">
        <v>1</v>
      </c>
      <c r="AX1423" s="171" t="s">
        <v>521</v>
      </c>
      <c r="AY1423" s="171">
        <v>20</v>
      </c>
      <c r="AZ1423" s="171">
        <v>0</v>
      </c>
      <c r="BA1423" s="175">
        <v>60</v>
      </c>
      <c r="BB1423" s="259"/>
      <c r="BC1423" s="190"/>
      <c r="BD1423" s="177"/>
      <c r="BE1423" s="177"/>
      <c r="BF1423" s="178" t="s">
        <v>1766</v>
      </c>
    </row>
    <row r="1424" spans="1:58" ht="15" customHeight="1">
      <c r="A1424" s="95">
        <v>1423</v>
      </c>
      <c r="B1424" s="211" t="s">
        <v>2018</v>
      </c>
      <c r="C1424" s="191" t="s">
        <v>1765</v>
      </c>
      <c r="D1424" s="171" t="s">
        <v>165</v>
      </c>
      <c r="E1424" s="463" t="s">
        <v>3377</v>
      </c>
      <c r="F1424" s="171">
        <v>2003</v>
      </c>
      <c r="G1424" s="171">
        <v>326</v>
      </c>
      <c r="H1424" s="172" t="s">
        <v>1738</v>
      </c>
      <c r="I1424" s="173" t="s">
        <v>1751</v>
      </c>
      <c r="J1424" s="212">
        <v>0.24475524475524477</v>
      </c>
      <c r="K1424" s="213">
        <v>1.9902097902097902</v>
      </c>
      <c r="L1424" s="91"/>
      <c r="M1424" s="171">
        <v>715</v>
      </c>
      <c r="N1424" s="171"/>
      <c r="O1424" s="172" t="s">
        <v>12</v>
      </c>
      <c r="P1424" s="92"/>
      <c r="Q1424" s="173" t="s">
        <v>273</v>
      </c>
      <c r="R1424" s="171" t="s">
        <v>2733</v>
      </c>
      <c r="S1424" s="89"/>
      <c r="T1424" s="214" t="s">
        <v>2306</v>
      </c>
      <c r="U1424" s="214" t="s">
        <v>2310</v>
      </c>
      <c r="V1424" s="103">
        <f>(80/715)*100</f>
        <v>11.188811188811188</v>
      </c>
      <c r="W1424" s="120">
        <v>0</v>
      </c>
      <c r="X1424" s="120">
        <v>0</v>
      </c>
      <c r="Y1424" s="120">
        <v>0</v>
      </c>
      <c r="Z1424" s="120">
        <v>0</v>
      </c>
      <c r="AA1424" s="17">
        <v>0</v>
      </c>
      <c r="AB1424" s="17">
        <v>0</v>
      </c>
      <c r="AC1424" s="17">
        <v>0</v>
      </c>
      <c r="AD1424" s="17">
        <v>0</v>
      </c>
      <c r="AE1424" s="17">
        <v>0</v>
      </c>
      <c r="AF1424" s="17">
        <v>1.8</v>
      </c>
      <c r="AG1424" s="17">
        <v>0</v>
      </c>
      <c r="AH1424" s="17">
        <v>0</v>
      </c>
      <c r="AI1424" s="17">
        <v>0</v>
      </c>
      <c r="AJ1424" s="17">
        <v>0</v>
      </c>
      <c r="AK1424" s="17">
        <v>0</v>
      </c>
      <c r="AL1424" s="32">
        <v>0</v>
      </c>
      <c r="AM1424" s="172">
        <v>127</v>
      </c>
      <c r="AN1424" s="89"/>
      <c r="AO1424" s="89"/>
      <c r="AP1424" s="88"/>
      <c r="AQ1424" s="89"/>
      <c r="AR1424" s="89"/>
      <c r="AS1424" s="89"/>
      <c r="AT1424" s="171" t="s">
        <v>521</v>
      </c>
      <c r="AU1424" s="89"/>
      <c r="AV1424" s="172" t="s">
        <v>521</v>
      </c>
      <c r="AW1424" s="171">
        <v>1</v>
      </c>
      <c r="AX1424" s="171" t="s">
        <v>521</v>
      </c>
      <c r="AY1424" s="171">
        <v>20</v>
      </c>
      <c r="AZ1424" s="171">
        <v>0</v>
      </c>
      <c r="BA1424" s="175">
        <v>60</v>
      </c>
      <c r="BB1424" s="259"/>
      <c r="BC1424" s="190"/>
      <c r="BD1424" s="177"/>
      <c r="BE1424" s="177"/>
      <c r="BF1424" s="178" t="s">
        <v>1767</v>
      </c>
    </row>
    <row r="1425" spans="1:58">
      <c r="A1425" s="95">
        <v>1424</v>
      </c>
      <c r="B1425" s="211" t="s">
        <v>2019</v>
      </c>
      <c r="C1425" s="191" t="s">
        <v>1765</v>
      </c>
      <c r="D1425" s="171" t="s">
        <v>165</v>
      </c>
      <c r="E1425" s="463" t="s">
        <v>3377</v>
      </c>
      <c r="F1425" s="171">
        <v>2003</v>
      </c>
      <c r="G1425" s="171">
        <v>326</v>
      </c>
      <c r="H1425" s="172" t="s">
        <v>1738</v>
      </c>
      <c r="I1425" s="173" t="s">
        <v>1739</v>
      </c>
      <c r="J1425" s="212">
        <v>0.24475524475524477</v>
      </c>
      <c r="K1425" s="213">
        <v>1.9902097902097902</v>
      </c>
      <c r="L1425" s="91"/>
      <c r="M1425" s="171">
        <v>715</v>
      </c>
      <c r="N1425" s="171"/>
      <c r="O1425" s="172" t="s">
        <v>12</v>
      </c>
      <c r="P1425" s="92"/>
      <c r="Q1425" s="173" t="s">
        <v>273</v>
      </c>
      <c r="R1425" s="171" t="s">
        <v>2733</v>
      </c>
      <c r="S1425" s="89"/>
      <c r="T1425" s="214" t="s">
        <v>2306</v>
      </c>
      <c r="U1425" s="214" t="s">
        <v>2310</v>
      </c>
      <c r="V1425" s="103">
        <f>(80/715)*100</f>
        <v>11.188811188811188</v>
      </c>
      <c r="W1425" s="120">
        <v>0</v>
      </c>
      <c r="X1425" s="120">
        <v>0</v>
      </c>
      <c r="Y1425" s="120">
        <v>0</v>
      </c>
      <c r="Z1425" s="120">
        <v>0</v>
      </c>
      <c r="AA1425" s="17">
        <v>0</v>
      </c>
      <c r="AB1425" s="17">
        <v>0</v>
      </c>
      <c r="AC1425" s="17">
        <v>0</v>
      </c>
      <c r="AD1425" s="17">
        <v>0</v>
      </c>
      <c r="AE1425" s="17">
        <v>0</v>
      </c>
      <c r="AF1425" s="17">
        <v>0</v>
      </c>
      <c r="AG1425" s="17">
        <v>0</v>
      </c>
      <c r="AH1425" s="17">
        <v>1.8</v>
      </c>
      <c r="AI1425" s="17">
        <v>0</v>
      </c>
      <c r="AJ1425" s="17">
        <v>0</v>
      </c>
      <c r="AK1425" s="17">
        <v>0</v>
      </c>
      <c r="AL1425" s="32">
        <v>0</v>
      </c>
      <c r="AM1425" s="172">
        <v>133</v>
      </c>
      <c r="AN1425" s="89"/>
      <c r="AO1425" s="89"/>
      <c r="AP1425" s="88"/>
      <c r="AQ1425" s="17" t="s">
        <v>271</v>
      </c>
      <c r="AR1425" s="174">
        <v>100</v>
      </c>
      <c r="AS1425" s="89"/>
      <c r="AT1425" s="171">
        <v>400</v>
      </c>
      <c r="AU1425" s="255">
        <f t="shared" ref="AU1425:AU1438" si="104">IF(ISBLANK(AS1425),(AR1425*AT1425)/((4*AT1425)+(2*AR1425)),AR1425*AS1425*AT1425/2/(AR1425*AS1425+AR1425*AT1425+AS1425*AT1425))</f>
        <v>22.222222222222221</v>
      </c>
      <c r="AV1425" s="172" t="s">
        <v>521</v>
      </c>
      <c r="AW1425" s="171">
        <v>1</v>
      </c>
      <c r="AX1425" s="171" t="s">
        <v>521</v>
      </c>
      <c r="AY1425" s="171">
        <v>20</v>
      </c>
      <c r="AZ1425" s="171">
        <v>0</v>
      </c>
      <c r="BA1425" s="175">
        <v>99</v>
      </c>
      <c r="BB1425" s="259"/>
      <c r="BC1425" s="190"/>
      <c r="BD1425" s="177"/>
      <c r="BE1425" s="177"/>
      <c r="BF1425" s="178" t="s">
        <v>1766</v>
      </c>
    </row>
    <row r="1426" spans="1:58">
      <c r="A1426" s="95">
        <v>1425</v>
      </c>
      <c r="B1426" s="211" t="s">
        <v>2020</v>
      </c>
      <c r="C1426" s="191" t="s">
        <v>1765</v>
      </c>
      <c r="D1426" s="171" t="s">
        <v>165</v>
      </c>
      <c r="E1426" s="463" t="s">
        <v>3377</v>
      </c>
      <c r="F1426" s="171">
        <v>2003</v>
      </c>
      <c r="G1426" s="171">
        <v>326</v>
      </c>
      <c r="H1426" s="172" t="s">
        <v>1738</v>
      </c>
      <c r="I1426" s="173" t="s">
        <v>1739</v>
      </c>
      <c r="J1426" s="212">
        <v>0.24475524475524477</v>
      </c>
      <c r="K1426" s="213">
        <v>1.9902097902097902</v>
      </c>
      <c r="L1426" s="91"/>
      <c r="M1426" s="171">
        <v>715</v>
      </c>
      <c r="N1426" s="171"/>
      <c r="O1426" s="172" t="s">
        <v>12</v>
      </c>
      <c r="P1426" s="92"/>
      <c r="Q1426" s="173" t="s">
        <v>273</v>
      </c>
      <c r="R1426" s="171" t="s">
        <v>2733</v>
      </c>
      <c r="S1426" s="89"/>
      <c r="T1426" s="214" t="s">
        <v>2306</v>
      </c>
      <c r="U1426" s="214" t="s">
        <v>2310</v>
      </c>
      <c r="V1426" s="103">
        <f>(80/715)*100</f>
        <v>11.188811188811188</v>
      </c>
      <c r="W1426" s="120">
        <v>0</v>
      </c>
      <c r="X1426" s="120">
        <v>0</v>
      </c>
      <c r="Y1426" s="120">
        <v>0</v>
      </c>
      <c r="Z1426" s="120">
        <v>0</v>
      </c>
      <c r="AA1426" s="17">
        <v>0</v>
      </c>
      <c r="AB1426" s="17">
        <v>0</v>
      </c>
      <c r="AC1426" s="17">
        <v>0</v>
      </c>
      <c r="AD1426" s="17">
        <v>0</v>
      </c>
      <c r="AE1426" s="17">
        <v>0</v>
      </c>
      <c r="AF1426" s="17">
        <v>1.8</v>
      </c>
      <c r="AG1426" s="17">
        <v>0</v>
      </c>
      <c r="AH1426" s="17">
        <v>0</v>
      </c>
      <c r="AI1426" s="17">
        <v>0</v>
      </c>
      <c r="AJ1426" s="17">
        <v>0</v>
      </c>
      <c r="AK1426" s="17">
        <v>0</v>
      </c>
      <c r="AL1426" s="32">
        <v>0</v>
      </c>
      <c r="AM1426" s="172">
        <v>127</v>
      </c>
      <c r="AN1426" s="89"/>
      <c r="AO1426" s="89"/>
      <c r="AP1426" s="88"/>
      <c r="AQ1426" s="17" t="s">
        <v>271</v>
      </c>
      <c r="AR1426" s="174">
        <v>100</v>
      </c>
      <c r="AS1426" s="89"/>
      <c r="AT1426" s="171">
        <v>400</v>
      </c>
      <c r="AU1426" s="255">
        <f t="shared" si="104"/>
        <v>22.222222222222221</v>
      </c>
      <c r="AV1426" s="172" t="s">
        <v>521</v>
      </c>
      <c r="AW1426" s="171">
        <v>1</v>
      </c>
      <c r="AX1426" s="171" t="s">
        <v>521</v>
      </c>
      <c r="AY1426" s="171">
        <v>20</v>
      </c>
      <c r="AZ1426" s="171">
        <v>0</v>
      </c>
      <c r="BA1426" s="175">
        <v>99</v>
      </c>
      <c r="BB1426" s="259"/>
      <c r="BC1426" s="190"/>
      <c r="BD1426" s="177"/>
      <c r="BE1426" s="177"/>
      <c r="BF1426" s="178" t="s">
        <v>1767</v>
      </c>
    </row>
    <row r="1427" spans="1:58" ht="15" customHeight="1">
      <c r="A1427" s="95">
        <v>1426</v>
      </c>
      <c r="B1427" s="211" t="s">
        <v>2021</v>
      </c>
      <c r="C1427" s="191" t="s">
        <v>1772</v>
      </c>
      <c r="D1427" s="171" t="s">
        <v>119</v>
      </c>
      <c r="E1427" s="463" t="s">
        <v>3377</v>
      </c>
      <c r="F1427" s="171">
        <v>2003</v>
      </c>
      <c r="G1427" s="171">
        <v>328</v>
      </c>
      <c r="H1427" s="172" t="s">
        <v>1738</v>
      </c>
      <c r="I1427" s="173" t="s">
        <v>1743</v>
      </c>
      <c r="J1427" s="212">
        <v>0.35453024145350231</v>
      </c>
      <c r="K1427" s="213">
        <v>4.34</v>
      </c>
      <c r="L1427" s="91"/>
      <c r="M1427" s="171">
        <v>418</v>
      </c>
      <c r="N1427" s="171"/>
      <c r="O1427" s="172" t="s">
        <v>129</v>
      </c>
      <c r="P1427" s="92"/>
      <c r="Q1427" s="173" t="s">
        <v>525</v>
      </c>
      <c r="R1427" s="512" t="s">
        <v>2729</v>
      </c>
      <c r="S1427" s="89"/>
      <c r="T1427" s="214" t="s">
        <v>2306</v>
      </c>
      <c r="U1427" s="214" t="s">
        <v>2307</v>
      </c>
      <c r="V1427" s="102">
        <v>0</v>
      </c>
      <c r="W1427" s="120">
        <v>0</v>
      </c>
      <c r="X1427" s="120">
        <v>0</v>
      </c>
      <c r="Y1427" s="120">
        <v>0</v>
      </c>
      <c r="Z1427" s="120">
        <v>0</v>
      </c>
      <c r="AA1427" s="17">
        <v>0</v>
      </c>
      <c r="AB1427" s="17">
        <v>0</v>
      </c>
      <c r="AC1427" s="17">
        <v>0</v>
      </c>
      <c r="AD1427" s="17">
        <v>0</v>
      </c>
      <c r="AE1427" s="17">
        <v>0</v>
      </c>
      <c r="AF1427" s="17">
        <v>0</v>
      </c>
      <c r="AG1427" s="17">
        <v>0</v>
      </c>
      <c r="AH1427" s="17">
        <v>0</v>
      </c>
      <c r="AI1427" s="17">
        <v>0</v>
      </c>
      <c r="AJ1427" s="17">
        <v>0</v>
      </c>
      <c r="AK1427" s="17">
        <v>0</v>
      </c>
      <c r="AL1427" s="32">
        <v>0</v>
      </c>
      <c r="AM1427" s="172" t="s">
        <v>521</v>
      </c>
      <c r="AN1427" s="89"/>
      <c r="AO1427" s="171" t="s">
        <v>521</v>
      </c>
      <c r="AP1427" s="783" t="s">
        <v>521</v>
      </c>
      <c r="AQ1427" s="17" t="s">
        <v>1773</v>
      </c>
      <c r="AR1427" s="174">
        <v>101</v>
      </c>
      <c r="AS1427" s="89"/>
      <c r="AT1427" s="171">
        <v>610</v>
      </c>
      <c r="AU1427" s="255">
        <f t="shared" si="104"/>
        <v>23.319454958364876</v>
      </c>
      <c r="AV1427" s="172">
        <v>99</v>
      </c>
      <c r="AW1427" s="171">
        <v>1</v>
      </c>
      <c r="AX1427" s="171">
        <v>23</v>
      </c>
      <c r="AY1427" s="171">
        <v>20</v>
      </c>
      <c r="AZ1427" s="171">
        <v>0</v>
      </c>
      <c r="BA1427" s="175">
        <v>37</v>
      </c>
      <c r="BB1427" s="259"/>
      <c r="BC1427" s="190"/>
      <c r="BD1427" s="177"/>
      <c r="BE1427" s="177"/>
      <c r="BF1427" s="178" t="s">
        <v>1774</v>
      </c>
    </row>
    <row r="1428" spans="1:58" ht="15" customHeight="1">
      <c r="A1428" s="95">
        <v>1427</v>
      </c>
      <c r="B1428" s="211" t="s">
        <v>2022</v>
      </c>
      <c r="C1428" s="191" t="s">
        <v>1772</v>
      </c>
      <c r="D1428" s="171" t="s">
        <v>119</v>
      </c>
      <c r="E1428" s="463" t="s">
        <v>3377</v>
      </c>
      <c r="F1428" s="171">
        <v>2003</v>
      </c>
      <c r="G1428" s="171">
        <v>328</v>
      </c>
      <c r="H1428" s="172" t="s">
        <v>1738</v>
      </c>
      <c r="I1428" s="173" t="s">
        <v>1743</v>
      </c>
      <c r="J1428" s="212">
        <v>0.35453024145350231</v>
      </c>
      <c r="K1428" s="213">
        <v>4.34</v>
      </c>
      <c r="L1428" s="91"/>
      <c r="M1428" s="171">
        <v>418</v>
      </c>
      <c r="N1428" s="171"/>
      <c r="O1428" s="172" t="s">
        <v>129</v>
      </c>
      <c r="P1428" s="92"/>
      <c r="Q1428" s="173" t="s">
        <v>525</v>
      </c>
      <c r="R1428" s="512" t="s">
        <v>2729</v>
      </c>
      <c r="S1428" s="89"/>
      <c r="T1428" s="214" t="s">
        <v>2306</v>
      </c>
      <c r="U1428" s="214" t="s">
        <v>2307</v>
      </c>
      <c r="V1428" s="102">
        <v>0</v>
      </c>
      <c r="W1428" s="120">
        <v>0</v>
      </c>
      <c r="X1428" s="120">
        <v>0</v>
      </c>
      <c r="Y1428" s="120">
        <v>0</v>
      </c>
      <c r="Z1428" s="120">
        <v>0</v>
      </c>
      <c r="AA1428" s="17">
        <v>0</v>
      </c>
      <c r="AB1428" s="17">
        <v>0</v>
      </c>
      <c r="AC1428" s="17">
        <v>0</v>
      </c>
      <c r="AD1428" s="17">
        <v>0</v>
      </c>
      <c r="AE1428" s="17">
        <v>0</v>
      </c>
      <c r="AF1428" s="17">
        <v>0</v>
      </c>
      <c r="AG1428" s="17">
        <v>0</v>
      </c>
      <c r="AH1428" s="17">
        <v>0</v>
      </c>
      <c r="AI1428" s="17">
        <v>0</v>
      </c>
      <c r="AJ1428" s="17">
        <v>0</v>
      </c>
      <c r="AK1428" s="17">
        <v>0</v>
      </c>
      <c r="AL1428" s="32">
        <v>0</v>
      </c>
      <c r="AM1428" s="172" t="s">
        <v>521</v>
      </c>
      <c r="AN1428" s="89"/>
      <c r="AO1428" s="171" t="s">
        <v>521</v>
      </c>
      <c r="AP1428" s="783" t="s">
        <v>521</v>
      </c>
      <c r="AQ1428" s="17" t="s">
        <v>1773</v>
      </c>
      <c r="AR1428" s="174">
        <v>101</v>
      </c>
      <c r="AS1428" s="89"/>
      <c r="AT1428" s="171">
        <v>610</v>
      </c>
      <c r="AU1428" s="255">
        <f t="shared" si="104"/>
        <v>23.319454958364876</v>
      </c>
      <c r="AV1428" s="172">
        <v>99</v>
      </c>
      <c r="AW1428" s="171">
        <v>1</v>
      </c>
      <c r="AX1428" s="171">
        <v>23</v>
      </c>
      <c r="AY1428" s="171">
        <v>20</v>
      </c>
      <c r="AZ1428" s="171">
        <v>0</v>
      </c>
      <c r="BA1428" s="175">
        <v>37</v>
      </c>
      <c r="BB1428" s="259"/>
      <c r="BC1428" s="190"/>
      <c r="BD1428" s="177"/>
      <c r="BE1428" s="177"/>
      <c r="BF1428" s="178" t="s">
        <v>1774</v>
      </c>
    </row>
    <row r="1429" spans="1:58" ht="15" customHeight="1">
      <c r="A1429" s="95">
        <v>1428</v>
      </c>
      <c r="B1429" s="211" t="s">
        <v>2023</v>
      </c>
      <c r="C1429" s="191" t="s">
        <v>1772</v>
      </c>
      <c r="D1429" s="171" t="s">
        <v>119</v>
      </c>
      <c r="E1429" s="463" t="s">
        <v>3377</v>
      </c>
      <c r="F1429" s="171">
        <v>2003</v>
      </c>
      <c r="G1429" s="171">
        <v>328</v>
      </c>
      <c r="H1429" s="172" t="s">
        <v>1738</v>
      </c>
      <c r="I1429" s="173" t="s">
        <v>1743</v>
      </c>
      <c r="J1429" s="212">
        <v>0.35453024145350231</v>
      </c>
      <c r="K1429" s="213">
        <v>4.34</v>
      </c>
      <c r="L1429" s="91"/>
      <c r="M1429" s="171">
        <v>418</v>
      </c>
      <c r="N1429" s="171"/>
      <c r="O1429" s="172" t="s">
        <v>129</v>
      </c>
      <c r="P1429" s="92"/>
      <c r="Q1429" s="173" t="s">
        <v>525</v>
      </c>
      <c r="R1429" s="512" t="s">
        <v>2729</v>
      </c>
      <c r="S1429" s="89"/>
      <c r="T1429" s="214" t="s">
        <v>2306</v>
      </c>
      <c r="U1429" s="214" t="s">
        <v>2307</v>
      </c>
      <c r="V1429" s="102">
        <v>0</v>
      </c>
      <c r="W1429" s="120">
        <v>0</v>
      </c>
      <c r="X1429" s="120">
        <v>0</v>
      </c>
      <c r="Y1429" s="120">
        <v>0</v>
      </c>
      <c r="Z1429" s="120">
        <v>0</v>
      </c>
      <c r="AA1429" s="17">
        <v>0</v>
      </c>
      <c r="AB1429" s="17">
        <v>0</v>
      </c>
      <c r="AC1429" s="17">
        <v>0</v>
      </c>
      <c r="AD1429" s="17">
        <v>0</v>
      </c>
      <c r="AE1429" s="17">
        <v>0</v>
      </c>
      <c r="AF1429" s="17">
        <v>0</v>
      </c>
      <c r="AG1429" s="17">
        <v>0</v>
      </c>
      <c r="AH1429" s="17">
        <v>0</v>
      </c>
      <c r="AI1429" s="17">
        <v>0</v>
      </c>
      <c r="AJ1429" s="17">
        <v>0</v>
      </c>
      <c r="AK1429" s="17">
        <v>0</v>
      </c>
      <c r="AL1429" s="32">
        <v>0</v>
      </c>
      <c r="AM1429" s="172" t="s">
        <v>521</v>
      </c>
      <c r="AN1429" s="89"/>
      <c r="AO1429" s="171" t="s">
        <v>521</v>
      </c>
      <c r="AP1429" s="783" t="s">
        <v>521</v>
      </c>
      <c r="AQ1429" s="17" t="s">
        <v>1773</v>
      </c>
      <c r="AR1429" s="174">
        <v>101</v>
      </c>
      <c r="AS1429" s="89"/>
      <c r="AT1429" s="171">
        <v>610</v>
      </c>
      <c r="AU1429" s="255">
        <f t="shared" si="104"/>
        <v>23.319454958364876</v>
      </c>
      <c r="AV1429" s="172">
        <v>99</v>
      </c>
      <c r="AW1429" s="171">
        <v>1</v>
      </c>
      <c r="AX1429" s="171">
        <v>23</v>
      </c>
      <c r="AY1429" s="171">
        <v>20</v>
      </c>
      <c r="AZ1429" s="171">
        <v>0</v>
      </c>
      <c r="BA1429" s="175">
        <v>37</v>
      </c>
      <c r="BB1429" s="259"/>
      <c r="BC1429" s="190"/>
      <c r="BD1429" s="177"/>
      <c r="BE1429" s="177"/>
      <c r="BF1429" s="178" t="s">
        <v>1774</v>
      </c>
    </row>
    <row r="1430" spans="1:58" ht="15" customHeight="1">
      <c r="A1430" s="95">
        <v>1429</v>
      </c>
      <c r="B1430" s="211" t="s">
        <v>2024</v>
      </c>
      <c r="C1430" s="191" t="s">
        <v>1772</v>
      </c>
      <c r="D1430" s="171" t="s">
        <v>119</v>
      </c>
      <c r="E1430" s="461" t="s">
        <v>3377</v>
      </c>
      <c r="F1430" s="171">
        <v>2003</v>
      </c>
      <c r="G1430" s="171">
        <v>328</v>
      </c>
      <c r="H1430" s="172" t="s">
        <v>1738</v>
      </c>
      <c r="I1430" s="173" t="s">
        <v>1743</v>
      </c>
      <c r="J1430" s="212">
        <v>0.31250263368589609</v>
      </c>
      <c r="K1430" s="213">
        <v>3.49</v>
      </c>
      <c r="L1430" s="91"/>
      <c r="M1430" s="171">
        <v>475</v>
      </c>
      <c r="N1430" s="171"/>
      <c r="O1430" s="172" t="s">
        <v>12</v>
      </c>
      <c r="P1430" s="92"/>
      <c r="Q1430" s="173" t="s">
        <v>526</v>
      </c>
      <c r="R1430" s="65" t="s">
        <v>2308</v>
      </c>
      <c r="S1430" s="89"/>
      <c r="T1430" s="214" t="s">
        <v>2306</v>
      </c>
      <c r="U1430" s="214" t="s">
        <v>2308</v>
      </c>
      <c r="V1430" s="102">
        <v>0</v>
      </c>
      <c r="W1430" s="120">
        <v>7</v>
      </c>
      <c r="X1430" s="120">
        <v>0</v>
      </c>
      <c r="Y1430" s="120">
        <v>0</v>
      </c>
      <c r="Z1430" s="120">
        <v>0</v>
      </c>
      <c r="AA1430" s="17">
        <v>0</v>
      </c>
      <c r="AB1430" s="17">
        <v>0</v>
      </c>
      <c r="AC1430" s="17">
        <v>0</v>
      </c>
      <c r="AD1430" s="17">
        <v>0</v>
      </c>
      <c r="AE1430" s="17">
        <v>0</v>
      </c>
      <c r="AF1430" s="124">
        <v>0.19700000000000001</v>
      </c>
      <c r="AG1430" s="17">
        <v>0</v>
      </c>
      <c r="AH1430" s="17">
        <v>0</v>
      </c>
      <c r="AI1430" s="17">
        <v>0</v>
      </c>
      <c r="AJ1430" s="33">
        <v>1.7999999999999999E-2</v>
      </c>
      <c r="AK1430" s="17">
        <v>0</v>
      </c>
      <c r="AL1430" s="32">
        <v>0</v>
      </c>
      <c r="AM1430" s="172" t="s">
        <v>521</v>
      </c>
      <c r="AN1430" s="89"/>
      <c r="AO1430" s="171" t="s">
        <v>521</v>
      </c>
      <c r="AP1430" s="783" t="s">
        <v>521</v>
      </c>
      <c r="AQ1430" s="17" t="s">
        <v>1773</v>
      </c>
      <c r="AR1430" s="174">
        <v>101</v>
      </c>
      <c r="AS1430" s="89"/>
      <c r="AT1430" s="171">
        <v>610</v>
      </c>
      <c r="AU1430" s="255">
        <f t="shared" si="104"/>
        <v>23.319454958364876</v>
      </c>
      <c r="AV1430" s="172">
        <v>99</v>
      </c>
      <c r="AW1430" s="171">
        <v>1</v>
      </c>
      <c r="AX1430" s="171">
        <v>23</v>
      </c>
      <c r="AY1430" s="171">
        <v>20</v>
      </c>
      <c r="AZ1430" s="171">
        <v>0</v>
      </c>
      <c r="BA1430" s="175">
        <v>37</v>
      </c>
      <c r="BB1430" s="259"/>
      <c r="BC1430" s="190"/>
      <c r="BD1430" s="177"/>
      <c r="BE1430" s="177"/>
      <c r="BF1430" s="178" t="s">
        <v>1775</v>
      </c>
    </row>
    <row r="1431" spans="1:58" ht="15" customHeight="1">
      <c r="A1431" s="95">
        <v>1430</v>
      </c>
      <c r="B1431" s="211" t="s">
        <v>2025</v>
      </c>
      <c r="C1431" s="191" t="s">
        <v>1772</v>
      </c>
      <c r="D1431" s="171" t="s">
        <v>119</v>
      </c>
      <c r="E1431" s="461" t="s">
        <v>3377</v>
      </c>
      <c r="F1431" s="171">
        <v>2003</v>
      </c>
      <c r="G1431" s="171">
        <v>328</v>
      </c>
      <c r="H1431" s="172" t="s">
        <v>1738</v>
      </c>
      <c r="I1431" s="173" t="s">
        <v>1743</v>
      </c>
      <c r="J1431" s="212">
        <v>0.31250263368589609</v>
      </c>
      <c r="K1431" s="213">
        <v>3.49</v>
      </c>
      <c r="L1431" s="91"/>
      <c r="M1431" s="171">
        <v>475</v>
      </c>
      <c r="N1431" s="171"/>
      <c r="O1431" s="172" t="s">
        <v>12</v>
      </c>
      <c r="P1431" s="92"/>
      <c r="Q1431" s="173" t="s">
        <v>526</v>
      </c>
      <c r="R1431" s="65" t="s">
        <v>2308</v>
      </c>
      <c r="S1431" s="89"/>
      <c r="T1431" s="214" t="s">
        <v>2306</v>
      </c>
      <c r="U1431" s="214" t="s">
        <v>2308</v>
      </c>
      <c r="V1431" s="102">
        <v>0</v>
      </c>
      <c r="W1431" s="120">
        <v>7</v>
      </c>
      <c r="X1431" s="120">
        <v>0</v>
      </c>
      <c r="Y1431" s="120">
        <v>0</v>
      </c>
      <c r="Z1431" s="120">
        <v>0</v>
      </c>
      <c r="AA1431" s="17">
        <v>0</v>
      </c>
      <c r="AB1431" s="17">
        <v>0</v>
      </c>
      <c r="AC1431" s="17">
        <v>0</v>
      </c>
      <c r="AD1431" s="17">
        <v>0</v>
      </c>
      <c r="AE1431" s="17">
        <v>0</v>
      </c>
      <c r="AF1431" s="124">
        <v>0.19700000000000001</v>
      </c>
      <c r="AG1431" s="17">
        <v>0</v>
      </c>
      <c r="AH1431" s="17">
        <v>0</v>
      </c>
      <c r="AI1431" s="17">
        <v>0</v>
      </c>
      <c r="AJ1431" s="33">
        <v>1.7999999999999999E-2</v>
      </c>
      <c r="AK1431" s="17">
        <v>0</v>
      </c>
      <c r="AL1431" s="32">
        <v>0</v>
      </c>
      <c r="AM1431" s="172" t="s">
        <v>521</v>
      </c>
      <c r="AN1431" s="89"/>
      <c r="AO1431" s="171" t="s">
        <v>521</v>
      </c>
      <c r="AP1431" s="783" t="s">
        <v>521</v>
      </c>
      <c r="AQ1431" s="17" t="s">
        <v>1773</v>
      </c>
      <c r="AR1431" s="174">
        <v>101</v>
      </c>
      <c r="AS1431" s="89"/>
      <c r="AT1431" s="171">
        <v>610</v>
      </c>
      <c r="AU1431" s="255">
        <f t="shared" si="104"/>
        <v>23.319454958364876</v>
      </c>
      <c r="AV1431" s="172">
        <v>99</v>
      </c>
      <c r="AW1431" s="171">
        <v>1</v>
      </c>
      <c r="AX1431" s="171">
        <v>23</v>
      </c>
      <c r="AY1431" s="171">
        <v>20</v>
      </c>
      <c r="AZ1431" s="171">
        <v>0</v>
      </c>
      <c r="BA1431" s="175">
        <v>37</v>
      </c>
      <c r="BB1431" s="259"/>
      <c r="BC1431" s="190"/>
      <c r="BD1431" s="177"/>
      <c r="BE1431" s="177"/>
      <c r="BF1431" s="178" t="s">
        <v>1775</v>
      </c>
    </row>
    <row r="1432" spans="1:58" ht="15" customHeight="1">
      <c r="A1432" s="95">
        <v>1431</v>
      </c>
      <c r="B1432" s="211" t="s">
        <v>2026</v>
      </c>
      <c r="C1432" s="191" t="s">
        <v>1772</v>
      </c>
      <c r="D1432" s="171" t="s">
        <v>119</v>
      </c>
      <c r="E1432" s="461" t="s">
        <v>3377</v>
      </c>
      <c r="F1432" s="171">
        <v>2003</v>
      </c>
      <c r="G1432" s="171">
        <v>328</v>
      </c>
      <c r="H1432" s="172" t="s">
        <v>1738</v>
      </c>
      <c r="I1432" s="173" t="s">
        <v>1743</v>
      </c>
      <c r="J1432" s="212">
        <v>0.31250263368589609</v>
      </c>
      <c r="K1432" s="213">
        <v>3.49</v>
      </c>
      <c r="L1432" s="91"/>
      <c r="M1432" s="171">
        <v>475</v>
      </c>
      <c r="N1432" s="171"/>
      <c r="O1432" s="172" t="s">
        <v>12</v>
      </c>
      <c r="P1432" s="92"/>
      <c r="Q1432" s="173" t="s">
        <v>526</v>
      </c>
      <c r="R1432" s="65" t="s">
        <v>2308</v>
      </c>
      <c r="S1432" s="89"/>
      <c r="T1432" s="214" t="s">
        <v>2306</v>
      </c>
      <c r="U1432" s="214" t="s">
        <v>2308</v>
      </c>
      <c r="V1432" s="102">
        <v>0</v>
      </c>
      <c r="W1432" s="120">
        <v>7</v>
      </c>
      <c r="X1432" s="120">
        <v>0</v>
      </c>
      <c r="Y1432" s="120">
        <v>0</v>
      </c>
      <c r="Z1432" s="120">
        <v>0</v>
      </c>
      <c r="AA1432" s="17">
        <v>0</v>
      </c>
      <c r="AB1432" s="17">
        <v>0</v>
      </c>
      <c r="AC1432" s="17">
        <v>0</v>
      </c>
      <c r="AD1432" s="17">
        <v>0</v>
      </c>
      <c r="AE1432" s="17">
        <v>0</v>
      </c>
      <c r="AF1432" s="124">
        <v>0.19700000000000001</v>
      </c>
      <c r="AG1432" s="17">
        <v>0</v>
      </c>
      <c r="AH1432" s="17">
        <v>0</v>
      </c>
      <c r="AI1432" s="17">
        <v>0</v>
      </c>
      <c r="AJ1432" s="33">
        <v>1.7999999999999999E-2</v>
      </c>
      <c r="AK1432" s="17">
        <v>0</v>
      </c>
      <c r="AL1432" s="32">
        <v>0</v>
      </c>
      <c r="AM1432" s="172" t="s">
        <v>521</v>
      </c>
      <c r="AN1432" s="89"/>
      <c r="AO1432" s="171" t="s">
        <v>521</v>
      </c>
      <c r="AP1432" s="783" t="s">
        <v>521</v>
      </c>
      <c r="AQ1432" s="17" t="s">
        <v>1773</v>
      </c>
      <c r="AR1432" s="174">
        <v>101</v>
      </c>
      <c r="AS1432" s="89"/>
      <c r="AT1432" s="171">
        <v>610</v>
      </c>
      <c r="AU1432" s="255">
        <f t="shared" si="104"/>
        <v>23.319454958364876</v>
      </c>
      <c r="AV1432" s="172">
        <v>99</v>
      </c>
      <c r="AW1432" s="171">
        <v>1</v>
      </c>
      <c r="AX1432" s="171">
        <v>23</v>
      </c>
      <c r="AY1432" s="171">
        <v>20</v>
      </c>
      <c r="AZ1432" s="171">
        <v>0</v>
      </c>
      <c r="BA1432" s="175">
        <v>37</v>
      </c>
      <c r="BB1432" s="259"/>
      <c r="BC1432" s="190"/>
      <c r="BD1432" s="177"/>
      <c r="BE1432" s="177"/>
      <c r="BF1432" s="178" t="s">
        <v>1775</v>
      </c>
    </row>
    <row r="1433" spans="1:58" ht="15" customHeight="1">
      <c r="A1433" s="95">
        <v>1432</v>
      </c>
      <c r="B1433" s="211" t="s">
        <v>2027</v>
      </c>
      <c r="C1433" s="191" t="s">
        <v>1772</v>
      </c>
      <c r="D1433" s="171" t="s">
        <v>119</v>
      </c>
      <c r="E1433" s="463" t="s">
        <v>3377</v>
      </c>
      <c r="F1433" s="171">
        <v>2003</v>
      </c>
      <c r="G1433" s="171">
        <v>328</v>
      </c>
      <c r="H1433" s="172" t="s">
        <v>1738</v>
      </c>
      <c r="I1433" s="173" t="s">
        <v>1743</v>
      </c>
      <c r="J1433" s="212">
        <v>0.34</v>
      </c>
      <c r="K1433" s="213">
        <v>5.94</v>
      </c>
      <c r="L1433" s="91"/>
      <c r="M1433" s="171">
        <v>335</v>
      </c>
      <c r="N1433" s="171"/>
      <c r="O1433" s="172" t="s">
        <v>129</v>
      </c>
      <c r="P1433" s="92"/>
      <c r="Q1433" s="173" t="s">
        <v>525</v>
      </c>
      <c r="R1433" s="66" t="s">
        <v>2729</v>
      </c>
      <c r="S1433" s="89"/>
      <c r="T1433" s="214" t="s">
        <v>2306</v>
      </c>
      <c r="U1433" s="214" t="s">
        <v>2307</v>
      </c>
      <c r="V1433" s="102">
        <v>0</v>
      </c>
      <c r="W1433" s="120">
        <v>0</v>
      </c>
      <c r="X1433" s="120">
        <v>0</v>
      </c>
      <c r="Y1433" s="120">
        <v>0</v>
      </c>
      <c r="Z1433" s="120">
        <v>0</v>
      </c>
      <c r="AA1433" s="17">
        <v>0</v>
      </c>
      <c r="AB1433" s="17">
        <v>0</v>
      </c>
      <c r="AC1433" s="17">
        <v>0</v>
      </c>
      <c r="AD1433" s="17">
        <v>0</v>
      </c>
      <c r="AE1433" s="17">
        <v>0</v>
      </c>
      <c r="AF1433" s="17">
        <v>0</v>
      </c>
      <c r="AG1433" s="17">
        <v>0</v>
      </c>
      <c r="AH1433" s="17">
        <v>0</v>
      </c>
      <c r="AI1433" s="17">
        <v>0</v>
      </c>
      <c r="AJ1433" s="17">
        <v>0</v>
      </c>
      <c r="AK1433" s="17">
        <v>0</v>
      </c>
      <c r="AL1433" s="32">
        <v>0</v>
      </c>
      <c r="AM1433" s="172" t="s">
        <v>521</v>
      </c>
      <c r="AN1433" s="89"/>
      <c r="AO1433" s="171" t="s">
        <v>521</v>
      </c>
      <c r="AP1433" s="783" t="s">
        <v>521</v>
      </c>
      <c r="AQ1433" s="17" t="s">
        <v>1773</v>
      </c>
      <c r="AR1433" s="174">
        <v>101</v>
      </c>
      <c r="AS1433" s="89"/>
      <c r="AT1433" s="171">
        <v>610</v>
      </c>
      <c r="AU1433" s="255">
        <f t="shared" si="104"/>
        <v>23.319454958364876</v>
      </c>
      <c r="AV1433" s="172">
        <v>99</v>
      </c>
      <c r="AW1433" s="171">
        <v>1</v>
      </c>
      <c r="AX1433" s="171">
        <v>23</v>
      </c>
      <c r="AY1433" s="171">
        <v>20</v>
      </c>
      <c r="AZ1433" s="171">
        <v>0</v>
      </c>
      <c r="BA1433" s="175">
        <v>37</v>
      </c>
      <c r="BB1433" s="259"/>
      <c r="BC1433" s="190"/>
      <c r="BD1433" s="177"/>
      <c r="BE1433" s="177"/>
      <c r="BF1433" s="178" t="s">
        <v>1776</v>
      </c>
    </row>
    <row r="1434" spans="1:58" ht="15" customHeight="1">
      <c r="A1434" s="95">
        <v>1433</v>
      </c>
      <c r="B1434" s="211" t="s">
        <v>2028</v>
      </c>
      <c r="C1434" s="191" t="s">
        <v>1772</v>
      </c>
      <c r="D1434" s="171" t="s">
        <v>119</v>
      </c>
      <c r="E1434" s="463" t="s">
        <v>3377</v>
      </c>
      <c r="F1434" s="171">
        <v>2003</v>
      </c>
      <c r="G1434" s="171">
        <v>328</v>
      </c>
      <c r="H1434" s="172" t="s">
        <v>1738</v>
      </c>
      <c r="I1434" s="173" t="s">
        <v>1743</v>
      </c>
      <c r="J1434" s="212">
        <v>0.34</v>
      </c>
      <c r="K1434" s="213">
        <v>5.94</v>
      </c>
      <c r="L1434" s="91"/>
      <c r="M1434" s="171">
        <v>335</v>
      </c>
      <c r="N1434" s="171"/>
      <c r="O1434" s="172" t="s">
        <v>129</v>
      </c>
      <c r="P1434" s="92"/>
      <c r="Q1434" s="173" t="s">
        <v>525</v>
      </c>
      <c r="R1434" s="66" t="s">
        <v>2729</v>
      </c>
      <c r="S1434" s="89"/>
      <c r="T1434" s="214" t="s">
        <v>2306</v>
      </c>
      <c r="U1434" s="214" t="s">
        <v>2307</v>
      </c>
      <c r="V1434" s="102">
        <v>0</v>
      </c>
      <c r="W1434" s="120">
        <v>0</v>
      </c>
      <c r="X1434" s="120">
        <v>0</v>
      </c>
      <c r="Y1434" s="120">
        <v>0</v>
      </c>
      <c r="Z1434" s="120">
        <v>0</v>
      </c>
      <c r="AA1434" s="17">
        <v>0</v>
      </c>
      <c r="AB1434" s="17">
        <v>0</v>
      </c>
      <c r="AC1434" s="17">
        <v>0</v>
      </c>
      <c r="AD1434" s="17">
        <v>0</v>
      </c>
      <c r="AE1434" s="17">
        <v>0</v>
      </c>
      <c r="AF1434" s="17">
        <v>0</v>
      </c>
      <c r="AG1434" s="17">
        <v>0</v>
      </c>
      <c r="AH1434" s="17">
        <v>0</v>
      </c>
      <c r="AI1434" s="17">
        <v>0</v>
      </c>
      <c r="AJ1434" s="17">
        <v>0</v>
      </c>
      <c r="AK1434" s="17">
        <v>0</v>
      </c>
      <c r="AL1434" s="32">
        <v>0</v>
      </c>
      <c r="AM1434" s="172" t="s">
        <v>521</v>
      </c>
      <c r="AN1434" s="89"/>
      <c r="AO1434" s="171" t="s">
        <v>521</v>
      </c>
      <c r="AP1434" s="783" t="s">
        <v>521</v>
      </c>
      <c r="AQ1434" s="17" t="s">
        <v>1773</v>
      </c>
      <c r="AR1434" s="174">
        <v>101</v>
      </c>
      <c r="AS1434" s="89"/>
      <c r="AT1434" s="171">
        <v>610</v>
      </c>
      <c r="AU1434" s="255">
        <f t="shared" si="104"/>
        <v>23.319454958364876</v>
      </c>
      <c r="AV1434" s="172">
        <v>99</v>
      </c>
      <c r="AW1434" s="171">
        <v>1</v>
      </c>
      <c r="AX1434" s="171">
        <v>23</v>
      </c>
      <c r="AY1434" s="171">
        <v>20</v>
      </c>
      <c r="AZ1434" s="171">
        <v>0</v>
      </c>
      <c r="BA1434" s="175">
        <v>37</v>
      </c>
      <c r="BB1434" s="259"/>
      <c r="BC1434" s="190"/>
      <c r="BD1434" s="177"/>
      <c r="BE1434" s="177"/>
      <c r="BF1434" s="178" t="s">
        <v>1776</v>
      </c>
    </row>
    <row r="1435" spans="1:58" ht="15" customHeight="1">
      <c r="A1435" s="95">
        <v>1434</v>
      </c>
      <c r="B1435" s="211" t="s">
        <v>2029</v>
      </c>
      <c r="C1435" s="191" t="s">
        <v>1772</v>
      </c>
      <c r="D1435" s="171" t="s">
        <v>119</v>
      </c>
      <c r="E1435" s="463" t="s">
        <v>3377</v>
      </c>
      <c r="F1435" s="171">
        <v>2003</v>
      </c>
      <c r="G1435" s="171">
        <v>328</v>
      </c>
      <c r="H1435" s="172" t="s">
        <v>1738</v>
      </c>
      <c r="I1435" s="173" t="s">
        <v>1743</v>
      </c>
      <c r="J1435" s="212">
        <v>0.34</v>
      </c>
      <c r="K1435" s="213">
        <v>5.94</v>
      </c>
      <c r="L1435" s="91"/>
      <c r="M1435" s="171">
        <v>335</v>
      </c>
      <c r="N1435" s="171"/>
      <c r="O1435" s="172" t="s">
        <v>129</v>
      </c>
      <c r="P1435" s="92"/>
      <c r="Q1435" s="173" t="s">
        <v>525</v>
      </c>
      <c r="R1435" s="66" t="s">
        <v>2729</v>
      </c>
      <c r="S1435" s="89"/>
      <c r="T1435" s="214" t="s">
        <v>2306</v>
      </c>
      <c r="U1435" s="214" t="s">
        <v>2307</v>
      </c>
      <c r="V1435" s="102">
        <v>0</v>
      </c>
      <c r="W1435" s="120">
        <v>0</v>
      </c>
      <c r="X1435" s="120">
        <v>0</v>
      </c>
      <c r="Y1435" s="120">
        <v>0</v>
      </c>
      <c r="Z1435" s="120">
        <v>0</v>
      </c>
      <c r="AA1435" s="17">
        <v>0</v>
      </c>
      <c r="AB1435" s="17">
        <v>0</v>
      </c>
      <c r="AC1435" s="17">
        <v>0</v>
      </c>
      <c r="AD1435" s="17">
        <v>0</v>
      </c>
      <c r="AE1435" s="17">
        <v>0</v>
      </c>
      <c r="AF1435" s="17">
        <v>0</v>
      </c>
      <c r="AG1435" s="17">
        <v>0</v>
      </c>
      <c r="AH1435" s="17">
        <v>0</v>
      </c>
      <c r="AI1435" s="17">
        <v>0</v>
      </c>
      <c r="AJ1435" s="17">
        <v>0</v>
      </c>
      <c r="AK1435" s="17">
        <v>0</v>
      </c>
      <c r="AL1435" s="32">
        <v>0</v>
      </c>
      <c r="AM1435" s="172" t="s">
        <v>521</v>
      </c>
      <c r="AN1435" s="89"/>
      <c r="AO1435" s="171" t="s">
        <v>521</v>
      </c>
      <c r="AP1435" s="783" t="s">
        <v>521</v>
      </c>
      <c r="AQ1435" s="17" t="s">
        <v>1773</v>
      </c>
      <c r="AR1435" s="174">
        <v>101</v>
      </c>
      <c r="AS1435" s="89"/>
      <c r="AT1435" s="171">
        <v>610</v>
      </c>
      <c r="AU1435" s="255">
        <f t="shared" si="104"/>
        <v>23.319454958364876</v>
      </c>
      <c r="AV1435" s="172">
        <v>99</v>
      </c>
      <c r="AW1435" s="171">
        <v>1</v>
      </c>
      <c r="AX1435" s="171">
        <v>23</v>
      </c>
      <c r="AY1435" s="171">
        <v>20</v>
      </c>
      <c r="AZ1435" s="171">
        <v>0</v>
      </c>
      <c r="BA1435" s="175">
        <v>37</v>
      </c>
      <c r="BB1435" s="259"/>
      <c r="BC1435" s="190"/>
      <c r="BD1435" s="177"/>
      <c r="BE1435" s="177"/>
      <c r="BF1435" s="178" t="s">
        <v>1776</v>
      </c>
    </row>
    <row r="1436" spans="1:58" ht="15" customHeight="1">
      <c r="A1436" s="95">
        <v>1435</v>
      </c>
      <c r="B1436" s="211" t="s">
        <v>2030</v>
      </c>
      <c r="C1436" s="191" t="s">
        <v>1772</v>
      </c>
      <c r="D1436" s="171" t="s">
        <v>119</v>
      </c>
      <c r="E1436" s="463" t="s">
        <v>3377</v>
      </c>
      <c r="F1436" s="171">
        <v>2003</v>
      </c>
      <c r="G1436" s="171">
        <v>328</v>
      </c>
      <c r="H1436" s="172" t="s">
        <v>1738</v>
      </c>
      <c r="I1436" s="173" t="s">
        <v>1743</v>
      </c>
      <c r="J1436" s="212">
        <v>0.31</v>
      </c>
      <c r="K1436" s="213">
        <v>4.5999999999999996</v>
      </c>
      <c r="L1436" s="91"/>
      <c r="M1436" s="171">
        <v>418</v>
      </c>
      <c r="N1436" s="171"/>
      <c r="O1436" s="172" t="s">
        <v>129</v>
      </c>
      <c r="P1436" s="92"/>
      <c r="Q1436" s="173" t="s">
        <v>525</v>
      </c>
      <c r="R1436" s="506" t="s">
        <v>2308</v>
      </c>
      <c r="S1436" s="89"/>
      <c r="T1436" s="511"/>
      <c r="U1436" s="171" t="s">
        <v>2308</v>
      </c>
      <c r="V1436" s="102">
        <v>0</v>
      </c>
      <c r="W1436" s="120">
        <v>0</v>
      </c>
      <c r="X1436" s="120">
        <v>0</v>
      </c>
      <c r="Y1436" s="120">
        <v>0</v>
      </c>
      <c r="Z1436" s="120">
        <v>0</v>
      </c>
      <c r="AA1436" s="17">
        <v>0</v>
      </c>
      <c r="AB1436" s="17">
        <v>0</v>
      </c>
      <c r="AC1436" s="17">
        <v>0</v>
      </c>
      <c r="AD1436" s="17">
        <v>0</v>
      </c>
      <c r="AE1436" s="17">
        <v>0</v>
      </c>
      <c r="AF1436" s="17">
        <v>0</v>
      </c>
      <c r="AG1436" s="17">
        <v>0</v>
      </c>
      <c r="AH1436" s="17">
        <v>0</v>
      </c>
      <c r="AI1436" s="17">
        <v>0</v>
      </c>
      <c r="AJ1436" s="17">
        <v>0</v>
      </c>
      <c r="AK1436" s="17">
        <v>0</v>
      </c>
      <c r="AL1436" s="32">
        <v>0</v>
      </c>
      <c r="AM1436" s="172" t="s">
        <v>521</v>
      </c>
      <c r="AN1436" s="89"/>
      <c r="AO1436" s="171" t="s">
        <v>521</v>
      </c>
      <c r="AP1436" s="783" t="s">
        <v>521</v>
      </c>
      <c r="AQ1436" s="17" t="s">
        <v>1773</v>
      </c>
      <c r="AR1436" s="174">
        <v>101</v>
      </c>
      <c r="AS1436" s="89"/>
      <c r="AT1436" s="171">
        <v>610</v>
      </c>
      <c r="AU1436" s="255">
        <f t="shared" si="104"/>
        <v>23.319454958364876</v>
      </c>
      <c r="AV1436" s="172">
        <v>99</v>
      </c>
      <c r="AW1436" s="171">
        <v>1</v>
      </c>
      <c r="AX1436" s="171">
        <v>23</v>
      </c>
      <c r="AY1436" s="171">
        <v>20</v>
      </c>
      <c r="AZ1436" s="171">
        <v>0</v>
      </c>
      <c r="BA1436" s="175">
        <v>37</v>
      </c>
      <c r="BB1436" s="259"/>
      <c r="BC1436" s="190"/>
      <c r="BD1436" s="177"/>
      <c r="BE1436" s="177"/>
      <c r="BF1436" s="178" t="s">
        <v>1777</v>
      </c>
    </row>
    <row r="1437" spans="1:58" ht="15" customHeight="1">
      <c r="A1437" s="95">
        <v>1436</v>
      </c>
      <c r="B1437" s="211" t="s">
        <v>2031</v>
      </c>
      <c r="C1437" s="191" t="s">
        <v>1772</v>
      </c>
      <c r="D1437" s="171" t="s">
        <v>119</v>
      </c>
      <c r="E1437" s="463" t="s">
        <v>3377</v>
      </c>
      <c r="F1437" s="171">
        <v>2003</v>
      </c>
      <c r="G1437" s="171">
        <v>328</v>
      </c>
      <c r="H1437" s="172" t="s">
        <v>1738</v>
      </c>
      <c r="I1437" s="173" t="s">
        <v>1743</v>
      </c>
      <c r="J1437" s="212">
        <v>0.31</v>
      </c>
      <c r="K1437" s="213">
        <v>4.5999999999999996</v>
      </c>
      <c r="L1437" s="91"/>
      <c r="M1437" s="171">
        <v>418</v>
      </c>
      <c r="N1437" s="171"/>
      <c r="O1437" s="172" t="s">
        <v>129</v>
      </c>
      <c r="P1437" s="92"/>
      <c r="Q1437" s="173" t="s">
        <v>525</v>
      </c>
      <c r="R1437" s="506" t="s">
        <v>2308</v>
      </c>
      <c r="S1437" s="89"/>
      <c r="T1437" s="511"/>
      <c r="U1437" s="171" t="s">
        <v>2308</v>
      </c>
      <c r="V1437" s="102">
        <v>0</v>
      </c>
      <c r="W1437" s="120">
        <v>0</v>
      </c>
      <c r="X1437" s="120">
        <v>0</v>
      </c>
      <c r="Y1437" s="120">
        <v>0</v>
      </c>
      <c r="Z1437" s="120">
        <v>0</v>
      </c>
      <c r="AA1437" s="17">
        <v>0</v>
      </c>
      <c r="AB1437" s="17">
        <v>0</v>
      </c>
      <c r="AC1437" s="17">
        <v>0</v>
      </c>
      <c r="AD1437" s="17">
        <v>0</v>
      </c>
      <c r="AE1437" s="17">
        <v>0</v>
      </c>
      <c r="AF1437" s="17">
        <v>0</v>
      </c>
      <c r="AG1437" s="17">
        <v>0</v>
      </c>
      <c r="AH1437" s="17">
        <v>0</v>
      </c>
      <c r="AI1437" s="17">
        <v>0</v>
      </c>
      <c r="AJ1437" s="17">
        <v>0</v>
      </c>
      <c r="AK1437" s="17">
        <v>0</v>
      </c>
      <c r="AL1437" s="32">
        <v>0</v>
      </c>
      <c r="AM1437" s="172" t="s">
        <v>521</v>
      </c>
      <c r="AN1437" s="89"/>
      <c r="AO1437" s="171" t="s">
        <v>521</v>
      </c>
      <c r="AP1437" s="783" t="s">
        <v>521</v>
      </c>
      <c r="AQ1437" s="17" t="s">
        <v>1773</v>
      </c>
      <c r="AR1437" s="174">
        <v>101</v>
      </c>
      <c r="AS1437" s="89"/>
      <c r="AT1437" s="171">
        <v>610</v>
      </c>
      <c r="AU1437" s="255">
        <f t="shared" si="104"/>
        <v>23.319454958364876</v>
      </c>
      <c r="AV1437" s="172">
        <v>99</v>
      </c>
      <c r="AW1437" s="171">
        <v>1</v>
      </c>
      <c r="AX1437" s="171">
        <v>23</v>
      </c>
      <c r="AY1437" s="171">
        <v>20</v>
      </c>
      <c r="AZ1437" s="171">
        <v>0</v>
      </c>
      <c r="BA1437" s="175">
        <v>37</v>
      </c>
      <c r="BB1437" s="259"/>
      <c r="BC1437" s="190"/>
      <c r="BD1437" s="177"/>
      <c r="BE1437" s="177"/>
      <c r="BF1437" s="178" t="s">
        <v>1777</v>
      </c>
    </row>
    <row r="1438" spans="1:58" ht="15" customHeight="1">
      <c r="A1438" s="95">
        <v>1437</v>
      </c>
      <c r="B1438" s="211" t="s">
        <v>2032</v>
      </c>
      <c r="C1438" s="191" t="s">
        <v>1772</v>
      </c>
      <c r="D1438" s="171" t="s">
        <v>119</v>
      </c>
      <c r="E1438" s="463" t="s">
        <v>3377</v>
      </c>
      <c r="F1438" s="171">
        <v>2003</v>
      </c>
      <c r="G1438" s="171">
        <v>328</v>
      </c>
      <c r="H1438" s="172" t="s">
        <v>1738</v>
      </c>
      <c r="I1438" s="173" t="s">
        <v>1743</v>
      </c>
      <c r="J1438" s="212">
        <v>0.31</v>
      </c>
      <c r="K1438" s="213">
        <v>4.5999999999999996</v>
      </c>
      <c r="L1438" s="91"/>
      <c r="M1438" s="171">
        <v>418</v>
      </c>
      <c r="N1438" s="171"/>
      <c r="O1438" s="172" t="s">
        <v>129</v>
      </c>
      <c r="P1438" s="92"/>
      <c r="Q1438" s="173" t="s">
        <v>525</v>
      </c>
      <c r="R1438" s="506" t="s">
        <v>2308</v>
      </c>
      <c r="S1438" s="89"/>
      <c r="T1438" s="511"/>
      <c r="U1438" s="171" t="s">
        <v>2308</v>
      </c>
      <c r="V1438" s="102">
        <v>0</v>
      </c>
      <c r="W1438" s="120">
        <v>0</v>
      </c>
      <c r="X1438" s="120">
        <v>0</v>
      </c>
      <c r="Y1438" s="120">
        <v>0</v>
      </c>
      <c r="Z1438" s="120">
        <v>0</v>
      </c>
      <c r="AA1438" s="17">
        <v>0</v>
      </c>
      <c r="AB1438" s="17">
        <v>0</v>
      </c>
      <c r="AC1438" s="17">
        <v>0</v>
      </c>
      <c r="AD1438" s="17">
        <v>0</v>
      </c>
      <c r="AE1438" s="17">
        <v>0</v>
      </c>
      <c r="AF1438" s="17">
        <v>0</v>
      </c>
      <c r="AG1438" s="17">
        <v>0</v>
      </c>
      <c r="AH1438" s="17">
        <v>0</v>
      </c>
      <c r="AI1438" s="17">
        <v>0</v>
      </c>
      <c r="AJ1438" s="17">
        <v>0</v>
      </c>
      <c r="AK1438" s="17">
        <v>0</v>
      </c>
      <c r="AL1438" s="32">
        <v>0</v>
      </c>
      <c r="AM1438" s="172" t="s">
        <v>521</v>
      </c>
      <c r="AN1438" s="89"/>
      <c r="AO1438" s="171" t="s">
        <v>521</v>
      </c>
      <c r="AP1438" s="783" t="s">
        <v>521</v>
      </c>
      <c r="AQ1438" s="17" t="s">
        <v>1773</v>
      </c>
      <c r="AR1438" s="174">
        <v>101</v>
      </c>
      <c r="AS1438" s="89"/>
      <c r="AT1438" s="171">
        <v>610</v>
      </c>
      <c r="AU1438" s="255">
        <f t="shared" si="104"/>
        <v>23.319454958364876</v>
      </c>
      <c r="AV1438" s="172">
        <v>99</v>
      </c>
      <c r="AW1438" s="171">
        <v>1</v>
      </c>
      <c r="AX1438" s="171">
        <v>23</v>
      </c>
      <c r="AY1438" s="171">
        <v>20</v>
      </c>
      <c r="AZ1438" s="171">
        <v>0</v>
      </c>
      <c r="BA1438" s="175">
        <v>37</v>
      </c>
      <c r="BB1438" s="259"/>
      <c r="BC1438" s="190"/>
      <c r="BD1438" s="177"/>
      <c r="BE1438" s="177"/>
      <c r="BF1438" s="178" t="s">
        <v>1777</v>
      </c>
    </row>
    <row r="1439" spans="1:58" ht="15" customHeight="1">
      <c r="A1439" s="95">
        <v>1438</v>
      </c>
      <c r="B1439" s="211" t="s">
        <v>2033</v>
      </c>
      <c r="C1439" s="191" t="s">
        <v>1779</v>
      </c>
      <c r="D1439" s="171" t="s">
        <v>119</v>
      </c>
      <c r="E1439" s="463" t="s">
        <v>3377</v>
      </c>
      <c r="F1439" s="171">
        <v>2005</v>
      </c>
      <c r="G1439" s="171">
        <v>329</v>
      </c>
      <c r="H1439" s="172" t="s">
        <v>1738</v>
      </c>
      <c r="I1439" s="173" t="s">
        <v>1743</v>
      </c>
      <c r="J1439" s="212">
        <v>0.66</v>
      </c>
      <c r="K1439" s="213">
        <v>7.56</v>
      </c>
      <c r="L1439" s="91"/>
      <c r="M1439" s="171">
        <v>231</v>
      </c>
      <c r="N1439" s="171"/>
      <c r="O1439" s="172" t="s">
        <v>12</v>
      </c>
      <c r="P1439" s="92"/>
      <c r="Q1439" s="173" t="s">
        <v>523</v>
      </c>
      <c r="R1439" s="171" t="s">
        <v>2726</v>
      </c>
      <c r="S1439" s="89"/>
      <c r="T1439" s="511"/>
      <c r="U1439" s="214" t="s">
        <v>2315</v>
      </c>
      <c r="V1439" s="102">
        <v>0</v>
      </c>
      <c r="W1439" s="120">
        <v>25.128</v>
      </c>
      <c r="X1439" s="120">
        <v>41.79</v>
      </c>
      <c r="Y1439" s="120">
        <v>0</v>
      </c>
      <c r="Z1439" s="120">
        <v>0</v>
      </c>
      <c r="AA1439" s="17">
        <v>0</v>
      </c>
      <c r="AB1439" s="17">
        <v>0</v>
      </c>
      <c r="AC1439" s="17">
        <v>0</v>
      </c>
      <c r="AD1439" s="17">
        <v>0</v>
      </c>
      <c r="AE1439" s="17">
        <v>0</v>
      </c>
      <c r="AF1439" s="17">
        <v>0</v>
      </c>
      <c r="AG1439" s="17">
        <v>0</v>
      </c>
      <c r="AH1439" s="17">
        <v>0</v>
      </c>
      <c r="AI1439" s="17">
        <v>0</v>
      </c>
      <c r="AJ1439" s="33">
        <v>1.5385945198374968</v>
      </c>
      <c r="AK1439" s="17">
        <v>0</v>
      </c>
      <c r="AL1439" s="32">
        <v>0</v>
      </c>
      <c r="AM1439" s="172" t="s">
        <v>521</v>
      </c>
      <c r="AN1439" s="89"/>
      <c r="AO1439" s="171" t="s">
        <v>521</v>
      </c>
      <c r="AP1439" s="783" t="s">
        <v>521</v>
      </c>
      <c r="AQ1439" s="17" t="s">
        <v>1169</v>
      </c>
      <c r="AR1439" s="174">
        <v>50</v>
      </c>
      <c r="AS1439" s="89"/>
      <c r="AT1439" s="171">
        <v>600</v>
      </c>
      <c r="AU1439" s="255">
        <f>(AR1439*AT1439)/((2*AT1439)+(2*AR1439))</f>
        <v>23.076923076923077</v>
      </c>
      <c r="AV1439" s="172">
        <v>60</v>
      </c>
      <c r="AW1439" s="171">
        <v>1</v>
      </c>
      <c r="AX1439" s="171" t="s">
        <v>1780</v>
      </c>
      <c r="AY1439" s="171" t="s">
        <v>1781</v>
      </c>
      <c r="AZ1439" s="171">
        <v>0</v>
      </c>
      <c r="BA1439" s="175">
        <v>55</v>
      </c>
      <c r="BB1439" s="259"/>
      <c r="BC1439" s="190"/>
      <c r="BD1439" s="177"/>
      <c r="BE1439" s="177"/>
      <c r="BF1439" s="178" t="s">
        <v>1782</v>
      </c>
    </row>
    <row r="1440" spans="1:58" ht="15" customHeight="1">
      <c r="A1440" s="95">
        <v>1439</v>
      </c>
      <c r="B1440" s="211" t="s">
        <v>2034</v>
      </c>
      <c r="C1440" s="191" t="s">
        <v>1779</v>
      </c>
      <c r="D1440" s="171" t="s">
        <v>119</v>
      </c>
      <c r="E1440" s="463" t="s">
        <v>3377</v>
      </c>
      <c r="F1440" s="171">
        <v>2005</v>
      </c>
      <c r="G1440" s="171">
        <v>329</v>
      </c>
      <c r="H1440" s="172" t="s">
        <v>1738</v>
      </c>
      <c r="I1440" s="173" t="s">
        <v>1743</v>
      </c>
      <c r="J1440" s="212">
        <v>0.66</v>
      </c>
      <c r="K1440" s="213">
        <v>7.56</v>
      </c>
      <c r="L1440" s="91"/>
      <c r="M1440" s="171">
        <v>231</v>
      </c>
      <c r="N1440" s="171"/>
      <c r="O1440" s="172" t="s">
        <v>12</v>
      </c>
      <c r="P1440" s="92"/>
      <c r="Q1440" s="173" t="s">
        <v>523</v>
      </c>
      <c r="R1440" s="171" t="s">
        <v>2726</v>
      </c>
      <c r="S1440" s="89"/>
      <c r="T1440" s="511"/>
      <c r="U1440" s="214" t="s">
        <v>2315</v>
      </c>
      <c r="V1440" s="102">
        <v>0</v>
      </c>
      <c r="W1440" s="120">
        <v>25.128</v>
      </c>
      <c r="X1440" s="120">
        <v>41.79</v>
      </c>
      <c r="Y1440" s="120">
        <v>0</v>
      </c>
      <c r="Z1440" s="120">
        <v>0</v>
      </c>
      <c r="AA1440" s="17">
        <v>0</v>
      </c>
      <c r="AB1440" s="17">
        <v>0</v>
      </c>
      <c r="AC1440" s="17">
        <v>0</v>
      </c>
      <c r="AD1440" s="17">
        <v>0</v>
      </c>
      <c r="AE1440" s="17">
        <v>0</v>
      </c>
      <c r="AF1440" s="17">
        <v>0</v>
      </c>
      <c r="AG1440" s="17">
        <v>0</v>
      </c>
      <c r="AH1440" s="17">
        <v>0</v>
      </c>
      <c r="AI1440" s="17">
        <v>0</v>
      </c>
      <c r="AJ1440" s="33">
        <v>1.5385945198374968</v>
      </c>
      <c r="AK1440" s="17">
        <v>0</v>
      </c>
      <c r="AL1440" s="32">
        <v>0</v>
      </c>
      <c r="AM1440" s="172" t="s">
        <v>521</v>
      </c>
      <c r="AN1440" s="89"/>
      <c r="AO1440" s="171" t="s">
        <v>521</v>
      </c>
      <c r="AP1440" s="783" t="s">
        <v>521</v>
      </c>
      <c r="AQ1440" s="17" t="s">
        <v>1783</v>
      </c>
      <c r="AR1440" s="174">
        <v>50</v>
      </c>
      <c r="AS1440" s="89"/>
      <c r="AT1440" s="171">
        <v>600</v>
      </c>
      <c r="AU1440" s="255">
        <f>(AR1440*AT1440)/((2*AT1440)+(2*AR1440))</f>
        <v>23.076923076923077</v>
      </c>
      <c r="AV1440" s="172">
        <v>60</v>
      </c>
      <c r="AW1440" s="171">
        <v>1</v>
      </c>
      <c r="AX1440" s="171" t="s">
        <v>1780</v>
      </c>
      <c r="AY1440" s="171" t="s">
        <v>1781</v>
      </c>
      <c r="AZ1440" s="171">
        <v>0</v>
      </c>
      <c r="BA1440" s="175">
        <v>55</v>
      </c>
      <c r="BB1440" s="259"/>
      <c r="BC1440" s="190"/>
      <c r="BD1440" s="177"/>
      <c r="BE1440" s="177"/>
      <c r="BF1440" s="178" t="s">
        <v>1782</v>
      </c>
    </row>
    <row r="1441" spans="1:58" ht="15" customHeight="1">
      <c r="A1441" s="95">
        <v>1440</v>
      </c>
      <c r="B1441" s="211" t="s">
        <v>2035</v>
      </c>
      <c r="C1441" s="191" t="s">
        <v>1779</v>
      </c>
      <c r="D1441" s="171" t="s">
        <v>119</v>
      </c>
      <c r="E1441" s="463" t="s">
        <v>3377</v>
      </c>
      <c r="F1441" s="171">
        <v>2005</v>
      </c>
      <c r="G1441" s="171">
        <v>329</v>
      </c>
      <c r="H1441" s="172" t="s">
        <v>1738</v>
      </c>
      <c r="I1441" s="173" t="s">
        <v>1743</v>
      </c>
      <c r="J1441" s="212">
        <v>0.66</v>
      </c>
      <c r="K1441" s="213">
        <v>7.56</v>
      </c>
      <c r="L1441" s="91"/>
      <c r="M1441" s="171">
        <v>231</v>
      </c>
      <c r="N1441" s="171"/>
      <c r="O1441" s="172" t="s">
        <v>12</v>
      </c>
      <c r="P1441" s="92"/>
      <c r="Q1441" s="173" t="s">
        <v>523</v>
      </c>
      <c r="R1441" s="171" t="s">
        <v>2726</v>
      </c>
      <c r="S1441" s="89"/>
      <c r="T1441" s="511"/>
      <c r="U1441" s="214" t="s">
        <v>2315</v>
      </c>
      <c r="V1441" s="102">
        <v>0</v>
      </c>
      <c r="W1441" s="120">
        <v>25.128</v>
      </c>
      <c r="X1441" s="120">
        <v>41.79</v>
      </c>
      <c r="Y1441" s="120">
        <v>0</v>
      </c>
      <c r="Z1441" s="120">
        <v>0</v>
      </c>
      <c r="AA1441" s="17">
        <v>0</v>
      </c>
      <c r="AB1441" s="17">
        <v>0</v>
      </c>
      <c r="AC1441" s="17">
        <v>0</v>
      </c>
      <c r="AD1441" s="17">
        <v>0</v>
      </c>
      <c r="AE1441" s="17">
        <v>0</v>
      </c>
      <c r="AF1441" s="17">
        <v>0</v>
      </c>
      <c r="AG1441" s="17">
        <v>0</v>
      </c>
      <c r="AH1441" s="17">
        <v>0</v>
      </c>
      <c r="AI1441" s="17">
        <v>0</v>
      </c>
      <c r="AJ1441" s="33">
        <v>1.5385945198374968</v>
      </c>
      <c r="AK1441" s="17">
        <v>0</v>
      </c>
      <c r="AL1441" s="32">
        <v>0</v>
      </c>
      <c r="AM1441" s="172" t="s">
        <v>521</v>
      </c>
      <c r="AN1441" s="89"/>
      <c r="AO1441" s="171" t="s">
        <v>521</v>
      </c>
      <c r="AP1441" s="783" t="s">
        <v>521</v>
      </c>
      <c r="AQ1441" s="17" t="s">
        <v>1784</v>
      </c>
      <c r="AR1441" s="174">
        <v>50</v>
      </c>
      <c r="AS1441" s="89"/>
      <c r="AT1441" s="171">
        <v>600</v>
      </c>
      <c r="AU1441" s="255">
        <f>(AR1441*AT1441)/((2*AT1441)+(2*AR1441))</f>
        <v>23.076923076923077</v>
      </c>
      <c r="AV1441" s="172">
        <v>60</v>
      </c>
      <c r="AW1441" s="171">
        <v>1</v>
      </c>
      <c r="AX1441" s="171" t="s">
        <v>1780</v>
      </c>
      <c r="AY1441" s="171" t="s">
        <v>1781</v>
      </c>
      <c r="AZ1441" s="171">
        <v>0</v>
      </c>
      <c r="BA1441" s="175">
        <v>55</v>
      </c>
      <c r="BB1441" s="259"/>
      <c r="BC1441" s="190"/>
      <c r="BD1441" s="177"/>
      <c r="BE1441" s="177"/>
      <c r="BF1441" s="178" t="s">
        <v>1782</v>
      </c>
    </row>
    <row r="1442" spans="1:58" ht="15" customHeight="1">
      <c r="A1442" s="95">
        <v>1441</v>
      </c>
      <c r="B1442" s="211" t="s">
        <v>2036</v>
      </c>
      <c r="C1442" s="191" t="s">
        <v>1779</v>
      </c>
      <c r="D1442" s="171" t="s">
        <v>119</v>
      </c>
      <c r="E1442" s="463" t="s">
        <v>3377</v>
      </c>
      <c r="F1442" s="171">
        <v>2005</v>
      </c>
      <c r="G1442" s="171">
        <v>329</v>
      </c>
      <c r="H1442" s="172" t="s">
        <v>1738</v>
      </c>
      <c r="I1442" s="173" t="s">
        <v>1743</v>
      </c>
      <c r="J1442" s="212">
        <v>0.66</v>
      </c>
      <c r="K1442" s="213">
        <v>7.56</v>
      </c>
      <c r="L1442" s="91"/>
      <c r="M1442" s="171">
        <v>231</v>
      </c>
      <c r="N1442" s="171"/>
      <c r="O1442" s="172" t="s">
        <v>12</v>
      </c>
      <c r="P1442" s="92"/>
      <c r="Q1442" s="173" t="s">
        <v>523</v>
      </c>
      <c r="R1442" s="171" t="s">
        <v>2726</v>
      </c>
      <c r="S1442" s="89"/>
      <c r="T1442" s="511"/>
      <c r="U1442" s="214" t="s">
        <v>2315</v>
      </c>
      <c r="V1442" s="102">
        <v>0</v>
      </c>
      <c r="W1442" s="120">
        <v>25.128</v>
      </c>
      <c r="X1442" s="120">
        <v>41.79</v>
      </c>
      <c r="Y1442" s="120">
        <v>0</v>
      </c>
      <c r="Z1442" s="120">
        <v>0</v>
      </c>
      <c r="AA1442" s="17">
        <v>0</v>
      </c>
      <c r="AB1442" s="17">
        <v>0</v>
      </c>
      <c r="AC1442" s="17">
        <v>0</v>
      </c>
      <c r="AD1442" s="17">
        <v>0</v>
      </c>
      <c r="AE1442" s="17">
        <v>0</v>
      </c>
      <c r="AF1442" s="17">
        <v>0</v>
      </c>
      <c r="AG1442" s="17">
        <v>0</v>
      </c>
      <c r="AH1442" s="17">
        <v>0</v>
      </c>
      <c r="AI1442" s="17">
        <v>0</v>
      </c>
      <c r="AJ1442" s="33">
        <v>1.5385945198374968</v>
      </c>
      <c r="AK1442" s="17">
        <v>0</v>
      </c>
      <c r="AL1442" s="32">
        <v>0</v>
      </c>
      <c r="AM1442" s="172" t="s">
        <v>521</v>
      </c>
      <c r="AN1442" s="89"/>
      <c r="AO1442" s="171" t="s">
        <v>521</v>
      </c>
      <c r="AP1442" s="783" t="s">
        <v>521</v>
      </c>
      <c r="AQ1442" s="17" t="s">
        <v>1785</v>
      </c>
      <c r="AR1442" s="174">
        <v>50</v>
      </c>
      <c r="AS1442" s="89"/>
      <c r="AT1442" s="171">
        <v>600</v>
      </c>
      <c r="AU1442" s="255">
        <f>(AR1442*AT1442)/((2*AT1442)+(2*AR1442))</f>
        <v>23.076923076923077</v>
      </c>
      <c r="AV1442" s="172">
        <v>60</v>
      </c>
      <c r="AW1442" s="171">
        <v>1</v>
      </c>
      <c r="AX1442" s="171" t="s">
        <v>1780</v>
      </c>
      <c r="AY1442" s="171" t="s">
        <v>1781</v>
      </c>
      <c r="AZ1442" s="171">
        <v>0</v>
      </c>
      <c r="BA1442" s="175">
        <v>55</v>
      </c>
      <c r="BB1442" s="259"/>
      <c r="BC1442" s="190"/>
      <c r="BD1442" s="177"/>
      <c r="BE1442" s="177"/>
      <c r="BF1442" s="178" t="s">
        <v>1782</v>
      </c>
    </row>
    <row r="1443" spans="1:58" ht="15" customHeight="1">
      <c r="A1443" s="95">
        <v>1442</v>
      </c>
      <c r="B1443" s="211" t="s">
        <v>382</v>
      </c>
      <c r="C1443" s="191" t="s">
        <v>439</v>
      </c>
      <c r="D1443" s="171" t="s">
        <v>119</v>
      </c>
      <c r="E1443" s="463" t="s">
        <v>3377</v>
      </c>
      <c r="F1443" s="171">
        <v>2008</v>
      </c>
      <c r="G1443" s="171">
        <v>330</v>
      </c>
      <c r="H1443" s="172" t="s">
        <v>1738</v>
      </c>
      <c r="I1443" s="173" t="s">
        <v>1751</v>
      </c>
      <c r="J1443" s="212" t="s">
        <v>1840</v>
      </c>
      <c r="K1443" s="213" t="s">
        <v>519</v>
      </c>
      <c r="M1443" s="89"/>
      <c r="N1443" s="89"/>
      <c r="O1443" s="57"/>
      <c r="P1443" s="89"/>
      <c r="Q1443" s="88"/>
      <c r="R1443" s="89"/>
      <c r="S1443" s="89"/>
      <c r="T1443" s="511"/>
      <c r="U1443" s="89"/>
      <c r="V1443" s="102"/>
      <c r="Y1443" s="120">
        <v>0</v>
      </c>
      <c r="Z1443" s="120">
        <v>0</v>
      </c>
      <c r="AA1443" s="87"/>
      <c r="AB1443" s="17">
        <v>0</v>
      </c>
      <c r="AC1443" s="17">
        <v>0</v>
      </c>
      <c r="AD1443" s="87"/>
      <c r="AE1443" s="87"/>
      <c r="AF1443" s="17">
        <v>0</v>
      </c>
      <c r="AG1443" s="87"/>
      <c r="AH1443" s="17">
        <v>0</v>
      </c>
      <c r="AI1443" s="17">
        <v>0</v>
      </c>
      <c r="AJ1443" s="17">
        <v>0</v>
      </c>
      <c r="AK1443" s="17">
        <v>0</v>
      </c>
      <c r="AL1443" s="32">
        <v>0</v>
      </c>
      <c r="AM1443" s="57"/>
      <c r="AN1443" s="89"/>
      <c r="AO1443" s="89"/>
      <c r="AP1443" s="88"/>
      <c r="AQ1443" s="89"/>
      <c r="AR1443" s="89"/>
      <c r="AS1443" s="89"/>
      <c r="AT1443" s="89"/>
      <c r="AU1443" s="89"/>
      <c r="AV1443" s="57"/>
      <c r="AW1443" s="89"/>
      <c r="AX1443" s="89"/>
      <c r="AY1443" s="89"/>
      <c r="AZ1443" s="89"/>
      <c r="BA1443" s="89"/>
      <c r="BB1443" s="259"/>
      <c r="BC1443" s="190"/>
      <c r="BD1443" s="177"/>
      <c r="BE1443" s="177"/>
      <c r="BF1443" s="178"/>
    </row>
    <row r="1444" spans="1:58" ht="15" customHeight="1">
      <c r="A1444" s="95">
        <v>1443</v>
      </c>
      <c r="B1444" s="211" t="s">
        <v>383</v>
      </c>
      <c r="C1444" s="191" t="s">
        <v>439</v>
      </c>
      <c r="D1444" s="171" t="s">
        <v>119</v>
      </c>
      <c r="E1444" s="463" t="s">
        <v>3377</v>
      </c>
      <c r="F1444" s="171">
        <v>2008</v>
      </c>
      <c r="G1444" s="171">
        <v>330</v>
      </c>
      <c r="H1444" s="172" t="s">
        <v>1738</v>
      </c>
      <c r="I1444" s="173" t="s">
        <v>1751</v>
      </c>
      <c r="J1444" s="212" t="s">
        <v>1841</v>
      </c>
      <c r="K1444" s="213" t="s">
        <v>519</v>
      </c>
      <c r="M1444" s="89"/>
      <c r="N1444" s="89"/>
      <c r="O1444" s="57"/>
      <c r="P1444" s="89"/>
      <c r="Q1444" s="88"/>
      <c r="R1444" s="89"/>
      <c r="S1444" s="89"/>
      <c r="T1444" s="511"/>
      <c r="U1444" s="89"/>
      <c r="V1444" s="102"/>
      <c r="Y1444" s="120">
        <v>0</v>
      </c>
      <c r="Z1444" s="120">
        <v>0</v>
      </c>
      <c r="AA1444" s="87"/>
      <c r="AB1444" s="17">
        <v>0</v>
      </c>
      <c r="AC1444" s="17">
        <v>0</v>
      </c>
      <c r="AD1444" s="87"/>
      <c r="AE1444" s="87"/>
      <c r="AF1444" s="17">
        <v>0</v>
      </c>
      <c r="AG1444" s="87"/>
      <c r="AH1444" s="17">
        <v>0</v>
      </c>
      <c r="AI1444" s="17">
        <v>0</v>
      </c>
      <c r="AJ1444" s="17">
        <v>0</v>
      </c>
      <c r="AK1444" s="17">
        <v>0</v>
      </c>
      <c r="AL1444" s="32">
        <v>0</v>
      </c>
      <c r="AM1444" s="57"/>
      <c r="AN1444" s="89"/>
      <c r="AO1444" s="89"/>
      <c r="AP1444" s="88"/>
      <c r="AQ1444" s="89"/>
      <c r="AR1444" s="89"/>
      <c r="AS1444" s="89"/>
      <c r="AT1444" s="89"/>
      <c r="AU1444" s="89"/>
      <c r="AV1444" s="57"/>
      <c r="AW1444" s="89"/>
      <c r="AX1444" s="89"/>
      <c r="AY1444" s="89"/>
      <c r="AZ1444" s="89"/>
      <c r="BA1444" s="89"/>
      <c r="BB1444" s="259"/>
      <c r="BC1444" s="190"/>
      <c r="BD1444" s="177"/>
      <c r="BE1444" s="177"/>
      <c r="BF1444" s="178"/>
    </row>
    <row r="1445" spans="1:58" s="159" customFormat="1" ht="15" customHeight="1">
      <c r="A1445" s="95">
        <v>1444</v>
      </c>
      <c r="B1445" s="211" t="s">
        <v>384</v>
      </c>
      <c r="C1445" s="191" t="s">
        <v>439</v>
      </c>
      <c r="D1445" s="171" t="s">
        <v>119</v>
      </c>
      <c r="E1445" s="463" t="s">
        <v>3377</v>
      </c>
      <c r="F1445" s="171">
        <v>2008</v>
      </c>
      <c r="G1445" s="171">
        <v>330</v>
      </c>
      <c r="H1445" s="172" t="s">
        <v>1738</v>
      </c>
      <c r="I1445" s="173" t="s">
        <v>1751</v>
      </c>
      <c r="J1445" s="212" t="s">
        <v>1842</v>
      </c>
      <c r="K1445" s="213" t="s">
        <v>519</v>
      </c>
      <c r="L1445" s="37"/>
      <c r="M1445" s="89"/>
      <c r="N1445" s="89"/>
      <c r="O1445" s="57"/>
      <c r="P1445" s="89"/>
      <c r="Q1445" s="88"/>
      <c r="R1445" s="89"/>
      <c r="S1445" s="89"/>
      <c r="T1445" s="511"/>
      <c r="U1445" s="89"/>
      <c r="V1445" s="102"/>
      <c r="W1445" s="120"/>
      <c r="X1445" s="120"/>
      <c r="Y1445" s="120">
        <v>0</v>
      </c>
      <c r="Z1445" s="120">
        <v>0</v>
      </c>
      <c r="AA1445" s="87"/>
      <c r="AB1445" s="17">
        <v>0</v>
      </c>
      <c r="AC1445" s="17">
        <v>0</v>
      </c>
      <c r="AD1445" s="87"/>
      <c r="AE1445" s="87"/>
      <c r="AF1445" s="17">
        <v>0</v>
      </c>
      <c r="AG1445" s="87"/>
      <c r="AH1445" s="17">
        <v>0</v>
      </c>
      <c r="AI1445" s="17">
        <v>0</v>
      </c>
      <c r="AJ1445" s="17">
        <v>0</v>
      </c>
      <c r="AK1445" s="17">
        <v>0</v>
      </c>
      <c r="AL1445" s="32">
        <v>0</v>
      </c>
      <c r="AM1445" s="57"/>
      <c r="AN1445" s="89"/>
      <c r="AO1445" s="89"/>
      <c r="AP1445" s="88"/>
      <c r="AQ1445" s="89"/>
      <c r="AR1445" s="89"/>
      <c r="AS1445" s="89"/>
      <c r="AT1445" s="89"/>
      <c r="AU1445" s="89"/>
      <c r="AV1445" s="57"/>
      <c r="AW1445" s="89"/>
      <c r="AX1445" s="89"/>
      <c r="AY1445" s="89"/>
      <c r="AZ1445" s="89"/>
      <c r="BA1445" s="89"/>
      <c r="BB1445" s="259"/>
      <c r="BC1445" s="190"/>
      <c r="BD1445" s="177"/>
      <c r="BE1445" s="177"/>
      <c r="BF1445" s="178"/>
    </row>
    <row r="1446" spans="1:58" ht="15" customHeight="1">
      <c r="A1446" s="95">
        <v>1445</v>
      </c>
      <c r="B1446" s="211" t="s">
        <v>385</v>
      </c>
      <c r="C1446" s="191" t="s">
        <v>439</v>
      </c>
      <c r="D1446" s="171" t="s">
        <v>119</v>
      </c>
      <c r="E1446" s="463" t="s">
        <v>3377</v>
      </c>
      <c r="F1446" s="171">
        <v>2008</v>
      </c>
      <c r="G1446" s="171">
        <v>330</v>
      </c>
      <c r="H1446" s="172" t="s">
        <v>1738</v>
      </c>
      <c r="I1446" s="173" t="s">
        <v>1751</v>
      </c>
      <c r="J1446" s="212" t="s">
        <v>1843</v>
      </c>
      <c r="K1446" s="213" t="s">
        <v>519</v>
      </c>
      <c r="M1446" s="89"/>
      <c r="N1446" s="89"/>
      <c r="O1446" s="57"/>
      <c r="P1446" s="89"/>
      <c r="Q1446" s="88"/>
      <c r="R1446" s="89"/>
      <c r="S1446" s="89"/>
      <c r="T1446" s="511"/>
      <c r="U1446" s="89"/>
      <c r="V1446" s="102"/>
      <c r="Y1446" s="120">
        <v>0</v>
      </c>
      <c r="Z1446" s="120">
        <v>0</v>
      </c>
      <c r="AA1446" s="87"/>
      <c r="AB1446" s="17">
        <v>0</v>
      </c>
      <c r="AC1446" s="17">
        <v>0</v>
      </c>
      <c r="AD1446" s="87"/>
      <c r="AE1446" s="87"/>
      <c r="AF1446" s="17">
        <v>0</v>
      </c>
      <c r="AG1446" s="87"/>
      <c r="AH1446" s="17">
        <v>0</v>
      </c>
      <c r="AI1446" s="17">
        <v>0</v>
      </c>
      <c r="AJ1446" s="17">
        <v>0</v>
      </c>
      <c r="AK1446" s="17">
        <v>0</v>
      </c>
      <c r="AL1446" s="32">
        <v>0</v>
      </c>
      <c r="AM1446" s="57"/>
      <c r="AN1446" s="89"/>
      <c r="AO1446" s="89"/>
      <c r="AP1446" s="88"/>
      <c r="AQ1446" s="89"/>
      <c r="AR1446" s="89"/>
      <c r="AS1446" s="89"/>
      <c r="AT1446" s="89"/>
      <c r="AU1446" s="89"/>
      <c r="AV1446" s="57"/>
      <c r="AW1446" s="89"/>
      <c r="AX1446" s="89"/>
      <c r="AY1446" s="89"/>
      <c r="AZ1446" s="89"/>
      <c r="BA1446" s="89"/>
      <c r="BB1446" s="259"/>
      <c r="BC1446" s="190"/>
      <c r="BD1446" s="177"/>
      <c r="BE1446" s="177"/>
      <c r="BF1446" s="178"/>
    </row>
    <row r="1447" spans="1:58" ht="15" customHeight="1">
      <c r="A1447" s="95">
        <v>1446</v>
      </c>
      <c r="B1447" s="211" t="s">
        <v>386</v>
      </c>
      <c r="C1447" s="191" t="s">
        <v>439</v>
      </c>
      <c r="D1447" s="171" t="s">
        <v>119</v>
      </c>
      <c r="E1447" s="463" t="s">
        <v>3377</v>
      </c>
      <c r="F1447" s="171">
        <v>2008</v>
      </c>
      <c r="G1447" s="171">
        <v>330</v>
      </c>
      <c r="H1447" s="172" t="s">
        <v>1738</v>
      </c>
      <c r="I1447" s="173" t="s">
        <v>1751</v>
      </c>
      <c r="J1447" s="212" t="s">
        <v>1844</v>
      </c>
      <c r="K1447" s="213" t="s">
        <v>519</v>
      </c>
      <c r="M1447" s="89"/>
      <c r="N1447" s="89"/>
      <c r="O1447" s="57"/>
      <c r="P1447" s="89"/>
      <c r="Q1447" s="88"/>
      <c r="R1447" s="89"/>
      <c r="S1447" s="89"/>
      <c r="T1447" s="511"/>
      <c r="U1447" s="89"/>
      <c r="V1447" s="102"/>
      <c r="Y1447" s="120">
        <v>0</v>
      </c>
      <c r="Z1447" s="120">
        <v>0</v>
      </c>
      <c r="AA1447" s="87"/>
      <c r="AB1447" s="17">
        <v>0</v>
      </c>
      <c r="AC1447" s="17">
        <v>0</v>
      </c>
      <c r="AD1447" s="87"/>
      <c r="AE1447" s="87"/>
      <c r="AF1447" s="17">
        <v>0</v>
      </c>
      <c r="AG1447" s="87"/>
      <c r="AH1447" s="17">
        <v>0</v>
      </c>
      <c r="AI1447" s="17">
        <v>0</v>
      </c>
      <c r="AJ1447" s="17">
        <v>0</v>
      </c>
      <c r="AK1447" s="17">
        <v>0</v>
      </c>
      <c r="AL1447" s="32">
        <v>0</v>
      </c>
      <c r="AM1447" s="57"/>
      <c r="AN1447" s="89"/>
      <c r="AO1447" s="89"/>
      <c r="AP1447" s="88"/>
      <c r="AQ1447" s="89"/>
      <c r="AR1447" s="89"/>
      <c r="AS1447" s="89"/>
      <c r="AT1447" s="89"/>
      <c r="AU1447" s="89"/>
      <c r="AV1447" s="57"/>
      <c r="AW1447" s="89"/>
      <c r="AX1447" s="89"/>
      <c r="AY1447" s="89"/>
      <c r="AZ1447" s="89"/>
      <c r="BA1447" s="89"/>
      <c r="BB1447" s="259"/>
      <c r="BC1447" s="190"/>
      <c r="BD1447" s="177"/>
      <c r="BE1447" s="177"/>
      <c r="BF1447" s="178"/>
    </row>
    <row r="1448" spans="1:58" ht="15" customHeight="1">
      <c r="A1448" s="95">
        <v>1447</v>
      </c>
      <c r="B1448" s="211" t="s">
        <v>387</v>
      </c>
      <c r="C1448" s="191" t="s">
        <v>439</v>
      </c>
      <c r="D1448" s="171" t="s">
        <v>119</v>
      </c>
      <c r="E1448" s="463" t="s">
        <v>3377</v>
      </c>
      <c r="F1448" s="171">
        <v>2008</v>
      </c>
      <c r="G1448" s="171">
        <v>330</v>
      </c>
      <c r="H1448" s="172" t="s">
        <v>1738</v>
      </c>
      <c r="I1448" s="173" t="s">
        <v>1751</v>
      </c>
      <c r="J1448" s="212" t="s">
        <v>1845</v>
      </c>
      <c r="K1448" s="213" t="s">
        <v>519</v>
      </c>
      <c r="M1448" s="89"/>
      <c r="N1448" s="89"/>
      <c r="O1448" s="57"/>
      <c r="P1448" s="89"/>
      <c r="Q1448" s="88"/>
      <c r="R1448" s="89"/>
      <c r="S1448" s="89"/>
      <c r="T1448" s="511"/>
      <c r="U1448" s="89"/>
      <c r="V1448" s="102"/>
      <c r="Y1448" s="120">
        <v>0</v>
      </c>
      <c r="Z1448" s="120">
        <v>0</v>
      </c>
      <c r="AA1448" s="87"/>
      <c r="AB1448" s="17">
        <v>0</v>
      </c>
      <c r="AC1448" s="17">
        <v>0</v>
      </c>
      <c r="AD1448" s="87"/>
      <c r="AE1448" s="87"/>
      <c r="AF1448" s="17">
        <v>0</v>
      </c>
      <c r="AG1448" s="87"/>
      <c r="AH1448" s="17">
        <v>0</v>
      </c>
      <c r="AI1448" s="17">
        <v>0</v>
      </c>
      <c r="AJ1448" s="17">
        <v>0</v>
      </c>
      <c r="AK1448" s="17">
        <v>0</v>
      </c>
      <c r="AL1448" s="32">
        <v>0</v>
      </c>
      <c r="AM1448" s="57"/>
      <c r="AN1448" s="89"/>
      <c r="AO1448" s="89"/>
      <c r="AP1448" s="88"/>
      <c r="AQ1448" s="89"/>
      <c r="AR1448" s="89"/>
      <c r="AS1448" s="89"/>
      <c r="AT1448" s="89"/>
      <c r="AU1448" s="89"/>
      <c r="AV1448" s="57"/>
      <c r="AW1448" s="89"/>
      <c r="AX1448" s="89"/>
      <c r="AY1448" s="89"/>
      <c r="AZ1448" s="89"/>
      <c r="BA1448" s="89"/>
      <c r="BB1448" s="259"/>
      <c r="BC1448" s="190"/>
      <c r="BD1448" s="177"/>
      <c r="BE1448" s="177"/>
      <c r="BF1448" s="178"/>
    </row>
    <row r="1449" spans="1:58" ht="15" customHeight="1">
      <c r="A1449" s="95">
        <v>1448</v>
      </c>
      <c r="B1449" s="211" t="s">
        <v>388</v>
      </c>
      <c r="C1449" s="191" t="s">
        <v>439</v>
      </c>
      <c r="D1449" s="171" t="s">
        <v>119</v>
      </c>
      <c r="E1449" s="463" t="s">
        <v>3377</v>
      </c>
      <c r="F1449" s="171">
        <v>2008</v>
      </c>
      <c r="G1449" s="171">
        <v>330</v>
      </c>
      <c r="H1449" s="172" t="s">
        <v>1738</v>
      </c>
      <c r="I1449" s="173" t="s">
        <v>1751</v>
      </c>
      <c r="J1449" s="212" t="s">
        <v>1846</v>
      </c>
      <c r="K1449" s="213" t="s">
        <v>519</v>
      </c>
      <c r="M1449" s="89"/>
      <c r="N1449" s="89"/>
      <c r="O1449" s="57"/>
      <c r="P1449" s="89"/>
      <c r="Q1449" s="88"/>
      <c r="R1449" s="89"/>
      <c r="S1449" s="89"/>
      <c r="T1449" s="511"/>
      <c r="U1449" s="89"/>
      <c r="V1449" s="102"/>
      <c r="Y1449" s="120">
        <v>0</v>
      </c>
      <c r="Z1449" s="120">
        <v>0</v>
      </c>
      <c r="AA1449" s="87"/>
      <c r="AB1449" s="17">
        <v>0</v>
      </c>
      <c r="AC1449" s="17">
        <v>0</v>
      </c>
      <c r="AD1449" s="87"/>
      <c r="AE1449" s="87"/>
      <c r="AF1449" s="17">
        <v>0</v>
      </c>
      <c r="AG1449" s="87"/>
      <c r="AH1449" s="17">
        <v>0</v>
      </c>
      <c r="AI1449" s="17">
        <v>0</v>
      </c>
      <c r="AJ1449" s="17">
        <v>0</v>
      </c>
      <c r="AK1449" s="17">
        <v>0</v>
      </c>
      <c r="AL1449" s="32">
        <v>0</v>
      </c>
      <c r="AM1449" s="57"/>
      <c r="AN1449" s="89"/>
      <c r="AO1449" s="89"/>
      <c r="AP1449" s="88"/>
      <c r="AQ1449" s="89"/>
      <c r="AR1449" s="89"/>
      <c r="AS1449" s="89"/>
      <c r="AT1449" s="89"/>
      <c r="AU1449" s="89"/>
      <c r="AV1449" s="57"/>
      <c r="AW1449" s="89"/>
      <c r="AX1449" s="89"/>
      <c r="AY1449" s="89"/>
      <c r="AZ1449" s="89"/>
      <c r="BA1449" s="89"/>
      <c r="BB1449" s="259"/>
      <c r="BC1449" s="190"/>
      <c r="BD1449" s="177"/>
      <c r="BE1449" s="177"/>
      <c r="BF1449" s="178"/>
    </row>
    <row r="1450" spans="1:58" s="14" customFormat="1" ht="15" customHeight="1">
      <c r="A1450" s="95">
        <v>1449</v>
      </c>
      <c r="B1450" s="211" t="s">
        <v>389</v>
      </c>
      <c r="C1450" s="191" t="s">
        <v>439</v>
      </c>
      <c r="D1450" s="171" t="s">
        <v>119</v>
      </c>
      <c r="E1450" s="463" t="s">
        <v>3377</v>
      </c>
      <c r="F1450" s="171">
        <v>2008</v>
      </c>
      <c r="G1450" s="171">
        <v>330</v>
      </c>
      <c r="H1450" s="172" t="s">
        <v>1738</v>
      </c>
      <c r="I1450" s="173" t="s">
        <v>1751</v>
      </c>
      <c r="J1450" s="212" t="s">
        <v>1847</v>
      </c>
      <c r="K1450" s="213" t="s">
        <v>519</v>
      </c>
      <c r="L1450" s="37"/>
      <c r="M1450" s="89"/>
      <c r="N1450" s="89"/>
      <c r="O1450" s="57"/>
      <c r="P1450" s="89"/>
      <c r="Q1450" s="88"/>
      <c r="R1450" s="89"/>
      <c r="S1450" s="89"/>
      <c r="T1450" s="511"/>
      <c r="U1450" s="89"/>
      <c r="V1450" s="102"/>
      <c r="W1450" s="120"/>
      <c r="X1450" s="120"/>
      <c r="Y1450" s="120">
        <v>0</v>
      </c>
      <c r="Z1450" s="120">
        <v>0</v>
      </c>
      <c r="AA1450" s="87"/>
      <c r="AB1450" s="17">
        <v>0</v>
      </c>
      <c r="AC1450" s="17">
        <v>0</v>
      </c>
      <c r="AD1450" s="87"/>
      <c r="AE1450" s="87"/>
      <c r="AF1450" s="17">
        <v>0</v>
      </c>
      <c r="AG1450" s="87"/>
      <c r="AH1450" s="17">
        <v>0</v>
      </c>
      <c r="AI1450" s="17">
        <v>0</v>
      </c>
      <c r="AJ1450" s="17">
        <v>0</v>
      </c>
      <c r="AK1450" s="17">
        <v>0</v>
      </c>
      <c r="AL1450" s="32">
        <v>0</v>
      </c>
      <c r="AM1450" s="57"/>
      <c r="AN1450" s="89"/>
      <c r="AO1450" s="89"/>
      <c r="AP1450" s="88"/>
      <c r="AQ1450" s="89"/>
      <c r="AR1450" s="89"/>
      <c r="AS1450" s="89"/>
      <c r="AT1450" s="89"/>
      <c r="AU1450" s="89"/>
      <c r="AV1450" s="57"/>
      <c r="AW1450" s="89"/>
      <c r="AX1450" s="89"/>
      <c r="AY1450" s="89"/>
      <c r="AZ1450" s="89"/>
      <c r="BA1450" s="89"/>
      <c r="BB1450" s="259"/>
      <c r="BC1450" s="190"/>
      <c r="BD1450" s="177"/>
      <c r="BE1450" s="177"/>
      <c r="BF1450" s="178"/>
    </row>
    <row r="1451" spans="1:58" ht="15" customHeight="1">
      <c r="A1451" s="95">
        <v>1450</v>
      </c>
      <c r="B1451" s="211" t="s">
        <v>390</v>
      </c>
      <c r="C1451" s="191" t="s">
        <v>439</v>
      </c>
      <c r="D1451" s="171" t="s">
        <v>119</v>
      </c>
      <c r="E1451" s="463" t="s">
        <v>3377</v>
      </c>
      <c r="F1451" s="171">
        <v>2008</v>
      </c>
      <c r="G1451" s="171">
        <v>330</v>
      </c>
      <c r="H1451" s="172" t="s">
        <v>1738</v>
      </c>
      <c r="I1451" s="173" t="s">
        <v>1751</v>
      </c>
      <c r="J1451" s="212" t="s">
        <v>1848</v>
      </c>
      <c r="K1451" s="213" t="s">
        <v>519</v>
      </c>
      <c r="M1451" s="89"/>
      <c r="N1451" s="89"/>
      <c r="O1451" s="57"/>
      <c r="P1451" s="89"/>
      <c r="Q1451" s="88"/>
      <c r="R1451" s="89"/>
      <c r="S1451" s="89"/>
      <c r="T1451" s="511"/>
      <c r="U1451" s="89"/>
      <c r="V1451" s="102"/>
      <c r="Y1451" s="120">
        <v>0</v>
      </c>
      <c r="Z1451" s="120">
        <v>0</v>
      </c>
      <c r="AA1451" s="87"/>
      <c r="AB1451" s="17">
        <v>0</v>
      </c>
      <c r="AC1451" s="17">
        <v>0</v>
      </c>
      <c r="AD1451" s="87"/>
      <c r="AE1451" s="87"/>
      <c r="AF1451" s="17">
        <v>0</v>
      </c>
      <c r="AG1451" s="87"/>
      <c r="AH1451" s="17">
        <v>0</v>
      </c>
      <c r="AI1451" s="17">
        <v>0</v>
      </c>
      <c r="AJ1451" s="17">
        <v>0</v>
      </c>
      <c r="AK1451" s="17">
        <v>0</v>
      </c>
      <c r="AL1451" s="32">
        <v>0</v>
      </c>
      <c r="AM1451" s="57"/>
      <c r="AN1451" s="89"/>
      <c r="AO1451" s="89"/>
      <c r="AP1451" s="88"/>
      <c r="AQ1451" s="89"/>
      <c r="AR1451" s="89"/>
      <c r="AS1451" s="89"/>
      <c r="AT1451" s="89"/>
      <c r="AU1451" s="89"/>
      <c r="AV1451" s="57"/>
      <c r="AW1451" s="89"/>
      <c r="AX1451" s="89"/>
      <c r="AY1451" s="89"/>
      <c r="AZ1451" s="89"/>
      <c r="BA1451" s="89"/>
      <c r="BB1451" s="259"/>
      <c r="BC1451" s="190"/>
      <c r="BD1451" s="177"/>
      <c r="BE1451" s="177"/>
      <c r="BF1451" s="178"/>
    </row>
    <row r="1452" spans="1:58" ht="15" customHeight="1">
      <c r="A1452" s="95">
        <v>1451</v>
      </c>
      <c r="B1452" s="211" t="s">
        <v>391</v>
      </c>
      <c r="C1452" s="191" t="s">
        <v>439</v>
      </c>
      <c r="D1452" s="171" t="s">
        <v>119</v>
      </c>
      <c r="E1452" s="463" t="s">
        <v>3377</v>
      </c>
      <c r="F1452" s="171">
        <v>2008</v>
      </c>
      <c r="G1452" s="171">
        <v>330</v>
      </c>
      <c r="H1452" s="172" t="s">
        <v>1738</v>
      </c>
      <c r="I1452" s="173" t="s">
        <v>1751</v>
      </c>
      <c r="J1452" s="212" t="s">
        <v>1849</v>
      </c>
      <c r="K1452" s="213" t="s">
        <v>519</v>
      </c>
      <c r="M1452" s="89"/>
      <c r="N1452" s="89"/>
      <c r="O1452" s="57"/>
      <c r="P1452" s="89"/>
      <c r="Q1452" s="88"/>
      <c r="R1452" s="89"/>
      <c r="S1452" s="89"/>
      <c r="T1452" s="511"/>
      <c r="U1452" s="89"/>
      <c r="V1452" s="102"/>
      <c r="Y1452" s="120">
        <v>0</v>
      </c>
      <c r="Z1452" s="120">
        <v>0</v>
      </c>
      <c r="AA1452" s="87"/>
      <c r="AB1452" s="17">
        <v>0</v>
      </c>
      <c r="AC1452" s="17">
        <v>0</v>
      </c>
      <c r="AD1452" s="87"/>
      <c r="AE1452" s="87"/>
      <c r="AF1452" s="17">
        <v>0</v>
      </c>
      <c r="AG1452" s="87"/>
      <c r="AH1452" s="17">
        <v>0</v>
      </c>
      <c r="AI1452" s="17">
        <v>0</v>
      </c>
      <c r="AJ1452" s="17">
        <v>0</v>
      </c>
      <c r="AK1452" s="17">
        <v>0</v>
      </c>
      <c r="AL1452" s="32">
        <v>0</v>
      </c>
      <c r="AM1452" s="57"/>
      <c r="AN1452" s="89"/>
      <c r="AO1452" s="89"/>
      <c r="AP1452" s="88"/>
      <c r="AQ1452" s="89"/>
      <c r="AR1452" s="89"/>
      <c r="AS1452" s="89"/>
      <c r="AT1452" s="89"/>
      <c r="AU1452" s="89"/>
      <c r="AV1452" s="57"/>
      <c r="AW1452" s="89"/>
      <c r="AX1452" s="89"/>
      <c r="AY1452" s="89"/>
      <c r="AZ1452" s="89"/>
      <c r="BA1452" s="89"/>
      <c r="BB1452" s="259"/>
      <c r="BC1452" s="190"/>
      <c r="BD1452" s="177"/>
      <c r="BE1452" s="177"/>
      <c r="BF1452" s="178"/>
    </row>
    <row r="1453" spans="1:58" ht="15" customHeight="1">
      <c r="A1453" s="95">
        <v>1452</v>
      </c>
      <c r="B1453" s="211" t="s">
        <v>392</v>
      </c>
      <c r="C1453" s="191" t="s">
        <v>439</v>
      </c>
      <c r="D1453" s="171" t="s">
        <v>119</v>
      </c>
      <c r="E1453" s="463" t="s">
        <v>3377</v>
      </c>
      <c r="F1453" s="171">
        <v>2008</v>
      </c>
      <c r="G1453" s="171">
        <v>330</v>
      </c>
      <c r="H1453" s="172" t="s">
        <v>1738</v>
      </c>
      <c r="I1453" s="173" t="s">
        <v>1751</v>
      </c>
      <c r="J1453" s="212" t="s">
        <v>1850</v>
      </c>
      <c r="K1453" s="213" t="s">
        <v>519</v>
      </c>
      <c r="M1453" s="89"/>
      <c r="N1453" s="89"/>
      <c r="O1453" s="57"/>
      <c r="P1453" s="89"/>
      <c r="Q1453" s="88"/>
      <c r="R1453" s="89"/>
      <c r="S1453" s="89"/>
      <c r="T1453" s="511"/>
      <c r="U1453" s="89"/>
      <c r="V1453" s="102"/>
      <c r="Y1453" s="120">
        <v>0</v>
      </c>
      <c r="Z1453" s="120">
        <v>0</v>
      </c>
      <c r="AA1453" s="87"/>
      <c r="AB1453" s="17">
        <v>0</v>
      </c>
      <c r="AC1453" s="17">
        <v>0</v>
      </c>
      <c r="AD1453" s="87"/>
      <c r="AE1453" s="87"/>
      <c r="AF1453" s="17">
        <v>0</v>
      </c>
      <c r="AG1453" s="87"/>
      <c r="AH1453" s="17">
        <v>0</v>
      </c>
      <c r="AI1453" s="17">
        <v>0</v>
      </c>
      <c r="AJ1453" s="17">
        <v>0</v>
      </c>
      <c r="AK1453" s="17">
        <v>0</v>
      </c>
      <c r="AL1453" s="32">
        <v>0</v>
      </c>
      <c r="AM1453" s="57"/>
      <c r="AN1453" s="89"/>
      <c r="AO1453" s="89"/>
      <c r="AP1453" s="88"/>
      <c r="AQ1453" s="89"/>
      <c r="AR1453" s="89"/>
      <c r="AS1453" s="89"/>
      <c r="AT1453" s="89"/>
      <c r="AU1453" s="89"/>
      <c r="AV1453" s="57"/>
      <c r="AW1453" s="89"/>
      <c r="AX1453" s="89"/>
      <c r="AY1453" s="89"/>
      <c r="AZ1453" s="89"/>
      <c r="BA1453" s="89"/>
      <c r="BB1453" s="259"/>
      <c r="BC1453" s="190"/>
      <c r="BD1453" s="177"/>
      <c r="BE1453" s="177"/>
      <c r="BF1453" s="178"/>
    </row>
    <row r="1454" spans="1:58" ht="15" customHeight="1">
      <c r="A1454" s="95">
        <v>1453</v>
      </c>
      <c r="B1454" s="211" t="s">
        <v>393</v>
      </c>
      <c r="C1454" s="191" t="s">
        <v>439</v>
      </c>
      <c r="D1454" s="171" t="s">
        <v>119</v>
      </c>
      <c r="E1454" s="463" t="s">
        <v>3377</v>
      </c>
      <c r="F1454" s="171">
        <v>2008</v>
      </c>
      <c r="G1454" s="171">
        <v>330</v>
      </c>
      <c r="H1454" s="172" t="s">
        <v>1738</v>
      </c>
      <c r="I1454" s="173" t="s">
        <v>1751</v>
      </c>
      <c r="J1454" s="212" t="s">
        <v>1851</v>
      </c>
      <c r="K1454" s="213" t="s">
        <v>519</v>
      </c>
      <c r="M1454" s="89"/>
      <c r="N1454" s="89"/>
      <c r="O1454" s="57"/>
      <c r="P1454" s="89"/>
      <c r="Q1454" s="88"/>
      <c r="R1454" s="89"/>
      <c r="S1454" s="89"/>
      <c r="T1454" s="511"/>
      <c r="U1454" s="89"/>
      <c r="V1454" s="102"/>
      <c r="Y1454" s="120">
        <v>0</v>
      </c>
      <c r="Z1454" s="120">
        <v>0</v>
      </c>
      <c r="AA1454" s="87"/>
      <c r="AB1454" s="17">
        <v>0</v>
      </c>
      <c r="AC1454" s="17">
        <v>0</v>
      </c>
      <c r="AD1454" s="87"/>
      <c r="AE1454" s="87"/>
      <c r="AF1454" s="17">
        <v>0</v>
      </c>
      <c r="AG1454" s="87"/>
      <c r="AH1454" s="17">
        <v>0</v>
      </c>
      <c r="AI1454" s="17">
        <v>0</v>
      </c>
      <c r="AJ1454" s="17">
        <v>0</v>
      </c>
      <c r="AK1454" s="17">
        <v>0</v>
      </c>
      <c r="AL1454" s="32">
        <v>0</v>
      </c>
      <c r="AM1454" s="57"/>
      <c r="AN1454" s="89"/>
      <c r="AO1454" s="89"/>
      <c r="AP1454" s="88"/>
      <c r="AQ1454" s="89"/>
      <c r="AR1454" s="89"/>
      <c r="AS1454" s="89"/>
      <c r="AT1454" s="89"/>
      <c r="AU1454" s="89"/>
      <c r="AV1454" s="57"/>
      <c r="AW1454" s="89"/>
      <c r="AX1454" s="89"/>
      <c r="AY1454" s="89"/>
      <c r="AZ1454" s="89"/>
      <c r="BA1454" s="89"/>
      <c r="BB1454" s="259"/>
      <c r="BC1454" s="190"/>
      <c r="BD1454" s="177"/>
      <c r="BE1454" s="177"/>
      <c r="BF1454" s="178"/>
    </row>
    <row r="1455" spans="1:58" ht="15" customHeight="1">
      <c r="A1455" s="95">
        <v>1454</v>
      </c>
      <c r="B1455" s="211" t="s">
        <v>394</v>
      </c>
      <c r="C1455" s="191" t="s">
        <v>439</v>
      </c>
      <c r="D1455" s="171" t="s">
        <v>119</v>
      </c>
      <c r="E1455" s="463" t="s">
        <v>3377</v>
      </c>
      <c r="F1455" s="171">
        <v>2008</v>
      </c>
      <c r="G1455" s="171">
        <v>330</v>
      </c>
      <c r="H1455" s="172" t="s">
        <v>1738</v>
      </c>
      <c r="I1455" s="173" t="s">
        <v>1751</v>
      </c>
      <c r="J1455" s="212" t="s">
        <v>1852</v>
      </c>
      <c r="K1455" s="213" t="s">
        <v>519</v>
      </c>
      <c r="M1455" s="89"/>
      <c r="N1455" s="89"/>
      <c r="O1455" s="57"/>
      <c r="P1455" s="89"/>
      <c r="Q1455" s="88"/>
      <c r="R1455" s="89"/>
      <c r="S1455" s="89"/>
      <c r="T1455" s="511"/>
      <c r="U1455" s="89"/>
      <c r="V1455" s="102"/>
      <c r="Y1455" s="120">
        <v>0</v>
      </c>
      <c r="Z1455" s="120">
        <v>0</v>
      </c>
      <c r="AA1455" s="87"/>
      <c r="AB1455" s="17">
        <v>0</v>
      </c>
      <c r="AC1455" s="17">
        <v>0</v>
      </c>
      <c r="AD1455" s="87"/>
      <c r="AE1455" s="87"/>
      <c r="AF1455" s="17">
        <v>0</v>
      </c>
      <c r="AG1455" s="87"/>
      <c r="AH1455" s="17">
        <v>0</v>
      </c>
      <c r="AI1455" s="17">
        <v>0</v>
      </c>
      <c r="AJ1455" s="17">
        <v>0</v>
      </c>
      <c r="AK1455" s="17">
        <v>0</v>
      </c>
      <c r="AL1455" s="32">
        <v>0</v>
      </c>
      <c r="AM1455" s="57"/>
      <c r="AN1455" s="89"/>
      <c r="AO1455" s="89"/>
      <c r="AP1455" s="88"/>
      <c r="AQ1455" s="89"/>
      <c r="AR1455" s="89"/>
      <c r="AS1455" s="89"/>
      <c r="AT1455" s="89"/>
      <c r="AU1455" s="89"/>
      <c r="AV1455" s="57"/>
      <c r="AW1455" s="89"/>
      <c r="AX1455" s="89"/>
      <c r="AY1455" s="89"/>
      <c r="AZ1455" s="89"/>
      <c r="BA1455" s="89"/>
      <c r="BB1455" s="259"/>
      <c r="BC1455" s="190"/>
      <c r="BD1455" s="177"/>
      <c r="BE1455" s="177"/>
      <c r="BF1455" s="178"/>
    </row>
    <row r="1456" spans="1:58" ht="15" customHeight="1">
      <c r="A1456" s="95">
        <v>1455</v>
      </c>
      <c r="B1456" s="211" t="s">
        <v>395</v>
      </c>
      <c r="C1456" s="191" t="s">
        <v>439</v>
      </c>
      <c r="D1456" s="171" t="s">
        <v>119</v>
      </c>
      <c r="E1456" s="463" t="s">
        <v>3377</v>
      </c>
      <c r="F1456" s="171">
        <v>2008</v>
      </c>
      <c r="G1456" s="171">
        <v>330</v>
      </c>
      <c r="H1456" s="172" t="s">
        <v>1738</v>
      </c>
      <c r="I1456" s="173" t="s">
        <v>1751</v>
      </c>
      <c r="J1456" s="212" t="s">
        <v>1853</v>
      </c>
      <c r="K1456" s="213" t="s">
        <v>519</v>
      </c>
      <c r="M1456" s="89"/>
      <c r="N1456" s="89"/>
      <c r="O1456" s="57"/>
      <c r="P1456" s="89"/>
      <c r="Q1456" s="88"/>
      <c r="R1456" s="89"/>
      <c r="S1456" s="89"/>
      <c r="T1456" s="511"/>
      <c r="U1456" s="89"/>
      <c r="V1456" s="102"/>
      <c r="Y1456" s="120">
        <v>0</v>
      </c>
      <c r="Z1456" s="120">
        <v>0</v>
      </c>
      <c r="AA1456" s="87"/>
      <c r="AB1456" s="17">
        <v>0</v>
      </c>
      <c r="AC1456" s="17">
        <v>0</v>
      </c>
      <c r="AD1456" s="87"/>
      <c r="AE1456" s="87"/>
      <c r="AF1456" s="17">
        <v>0</v>
      </c>
      <c r="AG1456" s="87"/>
      <c r="AH1456" s="17">
        <v>0</v>
      </c>
      <c r="AI1456" s="17">
        <v>0</v>
      </c>
      <c r="AJ1456" s="17">
        <v>0</v>
      </c>
      <c r="AK1456" s="17">
        <v>0</v>
      </c>
      <c r="AL1456" s="32">
        <v>0</v>
      </c>
      <c r="AM1456" s="57"/>
      <c r="AN1456" s="89"/>
      <c r="AO1456" s="89"/>
      <c r="AP1456" s="88"/>
      <c r="AQ1456" s="89"/>
      <c r="AR1456" s="89"/>
      <c r="AS1456" s="89"/>
      <c r="AT1456" s="89"/>
      <c r="AU1456" s="89"/>
      <c r="AV1456" s="57"/>
      <c r="AW1456" s="89"/>
      <c r="AX1456" s="89"/>
      <c r="AY1456" s="89"/>
      <c r="AZ1456" s="89"/>
      <c r="BA1456" s="89"/>
      <c r="BB1456" s="259"/>
      <c r="BC1456" s="190"/>
      <c r="BD1456" s="177"/>
      <c r="BE1456" s="177"/>
      <c r="BF1456" s="178"/>
    </row>
    <row r="1457" spans="1:58" ht="15" customHeight="1">
      <c r="A1457" s="95">
        <v>1456</v>
      </c>
      <c r="B1457" s="211" t="s">
        <v>396</v>
      </c>
      <c r="C1457" s="191" t="s">
        <v>439</v>
      </c>
      <c r="D1457" s="171" t="s">
        <v>119</v>
      </c>
      <c r="E1457" s="463" t="s">
        <v>3377</v>
      </c>
      <c r="F1457" s="171">
        <v>2008</v>
      </c>
      <c r="G1457" s="171">
        <v>330</v>
      </c>
      <c r="H1457" s="172" t="s">
        <v>1738</v>
      </c>
      <c r="I1457" s="173" t="s">
        <v>1751</v>
      </c>
      <c r="J1457" s="212" t="s">
        <v>1854</v>
      </c>
      <c r="K1457" s="213" t="s">
        <v>519</v>
      </c>
      <c r="M1457" s="89"/>
      <c r="N1457" s="89"/>
      <c r="O1457" s="57"/>
      <c r="P1457" s="89"/>
      <c r="Q1457" s="88"/>
      <c r="R1457" s="89"/>
      <c r="S1457" s="89"/>
      <c r="T1457" s="511"/>
      <c r="U1457" s="89"/>
      <c r="V1457" s="102"/>
      <c r="Y1457" s="120">
        <v>0</v>
      </c>
      <c r="Z1457" s="120">
        <v>0</v>
      </c>
      <c r="AA1457" s="87"/>
      <c r="AB1457" s="17">
        <v>0</v>
      </c>
      <c r="AC1457" s="17">
        <v>0</v>
      </c>
      <c r="AD1457" s="87"/>
      <c r="AE1457" s="87"/>
      <c r="AF1457" s="17">
        <v>0</v>
      </c>
      <c r="AG1457" s="87"/>
      <c r="AH1457" s="17">
        <v>0</v>
      </c>
      <c r="AI1457" s="17">
        <v>0</v>
      </c>
      <c r="AJ1457" s="17">
        <v>0</v>
      </c>
      <c r="AK1457" s="17">
        <v>0</v>
      </c>
      <c r="AL1457" s="32">
        <v>0</v>
      </c>
      <c r="AM1457" s="57"/>
      <c r="AN1457" s="89"/>
      <c r="AO1457" s="89"/>
      <c r="AP1457" s="88"/>
      <c r="AQ1457" s="89"/>
      <c r="AR1457" s="89"/>
      <c r="AS1457" s="89"/>
      <c r="AT1457" s="89"/>
      <c r="AU1457" s="89"/>
      <c r="AV1457" s="57"/>
      <c r="AW1457" s="89"/>
      <c r="AX1457" s="89"/>
      <c r="AY1457" s="89"/>
      <c r="AZ1457" s="89"/>
      <c r="BA1457" s="89"/>
      <c r="BB1457" s="259"/>
      <c r="BC1457" s="190"/>
      <c r="BD1457" s="177"/>
      <c r="BE1457" s="177"/>
      <c r="BF1457" s="178"/>
    </row>
    <row r="1458" spans="1:58" ht="15" customHeight="1">
      <c r="A1458" s="95">
        <v>1457</v>
      </c>
      <c r="B1458" s="211" t="s">
        <v>2037</v>
      </c>
      <c r="C1458" s="191" t="s">
        <v>440</v>
      </c>
      <c r="D1458" s="171" t="s">
        <v>447</v>
      </c>
      <c r="E1458" s="463" t="s">
        <v>3377</v>
      </c>
      <c r="F1458" s="171">
        <v>1990</v>
      </c>
      <c r="G1458" s="171">
        <v>83</v>
      </c>
      <c r="H1458" s="172" t="s">
        <v>1738</v>
      </c>
      <c r="I1458" s="173" t="s">
        <v>1743</v>
      </c>
      <c r="J1458" s="212">
        <v>0.27500000000000002</v>
      </c>
      <c r="K1458" s="213">
        <v>3.6240000000000001</v>
      </c>
      <c r="L1458" s="91"/>
      <c r="M1458" s="171">
        <v>500</v>
      </c>
      <c r="N1458" s="171"/>
      <c r="O1458" s="172" t="s">
        <v>129</v>
      </c>
      <c r="P1458" s="92"/>
      <c r="Q1458" s="173" t="s">
        <v>525</v>
      </c>
      <c r="R1458" s="506" t="s">
        <v>2727</v>
      </c>
      <c r="S1458" s="89"/>
      <c r="T1458" s="511"/>
      <c r="U1458" s="214" t="s">
        <v>2312</v>
      </c>
      <c r="V1458" s="102">
        <v>0</v>
      </c>
      <c r="W1458" s="120">
        <v>0</v>
      </c>
      <c r="X1458" s="120">
        <v>71</v>
      </c>
      <c r="Y1458" s="120">
        <v>0</v>
      </c>
      <c r="Z1458" s="120">
        <v>0</v>
      </c>
      <c r="AA1458" s="17">
        <v>0</v>
      </c>
      <c r="AB1458" s="17">
        <v>0</v>
      </c>
      <c r="AC1458" s="17">
        <v>0</v>
      </c>
      <c r="AD1458" s="17">
        <v>0</v>
      </c>
      <c r="AE1458" s="17">
        <v>0</v>
      </c>
      <c r="AF1458" s="17">
        <v>3</v>
      </c>
      <c r="AG1458" s="17">
        <v>0</v>
      </c>
      <c r="AH1458" s="17">
        <v>0</v>
      </c>
      <c r="AI1458" s="17">
        <v>0</v>
      </c>
      <c r="AJ1458" s="17">
        <v>0</v>
      </c>
      <c r="AK1458" s="17">
        <v>0</v>
      </c>
      <c r="AL1458" s="32">
        <v>0</v>
      </c>
      <c r="AM1458" s="172">
        <v>95</v>
      </c>
      <c r="AN1458" s="89"/>
      <c r="AO1458" s="171">
        <v>76.400000000000006</v>
      </c>
      <c r="AP1458" s="783" t="s">
        <v>521</v>
      </c>
      <c r="AQ1458" s="17" t="s">
        <v>536</v>
      </c>
      <c r="AR1458" s="174">
        <v>51.5</v>
      </c>
      <c r="AS1458" s="89"/>
      <c r="AT1458" s="171">
        <v>206</v>
      </c>
      <c r="AU1458" s="255">
        <f t="shared" ref="AU1458:AU1471" si="105">(AR1458*AT1458)/((2*AT1458)+(2*AR1458))</f>
        <v>20.6</v>
      </c>
      <c r="AV1458" s="172">
        <v>100</v>
      </c>
      <c r="AW1458" s="171">
        <v>7</v>
      </c>
      <c r="AX1458" s="171" t="s">
        <v>521</v>
      </c>
      <c r="AY1458" s="171">
        <v>20</v>
      </c>
      <c r="AZ1458" s="171">
        <v>0</v>
      </c>
      <c r="BA1458" s="175">
        <v>45</v>
      </c>
      <c r="BB1458" s="259"/>
      <c r="BC1458" s="190"/>
      <c r="BD1458" s="177"/>
      <c r="BE1458" s="177"/>
      <c r="BF1458" s="178"/>
    </row>
    <row r="1459" spans="1:58" ht="15" customHeight="1">
      <c r="A1459" s="95">
        <v>1458</v>
      </c>
      <c r="B1459" s="211" t="s">
        <v>2038</v>
      </c>
      <c r="C1459" s="191" t="s">
        <v>440</v>
      </c>
      <c r="D1459" s="171" t="s">
        <v>447</v>
      </c>
      <c r="E1459" s="463" t="s">
        <v>3377</v>
      </c>
      <c r="F1459" s="171">
        <v>1990</v>
      </c>
      <c r="G1459" s="171">
        <v>83</v>
      </c>
      <c r="H1459" s="172" t="s">
        <v>1738</v>
      </c>
      <c r="I1459" s="173" t="s">
        <v>1743</v>
      </c>
      <c r="J1459" s="212">
        <v>0.27500000000000002</v>
      </c>
      <c r="K1459" s="213">
        <v>3.6240000000000001</v>
      </c>
      <c r="L1459" s="91"/>
      <c r="M1459" s="171">
        <v>500</v>
      </c>
      <c r="N1459" s="171"/>
      <c r="O1459" s="172" t="s">
        <v>129</v>
      </c>
      <c r="P1459" s="92"/>
      <c r="Q1459" s="173" t="s">
        <v>525</v>
      </c>
      <c r="R1459" s="506" t="s">
        <v>2727</v>
      </c>
      <c r="S1459" s="89"/>
      <c r="T1459" s="511"/>
      <c r="U1459" s="214" t="s">
        <v>2312</v>
      </c>
      <c r="V1459" s="102">
        <v>0</v>
      </c>
      <c r="W1459" s="120">
        <v>0</v>
      </c>
      <c r="X1459" s="120">
        <v>71</v>
      </c>
      <c r="Y1459" s="120">
        <v>0</v>
      </c>
      <c r="Z1459" s="120">
        <v>0</v>
      </c>
      <c r="AA1459" s="17">
        <v>0</v>
      </c>
      <c r="AB1459" s="17">
        <v>0</v>
      </c>
      <c r="AC1459" s="17">
        <v>0</v>
      </c>
      <c r="AD1459" s="17">
        <v>0</v>
      </c>
      <c r="AE1459" s="17">
        <v>0</v>
      </c>
      <c r="AF1459" s="17">
        <v>3</v>
      </c>
      <c r="AG1459" s="17">
        <v>0</v>
      </c>
      <c r="AH1459" s="17">
        <v>0</v>
      </c>
      <c r="AI1459" s="17">
        <v>0</v>
      </c>
      <c r="AJ1459" s="17">
        <v>0</v>
      </c>
      <c r="AK1459" s="17">
        <v>0</v>
      </c>
      <c r="AL1459" s="32">
        <v>0</v>
      </c>
      <c r="AM1459" s="172">
        <v>90.9</v>
      </c>
      <c r="AN1459" s="89"/>
      <c r="AO1459" s="171">
        <v>76.400000000000006</v>
      </c>
      <c r="AP1459" s="783" t="s">
        <v>521</v>
      </c>
      <c r="AQ1459" s="17" t="s">
        <v>536</v>
      </c>
      <c r="AR1459" s="174">
        <v>51.5</v>
      </c>
      <c r="AS1459" s="89"/>
      <c r="AT1459" s="171">
        <v>206</v>
      </c>
      <c r="AU1459" s="255">
        <f t="shared" si="105"/>
        <v>20.6</v>
      </c>
      <c r="AV1459" s="172">
        <v>100</v>
      </c>
      <c r="AW1459" s="171">
        <v>7</v>
      </c>
      <c r="AX1459" s="171" t="s">
        <v>521</v>
      </c>
      <c r="AY1459" s="171">
        <v>20</v>
      </c>
      <c r="AZ1459" s="171">
        <v>0</v>
      </c>
      <c r="BA1459" s="175">
        <v>60</v>
      </c>
      <c r="BB1459" s="259"/>
      <c r="BC1459" s="190"/>
      <c r="BD1459" s="177"/>
      <c r="BE1459" s="177"/>
      <c r="BF1459" s="178"/>
    </row>
    <row r="1460" spans="1:58" ht="15" customHeight="1">
      <c r="A1460" s="95">
        <v>1459</v>
      </c>
      <c r="B1460" s="211" t="s">
        <v>2039</v>
      </c>
      <c r="C1460" s="191" t="s">
        <v>440</v>
      </c>
      <c r="D1460" s="171" t="s">
        <v>447</v>
      </c>
      <c r="E1460" s="463" t="s">
        <v>3377</v>
      </c>
      <c r="F1460" s="171">
        <v>1990</v>
      </c>
      <c r="G1460" s="171">
        <v>83</v>
      </c>
      <c r="H1460" s="172" t="s">
        <v>1738</v>
      </c>
      <c r="I1460" s="173" t="s">
        <v>1743</v>
      </c>
      <c r="J1460" s="212">
        <v>0.28499999999999998</v>
      </c>
      <c r="K1460" s="213">
        <v>3.6120000000000001</v>
      </c>
      <c r="L1460" s="91"/>
      <c r="M1460" s="171">
        <v>500</v>
      </c>
      <c r="N1460" s="171"/>
      <c r="O1460" s="172" t="s">
        <v>129</v>
      </c>
      <c r="P1460" s="92"/>
      <c r="Q1460" s="173" t="s">
        <v>525</v>
      </c>
      <c r="R1460" s="506" t="s">
        <v>2727</v>
      </c>
      <c r="S1460" s="89"/>
      <c r="T1460" s="511"/>
      <c r="U1460" s="214" t="s">
        <v>2312</v>
      </c>
      <c r="V1460" s="102">
        <v>0</v>
      </c>
      <c r="W1460" s="120">
        <v>0</v>
      </c>
      <c r="X1460" s="120">
        <v>0</v>
      </c>
      <c r="Y1460" s="120">
        <v>0</v>
      </c>
      <c r="Z1460" s="120">
        <v>0</v>
      </c>
      <c r="AA1460" s="17">
        <v>0</v>
      </c>
      <c r="AB1460" s="17">
        <v>0</v>
      </c>
      <c r="AC1460" s="17">
        <v>0</v>
      </c>
      <c r="AD1460" s="17">
        <v>0</v>
      </c>
      <c r="AE1460" s="17">
        <v>0</v>
      </c>
      <c r="AF1460" s="17">
        <v>2.5</v>
      </c>
      <c r="AG1460" s="17">
        <v>0</v>
      </c>
      <c r="AH1460" s="17">
        <v>0</v>
      </c>
      <c r="AI1460" s="17">
        <v>0</v>
      </c>
      <c r="AJ1460" s="17">
        <v>0</v>
      </c>
      <c r="AK1460" s="17">
        <v>0</v>
      </c>
      <c r="AL1460" s="32">
        <v>0</v>
      </c>
      <c r="AM1460" s="172">
        <v>86.9</v>
      </c>
      <c r="AN1460" s="89"/>
      <c r="AO1460" s="171">
        <v>79.3</v>
      </c>
      <c r="AP1460" s="783" t="s">
        <v>521</v>
      </c>
      <c r="AQ1460" s="17" t="s">
        <v>536</v>
      </c>
      <c r="AR1460" s="174">
        <v>51.5</v>
      </c>
      <c r="AS1460" s="89"/>
      <c r="AT1460" s="171">
        <v>206</v>
      </c>
      <c r="AU1460" s="255">
        <f t="shared" si="105"/>
        <v>20.6</v>
      </c>
      <c r="AV1460" s="172">
        <v>100</v>
      </c>
      <c r="AW1460" s="171">
        <v>7</v>
      </c>
      <c r="AX1460" s="171" t="s">
        <v>521</v>
      </c>
      <c r="AY1460" s="171">
        <v>20</v>
      </c>
      <c r="AZ1460" s="171">
        <v>0</v>
      </c>
      <c r="BA1460" s="175">
        <v>45</v>
      </c>
      <c r="BB1460" s="259"/>
      <c r="BC1460" s="190"/>
      <c r="BD1460" s="177"/>
      <c r="BE1460" s="177"/>
      <c r="BF1460" s="178"/>
    </row>
    <row r="1461" spans="1:58" ht="15" customHeight="1">
      <c r="A1461" s="95">
        <v>1460</v>
      </c>
      <c r="B1461" s="211" t="s">
        <v>2040</v>
      </c>
      <c r="C1461" s="191" t="s">
        <v>440</v>
      </c>
      <c r="D1461" s="171" t="s">
        <v>447</v>
      </c>
      <c r="E1461" s="463" t="s">
        <v>3377</v>
      </c>
      <c r="F1461" s="171">
        <v>1990</v>
      </c>
      <c r="G1461" s="171">
        <v>83</v>
      </c>
      <c r="H1461" s="172" t="s">
        <v>1738</v>
      </c>
      <c r="I1461" s="173" t="s">
        <v>1743</v>
      </c>
      <c r="J1461" s="212">
        <v>0.28499999999999998</v>
      </c>
      <c r="K1461" s="213">
        <v>3.6120000000000001</v>
      </c>
      <c r="L1461" s="91"/>
      <c r="M1461" s="171">
        <v>500</v>
      </c>
      <c r="N1461" s="171"/>
      <c r="O1461" s="172" t="s">
        <v>129</v>
      </c>
      <c r="P1461" s="92"/>
      <c r="Q1461" s="173" t="s">
        <v>525</v>
      </c>
      <c r="R1461" s="506" t="s">
        <v>2727</v>
      </c>
      <c r="S1461" s="89"/>
      <c r="T1461" s="511"/>
      <c r="U1461" s="214" t="s">
        <v>2312</v>
      </c>
      <c r="V1461" s="102">
        <v>0</v>
      </c>
      <c r="W1461" s="120">
        <v>0</v>
      </c>
      <c r="X1461" s="120">
        <v>0</v>
      </c>
      <c r="Y1461" s="120">
        <v>0</v>
      </c>
      <c r="Z1461" s="120">
        <v>0</v>
      </c>
      <c r="AA1461" s="17">
        <v>0</v>
      </c>
      <c r="AB1461" s="17">
        <v>0</v>
      </c>
      <c r="AC1461" s="17">
        <v>0</v>
      </c>
      <c r="AD1461" s="17">
        <v>0</v>
      </c>
      <c r="AE1461" s="17">
        <v>0</v>
      </c>
      <c r="AF1461" s="17">
        <v>2.5</v>
      </c>
      <c r="AG1461" s="17">
        <v>0</v>
      </c>
      <c r="AH1461" s="17">
        <v>0</v>
      </c>
      <c r="AI1461" s="17">
        <v>0</v>
      </c>
      <c r="AJ1461" s="17">
        <v>0</v>
      </c>
      <c r="AK1461" s="17">
        <v>0</v>
      </c>
      <c r="AL1461" s="32">
        <v>0</v>
      </c>
      <c r="AM1461" s="172">
        <v>87</v>
      </c>
      <c r="AN1461" s="89"/>
      <c r="AO1461" s="171">
        <v>79.3</v>
      </c>
      <c r="AP1461" s="783" t="s">
        <v>521</v>
      </c>
      <c r="AQ1461" s="17" t="s">
        <v>536</v>
      </c>
      <c r="AR1461" s="174">
        <v>51.5</v>
      </c>
      <c r="AS1461" s="89"/>
      <c r="AT1461" s="171">
        <v>206</v>
      </c>
      <c r="AU1461" s="255">
        <f t="shared" si="105"/>
        <v>20.6</v>
      </c>
      <c r="AV1461" s="172">
        <v>100</v>
      </c>
      <c r="AW1461" s="171">
        <v>7</v>
      </c>
      <c r="AX1461" s="171" t="s">
        <v>521</v>
      </c>
      <c r="AY1461" s="171">
        <v>20</v>
      </c>
      <c r="AZ1461" s="171">
        <v>0</v>
      </c>
      <c r="BA1461" s="175">
        <v>60</v>
      </c>
      <c r="BB1461" s="259"/>
      <c r="BC1461" s="190"/>
      <c r="BD1461" s="177"/>
      <c r="BE1461" s="177"/>
      <c r="BF1461" s="178"/>
    </row>
    <row r="1462" spans="1:58" ht="15" customHeight="1">
      <c r="A1462" s="95">
        <v>1461</v>
      </c>
      <c r="B1462" s="211" t="s">
        <v>2041</v>
      </c>
      <c r="C1462" s="191" t="s">
        <v>440</v>
      </c>
      <c r="D1462" s="171" t="s">
        <v>447</v>
      </c>
      <c r="E1462" s="463" t="s">
        <v>3377</v>
      </c>
      <c r="F1462" s="171">
        <v>1990</v>
      </c>
      <c r="G1462" s="171">
        <v>83</v>
      </c>
      <c r="H1462" s="172" t="s">
        <v>1738</v>
      </c>
      <c r="I1462" s="173" t="s">
        <v>1743</v>
      </c>
      <c r="J1462" s="212">
        <v>0.52</v>
      </c>
      <c r="K1462" s="213">
        <v>5.2460000000000004</v>
      </c>
      <c r="L1462" s="91"/>
      <c r="M1462" s="171">
        <v>350</v>
      </c>
      <c r="N1462" s="171"/>
      <c r="O1462" s="172" t="s">
        <v>129</v>
      </c>
      <c r="P1462" s="92"/>
      <c r="Q1462" s="173" t="s">
        <v>525</v>
      </c>
      <c r="R1462" s="506" t="s">
        <v>2727</v>
      </c>
      <c r="S1462" s="89"/>
      <c r="T1462" s="511"/>
      <c r="U1462" s="214" t="s">
        <v>2312</v>
      </c>
      <c r="V1462" s="102">
        <v>0</v>
      </c>
      <c r="W1462" s="120">
        <v>0</v>
      </c>
      <c r="X1462" s="120">
        <v>0</v>
      </c>
      <c r="Y1462" s="120">
        <v>0</v>
      </c>
      <c r="Z1462" s="120">
        <v>0</v>
      </c>
      <c r="AA1462" s="17">
        <v>0</v>
      </c>
      <c r="AB1462" s="17">
        <v>0</v>
      </c>
      <c r="AC1462" s="17">
        <v>0</v>
      </c>
      <c r="AD1462" s="17">
        <v>0</v>
      </c>
      <c r="AE1462" s="17">
        <v>0</v>
      </c>
      <c r="AF1462" s="17">
        <v>0</v>
      </c>
      <c r="AG1462" s="17">
        <v>0</v>
      </c>
      <c r="AH1462" s="17">
        <v>0</v>
      </c>
      <c r="AI1462" s="17">
        <v>0</v>
      </c>
      <c r="AJ1462" s="17">
        <v>0</v>
      </c>
      <c r="AK1462" s="17">
        <v>0</v>
      </c>
      <c r="AL1462" s="32">
        <v>0</v>
      </c>
      <c r="AM1462" s="172">
        <v>61.1</v>
      </c>
      <c r="AN1462" s="89"/>
      <c r="AO1462" s="171">
        <v>48.1</v>
      </c>
      <c r="AP1462" s="783" t="s">
        <v>521</v>
      </c>
      <c r="AQ1462" s="17" t="s">
        <v>536</v>
      </c>
      <c r="AR1462" s="174">
        <v>51.5</v>
      </c>
      <c r="AS1462" s="89"/>
      <c r="AT1462" s="171">
        <v>206</v>
      </c>
      <c r="AU1462" s="255">
        <f t="shared" si="105"/>
        <v>20.6</v>
      </c>
      <c r="AV1462" s="172">
        <v>100</v>
      </c>
      <c r="AW1462" s="171">
        <v>7</v>
      </c>
      <c r="AX1462" s="171" t="s">
        <v>521</v>
      </c>
      <c r="AY1462" s="171">
        <v>20</v>
      </c>
      <c r="AZ1462" s="171">
        <v>0</v>
      </c>
      <c r="BA1462" s="175">
        <v>45</v>
      </c>
      <c r="BB1462" s="259"/>
      <c r="BC1462" s="190"/>
      <c r="BD1462" s="177"/>
      <c r="BE1462" s="177"/>
      <c r="BF1462" s="178"/>
    </row>
    <row r="1463" spans="1:58" ht="15" customHeight="1">
      <c r="A1463" s="95">
        <v>1462</v>
      </c>
      <c r="B1463" s="211" t="s">
        <v>2042</v>
      </c>
      <c r="C1463" s="191" t="s">
        <v>440</v>
      </c>
      <c r="D1463" s="171" t="s">
        <v>447</v>
      </c>
      <c r="E1463" s="463" t="s">
        <v>3377</v>
      </c>
      <c r="F1463" s="171">
        <v>1990</v>
      </c>
      <c r="G1463" s="171">
        <v>83</v>
      </c>
      <c r="H1463" s="172" t="s">
        <v>1738</v>
      </c>
      <c r="I1463" s="173" t="s">
        <v>1743</v>
      </c>
      <c r="J1463" s="212">
        <v>0.52</v>
      </c>
      <c r="K1463" s="213">
        <v>5.2460000000000004</v>
      </c>
      <c r="L1463" s="91"/>
      <c r="M1463" s="171">
        <v>350</v>
      </c>
      <c r="N1463" s="171"/>
      <c r="O1463" s="172" t="s">
        <v>129</v>
      </c>
      <c r="P1463" s="92"/>
      <c r="Q1463" s="173" t="s">
        <v>525</v>
      </c>
      <c r="R1463" s="506" t="s">
        <v>2727</v>
      </c>
      <c r="S1463" s="89"/>
      <c r="T1463" s="511"/>
      <c r="U1463" s="214" t="s">
        <v>2312</v>
      </c>
      <c r="V1463" s="102">
        <v>0</v>
      </c>
      <c r="W1463" s="120">
        <v>0</v>
      </c>
      <c r="X1463" s="120">
        <v>0</v>
      </c>
      <c r="Y1463" s="120">
        <v>0</v>
      </c>
      <c r="Z1463" s="120">
        <v>0</v>
      </c>
      <c r="AA1463" s="17">
        <v>0</v>
      </c>
      <c r="AB1463" s="17">
        <v>0</v>
      </c>
      <c r="AC1463" s="17">
        <v>0</v>
      </c>
      <c r="AD1463" s="17">
        <v>0</v>
      </c>
      <c r="AE1463" s="17">
        <v>0</v>
      </c>
      <c r="AF1463" s="17">
        <v>0</v>
      </c>
      <c r="AG1463" s="17">
        <v>0</v>
      </c>
      <c r="AH1463" s="17">
        <v>0</v>
      </c>
      <c r="AI1463" s="17">
        <v>0</v>
      </c>
      <c r="AJ1463" s="17">
        <v>0</v>
      </c>
      <c r="AK1463" s="17">
        <v>0</v>
      </c>
      <c r="AL1463" s="32">
        <v>0</v>
      </c>
      <c r="AM1463" s="172">
        <v>59.1</v>
      </c>
      <c r="AN1463" s="89"/>
      <c r="AO1463" s="171">
        <v>48.1</v>
      </c>
      <c r="AP1463" s="783" t="s">
        <v>521</v>
      </c>
      <c r="AQ1463" s="17" t="s">
        <v>536</v>
      </c>
      <c r="AR1463" s="174">
        <v>51.5</v>
      </c>
      <c r="AS1463" s="89"/>
      <c r="AT1463" s="171">
        <v>206</v>
      </c>
      <c r="AU1463" s="255">
        <f t="shared" si="105"/>
        <v>20.6</v>
      </c>
      <c r="AV1463" s="172">
        <v>100</v>
      </c>
      <c r="AW1463" s="171">
        <v>7</v>
      </c>
      <c r="AX1463" s="171" t="s">
        <v>521</v>
      </c>
      <c r="AY1463" s="171">
        <v>20</v>
      </c>
      <c r="AZ1463" s="171">
        <v>0</v>
      </c>
      <c r="BA1463" s="175">
        <v>60</v>
      </c>
      <c r="BB1463" s="259"/>
      <c r="BC1463" s="190"/>
      <c r="BD1463" s="177"/>
      <c r="BE1463" s="177"/>
      <c r="BF1463" s="178"/>
    </row>
    <row r="1464" spans="1:58">
      <c r="A1464" s="95">
        <v>1463</v>
      </c>
      <c r="B1464" s="211" t="s">
        <v>2043</v>
      </c>
      <c r="C1464" s="191" t="s">
        <v>441</v>
      </c>
      <c r="D1464" s="171" t="s">
        <v>266</v>
      </c>
      <c r="E1464" s="463" t="s">
        <v>3377</v>
      </c>
      <c r="F1464" s="171">
        <v>2005</v>
      </c>
      <c r="G1464" s="171">
        <v>332</v>
      </c>
      <c r="H1464" s="172" t="s">
        <v>1745</v>
      </c>
      <c r="I1464" s="173" t="s">
        <v>1739</v>
      </c>
      <c r="J1464" s="212">
        <v>0.38974596914511078</v>
      </c>
      <c r="K1464" s="213">
        <v>3.7373854541236513</v>
      </c>
      <c r="L1464" s="91"/>
      <c r="M1464" s="171">
        <v>431</v>
      </c>
      <c r="N1464" s="171"/>
      <c r="O1464" s="172" t="s">
        <v>12</v>
      </c>
      <c r="P1464" s="92"/>
      <c r="Q1464" s="173" t="s">
        <v>526</v>
      </c>
      <c r="R1464" s="89"/>
      <c r="S1464" s="89"/>
      <c r="T1464" s="219" t="s">
        <v>2306</v>
      </c>
      <c r="U1464" s="511"/>
      <c r="V1464" s="153">
        <v>8.1</v>
      </c>
      <c r="W1464" s="154">
        <v>0</v>
      </c>
      <c r="X1464" s="120">
        <v>0</v>
      </c>
      <c r="Y1464" s="120">
        <v>0</v>
      </c>
      <c r="Z1464" s="120">
        <v>0</v>
      </c>
      <c r="AA1464" s="17">
        <v>0</v>
      </c>
      <c r="AB1464" s="157">
        <v>32.479999999999997</v>
      </c>
      <c r="AC1464" s="17">
        <v>0</v>
      </c>
      <c r="AD1464" s="158">
        <v>0</v>
      </c>
      <c r="AE1464" s="158">
        <v>0</v>
      </c>
      <c r="AF1464" s="17">
        <v>2.11</v>
      </c>
      <c r="AG1464" s="17">
        <v>0</v>
      </c>
      <c r="AH1464" s="17">
        <v>0</v>
      </c>
      <c r="AI1464" s="17">
        <v>0</v>
      </c>
      <c r="AJ1464" s="17">
        <v>0</v>
      </c>
      <c r="AK1464" s="17">
        <v>0</v>
      </c>
      <c r="AL1464" s="32">
        <v>0</v>
      </c>
      <c r="AM1464" s="172">
        <v>111</v>
      </c>
      <c r="AN1464" s="89"/>
      <c r="AO1464" s="171" t="s">
        <v>521</v>
      </c>
      <c r="AP1464" s="783" t="s">
        <v>521</v>
      </c>
      <c r="AQ1464" s="17" t="s">
        <v>267</v>
      </c>
      <c r="AR1464" s="174">
        <v>50</v>
      </c>
      <c r="AS1464" s="89"/>
      <c r="AT1464" s="171">
        <v>500</v>
      </c>
      <c r="AU1464" s="255">
        <f t="shared" si="105"/>
        <v>22.727272727272727</v>
      </c>
      <c r="AV1464" s="172">
        <v>100</v>
      </c>
      <c r="AW1464" s="171">
        <v>1</v>
      </c>
      <c r="AX1464" s="171">
        <v>20</v>
      </c>
      <c r="AY1464" s="171">
        <v>20</v>
      </c>
      <c r="AZ1464" s="171">
        <v>0</v>
      </c>
      <c r="BA1464" s="175">
        <v>100</v>
      </c>
      <c r="BB1464" s="259"/>
      <c r="BC1464" s="220"/>
      <c r="BD1464" s="177"/>
      <c r="BE1464" s="177"/>
      <c r="BF1464" s="178" t="s">
        <v>1786</v>
      </c>
    </row>
    <row r="1465" spans="1:58">
      <c r="A1465" s="95">
        <v>1464</v>
      </c>
      <c r="B1465" s="211" t="s">
        <v>2044</v>
      </c>
      <c r="C1465" s="191" t="s">
        <v>441</v>
      </c>
      <c r="D1465" s="171" t="s">
        <v>266</v>
      </c>
      <c r="E1465" s="463" t="s">
        <v>3377</v>
      </c>
      <c r="F1465" s="171">
        <v>2005</v>
      </c>
      <c r="G1465" s="171">
        <v>332</v>
      </c>
      <c r="H1465" s="172" t="s">
        <v>1745</v>
      </c>
      <c r="I1465" s="173" t="s">
        <v>1739</v>
      </c>
      <c r="J1465" s="212">
        <v>0.36687289699337894</v>
      </c>
      <c r="K1465" s="213">
        <v>3.7230001085422773</v>
      </c>
      <c r="L1465" s="91"/>
      <c r="M1465" s="171">
        <v>461</v>
      </c>
      <c r="N1465" s="171"/>
      <c r="O1465" s="172" t="s">
        <v>12</v>
      </c>
      <c r="P1465" s="92"/>
      <c r="Q1465" s="173" t="s">
        <v>526</v>
      </c>
      <c r="R1465" s="89"/>
      <c r="S1465" s="89"/>
      <c r="T1465" s="219" t="s">
        <v>2306</v>
      </c>
      <c r="U1465" s="511"/>
      <c r="V1465" s="153">
        <v>8.1</v>
      </c>
      <c r="W1465" s="120">
        <v>0</v>
      </c>
      <c r="X1465" s="120">
        <v>0</v>
      </c>
      <c r="Y1465" s="120">
        <v>0</v>
      </c>
      <c r="Z1465" s="120">
        <v>0</v>
      </c>
      <c r="AA1465" s="17">
        <v>0</v>
      </c>
      <c r="AB1465" s="17">
        <v>0</v>
      </c>
      <c r="AC1465" s="17">
        <v>0</v>
      </c>
      <c r="AD1465" s="17">
        <v>0</v>
      </c>
      <c r="AE1465" s="17">
        <v>0</v>
      </c>
      <c r="AF1465" s="17">
        <v>2.58</v>
      </c>
      <c r="AG1465" s="17">
        <v>0</v>
      </c>
      <c r="AH1465" s="17">
        <v>0</v>
      </c>
      <c r="AI1465" s="17">
        <v>0</v>
      </c>
      <c r="AJ1465" s="17">
        <v>0</v>
      </c>
      <c r="AK1465" s="17">
        <v>0</v>
      </c>
      <c r="AL1465" s="32">
        <v>0</v>
      </c>
      <c r="AM1465" s="172">
        <v>96</v>
      </c>
      <c r="AN1465" s="89"/>
      <c r="AO1465" s="171" t="s">
        <v>521</v>
      </c>
      <c r="AP1465" s="783" t="s">
        <v>521</v>
      </c>
      <c r="AQ1465" s="17" t="s">
        <v>267</v>
      </c>
      <c r="AR1465" s="174">
        <v>50</v>
      </c>
      <c r="AS1465" s="89"/>
      <c r="AT1465" s="171">
        <v>500</v>
      </c>
      <c r="AU1465" s="255">
        <f t="shared" si="105"/>
        <v>22.727272727272727</v>
      </c>
      <c r="AV1465" s="172">
        <v>100</v>
      </c>
      <c r="AW1465" s="171">
        <v>1</v>
      </c>
      <c r="AX1465" s="171">
        <v>20</v>
      </c>
      <c r="AY1465" s="171">
        <v>20</v>
      </c>
      <c r="AZ1465" s="171">
        <v>0</v>
      </c>
      <c r="BA1465" s="175">
        <v>100</v>
      </c>
      <c r="BB1465" s="259"/>
      <c r="BC1465" s="190"/>
      <c r="BD1465" s="177"/>
      <c r="BE1465" s="177"/>
      <c r="BF1465" s="178"/>
    </row>
    <row r="1466" spans="1:58" ht="15" customHeight="1">
      <c r="A1466" s="95">
        <v>1465</v>
      </c>
      <c r="B1466" s="211" t="s">
        <v>2045</v>
      </c>
      <c r="C1466" s="191" t="s">
        <v>441</v>
      </c>
      <c r="D1466" s="171" t="s">
        <v>266</v>
      </c>
      <c r="E1466" s="463" t="s">
        <v>3377</v>
      </c>
      <c r="F1466" s="171">
        <v>2005</v>
      </c>
      <c r="G1466" s="171">
        <v>332</v>
      </c>
      <c r="H1466" s="172" t="s">
        <v>1745</v>
      </c>
      <c r="I1466" s="173" t="s">
        <v>1743</v>
      </c>
      <c r="J1466" s="212">
        <v>0.36687289699337894</v>
      </c>
      <c r="K1466" s="213">
        <v>3.7230001085422773</v>
      </c>
      <c r="L1466" s="91"/>
      <c r="M1466" s="171">
        <v>461</v>
      </c>
      <c r="N1466" s="171"/>
      <c r="O1466" s="172" t="s">
        <v>12</v>
      </c>
      <c r="P1466" s="92"/>
      <c r="Q1466" s="173" t="s">
        <v>526</v>
      </c>
      <c r="R1466" s="89"/>
      <c r="S1466" s="89"/>
      <c r="T1466" s="219" t="s">
        <v>2306</v>
      </c>
      <c r="U1466" s="511"/>
      <c r="V1466" s="153">
        <v>8.1</v>
      </c>
      <c r="W1466" s="120">
        <v>0</v>
      </c>
      <c r="X1466" s="120">
        <v>0</v>
      </c>
      <c r="Y1466" s="120">
        <v>0</v>
      </c>
      <c r="Z1466" s="120">
        <v>0</v>
      </c>
      <c r="AA1466" s="17">
        <v>0</v>
      </c>
      <c r="AB1466" s="17">
        <v>0</v>
      </c>
      <c r="AC1466" s="17">
        <v>0</v>
      </c>
      <c r="AD1466" s="17">
        <v>0</v>
      </c>
      <c r="AE1466" s="17">
        <v>0</v>
      </c>
      <c r="AF1466" s="17">
        <v>2.58</v>
      </c>
      <c r="AG1466" s="17">
        <v>0</v>
      </c>
      <c r="AH1466" s="17">
        <v>0</v>
      </c>
      <c r="AI1466" s="17">
        <v>0</v>
      </c>
      <c r="AJ1466" s="17">
        <v>0</v>
      </c>
      <c r="AK1466" s="17">
        <v>0</v>
      </c>
      <c r="AL1466" s="32">
        <v>0</v>
      </c>
      <c r="AM1466" s="172">
        <v>96</v>
      </c>
      <c r="AN1466" s="89"/>
      <c r="AO1466" s="171" t="s">
        <v>521</v>
      </c>
      <c r="AP1466" s="783" t="s">
        <v>521</v>
      </c>
      <c r="AQ1466" s="17" t="s">
        <v>267</v>
      </c>
      <c r="AR1466" s="174">
        <v>50</v>
      </c>
      <c r="AS1466" s="89"/>
      <c r="AT1466" s="171">
        <v>500</v>
      </c>
      <c r="AU1466" s="255">
        <f t="shared" si="105"/>
        <v>22.727272727272727</v>
      </c>
      <c r="AV1466" s="172">
        <v>60</v>
      </c>
      <c r="AW1466" s="171">
        <v>1</v>
      </c>
      <c r="AX1466" s="171">
        <v>20</v>
      </c>
      <c r="AY1466" s="171">
        <v>20</v>
      </c>
      <c r="AZ1466" s="171">
        <v>0</v>
      </c>
      <c r="BA1466" s="175">
        <v>60</v>
      </c>
      <c r="BB1466" s="259"/>
      <c r="BC1466" s="190"/>
      <c r="BD1466" s="177"/>
      <c r="BE1466" s="177"/>
      <c r="BF1466" s="178"/>
    </row>
    <row r="1467" spans="1:58" ht="15" customHeight="1">
      <c r="A1467" s="95">
        <v>1466</v>
      </c>
      <c r="B1467" s="211" t="s">
        <v>2046</v>
      </c>
      <c r="C1467" s="191" t="s">
        <v>441</v>
      </c>
      <c r="D1467" s="171" t="s">
        <v>266</v>
      </c>
      <c r="E1467" s="463" t="s">
        <v>3377</v>
      </c>
      <c r="F1467" s="171">
        <v>2005</v>
      </c>
      <c r="G1467" s="171">
        <v>332</v>
      </c>
      <c r="H1467" s="172" t="s">
        <v>1745</v>
      </c>
      <c r="I1467" s="173" t="s">
        <v>1743</v>
      </c>
      <c r="J1467" s="212">
        <v>0.39</v>
      </c>
      <c r="K1467" s="213">
        <v>3.7373854541236513</v>
      </c>
      <c r="L1467" s="91"/>
      <c r="M1467" s="171">
        <v>431</v>
      </c>
      <c r="N1467" s="171"/>
      <c r="O1467" s="172" t="s">
        <v>12</v>
      </c>
      <c r="P1467" s="92"/>
      <c r="Q1467" s="173" t="s">
        <v>526</v>
      </c>
      <c r="R1467" s="89"/>
      <c r="S1467" s="89"/>
      <c r="T1467" s="219" t="s">
        <v>2306</v>
      </c>
      <c r="U1467" s="511"/>
      <c r="V1467" s="153">
        <v>8.1</v>
      </c>
      <c r="W1467" s="120">
        <v>0</v>
      </c>
      <c r="X1467" s="120">
        <v>0</v>
      </c>
      <c r="Y1467" s="120">
        <v>0</v>
      </c>
      <c r="Z1467" s="120">
        <v>0</v>
      </c>
      <c r="AA1467" s="17">
        <v>0</v>
      </c>
      <c r="AB1467" s="157">
        <v>32.479999999999997</v>
      </c>
      <c r="AC1467" s="17">
        <v>0</v>
      </c>
      <c r="AD1467" s="158">
        <v>0</v>
      </c>
      <c r="AE1467" s="158">
        <v>0</v>
      </c>
      <c r="AF1467" s="17">
        <v>2.11</v>
      </c>
      <c r="AG1467" s="17">
        <v>0</v>
      </c>
      <c r="AH1467" s="17">
        <v>0</v>
      </c>
      <c r="AI1467" s="17">
        <v>0</v>
      </c>
      <c r="AJ1467" s="17">
        <v>0</v>
      </c>
      <c r="AK1467" s="17">
        <v>0</v>
      </c>
      <c r="AL1467" s="32">
        <v>0</v>
      </c>
      <c r="AM1467" s="172">
        <v>111</v>
      </c>
      <c r="AN1467" s="89"/>
      <c r="AO1467" s="171" t="s">
        <v>521</v>
      </c>
      <c r="AP1467" s="783" t="s">
        <v>521</v>
      </c>
      <c r="AQ1467" s="17" t="s">
        <v>267</v>
      </c>
      <c r="AR1467" s="174">
        <v>50</v>
      </c>
      <c r="AS1467" s="89"/>
      <c r="AT1467" s="171">
        <v>500</v>
      </c>
      <c r="AU1467" s="255">
        <f t="shared" si="105"/>
        <v>22.727272727272727</v>
      </c>
      <c r="AV1467" s="172">
        <v>60</v>
      </c>
      <c r="AW1467" s="171">
        <v>1</v>
      </c>
      <c r="AX1467" s="171">
        <v>20</v>
      </c>
      <c r="AY1467" s="171">
        <v>20</v>
      </c>
      <c r="AZ1467" s="171">
        <v>0</v>
      </c>
      <c r="BA1467" s="175">
        <v>60</v>
      </c>
      <c r="BB1467" s="259"/>
      <c r="BC1467" s="190"/>
      <c r="BD1467" s="177"/>
      <c r="BE1467" s="177"/>
      <c r="BF1467" s="178" t="s">
        <v>1786</v>
      </c>
    </row>
    <row r="1468" spans="1:58">
      <c r="A1468" s="95">
        <v>1467</v>
      </c>
      <c r="B1468" s="211" t="s">
        <v>2047</v>
      </c>
      <c r="C1468" s="191" t="s">
        <v>441</v>
      </c>
      <c r="D1468" s="171" t="s">
        <v>266</v>
      </c>
      <c r="E1468" s="461" t="s">
        <v>3377</v>
      </c>
      <c r="F1468" s="171">
        <v>2005</v>
      </c>
      <c r="G1468" s="171">
        <v>332</v>
      </c>
      <c r="H1468" s="172" t="s">
        <v>1745</v>
      </c>
      <c r="I1468" s="173" t="s">
        <v>1739</v>
      </c>
      <c r="J1468" s="212">
        <v>0.43291613761412417</v>
      </c>
      <c r="K1468" s="213">
        <v>3.8309450389987298</v>
      </c>
      <c r="L1468" s="91"/>
      <c r="M1468" s="171">
        <v>413</v>
      </c>
      <c r="N1468" s="171"/>
      <c r="O1468" s="172" t="s">
        <v>12</v>
      </c>
      <c r="P1468" s="92"/>
      <c r="Q1468" s="173" t="s">
        <v>526</v>
      </c>
      <c r="R1468" s="89"/>
      <c r="S1468" s="89"/>
      <c r="T1468" s="219" t="s">
        <v>2306</v>
      </c>
      <c r="U1468" s="511"/>
      <c r="V1468" s="153">
        <v>8.1</v>
      </c>
      <c r="W1468" s="120">
        <v>0</v>
      </c>
      <c r="X1468" s="120">
        <v>0</v>
      </c>
      <c r="Y1468" s="120">
        <v>0</v>
      </c>
      <c r="Z1468" s="120">
        <v>0</v>
      </c>
      <c r="AA1468" s="17">
        <v>0</v>
      </c>
      <c r="AB1468" s="157">
        <v>35.79</v>
      </c>
      <c r="AC1468" s="17">
        <v>0</v>
      </c>
      <c r="AD1468" s="158">
        <v>0.56000000000000005</v>
      </c>
      <c r="AE1468" s="158">
        <v>0</v>
      </c>
      <c r="AF1468" s="17">
        <v>2.66</v>
      </c>
      <c r="AG1468" s="17">
        <v>0</v>
      </c>
      <c r="AH1468" s="17">
        <v>0</v>
      </c>
      <c r="AI1468" s="17">
        <v>0</v>
      </c>
      <c r="AJ1468" s="17">
        <v>0</v>
      </c>
      <c r="AK1468" s="17">
        <v>0</v>
      </c>
      <c r="AL1468" s="32">
        <v>0</v>
      </c>
      <c r="AM1468" s="172">
        <v>85</v>
      </c>
      <c r="AN1468" s="89"/>
      <c r="AO1468" s="171" t="s">
        <v>521</v>
      </c>
      <c r="AP1468" s="783" t="s">
        <v>521</v>
      </c>
      <c r="AQ1468" s="17" t="s">
        <v>267</v>
      </c>
      <c r="AR1468" s="174">
        <v>50</v>
      </c>
      <c r="AS1468" s="89"/>
      <c r="AT1468" s="171">
        <v>500</v>
      </c>
      <c r="AU1468" s="255">
        <f t="shared" si="105"/>
        <v>22.727272727272727</v>
      </c>
      <c r="AV1468" s="172">
        <v>100</v>
      </c>
      <c r="AW1468" s="171">
        <v>1</v>
      </c>
      <c r="AX1468" s="171">
        <v>20</v>
      </c>
      <c r="AY1468" s="171">
        <v>20</v>
      </c>
      <c r="AZ1468" s="171">
        <v>0</v>
      </c>
      <c r="BA1468" s="175">
        <v>100</v>
      </c>
      <c r="BB1468" s="259"/>
      <c r="BC1468" s="190"/>
      <c r="BD1468" s="177"/>
      <c r="BE1468" s="177"/>
      <c r="BF1468" s="178" t="s">
        <v>1786</v>
      </c>
    </row>
    <row r="1469" spans="1:58" ht="15" customHeight="1">
      <c r="A1469" s="95">
        <v>1468</v>
      </c>
      <c r="B1469" s="211" t="s">
        <v>2048</v>
      </c>
      <c r="C1469" s="191" t="s">
        <v>441</v>
      </c>
      <c r="D1469" s="171" t="s">
        <v>266</v>
      </c>
      <c r="E1469" s="461" t="s">
        <v>3377</v>
      </c>
      <c r="F1469" s="171">
        <v>2005</v>
      </c>
      <c r="G1469" s="171">
        <v>332</v>
      </c>
      <c r="H1469" s="172" t="s">
        <v>1745</v>
      </c>
      <c r="I1469" s="173" t="s">
        <v>1743</v>
      </c>
      <c r="J1469" s="212">
        <v>0.43291613761412417</v>
      </c>
      <c r="K1469" s="213">
        <v>3.8309450389987298</v>
      </c>
      <c r="L1469" s="91"/>
      <c r="M1469" s="171">
        <v>413</v>
      </c>
      <c r="N1469" s="171"/>
      <c r="O1469" s="172" t="s">
        <v>12</v>
      </c>
      <c r="P1469" s="92"/>
      <c r="Q1469" s="173" t="s">
        <v>526</v>
      </c>
      <c r="R1469" s="89"/>
      <c r="S1469" s="89"/>
      <c r="T1469" s="219" t="s">
        <v>2306</v>
      </c>
      <c r="U1469" s="511"/>
      <c r="V1469" s="153">
        <v>8.1</v>
      </c>
      <c r="W1469" s="120">
        <v>0</v>
      </c>
      <c r="X1469" s="120">
        <v>0</v>
      </c>
      <c r="Y1469" s="120">
        <v>0</v>
      </c>
      <c r="Z1469" s="120">
        <v>0</v>
      </c>
      <c r="AA1469" s="17">
        <v>0</v>
      </c>
      <c r="AB1469" s="157">
        <v>35.79</v>
      </c>
      <c r="AC1469" s="17">
        <v>0</v>
      </c>
      <c r="AD1469" s="158">
        <v>0.56000000000000005</v>
      </c>
      <c r="AE1469" s="158">
        <v>0</v>
      </c>
      <c r="AF1469" s="17">
        <v>2.66</v>
      </c>
      <c r="AG1469" s="17">
        <v>0</v>
      </c>
      <c r="AH1469" s="17">
        <v>0</v>
      </c>
      <c r="AI1469" s="17">
        <v>0</v>
      </c>
      <c r="AJ1469" s="17">
        <v>0</v>
      </c>
      <c r="AK1469" s="17">
        <v>0</v>
      </c>
      <c r="AL1469" s="32">
        <v>0</v>
      </c>
      <c r="AM1469" s="172">
        <v>85</v>
      </c>
      <c r="AN1469" s="89"/>
      <c r="AO1469" s="171" t="s">
        <v>521</v>
      </c>
      <c r="AP1469" s="783" t="s">
        <v>521</v>
      </c>
      <c r="AQ1469" s="17" t="s">
        <v>267</v>
      </c>
      <c r="AR1469" s="174">
        <v>50</v>
      </c>
      <c r="AS1469" s="89"/>
      <c r="AT1469" s="171">
        <v>500</v>
      </c>
      <c r="AU1469" s="255">
        <f t="shared" si="105"/>
        <v>22.727272727272727</v>
      </c>
      <c r="AV1469" s="172">
        <v>60</v>
      </c>
      <c r="AW1469" s="171">
        <v>1</v>
      </c>
      <c r="AX1469" s="171">
        <v>20</v>
      </c>
      <c r="AY1469" s="171">
        <v>20</v>
      </c>
      <c r="AZ1469" s="171">
        <v>0</v>
      </c>
      <c r="BA1469" s="175">
        <v>60</v>
      </c>
      <c r="BB1469" s="259"/>
      <c r="BC1469" s="190"/>
      <c r="BD1469" s="177"/>
      <c r="BE1469" s="177"/>
      <c r="BF1469" s="178" t="s">
        <v>1786</v>
      </c>
    </row>
    <row r="1470" spans="1:58">
      <c r="A1470" s="95">
        <v>1469</v>
      </c>
      <c r="B1470" s="211" t="s">
        <v>2049</v>
      </c>
      <c r="C1470" s="191" t="s">
        <v>441</v>
      </c>
      <c r="D1470" s="171" t="s">
        <v>266</v>
      </c>
      <c r="E1470" s="463" t="s">
        <v>3377</v>
      </c>
      <c r="F1470" s="171">
        <v>2005</v>
      </c>
      <c r="G1470" s="171">
        <v>332</v>
      </c>
      <c r="H1470" s="172" t="s">
        <v>1745</v>
      </c>
      <c r="I1470" s="173" t="s">
        <v>1739</v>
      </c>
      <c r="J1470" s="212">
        <v>0.35637407318823244</v>
      </c>
      <c r="K1470" s="213">
        <v>4.3243243243243237</v>
      </c>
      <c r="L1470" s="91"/>
      <c r="M1470" s="171">
        <v>418</v>
      </c>
      <c r="N1470" s="171"/>
      <c r="O1470" s="172" t="s">
        <v>12</v>
      </c>
      <c r="P1470" s="92"/>
      <c r="Q1470" s="173" t="s">
        <v>526</v>
      </c>
      <c r="R1470" s="89"/>
      <c r="S1470" s="89"/>
      <c r="T1470" s="219" t="s">
        <v>2306</v>
      </c>
      <c r="U1470" s="511"/>
      <c r="V1470" s="153">
        <v>8.1</v>
      </c>
      <c r="W1470" s="120">
        <v>0</v>
      </c>
      <c r="X1470" s="120">
        <v>0</v>
      </c>
      <c r="Y1470" s="120">
        <v>0</v>
      </c>
      <c r="Z1470" s="120">
        <v>0</v>
      </c>
      <c r="AA1470" s="157">
        <v>0</v>
      </c>
      <c r="AB1470" s="17">
        <v>0</v>
      </c>
      <c r="AC1470" s="17">
        <v>0</v>
      </c>
      <c r="AD1470" s="158">
        <v>0</v>
      </c>
      <c r="AE1470" s="158">
        <v>0</v>
      </c>
      <c r="AF1470" s="17">
        <v>1.51</v>
      </c>
      <c r="AG1470" s="17">
        <v>0</v>
      </c>
      <c r="AH1470" s="17">
        <v>0</v>
      </c>
      <c r="AI1470" s="17">
        <v>0</v>
      </c>
      <c r="AJ1470" s="17">
        <v>0</v>
      </c>
      <c r="AK1470" s="17">
        <v>0</v>
      </c>
      <c r="AL1470" s="32">
        <v>0</v>
      </c>
      <c r="AM1470" s="172">
        <v>91</v>
      </c>
      <c r="AN1470" s="89"/>
      <c r="AO1470" s="171" t="s">
        <v>521</v>
      </c>
      <c r="AP1470" s="783" t="s">
        <v>521</v>
      </c>
      <c r="AQ1470" s="17" t="s">
        <v>1778</v>
      </c>
      <c r="AR1470" s="174">
        <v>27.5</v>
      </c>
      <c r="AS1470" s="89"/>
      <c r="AT1470" s="171">
        <v>300</v>
      </c>
      <c r="AU1470" s="255">
        <f t="shared" si="105"/>
        <v>12.595419847328245</v>
      </c>
      <c r="AV1470" s="172">
        <v>100</v>
      </c>
      <c r="AW1470" s="171">
        <v>1</v>
      </c>
      <c r="AX1470" s="171">
        <v>20</v>
      </c>
      <c r="AY1470" s="171">
        <v>20</v>
      </c>
      <c r="AZ1470" s="171">
        <v>0</v>
      </c>
      <c r="BA1470" s="175">
        <v>100</v>
      </c>
      <c r="BB1470" s="259"/>
      <c r="BC1470" s="190"/>
      <c r="BD1470" s="177"/>
      <c r="BE1470" s="177"/>
      <c r="BF1470" s="178"/>
    </row>
    <row r="1471" spans="1:58" ht="15" customHeight="1">
      <c r="A1471" s="95">
        <v>1470</v>
      </c>
      <c r="B1471" s="211" t="s">
        <v>2050</v>
      </c>
      <c r="C1471" s="191" t="s">
        <v>441</v>
      </c>
      <c r="D1471" s="171" t="s">
        <v>266</v>
      </c>
      <c r="E1471" s="463" t="s">
        <v>3377</v>
      </c>
      <c r="F1471" s="171">
        <v>2005</v>
      </c>
      <c r="G1471" s="171">
        <v>332</v>
      </c>
      <c r="H1471" s="172" t="s">
        <v>1745</v>
      </c>
      <c r="I1471" s="173" t="s">
        <v>1743</v>
      </c>
      <c r="J1471" s="212">
        <v>0.35637407318823244</v>
      </c>
      <c r="K1471" s="213">
        <v>4.3243243243243237</v>
      </c>
      <c r="L1471" s="91"/>
      <c r="M1471" s="171">
        <v>418</v>
      </c>
      <c r="N1471" s="171"/>
      <c r="O1471" s="172" t="s">
        <v>12</v>
      </c>
      <c r="P1471" s="92"/>
      <c r="Q1471" s="173" t="s">
        <v>526</v>
      </c>
      <c r="R1471" s="89"/>
      <c r="S1471" s="89"/>
      <c r="T1471" s="219" t="s">
        <v>2306</v>
      </c>
      <c r="U1471" s="511"/>
      <c r="V1471" s="153">
        <v>8.1</v>
      </c>
      <c r="W1471" s="120">
        <v>0</v>
      </c>
      <c r="X1471" s="120">
        <v>0</v>
      </c>
      <c r="Y1471" s="120">
        <v>0</v>
      </c>
      <c r="Z1471" s="120">
        <v>0</v>
      </c>
      <c r="AA1471" s="157">
        <v>0</v>
      </c>
      <c r="AB1471" s="17">
        <v>0</v>
      </c>
      <c r="AC1471" s="17">
        <v>0</v>
      </c>
      <c r="AD1471" s="158">
        <v>0</v>
      </c>
      <c r="AE1471" s="158">
        <v>0</v>
      </c>
      <c r="AF1471" s="17">
        <v>1.51</v>
      </c>
      <c r="AG1471" s="17">
        <v>0</v>
      </c>
      <c r="AH1471" s="17">
        <v>0</v>
      </c>
      <c r="AI1471" s="17">
        <v>0</v>
      </c>
      <c r="AJ1471" s="17">
        <v>0</v>
      </c>
      <c r="AK1471" s="17">
        <v>0</v>
      </c>
      <c r="AL1471" s="32">
        <v>0</v>
      </c>
      <c r="AM1471" s="172">
        <v>91</v>
      </c>
      <c r="AN1471" s="89"/>
      <c r="AO1471" s="171" t="s">
        <v>521</v>
      </c>
      <c r="AP1471" s="783" t="s">
        <v>521</v>
      </c>
      <c r="AQ1471" s="17" t="s">
        <v>267</v>
      </c>
      <c r="AR1471" s="174">
        <v>50</v>
      </c>
      <c r="AS1471" s="89"/>
      <c r="AT1471" s="171">
        <v>500</v>
      </c>
      <c r="AU1471" s="255">
        <f t="shared" si="105"/>
        <v>22.727272727272727</v>
      </c>
      <c r="AV1471" s="172">
        <v>60</v>
      </c>
      <c r="AW1471" s="171">
        <v>1</v>
      </c>
      <c r="AX1471" s="171">
        <v>20</v>
      </c>
      <c r="AY1471" s="171">
        <v>20</v>
      </c>
      <c r="AZ1471" s="171">
        <v>0</v>
      </c>
      <c r="BA1471" s="175">
        <v>60</v>
      </c>
      <c r="BB1471" s="259"/>
      <c r="BC1471" s="190"/>
      <c r="BD1471" s="177"/>
      <c r="BE1471" s="177"/>
      <c r="BF1471" s="178"/>
    </row>
    <row r="1472" spans="1:58">
      <c r="A1472" s="95">
        <v>1471</v>
      </c>
      <c r="B1472" s="211" t="s">
        <v>2051</v>
      </c>
      <c r="C1472" s="191" t="s">
        <v>1740</v>
      </c>
      <c r="D1472" s="171" t="s">
        <v>252</v>
      </c>
      <c r="E1472" s="463" t="s">
        <v>3377</v>
      </c>
      <c r="F1472" s="171">
        <v>2008</v>
      </c>
      <c r="G1472" s="171">
        <v>333</v>
      </c>
      <c r="H1472" s="172" t="s">
        <v>1738</v>
      </c>
      <c r="I1472" s="173" t="s">
        <v>1739</v>
      </c>
      <c r="J1472" s="212">
        <v>0.23</v>
      </c>
      <c r="K1472" s="213">
        <v>1.27</v>
      </c>
      <c r="L1472" s="91"/>
      <c r="M1472" s="171">
        <v>800</v>
      </c>
      <c r="N1472" s="171"/>
      <c r="O1472" s="172" t="s">
        <v>129</v>
      </c>
      <c r="P1472" s="171" t="s">
        <v>3453</v>
      </c>
      <c r="Q1472" s="221" t="s">
        <v>1754</v>
      </c>
      <c r="R1472" s="506" t="s">
        <v>2731</v>
      </c>
      <c r="S1472" s="171" t="s">
        <v>2524</v>
      </c>
      <c r="T1472" s="511"/>
      <c r="U1472" s="214" t="s">
        <v>2320</v>
      </c>
      <c r="V1472" s="102">
        <v>16.2</v>
      </c>
      <c r="W1472" s="120">
        <v>0</v>
      </c>
      <c r="X1472" s="120">
        <v>0</v>
      </c>
      <c r="Y1472" s="120">
        <v>0</v>
      </c>
      <c r="Z1472" s="120">
        <v>0</v>
      </c>
      <c r="AA1472" s="33">
        <f>(220/800)*100</f>
        <v>27.500000000000004</v>
      </c>
      <c r="AB1472" s="17">
        <v>0</v>
      </c>
      <c r="AC1472" s="17">
        <v>0</v>
      </c>
      <c r="AD1472" s="17">
        <v>0</v>
      </c>
      <c r="AE1472" s="17">
        <v>0</v>
      </c>
      <c r="AF1472" s="17">
        <v>3</v>
      </c>
      <c r="AG1472" s="17">
        <v>0</v>
      </c>
      <c r="AH1472" s="17">
        <v>0</v>
      </c>
      <c r="AI1472" s="17">
        <v>0</v>
      </c>
      <c r="AJ1472" s="17">
        <v>0</v>
      </c>
      <c r="AK1472" s="17">
        <v>0</v>
      </c>
      <c r="AL1472" s="32" t="s">
        <v>2541</v>
      </c>
      <c r="AM1472" s="57"/>
      <c r="AN1472" s="89"/>
      <c r="AO1472" s="171" t="s">
        <v>521</v>
      </c>
      <c r="AP1472" s="783" t="s">
        <v>521</v>
      </c>
      <c r="AQ1472" s="17" t="s">
        <v>1741</v>
      </c>
      <c r="AR1472" s="174">
        <v>25</v>
      </c>
      <c r="AS1472" s="89"/>
      <c r="AT1472" s="171">
        <v>285</v>
      </c>
      <c r="AU1472" s="255">
        <f t="shared" ref="AU1472:AU1498" si="106">IF(ISBLANK(AS1472),(AR1472*AT1472)/((4*AT1472)+(2*AR1472)),AR1472*AS1472*AT1472/2/(AR1472*AS1472+AR1472*AT1472+AS1472*AT1472))</f>
        <v>5.9873949579831933</v>
      </c>
      <c r="AV1472" s="172">
        <v>100</v>
      </c>
      <c r="AW1472" s="171">
        <v>0.25</v>
      </c>
      <c r="AX1472" s="171">
        <v>20</v>
      </c>
      <c r="AY1472" s="171">
        <v>20</v>
      </c>
      <c r="AZ1472" s="171">
        <v>0</v>
      </c>
      <c r="BA1472" s="175">
        <v>100</v>
      </c>
      <c r="BB1472" s="259"/>
      <c r="BC1472" s="190"/>
      <c r="BD1472" s="177"/>
      <c r="BE1472" s="177"/>
      <c r="BF1472" s="178" t="s">
        <v>1742</v>
      </c>
    </row>
    <row r="1473" spans="1:58">
      <c r="A1473" s="95">
        <v>1472</v>
      </c>
      <c r="B1473" s="211" t="s">
        <v>2052</v>
      </c>
      <c r="C1473" s="191" t="s">
        <v>1740</v>
      </c>
      <c r="D1473" s="171" t="s">
        <v>252</v>
      </c>
      <c r="E1473" s="463" t="s">
        <v>3377</v>
      </c>
      <c r="F1473" s="171">
        <v>2008</v>
      </c>
      <c r="G1473" s="171">
        <v>333</v>
      </c>
      <c r="H1473" s="172" t="s">
        <v>1738</v>
      </c>
      <c r="I1473" s="173" t="s">
        <v>1739</v>
      </c>
      <c r="J1473" s="212">
        <v>0.26</v>
      </c>
      <c r="K1473" s="213">
        <v>1.2</v>
      </c>
      <c r="L1473" s="91"/>
      <c r="M1473" s="171">
        <v>800</v>
      </c>
      <c r="N1473" s="171"/>
      <c r="O1473" s="172" t="s">
        <v>129</v>
      </c>
      <c r="P1473" s="171" t="s">
        <v>3453</v>
      </c>
      <c r="Q1473" s="221" t="s">
        <v>1754</v>
      </c>
      <c r="R1473" s="506" t="s">
        <v>2731</v>
      </c>
      <c r="S1473" s="171" t="s">
        <v>2524</v>
      </c>
      <c r="T1473" s="511"/>
      <c r="U1473" s="214" t="s">
        <v>2320</v>
      </c>
      <c r="V1473" s="102">
        <v>16.2</v>
      </c>
      <c r="W1473" s="120">
        <v>0</v>
      </c>
      <c r="X1473" s="120">
        <v>0</v>
      </c>
      <c r="Y1473" s="120">
        <v>0</v>
      </c>
      <c r="Z1473" s="120">
        <v>0</v>
      </c>
      <c r="AA1473" s="33">
        <f>215/800*100</f>
        <v>26.875</v>
      </c>
      <c r="AB1473" s="17">
        <v>0</v>
      </c>
      <c r="AC1473" s="17">
        <v>0</v>
      </c>
      <c r="AD1473" s="17">
        <v>0</v>
      </c>
      <c r="AE1473" s="17">
        <v>0</v>
      </c>
      <c r="AF1473" s="17">
        <v>3</v>
      </c>
      <c r="AG1473" s="17">
        <v>0</v>
      </c>
      <c r="AH1473" s="17">
        <v>0</v>
      </c>
      <c r="AI1473" s="17">
        <v>0</v>
      </c>
      <c r="AJ1473" s="17">
        <v>0</v>
      </c>
      <c r="AK1473" s="17">
        <v>0</v>
      </c>
      <c r="AL1473" s="32" t="s">
        <v>2541</v>
      </c>
      <c r="AM1473" s="57"/>
      <c r="AN1473" s="89"/>
      <c r="AO1473" s="171" t="s">
        <v>521</v>
      </c>
      <c r="AP1473" s="783" t="s">
        <v>521</v>
      </c>
      <c r="AQ1473" s="17" t="s">
        <v>1741</v>
      </c>
      <c r="AR1473" s="174">
        <v>25</v>
      </c>
      <c r="AS1473" s="89"/>
      <c r="AT1473" s="171">
        <v>285</v>
      </c>
      <c r="AU1473" s="255">
        <f t="shared" si="106"/>
        <v>5.9873949579831933</v>
      </c>
      <c r="AV1473" s="172">
        <v>100</v>
      </c>
      <c r="AW1473" s="171">
        <v>0.25</v>
      </c>
      <c r="AX1473" s="171">
        <v>20</v>
      </c>
      <c r="AY1473" s="171">
        <v>20</v>
      </c>
      <c r="AZ1473" s="171">
        <v>0</v>
      </c>
      <c r="BA1473" s="175">
        <v>100</v>
      </c>
      <c r="BB1473" s="259"/>
      <c r="BC1473" s="190"/>
      <c r="BD1473" s="177"/>
      <c r="BE1473" s="177"/>
      <c r="BF1473" s="178" t="s">
        <v>1742</v>
      </c>
    </row>
    <row r="1474" spans="1:58">
      <c r="A1474" s="95">
        <v>1473</v>
      </c>
      <c r="B1474" s="211" t="s">
        <v>2053</v>
      </c>
      <c r="C1474" s="191" t="s">
        <v>1740</v>
      </c>
      <c r="D1474" s="171" t="s">
        <v>252</v>
      </c>
      <c r="E1474" s="463" t="s">
        <v>3377</v>
      </c>
      <c r="F1474" s="171">
        <v>2008</v>
      </c>
      <c r="G1474" s="171">
        <v>333</v>
      </c>
      <c r="H1474" s="172" t="s">
        <v>1738</v>
      </c>
      <c r="I1474" s="173" t="s">
        <v>1739</v>
      </c>
      <c r="J1474" s="212">
        <v>0.3</v>
      </c>
      <c r="K1474" s="213">
        <v>1.1125</v>
      </c>
      <c r="L1474" s="91"/>
      <c r="M1474" s="171">
        <v>800</v>
      </c>
      <c r="N1474" s="171"/>
      <c r="O1474" s="172" t="s">
        <v>129</v>
      </c>
      <c r="P1474" s="171" t="s">
        <v>3453</v>
      </c>
      <c r="Q1474" s="221" t="s">
        <v>1754</v>
      </c>
      <c r="R1474" s="506" t="s">
        <v>2731</v>
      </c>
      <c r="S1474" s="171" t="s">
        <v>2524</v>
      </c>
      <c r="T1474" s="511"/>
      <c r="U1474" s="214" t="s">
        <v>2320</v>
      </c>
      <c r="V1474" s="102">
        <v>16.2</v>
      </c>
      <c r="W1474" s="120">
        <v>0</v>
      </c>
      <c r="X1474" s="120">
        <v>0</v>
      </c>
      <c r="Y1474" s="120">
        <v>0</v>
      </c>
      <c r="Z1474" s="120">
        <v>0</v>
      </c>
      <c r="AA1474" s="33">
        <f>200/800*100</f>
        <v>25</v>
      </c>
      <c r="AB1474" s="17">
        <v>0</v>
      </c>
      <c r="AC1474" s="17">
        <v>0</v>
      </c>
      <c r="AD1474" s="17">
        <v>0</v>
      </c>
      <c r="AE1474" s="17">
        <v>0</v>
      </c>
      <c r="AF1474" s="17">
        <v>3</v>
      </c>
      <c r="AG1474" s="17">
        <v>0</v>
      </c>
      <c r="AH1474" s="17">
        <v>0</v>
      </c>
      <c r="AI1474" s="17">
        <v>0</v>
      </c>
      <c r="AJ1474" s="17">
        <v>0</v>
      </c>
      <c r="AK1474" s="17">
        <v>0</v>
      </c>
      <c r="AL1474" s="32" t="s">
        <v>2541</v>
      </c>
      <c r="AM1474" s="57"/>
      <c r="AN1474" s="89"/>
      <c r="AO1474" s="171" t="s">
        <v>521</v>
      </c>
      <c r="AP1474" s="783" t="s">
        <v>521</v>
      </c>
      <c r="AQ1474" s="17" t="s">
        <v>1741</v>
      </c>
      <c r="AR1474" s="174">
        <v>25</v>
      </c>
      <c r="AS1474" s="89"/>
      <c r="AT1474" s="171">
        <v>285</v>
      </c>
      <c r="AU1474" s="255">
        <f t="shared" si="106"/>
        <v>5.9873949579831933</v>
      </c>
      <c r="AV1474" s="172">
        <v>100</v>
      </c>
      <c r="AW1474" s="171">
        <v>0.25</v>
      </c>
      <c r="AX1474" s="171">
        <v>20</v>
      </c>
      <c r="AY1474" s="171">
        <v>20</v>
      </c>
      <c r="AZ1474" s="171">
        <v>0</v>
      </c>
      <c r="BA1474" s="175">
        <v>100</v>
      </c>
      <c r="BB1474" s="259"/>
      <c r="BC1474" s="190"/>
      <c r="BD1474" s="177"/>
      <c r="BE1474" s="177"/>
      <c r="BF1474" s="178" t="s">
        <v>1742</v>
      </c>
    </row>
    <row r="1475" spans="1:58">
      <c r="A1475" s="95">
        <v>1474</v>
      </c>
      <c r="B1475" s="211" t="s">
        <v>2054</v>
      </c>
      <c r="C1475" s="191" t="s">
        <v>1740</v>
      </c>
      <c r="D1475" s="171" t="s">
        <v>252</v>
      </c>
      <c r="E1475" s="463" t="s">
        <v>3377</v>
      </c>
      <c r="F1475" s="171">
        <v>2008</v>
      </c>
      <c r="G1475" s="171">
        <v>333</v>
      </c>
      <c r="H1475" s="172" t="s">
        <v>1738</v>
      </c>
      <c r="I1475" s="173" t="s">
        <v>1739</v>
      </c>
      <c r="J1475" s="212">
        <v>0.23</v>
      </c>
      <c r="K1475" s="213">
        <v>1.27</v>
      </c>
      <c r="L1475" s="91"/>
      <c r="M1475" s="171">
        <v>800</v>
      </c>
      <c r="N1475" s="171"/>
      <c r="O1475" s="172" t="s">
        <v>129</v>
      </c>
      <c r="P1475" s="171" t="s">
        <v>3452</v>
      </c>
      <c r="Q1475" s="221" t="s">
        <v>1754</v>
      </c>
      <c r="R1475" s="506" t="s">
        <v>2731</v>
      </c>
      <c r="S1475" s="171" t="s">
        <v>2524</v>
      </c>
      <c r="T1475" s="511"/>
      <c r="U1475" s="214" t="s">
        <v>2320</v>
      </c>
      <c r="V1475" s="102">
        <v>16.2</v>
      </c>
      <c r="W1475" s="120">
        <v>0</v>
      </c>
      <c r="X1475" s="120">
        <v>0</v>
      </c>
      <c r="Y1475" s="120">
        <v>0</v>
      </c>
      <c r="Z1475" s="120">
        <v>0</v>
      </c>
      <c r="AA1475" s="33">
        <f>(220/800)*100</f>
        <v>27.500000000000004</v>
      </c>
      <c r="AB1475" s="17">
        <v>0</v>
      </c>
      <c r="AC1475" s="17">
        <v>0</v>
      </c>
      <c r="AD1475" s="17">
        <v>0</v>
      </c>
      <c r="AE1475" s="17">
        <v>0</v>
      </c>
      <c r="AF1475" s="17">
        <v>3</v>
      </c>
      <c r="AG1475" s="17">
        <v>0</v>
      </c>
      <c r="AH1475" s="17">
        <v>0</v>
      </c>
      <c r="AI1475" s="17">
        <v>0</v>
      </c>
      <c r="AJ1475" s="17">
        <v>0</v>
      </c>
      <c r="AK1475" s="17">
        <v>0</v>
      </c>
      <c r="AL1475" s="32" t="s">
        <v>2541</v>
      </c>
      <c r="AM1475" s="57"/>
      <c r="AN1475" s="89"/>
      <c r="AO1475" s="171" t="s">
        <v>521</v>
      </c>
      <c r="AP1475" s="783" t="s">
        <v>521</v>
      </c>
      <c r="AQ1475" s="17" t="s">
        <v>1741</v>
      </c>
      <c r="AR1475" s="174">
        <v>25</v>
      </c>
      <c r="AS1475" s="89"/>
      <c r="AT1475" s="171">
        <v>285</v>
      </c>
      <c r="AU1475" s="255">
        <f t="shared" si="106"/>
        <v>5.9873949579831933</v>
      </c>
      <c r="AV1475" s="172">
        <v>100</v>
      </c>
      <c r="AW1475" s="171">
        <v>0.25</v>
      </c>
      <c r="AX1475" s="171">
        <v>20</v>
      </c>
      <c r="AY1475" s="171">
        <v>20</v>
      </c>
      <c r="AZ1475" s="171">
        <v>0</v>
      </c>
      <c r="BA1475" s="175">
        <v>100</v>
      </c>
      <c r="BB1475" s="259"/>
      <c r="BC1475" s="190"/>
      <c r="BD1475" s="177"/>
      <c r="BE1475" s="177"/>
      <c r="BF1475" s="178" t="s">
        <v>1742</v>
      </c>
    </row>
    <row r="1476" spans="1:58">
      <c r="A1476" s="95">
        <v>1475</v>
      </c>
      <c r="B1476" s="211" t="s">
        <v>2055</v>
      </c>
      <c r="C1476" s="191" t="s">
        <v>1740</v>
      </c>
      <c r="D1476" s="171" t="s">
        <v>252</v>
      </c>
      <c r="E1476" s="463" t="s">
        <v>3377</v>
      </c>
      <c r="F1476" s="171">
        <v>2008</v>
      </c>
      <c r="G1476" s="171">
        <v>333</v>
      </c>
      <c r="H1476" s="172" t="s">
        <v>1738</v>
      </c>
      <c r="I1476" s="173" t="s">
        <v>1739</v>
      </c>
      <c r="J1476" s="212">
        <v>0.26</v>
      </c>
      <c r="K1476" s="213">
        <v>1.2</v>
      </c>
      <c r="L1476" s="91"/>
      <c r="M1476" s="171">
        <v>800</v>
      </c>
      <c r="N1476" s="171"/>
      <c r="O1476" s="172" t="s">
        <v>129</v>
      </c>
      <c r="P1476" s="171" t="s">
        <v>3452</v>
      </c>
      <c r="Q1476" s="221" t="s">
        <v>1754</v>
      </c>
      <c r="R1476" s="506" t="s">
        <v>2731</v>
      </c>
      <c r="S1476" s="171" t="s">
        <v>2524</v>
      </c>
      <c r="T1476" s="511"/>
      <c r="U1476" s="214" t="s">
        <v>2320</v>
      </c>
      <c r="V1476" s="102">
        <v>16.2</v>
      </c>
      <c r="W1476" s="120">
        <v>0</v>
      </c>
      <c r="X1476" s="120">
        <v>0</v>
      </c>
      <c r="Y1476" s="120">
        <v>0</v>
      </c>
      <c r="Z1476" s="120">
        <v>0</v>
      </c>
      <c r="AA1476" s="33">
        <f>215/800*100</f>
        <v>26.875</v>
      </c>
      <c r="AB1476" s="17">
        <v>0</v>
      </c>
      <c r="AC1476" s="17">
        <v>0</v>
      </c>
      <c r="AD1476" s="17">
        <v>0</v>
      </c>
      <c r="AE1476" s="17">
        <v>0</v>
      </c>
      <c r="AF1476" s="17">
        <v>3</v>
      </c>
      <c r="AG1476" s="17">
        <v>0</v>
      </c>
      <c r="AH1476" s="17">
        <v>0</v>
      </c>
      <c r="AI1476" s="17">
        <v>0</v>
      </c>
      <c r="AJ1476" s="17">
        <v>0</v>
      </c>
      <c r="AK1476" s="17">
        <v>0</v>
      </c>
      <c r="AL1476" s="32" t="s">
        <v>2541</v>
      </c>
      <c r="AM1476" s="57"/>
      <c r="AN1476" s="89"/>
      <c r="AO1476" s="171" t="s">
        <v>521</v>
      </c>
      <c r="AP1476" s="783" t="s">
        <v>521</v>
      </c>
      <c r="AQ1476" s="17" t="s">
        <v>1741</v>
      </c>
      <c r="AR1476" s="174">
        <v>25</v>
      </c>
      <c r="AS1476" s="89"/>
      <c r="AT1476" s="171">
        <v>285</v>
      </c>
      <c r="AU1476" s="255">
        <f t="shared" si="106"/>
        <v>5.9873949579831933</v>
      </c>
      <c r="AV1476" s="172">
        <v>100</v>
      </c>
      <c r="AW1476" s="171">
        <v>0.25</v>
      </c>
      <c r="AX1476" s="171">
        <v>20</v>
      </c>
      <c r="AY1476" s="171">
        <v>20</v>
      </c>
      <c r="AZ1476" s="171">
        <v>0</v>
      </c>
      <c r="BA1476" s="175">
        <v>100</v>
      </c>
      <c r="BB1476" s="259"/>
      <c r="BC1476" s="190"/>
      <c r="BD1476" s="177"/>
      <c r="BE1476" s="177"/>
      <c r="BF1476" s="178" t="s">
        <v>1742</v>
      </c>
    </row>
    <row r="1477" spans="1:58">
      <c r="A1477" s="95">
        <v>1476</v>
      </c>
      <c r="B1477" s="211" t="s">
        <v>2056</v>
      </c>
      <c r="C1477" s="191" t="s">
        <v>1740</v>
      </c>
      <c r="D1477" s="171" t="s">
        <v>252</v>
      </c>
      <c r="E1477" s="463" t="s">
        <v>3377</v>
      </c>
      <c r="F1477" s="171">
        <v>2008</v>
      </c>
      <c r="G1477" s="171">
        <v>333</v>
      </c>
      <c r="H1477" s="172" t="s">
        <v>1738</v>
      </c>
      <c r="I1477" s="173" t="s">
        <v>1739</v>
      </c>
      <c r="J1477" s="212">
        <v>0.3</v>
      </c>
      <c r="K1477" s="213">
        <v>1.1125</v>
      </c>
      <c r="L1477" s="91"/>
      <c r="M1477" s="171">
        <v>800</v>
      </c>
      <c r="N1477" s="171"/>
      <c r="O1477" s="172" t="s">
        <v>129</v>
      </c>
      <c r="P1477" s="171" t="s">
        <v>3452</v>
      </c>
      <c r="Q1477" s="221" t="s">
        <v>1754</v>
      </c>
      <c r="R1477" s="506" t="s">
        <v>2731</v>
      </c>
      <c r="S1477" s="171" t="s">
        <v>2524</v>
      </c>
      <c r="T1477" s="511"/>
      <c r="U1477" s="214" t="s">
        <v>2320</v>
      </c>
      <c r="V1477" s="102">
        <v>16.2</v>
      </c>
      <c r="W1477" s="120">
        <v>0</v>
      </c>
      <c r="X1477" s="120">
        <v>0</v>
      </c>
      <c r="Y1477" s="120">
        <v>0</v>
      </c>
      <c r="Z1477" s="120">
        <v>0</v>
      </c>
      <c r="AA1477" s="33">
        <f>200/800*100</f>
        <v>25</v>
      </c>
      <c r="AB1477" s="17">
        <v>0</v>
      </c>
      <c r="AC1477" s="17">
        <v>0</v>
      </c>
      <c r="AD1477" s="17">
        <v>0</v>
      </c>
      <c r="AE1477" s="17">
        <v>0</v>
      </c>
      <c r="AF1477" s="17">
        <v>3</v>
      </c>
      <c r="AG1477" s="17">
        <v>0</v>
      </c>
      <c r="AH1477" s="17">
        <v>0</v>
      </c>
      <c r="AI1477" s="17">
        <v>0</v>
      </c>
      <c r="AJ1477" s="17">
        <v>0</v>
      </c>
      <c r="AK1477" s="17">
        <v>0</v>
      </c>
      <c r="AL1477" s="32" t="s">
        <v>2541</v>
      </c>
      <c r="AM1477" s="57"/>
      <c r="AN1477" s="89"/>
      <c r="AO1477" s="171" t="s">
        <v>521</v>
      </c>
      <c r="AP1477" s="783" t="s">
        <v>521</v>
      </c>
      <c r="AQ1477" s="17" t="s">
        <v>1741</v>
      </c>
      <c r="AR1477" s="174">
        <v>25</v>
      </c>
      <c r="AS1477" s="89"/>
      <c r="AT1477" s="171">
        <v>285</v>
      </c>
      <c r="AU1477" s="255">
        <f t="shared" si="106"/>
        <v>5.9873949579831933</v>
      </c>
      <c r="AV1477" s="172">
        <v>100</v>
      </c>
      <c r="AW1477" s="171">
        <v>0.25</v>
      </c>
      <c r="AX1477" s="171">
        <v>20</v>
      </c>
      <c r="AY1477" s="171">
        <v>20</v>
      </c>
      <c r="AZ1477" s="171">
        <v>0</v>
      </c>
      <c r="BA1477" s="175">
        <v>100</v>
      </c>
      <c r="BB1477" s="259"/>
      <c r="BC1477" s="190"/>
      <c r="BD1477" s="177"/>
      <c r="BE1477" s="177"/>
      <c r="BF1477" s="178" t="s">
        <v>1742</v>
      </c>
    </row>
    <row r="1478" spans="1:58" s="14" customFormat="1">
      <c r="A1478" s="95">
        <v>1477</v>
      </c>
      <c r="B1478" s="211" t="s">
        <v>2057</v>
      </c>
      <c r="C1478" s="191" t="s">
        <v>1740</v>
      </c>
      <c r="D1478" s="171" t="s">
        <v>252</v>
      </c>
      <c r="E1478" s="463" t="s">
        <v>3377</v>
      </c>
      <c r="F1478" s="171">
        <v>2008</v>
      </c>
      <c r="G1478" s="171">
        <v>333</v>
      </c>
      <c r="H1478" s="172" t="s">
        <v>1738</v>
      </c>
      <c r="I1478" s="173" t="s">
        <v>1739</v>
      </c>
      <c r="J1478" s="212">
        <v>0.26</v>
      </c>
      <c r="K1478" s="213">
        <v>1.58</v>
      </c>
      <c r="L1478" s="91"/>
      <c r="M1478" s="171">
        <v>700</v>
      </c>
      <c r="N1478" s="171"/>
      <c r="O1478" s="172" t="s">
        <v>129</v>
      </c>
      <c r="P1478" s="171" t="s">
        <v>3453</v>
      </c>
      <c r="Q1478" s="221" t="s">
        <v>1754</v>
      </c>
      <c r="R1478" s="506" t="s">
        <v>2731</v>
      </c>
      <c r="S1478" s="171" t="s">
        <v>2524</v>
      </c>
      <c r="T1478" s="511"/>
      <c r="U1478" s="214" t="s">
        <v>2320</v>
      </c>
      <c r="V1478" s="102">
        <v>16.2</v>
      </c>
      <c r="W1478" s="120">
        <v>0</v>
      </c>
      <c r="X1478" s="120">
        <v>0</v>
      </c>
      <c r="Y1478" s="120">
        <v>0</v>
      </c>
      <c r="Z1478" s="120">
        <v>0</v>
      </c>
      <c r="AA1478" s="33">
        <f>244/700*100</f>
        <v>34.857142857142861</v>
      </c>
      <c r="AB1478" s="17">
        <v>0</v>
      </c>
      <c r="AC1478" s="17">
        <v>0</v>
      </c>
      <c r="AD1478" s="17">
        <v>0</v>
      </c>
      <c r="AE1478" s="17">
        <v>0</v>
      </c>
      <c r="AF1478" s="17">
        <v>3</v>
      </c>
      <c r="AG1478" s="17">
        <v>0</v>
      </c>
      <c r="AH1478" s="17">
        <v>0</v>
      </c>
      <c r="AI1478" s="17">
        <v>0</v>
      </c>
      <c r="AJ1478" s="17">
        <v>0</v>
      </c>
      <c r="AK1478" s="17">
        <v>0</v>
      </c>
      <c r="AL1478" s="32" t="s">
        <v>2541</v>
      </c>
      <c r="AM1478" s="57"/>
      <c r="AN1478" s="89"/>
      <c r="AO1478" s="171" t="s">
        <v>521</v>
      </c>
      <c r="AP1478" s="783" t="s">
        <v>521</v>
      </c>
      <c r="AQ1478" s="17" t="s">
        <v>1741</v>
      </c>
      <c r="AR1478" s="174">
        <v>25</v>
      </c>
      <c r="AS1478" s="89"/>
      <c r="AT1478" s="171">
        <v>285</v>
      </c>
      <c r="AU1478" s="255">
        <f t="shared" si="106"/>
        <v>5.9873949579831933</v>
      </c>
      <c r="AV1478" s="172">
        <v>100</v>
      </c>
      <c r="AW1478" s="171">
        <v>0.25</v>
      </c>
      <c r="AX1478" s="171">
        <v>20</v>
      </c>
      <c r="AY1478" s="171">
        <v>20</v>
      </c>
      <c r="AZ1478" s="171">
        <v>0</v>
      </c>
      <c r="BA1478" s="175">
        <v>100</v>
      </c>
      <c r="BB1478" s="259"/>
      <c r="BC1478" s="190"/>
      <c r="BD1478" s="177"/>
      <c r="BE1478" s="177"/>
      <c r="BF1478" s="178" t="s">
        <v>1742</v>
      </c>
    </row>
    <row r="1479" spans="1:58">
      <c r="A1479" s="95">
        <v>1478</v>
      </c>
      <c r="B1479" s="211" t="s">
        <v>2058</v>
      </c>
      <c r="C1479" s="191" t="s">
        <v>1740</v>
      </c>
      <c r="D1479" s="171" t="s">
        <v>252</v>
      </c>
      <c r="E1479" s="463" t="s">
        <v>3377</v>
      </c>
      <c r="F1479" s="171">
        <v>2008</v>
      </c>
      <c r="G1479" s="171">
        <v>333</v>
      </c>
      <c r="H1479" s="172" t="s">
        <v>1738</v>
      </c>
      <c r="I1479" s="173" t="s">
        <v>1739</v>
      </c>
      <c r="J1479" s="212">
        <v>0.3</v>
      </c>
      <c r="K1479" s="213">
        <v>1.98</v>
      </c>
      <c r="L1479" s="91"/>
      <c r="M1479" s="171">
        <v>600</v>
      </c>
      <c r="N1479" s="171"/>
      <c r="O1479" s="172" t="s">
        <v>129</v>
      </c>
      <c r="P1479" s="171" t="s">
        <v>3453</v>
      </c>
      <c r="Q1479" s="221" t="s">
        <v>1754</v>
      </c>
      <c r="R1479" s="506" t="s">
        <v>2731</v>
      </c>
      <c r="S1479" s="171" t="s">
        <v>2524</v>
      </c>
      <c r="T1479" s="511"/>
      <c r="U1479" s="214" t="s">
        <v>2320</v>
      </c>
      <c r="V1479" s="102">
        <v>16.2</v>
      </c>
      <c r="W1479" s="120">
        <v>0</v>
      </c>
      <c r="X1479" s="120">
        <v>0</v>
      </c>
      <c r="Y1479" s="120">
        <v>0</v>
      </c>
      <c r="Z1479" s="120">
        <v>0</v>
      </c>
      <c r="AA1479" s="33">
        <f>268/600*100</f>
        <v>44.666666666666664</v>
      </c>
      <c r="AB1479" s="17">
        <v>0</v>
      </c>
      <c r="AC1479" s="17">
        <v>0</v>
      </c>
      <c r="AD1479" s="17">
        <v>0</v>
      </c>
      <c r="AE1479" s="17">
        <v>0</v>
      </c>
      <c r="AF1479" s="17">
        <v>3</v>
      </c>
      <c r="AG1479" s="17">
        <v>0</v>
      </c>
      <c r="AH1479" s="17">
        <v>0</v>
      </c>
      <c r="AI1479" s="17">
        <v>0</v>
      </c>
      <c r="AJ1479" s="17">
        <v>0</v>
      </c>
      <c r="AK1479" s="17">
        <v>0</v>
      </c>
      <c r="AL1479" s="32" t="s">
        <v>2541</v>
      </c>
      <c r="AM1479" s="57"/>
      <c r="AN1479" s="89"/>
      <c r="AO1479" s="171" t="s">
        <v>521</v>
      </c>
      <c r="AP1479" s="783" t="s">
        <v>521</v>
      </c>
      <c r="AQ1479" s="17" t="s">
        <v>1741</v>
      </c>
      <c r="AR1479" s="174">
        <v>25</v>
      </c>
      <c r="AS1479" s="89"/>
      <c r="AT1479" s="171">
        <v>285</v>
      </c>
      <c r="AU1479" s="255">
        <f t="shared" si="106"/>
        <v>5.9873949579831933</v>
      </c>
      <c r="AV1479" s="172">
        <v>100</v>
      </c>
      <c r="AW1479" s="171">
        <v>0.25</v>
      </c>
      <c r="AX1479" s="171">
        <v>20</v>
      </c>
      <c r="AY1479" s="171">
        <v>20</v>
      </c>
      <c r="AZ1479" s="171">
        <v>0</v>
      </c>
      <c r="BA1479" s="175">
        <v>100</v>
      </c>
      <c r="BB1479" s="259"/>
      <c r="BC1479" s="190"/>
      <c r="BD1479" s="177"/>
      <c r="BE1479" s="177"/>
      <c r="BF1479" s="178" t="s">
        <v>1742</v>
      </c>
    </row>
    <row r="1480" spans="1:58">
      <c r="A1480" s="95">
        <v>1479</v>
      </c>
      <c r="B1480" s="211" t="s">
        <v>2059</v>
      </c>
      <c r="C1480" s="191" t="s">
        <v>1740</v>
      </c>
      <c r="D1480" s="171" t="s">
        <v>252</v>
      </c>
      <c r="E1480" s="463" t="s">
        <v>3377</v>
      </c>
      <c r="F1480" s="171">
        <v>2008</v>
      </c>
      <c r="G1480" s="171">
        <v>333</v>
      </c>
      <c r="H1480" s="172" t="s">
        <v>1738</v>
      </c>
      <c r="I1480" s="173" t="s">
        <v>1739</v>
      </c>
      <c r="J1480" s="212">
        <v>0.26</v>
      </c>
      <c r="K1480" s="213">
        <v>1.58</v>
      </c>
      <c r="L1480" s="91"/>
      <c r="M1480" s="171">
        <v>700</v>
      </c>
      <c r="N1480" s="171"/>
      <c r="O1480" s="172" t="s">
        <v>129</v>
      </c>
      <c r="P1480" s="171" t="s">
        <v>3452</v>
      </c>
      <c r="Q1480" s="221" t="s">
        <v>1754</v>
      </c>
      <c r="R1480" s="506" t="s">
        <v>2731</v>
      </c>
      <c r="S1480" s="171" t="s">
        <v>2524</v>
      </c>
      <c r="T1480" s="511"/>
      <c r="U1480" s="214" t="s">
        <v>2320</v>
      </c>
      <c r="V1480" s="102">
        <v>16.2</v>
      </c>
      <c r="W1480" s="120">
        <v>0</v>
      </c>
      <c r="X1480" s="120">
        <v>0</v>
      </c>
      <c r="Y1480" s="120">
        <v>0</v>
      </c>
      <c r="Z1480" s="120">
        <v>0</v>
      </c>
      <c r="AA1480" s="33">
        <f>244/700*100</f>
        <v>34.857142857142861</v>
      </c>
      <c r="AB1480" s="17">
        <v>0</v>
      </c>
      <c r="AC1480" s="17">
        <v>0</v>
      </c>
      <c r="AD1480" s="17">
        <v>0</v>
      </c>
      <c r="AE1480" s="17">
        <v>0</v>
      </c>
      <c r="AF1480" s="17">
        <v>3</v>
      </c>
      <c r="AG1480" s="17">
        <v>0</v>
      </c>
      <c r="AH1480" s="17">
        <v>0</v>
      </c>
      <c r="AI1480" s="17">
        <v>0</v>
      </c>
      <c r="AJ1480" s="17">
        <v>0</v>
      </c>
      <c r="AK1480" s="17">
        <v>0</v>
      </c>
      <c r="AL1480" s="32" t="s">
        <v>2541</v>
      </c>
      <c r="AM1480" s="57"/>
      <c r="AN1480" s="89"/>
      <c r="AO1480" s="171" t="s">
        <v>521</v>
      </c>
      <c r="AP1480" s="783" t="s">
        <v>521</v>
      </c>
      <c r="AQ1480" s="17" t="s">
        <v>1741</v>
      </c>
      <c r="AR1480" s="174">
        <v>25</v>
      </c>
      <c r="AS1480" s="89"/>
      <c r="AT1480" s="171">
        <v>285</v>
      </c>
      <c r="AU1480" s="255">
        <f t="shared" si="106"/>
        <v>5.9873949579831933</v>
      </c>
      <c r="AV1480" s="172">
        <v>100</v>
      </c>
      <c r="AW1480" s="171">
        <v>0.25</v>
      </c>
      <c r="AX1480" s="171">
        <v>20</v>
      </c>
      <c r="AY1480" s="171">
        <v>20</v>
      </c>
      <c r="AZ1480" s="171">
        <v>0</v>
      </c>
      <c r="BA1480" s="175">
        <v>100</v>
      </c>
      <c r="BB1480" s="259"/>
      <c r="BC1480" s="190"/>
      <c r="BD1480" s="177"/>
      <c r="BE1480" s="177"/>
      <c r="BF1480" s="178" t="s">
        <v>1742</v>
      </c>
    </row>
    <row r="1481" spans="1:58">
      <c r="A1481" s="95">
        <v>1480</v>
      </c>
      <c r="B1481" s="211" t="s">
        <v>2060</v>
      </c>
      <c r="C1481" s="191" t="s">
        <v>1740</v>
      </c>
      <c r="D1481" s="171" t="s">
        <v>252</v>
      </c>
      <c r="E1481" s="463" t="s">
        <v>3377</v>
      </c>
      <c r="F1481" s="171">
        <v>2008</v>
      </c>
      <c r="G1481" s="171">
        <v>333</v>
      </c>
      <c r="H1481" s="172" t="s">
        <v>1738</v>
      </c>
      <c r="I1481" s="173" t="s">
        <v>1739</v>
      </c>
      <c r="J1481" s="212">
        <v>0.3</v>
      </c>
      <c r="K1481" s="213">
        <v>1.98</v>
      </c>
      <c r="L1481" s="91"/>
      <c r="M1481" s="171">
        <v>600</v>
      </c>
      <c r="N1481" s="171"/>
      <c r="O1481" s="172" t="s">
        <v>129</v>
      </c>
      <c r="P1481" s="171" t="s">
        <v>3452</v>
      </c>
      <c r="Q1481" s="221" t="s">
        <v>1754</v>
      </c>
      <c r="R1481" s="506" t="s">
        <v>2731</v>
      </c>
      <c r="S1481" s="171" t="s">
        <v>2524</v>
      </c>
      <c r="T1481" s="511"/>
      <c r="U1481" s="214" t="s">
        <v>2320</v>
      </c>
      <c r="V1481" s="102">
        <v>16.2</v>
      </c>
      <c r="W1481" s="120">
        <v>0</v>
      </c>
      <c r="X1481" s="120">
        <v>0</v>
      </c>
      <c r="Y1481" s="120">
        <v>0</v>
      </c>
      <c r="Z1481" s="120">
        <v>0</v>
      </c>
      <c r="AA1481" s="33">
        <f>268/600*100</f>
        <v>44.666666666666664</v>
      </c>
      <c r="AB1481" s="17">
        <v>0</v>
      </c>
      <c r="AC1481" s="17">
        <v>0</v>
      </c>
      <c r="AD1481" s="17">
        <v>0</v>
      </c>
      <c r="AE1481" s="17">
        <v>0</v>
      </c>
      <c r="AF1481" s="17">
        <v>3</v>
      </c>
      <c r="AG1481" s="17">
        <v>0</v>
      </c>
      <c r="AH1481" s="17">
        <v>0</v>
      </c>
      <c r="AI1481" s="17">
        <v>0</v>
      </c>
      <c r="AJ1481" s="17">
        <v>0</v>
      </c>
      <c r="AK1481" s="17">
        <v>0</v>
      </c>
      <c r="AL1481" s="32" t="s">
        <v>2541</v>
      </c>
      <c r="AM1481" s="57"/>
      <c r="AN1481" s="89"/>
      <c r="AO1481" s="171" t="s">
        <v>521</v>
      </c>
      <c r="AP1481" s="783" t="s">
        <v>521</v>
      </c>
      <c r="AQ1481" s="17" t="s">
        <v>1741</v>
      </c>
      <c r="AR1481" s="174">
        <v>25</v>
      </c>
      <c r="AS1481" s="89"/>
      <c r="AT1481" s="171">
        <v>285</v>
      </c>
      <c r="AU1481" s="255">
        <f t="shared" si="106"/>
        <v>5.9873949579831933</v>
      </c>
      <c r="AV1481" s="172">
        <v>100</v>
      </c>
      <c r="AW1481" s="171">
        <v>0.25</v>
      </c>
      <c r="AX1481" s="171">
        <v>20</v>
      </c>
      <c r="AY1481" s="171">
        <v>20</v>
      </c>
      <c r="AZ1481" s="171">
        <v>0</v>
      </c>
      <c r="BA1481" s="175">
        <v>100</v>
      </c>
      <c r="BB1481" s="259"/>
      <c r="BC1481" s="190"/>
      <c r="BD1481" s="177"/>
      <c r="BE1481" s="177"/>
      <c r="BF1481" s="178" t="s">
        <v>1742</v>
      </c>
    </row>
    <row r="1482" spans="1:58">
      <c r="A1482" s="95">
        <v>1481</v>
      </c>
      <c r="B1482" s="211" t="s">
        <v>2061</v>
      </c>
      <c r="C1482" s="191" t="s">
        <v>1740</v>
      </c>
      <c r="D1482" s="171" t="s">
        <v>252</v>
      </c>
      <c r="E1482" s="463" t="s">
        <v>3377</v>
      </c>
      <c r="F1482" s="171">
        <v>2008</v>
      </c>
      <c r="G1482" s="171">
        <v>333</v>
      </c>
      <c r="H1482" s="172" t="s">
        <v>1738</v>
      </c>
      <c r="I1482" s="173" t="s">
        <v>1739</v>
      </c>
      <c r="J1482" s="212">
        <v>0.23</v>
      </c>
      <c r="K1482" s="213">
        <v>1.24</v>
      </c>
      <c r="L1482" s="91"/>
      <c r="M1482" s="171">
        <v>800</v>
      </c>
      <c r="N1482" s="171"/>
      <c r="O1482" s="172" t="s">
        <v>129</v>
      </c>
      <c r="P1482" s="171" t="s">
        <v>3453</v>
      </c>
      <c r="Q1482" s="221" t="s">
        <v>1754</v>
      </c>
      <c r="R1482" s="506" t="s">
        <v>2731</v>
      </c>
      <c r="S1482" s="171" t="s">
        <v>2524</v>
      </c>
      <c r="T1482" s="511"/>
      <c r="U1482" s="214" t="s">
        <v>2320</v>
      </c>
      <c r="V1482" s="102">
        <v>20</v>
      </c>
      <c r="W1482" s="120">
        <v>0</v>
      </c>
      <c r="X1482" s="120">
        <v>0</v>
      </c>
      <c r="Y1482" s="120">
        <v>0</v>
      </c>
      <c r="Z1482" s="120">
        <v>0</v>
      </c>
      <c r="AA1482" s="33">
        <f>210/800*100</f>
        <v>26.25</v>
      </c>
      <c r="AB1482" s="17">
        <v>0</v>
      </c>
      <c r="AC1482" s="17">
        <v>0</v>
      </c>
      <c r="AD1482" s="17">
        <v>0</v>
      </c>
      <c r="AE1482" s="17">
        <v>0</v>
      </c>
      <c r="AF1482" s="17">
        <v>3</v>
      </c>
      <c r="AG1482" s="17">
        <v>0</v>
      </c>
      <c r="AH1482" s="17">
        <v>0</v>
      </c>
      <c r="AI1482" s="17">
        <v>0</v>
      </c>
      <c r="AJ1482" s="17">
        <v>0</v>
      </c>
      <c r="AK1482" s="17">
        <v>0</v>
      </c>
      <c r="AL1482" s="32" t="s">
        <v>2541</v>
      </c>
      <c r="AM1482" s="57"/>
      <c r="AN1482" s="89"/>
      <c r="AO1482" s="171" t="s">
        <v>521</v>
      </c>
      <c r="AP1482" s="783" t="s">
        <v>521</v>
      </c>
      <c r="AQ1482" s="17" t="s">
        <v>1741</v>
      </c>
      <c r="AR1482" s="174">
        <v>25</v>
      </c>
      <c r="AS1482" s="89"/>
      <c r="AT1482" s="171">
        <v>285</v>
      </c>
      <c r="AU1482" s="255">
        <f t="shared" si="106"/>
        <v>5.9873949579831933</v>
      </c>
      <c r="AV1482" s="172">
        <v>100</v>
      </c>
      <c r="AW1482" s="171">
        <v>0.25</v>
      </c>
      <c r="AX1482" s="171">
        <v>20</v>
      </c>
      <c r="AY1482" s="171">
        <v>20</v>
      </c>
      <c r="AZ1482" s="171">
        <v>0</v>
      </c>
      <c r="BA1482" s="175">
        <v>100</v>
      </c>
      <c r="BB1482" s="259"/>
      <c r="BC1482" s="190"/>
      <c r="BD1482" s="177"/>
      <c r="BE1482" s="177"/>
      <c r="BF1482" s="178" t="s">
        <v>1742</v>
      </c>
    </row>
    <row r="1483" spans="1:58">
      <c r="A1483" s="95">
        <v>1482</v>
      </c>
      <c r="B1483" s="211" t="s">
        <v>2062</v>
      </c>
      <c r="C1483" s="191" t="s">
        <v>1740</v>
      </c>
      <c r="D1483" s="171" t="s">
        <v>252</v>
      </c>
      <c r="E1483" s="463" t="s">
        <v>3377</v>
      </c>
      <c r="F1483" s="171">
        <v>2008</v>
      </c>
      <c r="G1483" s="171">
        <v>333</v>
      </c>
      <c r="H1483" s="172" t="s">
        <v>1738</v>
      </c>
      <c r="I1483" s="173" t="s">
        <v>1739</v>
      </c>
      <c r="J1483" s="212">
        <v>0.23</v>
      </c>
      <c r="K1483" s="213">
        <v>1.34</v>
      </c>
      <c r="L1483" s="91"/>
      <c r="M1483" s="171">
        <v>800</v>
      </c>
      <c r="N1483" s="171"/>
      <c r="O1483" s="172" t="s">
        <v>129</v>
      </c>
      <c r="P1483" s="171" t="s">
        <v>3453</v>
      </c>
      <c r="Q1483" s="221" t="s">
        <v>1754</v>
      </c>
      <c r="R1483" s="506" t="s">
        <v>2731</v>
      </c>
      <c r="S1483" s="171" t="s">
        <v>2524</v>
      </c>
      <c r="T1483" s="511"/>
      <c r="U1483" s="214" t="s">
        <v>2320</v>
      </c>
      <c r="V1483" s="102">
        <v>10</v>
      </c>
      <c r="W1483" s="120">
        <v>0</v>
      </c>
      <c r="X1483" s="120">
        <v>0</v>
      </c>
      <c r="Y1483" s="120">
        <v>0</v>
      </c>
      <c r="Z1483" s="120">
        <v>0</v>
      </c>
      <c r="AA1483" s="33">
        <f>230/800*100</f>
        <v>28.749999999999996</v>
      </c>
      <c r="AB1483" s="17">
        <v>0</v>
      </c>
      <c r="AC1483" s="17">
        <v>0</v>
      </c>
      <c r="AD1483" s="17">
        <v>0</v>
      </c>
      <c r="AE1483" s="17">
        <v>0</v>
      </c>
      <c r="AF1483" s="17">
        <v>3</v>
      </c>
      <c r="AG1483" s="17">
        <v>0</v>
      </c>
      <c r="AH1483" s="17">
        <v>0</v>
      </c>
      <c r="AI1483" s="17">
        <v>0</v>
      </c>
      <c r="AJ1483" s="17">
        <v>0</v>
      </c>
      <c r="AK1483" s="17">
        <v>0</v>
      </c>
      <c r="AL1483" s="32" t="s">
        <v>2541</v>
      </c>
      <c r="AM1483" s="57"/>
      <c r="AN1483" s="89"/>
      <c r="AO1483" s="171" t="s">
        <v>521</v>
      </c>
      <c r="AP1483" s="783" t="s">
        <v>521</v>
      </c>
      <c r="AQ1483" s="17" t="s">
        <v>1741</v>
      </c>
      <c r="AR1483" s="174">
        <v>25</v>
      </c>
      <c r="AS1483" s="89"/>
      <c r="AT1483" s="171">
        <v>285</v>
      </c>
      <c r="AU1483" s="255">
        <f t="shared" si="106"/>
        <v>5.9873949579831933</v>
      </c>
      <c r="AV1483" s="172">
        <v>100</v>
      </c>
      <c r="AW1483" s="171">
        <v>0.25</v>
      </c>
      <c r="AX1483" s="171">
        <v>20</v>
      </c>
      <c r="AY1483" s="171">
        <v>20</v>
      </c>
      <c r="AZ1483" s="171">
        <v>0</v>
      </c>
      <c r="BA1483" s="175">
        <v>100</v>
      </c>
      <c r="BB1483" s="259"/>
      <c r="BC1483" s="190"/>
      <c r="BD1483" s="177"/>
      <c r="BE1483" s="177"/>
      <c r="BF1483" s="178" t="s">
        <v>1742</v>
      </c>
    </row>
    <row r="1484" spans="1:58">
      <c r="A1484" s="95">
        <v>1483</v>
      </c>
      <c r="B1484" s="211" t="s">
        <v>2063</v>
      </c>
      <c r="C1484" s="191" t="s">
        <v>1740</v>
      </c>
      <c r="D1484" s="171" t="s">
        <v>252</v>
      </c>
      <c r="E1484" s="463" t="s">
        <v>3377</v>
      </c>
      <c r="F1484" s="171">
        <v>2008</v>
      </c>
      <c r="G1484" s="171">
        <v>333</v>
      </c>
      <c r="H1484" s="172" t="s">
        <v>1738</v>
      </c>
      <c r="I1484" s="173" t="s">
        <v>1739</v>
      </c>
      <c r="J1484" s="212">
        <v>0.23</v>
      </c>
      <c r="K1484" s="213">
        <v>1.375</v>
      </c>
      <c r="L1484" s="91"/>
      <c r="M1484" s="171">
        <v>800</v>
      </c>
      <c r="N1484" s="171"/>
      <c r="O1484" s="172" t="s">
        <v>129</v>
      </c>
      <c r="P1484" s="171" t="s">
        <v>3453</v>
      </c>
      <c r="Q1484" s="221" t="s">
        <v>1754</v>
      </c>
      <c r="R1484" s="506" t="s">
        <v>2731</v>
      </c>
      <c r="S1484" s="171" t="s">
        <v>2524</v>
      </c>
      <c r="T1484" s="511"/>
      <c r="U1484" s="214" t="s">
        <v>2320</v>
      </c>
      <c r="V1484" s="102">
        <v>5</v>
      </c>
      <c r="W1484" s="120">
        <v>0</v>
      </c>
      <c r="X1484" s="120">
        <v>0</v>
      </c>
      <c r="Y1484" s="120">
        <v>0</v>
      </c>
      <c r="Z1484" s="120">
        <v>0</v>
      </c>
      <c r="AA1484" s="33">
        <f>245/800*100</f>
        <v>30.625000000000004</v>
      </c>
      <c r="AB1484" s="17">
        <v>0</v>
      </c>
      <c r="AC1484" s="17">
        <v>0</v>
      </c>
      <c r="AD1484" s="17">
        <v>0</v>
      </c>
      <c r="AE1484" s="17">
        <v>0</v>
      </c>
      <c r="AF1484" s="17">
        <v>3</v>
      </c>
      <c r="AG1484" s="17">
        <v>0</v>
      </c>
      <c r="AH1484" s="17">
        <v>0</v>
      </c>
      <c r="AI1484" s="17">
        <v>0</v>
      </c>
      <c r="AJ1484" s="17">
        <v>0</v>
      </c>
      <c r="AK1484" s="17">
        <v>0</v>
      </c>
      <c r="AL1484" s="32" t="s">
        <v>2541</v>
      </c>
      <c r="AM1484" s="57"/>
      <c r="AN1484" s="89"/>
      <c r="AO1484" s="171" t="s">
        <v>521</v>
      </c>
      <c r="AP1484" s="783" t="s">
        <v>521</v>
      </c>
      <c r="AQ1484" s="17" t="s">
        <v>1741</v>
      </c>
      <c r="AR1484" s="174">
        <v>25</v>
      </c>
      <c r="AS1484" s="89"/>
      <c r="AT1484" s="171">
        <v>285</v>
      </c>
      <c r="AU1484" s="255">
        <f t="shared" si="106"/>
        <v>5.9873949579831933</v>
      </c>
      <c r="AV1484" s="172">
        <v>100</v>
      </c>
      <c r="AW1484" s="171">
        <v>0.25</v>
      </c>
      <c r="AX1484" s="171">
        <v>20</v>
      </c>
      <c r="AY1484" s="171">
        <v>20</v>
      </c>
      <c r="AZ1484" s="171">
        <v>0</v>
      </c>
      <c r="BA1484" s="175">
        <v>100</v>
      </c>
      <c r="BB1484" s="259"/>
      <c r="BC1484" s="190"/>
      <c r="BD1484" s="177"/>
      <c r="BE1484" s="177"/>
      <c r="BF1484" s="178" t="s">
        <v>1742</v>
      </c>
    </row>
    <row r="1485" spans="1:58">
      <c r="A1485" s="95">
        <v>1484</v>
      </c>
      <c r="B1485" s="211" t="s">
        <v>2064</v>
      </c>
      <c r="C1485" s="191" t="s">
        <v>1740</v>
      </c>
      <c r="D1485" s="171" t="s">
        <v>252</v>
      </c>
      <c r="E1485" s="463" t="s">
        <v>3377</v>
      </c>
      <c r="F1485" s="171">
        <v>2008</v>
      </c>
      <c r="G1485" s="171">
        <v>333</v>
      </c>
      <c r="H1485" s="172" t="s">
        <v>1738</v>
      </c>
      <c r="I1485" s="173" t="s">
        <v>1739</v>
      </c>
      <c r="J1485" s="212">
        <v>0.23</v>
      </c>
      <c r="K1485" s="213">
        <v>1.24</v>
      </c>
      <c r="L1485" s="91"/>
      <c r="M1485" s="171">
        <v>800</v>
      </c>
      <c r="N1485" s="171"/>
      <c r="O1485" s="172" t="s">
        <v>129</v>
      </c>
      <c r="P1485" s="171" t="s">
        <v>3452</v>
      </c>
      <c r="Q1485" s="221" t="s">
        <v>1754</v>
      </c>
      <c r="R1485" s="506" t="s">
        <v>2731</v>
      </c>
      <c r="S1485" s="171" t="s">
        <v>2524</v>
      </c>
      <c r="T1485" s="511"/>
      <c r="U1485" s="214" t="s">
        <v>2320</v>
      </c>
      <c r="V1485" s="102">
        <v>20</v>
      </c>
      <c r="W1485" s="120">
        <v>0</v>
      </c>
      <c r="X1485" s="120">
        <v>0</v>
      </c>
      <c r="Y1485" s="120">
        <v>0</v>
      </c>
      <c r="Z1485" s="120">
        <v>0</v>
      </c>
      <c r="AA1485" s="33">
        <f>210/800*100</f>
        <v>26.25</v>
      </c>
      <c r="AB1485" s="17">
        <v>0</v>
      </c>
      <c r="AC1485" s="17">
        <v>0</v>
      </c>
      <c r="AD1485" s="17">
        <v>0</v>
      </c>
      <c r="AE1485" s="17">
        <v>0</v>
      </c>
      <c r="AF1485" s="17">
        <v>3</v>
      </c>
      <c r="AG1485" s="17">
        <v>0</v>
      </c>
      <c r="AH1485" s="17">
        <v>0</v>
      </c>
      <c r="AI1485" s="17">
        <v>0</v>
      </c>
      <c r="AJ1485" s="17">
        <v>0</v>
      </c>
      <c r="AK1485" s="17">
        <v>0</v>
      </c>
      <c r="AL1485" s="32" t="s">
        <v>2541</v>
      </c>
      <c r="AM1485" s="57"/>
      <c r="AN1485" s="89"/>
      <c r="AO1485" s="171" t="s">
        <v>521</v>
      </c>
      <c r="AP1485" s="783" t="s">
        <v>521</v>
      </c>
      <c r="AQ1485" s="17" t="s">
        <v>1741</v>
      </c>
      <c r="AR1485" s="174">
        <v>25</v>
      </c>
      <c r="AS1485" s="89"/>
      <c r="AT1485" s="171">
        <v>285</v>
      </c>
      <c r="AU1485" s="255">
        <f t="shared" si="106"/>
        <v>5.9873949579831933</v>
      </c>
      <c r="AV1485" s="172">
        <v>100</v>
      </c>
      <c r="AW1485" s="171">
        <v>0.25</v>
      </c>
      <c r="AX1485" s="171">
        <v>20</v>
      </c>
      <c r="AY1485" s="171">
        <v>20</v>
      </c>
      <c r="AZ1485" s="171">
        <v>0</v>
      </c>
      <c r="BA1485" s="175">
        <v>100</v>
      </c>
      <c r="BB1485" s="259"/>
      <c r="BC1485" s="190"/>
      <c r="BD1485" s="177"/>
      <c r="BE1485" s="177"/>
      <c r="BF1485" s="178" t="s">
        <v>1742</v>
      </c>
    </row>
    <row r="1486" spans="1:58">
      <c r="A1486" s="95">
        <v>1485</v>
      </c>
      <c r="B1486" s="211" t="s">
        <v>2065</v>
      </c>
      <c r="C1486" s="191" t="s">
        <v>1740</v>
      </c>
      <c r="D1486" s="171" t="s">
        <v>252</v>
      </c>
      <c r="E1486" s="463" t="s">
        <v>3377</v>
      </c>
      <c r="F1486" s="171">
        <v>2008</v>
      </c>
      <c r="G1486" s="171">
        <v>333</v>
      </c>
      <c r="H1486" s="172" t="s">
        <v>1738</v>
      </c>
      <c r="I1486" s="173" t="s">
        <v>1739</v>
      </c>
      <c r="J1486" s="212">
        <v>0.23</v>
      </c>
      <c r="K1486" s="213">
        <v>1.34</v>
      </c>
      <c r="L1486" s="91"/>
      <c r="M1486" s="171">
        <v>800</v>
      </c>
      <c r="N1486" s="171"/>
      <c r="O1486" s="172" t="s">
        <v>129</v>
      </c>
      <c r="P1486" s="171" t="s">
        <v>3452</v>
      </c>
      <c r="Q1486" s="221" t="s">
        <v>1754</v>
      </c>
      <c r="R1486" s="506" t="s">
        <v>2731</v>
      </c>
      <c r="S1486" s="171" t="s">
        <v>2524</v>
      </c>
      <c r="T1486" s="511"/>
      <c r="U1486" s="214" t="s">
        <v>2320</v>
      </c>
      <c r="V1486" s="102">
        <v>10</v>
      </c>
      <c r="W1486" s="120">
        <v>0</v>
      </c>
      <c r="X1486" s="120">
        <v>0</v>
      </c>
      <c r="Y1486" s="120">
        <v>0</v>
      </c>
      <c r="Z1486" s="120">
        <v>0</v>
      </c>
      <c r="AA1486" s="33">
        <f>230/800*100</f>
        <v>28.749999999999996</v>
      </c>
      <c r="AB1486" s="17">
        <v>0</v>
      </c>
      <c r="AC1486" s="17">
        <v>0</v>
      </c>
      <c r="AD1486" s="17">
        <v>0</v>
      </c>
      <c r="AE1486" s="17">
        <v>0</v>
      </c>
      <c r="AF1486" s="17">
        <v>3</v>
      </c>
      <c r="AG1486" s="17">
        <v>0</v>
      </c>
      <c r="AH1486" s="17">
        <v>0</v>
      </c>
      <c r="AI1486" s="17">
        <v>0</v>
      </c>
      <c r="AJ1486" s="17">
        <v>0</v>
      </c>
      <c r="AK1486" s="17">
        <v>0</v>
      </c>
      <c r="AL1486" s="32" t="s">
        <v>2541</v>
      </c>
      <c r="AM1486" s="57"/>
      <c r="AN1486" s="89"/>
      <c r="AO1486" s="171" t="s">
        <v>521</v>
      </c>
      <c r="AP1486" s="783" t="s">
        <v>521</v>
      </c>
      <c r="AQ1486" s="17" t="s">
        <v>1741</v>
      </c>
      <c r="AR1486" s="174">
        <v>25</v>
      </c>
      <c r="AS1486" s="89"/>
      <c r="AT1486" s="171">
        <v>285</v>
      </c>
      <c r="AU1486" s="255">
        <f t="shared" si="106"/>
        <v>5.9873949579831933</v>
      </c>
      <c r="AV1486" s="172">
        <v>100</v>
      </c>
      <c r="AW1486" s="171">
        <v>0.25</v>
      </c>
      <c r="AX1486" s="171">
        <v>20</v>
      </c>
      <c r="AY1486" s="171">
        <v>20</v>
      </c>
      <c r="AZ1486" s="171">
        <v>0</v>
      </c>
      <c r="BA1486" s="175">
        <v>100</v>
      </c>
      <c r="BB1486" s="259"/>
      <c r="BC1486" s="190"/>
      <c r="BD1486" s="177"/>
      <c r="BE1486" s="177"/>
      <c r="BF1486" s="178" t="s">
        <v>1742</v>
      </c>
    </row>
    <row r="1487" spans="1:58">
      <c r="A1487" s="95">
        <v>1486</v>
      </c>
      <c r="B1487" s="211" t="s">
        <v>2066</v>
      </c>
      <c r="C1487" s="191" t="s">
        <v>1740</v>
      </c>
      <c r="D1487" s="171" t="s">
        <v>252</v>
      </c>
      <c r="E1487" s="463" t="s">
        <v>3377</v>
      </c>
      <c r="F1487" s="171">
        <v>2008</v>
      </c>
      <c r="G1487" s="171">
        <v>333</v>
      </c>
      <c r="H1487" s="172" t="s">
        <v>1738</v>
      </c>
      <c r="I1487" s="173" t="s">
        <v>1739</v>
      </c>
      <c r="J1487" s="212">
        <v>0.23</v>
      </c>
      <c r="K1487" s="213">
        <v>1.375</v>
      </c>
      <c r="L1487" s="91"/>
      <c r="M1487" s="171">
        <v>800</v>
      </c>
      <c r="N1487" s="171"/>
      <c r="O1487" s="172" t="s">
        <v>129</v>
      </c>
      <c r="P1487" s="171" t="s">
        <v>3452</v>
      </c>
      <c r="Q1487" s="221" t="s">
        <v>1754</v>
      </c>
      <c r="R1487" s="506" t="s">
        <v>2731</v>
      </c>
      <c r="S1487" s="171" t="s">
        <v>2524</v>
      </c>
      <c r="T1487" s="511"/>
      <c r="U1487" s="214" t="s">
        <v>2320</v>
      </c>
      <c r="V1487" s="102">
        <v>5</v>
      </c>
      <c r="W1487" s="120">
        <v>0</v>
      </c>
      <c r="X1487" s="120">
        <v>0</v>
      </c>
      <c r="Y1487" s="120">
        <v>0</v>
      </c>
      <c r="Z1487" s="120">
        <v>0</v>
      </c>
      <c r="AA1487" s="33">
        <f>245/800*100</f>
        <v>30.625000000000004</v>
      </c>
      <c r="AB1487" s="17">
        <v>0</v>
      </c>
      <c r="AC1487" s="17">
        <v>0</v>
      </c>
      <c r="AD1487" s="17">
        <v>0</v>
      </c>
      <c r="AE1487" s="17">
        <v>0</v>
      </c>
      <c r="AF1487" s="17">
        <v>3</v>
      </c>
      <c r="AG1487" s="17">
        <v>0</v>
      </c>
      <c r="AH1487" s="17">
        <v>0</v>
      </c>
      <c r="AI1487" s="17">
        <v>0</v>
      </c>
      <c r="AJ1487" s="17">
        <v>0</v>
      </c>
      <c r="AK1487" s="17">
        <v>0</v>
      </c>
      <c r="AL1487" s="32" t="s">
        <v>2541</v>
      </c>
      <c r="AM1487" s="57"/>
      <c r="AN1487" s="89"/>
      <c r="AO1487" s="171" t="s">
        <v>521</v>
      </c>
      <c r="AP1487" s="783" t="s">
        <v>521</v>
      </c>
      <c r="AQ1487" s="17" t="s">
        <v>1741</v>
      </c>
      <c r="AR1487" s="174">
        <v>25</v>
      </c>
      <c r="AS1487" s="89"/>
      <c r="AT1487" s="171">
        <v>285</v>
      </c>
      <c r="AU1487" s="255">
        <f t="shared" si="106"/>
        <v>5.9873949579831933</v>
      </c>
      <c r="AV1487" s="172">
        <v>100</v>
      </c>
      <c r="AW1487" s="171">
        <v>0.25</v>
      </c>
      <c r="AX1487" s="171">
        <v>20</v>
      </c>
      <c r="AY1487" s="171">
        <v>20</v>
      </c>
      <c r="AZ1487" s="171">
        <v>0</v>
      </c>
      <c r="BA1487" s="175">
        <v>100</v>
      </c>
      <c r="BB1487" s="259"/>
      <c r="BC1487" s="190"/>
      <c r="BD1487" s="177"/>
      <c r="BE1487" s="177"/>
      <c r="BF1487" s="178" t="s">
        <v>1742</v>
      </c>
    </row>
    <row r="1488" spans="1:58">
      <c r="A1488" s="95">
        <v>1487</v>
      </c>
      <c r="B1488" s="211" t="s">
        <v>2067</v>
      </c>
      <c r="C1488" s="191" t="s">
        <v>1832</v>
      </c>
      <c r="D1488" s="171" t="s">
        <v>252</v>
      </c>
      <c r="E1488" s="463" t="s">
        <v>3377</v>
      </c>
      <c r="F1488" s="171">
        <v>2004</v>
      </c>
      <c r="G1488" s="171">
        <v>337</v>
      </c>
      <c r="H1488" s="172" t="s">
        <v>1738</v>
      </c>
      <c r="I1488" s="173" t="s">
        <v>1739</v>
      </c>
      <c r="J1488" s="212">
        <v>0.27</v>
      </c>
      <c r="K1488" s="213">
        <v>1.532</v>
      </c>
      <c r="L1488" s="91"/>
      <c r="M1488" s="171">
        <v>850</v>
      </c>
      <c r="N1488" s="171"/>
      <c r="O1488" s="172" t="s">
        <v>129</v>
      </c>
      <c r="P1488" s="171" t="s">
        <v>3451</v>
      </c>
      <c r="Q1488" s="221" t="s">
        <v>1754</v>
      </c>
      <c r="R1488" s="506" t="s">
        <v>2731</v>
      </c>
      <c r="S1488" s="171" t="s">
        <v>2524</v>
      </c>
      <c r="T1488" s="511"/>
      <c r="U1488" s="214" t="s">
        <v>2320</v>
      </c>
      <c r="V1488" s="102">
        <v>0</v>
      </c>
      <c r="W1488" s="120">
        <v>0</v>
      </c>
      <c r="X1488" s="120">
        <v>0</v>
      </c>
      <c r="Y1488" s="120">
        <v>0</v>
      </c>
      <c r="Z1488" s="120">
        <v>0</v>
      </c>
      <c r="AA1488" s="17">
        <v>0</v>
      </c>
      <c r="AB1488" s="17">
        <v>0</v>
      </c>
      <c r="AC1488" s="17">
        <v>0</v>
      </c>
      <c r="AD1488" s="17">
        <v>0</v>
      </c>
      <c r="AE1488" s="17">
        <v>0</v>
      </c>
      <c r="AF1488" s="17">
        <v>0</v>
      </c>
      <c r="AG1488" s="17">
        <v>0</v>
      </c>
      <c r="AH1488" s="17">
        <v>0</v>
      </c>
      <c r="AI1488" s="17">
        <v>0</v>
      </c>
      <c r="AJ1488" s="17">
        <v>0</v>
      </c>
      <c r="AK1488" s="17">
        <v>0</v>
      </c>
      <c r="AL1488" s="32">
        <v>0</v>
      </c>
      <c r="AM1488" s="172">
        <v>155</v>
      </c>
      <c r="AN1488" s="89"/>
      <c r="AO1488" s="171" t="s">
        <v>521</v>
      </c>
      <c r="AP1488" s="783">
        <v>48000</v>
      </c>
      <c r="AQ1488" s="17" t="s">
        <v>1833</v>
      </c>
      <c r="AR1488" s="174">
        <v>150</v>
      </c>
      <c r="AS1488" s="89"/>
      <c r="AT1488" s="171">
        <v>700</v>
      </c>
      <c r="AU1488" s="255">
        <f t="shared" si="106"/>
        <v>33.87096774193548</v>
      </c>
      <c r="AV1488" s="172" t="s">
        <v>521</v>
      </c>
      <c r="AW1488" s="171" t="s">
        <v>521</v>
      </c>
      <c r="AX1488" s="171" t="s">
        <v>521</v>
      </c>
      <c r="AY1488" s="171" t="s">
        <v>521</v>
      </c>
      <c r="AZ1488" s="171">
        <v>90</v>
      </c>
      <c r="BA1488" s="175">
        <v>100</v>
      </c>
      <c r="BB1488" s="259"/>
      <c r="BC1488" s="190"/>
      <c r="BD1488" s="177"/>
      <c r="BE1488" s="177"/>
      <c r="BF1488" s="178"/>
    </row>
    <row r="1489" spans="1:58">
      <c r="A1489" s="95">
        <v>1488</v>
      </c>
      <c r="B1489" s="211" t="s">
        <v>2068</v>
      </c>
      <c r="C1489" s="191" t="s">
        <v>1832</v>
      </c>
      <c r="D1489" s="171" t="s">
        <v>252</v>
      </c>
      <c r="E1489" s="463" t="s">
        <v>3377</v>
      </c>
      <c r="F1489" s="171">
        <v>2004</v>
      </c>
      <c r="G1489" s="171">
        <v>337</v>
      </c>
      <c r="H1489" s="172" t="s">
        <v>1738</v>
      </c>
      <c r="I1489" s="173" t="s">
        <v>1739</v>
      </c>
      <c r="J1489" s="212">
        <v>0.3</v>
      </c>
      <c r="K1489" s="213">
        <v>2.641</v>
      </c>
      <c r="L1489" s="91"/>
      <c r="M1489" s="171">
        <v>500</v>
      </c>
      <c r="N1489" s="171"/>
      <c r="O1489" s="172" t="s">
        <v>129</v>
      </c>
      <c r="P1489" s="171" t="s">
        <v>3451</v>
      </c>
      <c r="Q1489" s="221" t="s">
        <v>1754</v>
      </c>
      <c r="R1489" s="171" t="s">
        <v>2723</v>
      </c>
      <c r="S1489" s="171" t="s">
        <v>2524</v>
      </c>
      <c r="T1489" s="511"/>
      <c r="U1489" s="214" t="s">
        <v>2313</v>
      </c>
      <c r="V1489" s="102">
        <v>0</v>
      </c>
      <c r="W1489" s="120">
        <v>0</v>
      </c>
      <c r="X1489" s="120">
        <v>0</v>
      </c>
      <c r="Y1489" s="120">
        <v>0</v>
      </c>
      <c r="Z1489" s="120">
        <v>0</v>
      </c>
      <c r="AA1489" s="17">
        <v>0</v>
      </c>
      <c r="AB1489" s="17">
        <v>0</v>
      </c>
      <c r="AC1489" s="17">
        <v>0</v>
      </c>
      <c r="AD1489" s="17">
        <v>0</v>
      </c>
      <c r="AE1489" s="17">
        <v>0</v>
      </c>
      <c r="AF1489" s="17">
        <v>0</v>
      </c>
      <c r="AG1489" s="17">
        <v>0</v>
      </c>
      <c r="AH1489" s="17">
        <v>0</v>
      </c>
      <c r="AI1489" s="17">
        <v>0</v>
      </c>
      <c r="AJ1489" s="17">
        <v>0</v>
      </c>
      <c r="AK1489" s="17">
        <v>0</v>
      </c>
      <c r="AL1489" s="32">
        <v>0</v>
      </c>
      <c r="AM1489" s="172">
        <v>157.5</v>
      </c>
      <c r="AN1489" s="89"/>
      <c r="AO1489" s="171" t="s">
        <v>521</v>
      </c>
      <c r="AP1489" s="783">
        <v>58000</v>
      </c>
      <c r="AQ1489" s="17" t="s">
        <v>1833</v>
      </c>
      <c r="AR1489" s="174">
        <v>150</v>
      </c>
      <c r="AS1489" s="89"/>
      <c r="AT1489" s="171">
        <v>700</v>
      </c>
      <c r="AU1489" s="255">
        <f t="shared" si="106"/>
        <v>33.87096774193548</v>
      </c>
      <c r="AV1489" s="172" t="s">
        <v>521</v>
      </c>
      <c r="AW1489" s="171" t="s">
        <v>521</v>
      </c>
      <c r="AX1489" s="171" t="s">
        <v>521</v>
      </c>
      <c r="AY1489" s="171" t="s">
        <v>521</v>
      </c>
      <c r="AZ1489" s="171">
        <v>90</v>
      </c>
      <c r="BA1489" s="175">
        <v>100</v>
      </c>
      <c r="BB1489" s="259"/>
      <c r="BC1489" s="190"/>
      <c r="BD1489" s="177"/>
      <c r="BE1489" s="177"/>
      <c r="BF1489" s="178"/>
    </row>
    <row r="1490" spans="1:58">
      <c r="A1490" s="95">
        <v>1489</v>
      </c>
      <c r="B1490" s="211" t="s">
        <v>2069</v>
      </c>
      <c r="C1490" s="191" t="s">
        <v>1787</v>
      </c>
      <c r="D1490" s="171" t="s">
        <v>165</v>
      </c>
      <c r="E1490" s="463" t="s">
        <v>3377</v>
      </c>
      <c r="F1490" s="171">
        <v>2004</v>
      </c>
      <c r="G1490" s="171">
        <v>339</v>
      </c>
      <c r="H1490" s="172" t="s">
        <v>1745</v>
      </c>
      <c r="I1490" s="173" t="s">
        <v>1739</v>
      </c>
      <c r="J1490" s="212">
        <v>0.32228360957642727</v>
      </c>
      <c r="K1490" s="213">
        <v>3.0165745856353592</v>
      </c>
      <c r="L1490" s="91"/>
      <c r="M1490" s="171">
        <v>543</v>
      </c>
      <c r="N1490" s="171"/>
      <c r="O1490" s="172" t="s">
        <v>120</v>
      </c>
      <c r="P1490" s="92"/>
      <c r="Q1490" s="173" t="s">
        <v>1788</v>
      </c>
      <c r="R1490" s="171" t="s">
        <v>2733</v>
      </c>
      <c r="S1490" s="89"/>
      <c r="T1490" s="214" t="s">
        <v>2306</v>
      </c>
      <c r="U1490" s="214" t="s">
        <v>2310</v>
      </c>
      <c r="V1490" s="102">
        <v>0</v>
      </c>
      <c r="W1490" s="120">
        <v>0</v>
      </c>
      <c r="X1490" s="120">
        <v>0</v>
      </c>
      <c r="Y1490" s="120">
        <v>0</v>
      </c>
      <c r="Z1490" s="120">
        <v>0</v>
      </c>
      <c r="AA1490" s="17">
        <v>0</v>
      </c>
      <c r="AB1490" s="17">
        <v>0</v>
      </c>
      <c r="AC1490" s="17">
        <v>0</v>
      </c>
      <c r="AD1490" s="17">
        <v>0</v>
      </c>
      <c r="AE1490" s="17">
        <v>0</v>
      </c>
      <c r="AF1490" s="87"/>
      <c r="AG1490" s="17">
        <v>0</v>
      </c>
      <c r="AH1490" s="17">
        <v>0</v>
      </c>
      <c r="AI1490" s="17">
        <v>0</v>
      </c>
      <c r="AJ1490" s="17">
        <v>0</v>
      </c>
      <c r="AK1490" s="17">
        <v>7.3659999999999997</v>
      </c>
      <c r="AL1490" s="32">
        <v>0</v>
      </c>
      <c r="AM1490" s="172">
        <v>69.8</v>
      </c>
      <c r="AN1490" s="89"/>
      <c r="AO1490" s="171" t="s">
        <v>521</v>
      </c>
      <c r="AP1490" s="783">
        <v>37300</v>
      </c>
      <c r="AQ1490" s="17" t="s">
        <v>1789</v>
      </c>
      <c r="AR1490" s="174">
        <v>200</v>
      </c>
      <c r="AS1490" s="89"/>
      <c r="AT1490" s="171">
        <v>500</v>
      </c>
      <c r="AU1490" s="255">
        <f t="shared" si="106"/>
        <v>41.666666666666664</v>
      </c>
      <c r="AV1490" s="172">
        <v>60</v>
      </c>
      <c r="AW1490" s="171">
        <v>1</v>
      </c>
      <c r="AX1490" s="171">
        <v>20</v>
      </c>
      <c r="AY1490" s="171">
        <v>20</v>
      </c>
      <c r="AZ1490" s="171">
        <v>0</v>
      </c>
      <c r="BA1490" s="175">
        <v>100</v>
      </c>
      <c r="BB1490" s="259"/>
      <c r="BC1490" s="190"/>
      <c r="BD1490" s="177"/>
      <c r="BE1490" s="177"/>
      <c r="BF1490" s="178" t="s">
        <v>1790</v>
      </c>
    </row>
    <row r="1491" spans="1:58">
      <c r="A1491" s="95">
        <v>1490</v>
      </c>
      <c r="B1491" s="211" t="s">
        <v>2070</v>
      </c>
      <c r="C1491" s="191" t="s">
        <v>1787</v>
      </c>
      <c r="D1491" s="171" t="s">
        <v>165</v>
      </c>
      <c r="E1491" s="463" t="s">
        <v>3377</v>
      </c>
      <c r="F1491" s="171">
        <v>2004</v>
      </c>
      <c r="G1491" s="171">
        <v>339</v>
      </c>
      <c r="H1491" s="172" t="s">
        <v>1745</v>
      </c>
      <c r="I1491" s="173" t="s">
        <v>1739</v>
      </c>
      <c r="J1491" s="212">
        <v>0.31123388581952116</v>
      </c>
      <c r="K1491" s="213">
        <v>3.0165745856353592</v>
      </c>
      <c r="L1491" s="91"/>
      <c r="M1491" s="171">
        <v>543</v>
      </c>
      <c r="N1491" s="171"/>
      <c r="O1491" s="172" t="s">
        <v>120</v>
      </c>
      <c r="P1491" s="92"/>
      <c r="Q1491" s="173" t="s">
        <v>1788</v>
      </c>
      <c r="R1491" s="171" t="s">
        <v>2733</v>
      </c>
      <c r="S1491" s="89"/>
      <c r="T1491" s="214" t="s">
        <v>2306</v>
      </c>
      <c r="U1491" s="214" t="s">
        <v>2310</v>
      </c>
      <c r="V1491" s="102">
        <v>0</v>
      </c>
      <c r="W1491" s="120">
        <v>0</v>
      </c>
      <c r="X1491" s="120">
        <v>0</v>
      </c>
      <c r="Y1491" s="120">
        <v>0</v>
      </c>
      <c r="Z1491" s="120">
        <v>0</v>
      </c>
      <c r="AA1491" s="17">
        <v>0</v>
      </c>
      <c r="AB1491" s="17">
        <v>0</v>
      </c>
      <c r="AC1491" s="17">
        <v>0</v>
      </c>
      <c r="AD1491" s="17">
        <v>0</v>
      </c>
      <c r="AE1491" s="17">
        <v>0</v>
      </c>
      <c r="AF1491" s="87"/>
      <c r="AG1491" s="17">
        <v>0</v>
      </c>
      <c r="AH1491" s="17">
        <v>1.1000000000000001</v>
      </c>
      <c r="AI1491" s="17">
        <v>0</v>
      </c>
      <c r="AJ1491" s="17">
        <v>0</v>
      </c>
      <c r="AK1491" s="17">
        <v>7.3659999999999997</v>
      </c>
      <c r="AL1491" s="32">
        <v>0</v>
      </c>
      <c r="AM1491" s="172">
        <v>66.599999999999994</v>
      </c>
      <c r="AN1491" s="89"/>
      <c r="AO1491" s="171" t="s">
        <v>521</v>
      </c>
      <c r="AP1491" s="783">
        <v>36400</v>
      </c>
      <c r="AQ1491" s="17" t="s">
        <v>1789</v>
      </c>
      <c r="AR1491" s="174">
        <v>200</v>
      </c>
      <c r="AS1491" s="89"/>
      <c r="AT1491" s="171">
        <v>500</v>
      </c>
      <c r="AU1491" s="255">
        <f t="shared" si="106"/>
        <v>41.666666666666664</v>
      </c>
      <c r="AV1491" s="172">
        <v>60</v>
      </c>
      <c r="AW1491" s="171">
        <v>1</v>
      </c>
      <c r="AX1491" s="171">
        <v>20</v>
      </c>
      <c r="AY1491" s="171">
        <v>20</v>
      </c>
      <c r="AZ1491" s="171">
        <v>0</v>
      </c>
      <c r="BA1491" s="175">
        <v>100</v>
      </c>
      <c r="BB1491" s="259"/>
      <c r="BC1491" s="190"/>
      <c r="BD1491" s="177"/>
      <c r="BE1491" s="177"/>
      <c r="BF1491" s="178" t="s">
        <v>1790</v>
      </c>
    </row>
    <row r="1492" spans="1:58">
      <c r="A1492" s="95">
        <v>1491</v>
      </c>
      <c r="B1492" s="211" t="s">
        <v>2071</v>
      </c>
      <c r="C1492" s="191" t="s">
        <v>1787</v>
      </c>
      <c r="D1492" s="171" t="s">
        <v>165</v>
      </c>
      <c r="E1492" s="463" t="s">
        <v>3377</v>
      </c>
      <c r="F1492" s="171">
        <v>2004</v>
      </c>
      <c r="G1492" s="171">
        <v>339</v>
      </c>
      <c r="H1492" s="172" t="s">
        <v>1745</v>
      </c>
      <c r="I1492" s="173" t="s">
        <v>1739</v>
      </c>
      <c r="J1492" s="212">
        <v>0.31123388581952116</v>
      </c>
      <c r="K1492" s="213">
        <v>3.0055248618784529</v>
      </c>
      <c r="L1492" s="91"/>
      <c r="M1492" s="171">
        <v>543</v>
      </c>
      <c r="N1492" s="171"/>
      <c r="O1492" s="172" t="s">
        <v>12</v>
      </c>
      <c r="P1492" s="92"/>
      <c r="Q1492" s="173" t="s">
        <v>523</v>
      </c>
      <c r="R1492" s="171" t="s">
        <v>2733</v>
      </c>
      <c r="S1492" s="89"/>
      <c r="T1492" s="214" t="s">
        <v>2306</v>
      </c>
      <c r="U1492" s="214" t="s">
        <v>2310</v>
      </c>
      <c r="V1492" s="102">
        <v>0</v>
      </c>
      <c r="W1492" s="120">
        <v>0</v>
      </c>
      <c r="X1492" s="120">
        <v>0</v>
      </c>
      <c r="Y1492" s="120">
        <v>0</v>
      </c>
      <c r="Z1492" s="120">
        <v>0</v>
      </c>
      <c r="AA1492" s="17">
        <v>0</v>
      </c>
      <c r="AB1492" s="17">
        <v>0</v>
      </c>
      <c r="AC1492" s="17">
        <v>0</v>
      </c>
      <c r="AD1492" s="17">
        <v>0</v>
      </c>
      <c r="AE1492" s="17">
        <v>0</v>
      </c>
      <c r="AF1492" s="17">
        <v>0</v>
      </c>
      <c r="AG1492" s="17">
        <v>0</v>
      </c>
      <c r="AH1492" s="17">
        <v>1.1000000000000001</v>
      </c>
      <c r="AI1492" s="17">
        <v>0</v>
      </c>
      <c r="AJ1492" s="17">
        <v>0</v>
      </c>
      <c r="AK1492" s="17">
        <v>7.3659999999999997</v>
      </c>
      <c r="AL1492" s="32">
        <v>0</v>
      </c>
      <c r="AM1492" s="172">
        <v>76.3</v>
      </c>
      <c r="AN1492" s="89"/>
      <c r="AO1492" s="171" t="s">
        <v>521</v>
      </c>
      <c r="AP1492" s="783">
        <v>37300</v>
      </c>
      <c r="AQ1492" s="17" t="s">
        <v>1791</v>
      </c>
      <c r="AR1492" s="174">
        <v>200</v>
      </c>
      <c r="AS1492" s="89"/>
      <c r="AT1492" s="171">
        <v>300</v>
      </c>
      <c r="AU1492" s="255">
        <f t="shared" si="106"/>
        <v>37.5</v>
      </c>
      <c r="AV1492" s="172">
        <v>60</v>
      </c>
      <c r="AW1492" s="171">
        <v>1</v>
      </c>
      <c r="AX1492" s="171">
        <v>20</v>
      </c>
      <c r="AY1492" s="171">
        <v>20</v>
      </c>
      <c r="AZ1492" s="171">
        <v>0</v>
      </c>
      <c r="BA1492" s="175">
        <v>100</v>
      </c>
      <c r="BB1492" s="259"/>
      <c r="BC1492" s="190"/>
      <c r="BD1492" s="177"/>
      <c r="BE1492" s="177"/>
      <c r="BF1492" s="178" t="s">
        <v>1790</v>
      </c>
    </row>
    <row r="1493" spans="1:58">
      <c r="A1493" s="95">
        <v>1492</v>
      </c>
      <c r="B1493" s="211" t="s">
        <v>2072</v>
      </c>
      <c r="C1493" s="191" t="s">
        <v>1787</v>
      </c>
      <c r="D1493" s="171" t="s">
        <v>165</v>
      </c>
      <c r="E1493" s="463" t="s">
        <v>3377</v>
      </c>
      <c r="F1493" s="171">
        <v>2004</v>
      </c>
      <c r="G1493" s="171">
        <v>339</v>
      </c>
      <c r="H1493" s="172" t="s">
        <v>1745</v>
      </c>
      <c r="I1493" s="173" t="s">
        <v>1739</v>
      </c>
      <c r="J1493" s="212">
        <v>0.30017152658662094</v>
      </c>
      <c r="K1493" s="213">
        <v>2.8147512864493995</v>
      </c>
      <c r="L1493" s="91"/>
      <c r="M1493" s="171">
        <v>583</v>
      </c>
      <c r="N1493" s="171"/>
      <c r="O1493" s="172" t="s">
        <v>120</v>
      </c>
      <c r="P1493" s="92"/>
      <c r="Q1493" s="173" t="s">
        <v>1788</v>
      </c>
      <c r="R1493" s="171" t="s">
        <v>2733</v>
      </c>
      <c r="S1493" s="89"/>
      <c r="T1493" s="214" t="s">
        <v>2306</v>
      </c>
      <c r="U1493" s="214" t="s">
        <v>2310</v>
      </c>
      <c r="V1493" s="102">
        <v>0</v>
      </c>
      <c r="W1493" s="120">
        <v>0</v>
      </c>
      <c r="X1493" s="120">
        <v>0</v>
      </c>
      <c r="Y1493" s="120">
        <v>0</v>
      </c>
      <c r="Z1493" s="120">
        <v>0</v>
      </c>
      <c r="AA1493" s="17">
        <v>0</v>
      </c>
      <c r="AB1493" s="17">
        <v>0</v>
      </c>
      <c r="AC1493" s="17">
        <v>0</v>
      </c>
      <c r="AD1493" s="17">
        <v>0</v>
      </c>
      <c r="AE1493" s="17">
        <v>0</v>
      </c>
      <c r="AF1493" s="17">
        <v>0</v>
      </c>
      <c r="AG1493" s="17">
        <v>0</v>
      </c>
      <c r="AH1493" s="17">
        <v>0</v>
      </c>
      <c r="AI1493" s="17">
        <v>0</v>
      </c>
      <c r="AJ1493" s="17">
        <v>0</v>
      </c>
      <c r="AK1493" s="17">
        <v>0</v>
      </c>
      <c r="AL1493" s="32">
        <v>0</v>
      </c>
      <c r="AM1493" s="172">
        <v>66.8</v>
      </c>
      <c r="AN1493" s="89"/>
      <c r="AO1493" s="171" t="s">
        <v>521</v>
      </c>
      <c r="AP1493" s="783">
        <v>37000</v>
      </c>
      <c r="AQ1493" s="17" t="s">
        <v>1789</v>
      </c>
      <c r="AR1493" s="174">
        <v>200</v>
      </c>
      <c r="AS1493" s="89"/>
      <c r="AT1493" s="171">
        <v>500</v>
      </c>
      <c r="AU1493" s="255">
        <f t="shared" si="106"/>
        <v>41.666666666666664</v>
      </c>
      <c r="AV1493" s="172">
        <v>60</v>
      </c>
      <c r="AW1493" s="171">
        <v>1</v>
      </c>
      <c r="AX1493" s="171">
        <v>20</v>
      </c>
      <c r="AY1493" s="171">
        <v>20</v>
      </c>
      <c r="AZ1493" s="171">
        <v>0</v>
      </c>
      <c r="BA1493" s="175">
        <v>100</v>
      </c>
      <c r="BB1493" s="259"/>
      <c r="BC1493" s="190"/>
      <c r="BD1493" s="177"/>
      <c r="BE1493" s="177"/>
      <c r="BF1493" s="178" t="s">
        <v>1790</v>
      </c>
    </row>
    <row r="1494" spans="1:58">
      <c r="A1494" s="95">
        <v>1493</v>
      </c>
      <c r="B1494" s="211" t="s">
        <v>2073</v>
      </c>
      <c r="C1494" s="191" t="s">
        <v>1787</v>
      </c>
      <c r="D1494" s="171" t="s">
        <v>165</v>
      </c>
      <c r="E1494" s="463" t="s">
        <v>3377</v>
      </c>
      <c r="F1494" s="171">
        <v>2004</v>
      </c>
      <c r="G1494" s="171">
        <v>339</v>
      </c>
      <c r="H1494" s="172" t="s">
        <v>1745</v>
      </c>
      <c r="I1494" s="173" t="s">
        <v>1739</v>
      </c>
      <c r="J1494" s="212">
        <v>0.28987993138936535</v>
      </c>
      <c r="K1494" s="213">
        <v>2.8147512864493995</v>
      </c>
      <c r="L1494" s="91"/>
      <c r="M1494" s="171">
        <v>583</v>
      </c>
      <c r="N1494" s="171"/>
      <c r="O1494" s="172" t="s">
        <v>120</v>
      </c>
      <c r="P1494" s="92"/>
      <c r="Q1494" s="173" t="s">
        <v>1788</v>
      </c>
      <c r="R1494" s="171" t="s">
        <v>2733</v>
      </c>
      <c r="S1494" s="89"/>
      <c r="T1494" s="214" t="s">
        <v>2306</v>
      </c>
      <c r="U1494" s="214" t="s">
        <v>2310</v>
      </c>
      <c r="V1494" s="102">
        <v>0</v>
      </c>
      <c r="W1494" s="120">
        <v>0</v>
      </c>
      <c r="X1494" s="120">
        <v>0</v>
      </c>
      <c r="Y1494" s="120">
        <v>0</v>
      </c>
      <c r="Z1494" s="120">
        <v>0</v>
      </c>
      <c r="AA1494" s="17">
        <v>0</v>
      </c>
      <c r="AB1494" s="17">
        <v>0</v>
      </c>
      <c r="AC1494" s="17">
        <v>0</v>
      </c>
      <c r="AD1494" s="17">
        <v>0</v>
      </c>
      <c r="AE1494" s="17">
        <v>0</v>
      </c>
      <c r="AF1494" s="17">
        <v>0</v>
      </c>
      <c r="AG1494" s="17">
        <v>0</v>
      </c>
      <c r="AH1494" s="17">
        <v>1.0289999999999999</v>
      </c>
      <c r="AI1494" s="17">
        <v>0</v>
      </c>
      <c r="AJ1494" s="17">
        <v>0</v>
      </c>
      <c r="AK1494" s="17">
        <v>0</v>
      </c>
      <c r="AL1494" s="32">
        <v>0</v>
      </c>
      <c r="AM1494" s="172">
        <v>65.8</v>
      </c>
      <c r="AN1494" s="89"/>
      <c r="AO1494" s="171" t="s">
        <v>521</v>
      </c>
      <c r="AP1494" s="783">
        <v>34700</v>
      </c>
      <c r="AQ1494" s="17" t="s">
        <v>1789</v>
      </c>
      <c r="AR1494" s="174">
        <v>200</v>
      </c>
      <c r="AS1494" s="89"/>
      <c r="AT1494" s="171">
        <v>500</v>
      </c>
      <c r="AU1494" s="255">
        <f t="shared" si="106"/>
        <v>41.666666666666664</v>
      </c>
      <c r="AV1494" s="172">
        <v>60</v>
      </c>
      <c r="AW1494" s="171">
        <v>1</v>
      </c>
      <c r="AX1494" s="171">
        <v>20</v>
      </c>
      <c r="AY1494" s="171">
        <v>20</v>
      </c>
      <c r="AZ1494" s="171">
        <v>0</v>
      </c>
      <c r="BA1494" s="175">
        <v>100</v>
      </c>
      <c r="BB1494" s="259"/>
      <c r="BC1494" s="190"/>
      <c r="BD1494" s="177"/>
      <c r="BE1494" s="177"/>
      <c r="BF1494" s="178" t="s">
        <v>1790</v>
      </c>
    </row>
    <row r="1495" spans="1:58">
      <c r="A1495" s="95">
        <v>1494</v>
      </c>
      <c r="B1495" s="211" t="s">
        <v>2074</v>
      </c>
      <c r="C1495" s="191" t="s">
        <v>1787</v>
      </c>
      <c r="D1495" s="171" t="s">
        <v>165</v>
      </c>
      <c r="E1495" s="463" t="s">
        <v>3377</v>
      </c>
      <c r="F1495" s="171">
        <v>2004</v>
      </c>
      <c r="G1495" s="171">
        <v>339</v>
      </c>
      <c r="H1495" s="172" t="s">
        <v>1745</v>
      </c>
      <c r="I1495" s="173" t="s">
        <v>1739</v>
      </c>
      <c r="J1495" s="212">
        <v>0.30017152658662094</v>
      </c>
      <c r="K1495" s="213">
        <v>2.7993138936535162</v>
      </c>
      <c r="L1495" s="91"/>
      <c r="M1495" s="171">
        <v>583</v>
      </c>
      <c r="N1495" s="171"/>
      <c r="O1495" s="172" t="s">
        <v>12</v>
      </c>
      <c r="P1495" s="92"/>
      <c r="Q1495" s="173" t="s">
        <v>523</v>
      </c>
      <c r="R1495" s="171" t="s">
        <v>2733</v>
      </c>
      <c r="S1495" s="89"/>
      <c r="T1495" s="214" t="s">
        <v>2306</v>
      </c>
      <c r="U1495" s="214" t="s">
        <v>2310</v>
      </c>
      <c r="V1495" s="102">
        <v>0</v>
      </c>
      <c r="W1495" s="120">
        <v>0</v>
      </c>
      <c r="X1495" s="120">
        <v>0</v>
      </c>
      <c r="Y1495" s="120">
        <v>0</v>
      </c>
      <c r="Z1495" s="120">
        <v>0</v>
      </c>
      <c r="AA1495" s="17">
        <v>0</v>
      </c>
      <c r="AB1495" s="17">
        <v>0</v>
      </c>
      <c r="AC1495" s="17">
        <v>0</v>
      </c>
      <c r="AD1495" s="17">
        <v>0</v>
      </c>
      <c r="AE1495" s="17">
        <v>0</v>
      </c>
      <c r="AF1495" s="17">
        <v>0</v>
      </c>
      <c r="AG1495" s="17">
        <v>0</v>
      </c>
      <c r="AH1495" s="17">
        <v>0</v>
      </c>
      <c r="AI1495" s="17">
        <v>0</v>
      </c>
      <c r="AJ1495" s="17">
        <v>0</v>
      </c>
      <c r="AK1495" s="17">
        <v>0</v>
      </c>
      <c r="AL1495" s="32" t="s">
        <v>1792</v>
      </c>
      <c r="AM1495" s="172">
        <v>77</v>
      </c>
      <c r="AN1495" s="89"/>
      <c r="AO1495" s="171" t="s">
        <v>521</v>
      </c>
      <c r="AP1495" s="783">
        <v>35500</v>
      </c>
      <c r="AQ1495" s="17" t="s">
        <v>1789</v>
      </c>
      <c r="AR1495" s="174">
        <v>200</v>
      </c>
      <c r="AS1495" s="89"/>
      <c r="AT1495" s="171">
        <v>500</v>
      </c>
      <c r="AU1495" s="255">
        <f t="shared" si="106"/>
        <v>41.666666666666664</v>
      </c>
      <c r="AV1495" s="172">
        <v>60</v>
      </c>
      <c r="AW1495" s="171">
        <v>1</v>
      </c>
      <c r="AX1495" s="171">
        <v>20</v>
      </c>
      <c r="AY1495" s="171">
        <v>20</v>
      </c>
      <c r="AZ1495" s="171">
        <v>0</v>
      </c>
      <c r="BA1495" s="175">
        <v>100</v>
      </c>
      <c r="BB1495" s="259"/>
      <c r="BC1495" s="190"/>
      <c r="BD1495" s="177"/>
      <c r="BE1495" s="177"/>
      <c r="BF1495" s="178" t="s">
        <v>1790</v>
      </c>
    </row>
    <row r="1496" spans="1:58">
      <c r="A1496" s="95">
        <v>1495</v>
      </c>
      <c r="B1496" s="211" t="s">
        <v>2075</v>
      </c>
      <c r="C1496" s="191" t="s">
        <v>1787</v>
      </c>
      <c r="D1496" s="171" t="s">
        <v>165</v>
      </c>
      <c r="E1496" s="463" t="s">
        <v>3377</v>
      </c>
      <c r="F1496" s="171">
        <v>2004</v>
      </c>
      <c r="G1496" s="171">
        <v>339</v>
      </c>
      <c r="H1496" s="172" t="s">
        <v>1745</v>
      </c>
      <c r="I1496" s="173" t="s">
        <v>1739</v>
      </c>
      <c r="J1496" s="212">
        <v>0.30017152658662094</v>
      </c>
      <c r="K1496" s="213">
        <v>2.7993138936535162</v>
      </c>
      <c r="L1496" s="91"/>
      <c r="M1496" s="171">
        <v>583</v>
      </c>
      <c r="N1496" s="171"/>
      <c r="O1496" s="172" t="s">
        <v>12</v>
      </c>
      <c r="P1496" s="92"/>
      <c r="Q1496" s="173" t="s">
        <v>523</v>
      </c>
      <c r="R1496" s="171" t="s">
        <v>2733</v>
      </c>
      <c r="S1496" s="89"/>
      <c r="T1496" s="214" t="s">
        <v>2306</v>
      </c>
      <c r="U1496" s="214" t="s">
        <v>2310</v>
      </c>
      <c r="V1496" s="102">
        <v>0</v>
      </c>
      <c r="W1496" s="120">
        <v>0</v>
      </c>
      <c r="X1496" s="120">
        <v>0</v>
      </c>
      <c r="Y1496" s="120">
        <v>0</v>
      </c>
      <c r="Z1496" s="120">
        <v>0</v>
      </c>
      <c r="AA1496" s="17">
        <v>0</v>
      </c>
      <c r="AB1496" s="17">
        <v>0</v>
      </c>
      <c r="AC1496" s="17">
        <v>0</v>
      </c>
      <c r="AD1496" s="17">
        <v>0</v>
      </c>
      <c r="AE1496" s="17">
        <v>0</v>
      </c>
      <c r="AF1496" s="17">
        <v>0</v>
      </c>
      <c r="AG1496" s="17">
        <v>0</v>
      </c>
      <c r="AH1496" s="17">
        <v>0</v>
      </c>
      <c r="AI1496" s="17">
        <v>0</v>
      </c>
      <c r="AJ1496" s="17">
        <v>0</v>
      </c>
      <c r="AK1496" s="17">
        <v>0</v>
      </c>
      <c r="AL1496" s="32" t="s">
        <v>1792</v>
      </c>
      <c r="AM1496" s="172">
        <v>80.3</v>
      </c>
      <c r="AN1496" s="89"/>
      <c r="AO1496" s="171" t="s">
        <v>521</v>
      </c>
      <c r="AP1496" s="783">
        <v>39600</v>
      </c>
      <c r="AQ1496" s="17" t="s">
        <v>1791</v>
      </c>
      <c r="AR1496" s="174">
        <v>200</v>
      </c>
      <c r="AS1496" s="89"/>
      <c r="AT1496" s="171">
        <v>300</v>
      </c>
      <c r="AU1496" s="255">
        <f t="shared" si="106"/>
        <v>37.5</v>
      </c>
      <c r="AV1496" s="172">
        <v>60</v>
      </c>
      <c r="AW1496" s="171">
        <v>1</v>
      </c>
      <c r="AX1496" s="171">
        <v>20</v>
      </c>
      <c r="AY1496" s="171">
        <v>20</v>
      </c>
      <c r="AZ1496" s="171">
        <v>0</v>
      </c>
      <c r="BA1496" s="175">
        <v>100</v>
      </c>
      <c r="BB1496" s="259"/>
      <c r="BC1496" s="190"/>
      <c r="BD1496" s="177"/>
      <c r="BE1496" s="177"/>
      <c r="BF1496" s="178" t="s">
        <v>1790</v>
      </c>
    </row>
    <row r="1497" spans="1:58">
      <c r="A1497" s="95">
        <v>1496</v>
      </c>
      <c r="B1497" s="211" t="s">
        <v>2076</v>
      </c>
      <c r="C1497" s="191" t="s">
        <v>1787</v>
      </c>
      <c r="D1497" s="171" t="s">
        <v>165</v>
      </c>
      <c r="E1497" s="463" t="s">
        <v>3377</v>
      </c>
      <c r="F1497" s="171">
        <v>2004</v>
      </c>
      <c r="G1497" s="171">
        <v>339</v>
      </c>
      <c r="H1497" s="172" t="s">
        <v>1745</v>
      </c>
      <c r="I1497" s="173" t="s">
        <v>1739</v>
      </c>
      <c r="J1497" s="212">
        <v>0.32228360957642727</v>
      </c>
      <c r="K1497" s="213">
        <v>3.0018416206261511</v>
      </c>
      <c r="L1497" s="91"/>
      <c r="M1497" s="171">
        <v>543</v>
      </c>
      <c r="N1497" s="171"/>
      <c r="O1497" s="172" t="s">
        <v>12</v>
      </c>
      <c r="P1497" s="92"/>
      <c r="Q1497" s="173" t="s">
        <v>523</v>
      </c>
      <c r="R1497" s="171" t="s">
        <v>2733</v>
      </c>
      <c r="S1497" s="89"/>
      <c r="T1497" s="214" t="s">
        <v>2306</v>
      </c>
      <c r="U1497" s="214" t="s">
        <v>2310</v>
      </c>
      <c r="V1497" s="102">
        <v>0</v>
      </c>
      <c r="W1497" s="120">
        <v>0</v>
      </c>
      <c r="X1497" s="120">
        <v>0</v>
      </c>
      <c r="Y1497" s="120">
        <v>0</v>
      </c>
      <c r="Z1497" s="120">
        <v>0</v>
      </c>
      <c r="AA1497" s="17">
        <v>0</v>
      </c>
      <c r="AB1497" s="17">
        <v>0</v>
      </c>
      <c r="AC1497" s="17">
        <v>0</v>
      </c>
      <c r="AD1497" s="17">
        <v>0</v>
      </c>
      <c r="AE1497" s="17">
        <v>0</v>
      </c>
      <c r="AF1497" s="17">
        <v>0</v>
      </c>
      <c r="AG1497" s="17">
        <v>0</v>
      </c>
      <c r="AH1497" s="17">
        <v>0</v>
      </c>
      <c r="AI1497" s="17">
        <v>0</v>
      </c>
      <c r="AJ1497" s="17">
        <v>0</v>
      </c>
      <c r="AK1497" s="17">
        <v>7.3659999999999997</v>
      </c>
      <c r="AL1497" s="32">
        <v>0</v>
      </c>
      <c r="AM1497" s="172">
        <v>64</v>
      </c>
      <c r="AN1497" s="89"/>
      <c r="AO1497" s="171" t="s">
        <v>521</v>
      </c>
      <c r="AP1497" s="783">
        <v>33400</v>
      </c>
      <c r="AQ1497" s="17" t="s">
        <v>1789</v>
      </c>
      <c r="AR1497" s="174">
        <v>200</v>
      </c>
      <c r="AS1497" s="89"/>
      <c r="AT1497" s="171">
        <v>500</v>
      </c>
      <c r="AU1497" s="255">
        <f t="shared" si="106"/>
        <v>41.666666666666664</v>
      </c>
      <c r="AV1497" s="172">
        <v>60</v>
      </c>
      <c r="AW1497" s="171">
        <v>1</v>
      </c>
      <c r="AX1497" s="171">
        <v>20</v>
      </c>
      <c r="AY1497" s="171">
        <v>20</v>
      </c>
      <c r="AZ1497" s="171">
        <v>0</v>
      </c>
      <c r="BA1497" s="175">
        <v>100</v>
      </c>
      <c r="BB1497" s="259"/>
      <c r="BC1497" s="190"/>
      <c r="BD1497" s="177"/>
      <c r="BE1497" s="177"/>
      <c r="BF1497" s="178" t="s">
        <v>1790</v>
      </c>
    </row>
    <row r="1498" spans="1:58">
      <c r="A1498" s="95">
        <v>1497</v>
      </c>
      <c r="B1498" s="211" t="s">
        <v>2077</v>
      </c>
      <c r="C1498" s="191" t="s">
        <v>1787</v>
      </c>
      <c r="D1498" s="171" t="s">
        <v>165</v>
      </c>
      <c r="E1498" s="463" t="s">
        <v>3377</v>
      </c>
      <c r="F1498" s="171">
        <v>2004</v>
      </c>
      <c r="G1498" s="171">
        <v>339</v>
      </c>
      <c r="H1498" s="172" t="s">
        <v>1745</v>
      </c>
      <c r="I1498" s="173" t="s">
        <v>1739</v>
      </c>
      <c r="J1498" s="212">
        <v>0.31123388581952116</v>
      </c>
      <c r="K1498" s="213">
        <v>2.9852670349907919</v>
      </c>
      <c r="L1498" s="91"/>
      <c r="M1498" s="171">
        <v>543</v>
      </c>
      <c r="N1498" s="171"/>
      <c r="O1498" s="172" t="s">
        <v>12</v>
      </c>
      <c r="P1498" s="511"/>
      <c r="Q1498" s="173" t="s">
        <v>523</v>
      </c>
      <c r="R1498" s="171" t="s">
        <v>2733</v>
      </c>
      <c r="S1498" s="89"/>
      <c r="T1498" s="214" t="s">
        <v>2306</v>
      </c>
      <c r="U1498" s="214" t="s">
        <v>2310</v>
      </c>
      <c r="V1498" s="102">
        <v>0</v>
      </c>
      <c r="W1498" s="120">
        <v>0</v>
      </c>
      <c r="X1498" s="120">
        <v>0</v>
      </c>
      <c r="Y1498" s="120">
        <v>0</v>
      </c>
      <c r="Z1498" s="120">
        <v>0</v>
      </c>
      <c r="AA1498" s="17">
        <v>0</v>
      </c>
      <c r="AB1498" s="17">
        <v>0</v>
      </c>
      <c r="AC1498" s="17">
        <v>0</v>
      </c>
      <c r="AD1498" s="17">
        <v>0</v>
      </c>
      <c r="AE1498" s="17">
        <v>0</v>
      </c>
      <c r="AF1498" s="17">
        <v>0</v>
      </c>
      <c r="AG1498" s="17">
        <v>0</v>
      </c>
      <c r="AH1498" s="17">
        <v>1.1000000000000001</v>
      </c>
      <c r="AI1498" s="17">
        <v>0</v>
      </c>
      <c r="AJ1498" s="17">
        <v>0</v>
      </c>
      <c r="AK1498" s="17">
        <v>7.3659999999999997</v>
      </c>
      <c r="AL1498" s="32">
        <v>0</v>
      </c>
      <c r="AM1498" s="172">
        <v>87.2</v>
      </c>
      <c r="AN1498" s="89"/>
      <c r="AO1498" s="171" t="s">
        <v>521</v>
      </c>
      <c r="AP1498" s="783">
        <v>37700</v>
      </c>
      <c r="AQ1498" s="17" t="s">
        <v>1789</v>
      </c>
      <c r="AR1498" s="174">
        <v>200</v>
      </c>
      <c r="AS1498" s="89"/>
      <c r="AT1498" s="171">
        <v>500</v>
      </c>
      <c r="AU1498" s="255">
        <f t="shared" si="106"/>
        <v>41.666666666666664</v>
      </c>
      <c r="AV1498" s="172">
        <v>60</v>
      </c>
      <c r="AW1498" s="171">
        <v>1</v>
      </c>
      <c r="AX1498" s="171">
        <v>20</v>
      </c>
      <c r="AY1498" s="171">
        <v>20</v>
      </c>
      <c r="AZ1498" s="171">
        <v>0</v>
      </c>
      <c r="BA1498" s="175">
        <v>100</v>
      </c>
      <c r="BB1498" s="259"/>
      <c r="BC1498" s="190"/>
      <c r="BD1498" s="177"/>
      <c r="BE1498" s="177"/>
      <c r="BF1498" s="178" t="s">
        <v>1790</v>
      </c>
    </row>
    <row r="1499" spans="1:58" ht="15" customHeight="1">
      <c r="A1499" s="95">
        <v>1498</v>
      </c>
      <c r="B1499" s="211" t="s">
        <v>397</v>
      </c>
      <c r="C1499" s="191" t="s">
        <v>2709</v>
      </c>
      <c r="D1499" s="171" t="s">
        <v>119</v>
      </c>
      <c r="E1499" s="463" t="s">
        <v>3377</v>
      </c>
      <c r="F1499" s="171">
        <v>2007</v>
      </c>
      <c r="G1499" s="171">
        <v>341</v>
      </c>
      <c r="H1499" s="172" t="s">
        <v>1738</v>
      </c>
      <c r="I1499" s="173" t="s">
        <v>1743</v>
      </c>
      <c r="J1499" s="212">
        <v>0.35</v>
      </c>
      <c r="K1499" s="213">
        <v>0.5</v>
      </c>
      <c r="L1499" s="91"/>
      <c r="M1499" s="174">
        <v>1182.8571428571429</v>
      </c>
      <c r="N1499" s="174"/>
      <c r="O1499" s="172" t="s">
        <v>12</v>
      </c>
      <c r="P1499" s="511"/>
      <c r="Q1499" s="173" t="s">
        <v>523</v>
      </c>
      <c r="R1499" s="89"/>
      <c r="S1499" s="171" t="s">
        <v>2316</v>
      </c>
      <c r="T1499" s="511"/>
      <c r="U1499" s="511"/>
      <c r="V1499" s="102">
        <v>10</v>
      </c>
      <c r="W1499" s="120">
        <v>0</v>
      </c>
      <c r="X1499" s="120">
        <v>0</v>
      </c>
      <c r="Y1499" s="120">
        <v>0</v>
      </c>
      <c r="Z1499" s="120">
        <v>0</v>
      </c>
      <c r="AA1499" s="17">
        <v>0</v>
      </c>
      <c r="AB1499" s="17">
        <v>0</v>
      </c>
      <c r="AC1499" s="17">
        <v>0</v>
      </c>
      <c r="AD1499" s="17">
        <v>0</v>
      </c>
      <c r="AE1499" s="17">
        <v>0</v>
      </c>
      <c r="AF1499" s="17">
        <v>0</v>
      </c>
      <c r="AG1499" s="17">
        <v>0</v>
      </c>
      <c r="AH1499" s="17">
        <v>0</v>
      </c>
      <c r="AI1499" s="17">
        <v>0</v>
      </c>
      <c r="AJ1499" s="17">
        <v>0</v>
      </c>
      <c r="AK1499" s="17">
        <v>0</v>
      </c>
      <c r="AL1499" s="32">
        <v>0</v>
      </c>
      <c r="AM1499" s="172">
        <v>77.7</v>
      </c>
      <c r="AN1499" s="89"/>
      <c r="AO1499" s="171">
        <v>77.7</v>
      </c>
      <c r="AP1499" s="783">
        <v>14535</v>
      </c>
      <c r="AQ1499" s="17" t="s">
        <v>537</v>
      </c>
      <c r="AR1499" s="174">
        <v>37.5</v>
      </c>
      <c r="AS1499" s="89"/>
      <c r="AT1499" s="171">
        <v>650</v>
      </c>
      <c r="AU1499" s="255">
        <f t="shared" ref="AU1499:AU1514" si="107">(AR1499*AT1499)/((2*AT1499)+(2*AR1499))</f>
        <v>17.727272727272727</v>
      </c>
      <c r="AV1499" s="172">
        <v>100</v>
      </c>
      <c r="AW1499" s="171">
        <v>14</v>
      </c>
      <c r="AX1499" s="171">
        <v>30</v>
      </c>
      <c r="AY1499" s="171">
        <v>30</v>
      </c>
      <c r="AZ1499" s="171">
        <v>0</v>
      </c>
      <c r="BA1499" s="175">
        <v>45</v>
      </c>
      <c r="BB1499" s="259"/>
      <c r="BC1499" s="190"/>
      <c r="BD1499" s="177"/>
      <c r="BE1499" s="177"/>
      <c r="BF1499" s="178"/>
    </row>
    <row r="1500" spans="1:58" ht="15" customHeight="1">
      <c r="A1500" s="95">
        <v>1499</v>
      </c>
      <c r="B1500" s="211" t="s">
        <v>398</v>
      </c>
      <c r="C1500" s="191" t="s">
        <v>2710</v>
      </c>
      <c r="D1500" s="171" t="s">
        <v>119</v>
      </c>
      <c r="E1500" s="463" t="s">
        <v>3377</v>
      </c>
      <c r="F1500" s="171">
        <v>1987</v>
      </c>
      <c r="G1500" s="171">
        <v>343</v>
      </c>
      <c r="H1500" s="172" t="s">
        <v>1738</v>
      </c>
      <c r="I1500" s="173" t="s">
        <v>1743</v>
      </c>
      <c r="J1500" s="212">
        <v>0.32</v>
      </c>
      <c r="K1500" s="213">
        <v>2.81</v>
      </c>
      <c r="L1500" s="91"/>
      <c r="M1500" s="174">
        <v>556.90072639225184</v>
      </c>
      <c r="N1500" s="174"/>
      <c r="O1500" s="172" t="s">
        <v>12</v>
      </c>
      <c r="P1500" s="511"/>
      <c r="Q1500" s="173" t="s">
        <v>523</v>
      </c>
      <c r="R1500" s="89"/>
      <c r="S1500" s="214" t="s">
        <v>2317</v>
      </c>
      <c r="T1500" s="511"/>
      <c r="U1500" s="511"/>
      <c r="V1500" s="102">
        <v>0</v>
      </c>
      <c r="W1500" s="120">
        <v>0</v>
      </c>
      <c r="X1500" s="120">
        <v>0</v>
      </c>
      <c r="Y1500" s="120">
        <v>0</v>
      </c>
      <c r="Z1500" s="120">
        <v>0</v>
      </c>
      <c r="AA1500" s="17">
        <v>0</v>
      </c>
      <c r="AB1500" s="17">
        <v>0</v>
      </c>
      <c r="AC1500" s="17">
        <v>0</v>
      </c>
      <c r="AD1500" s="17">
        <v>0</v>
      </c>
      <c r="AE1500" s="17">
        <v>0</v>
      </c>
      <c r="AF1500" s="17">
        <v>0</v>
      </c>
      <c r="AG1500" s="87"/>
      <c r="AH1500" s="17">
        <v>0</v>
      </c>
      <c r="AI1500" s="17">
        <v>0</v>
      </c>
      <c r="AJ1500" s="17">
        <v>0</v>
      </c>
      <c r="AK1500" s="17">
        <v>0</v>
      </c>
      <c r="AL1500" s="32">
        <v>0</v>
      </c>
      <c r="AM1500" s="172">
        <v>59.8</v>
      </c>
      <c r="AN1500" s="89"/>
      <c r="AO1500" s="171">
        <v>59.8</v>
      </c>
      <c r="AP1500" s="783" t="s">
        <v>521</v>
      </c>
      <c r="AQ1500" s="17" t="s">
        <v>538</v>
      </c>
      <c r="AR1500" s="174">
        <v>51</v>
      </c>
      <c r="AS1500" s="89"/>
      <c r="AT1500" s="171">
        <v>203</v>
      </c>
      <c r="AU1500" s="255">
        <f t="shared" si="107"/>
        <v>20.379921259842519</v>
      </c>
      <c r="AV1500" s="172">
        <v>97</v>
      </c>
      <c r="AW1500" s="171">
        <v>28</v>
      </c>
      <c r="AX1500" s="171">
        <v>24</v>
      </c>
      <c r="AY1500" s="171" t="s">
        <v>521</v>
      </c>
      <c r="AZ1500" s="171">
        <v>0</v>
      </c>
      <c r="BA1500" s="175" t="s">
        <v>521</v>
      </c>
      <c r="BB1500" s="259"/>
      <c r="BC1500" s="190"/>
      <c r="BD1500" s="177"/>
      <c r="BE1500" s="177"/>
      <c r="BF1500" s="178" t="s">
        <v>547</v>
      </c>
    </row>
    <row r="1501" spans="1:58" ht="15" customHeight="1">
      <c r="A1501" s="95">
        <v>1500</v>
      </c>
      <c r="B1501" s="211" t="s">
        <v>399</v>
      </c>
      <c r="C1501" s="191" t="s">
        <v>2710</v>
      </c>
      <c r="D1501" s="171" t="s">
        <v>119</v>
      </c>
      <c r="E1501" s="463" t="s">
        <v>3377</v>
      </c>
      <c r="F1501" s="171">
        <v>1987</v>
      </c>
      <c r="G1501" s="171">
        <v>343</v>
      </c>
      <c r="H1501" s="172" t="s">
        <v>1738</v>
      </c>
      <c r="I1501" s="173" t="s">
        <v>1743</v>
      </c>
      <c r="J1501" s="212">
        <v>0.32</v>
      </c>
      <c r="K1501" s="213">
        <v>2.81</v>
      </c>
      <c r="L1501" s="91"/>
      <c r="M1501" s="174">
        <v>556.90072639225184</v>
      </c>
      <c r="N1501" s="174"/>
      <c r="O1501" s="172" t="s">
        <v>12</v>
      </c>
      <c r="P1501" s="92"/>
      <c r="Q1501" s="173" t="s">
        <v>523</v>
      </c>
      <c r="R1501" s="89"/>
      <c r="S1501" s="214" t="s">
        <v>2317</v>
      </c>
      <c r="T1501" s="511"/>
      <c r="U1501" s="511"/>
      <c r="V1501" s="102">
        <v>0</v>
      </c>
      <c r="W1501" s="120">
        <v>0</v>
      </c>
      <c r="X1501" s="120">
        <v>0</v>
      </c>
      <c r="Y1501" s="120">
        <v>0</v>
      </c>
      <c r="Z1501" s="120">
        <v>0</v>
      </c>
      <c r="AA1501" s="17">
        <v>0</v>
      </c>
      <c r="AB1501" s="17">
        <v>0</v>
      </c>
      <c r="AC1501" s="17">
        <v>0</v>
      </c>
      <c r="AD1501" s="17">
        <v>0</v>
      </c>
      <c r="AE1501" s="17">
        <v>0</v>
      </c>
      <c r="AF1501" s="17">
        <v>0</v>
      </c>
      <c r="AG1501" s="87"/>
      <c r="AH1501" s="17">
        <v>0</v>
      </c>
      <c r="AI1501" s="17">
        <v>0</v>
      </c>
      <c r="AJ1501" s="17">
        <v>0</v>
      </c>
      <c r="AK1501" s="17">
        <v>0</v>
      </c>
      <c r="AL1501" s="32">
        <v>0</v>
      </c>
      <c r="AM1501" s="172">
        <v>62.1</v>
      </c>
      <c r="AN1501" s="89"/>
      <c r="AO1501" s="171">
        <v>62.1</v>
      </c>
      <c r="AP1501" s="783" t="s">
        <v>521</v>
      </c>
      <c r="AQ1501" s="17" t="s">
        <v>538</v>
      </c>
      <c r="AR1501" s="174">
        <v>51</v>
      </c>
      <c r="AS1501" s="89"/>
      <c r="AT1501" s="171">
        <v>203</v>
      </c>
      <c r="AU1501" s="255">
        <f t="shared" si="107"/>
        <v>20.379921259842519</v>
      </c>
      <c r="AV1501" s="172">
        <v>97</v>
      </c>
      <c r="AW1501" s="171">
        <v>28</v>
      </c>
      <c r="AX1501" s="171">
        <v>24</v>
      </c>
      <c r="AY1501" s="171" t="s">
        <v>521</v>
      </c>
      <c r="AZ1501" s="171">
        <v>0</v>
      </c>
      <c r="BA1501" s="175" t="s">
        <v>521</v>
      </c>
      <c r="BB1501" s="259"/>
      <c r="BC1501" s="190"/>
      <c r="BD1501" s="177"/>
      <c r="BE1501" s="177"/>
      <c r="BF1501" s="178" t="s">
        <v>547</v>
      </c>
    </row>
    <row r="1502" spans="1:58" ht="15" customHeight="1">
      <c r="A1502" s="95">
        <v>1501</v>
      </c>
      <c r="B1502" s="211" t="s">
        <v>400</v>
      </c>
      <c r="C1502" s="191" t="s">
        <v>2710</v>
      </c>
      <c r="D1502" s="171" t="s">
        <v>119</v>
      </c>
      <c r="E1502" s="463" t="s">
        <v>3377</v>
      </c>
      <c r="F1502" s="171">
        <v>1987</v>
      </c>
      <c r="G1502" s="171">
        <v>343</v>
      </c>
      <c r="H1502" s="172" t="s">
        <v>1738</v>
      </c>
      <c r="I1502" s="173" t="s">
        <v>1743</v>
      </c>
      <c r="J1502" s="212">
        <v>0.32</v>
      </c>
      <c r="K1502" s="213">
        <v>2.81</v>
      </c>
      <c r="L1502" s="91"/>
      <c r="M1502" s="174">
        <v>556.90072639225184</v>
      </c>
      <c r="N1502" s="174"/>
      <c r="O1502" s="172" t="s">
        <v>12</v>
      </c>
      <c r="P1502" s="92"/>
      <c r="Q1502" s="173" t="s">
        <v>523</v>
      </c>
      <c r="R1502" s="89"/>
      <c r="S1502" s="214" t="s">
        <v>2317</v>
      </c>
      <c r="T1502" s="511"/>
      <c r="U1502" s="511"/>
      <c r="V1502" s="102">
        <v>0</v>
      </c>
      <c r="W1502" s="120">
        <v>0</v>
      </c>
      <c r="X1502" s="120">
        <v>0</v>
      </c>
      <c r="Y1502" s="120">
        <v>0</v>
      </c>
      <c r="Z1502" s="120">
        <v>0</v>
      </c>
      <c r="AA1502" s="17">
        <v>0</v>
      </c>
      <c r="AB1502" s="17">
        <v>0</v>
      </c>
      <c r="AC1502" s="17">
        <v>0</v>
      </c>
      <c r="AD1502" s="17">
        <v>0</v>
      </c>
      <c r="AE1502" s="17">
        <v>0</v>
      </c>
      <c r="AF1502" s="17">
        <v>0</v>
      </c>
      <c r="AG1502" s="87"/>
      <c r="AH1502" s="17">
        <v>0</v>
      </c>
      <c r="AI1502" s="17">
        <v>0</v>
      </c>
      <c r="AJ1502" s="17">
        <v>0</v>
      </c>
      <c r="AK1502" s="17">
        <v>0</v>
      </c>
      <c r="AL1502" s="32">
        <v>0</v>
      </c>
      <c r="AM1502" s="172">
        <v>64.599999999999994</v>
      </c>
      <c r="AN1502" s="89"/>
      <c r="AO1502" s="171">
        <v>64.599999999999994</v>
      </c>
      <c r="AP1502" s="783" t="s">
        <v>521</v>
      </c>
      <c r="AQ1502" s="17" t="s">
        <v>538</v>
      </c>
      <c r="AR1502" s="174">
        <v>51</v>
      </c>
      <c r="AS1502" s="89"/>
      <c r="AT1502" s="171">
        <v>203</v>
      </c>
      <c r="AU1502" s="255">
        <f t="shared" si="107"/>
        <v>20.379921259842519</v>
      </c>
      <c r="AV1502" s="172">
        <v>97</v>
      </c>
      <c r="AW1502" s="171">
        <v>28</v>
      </c>
      <c r="AX1502" s="171">
        <v>24</v>
      </c>
      <c r="AY1502" s="171" t="s">
        <v>521</v>
      </c>
      <c r="AZ1502" s="171">
        <v>0</v>
      </c>
      <c r="BA1502" s="175" t="s">
        <v>521</v>
      </c>
      <c r="BB1502" s="259"/>
      <c r="BC1502" s="190"/>
      <c r="BD1502" s="177"/>
      <c r="BE1502" s="177"/>
      <c r="BF1502" s="178" t="s">
        <v>547</v>
      </c>
    </row>
    <row r="1503" spans="1:58" ht="15" customHeight="1">
      <c r="A1503" s="95">
        <v>1502</v>
      </c>
      <c r="B1503" s="211" t="s">
        <v>401</v>
      </c>
      <c r="C1503" s="191" t="s">
        <v>2710</v>
      </c>
      <c r="D1503" s="171" t="s">
        <v>119</v>
      </c>
      <c r="E1503" s="463" t="s">
        <v>3377</v>
      </c>
      <c r="F1503" s="171">
        <v>1987</v>
      </c>
      <c r="G1503" s="171">
        <v>343</v>
      </c>
      <c r="H1503" s="172" t="s">
        <v>1738</v>
      </c>
      <c r="I1503" s="173" t="s">
        <v>1743</v>
      </c>
      <c r="J1503" s="212">
        <v>0.32</v>
      </c>
      <c r="K1503" s="213">
        <v>2.81</v>
      </c>
      <c r="L1503" s="91"/>
      <c r="M1503" s="174">
        <v>556.90072639225184</v>
      </c>
      <c r="N1503" s="174"/>
      <c r="O1503" s="172" t="s">
        <v>12</v>
      </c>
      <c r="P1503" s="92"/>
      <c r="Q1503" s="173" t="s">
        <v>523</v>
      </c>
      <c r="R1503" s="89"/>
      <c r="S1503" s="214" t="s">
        <v>2317</v>
      </c>
      <c r="T1503" s="511"/>
      <c r="U1503" s="511"/>
      <c r="V1503" s="102">
        <v>0</v>
      </c>
      <c r="W1503" s="120">
        <v>0</v>
      </c>
      <c r="X1503" s="120">
        <v>0</v>
      </c>
      <c r="Y1503" s="120">
        <v>0</v>
      </c>
      <c r="Z1503" s="120">
        <v>0</v>
      </c>
      <c r="AA1503" s="17">
        <v>0</v>
      </c>
      <c r="AB1503" s="17">
        <v>0</v>
      </c>
      <c r="AC1503" s="17">
        <v>0</v>
      </c>
      <c r="AD1503" s="17">
        <v>0</v>
      </c>
      <c r="AE1503" s="17">
        <v>0</v>
      </c>
      <c r="AF1503" s="17">
        <v>0</v>
      </c>
      <c r="AG1503" s="87"/>
      <c r="AH1503" s="17">
        <v>0</v>
      </c>
      <c r="AI1503" s="17">
        <v>0</v>
      </c>
      <c r="AJ1503" s="17">
        <v>0</v>
      </c>
      <c r="AK1503" s="17">
        <v>0</v>
      </c>
      <c r="AL1503" s="32">
        <v>0</v>
      </c>
      <c r="AM1503" s="172">
        <v>62.3</v>
      </c>
      <c r="AN1503" s="89"/>
      <c r="AO1503" s="171">
        <v>62.3</v>
      </c>
      <c r="AP1503" s="783" t="s">
        <v>521</v>
      </c>
      <c r="AQ1503" s="17" t="s">
        <v>538</v>
      </c>
      <c r="AR1503" s="174">
        <v>51</v>
      </c>
      <c r="AS1503" s="89"/>
      <c r="AT1503" s="171">
        <v>203</v>
      </c>
      <c r="AU1503" s="255">
        <f t="shared" si="107"/>
        <v>20.379921259842519</v>
      </c>
      <c r="AV1503" s="172">
        <v>97</v>
      </c>
      <c r="AW1503" s="171">
        <v>28</v>
      </c>
      <c r="AX1503" s="171">
        <v>24</v>
      </c>
      <c r="AY1503" s="171" t="s">
        <v>521</v>
      </c>
      <c r="AZ1503" s="171">
        <v>0</v>
      </c>
      <c r="BA1503" s="175" t="s">
        <v>521</v>
      </c>
      <c r="BB1503" s="259"/>
      <c r="BC1503" s="190"/>
      <c r="BD1503" s="177"/>
      <c r="BE1503" s="177"/>
      <c r="BF1503" s="178" t="s">
        <v>547</v>
      </c>
    </row>
    <row r="1504" spans="1:58" ht="15" customHeight="1">
      <c r="A1504" s="95">
        <v>1503</v>
      </c>
      <c r="B1504" s="211" t="s">
        <v>402</v>
      </c>
      <c r="C1504" s="191" t="s">
        <v>2710</v>
      </c>
      <c r="D1504" s="171" t="s">
        <v>119</v>
      </c>
      <c r="E1504" s="463" t="s">
        <v>3377</v>
      </c>
      <c r="F1504" s="171">
        <v>1987</v>
      </c>
      <c r="G1504" s="171">
        <v>343</v>
      </c>
      <c r="H1504" s="172" t="s">
        <v>1738</v>
      </c>
      <c r="I1504" s="173" t="s">
        <v>1743</v>
      </c>
      <c r="J1504" s="212">
        <v>0.32</v>
      </c>
      <c r="K1504" s="213">
        <v>2.81</v>
      </c>
      <c r="L1504" s="91"/>
      <c r="M1504" s="174">
        <v>556.90072639225184</v>
      </c>
      <c r="N1504" s="174"/>
      <c r="O1504" s="172" t="s">
        <v>12</v>
      </c>
      <c r="P1504" s="92"/>
      <c r="Q1504" s="173" t="s">
        <v>523</v>
      </c>
      <c r="R1504" s="89"/>
      <c r="S1504" s="214" t="s">
        <v>2317</v>
      </c>
      <c r="T1504" s="511"/>
      <c r="U1504" s="511"/>
      <c r="V1504" s="102">
        <v>0</v>
      </c>
      <c r="W1504" s="120">
        <v>0</v>
      </c>
      <c r="X1504" s="120">
        <v>0</v>
      </c>
      <c r="Y1504" s="120">
        <v>0</v>
      </c>
      <c r="Z1504" s="120">
        <v>0</v>
      </c>
      <c r="AA1504" s="17">
        <v>0</v>
      </c>
      <c r="AB1504" s="17">
        <v>0</v>
      </c>
      <c r="AC1504" s="17">
        <v>0</v>
      </c>
      <c r="AD1504" s="17">
        <v>0</v>
      </c>
      <c r="AE1504" s="17">
        <v>0</v>
      </c>
      <c r="AF1504" s="17">
        <v>0</v>
      </c>
      <c r="AG1504" s="87"/>
      <c r="AH1504" s="17">
        <v>0</v>
      </c>
      <c r="AI1504" s="17">
        <v>0</v>
      </c>
      <c r="AJ1504" s="17">
        <v>0</v>
      </c>
      <c r="AK1504" s="17">
        <v>0</v>
      </c>
      <c r="AL1504" s="32">
        <v>0</v>
      </c>
      <c r="AM1504" s="172">
        <v>63.3</v>
      </c>
      <c r="AN1504" s="89"/>
      <c r="AO1504" s="171">
        <v>63.3</v>
      </c>
      <c r="AP1504" s="783" t="s">
        <v>521</v>
      </c>
      <c r="AQ1504" s="17" t="s">
        <v>538</v>
      </c>
      <c r="AR1504" s="174">
        <v>51</v>
      </c>
      <c r="AS1504" s="89"/>
      <c r="AT1504" s="171">
        <v>203</v>
      </c>
      <c r="AU1504" s="255">
        <f t="shared" si="107"/>
        <v>20.379921259842519</v>
      </c>
      <c r="AV1504" s="172">
        <v>97</v>
      </c>
      <c r="AW1504" s="171">
        <v>28</v>
      </c>
      <c r="AX1504" s="171">
        <v>24</v>
      </c>
      <c r="AY1504" s="171" t="s">
        <v>521</v>
      </c>
      <c r="AZ1504" s="171">
        <v>0</v>
      </c>
      <c r="BA1504" s="175" t="s">
        <v>521</v>
      </c>
      <c r="BB1504" s="259"/>
      <c r="BC1504" s="190"/>
      <c r="BD1504" s="177"/>
      <c r="BE1504" s="177"/>
      <c r="BF1504" s="178" t="s">
        <v>547</v>
      </c>
    </row>
    <row r="1505" spans="1:58" ht="15" customHeight="1">
      <c r="A1505" s="95">
        <v>1504</v>
      </c>
      <c r="B1505" s="211" t="s">
        <v>403</v>
      </c>
      <c r="C1505" s="191" t="s">
        <v>2710</v>
      </c>
      <c r="D1505" s="171" t="s">
        <v>119</v>
      </c>
      <c r="E1505" s="463" t="s">
        <v>3377</v>
      </c>
      <c r="F1505" s="171">
        <v>1987</v>
      </c>
      <c r="G1505" s="171">
        <v>343</v>
      </c>
      <c r="H1505" s="172" t="s">
        <v>1738</v>
      </c>
      <c r="I1505" s="173" t="s">
        <v>1743</v>
      </c>
      <c r="J1505" s="212">
        <v>0.87</v>
      </c>
      <c r="K1505" s="213">
        <v>8.6</v>
      </c>
      <c r="L1505" s="91"/>
      <c r="M1505" s="174">
        <v>219.67526265520539</v>
      </c>
      <c r="N1505" s="174"/>
      <c r="O1505" s="172" t="s">
        <v>12</v>
      </c>
      <c r="P1505" s="92"/>
      <c r="Q1505" s="173" t="s">
        <v>523</v>
      </c>
      <c r="R1505" s="89"/>
      <c r="S1505" s="214" t="s">
        <v>2317</v>
      </c>
      <c r="T1505" s="511"/>
      <c r="U1505" s="511"/>
      <c r="V1505" s="102">
        <v>0</v>
      </c>
      <c r="W1505" s="120">
        <v>0</v>
      </c>
      <c r="X1505" s="120">
        <v>0</v>
      </c>
      <c r="Y1505" s="120">
        <v>0</v>
      </c>
      <c r="Z1505" s="120">
        <v>0</v>
      </c>
      <c r="AA1505" s="17">
        <v>0</v>
      </c>
      <c r="AB1505" s="17">
        <v>0</v>
      </c>
      <c r="AC1505" s="17">
        <v>0</v>
      </c>
      <c r="AD1505" s="17">
        <v>0</v>
      </c>
      <c r="AE1505" s="17">
        <v>0</v>
      </c>
      <c r="AF1505" s="17">
        <v>0</v>
      </c>
      <c r="AG1505" s="87"/>
      <c r="AH1505" s="17">
        <v>0</v>
      </c>
      <c r="AI1505" s="17">
        <v>0</v>
      </c>
      <c r="AJ1505" s="17">
        <v>0</v>
      </c>
      <c r="AK1505" s="17">
        <v>0</v>
      </c>
      <c r="AL1505" s="32">
        <v>0</v>
      </c>
      <c r="AM1505" s="172">
        <v>21.6</v>
      </c>
      <c r="AN1505" s="89"/>
      <c r="AO1505" s="171">
        <v>21.6</v>
      </c>
      <c r="AP1505" s="783" t="s">
        <v>521</v>
      </c>
      <c r="AQ1505" s="17" t="s">
        <v>538</v>
      </c>
      <c r="AR1505" s="174">
        <v>51</v>
      </c>
      <c r="AS1505" s="89"/>
      <c r="AT1505" s="171">
        <v>203</v>
      </c>
      <c r="AU1505" s="255">
        <f t="shared" si="107"/>
        <v>20.379921259842519</v>
      </c>
      <c r="AV1505" s="172">
        <v>97</v>
      </c>
      <c r="AW1505" s="171">
        <v>28</v>
      </c>
      <c r="AX1505" s="171">
        <v>24</v>
      </c>
      <c r="AY1505" s="171" t="s">
        <v>521</v>
      </c>
      <c r="AZ1505" s="171">
        <v>0</v>
      </c>
      <c r="BA1505" s="175" t="s">
        <v>521</v>
      </c>
      <c r="BB1505" s="259"/>
      <c r="BC1505" s="190"/>
      <c r="BD1505" s="177"/>
      <c r="BE1505" s="177"/>
      <c r="BF1505" s="178" t="s">
        <v>547</v>
      </c>
    </row>
    <row r="1506" spans="1:58" ht="15" customHeight="1">
      <c r="A1506" s="95">
        <v>1505</v>
      </c>
      <c r="B1506" s="211" t="s">
        <v>404</v>
      </c>
      <c r="C1506" s="191" t="s">
        <v>2710</v>
      </c>
      <c r="D1506" s="171" t="s">
        <v>119</v>
      </c>
      <c r="E1506" s="463" t="s">
        <v>3377</v>
      </c>
      <c r="F1506" s="171">
        <v>1987</v>
      </c>
      <c r="G1506" s="171">
        <v>343</v>
      </c>
      <c r="H1506" s="172" t="s">
        <v>1738</v>
      </c>
      <c r="I1506" s="173" t="s">
        <v>1743</v>
      </c>
      <c r="J1506" s="212">
        <v>0.87</v>
      </c>
      <c r="K1506" s="213">
        <v>8.6</v>
      </c>
      <c r="L1506" s="91"/>
      <c r="M1506" s="174">
        <v>219.67526265520539</v>
      </c>
      <c r="N1506" s="174"/>
      <c r="O1506" s="172" t="s">
        <v>12</v>
      </c>
      <c r="P1506" s="92"/>
      <c r="Q1506" s="173" t="s">
        <v>523</v>
      </c>
      <c r="R1506" s="89"/>
      <c r="S1506" s="214" t="s">
        <v>2317</v>
      </c>
      <c r="T1506" s="511"/>
      <c r="U1506" s="511"/>
      <c r="V1506" s="102">
        <v>0</v>
      </c>
      <c r="W1506" s="120">
        <v>0</v>
      </c>
      <c r="X1506" s="120">
        <v>0</v>
      </c>
      <c r="Y1506" s="120">
        <v>0</v>
      </c>
      <c r="Z1506" s="120">
        <v>0</v>
      </c>
      <c r="AA1506" s="17">
        <v>0</v>
      </c>
      <c r="AB1506" s="17">
        <v>0</v>
      </c>
      <c r="AC1506" s="17">
        <v>0</v>
      </c>
      <c r="AD1506" s="17">
        <v>0</v>
      </c>
      <c r="AE1506" s="17">
        <v>0</v>
      </c>
      <c r="AF1506" s="17">
        <v>0</v>
      </c>
      <c r="AG1506" s="87"/>
      <c r="AH1506" s="17">
        <v>0</v>
      </c>
      <c r="AI1506" s="17">
        <v>0</v>
      </c>
      <c r="AJ1506" s="17">
        <v>0</v>
      </c>
      <c r="AK1506" s="17">
        <v>0</v>
      </c>
      <c r="AL1506" s="32">
        <v>0</v>
      </c>
      <c r="AM1506" s="172">
        <v>24.4</v>
      </c>
      <c r="AN1506" s="89"/>
      <c r="AO1506" s="171">
        <v>24.4</v>
      </c>
      <c r="AP1506" s="783" t="s">
        <v>521</v>
      </c>
      <c r="AQ1506" s="17" t="s">
        <v>538</v>
      </c>
      <c r="AR1506" s="174">
        <v>51</v>
      </c>
      <c r="AS1506" s="89"/>
      <c r="AT1506" s="171">
        <v>203</v>
      </c>
      <c r="AU1506" s="255">
        <f t="shared" si="107"/>
        <v>20.379921259842519</v>
      </c>
      <c r="AV1506" s="172">
        <v>97</v>
      </c>
      <c r="AW1506" s="171">
        <v>28</v>
      </c>
      <c r="AX1506" s="171">
        <v>24</v>
      </c>
      <c r="AY1506" s="171" t="s">
        <v>521</v>
      </c>
      <c r="AZ1506" s="171">
        <v>0</v>
      </c>
      <c r="BA1506" s="175" t="s">
        <v>521</v>
      </c>
      <c r="BB1506" s="259"/>
      <c r="BC1506" s="190"/>
      <c r="BD1506" s="177"/>
      <c r="BE1506" s="177"/>
      <c r="BF1506" s="178" t="s">
        <v>547</v>
      </c>
    </row>
    <row r="1507" spans="1:58" ht="15" customHeight="1">
      <c r="A1507" s="95">
        <v>1506</v>
      </c>
      <c r="B1507" s="211" t="s">
        <v>405</v>
      </c>
      <c r="C1507" s="191" t="s">
        <v>2710</v>
      </c>
      <c r="D1507" s="171" t="s">
        <v>119</v>
      </c>
      <c r="E1507" s="463" t="s">
        <v>3377</v>
      </c>
      <c r="F1507" s="171">
        <v>1987</v>
      </c>
      <c r="G1507" s="171">
        <v>343</v>
      </c>
      <c r="H1507" s="172" t="s">
        <v>1738</v>
      </c>
      <c r="I1507" s="173" t="s">
        <v>1743</v>
      </c>
      <c r="J1507" s="212">
        <v>0.87</v>
      </c>
      <c r="K1507" s="213">
        <v>8.6</v>
      </c>
      <c r="L1507" s="91"/>
      <c r="M1507" s="174">
        <v>219.67526265520539</v>
      </c>
      <c r="N1507" s="174"/>
      <c r="O1507" s="172" t="s">
        <v>12</v>
      </c>
      <c r="P1507" s="92"/>
      <c r="Q1507" s="173" t="s">
        <v>523</v>
      </c>
      <c r="R1507" s="89"/>
      <c r="S1507" s="214" t="s">
        <v>2317</v>
      </c>
      <c r="T1507" s="511"/>
      <c r="U1507" s="511"/>
      <c r="V1507" s="102">
        <v>0</v>
      </c>
      <c r="W1507" s="120">
        <v>0</v>
      </c>
      <c r="X1507" s="120">
        <v>0</v>
      </c>
      <c r="Y1507" s="120">
        <v>0</v>
      </c>
      <c r="Z1507" s="120">
        <v>0</v>
      </c>
      <c r="AA1507" s="17">
        <v>0</v>
      </c>
      <c r="AB1507" s="17">
        <v>0</v>
      </c>
      <c r="AC1507" s="17">
        <v>0</v>
      </c>
      <c r="AD1507" s="17">
        <v>0</v>
      </c>
      <c r="AE1507" s="17">
        <v>0</v>
      </c>
      <c r="AF1507" s="17">
        <v>0</v>
      </c>
      <c r="AG1507" s="87"/>
      <c r="AH1507" s="17">
        <v>0</v>
      </c>
      <c r="AI1507" s="17">
        <v>0</v>
      </c>
      <c r="AJ1507" s="17">
        <v>0</v>
      </c>
      <c r="AK1507" s="17">
        <v>0</v>
      </c>
      <c r="AL1507" s="32">
        <v>0</v>
      </c>
      <c r="AM1507" s="172">
        <v>23.4</v>
      </c>
      <c r="AN1507" s="89"/>
      <c r="AO1507" s="171">
        <v>23.4</v>
      </c>
      <c r="AP1507" s="783" t="s">
        <v>521</v>
      </c>
      <c r="AQ1507" s="17" t="s">
        <v>538</v>
      </c>
      <c r="AR1507" s="174">
        <v>51</v>
      </c>
      <c r="AS1507" s="89"/>
      <c r="AT1507" s="171">
        <v>203</v>
      </c>
      <c r="AU1507" s="255">
        <f t="shared" si="107"/>
        <v>20.379921259842519</v>
      </c>
      <c r="AV1507" s="172">
        <v>97</v>
      </c>
      <c r="AW1507" s="171">
        <v>28</v>
      </c>
      <c r="AX1507" s="171">
        <v>24</v>
      </c>
      <c r="AY1507" s="171" t="s">
        <v>521</v>
      </c>
      <c r="AZ1507" s="171">
        <v>0</v>
      </c>
      <c r="BA1507" s="175" t="s">
        <v>521</v>
      </c>
      <c r="BB1507" s="259"/>
      <c r="BC1507" s="190"/>
      <c r="BD1507" s="177"/>
      <c r="BE1507" s="177"/>
      <c r="BF1507" s="178" t="s">
        <v>547</v>
      </c>
    </row>
    <row r="1508" spans="1:58" ht="15" customHeight="1">
      <c r="A1508" s="95">
        <v>1507</v>
      </c>
      <c r="B1508" s="211" t="s">
        <v>406</v>
      </c>
      <c r="C1508" s="191" t="s">
        <v>2711</v>
      </c>
      <c r="D1508" s="171" t="s">
        <v>119</v>
      </c>
      <c r="E1508" s="463" t="s">
        <v>3377</v>
      </c>
      <c r="F1508" s="171">
        <v>2006</v>
      </c>
      <c r="G1508" s="171">
        <v>345</v>
      </c>
      <c r="H1508" s="172" t="s">
        <v>1738</v>
      </c>
      <c r="I1508" s="173" t="s">
        <v>1743</v>
      </c>
      <c r="J1508" s="212">
        <v>0.28396946564885495</v>
      </c>
      <c r="K1508" s="213">
        <v>2.4061068702290078</v>
      </c>
      <c r="L1508" s="91"/>
      <c r="M1508" s="174">
        <v>655</v>
      </c>
      <c r="N1508" s="174"/>
      <c r="O1508" s="172" t="s">
        <v>12</v>
      </c>
      <c r="P1508" s="92"/>
      <c r="Q1508" s="173" t="s">
        <v>273</v>
      </c>
      <c r="R1508" s="65" t="s">
        <v>2727</v>
      </c>
      <c r="S1508" s="511"/>
      <c r="T1508" s="214" t="s">
        <v>2306</v>
      </c>
      <c r="U1508" s="214" t="s">
        <v>2312</v>
      </c>
      <c r="V1508" s="103">
        <f>(34/655)*100</f>
        <v>5.1908396946564883</v>
      </c>
      <c r="W1508" s="120">
        <v>0</v>
      </c>
      <c r="X1508" s="120">
        <v>0</v>
      </c>
      <c r="Y1508" s="120">
        <v>0</v>
      </c>
      <c r="Z1508" s="120">
        <v>0</v>
      </c>
      <c r="AA1508" s="17">
        <v>0</v>
      </c>
      <c r="AB1508" s="17">
        <v>0</v>
      </c>
      <c r="AC1508" s="17">
        <v>0</v>
      </c>
      <c r="AD1508" s="17">
        <v>0</v>
      </c>
      <c r="AE1508" s="17">
        <v>0</v>
      </c>
      <c r="AF1508" s="33">
        <v>0.94442748091603057</v>
      </c>
      <c r="AG1508" s="17">
        <v>0</v>
      </c>
      <c r="AH1508" s="17">
        <v>0</v>
      </c>
      <c r="AI1508" s="17">
        <v>0</v>
      </c>
      <c r="AJ1508" s="33">
        <v>0.11541984732824427</v>
      </c>
      <c r="AK1508" s="17">
        <v>0</v>
      </c>
      <c r="AL1508" s="32">
        <v>0</v>
      </c>
      <c r="AM1508" s="172">
        <v>71.400000000000006</v>
      </c>
      <c r="AN1508" s="89"/>
      <c r="AO1508" s="171">
        <v>71.400000000000006</v>
      </c>
      <c r="AP1508" s="783">
        <v>33564</v>
      </c>
      <c r="AQ1508" s="17" t="s">
        <v>154</v>
      </c>
      <c r="AR1508" s="174">
        <v>76</v>
      </c>
      <c r="AS1508" s="89"/>
      <c r="AT1508" s="171">
        <v>305</v>
      </c>
      <c r="AU1508" s="255">
        <f t="shared" si="107"/>
        <v>30.41994750656168</v>
      </c>
      <c r="AV1508" s="172">
        <v>100</v>
      </c>
      <c r="AW1508" s="171">
        <v>1</v>
      </c>
      <c r="AX1508" s="171">
        <v>20</v>
      </c>
      <c r="AY1508" s="171">
        <v>20</v>
      </c>
      <c r="AZ1508" s="171">
        <v>0</v>
      </c>
      <c r="BA1508" s="175">
        <v>50</v>
      </c>
      <c r="BB1508" s="259"/>
      <c r="BC1508" s="190"/>
      <c r="BD1508" s="177"/>
      <c r="BE1508" s="177"/>
      <c r="BF1508" s="178"/>
    </row>
    <row r="1509" spans="1:58" ht="15" customHeight="1">
      <c r="A1509" s="95">
        <v>1508</v>
      </c>
      <c r="B1509" s="211" t="s">
        <v>407</v>
      </c>
      <c r="C1509" s="191" t="s">
        <v>2711</v>
      </c>
      <c r="D1509" s="171" t="s">
        <v>119</v>
      </c>
      <c r="E1509" s="463" t="s">
        <v>3377</v>
      </c>
      <c r="F1509" s="171">
        <v>2006</v>
      </c>
      <c r="G1509" s="171">
        <v>345</v>
      </c>
      <c r="H1509" s="172" t="s">
        <v>1738</v>
      </c>
      <c r="I1509" s="173" t="s">
        <v>1743</v>
      </c>
      <c r="J1509" s="212">
        <v>0.3</v>
      </c>
      <c r="K1509" s="213">
        <v>2.5419354838709678</v>
      </c>
      <c r="L1509" s="91"/>
      <c r="M1509" s="174">
        <v>620</v>
      </c>
      <c r="N1509" s="174"/>
      <c r="O1509" s="172" t="s">
        <v>12</v>
      </c>
      <c r="P1509" s="92"/>
      <c r="Q1509" s="173" t="s">
        <v>273</v>
      </c>
      <c r="R1509" s="65" t="s">
        <v>2727</v>
      </c>
      <c r="S1509" s="511"/>
      <c r="T1509" s="214" t="s">
        <v>2306</v>
      </c>
      <c r="U1509" s="214" t="s">
        <v>2312</v>
      </c>
      <c r="V1509" s="103">
        <f>(69/620)*100</f>
        <v>11.129032258064516</v>
      </c>
      <c r="W1509" s="120">
        <v>0</v>
      </c>
      <c r="X1509" s="120">
        <v>0</v>
      </c>
      <c r="Y1509" s="120">
        <v>0</v>
      </c>
      <c r="Z1509" s="120">
        <v>0</v>
      </c>
      <c r="AA1509" s="17">
        <v>0</v>
      </c>
      <c r="AB1509" s="17">
        <v>0</v>
      </c>
      <c r="AC1509" s="17">
        <v>0</v>
      </c>
      <c r="AD1509" s="17">
        <v>0</v>
      </c>
      <c r="AE1509" s="17">
        <v>0</v>
      </c>
      <c r="AF1509" s="33">
        <v>1.1085483870967743</v>
      </c>
      <c r="AG1509" s="17">
        <v>0</v>
      </c>
      <c r="AH1509" s="17">
        <v>0</v>
      </c>
      <c r="AI1509" s="17">
        <v>0</v>
      </c>
      <c r="AJ1509" s="33">
        <v>0.12193548387096774</v>
      </c>
      <c r="AK1509" s="17">
        <v>0</v>
      </c>
      <c r="AL1509" s="32">
        <v>0</v>
      </c>
      <c r="AM1509" s="172">
        <v>85.2</v>
      </c>
      <c r="AN1509" s="89"/>
      <c r="AO1509" s="171">
        <v>85.2</v>
      </c>
      <c r="AP1509" s="783">
        <v>34610</v>
      </c>
      <c r="AQ1509" s="17" t="s">
        <v>154</v>
      </c>
      <c r="AR1509" s="174">
        <v>76</v>
      </c>
      <c r="AS1509" s="89"/>
      <c r="AT1509" s="171">
        <v>305</v>
      </c>
      <c r="AU1509" s="255">
        <f t="shared" si="107"/>
        <v>30.41994750656168</v>
      </c>
      <c r="AV1509" s="172">
        <v>100</v>
      </c>
      <c r="AW1509" s="171">
        <v>1</v>
      </c>
      <c r="AX1509" s="171">
        <v>20</v>
      </c>
      <c r="AY1509" s="171">
        <v>20</v>
      </c>
      <c r="AZ1509" s="171">
        <v>0</v>
      </c>
      <c r="BA1509" s="175">
        <v>50</v>
      </c>
      <c r="BB1509" s="259"/>
      <c r="BC1509" s="190"/>
      <c r="BD1509" s="177"/>
      <c r="BE1509" s="177"/>
      <c r="BF1509" s="178"/>
    </row>
    <row r="1510" spans="1:58" ht="15" customHeight="1">
      <c r="A1510" s="95">
        <v>1509</v>
      </c>
      <c r="B1510" s="211" t="s">
        <v>408</v>
      </c>
      <c r="C1510" s="191" t="s">
        <v>2711</v>
      </c>
      <c r="D1510" s="171" t="s">
        <v>119</v>
      </c>
      <c r="E1510" s="463" t="s">
        <v>3377</v>
      </c>
      <c r="F1510" s="171">
        <v>2006</v>
      </c>
      <c r="G1510" s="171">
        <v>345</v>
      </c>
      <c r="H1510" s="172" t="s">
        <v>1738</v>
      </c>
      <c r="I1510" s="173" t="s">
        <v>1743</v>
      </c>
      <c r="J1510" s="212">
        <v>0.3174061433447099</v>
      </c>
      <c r="K1510" s="213">
        <v>2.689419795221843</v>
      </c>
      <c r="L1510" s="91"/>
      <c r="M1510" s="174">
        <v>586</v>
      </c>
      <c r="N1510" s="174"/>
      <c r="O1510" s="172" t="s">
        <v>12</v>
      </c>
      <c r="P1510" s="92"/>
      <c r="Q1510" s="173" t="s">
        <v>273</v>
      </c>
      <c r="R1510" s="65" t="s">
        <v>2727</v>
      </c>
      <c r="S1510" s="511"/>
      <c r="T1510" s="214" t="s">
        <v>2306</v>
      </c>
      <c r="U1510" s="214" t="s">
        <v>2312</v>
      </c>
      <c r="V1510" s="103">
        <f>(103/586)*100</f>
        <v>17.576791808873722</v>
      </c>
      <c r="W1510" s="120">
        <v>0</v>
      </c>
      <c r="X1510" s="120">
        <v>0</v>
      </c>
      <c r="Y1510" s="120">
        <v>0</v>
      </c>
      <c r="Z1510" s="120">
        <v>0</v>
      </c>
      <c r="AA1510" s="17">
        <v>0</v>
      </c>
      <c r="AB1510" s="17">
        <v>0</v>
      </c>
      <c r="AC1510" s="17">
        <v>0</v>
      </c>
      <c r="AD1510" s="17">
        <v>0</v>
      </c>
      <c r="AE1510" s="17">
        <v>0</v>
      </c>
      <c r="AF1510" s="33">
        <v>1.2901023890784982</v>
      </c>
      <c r="AG1510" s="17">
        <v>0</v>
      </c>
      <c r="AH1510" s="17">
        <v>0</v>
      </c>
      <c r="AI1510" s="17">
        <v>0</v>
      </c>
      <c r="AJ1510" s="33">
        <v>0.12901023890784985</v>
      </c>
      <c r="AK1510" s="17">
        <v>0</v>
      </c>
      <c r="AL1510" s="32">
        <v>0</v>
      </c>
      <c r="AM1510" s="172">
        <v>87.9</v>
      </c>
      <c r="AN1510" s="89"/>
      <c r="AO1510" s="171">
        <v>87.9</v>
      </c>
      <c r="AP1510" s="783">
        <v>34782</v>
      </c>
      <c r="AQ1510" s="17" t="s">
        <v>154</v>
      </c>
      <c r="AR1510" s="174">
        <v>76</v>
      </c>
      <c r="AS1510" s="89"/>
      <c r="AT1510" s="171">
        <v>305</v>
      </c>
      <c r="AU1510" s="255">
        <f t="shared" si="107"/>
        <v>30.41994750656168</v>
      </c>
      <c r="AV1510" s="172">
        <v>100</v>
      </c>
      <c r="AW1510" s="171">
        <v>1</v>
      </c>
      <c r="AX1510" s="171">
        <v>20</v>
      </c>
      <c r="AY1510" s="171">
        <v>20</v>
      </c>
      <c r="AZ1510" s="171">
        <v>0</v>
      </c>
      <c r="BA1510" s="175">
        <v>50</v>
      </c>
      <c r="BB1510" s="259"/>
      <c r="BC1510" s="190"/>
      <c r="BD1510" s="177"/>
      <c r="BE1510" s="177"/>
      <c r="BF1510" s="178"/>
    </row>
    <row r="1511" spans="1:58" ht="15" customHeight="1">
      <c r="A1511" s="95">
        <v>1510</v>
      </c>
      <c r="B1511" s="211" t="s">
        <v>409</v>
      </c>
      <c r="C1511" s="191" t="s">
        <v>2711</v>
      </c>
      <c r="D1511" s="171" t="s">
        <v>119</v>
      </c>
      <c r="E1511" s="463" t="s">
        <v>3377</v>
      </c>
      <c r="F1511" s="171">
        <v>2006</v>
      </c>
      <c r="G1511" s="171">
        <v>345</v>
      </c>
      <c r="H1511" s="172" t="s">
        <v>1738</v>
      </c>
      <c r="I1511" s="173" t="s">
        <v>1743</v>
      </c>
      <c r="J1511" s="212">
        <v>0.3</v>
      </c>
      <c r="K1511" s="213">
        <v>2.5419354838709678</v>
      </c>
      <c r="L1511" s="91"/>
      <c r="M1511" s="174">
        <v>620</v>
      </c>
      <c r="N1511" s="174"/>
      <c r="O1511" s="172" t="s">
        <v>12</v>
      </c>
      <c r="P1511" s="92"/>
      <c r="Q1511" s="173" t="s">
        <v>273</v>
      </c>
      <c r="R1511" s="506" t="s">
        <v>2727</v>
      </c>
      <c r="S1511" s="511"/>
      <c r="T1511" s="214" t="s">
        <v>2306</v>
      </c>
      <c r="U1511" s="214" t="s">
        <v>2312</v>
      </c>
      <c r="V1511" s="102">
        <v>0</v>
      </c>
      <c r="W1511" s="120">
        <f>(60/M1511)*100</f>
        <v>9.67741935483871</v>
      </c>
      <c r="X1511" s="120">
        <v>0</v>
      </c>
      <c r="Y1511" s="120">
        <v>0</v>
      </c>
      <c r="Z1511" s="120">
        <v>0</v>
      </c>
      <c r="AA1511" s="17">
        <v>0</v>
      </c>
      <c r="AB1511" s="17">
        <v>0</v>
      </c>
      <c r="AC1511" s="17">
        <v>0</v>
      </c>
      <c r="AD1511" s="17">
        <v>0</v>
      </c>
      <c r="AE1511" s="17">
        <v>0</v>
      </c>
      <c r="AF1511" s="33">
        <v>0.7759677419354839</v>
      </c>
      <c r="AG1511" s="17">
        <v>0</v>
      </c>
      <c r="AH1511" s="17">
        <v>0</v>
      </c>
      <c r="AI1511" s="17">
        <v>0</v>
      </c>
      <c r="AJ1511" s="33">
        <v>0.12193548387096774</v>
      </c>
      <c r="AK1511" s="17">
        <v>0</v>
      </c>
      <c r="AL1511" s="32">
        <v>0</v>
      </c>
      <c r="AM1511" s="172">
        <v>82.3</v>
      </c>
      <c r="AN1511" s="89"/>
      <c r="AO1511" s="171">
        <v>82.3</v>
      </c>
      <c r="AP1511" s="783">
        <v>41627</v>
      </c>
      <c r="AQ1511" s="17" t="s">
        <v>154</v>
      </c>
      <c r="AR1511" s="174">
        <v>76</v>
      </c>
      <c r="AS1511" s="89"/>
      <c r="AT1511" s="171">
        <v>305</v>
      </c>
      <c r="AU1511" s="255">
        <f t="shared" si="107"/>
        <v>30.41994750656168</v>
      </c>
      <c r="AV1511" s="172">
        <v>100</v>
      </c>
      <c r="AW1511" s="171">
        <v>1</v>
      </c>
      <c r="AX1511" s="171">
        <v>20</v>
      </c>
      <c r="AY1511" s="171">
        <v>20</v>
      </c>
      <c r="AZ1511" s="171">
        <v>0</v>
      </c>
      <c r="BA1511" s="175">
        <v>50</v>
      </c>
      <c r="BB1511" s="259"/>
      <c r="BC1511" s="190"/>
      <c r="BD1511" s="177"/>
      <c r="BE1511" s="177"/>
      <c r="BF1511" s="178"/>
    </row>
    <row r="1512" spans="1:58" ht="15" customHeight="1">
      <c r="A1512" s="95">
        <v>1511</v>
      </c>
      <c r="B1512" s="211" t="s">
        <v>410</v>
      </c>
      <c r="C1512" s="191" t="s">
        <v>2711</v>
      </c>
      <c r="D1512" s="171" t="s">
        <v>119</v>
      </c>
      <c r="E1512" s="463" t="s">
        <v>3377</v>
      </c>
      <c r="F1512" s="171">
        <v>2006</v>
      </c>
      <c r="G1512" s="171">
        <v>345</v>
      </c>
      <c r="H1512" s="172" t="s">
        <v>1738</v>
      </c>
      <c r="I1512" s="173" t="s">
        <v>1743</v>
      </c>
      <c r="J1512" s="212">
        <v>0.33695652173913043</v>
      </c>
      <c r="K1512" s="213">
        <v>2.8550724637681157</v>
      </c>
      <c r="L1512" s="91"/>
      <c r="M1512" s="174">
        <v>552</v>
      </c>
      <c r="N1512" s="174"/>
      <c r="O1512" s="172" t="s">
        <v>12</v>
      </c>
      <c r="P1512" s="511"/>
      <c r="Q1512" s="173" t="s">
        <v>273</v>
      </c>
      <c r="R1512" s="506" t="s">
        <v>2727</v>
      </c>
      <c r="S1512" s="511"/>
      <c r="T1512" s="214" t="s">
        <v>2306</v>
      </c>
      <c r="U1512" s="214" t="s">
        <v>2312</v>
      </c>
      <c r="V1512" s="102">
        <v>0</v>
      </c>
      <c r="W1512" s="120">
        <f>(60/M1512)*100</f>
        <v>10.869565217391305</v>
      </c>
      <c r="X1512" s="120">
        <v>0</v>
      </c>
      <c r="Y1512" s="120">
        <v>0</v>
      </c>
      <c r="Z1512" s="120">
        <v>0</v>
      </c>
      <c r="AA1512" s="17">
        <v>0</v>
      </c>
      <c r="AB1512" s="17">
        <v>0</v>
      </c>
      <c r="AC1512" s="17">
        <v>0</v>
      </c>
      <c r="AD1512" s="17">
        <v>0</v>
      </c>
      <c r="AE1512" s="17">
        <v>0</v>
      </c>
      <c r="AF1512" s="33">
        <v>0.56032608695652175</v>
      </c>
      <c r="AG1512" s="17">
        <v>0</v>
      </c>
      <c r="AH1512" s="17">
        <v>0</v>
      </c>
      <c r="AI1512" s="17">
        <v>0</v>
      </c>
      <c r="AJ1512" s="33">
        <v>0.13695652173913042</v>
      </c>
      <c r="AK1512" s="17">
        <v>0</v>
      </c>
      <c r="AL1512" s="32">
        <v>0</v>
      </c>
      <c r="AM1512" s="172">
        <v>76.3</v>
      </c>
      <c r="AN1512" s="89"/>
      <c r="AO1512" s="171">
        <v>76.3</v>
      </c>
      <c r="AP1512" s="783">
        <v>39444</v>
      </c>
      <c r="AQ1512" s="17" t="s">
        <v>154</v>
      </c>
      <c r="AR1512" s="174">
        <v>76</v>
      </c>
      <c r="AS1512" s="89"/>
      <c r="AT1512" s="171">
        <v>305</v>
      </c>
      <c r="AU1512" s="255">
        <f t="shared" si="107"/>
        <v>30.41994750656168</v>
      </c>
      <c r="AV1512" s="172">
        <v>100</v>
      </c>
      <c r="AW1512" s="171">
        <v>1</v>
      </c>
      <c r="AX1512" s="171">
        <v>20</v>
      </c>
      <c r="AY1512" s="171">
        <v>20</v>
      </c>
      <c r="AZ1512" s="171">
        <v>0</v>
      </c>
      <c r="BA1512" s="175">
        <v>50</v>
      </c>
      <c r="BB1512" s="259"/>
      <c r="BC1512" s="190"/>
      <c r="BD1512" s="177"/>
      <c r="BE1512" s="177"/>
      <c r="BF1512" s="178"/>
    </row>
    <row r="1513" spans="1:58" ht="15" customHeight="1">
      <c r="A1513" s="95">
        <v>1512</v>
      </c>
      <c r="B1513" s="211" t="s">
        <v>411</v>
      </c>
      <c r="C1513" s="191" t="s">
        <v>2711</v>
      </c>
      <c r="D1513" s="171" t="s">
        <v>119</v>
      </c>
      <c r="E1513" s="463" t="s">
        <v>3377</v>
      </c>
      <c r="F1513" s="171">
        <v>2006</v>
      </c>
      <c r="G1513" s="171">
        <v>345</v>
      </c>
      <c r="H1513" s="172" t="s">
        <v>1738</v>
      </c>
      <c r="I1513" s="173" t="s">
        <v>1743</v>
      </c>
      <c r="J1513" s="212">
        <v>0.38509316770186336</v>
      </c>
      <c r="K1513" s="213">
        <v>3.2629399585921326</v>
      </c>
      <c r="L1513" s="91"/>
      <c r="M1513" s="174">
        <v>483</v>
      </c>
      <c r="N1513" s="174"/>
      <c r="O1513" s="172" t="s">
        <v>12</v>
      </c>
      <c r="P1513" s="511"/>
      <c r="Q1513" s="173" t="s">
        <v>273</v>
      </c>
      <c r="R1513" s="506" t="s">
        <v>2727</v>
      </c>
      <c r="S1513" s="511"/>
      <c r="T1513" s="214" t="s">
        <v>2306</v>
      </c>
      <c r="U1513" s="214" t="s">
        <v>2312</v>
      </c>
      <c r="V1513" s="102">
        <v>0</v>
      </c>
      <c r="W1513" s="120">
        <f>(60/M1513)*100</f>
        <v>12.422360248447205</v>
      </c>
      <c r="X1513" s="120">
        <v>0</v>
      </c>
      <c r="Y1513" s="120">
        <v>0</v>
      </c>
      <c r="Z1513" s="120">
        <v>0</v>
      </c>
      <c r="AA1513" s="17">
        <v>0</v>
      </c>
      <c r="AB1513" s="17">
        <v>0</v>
      </c>
      <c r="AC1513" s="17">
        <v>0</v>
      </c>
      <c r="AD1513" s="17">
        <v>0</v>
      </c>
      <c r="AE1513" s="17">
        <v>0</v>
      </c>
      <c r="AF1513" s="33">
        <v>1.1383022774327123</v>
      </c>
      <c r="AG1513" s="17">
        <v>0</v>
      </c>
      <c r="AH1513" s="17">
        <v>0</v>
      </c>
      <c r="AI1513" s="17">
        <v>0</v>
      </c>
      <c r="AJ1513" s="33">
        <v>0.15652173913043479</v>
      </c>
      <c r="AK1513" s="17">
        <v>0</v>
      </c>
      <c r="AL1513" s="32">
        <v>0</v>
      </c>
      <c r="AM1513" s="172">
        <v>74.5</v>
      </c>
      <c r="AN1513" s="89"/>
      <c r="AO1513" s="171">
        <v>74.5</v>
      </c>
      <c r="AP1513" s="783">
        <v>39163</v>
      </c>
      <c r="AQ1513" s="17" t="s">
        <v>154</v>
      </c>
      <c r="AR1513" s="174">
        <v>76</v>
      </c>
      <c r="AS1513" s="89"/>
      <c r="AT1513" s="171">
        <v>305</v>
      </c>
      <c r="AU1513" s="255">
        <f t="shared" si="107"/>
        <v>30.41994750656168</v>
      </c>
      <c r="AV1513" s="172">
        <v>100</v>
      </c>
      <c r="AW1513" s="171">
        <v>1</v>
      </c>
      <c r="AX1513" s="171">
        <v>20</v>
      </c>
      <c r="AY1513" s="171">
        <v>20</v>
      </c>
      <c r="AZ1513" s="171">
        <v>0</v>
      </c>
      <c r="BA1513" s="175">
        <v>50</v>
      </c>
      <c r="BB1513" s="259"/>
      <c r="BC1513" s="190"/>
      <c r="BD1513" s="177"/>
      <c r="BE1513" s="177"/>
      <c r="BF1513" s="178"/>
    </row>
    <row r="1514" spans="1:58" ht="15" customHeight="1">
      <c r="A1514" s="95">
        <v>1513</v>
      </c>
      <c r="B1514" s="211" t="s">
        <v>412</v>
      </c>
      <c r="C1514" s="191" t="s">
        <v>2711</v>
      </c>
      <c r="D1514" s="171" t="s">
        <v>119</v>
      </c>
      <c r="E1514" s="463" t="s">
        <v>3377</v>
      </c>
      <c r="F1514" s="171">
        <v>2006</v>
      </c>
      <c r="G1514" s="171">
        <v>345</v>
      </c>
      <c r="H1514" s="172" t="s">
        <v>1738</v>
      </c>
      <c r="I1514" s="173" t="s">
        <v>1743</v>
      </c>
      <c r="J1514" s="212">
        <v>0.35976789168278528</v>
      </c>
      <c r="K1514" s="213">
        <v>3.0483558994197293</v>
      </c>
      <c r="L1514" s="91"/>
      <c r="M1514" s="174">
        <v>517</v>
      </c>
      <c r="N1514" s="174"/>
      <c r="O1514" s="172" t="s">
        <v>12</v>
      </c>
      <c r="P1514" s="92"/>
      <c r="Q1514" s="173" t="s">
        <v>273</v>
      </c>
      <c r="R1514" s="506" t="s">
        <v>2727</v>
      </c>
      <c r="S1514" s="511"/>
      <c r="T1514" s="214" t="s">
        <v>2306</v>
      </c>
      <c r="U1514" s="214" t="s">
        <v>2312</v>
      </c>
      <c r="V1514" s="103">
        <f>(34/517)*100</f>
        <v>6.5764023210831715</v>
      </c>
      <c r="W1514" s="120">
        <f>(60/517)*100</f>
        <v>11.605415860735009</v>
      </c>
      <c r="X1514" s="120">
        <v>0</v>
      </c>
      <c r="Y1514" s="120">
        <v>0</v>
      </c>
      <c r="Z1514" s="120">
        <v>0</v>
      </c>
      <c r="AA1514" s="17">
        <v>0</v>
      </c>
      <c r="AB1514" s="17">
        <v>0</v>
      </c>
      <c r="AC1514" s="17">
        <v>0</v>
      </c>
      <c r="AD1514" s="17">
        <v>0</v>
      </c>
      <c r="AE1514" s="17">
        <v>0</v>
      </c>
      <c r="AF1514" s="33">
        <v>0.66460348162475824</v>
      </c>
      <c r="AG1514" s="17">
        <v>0</v>
      </c>
      <c r="AH1514" s="17">
        <v>0</v>
      </c>
      <c r="AI1514" s="17">
        <v>0</v>
      </c>
      <c r="AJ1514" s="33">
        <v>0.14622823984526112</v>
      </c>
      <c r="AK1514" s="17">
        <v>0</v>
      </c>
      <c r="AL1514" s="32">
        <v>0</v>
      </c>
      <c r="AM1514" s="172">
        <v>46.6</v>
      </c>
      <c r="AN1514" s="89"/>
      <c r="AO1514" s="171">
        <v>46.6</v>
      </c>
      <c r="AP1514" s="783">
        <v>40597</v>
      </c>
      <c r="AQ1514" s="17" t="s">
        <v>154</v>
      </c>
      <c r="AR1514" s="174">
        <v>76</v>
      </c>
      <c r="AS1514" s="89"/>
      <c r="AT1514" s="171">
        <v>305</v>
      </c>
      <c r="AU1514" s="255">
        <f t="shared" si="107"/>
        <v>30.41994750656168</v>
      </c>
      <c r="AV1514" s="172">
        <v>100</v>
      </c>
      <c r="AW1514" s="171">
        <v>1</v>
      </c>
      <c r="AX1514" s="171">
        <v>20</v>
      </c>
      <c r="AY1514" s="171">
        <v>20</v>
      </c>
      <c r="AZ1514" s="171">
        <v>0</v>
      </c>
      <c r="BA1514" s="175">
        <v>50</v>
      </c>
      <c r="BB1514" s="259"/>
      <c r="BC1514" s="190"/>
      <c r="BD1514" s="177"/>
      <c r="BE1514" s="177"/>
      <c r="BF1514" s="178"/>
    </row>
    <row r="1515" spans="1:58" ht="15" customHeight="1">
      <c r="A1515" s="95">
        <v>1514</v>
      </c>
      <c r="B1515" s="211" t="s">
        <v>2078</v>
      </c>
      <c r="C1515" s="191" t="s">
        <v>2715</v>
      </c>
      <c r="D1515" s="171" t="s">
        <v>165</v>
      </c>
      <c r="E1515" s="463" t="s">
        <v>3377</v>
      </c>
      <c r="F1515" s="171">
        <v>1993</v>
      </c>
      <c r="G1515" s="171">
        <v>346</v>
      </c>
      <c r="H1515" s="172" t="s">
        <v>1738</v>
      </c>
      <c r="I1515" s="173" t="s">
        <v>1743</v>
      </c>
      <c r="J1515" s="212">
        <v>0.59</v>
      </c>
      <c r="K1515" s="213">
        <v>5.0999999999999996</v>
      </c>
      <c r="L1515" s="91"/>
      <c r="M1515" s="174">
        <v>377.0491803278689</v>
      </c>
      <c r="N1515" s="174"/>
      <c r="O1515" s="172" t="s">
        <v>12</v>
      </c>
      <c r="P1515" s="92"/>
      <c r="Q1515" s="173" t="s">
        <v>273</v>
      </c>
      <c r="R1515" s="511"/>
      <c r="S1515" s="511"/>
      <c r="T1515" s="214" t="s">
        <v>2306</v>
      </c>
      <c r="U1515" s="511"/>
      <c r="V1515" s="102">
        <v>0</v>
      </c>
      <c r="W1515" s="120">
        <v>0</v>
      </c>
      <c r="X1515" s="120">
        <v>0</v>
      </c>
      <c r="Y1515" s="120">
        <v>0</v>
      </c>
      <c r="Z1515" s="120">
        <v>0</v>
      </c>
      <c r="AA1515" s="17">
        <v>0</v>
      </c>
      <c r="AB1515" s="17">
        <v>0</v>
      </c>
      <c r="AC1515" s="17">
        <v>0</v>
      </c>
      <c r="AD1515" s="17">
        <v>0</v>
      </c>
      <c r="AE1515" s="17">
        <v>0</v>
      </c>
      <c r="AF1515" s="17">
        <v>0</v>
      </c>
      <c r="AG1515" s="17">
        <v>0</v>
      </c>
      <c r="AH1515" s="17">
        <v>0</v>
      </c>
      <c r="AI1515" s="17">
        <v>0</v>
      </c>
      <c r="AJ1515" s="17">
        <v>0</v>
      </c>
      <c r="AK1515" s="17">
        <v>0</v>
      </c>
      <c r="AL1515" s="32">
        <v>0</v>
      </c>
      <c r="AM1515" s="172">
        <v>30.1</v>
      </c>
      <c r="AN1515" s="89"/>
      <c r="AO1515" s="171" t="s">
        <v>521</v>
      </c>
      <c r="AP1515" s="783" t="s">
        <v>521</v>
      </c>
      <c r="AQ1515" s="17" t="s">
        <v>533</v>
      </c>
      <c r="AR1515" s="174">
        <v>100</v>
      </c>
      <c r="AS1515" s="89"/>
      <c r="AT1515" s="171">
        <v>300</v>
      </c>
      <c r="AU1515" s="255">
        <f t="shared" ref="AU1515:AU1546" si="108">IF(ISBLANK(AS1515),(AR1515*AT1515)/((4*AT1515)+(2*AR1515)),AR1515*AS1515*AT1515/2/(AR1515*AS1515+AR1515*AT1515+AS1515*AT1515))</f>
        <v>21.428571428571427</v>
      </c>
      <c r="AV1515" s="172">
        <v>85</v>
      </c>
      <c r="AW1515" s="171">
        <v>7</v>
      </c>
      <c r="AX1515" s="171" t="s">
        <v>521</v>
      </c>
      <c r="AY1515" s="171">
        <v>20</v>
      </c>
      <c r="AZ1515" s="171">
        <v>0</v>
      </c>
      <c r="BA1515" s="175">
        <v>65</v>
      </c>
      <c r="BB1515" s="259"/>
      <c r="BC1515" s="190"/>
      <c r="BD1515" s="177"/>
      <c r="BE1515" s="177"/>
      <c r="BF1515" s="178"/>
    </row>
    <row r="1516" spans="1:58">
      <c r="A1516" s="95">
        <v>1515</v>
      </c>
      <c r="B1516" s="211" t="s">
        <v>413</v>
      </c>
      <c r="C1516" s="191" t="s">
        <v>2712</v>
      </c>
      <c r="D1516" s="171" t="s">
        <v>165</v>
      </c>
      <c r="E1516" s="463" t="s">
        <v>3377</v>
      </c>
      <c r="F1516" s="171">
        <v>2002</v>
      </c>
      <c r="G1516" s="171">
        <v>347</v>
      </c>
      <c r="H1516" s="172" t="s">
        <v>1738</v>
      </c>
      <c r="I1516" s="173" t="s">
        <v>1739</v>
      </c>
      <c r="J1516" s="212">
        <v>0.31132075471698112</v>
      </c>
      <c r="K1516" s="213">
        <v>3.1132075471698113</v>
      </c>
      <c r="L1516" s="91"/>
      <c r="M1516" s="171">
        <v>530</v>
      </c>
      <c r="N1516" s="171"/>
      <c r="O1516" s="172" t="s">
        <v>12</v>
      </c>
      <c r="P1516" s="92"/>
      <c r="Q1516" s="173" t="s">
        <v>273</v>
      </c>
      <c r="R1516" s="512" t="s">
        <v>2729</v>
      </c>
      <c r="S1516" s="511"/>
      <c r="T1516" s="511"/>
      <c r="U1516" s="214" t="s">
        <v>2307</v>
      </c>
      <c r="V1516" s="102">
        <v>0</v>
      </c>
      <c r="W1516" s="120">
        <v>0</v>
      </c>
      <c r="X1516" s="120">
        <v>0</v>
      </c>
      <c r="Y1516" s="120">
        <v>0</v>
      </c>
      <c r="Z1516" s="120">
        <v>0</v>
      </c>
      <c r="AA1516" s="17">
        <v>0</v>
      </c>
      <c r="AB1516" s="17">
        <v>0</v>
      </c>
      <c r="AC1516" s="17">
        <v>0</v>
      </c>
      <c r="AD1516" s="17">
        <v>0</v>
      </c>
      <c r="AE1516" s="17">
        <v>0</v>
      </c>
      <c r="AF1516" s="17">
        <v>0</v>
      </c>
      <c r="AG1516" s="17">
        <v>0</v>
      </c>
      <c r="AH1516" s="17">
        <v>0</v>
      </c>
      <c r="AI1516" s="17">
        <v>0</v>
      </c>
      <c r="AJ1516" s="17">
        <v>0</v>
      </c>
      <c r="AK1516" s="17">
        <v>3.6</v>
      </c>
      <c r="AL1516" s="32">
        <v>0</v>
      </c>
      <c r="AM1516" s="172">
        <v>95.205000000000013</v>
      </c>
      <c r="AN1516" s="89"/>
      <c r="AO1516" s="171">
        <v>25.1</v>
      </c>
      <c r="AP1516" s="88"/>
      <c r="AQ1516" s="17" t="s">
        <v>271</v>
      </c>
      <c r="AR1516" s="174">
        <v>100</v>
      </c>
      <c r="AS1516" s="89"/>
      <c r="AT1516" s="171">
        <v>400</v>
      </c>
      <c r="AU1516" s="255">
        <f t="shared" si="108"/>
        <v>22.222222222222221</v>
      </c>
      <c r="AV1516" s="172">
        <v>99</v>
      </c>
      <c r="AW1516" s="171">
        <v>0.25</v>
      </c>
      <c r="AX1516" s="171">
        <v>20</v>
      </c>
      <c r="AY1516" s="171">
        <v>20</v>
      </c>
      <c r="AZ1516" s="89"/>
      <c r="BA1516" s="175">
        <v>99</v>
      </c>
      <c r="BB1516" s="259"/>
      <c r="BC1516" s="190"/>
      <c r="BD1516" s="177"/>
      <c r="BE1516" s="177"/>
      <c r="BF1516" s="178" t="s">
        <v>2521</v>
      </c>
    </row>
    <row r="1517" spans="1:58">
      <c r="A1517" s="95">
        <v>1516</v>
      </c>
      <c r="B1517" s="211" t="s">
        <v>414</v>
      </c>
      <c r="C1517" s="191" t="s">
        <v>2712</v>
      </c>
      <c r="D1517" s="171" t="s">
        <v>165</v>
      </c>
      <c r="E1517" s="463" t="s">
        <v>3377</v>
      </c>
      <c r="F1517" s="171">
        <v>2002</v>
      </c>
      <c r="G1517" s="171">
        <v>347</v>
      </c>
      <c r="H1517" s="172" t="s">
        <v>1738</v>
      </c>
      <c r="I1517" s="173" t="s">
        <v>1739</v>
      </c>
      <c r="J1517" s="212">
        <v>0.3</v>
      </c>
      <c r="K1517" s="213">
        <v>3</v>
      </c>
      <c r="L1517" s="91"/>
      <c r="M1517" s="171">
        <v>550</v>
      </c>
      <c r="N1517" s="171"/>
      <c r="O1517" s="172" t="s">
        <v>12</v>
      </c>
      <c r="P1517" s="92"/>
      <c r="Q1517" s="173" t="s">
        <v>273</v>
      </c>
      <c r="R1517" s="512" t="s">
        <v>2729</v>
      </c>
      <c r="S1517" s="511"/>
      <c r="T1517" s="511"/>
      <c r="U1517" s="214" t="s">
        <v>2307</v>
      </c>
      <c r="V1517" s="102">
        <v>0</v>
      </c>
      <c r="W1517" s="120">
        <v>0</v>
      </c>
      <c r="X1517" s="120">
        <v>0</v>
      </c>
      <c r="Y1517" s="120">
        <v>0</v>
      </c>
      <c r="Z1517" s="120">
        <v>0</v>
      </c>
      <c r="AA1517" s="17">
        <v>0</v>
      </c>
      <c r="AB1517" s="17">
        <v>0</v>
      </c>
      <c r="AC1517" s="17">
        <v>0</v>
      </c>
      <c r="AD1517" s="17">
        <v>0</v>
      </c>
      <c r="AE1517" s="17">
        <v>0</v>
      </c>
      <c r="AF1517" s="17">
        <v>0</v>
      </c>
      <c r="AG1517" s="17">
        <v>0</v>
      </c>
      <c r="AH1517" s="17">
        <v>0</v>
      </c>
      <c r="AI1517" s="17">
        <v>0</v>
      </c>
      <c r="AJ1517" s="17">
        <v>0</v>
      </c>
      <c r="AK1517" s="17">
        <v>0</v>
      </c>
      <c r="AL1517" s="32">
        <v>0</v>
      </c>
      <c r="AM1517" s="172">
        <v>107.91000000000001</v>
      </c>
      <c r="AN1517" s="89"/>
      <c r="AO1517" s="171">
        <v>25.6</v>
      </c>
      <c r="AP1517" s="88"/>
      <c r="AQ1517" s="17" t="s">
        <v>271</v>
      </c>
      <c r="AR1517" s="174">
        <v>100</v>
      </c>
      <c r="AS1517" s="89"/>
      <c r="AT1517" s="171">
        <v>400</v>
      </c>
      <c r="AU1517" s="255">
        <f t="shared" si="108"/>
        <v>22.222222222222221</v>
      </c>
      <c r="AV1517" s="172">
        <v>99</v>
      </c>
      <c r="AW1517" s="171">
        <v>0.25</v>
      </c>
      <c r="AX1517" s="171">
        <v>20</v>
      </c>
      <c r="AY1517" s="171">
        <v>20</v>
      </c>
      <c r="AZ1517" s="89"/>
      <c r="BA1517" s="175">
        <v>99</v>
      </c>
      <c r="BB1517" s="259"/>
      <c r="BC1517" s="190"/>
      <c r="BD1517" s="177"/>
      <c r="BE1517" s="177"/>
      <c r="BF1517" s="178" t="s">
        <v>2522</v>
      </c>
    </row>
    <row r="1518" spans="1:58">
      <c r="A1518" s="95">
        <v>1517</v>
      </c>
      <c r="B1518" s="211" t="s">
        <v>415</v>
      </c>
      <c r="C1518" s="191" t="s">
        <v>2712</v>
      </c>
      <c r="D1518" s="171" t="s">
        <v>165</v>
      </c>
      <c r="E1518" s="463" t="s">
        <v>3377</v>
      </c>
      <c r="F1518" s="171">
        <v>2002</v>
      </c>
      <c r="G1518" s="171">
        <v>347</v>
      </c>
      <c r="H1518" s="172" t="s">
        <v>1738</v>
      </c>
      <c r="I1518" s="173" t="s">
        <v>1739</v>
      </c>
      <c r="J1518" s="212">
        <v>0.3</v>
      </c>
      <c r="K1518" s="213">
        <v>3</v>
      </c>
      <c r="L1518" s="91"/>
      <c r="M1518" s="171">
        <v>550</v>
      </c>
      <c r="N1518" s="171"/>
      <c r="O1518" s="172" t="s">
        <v>12</v>
      </c>
      <c r="P1518" s="511"/>
      <c r="Q1518" s="173" t="s">
        <v>273</v>
      </c>
      <c r="R1518" s="66" t="s">
        <v>2729</v>
      </c>
      <c r="S1518" s="511"/>
      <c r="T1518" s="511"/>
      <c r="U1518" s="214" t="s">
        <v>2307</v>
      </c>
      <c r="V1518" s="102">
        <v>0</v>
      </c>
      <c r="W1518" s="120">
        <v>0</v>
      </c>
      <c r="X1518" s="120">
        <v>0</v>
      </c>
      <c r="Y1518" s="120">
        <v>0</v>
      </c>
      <c r="Z1518" s="120">
        <v>0</v>
      </c>
      <c r="AA1518" s="17">
        <v>0</v>
      </c>
      <c r="AB1518" s="17">
        <v>0</v>
      </c>
      <c r="AC1518" s="17">
        <v>0</v>
      </c>
      <c r="AD1518" s="17">
        <v>0</v>
      </c>
      <c r="AE1518" s="17">
        <v>0</v>
      </c>
      <c r="AF1518" s="17">
        <v>0</v>
      </c>
      <c r="AG1518" s="17">
        <v>0</v>
      </c>
      <c r="AH1518" s="17">
        <v>1</v>
      </c>
      <c r="AI1518" s="17">
        <v>0</v>
      </c>
      <c r="AJ1518" s="17">
        <v>0</v>
      </c>
      <c r="AK1518" s="17">
        <v>0</v>
      </c>
      <c r="AL1518" s="32">
        <v>0</v>
      </c>
      <c r="AM1518" s="172">
        <v>105.76499999999999</v>
      </c>
      <c r="AN1518" s="89"/>
      <c r="AO1518" s="171">
        <v>24.9</v>
      </c>
      <c r="AP1518" s="88"/>
      <c r="AQ1518" s="17" t="s">
        <v>271</v>
      </c>
      <c r="AR1518" s="174">
        <v>100</v>
      </c>
      <c r="AS1518" s="89"/>
      <c r="AT1518" s="171">
        <v>400</v>
      </c>
      <c r="AU1518" s="255">
        <f t="shared" si="108"/>
        <v>22.222222222222221</v>
      </c>
      <c r="AV1518" s="172">
        <v>99</v>
      </c>
      <c r="AW1518" s="171">
        <v>0.25</v>
      </c>
      <c r="AX1518" s="171">
        <v>20</v>
      </c>
      <c r="AY1518" s="171">
        <v>20</v>
      </c>
      <c r="AZ1518" s="89"/>
      <c r="BA1518" s="175">
        <v>99</v>
      </c>
      <c r="BB1518" s="259"/>
      <c r="BC1518" s="190"/>
      <c r="BD1518" s="177"/>
      <c r="BE1518" s="177"/>
      <c r="BF1518" s="178" t="s">
        <v>3462</v>
      </c>
    </row>
    <row r="1519" spans="1:58">
      <c r="A1519" s="95">
        <v>1518</v>
      </c>
      <c r="B1519" s="211" t="s">
        <v>2079</v>
      </c>
      <c r="C1519" s="191" t="s">
        <v>2659</v>
      </c>
      <c r="D1519" s="171" t="s">
        <v>165</v>
      </c>
      <c r="E1519" s="463" t="s">
        <v>3377</v>
      </c>
      <c r="F1519" s="171">
        <v>1993</v>
      </c>
      <c r="G1519" s="171">
        <v>348</v>
      </c>
      <c r="H1519" s="172" t="s">
        <v>1745</v>
      </c>
      <c r="I1519" s="173" t="s">
        <v>1739</v>
      </c>
      <c r="J1519" s="212">
        <v>0.17</v>
      </c>
      <c r="K1519" s="213">
        <v>1.47</v>
      </c>
      <c r="L1519" s="91"/>
      <c r="M1519" s="171">
        <v>864</v>
      </c>
      <c r="N1519" s="171"/>
      <c r="O1519" s="172" t="s">
        <v>12</v>
      </c>
      <c r="P1519" s="511"/>
      <c r="Q1519" s="173" t="s">
        <v>273</v>
      </c>
      <c r="R1519" s="171" t="s">
        <v>2732</v>
      </c>
      <c r="S1519" s="511"/>
      <c r="T1519" s="511"/>
      <c r="U1519" s="214" t="s">
        <v>2318</v>
      </c>
      <c r="V1519" s="103">
        <f>(10/864)*100</f>
        <v>1.1574074074074074</v>
      </c>
      <c r="W1519" s="120">
        <v>0</v>
      </c>
      <c r="X1519" s="120">
        <v>0</v>
      </c>
      <c r="Y1519" s="120">
        <v>0</v>
      </c>
      <c r="Z1519" s="120">
        <v>0</v>
      </c>
      <c r="AA1519" s="17">
        <v>0</v>
      </c>
      <c r="AB1519" s="17">
        <v>0</v>
      </c>
      <c r="AC1519" s="17">
        <v>0</v>
      </c>
      <c r="AD1519" s="17">
        <v>0</v>
      </c>
      <c r="AE1519" s="17">
        <v>0</v>
      </c>
      <c r="AF1519" s="33">
        <f>(2/1287)*100</f>
        <v>0.15540015540015539</v>
      </c>
      <c r="AG1519" s="17">
        <v>0</v>
      </c>
      <c r="AH1519" s="17">
        <v>0</v>
      </c>
      <c r="AI1519" s="17">
        <v>0</v>
      </c>
      <c r="AJ1519" s="17">
        <v>0</v>
      </c>
      <c r="AK1519" s="17">
        <v>0</v>
      </c>
      <c r="AL1519" s="32">
        <v>0</v>
      </c>
      <c r="AM1519" s="172" t="s">
        <v>521</v>
      </c>
      <c r="AN1519" s="89"/>
      <c r="AO1519" s="171" t="s">
        <v>521</v>
      </c>
      <c r="AP1519" s="783" t="s">
        <v>521</v>
      </c>
      <c r="AQ1519" s="17" t="s">
        <v>2285</v>
      </c>
      <c r="AR1519" s="174">
        <v>400</v>
      </c>
      <c r="AS1519" s="89"/>
      <c r="AT1519" s="171">
        <v>1600</v>
      </c>
      <c r="AU1519" s="255">
        <f t="shared" si="108"/>
        <v>88.888888888888886</v>
      </c>
      <c r="AV1519" s="172">
        <v>99</v>
      </c>
      <c r="AW1519" s="171">
        <v>0.17</v>
      </c>
      <c r="AX1519" s="171">
        <v>20</v>
      </c>
      <c r="AY1519" s="171" t="s">
        <v>521</v>
      </c>
      <c r="AZ1519" s="171">
        <v>0</v>
      </c>
      <c r="BA1519" s="175">
        <v>99</v>
      </c>
      <c r="BB1519" s="259"/>
      <c r="BC1519" s="190"/>
      <c r="BD1519" s="177"/>
      <c r="BE1519" s="177"/>
      <c r="BF1519" s="178" t="s">
        <v>2303</v>
      </c>
    </row>
    <row r="1520" spans="1:58">
      <c r="A1520" s="95">
        <v>1519</v>
      </c>
      <c r="B1520" s="211" t="s">
        <v>2080</v>
      </c>
      <c r="C1520" s="191" t="s">
        <v>2659</v>
      </c>
      <c r="D1520" s="171" t="s">
        <v>165</v>
      </c>
      <c r="E1520" s="463" t="s">
        <v>3377</v>
      </c>
      <c r="F1520" s="171">
        <v>1993</v>
      </c>
      <c r="G1520" s="171">
        <v>348</v>
      </c>
      <c r="H1520" s="172" t="s">
        <v>1745</v>
      </c>
      <c r="I1520" s="173" t="s">
        <v>1739</v>
      </c>
      <c r="J1520" s="212">
        <v>0.23</v>
      </c>
      <c r="K1520" s="213">
        <v>0</v>
      </c>
      <c r="L1520" s="91"/>
      <c r="M1520" s="171">
        <v>670</v>
      </c>
      <c r="N1520" s="171"/>
      <c r="O1520" s="172" t="s">
        <v>12</v>
      </c>
      <c r="P1520" s="511"/>
      <c r="Q1520" s="173" t="s">
        <v>273</v>
      </c>
      <c r="R1520" s="171" t="s">
        <v>2732</v>
      </c>
      <c r="S1520" s="511"/>
      <c r="T1520" s="511"/>
      <c r="U1520" s="214" t="s">
        <v>2318</v>
      </c>
      <c r="V1520" s="103">
        <f>(10/670)*100</f>
        <v>1.4925373134328357</v>
      </c>
      <c r="W1520" s="120">
        <v>0</v>
      </c>
      <c r="X1520" s="120">
        <v>0</v>
      </c>
      <c r="Y1520" s="120">
        <v>0</v>
      </c>
      <c r="Z1520" s="120">
        <v>0</v>
      </c>
      <c r="AA1520" s="17">
        <v>0</v>
      </c>
      <c r="AB1520" s="17">
        <v>0</v>
      </c>
      <c r="AC1520" s="17">
        <v>0</v>
      </c>
      <c r="AD1520" s="17">
        <v>0</v>
      </c>
      <c r="AE1520" s="17">
        <v>0</v>
      </c>
      <c r="AF1520" s="33">
        <f>(0.6/1224)*100</f>
        <v>4.9019607843137254E-2</v>
      </c>
      <c r="AG1520" s="17">
        <v>0</v>
      </c>
      <c r="AH1520" s="17">
        <v>0</v>
      </c>
      <c r="AI1520" s="17">
        <v>0</v>
      </c>
      <c r="AJ1520" s="17">
        <v>0</v>
      </c>
      <c r="AK1520" s="17">
        <v>0</v>
      </c>
      <c r="AL1520" s="32">
        <v>0</v>
      </c>
      <c r="AM1520" s="172" t="s">
        <v>521</v>
      </c>
      <c r="AN1520" s="89"/>
      <c r="AO1520" s="171" t="s">
        <v>521</v>
      </c>
      <c r="AP1520" s="783" t="s">
        <v>521</v>
      </c>
      <c r="AQ1520" s="17" t="s">
        <v>2285</v>
      </c>
      <c r="AR1520" s="174">
        <v>400</v>
      </c>
      <c r="AS1520" s="89"/>
      <c r="AT1520" s="171">
        <v>1600</v>
      </c>
      <c r="AU1520" s="255">
        <f t="shared" si="108"/>
        <v>88.888888888888886</v>
      </c>
      <c r="AV1520" s="172">
        <v>99</v>
      </c>
      <c r="AW1520" s="171">
        <v>0.13</v>
      </c>
      <c r="AX1520" s="171">
        <v>20</v>
      </c>
      <c r="AY1520" s="171" t="s">
        <v>521</v>
      </c>
      <c r="AZ1520" s="171">
        <v>0</v>
      </c>
      <c r="BA1520" s="175">
        <v>99</v>
      </c>
      <c r="BB1520" s="259"/>
      <c r="BC1520" s="190"/>
      <c r="BD1520" s="177"/>
      <c r="BE1520" s="177"/>
      <c r="BF1520" s="178" t="s">
        <v>2303</v>
      </c>
    </row>
    <row r="1521" spans="1:58">
      <c r="A1521" s="95">
        <v>1520</v>
      </c>
      <c r="B1521" s="211" t="s">
        <v>2081</v>
      </c>
      <c r="C1521" s="191" t="s">
        <v>2659</v>
      </c>
      <c r="D1521" s="171" t="s">
        <v>165</v>
      </c>
      <c r="E1521" s="463" t="s">
        <v>3377</v>
      </c>
      <c r="F1521" s="171">
        <v>1993</v>
      </c>
      <c r="G1521" s="171">
        <v>348</v>
      </c>
      <c r="H1521" s="172" t="s">
        <v>1745</v>
      </c>
      <c r="I1521" s="173" t="s">
        <v>1739</v>
      </c>
      <c r="J1521" s="212">
        <v>0.3</v>
      </c>
      <c r="K1521" s="213">
        <v>0</v>
      </c>
      <c r="L1521" s="91"/>
      <c r="M1521" s="171">
        <v>533</v>
      </c>
      <c r="N1521" s="171"/>
      <c r="O1521" s="172" t="s">
        <v>12</v>
      </c>
      <c r="P1521" s="92"/>
      <c r="Q1521" s="173" t="s">
        <v>273</v>
      </c>
      <c r="R1521" s="171" t="s">
        <v>2732</v>
      </c>
      <c r="S1521" s="511"/>
      <c r="T1521" s="511"/>
      <c r="U1521" s="214" t="s">
        <v>2318</v>
      </c>
      <c r="V1521" s="102">
        <v>0</v>
      </c>
      <c r="W1521" s="120">
        <v>0</v>
      </c>
      <c r="X1521" s="120">
        <v>0</v>
      </c>
      <c r="Y1521" s="120">
        <v>0</v>
      </c>
      <c r="Z1521" s="120">
        <v>0</v>
      </c>
      <c r="AA1521" s="17">
        <v>0</v>
      </c>
      <c r="AB1521" s="17">
        <v>0</v>
      </c>
      <c r="AC1521" s="17">
        <v>0</v>
      </c>
      <c r="AD1521" s="17">
        <v>0</v>
      </c>
      <c r="AE1521" s="17">
        <v>0</v>
      </c>
      <c r="AF1521" s="17">
        <v>0</v>
      </c>
      <c r="AG1521" s="17">
        <v>0</v>
      </c>
      <c r="AH1521" s="17">
        <v>0</v>
      </c>
      <c r="AI1521" s="17">
        <v>0</v>
      </c>
      <c r="AJ1521" s="17">
        <v>0</v>
      </c>
      <c r="AK1521" s="17">
        <v>0</v>
      </c>
      <c r="AL1521" s="32">
        <v>0</v>
      </c>
      <c r="AM1521" s="172" t="s">
        <v>521</v>
      </c>
      <c r="AN1521" s="89"/>
      <c r="AO1521" s="171" t="s">
        <v>521</v>
      </c>
      <c r="AP1521" s="783" t="s">
        <v>521</v>
      </c>
      <c r="AQ1521" s="17" t="s">
        <v>2285</v>
      </c>
      <c r="AR1521" s="174">
        <v>400</v>
      </c>
      <c r="AS1521" s="89"/>
      <c r="AT1521" s="171">
        <v>1600</v>
      </c>
      <c r="AU1521" s="255">
        <f t="shared" si="108"/>
        <v>88.888888888888886</v>
      </c>
      <c r="AV1521" s="172">
        <v>99</v>
      </c>
      <c r="AW1521" s="171">
        <v>0.12</v>
      </c>
      <c r="AX1521" s="171">
        <v>20</v>
      </c>
      <c r="AY1521" s="171" t="s">
        <v>521</v>
      </c>
      <c r="AZ1521" s="171">
        <v>0</v>
      </c>
      <c r="BA1521" s="175">
        <v>99</v>
      </c>
      <c r="BB1521" s="259"/>
      <c r="BC1521" s="190"/>
      <c r="BD1521" s="177"/>
      <c r="BE1521" s="177"/>
      <c r="BF1521" s="178" t="s">
        <v>2303</v>
      </c>
    </row>
    <row r="1522" spans="1:58">
      <c r="A1522" s="95">
        <v>1521</v>
      </c>
      <c r="B1522" s="211" t="s">
        <v>2082</v>
      </c>
      <c r="C1522" s="191" t="s">
        <v>2659</v>
      </c>
      <c r="D1522" s="171" t="s">
        <v>165</v>
      </c>
      <c r="E1522" s="463" t="s">
        <v>3377</v>
      </c>
      <c r="F1522" s="171">
        <v>1993</v>
      </c>
      <c r="G1522" s="171">
        <v>348</v>
      </c>
      <c r="H1522" s="172" t="s">
        <v>1745</v>
      </c>
      <c r="I1522" s="173" t="s">
        <v>1739</v>
      </c>
      <c r="J1522" s="212">
        <v>0.23</v>
      </c>
      <c r="K1522" s="213">
        <v>0</v>
      </c>
      <c r="L1522" s="91"/>
      <c r="M1522" s="171">
        <v>670</v>
      </c>
      <c r="N1522" s="171"/>
      <c r="O1522" s="172" t="s">
        <v>12</v>
      </c>
      <c r="P1522" s="92"/>
      <c r="Q1522" s="173" t="s">
        <v>273</v>
      </c>
      <c r="R1522" s="171" t="s">
        <v>2732</v>
      </c>
      <c r="S1522" s="511"/>
      <c r="T1522" s="511"/>
      <c r="U1522" s="214" t="s">
        <v>2318</v>
      </c>
      <c r="V1522" s="102">
        <v>0</v>
      </c>
      <c r="W1522" s="120">
        <v>0</v>
      </c>
      <c r="X1522" s="120">
        <v>0</v>
      </c>
      <c r="Y1522" s="120">
        <v>0</v>
      </c>
      <c r="Z1522" s="120">
        <v>0</v>
      </c>
      <c r="AA1522" s="17">
        <v>0</v>
      </c>
      <c r="AB1522" s="17">
        <v>0</v>
      </c>
      <c r="AC1522" s="17">
        <v>0</v>
      </c>
      <c r="AD1522" s="17">
        <v>0</v>
      </c>
      <c r="AE1522" s="17">
        <v>0</v>
      </c>
      <c r="AF1522" s="59">
        <f>(0.6/1224)*100</f>
        <v>4.9019607843137254E-2</v>
      </c>
      <c r="AG1522" s="17">
        <v>0</v>
      </c>
      <c r="AH1522" s="17">
        <v>0</v>
      </c>
      <c r="AI1522" s="17">
        <v>0</v>
      </c>
      <c r="AJ1522" s="17">
        <v>0</v>
      </c>
      <c r="AK1522" s="17">
        <v>0</v>
      </c>
      <c r="AL1522" s="32">
        <v>0</v>
      </c>
      <c r="AM1522" s="172" t="s">
        <v>521</v>
      </c>
      <c r="AN1522" s="89"/>
      <c r="AO1522" s="171" t="s">
        <v>521</v>
      </c>
      <c r="AP1522" s="783" t="s">
        <v>521</v>
      </c>
      <c r="AQ1522" s="17" t="s">
        <v>2285</v>
      </c>
      <c r="AR1522" s="174">
        <v>400</v>
      </c>
      <c r="AS1522" s="89"/>
      <c r="AT1522" s="171">
        <v>1600</v>
      </c>
      <c r="AU1522" s="255">
        <f t="shared" si="108"/>
        <v>88.888888888888886</v>
      </c>
      <c r="AV1522" s="172">
        <v>99</v>
      </c>
      <c r="AW1522" s="171">
        <v>0.17</v>
      </c>
      <c r="AX1522" s="171">
        <v>20</v>
      </c>
      <c r="AY1522" s="171" t="s">
        <v>521</v>
      </c>
      <c r="AZ1522" s="171">
        <v>0</v>
      </c>
      <c r="BA1522" s="175">
        <v>99</v>
      </c>
      <c r="BB1522" s="259"/>
      <c r="BC1522" s="190"/>
      <c r="BD1522" s="177"/>
      <c r="BE1522" s="177"/>
      <c r="BF1522" s="178" t="s">
        <v>2303</v>
      </c>
    </row>
    <row r="1523" spans="1:58">
      <c r="A1523" s="95">
        <v>1522</v>
      </c>
      <c r="B1523" s="211" t="s">
        <v>2083</v>
      </c>
      <c r="C1523" s="191" t="s">
        <v>2659</v>
      </c>
      <c r="D1523" s="171" t="s">
        <v>165</v>
      </c>
      <c r="E1523" s="463" t="s">
        <v>3377</v>
      </c>
      <c r="F1523" s="171">
        <v>1993</v>
      </c>
      <c r="G1523" s="171">
        <v>348</v>
      </c>
      <c r="H1523" s="172" t="s">
        <v>1745</v>
      </c>
      <c r="I1523" s="173" t="s">
        <v>1739</v>
      </c>
      <c r="J1523" s="212">
        <v>0.4</v>
      </c>
      <c r="K1523" s="213">
        <v>0</v>
      </c>
      <c r="L1523" s="91"/>
      <c r="M1523" s="171">
        <v>450</v>
      </c>
      <c r="N1523" s="171"/>
      <c r="O1523" s="172" t="s">
        <v>12</v>
      </c>
      <c r="P1523" s="92"/>
      <c r="Q1523" s="173" t="s">
        <v>273</v>
      </c>
      <c r="R1523" s="171" t="s">
        <v>2732</v>
      </c>
      <c r="S1523" s="511"/>
      <c r="T1523" s="511"/>
      <c r="U1523" s="214" t="s">
        <v>2318</v>
      </c>
      <c r="V1523" s="102">
        <v>0</v>
      </c>
      <c r="W1523" s="120">
        <v>0</v>
      </c>
      <c r="X1523" s="120">
        <v>0</v>
      </c>
      <c r="Y1523" s="120">
        <v>0</v>
      </c>
      <c r="Z1523" s="120">
        <v>0</v>
      </c>
      <c r="AA1523" s="17">
        <v>0</v>
      </c>
      <c r="AB1523" s="17">
        <v>0</v>
      </c>
      <c r="AC1523" s="17">
        <v>0</v>
      </c>
      <c r="AD1523" s="17">
        <v>0</v>
      </c>
      <c r="AE1523" s="17">
        <v>0</v>
      </c>
      <c r="AF1523" s="17">
        <v>0</v>
      </c>
      <c r="AG1523" s="17">
        <v>0</v>
      </c>
      <c r="AH1523" s="17">
        <v>0</v>
      </c>
      <c r="AI1523" s="17">
        <v>0</v>
      </c>
      <c r="AJ1523" s="17">
        <v>0</v>
      </c>
      <c r="AK1523" s="17">
        <v>0</v>
      </c>
      <c r="AL1523" s="32">
        <v>0</v>
      </c>
      <c r="AM1523" s="172" t="s">
        <v>521</v>
      </c>
      <c r="AN1523" s="89"/>
      <c r="AO1523" s="171" t="s">
        <v>521</v>
      </c>
      <c r="AP1523" s="783" t="s">
        <v>521</v>
      </c>
      <c r="AQ1523" s="17" t="s">
        <v>2285</v>
      </c>
      <c r="AR1523" s="174">
        <v>400</v>
      </c>
      <c r="AS1523" s="89"/>
      <c r="AT1523" s="171">
        <v>1600</v>
      </c>
      <c r="AU1523" s="255">
        <f t="shared" si="108"/>
        <v>88.888888888888886</v>
      </c>
      <c r="AV1523" s="172">
        <v>99</v>
      </c>
      <c r="AW1523" s="171">
        <v>0.25</v>
      </c>
      <c r="AX1523" s="171">
        <v>20</v>
      </c>
      <c r="AY1523" s="171" t="s">
        <v>521</v>
      </c>
      <c r="AZ1523" s="171">
        <v>0</v>
      </c>
      <c r="BA1523" s="175">
        <v>99</v>
      </c>
      <c r="BB1523" s="259"/>
      <c r="BC1523" s="190"/>
      <c r="BD1523" s="177"/>
      <c r="BE1523" s="177"/>
      <c r="BF1523" s="178" t="s">
        <v>2303</v>
      </c>
    </row>
    <row r="1524" spans="1:58">
      <c r="A1524" s="95">
        <v>1523</v>
      </c>
      <c r="B1524" s="211" t="s">
        <v>2084</v>
      </c>
      <c r="C1524" s="191" t="s">
        <v>2659</v>
      </c>
      <c r="D1524" s="171" t="s">
        <v>165</v>
      </c>
      <c r="E1524" s="463" t="s">
        <v>3377</v>
      </c>
      <c r="F1524" s="171">
        <v>1993</v>
      </c>
      <c r="G1524" s="171">
        <v>348</v>
      </c>
      <c r="H1524" s="172" t="s">
        <v>1745</v>
      </c>
      <c r="I1524" s="173" t="s">
        <v>1739</v>
      </c>
      <c r="J1524" s="212">
        <v>0.3</v>
      </c>
      <c r="K1524" s="213">
        <v>0</v>
      </c>
      <c r="L1524" s="91"/>
      <c r="M1524" s="171">
        <v>533</v>
      </c>
      <c r="N1524" s="171"/>
      <c r="O1524" s="172" t="s">
        <v>12</v>
      </c>
      <c r="P1524" s="92"/>
      <c r="Q1524" s="173" t="s">
        <v>273</v>
      </c>
      <c r="R1524" s="171" t="s">
        <v>2732</v>
      </c>
      <c r="S1524" s="511"/>
      <c r="T1524" s="511"/>
      <c r="U1524" s="214" t="s">
        <v>2318</v>
      </c>
      <c r="V1524" s="102">
        <v>0</v>
      </c>
      <c r="W1524" s="120">
        <v>0</v>
      </c>
      <c r="X1524" s="120">
        <v>0</v>
      </c>
      <c r="Y1524" s="120">
        <v>0</v>
      </c>
      <c r="Z1524" s="120">
        <v>0</v>
      </c>
      <c r="AA1524" s="17">
        <v>0</v>
      </c>
      <c r="AB1524" s="17">
        <v>0</v>
      </c>
      <c r="AC1524" s="17">
        <v>0</v>
      </c>
      <c r="AD1524" s="17">
        <v>0</v>
      </c>
      <c r="AE1524" s="17">
        <v>0</v>
      </c>
      <c r="AF1524" s="17">
        <v>0</v>
      </c>
      <c r="AG1524" s="17">
        <v>0</v>
      </c>
      <c r="AH1524" s="17">
        <v>0</v>
      </c>
      <c r="AI1524" s="17">
        <v>0</v>
      </c>
      <c r="AJ1524" s="17">
        <v>0</v>
      </c>
      <c r="AK1524" s="17">
        <v>0</v>
      </c>
      <c r="AL1524" s="32">
        <v>0</v>
      </c>
      <c r="AM1524" s="172" t="s">
        <v>521</v>
      </c>
      <c r="AN1524" s="89"/>
      <c r="AO1524" s="171" t="s">
        <v>521</v>
      </c>
      <c r="AP1524" s="783" t="s">
        <v>521</v>
      </c>
      <c r="AQ1524" s="17" t="s">
        <v>2285</v>
      </c>
      <c r="AR1524" s="174">
        <v>400</v>
      </c>
      <c r="AS1524" s="89"/>
      <c r="AT1524" s="171">
        <v>1600</v>
      </c>
      <c r="AU1524" s="255">
        <f t="shared" si="108"/>
        <v>88.888888888888886</v>
      </c>
      <c r="AV1524" s="172">
        <v>99</v>
      </c>
      <c r="AW1524" s="171">
        <v>0.17</v>
      </c>
      <c r="AX1524" s="171">
        <v>20</v>
      </c>
      <c r="AY1524" s="171" t="s">
        <v>521</v>
      </c>
      <c r="AZ1524" s="171">
        <v>0</v>
      </c>
      <c r="BA1524" s="175">
        <v>99</v>
      </c>
      <c r="BB1524" s="259"/>
      <c r="BC1524" s="190"/>
      <c r="BD1524" s="177"/>
      <c r="BE1524" s="177"/>
      <c r="BF1524" s="178" t="s">
        <v>2303</v>
      </c>
    </row>
    <row r="1525" spans="1:58">
      <c r="A1525" s="95">
        <v>1524</v>
      </c>
      <c r="B1525" s="211" t="s">
        <v>2085</v>
      </c>
      <c r="C1525" s="191" t="s">
        <v>2659</v>
      </c>
      <c r="D1525" s="171" t="s">
        <v>165</v>
      </c>
      <c r="E1525" s="463" t="s">
        <v>3377</v>
      </c>
      <c r="F1525" s="171">
        <v>1993</v>
      </c>
      <c r="G1525" s="171">
        <v>348</v>
      </c>
      <c r="H1525" s="172" t="s">
        <v>1745</v>
      </c>
      <c r="I1525" s="173" t="s">
        <v>1739</v>
      </c>
      <c r="J1525" s="212">
        <v>0.3</v>
      </c>
      <c r="K1525" s="213">
        <v>0</v>
      </c>
      <c r="L1525" s="91"/>
      <c r="M1525" s="171">
        <v>533</v>
      </c>
      <c r="N1525" s="171"/>
      <c r="O1525" s="172" t="s">
        <v>12</v>
      </c>
      <c r="P1525" s="92"/>
      <c r="Q1525" s="173" t="s">
        <v>273</v>
      </c>
      <c r="R1525" s="511"/>
      <c r="S1525" s="511"/>
      <c r="T1525" s="511"/>
      <c r="U1525" s="89"/>
      <c r="V1525" s="102">
        <v>0</v>
      </c>
      <c r="W1525" s="120">
        <v>0</v>
      </c>
      <c r="X1525" s="120">
        <v>0</v>
      </c>
      <c r="Y1525" s="120">
        <v>0</v>
      </c>
      <c r="Z1525" s="120">
        <v>0</v>
      </c>
      <c r="AA1525" s="17">
        <v>0</v>
      </c>
      <c r="AB1525" s="17">
        <v>0</v>
      </c>
      <c r="AC1525" s="17">
        <v>0</v>
      </c>
      <c r="AD1525" s="17">
        <v>0</v>
      </c>
      <c r="AE1525" s="17">
        <v>0</v>
      </c>
      <c r="AF1525" s="17">
        <v>0</v>
      </c>
      <c r="AG1525" s="17">
        <v>0</v>
      </c>
      <c r="AH1525" s="17">
        <v>0</v>
      </c>
      <c r="AI1525" s="17">
        <v>0</v>
      </c>
      <c r="AJ1525" s="17">
        <v>0</v>
      </c>
      <c r="AK1525" s="17">
        <v>0</v>
      </c>
      <c r="AL1525" s="32">
        <v>0</v>
      </c>
      <c r="AM1525" s="172" t="s">
        <v>521</v>
      </c>
      <c r="AN1525" s="89"/>
      <c r="AO1525" s="171" t="s">
        <v>521</v>
      </c>
      <c r="AP1525" s="783" t="s">
        <v>521</v>
      </c>
      <c r="AQ1525" s="17" t="s">
        <v>2285</v>
      </c>
      <c r="AR1525" s="174">
        <v>400</v>
      </c>
      <c r="AS1525" s="89"/>
      <c r="AT1525" s="171">
        <v>1600</v>
      </c>
      <c r="AU1525" s="255">
        <f t="shared" si="108"/>
        <v>88.888888888888886</v>
      </c>
      <c r="AV1525" s="172">
        <v>99</v>
      </c>
      <c r="AW1525" s="171">
        <v>0.31</v>
      </c>
      <c r="AX1525" s="171">
        <v>20</v>
      </c>
      <c r="AY1525" s="171" t="s">
        <v>521</v>
      </c>
      <c r="AZ1525" s="171">
        <v>0</v>
      </c>
      <c r="BA1525" s="175">
        <v>99</v>
      </c>
      <c r="BB1525" s="259"/>
      <c r="BC1525" s="190"/>
      <c r="BD1525" s="177"/>
      <c r="BE1525" s="177"/>
      <c r="BF1525" s="178" t="s">
        <v>2303</v>
      </c>
    </row>
    <row r="1526" spans="1:58">
      <c r="A1526" s="95">
        <v>1525</v>
      </c>
      <c r="B1526" s="211" t="s">
        <v>2086</v>
      </c>
      <c r="C1526" s="191" t="s">
        <v>2659</v>
      </c>
      <c r="D1526" s="171" t="s">
        <v>165</v>
      </c>
      <c r="E1526" s="463" t="s">
        <v>3377</v>
      </c>
      <c r="F1526" s="171">
        <v>1993</v>
      </c>
      <c r="G1526" s="171">
        <v>348</v>
      </c>
      <c r="H1526" s="172" t="s">
        <v>1745</v>
      </c>
      <c r="I1526" s="173" t="s">
        <v>1739</v>
      </c>
      <c r="J1526" s="212">
        <v>0.3</v>
      </c>
      <c r="K1526" s="213">
        <v>0</v>
      </c>
      <c r="L1526" s="91"/>
      <c r="M1526" s="171">
        <v>533</v>
      </c>
      <c r="N1526" s="171"/>
      <c r="O1526" s="172" t="s">
        <v>12</v>
      </c>
      <c r="P1526" s="92"/>
      <c r="Q1526" s="173" t="s">
        <v>273</v>
      </c>
      <c r="R1526" s="511"/>
      <c r="S1526" s="511"/>
      <c r="T1526" s="511"/>
      <c r="U1526" s="89"/>
      <c r="V1526" s="102">
        <v>0</v>
      </c>
      <c r="W1526" s="120">
        <v>0</v>
      </c>
      <c r="X1526" s="120">
        <v>0</v>
      </c>
      <c r="Y1526" s="120">
        <v>0</v>
      </c>
      <c r="Z1526" s="120">
        <v>0</v>
      </c>
      <c r="AA1526" s="17">
        <v>0</v>
      </c>
      <c r="AB1526" s="17">
        <v>0</v>
      </c>
      <c r="AC1526" s="17">
        <v>0</v>
      </c>
      <c r="AD1526" s="17">
        <v>0</v>
      </c>
      <c r="AE1526" s="17">
        <v>0</v>
      </c>
      <c r="AF1526" s="17">
        <v>0</v>
      </c>
      <c r="AG1526" s="17">
        <v>0</v>
      </c>
      <c r="AH1526" s="17">
        <v>0</v>
      </c>
      <c r="AI1526" s="17">
        <v>0</v>
      </c>
      <c r="AJ1526" s="17">
        <v>0</v>
      </c>
      <c r="AK1526" s="17">
        <v>0</v>
      </c>
      <c r="AL1526" s="32">
        <v>0</v>
      </c>
      <c r="AM1526" s="172" t="s">
        <v>521</v>
      </c>
      <c r="AN1526" s="89"/>
      <c r="AO1526" s="171" t="s">
        <v>521</v>
      </c>
      <c r="AP1526" s="783" t="s">
        <v>521</v>
      </c>
      <c r="AQ1526" s="17" t="s">
        <v>2285</v>
      </c>
      <c r="AR1526" s="174">
        <v>400</v>
      </c>
      <c r="AS1526" s="89"/>
      <c r="AT1526" s="171">
        <v>1600</v>
      </c>
      <c r="AU1526" s="255">
        <f t="shared" si="108"/>
        <v>88.888888888888886</v>
      </c>
      <c r="AV1526" s="172">
        <v>99</v>
      </c>
      <c r="AW1526" s="171">
        <v>0.33</v>
      </c>
      <c r="AX1526" s="171">
        <v>20</v>
      </c>
      <c r="AY1526" s="171" t="s">
        <v>521</v>
      </c>
      <c r="AZ1526" s="171">
        <v>0</v>
      </c>
      <c r="BA1526" s="175">
        <v>99</v>
      </c>
      <c r="BB1526" s="259"/>
      <c r="BC1526" s="190"/>
      <c r="BD1526" s="177"/>
      <c r="BE1526" s="177"/>
      <c r="BF1526" s="178" t="s">
        <v>2303</v>
      </c>
    </row>
    <row r="1527" spans="1:58">
      <c r="A1527" s="95">
        <v>1526</v>
      </c>
      <c r="B1527" s="211" t="s">
        <v>2087</v>
      </c>
      <c r="C1527" s="191" t="s">
        <v>2659</v>
      </c>
      <c r="D1527" s="171" t="s">
        <v>165</v>
      </c>
      <c r="E1527" s="463" t="s">
        <v>3377</v>
      </c>
      <c r="F1527" s="171">
        <v>1993</v>
      </c>
      <c r="G1527" s="171">
        <v>348</v>
      </c>
      <c r="H1527" s="172" t="s">
        <v>1745</v>
      </c>
      <c r="I1527" s="173" t="s">
        <v>1739</v>
      </c>
      <c r="J1527" s="212">
        <v>0.3</v>
      </c>
      <c r="K1527" s="213">
        <v>0</v>
      </c>
      <c r="L1527" s="91"/>
      <c r="M1527" s="171">
        <v>533</v>
      </c>
      <c r="N1527" s="171"/>
      <c r="O1527" s="172" t="s">
        <v>12</v>
      </c>
      <c r="P1527" s="92"/>
      <c r="Q1527" s="173" t="s">
        <v>273</v>
      </c>
      <c r="R1527" s="511"/>
      <c r="S1527" s="511"/>
      <c r="T1527" s="511"/>
      <c r="U1527" s="89"/>
      <c r="V1527" s="102">
        <v>0</v>
      </c>
      <c r="W1527" s="120">
        <v>0</v>
      </c>
      <c r="X1527" s="120">
        <v>0</v>
      </c>
      <c r="Y1527" s="120">
        <v>0</v>
      </c>
      <c r="Z1527" s="120">
        <v>0</v>
      </c>
      <c r="AA1527" s="17">
        <v>0</v>
      </c>
      <c r="AB1527" s="17">
        <v>0</v>
      </c>
      <c r="AC1527" s="17">
        <v>0</v>
      </c>
      <c r="AD1527" s="17">
        <v>0</v>
      </c>
      <c r="AE1527" s="17">
        <v>0</v>
      </c>
      <c r="AF1527" s="17">
        <v>0</v>
      </c>
      <c r="AG1527" s="17">
        <v>0</v>
      </c>
      <c r="AH1527" s="17">
        <v>0</v>
      </c>
      <c r="AI1527" s="17">
        <v>0</v>
      </c>
      <c r="AJ1527" s="17">
        <v>0</v>
      </c>
      <c r="AK1527" s="17">
        <v>0</v>
      </c>
      <c r="AL1527" s="32">
        <v>0</v>
      </c>
      <c r="AM1527" s="172" t="s">
        <v>521</v>
      </c>
      <c r="AN1527" s="89"/>
      <c r="AO1527" s="171" t="s">
        <v>521</v>
      </c>
      <c r="AP1527" s="783" t="s">
        <v>521</v>
      </c>
      <c r="AQ1527" s="17" t="s">
        <v>2285</v>
      </c>
      <c r="AR1527" s="174">
        <v>400</v>
      </c>
      <c r="AS1527" s="89"/>
      <c r="AT1527" s="171">
        <v>1600</v>
      </c>
      <c r="AU1527" s="255">
        <f t="shared" si="108"/>
        <v>88.888888888888886</v>
      </c>
      <c r="AV1527" s="172">
        <v>99</v>
      </c>
      <c r="AW1527" s="171">
        <v>0.13</v>
      </c>
      <c r="AX1527" s="171">
        <v>20</v>
      </c>
      <c r="AY1527" s="171" t="s">
        <v>521</v>
      </c>
      <c r="AZ1527" s="171">
        <v>0</v>
      </c>
      <c r="BA1527" s="175">
        <v>99</v>
      </c>
      <c r="BB1527" s="259"/>
      <c r="BC1527" s="190"/>
      <c r="BD1527" s="177"/>
      <c r="BE1527" s="177"/>
      <c r="BF1527" s="178" t="s">
        <v>2303</v>
      </c>
    </row>
    <row r="1528" spans="1:58">
      <c r="A1528" s="95">
        <v>1527</v>
      </c>
      <c r="B1528" s="211" t="s">
        <v>2088</v>
      </c>
      <c r="C1528" s="191" t="s">
        <v>2659</v>
      </c>
      <c r="D1528" s="171" t="s">
        <v>165</v>
      </c>
      <c r="E1528" s="463" t="s">
        <v>3377</v>
      </c>
      <c r="F1528" s="171">
        <v>1993</v>
      </c>
      <c r="G1528" s="171">
        <v>348</v>
      </c>
      <c r="H1528" s="172" t="s">
        <v>1745</v>
      </c>
      <c r="I1528" s="173" t="s">
        <v>1739</v>
      </c>
      <c r="J1528" s="212">
        <v>0.3</v>
      </c>
      <c r="K1528" s="213">
        <v>0</v>
      </c>
      <c r="L1528" s="91"/>
      <c r="M1528" s="171">
        <v>533</v>
      </c>
      <c r="N1528" s="171"/>
      <c r="O1528" s="172" t="s">
        <v>12</v>
      </c>
      <c r="P1528" s="92"/>
      <c r="Q1528" s="173" t="s">
        <v>273</v>
      </c>
      <c r="R1528" s="511"/>
      <c r="S1528" s="511"/>
      <c r="T1528" s="511"/>
      <c r="U1528" s="89"/>
      <c r="V1528" s="102">
        <v>0</v>
      </c>
      <c r="W1528" s="120">
        <v>0</v>
      </c>
      <c r="X1528" s="120">
        <v>0</v>
      </c>
      <c r="Y1528" s="120">
        <v>0</v>
      </c>
      <c r="Z1528" s="120">
        <v>0</v>
      </c>
      <c r="AA1528" s="17">
        <v>0</v>
      </c>
      <c r="AB1528" s="17">
        <v>0</v>
      </c>
      <c r="AC1528" s="17">
        <v>0</v>
      </c>
      <c r="AD1528" s="17">
        <v>0</v>
      </c>
      <c r="AE1528" s="17">
        <v>0</v>
      </c>
      <c r="AF1528" s="17">
        <v>0</v>
      </c>
      <c r="AG1528" s="17">
        <v>0</v>
      </c>
      <c r="AH1528" s="17">
        <v>0</v>
      </c>
      <c r="AI1528" s="17">
        <v>0</v>
      </c>
      <c r="AJ1528" s="17">
        <v>0</v>
      </c>
      <c r="AK1528" s="17">
        <v>0</v>
      </c>
      <c r="AL1528" s="32">
        <v>0</v>
      </c>
      <c r="AM1528" s="172" t="s">
        <v>521</v>
      </c>
      <c r="AN1528" s="89"/>
      <c r="AO1528" s="171" t="s">
        <v>521</v>
      </c>
      <c r="AP1528" s="783" t="s">
        <v>521</v>
      </c>
      <c r="AQ1528" s="17" t="s">
        <v>2285</v>
      </c>
      <c r="AR1528" s="174">
        <v>400</v>
      </c>
      <c r="AS1528" s="89"/>
      <c r="AT1528" s="171">
        <v>1600</v>
      </c>
      <c r="AU1528" s="255">
        <f t="shared" si="108"/>
        <v>88.888888888888886</v>
      </c>
      <c r="AV1528" s="172">
        <v>99</v>
      </c>
      <c r="AW1528" s="171">
        <v>0.25</v>
      </c>
      <c r="AX1528" s="171">
        <v>20</v>
      </c>
      <c r="AY1528" s="171" t="s">
        <v>521</v>
      </c>
      <c r="AZ1528" s="171">
        <v>0</v>
      </c>
      <c r="BA1528" s="175">
        <v>99</v>
      </c>
      <c r="BB1528" s="259"/>
      <c r="BC1528" s="190"/>
      <c r="BD1528" s="177"/>
      <c r="BE1528" s="177"/>
      <c r="BF1528" s="178" t="s">
        <v>2303</v>
      </c>
    </row>
    <row r="1529" spans="1:58">
      <c r="A1529" s="95">
        <v>1528</v>
      </c>
      <c r="B1529" s="211" t="s">
        <v>2089</v>
      </c>
      <c r="C1529" s="191" t="s">
        <v>2659</v>
      </c>
      <c r="D1529" s="171" t="s">
        <v>165</v>
      </c>
      <c r="E1529" s="463" t="s">
        <v>3377</v>
      </c>
      <c r="F1529" s="171">
        <v>1993</v>
      </c>
      <c r="G1529" s="171">
        <v>348</v>
      </c>
      <c r="H1529" s="172" t="s">
        <v>1745</v>
      </c>
      <c r="I1529" s="173" t="s">
        <v>1739</v>
      </c>
      <c r="J1529" s="212">
        <v>0.3</v>
      </c>
      <c r="K1529" s="213">
        <v>0</v>
      </c>
      <c r="L1529" s="91"/>
      <c r="M1529" s="171">
        <v>533</v>
      </c>
      <c r="N1529" s="171"/>
      <c r="O1529" s="172" t="s">
        <v>12</v>
      </c>
      <c r="P1529" s="92"/>
      <c r="Q1529" s="173" t="s">
        <v>273</v>
      </c>
      <c r="R1529" s="511"/>
      <c r="S1529" s="511"/>
      <c r="T1529" s="511"/>
      <c r="U1529" s="89"/>
      <c r="V1529" s="102">
        <v>0</v>
      </c>
      <c r="W1529" s="120">
        <v>0</v>
      </c>
      <c r="X1529" s="120">
        <v>0</v>
      </c>
      <c r="Y1529" s="120">
        <v>0</v>
      </c>
      <c r="Z1529" s="120">
        <v>0</v>
      </c>
      <c r="AA1529" s="17">
        <v>0</v>
      </c>
      <c r="AB1529" s="17">
        <v>0</v>
      </c>
      <c r="AC1529" s="17">
        <v>0</v>
      </c>
      <c r="AD1529" s="17">
        <v>0</v>
      </c>
      <c r="AE1529" s="17">
        <v>0</v>
      </c>
      <c r="AF1529" s="17">
        <v>0</v>
      </c>
      <c r="AG1529" s="17">
        <v>0</v>
      </c>
      <c r="AH1529" s="17">
        <v>0</v>
      </c>
      <c r="AI1529" s="17">
        <v>0</v>
      </c>
      <c r="AJ1529" s="17">
        <v>0</v>
      </c>
      <c r="AK1529" s="17">
        <v>0</v>
      </c>
      <c r="AL1529" s="32">
        <v>0</v>
      </c>
      <c r="AM1529" s="172" t="s">
        <v>521</v>
      </c>
      <c r="AN1529" s="89"/>
      <c r="AO1529" s="171" t="s">
        <v>521</v>
      </c>
      <c r="AP1529" s="783" t="s">
        <v>521</v>
      </c>
      <c r="AQ1529" s="17" t="s">
        <v>2285</v>
      </c>
      <c r="AR1529" s="174">
        <v>400</v>
      </c>
      <c r="AS1529" s="89"/>
      <c r="AT1529" s="171">
        <v>1600</v>
      </c>
      <c r="AU1529" s="255">
        <f t="shared" si="108"/>
        <v>88.888888888888886</v>
      </c>
      <c r="AV1529" s="172">
        <v>99</v>
      </c>
      <c r="AW1529" s="171">
        <v>0.17</v>
      </c>
      <c r="AX1529" s="171">
        <v>20</v>
      </c>
      <c r="AY1529" s="171" t="s">
        <v>521</v>
      </c>
      <c r="AZ1529" s="171">
        <v>0</v>
      </c>
      <c r="BA1529" s="175">
        <v>99</v>
      </c>
      <c r="BB1529" s="259"/>
      <c r="BC1529" s="190"/>
      <c r="BD1529" s="177"/>
      <c r="BE1529" s="177"/>
      <c r="BF1529" s="178" t="s">
        <v>2303</v>
      </c>
    </row>
    <row r="1530" spans="1:58">
      <c r="A1530" s="95">
        <v>1529</v>
      </c>
      <c r="B1530" s="211" t="s">
        <v>2090</v>
      </c>
      <c r="C1530" s="191" t="s">
        <v>2659</v>
      </c>
      <c r="D1530" s="171" t="s">
        <v>165</v>
      </c>
      <c r="E1530" s="463" t="s">
        <v>3377</v>
      </c>
      <c r="F1530" s="171">
        <v>1993</v>
      </c>
      <c r="G1530" s="171">
        <v>348</v>
      </c>
      <c r="H1530" s="172" t="s">
        <v>1745</v>
      </c>
      <c r="I1530" s="173" t="s">
        <v>1739</v>
      </c>
      <c r="J1530" s="212">
        <v>0.3</v>
      </c>
      <c r="K1530" s="213">
        <v>0</v>
      </c>
      <c r="L1530" s="91"/>
      <c r="M1530" s="171">
        <v>533</v>
      </c>
      <c r="N1530" s="171"/>
      <c r="O1530" s="172" t="s">
        <v>12</v>
      </c>
      <c r="P1530" s="92"/>
      <c r="Q1530" s="173" t="s">
        <v>273</v>
      </c>
      <c r="R1530" s="511"/>
      <c r="S1530" s="511"/>
      <c r="T1530" s="511"/>
      <c r="U1530" s="89"/>
      <c r="V1530" s="102">
        <v>0</v>
      </c>
      <c r="W1530" s="120">
        <v>0</v>
      </c>
      <c r="X1530" s="120">
        <v>0</v>
      </c>
      <c r="Y1530" s="120">
        <v>0</v>
      </c>
      <c r="Z1530" s="120">
        <v>0</v>
      </c>
      <c r="AA1530" s="17">
        <v>0</v>
      </c>
      <c r="AB1530" s="17">
        <v>0</v>
      </c>
      <c r="AC1530" s="17">
        <v>0</v>
      </c>
      <c r="AD1530" s="17">
        <v>0</v>
      </c>
      <c r="AE1530" s="17">
        <v>0</v>
      </c>
      <c r="AF1530" s="17">
        <v>0</v>
      </c>
      <c r="AG1530" s="17">
        <v>0</v>
      </c>
      <c r="AH1530" s="17">
        <v>0</v>
      </c>
      <c r="AI1530" s="17">
        <v>0</v>
      </c>
      <c r="AJ1530" s="17">
        <v>0</v>
      </c>
      <c r="AK1530" s="17">
        <v>0</v>
      </c>
      <c r="AL1530" s="32">
        <v>0</v>
      </c>
      <c r="AM1530" s="172" t="s">
        <v>521</v>
      </c>
      <c r="AN1530" s="89"/>
      <c r="AO1530" s="171" t="s">
        <v>521</v>
      </c>
      <c r="AP1530" s="783" t="s">
        <v>521</v>
      </c>
      <c r="AQ1530" s="17" t="s">
        <v>2285</v>
      </c>
      <c r="AR1530" s="174">
        <v>400</v>
      </c>
      <c r="AS1530" s="89"/>
      <c r="AT1530" s="171">
        <v>1600</v>
      </c>
      <c r="AU1530" s="255">
        <f t="shared" si="108"/>
        <v>88.888888888888886</v>
      </c>
      <c r="AV1530" s="172">
        <v>99</v>
      </c>
      <c r="AW1530" s="171">
        <v>0.33</v>
      </c>
      <c r="AX1530" s="171">
        <v>20</v>
      </c>
      <c r="AY1530" s="171" t="s">
        <v>521</v>
      </c>
      <c r="AZ1530" s="171">
        <v>0</v>
      </c>
      <c r="BA1530" s="175">
        <v>99</v>
      </c>
      <c r="BB1530" s="259"/>
      <c r="BC1530" s="190"/>
      <c r="BD1530" s="177"/>
      <c r="BE1530" s="177"/>
      <c r="BF1530" s="178" t="s">
        <v>2303</v>
      </c>
    </row>
    <row r="1531" spans="1:58">
      <c r="A1531" s="95">
        <v>1530</v>
      </c>
      <c r="B1531" s="211" t="s">
        <v>2091</v>
      </c>
      <c r="C1531" s="191" t="s">
        <v>2659</v>
      </c>
      <c r="D1531" s="171" t="s">
        <v>165</v>
      </c>
      <c r="E1531" s="463" t="s">
        <v>3377</v>
      </c>
      <c r="F1531" s="171">
        <v>1993</v>
      </c>
      <c r="G1531" s="171">
        <v>348</v>
      </c>
      <c r="H1531" s="172" t="s">
        <v>1745</v>
      </c>
      <c r="I1531" s="173" t="s">
        <v>1739</v>
      </c>
      <c r="J1531" s="212">
        <v>0.3</v>
      </c>
      <c r="K1531" s="213">
        <v>0</v>
      </c>
      <c r="L1531" s="91"/>
      <c r="M1531" s="171">
        <v>533</v>
      </c>
      <c r="N1531" s="171"/>
      <c r="O1531" s="172" t="s">
        <v>12</v>
      </c>
      <c r="P1531" s="92"/>
      <c r="Q1531" s="173" t="s">
        <v>273</v>
      </c>
      <c r="R1531" s="511"/>
      <c r="S1531" s="511"/>
      <c r="T1531" s="511"/>
      <c r="U1531" s="89"/>
      <c r="V1531" s="102">
        <v>0</v>
      </c>
      <c r="W1531" s="120">
        <v>0</v>
      </c>
      <c r="X1531" s="120">
        <v>0</v>
      </c>
      <c r="Y1531" s="120">
        <v>0</v>
      </c>
      <c r="Z1531" s="120">
        <v>0</v>
      </c>
      <c r="AA1531" s="17">
        <v>0</v>
      </c>
      <c r="AB1531" s="17">
        <v>0</v>
      </c>
      <c r="AC1531" s="17">
        <v>0</v>
      </c>
      <c r="AD1531" s="17">
        <v>0</v>
      </c>
      <c r="AE1531" s="17">
        <v>0</v>
      </c>
      <c r="AF1531" s="17">
        <v>0</v>
      </c>
      <c r="AG1531" s="17">
        <v>0</v>
      </c>
      <c r="AH1531" s="17">
        <v>0</v>
      </c>
      <c r="AI1531" s="17">
        <v>0</v>
      </c>
      <c r="AJ1531" s="17">
        <v>0</v>
      </c>
      <c r="AK1531" s="17">
        <v>0</v>
      </c>
      <c r="AL1531" s="32">
        <v>0</v>
      </c>
      <c r="AM1531" s="172" t="s">
        <v>521</v>
      </c>
      <c r="AN1531" s="89"/>
      <c r="AO1531" s="171" t="s">
        <v>521</v>
      </c>
      <c r="AP1531" s="783" t="s">
        <v>521</v>
      </c>
      <c r="AQ1531" s="17" t="s">
        <v>2285</v>
      </c>
      <c r="AR1531" s="174">
        <v>400</v>
      </c>
      <c r="AS1531" s="89"/>
      <c r="AT1531" s="171">
        <v>1600</v>
      </c>
      <c r="AU1531" s="255">
        <f t="shared" si="108"/>
        <v>88.888888888888886</v>
      </c>
      <c r="AV1531" s="172">
        <v>99</v>
      </c>
      <c r="AW1531" s="171">
        <v>0.21</v>
      </c>
      <c r="AX1531" s="171">
        <v>20</v>
      </c>
      <c r="AY1531" s="171" t="s">
        <v>521</v>
      </c>
      <c r="AZ1531" s="171">
        <v>0</v>
      </c>
      <c r="BA1531" s="175">
        <v>99</v>
      </c>
      <c r="BB1531" s="259"/>
      <c r="BC1531" s="190"/>
      <c r="BD1531" s="177"/>
      <c r="BE1531" s="177"/>
      <c r="BF1531" s="178" t="s">
        <v>2303</v>
      </c>
    </row>
    <row r="1532" spans="1:58">
      <c r="A1532" s="95">
        <v>1531</v>
      </c>
      <c r="B1532" s="211" t="s">
        <v>2092</v>
      </c>
      <c r="C1532" s="191" t="s">
        <v>2659</v>
      </c>
      <c r="D1532" s="171" t="s">
        <v>165</v>
      </c>
      <c r="E1532" s="463" t="s">
        <v>3377</v>
      </c>
      <c r="F1532" s="171">
        <v>1993</v>
      </c>
      <c r="G1532" s="171">
        <v>348</v>
      </c>
      <c r="H1532" s="172" t="s">
        <v>1745</v>
      </c>
      <c r="I1532" s="173" t="s">
        <v>1739</v>
      </c>
      <c r="J1532" s="212">
        <v>0.3</v>
      </c>
      <c r="K1532" s="213">
        <v>0</v>
      </c>
      <c r="L1532" s="91"/>
      <c r="M1532" s="171">
        <v>533</v>
      </c>
      <c r="N1532" s="171"/>
      <c r="O1532" s="172" t="s">
        <v>12</v>
      </c>
      <c r="P1532" s="92"/>
      <c r="Q1532" s="173" t="s">
        <v>273</v>
      </c>
      <c r="R1532" s="511"/>
      <c r="S1532" s="511"/>
      <c r="T1532" s="511"/>
      <c r="U1532" s="89"/>
      <c r="V1532" s="102">
        <v>0</v>
      </c>
      <c r="W1532" s="120">
        <v>0</v>
      </c>
      <c r="X1532" s="120">
        <v>0</v>
      </c>
      <c r="Y1532" s="120">
        <v>0</v>
      </c>
      <c r="Z1532" s="120">
        <v>0</v>
      </c>
      <c r="AA1532" s="17">
        <v>0</v>
      </c>
      <c r="AB1532" s="17">
        <v>0</v>
      </c>
      <c r="AC1532" s="17">
        <v>0</v>
      </c>
      <c r="AD1532" s="17">
        <v>0</v>
      </c>
      <c r="AE1532" s="17">
        <v>0</v>
      </c>
      <c r="AF1532" s="17">
        <v>0</v>
      </c>
      <c r="AG1532" s="17">
        <v>0</v>
      </c>
      <c r="AH1532" s="17">
        <v>0</v>
      </c>
      <c r="AI1532" s="17">
        <v>0</v>
      </c>
      <c r="AJ1532" s="17">
        <v>0</v>
      </c>
      <c r="AK1532" s="17">
        <v>0</v>
      </c>
      <c r="AL1532" s="32">
        <v>0</v>
      </c>
      <c r="AM1532" s="172" t="s">
        <v>521</v>
      </c>
      <c r="AN1532" s="89"/>
      <c r="AO1532" s="171" t="s">
        <v>521</v>
      </c>
      <c r="AP1532" s="783" t="s">
        <v>521</v>
      </c>
      <c r="AQ1532" s="17" t="s">
        <v>2285</v>
      </c>
      <c r="AR1532" s="174">
        <v>400</v>
      </c>
      <c r="AS1532" s="89"/>
      <c r="AT1532" s="171">
        <v>1600</v>
      </c>
      <c r="AU1532" s="255">
        <f t="shared" si="108"/>
        <v>88.888888888888886</v>
      </c>
      <c r="AV1532" s="172">
        <v>99</v>
      </c>
      <c r="AW1532" s="171">
        <v>0.12</v>
      </c>
      <c r="AX1532" s="171">
        <v>20</v>
      </c>
      <c r="AY1532" s="171" t="s">
        <v>521</v>
      </c>
      <c r="AZ1532" s="171">
        <v>0</v>
      </c>
      <c r="BA1532" s="175">
        <v>99</v>
      </c>
      <c r="BB1532" s="259"/>
      <c r="BC1532" s="190"/>
      <c r="BD1532" s="177"/>
      <c r="BE1532" s="177"/>
      <c r="BF1532" s="178" t="s">
        <v>2303</v>
      </c>
    </row>
    <row r="1533" spans="1:58">
      <c r="A1533" s="95">
        <v>1532</v>
      </c>
      <c r="B1533" s="211" t="s">
        <v>2093</v>
      </c>
      <c r="C1533" s="191" t="s">
        <v>2659</v>
      </c>
      <c r="D1533" s="171" t="s">
        <v>165</v>
      </c>
      <c r="E1533" s="463" t="s">
        <v>3377</v>
      </c>
      <c r="F1533" s="171">
        <v>1993</v>
      </c>
      <c r="G1533" s="171">
        <v>348</v>
      </c>
      <c r="H1533" s="172" t="s">
        <v>1745</v>
      </c>
      <c r="I1533" s="173" t="s">
        <v>1739</v>
      </c>
      <c r="J1533" s="212">
        <v>0.3</v>
      </c>
      <c r="K1533" s="213">
        <v>0</v>
      </c>
      <c r="L1533" s="91"/>
      <c r="M1533" s="171">
        <v>533</v>
      </c>
      <c r="N1533" s="171"/>
      <c r="O1533" s="172" t="s">
        <v>12</v>
      </c>
      <c r="P1533" s="92"/>
      <c r="Q1533" s="173" t="s">
        <v>273</v>
      </c>
      <c r="R1533" s="511"/>
      <c r="S1533" s="511"/>
      <c r="T1533" s="511"/>
      <c r="U1533" s="89"/>
      <c r="V1533" s="102">
        <v>0</v>
      </c>
      <c r="W1533" s="120">
        <v>0</v>
      </c>
      <c r="X1533" s="120">
        <v>0</v>
      </c>
      <c r="Y1533" s="120">
        <v>0</v>
      </c>
      <c r="Z1533" s="120">
        <v>0</v>
      </c>
      <c r="AA1533" s="17">
        <v>0</v>
      </c>
      <c r="AB1533" s="17">
        <v>0</v>
      </c>
      <c r="AC1533" s="17">
        <v>0</v>
      </c>
      <c r="AD1533" s="17">
        <v>0</v>
      </c>
      <c r="AE1533" s="17">
        <v>0</v>
      </c>
      <c r="AF1533" s="17">
        <v>0</v>
      </c>
      <c r="AG1533" s="17">
        <v>0</v>
      </c>
      <c r="AH1533" s="17">
        <v>0</v>
      </c>
      <c r="AI1533" s="17">
        <v>0</v>
      </c>
      <c r="AJ1533" s="17">
        <v>0</v>
      </c>
      <c r="AK1533" s="17">
        <v>0</v>
      </c>
      <c r="AL1533" s="32">
        <v>0</v>
      </c>
      <c r="AM1533" s="172" t="s">
        <v>521</v>
      </c>
      <c r="AN1533" s="89"/>
      <c r="AO1533" s="171" t="s">
        <v>521</v>
      </c>
      <c r="AP1533" s="783" t="s">
        <v>521</v>
      </c>
      <c r="AQ1533" s="17" t="s">
        <v>2285</v>
      </c>
      <c r="AR1533" s="174">
        <v>400</v>
      </c>
      <c r="AS1533" s="89"/>
      <c r="AT1533" s="171">
        <v>1600</v>
      </c>
      <c r="AU1533" s="255">
        <f t="shared" si="108"/>
        <v>88.888888888888886</v>
      </c>
      <c r="AV1533" s="172">
        <v>99</v>
      </c>
      <c r="AW1533" s="171">
        <v>0.16</v>
      </c>
      <c r="AX1533" s="171">
        <v>20</v>
      </c>
      <c r="AY1533" s="171" t="s">
        <v>521</v>
      </c>
      <c r="AZ1533" s="171">
        <v>0</v>
      </c>
      <c r="BA1533" s="175">
        <v>99</v>
      </c>
      <c r="BB1533" s="259"/>
      <c r="BC1533" s="190"/>
      <c r="BD1533" s="177"/>
      <c r="BE1533" s="177"/>
      <c r="BF1533" s="178" t="s">
        <v>2303</v>
      </c>
    </row>
    <row r="1534" spans="1:58">
      <c r="A1534" s="95">
        <v>1533</v>
      </c>
      <c r="B1534" s="211" t="s">
        <v>2094</v>
      </c>
      <c r="C1534" s="191" t="s">
        <v>2659</v>
      </c>
      <c r="D1534" s="171" t="s">
        <v>165</v>
      </c>
      <c r="E1534" s="463" t="s">
        <v>3377</v>
      </c>
      <c r="F1534" s="171">
        <v>1993</v>
      </c>
      <c r="G1534" s="171">
        <v>348</v>
      </c>
      <c r="H1534" s="172" t="s">
        <v>1745</v>
      </c>
      <c r="I1534" s="173" t="s">
        <v>1739</v>
      </c>
      <c r="J1534" s="212">
        <v>0.18518518518518517</v>
      </c>
      <c r="K1534" s="213">
        <v>1.4652777777777777</v>
      </c>
      <c r="L1534" s="91"/>
      <c r="M1534" s="171">
        <v>864</v>
      </c>
      <c r="N1534" s="171"/>
      <c r="O1534" s="172" t="s">
        <v>12</v>
      </c>
      <c r="P1534" s="92"/>
      <c r="Q1534" s="173" t="s">
        <v>273</v>
      </c>
      <c r="R1534" s="511"/>
      <c r="S1534" s="511"/>
      <c r="T1534" s="511"/>
      <c r="U1534" s="89"/>
      <c r="V1534" s="103">
        <f>94/864*100</f>
        <v>10.87962962962963</v>
      </c>
      <c r="W1534" s="120">
        <v>0</v>
      </c>
      <c r="X1534" s="120">
        <v>0</v>
      </c>
      <c r="Y1534" s="120">
        <v>0</v>
      </c>
      <c r="Z1534" s="120">
        <v>0</v>
      </c>
      <c r="AA1534" s="17">
        <v>0</v>
      </c>
      <c r="AB1534" s="17">
        <v>0</v>
      </c>
      <c r="AC1534" s="17">
        <v>0</v>
      </c>
      <c r="AD1534" s="17">
        <v>0</v>
      </c>
      <c r="AE1534" s="17">
        <v>0</v>
      </c>
      <c r="AF1534" s="17">
        <v>2.5</v>
      </c>
      <c r="AG1534" s="17">
        <v>0</v>
      </c>
      <c r="AH1534" s="17">
        <v>0</v>
      </c>
      <c r="AI1534" s="17">
        <v>0</v>
      </c>
      <c r="AJ1534" s="17">
        <v>0</v>
      </c>
      <c r="AK1534" s="17">
        <v>0</v>
      </c>
      <c r="AL1534" s="32">
        <v>0</v>
      </c>
      <c r="AM1534" s="172" t="s">
        <v>521</v>
      </c>
      <c r="AN1534" s="89"/>
      <c r="AO1534" s="171" t="s">
        <v>521</v>
      </c>
      <c r="AP1534" s="783" t="s">
        <v>521</v>
      </c>
      <c r="AQ1534" s="17" t="s">
        <v>1103</v>
      </c>
      <c r="AR1534" s="174">
        <v>100</v>
      </c>
      <c r="AS1534" s="89"/>
      <c r="AT1534" s="171">
        <v>1200</v>
      </c>
      <c r="AU1534" s="255">
        <f t="shared" si="108"/>
        <v>24</v>
      </c>
      <c r="AV1534" s="172">
        <v>99</v>
      </c>
      <c r="AW1534" s="171">
        <v>0.17</v>
      </c>
      <c r="AX1534" s="171">
        <v>20</v>
      </c>
      <c r="AY1534" s="171" t="s">
        <v>521</v>
      </c>
      <c r="AZ1534" s="171">
        <v>0</v>
      </c>
      <c r="BA1534" s="175">
        <v>99</v>
      </c>
      <c r="BB1534" s="259"/>
      <c r="BC1534" s="190"/>
      <c r="BD1534" s="177"/>
      <c r="BE1534" s="177"/>
      <c r="BF1534" s="178" t="s">
        <v>1815</v>
      </c>
    </row>
    <row r="1535" spans="1:58">
      <c r="A1535" s="95">
        <v>1534</v>
      </c>
      <c r="B1535" s="211" t="s">
        <v>2095</v>
      </c>
      <c r="C1535" s="191" t="s">
        <v>2659</v>
      </c>
      <c r="D1535" s="171" t="s">
        <v>165</v>
      </c>
      <c r="E1535" s="463" t="s">
        <v>3377</v>
      </c>
      <c r="F1535" s="171">
        <v>1993</v>
      </c>
      <c r="G1535" s="171">
        <v>348</v>
      </c>
      <c r="H1535" s="172" t="s">
        <v>1745</v>
      </c>
      <c r="I1535" s="173" t="s">
        <v>1739</v>
      </c>
      <c r="J1535" s="212">
        <v>0.18518518518518517</v>
      </c>
      <c r="K1535" s="213">
        <v>1.4652777777777777</v>
      </c>
      <c r="L1535" s="91"/>
      <c r="M1535" s="171">
        <v>864</v>
      </c>
      <c r="N1535" s="171"/>
      <c r="O1535" s="172" t="s">
        <v>12</v>
      </c>
      <c r="P1535" s="92"/>
      <c r="Q1535" s="173" t="s">
        <v>273</v>
      </c>
      <c r="R1535" s="511"/>
      <c r="S1535" s="511"/>
      <c r="T1535" s="511"/>
      <c r="U1535" s="89"/>
      <c r="V1535" s="103">
        <f>94/864*100</f>
        <v>10.87962962962963</v>
      </c>
      <c r="W1535" s="120">
        <v>0</v>
      </c>
      <c r="X1535" s="120">
        <v>0</v>
      </c>
      <c r="Y1535" s="120">
        <v>0</v>
      </c>
      <c r="Z1535" s="120">
        <v>0</v>
      </c>
      <c r="AA1535" s="17">
        <v>0</v>
      </c>
      <c r="AB1535" s="17">
        <v>0</v>
      </c>
      <c r="AC1535" s="17">
        <v>0</v>
      </c>
      <c r="AD1535" s="17">
        <v>0</v>
      </c>
      <c r="AE1535" s="17">
        <v>0</v>
      </c>
      <c r="AF1535" s="17">
        <v>2.5</v>
      </c>
      <c r="AG1535" s="17">
        <v>0</v>
      </c>
      <c r="AH1535" s="17">
        <v>0</v>
      </c>
      <c r="AI1535" s="17">
        <v>0</v>
      </c>
      <c r="AJ1535" s="17">
        <v>0</v>
      </c>
      <c r="AK1535" s="17">
        <v>0</v>
      </c>
      <c r="AL1535" s="32">
        <v>0</v>
      </c>
      <c r="AM1535" s="172" t="s">
        <v>521</v>
      </c>
      <c r="AN1535" s="89"/>
      <c r="AO1535" s="171" t="s">
        <v>521</v>
      </c>
      <c r="AP1535" s="783" t="s">
        <v>521</v>
      </c>
      <c r="AQ1535" s="17" t="s">
        <v>1103</v>
      </c>
      <c r="AR1535" s="174">
        <v>100</v>
      </c>
      <c r="AS1535" s="89"/>
      <c r="AT1535" s="171">
        <v>1200</v>
      </c>
      <c r="AU1535" s="255">
        <f t="shared" si="108"/>
        <v>24</v>
      </c>
      <c r="AV1535" s="172">
        <v>99</v>
      </c>
      <c r="AW1535" s="171">
        <v>0.16</v>
      </c>
      <c r="AX1535" s="171">
        <v>20</v>
      </c>
      <c r="AY1535" s="171" t="s">
        <v>521</v>
      </c>
      <c r="AZ1535" s="171">
        <v>0</v>
      </c>
      <c r="BA1535" s="175">
        <v>99</v>
      </c>
      <c r="BB1535" s="259"/>
      <c r="BC1535" s="190"/>
      <c r="BD1535" s="177"/>
      <c r="BE1535" s="177"/>
      <c r="BF1535" s="178" t="s">
        <v>1815</v>
      </c>
    </row>
    <row r="1536" spans="1:58">
      <c r="A1536" s="95">
        <v>1535</v>
      </c>
      <c r="B1536" s="211" t="s">
        <v>2096</v>
      </c>
      <c r="C1536" s="191" t="s">
        <v>2659</v>
      </c>
      <c r="D1536" s="171" t="s">
        <v>165</v>
      </c>
      <c r="E1536" s="463" t="s">
        <v>3377</v>
      </c>
      <c r="F1536" s="171">
        <v>1993</v>
      </c>
      <c r="G1536" s="171">
        <v>348</v>
      </c>
      <c r="H1536" s="172" t="s">
        <v>1745</v>
      </c>
      <c r="I1536" s="173" t="s">
        <v>1739</v>
      </c>
      <c r="J1536" s="212">
        <v>0.30018761726078802</v>
      </c>
      <c r="K1536" s="213">
        <v>3.095684803001876</v>
      </c>
      <c r="L1536" s="91"/>
      <c r="M1536" s="171">
        <v>533</v>
      </c>
      <c r="N1536" s="171"/>
      <c r="O1536" s="172" t="s">
        <v>12</v>
      </c>
      <c r="P1536" s="92"/>
      <c r="Q1536" s="173" t="s">
        <v>273</v>
      </c>
      <c r="R1536" s="511"/>
      <c r="S1536" s="511"/>
      <c r="T1536" s="511"/>
      <c r="U1536" s="89"/>
      <c r="V1536" s="102">
        <v>0</v>
      </c>
      <c r="W1536" s="120">
        <v>0</v>
      </c>
      <c r="X1536" s="120">
        <v>0</v>
      </c>
      <c r="Y1536" s="120">
        <v>0</v>
      </c>
      <c r="Z1536" s="120">
        <v>0</v>
      </c>
      <c r="AA1536" s="17">
        <v>0</v>
      </c>
      <c r="AB1536" s="17">
        <v>0</v>
      </c>
      <c r="AC1536" s="17">
        <v>0</v>
      </c>
      <c r="AD1536" s="17">
        <v>0</v>
      </c>
      <c r="AE1536" s="17">
        <v>0</v>
      </c>
      <c r="AF1536" s="17">
        <v>0.3</v>
      </c>
      <c r="AG1536" s="17">
        <v>0</v>
      </c>
      <c r="AH1536" s="17">
        <v>0</v>
      </c>
      <c r="AI1536" s="17">
        <v>0</v>
      </c>
      <c r="AJ1536" s="17">
        <v>0</v>
      </c>
      <c r="AK1536" s="17">
        <v>0</v>
      </c>
      <c r="AL1536" s="32">
        <v>0</v>
      </c>
      <c r="AM1536" s="172" t="s">
        <v>521</v>
      </c>
      <c r="AN1536" s="89"/>
      <c r="AO1536" s="171" t="s">
        <v>521</v>
      </c>
      <c r="AP1536" s="783" t="s">
        <v>521</v>
      </c>
      <c r="AQ1536" s="17" t="s">
        <v>1103</v>
      </c>
      <c r="AR1536" s="174">
        <v>100</v>
      </c>
      <c r="AS1536" s="89"/>
      <c r="AT1536" s="171">
        <v>1200</v>
      </c>
      <c r="AU1536" s="255">
        <f t="shared" si="108"/>
        <v>24</v>
      </c>
      <c r="AV1536" s="172">
        <v>99</v>
      </c>
      <c r="AW1536" s="171">
        <v>0.17</v>
      </c>
      <c r="AX1536" s="171">
        <v>20</v>
      </c>
      <c r="AY1536" s="171" t="s">
        <v>521</v>
      </c>
      <c r="AZ1536" s="171">
        <v>0</v>
      </c>
      <c r="BA1536" s="175">
        <v>99</v>
      </c>
      <c r="BB1536" s="259"/>
      <c r="BC1536" s="190"/>
      <c r="BD1536" s="177"/>
      <c r="BE1536" s="177"/>
      <c r="BF1536" s="178" t="s">
        <v>1815</v>
      </c>
    </row>
    <row r="1537" spans="1:58">
      <c r="A1537" s="95">
        <v>1536</v>
      </c>
      <c r="B1537" s="211" t="s">
        <v>2097</v>
      </c>
      <c r="C1537" s="191" t="s">
        <v>2659</v>
      </c>
      <c r="D1537" s="171" t="s">
        <v>165</v>
      </c>
      <c r="E1537" s="463" t="s">
        <v>3377</v>
      </c>
      <c r="F1537" s="171">
        <v>1993</v>
      </c>
      <c r="G1537" s="171">
        <v>348</v>
      </c>
      <c r="H1537" s="172" t="s">
        <v>1745</v>
      </c>
      <c r="I1537" s="173" t="s">
        <v>1739</v>
      </c>
      <c r="J1537" s="212">
        <v>0.30018761726078802</v>
      </c>
      <c r="K1537" s="213">
        <v>3.095684803001876</v>
      </c>
      <c r="L1537" s="91"/>
      <c r="M1537" s="171">
        <v>533</v>
      </c>
      <c r="N1537" s="171"/>
      <c r="O1537" s="172" t="s">
        <v>12</v>
      </c>
      <c r="P1537" s="92"/>
      <c r="Q1537" s="173" t="s">
        <v>273</v>
      </c>
      <c r="R1537" s="511"/>
      <c r="S1537" s="511"/>
      <c r="T1537" s="511"/>
      <c r="U1537" s="89"/>
      <c r="V1537" s="102">
        <v>0</v>
      </c>
      <c r="W1537" s="120">
        <v>0</v>
      </c>
      <c r="X1537" s="120">
        <v>0</v>
      </c>
      <c r="Y1537" s="120">
        <v>0</v>
      </c>
      <c r="Z1537" s="120">
        <v>0</v>
      </c>
      <c r="AA1537" s="17">
        <v>0</v>
      </c>
      <c r="AB1537" s="17">
        <v>0</v>
      </c>
      <c r="AC1537" s="17">
        <v>0</v>
      </c>
      <c r="AD1537" s="17">
        <v>0</v>
      </c>
      <c r="AE1537" s="17">
        <v>0</v>
      </c>
      <c r="AF1537" s="17">
        <v>0.3</v>
      </c>
      <c r="AG1537" s="17">
        <v>0</v>
      </c>
      <c r="AH1537" s="17">
        <v>0</v>
      </c>
      <c r="AI1537" s="17">
        <v>0</v>
      </c>
      <c r="AJ1537" s="17">
        <v>0</v>
      </c>
      <c r="AK1537" s="17">
        <v>0</v>
      </c>
      <c r="AL1537" s="32">
        <v>0</v>
      </c>
      <c r="AM1537" s="172" t="s">
        <v>521</v>
      </c>
      <c r="AN1537" s="89"/>
      <c r="AO1537" s="171" t="s">
        <v>521</v>
      </c>
      <c r="AP1537" s="783" t="s">
        <v>521</v>
      </c>
      <c r="AQ1537" s="17" t="s">
        <v>1103</v>
      </c>
      <c r="AR1537" s="174">
        <v>100</v>
      </c>
      <c r="AS1537" s="89"/>
      <c r="AT1537" s="171">
        <v>1200</v>
      </c>
      <c r="AU1537" s="255">
        <f t="shared" si="108"/>
        <v>24</v>
      </c>
      <c r="AV1537" s="172">
        <v>99</v>
      </c>
      <c r="AW1537" s="171">
        <v>0.16</v>
      </c>
      <c r="AX1537" s="171">
        <v>20</v>
      </c>
      <c r="AY1537" s="171" t="s">
        <v>521</v>
      </c>
      <c r="AZ1537" s="171">
        <v>0</v>
      </c>
      <c r="BA1537" s="175">
        <v>99</v>
      </c>
      <c r="BB1537" s="259"/>
      <c r="BC1537" s="190"/>
      <c r="BD1537" s="177"/>
      <c r="BE1537" s="177"/>
      <c r="BF1537" s="178" t="s">
        <v>1815</v>
      </c>
    </row>
    <row r="1538" spans="1:58">
      <c r="A1538" s="95">
        <v>1537</v>
      </c>
      <c r="B1538" s="211" t="s">
        <v>2098</v>
      </c>
      <c r="C1538" s="191" t="s">
        <v>2659</v>
      </c>
      <c r="D1538" s="171" t="s">
        <v>165</v>
      </c>
      <c r="E1538" s="463" t="s">
        <v>3377</v>
      </c>
      <c r="F1538" s="171">
        <v>1993</v>
      </c>
      <c r="G1538" s="171">
        <v>348</v>
      </c>
      <c r="H1538" s="172" t="s">
        <v>1745</v>
      </c>
      <c r="I1538" s="173" t="s">
        <v>1739</v>
      </c>
      <c r="J1538" s="212">
        <v>0.4</v>
      </c>
      <c r="K1538" s="213">
        <v>3.6333333333333333</v>
      </c>
      <c r="L1538" s="91"/>
      <c r="M1538" s="171">
        <v>450</v>
      </c>
      <c r="N1538" s="171"/>
      <c r="O1538" s="172" t="s">
        <v>12</v>
      </c>
      <c r="P1538" s="92"/>
      <c r="Q1538" s="173" t="s">
        <v>273</v>
      </c>
      <c r="R1538" s="511"/>
      <c r="S1538" s="511"/>
      <c r="T1538" s="511"/>
      <c r="U1538" s="89"/>
      <c r="V1538" s="102">
        <v>0</v>
      </c>
      <c r="W1538" s="120">
        <v>0</v>
      </c>
      <c r="X1538" s="120">
        <v>0</v>
      </c>
      <c r="Y1538" s="120">
        <v>0</v>
      </c>
      <c r="Z1538" s="120">
        <v>0</v>
      </c>
      <c r="AA1538" s="17">
        <v>0</v>
      </c>
      <c r="AB1538" s="17">
        <v>0</v>
      </c>
      <c r="AC1538" s="17">
        <v>0</v>
      </c>
      <c r="AD1538" s="17">
        <v>0</v>
      </c>
      <c r="AE1538" s="17">
        <v>0</v>
      </c>
      <c r="AF1538" s="17">
        <v>0.1</v>
      </c>
      <c r="AG1538" s="17">
        <v>0</v>
      </c>
      <c r="AH1538" s="17">
        <v>0</v>
      </c>
      <c r="AI1538" s="17">
        <v>0</v>
      </c>
      <c r="AJ1538" s="17">
        <v>0</v>
      </c>
      <c r="AK1538" s="17">
        <v>0</v>
      </c>
      <c r="AL1538" s="32">
        <v>0</v>
      </c>
      <c r="AM1538" s="172" t="s">
        <v>521</v>
      </c>
      <c r="AN1538" s="89"/>
      <c r="AO1538" s="171" t="s">
        <v>521</v>
      </c>
      <c r="AP1538" s="783" t="s">
        <v>521</v>
      </c>
      <c r="AQ1538" s="17" t="s">
        <v>1103</v>
      </c>
      <c r="AR1538" s="174">
        <v>100</v>
      </c>
      <c r="AS1538" s="89"/>
      <c r="AT1538" s="171">
        <v>1200</v>
      </c>
      <c r="AU1538" s="255">
        <f t="shared" si="108"/>
        <v>24</v>
      </c>
      <c r="AV1538" s="172">
        <v>99</v>
      </c>
      <c r="AW1538" s="171">
        <v>0.17</v>
      </c>
      <c r="AX1538" s="171">
        <v>20</v>
      </c>
      <c r="AY1538" s="171" t="s">
        <v>521</v>
      </c>
      <c r="AZ1538" s="171">
        <v>0</v>
      </c>
      <c r="BA1538" s="175">
        <v>99</v>
      </c>
      <c r="BB1538" s="259"/>
      <c r="BC1538" s="190"/>
      <c r="BD1538" s="177"/>
      <c r="BE1538" s="177"/>
      <c r="BF1538" s="178" t="s">
        <v>1815</v>
      </c>
    </row>
    <row r="1539" spans="1:58">
      <c r="A1539" s="95">
        <v>1538</v>
      </c>
      <c r="B1539" s="211" t="s">
        <v>2099</v>
      </c>
      <c r="C1539" s="191" t="s">
        <v>2659</v>
      </c>
      <c r="D1539" s="171" t="s">
        <v>165</v>
      </c>
      <c r="E1539" s="463" t="s">
        <v>3377</v>
      </c>
      <c r="F1539" s="171">
        <v>1993</v>
      </c>
      <c r="G1539" s="171">
        <v>348</v>
      </c>
      <c r="H1539" s="172" t="s">
        <v>1745</v>
      </c>
      <c r="I1539" s="173" t="s">
        <v>1739</v>
      </c>
      <c r="J1539" s="212">
        <v>0.4</v>
      </c>
      <c r="K1539" s="213">
        <v>3.6333333333333333</v>
      </c>
      <c r="L1539" s="91"/>
      <c r="M1539" s="171">
        <v>450</v>
      </c>
      <c r="N1539" s="171"/>
      <c r="O1539" s="172" t="s">
        <v>12</v>
      </c>
      <c r="P1539" s="92"/>
      <c r="Q1539" s="173" t="s">
        <v>273</v>
      </c>
      <c r="R1539" s="511"/>
      <c r="S1539" s="511"/>
      <c r="T1539" s="511"/>
      <c r="U1539" s="89"/>
      <c r="V1539" s="102">
        <v>0</v>
      </c>
      <c r="W1539" s="120">
        <v>0</v>
      </c>
      <c r="X1539" s="120">
        <v>0</v>
      </c>
      <c r="Y1539" s="120">
        <v>0</v>
      </c>
      <c r="Z1539" s="120">
        <v>0</v>
      </c>
      <c r="AA1539" s="17">
        <v>0</v>
      </c>
      <c r="AB1539" s="17">
        <v>0</v>
      </c>
      <c r="AC1539" s="17">
        <v>0</v>
      </c>
      <c r="AD1539" s="17">
        <v>0</v>
      </c>
      <c r="AE1539" s="17">
        <v>0</v>
      </c>
      <c r="AF1539" s="17">
        <v>0.1</v>
      </c>
      <c r="AG1539" s="17">
        <v>0</v>
      </c>
      <c r="AH1539" s="17">
        <v>0</v>
      </c>
      <c r="AI1539" s="17">
        <v>0</v>
      </c>
      <c r="AJ1539" s="17">
        <v>0</v>
      </c>
      <c r="AK1539" s="17">
        <v>0</v>
      </c>
      <c r="AL1539" s="32">
        <v>0</v>
      </c>
      <c r="AM1539" s="172" t="s">
        <v>521</v>
      </c>
      <c r="AN1539" s="89"/>
      <c r="AO1539" s="171" t="s">
        <v>521</v>
      </c>
      <c r="AP1539" s="783" t="s">
        <v>521</v>
      </c>
      <c r="AQ1539" s="17" t="s">
        <v>1103</v>
      </c>
      <c r="AR1539" s="174">
        <v>100</v>
      </c>
      <c r="AS1539" s="89"/>
      <c r="AT1539" s="171">
        <v>1200</v>
      </c>
      <c r="AU1539" s="255">
        <f t="shared" si="108"/>
        <v>24</v>
      </c>
      <c r="AV1539" s="172">
        <v>99</v>
      </c>
      <c r="AW1539" s="171">
        <v>0.16</v>
      </c>
      <c r="AX1539" s="171">
        <v>20</v>
      </c>
      <c r="AY1539" s="171" t="s">
        <v>521</v>
      </c>
      <c r="AZ1539" s="171">
        <v>0</v>
      </c>
      <c r="BA1539" s="175">
        <v>99</v>
      </c>
      <c r="BB1539" s="259"/>
      <c r="BC1539" s="190"/>
      <c r="BD1539" s="177"/>
      <c r="BE1539" s="177"/>
      <c r="BF1539" s="178" t="s">
        <v>1815</v>
      </c>
    </row>
    <row r="1540" spans="1:58">
      <c r="A1540" s="95">
        <v>1539</v>
      </c>
      <c r="B1540" s="211" t="s">
        <v>2100</v>
      </c>
      <c r="C1540" s="191" t="s">
        <v>2659</v>
      </c>
      <c r="D1540" s="171" t="s">
        <v>165</v>
      </c>
      <c r="E1540" s="463" t="s">
        <v>3377</v>
      </c>
      <c r="F1540" s="171">
        <v>1995</v>
      </c>
      <c r="G1540" s="171">
        <v>349</v>
      </c>
      <c r="H1540" s="172" t="s">
        <v>1745</v>
      </c>
      <c r="I1540" s="173" t="s">
        <v>1739</v>
      </c>
      <c r="J1540" s="212">
        <v>0.4</v>
      </c>
      <c r="K1540" s="213">
        <v>0</v>
      </c>
      <c r="L1540" s="91"/>
      <c r="M1540" s="171" t="s">
        <v>2281</v>
      </c>
      <c r="N1540" s="171"/>
      <c r="O1540" s="172" t="s">
        <v>12</v>
      </c>
      <c r="P1540" s="92"/>
      <c r="Q1540" s="173" t="s">
        <v>273</v>
      </c>
      <c r="R1540" s="511"/>
      <c r="S1540" s="511"/>
      <c r="T1540" s="511"/>
      <c r="U1540" s="89"/>
      <c r="V1540" s="102">
        <v>0</v>
      </c>
      <c r="W1540" s="120">
        <v>0</v>
      </c>
      <c r="X1540" s="120">
        <v>0</v>
      </c>
      <c r="Y1540" s="120">
        <v>0</v>
      </c>
      <c r="Z1540" s="120">
        <v>0</v>
      </c>
      <c r="AA1540" s="17">
        <v>0</v>
      </c>
      <c r="AB1540" s="17">
        <v>0</v>
      </c>
      <c r="AC1540" s="17">
        <v>0</v>
      </c>
      <c r="AD1540" s="17">
        <v>0</v>
      </c>
      <c r="AE1540" s="17">
        <v>0</v>
      </c>
      <c r="AF1540" s="17">
        <v>0</v>
      </c>
      <c r="AG1540" s="17">
        <v>0</v>
      </c>
      <c r="AH1540" s="17">
        <v>0</v>
      </c>
      <c r="AI1540" s="17">
        <v>0</v>
      </c>
      <c r="AJ1540" s="17">
        <v>0</v>
      </c>
      <c r="AK1540" s="17">
        <v>0</v>
      </c>
      <c r="AL1540" s="32">
        <v>0</v>
      </c>
      <c r="AM1540" s="172" t="s">
        <v>521</v>
      </c>
      <c r="AN1540" s="89"/>
      <c r="AO1540" s="171" t="s">
        <v>521</v>
      </c>
      <c r="AP1540" s="783" t="s">
        <v>521</v>
      </c>
      <c r="AQ1540" s="17" t="s">
        <v>2285</v>
      </c>
      <c r="AR1540" s="174">
        <v>400</v>
      </c>
      <c r="AS1540" s="89"/>
      <c r="AT1540" s="171">
        <v>1600</v>
      </c>
      <c r="AU1540" s="255">
        <f t="shared" si="108"/>
        <v>88.888888888888886</v>
      </c>
      <c r="AV1540" s="172">
        <v>99</v>
      </c>
      <c r="AW1540" s="171">
        <v>1</v>
      </c>
      <c r="AX1540" s="171">
        <v>20</v>
      </c>
      <c r="AY1540" s="171" t="s">
        <v>521</v>
      </c>
      <c r="AZ1540" s="171">
        <v>0</v>
      </c>
      <c r="BA1540" s="175" t="s">
        <v>521</v>
      </c>
      <c r="BB1540" s="259"/>
      <c r="BC1540" s="190"/>
      <c r="BD1540" s="177"/>
      <c r="BE1540" s="177"/>
      <c r="BF1540" s="178" t="s">
        <v>2282</v>
      </c>
    </row>
    <row r="1541" spans="1:58">
      <c r="A1541" s="95">
        <v>1540</v>
      </c>
      <c r="B1541" s="211" t="s">
        <v>2101</v>
      </c>
      <c r="C1541" s="191" t="s">
        <v>2659</v>
      </c>
      <c r="D1541" s="171" t="s">
        <v>165</v>
      </c>
      <c r="E1541" s="463" t="s">
        <v>3377</v>
      </c>
      <c r="F1541" s="171">
        <v>1995</v>
      </c>
      <c r="G1541" s="171">
        <v>349</v>
      </c>
      <c r="H1541" s="172" t="s">
        <v>1745</v>
      </c>
      <c r="I1541" s="173" t="s">
        <v>1739</v>
      </c>
      <c r="J1541" s="212">
        <v>0.4</v>
      </c>
      <c r="K1541" s="213">
        <v>0</v>
      </c>
      <c r="L1541" s="91"/>
      <c r="M1541" s="171" t="s">
        <v>2281</v>
      </c>
      <c r="N1541" s="171"/>
      <c r="O1541" s="172" t="s">
        <v>12</v>
      </c>
      <c r="P1541" s="92"/>
      <c r="Q1541" s="173" t="s">
        <v>273</v>
      </c>
      <c r="R1541" s="511"/>
      <c r="S1541" s="511"/>
      <c r="T1541" s="511"/>
      <c r="U1541" s="89"/>
      <c r="V1541" s="102">
        <v>0</v>
      </c>
      <c r="W1541" s="120">
        <v>0</v>
      </c>
      <c r="X1541" s="120">
        <v>25</v>
      </c>
      <c r="Y1541" s="120">
        <v>0</v>
      </c>
      <c r="Z1541" s="120">
        <v>0</v>
      </c>
      <c r="AA1541" s="17">
        <v>0</v>
      </c>
      <c r="AB1541" s="17">
        <v>0</v>
      </c>
      <c r="AC1541" s="17">
        <v>0</v>
      </c>
      <c r="AD1541" s="17">
        <v>0</v>
      </c>
      <c r="AE1541" s="17">
        <v>0</v>
      </c>
      <c r="AF1541" s="17">
        <v>0</v>
      </c>
      <c r="AG1541" s="17">
        <v>0</v>
      </c>
      <c r="AH1541" s="17">
        <v>0</v>
      </c>
      <c r="AI1541" s="17">
        <v>0</v>
      </c>
      <c r="AJ1541" s="17">
        <v>0</v>
      </c>
      <c r="AK1541" s="17">
        <v>0</v>
      </c>
      <c r="AL1541" s="32">
        <v>0</v>
      </c>
      <c r="AM1541" s="172" t="s">
        <v>521</v>
      </c>
      <c r="AN1541" s="89"/>
      <c r="AO1541" s="171" t="s">
        <v>521</v>
      </c>
      <c r="AP1541" s="783" t="s">
        <v>521</v>
      </c>
      <c r="AQ1541" s="17" t="s">
        <v>2285</v>
      </c>
      <c r="AR1541" s="174">
        <v>400</v>
      </c>
      <c r="AS1541" s="89"/>
      <c r="AT1541" s="171">
        <v>1600</v>
      </c>
      <c r="AU1541" s="255">
        <f t="shared" si="108"/>
        <v>88.888888888888886</v>
      </c>
      <c r="AV1541" s="172">
        <v>99</v>
      </c>
      <c r="AW1541" s="171">
        <v>1</v>
      </c>
      <c r="AX1541" s="171">
        <v>20</v>
      </c>
      <c r="AY1541" s="171" t="s">
        <v>521</v>
      </c>
      <c r="AZ1541" s="171">
        <v>0</v>
      </c>
      <c r="BA1541" s="175" t="s">
        <v>521</v>
      </c>
      <c r="BB1541" s="259"/>
      <c r="BC1541" s="190"/>
      <c r="BD1541" s="177"/>
      <c r="BE1541" s="177"/>
      <c r="BF1541" s="178" t="s">
        <v>2282</v>
      </c>
    </row>
    <row r="1542" spans="1:58">
      <c r="A1542" s="95">
        <v>1541</v>
      </c>
      <c r="B1542" s="211" t="s">
        <v>2102</v>
      </c>
      <c r="C1542" s="191" t="s">
        <v>2659</v>
      </c>
      <c r="D1542" s="171" t="s">
        <v>165</v>
      </c>
      <c r="E1542" s="463" t="s">
        <v>3377</v>
      </c>
      <c r="F1542" s="171">
        <v>1995</v>
      </c>
      <c r="G1542" s="171">
        <v>349</v>
      </c>
      <c r="H1542" s="172" t="s">
        <v>1745</v>
      </c>
      <c r="I1542" s="173" t="s">
        <v>1739</v>
      </c>
      <c r="J1542" s="212">
        <v>0.4</v>
      </c>
      <c r="K1542" s="213">
        <v>0</v>
      </c>
      <c r="L1542" s="91"/>
      <c r="M1542" s="171" t="s">
        <v>2281</v>
      </c>
      <c r="N1542" s="171"/>
      <c r="O1542" s="172" t="s">
        <v>12</v>
      </c>
      <c r="P1542" s="92"/>
      <c r="Q1542" s="173" t="s">
        <v>273</v>
      </c>
      <c r="R1542" s="511"/>
      <c r="S1542" s="511"/>
      <c r="T1542" s="511"/>
      <c r="U1542" s="89"/>
      <c r="V1542" s="102">
        <v>0</v>
      </c>
      <c r="W1542" s="120">
        <v>0</v>
      </c>
      <c r="X1542" s="120">
        <v>50</v>
      </c>
      <c r="Y1542" s="120">
        <v>0</v>
      </c>
      <c r="Z1542" s="120">
        <v>0</v>
      </c>
      <c r="AA1542" s="17">
        <v>0</v>
      </c>
      <c r="AB1542" s="17">
        <v>0</v>
      </c>
      <c r="AC1542" s="17">
        <v>0</v>
      </c>
      <c r="AD1542" s="17">
        <v>0</v>
      </c>
      <c r="AE1542" s="17">
        <v>0</v>
      </c>
      <c r="AF1542" s="17">
        <v>0</v>
      </c>
      <c r="AG1542" s="17">
        <v>0</v>
      </c>
      <c r="AH1542" s="17">
        <v>0</v>
      </c>
      <c r="AI1542" s="17">
        <v>0</v>
      </c>
      <c r="AJ1542" s="17">
        <v>0</v>
      </c>
      <c r="AK1542" s="17">
        <v>0</v>
      </c>
      <c r="AL1542" s="32">
        <v>0</v>
      </c>
      <c r="AM1542" s="172" t="s">
        <v>521</v>
      </c>
      <c r="AN1542" s="89"/>
      <c r="AO1542" s="171" t="s">
        <v>521</v>
      </c>
      <c r="AP1542" s="783" t="s">
        <v>521</v>
      </c>
      <c r="AQ1542" s="17" t="s">
        <v>2285</v>
      </c>
      <c r="AR1542" s="174">
        <v>400</v>
      </c>
      <c r="AS1542" s="89"/>
      <c r="AT1542" s="171">
        <v>1600</v>
      </c>
      <c r="AU1542" s="255">
        <f t="shared" si="108"/>
        <v>88.888888888888886</v>
      </c>
      <c r="AV1542" s="172">
        <v>99</v>
      </c>
      <c r="AW1542" s="171">
        <v>1</v>
      </c>
      <c r="AX1542" s="171">
        <v>20</v>
      </c>
      <c r="AY1542" s="171" t="s">
        <v>521</v>
      </c>
      <c r="AZ1542" s="171">
        <v>0</v>
      </c>
      <c r="BA1542" s="175" t="s">
        <v>521</v>
      </c>
      <c r="BB1542" s="259"/>
      <c r="BC1542" s="190"/>
      <c r="BD1542" s="177"/>
      <c r="BE1542" s="177"/>
      <c r="BF1542" s="178" t="s">
        <v>2282</v>
      </c>
    </row>
    <row r="1543" spans="1:58">
      <c r="A1543" s="95">
        <v>1542</v>
      </c>
      <c r="B1543" s="211" t="s">
        <v>2103</v>
      </c>
      <c r="C1543" s="191" t="s">
        <v>2659</v>
      </c>
      <c r="D1543" s="171" t="s">
        <v>165</v>
      </c>
      <c r="E1543" s="463" t="s">
        <v>3377</v>
      </c>
      <c r="F1543" s="171">
        <v>1995</v>
      </c>
      <c r="G1543" s="171">
        <v>349</v>
      </c>
      <c r="H1543" s="172" t="s">
        <v>1745</v>
      </c>
      <c r="I1543" s="173" t="s">
        <v>1739</v>
      </c>
      <c r="J1543" s="212">
        <v>0.4</v>
      </c>
      <c r="K1543" s="213">
        <v>0</v>
      </c>
      <c r="L1543" s="91"/>
      <c r="M1543" s="171" t="s">
        <v>2281</v>
      </c>
      <c r="N1543" s="171"/>
      <c r="O1543" s="172" t="s">
        <v>12</v>
      </c>
      <c r="P1543" s="92"/>
      <c r="Q1543" s="173" t="s">
        <v>273</v>
      </c>
      <c r="R1543" s="511"/>
      <c r="S1543" s="511"/>
      <c r="T1543" s="511"/>
      <c r="U1543" s="89"/>
      <c r="V1543" s="102">
        <v>0</v>
      </c>
      <c r="W1543" s="120">
        <v>0</v>
      </c>
      <c r="X1543" s="120">
        <v>70</v>
      </c>
      <c r="Y1543" s="120">
        <v>0</v>
      </c>
      <c r="Z1543" s="120">
        <v>0</v>
      </c>
      <c r="AA1543" s="17">
        <v>0</v>
      </c>
      <c r="AB1543" s="17">
        <v>0</v>
      </c>
      <c r="AC1543" s="17">
        <v>0</v>
      </c>
      <c r="AD1543" s="17">
        <v>0</v>
      </c>
      <c r="AE1543" s="17">
        <v>0</v>
      </c>
      <c r="AF1543" s="17">
        <v>0</v>
      </c>
      <c r="AG1543" s="17">
        <v>0</v>
      </c>
      <c r="AH1543" s="17">
        <v>0</v>
      </c>
      <c r="AI1543" s="17">
        <v>0</v>
      </c>
      <c r="AJ1543" s="17">
        <v>0</v>
      </c>
      <c r="AK1543" s="17">
        <v>0</v>
      </c>
      <c r="AL1543" s="32">
        <v>0</v>
      </c>
      <c r="AM1543" s="172" t="s">
        <v>521</v>
      </c>
      <c r="AN1543" s="89"/>
      <c r="AO1543" s="171" t="s">
        <v>521</v>
      </c>
      <c r="AP1543" s="783" t="s">
        <v>521</v>
      </c>
      <c r="AQ1543" s="17" t="s">
        <v>2285</v>
      </c>
      <c r="AR1543" s="174">
        <v>400</v>
      </c>
      <c r="AS1543" s="89"/>
      <c r="AT1543" s="171">
        <v>1600</v>
      </c>
      <c r="AU1543" s="255">
        <f t="shared" si="108"/>
        <v>88.888888888888886</v>
      </c>
      <c r="AV1543" s="172">
        <v>99</v>
      </c>
      <c r="AW1543" s="171">
        <v>1</v>
      </c>
      <c r="AX1543" s="171">
        <v>20</v>
      </c>
      <c r="AY1543" s="171" t="s">
        <v>521</v>
      </c>
      <c r="AZ1543" s="171">
        <v>0</v>
      </c>
      <c r="BA1543" s="175" t="s">
        <v>521</v>
      </c>
      <c r="BB1543" s="259"/>
      <c r="BC1543" s="190"/>
      <c r="BD1543" s="177"/>
      <c r="BE1543" s="177"/>
      <c r="BF1543" s="178" t="s">
        <v>2282</v>
      </c>
    </row>
    <row r="1544" spans="1:58">
      <c r="A1544" s="95">
        <v>1543</v>
      </c>
      <c r="B1544" s="211" t="s">
        <v>2104</v>
      </c>
      <c r="C1544" s="191" t="s">
        <v>2659</v>
      </c>
      <c r="D1544" s="171" t="s">
        <v>165</v>
      </c>
      <c r="E1544" s="463" t="s">
        <v>3377</v>
      </c>
      <c r="F1544" s="171">
        <v>1995</v>
      </c>
      <c r="G1544" s="171">
        <v>349</v>
      </c>
      <c r="H1544" s="172" t="s">
        <v>1745</v>
      </c>
      <c r="I1544" s="173" t="s">
        <v>1739</v>
      </c>
      <c r="J1544" s="212">
        <v>0.4</v>
      </c>
      <c r="K1544" s="213">
        <v>0</v>
      </c>
      <c r="L1544" s="91"/>
      <c r="M1544" s="171" t="s">
        <v>2281</v>
      </c>
      <c r="N1544" s="171"/>
      <c r="O1544" s="172" t="s">
        <v>12</v>
      </c>
      <c r="P1544" s="92"/>
      <c r="Q1544" s="173" t="s">
        <v>273</v>
      </c>
      <c r="R1544" s="511"/>
      <c r="S1544" s="511"/>
      <c r="T1544" s="511"/>
      <c r="U1544" s="89"/>
      <c r="V1544" s="102">
        <v>0</v>
      </c>
      <c r="W1544" s="120">
        <v>0</v>
      </c>
      <c r="X1544" s="120">
        <v>90</v>
      </c>
      <c r="Y1544" s="120">
        <v>0</v>
      </c>
      <c r="Z1544" s="120">
        <v>0</v>
      </c>
      <c r="AA1544" s="17">
        <v>0</v>
      </c>
      <c r="AB1544" s="17">
        <v>0</v>
      </c>
      <c r="AC1544" s="17">
        <v>0</v>
      </c>
      <c r="AD1544" s="17">
        <v>0</v>
      </c>
      <c r="AE1544" s="17">
        <v>0</v>
      </c>
      <c r="AF1544" s="17">
        <v>0</v>
      </c>
      <c r="AG1544" s="17">
        <v>0</v>
      </c>
      <c r="AH1544" s="17">
        <v>0</v>
      </c>
      <c r="AI1544" s="17">
        <v>0</v>
      </c>
      <c r="AJ1544" s="17">
        <v>0</v>
      </c>
      <c r="AK1544" s="17">
        <v>0</v>
      </c>
      <c r="AL1544" s="32">
        <v>0</v>
      </c>
      <c r="AM1544" s="172" t="s">
        <v>521</v>
      </c>
      <c r="AN1544" s="89"/>
      <c r="AO1544" s="171" t="s">
        <v>521</v>
      </c>
      <c r="AP1544" s="783" t="s">
        <v>521</v>
      </c>
      <c r="AQ1544" s="17" t="s">
        <v>2285</v>
      </c>
      <c r="AR1544" s="174">
        <v>400</v>
      </c>
      <c r="AS1544" s="89"/>
      <c r="AT1544" s="171">
        <v>1600</v>
      </c>
      <c r="AU1544" s="255">
        <f t="shared" si="108"/>
        <v>88.888888888888886</v>
      </c>
      <c r="AV1544" s="172">
        <v>99</v>
      </c>
      <c r="AW1544" s="171">
        <v>1</v>
      </c>
      <c r="AX1544" s="171">
        <v>20</v>
      </c>
      <c r="AY1544" s="171" t="s">
        <v>521</v>
      </c>
      <c r="AZ1544" s="171">
        <v>0</v>
      </c>
      <c r="BA1544" s="175" t="s">
        <v>521</v>
      </c>
      <c r="BB1544" s="259"/>
      <c r="BC1544" s="190"/>
      <c r="BD1544" s="177"/>
      <c r="BE1544" s="177"/>
      <c r="BF1544" s="178" t="s">
        <v>2282</v>
      </c>
    </row>
    <row r="1545" spans="1:58">
      <c r="A1545" s="95">
        <v>1544</v>
      </c>
      <c r="B1545" s="211" t="s">
        <v>2105</v>
      </c>
      <c r="C1545" s="191" t="s">
        <v>2659</v>
      </c>
      <c r="D1545" s="171" t="s">
        <v>165</v>
      </c>
      <c r="E1545" s="463" t="s">
        <v>3377</v>
      </c>
      <c r="F1545" s="171">
        <v>1995</v>
      </c>
      <c r="G1545" s="171">
        <v>349</v>
      </c>
      <c r="H1545" s="172" t="s">
        <v>1745</v>
      </c>
      <c r="I1545" s="173" t="s">
        <v>1739</v>
      </c>
      <c r="J1545" s="212">
        <v>0.3</v>
      </c>
      <c r="K1545" s="213">
        <v>0</v>
      </c>
      <c r="L1545" s="91"/>
      <c r="M1545" s="171" t="s">
        <v>2281</v>
      </c>
      <c r="N1545" s="171"/>
      <c r="O1545" s="172" t="s">
        <v>12</v>
      </c>
      <c r="P1545" s="92"/>
      <c r="Q1545" s="173" t="s">
        <v>273</v>
      </c>
      <c r="R1545" s="511"/>
      <c r="S1545" s="511"/>
      <c r="T1545" s="511"/>
      <c r="U1545" s="89"/>
      <c r="V1545" s="102">
        <v>0</v>
      </c>
      <c r="W1545" s="120">
        <v>0</v>
      </c>
      <c r="X1545" s="120">
        <v>0</v>
      </c>
      <c r="Y1545" s="120">
        <v>0</v>
      </c>
      <c r="Z1545" s="120">
        <v>0</v>
      </c>
      <c r="AA1545" s="17">
        <v>0</v>
      </c>
      <c r="AB1545" s="17">
        <v>0</v>
      </c>
      <c r="AC1545" s="17">
        <v>0</v>
      </c>
      <c r="AD1545" s="17">
        <v>0</v>
      </c>
      <c r="AE1545" s="17">
        <v>0</v>
      </c>
      <c r="AF1545" s="17">
        <v>0</v>
      </c>
      <c r="AG1545" s="17">
        <v>0</v>
      </c>
      <c r="AH1545" s="17">
        <v>0</v>
      </c>
      <c r="AI1545" s="17">
        <v>0</v>
      </c>
      <c r="AJ1545" s="17">
        <v>0</v>
      </c>
      <c r="AK1545" s="17">
        <v>0</v>
      </c>
      <c r="AL1545" s="32">
        <v>0</v>
      </c>
      <c r="AM1545" s="172" t="s">
        <v>521</v>
      </c>
      <c r="AN1545" s="89"/>
      <c r="AO1545" s="171" t="s">
        <v>521</v>
      </c>
      <c r="AP1545" s="783" t="s">
        <v>521</v>
      </c>
      <c r="AQ1545" s="17" t="s">
        <v>2285</v>
      </c>
      <c r="AR1545" s="174">
        <v>400</v>
      </c>
      <c r="AS1545" s="89"/>
      <c r="AT1545" s="171">
        <v>1600</v>
      </c>
      <c r="AU1545" s="255">
        <f t="shared" si="108"/>
        <v>88.888888888888886</v>
      </c>
      <c r="AV1545" s="172">
        <v>99</v>
      </c>
      <c r="AW1545" s="171">
        <v>1</v>
      </c>
      <c r="AX1545" s="171">
        <v>20</v>
      </c>
      <c r="AY1545" s="171" t="s">
        <v>521</v>
      </c>
      <c r="AZ1545" s="171">
        <v>0</v>
      </c>
      <c r="BA1545" s="175" t="s">
        <v>521</v>
      </c>
      <c r="BB1545" s="259"/>
      <c r="BC1545" s="190"/>
      <c r="BD1545" s="177"/>
      <c r="BE1545" s="177"/>
      <c r="BF1545" s="178"/>
    </row>
    <row r="1546" spans="1:58">
      <c r="A1546" s="95">
        <v>1545</v>
      </c>
      <c r="B1546" s="211" t="s">
        <v>2106</v>
      </c>
      <c r="C1546" s="191" t="s">
        <v>2659</v>
      </c>
      <c r="D1546" s="171" t="s">
        <v>165</v>
      </c>
      <c r="E1546" s="463" t="s">
        <v>3377</v>
      </c>
      <c r="F1546" s="171">
        <v>1995</v>
      </c>
      <c r="G1546" s="171">
        <v>349</v>
      </c>
      <c r="H1546" s="172" t="s">
        <v>1745</v>
      </c>
      <c r="I1546" s="173" t="s">
        <v>1739</v>
      </c>
      <c r="J1546" s="212">
        <v>0.3</v>
      </c>
      <c r="K1546" s="213">
        <v>0</v>
      </c>
      <c r="L1546" s="91"/>
      <c r="M1546" s="171" t="s">
        <v>2281</v>
      </c>
      <c r="N1546" s="171"/>
      <c r="O1546" s="172" t="s">
        <v>12</v>
      </c>
      <c r="P1546" s="92"/>
      <c r="Q1546" s="173" t="s">
        <v>273</v>
      </c>
      <c r="R1546" s="511"/>
      <c r="S1546" s="511"/>
      <c r="T1546" s="511"/>
      <c r="U1546" s="89"/>
      <c r="V1546" s="102">
        <v>10</v>
      </c>
      <c r="W1546" s="120">
        <v>0</v>
      </c>
      <c r="X1546" s="120">
        <v>0</v>
      </c>
      <c r="Y1546" s="120">
        <v>0</v>
      </c>
      <c r="Z1546" s="120">
        <v>0</v>
      </c>
      <c r="AA1546" s="17">
        <v>0</v>
      </c>
      <c r="AB1546" s="17">
        <v>0</v>
      </c>
      <c r="AC1546" s="17">
        <v>0</v>
      </c>
      <c r="AD1546" s="17">
        <v>0</v>
      </c>
      <c r="AE1546" s="17">
        <v>0</v>
      </c>
      <c r="AF1546" s="17">
        <v>0</v>
      </c>
      <c r="AG1546" s="17">
        <v>0</v>
      </c>
      <c r="AH1546" s="17">
        <v>0</v>
      </c>
      <c r="AI1546" s="17">
        <v>0</v>
      </c>
      <c r="AJ1546" s="17">
        <v>0</v>
      </c>
      <c r="AL1546" s="32">
        <v>0</v>
      </c>
      <c r="AM1546" s="172" t="s">
        <v>521</v>
      </c>
      <c r="AN1546" s="89"/>
      <c r="AO1546" s="171" t="s">
        <v>521</v>
      </c>
      <c r="AP1546" s="783" t="s">
        <v>521</v>
      </c>
      <c r="AQ1546" s="17" t="s">
        <v>2285</v>
      </c>
      <c r="AR1546" s="174">
        <v>400</v>
      </c>
      <c r="AS1546" s="89"/>
      <c r="AT1546" s="171">
        <v>1600</v>
      </c>
      <c r="AU1546" s="255">
        <f t="shared" si="108"/>
        <v>88.888888888888886</v>
      </c>
      <c r="AV1546" s="172">
        <v>99</v>
      </c>
      <c r="AW1546" s="171">
        <v>1</v>
      </c>
      <c r="AX1546" s="171">
        <v>20</v>
      </c>
      <c r="AY1546" s="171" t="s">
        <v>521</v>
      </c>
      <c r="AZ1546" s="171">
        <v>0</v>
      </c>
      <c r="BA1546" s="175" t="s">
        <v>521</v>
      </c>
      <c r="BB1546" s="259"/>
      <c r="BC1546" s="190"/>
      <c r="BD1546" s="177"/>
      <c r="BE1546" s="177"/>
      <c r="BF1546" s="178" t="s">
        <v>2283</v>
      </c>
    </row>
    <row r="1547" spans="1:58">
      <c r="A1547" s="95">
        <v>1546</v>
      </c>
      <c r="B1547" s="211" t="s">
        <v>2107</v>
      </c>
      <c r="C1547" s="191" t="s">
        <v>2659</v>
      </c>
      <c r="D1547" s="171" t="s">
        <v>165</v>
      </c>
      <c r="E1547" s="463" t="s">
        <v>3377</v>
      </c>
      <c r="F1547" s="171">
        <v>1995</v>
      </c>
      <c r="G1547" s="171">
        <v>349</v>
      </c>
      <c r="H1547" s="172" t="s">
        <v>1745</v>
      </c>
      <c r="I1547" s="173" t="s">
        <v>1739</v>
      </c>
      <c r="J1547" s="212">
        <v>0.3</v>
      </c>
      <c r="K1547" s="213">
        <v>0</v>
      </c>
      <c r="L1547" s="91"/>
      <c r="M1547" s="171" t="s">
        <v>2281</v>
      </c>
      <c r="N1547" s="171"/>
      <c r="O1547" s="172" t="s">
        <v>12</v>
      </c>
      <c r="P1547" s="92"/>
      <c r="Q1547" s="173" t="s">
        <v>273</v>
      </c>
      <c r="R1547" s="511"/>
      <c r="S1547" s="511"/>
      <c r="T1547" s="511"/>
      <c r="U1547" s="89"/>
      <c r="V1547" s="102">
        <v>10</v>
      </c>
      <c r="W1547" s="120">
        <v>0</v>
      </c>
      <c r="X1547" s="120">
        <v>0</v>
      </c>
      <c r="Y1547" s="120">
        <v>0</v>
      </c>
      <c r="Z1547" s="120">
        <v>0</v>
      </c>
      <c r="AA1547" s="17">
        <v>0</v>
      </c>
      <c r="AB1547" s="17">
        <v>0</v>
      </c>
      <c r="AC1547" s="17">
        <v>0</v>
      </c>
      <c r="AD1547" s="17">
        <v>0</v>
      </c>
      <c r="AE1547" s="17">
        <v>0</v>
      </c>
      <c r="AF1547" s="17">
        <v>0</v>
      </c>
      <c r="AG1547" s="17">
        <v>0</v>
      </c>
      <c r="AH1547" s="17">
        <v>0</v>
      </c>
      <c r="AI1547" s="17">
        <v>0</v>
      </c>
      <c r="AJ1547" s="17">
        <v>0</v>
      </c>
      <c r="AL1547" s="32">
        <v>0</v>
      </c>
      <c r="AM1547" s="172" t="s">
        <v>521</v>
      </c>
      <c r="AN1547" s="89"/>
      <c r="AO1547" s="171" t="s">
        <v>521</v>
      </c>
      <c r="AP1547" s="783" t="s">
        <v>521</v>
      </c>
      <c r="AQ1547" s="17" t="s">
        <v>2285</v>
      </c>
      <c r="AR1547" s="174">
        <v>400</v>
      </c>
      <c r="AS1547" s="89"/>
      <c r="AT1547" s="171">
        <v>1600</v>
      </c>
      <c r="AU1547" s="255">
        <f t="shared" ref="AU1547:AU1578" si="109">IF(ISBLANK(AS1547),(AR1547*AT1547)/((4*AT1547)+(2*AR1547)),AR1547*AS1547*AT1547/2/(AR1547*AS1547+AR1547*AT1547+AS1547*AT1547))</f>
        <v>88.888888888888886</v>
      </c>
      <c r="AV1547" s="172">
        <v>99</v>
      </c>
      <c r="AW1547" s="171">
        <v>1</v>
      </c>
      <c r="AX1547" s="171">
        <v>20</v>
      </c>
      <c r="AY1547" s="171" t="s">
        <v>521</v>
      </c>
      <c r="AZ1547" s="171">
        <v>0</v>
      </c>
      <c r="BA1547" s="175" t="s">
        <v>521</v>
      </c>
      <c r="BB1547" s="259"/>
      <c r="BC1547" s="190"/>
      <c r="BD1547" s="177"/>
      <c r="BE1547" s="177"/>
      <c r="BF1547" s="178" t="s">
        <v>2283</v>
      </c>
    </row>
    <row r="1548" spans="1:58">
      <c r="A1548" s="95">
        <v>1547</v>
      </c>
      <c r="B1548" s="211" t="s">
        <v>2108</v>
      </c>
      <c r="C1548" s="191" t="s">
        <v>2659</v>
      </c>
      <c r="D1548" s="171" t="s">
        <v>165</v>
      </c>
      <c r="E1548" s="463" t="s">
        <v>3377</v>
      </c>
      <c r="F1548" s="171">
        <v>1995</v>
      </c>
      <c r="G1548" s="171">
        <v>349</v>
      </c>
      <c r="H1548" s="172" t="s">
        <v>1745</v>
      </c>
      <c r="I1548" s="173" t="s">
        <v>1739</v>
      </c>
      <c r="J1548" s="212">
        <v>0.3</v>
      </c>
      <c r="K1548" s="213">
        <v>0</v>
      </c>
      <c r="L1548" s="91"/>
      <c r="M1548" s="171" t="s">
        <v>2281</v>
      </c>
      <c r="N1548" s="171"/>
      <c r="O1548" s="172" t="s">
        <v>12</v>
      </c>
      <c r="P1548" s="92"/>
      <c r="Q1548" s="173" t="s">
        <v>273</v>
      </c>
      <c r="R1548" s="511"/>
      <c r="S1548" s="511"/>
      <c r="T1548" s="511"/>
      <c r="U1548" s="89"/>
      <c r="V1548" s="102">
        <v>10</v>
      </c>
      <c r="W1548" s="120">
        <v>0</v>
      </c>
      <c r="X1548" s="120">
        <v>0</v>
      </c>
      <c r="Y1548" s="120">
        <v>0</v>
      </c>
      <c r="Z1548" s="120">
        <v>0</v>
      </c>
      <c r="AA1548" s="17">
        <v>0</v>
      </c>
      <c r="AB1548" s="17">
        <v>0</v>
      </c>
      <c r="AC1548" s="17">
        <v>0</v>
      </c>
      <c r="AD1548" s="17">
        <v>0</v>
      </c>
      <c r="AE1548" s="17">
        <v>0</v>
      </c>
      <c r="AF1548" s="17">
        <v>0</v>
      </c>
      <c r="AG1548" s="17">
        <v>0</v>
      </c>
      <c r="AH1548" s="17">
        <v>0</v>
      </c>
      <c r="AI1548" s="17">
        <v>0</v>
      </c>
      <c r="AJ1548" s="17">
        <v>0</v>
      </c>
      <c r="AL1548" s="32">
        <v>0</v>
      </c>
      <c r="AM1548" s="172" t="s">
        <v>521</v>
      </c>
      <c r="AN1548" s="89"/>
      <c r="AO1548" s="171" t="s">
        <v>521</v>
      </c>
      <c r="AP1548" s="783" t="s">
        <v>521</v>
      </c>
      <c r="AQ1548" s="17" t="s">
        <v>2285</v>
      </c>
      <c r="AR1548" s="174">
        <v>400</v>
      </c>
      <c r="AS1548" s="89"/>
      <c r="AT1548" s="171">
        <v>1600</v>
      </c>
      <c r="AU1548" s="255">
        <f t="shared" si="109"/>
        <v>88.888888888888886</v>
      </c>
      <c r="AV1548" s="172">
        <v>99</v>
      </c>
      <c r="AW1548" s="171">
        <v>1</v>
      </c>
      <c r="AX1548" s="171">
        <v>20</v>
      </c>
      <c r="AY1548" s="171" t="s">
        <v>521</v>
      </c>
      <c r="AZ1548" s="171">
        <v>0</v>
      </c>
      <c r="BA1548" s="175" t="s">
        <v>521</v>
      </c>
      <c r="BB1548" s="259"/>
      <c r="BC1548" s="190"/>
      <c r="BD1548" s="177"/>
      <c r="BE1548" s="177"/>
      <c r="BF1548" s="178" t="s">
        <v>2284</v>
      </c>
    </row>
    <row r="1549" spans="1:58">
      <c r="A1549" s="95">
        <v>1548</v>
      </c>
      <c r="B1549" s="211" t="s">
        <v>2109</v>
      </c>
      <c r="C1549" s="191" t="s">
        <v>2659</v>
      </c>
      <c r="D1549" s="171" t="s">
        <v>165</v>
      </c>
      <c r="E1549" s="463" t="s">
        <v>3377</v>
      </c>
      <c r="F1549" s="171">
        <v>1995</v>
      </c>
      <c r="G1549" s="171">
        <v>349</v>
      </c>
      <c r="H1549" s="172" t="s">
        <v>1745</v>
      </c>
      <c r="I1549" s="173" t="s">
        <v>1739</v>
      </c>
      <c r="J1549" s="212">
        <v>0.3</v>
      </c>
      <c r="K1549" s="213">
        <v>0</v>
      </c>
      <c r="L1549" s="91"/>
      <c r="M1549" s="171" t="s">
        <v>2281</v>
      </c>
      <c r="N1549" s="171"/>
      <c r="O1549" s="172" t="s">
        <v>12</v>
      </c>
      <c r="P1549" s="92"/>
      <c r="Q1549" s="173" t="s">
        <v>273</v>
      </c>
      <c r="R1549" s="511"/>
      <c r="S1549" s="511"/>
      <c r="T1549" s="511"/>
      <c r="U1549" s="89"/>
      <c r="V1549" s="102">
        <v>10</v>
      </c>
      <c r="W1549" s="120">
        <v>0</v>
      </c>
      <c r="X1549" s="120">
        <v>0</v>
      </c>
      <c r="Y1549" s="120">
        <v>0</v>
      </c>
      <c r="Z1549" s="120">
        <v>0</v>
      </c>
      <c r="AA1549" s="17">
        <v>0</v>
      </c>
      <c r="AB1549" s="17">
        <v>0</v>
      </c>
      <c r="AC1549" s="17">
        <v>0</v>
      </c>
      <c r="AD1549" s="17">
        <v>0</v>
      </c>
      <c r="AE1549" s="17">
        <v>0</v>
      </c>
      <c r="AF1549" s="17">
        <v>0</v>
      </c>
      <c r="AG1549" s="17">
        <v>0</v>
      </c>
      <c r="AH1549" s="17">
        <v>0</v>
      </c>
      <c r="AI1549" s="17">
        <v>0</v>
      </c>
      <c r="AJ1549" s="17">
        <v>0</v>
      </c>
      <c r="AL1549" s="32">
        <v>0</v>
      </c>
      <c r="AM1549" s="172" t="s">
        <v>521</v>
      </c>
      <c r="AN1549" s="89"/>
      <c r="AO1549" s="171" t="s">
        <v>521</v>
      </c>
      <c r="AP1549" s="783" t="s">
        <v>521</v>
      </c>
      <c r="AQ1549" s="17" t="s">
        <v>2285</v>
      </c>
      <c r="AR1549" s="174">
        <v>400</v>
      </c>
      <c r="AS1549" s="89"/>
      <c r="AT1549" s="171">
        <v>1600</v>
      </c>
      <c r="AU1549" s="255">
        <f t="shared" si="109"/>
        <v>88.888888888888886</v>
      </c>
      <c r="AV1549" s="172">
        <v>99</v>
      </c>
      <c r="AW1549" s="171">
        <v>1</v>
      </c>
      <c r="AX1549" s="171">
        <v>20</v>
      </c>
      <c r="AY1549" s="171" t="s">
        <v>521</v>
      </c>
      <c r="AZ1549" s="171">
        <v>0</v>
      </c>
      <c r="BA1549" s="175" t="s">
        <v>521</v>
      </c>
      <c r="BB1549" s="259"/>
      <c r="BC1549" s="190"/>
      <c r="BD1549" s="177"/>
      <c r="BE1549" s="177"/>
      <c r="BF1549" s="178" t="s">
        <v>2283</v>
      </c>
    </row>
    <row r="1550" spans="1:58">
      <c r="A1550" s="95">
        <v>1549</v>
      </c>
      <c r="B1550" s="211" t="s">
        <v>2110</v>
      </c>
      <c r="C1550" s="191" t="s">
        <v>2659</v>
      </c>
      <c r="D1550" s="171" t="s">
        <v>165</v>
      </c>
      <c r="E1550" s="463" t="s">
        <v>3377</v>
      </c>
      <c r="F1550" s="171">
        <v>1995</v>
      </c>
      <c r="G1550" s="171">
        <v>349</v>
      </c>
      <c r="H1550" s="172" t="s">
        <v>1745</v>
      </c>
      <c r="I1550" s="173" t="s">
        <v>1739</v>
      </c>
      <c r="J1550" s="212">
        <v>0.4</v>
      </c>
      <c r="K1550" s="213">
        <v>0</v>
      </c>
      <c r="L1550" s="91"/>
      <c r="M1550" s="171" t="s">
        <v>2281</v>
      </c>
      <c r="N1550" s="171"/>
      <c r="O1550" s="172" t="s">
        <v>12</v>
      </c>
      <c r="P1550" s="92"/>
      <c r="Q1550" s="173" t="s">
        <v>273</v>
      </c>
      <c r="R1550" s="511"/>
      <c r="S1550" s="511"/>
      <c r="T1550" s="511"/>
      <c r="U1550" s="89"/>
      <c r="V1550" s="102">
        <v>0</v>
      </c>
      <c r="W1550" s="120">
        <v>0</v>
      </c>
      <c r="X1550" s="120">
        <v>0</v>
      </c>
      <c r="Y1550" s="120">
        <v>0</v>
      </c>
      <c r="Z1550" s="120">
        <v>0</v>
      </c>
      <c r="AA1550" s="17">
        <v>0</v>
      </c>
      <c r="AB1550" s="17">
        <v>0</v>
      </c>
      <c r="AC1550" s="17">
        <v>0</v>
      </c>
      <c r="AD1550" s="17">
        <v>0</v>
      </c>
      <c r="AE1550" s="17">
        <v>0</v>
      </c>
      <c r="AF1550" s="17">
        <v>0</v>
      </c>
      <c r="AG1550" s="17">
        <v>0</v>
      </c>
      <c r="AH1550" s="17">
        <v>0</v>
      </c>
      <c r="AI1550" s="17">
        <v>0</v>
      </c>
      <c r="AJ1550" s="17">
        <v>0</v>
      </c>
      <c r="AK1550" s="17">
        <v>0</v>
      </c>
      <c r="AL1550" s="32">
        <v>0</v>
      </c>
      <c r="AM1550" s="172" t="s">
        <v>521</v>
      </c>
      <c r="AN1550" s="89"/>
      <c r="AO1550" s="171" t="s">
        <v>521</v>
      </c>
      <c r="AP1550" s="783" t="s">
        <v>521</v>
      </c>
      <c r="AQ1550" s="17" t="s">
        <v>2285</v>
      </c>
      <c r="AR1550" s="174">
        <v>400</v>
      </c>
      <c r="AS1550" s="89"/>
      <c r="AT1550" s="171">
        <v>1600</v>
      </c>
      <c r="AU1550" s="255">
        <f t="shared" si="109"/>
        <v>88.888888888888886</v>
      </c>
      <c r="AV1550" s="172">
        <v>99</v>
      </c>
      <c r="AW1550" s="171">
        <v>1</v>
      </c>
      <c r="AX1550" s="171">
        <v>20</v>
      </c>
      <c r="AY1550" s="171" t="s">
        <v>521</v>
      </c>
      <c r="AZ1550" s="171">
        <v>0</v>
      </c>
      <c r="BA1550" s="175" t="s">
        <v>521</v>
      </c>
      <c r="BB1550" s="259"/>
      <c r="BC1550" s="190"/>
      <c r="BD1550" s="177"/>
      <c r="BE1550" s="177"/>
      <c r="BF1550" s="178"/>
    </row>
    <row r="1551" spans="1:58" s="14" customFormat="1">
      <c r="A1551" s="95">
        <v>1550</v>
      </c>
      <c r="B1551" s="211" t="s">
        <v>2111</v>
      </c>
      <c r="C1551" s="191" t="s">
        <v>2659</v>
      </c>
      <c r="D1551" s="171" t="s">
        <v>165</v>
      </c>
      <c r="E1551" s="463" t="s">
        <v>3377</v>
      </c>
      <c r="F1551" s="171">
        <v>1995</v>
      </c>
      <c r="G1551" s="171">
        <v>349</v>
      </c>
      <c r="H1551" s="172" t="s">
        <v>1745</v>
      </c>
      <c r="I1551" s="173" t="s">
        <v>1739</v>
      </c>
      <c r="J1551" s="212">
        <v>0.4</v>
      </c>
      <c r="K1551" s="213">
        <v>0</v>
      </c>
      <c r="L1551" s="91"/>
      <c r="M1551" s="171" t="s">
        <v>2281</v>
      </c>
      <c r="N1551" s="171"/>
      <c r="O1551" s="172" t="s">
        <v>12</v>
      </c>
      <c r="P1551" s="92"/>
      <c r="Q1551" s="173" t="s">
        <v>273</v>
      </c>
      <c r="R1551" s="511"/>
      <c r="S1551" s="511"/>
      <c r="T1551" s="511"/>
      <c r="U1551" s="89"/>
      <c r="V1551" s="102">
        <v>10</v>
      </c>
      <c r="W1551" s="120">
        <v>0</v>
      </c>
      <c r="X1551" s="120">
        <v>0</v>
      </c>
      <c r="Y1551" s="120">
        <v>0</v>
      </c>
      <c r="Z1551" s="120">
        <v>0</v>
      </c>
      <c r="AA1551" s="17">
        <v>0</v>
      </c>
      <c r="AB1551" s="17">
        <v>0</v>
      </c>
      <c r="AC1551" s="17">
        <v>0</v>
      </c>
      <c r="AD1551" s="17">
        <v>0</v>
      </c>
      <c r="AE1551" s="17">
        <v>0</v>
      </c>
      <c r="AF1551" s="17">
        <v>0</v>
      </c>
      <c r="AG1551" s="17">
        <v>0</v>
      </c>
      <c r="AH1551" s="17">
        <v>0</v>
      </c>
      <c r="AI1551" s="17">
        <v>0</v>
      </c>
      <c r="AJ1551" s="17">
        <v>0</v>
      </c>
      <c r="AK1551" s="17">
        <v>0</v>
      </c>
      <c r="AL1551" s="32">
        <v>0</v>
      </c>
      <c r="AM1551" s="172" t="s">
        <v>521</v>
      </c>
      <c r="AN1551" s="89"/>
      <c r="AO1551" s="171" t="s">
        <v>521</v>
      </c>
      <c r="AP1551" s="783" t="s">
        <v>521</v>
      </c>
      <c r="AQ1551" s="17" t="s">
        <v>2285</v>
      </c>
      <c r="AR1551" s="174">
        <v>400</v>
      </c>
      <c r="AS1551" s="89"/>
      <c r="AT1551" s="171">
        <v>1600</v>
      </c>
      <c r="AU1551" s="255">
        <f t="shared" si="109"/>
        <v>88.888888888888886</v>
      </c>
      <c r="AV1551" s="172">
        <v>99</v>
      </c>
      <c r="AW1551" s="171">
        <v>1</v>
      </c>
      <c r="AX1551" s="171">
        <v>20</v>
      </c>
      <c r="AY1551" s="171" t="s">
        <v>521</v>
      </c>
      <c r="AZ1551" s="171">
        <v>0</v>
      </c>
      <c r="BA1551" s="175" t="s">
        <v>521</v>
      </c>
      <c r="BB1551" s="259"/>
      <c r="BC1551" s="190"/>
      <c r="BD1551" s="177"/>
      <c r="BE1551" s="177"/>
      <c r="BF1551" s="178"/>
    </row>
    <row r="1552" spans="1:58">
      <c r="A1552" s="95">
        <v>1551</v>
      </c>
      <c r="B1552" s="211" t="s">
        <v>2112</v>
      </c>
      <c r="C1552" s="191" t="s">
        <v>2659</v>
      </c>
      <c r="D1552" s="171" t="s">
        <v>165</v>
      </c>
      <c r="E1552" s="463" t="s">
        <v>3377</v>
      </c>
      <c r="F1552" s="171">
        <v>1995</v>
      </c>
      <c r="G1552" s="171">
        <v>349</v>
      </c>
      <c r="H1552" s="172" t="s">
        <v>1745</v>
      </c>
      <c r="I1552" s="173" t="s">
        <v>1739</v>
      </c>
      <c r="J1552" s="212">
        <v>0.4</v>
      </c>
      <c r="K1552" s="213">
        <v>0</v>
      </c>
      <c r="L1552" s="91"/>
      <c r="M1552" s="171" t="s">
        <v>2281</v>
      </c>
      <c r="N1552" s="171"/>
      <c r="O1552" s="172" t="s">
        <v>12</v>
      </c>
      <c r="P1552" s="92"/>
      <c r="Q1552" s="173" t="s">
        <v>273</v>
      </c>
      <c r="R1552" s="511"/>
      <c r="S1552" s="511"/>
      <c r="T1552" s="511"/>
      <c r="U1552" s="89"/>
      <c r="V1552" s="102">
        <v>20</v>
      </c>
      <c r="W1552" s="120">
        <v>0</v>
      </c>
      <c r="X1552" s="120">
        <v>0</v>
      </c>
      <c r="Y1552" s="120">
        <v>0</v>
      </c>
      <c r="Z1552" s="120">
        <v>0</v>
      </c>
      <c r="AA1552" s="17">
        <v>0</v>
      </c>
      <c r="AB1552" s="17">
        <v>0</v>
      </c>
      <c r="AC1552" s="17">
        <v>0</v>
      </c>
      <c r="AD1552" s="17">
        <v>0</v>
      </c>
      <c r="AE1552" s="17">
        <v>0</v>
      </c>
      <c r="AF1552" s="17">
        <v>0</v>
      </c>
      <c r="AG1552" s="17">
        <v>0</v>
      </c>
      <c r="AH1552" s="17">
        <v>0</v>
      </c>
      <c r="AI1552" s="17">
        <v>0</v>
      </c>
      <c r="AJ1552" s="17">
        <v>0</v>
      </c>
      <c r="AK1552" s="17">
        <v>0</v>
      </c>
      <c r="AL1552" s="32">
        <v>0</v>
      </c>
      <c r="AM1552" s="172" t="s">
        <v>521</v>
      </c>
      <c r="AN1552" s="89"/>
      <c r="AO1552" s="171" t="s">
        <v>521</v>
      </c>
      <c r="AP1552" s="783" t="s">
        <v>521</v>
      </c>
      <c r="AQ1552" s="17" t="s">
        <v>2285</v>
      </c>
      <c r="AR1552" s="174">
        <v>400</v>
      </c>
      <c r="AS1552" s="89"/>
      <c r="AT1552" s="171">
        <v>1600</v>
      </c>
      <c r="AU1552" s="255">
        <f t="shared" si="109"/>
        <v>88.888888888888886</v>
      </c>
      <c r="AV1552" s="172">
        <v>99</v>
      </c>
      <c r="AW1552" s="171">
        <v>1</v>
      </c>
      <c r="AX1552" s="171">
        <v>20</v>
      </c>
      <c r="AY1552" s="171" t="s">
        <v>521</v>
      </c>
      <c r="AZ1552" s="171">
        <v>0</v>
      </c>
      <c r="BA1552" s="175" t="s">
        <v>521</v>
      </c>
      <c r="BB1552" s="259"/>
      <c r="BC1552" s="190"/>
      <c r="BD1552" s="177"/>
      <c r="BE1552" s="177"/>
      <c r="BF1552" s="178"/>
    </row>
    <row r="1553" spans="1:58">
      <c r="A1553" s="95">
        <v>1552</v>
      </c>
      <c r="B1553" s="211" t="s">
        <v>2113</v>
      </c>
      <c r="C1553" s="191" t="s">
        <v>2659</v>
      </c>
      <c r="D1553" s="171" t="s">
        <v>165</v>
      </c>
      <c r="E1553" s="463" t="s">
        <v>3377</v>
      </c>
      <c r="F1553" s="171">
        <v>1995</v>
      </c>
      <c r="G1553" s="171">
        <v>349</v>
      </c>
      <c r="H1553" s="172" t="s">
        <v>1745</v>
      </c>
      <c r="I1553" s="173" t="s">
        <v>1739</v>
      </c>
      <c r="J1553" s="212">
        <v>0.23</v>
      </c>
      <c r="K1553" s="213">
        <v>0</v>
      </c>
      <c r="L1553" s="91"/>
      <c r="M1553" s="171" t="s">
        <v>2281</v>
      </c>
      <c r="N1553" s="171"/>
      <c r="O1553" s="172" t="s">
        <v>12</v>
      </c>
      <c r="P1553" s="92"/>
      <c r="Q1553" s="173" t="s">
        <v>273</v>
      </c>
      <c r="R1553" s="511"/>
      <c r="S1553" s="511"/>
      <c r="T1553" s="511"/>
      <c r="U1553" s="89"/>
      <c r="V1553" s="102">
        <v>20</v>
      </c>
      <c r="W1553" s="120">
        <v>0</v>
      </c>
      <c r="X1553" s="120">
        <v>0</v>
      </c>
      <c r="Y1553" s="120">
        <v>0</v>
      </c>
      <c r="Z1553" s="120">
        <v>0</v>
      </c>
      <c r="AA1553" s="17">
        <v>0</v>
      </c>
      <c r="AB1553" s="17">
        <v>0</v>
      </c>
      <c r="AC1553" s="17">
        <v>0</v>
      </c>
      <c r="AD1553" s="17">
        <v>0</v>
      </c>
      <c r="AE1553" s="17">
        <v>0</v>
      </c>
      <c r="AF1553" s="17">
        <v>0</v>
      </c>
      <c r="AG1553" s="17">
        <v>0</v>
      </c>
      <c r="AH1553" s="17">
        <v>0</v>
      </c>
      <c r="AI1553" s="17">
        <v>0</v>
      </c>
      <c r="AJ1553" s="17">
        <v>0</v>
      </c>
      <c r="AK1553" s="17">
        <v>0</v>
      </c>
      <c r="AL1553" s="32">
        <v>0</v>
      </c>
      <c r="AM1553" s="172" t="s">
        <v>521</v>
      </c>
      <c r="AN1553" s="89"/>
      <c r="AO1553" s="171" t="s">
        <v>521</v>
      </c>
      <c r="AP1553" s="783" t="s">
        <v>521</v>
      </c>
      <c r="AQ1553" s="17" t="s">
        <v>2285</v>
      </c>
      <c r="AR1553" s="174">
        <v>400</v>
      </c>
      <c r="AS1553" s="89"/>
      <c r="AT1553" s="171">
        <v>1600</v>
      </c>
      <c r="AU1553" s="255">
        <f t="shared" si="109"/>
        <v>88.888888888888886</v>
      </c>
      <c r="AV1553" s="172">
        <v>99</v>
      </c>
      <c r="AW1553" s="171">
        <v>1</v>
      </c>
      <c r="AX1553" s="171">
        <v>20</v>
      </c>
      <c r="AY1553" s="171" t="s">
        <v>521</v>
      </c>
      <c r="AZ1553" s="171">
        <v>0</v>
      </c>
      <c r="BA1553" s="175" t="s">
        <v>521</v>
      </c>
      <c r="BB1553" s="259"/>
      <c r="BC1553" s="190"/>
      <c r="BD1553" s="177"/>
      <c r="BE1553" s="177"/>
      <c r="BF1553" s="178"/>
    </row>
    <row r="1554" spans="1:58">
      <c r="A1554" s="95">
        <v>1553</v>
      </c>
      <c r="B1554" s="211" t="s">
        <v>2114</v>
      </c>
      <c r="C1554" s="191" t="s">
        <v>2659</v>
      </c>
      <c r="D1554" s="171" t="s">
        <v>165</v>
      </c>
      <c r="E1554" s="463" t="s">
        <v>3377</v>
      </c>
      <c r="F1554" s="171">
        <v>1995</v>
      </c>
      <c r="G1554" s="171">
        <v>349</v>
      </c>
      <c r="H1554" s="172" t="s">
        <v>1745</v>
      </c>
      <c r="I1554" s="173" t="s">
        <v>1739</v>
      </c>
      <c r="J1554" s="212">
        <v>0.4</v>
      </c>
      <c r="K1554" s="213">
        <v>0</v>
      </c>
      <c r="L1554" s="91"/>
      <c r="M1554" s="171" t="s">
        <v>2281</v>
      </c>
      <c r="N1554" s="171"/>
      <c r="O1554" s="172" t="s">
        <v>12</v>
      </c>
      <c r="P1554" s="92"/>
      <c r="Q1554" s="173" t="s">
        <v>273</v>
      </c>
      <c r="R1554" s="511"/>
      <c r="S1554" s="511"/>
      <c r="T1554" s="511"/>
      <c r="U1554" s="89"/>
      <c r="V1554" s="102">
        <v>0</v>
      </c>
      <c r="W1554" s="120">
        <v>0</v>
      </c>
      <c r="X1554" s="120">
        <v>0</v>
      </c>
      <c r="Y1554" s="120">
        <v>0</v>
      </c>
      <c r="Z1554" s="120">
        <v>0</v>
      </c>
      <c r="AA1554" s="17">
        <v>0</v>
      </c>
      <c r="AB1554" s="17">
        <v>0</v>
      </c>
      <c r="AC1554" s="17">
        <v>0</v>
      </c>
      <c r="AD1554" s="17">
        <v>0</v>
      </c>
      <c r="AE1554" s="17">
        <v>0</v>
      </c>
      <c r="AF1554" s="17">
        <v>0</v>
      </c>
      <c r="AG1554" s="17">
        <v>0</v>
      </c>
      <c r="AH1554" s="17">
        <v>0</v>
      </c>
      <c r="AI1554" s="17">
        <v>0</v>
      </c>
      <c r="AJ1554" s="17">
        <v>0</v>
      </c>
      <c r="AK1554" s="17">
        <v>0</v>
      </c>
      <c r="AL1554" s="32">
        <v>0</v>
      </c>
      <c r="AM1554" s="172" t="s">
        <v>521</v>
      </c>
      <c r="AN1554" s="89"/>
      <c r="AO1554" s="171" t="s">
        <v>521</v>
      </c>
      <c r="AP1554" s="783" t="s">
        <v>521</v>
      </c>
      <c r="AQ1554" s="17" t="s">
        <v>2285</v>
      </c>
      <c r="AR1554" s="174">
        <v>400</v>
      </c>
      <c r="AS1554" s="89"/>
      <c r="AT1554" s="171">
        <v>1600</v>
      </c>
      <c r="AU1554" s="255">
        <f t="shared" si="109"/>
        <v>88.888888888888886</v>
      </c>
      <c r="AV1554" s="172">
        <v>99</v>
      </c>
      <c r="AW1554" s="171">
        <v>1</v>
      </c>
      <c r="AX1554" s="171">
        <v>20</v>
      </c>
      <c r="AY1554" s="171" t="s">
        <v>521</v>
      </c>
      <c r="AZ1554" s="171">
        <v>0</v>
      </c>
      <c r="BA1554" s="175" t="s">
        <v>521</v>
      </c>
      <c r="BB1554" s="259"/>
      <c r="BC1554" s="190"/>
      <c r="BD1554" s="177"/>
      <c r="BE1554" s="177"/>
      <c r="BF1554" s="178" t="s">
        <v>2286</v>
      </c>
    </row>
    <row r="1555" spans="1:58">
      <c r="A1555" s="95">
        <v>1554</v>
      </c>
      <c r="B1555" s="211" t="s">
        <v>2115</v>
      </c>
      <c r="C1555" s="191" t="s">
        <v>2659</v>
      </c>
      <c r="D1555" s="171" t="s">
        <v>165</v>
      </c>
      <c r="E1555" s="463" t="s">
        <v>3377</v>
      </c>
      <c r="F1555" s="171">
        <v>1995</v>
      </c>
      <c r="G1555" s="171">
        <v>349</v>
      </c>
      <c r="H1555" s="172" t="s">
        <v>1745</v>
      </c>
      <c r="I1555" s="173" t="s">
        <v>1739</v>
      </c>
      <c r="J1555" s="212">
        <v>0.4</v>
      </c>
      <c r="K1555" s="213">
        <v>0</v>
      </c>
      <c r="L1555" s="91"/>
      <c r="M1555" s="171" t="s">
        <v>2281</v>
      </c>
      <c r="N1555" s="171"/>
      <c r="O1555" s="172" t="s">
        <v>12</v>
      </c>
      <c r="P1555" s="92"/>
      <c r="Q1555" s="173" t="s">
        <v>273</v>
      </c>
      <c r="R1555" s="511"/>
      <c r="S1555" s="511"/>
      <c r="T1555" s="511"/>
      <c r="U1555" s="89"/>
      <c r="V1555" s="102">
        <v>0</v>
      </c>
      <c r="W1555" s="120">
        <v>0</v>
      </c>
      <c r="X1555" s="120">
        <v>0</v>
      </c>
      <c r="Y1555" s="120">
        <v>0</v>
      </c>
      <c r="Z1555" s="120">
        <v>0</v>
      </c>
      <c r="AA1555" s="17">
        <v>0</v>
      </c>
      <c r="AB1555" s="17">
        <v>0</v>
      </c>
      <c r="AC1555" s="17">
        <v>0</v>
      </c>
      <c r="AD1555" s="17">
        <v>0</v>
      </c>
      <c r="AE1555" s="17">
        <v>0</v>
      </c>
      <c r="AF1555" s="17">
        <v>0</v>
      </c>
      <c r="AG1555" s="17">
        <v>0</v>
      </c>
      <c r="AH1555" s="17">
        <v>0</v>
      </c>
      <c r="AI1555" s="17">
        <v>0</v>
      </c>
      <c r="AJ1555" s="17">
        <v>0</v>
      </c>
      <c r="AK1555" s="17">
        <v>0</v>
      </c>
      <c r="AL1555" s="32">
        <v>0</v>
      </c>
      <c r="AM1555" s="172" t="s">
        <v>521</v>
      </c>
      <c r="AN1555" s="89"/>
      <c r="AO1555" s="171" t="s">
        <v>521</v>
      </c>
      <c r="AP1555" s="783" t="s">
        <v>521</v>
      </c>
      <c r="AQ1555" s="17" t="s">
        <v>2285</v>
      </c>
      <c r="AR1555" s="174">
        <v>400</v>
      </c>
      <c r="AS1555" s="89"/>
      <c r="AT1555" s="171">
        <v>1600</v>
      </c>
      <c r="AU1555" s="255">
        <f t="shared" si="109"/>
        <v>88.888888888888886</v>
      </c>
      <c r="AV1555" s="172">
        <v>99</v>
      </c>
      <c r="AW1555" s="171">
        <v>1</v>
      </c>
      <c r="AX1555" s="171">
        <v>20</v>
      </c>
      <c r="AY1555" s="171" t="s">
        <v>521</v>
      </c>
      <c r="AZ1555" s="171">
        <v>0</v>
      </c>
      <c r="BA1555" s="175" t="s">
        <v>521</v>
      </c>
      <c r="BB1555" s="259"/>
      <c r="BC1555" s="190"/>
      <c r="BD1555" s="177"/>
      <c r="BE1555" s="177"/>
      <c r="BF1555" s="178" t="s">
        <v>2287</v>
      </c>
    </row>
    <row r="1556" spans="1:58">
      <c r="A1556" s="95">
        <v>1555</v>
      </c>
      <c r="B1556" s="211" t="s">
        <v>2116</v>
      </c>
      <c r="C1556" s="191" t="s">
        <v>2659</v>
      </c>
      <c r="D1556" s="171" t="s">
        <v>165</v>
      </c>
      <c r="E1556" s="463" t="s">
        <v>3377</v>
      </c>
      <c r="F1556" s="171">
        <v>1995</v>
      </c>
      <c r="G1556" s="171">
        <v>349</v>
      </c>
      <c r="H1556" s="172" t="s">
        <v>1745</v>
      </c>
      <c r="I1556" s="173" t="s">
        <v>1739</v>
      </c>
      <c r="J1556" s="212">
        <v>0.4</v>
      </c>
      <c r="K1556" s="213">
        <v>0</v>
      </c>
      <c r="L1556" s="91"/>
      <c r="M1556" s="171" t="s">
        <v>2281</v>
      </c>
      <c r="N1556" s="171"/>
      <c r="O1556" s="172" t="s">
        <v>12</v>
      </c>
      <c r="P1556" s="92"/>
      <c r="Q1556" s="173" t="s">
        <v>273</v>
      </c>
      <c r="R1556" s="511"/>
      <c r="S1556" s="511"/>
      <c r="T1556" s="511"/>
      <c r="U1556" s="89"/>
      <c r="V1556" s="102">
        <v>5</v>
      </c>
      <c r="W1556" s="120">
        <v>0</v>
      </c>
      <c r="X1556" s="120">
        <v>0</v>
      </c>
      <c r="Y1556" s="120">
        <v>0</v>
      </c>
      <c r="Z1556" s="120">
        <v>0</v>
      </c>
      <c r="AA1556" s="17">
        <v>0</v>
      </c>
      <c r="AB1556" s="17">
        <v>0</v>
      </c>
      <c r="AC1556" s="17">
        <v>0</v>
      </c>
      <c r="AD1556" s="17">
        <v>0</v>
      </c>
      <c r="AE1556" s="17">
        <v>0</v>
      </c>
      <c r="AF1556" s="17">
        <v>0</v>
      </c>
      <c r="AG1556" s="17">
        <v>0</v>
      </c>
      <c r="AH1556" s="17">
        <v>0</v>
      </c>
      <c r="AI1556" s="17">
        <v>0</v>
      </c>
      <c r="AJ1556" s="17">
        <v>0</v>
      </c>
      <c r="AK1556" s="17">
        <v>0</v>
      </c>
      <c r="AL1556" s="32">
        <v>0</v>
      </c>
      <c r="AM1556" s="172" t="s">
        <v>521</v>
      </c>
      <c r="AN1556" s="89"/>
      <c r="AO1556" s="171" t="s">
        <v>521</v>
      </c>
      <c r="AP1556" s="783" t="s">
        <v>521</v>
      </c>
      <c r="AQ1556" s="17" t="s">
        <v>2285</v>
      </c>
      <c r="AR1556" s="174">
        <v>400</v>
      </c>
      <c r="AS1556" s="89"/>
      <c r="AT1556" s="171">
        <v>1600</v>
      </c>
      <c r="AU1556" s="255">
        <f t="shared" si="109"/>
        <v>88.888888888888886</v>
      </c>
      <c r="AV1556" s="172">
        <v>99</v>
      </c>
      <c r="AW1556" s="171">
        <v>1</v>
      </c>
      <c r="AX1556" s="171">
        <v>20</v>
      </c>
      <c r="AY1556" s="171" t="s">
        <v>521</v>
      </c>
      <c r="AZ1556" s="171">
        <v>0</v>
      </c>
      <c r="BA1556" s="175" t="s">
        <v>521</v>
      </c>
      <c r="BB1556" s="259"/>
      <c r="BC1556" s="190"/>
      <c r="BD1556" s="177"/>
      <c r="BE1556" s="177"/>
      <c r="BF1556" s="178" t="s">
        <v>2286</v>
      </c>
    </row>
    <row r="1557" spans="1:58">
      <c r="A1557" s="95">
        <v>1556</v>
      </c>
      <c r="B1557" s="211" t="s">
        <v>2117</v>
      </c>
      <c r="C1557" s="191" t="s">
        <v>2659</v>
      </c>
      <c r="D1557" s="171" t="s">
        <v>165</v>
      </c>
      <c r="E1557" s="463" t="s">
        <v>3377</v>
      </c>
      <c r="F1557" s="171">
        <v>1995</v>
      </c>
      <c r="G1557" s="171">
        <v>349</v>
      </c>
      <c r="H1557" s="172" t="s">
        <v>1745</v>
      </c>
      <c r="I1557" s="173" t="s">
        <v>1739</v>
      </c>
      <c r="J1557" s="212">
        <v>0.4</v>
      </c>
      <c r="K1557" s="213">
        <v>0</v>
      </c>
      <c r="L1557" s="91"/>
      <c r="M1557" s="171" t="s">
        <v>2281</v>
      </c>
      <c r="N1557" s="171"/>
      <c r="O1557" s="172" t="s">
        <v>12</v>
      </c>
      <c r="P1557" s="92"/>
      <c r="Q1557" s="173" t="s">
        <v>273</v>
      </c>
      <c r="R1557" s="511"/>
      <c r="S1557" s="511"/>
      <c r="T1557" s="511"/>
      <c r="U1557" s="89"/>
      <c r="V1557" s="102">
        <v>5</v>
      </c>
      <c r="W1557" s="120">
        <v>0</v>
      </c>
      <c r="X1557" s="120">
        <v>0</v>
      </c>
      <c r="Y1557" s="120">
        <v>0</v>
      </c>
      <c r="Z1557" s="120">
        <v>0</v>
      </c>
      <c r="AA1557" s="17">
        <v>0</v>
      </c>
      <c r="AB1557" s="17">
        <v>0</v>
      </c>
      <c r="AC1557" s="17">
        <v>0</v>
      </c>
      <c r="AD1557" s="17">
        <v>0</v>
      </c>
      <c r="AE1557" s="17">
        <v>0</v>
      </c>
      <c r="AF1557" s="17">
        <v>0</v>
      </c>
      <c r="AG1557" s="17">
        <v>0</v>
      </c>
      <c r="AH1557" s="17">
        <v>0</v>
      </c>
      <c r="AI1557" s="17">
        <v>0</v>
      </c>
      <c r="AJ1557" s="17">
        <v>0</v>
      </c>
      <c r="AK1557" s="17">
        <v>0</v>
      </c>
      <c r="AL1557" s="32">
        <v>0</v>
      </c>
      <c r="AM1557" s="172" t="s">
        <v>521</v>
      </c>
      <c r="AN1557" s="89"/>
      <c r="AO1557" s="171" t="s">
        <v>521</v>
      </c>
      <c r="AP1557" s="783" t="s">
        <v>521</v>
      </c>
      <c r="AQ1557" s="17" t="s">
        <v>2285</v>
      </c>
      <c r="AR1557" s="174">
        <v>400</v>
      </c>
      <c r="AS1557" s="89"/>
      <c r="AT1557" s="171">
        <v>1600</v>
      </c>
      <c r="AU1557" s="255">
        <f t="shared" si="109"/>
        <v>88.888888888888886</v>
      </c>
      <c r="AV1557" s="172">
        <v>99</v>
      </c>
      <c r="AW1557" s="171">
        <v>1</v>
      </c>
      <c r="AX1557" s="171">
        <v>20</v>
      </c>
      <c r="AY1557" s="171" t="s">
        <v>521</v>
      </c>
      <c r="AZ1557" s="171">
        <v>0</v>
      </c>
      <c r="BA1557" s="175" t="s">
        <v>521</v>
      </c>
      <c r="BB1557" s="259"/>
      <c r="BC1557" s="190"/>
      <c r="BD1557" s="177"/>
      <c r="BE1557" s="177"/>
      <c r="BF1557" s="178" t="s">
        <v>2287</v>
      </c>
    </row>
    <row r="1558" spans="1:58">
      <c r="A1558" s="95">
        <v>1557</v>
      </c>
      <c r="B1558" s="211" t="s">
        <v>2118</v>
      </c>
      <c r="C1558" s="191" t="s">
        <v>2659</v>
      </c>
      <c r="D1558" s="171" t="s">
        <v>165</v>
      </c>
      <c r="E1558" s="463" t="s">
        <v>3377</v>
      </c>
      <c r="F1558" s="171">
        <v>1995</v>
      </c>
      <c r="G1558" s="171">
        <v>349</v>
      </c>
      <c r="H1558" s="172" t="s">
        <v>1745</v>
      </c>
      <c r="I1558" s="173" t="s">
        <v>1739</v>
      </c>
      <c r="J1558" s="212">
        <v>0.4</v>
      </c>
      <c r="K1558" s="213">
        <v>0</v>
      </c>
      <c r="L1558" s="91"/>
      <c r="M1558" s="171" t="s">
        <v>2281</v>
      </c>
      <c r="N1558" s="171"/>
      <c r="O1558" s="172" t="s">
        <v>12</v>
      </c>
      <c r="P1558" s="92"/>
      <c r="Q1558" s="173" t="s">
        <v>273</v>
      </c>
      <c r="R1558" s="511"/>
      <c r="S1558" s="511"/>
      <c r="T1558" s="511"/>
      <c r="U1558" s="89"/>
      <c r="V1558" s="102">
        <v>10</v>
      </c>
      <c r="W1558" s="120">
        <v>0</v>
      </c>
      <c r="X1558" s="120">
        <v>0</v>
      </c>
      <c r="Y1558" s="120">
        <v>0</v>
      </c>
      <c r="Z1558" s="120">
        <v>0</v>
      </c>
      <c r="AA1558" s="17">
        <v>0</v>
      </c>
      <c r="AB1558" s="17">
        <v>0</v>
      </c>
      <c r="AC1558" s="17">
        <v>0</v>
      </c>
      <c r="AD1558" s="17">
        <v>0</v>
      </c>
      <c r="AE1558" s="17">
        <v>0</v>
      </c>
      <c r="AF1558" s="17">
        <v>0</v>
      </c>
      <c r="AG1558" s="17">
        <v>0</v>
      </c>
      <c r="AH1558" s="17">
        <v>0</v>
      </c>
      <c r="AI1558" s="17">
        <v>0</v>
      </c>
      <c r="AJ1558" s="17">
        <v>0</v>
      </c>
      <c r="AK1558" s="17">
        <v>0</v>
      </c>
      <c r="AL1558" s="32">
        <v>0</v>
      </c>
      <c r="AM1558" s="172" t="s">
        <v>521</v>
      </c>
      <c r="AN1558" s="89"/>
      <c r="AO1558" s="171" t="s">
        <v>521</v>
      </c>
      <c r="AP1558" s="783" t="s">
        <v>521</v>
      </c>
      <c r="AQ1558" s="17" t="s">
        <v>2285</v>
      </c>
      <c r="AR1558" s="174">
        <v>400</v>
      </c>
      <c r="AS1558" s="89"/>
      <c r="AT1558" s="171">
        <v>1600</v>
      </c>
      <c r="AU1558" s="255">
        <f t="shared" si="109"/>
        <v>88.888888888888886</v>
      </c>
      <c r="AV1558" s="172">
        <v>99</v>
      </c>
      <c r="AW1558" s="171">
        <v>1</v>
      </c>
      <c r="AX1558" s="171">
        <v>20</v>
      </c>
      <c r="AY1558" s="171" t="s">
        <v>521</v>
      </c>
      <c r="AZ1558" s="171">
        <v>0</v>
      </c>
      <c r="BA1558" s="175" t="s">
        <v>521</v>
      </c>
      <c r="BB1558" s="259"/>
      <c r="BC1558" s="190"/>
      <c r="BD1558" s="177"/>
      <c r="BE1558" s="177"/>
      <c r="BF1558" s="178" t="s">
        <v>2286</v>
      </c>
    </row>
    <row r="1559" spans="1:58">
      <c r="A1559" s="95">
        <v>1558</v>
      </c>
      <c r="B1559" s="211" t="s">
        <v>2119</v>
      </c>
      <c r="C1559" s="191" t="s">
        <v>2659</v>
      </c>
      <c r="D1559" s="171" t="s">
        <v>165</v>
      </c>
      <c r="E1559" s="463" t="s">
        <v>3377</v>
      </c>
      <c r="F1559" s="171">
        <v>1995</v>
      </c>
      <c r="G1559" s="171">
        <v>349</v>
      </c>
      <c r="H1559" s="172" t="s">
        <v>1745</v>
      </c>
      <c r="I1559" s="173" t="s">
        <v>1739</v>
      </c>
      <c r="J1559" s="212">
        <v>0.4</v>
      </c>
      <c r="K1559" s="213">
        <v>0</v>
      </c>
      <c r="L1559" s="91"/>
      <c r="M1559" s="171" t="s">
        <v>2281</v>
      </c>
      <c r="N1559" s="171"/>
      <c r="O1559" s="172" t="s">
        <v>12</v>
      </c>
      <c r="P1559" s="92"/>
      <c r="Q1559" s="173" t="s">
        <v>273</v>
      </c>
      <c r="R1559" s="511"/>
      <c r="S1559" s="511"/>
      <c r="T1559" s="511"/>
      <c r="U1559" s="89"/>
      <c r="V1559" s="102">
        <v>10</v>
      </c>
      <c r="W1559" s="120">
        <v>0</v>
      </c>
      <c r="X1559" s="120">
        <v>0</v>
      </c>
      <c r="Y1559" s="120">
        <v>0</v>
      </c>
      <c r="Z1559" s="120">
        <v>0</v>
      </c>
      <c r="AA1559" s="17">
        <v>0</v>
      </c>
      <c r="AB1559" s="17">
        <v>0</v>
      </c>
      <c r="AC1559" s="17">
        <v>0</v>
      </c>
      <c r="AD1559" s="17">
        <v>0</v>
      </c>
      <c r="AE1559" s="17">
        <v>0</v>
      </c>
      <c r="AF1559" s="17">
        <v>0</v>
      </c>
      <c r="AG1559" s="17">
        <v>0</v>
      </c>
      <c r="AH1559" s="17">
        <v>0</v>
      </c>
      <c r="AI1559" s="17">
        <v>0</v>
      </c>
      <c r="AJ1559" s="17">
        <v>0</v>
      </c>
      <c r="AK1559" s="17">
        <v>0</v>
      </c>
      <c r="AL1559" s="32">
        <v>0</v>
      </c>
      <c r="AM1559" s="172" t="s">
        <v>521</v>
      </c>
      <c r="AN1559" s="89"/>
      <c r="AO1559" s="171" t="s">
        <v>521</v>
      </c>
      <c r="AP1559" s="783" t="s">
        <v>521</v>
      </c>
      <c r="AQ1559" s="17" t="s">
        <v>2285</v>
      </c>
      <c r="AR1559" s="174">
        <v>400</v>
      </c>
      <c r="AS1559" s="89"/>
      <c r="AT1559" s="171">
        <v>1600</v>
      </c>
      <c r="AU1559" s="255">
        <f t="shared" si="109"/>
        <v>88.888888888888886</v>
      </c>
      <c r="AV1559" s="172">
        <v>99</v>
      </c>
      <c r="AW1559" s="171">
        <v>1</v>
      </c>
      <c r="AX1559" s="171">
        <v>20</v>
      </c>
      <c r="AY1559" s="171" t="s">
        <v>521</v>
      </c>
      <c r="AZ1559" s="171">
        <v>0</v>
      </c>
      <c r="BA1559" s="175" t="s">
        <v>521</v>
      </c>
      <c r="BB1559" s="259"/>
      <c r="BC1559" s="190"/>
      <c r="BD1559" s="177"/>
      <c r="BE1559" s="177"/>
      <c r="BF1559" s="178" t="s">
        <v>2287</v>
      </c>
    </row>
    <row r="1560" spans="1:58">
      <c r="A1560" s="95">
        <v>1559</v>
      </c>
      <c r="B1560" s="211" t="s">
        <v>2120</v>
      </c>
      <c r="C1560" s="191" t="s">
        <v>2659</v>
      </c>
      <c r="D1560" s="171" t="s">
        <v>165</v>
      </c>
      <c r="E1560" s="463" t="s">
        <v>3377</v>
      </c>
      <c r="F1560" s="171">
        <v>1995</v>
      </c>
      <c r="G1560" s="171">
        <v>349</v>
      </c>
      <c r="H1560" s="172" t="s">
        <v>1745</v>
      </c>
      <c r="I1560" s="173" t="s">
        <v>1739</v>
      </c>
      <c r="J1560" s="212">
        <v>0.4</v>
      </c>
      <c r="K1560" s="213">
        <v>0</v>
      </c>
      <c r="L1560" s="91"/>
      <c r="M1560" s="171" t="s">
        <v>2281</v>
      </c>
      <c r="N1560" s="171"/>
      <c r="O1560" s="172" t="s">
        <v>12</v>
      </c>
      <c r="P1560" s="92"/>
      <c r="Q1560" s="173" t="s">
        <v>273</v>
      </c>
      <c r="R1560" s="511"/>
      <c r="S1560" s="511"/>
      <c r="T1560" s="511"/>
      <c r="U1560" s="89"/>
      <c r="V1560" s="102">
        <v>30</v>
      </c>
      <c r="W1560" s="120">
        <v>0</v>
      </c>
      <c r="X1560" s="120">
        <v>0</v>
      </c>
      <c r="Y1560" s="120">
        <v>0</v>
      </c>
      <c r="Z1560" s="120">
        <v>0</v>
      </c>
      <c r="AA1560" s="17">
        <v>0</v>
      </c>
      <c r="AB1560" s="17">
        <v>0</v>
      </c>
      <c r="AC1560" s="17">
        <v>0</v>
      </c>
      <c r="AD1560" s="17">
        <v>0</v>
      </c>
      <c r="AE1560" s="17">
        <v>0</v>
      </c>
      <c r="AF1560" s="17">
        <v>0</v>
      </c>
      <c r="AG1560" s="17">
        <v>0</v>
      </c>
      <c r="AH1560" s="17">
        <v>0</v>
      </c>
      <c r="AI1560" s="17">
        <v>0</v>
      </c>
      <c r="AJ1560" s="17">
        <v>0</v>
      </c>
      <c r="AK1560" s="17">
        <v>0</v>
      </c>
      <c r="AL1560" s="32">
        <v>0</v>
      </c>
      <c r="AM1560" s="172" t="s">
        <v>521</v>
      </c>
      <c r="AN1560" s="89"/>
      <c r="AO1560" s="171" t="s">
        <v>521</v>
      </c>
      <c r="AP1560" s="783" t="s">
        <v>521</v>
      </c>
      <c r="AQ1560" s="17" t="s">
        <v>2285</v>
      </c>
      <c r="AR1560" s="174">
        <v>400</v>
      </c>
      <c r="AS1560" s="89"/>
      <c r="AT1560" s="171">
        <v>1600</v>
      </c>
      <c r="AU1560" s="255">
        <f t="shared" si="109"/>
        <v>88.888888888888886</v>
      </c>
      <c r="AV1560" s="172">
        <v>99</v>
      </c>
      <c r="AW1560" s="171">
        <v>1</v>
      </c>
      <c r="AX1560" s="171">
        <v>20</v>
      </c>
      <c r="AY1560" s="171" t="s">
        <v>521</v>
      </c>
      <c r="AZ1560" s="171">
        <v>0</v>
      </c>
      <c r="BA1560" s="175" t="s">
        <v>521</v>
      </c>
      <c r="BB1560" s="259"/>
      <c r="BC1560" s="190"/>
      <c r="BD1560" s="177"/>
      <c r="BE1560" s="177"/>
      <c r="BF1560" s="178" t="s">
        <v>2286</v>
      </c>
    </row>
    <row r="1561" spans="1:58">
      <c r="A1561" s="95">
        <v>1560</v>
      </c>
      <c r="B1561" s="211" t="s">
        <v>2121</v>
      </c>
      <c r="C1561" s="191" t="s">
        <v>2659</v>
      </c>
      <c r="D1561" s="171" t="s">
        <v>165</v>
      </c>
      <c r="E1561" s="463" t="s">
        <v>3377</v>
      </c>
      <c r="F1561" s="171">
        <v>1995</v>
      </c>
      <c r="G1561" s="171">
        <v>349</v>
      </c>
      <c r="H1561" s="172" t="s">
        <v>1745</v>
      </c>
      <c r="I1561" s="173" t="s">
        <v>1739</v>
      </c>
      <c r="J1561" s="212">
        <v>0.4</v>
      </c>
      <c r="K1561" s="213">
        <v>0</v>
      </c>
      <c r="L1561" s="91"/>
      <c r="M1561" s="171" t="s">
        <v>2281</v>
      </c>
      <c r="N1561" s="171"/>
      <c r="O1561" s="172" t="s">
        <v>12</v>
      </c>
      <c r="P1561" s="92"/>
      <c r="Q1561" s="173" t="s">
        <v>273</v>
      </c>
      <c r="R1561" s="511"/>
      <c r="S1561" s="511"/>
      <c r="T1561" s="511"/>
      <c r="U1561" s="89"/>
      <c r="V1561" s="102">
        <v>30</v>
      </c>
      <c r="W1561" s="120">
        <v>0</v>
      </c>
      <c r="X1561" s="120">
        <v>0</v>
      </c>
      <c r="Y1561" s="120">
        <v>0</v>
      </c>
      <c r="Z1561" s="120">
        <v>0</v>
      </c>
      <c r="AA1561" s="17">
        <v>0</v>
      </c>
      <c r="AB1561" s="17">
        <v>0</v>
      </c>
      <c r="AC1561" s="17">
        <v>0</v>
      </c>
      <c r="AD1561" s="17">
        <v>0</v>
      </c>
      <c r="AE1561" s="17">
        <v>0</v>
      </c>
      <c r="AF1561" s="17">
        <v>0</v>
      </c>
      <c r="AG1561" s="17">
        <v>0</v>
      </c>
      <c r="AH1561" s="17">
        <v>0</v>
      </c>
      <c r="AI1561" s="17">
        <v>0</v>
      </c>
      <c r="AJ1561" s="17">
        <v>0</v>
      </c>
      <c r="AK1561" s="17">
        <v>0</v>
      </c>
      <c r="AL1561" s="32">
        <v>0</v>
      </c>
      <c r="AM1561" s="172" t="s">
        <v>521</v>
      </c>
      <c r="AN1561" s="89"/>
      <c r="AO1561" s="171" t="s">
        <v>521</v>
      </c>
      <c r="AP1561" s="783" t="s">
        <v>521</v>
      </c>
      <c r="AQ1561" s="17" t="s">
        <v>2285</v>
      </c>
      <c r="AR1561" s="174">
        <v>400</v>
      </c>
      <c r="AS1561" s="89"/>
      <c r="AT1561" s="171">
        <v>1600</v>
      </c>
      <c r="AU1561" s="255">
        <f t="shared" si="109"/>
        <v>88.888888888888886</v>
      </c>
      <c r="AV1561" s="172">
        <v>99</v>
      </c>
      <c r="AW1561" s="171">
        <v>1</v>
      </c>
      <c r="AX1561" s="171">
        <v>20</v>
      </c>
      <c r="AY1561" s="171" t="s">
        <v>521</v>
      </c>
      <c r="AZ1561" s="171">
        <v>0</v>
      </c>
      <c r="BA1561" s="175" t="s">
        <v>521</v>
      </c>
      <c r="BB1561" s="259"/>
      <c r="BC1561" s="190"/>
      <c r="BD1561" s="177"/>
      <c r="BE1561" s="177"/>
      <c r="BF1561" s="178" t="s">
        <v>2287</v>
      </c>
    </row>
    <row r="1562" spans="1:58">
      <c r="A1562" s="95">
        <v>1561</v>
      </c>
      <c r="B1562" s="211" t="s">
        <v>2122</v>
      </c>
      <c r="C1562" s="191" t="s">
        <v>2659</v>
      </c>
      <c r="D1562" s="171" t="s">
        <v>165</v>
      </c>
      <c r="E1562" s="463" t="s">
        <v>3377</v>
      </c>
      <c r="F1562" s="171">
        <v>1995</v>
      </c>
      <c r="G1562" s="171">
        <v>349</v>
      </c>
      <c r="H1562" s="172" t="s">
        <v>1745</v>
      </c>
      <c r="I1562" s="173" t="s">
        <v>1739</v>
      </c>
      <c r="J1562" s="212">
        <v>0.3</v>
      </c>
      <c r="K1562" s="213">
        <v>0</v>
      </c>
      <c r="L1562" s="91"/>
      <c r="M1562" s="171" t="s">
        <v>2281</v>
      </c>
      <c r="N1562" s="171"/>
      <c r="O1562" s="172" t="s">
        <v>12</v>
      </c>
      <c r="P1562" s="92"/>
      <c r="Q1562" s="173" t="s">
        <v>273</v>
      </c>
      <c r="R1562" s="511"/>
      <c r="S1562" s="511"/>
      <c r="T1562" s="511"/>
      <c r="U1562" s="89"/>
      <c r="V1562" s="102">
        <v>0</v>
      </c>
      <c r="W1562" s="120">
        <v>0</v>
      </c>
      <c r="X1562" s="120">
        <v>0</v>
      </c>
      <c r="Y1562" s="120">
        <v>0</v>
      </c>
      <c r="Z1562" s="120">
        <v>0</v>
      </c>
      <c r="AA1562" s="17">
        <v>0</v>
      </c>
      <c r="AB1562" s="17">
        <v>0</v>
      </c>
      <c r="AC1562" s="17">
        <v>0</v>
      </c>
      <c r="AD1562" s="17">
        <v>0</v>
      </c>
      <c r="AE1562" s="17">
        <v>0</v>
      </c>
      <c r="AF1562" s="17">
        <v>0</v>
      </c>
      <c r="AG1562" s="17">
        <v>0</v>
      </c>
      <c r="AH1562" s="17">
        <v>0</v>
      </c>
      <c r="AI1562" s="17">
        <v>0</v>
      </c>
      <c r="AJ1562" s="17">
        <v>0</v>
      </c>
      <c r="AK1562" s="17">
        <v>0</v>
      </c>
      <c r="AL1562" s="32">
        <v>0</v>
      </c>
      <c r="AM1562" s="172" t="s">
        <v>521</v>
      </c>
      <c r="AN1562" s="89"/>
      <c r="AO1562" s="171" t="s">
        <v>521</v>
      </c>
      <c r="AP1562" s="783" t="s">
        <v>521</v>
      </c>
      <c r="AQ1562" s="17" t="s">
        <v>2285</v>
      </c>
      <c r="AR1562" s="174">
        <v>400</v>
      </c>
      <c r="AS1562" s="89"/>
      <c r="AT1562" s="171">
        <v>1600</v>
      </c>
      <c r="AU1562" s="255">
        <f t="shared" si="109"/>
        <v>88.888888888888886</v>
      </c>
      <c r="AV1562" s="172">
        <v>99</v>
      </c>
      <c r="AW1562" s="171">
        <v>1</v>
      </c>
      <c r="AX1562" s="171">
        <v>20</v>
      </c>
      <c r="AY1562" s="171" t="s">
        <v>521</v>
      </c>
      <c r="AZ1562" s="171">
        <v>0</v>
      </c>
      <c r="BA1562" s="175" t="s">
        <v>521</v>
      </c>
      <c r="BB1562" s="259"/>
      <c r="BC1562" s="190"/>
      <c r="BD1562" s="177"/>
      <c r="BE1562" s="177"/>
      <c r="BF1562" s="178"/>
    </row>
    <row r="1563" spans="1:58">
      <c r="A1563" s="95">
        <v>1562</v>
      </c>
      <c r="B1563" s="211" t="s">
        <v>2123</v>
      </c>
      <c r="C1563" s="191" t="s">
        <v>2659</v>
      </c>
      <c r="D1563" s="171" t="s">
        <v>165</v>
      </c>
      <c r="E1563" s="463" t="s">
        <v>3377</v>
      </c>
      <c r="F1563" s="171">
        <v>1995</v>
      </c>
      <c r="G1563" s="171">
        <v>349</v>
      </c>
      <c r="H1563" s="172" t="s">
        <v>1745</v>
      </c>
      <c r="I1563" s="173" t="s">
        <v>1739</v>
      </c>
      <c r="J1563" s="212">
        <v>0.3</v>
      </c>
      <c r="K1563" s="213">
        <v>0</v>
      </c>
      <c r="L1563" s="91"/>
      <c r="M1563" s="171" t="s">
        <v>2281</v>
      </c>
      <c r="N1563" s="171"/>
      <c r="O1563" s="172" t="s">
        <v>12</v>
      </c>
      <c r="P1563" s="92"/>
      <c r="Q1563" s="173" t="s">
        <v>273</v>
      </c>
      <c r="R1563" s="511"/>
      <c r="S1563" s="511"/>
      <c r="T1563" s="511"/>
      <c r="U1563" s="89"/>
      <c r="V1563" s="102">
        <v>0</v>
      </c>
      <c r="W1563" s="120">
        <v>0</v>
      </c>
      <c r="X1563" s="120">
        <v>0</v>
      </c>
      <c r="Y1563" s="120">
        <v>0</v>
      </c>
      <c r="Z1563" s="120">
        <v>0</v>
      </c>
      <c r="AA1563" s="17">
        <v>0</v>
      </c>
      <c r="AB1563" s="17">
        <v>0</v>
      </c>
      <c r="AC1563" s="17">
        <v>0</v>
      </c>
      <c r="AD1563" s="17">
        <v>0</v>
      </c>
      <c r="AE1563" s="17">
        <v>0</v>
      </c>
      <c r="AF1563" s="17">
        <v>0.4</v>
      </c>
      <c r="AG1563" s="17">
        <v>0</v>
      </c>
      <c r="AH1563" s="17">
        <v>0</v>
      </c>
      <c r="AI1563" s="17">
        <v>0</v>
      </c>
      <c r="AJ1563" s="17">
        <v>0</v>
      </c>
      <c r="AK1563" s="17">
        <v>0</v>
      </c>
      <c r="AL1563" s="32">
        <v>0</v>
      </c>
      <c r="AM1563" s="172" t="s">
        <v>521</v>
      </c>
      <c r="AN1563" s="89"/>
      <c r="AO1563" s="171" t="s">
        <v>521</v>
      </c>
      <c r="AP1563" s="783" t="s">
        <v>521</v>
      </c>
      <c r="AQ1563" s="17" t="s">
        <v>2285</v>
      </c>
      <c r="AR1563" s="174">
        <v>400</v>
      </c>
      <c r="AS1563" s="89"/>
      <c r="AT1563" s="171">
        <v>1600</v>
      </c>
      <c r="AU1563" s="255">
        <f t="shared" si="109"/>
        <v>88.888888888888886</v>
      </c>
      <c r="AV1563" s="172">
        <v>99</v>
      </c>
      <c r="AW1563" s="171">
        <v>1</v>
      </c>
      <c r="AX1563" s="171">
        <v>20</v>
      </c>
      <c r="AY1563" s="171" t="s">
        <v>521</v>
      </c>
      <c r="AZ1563" s="171">
        <v>0</v>
      </c>
      <c r="BA1563" s="175" t="s">
        <v>521</v>
      </c>
      <c r="BB1563" s="259"/>
      <c r="BC1563" s="190"/>
      <c r="BD1563" s="177"/>
      <c r="BE1563" s="177"/>
      <c r="BF1563" s="222" t="s">
        <v>2288</v>
      </c>
    </row>
    <row r="1564" spans="1:58">
      <c r="A1564" s="95">
        <v>1563</v>
      </c>
      <c r="B1564" s="211" t="s">
        <v>2124</v>
      </c>
      <c r="C1564" s="191" t="s">
        <v>2659</v>
      </c>
      <c r="D1564" s="171" t="s">
        <v>165</v>
      </c>
      <c r="E1564" s="463" t="s">
        <v>3377</v>
      </c>
      <c r="F1564" s="171">
        <v>1995</v>
      </c>
      <c r="G1564" s="171">
        <v>349</v>
      </c>
      <c r="H1564" s="172" t="s">
        <v>1745</v>
      </c>
      <c r="I1564" s="173" t="s">
        <v>1739</v>
      </c>
      <c r="J1564" s="212">
        <v>0.3</v>
      </c>
      <c r="K1564" s="213">
        <v>0</v>
      </c>
      <c r="L1564" s="91"/>
      <c r="M1564" s="171" t="s">
        <v>2281</v>
      </c>
      <c r="N1564" s="171"/>
      <c r="O1564" s="172" t="s">
        <v>12</v>
      </c>
      <c r="P1564" s="92"/>
      <c r="Q1564" s="173" t="s">
        <v>273</v>
      </c>
      <c r="R1564" s="511"/>
      <c r="S1564" s="511"/>
      <c r="T1564" s="511"/>
      <c r="U1564" s="89"/>
      <c r="V1564" s="102">
        <v>0</v>
      </c>
      <c r="W1564" s="120">
        <v>0</v>
      </c>
      <c r="X1564" s="120">
        <v>0</v>
      </c>
      <c r="Y1564" s="120">
        <v>0</v>
      </c>
      <c r="Z1564" s="120">
        <v>0</v>
      </c>
      <c r="AA1564" s="17">
        <v>0</v>
      </c>
      <c r="AB1564" s="17">
        <v>0</v>
      </c>
      <c r="AC1564" s="17">
        <v>0</v>
      </c>
      <c r="AD1564" s="17">
        <v>0</v>
      </c>
      <c r="AE1564" s="17">
        <v>0</v>
      </c>
      <c r="AF1564" s="17">
        <v>0.6</v>
      </c>
      <c r="AG1564" s="17">
        <v>0</v>
      </c>
      <c r="AH1564" s="17">
        <v>0</v>
      </c>
      <c r="AI1564" s="17">
        <v>0</v>
      </c>
      <c r="AJ1564" s="17">
        <v>0</v>
      </c>
      <c r="AK1564" s="17">
        <v>0</v>
      </c>
      <c r="AL1564" s="32">
        <v>0</v>
      </c>
      <c r="AM1564" s="172" t="s">
        <v>521</v>
      </c>
      <c r="AN1564" s="89"/>
      <c r="AO1564" s="171" t="s">
        <v>521</v>
      </c>
      <c r="AP1564" s="783" t="s">
        <v>521</v>
      </c>
      <c r="AQ1564" s="17" t="s">
        <v>2285</v>
      </c>
      <c r="AR1564" s="174">
        <v>400</v>
      </c>
      <c r="AS1564" s="89"/>
      <c r="AT1564" s="171">
        <v>1600</v>
      </c>
      <c r="AU1564" s="255">
        <f t="shared" si="109"/>
        <v>88.888888888888886</v>
      </c>
      <c r="AV1564" s="172">
        <v>99</v>
      </c>
      <c r="AW1564" s="171">
        <v>1</v>
      </c>
      <c r="AX1564" s="171">
        <v>20</v>
      </c>
      <c r="AY1564" s="171" t="s">
        <v>521</v>
      </c>
      <c r="AZ1564" s="171">
        <v>0</v>
      </c>
      <c r="BA1564" s="175" t="s">
        <v>521</v>
      </c>
      <c r="BB1564" s="259"/>
      <c r="BC1564" s="190"/>
      <c r="BD1564" s="177"/>
      <c r="BE1564" s="177"/>
      <c r="BF1564" s="222" t="s">
        <v>2289</v>
      </c>
    </row>
    <row r="1565" spans="1:58">
      <c r="A1565" s="95">
        <v>1564</v>
      </c>
      <c r="B1565" s="211" t="s">
        <v>2125</v>
      </c>
      <c r="C1565" s="191" t="s">
        <v>2659</v>
      </c>
      <c r="D1565" s="171" t="s">
        <v>165</v>
      </c>
      <c r="E1565" s="463" t="s">
        <v>3377</v>
      </c>
      <c r="F1565" s="171">
        <v>1995</v>
      </c>
      <c r="G1565" s="171">
        <v>349</v>
      </c>
      <c r="H1565" s="172" t="s">
        <v>1745</v>
      </c>
      <c r="I1565" s="173" t="s">
        <v>1739</v>
      </c>
      <c r="J1565" s="212">
        <v>0.3</v>
      </c>
      <c r="K1565" s="213">
        <v>0</v>
      </c>
      <c r="L1565" s="91"/>
      <c r="M1565" s="171" t="s">
        <v>2281</v>
      </c>
      <c r="N1565" s="171"/>
      <c r="O1565" s="172" t="s">
        <v>12</v>
      </c>
      <c r="P1565" s="92"/>
      <c r="Q1565" s="173" t="s">
        <v>273</v>
      </c>
      <c r="R1565" s="511"/>
      <c r="S1565" s="511"/>
      <c r="T1565" s="511"/>
      <c r="U1565" s="89"/>
      <c r="V1565" s="102">
        <v>0</v>
      </c>
      <c r="W1565" s="120">
        <v>0</v>
      </c>
      <c r="X1565" s="120">
        <v>0</v>
      </c>
      <c r="Y1565" s="120">
        <v>0</v>
      </c>
      <c r="Z1565" s="120">
        <v>0</v>
      </c>
      <c r="AA1565" s="17">
        <v>0</v>
      </c>
      <c r="AB1565" s="17">
        <v>0</v>
      </c>
      <c r="AC1565" s="17">
        <v>0</v>
      </c>
      <c r="AD1565" s="17">
        <v>0</v>
      </c>
      <c r="AE1565" s="17">
        <v>0</v>
      </c>
      <c r="AF1565" s="17">
        <v>0.4</v>
      </c>
      <c r="AG1565" s="17">
        <v>0</v>
      </c>
      <c r="AH1565" s="17">
        <v>0</v>
      </c>
      <c r="AI1565" s="17">
        <v>0</v>
      </c>
      <c r="AJ1565" s="17">
        <v>0</v>
      </c>
      <c r="AK1565" s="17">
        <v>0</v>
      </c>
      <c r="AL1565" s="32">
        <v>0</v>
      </c>
      <c r="AM1565" s="172" t="s">
        <v>521</v>
      </c>
      <c r="AN1565" s="89"/>
      <c r="AO1565" s="171" t="s">
        <v>521</v>
      </c>
      <c r="AP1565" s="783" t="s">
        <v>521</v>
      </c>
      <c r="AQ1565" s="17" t="s">
        <v>2285</v>
      </c>
      <c r="AR1565" s="174">
        <v>400</v>
      </c>
      <c r="AS1565" s="89"/>
      <c r="AT1565" s="171">
        <v>1600</v>
      </c>
      <c r="AU1565" s="255">
        <f t="shared" si="109"/>
        <v>88.888888888888886</v>
      </c>
      <c r="AV1565" s="172">
        <v>99</v>
      </c>
      <c r="AW1565" s="171">
        <v>1</v>
      </c>
      <c r="AX1565" s="171">
        <v>20</v>
      </c>
      <c r="AY1565" s="171" t="s">
        <v>521</v>
      </c>
      <c r="AZ1565" s="171">
        <v>0</v>
      </c>
      <c r="BA1565" s="175" t="s">
        <v>521</v>
      </c>
      <c r="BB1565" s="259"/>
      <c r="BC1565" s="190"/>
      <c r="BD1565" s="177"/>
      <c r="BE1565" s="177"/>
      <c r="BF1565" s="222" t="s">
        <v>2290</v>
      </c>
    </row>
    <row r="1566" spans="1:58">
      <c r="A1566" s="95">
        <v>1565</v>
      </c>
      <c r="B1566" s="211" t="s">
        <v>2126</v>
      </c>
      <c r="C1566" s="191" t="s">
        <v>2659</v>
      </c>
      <c r="D1566" s="171" t="s">
        <v>165</v>
      </c>
      <c r="E1566" s="463" t="s">
        <v>3377</v>
      </c>
      <c r="F1566" s="171">
        <v>1995</v>
      </c>
      <c r="G1566" s="171">
        <v>349</v>
      </c>
      <c r="H1566" s="172" t="s">
        <v>1745</v>
      </c>
      <c r="I1566" s="173" t="s">
        <v>1739</v>
      </c>
      <c r="J1566" s="212">
        <v>0.3</v>
      </c>
      <c r="K1566" s="213">
        <v>0</v>
      </c>
      <c r="L1566" s="91"/>
      <c r="M1566" s="171" t="s">
        <v>2281</v>
      </c>
      <c r="N1566" s="171"/>
      <c r="O1566" s="172" t="s">
        <v>12</v>
      </c>
      <c r="P1566" s="92"/>
      <c r="Q1566" s="173" t="s">
        <v>273</v>
      </c>
      <c r="R1566" s="511"/>
      <c r="S1566" s="511"/>
      <c r="T1566" s="511"/>
      <c r="U1566" s="89"/>
      <c r="V1566" s="102">
        <v>0</v>
      </c>
      <c r="W1566" s="120">
        <v>0</v>
      </c>
      <c r="X1566" s="120">
        <v>0</v>
      </c>
      <c r="Y1566" s="120">
        <v>0</v>
      </c>
      <c r="Z1566" s="120">
        <v>0</v>
      </c>
      <c r="AA1566" s="17">
        <v>0</v>
      </c>
      <c r="AB1566" s="17">
        <v>0</v>
      </c>
      <c r="AC1566" s="17">
        <v>0</v>
      </c>
      <c r="AD1566" s="17">
        <v>0</v>
      </c>
      <c r="AE1566" s="17">
        <v>0</v>
      </c>
      <c r="AF1566" s="17">
        <v>0.4</v>
      </c>
      <c r="AG1566" s="17">
        <v>0</v>
      </c>
      <c r="AH1566" s="17">
        <v>0</v>
      </c>
      <c r="AI1566" s="17">
        <v>0</v>
      </c>
      <c r="AJ1566" s="17">
        <v>0</v>
      </c>
      <c r="AK1566" s="17">
        <v>0</v>
      </c>
      <c r="AL1566" s="32">
        <v>0</v>
      </c>
      <c r="AM1566" s="172" t="s">
        <v>521</v>
      </c>
      <c r="AN1566" s="89"/>
      <c r="AO1566" s="171" t="s">
        <v>521</v>
      </c>
      <c r="AP1566" s="783" t="s">
        <v>521</v>
      </c>
      <c r="AQ1566" s="17" t="s">
        <v>2285</v>
      </c>
      <c r="AR1566" s="174">
        <v>400</v>
      </c>
      <c r="AS1566" s="89"/>
      <c r="AT1566" s="171">
        <v>1600</v>
      </c>
      <c r="AU1566" s="255">
        <f t="shared" si="109"/>
        <v>88.888888888888886</v>
      </c>
      <c r="AV1566" s="172">
        <v>99</v>
      </c>
      <c r="AW1566" s="171">
        <v>1</v>
      </c>
      <c r="AX1566" s="171">
        <v>20</v>
      </c>
      <c r="AY1566" s="171" t="s">
        <v>521</v>
      </c>
      <c r="AZ1566" s="171">
        <v>0</v>
      </c>
      <c r="BA1566" s="175" t="s">
        <v>521</v>
      </c>
      <c r="BB1566" s="259"/>
      <c r="BC1566" s="190"/>
      <c r="BD1566" s="177"/>
      <c r="BE1566" s="177"/>
      <c r="BF1566" s="222" t="s">
        <v>2291</v>
      </c>
    </row>
    <row r="1567" spans="1:58">
      <c r="A1567" s="95">
        <v>1566</v>
      </c>
      <c r="B1567" s="211" t="s">
        <v>2127</v>
      </c>
      <c r="C1567" s="191" t="s">
        <v>2659</v>
      </c>
      <c r="D1567" s="171" t="s">
        <v>165</v>
      </c>
      <c r="E1567" s="463" t="s">
        <v>3377</v>
      </c>
      <c r="F1567" s="171">
        <v>1995</v>
      </c>
      <c r="G1567" s="171">
        <v>349</v>
      </c>
      <c r="H1567" s="172" t="s">
        <v>1745</v>
      </c>
      <c r="I1567" s="173" t="s">
        <v>1739</v>
      </c>
      <c r="J1567" s="212">
        <v>0.3</v>
      </c>
      <c r="K1567" s="213">
        <v>0</v>
      </c>
      <c r="L1567" s="91"/>
      <c r="M1567" s="171" t="s">
        <v>2281</v>
      </c>
      <c r="N1567" s="171"/>
      <c r="O1567" s="172" t="s">
        <v>12</v>
      </c>
      <c r="P1567" s="92"/>
      <c r="Q1567" s="173" t="s">
        <v>273</v>
      </c>
      <c r="R1567" s="511"/>
      <c r="S1567" s="511"/>
      <c r="T1567" s="511"/>
      <c r="U1567" s="89"/>
      <c r="V1567" s="102">
        <v>0</v>
      </c>
      <c r="W1567" s="120">
        <v>0</v>
      </c>
      <c r="X1567" s="120">
        <v>0</v>
      </c>
      <c r="Y1567" s="120">
        <v>0</v>
      </c>
      <c r="Z1567" s="120">
        <v>0</v>
      </c>
      <c r="AA1567" s="17">
        <v>0</v>
      </c>
      <c r="AB1567" s="17">
        <v>0</v>
      </c>
      <c r="AC1567" s="17">
        <v>0</v>
      </c>
      <c r="AD1567" s="17">
        <v>0</v>
      </c>
      <c r="AE1567" s="17">
        <v>0</v>
      </c>
      <c r="AF1567" s="17">
        <v>0.25</v>
      </c>
      <c r="AG1567" s="17">
        <v>0</v>
      </c>
      <c r="AH1567" s="17">
        <v>0</v>
      </c>
      <c r="AI1567" s="17">
        <v>0</v>
      </c>
      <c r="AJ1567" s="17">
        <v>0</v>
      </c>
      <c r="AK1567" s="17">
        <v>0</v>
      </c>
      <c r="AL1567" s="32">
        <v>0</v>
      </c>
      <c r="AM1567" s="172" t="s">
        <v>521</v>
      </c>
      <c r="AN1567" s="89"/>
      <c r="AO1567" s="171" t="s">
        <v>521</v>
      </c>
      <c r="AP1567" s="783" t="s">
        <v>521</v>
      </c>
      <c r="AQ1567" s="17" t="s">
        <v>2285</v>
      </c>
      <c r="AR1567" s="174">
        <v>400</v>
      </c>
      <c r="AS1567" s="89"/>
      <c r="AT1567" s="171">
        <v>1600</v>
      </c>
      <c r="AU1567" s="255">
        <f t="shared" si="109"/>
        <v>88.888888888888886</v>
      </c>
      <c r="AV1567" s="172">
        <v>99</v>
      </c>
      <c r="AW1567" s="171">
        <v>1</v>
      </c>
      <c r="AX1567" s="171">
        <v>20</v>
      </c>
      <c r="AY1567" s="171" t="s">
        <v>521</v>
      </c>
      <c r="AZ1567" s="171">
        <v>0</v>
      </c>
      <c r="BA1567" s="175" t="s">
        <v>521</v>
      </c>
      <c r="BB1567" s="259"/>
      <c r="BC1567" s="190"/>
      <c r="BD1567" s="177"/>
      <c r="BE1567" s="177"/>
      <c r="BF1567" s="222" t="s">
        <v>2292</v>
      </c>
    </row>
    <row r="1568" spans="1:58">
      <c r="A1568" s="95">
        <v>1567</v>
      </c>
      <c r="B1568" s="211" t="s">
        <v>2128</v>
      </c>
      <c r="C1568" s="191" t="s">
        <v>2659</v>
      </c>
      <c r="D1568" s="171" t="s">
        <v>165</v>
      </c>
      <c r="E1568" s="463" t="s">
        <v>3377</v>
      </c>
      <c r="F1568" s="171">
        <v>1995</v>
      </c>
      <c r="G1568" s="171">
        <v>349</v>
      </c>
      <c r="H1568" s="172" t="s">
        <v>1745</v>
      </c>
      <c r="I1568" s="173" t="s">
        <v>1739</v>
      </c>
      <c r="J1568" s="212">
        <v>0.3</v>
      </c>
      <c r="K1568" s="213">
        <v>0</v>
      </c>
      <c r="L1568" s="91"/>
      <c r="M1568" s="171" t="s">
        <v>2281</v>
      </c>
      <c r="N1568" s="171"/>
      <c r="O1568" s="172" t="s">
        <v>12</v>
      </c>
      <c r="P1568" s="92"/>
      <c r="Q1568" s="173" t="s">
        <v>273</v>
      </c>
      <c r="R1568" s="511"/>
      <c r="S1568" s="511"/>
      <c r="T1568" s="511"/>
      <c r="U1568" s="89"/>
      <c r="V1568" s="102">
        <v>0</v>
      </c>
      <c r="W1568" s="120">
        <v>0</v>
      </c>
      <c r="X1568" s="120">
        <v>0</v>
      </c>
      <c r="Y1568" s="120">
        <v>0</v>
      </c>
      <c r="Z1568" s="120">
        <v>0</v>
      </c>
      <c r="AA1568" s="17">
        <v>0</v>
      </c>
      <c r="AB1568" s="17">
        <v>0</v>
      </c>
      <c r="AC1568" s="17">
        <v>0</v>
      </c>
      <c r="AD1568" s="17">
        <v>0</v>
      </c>
      <c r="AE1568" s="17">
        <v>0</v>
      </c>
      <c r="AF1568" s="17">
        <v>0</v>
      </c>
      <c r="AG1568" s="17">
        <v>0</v>
      </c>
      <c r="AH1568" s="17">
        <v>0</v>
      </c>
      <c r="AI1568" s="17">
        <v>0</v>
      </c>
      <c r="AJ1568" s="17">
        <v>0</v>
      </c>
      <c r="AK1568" s="17">
        <v>0</v>
      </c>
      <c r="AL1568" s="32">
        <v>0</v>
      </c>
      <c r="AM1568" s="172" t="s">
        <v>521</v>
      </c>
      <c r="AN1568" s="89"/>
      <c r="AO1568" s="171" t="s">
        <v>521</v>
      </c>
      <c r="AP1568" s="783" t="s">
        <v>521</v>
      </c>
      <c r="AQ1568" s="17" t="s">
        <v>2285</v>
      </c>
      <c r="AR1568" s="174">
        <v>400</v>
      </c>
      <c r="AS1568" s="89"/>
      <c r="AT1568" s="171">
        <v>1600</v>
      </c>
      <c r="AU1568" s="255">
        <f t="shared" si="109"/>
        <v>88.888888888888886</v>
      </c>
      <c r="AV1568" s="172">
        <v>99</v>
      </c>
      <c r="AW1568" s="171">
        <v>1</v>
      </c>
      <c r="AX1568" s="171">
        <v>20</v>
      </c>
      <c r="AY1568" s="171" t="s">
        <v>521</v>
      </c>
      <c r="AZ1568" s="171">
        <v>0</v>
      </c>
      <c r="BA1568" s="175" t="s">
        <v>521</v>
      </c>
      <c r="BB1568" s="259"/>
      <c r="BC1568" s="190"/>
      <c r="BD1568" s="177"/>
      <c r="BE1568" s="177"/>
      <c r="BF1568" s="222"/>
    </row>
    <row r="1569" spans="1:58">
      <c r="A1569" s="95">
        <v>1568</v>
      </c>
      <c r="B1569" s="211" t="s">
        <v>2129</v>
      </c>
      <c r="C1569" s="191" t="s">
        <v>2659</v>
      </c>
      <c r="D1569" s="171" t="s">
        <v>165</v>
      </c>
      <c r="E1569" s="463" t="s">
        <v>3377</v>
      </c>
      <c r="F1569" s="171">
        <v>1995</v>
      </c>
      <c r="G1569" s="171">
        <v>349</v>
      </c>
      <c r="H1569" s="172" t="s">
        <v>1745</v>
      </c>
      <c r="I1569" s="173" t="s">
        <v>1739</v>
      </c>
      <c r="J1569" s="212">
        <v>0.3</v>
      </c>
      <c r="K1569" s="213">
        <v>0</v>
      </c>
      <c r="L1569" s="91"/>
      <c r="M1569" s="171" t="s">
        <v>2281</v>
      </c>
      <c r="N1569" s="171"/>
      <c r="O1569" s="172" t="s">
        <v>12</v>
      </c>
      <c r="P1569" s="92"/>
      <c r="Q1569" s="173" t="s">
        <v>273</v>
      </c>
      <c r="R1569" s="511"/>
      <c r="S1569" s="511"/>
      <c r="T1569" s="511"/>
      <c r="U1569" s="89"/>
      <c r="V1569" s="102">
        <v>0</v>
      </c>
      <c r="W1569" s="120">
        <v>0</v>
      </c>
      <c r="X1569" s="120">
        <v>0</v>
      </c>
      <c r="Y1569" s="120">
        <v>0</v>
      </c>
      <c r="Z1569" s="120">
        <v>0</v>
      </c>
      <c r="AA1569" s="17">
        <v>0</v>
      </c>
      <c r="AB1569" s="17">
        <v>0</v>
      </c>
      <c r="AC1569" s="17">
        <v>0</v>
      </c>
      <c r="AD1569" s="17">
        <v>0</v>
      </c>
      <c r="AE1569" s="17">
        <v>0</v>
      </c>
      <c r="AF1569" s="17">
        <v>0.2</v>
      </c>
      <c r="AG1569" s="17">
        <v>0</v>
      </c>
      <c r="AH1569" s="17">
        <v>0</v>
      </c>
      <c r="AI1569" s="17">
        <v>0</v>
      </c>
      <c r="AJ1569" s="17">
        <v>0</v>
      </c>
      <c r="AK1569" s="17">
        <v>0</v>
      </c>
      <c r="AL1569" s="32">
        <v>0</v>
      </c>
      <c r="AM1569" s="172" t="s">
        <v>521</v>
      </c>
      <c r="AN1569" s="89"/>
      <c r="AO1569" s="171" t="s">
        <v>521</v>
      </c>
      <c r="AP1569" s="783" t="s">
        <v>521</v>
      </c>
      <c r="AQ1569" s="17" t="s">
        <v>2285</v>
      </c>
      <c r="AR1569" s="174">
        <v>400</v>
      </c>
      <c r="AS1569" s="89"/>
      <c r="AT1569" s="171">
        <v>1600</v>
      </c>
      <c r="AU1569" s="255">
        <f t="shared" si="109"/>
        <v>88.888888888888886</v>
      </c>
      <c r="AV1569" s="172">
        <v>99</v>
      </c>
      <c r="AW1569" s="171">
        <v>1</v>
      </c>
      <c r="AX1569" s="171">
        <v>20</v>
      </c>
      <c r="AY1569" s="171" t="s">
        <v>521</v>
      </c>
      <c r="AZ1569" s="171">
        <v>0</v>
      </c>
      <c r="BA1569" s="175" t="s">
        <v>521</v>
      </c>
      <c r="BB1569" s="259"/>
      <c r="BC1569" s="190"/>
      <c r="BD1569" s="177"/>
      <c r="BE1569" s="177"/>
      <c r="BF1569" s="222" t="s">
        <v>2292</v>
      </c>
    </row>
    <row r="1570" spans="1:58">
      <c r="A1570" s="95">
        <v>1569</v>
      </c>
      <c r="B1570" s="211" t="s">
        <v>2130</v>
      </c>
      <c r="C1570" s="191" t="s">
        <v>2659</v>
      </c>
      <c r="D1570" s="171" t="s">
        <v>165</v>
      </c>
      <c r="E1570" s="463" t="s">
        <v>3377</v>
      </c>
      <c r="F1570" s="171">
        <v>1995</v>
      </c>
      <c r="G1570" s="171">
        <v>349</v>
      </c>
      <c r="H1570" s="172" t="s">
        <v>1745</v>
      </c>
      <c r="I1570" s="173" t="s">
        <v>1739</v>
      </c>
      <c r="J1570" s="212">
        <v>0.3</v>
      </c>
      <c r="K1570" s="213">
        <v>0</v>
      </c>
      <c r="L1570" s="91"/>
      <c r="M1570" s="171" t="s">
        <v>2281</v>
      </c>
      <c r="N1570" s="171"/>
      <c r="O1570" s="172" t="s">
        <v>12</v>
      </c>
      <c r="P1570" s="92"/>
      <c r="Q1570" s="173" t="s">
        <v>273</v>
      </c>
      <c r="R1570" s="511"/>
      <c r="S1570" s="511"/>
      <c r="T1570" s="511"/>
      <c r="U1570" s="89"/>
      <c r="V1570" s="102">
        <v>0</v>
      </c>
      <c r="W1570" s="120">
        <v>0</v>
      </c>
      <c r="X1570" s="120">
        <v>0</v>
      </c>
      <c r="Y1570" s="120">
        <v>0</v>
      </c>
      <c r="Z1570" s="120">
        <v>0</v>
      </c>
      <c r="AA1570" s="17">
        <v>0</v>
      </c>
      <c r="AB1570" s="17">
        <v>0</v>
      </c>
      <c r="AC1570" s="17">
        <v>0</v>
      </c>
      <c r="AD1570" s="17">
        <v>0</v>
      </c>
      <c r="AE1570" s="17">
        <v>0</v>
      </c>
      <c r="AF1570" s="17">
        <v>0.4</v>
      </c>
      <c r="AG1570" s="17">
        <v>0</v>
      </c>
      <c r="AH1570" s="17">
        <v>0</v>
      </c>
      <c r="AI1570" s="17">
        <v>0</v>
      </c>
      <c r="AJ1570" s="17">
        <v>0</v>
      </c>
      <c r="AK1570" s="17">
        <v>0</v>
      </c>
      <c r="AL1570" s="32">
        <v>0</v>
      </c>
      <c r="AM1570" s="172" t="s">
        <v>521</v>
      </c>
      <c r="AN1570" s="89"/>
      <c r="AO1570" s="171" t="s">
        <v>521</v>
      </c>
      <c r="AP1570" s="783" t="s">
        <v>521</v>
      </c>
      <c r="AQ1570" s="17" t="s">
        <v>2285</v>
      </c>
      <c r="AR1570" s="174">
        <v>400</v>
      </c>
      <c r="AS1570" s="89"/>
      <c r="AT1570" s="171">
        <v>1600</v>
      </c>
      <c r="AU1570" s="255">
        <f t="shared" si="109"/>
        <v>88.888888888888886</v>
      </c>
      <c r="AV1570" s="172">
        <v>99</v>
      </c>
      <c r="AW1570" s="171">
        <v>1</v>
      </c>
      <c r="AX1570" s="171">
        <v>20</v>
      </c>
      <c r="AY1570" s="171" t="s">
        <v>521</v>
      </c>
      <c r="AZ1570" s="171">
        <v>0</v>
      </c>
      <c r="BA1570" s="175" t="s">
        <v>521</v>
      </c>
      <c r="BB1570" s="259"/>
      <c r="BC1570" s="190"/>
      <c r="BD1570" s="177"/>
      <c r="BE1570" s="177"/>
      <c r="BF1570" s="222" t="s">
        <v>2292</v>
      </c>
    </row>
    <row r="1571" spans="1:58">
      <c r="A1571" s="95">
        <v>1570</v>
      </c>
      <c r="B1571" s="211" t="s">
        <v>2131</v>
      </c>
      <c r="C1571" s="191" t="s">
        <v>2659</v>
      </c>
      <c r="D1571" s="171" t="s">
        <v>165</v>
      </c>
      <c r="E1571" s="463" t="s">
        <v>3377</v>
      </c>
      <c r="F1571" s="171">
        <v>1995</v>
      </c>
      <c r="G1571" s="171">
        <v>349</v>
      </c>
      <c r="H1571" s="172" t="s">
        <v>1745</v>
      </c>
      <c r="I1571" s="173" t="s">
        <v>1739</v>
      </c>
      <c r="J1571" s="212">
        <v>0.3</v>
      </c>
      <c r="K1571" s="213">
        <v>0</v>
      </c>
      <c r="L1571" s="91"/>
      <c r="M1571" s="171" t="s">
        <v>2281</v>
      </c>
      <c r="N1571" s="171"/>
      <c r="O1571" s="172" t="s">
        <v>12</v>
      </c>
      <c r="P1571" s="92"/>
      <c r="Q1571" s="173" t="s">
        <v>273</v>
      </c>
      <c r="R1571" s="511"/>
      <c r="S1571" s="511"/>
      <c r="T1571" s="511"/>
      <c r="U1571" s="89"/>
      <c r="V1571" s="102">
        <v>0</v>
      </c>
      <c r="W1571" s="120">
        <v>0</v>
      </c>
      <c r="X1571" s="120">
        <v>0</v>
      </c>
      <c r="Y1571" s="120">
        <v>0</v>
      </c>
      <c r="Z1571" s="120">
        <v>0</v>
      </c>
      <c r="AA1571" s="17">
        <v>0</v>
      </c>
      <c r="AB1571" s="17">
        <v>0</v>
      </c>
      <c r="AC1571" s="17">
        <v>0</v>
      </c>
      <c r="AD1571" s="17">
        <v>0</v>
      </c>
      <c r="AE1571" s="17">
        <v>0</v>
      </c>
      <c r="AF1571" s="17">
        <v>0.6</v>
      </c>
      <c r="AG1571" s="17">
        <v>0</v>
      </c>
      <c r="AH1571" s="17">
        <v>0</v>
      </c>
      <c r="AI1571" s="17">
        <v>0</v>
      </c>
      <c r="AJ1571" s="17">
        <v>0</v>
      </c>
      <c r="AK1571" s="17">
        <v>0</v>
      </c>
      <c r="AL1571" s="32">
        <v>0</v>
      </c>
      <c r="AM1571" s="172" t="s">
        <v>521</v>
      </c>
      <c r="AN1571" s="89"/>
      <c r="AO1571" s="171" t="s">
        <v>521</v>
      </c>
      <c r="AP1571" s="783" t="s">
        <v>521</v>
      </c>
      <c r="AQ1571" s="17" t="s">
        <v>2285</v>
      </c>
      <c r="AR1571" s="174">
        <v>400</v>
      </c>
      <c r="AS1571" s="89"/>
      <c r="AT1571" s="171">
        <v>1600</v>
      </c>
      <c r="AU1571" s="255">
        <f t="shared" si="109"/>
        <v>88.888888888888886</v>
      </c>
      <c r="AV1571" s="172">
        <v>99</v>
      </c>
      <c r="AW1571" s="171">
        <v>1</v>
      </c>
      <c r="AX1571" s="171">
        <v>20</v>
      </c>
      <c r="AY1571" s="171" t="s">
        <v>521</v>
      </c>
      <c r="AZ1571" s="171">
        <v>0</v>
      </c>
      <c r="BA1571" s="175" t="s">
        <v>521</v>
      </c>
      <c r="BB1571" s="259"/>
      <c r="BC1571" s="190"/>
      <c r="BD1571" s="177"/>
      <c r="BE1571" s="177"/>
      <c r="BF1571" s="222" t="s">
        <v>2292</v>
      </c>
    </row>
    <row r="1572" spans="1:58">
      <c r="A1572" s="95">
        <v>1571</v>
      </c>
      <c r="B1572" s="211" t="s">
        <v>2132</v>
      </c>
      <c r="C1572" s="191" t="s">
        <v>2659</v>
      </c>
      <c r="D1572" s="171" t="s">
        <v>165</v>
      </c>
      <c r="E1572" s="463" t="s">
        <v>3377</v>
      </c>
      <c r="F1572" s="171">
        <v>1995</v>
      </c>
      <c r="G1572" s="171">
        <v>349</v>
      </c>
      <c r="H1572" s="172" t="s">
        <v>1745</v>
      </c>
      <c r="I1572" s="173" t="s">
        <v>1739</v>
      </c>
      <c r="J1572" s="212">
        <v>0.3</v>
      </c>
      <c r="K1572" s="213">
        <v>0</v>
      </c>
      <c r="L1572" s="91"/>
      <c r="M1572" s="171" t="s">
        <v>2281</v>
      </c>
      <c r="N1572" s="171"/>
      <c r="O1572" s="172" t="s">
        <v>12</v>
      </c>
      <c r="P1572" s="92"/>
      <c r="Q1572" s="173" t="s">
        <v>273</v>
      </c>
      <c r="R1572" s="511"/>
      <c r="S1572" s="511"/>
      <c r="T1572" s="511"/>
      <c r="U1572" s="89"/>
      <c r="V1572" s="102">
        <v>0</v>
      </c>
      <c r="W1572" s="120">
        <v>0</v>
      </c>
      <c r="X1572" s="120">
        <v>0</v>
      </c>
      <c r="Y1572" s="120">
        <v>0</v>
      </c>
      <c r="Z1572" s="120">
        <v>0</v>
      </c>
      <c r="AA1572" s="17">
        <v>0</v>
      </c>
      <c r="AB1572" s="17">
        <v>0</v>
      </c>
      <c r="AC1572" s="17">
        <v>0</v>
      </c>
      <c r="AD1572" s="17">
        <v>0</v>
      </c>
      <c r="AE1572" s="17">
        <v>0</v>
      </c>
      <c r="AF1572" s="17">
        <v>0</v>
      </c>
      <c r="AG1572" s="17">
        <v>0</v>
      </c>
      <c r="AH1572" s="17">
        <v>0</v>
      </c>
      <c r="AI1572" s="17">
        <v>0</v>
      </c>
      <c r="AJ1572" s="17">
        <v>0</v>
      </c>
      <c r="AK1572" s="17">
        <v>0</v>
      </c>
      <c r="AL1572" s="32">
        <v>0</v>
      </c>
      <c r="AM1572" s="172" t="s">
        <v>521</v>
      </c>
      <c r="AN1572" s="89"/>
      <c r="AO1572" s="171" t="s">
        <v>521</v>
      </c>
      <c r="AP1572" s="783" t="s">
        <v>521</v>
      </c>
      <c r="AQ1572" s="17" t="s">
        <v>2285</v>
      </c>
      <c r="AR1572" s="174">
        <v>400</v>
      </c>
      <c r="AS1572" s="89"/>
      <c r="AT1572" s="171">
        <v>1600</v>
      </c>
      <c r="AU1572" s="255">
        <f t="shared" si="109"/>
        <v>88.888888888888886</v>
      </c>
      <c r="AV1572" s="172">
        <v>99</v>
      </c>
      <c r="AW1572" s="171">
        <v>1</v>
      </c>
      <c r="AX1572" s="171">
        <v>20</v>
      </c>
      <c r="AY1572" s="171" t="s">
        <v>521</v>
      </c>
      <c r="AZ1572" s="171">
        <v>0</v>
      </c>
      <c r="BA1572" s="175" t="s">
        <v>521</v>
      </c>
      <c r="BB1572" s="259"/>
      <c r="BC1572" s="190"/>
      <c r="BD1572" s="177"/>
      <c r="BE1572" s="177"/>
      <c r="BF1572" s="222"/>
    </row>
    <row r="1573" spans="1:58">
      <c r="A1573" s="95">
        <v>1572</v>
      </c>
      <c r="B1573" s="211" t="s">
        <v>2133</v>
      </c>
      <c r="C1573" s="191" t="s">
        <v>2659</v>
      </c>
      <c r="D1573" s="171" t="s">
        <v>165</v>
      </c>
      <c r="E1573" s="463" t="s">
        <v>3377</v>
      </c>
      <c r="F1573" s="171">
        <v>1995</v>
      </c>
      <c r="G1573" s="171">
        <v>349</v>
      </c>
      <c r="H1573" s="172" t="s">
        <v>1745</v>
      </c>
      <c r="I1573" s="173" t="s">
        <v>1739</v>
      </c>
      <c r="J1573" s="212">
        <v>0.3</v>
      </c>
      <c r="K1573" s="213">
        <v>0</v>
      </c>
      <c r="L1573" s="91"/>
      <c r="M1573" s="171" t="s">
        <v>2281</v>
      </c>
      <c r="N1573" s="171"/>
      <c r="O1573" s="172" t="s">
        <v>12</v>
      </c>
      <c r="P1573" s="92"/>
      <c r="Q1573" s="173" t="s">
        <v>273</v>
      </c>
      <c r="R1573" s="511"/>
      <c r="S1573" s="511"/>
      <c r="T1573" s="511"/>
      <c r="U1573" s="89"/>
      <c r="V1573" s="102">
        <v>0</v>
      </c>
      <c r="W1573" s="120">
        <v>0</v>
      </c>
      <c r="X1573" s="120">
        <v>0</v>
      </c>
      <c r="Y1573" s="120">
        <v>0</v>
      </c>
      <c r="Z1573" s="120">
        <v>0</v>
      </c>
      <c r="AA1573" s="17">
        <v>0</v>
      </c>
      <c r="AB1573" s="17">
        <v>0</v>
      </c>
      <c r="AC1573" s="17">
        <v>0</v>
      </c>
      <c r="AD1573" s="17">
        <v>0</v>
      </c>
      <c r="AE1573" s="17">
        <v>0</v>
      </c>
      <c r="AF1573" s="17">
        <v>2</v>
      </c>
      <c r="AG1573" s="17">
        <v>0</v>
      </c>
      <c r="AH1573" s="17">
        <v>0</v>
      </c>
      <c r="AI1573" s="17">
        <v>0</v>
      </c>
      <c r="AJ1573" s="17">
        <v>0</v>
      </c>
      <c r="AK1573" s="17">
        <v>0</v>
      </c>
      <c r="AL1573" s="32">
        <v>0</v>
      </c>
      <c r="AM1573" s="172" t="s">
        <v>521</v>
      </c>
      <c r="AN1573" s="89"/>
      <c r="AO1573" s="171" t="s">
        <v>521</v>
      </c>
      <c r="AP1573" s="783" t="s">
        <v>521</v>
      </c>
      <c r="AQ1573" s="17" t="s">
        <v>2285</v>
      </c>
      <c r="AR1573" s="174">
        <v>400</v>
      </c>
      <c r="AS1573" s="89"/>
      <c r="AT1573" s="171">
        <v>1600</v>
      </c>
      <c r="AU1573" s="255">
        <f t="shared" si="109"/>
        <v>88.888888888888886</v>
      </c>
      <c r="AV1573" s="172">
        <v>99</v>
      </c>
      <c r="AW1573" s="171">
        <v>1</v>
      </c>
      <c r="AX1573" s="171">
        <v>20</v>
      </c>
      <c r="AY1573" s="171" t="s">
        <v>521</v>
      </c>
      <c r="AZ1573" s="171">
        <v>0</v>
      </c>
      <c r="BA1573" s="175" t="s">
        <v>521</v>
      </c>
      <c r="BB1573" s="259"/>
      <c r="BC1573" s="190"/>
      <c r="BD1573" s="177"/>
      <c r="BE1573" s="177"/>
      <c r="BF1573" s="222" t="s">
        <v>2293</v>
      </c>
    </row>
    <row r="1574" spans="1:58">
      <c r="A1574" s="95">
        <v>1573</v>
      </c>
      <c r="B1574" s="211" t="s">
        <v>2134</v>
      </c>
      <c r="C1574" s="191" t="s">
        <v>2659</v>
      </c>
      <c r="D1574" s="171" t="s">
        <v>165</v>
      </c>
      <c r="E1574" s="463" t="s">
        <v>3377</v>
      </c>
      <c r="F1574" s="171">
        <v>1995</v>
      </c>
      <c r="G1574" s="171">
        <v>349</v>
      </c>
      <c r="H1574" s="172" t="s">
        <v>1745</v>
      </c>
      <c r="I1574" s="173" t="s">
        <v>1739</v>
      </c>
      <c r="J1574" s="212">
        <v>0.3</v>
      </c>
      <c r="K1574" s="213">
        <v>0</v>
      </c>
      <c r="L1574" s="91"/>
      <c r="M1574" s="171" t="s">
        <v>2281</v>
      </c>
      <c r="N1574" s="171"/>
      <c r="O1574" s="172" t="s">
        <v>12</v>
      </c>
      <c r="P1574" s="92"/>
      <c r="Q1574" s="173" t="s">
        <v>273</v>
      </c>
      <c r="R1574" s="511"/>
      <c r="S1574" s="511"/>
      <c r="T1574" s="511"/>
      <c r="U1574" s="89"/>
      <c r="V1574" s="102">
        <v>0</v>
      </c>
      <c r="W1574" s="120">
        <v>0</v>
      </c>
      <c r="X1574" s="120">
        <v>0</v>
      </c>
      <c r="Y1574" s="120">
        <v>0</v>
      </c>
      <c r="Z1574" s="120">
        <v>0</v>
      </c>
      <c r="AA1574" s="17">
        <v>0</v>
      </c>
      <c r="AB1574" s="17">
        <v>0</v>
      </c>
      <c r="AC1574" s="17">
        <v>0</v>
      </c>
      <c r="AD1574" s="17">
        <v>0</v>
      </c>
      <c r="AE1574" s="17">
        <v>0</v>
      </c>
      <c r="AF1574" s="17">
        <v>2</v>
      </c>
      <c r="AG1574" s="17">
        <v>0</v>
      </c>
      <c r="AH1574" s="17">
        <v>0</v>
      </c>
      <c r="AI1574" s="17">
        <v>0</v>
      </c>
      <c r="AJ1574" s="17">
        <v>0</v>
      </c>
      <c r="AK1574" s="17">
        <v>0</v>
      </c>
      <c r="AL1574" s="32">
        <v>0</v>
      </c>
      <c r="AM1574" s="172" t="s">
        <v>521</v>
      </c>
      <c r="AN1574" s="89"/>
      <c r="AO1574" s="171" t="s">
        <v>521</v>
      </c>
      <c r="AP1574" s="783" t="s">
        <v>521</v>
      </c>
      <c r="AQ1574" s="17" t="s">
        <v>2285</v>
      </c>
      <c r="AR1574" s="174">
        <v>400</v>
      </c>
      <c r="AS1574" s="89"/>
      <c r="AT1574" s="171">
        <v>1600</v>
      </c>
      <c r="AU1574" s="255">
        <f t="shared" si="109"/>
        <v>88.888888888888886</v>
      </c>
      <c r="AV1574" s="172">
        <v>99</v>
      </c>
      <c r="AW1574" s="171">
        <v>1</v>
      </c>
      <c r="AX1574" s="171">
        <v>20</v>
      </c>
      <c r="AY1574" s="171" t="s">
        <v>521</v>
      </c>
      <c r="AZ1574" s="171">
        <v>0</v>
      </c>
      <c r="BA1574" s="175" t="s">
        <v>521</v>
      </c>
      <c r="BB1574" s="259"/>
      <c r="BC1574" s="190"/>
      <c r="BD1574" s="177"/>
      <c r="BE1574" s="177"/>
      <c r="BF1574" s="222" t="s">
        <v>2294</v>
      </c>
    </row>
    <row r="1575" spans="1:58">
      <c r="A1575" s="95">
        <v>1574</v>
      </c>
      <c r="B1575" s="211" t="s">
        <v>2135</v>
      </c>
      <c r="C1575" s="191" t="s">
        <v>2659</v>
      </c>
      <c r="D1575" s="171" t="s">
        <v>165</v>
      </c>
      <c r="E1575" s="463" t="s">
        <v>3377</v>
      </c>
      <c r="F1575" s="171">
        <v>1995</v>
      </c>
      <c r="G1575" s="171">
        <v>349</v>
      </c>
      <c r="H1575" s="172" t="s">
        <v>1745</v>
      </c>
      <c r="I1575" s="173" t="s">
        <v>1739</v>
      </c>
      <c r="J1575" s="212">
        <v>0.3</v>
      </c>
      <c r="K1575" s="213">
        <v>0</v>
      </c>
      <c r="L1575" s="91"/>
      <c r="M1575" s="171" t="s">
        <v>2281</v>
      </c>
      <c r="N1575" s="171"/>
      <c r="O1575" s="172" t="s">
        <v>129</v>
      </c>
      <c r="P1575" s="92"/>
      <c r="Q1575" s="173" t="s">
        <v>2295</v>
      </c>
      <c r="R1575" s="511"/>
      <c r="S1575" s="511"/>
      <c r="T1575" s="511"/>
      <c r="U1575" s="89"/>
      <c r="V1575" s="102">
        <v>0</v>
      </c>
      <c r="W1575" s="120">
        <v>0</v>
      </c>
      <c r="X1575" s="120">
        <v>0</v>
      </c>
      <c r="Y1575" s="120">
        <v>0</v>
      </c>
      <c r="Z1575" s="120">
        <v>0</v>
      </c>
      <c r="AA1575" s="17">
        <v>0</v>
      </c>
      <c r="AB1575" s="17">
        <v>0</v>
      </c>
      <c r="AC1575" s="17">
        <v>0</v>
      </c>
      <c r="AD1575" s="17">
        <v>0</v>
      </c>
      <c r="AE1575" s="17">
        <v>0</v>
      </c>
      <c r="AF1575" s="17">
        <v>0</v>
      </c>
      <c r="AG1575" s="17">
        <v>0</v>
      </c>
      <c r="AH1575" s="17">
        <v>0</v>
      </c>
      <c r="AI1575" s="17">
        <v>0</v>
      </c>
      <c r="AJ1575" s="17">
        <v>0</v>
      </c>
      <c r="AK1575" s="17">
        <v>0</v>
      </c>
      <c r="AL1575" s="32">
        <v>0</v>
      </c>
      <c r="AM1575" s="172" t="s">
        <v>521</v>
      </c>
      <c r="AN1575" s="89"/>
      <c r="AO1575" s="171" t="s">
        <v>521</v>
      </c>
      <c r="AP1575" s="783" t="s">
        <v>521</v>
      </c>
      <c r="AQ1575" s="17" t="s">
        <v>2285</v>
      </c>
      <c r="AR1575" s="174">
        <v>400</v>
      </c>
      <c r="AS1575" s="89"/>
      <c r="AT1575" s="171">
        <v>1600</v>
      </c>
      <c r="AU1575" s="255">
        <f t="shared" si="109"/>
        <v>88.888888888888886</v>
      </c>
      <c r="AV1575" s="172">
        <v>99</v>
      </c>
      <c r="AW1575" s="171">
        <v>1</v>
      </c>
      <c r="AX1575" s="171">
        <v>20</v>
      </c>
      <c r="AY1575" s="171" t="s">
        <v>521</v>
      </c>
      <c r="AZ1575" s="171">
        <v>0</v>
      </c>
      <c r="BA1575" s="175" t="s">
        <v>521</v>
      </c>
      <c r="BB1575" s="259"/>
      <c r="BC1575" s="190"/>
      <c r="BD1575" s="177"/>
      <c r="BE1575" s="177"/>
      <c r="BF1575" s="222" t="s">
        <v>2296</v>
      </c>
    </row>
    <row r="1576" spans="1:58">
      <c r="A1576" s="95">
        <v>1575</v>
      </c>
      <c r="B1576" s="211" t="s">
        <v>2136</v>
      </c>
      <c r="C1576" s="191" t="s">
        <v>2659</v>
      </c>
      <c r="D1576" s="171" t="s">
        <v>165</v>
      </c>
      <c r="E1576" s="463" t="s">
        <v>3377</v>
      </c>
      <c r="F1576" s="171">
        <v>1995</v>
      </c>
      <c r="G1576" s="171">
        <v>349</v>
      </c>
      <c r="H1576" s="172" t="s">
        <v>1745</v>
      </c>
      <c r="I1576" s="173" t="s">
        <v>1739</v>
      </c>
      <c r="J1576" s="212">
        <v>0.3</v>
      </c>
      <c r="K1576" s="213">
        <v>0</v>
      </c>
      <c r="L1576" s="91"/>
      <c r="M1576" s="171" t="s">
        <v>2281</v>
      </c>
      <c r="N1576" s="171"/>
      <c r="O1576" s="172" t="s">
        <v>129</v>
      </c>
      <c r="P1576" s="92"/>
      <c r="Q1576" s="173" t="s">
        <v>2295</v>
      </c>
      <c r="R1576" s="511"/>
      <c r="S1576" s="511"/>
      <c r="T1576" s="511"/>
      <c r="U1576" s="89"/>
      <c r="V1576" s="102">
        <v>0</v>
      </c>
      <c r="W1576" s="120">
        <v>0</v>
      </c>
      <c r="X1576" s="120">
        <v>0</v>
      </c>
      <c r="Y1576" s="120">
        <v>0</v>
      </c>
      <c r="Z1576" s="120">
        <v>0</v>
      </c>
      <c r="AA1576" s="17">
        <v>0</v>
      </c>
      <c r="AB1576" s="17">
        <v>0</v>
      </c>
      <c r="AC1576" s="17">
        <v>0</v>
      </c>
      <c r="AD1576" s="17">
        <v>0</v>
      </c>
      <c r="AE1576" s="17">
        <v>0</v>
      </c>
      <c r="AF1576" s="17">
        <v>0</v>
      </c>
      <c r="AG1576" s="17">
        <v>0</v>
      </c>
      <c r="AH1576" s="17">
        <v>0</v>
      </c>
      <c r="AI1576" s="17">
        <v>0</v>
      </c>
      <c r="AJ1576" s="17">
        <v>0</v>
      </c>
      <c r="AK1576" s="17">
        <v>0</v>
      </c>
      <c r="AL1576" s="32">
        <v>0</v>
      </c>
      <c r="AM1576" s="172" t="s">
        <v>521</v>
      </c>
      <c r="AN1576" s="89"/>
      <c r="AO1576" s="171" t="s">
        <v>521</v>
      </c>
      <c r="AP1576" s="783" t="s">
        <v>521</v>
      </c>
      <c r="AQ1576" s="17" t="s">
        <v>2285</v>
      </c>
      <c r="AR1576" s="174">
        <v>400</v>
      </c>
      <c r="AS1576" s="89"/>
      <c r="AT1576" s="171">
        <v>1600</v>
      </c>
      <c r="AU1576" s="255">
        <f t="shared" si="109"/>
        <v>88.888888888888886</v>
      </c>
      <c r="AV1576" s="172">
        <v>99</v>
      </c>
      <c r="AW1576" s="171">
        <v>1</v>
      </c>
      <c r="AX1576" s="171">
        <v>20</v>
      </c>
      <c r="AY1576" s="171" t="s">
        <v>521</v>
      </c>
      <c r="AZ1576" s="171">
        <v>0</v>
      </c>
      <c r="BA1576" s="175" t="s">
        <v>521</v>
      </c>
      <c r="BB1576" s="259"/>
      <c r="BC1576" s="190"/>
      <c r="BD1576" s="177"/>
      <c r="BE1576" s="177"/>
      <c r="BF1576" s="222" t="s">
        <v>2297</v>
      </c>
    </row>
    <row r="1577" spans="1:58">
      <c r="A1577" s="95">
        <v>1576</v>
      </c>
      <c r="B1577" s="211" t="s">
        <v>2137</v>
      </c>
      <c r="C1577" s="191" t="s">
        <v>2659</v>
      </c>
      <c r="D1577" s="171" t="s">
        <v>165</v>
      </c>
      <c r="E1577" s="463" t="s">
        <v>3377</v>
      </c>
      <c r="F1577" s="171">
        <v>1995</v>
      </c>
      <c r="G1577" s="171">
        <v>349</v>
      </c>
      <c r="H1577" s="172" t="s">
        <v>1745</v>
      </c>
      <c r="I1577" s="173" t="s">
        <v>1739</v>
      </c>
      <c r="J1577" s="212">
        <v>0.3</v>
      </c>
      <c r="K1577" s="213">
        <v>0</v>
      </c>
      <c r="L1577" s="91"/>
      <c r="M1577" s="171" t="s">
        <v>2281</v>
      </c>
      <c r="N1577" s="171"/>
      <c r="O1577" s="172" t="s">
        <v>129</v>
      </c>
      <c r="P1577" s="92"/>
      <c r="Q1577" s="173" t="s">
        <v>2295</v>
      </c>
      <c r="R1577" s="511"/>
      <c r="S1577" s="511"/>
      <c r="T1577" s="511"/>
      <c r="U1577" s="89"/>
      <c r="V1577" s="102">
        <v>0</v>
      </c>
      <c r="W1577" s="120">
        <v>0</v>
      </c>
      <c r="X1577" s="120">
        <v>0</v>
      </c>
      <c r="Y1577" s="120">
        <v>0</v>
      </c>
      <c r="Z1577" s="120">
        <v>0</v>
      </c>
      <c r="AA1577" s="17">
        <v>0</v>
      </c>
      <c r="AB1577" s="17">
        <v>0</v>
      </c>
      <c r="AC1577" s="17">
        <v>0</v>
      </c>
      <c r="AD1577" s="17">
        <v>0</v>
      </c>
      <c r="AE1577" s="17">
        <v>0</v>
      </c>
      <c r="AF1577" s="17">
        <v>0</v>
      </c>
      <c r="AG1577" s="17">
        <v>0</v>
      </c>
      <c r="AH1577" s="17">
        <v>0</v>
      </c>
      <c r="AI1577" s="17">
        <v>0</v>
      </c>
      <c r="AJ1577" s="17">
        <v>0</v>
      </c>
      <c r="AK1577" s="17">
        <v>0</v>
      </c>
      <c r="AL1577" s="32">
        <v>0</v>
      </c>
      <c r="AM1577" s="172" t="s">
        <v>521</v>
      </c>
      <c r="AN1577" s="89"/>
      <c r="AO1577" s="171" t="s">
        <v>521</v>
      </c>
      <c r="AP1577" s="783" t="s">
        <v>521</v>
      </c>
      <c r="AQ1577" s="17" t="s">
        <v>2285</v>
      </c>
      <c r="AR1577" s="174">
        <v>400</v>
      </c>
      <c r="AS1577" s="89"/>
      <c r="AT1577" s="171">
        <v>1600</v>
      </c>
      <c r="AU1577" s="255">
        <f t="shared" si="109"/>
        <v>88.888888888888886</v>
      </c>
      <c r="AV1577" s="172">
        <v>99</v>
      </c>
      <c r="AW1577" s="171">
        <v>1</v>
      </c>
      <c r="AX1577" s="171">
        <v>20</v>
      </c>
      <c r="AY1577" s="171" t="s">
        <v>521</v>
      </c>
      <c r="AZ1577" s="171">
        <v>0</v>
      </c>
      <c r="BA1577" s="175" t="s">
        <v>521</v>
      </c>
      <c r="BB1577" s="259"/>
      <c r="BC1577" s="190"/>
      <c r="BD1577" s="177"/>
      <c r="BE1577" s="177"/>
      <c r="BF1577" s="222" t="s">
        <v>2298</v>
      </c>
    </row>
    <row r="1578" spans="1:58">
      <c r="A1578" s="95">
        <v>1577</v>
      </c>
      <c r="B1578" s="211" t="s">
        <v>2138</v>
      </c>
      <c r="C1578" s="191" t="s">
        <v>2659</v>
      </c>
      <c r="D1578" s="171" t="s">
        <v>165</v>
      </c>
      <c r="E1578" s="463" t="s">
        <v>3377</v>
      </c>
      <c r="F1578" s="171">
        <v>1995</v>
      </c>
      <c r="G1578" s="171">
        <v>349</v>
      </c>
      <c r="H1578" s="172" t="s">
        <v>1745</v>
      </c>
      <c r="I1578" s="173" t="s">
        <v>1739</v>
      </c>
      <c r="J1578" s="212">
        <v>0.3</v>
      </c>
      <c r="K1578" s="213">
        <v>0</v>
      </c>
      <c r="L1578" s="91"/>
      <c r="M1578" s="171" t="s">
        <v>2281</v>
      </c>
      <c r="N1578" s="171"/>
      <c r="O1578" s="172" t="s">
        <v>129</v>
      </c>
      <c r="P1578" s="92"/>
      <c r="Q1578" s="173" t="s">
        <v>2295</v>
      </c>
      <c r="R1578" s="511"/>
      <c r="S1578" s="511"/>
      <c r="T1578" s="511"/>
      <c r="U1578" s="89"/>
      <c r="V1578" s="102">
        <v>0</v>
      </c>
      <c r="W1578" s="120">
        <v>0</v>
      </c>
      <c r="X1578" s="120">
        <v>0</v>
      </c>
      <c r="Y1578" s="120">
        <v>0</v>
      </c>
      <c r="Z1578" s="120">
        <v>0</v>
      </c>
      <c r="AA1578" s="17">
        <v>0</v>
      </c>
      <c r="AB1578" s="17">
        <v>0</v>
      </c>
      <c r="AC1578" s="17">
        <v>0</v>
      </c>
      <c r="AD1578" s="17">
        <v>0</v>
      </c>
      <c r="AE1578" s="17">
        <v>0</v>
      </c>
      <c r="AF1578" s="17">
        <v>0</v>
      </c>
      <c r="AG1578" s="17">
        <v>0</v>
      </c>
      <c r="AH1578" s="17">
        <v>0</v>
      </c>
      <c r="AI1578" s="17">
        <v>0</v>
      </c>
      <c r="AJ1578" s="17">
        <v>0</v>
      </c>
      <c r="AK1578" s="17">
        <v>0</v>
      </c>
      <c r="AL1578" s="32">
        <v>0</v>
      </c>
      <c r="AM1578" s="172" t="s">
        <v>521</v>
      </c>
      <c r="AN1578" s="89"/>
      <c r="AO1578" s="171" t="s">
        <v>521</v>
      </c>
      <c r="AP1578" s="783" t="s">
        <v>521</v>
      </c>
      <c r="AQ1578" s="17" t="s">
        <v>2285</v>
      </c>
      <c r="AR1578" s="174">
        <v>400</v>
      </c>
      <c r="AS1578" s="89"/>
      <c r="AT1578" s="171">
        <v>1600</v>
      </c>
      <c r="AU1578" s="255">
        <f t="shared" si="109"/>
        <v>88.888888888888886</v>
      </c>
      <c r="AV1578" s="172">
        <v>99</v>
      </c>
      <c r="AW1578" s="171">
        <v>1</v>
      </c>
      <c r="AX1578" s="171">
        <v>20</v>
      </c>
      <c r="AY1578" s="171" t="s">
        <v>521</v>
      </c>
      <c r="AZ1578" s="171">
        <v>0</v>
      </c>
      <c r="BA1578" s="175" t="s">
        <v>521</v>
      </c>
      <c r="BB1578" s="259"/>
      <c r="BC1578" s="190"/>
      <c r="BD1578" s="171"/>
      <c r="BE1578" s="171"/>
      <c r="BF1578" s="222" t="s">
        <v>2299</v>
      </c>
    </row>
    <row r="1579" spans="1:58" ht="15" customHeight="1">
      <c r="A1579" s="95">
        <v>1578</v>
      </c>
      <c r="B1579" s="211" t="s">
        <v>2139</v>
      </c>
      <c r="C1579" s="191" t="s">
        <v>2716</v>
      </c>
      <c r="D1579" s="171" t="s">
        <v>1810</v>
      </c>
      <c r="E1579" s="463" t="s">
        <v>3377</v>
      </c>
      <c r="F1579" s="171">
        <v>2008</v>
      </c>
      <c r="G1579" s="171">
        <v>350</v>
      </c>
      <c r="H1579" s="172" t="s">
        <v>1738</v>
      </c>
      <c r="I1579" s="173" t="s">
        <v>1743</v>
      </c>
      <c r="J1579" s="212">
        <v>0.34893617021276596</v>
      </c>
      <c r="K1579" s="213">
        <v>3.8191489361702127</v>
      </c>
      <c r="L1579" s="91"/>
      <c r="M1579" s="171">
        <v>470</v>
      </c>
      <c r="N1579" s="171"/>
      <c r="O1579" s="172" t="s">
        <v>12</v>
      </c>
      <c r="P1579" s="92"/>
      <c r="Q1579" s="173" t="s">
        <v>523</v>
      </c>
      <c r="R1579" s="512" t="s">
        <v>2729</v>
      </c>
      <c r="S1579" s="511"/>
      <c r="T1579" s="511"/>
      <c r="U1579" s="214" t="s">
        <v>2307</v>
      </c>
      <c r="V1579" s="102">
        <v>0</v>
      </c>
      <c r="W1579" s="120">
        <v>0</v>
      </c>
      <c r="X1579" s="120">
        <v>0</v>
      </c>
      <c r="Y1579" s="120">
        <v>0</v>
      </c>
      <c r="Z1579" s="120">
        <v>0</v>
      </c>
      <c r="AA1579" s="17">
        <v>0</v>
      </c>
      <c r="AB1579" s="17">
        <v>0</v>
      </c>
      <c r="AC1579" s="17">
        <v>0</v>
      </c>
      <c r="AD1579" s="17">
        <v>0</v>
      </c>
      <c r="AE1579" s="17">
        <v>0</v>
      </c>
      <c r="AF1579" s="17">
        <v>0</v>
      </c>
      <c r="AG1579" s="17">
        <v>0</v>
      </c>
      <c r="AH1579" s="17">
        <v>0</v>
      </c>
      <c r="AI1579" s="17">
        <v>0</v>
      </c>
      <c r="AJ1579" s="17">
        <v>0</v>
      </c>
      <c r="AK1579" s="17">
        <v>0</v>
      </c>
      <c r="AL1579" s="32">
        <v>0</v>
      </c>
      <c r="AM1579" s="172">
        <v>55.1</v>
      </c>
      <c r="AN1579" s="89"/>
      <c r="AO1579" s="89"/>
      <c r="AP1579" s="88"/>
      <c r="AQ1579" s="17" t="s">
        <v>1757</v>
      </c>
      <c r="AR1579" s="174">
        <v>75</v>
      </c>
      <c r="AS1579" s="171"/>
      <c r="AT1579" s="171">
        <v>285</v>
      </c>
      <c r="AU1579" s="255">
        <f t="shared" ref="AU1579:AU1584" si="110">IF(ISBLANK(AS1579),(AR1579*AT1579)/((4*AT1579)+(2*AR1579)),AR1579*AS1579*AT1579/2/(AR1579*AS1579+AR1579*AT1579+AS1579*AT1579))</f>
        <v>16.569767441860463</v>
      </c>
      <c r="AV1579" s="172">
        <v>85</v>
      </c>
      <c r="AW1579" s="171">
        <v>7</v>
      </c>
      <c r="AX1579" s="89"/>
      <c r="AY1579" s="171">
        <v>28</v>
      </c>
      <c r="AZ1579" s="89"/>
      <c r="BA1579" s="175">
        <v>75</v>
      </c>
      <c r="BB1579" s="259"/>
      <c r="BC1579" s="190"/>
      <c r="BD1579" s="171"/>
      <c r="BE1579" s="171"/>
      <c r="BF1579" s="222" t="s">
        <v>2570</v>
      </c>
    </row>
    <row r="1580" spans="1:58" ht="15" customHeight="1">
      <c r="A1580" s="95">
        <v>1579</v>
      </c>
      <c r="B1580" s="211" t="s">
        <v>2140</v>
      </c>
      <c r="C1580" s="191" t="s">
        <v>2716</v>
      </c>
      <c r="D1580" s="171" t="s">
        <v>1810</v>
      </c>
      <c r="E1580" s="463" t="s">
        <v>3377</v>
      </c>
      <c r="F1580" s="171">
        <v>2008</v>
      </c>
      <c r="G1580" s="171">
        <v>350</v>
      </c>
      <c r="H1580" s="172" t="s">
        <v>1738</v>
      </c>
      <c r="I1580" s="173" t="s">
        <v>1743</v>
      </c>
      <c r="J1580" s="212">
        <v>0.54972375690607733</v>
      </c>
      <c r="K1580" s="213">
        <v>4.958563535911602</v>
      </c>
      <c r="L1580" s="91"/>
      <c r="M1580" s="171">
        <v>362</v>
      </c>
      <c r="N1580" s="171"/>
      <c r="O1580" s="172" t="s">
        <v>12</v>
      </c>
      <c r="P1580" s="92"/>
      <c r="Q1580" s="173" t="s">
        <v>523</v>
      </c>
      <c r="R1580" s="512" t="s">
        <v>2729</v>
      </c>
      <c r="S1580" s="511"/>
      <c r="T1580" s="511"/>
      <c r="U1580" s="214" t="s">
        <v>2307</v>
      </c>
      <c r="V1580" s="102">
        <v>0</v>
      </c>
      <c r="W1580" s="120">
        <v>0</v>
      </c>
      <c r="X1580" s="120">
        <v>0</v>
      </c>
      <c r="Y1580" s="120">
        <v>0</v>
      </c>
      <c r="Z1580" s="120">
        <v>0</v>
      </c>
      <c r="AA1580" s="17">
        <v>0</v>
      </c>
      <c r="AB1580" s="17">
        <v>0</v>
      </c>
      <c r="AC1580" s="17">
        <v>0</v>
      </c>
      <c r="AD1580" s="17">
        <v>0</v>
      </c>
      <c r="AE1580" s="17">
        <v>0</v>
      </c>
      <c r="AF1580" s="17">
        <v>0</v>
      </c>
      <c r="AG1580" s="17">
        <v>0</v>
      </c>
      <c r="AH1580" s="17">
        <v>0</v>
      </c>
      <c r="AI1580" s="17">
        <v>0</v>
      </c>
      <c r="AJ1580" s="17">
        <v>0</v>
      </c>
      <c r="AK1580" s="17">
        <v>0</v>
      </c>
      <c r="AL1580" s="32">
        <v>0</v>
      </c>
      <c r="AM1580" s="172">
        <v>36.4</v>
      </c>
      <c r="AN1580" s="89"/>
      <c r="AO1580" s="89"/>
      <c r="AP1580" s="88"/>
      <c r="AQ1580" s="17" t="s">
        <v>1757</v>
      </c>
      <c r="AR1580" s="174">
        <v>75</v>
      </c>
      <c r="AS1580" s="171"/>
      <c r="AT1580" s="171">
        <v>285</v>
      </c>
      <c r="AU1580" s="255">
        <f t="shared" si="110"/>
        <v>16.569767441860463</v>
      </c>
      <c r="AV1580" s="172">
        <v>85</v>
      </c>
      <c r="AW1580" s="171">
        <v>7</v>
      </c>
      <c r="AX1580" s="89"/>
      <c r="AY1580" s="171">
        <v>28</v>
      </c>
      <c r="AZ1580" s="89"/>
      <c r="BA1580" s="175">
        <v>75</v>
      </c>
      <c r="BB1580" s="259"/>
      <c r="BC1580" s="190"/>
      <c r="BD1580" s="177"/>
      <c r="BE1580" s="177"/>
      <c r="BF1580" s="222" t="s">
        <v>2570</v>
      </c>
    </row>
    <row r="1581" spans="1:58" ht="15" customHeight="1">
      <c r="A1581" s="95">
        <v>1580</v>
      </c>
      <c r="B1581" s="211" t="s">
        <v>2141</v>
      </c>
      <c r="C1581" s="191" t="s">
        <v>2716</v>
      </c>
      <c r="D1581" s="171" t="s">
        <v>1810</v>
      </c>
      <c r="E1581" s="463" t="s">
        <v>3377</v>
      </c>
      <c r="F1581" s="171">
        <v>2008</v>
      </c>
      <c r="G1581" s="171">
        <v>350</v>
      </c>
      <c r="H1581" s="172" t="s">
        <v>1738</v>
      </c>
      <c r="I1581" s="173" t="s">
        <v>1743</v>
      </c>
      <c r="J1581" s="212">
        <v>0.54972375690607733</v>
      </c>
      <c r="K1581" s="213">
        <v>4.958563535911602</v>
      </c>
      <c r="L1581" s="91"/>
      <c r="M1581" s="171">
        <v>362</v>
      </c>
      <c r="N1581" s="171"/>
      <c r="O1581" s="172" t="s">
        <v>12</v>
      </c>
      <c r="P1581" s="92"/>
      <c r="Q1581" s="173" t="s">
        <v>523</v>
      </c>
      <c r="R1581" s="512" t="s">
        <v>2729</v>
      </c>
      <c r="S1581" s="511"/>
      <c r="T1581" s="511"/>
      <c r="U1581" s="214" t="s">
        <v>2307</v>
      </c>
      <c r="V1581" s="102">
        <v>0</v>
      </c>
      <c r="W1581" s="120">
        <v>0</v>
      </c>
      <c r="X1581" s="120">
        <v>0</v>
      </c>
      <c r="Y1581" s="120">
        <v>0</v>
      </c>
      <c r="Z1581" s="120">
        <v>0</v>
      </c>
      <c r="AA1581" s="17">
        <f>36/362*100</f>
        <v>9.94475138121547</v>
      </c>
      <c r="AB1581" s="17">
        <v>0</v>
      </c>
      <c r="AC1581" s="17">
        <v>0</v>
      </c>
      <c r="AD1581" s="17">
        <v>0</v>
      </c>
      <c r="AE1581" s="17">
        <v>0</v>
      </c>
      <c r="AF1581" s="17">
        <v>0</v>
      </c>
      <c r="AG1581" s="17">
        <v>0</v>
      </c>
      <c r="AH1581" s="17">
        <v>0</v>
      </c>
      <c r="AI1581" s="17">
        <v>0</v>
      </c>
      <c r="AJ1581" s="17">
        <v>0</v>
      </c>
      <c r="AK1581" s="17">
        <v>0</v>
      </c>
      <c r="AL1581" s="32">
        <v>0</v>
      </c>
      <c r="AM1581" s="172">
        <v>36.799999999999997</v>
      </c>
      <c r="AN1581" s="89"/>
      <c r="AO1581" s="89"/>
      <c r="AP1581" s="88"/>
      <c r="AQ1581" s="17" t="s">
        <v>1757</v>
      </c>
      <c r="AR1581" s="174">
        <v>75</v>
      </c>
      <c r="AS1581" s="171"/>
      <c r="AT1581" s="171">
        <v>285</v>
      </c>
      <c r="AU1581" s="255">
        <f t="shared" si="110"/>
        <v>16.569767441860463</v>
      </c>
      <c r="AV1581" s="172">
        <v>85</v>
      </c>
      <c r="AW1581" s="171">
        <v>14</v>
      </c>
      <c r="AX1581" s="89"/>
      <c r="AY1581" s="171">
        <v>28</v>
      </c>
      <c r="AZ1581" s="89"/>
      <c r="BA1581" s="175">
        <v>75</v>
      </c>
      <c r="BB1581" s="259"/>
      <c r="BC1581" s="190"/>
      <c r="BD1581" s="177"/>
      <c r="BE1581" s="177"/>
      <c r="BF1581" s="222" t="s">
        <v>2570</v>
      </c>
    </row>
    <row r="1582" spans="1:58" ht="15" customHeight="1">
      <c r="A1582" s="95">
        <v>1581</v>
      </c>
      <c r="B1582" s="211" t="s">
        <v>2142</v>
      </c>
      <c r="C1582" s="191" t="s">
        <v>2716</v>
      </c>
      <c r="D1582" s="171" t="s">
        <v>1810</v>
      </c>
      <c r="E1582" s="463" t="s">
        <v>3377</v>
      </c>
      <c r="F1582" s="171">
        <v>2008</v>
      </c>
      <c r="G1582" s="171">
        <v>350</v>
      </c>
      <c r="H1582" s="172" t="s">
        <v>1738</v>
      </c>
      <c r="I1582" s="173" t="s">
        <v>1743</v>
      </c>
      <c r="J1582" s="212">
        <v>0.61300309597523217</v>
      </c>
      <c r="K1582" s="213">
        <v>5.5572755417956659</v>
      </c>
      <c r="L1582" s="91"/>
      <c r="M1582" s="171">
        <v>323</v>
      </c>
      <c r="N1582" s="171"/>
      <c r="O1582" s="172" t="s">
        <v>12</v>
      </c>
      <c r="P1582" s="92"/>
      <c r="Q1582" s="173" t="s">
        <v>523</v>
      </c>
      <c r="R1582" s="512" t="s">
        <v>2729</v>
      </c>
      <c r="S1582" s="511"/>
      <c r="T1582" s="511"/>
      <c r="U1582" s="214" t="s">
        <v>2307</v>
      </c>
      <c r="V1582" s="102">
        <v>0</v>
      </c>
      <c r="W1582" s="120">
        <v>0</v>
      </c>
      <c r="X1582" s="120">
        <v>0</v>
      </c>
      <c r="Y1582" s="120">
        <v>0</v>
      </c>
      <c r="Z1582" s="120">
        <v>0</v>
      </c>
      <c r="AA1582" s="17">
        <v>0</v>
      </c>
      <c r="AB1582" s="17">
        <v>0</v>
      </c>
      <c r="AC1582" s="17">
        <v>0</v>
      </c>
      <c r="AD1582" s="17">
        <v>0</v>
      </c>
      <c r="AE1582" s="17">
        <v>0</v>
      </c>
      <c r="AF1582" s="17">
        <v>0</v>
      </c>
      <c r="AG1582" s="17">
        <v>0</v>
      </c>
      <c r="AH1582" s="17">
        <v>0</v>
      </c>
      <c r="AI1582" s="17">
        <v>0</v>
      </c>
      <c r="AJ1582" s="17">
        <v>0</v>
      </c>
      <c r="AK1582" s="17">
        <v>0</v>
      </c>
      <c r="AL1582" s="32">
        <v>0</v>
      </c>
      <c r="AM1582" s="172">
        <v>37.1</v>
      </c>
      <c r="AN1582" s="89"/>
      <c r="AO1582" s="89"/>
      <c r="AP1582" s="88"/>
      <c r="AQ1582" s="17" t="s">
        <v>1757</v>
      </c>
      <c r="AR1582" s="174">
        <v>75</v>
      </c>
      <c r="AS1582" s="171"/>
      <c r="AT1582" s="171">
        <v>285</v>
      </c>
      <c r="AU1582" s="255">
        <f t="shared" si="110"/>
        <v>16.569767441860463</v>
      </c>
      <c r="AV1582" s="172">
        <v>85</v>
      </c>
      <c r="AW1582" s="171">
        <v>7</v>
      </c>
      <c r="AX1582" s="89"/>
      <c r="AY1582" s="171">
        <v>28</v>
      </c>
      <c r="AZ1582" s="89"/>
      <c r="BA1582" s="175">
        <v>75</v>
      </c>
      <c r="BB1582" s="259"/>
      <c r="BC1582" s="190"/>
      <c r="BD1582" s="177"/>
      <c r="BE1582" s="177"/>
      <c r="BF1582" s="222" t="s">
        <v>2570</v>
      </c>
    </row>
    <row r="1583" spans="1:58" ht="15" customHeight="1">
      <c r="A1583" s="95">
        <v>1582</v>
      </c>
      <c r="B1583" s="211" t="s">
        <v>2143</v>
      </c>
      <c r="C1583" s="191" t="s">
        <v>2716</v>
      </c>
      <c r="D1583" s="171" t="s">
        <v>1810</v>
      </c>
      <c r="E1583" s="463" t="s">
        <v>3377</v>
      </c>
      <c r="F1583" s="171">
        <v>2008</v>
      </c>
      <c r="G1583" s="171">
        <v>350</v>
      </c>
      <c r="H1583" s="172" t="s">
        <v>1738</v>
      </c>
      <c r="I1583" s="173" t="s">
        <v>1743</v>
      </c>
      <c r="J1583" s="212">
        <v>0.78775510204081634</v>
      </c>
      <c r="K1583" s="213">
        <v>7.3265306122448983</v>
      </c>
      <c r="L1583" s="91"/>
      <c r="M1583" s="171">
        <v>245</v>
      </c>
      <c r="N1583" s="171"/>
      <c r="O1583" s="172" t="s">
        <v>12</v>
      </c>
      <c r="P1583" s="92"/>
      <c r="Q1583" s="173" t="s">
        <v>523</v>
      </c>
      <c r="R1583" s="512" t="s">
        <v>2729</v>
      </c>
      <c r="S1583" s="511"/>
      <c r="T1583" s="511"/>
      <c r="U1583" s="214" t="s">
        <v>2307</v>
      </c>
      <c r="V1583" s="102">
        <v>0</v>
      </c>
      <c r="W1583" s="120">
        <f>(60/M1583)*100</f>
        <v>24.489795918367346</v>
      </c>
      <c r="X1583" s="120">
        <v>0</v>
      </c>
      <c r="Y1583" s="120">
        <v>0</v>
      </c>
      <c r="Z1583" s="120">
        <v>0</v>
      </c>
      <c r="AA1583" s="17">
        <v>0</v>
      </c>
      <c r="AB1583" s="17">
        <v>0</v>
      </c>
      <c r="AC1583" s="17">
        <v>0</v>
      </c>
      <c r="AD1583" s="17">
        <v>0</v>
      </c>
      <c r="AE1583" s="17">
        <v>0</v>
      </c>
      <c r="AF1583" s="17">
        <v>0</v>
      </c>
      <c r="AG1583" s="17">
        <v>0</v>
      </c>
      <c r="AH1583" s="17">
        <v>0</v>
      </c>
      <c r="AI1583" s="17">
        <v>0</v>
      </c>
      <c r="AJ1583" s="17">
        <v>0</v>
      </c>
      <c r="AK1583" s="17">
        <v>0</v>
      </c>
      <c r="AL1583" s="32">
        <v>0</v>
      </c>
      <c r="AM1583" s="172">
        <v>32.9</v>
      </c>
      <c r="AN1583" s="89"/>
      <c r="AO1583" s="89"/>
      <c r="AP1583" s="88"/>
      <c r="AQ1583" s="17" t="s">
        <v>1757</v>
      </c>
      <c r="AR1583" s="174">
        <v>75</v>
      </c>
      <c r="AS1583" s="171"/>
      <c r="AT1583" s="171">
        <v>285</v>
      </c>
      <c r="AU1583" s="255">
        <f t="shared" si="110"/>
        <v>16.569767441860463</v>
      </c>
      <c r="AV1583" s="172">
        <v>85</v>
      </c>
      <c r="AW1583" s="171">
        <v>7</v>
      </c>
      <c r="AX1583" s="89"/>
      <c r="AY1583" s="171">
        <v>28</v>
      </c>
      <c r="AZ1583" s="89"/>
      <c r="BA1583" s="175">
        <v>75</v>
      </c>
      <c r="BB1583" s="259"/>
      <c r="BC1583" s="190"/>
      <c r="BD1583" s="177"/>
      <c r="BE1583" s="177"/>
      <c r="BF1583" s="222" t="s">
        <v>2570</v>
      </c>
    </row>
    <row r="1584" spans="1:58" ht="15" customHeight="1">
      <c r="A1584" s="95">
        <v>1583</v>
      </c>
      <c r="B1584" s="211" t="s">
        <v>2144</v>
      </c>
      <c r="C1584" s="191" t="s">
        <v>2716</v>
      </c>
      <c r="D1584" s="171" t="s">
        <v>1810</v>
      </c>
      <c r="E1584" s="463" t="s">
        <v>3377</v>
      </c>
      <c r="F1584" s="171">
        <v>2008</v>
      </c>
      <c r="G1584" s="171">
        <v>350</v>
      </c>
      <c r="H1584" s="172" t="s">
        <v>1738</v>
      </c>
      <c r="I1584" s="173" t="s">
        <v>1743</v>
      </c>
      <c r="J1584" s="212">
        <v>1.0988372093023255</v>
      </c>
      <c r="K1584" s="213">
        <v>10.436046511627907</v>
      </c>
      <c r="L1584" s="91"/>
      <c r="M1584" s="171">
        <v>172</v>
      </c>
      <c r="N1584" s="171"/>
      <c r="O1584" s="172" t="s">
        <v>12</v>
      </c>
      <c r="P1584" s="92"/>
      <c r="Q1584" s="173" t="s">
        <v>523</v>
      </c>
      <c r="R1584" s="512" t="s">
        <v>2729</v>
      </c>
      <c r="S1584" s="511"/>
      <c r="T1584" s="511"/>
      <c r="U1584" s="214" t="s">
        <v>2307</v>
      </c>
      <c r="V1584" s="102">
        <v>0</v>
      </c>
      <c r="W1584" s="120">
        <f>(60/M1584)*100</f>
        <v>34.883720930232556</v>
      </c>
      <c r="X1584" s="120">
        <v>0</v>
      </c>
      <c r="Y1584" s="120">
        <v>0</v>
      </c>
      <c r="Z1584" s="120">
        <v>0</v>
      </c>
      <c r="AA1584" s="17">
        <v>0</v>
      </c>
      <c r="AB1584" s="17">
        <v>0</v>
      </c>
      <c r="AC1584" s="17">
        <v>0</v>
      </c>
      <c r="AD1584" s="17">
        <v>0</v>
      </c>
      <c r="AE1584" s="17">
        <v>0</v>
      </c>
      <c r="AF1584" s="17">
        <v>0</v>
      </c>
      <c r="AG1584" s="17">
        <v>0</v>
      </c>
      <c r="AH1584" s="17">
        <v>0</v>
      </c>
      <c r="AI1584" s="17">
        <v>0</v>
      </c>
      <c r="AJ1584" s="17">
        <v>0</v>
      </c>
      <c r="AK1584" s="17">
        <v>0</v>
      </c>
      <c r="AL1584" s="32">
        <v>0</v>
      </c>
      <c r="AM1584" s="172">
        <v>20.2</v>
      </c>
      <c r="AN1584" s="89"/>
      <c r="AO1584" s="89"/>
      <c r="AP1584" s="88"/>
      <c r="AQ1584" s="17" t="s">
        <v>1757</v>
      </c>
      <c r="AR1584" s="174">
        <v>75</v>
      </c>
      <c r="AS1584" s="171"/>
      <c r="AT1584" s="171">
        <v>285</v>
      </c>
      <c r="AU1584" s="255">
        <f t="shared" si="110"/>
        <v>16.569767441860463</v>
      </c>
      <c r="AV1584" s="172">
        <v>85</v>
      </c>
      <c r="AW1584" s="171">
        <v>7</v>
      </c>
      <c r="AX1584" s="89"/>
      <c r="AY1584" s="171">
        <v>28</v>
      </c>
      <c r="AZ1584" s="89"/>
      <c r="BA1584" s="175">
        <v>75</v>
      </c>
      <c r="BB1584" s="259"/>
      <c r="BC1584" s="190"/>
      <c r="BD1584" s="177"/>
      <c r="BE1584" s="177"/>
      <c r="BF1584" s="222" t="s">
        <v>2570</v>
      </c>
    </row>
    <row r="1585" spans="1:58">
      <c r="A1585" s="95">
        <v>1584</v>
      </c>
      <c r="B1585" s="211" t="s">
        <v>2145</v>
      </c>
      <c r="C1585" s="191" t="s">
        <v>2717</v>
      </c>
      <c r="D1585" s="171" t="s">
        <v>254</v>
      </c>
      <c r="E1585" s="463" t="s">
        <v>3377</v>
      </c>
      <c r="F1585" s="171">
        <v>2005</v>
      </c>
      <c r="G1585" s="171">
        <v>351</v>
      </c>
      <c r="H1585" s="172" t="s">
        <v>1738</v>
      </c>
      <c r="I1585" s="173" t="s">
        <v>1739</v>
      </c>
      <c r="J1585" s="212">
        <v>0.55714285714285716</v>
      </c>
      <c r="K1585" s="213">
        <v>4.5685714285714285</v>
      </c>
      <c r="L1585" s="91"/>
      <c r="M1585" s="171">
        <v>350</v>
      </c>
      <c r="N1585" s="171"/>
      <c r="O1585" s="172" t="s">
        <v>12</v>
      </c>
      <c r="P1585" s="92"/>
      <c r="Q1585" s="173" t="s">
        <v>12</v>
      </c>
      <c r="R1585" s="65" t="s">
        <v>2308</v>
      </c>
      <c r="S1585" s="511"/>
      <c r="T1585" s="511"/>
      <c r="U1585" s="214" t="s">
        <v>2308</v>
      </c>
      <c r="V1585" s="102">
        <v>0</v>
      </c>
      <c r="W1585" s="120">
        <v>0</v>
      </c>
      <c r="X1585" s="120">
        <v>0</v>
      </c>
      <c r="Y1585" s="120">
        <v>0</v>
      </c>
      <c r="Z1585" s="120">
        <v>0</v>
      </c>
      <c r="AA1585" s="17">
        <v>0</v>
      </c>
      <c r="AB1585" s="17">
        <v>0</v>
      </c>
      <c r="AC1585" s="17">
        <v>0</v>
      </c>
      <c r="AD1585" s="33">
        <v>0.14285714285714285</v>
      </c>
      <c r="AE1585" s="17">
        <v>0</v>
      </c>
      <c r="AF1585" s="33">
        <v>1.4285714285714286</v>
      </c>
      <c r="AG1585" s="17">
        <v>0</v>
      </c>
      <c r="AH1585" s="17">
        <v>0</v>
      </c>
      <c r="AI1585" s="17">
        <v>0</v>
      </c>
      <c r="AJ1585" s="17">
        <v>0</v>
      </c>
      <c r="AK1585" s="17">
        <v>0</v>
      </c>
      <c r="AL1585" s="32">
        <v>0</v>
      </c>
      <c r="AM1585" s="172">
        <v>37</v>
      </c>
      <c r="AN1585" s="89"/>
      <c r="AO1585" s="171">
        <v>34</v>
      </c>
      <c r="AP1585" s="88"/>
      <c r="AQ1585" s="17" t="s">
        <v>268</v>
      </c>
      <c r="AR1585" s="174">
        <v>55</v>
      </c>
      <c r="AS1585" s="171"/>
      <c r="AT1585" s="171">
        <v>220</v>
      </c>
      <c r="AU1585" s="255">
        <f t="shared" ref="AU1585:AU1598" si="111">(AR1585*AT1585)/((2*AT1585)+(2*AR1585))</f>
        <v>22</v>
      </c>
      <c r="AV1585" s="172">
        <v>98</v>
      </c>
      <c r="AW1585" s="171">
        <v>1</v>
      </c>
      <c r="AX1585" s="171">
        <v>20</v>
      </c>
      <c r="AY1585" s="171">
        <v>20</v>
      </c>
      <c r="AZ1585" s="89"/>
      <c r="BA1585" s="175">
        <v>99</v>
      </c>
      <c r="BB1585" s="259"/>
      <c r="BC1585" s="190"/>
      <c r="BD1585" s="177"/>
      <c r="BE1585" s="177"/>
      <c r="BF1585" s="178"/>
    </row>
    <row r="1586" spans="1:58" ht="15" customHeight="1">
      <c r="A1586" s="95">
        <v>1585</v>
      </c>
      <c r="B1586" s="211" t="s">
        <v>2146</v>
      </c>
      <c r="C1586" s="191" t="s">
        <v>2717</v>
      </c>
      <c r="D1586" s="171" t="s">
        <v>254</v>
      </c>
      <c r="E1586" s="463" t="s">
        <v>3377</v>
      </c>
      <c r="F1586" s="171">
        <v>2005</v>
      </c>
      <c r="G1586" s="171">
        <v>351</v>
      </c>
      <c r="H1586" s="172" t="s">
        <v>1738</v>
      </c>
      <c r="I1586" s="173" t="s">
        <v>1743</v>
      </c>
      <c r="J1586" s="212">
        <v>0.55714285714285716</v>
      </c>
      <c r="K1586" s="213">
        <v>4.5685714285714285</v>
      </c>
      <c r="L1586" s="91"/>
      <c r="M1586" s="171">
        <v>350</v>
      </c>
      <c r="N1586" s="171"/>
      <c r="O1586" s="172" t="s">
        <v>12</v>
      </c>
      <c r="P1586" s="92"/>
      <c r="Q1586" s="173" t="s">
        <v>12</v>
      </c>
      <c r="R1586" s="65" t="s">
        <v>2308</v>
      </c>
      <c r="S1586" s="511"/>
      <c r="T1586" s="511"/>
      <c r="U1586" s="214" t="s">
        <v>2308</v>
      </c>
      <c r="V1586" s="102">
        <v>0</v>
      </c>
      <c r="W1586" s="120">
        <v>0</v>
      </c>
      <c r="X1586" s="120">
        <v>0</v>
      </c>
      <c r="Y1586" s="120">
        <v>0</v>
      </c>
      <c r="Z1586" s="120">
        <v>0</v>
      </c>
      <c r="AA1586" s="17">
        <v>0</v>
      </c>
      <c r="AB1586" s="17">
        <v>0</v>
      </c>
      <c r="AC1586" s="17">
        <v>0</v>
      </c>
      <c r="AD1586" s="33">
        <v>0.14285714285714285</v>
      </c>
      <c r="AE1586" s="17">
        <v>0</v>
      </c>
      <c r="AF1586" s="33">
        <v>1.4285714285714286</v>
      </c>
      <c r="AG1586" s="17">
        <v>0</v>
      </c>
      <c r="AH1586" s="17">
        <v>0</v>
      </c>
      <c r="AI1586" s="17">
        <v>0</v>
      </c>
      <c r="AJ1586" s="17">
        <v>0</v>
      </c>
      <c r="AK1586" s="17">
        <v>0</v>
      </c>
      <c r="AL1586" s="32">
        <v>0</v>
      </c>
      <c r="AM1586" s="172">
        <v>37</v>
      </c>
      <c r="AN1586" s="89"/>
      <c r="AO1586" s="171">
        <v>34</v>
      </c>
      <c r="AP1586" s="88"/>
      <c r="AQ1586" s="17" t="s">
        <v>268</v>
      </c>
      <c r="AR1586" s="174">
        <v>55</v>
      </c>
      <c r="AS1586" s="171"/>
      <c r="AT1586" s="171">
        <v>220</v>
      </c>
      <c r="AU1586" s="255">
        <f t="shared" si="111"/>
        <v>22</v>
      </c>
      <c r="AV1586" s="172">
        <v>98</v>
      </c>
      <c r="AW1586" s="171">
        <v>1</v>
      </c>
      <c r="AX1586" s="171">
        <v>20</v>
      </c>
      <c r="AY1586" s="171">
        <v>20</v>
      </c>
      <c r="AZ1586" s="89"/>
      <c r="BA1586" s="175">
        <v>55</v>
      </c>
      <c r="BB1586" s="259"/>
      <c r="BC1586" s="190"/>
      <c r="BD1586" s="177"/>
      <c r="BE1586" s="177"/>
      <c r="BF1586" s="178"/>
    </row>
    <row r="1587" spans="1:58">
      <c r="A1587" s="95">
        <v>1586</v>
      </c>
      <c r="B1587" s="211" t="s">
        <v>2147</v>
      </c>
      <c r="C1587" s="191" t="s">
        <v>2717</v>
      </c>
      <c r="D1587" s="171" t="s">
        <v>254</v>
      </c>
      <c r="E1587" s="463" t="s">
        <v>3377</v>
      </c>
      <c r="F1587" s="171">
        <v>2005</v>
      </c>
      <c r="G1587" s="171">
        <v>351</v>
      </c>
      <c r="H1587" s="172" t="s">
        <v>1738</v>
      </c>
      <c r="I1587" s="173" t="s">
        <v>1739</v>
      </c>
      <c r="J1587" s="212">
        <v>0.43622222222222223</v>
      </c>
      <c r="K1587" s="213">
        <v>3.6973333333333338</v>
      </c>
      <c r="L1587" s="91"/>
      <c r="M1587" s="171">
        <v>450</v>
      </c>
      <c r="N1587" s="171"/>
      <c r="O1587" s="172" t="s">
        <v>12</v>
      </c>
      <c r="P1587" s="92"/>
      <c r="Q1587" s="173" t="s">
        <v>12</v>
      </c>
      <c r="R1587" s="65" t="s">
        <v>2308</v>
      </c>
      <c r="S1587" s="511"/>
      <c r="T1587" s="511"/>
      <c r="U1587" s="214" t="s">
        <v>2308</v>
      </c>
      <c r="V1587" s="102">
        <v>0</v>
      </c>
      <c r="W1587" s="120">
        <v>0</v>
      </c>
      <c r="X1587" s="120">
        <v>0</v>
      </c>
      <c r="Y1587" s="120">
        <v>0</v>
      </c>
      <c r="Z1587" s="120">
        <v>0</v>
      </c>
      <c r="AA1587" s="17">
        <v>0</v>
      </c>
      <c r="AB1587" s="17">
        <v>0</v>
      </c>
      <c r="AC1587" s="17">
        <v>0</v>
      </c>
      <c r="AD1587" s="17">
        <v>0</v>
      </c>
      <c r="AE1587" s="17">
        <v>0</v>
      </c>
      <c r="AF1587" s="33">
        <v>3</v>
      </c>
      <c r="AG1587" s="17">
        <v>0</v>
      </c>
      <c r="AH1587" s="17">
        <v>0</v>
      </c>
      <c r="AI1587" s="17">
        <v>0</v>
      </c>
      <c r="AJ1587" s="17">
        <v>0</v>
      </c>
      <c r="AK1587" s="17">
        <v>0</v>
      </c>
      <c r="AL1587" s="32">
        <v>0</v>
      </c>
      <c r="AM1587" s="172">
        <v>68</v>
      </c>
      <c r="AN1587" s="89"/>
      <c r="AO1587" s="171">
        <v>55</v>
      </c>
      <c r="AP1587" s="88"/>
      <c r="AQ1587" s="17" t="s">
        <v>268</v>
      </c>
      <c r="AR1587" s="174">
        <v>55</v>
      </c>
      <c r="AS1587" s="171"/>
      <c r="AT1587" s="171">
        <v>220</v>
      </c>
      <c r="AU1587" s="255">
        <f t="shared" si="111"/>
        <v>22</v>
      </c>
      <c r="AV1587" s="172">
        <v>98</v>
      </c>
      <c r="AW1587" s="171">
        <v>1</v>
      </c>
      <c r="AX1587" s="171">
        <v>20</v>
      </c>
      <c r="AY1587" s="171">
        <v>20</v>
      </c>
      <c r="AZ1587" s="89"/>
      <c r="BA1587" s="175">
        <v>99</v>
      </c>
      <c r="BB1587" s="259"/>
      <c r="BC1587" s="190"/>
      <c r="BD1587" s="177"/>
      <c r="BE1587" s="177"/>
      <c r="BF1587" s="178"/>
    </row>
    <row r="1588" spans="1:58" ht="15" customHeight="1">
      <c r="A1588" s="95">
        <v>1587</v>
      </c>
      <c r="B1588" s="211" t="s">
        <v>2148</v>
      </c>
      <c r="C1588" s="191" t="s">
        <v>2717</v>
      </c>
      <c r="D1588" s="171" t="s">
        <v>254</v>
      </c>
      <c r="E1588" s="463" t="s">
        <v>3377</v>
      </c>
      <c r="F1588" s="171">
        <v>2005</v>
      </c>
      <c r="G1588" s="171">
        <v>351</v>
      </c>
      <c r="H1588" s="172" t="s">
        <v>1738</v>
      </c>
      <c r="I1588" s="173" t="s">
        <v>1743</v>
      </c>
      <c r="J1588" s="212">
        <v>0.43622222222222223</v>
      </c>
      <c r="K1588" s="213">
        <v>3.6973333333333338</v>
      </c>
      <c r="L1588" s="91"/>
      <c r="M1588" s="171">
        <v>450</v>
      </c>
      <c r="N1588" s="171"/>
      <c r="O1588" s="172" t="s">
        <v>12</v>
      </c>
      <c r="P1588" s="92"/>
      <c r="Q1588" s="173" t="s">
        <v>12</v>
      </c>
      <c r="R1588" s="65" t="s">
        <v>2308</v>
      </c>
      <c r="S1588" s="511"/>
      <c r="T1588" s="511"/>
      <c r="U1588" s="214" t="s">
        <v>2308</v>
      </c>
      <c r="V1588" s="102">
        <v>0</v>
      </c>
      <c r="W1588" s="120">
        <v>0</v>
      </c>
      <c r="X1588" s="120">
        <v>0</v>
      </c>
      <c r="Y1588" s="120">
        <v>0</v>
      </c>
      <c r="Z1588" s="120">
        <v>0</v>
      </c>
      <c r="AA1588" s="17">
        <v>0</v>
      </c>
      <c r="AB1588" s="17">
        <v>0</v>
      </c>
      <c r="AC1588" s="17">
        <v>0</v>
      </c>
      <c r="AD1588" s="17">
        <v>0</v>
      </c>
      <c r="AE1588" s="17">
        <v>0</v>
      </c>
      <c r="AF1588" s="33">
        <v>3</v>
      </c>
      <c r="AG1588" s="17">
        <v>0</v>
      </c>
      <c r="AH1588" s="17">
        <v>0</v>
      </c>
      <c r="AI1588" s="17">
        <v>0</v>
      </c>
      <c r="AJ1588" s="17">
        <v>0</v>
      </c>
      <c r="AK1588" s="17">
        <v>0</v>
      </c>
      <c r="AL1588" s="32">
        <v>0</v>
      </c>
      <c r="AM1588" s="172">
        <v>68</v>
      </c>
      <c r="AN1588" s="89"/>
      <c r="AO1588" s="171">
        <v>55</v>
      </c>
      <c r="AP1588" s="88"/>
      <c r="AQ1588" s="17" t="s">
        <v>268</v>
      </c>
      <c r="AR1588" s="174">
        <v>55</v>
      </c>
      <c r="AS1588" s="171"/>
      <c r="AT1588" s="171">
        <v>220</v>
      </c>
      <c r="AU1588" s="255">
        <f t="shared" si="111"/>
        <v>22</v>
      </c>
      <c r="AV1588" s="172">
        <v>98</v>
      </c>
      <c r="AW1588" s="171">
        <v>1</v>
      </c>
      <c r="AX1588" s="171">
        <v>20</v>
      </c>
      <c r="AY1588" s="171">
        <v>20</v>
      </c>
      <c r="AZ1588" s="89"/>
      <c r="BA1588" s="175">
        <v>55</v>
      </c>
      <c r="BB1588" s="259"/>
      <c r="BC1588" s="190"/>
      <c r="BD1588" s="177"/>
      <c r="BE1588" s="177"/>
      <c r="BF1588" s="178"/>
    </row>
    <row r="1589" spans="1:58">
      <c r="A1589" s="95">
        <v>1588</v>
      </c>
      <c r="B1589" s="211" t="s">
        <v>2149</v>
      </c>
      <c r="C1589" s="191" t="s">
        <v>2717</v>
      </c>
      <c r="D1589" s="171" t="s">
        <v>254</v>
      </c>
      <c r="E1589" s="463" t="s">
        <v>3377</v>
      </c>
      <c r="F1589" s="171">
        <v>2005</v>
      </c>
      <c r="G1589" s="171">
        <v>351</v>
      </c>
      <c r="H1589" s="172" t="s">
        <v>1738</v>
      </c>
      <c r="I1589" s="173" t="s">
        <v>1739</v>
      </c>
      <c r="J1589" s="212">
        <v>0.52571428571428569</v>
      </c>
      <c r="K1589" s="213">
        <v>5.2514285714285718</v>
      </c>
      <c r="L1589" s="91"/>
      <c r="M1589" s="171">
        <v>350</v>
      </c>
      <c r="N1589" s="171"/>
      <c r="O1589" s="172" t="s">
        <v>12</v>
      </c>
      <c r="P1589" s="92"/>
      <c r="Q1589" s="173" t="s">
        <v>12</v>
      </c>
      <c r="R1589" s="65" t="s">
        <v>2308</v>
      </c>
      <c r="S1589" s="511"/>
      <c r="T1589" s="511"/>
      <c r="U1589" s="214" t="s">
        <v>2308</v>
      </c>
      <c r="V1589" s="102">
        <v>0</v>
      </c>
      <c r="W1589" s="120">
        <v>0</v>
      </c>
      <c r="X1589" s="120">
        <v>0</v>
      </c>
      <c r="Y1589" s="120">
        <v>0</v>
      </c>
      <c r="Z1589" s="120">
        <v>0</v>
      </c>
      <c r="AA1589" s="17">
        <v>0</v>
      </c>
      <c r="AB1589" s="17">
        <v>0</v>
      </c>
      <c r="AC1589" s="17">
        <v>0</v>
      </c>
      <c r="AD1589" s="17">
        <v>0</v>
      </c>
      <c r="AE1589" s="17">
        <v>0</v>
      </c>
      <c r="AF1589" s="17">
        <v>0</v>
      </c>
      <c r="AG1589" s="17">
        <v>0</v>
      </c>
      <c r="AH1589" s="17">
        <v>0</v>
      </c>
      <c r="AI1589" s="17">
        <v>0</v>
      </c>
      <c r="AJ1589" s="17">
        <v>0</v>
      </c>
      <c r="AK1589" s="17">
        <v>0</v>
      </c>
      <c r="AL1589" s="32">
        <v>0</v>
      </c>
      <c r="AM1589" s="172">
        <v>39</v>
      </c>
      <c r="AN1589" s="89"/>
      <c r="AO1589" s="171">
        <v>31</v>
      </c>
      <c r="AP1589" s="88"/>
      <c r="AQ1589" s="17" t="s">
        <v>268</v>
      </c>
      <c r="AR1589" s="174">
        <v>55</v>
      </c>
      <c r="AS1589" s="171"/>
      <c r="AT1589" s="171">
        <v>220</v>
      </c>
      <c r="AU1589" s="255">
        <f t="shared" si="111"/>
        <v>22</v>
      </c>
      <c r="AV1589" s="172">
        <v>98</v>
      </c>
      <c r="AW1589" s="171">
        <v>1</v>
      </c>
      <c r="AX1589" s="171">
        <v>20</v>
      </c>
      <c r="AY1589" s="171">
        <v>20</v>
      </c>
      <c r="AZ1589" s="89"/>
      <c r="BA1589" s="175">
        <v>99</v>
      </c>
      <c r="BB1589" s="259"/>
      <c r="BC1589" s="190"/>
      <c r="BD1589" s="177"/>
      <c r="BE1589" s="177"/>
      <c r="BF1589" s="178"/>
    </row>
    <row r="1590" spans="1:58" ht="15" customHeight="1">
      <c r="A1590" s="95">
        <v>1589</v>
      </c>
      <c r="B1590" s="211" t="s">
        <v>2150</v>
      </c>
      <c r="C1590" s="191" t="s">
        <v>2717</v>
      </c>
      <c r="D1590" s="171" t="s">
        <v>254</v>
      </c>
      <c r="E1590" s="463" t="s">
        <v>3377</v>
      </c>
      <c r="F1590" s="171">
        <v>2005</v>
      </c>
      <c r="G1590" s="171">
        <v>351</v>
      </c>
      <c r="H1590" s="172" t="s">
        <v>1738</v>
      </c>
      <c r="I1590" s="173" t="s">
        <v>1743</v>
      </c>
      <c r="J1590" s="212">
        <v>0.52571428571428569</v>
      </c>
      <c r="K1590" s="213">
        <v>5.2514285714285718</v>
      </c>
      <c r="L1590" s="91"/>
      <c r="M1590" s="171">
        <v>350</v>
      </c>
      <c r="N1590" s="171"/>
      <c r="O1590" s="172" t="s">
        <v>12</v>
      </c>
      <c r="P1590" s="92"/>
      <c r="Q1590" s="173" t="s">
        <v>12</v>
      </c>
      <c r="R1590" s="65" t="s">
        <v>2308</v>
      </c>
      <c r="S1590" s="511"/>
      <c r="T1590" s="511"/>
      <c r="U1590" s="214" t="s">
        <v>2308</v>
      </c>
      <c r="V1590" s="102">
        <v>0</v>
      </c>
      <c r="W1590" s="120">
        <v>0</v>
      </c>
      <c r="X1590" s="120">
        <v>0</v>
      </c>
      <c r="Y1590" s="120">
        <v>0</v>
      </c>
      <c r="Z1590" s="120">
        <v>0</v>
      </c>
      <c r="AA1590" s="17">
        <v>0</v>
      </c>
      <c r="AB1590" s="17">
        <v>0</v>
      </c>
      <c r="AC1590" s="17">
        <v>0</v>
      </c>
      <c r="AD1590" s="17">
        <v>0</v>
      </c>
      <c r="AE1590" s="17">
        <v>0</v>
      </c>
      <c r="AF1590" s="17">
        <v>0</v>
      </c>
      <c r="AG1590" s="17">
        <v>0</v>
      </c>
      <c r="AH1590" s="17">
        <v>0</v>
      </c>
      <c r="AI1590" s="17">
        <v>0</v>
      </c>
      <c r="AJ1590" s="17">
        <v>0</v>
      </c>
      <c r="AK1590" s="17">
        <v>0</v>
      </c>
      <c r="AL1590" s="32">
        <v>0</v>
      </c>
      <c r="AM1590" s="172">
        <v>39</v>
      </c>
      <c r="AN1590" s="89"/>
      <c r="AO1590" s="171">
        <v>31</v>
      </c>
      <c r="AP1590" s="88"/>
      <c r="AQ1590" s="17" t="s">
        <v>268</v>
      </c>
      <c r="AR1590" s="174">
        <v>55</v>
      </c>
      <c r="AS1590" s="171"/>
      <c r="AT1590" s="171">
        <v>220</v>
      </c>
      <c r="AU1590" s="255">
        <f t="shared" si="111"/>
        <v>22</v>
      </c>
      <c r="AV1590" s="172">
        <v>98</v>
      </c>
      <c r="AW1590" s="171">
        <v>1</v>
      </c>
      <c r="AX1590" s="171">
        <v>20</v>
      </c>
      <c r="AY1590" s="171">
        <v>20</v>
      </c>
      <c r="AZ1590" s="89"/>
      <c r="BA1590" s="175">
        <v>55</v>
      </c>
      <c r="BB1590" s="259"/>
      <c r="BC1590" s="190"/>
      <c r="BD1590" s="177"/>
      <c r="BE1590" s="177"/>
      <c r="BF1590" s="178"/>
    </row>
    <row r="1591" spans="1:58">
      <c r="A1591" s="95">
        <v>1590</v>
      </c>
      <c r="B1591" s="211" t="s">
        <v>2151</v>
      </c>
      <c r="C1591" s="191" t="s">
        <v>2717</v>
      </c>
      <c r="D1591" s="171" t="s">
        <v>254</v>
      </c>
      <c r="E1591" s="463" t="s">
        <v>3377</v>
      </c>
      <c r="F1591" s="171">
        <v>2005</v>
      </c>
      <c r="G1591" s="171">
        <v>351</v>
      </c>
      <c r="H1591" s="172" t="s">
        <v>1738</v>
      </c>
      <c r="I1591" s="173" t="s">
        <v>1739</v>
      </c>
      <c r="J1591" s="212">
        <v>0.39266666666666666</v>
      </c>
      <c r="K1591" s="213">
        <v>4.0555555555555554</v>
      </c>
      <c r="L1591" s="91"/>
      <c r="M1591" s="171">
        <v>450</v>
      </c>
      <c r="N1591" s="171"/>
      <c r="O1591" s="172" t="s">
        <v>12</v>
      </c>
      <c r="P1591" s="92"/>
      <c r="Q1591" s="173" t="s">
        <v>12</v>
      </c>
      <c r="R1591" s="65" t="s">
        <v>2308</v>
      </c>
      <c r="S1591" s="511"/>
      <c r="T1591" s="511"/>
      <c r="U1591" s="214" t="s">
        <v>2308</v>
      </c>
      <c r="V1591" s="102">
        <v>0</v>
      </c>
      <c r="W1591" s="120">
        <v>0</v>
      </c>
      <c r="X1591" s="120">
        <v>0</v>
      </c>
      <c r="Y1591" s="120">
        <v>0</v>
      </c>
      <c r="Z1591" s="120">
        <v>0</v>
      </c>
      <c r="AA1591" s="17">
        <v>0</v>
      </c>
      <c r="AB1591" s="17">
        <v>0</v>
      </c>
      <c r="AC1591" s="17">
        <v>0</v>
      </c>
      <c r="AD1591" s="17">
        <v>0</v>
      </c>
      <c r="AE1591" s="17">
        <v>0</v>
      </c>
      <c r="AF1591" s="33">
        <v>1.3111111111111111</v>
      </c>
      <c r="AG1591" s="17">
        <v>0</v>
      </c>
      <c r="AH1591" s="17">
        <v>0</v>
      </c>
      <c r="AI1591" s="17">
        <v>0</v>
      </c>
      <c r="AJ1591" s="17">
        <v>0</v>
      </c>
      <c r="AK1591" s="17">
        <v>0</v>
      </c>
      <c r="AL1591" s="32">
        <v>0</v>
      </c>
      <c r="AM1591" s="172">
        <v>68</v>
      </c>
      <c r="AN1591" s="89"/>
      <c r="AO1591" s="171">
        <v>57</v>
      </c>
      <c r="AP1591" s="88"/>
      <c r="AQ1591" s="17" t="s">
        <v>268</v>
      </c>
      <c r="AR1591" s="174">
        <v>55</v>
      </c>
      <c r="AS1591" s="171"/>
      <c r="AT1591" s="171">
        <v>220</v>
      </c>
      <c r="AU1591" s="255">
        <f t="shared" si="111"/>
        <v>22</v>
      </c>
      <c r="AV1591" s="172">
        <v>98</v>
      </c>
      <c r="AW1591" s="171">
        <v>1</v>
      </c>
      <c r="AX1591" s="171">
        <v>20</v>
      </c>
      <c r="AY1591" s="171">
        <v>20</v>
      </c>
      <c r="AZ1591" s="89"/>
      <c r="BA1591" s="175">
        <v>99</v>
      </c>
      <c r="BB1591" s="259"/>
      <c r="BC1591" s="190"/>
      <c r="BD1591" s="177"/>
      <c r="BE1591" s="177"/>
      <c r="BF1591" s="178"/>
    </row>
    <row r="1592" spans="1:58" ht="15" customHeight="1">
      <c r="A1592" s="95">
        <v>1591</v>
      </c>
      <c r="B1592" s="211" t="s">
        <v>2152</v>
      </c>
      <c r="C1592" s="191" t="s">
        <v>2717</v>
      </c>
      <c r="D1592" s="171" t="s">
        <v>254</v>
      </c>
      <c r="E1592" s="463" t="s">
        <v>3377</v>
      </c>
      <c r="F1592" s="171">
        <v>2005</v>
      </c>
      <c r="G1592" s="171">
        <v>351</v>
      </c>
      <c r="H1592" s="172" t="s">
        <v>1738</v>
      </c>
      <c r="I1592" s="173" t="s">
        <v>1743</v>
      </c>
      <c r="J1592" s="212">
        <v>0.39266666666666666</v>
      </c>
      <c r="K1592" s="213">
        <v>4.0555555555555554</v>
      </c>
      <c r="L1592" s="91"/>
      <c r="M1592" s="171">
        <v>450</v>
      </c>
      <c r="N1592" s="171"/>
      <c r="O1592" s="172" t="s">
        <v>12</v>
      </c>
      <c r="P1592" s="92"/>
      <c r="Q1592" s="173" t="s">
        <v>12</v>
      </c>
      <c r="R1592" s="65" t="s">
        <v>2308</v>
      </c>
      <c r="S1592" s="511"/>
      <c r="T1592" s="511"/>
      <c r="U1592" s="214" t="s">
        <v>2308</v>
      </c>
      <c r="V1592" s="102">
        <v>0</v>
      </c>
      <c r="W1592" s="120">
        <v>0</v>
      </c>
      <c r="X1592" s="120">
        <v>0</v>
      </c>
      <c r="Y1592" s="120">
        <v>0</v>
      </c>
      <c r="Z1592" s="120">
        <v>0</v>
      </c>
      <c r="AA1592" s="17">
        <v>0</v>
      </c>
      <c r="AB1592" s="17">
        <v>0</v>
      </c>
      <c r="AC1592" s="17">
        <v>0</v>
      </c>
      <c r="AD1592" s="17">
        <v>0</v>
      </c>
      <c r="AE1592" s="17">
        <v>0</v>
      </c>
      <c r="AF1592" s="33">
        <v>1.3111111111111111</v>
      </c>
      <c r="AG1592" s="17">
        <v>0</v>
      </c>
      <c r="AH1592" s="17">
        <v>0</v>
      </c>
      <c r="AI1592" s="17">
        <v>0</v>
      </c>
      <c r="AJ1592" s="17">
        <v>0</v>
      </c>
      <c r="AK1592" s="17">
        <v>0</v>
      </c>
      <c r="AL1592" s="32">
        <v>0</v>
      </c>
      <c r="AM1592" s="172">
        <v>68</v>
      </c>
      <c r="AN1592" s="89"/>
      <c r="AO1592" s="171">
        <v>57</v>
      </c>
      <c r="AP1592" s="88"/>
      <c r="AQ1592" s="17" t="s">
        <v>268</v>
      </c>
      <c r="AR1592" s="174">
        <v>55</v>
      </c>
      <c r="AS1592" s="171"/>
      <c r="AT1592" s="171">
        <v>220</v>
      </c>
      <c r="AU1592" s="255">
        <f t="shared" si="111"/>
        <v>22</v>
      </c>
      <c r="AV1592" s="172">
        <v>98</v>
      </c>
      <c r="AW1592" s="171">
        <v>7</v>
      </c>
      <c r="AX1592" s="171">
        <v>20</v>
      </c>
      <c r="AY1592" s="171">
        <v>20</v>
      </c>
      <c r="AZ1592" s="89"/>
      <c r="BA1592" s="175">
        <v>55</v>
      </c>
      <c r="BB1592" s="259"/>
      <c r="BC1592" s="190"/>
      <c r="BD1592" s="177"/>
      <c r="BE1592" s="177"/>
      <c r="BF1592" s="178"/>
    </row>
    <row r="1593" spans="1:58" ht="15" customHeight="1">
      <c r="A1593" s="95">
        <v>1592</v>
      </c>
      <c r="B1593" s="211" t="s">
        <v>416</v>
      </c>
      <c r="C1593" s="191" t="s">
        <v>2713</v>
      </c>
      <c r="D1593" s="171" t="s">
        <v>119</v>
      </c>
      <c r="E1593" s="461" t="s">
        <v>3377</v>
      </c>
      <c r="F1593" s="171">
        <v>2004</v>
      </c>
      <c r="G1593" s="171">
        <v>352</v>
      </c>
      <c r="H1593" s="172" t="s">
        <v>1738</v>
      </c>
      <c r="I1593" s="173" t="s">
        <v>1743</v>
      </c>
      <c r="J1593" s="212">
        <v>0.56343283582089554</v>
      </c>
      <c r="K1593" s="213">
        <v>4.9402985074626864</v>
      </c>
      <c r="L1593" s="91"/>
      <c r="M1593" s="171">
        <v>268</v>
      </c>
      <c r="N1593" s="171"/>
      <c r="O1593" s="172" t="s">
        <v>12</v>
      </c>
      <c r="P1593" s="92"/>
      <c r="Q1593" s="173" t="s">
        <v>526</v>
      </c>
      <c r="R1593" s="171" t="s">
        <v>2725</v>
      </c>
      <c r="S1593" s="511"/>
      <c r="T1593" s="171" t="s">
        <v>2306</v>
      </c>
      <c r="U1593" s="214" t="s">
        <v>2314</v>
      </c>
      <c r="V1593" s="102">
        <v>0</v>
      </c>
      <c r="W1593" s="120">
        <v>0</v>
      </c>
      <c r="X1593" s="120">
        <f t="shared" ref="X1593:X1598" si="112">(179/268)*100</f>
        <v>66.791044776119406</v>
      </c>
      <c r="Y1593" s="120">
        <v>0</v>
      </c>
      <c r="Z1593" s="120">
        <v>0</v>
      </c>
      <c r="AA1593" s="17">
        <v>0</v>
      </c>
      <c r="AB1593" s="17">
        <v>0</v>
      </c>
      <c r="AC1593" s="17">
        <v>0</v>
      </c>
      <c r="AD1593" s="17">
        <v>0</v>
      </c>
      <c r="AE1593" s="33">
        <v>4.2537313432835822</v>
      </c>
      <c r="AF1593" s="17">
        <v>0</v>
      </c>
      <c r="AG1593" s="33">
        <v>0.24291044776119405</v>
      </c>
      <c r="AH1593" s="17">
        <v>0</v>
      </c>
      <c r="AI1593" s="17">
        <v>0</v>
      </c>
      <c r="AJ1593" s="33">
        <v>0.13246268656716417</v>
      </c>
      <c r="AK1593" s="17">
        <v>0</v>
      </c>
      <c r="AL1593" s="32">
        <v>0</v>
      </c>
      <c r="AM1593" s="172">
        <v>90</v>
      </c>
      <c r="AN1593" s="89"/>
      <c r="AO1593" s="171" t="s">
        <v>521</v>
      </c>
      <c r="AP1593" s="783">
        <v>45000</v>
      </c>
      <c r="AQ1593" s="17" t="s">
        <v>127</v>
      </c>
      <c r="AR1593" s="174">
        <v>75</v>
      </c>
      <c r="AS1593" s="171"/>
      <c r="AT1593" s="171">
        <v>300</v>
      </c>
      <c r="AU1593" s="255">
        <f t="shared" si="111"/>
        <v>30</v>
      </c>
      <c r="AV1593" s="172">
        <v>99</v>
      </c>
      <c r="AW1593" s="171">
        <v>7</v>
      </c>
      <c r="AX1593" s="171">
        <v>20</v>
      </c>
      <c r="AY1593" s="171">
        <v>23</v>
      </c>
      <c r="AZ1593" s="171">
        <v>0</v>
      </c>
      <c r="BA1593" s="175">
        <v>54</v>
      </c>
      <c r="BB1593" s="259"/>
      <c r="BC1593" s="190"/>
      <c r="BD1593" s="177"/>
      <c r="BE1593" s="177"/>
      <c r="BF1593" s="178" t="s">
        <v>2525</v>
      </c>
    </row>
    <row r="1594" spans="1:58" ht="15" customHeight="1">
      <c r="A1594" s="95">
        <v>1593</v>
      </c>
      <c r="B1594" s="211" t="s">
        <v>417</v>
      </c>
      <c r="C1594" s="191" t="s">
        <v>2713</v>
      </c>
      <c r="D1594" s="171" t="s">
        <v>119</v>
      </c>
      <c r="E1594" s="461" t="s">
        <v>3377</v>
      </c>
      <c r="F1594" s="171">
        <v>2004</v>
      </c>
      <c r="G1594" s="171">
        <v>352</v>
      </c>
      <c r="H1594" s="172" t="s">
        <v>1738</v>
      </c>
      <c r="I1594" s="173" t="s">
        <v>1743</v>
      </c>
      <c r="J1594" s="212">
        <v>0.56343283582089554</v>
      </c>
      <c r="K1594" s="213">
        <v>4.9402985074626864</v>
      </c>
      <c r="L1594" s="91"/>
      <c r="M1594" s="171">
        <v>268</v>
      </c>
      <c r="N1594" s="171"/>
      <c r="O1594" s="172" t="s">
        <v>12</v>
      </c>
      <c r="P1594" s="92"/>
      <c r="Q1594" s="173" t="s">
        <v>526</v>
      </c>
      <c r="R1594" s="171" t="s">
        <v>2725</v>
      </c>
      <c r="S1594" s="511"/>
      <c r="T1594" s="171" t="s">
        <v>2306</v>
      </c>
      <c r="U1594" s="214" t="s">
        <v>2314</v>
      </c>
      <c r="V1594" s="102">
        <v>0</v>
      </c>
      <c r="W1594" s="120">
        <v>0</v>
      </c>
      <c r="X1594" s="120">
        <f t="shared" si="112"/>
        <v>66.791044776119406</v>
      </c>
      <c r="Y1594" s="120">
        <v>0</v>
      </c>
      <c r="Z1594" s="120">
        <v>0</v>
      </c>
      <c r="AA1594" s="17">
        <v>0</v>
      </c>
      <c r="AB1594" s="17">
        <v>0</v>
      </c>
      <c r="AC1594" s="17">
        <v>0</v>
      </c>
      <c r="AD1594" s="17">
        <v>0</v>
      </c>
      <c r="AE1594" s="33">
        <v>4.2537313432835822</v>
      </c>
      <c r="AF1594" s="17">
        <v>0</v>
      </c>
      <c r="AG1594" s="33">
        <v>0.24291044776119405</v>
      </c>
      <c r="AH1594" s="17">
        <v>0</v>
      </c>
      <c r="AI1594" s="17">
        <v>0</v>
      </c>
      <c r="AJ1594" s="33">
        <v>0.13246268656716417</v>
      </c>
      <c r="AK1594" s="17">
        <v>0</v>
      </c>
      <c r="AL1594" s="32">
        <v>0</v>
      </c>
      <c r="AM1594" s="172">
        <v>86</v>
      </c>
      <c r="AN1594" s="89"/>
      <c r="AO1594" s="171" t="s">
        <v>521</v>
      </c>
      <c r="AP1594" s="783">
        <v>47000</v>
      </c>
      <c r="AQ1594" s="17" t="s">
        <v>127</v>
      </c>
      <c r="AR1594" s="174">
        <v>75</v>
      </c>
      <c r="AS1594" s="171"/>
      <c r="AT1594" s="171">
        <v>300</v>
      </c>
      <c r="AU1594" s="255">
        <f t="shared" si="111"/>
        <v>30</v>
      </c>
      <c r="AV1594" s="172">
        <v>99</v>
      </c>
      <c r="AW1594" s="171">
        <v>7</v>
      </c>
      <c r="AX1594" s="171">
        <v>20</v>
      </c>
      <c r="AY1594" s="171">
        <v>23</v>
      </c>
      <c r="AZ1594" s="171">
        <v>0</v>
      </c>
      <c r="BA1594" s="175">
        <v>54</v>
      </c>
      <c r="BB1594" s="259"/>
      <c r="BC1594" s="190"/>
      <c r="BD1594" s="177"/>
      <c r="BE1594" s="177"/>
      <c r="BF1594" s="178" t="s">
        <v>2525</v>
      </c>
    </row>
    <row r="1595" spans="1:58" ht="15" customHeight="1">
      <c r="A1595" s="95">
        <v>1594</v>
      </c>
      <c r="B1595" s="211" t="s">
        <v>418</v>
      </c>
      <c r="C1595" s="191" t="s">
        <v>2713</v>
      </c>
      <c r="D1595" s="171" t="s">
        <v>119</v>
      </c>
      <c r="E1595" s="461" t="s">
        <v>3377</v>
      </c>
      <c r="F1595" s="171">
        <v>2004</v>
      </c>
      <c r="G1595" s="171">
        <v>352</v>
      </c>
      <c r="H1595" s="172" t="s">
        <v>1738</v>
      </c>
      <c r="I1595" s="173" t="s">
        <v>1743</v>
      </c>
      <c r="J1595" s="212">
        <v>0.56343283582089554</v>
      </c>
      <c r="K1595" s="213">
        <v>4.9402985074626864</v>
      </c>
      <c r="L1595" s="91"/>
      <c r="M1595" s="171">
        <v>268</v>
      </c>
      <c r="N1595" s="171"/>
      <c r="O1595" s="172" t="s">
        <v>12</v>
      </c>
      <c r="P1595" s="92"/>
      <c r="Q1595" s="173" t="s">
        <v>526</v>
      </c>
      <c r="R1595" s="171" t="s">
        <v>2725</v>
      </c>
      <c r="S1595" s="511"/>
      <c r="T1595" s="171" t="s">
        <v>2306</v>
      </c>
      <c r="U1595" s="214" t="s">
        <v>2314</v>
      </c>
      <c r="V1595" s="102">
        <v>0</v>
      </c>
      <c r="W1595" s="120">
        <v>0</v>
      </c>
      <c r="X1595" s="120">
        <f t="shared" si="112"/>
        <v>66.791044776119406</v>
      </c>
      <c r="Y1595" s="120">
        <v>0</v>
      </c>
      <c r="Z1595" s="120">
        <v>0</v>
      </c>
      <c r="AA1595" s="17">
        <v>0</v>
      </c>
      <c r="AB1595" s="17">
        <v>0</v>
      </c>
      <c r="AC1595" s="17">
        <v>0</v>
      </c>
      <c r="AD1595" s="17">
        <v>0</v>
      </c>
      <c r="AE1595" s="33">
        <v>4.2537313432835822</v>
      </c>
      <c r="AF1595" s="17">
        <v>0</v>
      </c>
      <c r="AG1595" s="33">
        <v>0.24291044776119405</v>
      </c>
      <c r="AH1595" s="17">
        <v>0</v>
      </c>
      <c r="AI1595" s="17">
        <v>0</v>
      </c>
      <c r="AJ1595" s="33">
        <v>0.13246268656716417</v>
      </c>
      <c r="AK1595" s="17">
        <v>0</v>
      </c>
      <c r="AL1595" s="32">
        <v>0</v>
      </c>
      <c r="AM1595" s="172">
        <v>88</v>
      </c>
      <c r="AN1595" s="89"/>
      <c r="AO1595" s="171" t="s">
        <v>521</v>
      </c>
      <c r="AP1595" s="783">
        <v>46000</v>
      </c>
      <c r="AQ1595" s="17" t="s">
        <v>127</v>
      </c>
      <c r="AR1595" s="174">
        <v>75</v>
      </c>
      <c r="AS1595" s="171"/>
      <c r="AT1595" s="171">
        <v>300</v>
      </c>
      <c r="AU1595" s="255">
        <f t="shared" si="111"/>
        <v>30</v>
      </c>
      <c r="AV1595" s="172">
        <v>99</v>
      </c>
      <c r="AW1595" s="171">
        <v>7</v>
      </c>
      <c r="AX1595" s="171">
        <v>20</v>
      </c>
      <c r="AY1595" s="171">
        <v>23</v>
      </c>
      <c r="AZ1595" s="171">
        <v>0</v>
      </c>
      <c r="BA1595" s="175">
        <v>54</v>
      </c>
      <c r="BB1595" s="259"/>
      <c r="BC1595" s="190"/>
      <c r="BD1595" s="177"/>
      <c r="BE1595" s="177"/>
      <c r="BF1595" s="178" t="s">
        <v>2525</v>
      </c>
    </row>
    <row r="1596" spans="1:58" ht="15" customHeight="1">
      <c r="A1596" s="95">
        <v>1595</v>
      </c>
      <c r="B1596" s="211" t="s">
        <v>419</v>
      </c>
      <c r="C1596" s="191" t="s">
        <v>2713</v>
      </c>
      <c r="D1596" s="171" t="s">
        <v>119</v>
      </c>
      <c r="E1596" s="461" t="s">
        <v>3377</v>
      </c>
      <c r="F1596" s="171">
        <v>2004</v>
      </c>
      <c r="G1596" s="171">
        <v>352</v>
      </c>
      <c r="H1596" s="172" t="s">
        <v>1738</v>
      </c>
      <c r="I1596" s="173" t="s">
        <v>1743</v>
      </c>
      <c r="J1596" s="212">
        <v>0.56343283582089554</v>
      </c>
      <c r="K1596" s="213">
        <v>4.9402985074626864</v>
      </c>
      <c r="L1596" s="91"/>
      <c r="M1596" s="171">
        <v>268</v>
      </c>
      <c r="N1596" s="171"/>
      <c r="O1596" s="172" t="s">
        <v>12</v>
      </c>
      <c r="P1596" s="92"/>
      <c r="Q1596" s="173" t="s">
        <v>526</v>
      </c>
      <c r="R1596" s="171" t="s">
        <v>2725</v>
      </c>
      <c r="S1596" s="511"/>
      <c r="T1596" s="171" t="s">
        <v>2306</v>
      </c>
      <c r="U1596" s="214" t="s">
        <v>2314</v>
      </c>
      <c r="V1596" s="102">
        <v>0</v>
      </c>
      <c r="W1596" s="120">
        <v>0</v>
      </c>
      <c r="X1596" s="120">
        <f t="shared" si="112"/>
        <v>66.791044776119406</v>
      </c>
      <c r="Y1596" s="120">
        <v>0</v>
      </c>
      <c r="Z1596" s="120">
        <v>0</v>
      </c>
      <c r="AA1596" s="17">
        <v>0</v>
      </c>
      <c r="AB1596" s="17">
        <v>0</v>
      </c>
      <c r="AC1596" s="17">
        <v>0</v>
      </c>
      <c r="AD1596" s="17">
        <v>0</v>
      </c>
      <c r="AE1596" s="33">
        <v>4.2537313432835822</v>
      </c>
      <c r="AF1596" s="17">
        <v>0</v>
      </c>
      <c r="AG1596" s="33">
        <v>0.24291044776119405</v>
      </c>
      <c r="AH1596" s="17">
        <v>0</v>
      </c>
      <c r="AI1596" s="17">
        <v>0</v>
      </c>
      <c r="AJ1596" s="33">
        <v>0.13246268656716417</v>
      </c>
      <c r="AK1596" s="17">
        <v>0</v>
      </c>
      <c r="AL1596" s="32">
        <v>0</v>
      </c>
      <c r="AM1596" s="172">
        <v>44</v>
      </c>
      <c r="AN1596" s="89"/>
      <c r="AO1596" s="171" t="s">
        <v>521</v>
      </c>
      <c r="AP1596" s="783">
        <v>20000</v>
      </c>
      <c r="AQ1596" s="17" t="s">
        <v>127</v>
      </c>
      <c r="AR1596" s="174">
        <v>75</v>
      </c>
      <c r="AS1596" s="171"/>
      <c r="AT1596" s="171">
        <v>300</v>
      </c>
      <c r="AU1596" s="255">
        <f t="shared" si="111"/>
        <v>30</v>
      </c>
      <c r="AV1596" s="172">
        <v>99</v>
      </c>
      <c r="AW1596" s="171">
        <v>7</v>
      </c>
      <c r="AX1596" s="171">
        <v>20</v>
      </c>
      <c r="AY1596" s="171">
        <v>23</v>
      </c>
      <c r="AZ1596" s="171">
        <v>0</v>
      </c>
      <c r="BA1596" s="175">
        <v>54</v>
      </c>
      <c r="BB1596" s="259"/>
      <c r="BC1596" s="190"/>
      <c r="BD1596" s="177"/>
      <c r="BE1596" s="177"/>
      <c r="BF1596" s="178" t="s">
        <v>2525</v>
      </c>
    </row>
    <row r="1597" spans="1:58" ht="15" customHeight="1">
      <c r="A1597" s="95">
        <v>1596</v>
      </c>
      <c r="B1597" s="211" t="s">
        <v>2153</v>
      </c>
      <c r="C1597" s="191" t="s">
        <v>2713</v>
      </c>
      <c r="D1597" s="171" t="s">
        <v>119</v>
      </c>
      <c r="E1597" s="461" t="s">
        <v>3377</v>
      </c>
      <c r="F1597" s="171">
        <v>2004</v>
      </c>
      <c r="G1597" s="171">
        <v>352</v>
      </c>
      <c r="H1597" s="172" t="s">
        <v>1738</v>
      </c>
      <c r="I1597" s="173" t="s">
        <v>1743</v>
      </c>
      <c r="J1597" s="212">
        <v>0.56343283582089554</v>
      </c>
      <c r="K1597" s="213">
        <v>4.9402985074626864</v>
      </c>
      <c r="L1597" s="91"/>
      <c r="M1597" s="171">
        <v>268</v>
      </c>
      <c r="N1597" s="171"/>
      <c r="O1597" s="172" t="s">
        <v>12</v>
      </c>
      <c r="P1597" s="92"/>
      <c r="Q1597" s="173" t="s">
        <v>526</v>
      </c>
      <c r="R1597" s="171" t="s">
        <v>2725</v>
      </c>
      <c r="S1597" s="511"/>
      <c r="T1597" s="171" t="s">
        <v>2306</v>
      </c>
      <c r="U1597" s="214" t="s">
        <v>2314</v>
      </c>
      <c r="V1597" s="102">
        <v>0</v>
      </c>
      <c r="W1597" s="120">
        <v>0</v>
      </c>
      <c r="X1597" s="120">
        <f t="shared" si="112"/>
        <v>66.791044776119406</v>
      </c>
      <c r="Y1597" s="120">
        <v>0</v>
      </c>
      <c r="Z1597" s="120">
        <v>0</v>
      </c>
      <c r="AA1597" s="17">
        <v>0</v>
      </c>
      <c r="AB1597" s="17">
        <v>0</v>
      </c>
      <c r="AC1597" s="17">
        <v>0</v>
      </c>
      <c r="AD1597" s="17">
        <v>0</v>
      </c>
      <c r="AE1597" s="33">
        <v>4.2537313432835822</v>
      </c>
      <c r="AF1597" s="17">
        <v>0</v>
      </c>
      <c r="AG1597" s="33">
        <v>0.24291044776119405</v>
      </c>
      <c r="AH1597" s="17">
        <v>0</v>
      </c>
      <c r="AI1597" s="17">
        <v>0</v>
      </c>
      <c r="AJ1597" s="33">
        <v>0.13246268656716417</v>
      </c>
      <c r="AK1597" s="17">
        <v>0</v>
      </c>
      <c r="AL1597" s="32">
        <v>0</v>
      </c>
      <c r="AM1597" s="172">
        <v>44</v>
      </c>
      <c r="AN1597" s="89"/>
      <c r="AO1597" s="171" t="s">
        <v>521</v>
      </c>
      <c r="AP1597" s="783">
        <v>19000</v>
      </c>
      <c r="AQ1597" s="17" t="s">
        <v>127</v>
      </c>
      <c r="AR1597" s="174">
        <v>75</v>
      </c>
      <c r="AS1597" s="171"/>
      <c r="AT1597" s="171">
        <v>300</v>
      </c>
      <c r="AU1597" s="255">
        <f t="shared" si="111"/>
        <v>30</v>
      </c>
      <c r="AV1597" s="172">
        <v>99</v>
      </c>
      <c r="AW1597" s="171">
        <v>7</v>
      </c>
      <c r="AX1597" s="171">
        <v>20</v>
      </c>
      <c r="AY1597" s="171">
        <v>23</v>
      </c>
      <c r="AZ1597" s="171">
        <v>0</v>
      </c>
      <c r="BA1597" s="175">
        <v>54</v>
      </c>
      <c r="BB1597" s="259"/>
      <c r="BC1597" s="190"/>
      <c r="BD1597" s="177"/>
      <c r="BE1597" s="177"/>
      <c r="BF1597" s="178" t="s">
        <v>2525</v>
      </c>
    </row>
    <row r="1598" spans="1:58" ht="15" customHeight="1">
      <c r="A1598" s="95">
        <v>1597</v>
      </c>
      <c r="B1598" s="211" t="s">
        <v>2154</v>
      </c>
      <c r="C1598" s="191" t="s">
        <v>2713</v>
      </c>
      <c r="D1598" s="171" t="s">
        <v>119</v>
      </c>
      <c r="E1598" s="461" t="s">
        <v>3377</v>
      </c>
      <c r="F1598" s="171">
        <v>2004</v>
      </c>
      <c r="G1598" s="171">
        <v>352</v>
      </c>
      <c r="H1598" s="172" t="s">
        <v>1738</v>
      </c>
      <c r="I1598" s="173" t="s">
        <v>1743</v>
      </c>
      <c r="J1598" s="212">
        <v>0.56343283582089554</v>
      </c>
      <c r="K1598" s="213">
        <v>4.9402985074626864</v>
      </c>
      <c r="L1598" s="91"/>
      <c r="M1598" s="171">
        <v>268</v>
      </c>
      <c r="N1598" s="171"/>
      <c r="O1598" s="172" t="s">
        <v>12</v>
      </c>
      <c r="P1598" s="92"/>
      <c r="Q1598" s="173" t="s">
        <v>526</v>
      </c>
      <c r="R1598" s="171" t="s">
        <v>2725</v>
      </c>
      <c r="S1598" s="511"/>
      <c r="T1598" s="171" t="s">
        <v>2306</v>
      </c>
      <c r="U1598" s="214" t="s">
        <v>2314</v>
      </c>
      <c r="V1598" s="102">
        <v>0</v>
      </c>
      <c r="W1598" s="120">
        <v>0</v>
      </c>
      <c r="X1598" s="120">
        <f t="shared" si="112"/>
        <v>66.791044776119406</v>
      </c>
      <c r="Y1598" s="120">
        <v>0</v>
      </c>
      <c r="Z1598" s="120">
        <v>0</v>
      </c>
      <c r="AA1598" s="17">
        <v>0</v>
      </c>
      <c r="AB1598" s="17">
        <v>0</v>
      </c>
      <c r="AC1598" s="17">
        <v>0</v>
      </c>
      <c r="AD1598" s="17">
        <v>0</v>
      </c>
      <c r="AE1598" s="33">
        <v>4.2537313432835822</v>
      </c>
      <c r="AF1598" s="17">
        <v>0</v>
      </c>
      <c r="AG1598" s="33">
        <v>0.24291044776119405</v>
      </c>
      <c r="AH1598" s="17">
        <v>0</v>
      </c>
      <c r="AI1598" s="17">
        <v>0</v>
      </c>
      <c r="AJ1598" s="33">
        <v>0.13246268656716417</v>
      </c>
      <c r="AK1598" s="17">
        <v>0</v>
      </c>
      <c r="AL1598" s="32">
        <v>0</v>
      </c>
      <c r="AM1598" s="172">
        <v>44</v>
      </c>
      <c r="AN1598" s="89"/>
      <c r="AO1598" s="171" t="s">
        <v>521</v>
      </c>
      <c r="AP1598" s="783">
        <v>19500</v>
      </c>
      <c r="AQ1598" s="17" t="s">
        <v>127</v>
      </c>
      <c r="AR1598" s="174">
        <v>75</v>
      </c>
      <c r="AS1598" s="171"/>
      <c r="AT1598" s="171">
        <v>300</v>
      </c>
      <c r="AU1598" s="255">
        <f t="shared" si="111"/>
        <v>30</v>
      </c>
      <c r="AV1598" s="172">
        <v>99</v>
      </c>
      <c r="AW1598" s="171">
        <v>7</v>
      </c>
      <c r="AX1598" s="171">
        <v>20</v>
      </c>
      <c r="AY1598" s="171">
        <v>23</v>
      </c>
      <c r="AZ1598" s="171">
        <v>0</v>
      </c>
      <c r="BA1598" s="175">
        <v>54</v>
      </c>
      <c r="BB1598" s="259"/>
      <c r="BC1598" s="190"/>
      <c r="BD1598" s="177"/>
      <c r="BE1598" s="177"/>
      <c r="BF1598" s="178" t="s">
        <v>2525</v>
      </c>
    </row>
    <row r="1599" spans="1:58" ht="15" customHeight="1">
      <c r="A1599" s="95">
        <v>1598</v>
      </c>
      <c r="B1599" s="211" t="s">
        <v>2155</v>
      </c>
      <c r="C1599" s="191" t="s">
        <v>2718</v>
      </c>
      <c r="D1599" s="171" t="s">
        <v>119</v>
      </c>
      <c r="E1599" s="463" t="s">
        <v>3377</v>
      </c>
      <c r="F1599" s="171">
        <v>2002</v>
      </c>
      <c r="G1599" s="171">
        <v>353</v>
      </c>
      <c r="H1599" s="172" t="s">
        <v>1738</v>
      </c>
      <c r="I1599" s="173" t="s">
        <v>1743</v>
      </c>
      <c r="J1599" s="212">
        <v>0.5</v>
      </c>
      <c r="K1599" s="213">
        <v>4</v>
      </c>
      <c r="L1599" s="91"/>
      <c r="M1599" s="89"/>
      <c r="N1599" s="89"/>
      <c r="O1599" s="172" t="s">
        <v>12</v>
      </c>
      <c r="P1599" s="92"/>
      <c r="Q1599" s="173" t="s">
        <v>523</v>
      </c>
      <c r="R1599" s="511"/>
      <c r="S1599" s="511"/>
      <c r="T1599" s="511"/>
      <c r="U1599" s="89"/>
      <c r="V1599" s="102">
        <v>0</v>
      </c>
      <c r="W1599" s="120">
        <v>0</v>
      </c>
      <c r="X1599" s="120">
        <v>0</v>
      </c>
      <c r="Y1599" s="120">
        <v>0</v>
      </c>
      <c r="Z1599" s="120">
        <v>0</v>
      </c>
      <c r="AA1599" s="17">
        <v>0</v>
      </c>
      <c r="AB1599" s="17">
        <v>0</v>
      </c>
      <c r="AC1599" s="17">
        <v>0</v>
      </c>
      <c r="AD1599" s="17">
        <v>0</v>
      </c>
      <c r="AE1599" s="17">
        <v>0</v>
      </c>
      <c r="AF1599" s="17">
        <v>0</v>
      </c>
      <c r="AG1599" s="17">
        <v>0</v>
      </c>
      <c r="AH1599" s="17">
        <v>0</v>
      </c>
      <c r="AI1599" s="17">
        <v>0</v>
      </c>
      <c r="AJ1599" s="17">
        <v>0</v>
      </c>
      <c r="AK1599" s="17">
        <v>0</v>
      </c>
      <c r="AL1599" s="32">
        <v>0</v>
      </c>
      <c r="AM1599" s="172">
        <v>33</v>
      </c>
      <c r="AN1599" s="89"/>
      <c r="AO1599" s="89"/>
      <c r="AP1599" s="783">
        <v>23000</v>
      </c>
      <c r="AQ1599" s="773" t="s">
        <v>271</v>
      </c>
      <c r="AR1599" s="174" t="s">
        <v>2629</v>
      </c>
      <c r="AS1599" s="171"/>
      <c r="AT1599" s="171" t="str">
        <f t="shared" ref="AT1599:AT1605" si="113">RIGHT(AQ1599,LEN(AQ1599)-FIND("x",AQ1599,8))</f>
        <v>400</v>
      </c>
      <c r="AU1599" s="255">
        <f t="shared" ref="AU1599:AU1631" si="114">IF(ISBLANK(AS1599),(AR1599*AT1599)/((4*AT1599)+(2*AR1599)),AR1599*AS1599*AT1599/2/(AR1599*AS1599+AR1599*AT1599+AS1599*AT1599))</f>
        <v>22.222222222222221</v>
      </c>
      <c r="AV1599" s="172">
        <v>40</v>
      </c>
      <c r="AW1599" s="171">
        <v>1</v>
      </c>
      <c r="AX1599" s="171">
        <v>20</v>
      </c>
      <c r="AY1599" s="171">
        <v>30</v>
      </c>
      <c r="AZ1599" s="171">
        <v>0</v>
      </c>
      <c r="BA1599" s="89"/>
      <c r="BB1599" s="259"/>
      <c r="BC1599" s="190"/>
      <c r="BD1599" s="177"/>
      <c r="BE1599" s="177"/>
      <c r="BF1599" s="178"/>
    </row>
    <row r="1600" spans="1:58" ht="15" customHeight="1">
      <c r="A1600" s="95">
        <v>1599</v>
      </c>
      <c r="B1600" s="211" t="s">
        <v>2156</v>
      </c>
      <c r="C1600" s="191" t="s">
        <v>2718</v>
      </c>
      <c r="D1600" s="171" t="s">
        <v>119</v>
      </c>
      <c r="E1600" s="463" t="s">
        <v>3377</v>
      </c>
      <c r="F1600" s="171">
        <v>2002</v>
      </c>
      <c r="G1600" s="171">
        <v>353</v>
      </c>
      <c r="H1600" s="172" t="s">
        <v>1738</v>
      </c>
      <c r="I1600" s="173" t="s">
        <v>1743</v>
      </c>
      <c r="J1600" s="212">
        <v>0.49</v>
      </c>
      <c r="K1600" s="213">
        <v>4</v>
      </c>
      <c r="L1600" s="91"/>
      <c r="M1600" s="89"/>
      <c r="N1600" s="89"/>
      <c r="O1600" s="172" t="s">
        <v>12</v>
      </c>
      <c r="P1600" s="92"/>
      <c r="Q1600" s="173" t="s">
        <v>523</v>
      </c>
      <c r="R1600" s="511"/>
      <c r="S1600" s="511"/>
      <c r="T1600" s="511"/>
      <c r="U1600" s="89"/>
      <c r="V1600" s="102">
        <v>0</v>
      </c>
      <c r="W1600" s="120">
        <v>0</v>
      </c>
      <c r="X1600" s="120">
        <v>0</v>
      </c>
      <c r="Y1600" s="120">
        <v>0</v>
      </c>
      <c r="Z1600" s="120">
        <v>0</v>
      </c>
      <c r="AA1600" s="17">
        <v>0</v>
      </c>
      <c r="AB1600" s="17">
        <v>0</v>
      </c>
      <c r="AC1600" s="17">
        <v>0</v>
      </c>
      <c r="AD1600" s="17">
        <v>0</v>
      </c>
      <c r="AE1600" s="17">
        <v>0</v>
      </c>
      <c r="AF1600" s="17">
        <v>0</v>
      </c>
      <c r="AG1600" s="17">
        <v>0</v>
      </c>
      <c r="AH1600" s="17">
        <v>1</v>
      </c>
      <c r="AI1600" s="17">
        <v>0</v>
      </c>
      <c r="AJ1600" s="17">
        <v>0</v>
      </c>
      <c r="AK1600" s="17">
        <v>0</v>
      </c>
      <c r="AL1600" s="32">
        <v>0</v>
      </c>
      <c r="AM1600" s="172">
        <v>33</v>
      </c>
      <c r="AN1600" s="89"/>
      <c r="AO1600" s="89"/>
      <c r="AP1600" s="783">
        <v>25500</v>
      </c>
      <c r="AQ1600" s="773" t="s">
        <v>271</v>
      </c>
      <c r="AR1600" s="174" t="s">
        <v>2629</v>
      </c>
      <c r="AS1600" s="171"/>
      <c r="AT1600" s="171" t="str">
        <f t="shared" si="113"/>
        <v>400</v>
      </c>
      <c r="AU1600" s="255">
        <f t="shared" si="114"/>
        <v>22.222222222222221</v>
      </c>
      <c r="AV1600" s="172">
        <v>40</v>
      </c>
      <c r="AW1600" s="171">
        <v>1</v>
      </c>
      <c r="AX1600" s="171">
        <v>20</v>
      </c>
      <c r="AY1600" s="171">
        <v>30</v>
      </c>
      <c r="AZ1600" s="171">
        <v>0</v>
      </c>
      <c r="BA1600" s="89"/>
      <c r="BB1600" s="259"/>
      <c r="BC1600" s="190"/>
      <c r="BD1600" s="177"/>
      <c r="BE1600" s="177"/>
      <c r="BF1600" s="178" t="s">
        <v>2301</v>
      </c>
    </row>
    <row r="1601" spans="1:58" ht="15" customHeight="1">
      <c r="A1601" s="95">
        <v>1600</v>
      </c>
      <c r="B1601" s="211" t="s">
        <v>2157</v>
      </c>
      <c r="C1601" s="191" t="s">
        <v>2718</v>
      </c>
      <c r="D1601" s="171" t="s">
        <v>119</v>
      </c>
      <c r="E1601" s="463" t="s">
        <v>3377</v>
      </c>
      <c r="F1601" s="171">
        <v>2002</v>
      </c>
      <c r="G1601" s="171">
        <v>353</v>
      </c>
      <c r="H1601" s="172" t="s">
        <v>1738</v>
      </c>
      <c r="I1601" s="173" t="s">
        <v>1743</v>
      </c>
      <c r="J1601" s="212">
        <v>0.48</v>
      </c>
      <c r="K1601" s="213">
        <v>4</v>
      </c>
      <c r="L1601" s="91"/>
      <c r="M1601" s="89"/>
      <c r="N1601" s="89"/>
      <c r="O1601" s="172" t="s">
        <v>12</v>
      </c>
      <c r="P1601" s="92"/>
      <c r="Q1601" s="173" t="s">
        <v>523</v>
      </c>
      <c r="R1601" s="511"/>
      <c r="S1601" s="511"/>
      <c r="T1601" s="511"/>
      <c r="U1601" s="89"/>
      <c r="V1601" s="102">
        <v>0</v>
      </c>
      <c r="W1601" s="120">
        <v>0</v>
      </c>
      <c r="X1601" s="120">
        <v>0</v>
      </c>
      <c r="Y1601" s="120">
        <v>0</v>
      </c>
      <c r="Z1601" s="120">
        <v>0</v>
      </c>
      <c r="AA1601" s="17">
        <v>0</v>
      </c>
      <c r="AB1601" s="17">
        <v>0</v>
      </c>
      <c r="AC1601" s="17">
        <v>0</v>
      </c>
      <c r="AD1601" s="17">
        <v>0</v>
      </c>
      <c r="AE1601" s="17">
        <v>0</v>
      </c>
      <c r="AF1601" s="17">
        <v>0</v>
      </c>
      <c r="AG1601" s="17">
        <v>0</v>
      </c>
      <c r="AH1601" s="17">
        <v>2</v>
      </c>
      <c r="AI1601" s="17">
        <v>0</v>
      </c>
      <c r="AJ1601" s="17">
        <v>0</v>
      </c>
      <c r="AK1601" s="17">
        <v>0</v>
      </c>
      <c r="AL1601" s="32">
        <v>0</v>
      </c>
      <c r="AM1601" s="172">
        <v>33</v>
      </c>
      <c r="AN1601" s="89"/>
      <c r="AO1601" s="89"/>
      <c r="AP1601" s="783">
        <v>26000</v>
      </c>
      <c r="AQ1601" s="773" t="s">
        <v>271</v>
      </c>
      <c r="AR1601" s="174" t="s">
        <v>2629</v>
      </c>
      <c r="AS1601" s="171"/>
      <c r="AT1601" s="171" t="str">
        <f t="shared" si="113"/>
        <v>400</v>
      </c>
      <c r="AU1601" s="255">
        <f t="shared" si="114"/>
        <v>22.222222222222221</v>
      </c>
      <c r="AV1601" s="172">
        <v>40</v>
      </c>
      <c r="AW1601" s="171">
        <v>1</v>
      </c>
      <c r="AX1601" s="171">
        <v>20</v>
      </c>
      <c r="AY1601" s="171">
        <v>30</v>
      </c>
      <c r="AZ1601" s="171">
        <v>0</v>
      </c>
      <c r="BA1601" s="89"/>
      <c r="BB1601" s="259"/>
      <c r="BC1601" s="190"/>
      <c r="BD1601" s="177"/>
      <c r="BE1601" s="177"/>
      <c r="BF1601" s="178" t="s">
        <v>2301</v>
      </c>
    </row>
    <row r="1602" spans="1:58" ht="15" customHeight="1">
      <c r="A1602" s="95">
        <v>1601</v>
      </c>
      <c r="B1602" s="211" t="s">
        <v>2158</v>
      </c>
      <c r="C1602" s="191" t="s">
        <v>2718</v>
      </c>
      <c r="D1602" s="171" t="s">
        <v>119</v>
      </c>
      <c r="E1602" s="463" t="s">
        <v>3377</v>
      </c>
      <c r="F1602" s="171">
        <v>2002</v>
      </c>
      <c r="G1602" s="171">
        <v>353</v>
      </c>
      <c r="H1602" s="172" t="s">
        <v>1738</v>
      </c>
      <c r="I1602" s="173" t="s">
        <v>1751</v>
      </c>
      <c r="J1602" s="212">
        <v>0.3</v>
      </c>
      <c r="K1602" s="213">
        <v>4</v>
      </c>
      <c r="L1602" s="91"/>
      <c r="M1602" s="89"/>
      <c r="N1602" s="89"/>
      <c r="O1602" s="172" t="s">
        <v>12</v>
      </c>
      <c r="P1602" s="92"/>
      <c r="Q1602" s="173" t="s">
        <v>523</v>
      </c>
      <c r="R1602" s="511"/>
      <c r="S1602" s="511"/>
      <c r="T1602" s="511"/>
      <c r="U1602" s="89"/>
      <c r="V1602" s="102">
        <v>0</v>
      </c>
      <c r="W1602" s="120">
        <v>0</v>
      </c>
      <c r="X1602" s="120">
        <v>0</v>
      </c>
      <c r="Y1602" s="120">
        <v>0</v>
      </c>
      <c r="Z1602" s="120">
        <v>0</v>
      </c>
      <c r="AA1602" s="17">
        <v>0</v>
      </c>
      <c r="AB1602" s="17">
        <v>0</v>
      </c>
      <c r="AC1602" s="17">
        <v>0</v>
      </c>
      <c r="AD1602" s="17">
        <v>0</v>
      </c>
      <c r="AE1602" s="17">
        <v>0</v>
      </c>
      <c r="AF1602" s="17">
        <v>0</v>
      </c>
      <c r="AG1602" s="17">
        <v>0</v>
      </c>
      <c r="AH1602" s="17">
        <v>0</v>
      </c>
      <c r="AI1602" s="17">
        <v>0</v>
      </c>
      <c r="AJ1602" s="17">
        <v>0</v>
      </c>
      <c r="AK1602" s="17">
        <v>0</v>
      </c>
      <c r="AL1602" s="32">
        <v>0</v>
      </c>
      <c r="AM1602" s="172">
        <v>33</v>
      </c>
      <c r="AN1602" s="89"/>
      <c r="AO1602" s="89"/>
      <c r="AP1602" s="783">
        <v>23000</v>
      </c>
      <c r="AQ1602" s="773" t="s">
        <v>271</v>
      </c>
      <c r="AR1602" s="174" t="s">
        <v>2629</v>
      </c>
      <c r="AS1602" s="171"/>
      <c r="AT1602" s="171" t="str">
        <f t="shared" si="113"/>
        <v>400</v>
      </c>
      <c r="AU1602" s="255">
        <f t="shared" si="114"/>
        <v>22.222222222222221</v>
      </c>
      <c r="AV1602" s="172">
        <v>40</v>
      </c>
      <c r="AW1602" s="171">
        <v>1</v>
      </c>
      <c r="AX1602" s="171">
        <v>20</v>
      </c>
      <c r="AY1602" s="171">
        <v>30</v>
      </c>
      <c r="AZ1602" s="171">
        <v>0</v>
      </c>
      <c r="BA1602" s="89"/>
      <c r="BB1602" s="259"/>
      <c r="BC1602" s="190"/>
      <c r="BD1602" s="177"/>
      <c r="BE1602" s="177"/>
      <c r="BF1602" s="178"/>
    </row>
    <row r="1603" spans="1:58" ht="15" customHeight="1">
      <c r="A1603" s="95">
        <v>1602</v>
      </c>
      <c r="B1603" s="211" t="s">
        <v>2159</v>
      </c>
      <c r="C1603" s="191" t="s">
        <v>2718</v>
      </c>
      <c r="D1603" s="171" t="s">
        <v>119</v>
      </c>
      <c r="E1603" s="463" t="s">
        <v>3377</v>
      </c>
      <c r="F1603" s="171">
        <v>2002</v>
      </c>
      <c r="G1603" s="171">
        <v>353</v>
      </c>
      <c r="H1603" s="172" t="s">
        <v>1738</v>
      </c>
      <c r="I1603" s="173" t="s">
        <v>1751</v>
      </c>
      <c r="J1603" s="212">
        <v>0.3</v>
      </c>
      <c r="K1603" s="213">
        <v>4</v>
      </c>
      <c r="L1603" s="91"/>
      <c r="M1603" s="89"/>
      <c r="N1603" s="89"/>
      <c r="O1603" s="172" t="s">
        <v>12</v>
      </c>
      <c r="P1603" s="92"/>
      <c r="Q1603" s="173" t="s">
        <v>523</v>
      </c>
      <c r="R1603" s="511"/>
      <c r="S1603" s="511"/>
      <c r="T1603" s="511"/>
      <c r="U1603" s="89"/>
      <c r="V1603" s="102">
        <v>0</v>
      </c>
      <c r="W1603" s="120">
        <v>0</v>
      </c>
      <c r="X1603" s="120">
        <v>0</v>
      </c>
      <c r="Y1603" s="120">
        <v>0</v>
      </c>
      <c r="Z1603" s="120">
        <v>0</v>
      </c>
      <c r="AA1603" s="17">
        <v>0</v>
      </c>
      <c r="AB1603" s="17">
        <v>0</v>
      </c>
      <c r="AC1603" s="17">
        <v>0</v>
      </c>
      <c r="AD1603" s="17">
        <v>0</v>
      </c>
      <c r="AE1603" s="17">
        <v>0</v>
      </c>
      <c r="AF1603" s="17">
        <v>0</v>
      </c>
      <c r="AG1603" s="17">
        <v>0</v>
      </c>
      <c r="AH1603" s="17">
        <v>1</v>
      </c>
      <c r="AI1603" s="17">
        <v>0</v>
      </c>
      <c r="AJ1603" s="17">
        <v>0</v>
      </c>
      <c r="AK1603" s="17">
        <v>0</v>
      </c>
      <c r="AL1603" s="32">
        <v>0</v>
      </c>
      <c r="AM1603" s="172">
        <v>33</v>
      </c>
      <c r="AN1603" s="89"/>
      <c r="AO1603" s="89"/>
      <c r="AP1603" s="783">
        <v>25500</v>
      </c>
      <c r="AQ1603" s="773" t="s">
        <v>271</v>
      </c>
      <c r="AR1603" s="174" t="s">
        <v>2629</v>
      </c>
      <c r="AS1603" s="171"/>
      <c r="AT1603" s="171" t="str">
        <f t="shared" si="113"/>
        <v>400</v>
      </c>
      <c r="AU1603" s="255">
        <f t="shared" si="114"/>
        <v>22.222222222222221</v>
      </c>
      <c r="AV1603" s="172">
        <v>40</v>
      </c>
      <c r="AW1603" s="171">
        <v>1</v>
      </c>
      <c r="AX1603" s="171">
        <v>20</v>
      </c>
      <c r="AY1603" s="171">
        <v>30</v>
      </c>
      <c r="AZ1603" s="171">
        <v>0</v>
      </c>
      <c r="BA1603" s="89"/>
      <c r="BB1603" s="259"/>
      <c r="BC1603" s="190"/>
      <c r="BD1603" s="177"/>
      <c r="BE1603" s="177"/>
      <c r="BF1603" s="178" t="s">
        <v>2301</v>
      </c>
    </row>
    <row r="1604" spans="1:58" ht="15" customHeight="1">
      <c r="A1604" s="95">
        <v>1603</v>
      </c>
      <c r="B1604" s="211" t="s">
        <v>2160</v>
      </c>
      <c r="C1604" s="191" t="s">
        <v>2718</v>
      </c>
      <c r="D1604" s="171" t="s">
        <v>119</v>
      </c>
      <c r="E1604" s="463" t="s">
        <v>3377</v>
      </c>
      <c r="F1604" s="171">
        <v>2002</v>
      </c>
      <c r="G1604" s="171">
        <v>353</v>
      </c>
      <c r="H1604" s="172" t="s">
        <v>1738</v>
      </c>
      <c r="I1604" s="173" t="s">
        <v>1751</v>
      </c>
      <c r="J1604" s="212">
        <v>0.5</v>
      </c>
      <c r="K1604" s="213">
        <v>4</v>
      </c>
      <c r="L1604" s="91"/>
      <c r="M1604" s="89"/>
      <c r="N1604" s="89"/>
      <c r="O1604" s="172" t="s">
        <v>12</v>
      </c>
      <c r="P1604" s="511"/>
      <c r="Q1604" s="173" t="s">
        <v>523</v>
      </c>
      <c r="R1604" s="511"/>
      <c r="S1604" s="511"/>
      <c r="T1604" s="511"/>
      <c r="U1604" s="89"/>
      <c r="V1604" s="102">
        <v>0</v>
      </c>
      <c r="W1604" s="120">
        <v>0</v>
      </c>
      <c r="X1604" s="120">
        <v>0</v>
      </c>
      <c r="Y1604" s="120">
        <v>0</v>
      </c>
      <c r="Z1604" s="120">
        <v>0</v>
      </c>
      <c r="AA1604" s="17">
        <v>0</v>
      </c>
      <c r="AB1604" s="17">
        <v>0</v>
      </c>
      <c r="AC1604" s="17">
        <v>0</v>
      </c>
      <c r="AD1604" s="17">
        <v>0</v>
      </c>
      <c r="AE1604" s="17">
        <v>0</v>
      </c>
      <c r="AF1604" s="17">
        <v>0</v>
      </c>
      <c r="AG1604" s="17">
        <v>0</v>
      </c>
      <c r="AH1604" s="17">
        <v>0</v>
      </c>
      <c r="AI1604" s="17">
        <v>0</v>
      </c>
      <c r="AJ1604" s="17">
        <v>0</v>
      </c>
      <c r="AK1604" s="17">
        <v>0</v>
      </c>
      <c r="AL1604" s="32">
        <v>0</v>
      </c>
      <c r="AM1604" s="172">
        <v>33</v>
      </c>
      <c r="AN1604" s="89"/>
      <c r="AO1604" s="89"/>
      <c r="AP1604" s="783">
        <v>23000</v>
      </c>
      <c r="AQ1604" s="773" t="s">
        <v>271</v>
      </c>
      <c r="AR1604" s="174" t="s">
        <v>2629</v>
      </c>
      <c r="AS1604" s="171"/>
      <c r="AT1604" s="171" t="str">
        <f t="shared" si="113"/>
        <v>400</v>
      </c>
      <c r="AU1604" s="255">
        <f t="shared" si="114"/>
        <v>22.222222222222221</v>
      </c>
      <c r="AV1604" s="172">
        <v>40</v>
      </c>
      <c r="AW1604" s="171">
        <v>1</v>
      </c>
      <c r="AX1604" s="171">
        <v>20</v>
      </c>
      <c r="AY1604" s="171">
        <v>30</v>
      </c>
      <c r="AZ1604" s="171">
        <v>0</v>
      </c>
      <c r="BA1604" s="89"/>
      <c r="BB1604" s="259"/>
      <c r="BC1604" s="190"/>
      <c r="BD1604" s="177"/>
      <c r="BE1604" s="177"/>
      <c r="BF1604" s="178"/>
    </row>
    <row r="1605" spans="1:58" ht="15" customHeight="1">
      <c r="A1605" s="95">
        <v>1604</v>
      </c>
      <c r="B1605" s="211" t="s">
        <v>2161</v>
      </c>
      <c r="C1605" s="191" t="s">
        <v>2718</v>
      </c>
      <c r="D1605" s="171" t="s">
        <v>119</v>
      </c>
      <c r="E1605" s="463" t="s">
        <v>3377</v>
      </c>
      <c r="F1605" s="171">
        <v>2002</v>
      </c>
      <c r="G1605" s="171">
        <v>353</v>
      </c>
      <c r="H1605" s="172" t="s">
        <v>1738</v>
      </c>
      <c r="I1605" s="173" t="s">
        <v>1751</v>
      </c>
      <c r="J1605" s="212">
        <v>0.5</v>
      </c>
      <c r="K1605" s="213">
        <v>4</v>
      </c>
      <c r="L1605" s="91"/>
      <c r="M1605" s="89"/>
      <c r="N1605" s="89"/>
      <c r="O1605" s="172" t="s">
        <v>12</v>
      </c>
      <c r="P1605" s="511"/>
      <c r="Q1605" s="173" t="s">
        <v>523</v>
      </c>
      <c r="R1605" s="511"/>
      <c r="S1605" s="511"/>
      <c r="T1605" s="511"/>
      <c r="U1605" s="89"/>
      <c r="V1605" s="102">
        <v>0</v>
      </c>
      <c r="W1605" s="120">
        <v>0</v>
      </c>
      <c r="X1605" s="120">
        <v>0</v>
      </c>
      <c r="Y1605" s="120">
        <v>0</v>
      </c>
      <c r="Z1605" s="120">
        <v>0</v>
      </c>
      <c r="AA1605" s="17">
        <v>0</v>
      </c>
      <c r="AB1605" s="17">
        <v>0</v>
      </c>
      <c r="AC1605" s="17">
        <v>0</v>
      </c>
      <c r="AD1605" s="17">
        <v>0</v>
      </c>
      <c r="AE1605" s="17">
        <v>0</v>
      </c>
      <c r="AF1605" s="17">
        <v>0</v>
      </c>
      <c r="AG1605" s="17">
        <v>0</v>
      </c>
      <c r="AH1605" s="17">
        <v>1</v>
      </c>
      <c r="AI1605" s="17">
        <v>0</v>
      </c>
      <c r="AJ1605" s="17">
        <v>0</v>
      </c>
      <c r="AK1605" s="17">
        <v>0</v>
      </c>
      <c r="AL1605" s="32">
        <v>0</v>
      </c>
      <c r="AM1605" s="172">
        <v>33</v>
      </c>
      <c r="AN1605" s="89"/>
      <c r="AO1605" s="89"/>
      <c r="AP1605" s="783">
        <v>25500</v>
      </c>
      <c r="AQ1605" s="773" t="s">
        <v>271</v>
      </c>
      <c r="AR1605" s="174" t="s">
        <v>2629</v>
      </c>
      <c r="AS1605" s="171"/>
      <c r="AT1605" s="171" t="str">
        <f t="shared" si="113"/>
        <v>400</v>
      </c>
      <c r="AU1605" s="255">
        <f t="shared" si="114"/>
        <v>22.222222222222221</v>
      </c>
      <c r="AV1605" s="172">
        <v>40</v>
      </c>
      <c r="AW1605" s="171">
        <v>1</v>
      </c>
      <c r="AX1605" s="171">
        <v>20</v>
      </c>
      <c r="AY1605" s="171">
        <v>30</v>
      </c>
      <c r="AZ1605" s="171">
        <v>0</v>
      </c>
      <c r="BA1605" s="89"/>
      <c r="BB1605" s="259"/>
      <c r="BC1605" s="190"/>
      <c r="BD1605" s="177"/>
      <c r="BE1605" s="177"/>
      <c r="BF1605" s="178" t="s">
        <v>2301</v>
      </c>
    </row>
    <row r="1606" spans="1:58">
      <c r="A1606" s="95">
        <v>1605</v>
      </c>
      <c r="B1606" s="211" t="s">
        <v>2162</v>
      </c>
      <c r="C1606" s="191" t="s">
        <v>2718</v>
      </c>
      <c r="D1606" s="171" t="s">
        <v>119</v>
      </c>
      <c r="E1606" s="463" t="s">
        <v>3377</v>
      </c>
      <c r="F1606" s="171">
        <v>1998</v>
      </c>
      <c r="G1606" s="171">
        <v>354</v>
      </c>
      <c r="H1606" s="172" t="s">
        <v>1738</v>
      </c>
      <c r="I1606" s="173" t="s">
        <v>1739</v>
      </c>
      <c r="J1606" s="212">
        <v>0.3</v>
      </c>
      <c r="K1606" s="213">
        <v>3.04</v>
      </c>
      <c r="L1606" s="91"/>
      <c r="M1606" s="174">
        <v>484.9650725416443</v>
      </c>
      <c r="N1606" s="174"/>
      <c r="O1606" s="172" t="s">
        <v>12</v>
      </c>
      <c r="P1606" s="511"/>
      <c r="Q1606" s="173" t="s">
        <v>523</v>
      </c>
      <c r="R1606" s="65" t="s">
        <v>2308</v>
      </c>
      <c r="S1606" s="511"/>
      <c r="T1606" s="214" t="s">
        <v>2319</v>
      </c>
      <c r="U1606" s="171" t="s">
        <v>2308</v>
      </c>
      <c r="V1606" s="102">
        <v>0</v>
      </c>
      <c r="W1606" s="120">
        <v>0</v>
      </c>
      <c r="X1606" s="120">
        <v>0</v>
      </c>
      <c r="Y1606" s="120">
        <v>0</v>
      </c>
      <c r="Z1606" s="120">
        <v>0</v>
      </c>
      <c r="AA1606" s="17">
        <v>0</v>
      </c>
      <c r="AB1606" s="17">
        <v>0</v>
      </c>
      <c r="AC1606" s="17">
        <v>0</v>
      </c>
      <c r="AD1606" s="17">
        <v>0</v>
      </c>
      <c r="AE1606" s="17">
        <v>0</v>
      </c>
      <c r="AF1606" s="17">
        <v>0</v>
      </c>
      <c r="AG1606" s="33">
        <v>1.2500000000000001E-2</v>
      </c>
      <c r="AH1606" s="17">
        <v>0</v>
      </c>
      <c r="AI1606" s="17">
        <v>0</v>
      </c>
      <c r="AJ1606" s="17">
        <v>0</v>
      </c>
      <c r="AK1606" s="17">
        <v>0</v>
      </c>
      <c r="AL1606" s="32">
        <v>0</v>
      </c>
      <c r="AM1606" s="172">
        <v>63.3</v>
      </c>
      <c r="AN1606" s="89"/>
      <c r="AO1606" s="89"/>
      <c r="AP1606" s="783">
        <v>34500</v>
      </c>
      <c r="AQ1606" s="17" t="s">
        <v>271</v>
      </c>
      <c r="AR1606" s="174">
        <v>100</v>
      </c>
      <c r="AS1606" s="171"/>
      <c r="AT1606" s="171">
        <v>400</v>
      </c>
      <c r="AU1606" s="255">
        <f t="shared" si="114"/>
        <v>22.222222222222221</v>
      </c>
      <c r="AV1606" s="172">
        <v>99</v>
      </c>
      <c r="AW1606" s="171">
        <v>1</v>
      </c>
      <c r="AX1606" s="171">
        <v>30</v>
      </c>
      <c r="AY1606" s="171">
        <v>30</v>
      </c>
      <c r="AZ1606" s="89"/>
      <c r="BA1606" s="175">
        <v>99</v>
      </c>
      <c r="BB1606" s="259"/>
      <c r="BC1606" s="190"/>
      <c r="BD1606" s="177"/>
      <c r="BE1606" s="177"/>
      <c r="BF1606" s="178"/>
    </row>
    <row r="1607" spans="1:58" ht="15" customHeight="1">
      <c r="A1607" s="95">
        <v>1606</v>
      </c>
      <c r="B1607" s="211" t="s">
        <v>2163</v>
      </c>
      <c r="C1607" s="191" t="s">
        <v>2718</v>
      </c>
      <c r="D1607" s="171" t="s">
        <v>119</v>
      </c>
      <c r="E1607" s="463" t="s">
        <v>3377</v>
      </c>
      <c r="F1607" s="171">
        <v>1998</v>
      </c>
      <c r="G1607" s="171">
        <v>354</v>
      </c>
      <c r="H1607" s="172" t="s">
        <v>1738</v>
      </c>
      <c r="I1607" s="173" t="s">
        <v>1751</v>
      </c>
      <c r="J1607" s="212">
        <v>0.3</v>
      </c>
      <c r="K1607" s="213">
        <v>3.04</v>
      </c>
      <c r="L1607" s="91"/>
      <c r="M1607" s="174">
        <v>484.9650725416443</v>
      </c>
      <c r="N1607" s="174"/>
      <c r="O1607" s="172" t="s">
        <v>12</v>
      </c>
      <c r="P1607" s="511"/>
      <c r="Q1607" s="173" t="s">
        <v>523</v>
      </c>
      <c r="R1607" s="506" t="s">
        <v>2308</v>
      </c>
      <c r="S1607" s="511"/>
      <c r="T1607" s="214" t="s">
        <v>2319</v>
      </c>
      <c r="U1607" s="171" t="s">
        <v>2308</v>
      </c>
      <c r="V1607" s="102">
        <v>0</v>
      </c>
      <c r="W1607" s="120">
        <v>0</v>
      </c>
      <c r="X1607" s="120">
        <v>0</v>
      </c>
      <c r="Y1607" s="120">
        <v>0</v>
      </c>
      <c r="Z1607" s="120">
        <v>0</v>
      </c>
      <c r="AA1607" s="17">
        <v>0</v>
      </c>
      <c r="AB1607" s="17">
        <v>0</v>
      </c>
      <c r="AC1607" s="17">
        <v>0</v>
      </c>
      <c r="AD1607" s="17">
        <v>0</v>
      </c>
      <c r="AE1607" s="17">
        <v>0</v>
      </c>
      <c r="AF1607" s="17">
        <v>0</v>
      </c>
      <c r="AG1607" s="33">
        <v>1.2500000000000001E-2</v>
      </c>
      <c r="AH1607" s="17">
        <v>0</v>
      </c>
      <c r="AI1607" s="17">
        <v>0</v>
      </c>
      <c r="AJ1607" s="17">
        <v>0</v>
      </c>
      <c r="AK1607" s="17">
        <v>0</v>
      </c>
      <c r="AL1607" s="32">
        <v>0</v>
      </c>
      <c r="AM1607" s="172">
        <v>63.3</v>
      </c>
      <c r="AN1607" s="89"/>
      <c r="AO1607" s="89"/>
      <c r="AP1607" s="783">
        <v>34500</v>
      </c>
      <c r="AQ1607" s="17" t="s">
        <v>271</v>
      </c>
      <c r="AR1607" s="174">
        <v>100</v>
      </c>
      <c r="AS1607" s="171"/>
      <c r="AT1607" s="171">
        <v>400</v>
      </c>
      <c r="AU1607" s="255">
        <f t="shared" si="114"/>
        <v>22.222222222222221</v>
      </c>
      <c r="AV1607" s="172">
        <v>99</v>
      </c>
      <c r="AW1607" s="171">
        <v>1</v>
      </c>
      <c r="AX1607" s="171">
        <v>30</v>
      </c>
      <c r="AY1607" s="171">
        <v>30</v>
      </c>
      <c r="AZ1607" s="89"/>
      <c r="BA1607" s="175">
        <v>40</v>
      </c>
      <c r="BB1607" s="259"/>
      <c r="BC1607" s="190"/>
      <c r="BD1607" s="177"/>
      <c r="BE1607" s="177"/>
      <c r="BF1607" s="178"/>
    </row>
    <row r="1608" spans="1:58">
      <c r="A1608" s="95">
        <v>1607</v>
      </c>
      <c r="B1608" s="211" t="s">
        <v>2164</v>
      </c>
      <c r="C1608" s="191" t="s">
        <v>2718</v>
      </c>
      <c r="D1608" s="171" t="s">
        <v>119</v>
      </c>
      <c r="E1608" s="463" t="s">
        <v>3377</v>
      </c>
      <c r="F1608" s="171">
        <v>1998</v>
      </c>
      <c r="G1608" s="171">
        <v>354</v>
      </c>
      <c r="H1608" s="172" t="s">
        <v>1738</v>
      </c>
      <c r="I1608" s="173" t="s">
        <v>1739</v>
      </c>
      <c r="J1608" s="212">
        <v>0.4</v>
      </c>
      <c r="K1608" s="213">
        <v>3.54</v>
      </c>
      <c r="L1608" s="91"/>
      <c r="M1608" s="174">
        <v>422.52808988764048</v>
      </c>
      <c r="N1608" s="174"/>
      <c r="O1608" s="172" t="s">
        <v>12</v>
      </c>
      <c r="P1608" s="511"/>
      <c r="Q1608" s="173" t="s">
        <v>523</v>
      </c>
      <c r="R1608" s="65" t="s">
        <v>2308</v>
      </c>
      <c r="S1608" s="511"/>
      <c r="T1608" s="214" t="s">
        <v>2319</v>
      </c>
      <c r="U1608" s="171" t="s">
        <v>2308</v>
      </c>
      <c r="V1608" s="102">
        <v>0</v>
      </c>
      <c r="W1608" s="120">
        <v>0</v>
      </c>
      <c r="X1608" s="120">
        <v>0</v>
      </c>
      <c r="Y1608" s="120">
        <v>0</v>
      </c>
      <c r="Z1608" s="120">
        <v>0</v>
      </c>
      <c r="AA1608" s="17">
        <v>0</v>
      </c>
      <c r="AB1608" s="17">
        <v>0</v>
      </c>
      <c r="AC1608" s="17">
        <v>0</v>
      </c>
      <c r="AD1608" s="17">
        <v>0</v>
      </c>
      <c r="AE1608" s="17">
        <v>0</v>
      </c>
      <c r="AF1608" s="17">
        <v>0</v>
      </c>
      <c r="AG1608" s="17">
        <v>0</v>
      </c>
      <c r="AH1608" s="17">
        <v>0</v>
      </c>
      <c r="AI1608" s="17">
        <v>0</v>
      </c>
      <c r="AJ1608" s="17">
        <v>0</v>
      </c>
      <c r="AK1608" s="17">
        <v>0</v>
      </c>
      <c r="AL1608" s="32">
        <v>0</v>
      </c>
      <c r="AM1608" s="172">
        <v>45.2</v>
      </c>
      <c r="AN1608" s="89"/>
      <c r="AO1608" s="89"/>
      <c r="AP1608" s="783">
        <v>32100</v>
      </c>
      <c r="AQ1608" s="17" t="s">
        <v>271</v>
      </c>
      <c r="AR1608" s="174">
        <v>100</v>
      </c>
      <c r="AS1608" s="171"/>
      <c r="AT1608" s="171">
        <v>400</v>
      </c>
      <c r="AU1608" s="255">
        <f t="shared" si="114"/>
        <v>22.222222222222221</v>
      </c>
      <c r="AV1608" s="172">
        <v>99</v>
      </c>
      <c r="AW1608" s="171">
        <v>1</v>
      </c>
      <c r="AX1608" s="171">
        <v>30</v>
      </c>
      <c r="AY1608" s="171">
        <v>30</v>
      </c>
      <c r="AZ1608" s="89"/>
      <c r="BA1608" s="175">
        <v>99</v>
      </c>
      <c r="BB1608" s="259"/>
      <c r="BC1608" s="190"/>
      <c r="BD1608" s="177"/>
      <c r="BE1608" s="177"/>
      <c r="BF1608" s="178"/>
    </row>
    <row r="1609" spans="1:58">
      <c r="A1609" s="95">
        <v>1608</v>
      </c>
      <c r="B1609" s="211" t="s">
        <v>2165</v>
      </c>
      <c r="C1609" s="191" t="s">
        <v>2718</v>
      </c>
      <c r="D1609" s="171" t="s">
        <v>119</v>
      </c>
      <c r="E1609" s="463" t="s">
        <v>3377</v>
      </c>
      <c r="F1609" s="171">
        <v>1998</v>
      </c>
      <c r="G1609" s="171">
        <v>354</v>
      </c>
      <c r="H1609" s="172" t="s">
        <v>1738</v>
      </c>
      <c r="I1609" s="173" t="s">
        <v>1739</v>
      </c>
      <c r="J1609" s="212">
        <v>0.4</v>
      </c>
      <c r="K1609" s="213">
        <v>3.54</v>
      </c>
      <c r="L1609" s="91"/>
      <c r="M1609" s="174">
        <v>422.52808988764048</v>
      </c>
      <c r="N1609" s="174"/>
      <c r="O1609" s="172" t="s">
        <v>12</v>
      </c>
      <c r="P1609" s="511"/>
      <c r="Q1609" s="173" t="s">
        <v>523</v>
      </c>
      <c r="R1609" s="65" t="s">
        <v>2308</v>
      </c>
      <c r="S1609" s="511"/>
      <c r="T1609" s="214" t="s">
        <v>2319</v>
      </c>
      <c r="U1609" s="171" t="s">
        <v>2308</v>
      </c>
      <c r="V1609" s="102">
        <v>0</v>
      </c>
      <c r="W1609" s="120">
        <v>0</v>
      </c>
      <c r="X1609" s="120">
        <v>0</v>
      </c>
      <c r="Y1609" s="120">
        <v>0</v>
      </c>
      <c r="Z1609" s="120">
        <v>0</v>
      </c>
      <c r="AA1609" s="17">
        <v>0</v>
      </c>
      <c r="AB1609" s="17">
        <v>0</v>
      </c>
      <c r="AC1609" s="17">
        <v>0</v>
      </c>
      <c r="AD1609" s="17">
        <v>0</v>
      </c>
      <c r="AE1609" s="17">
        <v>0</v>
      </c>
      <c r="AF1609" s="17">
        <v>0</v>
      </c>
      <c r="AG1609" s="17">
        <v>0</v>
      </c>
      <c r="AH1609" s="17">
        <v>2</v>
      </c>
      <c r="AI1609" s="17">
        <v>0</v>
      </c>
      <c r="AJ1609" s="17">
        <v>0</v>
      </c>
      <c r="AK1609" s="17">
        <v>0</v>
      </c>
      <c r="AL1609" s="32">
        <v>0</v>
      </c>
      <c r="AM1609" s="172">
        <v>44.5</v>
      </c>
      <c r="AN1609" s="89"/>
      <c r="AO1609" s="89"/>
      <c r="AP1609" s="783">
        <v>30700</v>
      </c>
      <c r="AQ1609" s="17" t="s">
        <v>271</v>
      </c>
      <c r="AR1609" s="174">
        <v>100</v>
      </c>
      <c r="AS1609" s="171"/>
      <c r="AT1609" s="171">
        <v>400</v>
      </c>
      <c r="AU1609" s="255">
        <f t="shared" si="114"/>
        <v>22.222222222222221</v>
      </c>
      <c r="AV1609" s="172">
        <v>99</v>
      </c>
      <c r="AW1609" s="171">
        <v>1</v>
      </c>
      <c r="AX1609" s="171">
        <v>30</v>
      </c>
      <c r="AY1609" s="171">
        <v>30</v>
      </c>
      <c r="AZ1609" s="89"/>
      <c r="BA1609" s="175">
        <v>99</v>
      </c>
      <c r="BB1609" s="259"/>
      <c r="BC1609" s="190"/>
      <c r="BD1609" s="177"/>
      <c r="BE1609" s="177"/>
      <c r="BF1609" s="178"/>
    </row>
    <row r="1610" spans="1:58">
      <c r="A1610" s="95">
        <v>1609</v>
      </c>
      <c r="B1610" s="211" t="s">
        <v>2166</v>
      </c>
      <c r="C1610" s="191" t="s">
        <v>2718</v>
      </c>
      <c r="D1610" s="171" t="s">
        <v>119</v>
      </c>
      <c r="E1610" s="463" t="s">
        <v>3377</v>
      </c>
      <c r="F1610" s="171">
        <v>1998</v>
      </c>
      <c r="G1610" s="171">
        <v>354</v>
      </c>
      <c r="H1610" s="172" t="s">
        <v>1738</v>
      </c>
      <c r="I1610" s="173" t="s">
        <v>1739</v>
      </c>
      <c r="J1610" s="212">
        <v>0.5</v>
      </c>
      <c r="K1610" s="213">
        <v>4</v>
      </c>
      <c r="L1610" s="91"/>
      <c r="M1610" s="174">
        <v>376.05</v>
      </c>
      <c r="N1610" s="174"/>
      <c r="O1610" s="172" t="s">
        <v>12</v>
      </c>
      <c r="P1610" s="511"/>
      <c r="Q1610" s="173" t="s">
        <v>523</v>
      </c>
      <c r="R1610" s="65" t="s">
        <v>2308</v>
      </c>
      <c r="S1610" s="511"/>
      <c r="T1610" s="214" t="s">
        <v>2319</v>
      </c>
      <c r="U1610" s="171" t="s">
        <v>2308</v>
      </c>
      <c r="V1610" s="102">
        <v>0</v>
      </c>
      <c r="W1610" s="120">
        <v>0</v>
      </c>
      <c r="X1610" s="120">
        <v>0</v>
      </c>
      <c r="Y1610" s="120">
        <v>0</v>
      </c>
      <c r="Z1610" s="120">
        <v>0</v>
      </c>
      <c r="AA1610" s="17">
        <v>0</v>
      </c>
      <c r="AB1610" s="17">
        <v>0</v>
      </c>
      <c r="AC1610" s="17">
        <v>0</v>
      </c>
      <c r="AD1610" s="17">
        <v>0</v>
      </c>
      <c r="AE1610" s="17">
        <v>0</v>
      </c>
      <c r="AF1610" s="17">
        <v>0</v>
      </c>
      <c r="AG1610" s="17">
        <v>0</v>
      </c>
      <c r="AH1610" s="17">
        <v>0</v>
      </c>
      <c r="AI1610" s="17">
        <v>0</v>
      </c>
      <c r="AJ1610" s="17">
        <v>0</v>
      </c>
      <c r="AK1610" s="17">
        <v>0</v>
      </c>
      <c r="AL1610" s="32">
        <v>0</v>
      </c>
      <c r="AM1610" s="172">
        <v>35.9</v>
      </c>
      <c r="AN1610" s="89"/>
      <c r="AO1610" s="89"/>
      <c r="AP1610" s="88"/>
      <c r="AQ1610" s="17" t="s">
        <v>271</v>
      </c>
      <c r="AR1610" s="174">
        <v>100</v>
      </c>
      <c r="AS1610" s="171"/>
      <c r="AT1610" s="171">
        <v>400</v>
      </c>
      <c r="AU1610" s="255">
        <f t="shared" si="114"/>
        <v>22.222222222222221</v>
      </c>
      <c r="AV1610" s="172">
        <v>99</v>
      </c>
      <c r="AW1610" s="171">
        <v>1</v>
      </c>
      <c r="AX1610" s="171">
        <v>30</v>
      </c>
      <c r="AY1610" s="171">
        <v>30</v>
      </c>
      <c r="AZ1610" s="89"/>
      <c r="BA1610" s="175">
        <v>99</v>
      </c>
      <c r="BB1610" s="259"/>
      <c r="BC1610" s="190"/>
      <c r="BD1610" s="177"/>
      <c r="BE1610" s="177"/>
      <c r="BF1610" s="178"/>
    </row>
    <row r="1611" spans="1:58">
      <c r="A1611" s="95">
        <v>1610</v>
      </c>
      <c r="B1611" s="211" t="s">
        <v>2167</v>
      </c>
      <c r="C1611" s="191" t="s">
        <v>2718</v>
      </c>
      <c r="D1611" s="171" t="s">
        <v>119</v>
      </c>
      <c r="E1611" s="463" t="s">
        <v>3377</v>
      </c>
      <c r="F1611" s="171">
        <v>1998</v>
      </c>
      <c r="G1611" s="171">
        <v>354</v>
      </c>
      <c r="H1611" s="172" t="s">
        <v>1738</v>
      </c>
      <c r="I1611" s="173" t="s">
        <v>1739</v>
      </c>
      <c r="J1611" s="212">
        <v>0.47499999999999998</v>
      </c>
      <c r="K1611" s="213">
        <v>4</v>
      </c>
      <c r="L1611" s="91"/>
      <c r="M1611" s="174">
        <v>376.05</v>
      </c>
      <c r="N1611" s="174"/>
      <c r="O1611" s="172" t="s">
        <v>12</v>
      </c>
      <c r="P1611" s="511"/>
      <c r="Q1611" s="173" t="s">
        <v>523</v>
      </c>
      <c r="R1611" s="65" t="s">
        <v>2308</v>
      </c>
      <c r="S1611" s="511"/>
      <c r="T1611" s="214" t="s">
        <v>2319</v>
      </c>
      <c r="U1611" s="171" t="s">
        <v>2308</v>
      </c>
      <c r="V1611" s="102">
        <v>0</v>
      </c>
      <c r="W1611" s="120">
        <v>0</v>
      </c>
      <c r="X1611" s="120">
        <v>0</v>
      </c>
      <c r="Y1611" s="120">
        <v>0</v>
      </c>
      <c r="Z1611" s="120">
        <v>0</v>
      </c>
      <c r="AA1611" s="17">
        <v>0</v>
      </c>
      <c r="AB1611" s="17">
        <v>0</v>
      </c>
      <c r="AC1611" s="17">
        <v>0</v>
      </c>
      <c r="AD1611" s="17">
        <v>0</v>
      </c>
      <c r="AE1611" s="17">
        <v>0</v>
      </c>
      <c r="AF1611" s="17">
        <v>0</v>
      </c>
      <c r="AG1611" s="17">
        <v>0</v>
      </c>
      <c r="AH1611" s="17">
        <v>2.5</v>
      </c>
      <c r="AI1611" s="17">
        <v>0</v>
      </c>
      <c r="AJ1611" s="17">
        <v>0</v>
      </c>
      <c r="AK1611" s="17">
        <v>0</v>
      </c>
      <c r="AL1611" s="32">
        <v>0</v>
      </c>
      <c r="AM1611" s="172">
        <v>35.700000000000003</v>
      </c>
      <c r="AN1611" s="89"/>
      <c r="AO1611" s="89"/>
      <c r="AP1611" s="88"/>
      <c r="AQ1611" s="17" t="s">
        <v>271</v>
      </c>
      <c r="AR1611" s="174">
        <v>100</v>
      </c>
      <c r="AS1611" s="171"/>
      <c r="AT1611" s="171">
        <v>400</v>
      </c>
      <c r="AU1611" s="255">
        <f t="shared" si="114"/>
        <v>22.222222222222221</v>
      </c>
      <c r="AV1611" s="172">
        <v>99</v>
      </c>
      <c r="AW1611" s="171">
        <v>1</v>
      </c>
      <c r="AX1611" s="171">
        <v>30</v>
      </c>
      <c r="AY1611" s="171">
        <v>30</v>
      </c>
      <c r="AZ1611" s="89"/>
      <c r="BA1611" s="175">
        <v>99</v>
      </c>
      <c r="BB1611" s="259"/>
      <c r="BC1611" s="190"/>
      <c r="BD1611" s="177"/>
      <c r="BE1611" s="177"/>
      <c r="BF1611" s="178"/>
    </row>
    <row r="1612" spans="1:58">
      <c r="A1612" s="95">
        <v>1611</v>
      </c>
      <c r="B1612" s="211" t="s">
        <v>2168</v>
      </c>
      <c r="C1612" s="191" t="s">
        <v>2718</v>
      </c>
      <c r="D1612" s="171" t="s">
        <v>119</v>
      </c>
      <c r="E1612" s="463" t="s">
        <v>3377</v>
      </c>
      <c r="F1612" s="171">
        <v>1998</v>
      </c>
      <c r="G1612" s="171">
        <v>354</v>
      </c>
      <c r="H1612" s="172" t="s">
        <v>1738</v>
      </c>
      <c r="I1612" s="173" t="s">
        <v>1739</v>
      </c>
      <c r="J1612" s="212">
        <v>0.3</v>
      </c>
      <c r="K1612" s="213">
        <v>3.04</v>
      </c>
      <c r="L1612" s="91"/>
      <c r="M1612" s="174">
        <v>484.9650725416443</v>
      </c>
      <c r="N1612" s="174"/>
      <c r="O1612" s="172" t="s">
        <v>12</v>
      </c>
      <c r="P1612" s="511"/>
      <c r="Q1612" s="173" t="s">
        <v>523</v>
      </c>
      <c r="R1612" s="65" t="s">
        <v>2308</v>
      </c>
      <c r="S1612" s="511"/>
      <c r="T1612" s="214" t="s">
        <v>2319</v>
      </c>
      <c r="U1612" s="171" t="s">
        <v>2308</v>
      </c>
      <c r="V1612" s="102">
        <v>0</v>
      </c>
      <c r="W1612" s="120">
        <v>0</v>
      </c>
      <c r="X1612" s="120">
        <v>0</v>
      </c>
      <c r="Y1612" s="120">
        <v>0</v>
      </c>
      <c r="Z1612" s="120">
        <v>0</v>
      </c>
      <c r="AA1612" s="17">
        <v>0</v>
      </c>
      <c r="AB1612" s="17">
        <v>0</v>
      </c>
      <c r="AC1612" s="17">
        <v>0</v>
      </c>
      <c r="AD1612" s="17">
        <v>0</v>
      </c>
      <c r="AE1612" s="17">
        <v>0</v>
      </c>
      <c r="AF1612" s="17">
        <v>0</v>
      </c>
      <c r="AG1612" s="17">
        <v>1.2500000000000001E-2</v>
      </c>
      <c r="AH1612" s="17">
        <v>0</v>
      </c>
      <c r="AI1612" s="17">
        <v>0</v>
      </c>
      <c r="AJ1612" s="17">
        <v>0</v>
      </c>
      <c r="AK1612" s="17">
        <v>0</v>
      </c>
      <c r="AL1612" s="32">
        <v>0</v>
      </c>
      <c r="AM1612" s="172">
        <v>63.3</v>
      </c>
      <c r="AN1612" s="89"/>
      <c r="AO1612" s="89"/>
      <c r="AP1612" s="783">
        <v>34500</v>
      </c>
      <c r="AQ1612" s="17" t="s">
        <v>271</v>
      </c>
      <c r="AR1612" s="174">
        <v>100</v>
      </c>
      <c r="AS1612" s="171"/>
      <c r="AT1612" s="171">
        <v>400</v>
      </c>
      <c r="AU1612" s="255">
        <f t="shared" si="114"/>
        <v>22.222222222222221</v>
      </c>
      <c r="AV1612" s="172">
        <v>99</v>
      </c>
      <c r="AW1612" s="171">
        <v>1</v>
      </c>
      <c r="AX1612" s="171">
        <v>30</v>
      </c>
      <c r="AY1612" s="171">
        <v>30</v>
      </c>
      <c r="AZ1612" s="89"/>
      <c r="BA1612" s="175">
        <v>99</v>
      </c>
      <c r="BB1612" s="259"/>
      <c r="BC1612" s="190"/>
      <c r="BD1612" s="177"/>
      <c r="BE1612" s="177"/>
      <c r="BF1612" s="178"/>
    </row>
    <row r="1613" spans="1:58">
      <c r="A1613" s="95">
        <v>1612</v>
      </c>
      <c r="B1613" s="211" t="s">
        <v>2169</v>
      </c>
      <c r="C1613" s="191" t="s">
        <v>2718</v>
      </c>
      <c r="D1613" s="171" t="s">
        <v>119</v>
      </c>
      <c r="E1613" s="463" t="s">
        <v>3377</v>
      </c>
      <c r="F1613" s="171">
        <v>1998</v>
      </c>
      <c r="G1613" s="171">
        <v>354</v>
      </c>
      <c r="H1613" s="172" t="s">
        <v>1738</v>
      </c>
      <c r="I1613" s="173" t="s">
        <v>1739</v>
      </c>
      <c r="J1613" s="212">
        <v>0.28499999999999998</v>
      </c>
      <c r="K1613" s="213">
        <v>3.04</v>
      </c>
      <c r="L1613" s="91"/>
      <c r="M1613" s="174">
        <v>484.9650725416443</v>
      </c>
      <c r="N1613" s="174"/>
      <c r="O1613" s="172" t="s">
        <v>12</v>
      </c>
      <c r="P1613" s="511"/>
      <c r="Q1613" s="173" t="s">
        <v>523</v>
      </c>
      <c r="R1613" s="65" t="s">
        <v>2308</v>
      </c>
      <c r="S1613" s="511"/>
      <c r="T1613" s="214" t="s">
        <v>2319</v>
      </c>
      <c r="U1613" s="171" t="s">
        <v>2308</v>
      </c>
      <c r="V1613" s="102">
        <v>0</v>
      </c>
      <c r="W1613" s="120">
        <v>0</v>
      </c>
      <c r="X1613" s="120">
        <v>0</v>
      </c>
      <c r="Y1613" s="120">
        <v>0</v>
      </c>
      <c r="Z1613" s="120">
        <v>0</v>
      </c>
      <c r="AA1613" s="17">
        <v>0</v>
      </c>
      <c r="AB1613" s="17">
        <v>0</v>
      </c>
      <c r="AC1613" s="17">
        <v>0</v>
      </c>
      <c r="AD1613" s="17">
        <v>0</v>
      </c>
      <c r="AE1613" s="17">
        <v>0</v>
      </c>
      <c r="AF1613" s="17">
        <v>0</v>
      </c>
      <c r="AG1613" s="17">
        <v>0</v>
      </c>
      <c r="AH1613" s="17">
        <v>2</v>
      </c>
      <c r="AI1613" s="17">
        <v>0</v>
      </c>
      <c r="AJ1613" s="17">
        <v>0</v>
      </c>
      <c r="AK1613" s="17">
        <v>0</v>
      </c>
      <c r="AL1613" s="32">
        <v>0</v>
      </c>
      <c r="AM1613" s="172">
        <v>54.8</v>
      </c>
      <c r="AN1613" s="89"/>
      <c r="AO1613" s="89"/>
      <c r="AP1613" s="88"/>
      <c r="AQ1613" s="17" t="s">
        <v>271</v>
      </c>
      <c r="AR1613" s="174">
        <v>100</v>
      </c>
      <c r="AS1613" s="171"/>
      <c r="AT1613" s="171">
        <v>400</v>
      </c>
      <c r="AU1613" s="255">
        <f t="shared" si="114"/>
        <v>22.222222222222221</v>
      </c>
      <c r="AV1613" s="172">
        <v>99</v>
      </c>
      <c r="AW1613" s="171">
        <v>1</v>
      </c>
      <c r="AX1613" s="171">
        <v>30</v>
      </c>
      <c r="AY1613" s="171">
        <v>30</v>
      </c>
      <c r="AZ1613" s="89"/>
      <c r="BA1613" s="175">
        <v>99</v>
      </c>
      <c r="BB1613" s="259"/>
      <c r="BC1613" s="190"/>
      <c r="BD1613" s="177"/>
      <c r="BE1613" s="177"/>
      <c r="BF1613" s="178"/>
    </row>
    <row r="1614" spans="1:58">
      <c r="A1614" s="95">
        <v>1613</v>
      </c>
      <c r="B1614" s="211" t="s">
        <v>2170</v>
      </c>
      <c r="C1614" s="191" t="s">
        <v>2718</v>
      </c>
      <c r="D1614" s="171" t="s">
        <v>119</v>
      </c>
      <c r="E1614" s="463" t="s">
        <v>3377</v>
      </c>
      <c r="F1614" s="171">
        <v>1998</v>
      </c>
      <c r="G1614" s="171">
        <v>354</v>
      </c>
      <c r="H1614" s="172" t="s">
        <v>1738</v>
      </c>
      <c r="I1614" s="173" t="s">
        <v>1739</v>
      </c>
      <c r="J1614" s="212">
        <v>0.37499999999999994</v>
      </c>
      <c r="K1614" s="213">
        <v>3.95</v>
      </c>
      <c r="L1614" s="91"/>
      <c r="M1614" s="174">
        <v>377.15790133517214</v>
      </c>
      <c r="N1614" s="174"/>
      <c r="O1614" s="172" t="s">
        <v>12</v>
      </c>
      <c r="P1614" s="511"/>
      <c r="Q1614" s="173" t="s">
        <v>523</v>
      </c>
      <c r="R1614" s="65" t="s">
        <v>2308</v>
      </c>
      <c r="S1614" s="511"/>
      <c r="T1614" s="214" t="s">
        <v>2319</v>
      </c>
      <c r="U1614" s="171" t="s">
        <v>2308</v>
      </c>
      <c r="V1614" s="102">
        <f>20/0.8</f>
        <v>25</v>
      </c>
      <c r="W1614" s="120">
        <v>0</v>
      </c>
      <c r="X1614" s="120">
        <v>0</v>
      </c>
      <c r="Y1614" s="120">
        <v>0</v>
      </c>
      <c r="Z1614" s="120">
        <v>0</v>
      </c>
      <c r="AA1614" s="17">
        <v>0</v>
      </c>
      <c r="AB1614" s="17">
        <v>0</v>
      </c>
      <c r="AC1614" s="17">
        <v>0</v>
      </c>
      <c r="AD1614" s="17">
        <v>0</v>
      </c>
      <c r="AE1614" s="17">
        <v>0</v>
      </c>
      <c r="AF1614" s="17">
        <v>0</v>
      </c>
      <c r="AG1614" s="17">
        <v>0</v>
      </c>
      <c r="AH1614" s="17">
        <v>0</v>
      </c>
      <c r="AI1614" s="17">
        <v>0</v>
      </c>
      <c r="AJ1614" s="17">
        <v>0</v>
      </c>
      <c r="AK1614" s="17">
        <v>0</v>
      </c>
      <c r="AL1614" s="32">
        <v>0</v>
      </c>
      <c r="AM1614" s="172">
        <v>89.2</v>
      </c>
      <c r="AN1614" s="89"/>
      <c r="AO1614" s="89"/>
      <c r="AP1614" s="88"/>
      <c r="AQ1614" s="17" t="s">
        <v>271</v>
      </c>
      <c r="AR1614" s="174">
        <v>100</v>
      </c>
      <c r="AS1614" s="171"/>
      <c r="AT1614" s="171">
        <v>400</v>
      </c>
      <c r="AU1614" s="255">
        <f t="shared" si="114"/>
        <v>22.222222222222221</v>
      </c>
      <c r="AV1614" s="172">
        <v>99</v>
      </c>
      <c r="AW1614" s="171">
        <v>1</v>
      </c>
      <c r="AX1614" s="171">
        <v>30</v>
      </c>
      <c r="AY1614" s="171">
        <v>30</v>
      </c>
      <c r="AZ1614" s="89"/>
      <c r="BA1614" s="175">
        <v>99</v>
      </c>
      <c r="BB1614" s="259"/>
      <c r="BC1614" s="190"/>
      <c r="BD1614" s="177"/>
      <c r="BE1614" s="177"/>
      <c r="BF1614" s="178"/>
    </row>
    <row r="1615" spans="1:58">
      <c r="A1615" s="95">
        <v>1614</v>
      </c>
      <c r="B1615" s="211" t="s">
        <v>2171</v>
      </c>
      <c r="C1615" s="191" t="s">
        <v>2718</v>
      </c>
      <c r="D1615" s="171" t="s">
        <v>119</v>
      </c>
      <c r="E1615" s="463" t="s">
        <v>3377</v>
      </c>
      <c r="F1615" s="171">
        <v>1998</v>
      </c>
      <c r="G1615" s="171">
        <v>354</v>
      </c>
      <c r="H1615" s="172" t="s">
        <v>1738</v>
      </c>
      <c r="I1615" s="173" t="s">
        <v>1739</v>
      </c>
      <c r="J1615" s="212">
        <v>0.35624999999999996</v>
      </c>
      <c r="K1615" s="213">
        <v>3.95</v>
      </c>
      <c r="L1615" s="91"/>
      <c r="M1615" s="174">
        <v>377.15790133517214</v>
      </c>
      <c r="N1615" s="174"/>
      <c r="O1615" s="172" t="s">
        <v>12</v>
      </c>
      <c r="P1615" s="511"/>
      <c r="Q1615" s="173" t="s">
        <v>523</v>
      </c>
      <c r="R1615" s="65" t="s">
        <v>2308</v>
      </c>
      <c r="S1615" s="511"/>
      <c r="T1615" s="214" t="s">
        <v>2319</v>
      </c>
      <c r="U1615" s="171" t="s">
        <v>2308</v>
      </c>
      <c r="V1615" s="102">
        <f>20/0.8</f>
        <v>25</v>
      </c>
      <c r="W1615" s="120">
        <v>0</v>
      </c>
      <c r="X1615" s="120">
        <v>0</v>
      </c>
      <c r="Y1615" s="120">
        <v>0</v>
      </c>
      <c r="Z1615" s="120">
        <v>0</v>
      </c>
      <c r="AA1615" s="17">
        <v>0</v>
      </c>
      <c r="AB1615" s="17">
        <v>0</v>
      </c>
      <c r="AC1615" s="17">
        <v>0</v>
      </c>
      <c r="AD1615" s="17">
        <v>0</v>
      </c>
      <c r="AE1615" s="17">
        <v>0</v>
      </c>
      <c r="AF1615" s="17">
        <v>0</v>
      </c>
      <c r="AG1615" s="17">
        <v>0</v>
      </c>
      <c r="AH1615" s="17">
        <v>1.88</v>
      </c>
      <c r="AI1615" s="17">
        <v>0</v>
      </c>
      <c r="AJ1615" s="17">
        <v>0</v>
      </c>
      <c r="AK1615" s="17">
        <v>0</v>
      </c>
      <c r="AL1615" s="32">
        <v>0</v>
      </c>
      <c r="AM1615" s="172">
        <v>86.7</v>
      </c>
      <c r="AN1615" s="89"/>
      <c r="AO1615" s="89"/>
      <c r="AP1615" s="88"/>
      <c r="AQ1615" s="17" t="s">
        <v>271</v>
      </c>
      <c r="AR1615" s="174">
        <v>100</v>
      </c>
      <c r="AS1615" s="171"/>
      <c r="AT1615" s="171">
        <v>400</v>
      </c>
      <c r="AU1615" s="255">
        <f t="shared" si="114"/>
        <v>22.222222222222221</v>
      </c>
      <c r="AV1615" s="172">
        <v>99</v>
      </c>
      <c r="AW1615" s="171">
        <v>1</v>
      </c>
      <c r="AX1615" s="171">
        <v>30</v>
      </c>
      <c r="AY1615" s="171">
        <v>30</v>
      </c>
      <c r="AZ1615" s="89"/>
      <c r="BA1615" s="175">
        <v>99</v>
      </c>
      <c r="BB1615" s="259"/>
      <c r="BC1615" s="190"/>
      <c r="BD1615" s="177"/>
      <c r="BE1615" s="177"/>
      <c r="BF1615" s="178"/>
    </row>
    <row r="1616" spans="1:58">
      <c r="A1616" s="95">
        <v>1615</v>
      </c>
      <c r="B1616" s="211" t="s">
        <v>2172</v>
      </c>
      <c r="C1616" s="191" t="s">
        <v>2718</v>
      </c>
      <c r="D1616" s="171" t="s">
        <v>119</v>
      </c>
      <c r="E1616" s="463" t="s">
        <v>3377</v>
      </c>
      <c r="F1616" s="171">
        <v>1998</v>
      </c>
      <c r="G1616" s="171">
        <v>354</v>
      </c>
      <c r="H1616" s="172" t="s">
        <v>1738</v>
      </c>
      <c r="I1616" s="173" t="s">
        <v>1739</v>
      </c>
      <c r="J1616" s="212">
        <v>0.3</v>
      </c>
      <c r="K1616" s="213">
        <v>3.04</v>
      </c>
      <c r="L1616" s="91"/>
      <c r="M1616" s="174">
        <v>484.9650725416443</v>
      </c>
      <c r="N1616" s="174"/>
      <c r="O1616" s="172" t="s">
        <v>12</v>
      </c>
      <c r="P1616" s="511"/>
      <c r="Q1616" s="173" t="s">
        <v>523</v>
      </c>
      <c r="R1616" s="65" t="s">
        <v>2308</v>
      </c>
      <c r="S1616" s="511"/>
      <c r="T1616" s="214" t="s">
        <v>2319</v>
      </c>
      <c r="U1616" s="171" t="s">
        <v>2308</v>
      </c>
      <c r="V1616" s="102">
        <v>0</v>
      </c>
      <c r="W1616" s="120">
        <v>0</v>
      </c>
      <c r="X1616" s="120">
        <v>0</v>
      </c>
      <c r="Y1616" s="120">
        <v>0</v>
      </c>
      <c r="Z1616" s="120">
        <v>0</v>
      </c>
      <c r="AA1616" s="17">
        <v>0</v>
      </c>
      <c r="AB1616" s="17">
        <v>0</v>
      </c>
      <c r="AC1616" s="17">
        <v>0</v>
      </c>
      <c r="AD1616" s="17">
        <v>0</v>
      </c>
      <c r="AE1616" s="17">
        <v>0</v>
      </c>
      <c r="AF1616" s="17">
        <v>0</v>
      </c>
      <c r="AG1616" s="17">
        <v>1.2500000000000001E-2</v>
      </c>
      <c r="AH1616" s="17">
        <v>0</v>
      </c>
      <c r="AI1616" s="17">
        <v>0</v>
      </c>
      <c r="AJ1616" s="17">
        <v>0</v>
      </c>
      <c r="AK1616" s="17">
        <v>0</v>
      </c>
      <c r="AL1616" s="32">
        <v>0</v>
      </c>
      <c r="AM1616" s="172">
        <v>63.3</v>
      </c>
      <c r="AN1616" s="89"/>
      <c r="AO1616" s="89"/>
      <c r="AP1616" s="783">
        <v>34500</v>
      </c>
      <c r="AQ1616" s="17" t="s">
        <v>271</v>
      </c>
      <c r="AR1616" s="174">
        <v>100</v>
      </c>
      <c r="AS1616" s="171"/>
      <c r="AT1616" s="171">
        <v>400</v>
      </c>
      <c r="AU1616" s="255">
        <f t="shared" si="114"/>
        <v>22.222222222222221</v>
      </c>
      <c r="AV1616" s="172">
        <v>99</v>
      </c>
      <c r="AW1616" s="171">
        <v>1</v>
      </c>
      <c r="AX1616" s="171">
        <v>30</v>
      </c>
      <c r="AY1616" s="171">
        <v>30</v>
      </c>
      <c r="AZ1616" s="89"/>
      <c r="BA1616" s="175">
        <v>99</v>
      </c>
      <c r="BB1616" s="259"/>
      <c r="BC1616" s="190"/>
      <c r="BD1616" s="177"/>
      <c r="BE1616" s="177"/>
      <c r="BF1616" s="178"/>
    </row>
    <row r="1617" spans="1:58">
      <c r="A1617" s="95">
        <v>1616</v>
      </c>
      <c r="B1617" s="211" t="s">
        <v>2173</v>
      </c>
      <c r="C1617" s="191" t="s">
        <v>2718</v>
      </c>
      <c r="D1617" s="171" t="s">
        <v>119</v>
      </c>
      <c r="E1617" s="463" t="s">
        <v>3377</v>
      </c>
      <c r="F1617" s="171">
        <v>1998</v>
      </c>
      <c r="G1617" s="171">
        <v>354</v>
      </c>
      <c r="H1617" s="172" t="s">
        <v>1738</v>
      </c>
      <c r="I1617" s="173" t="s">
        <v>1739</v>
      </c>
      <c r="J1617" s="212">
        <v>0.37499999999999994</v>
      </c>
      <c r="K1617" s="213">
        <v>3.95</v>
      </c>
      <c r="L1617" s="91"/>
      <c r="M1617" s="174">
        <v>377.15790133517214</v>
      </c>
      <c r="N1617" s="174"/>
      <c r="O1617" s="172" t="s">
        <v>12</v>
      </c>
      <c r="P1617" s="511"/>
      <c r="Q1617" s="173" t="s">
        <v>523</v>
      </c>
      <c r="R1617" s="506" t="s">
        <v>2308</v>
      </c>
      <c r="S1617" s="511"/>
      <c r="T1617" s="214" t="s">
        <v>2319</v>
      </c>
      <c r="U1617" s="171" t="s">
        <v>2308</v>
      </c>
      <c r="V1617" s="102">
        <f>20/0.8</f>
        <v>25</v>
      </c>
      <c r="W1617" s="120">
        <v>0</v>
      </c>
      <c r="X1617" s="120">
        <v>0</v>
      </c>
      <c r="Y1617" s="120">
        <v>0</v>
      </c>
      <c r="Z1617" s="120">
        <v>0</v>
      </c>
      <c r="AA1617" s="17">
        <v>0</v>
      </c>
      <c r="AB1617" s="17">
        <v>0</v>
      </c>
      <c r="AC1617" s="17">
        <v>0</v>
      </c>
      <c r="AD1617" s="17">
        <v>0</v>
      </c>
      <c r="AE1617" s="17">
        <v>0</v>
      </c>
      <c r="AF1617" s="17">
        <v>0</v>
      </c>
      <c r="AG1617" s="17">
        <v>0</v>
      </c>
      <c r="AH1617" s="17">
        <v>0</v>
      </c>
      <c r="AI1617" s="17">
        <v>0</v>
      </c>
      <c r="AJ1617" s="17">
        <v>0</v>
      </c>
      <c r="AK1617" s="17">
        <v>0</v>
      </c>
      <c r="AL1617" s="32">
        <v>0</v>
      </c>
      <c r="AM1617" s="172">
        <v>89.2</v>
      </c>
      <c r="AN1617" s="89"/>
      <c r="AO1617" s="89"/>
      <c r="AP1617" s="88"/>
      <c r="AQ1617" s="17" t="s">
        <v>271</v>
      </c>
      <c r="AR1617" s="174">
        <v>100</v>
      </c>
      <c r="AS1617" s="171"/>
      <c r="AT1617" s="171">
        <v>400</v>
      </c>
      <c r="AU1617" s="255">
        <f t="shared" si="114"/>
        <v>22.222222222222221</v>
      </c>
      <c r="AV1617" s="172">
        <v>99</v>
      </c>
      <c r="AW1617" s="171">
        <v>1</v>
      </c>
      <c r="AX1617" s="171">
        <v>30</v>
      </c>
      <c r="AY1617" s="171">
        <v>30</v>
      </c>
      <c r="AZ1617" s="89"/>
      <c r="BA1617" s="175">
        <v>99</v>
      </c>
      <c r="BB1617" s="259"/>
      <c r="BC1617" s="190"/>
      <c r="BD1617" s="177"/>
      <c r="BE1617" s="177"/>
      <c r="BF1617" s="178"/>
    </row>
    <row r="1618" spans="1:58">
      <c r="A1618" s="95">
        <v>1617</v>
      </c>
      <c r="B1618" s="211" t="s">
        <v>2174</v>
      </c>
      <c r="C1618" s="191" t="s">
        <v>2718</v>
      </c>
      <c r="D1618" s="171" t="s">
        <v>119</v>
      </c>
      <c r="E1618" s="463" t="s">
        <v>3377</v>
      </c>
      <c r="F1618" s="171">
        <v>1998</v>
      </c>
      <c r="G1618" s="171">
        <v>354</v>
      </c>
      <c r="H1618" s="172" t="s">
        <v>1738</v>
      </c>
      <c r="I1618" s="173" t="s">
        <v>1739</v>
      </c>
      <c r="J1618" s="212">
        <v>0.37499999999999994</v>
      </c>
      <c r="K1618" s="213">
        <v>3.9</v>
      </c>
      <c r="L1618" s="91"/>
      <c r="M1618" s="174">
        <v>380.34472586286824</v>
      </c>
      <c r="N1618" s="174"/>
      <c r="O1618" s="172" t="s">
        <v>12</v>
      </c>
      <c r="P1618" s="511"/>
      <c r="Q1618" s="173" t="s">
        <v>523</v>
      </c>
      <c r="R1618" s="506" t="s">
        <v>2308</v>
      </c>
      <c r="S1618" s="511"/>
      <c r="T1618" s="214" t="s">
        <v>2319</v>
      </c>
      <c r="U1618" s="171" t="s">
        <v>2308</v>
      </c>
      <c r="V1618" s="102">
        <v>0</v>
      </c>
      <c r="W1618" s="120">
        <v>0</v>
      </c>
      <c r="X1618" s="120">
        <v>0</v>
      </c>
      <c r="Y1618" s="120">
        <v>0</v>
      </c>
      <c r="Z1618" s="120">
        <v>0</v>
      </c>
      <c r="AA1618" s="17">
        <v>0</v>
      </c>
      <c r="AB1618" s="17">
        <v>0</v>
      </c>
      <c r="AC1618" s="17">
        <v>25</v>
      </c>
      <c r="AD1618" s="17">
        <v>0</v>
      </c>
      <c r="AE1618" s="17">
        <v>0</v>
      </c>
      <c r="AF1618" s="17">
        <v>0</v>
      </c>
      <c r="AG1618" s="17">
        <v>0</v>
      </c>
      <c r="AH1618" s="17">
        <v>0</v>
      </c>
      <c r="AI1618" s="17">
        <v>0</v>
      </c>
      <c r="AJ1618" s="17">
        <v>0</v>
      </c>
      <c r="AK1618" s="17">
        <v>0</v>
      </c>
      <c r="AL1618" s="32">
        <v>0</v>
      </c>
      <c r="AM1618" s="172">
        <v>78.2</v>
      </c>
      <c r="AN1618" s="89"/>
      <c r="AO1618" s="89"/>
      <c r="AP1618" s="88"/>
      <c r="AQ1618" s="17" t="s">
        <v>271</v>
      </c>
      <c r="AR1618" s="174">
        <v>100</v>
      </c>
      <c r="AS1618" s="171"/>
      <c r="AT1618" s="171">
        <v>400</v>
      </c>
      <c r="AU1618" s="255">
        <f t="shared" si="114"/>
        <v>22.222222222222221</v>
      </c>
      <c r="AV1618" s="172">
        <v>99</v>
      </c>
      <c r="AW1618" s="171">
        <v>1</v>
      </c>
      <c r="AX1618" s="171">
        <v>30</v>
      </c>
      <c r="AY1618" s="171">
        <v>30</v>
      </c>
      <c r="AZ1618" s="89"/>
      <c r="BA1618" s="175">
        <v>99</v>
      </c>
      <c r="BB1618" s="259"/>
      <c r="BC1618" s="190"/>
      <c r="BD1618" s="177"/>
      <c r="BE1618" s="177"/>
      <c r="BF1618" s="178"/>
    </row>
    <row r="1619" spans="1:58">
      <c r="A1619" s="95">
        <v>1618</v>
      </c>
      <c r="B1619" s="211" t="s">
        <v>2175</v>
      </c>
      <c r="C1619" s="191" t="s">
        <v>2718</v>
      </c>
      <c r="D1619" s="171" t="s">
        <v>119</v>
      </c>
      <c r="E1619" s="463" t="s">
        <v>3377</v>
      </c>
      <c r="F1619" s="171">
        <v>1998</v>
      </c>
      <c r="G1619" s="171">
        <v>354</v>
      </c>
      <c r="H1619" s="172" t="s">
        <v>1738</v>
      </c>
      <c r="I1619" s="173" t="s">
        <v>1739</v>
      </c>
      <c r="J1619" s="212">
        <v>0.35624999999999996</v>
      </c>
      <c r="K1619" s="213">
        <v>3.9</v>
      </c>
      <c r="L1619" s="91"/>
      <c r="M1619" s="174">
        <v>380.34472586286824</v>
      </c>
      <c r="N1619" s="174"/>
      <c r="O1619" s="172" t="s">
        <v>12</v>
      </c>
      <c r="P1619" s="92"/>
      <c r="Q1619" s="173" t="s">
        <v>523</v>
      </c>
      <c r="R1619" s="506" t="s">
        <v>2308</v>
      </c>
      <c r="S1619" s="511"/>
      <c r="T1619" s="214" t="s">
        <v>2319</v>
      </c>
      <c r="U1619" s="171" t="s">
        <v>2308</v>
      </c>
      <c r="V1619" s="102">
        <v>0</v>
      </c>
      <c r="W1619" s="120">
        <v>0</v>
      </c>
      <c r="X1619" s="120">
        <v>0</v>
      </c>
      <c r="Y1619" s="120">
        <v>0</v>
      </c>
      <c r="Z1619" s="120">
        <v>0</v>
      </c>
      <c r="AA1619" s="17">
        <v>0</v>
      </c>
      <c r="AB1619" s="17">
        <v>0</v>
      </c>
      <c r="AC1619" s="17">
        <v>25</v>
      </c>
      <c r="AD1619" s="17">
        <v>0</v>
      </c>
      <c r="AE1619" s="17">
        <v>0</v>
      </c>
      <c r="AF1619" s="17">
        <v>0</v>
      </c>
      <c r="AG1619" s="17">
        <v>0</v>
      </c>
      <c r="AH1619" s="17">
        <v>1.88</v>
      </c>
      <c r="AI1619" s="17">
        <v>0</v>
      </c>
      <c r="AJ1619" s="17">
        <v>0</v>
      </c>
      <c r="AK1619" s="17">
        <v>0</v>
      </c>
      <c r="AL1619" s="32">
        <v>0</v>
      </c>
      <c r="AM1619" s="172">
        <v>70.099999999999994</v>
      </c>
      <c r="AN1619" s="89"/>
      <c r="AO1619" s="89"/>
      <c r="AP1619" s="88"/>
      <c r="AQ1619" s="17" t="s">
        <v>271</v>
      </c>
      <c r="AR1619" s="174">
        <v>100</v>
      </c>
      <c r="AS1619" s="171"/>
      <c r="AT1619" s="171">
        <v>400</v>
      </c>
      <c r="AU1619" s="255">
        <f t="shared" si="114"/>
        <v>22.222222222222221</v>
      </c>
      <c r="AV1619" s="172">
        <v>99</v>
      </c>
      <c r="AW1619" s="171">
        <v>1</v>
      </c>
      <c r="AX1619" s="171">
        <v>30</v>
      </c>
      <c r="AY1619" s="171">
        <v>30</v>
      </c>
      <c r="AZ1619" s="89"/>
      <c r="BA1619" s="175">
        <v>99</v>
      </c>
      <c r="BB1619" s="259"/>
      <c r="BC1619" s="190"/>
      <c r="BD1619" s="177"/>
      <c r="BE1619" s="177"/>
      <c r="BF1619" s="178"/>
    </row>
    <row r="1620" spans="1:58">
      <c r="A1620" s="95">
        <v>1619</v>
      </c>
      <c r="B1620" s="211" t="s">
        <v>2176</v>
      </c>
      <c r="C1620" s="191" t="s">
        <v>2718</v>
      </c>
      <c r="D1620" s="171" t="s">
        <v>119</v>
      </c>
      <c r="E1620" s="463" t="s">
        <v>3377</v>
      </c>
      <c r="F1620" s="171">
        <v>1998</v>
      </c>
      <c r="G1620" s="171">
        <v>354</v>
      </c>
      <c r="H1620" s="172" t="s">
        <v>1738</v>
      </c>
      <c r="I1620" s="173" t="s">
        <v>1739</v>
      </c>
      <c r="J1620" s="212">
        <v>0.3</v>
      </c>
      <c r="K1620" s="213">
        <v>3.04</v>
      </c>
      <c r="L1620" s="91"/>
      <c r="M1620" s="174">
        <v>484.9650725416443</v>
      </c>
      <c r="N1620" s="174"/>
      <c r="O1620" s="172" t="s">
        <v>12</v>
      </c>
      <c r="P1620" s="92"/>
      <c r="Q1620" s="173" t="s">
        <v>523</v>
      </c>
      <c r="R1620" s="506" t="s">
        <v>2308</v>
      </c>
      <c r="S1620" s="511"/>
      <c r="T1620" s="214" t="s">
        <v>2319</v>
      </c>
      <c r="U1620" s="171" t="s">
        <v>2308</v>
      </c>
      <c r="V1620" s="102">
        <v>0</v>
      </c>
      <c r="W1620" s="120">
        <v>0</v>
      </c>
      <c r="X1620" s="120">
        <v>0</v>
      </c>
      <c r="Y1620" s="120">
        <v>0</v>
      </c>
      <c r="Z1620" s="120">
        <v>0</v>
      </c>
      <c r="AA1620" s="17">
        <v>0</v>
      </c>
      <c r="AB1620" s="17">
        <v>0</v>
      </c>
      <c r="AC1620" s="17">
        <v>0</v>
      </c>
      <c r="AD1620" s="17">
        <v>0</v>
      </c>
      <c r="AE1620" s="17">
        <v>0</v>
      </c>
      <c r="AF1620" s="17">
        <v>0</v>
      </c>
      <c r="AG1620" s="17">
        <v>1.2500000000000001E-2</v>
      </c>
      <c r="AH1620" s="17">
        <v>0</v>
      </c>
      <c r="AI1620" s="17">
        <v>0</v>
      </c>
      <c r="AJ1620" s="17">
        <v>0</v>
      </c>
      <c r="AK1620" s="17">
        <v>0</v>
      </c>
      <c r="AL1620" s="32">
        <v>0</v>
      </c>
      <c r="AM1620" s="172">
        <v>63.3</v>
      </c>
      <c r="AN1620" s="89"/>
      <c r="AO1620" s="89"/>
      <c r="AP1620" s="783">
        <v>34500</v>
      </c>
      <c r="AQ1620" s="17" t="s">
        <v>271</v>
      </c>
      <c r="AR1620" s="174">
        <v>100</v>
      </c>
      <c r="AS1620" s="171"/>
      <c r="AT1620" s="171">
        <v>400</v>
      </c>
      <c r="AU1620" s="255">
        <f t="shared" si="114"/>
        <v>22.222222222222221</v>
      </c>
      <c r="AV1620" s="172">
        <v>99</v>
      </c>
      <c r="AW1620" s="171">
        <v>1</v>
      </c>
      <c r="AX1620" s="171">
        <v>30</v>
      </c>
      <c r="AY1620" s="171">
        <v>30</v>
      </c>
      <c r="AZ1620" s="89"/>
      <c r="BA1620" s="175">
        <v>99</v>
      </c>
      <c r="BB1620" s="259"/>
      <c r="BC1620" s="190"/>
      <c r="BD1620" s="177"/>
      <c r="BE1620" s="177"/>
      <c r="BF1620" s="178"/>
    </row>
    <row r="1621" spans="1:58">
      <c r="A1621" s="95">
        <v>1620</v>
      </c>
      <c r="B1621" s="211" t="s">
        <v>2177</v>
      </c>
      <c r="C1621" s="191" t="s">
        <v>2718</v>
      </c>
      <c r="D1621" s="171" t="s">
        <v>119</v>
      </c>
      <c r="E1621" s="463" t="s">
        <v>3377</v>
      </c>
      <c r="F1621" s="171">
        <v>1998</v>
      </c>
      <c r="G1621" s="171">
        <v>354</v>
      </c>
      <c r="H1621" s="172" t="s">
        <v>1738</v>
      </c>
      <c r="I1621" s="173" t="s">
        <v>1739</v>
      </c>
      <c r="J1621" s="212">
        <v>0.37499999999999994</v>
      </c>
      <c r="K1621" s="213">
        <v>3.9</v>
      </c>
      <c r="L1621" s="91"/>
      <c r="M1621" s="174">
        <v>380.34472586286824</v>
      </c>
      <c r="N1621" s="174"/>
      <c r="O1621" s="172" t="s">
        <v>12</v>
      </c>
      <c r="P1621" s="92"/>
      <c r="Q1621" s="173" t="s">
        <v>523</v>
      </c>
      <c r="R1621" s="506" t="s">
        <v>2308</v>
      </c>
      <c r="S1621" s="511"/>
      <c r="T1621" s="214" t="s">
        <v>2319</v>
      </c>
      <c r="U1621" s="171" t="s">
        <v>2308</v>
      </c>
      <c r="V1621" s="102">
        <v>0</v>
      </c>
      <c r="W1621" s="120">
        <v>0</v>
      </c>
      <c r="X1621" s="120">
        <v>0</v>
      </c>
      <c r="Y1621" s="120">
        <v>0</v>
      </c>
      <c r="Z1621" s="120">
        <v>0</v>
      </c>
      <c r="AA1621" s="17">
        <v>0</v>
      </c>
      <c r="AB1621" s="17">
        <v>0</v>
      </c>
      <c r="AC1621" s="17">
        <v>25</v>
      </c>
      <c r="AD1621" s="17">
        <v>0</v>
      </c>
      <c r="AE1621" s="17">
        <v>0</v>
      </c>
      <c r="AF1621" s="17">
        <v>0</v>
      </c>
      <c r="AG1621" s="17">
        <v>0</v>
      </c>
      <c r="AH1621" s="17">
        <v>0</v>
      </c>
      <c r="AI1621" s="17">
        <v>0</v>
      </c>
      <c r="AJ1621" s="17">
        <v>0</v>
      </c>
      <c r="AK1621" s="17">
        <v>0</v>
      </c>
      <c r="AL1621" s="32">
        <v>0</v>
      </c>
      <c r="AM1621" s="172">
        <v>78.2</v>
      </c>
      <c r="AN1621" s="89"/>
      <c r="AO1621" s="89"/>
      <c r="AP1621" s="88"/>
      <c r="AQ1621" s="17" t="s">
        <v>271</v>
      </c>
      <c r="AR1621" s="174">
        <v>100</v>
      </c>
      <c r="AS1621" s="171"/>
      <c r="AT1621" s="171">
        <v>400</v>
      </c>
      <c r="AU1621" s="255">
        <f t="shared" si="114"/>
        <v>22.222222222222221</v>
      </c>
      <c r="AV1621" s="172">
        <v>99</v>
      </c>
      <c r="AW1621" s="171">
        <v>1</v>
      </c>
      <c r="AX1621" s="171">
        <v>30</v>
      </c>
      <c r="AY1621" s="171">
        <v>30</v>
      </c>
      <c r="AZ1621" s="89"/>
      <c r="BA1621" s="175">
        <v>99</v>
      </c>
      <c r="BB1621" s="259"/>
      <c r="BC1621" s="190"/>
      <c r="BD1621" s="177"/>
      <c r="BE1621" s="177"/>
      <c r="BF1621" s="178"/>
    </row>
    <row r="1622" spans="1:58">
      <c r="A1622" s="95">
        <v>1621</v>
      </c>
      <c r="B1622" s="211" t="s">
        <v>2178</v>
      </c>
      <c r="C1622" s="191" t="s">
        <v>2718</v>
      </c>
      <c r="D1622" s="171" t="s">
        <v>119</v>
      </c>
      <c r="E1622" s="463" t="s">
        <v>3377</v>
      </c>
      <c r="F1622" s="171">
        <v>1998</v>
      </c>
      <c r="G1622" s="171">
        <v>354</v>
      </c>
      <c r="H1622" s="172" t="s">
        <v>1738</v>
      </c>
      <c r="I1622" s="173" t="s">
        <v>1739</v>
      </c>
      <c r="J1622" s="212">
        <v>0.37499999999999994</v>
      </c>
      <c r="K1622" s="213">
        <v>3.95</v>
      </c>
      <c r="L1622" s="91"/>
      <c r="M1622" s="174">
        <v>377.15790133517214</v>
      </c>
      <c r="N1622" s="174"/>
      <c r="O1622" s="172" t="s">
        <v>12</v>
      </c>
      <c r="P1622" s="92"/>
      <c r="Q1622" s="173" t="s">
        <v>523</v>
      </c>
      <c r="R1622" s="506" t="s">
        <v>2308</v>
      </c>
      <c r="S1622" s="511"/>
      <c r="T1622" s="214" t="s">
        <v>2319</v>
      </c>
      <c r="U1622" s="171" t="s">
        <v>2308</v>
      </c>
      <c r="V1622" s="102">
        <f>20/0.8</f>
        <v>25</v>
      </c>
      <c r="W1622" s="120">
        <v>0</v>
      </c>
      <c r="X1622" s="120">
        <v>0</v>
      </c>
      <c r="Y1622" s="120">
        <v>0</v>
      </c>
      <c r="Z1622" s="120">
        <v>0</v>
      </c>
      <c r="AA1622" s="17">
        <v>0</v>
      </c>
      <c r="AB1622" s="17">
        <v>0</v>
      </c>
      <c r="AC1622" s="17">
        <v>0</v>
      </c>
      <c r="AD1622" s="17">
        <v>0</v>
      </c>
      <c r="AE1622" s="17">
        <v>0</v>
      </c>
      <c r="AF1622" s="17">
        <v>0</v>
      </c>
      <c r="AG1622" s="17">
        <v>0</v>
      </c>
      <c r="AH1622" s="17">
        <v>0</v>
      </c>
      <c r="AI1622" s="17">
        <v>0</v>
      </c>
      <c r="AJ1622" s="17">
        <v>0</v>
      </c>
      <c r="AK1622" s="17">
        <v>0</v>
      </c>
      <c r="AL1622" s="32">
        <v>0</v>
      </c>
      <c r="AM1622" s="172">
        <v>89.2</v>
      </c>
      <c r="AN1622" s="89"/>
      <c r="AO1622" s="89"/>
      <c r="AP1622" s="88"/>
      <c r="AQ1622" s="17" t="s">
        <v>271</v>
      </c>
      <c r="AR1622" s="174">
        <v>100</v>
      </c>
      <c r="AS1622" s="171"/>
      <c r="AT1622" s="171">
        <v>400</v>
      </c>
      <c r="AU1622" s="255">
        <f t="shared" si="114"/>
        <v>22.222222222222221</v>
      </c>
      <c r="AV1622" s="172">
        <v>99</v>
      </c>
      <c r="AW1622" s="171">
        <v>1</v>
      </c>
      <c r="AX1622" s="171">
        <v>30</v>
      </c>
      <c r="AY1622" s="171">
        <v>30</v>
      </c>
      <c r="AZ1622" s="89"/>
      <c r="BA1622" s="175">
        <v>99</v>
      </c>
      <c r="BB1622" s="259"/>
      <c r="BC1622" s="190"/>
      <c r="BD1622" s="177"/>
      <c r="BE1622" s="177"/>
      <c r="BF1622" s="178"/>
    </row>
    <row r="1623" spans="1:58">
      <c r="A1623" s="95">
        <v>1622</v>
      </c>
      <c r="B1623" s="211" t="s">
        <v>2179</v>
      </c>
      <c r="C1623" s="191" t="s">
        <v>2718</v>
      </c>
      <c r="D1623" s="171" t="s">
        <v>119</v>
      </c>
      <c r="E1623" s="463" t="s">
        <v>3377</v>
      </c>
      <c r="F1623" s="171">
        <v>1998</v>
      </c>
      <c r="G1623" s="171">
        <v>354</v>
      </c>
      <c r="H1623" s="172" t="s">
        <v>1738</v>
      </c>
      <c r="I1623" s="173" t="s">
        <v>1739</v>
      </c>
      <c r="J1623" s="212">
        <v>0.3</v>
      </c>
      <c r="K1623" s="213">
        <v>3.04</v>
      </c>
      <c r="L1623" s="91"/>
      <c r="M1623" s="174">
        <v>484.9650725416443</v>
      </c>
      <c r="N1623" s="174"/>
      <c r="O1623" s="172" t="s">
        <v>12</v>
      </c>
      <c r="P1623" s="92"/>
      <c r="Q1623" s="173" t="s">
        <v>523</v>
      </c>
      <c r="R1623" s="506" t="s">
        <v>2308</v>
      </c>
      <c r="S1623" s="511"/>
      <c r="T1623" s="214" t="s">
        <v>2319</v>
      </c>
      <c r="U1623" s="171" t="s">
        <v>2308</v>
      </c>
      <c r="V1623" s="102">
        <v>0</v>
      </c>
      <c r="W1623" s="120">
        <v>0</v>
      </c>
      <c r="X1623" s="120">
        <v>0</v>
      </c>
      <c r="Y1623" s="120">
        <v>0</v>
      </c>
      <c r="Z1623" s="120">
        <v>0</v>
      </c>
      <c r="AA1623" s="17">
        <v>0</v>
      </c>
      <c r="AB1623" s="17">
        <v>0</v>
      </c>
      <c r="AC1623" s="17">
        <v>0</v>
      </c>
      <c r="AD1623" s="17">
        <v>0</v>
      </c>
      <c r="AE1623" s="17">
        <v>0</v>
      </c>
      <c r="AF1623" s="17">
        <v>0</v>
      </c>
      <c r="AG1623" s="17">
        <v>1.2500000000000001E-2</v>
      </c>
      <c r="AH1623" s="17">
        <v>0</v>
      </c>
      <c r="AI1623" s="17">
        <v>0</v>
      </c>
      <c r="AJ1623" s="17">
        <v>0</v>
      </c>
      <c r="AK1623" s="17">
        <v>0</v>
      </c>
      <c r="AL1623" s="32">
        <v>0</v>
      </c>
      <c r="AM1623" s="172">
        <v>63.3</v>
      </c>
      <c r="AN1623" s="89"/>
      <c r="AO1623" s="89"/>
      <c r="AP1623" s="783">
        <v>34500</v>
      </c>
      <c r="AQ1623" s="17" t="s">
        <v>271</v>
      </c>
      <c r="AR1623" s="174">
        <v>100</v>
      </c>
      <c r="AS1623" s="171"/>
      <c r="AT1623" s="171">
        <v>400</v>
      </c>
      <c r="AU1623" s="255">
        <f t="shared" si="114"/>
        <v>22.222222222222221</v>
      </c>
      <c r="AV1623" s="172">
        <v>99</v>
      </c>
      <c r="AW1623" s="171">
        <v>1</v>
      </c>
      <c r="AX1623" s="171">
        <v>30</v>
      </c>
      <c r="AY1623" s="171">
        <v>30</v>
      </c>
      <c r="AZ1623" s="89"/>
      <c r="BA1623" s="175">
        <v>99</v>
      </c>
      <c r="BB1623" s="259"/>
      <c r="BC1623" s="190"/>
      <c r="BD1623" s="177"/>
      <c r="BE1623" s="177"/>
      <c r="BF1623" s="178"/>
    </row>
    <row r="1624" spans="1:58">
      <c r="A1624" s="95">
        <v>1623</v>
      </c>
      <c r="B1624" s="211" t="s">
        <v>2180</v>
      </c>
      <c r="C1624" s="191" t="s">
        <v>2718</v>
      </c>
      <c r="D1624" s="171" t="s">
        <v>119</v>
      </c>
      <c r="E1624" s="463" t="s">
        <v>3377</v>
      </c>
      <c r="F1624" s="171">
        <v>1998</v>
      </c>
      <c r="G1624" s="171">
        <v>354</v>
      </c>
      <c r="H1624" s="172" t="s">
        <v>1738</v>
      </c>
      <c r="I1624" s="173" t="s">
        <v>1739</v>
      </c>
      <c r="J1624" s="212">
        <v>0.28499999999999998</v>
      </c>
      <c r="K1624" s="213">
        <v>3.04</v>
      </c>
      <c r="L1624" s="91"/>
      <c r="M1624" s="174">
        <v>484.9650725416443</v>
      </c>
      <c r="N1624" s="174"/>
      <c r="O1624" s="172" t="s">
        <v>12</v>
      </c>
      <c r="P1624" s="92"/>
      <c r="Q1624" s="173" t="s">
        <v>523</v>
      </c>
      <c r="R1624" s="506" t="s">
        <v>2308</v>
      </c>
      <c r="S1624" s="511"/>
      <c r="T1624" s="214" t="s">
        <v>2319</v>
      </c>
      <c r="U1624" s="171" t="s">
        <v>2308</v>
      </c>
      <c r="V1624" s="102">
        <v>0</v>
      </c>
      <c r="W1624" s="120">
        <v>0</v>
      </c>
      <c r="X1624" s="120">
        <v>0</v>
      </c>
      <c r="Y1624" s="120">
        <v>0</v>
      </c>
      <c r="Z1624" s="120">
        <v>0</v>
      </c>
      <c r="AA1624" s="17">
        <v>0</v>
      </c>
      <c r="AB1624" s="17">
        <v>0</v>
      </c>
      <c r="AC1624" s="17">
        <v>0</v>
      </c>
      <c r="AD1624" s="17">
        <v>0</v>
      </c>
      <c r="AE1624" s="17">
        <v>0</v>
      </c>
      <c r="AF1624" s="17">
        <v>0</v>
      </c>
      <c r="AG1624" s="17">
        <v>0</v>
      </c>
      <c r="AH1624" s="17">
        <v>2</v>
      </c>
      <c r="AI1624" s="17">
        <v>0</v>
      </c>
      <c r="AJ1624" s="17">
        <v>0</v>
      </c>
      <c r="AK1624" s="17">
        <v>0</v>
      </c>
      <c r="AL1624" s="32">
        <v>0</v>
      </c>
      <c r="AM1624" s="172">
        <v>54.8</v>
      </c>
      <c r="AN1624" s="89"/>
      <c r="AO1624" s="89"/>
      <c r="AP1624" s="88"/>
      <c r="AQ1624" s="17" t="s">
        <v>271</v>
      </c>
      <c r="AR1624" s="174">
        <v>100</v>
      </c>
      <c r="AS1624" s="171"/>
      <c r="AT1624" s="171">
        <v>400</v>
      </c>
      <c r="AU1624" s="255">
        <f t="shared" si="114"/>
        <v>22.222222222222221</v>
      </c>
      <c r="AV1624" s="172">
        <v>99</v>
      </c>
      <c r="AW1624" s="171">
        <v>1</v>
      </c>
      <c r="AX1624" s="171">
        <v>30</v>
      </c>
      <c r="AY1624" s="171">
        <v>30</v>
      </c>
      <c r="AZ1624" s="89"/>
      <c r="BA1624" s="175">
        <v>99</v>
      </c>
      <c r="BB1624" s="259"/>
      <c r="BC1624" s="190"/>
      <c r="BD1624" s="177"/>
      <c r="BE1624" s="177"/>
      <c r="BF1624" s="178"/>
    </row>
    <row r="1625" spans="1:58" ht="15" customHeight="1">
      <c r="A1625" s="95">
        <v>1624</v>
      </c>
      <c r="B1625" s="211" t="s">
        <v>2181</v>
      </c>
      <c r="C1625" s="191" t="s">
        <v>2718</v>
      </c>
      <c r="D1625" s="171" t="s">
        <v>119</v>
      </c>
      <c r="E1625" s="463" t="s">
        <v>3377</v>
      </c>
      <c r="F1625" s="171">
        <v>1998</v>
      </c>
      <c r="G1625" s="171">
        <v>354</v>
      </c>
      <c r="H1625" s="172" t="s">
        <v>1738</v>
      </c>
      <c r="I1625" s="173" t="s">
        <v>1751</v>
      </c>
      <c r="J1625" s="212">
        <v>0.3</v>
      </c>
      <c r="K1625" s="213">
        <v>3.04</v>
      </c>
      <c r="L1625" s="91"/>
      <c r="M1625" s="174">
        <v>484.9650725416443</v>
      </c>
      <c r="N1625" s="174"/>
      <c r="O1625" s="172" t="s">
        <v>12</v>
      </c>
      <c r="P1625" s="92"/>
      <c r="Q1625" s="173" t="s">
        <v>523</v>
      </c>
      <c r="R1625" s="506" t="s">
        <v>2308</v>
      </c>
      <c r="S1625" s="511"/>
      <c r="T1625" s="214" t="s">
        <v>2319</v>
      </c>
      <c r="U1625" s="171" t="s">
        <v>2308</v>
      </c>
      <c r="V1625" s="102">
        <v>0</v>
      </c>
      <c r="W1625" s="120">
        <v>0</v>
      </c>
      <c r="X1625" s="120">
        <v>0</v>
      </c>
      <c r="Y1625" s="120">
        <v>0</v>
      </c>
      <c r="Z1625" s="120">
        <v>0</v>
      </c>
      <c r="AA1625" s="17">
        <v>0</v>
      </c>
      <c r="AB1625" s="17">
        <v>0</v>
      </c>
      <c r="AC1625" s="17">
        <v>0</v>
      </c>
      <c r="AD1625" s="17">
        <v>0</v>
      </c>
      <c r="AE1625" s="17">
        <v>0</v>
      </c>
      <c r="AF1625" s="17">
        <v>0</v>
      </c>
      <c r="AG1625" s="17">
        <v>1.2500000000000001E-2</v>
      </c>
      <c r="AH1625" s="17">
        <v>0</v>
      </c>
      <c r="AI1625" s="17">
        <v>0</v>
      </c>
      <c r="AJ1625" s="17">
        <v>0</v>
      </c>
      <c r="AK1625" s="17">
        <v>0</v>
      </c>
      <c r="AL1625" s="32">
        <v>0</v>
      </c>
      <c r="AM1625" s="172">
        <v>63.3</v>
      </c>
      <c r="AN1625" s="89"/>
      <c r="AO1625" s="89"/>
      <c r="AP1625" s="783">
        <v>34500</v>
      </c>
      <c r="AQ1625" s="17" t="s">
        <v>271</v>
      </c>
      <c r="AR1625" s="174">
        <v>100</v>
      </c>
      <c r="AS1625" s="171"/>
      <c r="AT1625" s="171">
        <v>400</v>
      </c>
      <c r="AU1625" s="255">
        <f t="shared" si="114"/>
        <v>22.222222222222221</v>
      </c>
      <c r="AV1625" s="172">
        <v>99</v>
      </c>
      <c r="AW1625" s="171">
        <v>1</v>
      </c>
      <c r="AX1625" s="171">
        <v>30</v>
      </c>
      <c r="AY1625" s="171">
        <v>30</v>
      </c>
      <c r="AZ1625" s="89"/>
      <c r="BA1625" s="175">
        <v>40</v>
      </c>
      <c r="BB1625" s="259"/>
      <c r="BC1625" s="190"/>
      <c r="BD1625" s="177"/>
      <c r="BE1625" s="177"/>
      <c r="BF1625" s="178"/>
    </row>
    <row r="1626" spans="1:58" ht="15" customHeight="1">
      <c r="A1626" s="95">
        <v>1625</v>
      </c>
      <c r="B1626" s="211" t="s">
        <v>2182</v>
      </c>
      <c r="C1626" s="191" t="s">
        <v>2718</v>
      </c>
      <c r="D1626" s="171" t="s">
        <v>119</v>
      </c>
      <c r="E1626" s="463" t="s">
        <v>3377</v>
      </c>
      <c r="F1626" s="171">
        <v>1998</v>
      </c>
      <c r="G1626" s="171">
        <v>354</v>
      </c>
      <c r="H1626" s="172" t="s">
        <v>1738</v>
      </c>
      <c r="I1626" s="173" t="s">
        <v>1751</v>
      </c>
      <c r="J1626" s="212">
        <v>0.37499999999999994</v>
      </c>
      <c r="K1626" s="213">
        <v>3.9</v>
      </c>
      <c r="L1626" s="91"/>
      <c r="M1626" s="174">
        <v>380.34472586286824</v>
      </c>
      <c r="N1626" s="174"/>
      <c r="O1626" s="172" t="s">
        <v>12</v>
      </c>
      <c r="P1626" s="92"/>
      <c r="Q1626" s="173" t="s">
        <v>523</v>
      </c>
      <c r="R1626" s="506" t="s">
        <v>2308</v>
      </c>
      <c r="S1626" s="511"/>
      <c r="T1626" s="214" t="s">
        <v>2319</v>
      </c>
      <c r="U1626" s="171" t="s">
        <v>2308</v>
      </c>
      <c r="V1626" s="102">
        <v>0</v>
      </c>
      <c r="W1626" s="120">
        <v>0</v>
      </c>
      <c r="X1626" s="120">
        <v>0</v>
      </c>
      <c r="Y1626" s="120">
        <v>0</v>
      </c>
      <c r="Z1626" s="120">
        <v>0</v>
      </c>
      <c r="AA1626" s="17">
        <v>0</v>
      </c>
      <c r="AB1626" s="17">
        <v>0</v>
      </c>
      <c r="AC1626" s="17">
        <v>25</v>
      </c>
      <c r="AD1626" s="17">
        <v>0</v>
      </c>
      <c r="AE1626" s="17">
        <v>0</v>
      </c>
      <c r="AF1626" s="17">
        <v>0</v>
      </c>
      <c r="AG1626" s="17">
        <v>0</v>
      </c>
      <c r="AH1626" s="17">
        <v>0</v>
      </c>
      <c r="AI1626" s="17">
        <v>0</v>
      </c>
      <c r="AJ1626" s="17">
        <v>0</v>
      </c>
      <c r="AK1626" s="17">
        <v>0</v>
      </c>
      <c r="AL1626" s="32">
        <v>0</v>
      </c>
      <c r="AM1626" s="172">
        <v>78.2</v>
      </c>
      <c r="AN1626" s="89"/>
      <c r="AO1626" s="89"/>
      <c r="AP1626" s="88"/>
      <c r="AQ1626" s="17" t="s">
        <v>271</v>
      </c>
      <c r="AR1626" s="174">
        <v>100</v>
      </c>
      <c r="AS1626" s="171"/>
      <c r="AT1626" s="171">
        <v>400</v>
      </c>
      <c r="AU1626" s="255">
        <f t="shared" si="114"/>
        <v>22.222222222222221</v>
      </c>
      <c r="AV1626" s="172">
        <v>99</v>
      </c>
      <c r="AW1626" s="171">
        <v>1</v>
      </c>
      <c r="AX1626" s="171">
        <v>30</v>
      </c>
      <c r="AY1626" s="171">
        <v>30</v>
      </c>
      <c r="AZ1626" s="89"/>
      <c r="BA1626" s="175">
        <v>40</v>
      </c>
      <c r="BB1626" s="259"/>
      <c r="BC1626" s="190"/>
      <c r="BD1626" s="177"/>
      <c r="BE1626" s="177"/>
      <c r="BF1626" s="178"/>
    </row>
    <row r="1627" spans="1:58" ht="15" customHeight="1">
      <c r="A1627" s="95">
        <v>1626</v>
      </c>
      <c r="B1627" s="211" t="s">
        <v>2183</v>
      </c>
      <c r="C1627" s="191" t="s">
        <v>2718</v>
      </c>
      <c r="D1627" s="171" t="s">
        <v>119</v>
      </c>
      <c r="E1627" s="463" t="s">
        <v>3377</v>
      </c>
      <c r="F1627" s="171">
        <v>1998</v>
      </c>
      <c r="G1627" s="171">
        <v>354</v>
      </c>
      <c r="H1627" s="172" t="s">
        <v>1738</v>
      </c>
      <c r="I1627" s="173" t="s">
        <v>1751</v>
      </c>
      <c r="J1627" s="212">
        <v>0.37499999999999994</v>
      </c>
      <c r="K1627" s="213">
        <v>3.95</v>
      </c>
      <c r="L1627" s="91"/>
      <c r="M1627" s="174">
        <v>377.15790133517214</v>
      </c>
      <c r="N1627" s="174"/>
      <c r="O1627" s="172" t="s">
        <v>12</v>
      </c>
      <c r="P1627" s="92"/>
      <c r="Q1627" s="173" t="s">
        <v>523</v>
      </c>
      <c r="R1627" s="506" t="s">
        <v>2308</v>
      </c>
      <c r="S1627" s="511"/>
      <c r="T1627" s="214" t="s">
        <v>2319</v>
      </c>
      <c r="U1627" s="171" t="s">
        <v>2308</v>
      </c>
      <c r="V1627" s="102">
        <f>20/0.8</f>
        <v>25</v>
      </c>
      <c r="W1627" s="120">
        <v>0</v>
      </c>
      <c r="X1627" s="120">
        <v>0</v>
      </c>
      <c r="Y1627" s="120">
        <v>0</v>
      </c>
      <c r="Z1627" s="120">
        <v>0</v>
      </c>
      <c r="AA1627" s="17">
        <v>0</v>
      </c>
      <c r="AB1627" s="17">
        <v>0</v>
      </c>
      <c r="AC1627" s="17">
        <v>0</v>
      </c>
      <c r="AD1627" s="17">
        <v>0</v>
      </c>
      <c r="AE1627" s="17">
        <v>0</v>
      </c>
      <c r="AF1627" s="17">
        <v>0</v>
      </c>
      <c r="AG1627" s="17">
        <v>0</v>
      </c>
      <c r="AH1627" s="17">
        <v>0</v>
      </c>
      <c r="AI1627" s="17">
        <v>0</v>
      </c>
      <c r="AJ1627" s="17">
        <v>0</v>
      </c>
      <c r="AK1627" s="17">
        <v>0</v>
      </c>
      <c r="AL1627" s="32">
        <v>0</v>
      </c>
      <c r="AM1627" s="172">
        <v>89.2</v>
      </c>
      <c r="AN1627" s="89"/>
      <c r="AO1627" s="89"/>
      <c r="AP1627" s="88"/>
      <c r="AQ1627" s="17" t="s">
        <v>271</v>
      </c>
      <c r="AR1627" s="174">
        <v>100</v>
      </c>
      <c r="AS1627" s="171"/>
      <c r="AT1627" s="171">
        <v>400</v>
      </c>
      <c r="AU1627" s="255">
        <f t="shared" si="114"/>
        <v>22.222222222222221</v>
      </c>
      <c r="AV1627" s="172">
        <v>99</v>
      </c>
      <c r="AW1627" s="171">
        <v>1</v>
      </c>
      <c r="AX1627" s="171">
        <v>30</v>
      </c>
      <c r="AY1627" s="171">
        <v>30</v>
      </c>
      <c r="AZ1627" s="89"/>
      <c r="BA1627" s="175">
        <v>40</v>
      </c>
      <c r="BB1627" s="259"/>
      <c r="BC1627" s="190"/>
      <c r="BD1627" s="177"/>
      <c r="BE1627" s="177"/>
      <c r="BF1627" s="178"/>
    </row>
    <row r="1628" spans="1:58" ht="15" customHeight="1">
      <c r="A1628" s="95">
        <v>1627</v>
      </c>
      <c r="B1628" s="211" t="s">
        <v>2184</v>
      </c>
      <c r="C1628" s="191" t="s">
        <v>2718</v>
      </c>
      <c r="D1628" s="171" t="s">
        <v>119</v>
      </c>
      <c r="E1628" s="463" t="s">
        <v>3377</v>
      </c>
      <c r="F1628" s="171">
        <v>1998</v>
      </c>
      <c r="G1628" s="171">
        <v>354</v>
      </c>
      <c r="H1628" s="172" t="s">
        <v>1738</v>
      </c>
      <c r="I1628" s="173" t="s">
        <v>1751</v>
      </c>
      <c r="J1628" s="212">
        <v>0.3</v>
      </c>
      <c r="K1628" s="213">
        <v>3.04</v>
      </c>
      <c r="L1628" s="91"/>
      <c r="M1628" s="174">
        <v>484.9650725416443</v>
      </c>
      <c r="N1628" s="174"/>
      <c r="O1628" s="172" t="s">
        <v>12</v>
      </c>
      <c r="P1628" s="92"/>
      <c r="Q1628" s="173" t="s">
        <v>523</v>
      </c>
      <c r="R1628" s="506" t="s">
        <v>2308</v>
      </c>
      <c r="S1628" s="511"/>
      <c r="T1628" s="214" t="s">
        <v>2319</v>
      </c>
      <c r="U1628" s="171" t="s">
        <v>2308</v>
      </c>
      <c r="V1628" s="102">
        <v>0</v>
      </c>
      <c r="W1628" s="120">
        <v>0</v>
      </c>
      <c r="X1628" s="120">
        <v>0</v>
      </c>
      <c r="Y1628" s="120">
        <v>0</v>
      </c>
      <c r="Z1628" s="120">
        <v>0</v>
      </c>
      <c r="AA1628" s="17">
        <v>0</v>
      </c>
      <c r="AB1628" s="17">
        <v>0</v>
      </c>
      <c r="AC1628" s="17">
        <v>0</v>
      </c>
      <c r="AD1628" s="17">
        <v>0</v>
      </c>
      <c r="AE1628" s="17">
        <v>0</v>
      </c>
      <c r="AF1628" s="17">
        <v>0</v>
      </c>
      <c r="AG1628" s="17">
        <v>1.2500000000000001E-2</v>
      </c>
      <c r="AH1628" s="17">
        <v>0</v>
      </c>
      <c r="AI1628" s="17">
        <v>0</v>
      </c>
      <c r="AJ1628" s="17">
        <v>0</v>
      </c>
      <c r="AK1628" s="17">
        <v>0</v>
      </c>
      <c r="AL1628" s="32">
        <v>0</v>
      </c>
      <c r="AM1628" s="172">
        <v>63.3</v>
      </c>
      <c r="AN1628" s="89"/>
      <c r="AO1628" s="89"/>
      <c r="AP1628" s="783">
        <v>34500</v>
      </c>
      <c r="AQ1628" s="17" t="s">
        <v>271</v>
      </c>
      <c r="AR1628" s="174">
        <v>100</v>
      </c>
      <c r="AS1628" s="171"/>
      <c r="AT1628" s="171">
        <v>400</v>
      </c>
      <c r="AU1628" s="255">
        <f t="shared" si="114"/>
        <v>22.222222222222221</v>
      </c>
      <c r="AV1628" s="172">
        <v>99</v>
      </c>
      <c r="AW1628" s="171">
        <v>1</v>
      </c>
      <c r="AX1628" s="171">
        <v>30</v>
      </c>
      <c r="AY1628" s="171">
        <v>30</v>
      </c>
      <c r="AZ1628" s="89"/>
      <c r="BA1628" s="175">
        <v>40</v>
      </c>
      <c r="BB1628" s="259"/>
      <c r="BC1628" s="190"/>
      <c r="BD1628" s="177"/>
      <c r="BE1628" s="177"/>
      <c r="BF1628" s="178"/>
    </row>
    <row r="1629" spans="1:58" ht="15" customHeight="1">
      <c r="A1629" s="95">
        <v>1628</v>
      </c>
      <c r="B1629" s="211" t="s">
        <v>2185</v>
      </c>
      <c r="C1629" s="191" t="s">
        <v>2718</v>
      </c>
      <c r="D1629" s="171" t="s">
        <v>119</v>
      </c>
      <c r="E1629" s="463" t="s">
        <v>3377</v>
      </c>
      <c r="F1629" s="171">
        <v>1998</v>
      </c>
      <c r="G1629" s="171">
        <v>354</v>
      </c>
      <c r="H1629" s="172" t="s">
        <v>1738</v>
      </c>
      <c r="I1629" s="173" t="s">
        <v>1751</v>
      </c>
      <c r="J1629" s="212">
        <v>0.28499999999999998</v>
      </c>
      <c r="K1629" s="213">
        <v>3.04</v>
      </c>
      <c r="L1629" s="91"/>
      <c r="M1629" s="174">
        <v>484.9650725416443</v>
      </c>
      <c r="N1629" s="174"/>
      <c r="O1629" s="172" t="s">
        <v>12</v>
      </c>
      <c r="P1629" s="92"/>
      <c r="Q1629" s="173" t="s">
        <v>523</v>
      </c>
      <c r="R1629" s="506" t="s">
        <v>2308</v>
      </c>
      <c r="S1629" s="511"/>
      <c r="T1629" s="214" t="s">
        <v>2319</v>
      </c>
      <c r="U1629" s="171" t="s">
        <v>2308</v>
      </c>
      <c r="V1629" s="102">
        <v>0</v>
      </c>
      <c r="W1629" s="120">
        <v>0</v>
      </c>
      <c r="X1629" s="120">
        <v>0</v>
      </c>
      <c r="Y1629" s="120">
        <v>0</v>
      </c>
      <c r="Z1629" s="120">
        <v>0</v>
      </c>
      <c r="AA1629" s="17">
        <v>0</v>
      </c>
      <c r="AB1629" s="17">
        <v>0</v>
      </c>
      <c r="AC1629" s="17">
        <v>0</v>
      </c>
      <c r="AD1629" s="17">
        <v>0</v>
      </c>
      <c r="AE1629" s="17">
        <v>0</v>
      </c>
      <c r="AF1629" s="17">
        <v>0</v>
      </c>
      <c r="AG1629" s="17">
        <v>0</v>
      </c>
      <c r="AH1629" s="17">
        <v>2</v>
      </c>
      <c r="AI1629" s="17">
        <v>0</v>
      </c>
      <c r="AJ1629" s="17">
        <v>0</v>
      </c>
      <c r="AK1629" s="17">
        <v>0</v>
      </c>
      <c r="AL1629" s="32">
        <v>0</v>
      </c>
      <c r="AM1629" s="172">
        <v>54.8</v>
      </c>
      <c r="AN1629" s="89"/>
      <c r="AO1629" s="89"/>
      <c r="AP1629" s="88"/>
      <c r="AQ1629" s="17" t="s">
        <v>271</v>
      </c>
      <c r="AR1629" s="174">
        <v>100</v>
      </c>
      <c r="AS1629" s="171"/>
      <c r="AT1629" s="171">
        <v>400</v>
      </c>
      <c r="AU1629" s="255">
        <f t="shared" si="114"/>
        <v>22.222222222222221</v>
      </c>
      <c r="AV1629" s="172">
        <v>99</v>
      </c>
      <c r="AW1629" s="171">
        <v>1</v>
      </c>
      <c r="AX1629" s="171">
        <v>30</v>
      </c>
      <c r="AY1629" s="171">
        <v>30</v>
      </c>
      <c r="AZ1629" s="89"/>
      <c r="BA1629" s="175">
        <v>40</v>
      </c>
      <c r="BB1629" s="259"/>
      <c r="BC1629" s="190"/>
      <c r="BD1629" s="177"/>
      <c r="BE1629" s="177"/>
      <c r="BF1629" s="178"/>
    </row>
    <row r="1630" spans="1:58" ht="15" customHeight="1">
      <c r="A1630" s="95">
        <v>1629</v>
      </c>
      <c r="B1630" s="211" t="s">
        <v>2186</v>
      </c>
      <c r="C1630" s="191" t="s">
        <v>2718</v>
      </c>
      <c r="D1630" s="171" t="s">
        <v>119</v>
      </c>
      <c r="E1630" s="463" t="s">
        <v>3377</v>
      </c>
      <c r="F1630" s="171">
        <v>1998</v>
      </c>
      <c r="G1630" s="171">
        <v>354</v>
      </c>
      <c r="H1630" s="172" t="s">
        <v>1738</v>
      </c>
      <c r="I1630" s="173" t="s">
        <v>1751</v>
      </c>
      <c r="J1630" s="212">
        <v>0.5</v>
      </c>
      <c r="K1630" s="213">
        <v>4</v>
      </c>
      <c r="L1630" s="91"/>
      <c r="M1630" s="174">
        <v>376.05</v>
      </c>
      <c r="N1630" s="174"/>
      <c r="O1630" s="172" t="s">
        <v>12</v>
      </c>
      <c r="P1630" s="92"/>
      <c r="Q1630" s="173" t="s">
        <v>523</v>
      </c>
      <c r="R1630" s="506" t="s">
        <v>2308</v>
      </c>
      <c r="S1630" s="511"/>
      <c r="T1630" s="214" t="s">
        <v>2319</v>
      </c>
      <c r="U1630" s="171" t="s">
        <v>2308</v>
      </c>
      <c r="V1630" s="102">
        <v>0</v>
      </c>
      <c r="W1630" s="120">
        <v>0</v>
      </c>
      <c r="X1630" s="120">
        <v>0</v>
      </c>
      <c r="Y1630" s="120">
        <v>0</v>
      </c>
      <c r="Z1630" s="120">
        <v>0</v>
      </c>
      <c r="AA1630" s="17">
        <v>0</v>
      </c>
      <c r="AB1630" s="17">
        <v>0</v>
      </c>
      <c r="AC1630" s="17">
        <v>0</v>
      </c>
      <c r="AD1630" s="17">
        <v>0</v>
      </c>
      <c r="AE1630" s="17">
        <v>0</v>
      </c>
      <c r="AF1630" s="17">
        <v>0</v>
      </c>
      <c r="AG1630" s="17">
        <v>0</v>
      </c>
      <c r="AH1630" s="17">
        <v>0</v>
      </c>
      <c r="AI1630" s="17">
        <v>0</v>
      </c>
      <c r="AJ1630" s="17">
        <v>0</v>
      </c>
      <c r="AK1630" s="17">
        <v>0</v>
      </c>
      <c r="AL1630" s="32">
        <v>0</v>
      </c>
      <c r="AM1630" s="172">
        <v>35.9</v>
      </c>
      <c r="AN1630" s="89"/>
      <c r="AO1630" s="89"/>
      <c r="AP1630" s="88"/>
      <c r="AQ1630" s="17" t="s">
        <v>271</v>
      </c>
      <c r="AR1630" s="174">
        <v>100</v>
      </c>
      <c r="AS1630" s="171"/>
      <c r="AT1630" s="171">
        <v>400</v>
      </c>
      <c r="AU1630" s="255">
        <f t="shared" si="114"/>
        <v>22.222222222222221</v>
      </c>
      <c r="AV1630" s="172">
        <v>99</v>
      </c>
      <c r="AW1630" s="171">
        <v>1</v>
      </c>
      <c r="AX1630" s="171">
        <v>30</v>
      </c>
      <c r="AY1630" s="171">
        <v>30</v>
      </c>
      <c r="AZ1630" s="89"/>
      <c r="BA1630" s="175">
        <v>40</v>
      </c>
      <c r="BB1630" s="259"/>
      <c r="BC1630" s="190"/>
      <c r="BD1630" s="177"/>
      <c r="BE1630" s="177"/>
      <c r="BF1630" s="178"/>
    </row>
    <row r="1631" spans="1:58" ht="15" customHeight="1">
      <c r="A1631" s="95">
        <v>1630</v>
      </c>
      <c r="B1631" s="211" t="s">
        <v>2187</v>
      </c>
      <c r="C1631" s="191" t="s">
        <v>2718</v>
      </c>
      <c r="D1631" s="171" t="s">
        <v>119</v>
      </c>
      <c r="E1631" s="463" t="s">
        <v>3377</v>
      </c>
      <c r="F1631" s="171">
        <v>1998</v>
      </c>
      <c r="G1631" s="171">
        <v>354</v>
      </c>
      <c r="H1631" s="172" t="s">
        <v>1738</v>
      </c>
      <c r="I1631" s="173" t="s">
        <v>1751</v>
      </c>
      <c r="J1631" s="212">
        <v>0.47499999999999998</v>
      </c>
      <c r="K1631" s="213">
        <v>4</v>
      </c>
      <c r="L1631" s="91"/>
      <c r="M1631" s="174">
        <v>376.05</v>
      </c>
      <c r="N1631" s="174"/>
      <c r="O1631" s="172" t="s">
        <v>12</v>
      </c>
      <c r="P1631" s="92"/>
      <c r="Q1631" s="173" t="s">
        <v>523</v>
      </c>
      <c r="R1631" s="506" t="s">
        <v>2308</v>
      </c>
      <c r="S1631" s="511"/>
      <c r="T1631" s="214" t="s">
        <v>2319</v>
      </c>
      <c r="U1631" s="171" t="s">
        <v>2308</v>
      </c>
      <c r="V1631" s="102">
        <v>0</v>
      </c>
      <c r="W1631" s="120">
        <v>0</v>
      </c>
      <c r="X1631" s="120">
        <v>0</v>
      </c>
      <c r="Y1631" s="120">
        <v>0</v>
      </c>
      <c r="Z1631" s="120">
        <v>0</v>
      </c>
      <c r="AA1631" s="17">
        <v>0</v>
      </c>
      <c r="AB1631" s="17">
        <v>0</v>
      </c>
      <c r="AC1631" s="17">
        <v>0</v>
      </c>
      <c r="AD1631" s="17">
        <v>0</v>
      </c>
      <c r="AE1631" s="17">
        <v>0</v>
      </c>
      <c r="AF1631" s="17">
        <v>0</v>
      </c>
      <c r="AG1631" s="17">
        <v>0</v>
      </c>
      <c r="AH1631" s="17">
        <v>2.5</v>
      </c>
      <c r="AI1631" s="17">
        <v>0</v>
      </c>
      <c r="AJ1631" s="17">
        <v>0</v>
      </c>
      <c r="AK1631" s="17">
        <v>0</v>
      </c>
      <c r="AL1631" s="32">
        <v>0</v>
      </c>
      <c r="AM1631" s="172">
        <v>35.700000000000003</v>
      </c>
      <c r="AN1631" s="89"/>
      <c r="AO1631" s="89"/>
      <c r="AP1631" s="88"/>
      <c r="AQ1631" s="17" t="s">
        <v>271</v>
      </c>
      <c r="AR1631" s="174">
        <v>100</v>
      </c>
      <c r="AS1631" s="171"/>
      <c r="AT1631" s="171">
        <v>400</v>
      </c>
      <c r="AU1631" s="255">
        <f t="shared" si="114"/>
        <v>22.222222222222221</v>
      </c>
      <c r="AV1631" s="172">
        <v>99</v>
      </c>
      <c r="AW1631" s="171">
        <v>1</v>
      </c>
      <c r="AX1631" s="171">
        <v>30</v>
      </c>
      <c r="AY1631" s="171">
        <v>30</v>
      </c>
      <c r="AZ1631" s="89"/>
      <c r="BA1631" s="175">
        <v>40</v>
      </c>
      <c r="BB1631" s="259"/>
      <c r="BC1631" s="190"/>
      <c r="BD1631" s="177"/>
      <c r="BE1631" s="177"/>
      <c r="BF1631" s="178"/>
    </row>
    <row r="1632" spans="1:58" ht="15" customHeight="1">
      <c r="A1632" s="95">
        <v>1631</v>
      </c>
      <c r="B1632" s="211" t="s">
        <v>2188</v>
      </c>
      <c r="C1632" s="191" t="s">
        <v>2718</v>
      </c>
      <c r="D1632" s="171" t="s">
        <v>119</v>
      </c>
      <c r="E1632" s="463" t="s">
        <v>3377</v>
      </c>
      <c r="F1632" s="171">
        <v>1998</v>
      </c>
      <c r="G1632" s="171">
        <v>355</v>
      </c>
      <c r="H1632" s="172" t="s">
        <v>1738</v>
      </c>
      <c r="I1632" s="173" t="s">
        <v>1743</v>
      </c>
      <c r="J1632" s="212">
        <v>0.5</v>
      </c>
      <c r="K1632" s="213">
        <v>4</v>
      </c>
      <c r="L1632" s="91"/>
      <c r="M1632" s="174">
        <v>460</v>
      </c>
      <c r="N1632" s="174"/>
      <c r="O1632" s="172" t="s">
        <v>12</v>
      </c>
      <c r="P1632" s="92"/>
      <c r="Q1632" s="173" t="s">
        <v>523</v>
      </c>
      <c r="R1632" s="65" t="s">
        <v>2308</v>
      </c>
      <c r="S1632" s="511"/>
      <c r="T1632" s="214" t="s">
        <v>2319</v>
      </c>
      <c r="U1632" s="171" t="s">
        <v>2308</v>
      </c>
      <c r="V1632" s="102">
        <v>0</v>
      </c>
      <c r="W1632" s="120">
        <v>0</v>
      </c>
      <c r="X1632" s="120">
        <v>0</v>
      </c>
      <c r="Y1632" s="120">
        <v>0</v>
      </c>
      <c r="Z1632" s="120">
        <v>0</v>
      </c>
      <c r="AA1632" s="17">
        <v>0</v>
      </c>
      <c r="AB1632" s="17">
        <v>0</v>
      </c>
      <c r="AC1632" s="17">
        <v>0</v>
      </c>
      <c r="AD1632" s="17">
        <v>0</v>
      </c>
      <c r="AE1632" s="17">
        <v>0</v>
      </c>
      <c r="AF1632" s="17">
        <v>0</v>
      </c>
      <c r="AG1632" s="17">
        <v>0</v>
      </c>
      <c r="AH1632" s="17">
        <v>0</v>
      </c>
      <c r="AI1632" s="17">
        <v>0</v>
      </c>
      <c r="AJ1632" s="17">
        <v>0</v>
      </c>
      <c r="AK1632" s="17">
        <v>0</v>
      </c>
      <c r="AL1632" s="32">
        <v>0</v>
      </c>
      <c r="AM1632" s="172">
        <v>30.483899999999998</v>
      </c>
      <c r="AN1632" s="89"/>
      <c r="AO1632" s="171">
        <v>14.037699999999999</v>
      </c>
      <c r="AP1632" s="783">
        <v>22447.199999999997</v>
      </c>
      <c r="AQ1632" s="17" t="s">
        <v>530</v>
      </c>
      <c r="AR1632" s="174">
        <v>50</v>
      </c>
      <c r="AS1632" s="171"/>
      <c r="AT1632" s="171">
        <v>200</v>
      </c>
      <c r="AU1632" s="255">
        <f t="shared" ref="AU1632:AU1637" si="115">(AR1632*AT1632)/((2*AT1632)+(2*AR1632))</f>
        <v>20</v>
      </c>
      <c r="AV1632" s="172">
        <v>99</v>
      </c>
      <c r="AW1632" s="171">
        <v>1</v>
      </c>
      <c r="AX1632" s="171">
        <v>30</v>
      </c>
      <c r="AY1632" s="171">
        <v>30</v>
      </c>
      <c r="AZ1632" s="89"/>
      <c r="BA1632" s="175">
        <v>40</v>
      </c>
      <c r="BB1632" s="259"/>
      <c r="BC1632" s="190"/>
      <c r="BD1632" s="177"/>
      <c r="BE1632" s="177"/>
      <c r="BF1632" s="178"/>
    </row>
    <row r="1633" spans="1:58" ht="15" customHeight="1">
      <c r="A1633" s="95">
        <v>1632</v>
      </c>
      <c r="B1633" s="211" t="s">
        <v>2189</v>
      </c>
      <c r="C1633" s="191" t="s">
        <v>2718</v>
      </c>
      <c r="D1633" s="171" t="s">
        <v>119</v>
      </c>
      <c r="E1633" s="463" t="s">
        <v>3377</v>
      </c>
      <c r="F1633" s="171">
        <v>1998</v>
      </c>
      <c r="G1633" s="171">
        <v>355</v>
      </c>
      <c r="H1633" s="172" t="s">
        <v>1738</v>
      </c>
      <c r="I1633" s="173" t="s">
        <v>1743</v>
      </c>
      <c r="J1633" s="212">
        <v>0.28999999999999998</v>
      </c>
      <c r="K1633" s="213">
        <v>3.04</v>
      </c>
      <c r="L1633" s="91"/>
      <c r="M1633" s="174">
        <v>569.30693069306926</v>
      </c>
      <c r="N1633" s="174"/>
      <c r="O1633" s="172" t="s">
        <v>12</v>
      </c>
      <c r="P1633" s="92"/>
      <c r="Q1633" s="173" t="s">
        <v>523</v>
      </c>
      <c r="R1633" s="511"/>
      <c r="S1633" s="511"/>
      <c r="T1633" s="511"/>
      <c r="U1633" s="89"/>
      <c r="V1633" s="102">
        <v>0</v>
      </c>
      <c r="W1633" s="120">
        <v>0</v>
      </c>
      <c r="X1633" s="120">
        <v>0</v>
      </c>
      <c r="Y1633" s="120">
        <v>0</v>
      </c>
      <c r="Z1633" s="120">
        <v>0</v>
      </c>
      <c r="AA1633" s="17">
        <v>0</v>
      </c>
      <c r="AB1633" s="17">
        <v>0</v>
      </c>
      <c r="AC1633" s="17">
        <v>0</v>
      </c>
      <c r="AD1633" s="17">
        <v>0</v>
      </c>
      <c r="AE1633" s="17">
        <v>0</v>
      </c>
      <c r="AF1633" s="17">
        <v>1.7999999999999998</v>
      </c>
      <c r="AG1633" s="17">
        <v>0</v>
      </c>
      <c r="AH1633" s="17">
        <v>0</v>
      </c>
      <c r="AI1633" s="17">
        <v>0</v>
      </c>
      <c r="AJ1633" s="17">
        <v>0</v>
      </c>
      <c r="AK1633" s="17">
        <v>0</v>
      </c>
      <c r="AL1633" s="32">
        <v>0</v>
      </c>
      <c r="AM1633" s="172">
        <v>58.948</v>
      </c>
      <c r="AN1633" s="89"/>
      <c r="AO1633" s="171">
        <v>12.3512</v>
      </c>
      <c r="AP1633" s="783">
        <v>26244.800000000003</v>
      </c>
      <c r="AQ1633" s="17" t="s">
        <v>530</v>
      </c>
      <c r="AR1633" s="174">
        <v>50</v>
      </c>
      <c r="AS1633" s="171" t="s">
        <v>246</v>
      </c>
      <c r="AT1633" s="171">
        <v>200</v>
      </c>
      <c r="AU1633" s="255">
        <f t="shared" si="115"/>
        <v>20</v>
      </c>
      <c r="AV1633" s="172">
        <v>99</v>
      </c>
      <c r="AW1633" s="171">
        <v>1</v>
      </c>
      <c r="AX1633" s="171">
        <v>30</v>
      </c>
      <c r="AY1633" s="171">
        <v>30</v>
      </c>
      <c r="AZ1633" s="89"/>
      <c r="BA1633" s="175">
        <v>40</v>
      </c>
      <c r="BB1633" s="259"/>
      <c r="BC1633" s="190"/>
      <c r="BD1633" s="177"/>
      <c r="BE1633" s="177"/>
      <c r="BF1633" s="178"/>
    </row>
    <row r="1634" spans="1:58" ht="15" customHeight="1">
      <c r="A1634" s="95">
        <v>1633</v>
      </c>
      <c r="B1634" s="211" t="s">
        <v>2190</v>
      </c>
      <c r="C1634" s="191" t="s">
        <v>2718</v>
      </c>
      <c r="D1634" s="171" t="s">
        <v>119</v>
      </c>
      <c r="E1634" s="463" t="s">
        <v>3377</v>
      </c>
      <c r="F1634" s="171">
        <v>1998</v>
      </c>
      <c r="G1634" s="171">
        <v>355</v>
      </c>
      <c r="H1634" s="172" t="s">
        <v>1738</v>
      </c>
      <c r="I1634" s="173" t="s">
        <v>1743</v>
      </c>
      <c r="J1634" s="212">
        <v>0.28999999999999998</v>
      </c>
      <c r="K1634" s="213">
        <v>3.48</v>
      </c>
      <c r="L1634" s="91"/>
      <c r="M1634" s="174">
        <v>513.39285714285711</v>
      </c>
      <c r="N1634" s="174"/>
      <c r="O1634" s="172" t="s">
        <v>12</v>
      </c>
      <c r="P1634" s="92"/>
      <c r="Q1634" s="173" t="s">
        <v>523</v>
      </c>
      <c r="R1634" s="511"/>
      <c r="S1634" s="511"/>
      <c r="T1634" s="511"/>
      <c r="U1634" s="89"/>
      <c r="V1634" s="102">
        <v>0</v>
      </c>
      <c r="W1634" s="120">
        <v>0</v>
      </c>
      <c r="X1634" s="120">
        <v>0</v>
      </c>
      <c r="Y1634" s="120">
        <v>0</v>
      </c>
      <c r="Z1634" s="120">
        <v>0</v>
      </c>
      <c r="AA1634" s="17">
        <f>0.1*100</f>
        <v>10</v>
      </c>
      <c r="AB1634" s="17">
        <v>0</v>
      </c>
      <c r="AC1634" s="17">
        <v>0</v>
      </c>
      <c r="AD1634" s="17">
        <v>0</v>
      </c>
      <c r="AE1634" s="17">
        <v>0</v>
      </c>
      <c r="AF1634" s="17">
        <v>0</v>
      </c>
      <c r="AG1634" s="17">
        <v>0</v>
      </c>
      <c r="AH1634" s="17">
        <v>0</v>
      </c>
      <c r="AI1634" s="17">
        <v>0</v>
      </c>
      <c r="AJ1634" s="17">
        <v>0</v>
      </c>
      <c r="AK1634" s="17">
        <v>0</v>
      </c>
      <c r="AL1634" s="32">
        <v>0</v>
      </c>
      <c r="AM1634" s="172">
        <v>30.484999999999999</v>
      </c>
      <c r="AN1634" s="89"/>
      <c r="AO1634" s="171">
        <v>33.955100000000002</v>
      </c>
      <c r="AP1634" s="783">
        <v>22363</v>
      </c>
      <c r="AQ1634" s="17" t="s">
        <v>530</v>
      </c>
      <c r="AR1634" s="174">
        <v>50</v>
      </c>
      <c r="AS1634" s="171"/>
      <c r="AT1634" s="171">
        <v>200</v>
      </c>
      <c r="AU1634" s="255">
        <f t="shared" si="115"/>
        <v>20</v>
      </c>
      <c r="AV1634" s="172">
        <v>99</v>
      </c>
      <c r="AW1634" s="171">
        <v>1</v>
      </c>
      <c r="AX1634" s="171">
        <v>30</v>
      </c>
      <c r="AY1634" s="171">
        <v>30</v>
      </c>
      <c r="AZ1634" s="89"/>
      <c r="BA1634" s="175">
        <v>40</v>
      </c>
      <c r="BB1634" s="259"/>
      <c r="BC1634" s="190"/>
      <c r="BD1634" s="177"/>
      <c r="BE1634" s="177"/>
      <c r="BF1634" s="178"/>
    </row>
    <row r="1635" spans="1:58" ht="15" customHeight="1">
      <c r="A1635" s="95">
        <v>1634</v>
      </c>
      <c r="B1635" s="211" t="s">
        <v>2191</v>
      </c>
      <c r="C1635" s="191" t="s">
        <v>2718</v>
      </c>
      <c r="D1635" s="171" t="s">
        <v>119</v>
      </c>
      <c r="E1635" s="463" t="s">
        <v>3377</v>
      </c>
      <c r="F1635" s="171">
        <v>1998</v>
      </c>
      <c r="G1635" s="171">
        <v>355</v>
      </c>
      <c r="H1635" s="172" t="s">
        <v>1738</v>
      </c>
      <c r="I1635" s="173" t="s">
        <v>1743</v>
      </c>
      <c r="J1635" s="212">
        <v>0.28999999999999998</v>
      </c>
      <c r="K1635" s="213">
        <v>3.14</v>
      </c>
      <c r="L1635" s="91"/>
      <c r="M1635" s="174">
        <v>489.97493734335836</v>
      </c>
      <c r="N1635" s="174"/>
      <c r="O1635" s="172" t="s">
        <v>12</v>
      </c>
      <c r="P1635" s="92"/>
      <c r="Q1635" s="173" t="s">
        <v>523</v>
      </c>
      <c r="R1635" s="511"/>
      <c r="S1635" s="511"/>
      <c r="T1635" s="511"/>
      <c r="U1635" s="89"/>
      <c r="V1635" s="102">
        <f>0.15*100</f>
        <v>15</v>
      </c>
      <c r="W1635" s="120">
        <v>0</v>
      </c>
      <c r="X1635" s="120">
        <v>0</v>
      </c>
      <c r="Y1635" s="120">
        <v>0</v>
      </c>
      <c r="Z1635" s="120">
        <v>0</v>
      </c>
      <c r="AA1635" s="17">
        <v>0</v>
      </c>
      <c r="AB1635" s="17">
        <v>0</v>
      </c>
      <c r="AC1635" s="17">
        <v>0</v>
      </c>
      <c r="AD1635" s="17">
        <v>0</v>
      </c>
      <c r="AE1635" s="17">
        <v>0</v>
      </c>
      <c r="AF1635" s="17">
        <v>2.6</v>
      </c>
      <c r="AG1635" s="17">
        <v>0</v>
      </c>
      <c r="AH1635" s="17">
        <v>0</v>
      </c>
      <c r="AI1635" s="17">
        <v>0</v>
      </c>
      <c r="AJ1635" s="17">
        <v>0</v>
      </c>
      <c r="AK1635" s="17">
        <v>0</v>
      </c>
      <c r="AL1635" s="32">
        <v>0</v>
      </c>
      <c r="AM1635" s="172">
        <v>47.159599999999998</v>
      </c>
      <c r="AN1635" s="89"/>
      <c r="AO1635" s="171">
        <v>31.086099999999998</v>
      </c>
      <c r="AP1635" s="783">
        <v>31983.200000000001</v>
      </c>
      <c r="AQ1635" s="17" t="s">
        <v>530</v>
      </c>
      <c r="AR1635" s="174">
        <v>50</v>
      </c>
      <c r="AS1635" s="171"/>
      <c r="AT1635" s="171">
        <v>200</v>
      </c>
      <c r="AU1635" s="255">
        <f t="shared" si="115"/>
        <v>20</v>
      </c>
      <c r="AV1635" s="172">
        <v>99</v>
      </c>
      <c r="AW1635" s="171">
        <v>1</v>
      </c>
      <c r="AX1635" s="171">
        <v>30</v>
      </c>
      <c r="AY1635" s="171">
        <v>30</v>
      </c>
      <c r="AZ1635" s="89"/>
      <c r="BA1635" s="175">
        <v>40</v>
      </c>
      <c r="BB1635" s="259"/>
      <c r="BC1635" s="190"/>
      <c r="BD1635" s="177"/>
      <c r="BE1635" s="177"/>
      <c r="BF1635" s="178"/>
    </row>
    <row r="1636" spans="1:58" ht="15" customHeight="1">
      <c r="A1636" s="95">
        <v>1635</v>
      </c>
      <c r="B1636" s="211" t="s">
        <v>2192</v>
      </c>
      <c r="C1636" s="191" t="s">
        <v>2718</v>
      </c>
      <c r="D1636" s="171" t="s">
        <v>119</v>
      </c>
      <c r="E1636" s="463" t="s">
        <v>3377</v>
      </c>
      <c r="F1636" s="171">
        <v>1998</v>
      </c>
      <c r="G1636" s="171">
        <v>355</v>
      </c>
      <c r="H1636" s="172" t="s">
        <v>1738</v>
      </c>
      <c r="I1636" s="173" t="s">
        <v>1743</v>
      </c>
      <c r="J1636" s="212">
        <v>0.28999999999999998</v>
      </c>
      <c r="K1636" s="213">
        <v>3.04</v>
      </c>
      <c r="L1636" s="91"/>
      <c r="M1636" s="174">
        <v>569.30693069306926</v>
      </c>
      <c r="N1636" s="174"/>
      <c r="O1636" s="172" t="s">
        <v>12</v>
      </c>
      <c r="P1636" s="92"/>
      <c r="Q1636" s="173" t="s">
        <v>523</v>
      </c>
      <c r="R1636" s="511"/>
      <c r="S1636" s="511"/>
      <c r="T1636" s="511"/>
      <c r="U1636" s="89"/>
      <c r="V1636" s="102">
        <v>0</v>
      </c>
      <c r="W1636" s="120">
        <v>0</v>
      </c>
      <c r="X1636" s="120">
        <v>0</v>
      </c>
      <c r="Y1636" s="120">
        <v>0</v>
      </c>
      <c r="Z1636" s="120">
        <v>0</v>
      </c>
      <c r="AA1636" s="17">
        <v>0</v>
      </c>
      <c r="AB1636" s="17">
        <v>0</v>
      </c>
      <c r="AC1636" s="17">
        <v>0</v>
      </c>
      <c r="AD1636" s="17">
        <v>0</v>
      </c>
      <c r="AE1636" s="17">
        <v>0</v>
      </c>
      <c r="AF1636" s="17">
        <v>1.8</v>
      </c>
      <c r="AG1636" s="17">
        <v>0</v>
      </c>
      <c r="AH1636" s="17">
        <v>2</v>
      </c>
      <c r="AI1636" s="17">
        <v>0</v>
      </c>
      <c r="AJ1636" s="17">
        <v>0</v>
      </c>
      <c r="AK1636" s="17">
        <v>0</v>
      </c>
      <c r="AL1636" s="32">
        <v>0</v>
      </c>
      <c r="AM1636" s="172">
        <v>70.737700000000004</v>
      </c>
      <c r="AN1636" s="89"/>
      <c r="AO1636" s="171">
        <v>21.296800000000001</v>
      </c>
      <c r="AP1636" s="783">
        <v>34177.300000000003</v>
      </c>
      <c r="AQ1636" s="17" t="s">
        <v>530</v>
      </c>
      <c r="AR1636" s="174">
        <v>50</v>
      </c>
      <c r="AS1636" s="171"/>
      <c r="AT1636" s="171">
        <v>200</v>
      </c>
      <c r="AU1636" s="255">
        <f t="shared" si="115"/>
        <v>20</v>
      </c>
      <c r="AV1636" s="172">
        <v>99</v>
      </c>
      <c r="AW1636" s="171">
        <v>1</v>
      </c>
      <c r="AX1636" s="171">
        <v>30</v>
      </c>
      <c r="AY1636" s="171">
        <v>30</v>
      </c>
      <c r="AZ1636" s="89"/>
      <c r="BA1636" s="175">
        <v>40</v>
      </c>
      <c r="BB1636" s="259"/>
      <c r="BC1636" s="190"/>
      <c r="BD1636" s="177"/>
      <c r="BE1636" s="177"/>
      <c r="BF1636" s="178"/>
    </row>
    <row r="1637" spans="1:58" ht="15" customHeight="1">
      <c r="A1637" s="95">
        <v>1636</v>
      </c>
      <c r="B1637" s="211" t="s">
        <v>2193</v>
      </c>
      <c r="C1637" s="191" t="s">
        <v>2718</v>
      </c>
      <c r="D1637" s="171" t="s">
        <v>119</v>
      </c>
      <c r="E1637" s="463" t="s">
        <v>3377</v>
      </c>
      <c r="F1637" s="171">
        <v>1998</v>
      </c>
      <c r="G1637" s="171">
        <v>355</v>
      </c>
      <c r="H1637" s="172" t="s">
        <v>1738</v>
      </c>
      <c r="I1637" s="173" t="s">
        <v>1743</v>
      </c>
      <c r="J1637" s="212">
        <v>0.5</v>
      </c>
      <c r="K1637" s="213">
        <v>4</v>
      </c>
      <c r="L1637" s="91"/>
      <c r="M1637" s="171">
        <v>460</v>
      </c>
      <c r="N1637" s="171"/>
      <c r="O1637" s="172" t="s">
        <v>12</v>
      </c>
      <c r="P1637" s="92"/>
      <c r="Q1637" s="173" t="s">
        <v>523</v>
      </c>
      <c r="R1637" s="511"/>
      <c r="S1637" s="511"/>
      <c r="T1637" s="511"/>
      <c r="U1637" s="89"/>
      <c r="V1637" s="102">
        <v>0</v>
      </c>
      <c r="W1637" s="120">
        <v>0</v>
      </c>
      <c r="X1637" s="120">
        <v>0</v>
      </c>
      <c r="Y1637" s="120">
        <v>0</v>
      </c>
      <c r="Z1637" s="120">
        <v>0</v>
      </c>
      <c r="AA1637" s="17">
        <v>0</v>
      </c>
      <c r="AB1637" s="17">
        <v>0</v>
      </c>
      <c r="AC1637" s="17">
        <v>0</v>
      </c>
      <c r="AD1637" s="17">
        <v>0</v>
      </c>
      <c r="AE1637" s="17">
        <v>0</v>
      </c>
      <c r="AF1637" s="17">
        <v>0</v>
      </c>
      <c r="AG1637" s="17">
        <v>0</v>
      </c>
      <c r="AH1637" s="17">
        <v>2</v>
      </c>
      <c r="AI1637" s="17">
        <v>0</v>
      </c>
      <c r="AJ1637" s="17">
        <v>0</v>
      </c>
      <c r="AK1637" s="17">
        <v>0</v>
      </c>
      <c r="AL1637" s="32">
        <v>0</v>
      </c>
      <c r="AM1637" s="172">
        <v>67.873599999999996</v>
      </c>
      <c r="AN1637" s="89"/>
      <c r="AO1637" s="171">
        <v>44.755800000000001</v>
      </c>
      <c r="AP1637" s="783">
        <v>32236.3</v>
      </c>
      <c r="AQ1637" s="17" t="s">
        <v>530</v>
      </c>
      <c r="AR1637" s="174">
        <v>50</v>
      </c>
      <c r="AS1637" s="171"/>
      <c r="AT1637" s="171">
        <v>200</v>
      </c>
      <c r="AU1637" s="255">
        <f t="shared" si="115"/>
        <v>20</v>
      </c>
      <c r="AV1637" s="172">
        <v>99</v>
      </c>
      <c r="AW1637" s="171">
        <v>1</v>
      </c>
      <c r="AX1637" s="171">
        <v>30</v>
      </c>
      <c r="AY1637" s="171">
        <v>30</v>
      </c>
      <c r="AZ1637" s="89"/>
      <c r="BA1637" s="175">
        <v>40</v>
      </c>
      <c r="BB1637" s="259"/>
      <c r="BC1637" s="190"/>
      <c r="BD1637" s="177"/>
      <c r="BE1637" s="177"/>
      <c r="BF1637" s="178"/>
    </row>
    <row r="1638" spans="1:58" s="14" customFormat="1">
      <c r="A1638" s="95">
        <v>1637</v>
      </c>
      <c r="B1638" s="211" t="s">
        <v>2194</v>
      </c>
      <c r="C1638" s="191" t="s">
        <v>2719</v>
      </c>
      <c r="D1638" s="171" t="s">
        <v>256</v>
      </c>
      <c r="E1638" s="463" t="s">
        <v>3377</v>
      </c>
      <c r="F1638" s="171">
        <v>2005</v>
      </c>
      <c r="G1638" s="171">
        <v>356</v>
      </c>
      <c r="H1638" s="172" t="s">
        <v>1745</v>
      </c>
      <c r="I1638" s="173" t="s">
        <v>1739</v>
      </c>
      <c r="J1638" s="212">
        <v>0.27777777777777779</v>
      </c>
      <c r="K1638" s="213">
        <v>2.8211805555555554</v>
      </c>
      <c r="L1638" s="91"/>
      <c r="M1638" s="171">
        <v>576</v>
      </c>
      <c r="N1638" s="171"/>
      <c r="O1638" s="172" t="s">
        <v>12</v>
      </c>
      <c r="P1638" s="92"/>
      <c r="Q1638" s="173" t="s">
        <v>273</v>
      </c>
      <c r="R1638" s="511"/>
      <c r="S1638" s="511"/>
      <c r="T1638" s="214" t="s">
        <v>2306</v>
      </c>
      <c r="U1638" s="89"/>
      <c r="V1638" s="103">
        <f>(64/576)*100</f>
        <v>11.111111111111111</v>
      </c>
      <c r="W1638" s="120">
        <v>0</v>
      </c>
      <c r="X1638" s="120">
        <v>0</v>
      </c>
      <c r="Y1638" s="120">
        <v>0</v>
      </c>
      <c r="Z1638" s="120">
        <v>0</v>
      </c>
      <c r="AA1638" s="17">
        <v>0</v>
      </c>
      <c r="AB1638" s="17">
        <v>0</v>
      </c>
      <c r="AC1638" s="17">
        <v>0</v>
      </c>
      <c r="AD1638" s="17">
        <v>0</v>
      </c>
      <c r="AE1638" s="17">
        <v>0</v>
      </c>
      <c r="AF1638" s="33">
        <v>2</v>
      </c>
      <c r="AG1638" s="17">
        <v>0</v>
      </c>
      <c r="AH1638" s="17">
        <v>0</v>
      </c>
      <c r="AI1638" s="17">
        <v>0</v>
      </c>
      <c r="AJ1638" s="17">
        <v>0</v>
      </c>
      <c r="AK1638" s="17">
        <v>0</v>
      </c>
      <c r="AL1638" s="32">
        <v>0</v>
      </c>
      <c r="AM1638" s="172">
        <v>56.9</v>
      </c>
      <c r="AN1638" s="89"/>
      <c r="AO1638" s="171" t="s">
        <v>521</v>
      </c>
      <c r="AP1638" s="783" t="s">
        <v>521</v>
      </c>
      <c r="AQ1638" s="17" t="s">
        <v>271</v>
      </c>
      <c r="AR1638" s="174">
        <v>100</v>
      </c>
      <c r="AS1638" s="171"/>
      <c r="AT1638" s="171">
        <v>400</v>
      </c>
      <c r="AU1638" s="255">
        <f t="shared" ref="AU1638:AU1669" si="116">IF(ISBLANK(AS1638),(AR1638*AT1638)/((4*AT1638)+(2*AR1638)),AR1638*AS1638*AT1638/2/(AR1638*AS1638+AR1638*AT1638+AS1638*AT1638))</f>
        <v>22.222222222222221</v>
      </c>
      <c r="AV1638" s="172">
        <v>99</v>
      </c>
      <c r="AW1638" s="213">
        <v>0.37</v>
      </c>
      <c r="AX1638" s="171">
        <v>20</v>
      </c>
      <c r="AY1638" s="171">
        <v>20</v>
      </c>
      <c r="AZ1638" s="171">
        <v>0</v>
      </c>
      <c r="BA1638" s="175">
        <v>99</v>
      </c>
      <c r="BB1638" s="259"/>
      <c r="BC1638" s="190"/>
      <c r="BD1638" s="177"/>
      <c r="BE1638" s="177"/>
      <c r="BF1638" s="178"/>
    </row>
    <row r="1639" spans="1:58" s="14" customFormat="1">
      <c r="A1639" s="95">
        <v>1638</v>
      </c>
      <c r="B1639" s="211" t="s">
        <v>2195</v>
      </c>
      <c r="C1639" s="191" t="s">
        <v>2719</v>
      </c>
      <c r="D1639" s="171" t="s">
        <v>256</v>
      </c>
      <c r="E1639" s="463" t="s">
        <v>3377</v>
      </c>
      <c r="F1639" s="171">
        <v>2005</v>
      </c>
      <c r="G1639" s="171">
        <v>356</v>
      </c>
      <c r="H1639" s="172" t="s">
        <v>1745</v>
      </c>
      <c r="I1639" s="173" t="s">
        <v>1739</v>
      </c>
      <c r="J1639" s="212">
        <v>0.39386792452830188</v>
      </c>
      <c r="K1639" s="213">
        <v>4.1415094339622645</v>
      </c>
      <c r="L1639" s="91"/>
      <c r="M1639" s="171">
        <v>424</v>
      </c>
      <c r="N1639" s="171"/>
      <c r="O1639" s="172" t="s">
        <v>12</v>
      </c>
      <c r="P1639" s="92"/>
      <c r="Q1639" s="173" t="s">
        <v>273</v>
      </c>
      <c r="R1639" s="511"/>
      <c r="S1639" s="511"/>
      <c r="T1639" s="214" t="s">
        <v>2306</v>
      </c>
      <c r="U1639" s="89"/>
      <c r="V1639" s="103">
        <f>(47/424)*100</f>
        <v>11.084905660377359</v>
      </c>
      <c r="W1639" s="120">
        <v>0</v>
      </c>
      <c r="X1639" s="120">
        <v>0</v>
      </c>
      <c r="Y1639" s="120">
        <v>0</v>
      </c>
      <c r="Z1639" s="120">
        <v>0</v>
      </c>
      <c r="AA1639" s="17">
        <v>0</v>
      </c>
      <c r="AB1639" s="17">
        <v>0</v>
      </c>
      <c r="AC1639" s="17">
        <v>0</v>
      </c>
      <c r="AD1639" s="17">
        <v>0</v>
      </c>
      <c r="AE1639" s="17">
        <v>0</v>
      </c>
      <c r="AF1639" s="33">
        <v>1.9995283018867924</v>
      </c>
      <c r="AG1639" s="17">
        <v>0</v>
      </c>
      <c r="AH1639" s="17">
        <v>0</v>
      </c>
      <c r="AI1639" s="17">
        <v>0</v>
      </c>
      <c r="AJ1639" s="17">
        <v>0</v>
      </c>
      <c r="AK1639" s="17">
        <v>0</v>
      </c>
      <c r="AL1639" s="32">
        <v>0</v>
      </c>
      <c r="AM1639" s="172">
        <v>78.25</v>
      </c>
      <c r="AN1639" s="89"/>
      <c r="AO1639" s="171" t="s">
        <v>521</v>
      </c>
      <c r="AP1639" s="783" t="s">
        <v>521</v>
      </c>
      <c r="AQ1639" s="17" t="s">
        <v>271</v>
      </c>
      <c r="AR1639" s="174">
        <v>100</v>
      </c>
      <c r="AS1639" s="171"/>
      <c r="AT1639" s="171">
        <v>400</v>
      </c>
      <c r="AU1639" s="255">
        <f t="shared" si="116"/>
        <v>22.222222222222221</v>
      </c>
      <c r="AV1639" s="172">
        <v>99</v>
      </c>
      <c r="AW1639" s="213">
        <v>0.41</v>
      </c>
      <c r="AX1639" s="171">
        <v>20</v>
      </c>
      <c r="AY1639" s="171">
        <v>20</v>
      </c>
      <c r="AZ1639" s="171">
        <v>0</v>
      </c>
      <c r="BA1639" s="175">
        <v>99</v>
      </c>
      <c r="BB1639" s="259"/>
      <c r="BC1639" s="190"/>
      <c r="BD1639" s="177"/>
      <c r="BE1639" s="177"/>
      <c r="BF1639" s="178"/>
    </row>
    <row r="1640" spans="1:58" s="14" customFormat="1">
      <c r="A1640" s="95">
        <v>1639</v>
      </c>
      <c r="B1640" s="211" t="s">
        <v>2196</v>
      </c>
      <c r="C1640" s="191" t="s">
        <v>2719</v>
      </c>
      <c r="D1640" s="171" t="s">
        <v>256</v>
      </c>
      <c r="E1640" s="463" t="s">
        <v>3377</v>
      </c>
      <c r="F1640" s="171">
        <v>2005</v>
      </c>
      <c r="G1640" s="171">
        <v>356</v>
      </c>
      <c r="H1640" s="172" t="s">
        <v>1745</v>
      </c>
      <c r="I1640" s="173" t="s">
        <v>1739</v>
      </c>
      <c r="J1640" s="212">
        <v>0.5</v>
      </c>
      <c r="K1640" s="213">
        <v>5.3617647058823525</v>
      </c>
      <c r="L1640" s="91"/>
      <c r="M1640" s="171">
        <v>340</v>
      </c>
      <c r="N1640" s="171"/>
      <c r="O1640" s="172" t="s">
        <v>12</v>
      </c>
      <c r="P1640" s="92"/>
      <c r="Q1640" s="173" t="s">
        <v>273</v>
      </c>
      <c r="R1640" s="511"/>
      <c r="S1640" s="511"/>
      <c r="T1640" s="214" t="s">
        <v>2306</v>
      </c>
      <c r="U1640" s="89"/>
      <c r="V1640" s="103">
        <f>(38/340)*100</f>
        <v>11.176470588235295</v>
      </c>
      <c r="W1640" s="120">
        <v>0</v>
      </c>
      <c r="X1640" s="120">
        <v>0</v>
      </c>
      <c r="Y1640" s="120">
        <v>0</v>
      </c>
      <c r="Z1640" s="120">
        <v>0</v>
      </c>
      <c r="AA1640" s="17">
        <v>0</v>
      </c>
      <c r="AB1640" s="17">
        <v>0</v>
      </c>
      <c r="AC1640" s="17">
        <v>0</v>
      </c>
      <c r="AD1640" s="17">
        <v>0</v>
      </c>
      <c r="AE1640" s="17">
        <v>0</v>
      </c>
      <c r="AF1640" s="33">
        <v>1.5564705882352941</v>
      </c>
      <c r="AG1640" s="17">
        <v>0</v>
      </c>
      <c r="AH1640" s="17">
        <v>0</v>
      </c>
      <c r="AI1640" s="17">
        <v>0</v>
      </c>
      <c r="AJ1640" s="17">
        <v>0</v>
      </c>
      <c r="AK1640" s="17">
        <v>0</v>
      </c>
      <c r="AL1640" s="32">
        <v>0</v>
      </c>
      <c r="AM1640" s="172">
        <v>99.6</v>
      </c>
      <c r="AN1640" s="89"/>
      <c r="AO1640" s="171" t="s">
        <v>521</v>
      </c>
      <c r="AP1640" s="783" t="s">
        <v>521</v>
      </c>
      <c r="AQ1640" s="17" t="s">
        <v>271</v>
      </c>
      <c r="AR1640" s="174">
        <v>100</v>
      </c>
      <c r="AS1640" s="171"/>
      <c r="AT1640" s="171">
        <v>400</v>
      </c>
      <c r="AU1640" s="255">
        <f t="shared" si="116"/>
        <v>22.222222222222221</v>
      </c>
      <c r="AV1640" s="172">
        <v>99</v>
      </c>
      <c r="AW1640" s="213">
        <v>0.46</v>
      </c>
      <c r="AX1640" s="171">
        <v>20</v>
      </c>
      <c r="AY1640" s="171">
        <v>20</v>
      </c>
      <c r="AZ1640" s="171">
        <v>0</v>
      </c>
      <c r="BA1640" s="175">
        <v>99</v>
      </c>
      <c r="BB1640" s="259"/>
      <c r="BC1640" s="190"/>
      <c r="BD1640" s="177"/>
      <c r="BE1640" s="177"/>
      <c r="BF1640" s="178"/>
    </row>
    <row r="1641" spans="1:58" ht="15" customHeight="1">
      <c r="A1641" s="95">
        <v>1640</v>
      </c>
      <c r="B1641" s="211" t="s">
        <v>2197</v>
      </c>
      <c r="C1641" s="191" t="s">
        <v>2719</v>
      </c>
      <c r="D1641" s="171" t="s">
        <v>256</v>
      </c>
      <c r="E1641" s="463" t="s">
        <v>3377</v>
      </c>
      <c r="F1641" s="171">
        <v>2005</v>
      </c>
      <c r="G1641" s="171">
        <v>356</v>
      </c>
      <c r="H1641" s="172" t="s">
        <v>1738</v>
      </c>
      <c r="I1641" s="173" t="s">
        <v>1743</v>
      </c>
      <c r="J1641" s="212">
        <v>0.27777777777777779</v>
      </c>
      <c r="K1641" s="213">
        <v>2.8211805555555554</v>
      </c>
      <c r="L1641" s="91"/>
      <c r="M1641" s="171">
        <v>576</v>
      </c>
      <c r="N1641" s="171"/>
      <c r="O1641" s="172" t="s">
        <v>12</v>
      </c>
      <c r="P1641" s="92"/>
      <c r="Q1641" s="173" t="s">
        <v>273</v>
      </c>
      <c r="R1641" s="511"/>
      <c r="S1641" s="511"/>
      <c r="T1641" s="214" t="s">
        <v>2306</v>
      </c>
      <c r="U1641" s="89"/>
      <c r="V1641" s="103">
        <f>(64/576)*100</f>
        <v>11.111111111111111</v>
      </c>
      <c r="W1641" s="120">
        <v>0</v>
      </c>
      <c r="X1641" s="120">
        <v>0</v>
      </c>
      <c r="Y1641" s="120">
        <v>0</v>
      </c>
      <c r="Z1641" s="120">
        <v>0</v>
      </c>
      <c r="AA1641" s="17">
        <v>0</v>
      </c>
      <c r="AB1641" s="17">
        <v>0</v>
      </c>
      <c r="AC1641" s="17">
        <v>0</v>
      </c>
      <c r="AD1641" s="17">
        <v>0</v>
      </c>
      <c r="AE1641" s="17">
        <v>0</v>
      </c>
      <c r="AF1641" s="33">
        <v>2</v>
      </c>
      <c r="AG1641" s="17">
        <v>0</v>
      </c>
      <c r="AH1641" s="17">
        <v>0</v>
      </c>
      <c r="AI1641" s="17">
        <v>0</v>
      </c>
      <c r="AJ1641" s="17">
        <v>0</v>
      </c>
      <c r="AK1641" s="17">
        <v>0</v>
      </c>
      <c r="AL1641" s="32">
        <v>0</v>
      </c>
      <c r="AM1641" s="172">
        <v>56.9</v>
      </c>
      <c r="AN1641" s="89"/>
      <c r="AO1641" s="171" t="s">
        <v>521</v>
      </c>
      <c r="AP1641" s="783" t="s">
        <v>521</v>
      </c>
      <c r="AQ1641" s="17" t="s">
        <v>271</v>
      </c>
      <c r="AR1641" s="174">
        <v>100</v>
      </c>
      <c r="AS1641" s="171"/>
      <c r="AT1641" s="171">
        <v>400</v>
      </c>
      <c r="AU1641" s="255">
        <f t="shared" si="116"/>
        <v>22.222222222222221</v>
      </c>
      <c r="AV1641" s="172">
        <v>99</v>
      </c>
      <c r="AW1641" s="171">
        <v>1</v>
      </c>
      <c r="AX1641" s="171">
        <v>20</v>
      </c>
      <c r="AY1641" s="171">
        <v>20</v>
      </c>
      <c r="AZ1641" s="171">
        <v>0</v>
      </c>
      <c r="BA1641" s="175">
        <v>60</v>
      </c>
      <c r="BB1641" s="259"/>
      <c r="BC1641" s="190"/>
      <c r="BD1641" s="177"/>
      <c r="BE1641" s="177"/>
      <c r="BF1641" s="178"/>
    </row>
    <row r="1642" spans="1:58" ht="15" customHeight="1">
      <c r="A1642" s="95">
        <v>1641</v>
      </c>
      <c r="B1642" s="211" t="s">
        <v>2198</v>
      </c>
      <c r="C1642" s="191" t="s">
        <v>2719</v>
      </c>
      <c r="D1642" s="171" t="s">
        <v>256</v>
      </c>
      <c r="E1642" s="463" t="s">
        <v>3377</v>
      </c>
      <c r="F1642" s="171">
        <v>2005</v>
      </c>
      <c r="G1642" s="171">
        <v>356</v>
      </c>
      <c r="H1642" s="172" t="s">
        <v>1738</v>
      </c>
      <c r="I1642" s="173" t="s">
        <v>1743</v>
      </c>
      <c r="J1642" s="212">
        <v>0.27777777777777779</v>
      </c>
      <c r="K1642" s="213">
        <v>2.8211805555555554</v>
      </c>
      <c r="L1642" s="91"/>
      <c r="M1642" s="171">
        <v>576</v>
      </c>
      <c r="N1642" s="171"/>
      <c r="O1642" s="172" t="s">
        <v>12</v>
      </c>
      <c r="P1642" s="92"/>
      <c r="Q1642" s="173" t="s">
        <v>273</v>
      </c>
      <c r="R1642" s="511"/>
      <c r="S1642" s="511"/>
      <c r="T1642" s="214" t="s">
        <v>2306</v>
      </c>
      <c r="U1642" s="89"/>
      <c r="V1642" s="103">
        <f>(64/576)*100</f>
        <v>11.111111111111111</v>
      </c>
      <c r="W1642" s="120">
        <v>0</v>
      </c>
      <c r="X1642" s="120">
        <v>0</v>
      </c>
      <c r="Y1642" s="120">
        <v>0</v>
      </c>
      <c r="Z1642" s="120">
        <v>0</v>
      </c>
      <c r="AA1642" s="17">
        <v>0</v>
      </c>
      <c r="AB1642" s="17">
        <v>0</v>
      </c>
      <c r="AC1642" s="17">
        <v>0</v>
      </c>
      <c r="AD1642" s="17">
        <v>0</v>
      </c>
      <c r="AE1642" s="17">
        <v>0</v>
      </c>
      <c r="AF1642" s="33">
        <v>2</v>
      </c>
      <c r="AG1642" s="17">
        <v>0</v>
      </c>
      <c r="AH1642" s="17">
        <v>0</v>
      </c>
      <c r="AI1642" s="17">
        <v>0</v>
      </c>
      <c r="AJ1642" s="17">
        <v>0</v>
      </c>
      <c r="AK1642" s="17">
        <v>0</v>
      </c>
      <c r="AL1642" s="32">
        <v>0</v>
      </c>
      <c r="AM1642" s="172">
        <v>56.9</v>
      </c>
      <c r="AN1642" s="89"/>
      <c r="AO1642" s="171" t="s">
        <v>521</v>
      </c>
      <c r="AP1642" s="783" t="s">
        <v>521</v>
      </c>
      <c r="AQ1642" s="17" t="s">
        <v>271</v>
      </c>
      <c r="AR1642" s="174">
        <v>100</v>
      </c>
      <c r="AS1642" s="171"/>
      <c r="AT1642" s="171">
        <v>400</v>
      </c>
      <c r="AU1642" s="255">
        <f t="shared" si="116"/>
        <v>22.222222222222221</v>
      </c>
      <c r="AV1642" s="172">
        <v>99</v>
      </c>
      <c r="AW1642" s="171">
        <v>3</v>
      </c>
      <c r="AX1642" s="171">
        <v>20</v>
      </c>
      <c r="AY1642" s="171">
        <v>20</v>
      </c>
      <c r="AZ1642" s="171">
        <v>0</v>
      </c>
      <c r="BA1642" s="175">
        <v>60</v>
      </c>
      <c r="BB1642" s="259"/>
      <c r="BC1642" s="190"/>
      <c r="BD1642" s="177"/>
      <c r="BE1642" s="177"/>
      <c r="BF1642" s="178"/>
    </row>
    <row r="1643" spans="1:58" ht="15" customHeight="1">
      <c r="A1643" s="95">
        <v>1642</v>
      </c>
      <c r="B1643" s="211" t="s">
        <v>2199</v>
      </c>
      <c r="C1643" s="191" t="s">
        <v>2719</v>
      </c>
      <c r="D1643" s="171" t="s">
        <v>256</v>
      </c>
      <c r="E1643" s="463" t="s">
        <v>3377</v>
      </c>
      <c r="F1643" s="171">
        <v>2005</v>
      </c>
      <c r="G1643" s="171">
        <v>356</v>
      </c>
      <c r="H1643" s="172" t="s">
        <v>1738</v>
      </c>
      <c r="I1643" s="173" t="s">
        <v>1743</v>
      </c>
      <c r="J1643" s="212">
        <v>0.27777777777777779</v>
      </c>
      <c r="K1643" s="213">
        <v>2.8211805555555554</v>
      </c>
      <c r="L1643" s="91"/>
      <c r="M1643" s="171">
        <v>576</v>
      </c>
      <c r="N1643" s="171"/>
      <c r="O1643" s="172" t="s">
        <v>12</v>
      </c>
      <c r="P1643" s="92"/>
      <c r="Q1643" s="173" t="s">
        <v>273</v>
      </c>
      <c r="R1643" s="511"/>
      <c r="S1643" s="511"/>
      <c r="T1643" s="214" t="s">
        <v>2306</v>
      </c>
      <c r="U1643" s="89"/>
      <c r="V1643" s="103">
        <f>(64/576)*100</f>
        <v>11.111111111111111</v>
      </c>
      <c r="W1643" s="120">
        <v>0</v>
      </c>
      <c r="X1643" s="120">
        <v>0</v>
      </c>
      <c r="Y1643" s="120">
        <v>0</v>
      </c>
      <c r="Z1643" s="120">
        <v>0</v>
      </c>
      <c r="AA1643" s="17">
        <v>0</v>
      </c>
      <c r="AB1643" s="17">
        <v>0</v>
      </c>
      <c r="AC1643" s="17">
        <v>0</v>
      </c>
      <c r="AD1643" s="17">
        <v>0</v>
      </c>
      <c r="AE1643" s="17">
        <v>0</v>
      </c>
      <c r="AF1643" s="33">
        <v>2</v>
      </c>
      <c r="AG1643" s="17">
        <v>0</v>
      </c>
      <c r="AH1643" s="17">
        <v>0</v>
      </c>
      <c r="AI1643" s="17">
        <v>0</v>
      </c>
      <c r="AJ1643" s="17">
        <v>0</v>
      </c>
      <c r="AK1643" s="17">
        <v>0</v>
      </c>
      <c r="AL1643" s="32">
        <v>0</v>
      </c>
      <c r="AM1643" s="172">
        <v>56.9</v>
      </c>
      <c r="AN1643" s="89"/>
      <c r="AO1643" s="171" t="s">
        <v>521</v>
      </c>
      <c r="AP1643" s="783" t="s">
        <v>521</v>
      </c>
      <c r="AQ1643" s="17" t="s">
        <v>271</v>
      </c>
      <c r="AR1643" s="174">
        <v>100</v>
      </c>
      <c r="AS1643" s="171"/>
      <c r="AT1643" s="171">
        <v>400</v>
      </c>
      <c r="AU1643" s="255">
        <f t="shared" si="116"/>
        <v>22.222222222222221</v>
      </c>
      <c r="AV1643" s="172">
        <v>99</v>
      </c>
      <c r="AW1643" s="171">
        <v>0.5</v>
      </c>
      <c r="AX1643" s="171">
        <v>20</v>
      </c>
      <c r="AY1643" s="171">
        <v>20</v>
      </c>
      <c r="AZ1643" s="171">
        <v>0</v>
      </c>
      <c r="BA1643" s="175">
        <v>60</v>
      </c>
      <c r="BB1643" s="259"/>
      <c r="BC1643" s="190"/>
      <c r="BD1643" s="177"/>
      <c r="BE1643" s="177"/>
      <c r="BF1643" s="178"/>
    </row>
    <row r="1644" spans="1:58" ht="15" customHeight="1">
      <c r="A1644" s="95">
        <v>1643</v>
      </c>
      <c r="B1644" s="211" t="s">
        <v>2200</v>
      </c>
      <c r="C1644" s="191" t="s">
        <v>2719</v>
      </c>
      <c r="D1644" s="171" t="s">
        <v>256</v>
      </c>
      <c r="E1644" s="463" t="s">
        <v>3377</v>
      </c>
      <c r="F1644" s="171">
        <v>2005</v>
      </c>
      <c r="G1644" s="171">
        <v>356</v>
      </c>
      <c r="H1644" s="172" t="s">
        <v>1738</v>
      </c>
      <c r="I1644" s="173" t="s">
        <v>1743</v>
      </c>
      <c r="J1644" s="212">
        <v>0.39386792452830188</v>
      </c>
      <c r="K1644" s="213">
        <v>4.1415094339622645</v>
      </c>
      <c r="L1644" s="91"/>
      <c r="M1644" s="171">
        <v>424</v>
      </c>
      <c r="N1644" s="171"/>
      <c r="O1644" s="172" t="s">
        <v>12</v>
      </c>
      <c r="P1644" s="92"/>
      <c r="Q1644" s="173" t="s">
        <v>273</v>
      </c>
      <c r="R1644" s="511"/>
      <c r="S1644" s="511"/>
      <c r="T1644" s="214" t="s">
        <v>2306</v>
      </c>
      <c r="U1644" s="89"/>
      <c r="V1644" s="103">
        <f>(47/424)*100</f>
        <v>11.084905660377359</v>
      </c>
      <c r="W1644" s="120">
        <v>0</v>
      </c>
      <c r="X1644" s="120">
        <v>0</v>
      </c>
      <c r="Y1644" s="120">
        <v>0</v>
      </c>
      <c r="Z1644" s="120">
        <v>0</v>
      </c>
      <c r="AA1644" s="17">
        <v>0</v>
      </c>
      <c r="AB1644" s="17">
        <v>0</v>
      </c>
      <c r="AC1644" s="17">
        <v>0</v>
      </c>
      <c r="AD1644" s="17">
        <v>0</v>
      </c>
      <c r="AE1644" s="17">
        <v>0</v>
      </c>
      <c r="AF1644" s="33">
        <v>1.9995283018867924</v>
      </c>
      <c r="AG1644" s="17">
        <v>0</v>
      </c>
      <c r="AH1644" s="17">
        <v>0</v>
      </c>
      <c r="AI1644" s="17">
        <v>0</v>
      </c>
      <c r="AJ1644" s="17">
        <v>0</v>
      </c>
      <c r="AK1644" s="17">
        <v>0</v>
      </c>
      <c r="AL1644" s="32">
        <v>0</v>
      </c>
      <c r="AM1644" s="172">
        <v>78.25</v>
      </c>
      <c r="AN1644" s="89"/>
      <c r="AO1644" s="171" t="s">
        <v>521</v>
      </c>
      <c r="AP1644" s="783" t="s">
        <v>521</v>
      </c>
      <c r="AQ1644" s="17" t="s">
        <v>271</v>
      </c>
      <c r="AR1644" s="174">
        <v>100</v>
      </c>
      <c r="AS1644" s="171"/>
      <c r="AT1644" s="171">
        <v>400</v>
      </c>
      <c r="AU1644" s="255">
        <f t="shared" si="116"/>
        <v>22.222222222222221</v>
      </c>
      <c r="AV1644" s="172">
        <v>99</v>
      </c>
      <c r="AW1644" s="171">
        <v>1</v>
      </c>
      <c r="AX1644" s="171">
        <v>20</v>
      </c>
      <c r="AY1644" s="171">
        <v>20</v>
      </c>
      <c r="AZ1644" s="171">
        <v>0</v>
      </c>
      <c r="BA1644" s="175">
        <v>60</v>
      </c>
      <c r="BB1644" s="259"/>
      <c r="BC1644" s="190"/>
      <c r="BD1644" s="177"/>
      <c r="BE1644" s="177"/>
      <c r="BF1644" s="178"/>
    </row>
    <row r="1645" spans="1:58" ht="15" customHeight="1">
      <c r="A1645" s="95">
        <v>1644</v>
      </c>
      <c r="B1645" s="211" t="s">
        <v>2201</v>
      </c>
      <c r="C1645" s="191" t="s">
        <v>2719</v>
      </c>
      <c r="D1645" s="171" t="s">
        <v>256</v>
      </c>
      <c r="E1645" s="463" t="s">
        <v>3377</v>
      </c>
      <c r="F1645" s="171">
        <v>2005</v>
      </c>
      <c r="G1645" s="171">
        <v>356</v>
      </c>
      <c r="H1645" s="172" t="s">
        <v>1738</v>
      </c>
      <c r="I1645" s="173" t="s">
        <v>1743</v>
      </c>
      <c r="J1645" s="212">
        <v>0.39386792452830188</v>
      </c>
      <c r="K1645" s="213">
        <v>4.1415094339622645</v>
      </c>
      <c r="L1645" s="91"/>
      <c r="M1645" s="171">
        <v>424</v>
      </c>
      <c r="N1645" s="171"/>
      <c r="O1645" s="172" t="s">
        <v>12</v>
      </c>
      <c r="P1645" s="511"/>
      <c r="Q1645" s="173" t="s">
        <v>273</v>
      </c>
      <c r="R1645" s="511"/>
      <c r="S1645" s="511"/>
      <c r="T1645" s="214" t="s">
        <v>2306</v>
      </c>
      <c r="U1645" s="89"/>
      <c r="V1645" s="103">
        <f>(47/424)*100</f>
        <v>11.084905660377359</v>
      </c>
      <c r="W1645" s="120">
        <v>0</v>
      </c>
      <c r="X1645" s="120">
        <v>0</v>
      </c>
      <c r="Y1645" s="120">
        <v>0</v>
      </c>
      <c r="Z1645" s="120">
        <v>0</v>
      </c>
      <c r="AA1645" s="17">
        <v>0</v>
      </c>
      <c r="AB1645" s="17">
        <v>0</v>
      </c>
      <c r="AC1645" s="17">
        <v>0</v>
      </c>
      <c r="AD1645" s="17">
        <v>0</v>
      </c>
      <c r="AE1645" s="17">
        <v>0</v>
      </c>
      <c r="AF1645" s="33">
        <v>1.9995283018867924</v>
      </c>
      <c r="AG1645" s="17">
        <v>0</v>
      </c>
      <c r="AH1645" s="17">
        <v>0</v>
      </c>
      <c r="AI1645" s="17">
        <v>0</v>
      </c>
      <c r="AJ1645" s="17">
        <v>0</v>
      </c>
      <c r="AK1645" s="17">
        <v>0</v>
      </c>
      <c r="AL1645" s="32">
        <v>0</v>
      </c>
      <c r="AM1645" s="172">
        <v>78.25</v>
      </c>
      <c r="AN1645" s="89"/>
      <c r="AO1645" s="171" t="s">
        <v>521</v>
      </c>
      <c r="AP1645" s="783" t="s">
        <v>521</v>
      </c>
      <c r="AQ1645" s="17" t="s">
        <v>271</v>
      </c>
      <c r="AR1645" s="174">
        <v>100</v>
      </c>
      <c r="AS1645" s="171"/>
      <c r="AT1645" s="171">
        <v>400</v>
      </c>
      <c r="AU1645" s="255">
        <f t="shared" si="116"/>
        <v>22.222222222222221</v>
      </c>
      <c r="AV1645" s="172">
        <v>99</v>
      </c>
      <c r="AW1645" s="171">
        <v>3</v>
      </c>
      <c r="AX1645" s="171">
        <v>20</v>
      </c>
      <c r="AY1645" s="171">
        <v>20</v>
      </c>
      <c r="AZ1645" s="171">
        <v>0</v>
      </c>
      <c r="BA1645" s="175">
        <v>60</v>
      </c>
      <c r="BB1645" s="259"/>
      <c r="BC1645" s="190"/>
      <c r="BD1645" s="177"/>
      <c r="BE1645" s="177"/>
      <c r="BF1645" s="178"/>
    </row>
    <row r="1646" spans="1:58" ht="15" customHeight="1">
      <c r="A1646" s="95">
        <v>1645</v>
      </c>
      <c r="B1646" s="211" t="s">
        <v>2202</v>
      </c>
      <c r="C1646" s="191" t="s">
        <v>2719</v>
      </c>
      <c r="D1646" s="171" t="s">
        <v>256</v>
      </c>
      <c r="E1646" s="463" t="s">
        <v>3377</v>
      </c>
      <c r="F1646" s="171">
        <v>2005</v>
      </c>
      <c r="G1646" s="171">
        <v>356</v>
      </c>
      <c r="H1646" s="172" t="s">
        <v>1738</v>
      </c>
      <c r="I1646" s="173" t="s">
        <v>1743</v>
      </c>
      <c r="J1646" s="212">
        <v>0.39386792452830188</v>
      </c>
      <c r="K1646" s="213">
        <v>4.1415094339622645</v>
      </c>
      <c r="L1646" s="91"/>
      <c r="M1646" s="171">
        <v>424</v>
      </c>
      <c r="N1646" s="171"/>
      <c r="O1646" s="172" t="s">
        <v>12</v>
      </c>
      <c r="P1646" s="511"/>
      <c r="Q1646" s="173" t="s">
        <v>273</v>
      </c>
      <c r="R1646" s="511"/>
      <c r="S1646" s="511"/>
      <c r="T1646" s="214" t="s">
        <v>2306</v>
      </c>
      <c r="U1646" s="89"/>
      <c r="V1646" s="103">
        <f>(47/424)*100</f>
        <v>11.084905660377359</v>
      </c>
      <c r="W1646" s="120">
        <v>0</v>
      </c>
      <c r="X1646" s="120">
        <v>0</v>
      </c>
      <c r="Y1646" s="120">
        <v>0</v>
      </c>
      <c r="Z1646" s="120">
        <v>0</v>
      </c>
      <c r="AA1646" s="17">
        <v>0</v>
      </c>
      <c r="AB1646" s="17">
        <v>0</v>
      </c>
      <c r="AC1646" s="17">
        <v>0</v>
      </c>
      <c r="AD1646" s="17">
        <v>0</v>
      </c>
      <c r="AE1646" s="17">
        <v>0</v>
      </c>
      <c r="AF1646" s="33">
        <v>1.9995283018867924</v>
      </c>
      <c r="AG1646" s="17">
        <v>0</v>
      </c>
      <c r="AH1646" s="17">
        <v>0</v>
      </c>
      <c r="AI1646" s="17">
        <v>0</v>
      </c>
      <c r="AJ1646" s="17">
        <v>0</v>
      </c>
      <c r="AK1646" s="17">
        <v>0</v>
      </c>
      <c r="AL1646" s="32">
        <v>0</v>
      </c>
      <c r="AM1646" s="172">
        <v>78.25</v>
      </c>
      <c r="AN1646" s="89"/>
      <c r="AO1646" s="171" t="s">
        <v>521</v>
      </c>
      <c r="AP1646" s="783" t="s">
        <v>521</v>
      </c>
      <c r="AQ1646" s="17" t="s">
        <v>271</v>
      </c>
      <c r="AR1646" s="174">
        <v>100</v>
      </c>
      <c r="AS1646" s="171"/>
      <c r="AT1646" s="171">
        <v>400</v>
      </c>
      <c r="AU1646" s="255">
        <f t="shared" si="116"/>
        <v>22.222222222222221</v>
      </c>
      <c r="AV1646" s="172">
        <v>99</v>
      </c>
      <c r="AW1646" s="171">
        <v>0.5</v>
      </c>
      <c r="AX1646" s="171">
        <v>20</v>
      </c>
      <c r="AY1646" s="171">
        <v>20</v>
      </c>
      <c r="AZ1646" s="171">
        <v>0</v>
      </c>
      <c r="BA1646" s="175">
        <v>60</v>
      </c>
      <c r="BB1646" s="259"/>
      <c r="BC1646" s="190"/>
      <c r="BD1646" s="177"/>
      <c r="BE1646" s="177"/>
      <c r="BF1646" s="178"/>
    </row>
    <row r="1647" spans="1:58" ht="15" customHeight="1">
      <c r="A1647" s="95">
        <v>1646</v>
      </c>
      <c r="B1647" s="211" t="s">
        <v>2203</v>
      </c>
      <c r="C1647" s="191" t="s">
        <v>2719</v>
      </c>
      <c r="D1647" s="171" t="s">
        <v>256</v>
      </c>
      <c r="E1647" s="463" t="s">
        <v>3377</v>
      </c>
      <c r="F1647" s="171">
        <v>2005</v>
      </c>
      <c r="G1647" s="171">
        <v>356</v>
      </c>
      <c r="H1647" s="172" t="s">
        <v>1738</v>
      </c>
      <c r="I1647" s="173" t="s">
        <v>1743</v>
      </c>
      <c r="J1647" s="212">
        <v>0.5</v>
      </c>
      <c r="K1647" s="213">
        <v>5.3617647058823525</v>
      </c>
      <c r="L1647" s="91"/>
      <c r="M1647" s="171">
        <v>340</v>
      </c>
      <c r="N1647" s="171"/>
      <c r="O1647" s="172" t="s">
        <v>12</v>
      </c>
      <c r="P1647" s="511"/>
      <c r="Q1647" s="173" t="s">
        <v>273</v>
      </c>
      <c r="R1647" s="511"/>
      <c r="S1647" s="511"/>
      <c r="T1647" s="214" t="s">
        <v>2306</v>
      </c>
      <c r="U1647" s="89"/>
      <c r="V1647" s="103">
        <f>(38/340)*100</f>
        <v>11.176470588235295</v>
      </c>
      <c r="W1647" s="120">
        <v>0</v>
      </c>
      <c r="X1647" s="120">
        <v>0</v>
      </c>
      <c r="Y1647" s="120">
        <v>0</v>
      </c>
      <c r="Z1647" s="120">
        <v>0</v>
      </c>
      <c r="AA1647" s="17">
        <v>0</v>
      </c>
      <c r="AB1647" s="17">
        <v>0</v>
      </c>
      <c r="AC1647" s="17">
        <v>0</v>
      </c>
      <c r="AD1647" s="17">
        <v>0</v>
      </c>
      <c r="AE1647" s="17">
        <v>0</v>
      </c>
      <c r="AF1647" s="33">
        <v>1.5564705882352941</v>
      </c>
      <c r="AG1647" s="17">
        <v>0</v>
      </c>
      <c r="AH1647" s="17">
        <v>0</v>
      </c>
      <c r="AI1647" s="17">
        <v>0</v>
      </c>
      <c r="AJ1647" s="17">
        <v>0</v>
      </c>
      <c r="AK1647" s="17">
        <v>0</v>
      </c>
      <c r="AL1647" s="32">
        <v>0</v>
      </c>
      <c r="AM1647" s="172">
        <v>99.6</v>
      </c>
      <c r="AN1647" s="89"/>
      <c r="AO1647" s="171" t="s">
        <v>521</v>
      </c>
      <c r="AP1647" s="783" t="s">
        <v>521</v>
      </c>
      <c r="AQ1647" s="17" t="s">
        <v>271</v>
      </c>
      <c r="AR1647" s="174">
        <v>100</v>
      </c>
      <c r="AS1647" s="171"/>
      <c r="AT1647" s="171">
        <v>400</v>
      </c>
      <c r="AU1647" s="255">
        <f t="shared" si="116"/>
        <v>22.222222222222221</v>
      </c>
      <c r="AV1647" s="172">
        <v>99</v>
      </c>
      <c r="AW1647" s="171">
        <v>1</v>
      </c>
      <c r="AX1647" s="171">
        <v>20</v>
      </c>
      <c r="AY1647" s="171">
        <v>20</v>
      </c>
      <c r="AZ1647" s="171">
        <v>0</v>
      </c>
      <c r="BA1647" s="175">
        <v>60</v>
      </c>
      <c r="BB1647" s="259"/>
      <c r="BC1647" s="190"/>
      <c r="BD1647" s="177"/>
      <c r="BE1647" s="177"/>
      <c r="BF1647" s="178"/>
    </row>
    <row r="1648" spans="1:58" ht="15" customHeight="1">
      <c r="A1648" s="95">
        <v>1647</v>
      </c>
      <c r="B1648" s="211" t="s">
        <v>2204</v>
      </c>
      <c r="C1648" s="191" t="s">
        <v>2719</v>
      </c>
      <c r="D1648" s="171" t="s">
        <v>256</v>
      </c>
      <c r="E1648" s="463" t="s">
        <v>3377</v>
      </c>
      <c r="F1648" s="171">
        <v>2005</v>
      </c>
      <c r="G1648" s="171">
        <v>356</v>
      </c>
      <c r="H1648" s="172" t="s">
        <v>1738</v>
      </c>
      <c r="I1648" s="173" t="s">
        <v>1743</v>
      </c>
      <c r="J1648" s="212">
        <v>0.5</v>
      </c>
      <c r="K1648" s="213">
        <v>5.3617647058823525</v>
      </c>
      <c r="L1648" s="91"/>
      <c r="M1648" s="171">
        <v>340</v>
      </c>
      <c r="N1648" s="171"/>
      <c r="O1648" s="172" t="s">
        <v>12</v>
      </c>
      <c r="P1648" s="511"/>
      <c r="Q1648" s="173" t="s">
        <v>273</v>
      </c>
      <c r="R1648" s="511"/>
      <c r="S1648" s="511"/>
      <c r="T1648" s="214" t="s">
        <v>2306</v>
      </c>
      <c r="U1648" s="89"/>
      <c r="V1648" s="103">
        <f>(38/340)*100</f>
        <v>11.176470588235295</v>
      </c>
      <c r="W1648" s="120">
        <v>0</v>
      </c>
      <c r="X1648" s="120">
        <v>0</v>
      </c>
      <c r="Y1648" s="120">
        <v>0</v>
      </c>
      <c r="Z1648" s="120">
        <v>0</v>
      </c>
      <c r="AA1648" s="17">
        <v>0</v>
      </c>
      <c r="AB1648" s="17">
        <v>0</v>
      </c>
      <c r="AC1648" s="17">
        <v>0</v>
      </c>
      <c r="AD1648" s="17">
        <v>0</v>
      </c>
      <c r="AE1648" s="17">
        <v>0</v>
      </c>
      <c r="AF1648" s="33">
        <v>1.5564705882352941</v>
      </c>
      <c r="AG1648" s="17">
        <v>0</v>
      </c>
      <c r="AH1648" s="17">
        <v>0</v>
      </c>
      <c r="AI1648" s="17">
        <v>0</v>
      </c>
      <c r="AJ1648" s="17">
        <v>0</v>
      </c>
      <c r="AK1648" s="17">
        <v>0</v>
      </c>
      <c r="AL1648" s="32">
        <v>0</v>
      </c>
      <c r="AM1648" s="172">
        <v>99.6</v>
      </c>
      <c r="AN1648" s="89"/>
      <c r="AO1648" s="171" t="s">
        <v>521</v>
      </c>
      <c r="AP1648" s="783" t="s">
        <v>521</v>
      </c>
      <c r="AQ1648" s="17" t="s">
        <v>271</v>
      </c>
      <c r="AR1648" s="174">
        <v>100</v>
      </c>
      <c r="AS1648" s="171"/>
      <c r="AT1648" s="171">
        <v>400</v>
      </c>
      <c r="AU1648" s="255">
        <f t="shared" si="116"/>
        <v>22.222222222222221</v>
      </c>
      <c r="AV1648" s="172">
        <v>99</v>
      </c>
      <c r="AW1648" s="171">
        <v>3</v>
      </c>
      <c r="AX1648" s="171">
        <v>20</v>
      </c>
      <c r="AY1648" s="171">
        <v>20</v>
      </c>
      <c r="AZ1648" s="171">
        <v>0</v>
      </c>
      <c r="BA1648" s="175">
        <v>60</v>
      </c>
      <c r="BB1648" s="259"/>
      <c r="BC1648" s="190"/>
      <c r="BD1648" s="177"/>
      <c r="BE1648" s="177"/>
      <c r="BF1648" s="178"/>
    </row>
    <row r="1649" spans="1:58" ht="15" customHeight="1">
      <c r="A1649" s="95">
        <v>1648</v>
      </c>
      <c r="B1649" s="211" t="s">
        <v>2205</v>
      </c>
      <c r="C1649" s="191" t="s">
        <v>2719</v>
      </c>
      <c r="D1649" s="171" t="s">
        <v>256</v>
      </c>
      <c r="E1649" s="463" t="s">
        <v>3377</v>
      </c>
      <c r="F1649" s="171">
        <v>2005</v>
      </c>
      <c r="G1649" s="171">
        <v>356</v>
      </c>
      <c r="H1649" s="172" t="s">
        <v>1738</v>
      </c>
      <c r="I1649" s="173" t="s">
        <v>1743</v>
      </c>
      <c r="J1649" s="212">
        <v>0.5</v>
      </c>
      <c r="K1649" s="213">
        <v>5.3617647058823525</v>
      </c>
      <c r="L1649" s="91"/>
      <c r="M1649" s="171">
        <v>340</v>
      </c>
      <c r="N1649" s="171"/>
      <c r="O1649" s="172" t="s">
        <v>12</v>
      </c>
      <c r="P1649" s="511"/>
      <c r="Q1649" s="173" t="s">
        <v>273</v>
      </c>
      <c r="R1649" s="511"/>
      <c r="S1649" s="511"/>
      <c r="T1649" s="214" t="s">
        <v>2306</v>
      </c>
      <c r="U1649" s="89"/>
      <c r="V1649" s="103">
        <f>(38/340)*100</f>
        <v>11.176470588235295</v>
      </c>
      <c r="W1649" s="120">
        <v>0</v>
      </c>
      <c r="X1649" s="120">
        <v>0</v>
      </c>
      <c r="Y1649" s="120">
        <v>0</v>
      </c>
      <c r="Z1649" s="120">
        <v>0</v>
      </c>
      <c r="AA1649" s="17">
        <v>0</v>
      </c>
      <c r="AB1649" s="17">
        <v>0</v>
      </c>
      <c r="AC1649" s="17">
        <v>0</v>
      </c>
      <c r="AD1649" s="17">
        <v>0</v>
      </c>
      <c r="AE1649" s="17">
        <v>0</v>
      </c>
      <c r="AF1649" s="33">
        <v>1.5564705882352941</v>
      </c>
      <c r="AG1649" s="17">
        <v>0</v>
      </c>
      <c r="AH1649" s="17">
        <v>0</v>
      </c>
      <c r="AI1649" s="17">
        <v>0</v>
      </c>
      <c r="AJ1649" s="17">
        <v>0</v>
      </c>
      <c r="AK1649" s="17">
        <v>0</v>
      </c>
      <c r="AL1649" s="32">
        <v>0</v>
      </c>
      <c r="AM1649" s="172">
        <v>99.6</v>
      </c>
      <c r="AN1649" s="89"/>
      <c r="AO1649" s="171" t="s">
        <v>521</v>
      </c>
      <c r="AP1649" s="783" t="s">
        <v>521</v>
      </c>
      <c r="AQ1649" s="17" t="s">
        <v>271</v>
      </c>
      <c r="AR1649" s="174">
        <v>100</v>
      </c>
      <c r="AS1649" s="171"/>
      <c r="AT1649" s="171">
        <v>400</v>
      </c>
      <c r="AU1649" s="255">
        <f t="shared" si="116"/>
        <v>22.222222222222221</v>
      </c>
      <c r="AV1649" s="172">
        <v>99</v>
      </c>
      <c r="AW1649" s="171">
        <v>0.5</v>
      </c>
      <c r="AX1649" s="171">
        <v>20</v>
      </c>
      <c r="AY1649" s="171">
        <v>20</v>
      </c>
      <c r="AZ1649" s="171">
        <v>0</v>
      </c>
      <c r="BA1649" s="175">
        <v>60</v>
      </c>
      <c r="BB1649" s="259"/>
      <c r="BC1649" s="190"/>
      <c r="BD1649" s="177"/>
      <c r="BE1649" s="177"/>
      <c r="BF1649" s="178"/>
    </row>
    <row r="1650" spans="1:58" ht="15" customHeight="1">
      <c r="A1650" s="95">
        <v>1649</v>
      </c>
      <c r="B1650" s="211" t="s">
        <v>2206</v>
      </c>
      <c r="C1650" s="191" t="s">
        <v>2719</v>
      </c>
      <c r="D1650" s="171" t="s">
        <v>256</v>
      </c>
      <c r="E1650" s="463" t="s">
        <v>3377</v>
      </c>
      <c r="F1650" s="171">
        <v>2005</v>
      </c>
      <c r="G1650" s="171">
        <v>356</v>
      </c>
      <c r="H1650" s="172" t="s">
        <v>1738</v>
      </c>
      <c r="I1650" s="173" t="s">
        <v>1751</v>
      </c>
      <c r="J1650" s="212">
        <v>0.27777777777777779</v>
      </c>
      <c r="K1650" s="213">
        <v>2.8211805555555554</v>
      </c>
      <c r="L1650" s="91"/>
      <c r="M1650" s="171">
        <v>576</v>
      </c>
      <c r="N1650" s="171"/>
      <c r="O1650" s="172" t="s">
        <v>12</v>
      </c>
      <c r="P1650" s="511"/>
      <c r="Q1650" s="173" t="s">
        <v>273</v>
      </c>
      <c r="R1650" s="511"/>
      <c r="S1650" s="511"/>
      <c r="T1650" s="214" t="s">
        <v>2306</v>
      </c>
      <c r="U1650" s="89"/>
      <c r="V1650" s="103">
        <f t="shared" ref="V1650:V1658" si="117">(64/576)*100</f>
        <v>11.111111111111111</v>
      </c>
      <c r="W1650" s="120">
        <v>0</v>
      </c>
      <c r="X1650" s="120">
        <v>0</v>
      </c>
      <c r="Y1650" s="120">
        <v>0</v>
      </c>
      <c r="Z1650" s="120">
        <v>0</v>
      </c>
      <c r="AA1650" s="17">
        <v>0</v>
      </c>
      <c r="AB1650" s="17">
        <v>0</v>
      </c>
      <c r="AC1650" s="17">
        <v>0</v>
      </c>
      <c r="AD1650" s="17">
        <v>0</v>
      </c>
      <c r="AE1650" s="17">
        <v>0</v>
      </c>
      <c r="AF1650" s="33">
        <v>2</v>
      </c>
      <c r="AG1650" s="17">
        <v>0</v>
      </c>
      <c r="AH1650" s="17">
        <v>0</v>
      </c>
      <c r="AI1650" s="17">
        <v>0</v>
      </c>
      <c r="AJ1650" s="17">
        <v>0</v>
      </c>
      <c r="AK1650" s="17">
        <v>0</v>
      </c>
      <c r="AL1650" s="32">
        <v>0</v>
      </c>
      <c r="AM1650" s="172">
        <v>56.9</v>
      </c>
      <c r="AN1650" s="89"/>
      <c r="AO1650" s="171" t="s">
        <v>521</v>
      </c>
      <c r="AP1650" s="783" t="s">
        <v>521</v>
      </c>
      <c r="AQ1650" s="17" t="s">
        <v>271</v>
      </c>
      <c r="AR1650" s="174">
        <v>100</v>
      </c>
      <c r="AS1650" s="171"/>
      <c r="AT1650" s="171">
        <v>400</v>
      </c>
      <c r="AU1650" s="255">
        <f t="shared" si="116"/>
        <v>22.222222222222221</v>
      </c>
      <c r="AV1650" s="172">
        <v>99</v>
      </c>
      <c r="AW1650" s="171">
        <v>0.5</v>
      </c>
      <c r="AX1650" s="171">
        <v>20</v>
      </c>
      <c r="AY1650" s="171">
        <v>20</v>
      </c>
      <c r="AZ1650" s="171">
        <v>0</v>
      </c>
      <c r="BA1650" s="175">
        <v>60</v>
      </c>
      <c r="BB1650" s="259"/>
      <c r="BC1650" s="190"/>
      <c r="BD1650" s="177"/>
      <c r="BE1650" s="177"/>
      <c r="BF1650" s="178"/>
    </row>
    <row r="1651" spans="1:58" ht="15" customHeight="1">
      <c r="A1651" s="95">
        <v>1650</v>
      </c>
      <c r="B1651" s="211" t="s">
        <v>2207</v>
      </c>
      <c r="C1651" s="191" t="s">
        <v>2719</v>
      </c>
      <c r="D1651" s="171" t="s">
        <v>256</v>
      </c>
      <c r="E1651" s="463" t="s">
        <v>3377</v>
      </c>
      <c r="F1651" s="171">
        <v>2005</v>
      </c>
      <c r="G1651" s="171">
        <v>356</v>
      </c>
      <c r="H1651" s="172" t="s">
        <v>1738</v>
      </c>
      <c r="I1651" s="173" t="s">
        <v>1751</v>
      </c>
      <c r="J1651" s="212">
        <v>0.27777777777777779</v>
      </c>
      <c r="K1651" s="213">
        <v>2.8211805555555554</v>
      </c>
      <c r="L1651" s="91"/>
      <c r="M1651" s="171">
        <v>576</v>
      </c>
      <c r="N1651" s="171"/>
      <c r="O1651" s="172" t="s">
        <v>12</v>
      </c>
      <c r="P1651" s="511"/>
      <c r="Q1651" s="173" t="s">
        <v>273</v>
      </c>
      <c r="R1651" s="511"/>
      <c r="S1651" s="511"/>
      <c r="T1651" s="214" t="s">
        <v>2306</v>
      </c>
      <c r="U1651" s="89"/>
      <c r="V1651" s="103">
        <f t="shared" si="117"/>
        <v>11.111111111111111</v>
      </c>
      <c r="W1651" s="120">
        <v>0</v>
      </c>
      <c r="X1651" s="120">
        <v>0</v>
      </c>
      <c r="Y1651" s="120">
        <v>0</v>
      </c>
      <c r="Z1651" s="120">
        <v>0</v>
      </c>
      <c r="AA1651" s="17">
        <v>0</v>
      </c>
      <c r="AB1651" s="17">
        <v>0</v>
      </c>
      <c r="AC1651" s="17">
        <v>0</v>
      </c>
      <c r="AD1651" s="17">
        <v>0</v>
      </c>
      <c r="AE1651" s="17">
        <v>0</v>
      </c>
      <c r="AF1651" s="33">
        <v>2</v>
      </c>
      <c r="AG1651" s="17">
        <v>0</v>
      </c>
      <c r="AH1651" s="17">
        <v>0</v>
      </c>
      <c r="AI1651" s="17">
        <v>0</v>
      </c>
      <c r="AJ1651" s="17">
        <v>0</v>
      </c>
      <c r="AK1651" s="17">
        <v>0</v>
      </c>
      <c r="AL1651" s="32">
        <v>0</v>
      </c>
      <c r="AM1651" s="172">
        <v>56.9</v>
      </c>
      <c r="AN1651" s="89"/>
      <c r="AO1651" s="171" t="s">
        <v>521</v>
      </c>
      <c r="AP1651" s="783" t="s">
        <v>521</v>
      </c>
      <c r="AQ1651" s="17" t="s">
        <v>271</v>
      </c>
      <c r="AR1651" s="174">
        <v>100</v>
      </c>
      <c r="AS1651" s="171"/>
      <c r="AT1651" s="171">
        <v>400</v>
      </c>
      <c r="AU1651" s="255">
        <f t="shared" si="116"/>
        <v>22.222222222222221</v>
      </c>
      <c r="AV1651" s="172">
        <v>99</v>
      </c>
      <c r="AW1651" s="171">
        <v>0.5</v>
      </c>
      <c r="AX1651" s="171">
        <v>20</v>
      </c>
      <c r="AY1651" s="171">
        <v>20</v>
      </c>
      <c r="AZ1651" s="171">
        <v>0</v>
      </c>
      <c r="BA1651" s="175">
        <v>60</v>
      </c>
      <c r="BB1651" s="259"/>
      <c r="BC1651" s="190"/>
      <c r="BD1651" s="177"/>
      <c r="BE1651" s="177"/>
      <c r="BF1651" s="178"/>
    </row>
    <row r="1652" spans="1:58" ht="15" customHeight="1">
      <c r="A1652" s="95">
        <v>1651</v>
      </c>
      <c r="B1652" s="211" t="s">
        <v>2208</v>
      </c>
      <c r="C1652" s="191" t="s">
        <v>2719</v>
      </c>
      <c r="D1652" s="171" t="s">
        <v>256</v>
      </c>
      <c r="E1652" s="463" t="s">
        <v>3377</v>
      </c>
      <c r="F1652" s="171">
        <v>2005</v>
      </c>
      <c r="G1652" s="171">
        <v>356</v>
      </c>
      <c r="H1652" s="172" t="s">
        <v>1738</v>
      </c>
      <c r="I1652" s="173" t="s">
        <v>1743</v>
      </c>
      <c r="J1652" s="212">
        <v>0.27777777777777779</v>
      </c>
      <c r="K1652" s="213">
        <v>2.8211805555555554</v>
      </c>
      <c r="L1652" s="91"/>
      <c r="M1652" s="171">
        <v>576</v>
      </c>
      <c r="N1652" s="171"/>
      <c r="O1652" s="172" t="s">
        <v>12</v>
      </c>
      <c r="P1652" s="511"/>
      <c r="Q1652" s="173" t="s">
        <v>273</v>
      </c>
      <c r="R1652" s="511"/>
      <c r="S1652" s="511"/>
      <c r="T1652" s="214" t="s">
        <v>2306</v>
      </c>
      <c r="U1652" s="89"/>
      <c r="V1652" s="103">
        <f t="shared" si="117"/>
        <v>11.111111111111111</v>
      </c>
      <c r="W1652" s="120">
        <v>0</v>
      </c>
      <c r="X1652" s="120">
        <v>0</v>
      </c>
      <c r="Y1652" s="120">
        <v>0</v>
      </c>
      <c r="Z1652" s="120">
        <v>0</v>
      </c>
      <c r="AA1652" s="17">
        <v>0</v>
      </c>
      <c r="AB1652" s="17">
        <v>0</v>
      </c>
      <c r="AC1652" s="17">
        <v>0</v>
      </c>
      <c r="AD1652" s="17">
        <v>0</v>
      </c>
      <c r="AE1652" s="17">
        <v>0</v>
      </c>
      <c r="AF1652" s="33">
        <v>2</v>
      </c>
      <c r="AG1652" s="17">
        <v>0</v>
      </c>
      <c r="AH1652" s="17">
        <v>0</v>
      </c>
      <c r="AI1652" s="17">
        <v>0</v>
      </c>
      <c r="AJ1652" s="17">
        <v>0</v>
      </c>
      <c r="AK1652" s="17">
        <v>0</v>
      </c>
      <c r="AL1652" s="32">
        <v>0</v>
      </c>
      <c r="AM1652" s="172">
        <v>56.9</v>
      </c>
      <c r="AN1652" s="89"/>
      <c r="AO1652" s="171" t="s">
        <v>521</v>
      </c>
      <c r="AP1652" s="783" t="s">
        <v>521</v>
      </c>
      <c r="AQ1652" s="17" t="s">
        <v>271</v>
      </c>
      <c r="AR1652" s="174">
        <v>100</v>
      </c>
      <c r="AS1652" s="171"/>
      <c r="AT1652" s="171">
        <v>400</v>
      </c>
      <c r="AU1652" s="255">
        <f t="shared" si="116"/>
        <v>22.222222222222221</v>
      </c>
      <c r="AV1652" s="172">
        <v>99</v>
      </c>
      <c r="AW1652" s="171">
        <v>0.5</v>
      </c>
      <c r="AX1652" s="171">
        <v>20</v>
      </c>
      <c r="AY1652" s="171">
        <v>20</v>
      </c>
      <c r="AZ1652" s="171">
        <v>0</v>
      </c>
      <c r="BA1652" s="175">
        <v>60</v>
      </c>
      <c r="BB1652" s="259"/>
      <c r="BC1652" s="190"/>
      <c r="BD1652" s="177"/>
      <c r="BE1652" s="177"/>
      <c r="BF1652" s="178"/>
    </row>
    <row r="1653" spans="1:58" ht="15" customHeight="1">
      <c r="A1653" s="95">
        <v>1652</v>
      </c>
      <c r="B1653" s="211" t="s">
        <v>2209</v>
      </c>
      <c r="C1653" s="191" t="s">
        <v>2719</v>
      </c>
      <c r="D1653" s="171" t="s">
        <v>256</v>
      </c>
      <c r="E1653" s="463" t="s">
        <v>3377</v>
      </c>
      <c r="F1653" s="171">
        <v>2005</v>
      </c>
      <c r="G1653" s="171">
        <v>356</v>
      </c>
      <c r="H1653" s="172" t="s">
        <v>1738</v>
      </c>
      <c r="I1653" s="173" t="s">
        <v>1751</v>
      </c>
      <c r="J1653" s="212">
        <v>0.27777777777777779</v>
      </c>
      <c r="K1653" s="213">
        <v>2.8211805555555554</v>
      </c>
      <c r="L1653" s="91"/>
      <c r="M1653" s="171">
        <v>576</v>
      </c>
      <c r="N1653" s="171"/>
      <c r="O1653" s="172" t="s">
        <v>12</v>
      </c>
      <c r="P1653" s="511"/>
      <c r="Q1653" s="173" t="s">
        <v>273</v>
      </c>
      <c r="R1653" s="511"/>
      <c r="S1653" s="511"/>
      <c r="T1653" s="214" t="s">
        <v>2306</v>
      </c>
      <c r="U1653" s="89"/>
      <c r="V1653" s="103">
        <f t="shared" si="117"/>
        <v>11.111111111111111</v>
      </c>
      <c r="W1653" s="120">
        <v>0</v>
      </c>
      <c r="X1653" s="120">
        <v>0</v>
      </c>
      <c r="Y1653" s="120">
        <v>0</v>
      </c>
      <c r="Z1653" s="120">
        <v>0</v>
      </c>
      <c r="AA1653" s="17">
        <v>0</v>
      </c>
      <c r="AB1653" s="17">
        <v>0</v>
      </c>
      <c r="AC1653" s="17">
        <v>0</v>
      </c>
      <c r="AD1653" s="17">
        <v>0</v>
      </c>
      <c r="AE1653" s="17">
        <v>0</v>
      </c>
      <c r="AF1653" s="33">
        <v>2</v>
      </c>
      <c r="AG1653" s="17">
        <v>0</v>
      </c>
      <c r="AH1653" s="17">
        <v>0</v>
      </c>
      <c r="AI1653" s="17">
        <v>0</v>
      </c>
      <c r="AJ1653" s="17">
        <v>0</v>
      </c>
      <c r="AK1653" s="17">
        <v>0</v>
      </c>
      <c r="AL1653" s="32">
        <v>0</v>
      </c>
      <c r="AM1653" s="172">
        <v>56.9</v>
      </c>
      <c r="AN1653" s="89"/>
      <c r="AO1653" s="171" t="s">
        <v>521</v>
      </c>
      <c r="AP1653" s="783" t="s">
        <v>521</v>
      </c>
      <c r="AQ1653" s="17" t="s">
        <v>271</v>
      </c>
      <c r="AR1653" s="174">
        <v>100</v>
      </c>
      <c r="AS1653" s="171"/>
      <c r="AT1653" s="171">
        <v>400</v>
      </c>
      <c r="AU1653" s="255">
        <f t="shared" si="116"/>
        <v>22.222222222222221</v>
      </c>
      <c r="AV1653" s="172">
        <v>99</v>
      </c>
      <c r="AW1653" s="171">
        <v>1</v>
      </c>
      <c r="AX1653" s="171">
        <v>20</v>
      </c>
      <c r="AY1653" s="171">
        <v>20</v>
      </c>
      <c r="AZ1653" s="171">
        <v>0</v>
      </c>
      <c r="BA1653" s="175">
        <v>60</v>
      </c>
      <c r="BB1653" s="259"/>
      <c r="BC1653" s="190"/>
      <c r="BD1653" s="177"/>
      <c r="BE1653" s="177"/>
      <c r="BF1653" s="178"/>
    </row>
    <row r="1654" spans="1:58" ht="15" customHeight="1">
      <c r="A1654" s="95">
        <v>1653</v>
      </c>
      <c r="B1654" s="211" t="s">
        <v>2210</v>
      </c>
      <c r="C1654" s="191" t="s">
        <v>2719</v>
      </c>
      <c r="D1654" s="171" t="s">
        <v>256</v>
      </c>
      <c r="E1654" s="463" t="s">
        <v>3377</v>
      </c>
      <c r="F1654" s="171">
        <v>2005</v>
      </c>
      <c r="G1654" s="171">
        <v>356</v>
      </c>
      <c r="H1654" s="172" t="s">
        <v>1738</v>
      </c>
      <c r="I1654" s="173" t="s">
        <v>1751</v>
      </c>
      <c r="J1654" s="212">
        <v>0.27777777777777779</v>
      </c>
      <c r="K1654" s="213">
        <v>2.8211805555555554</v>
      </c>
      <c r="L1654" s="91"/>
      <c r="M1654" s="171">
        <v>576</v>
      </c>
      <c r="N1654" s="171"/>
      <c r="O1654" s="172" t="s">
        <v>12</v>
      </c>
      <c r="P1654" s="511"/>
      <c r="Q1654" s="173" t="s">
        <v>273</v>
      </c>
      <c r="R1654" s="511"/>
      <c r="S1654" s="511"/>
      <c r="T1654" s="214" t="s">
        <v>2306</v>
      </c>
      <c r="U1654" s="89"/>
      <c r="V1654" s="103">
        <f t="shared" si="117"/>
        <v>11.111111111111111</v>
      </c>
      <c r="W1654" s="120">
        <v>0</v>
      </c>
      <c r="X1654" s="120">
        <v>0</v>
      </c>
      <c r="Y1654" s="120">
        <v>0</v>
      </c>
      <c r="Z1654" s="120">
        <v>0</v>
      </c>
      <c r="AA1654" s="17">
        <v>0</v>
      </c>
      <c r="AB1654" s="17">
        <v>0</v>
      </c>
      <c r="AC1654" s="17">
        <v>0</v>
      </c>
      <c r="AD1654" s="17">
        <v>0</v>
      </c>
      <c r="AE1654" s="17">
        <v>0</v>
      </c>
      <c r="AF1654" s="33">
        <v>2</v>
      </c>
      <c r="AG1654" s="17">
        <v>0</v>
      </c>
      <c r="AH1654" s="17">
        <v>0</v>
      </c>
      <c r="AI1654" s="17">
        <v>0</v>
      </c>
      <c r="AJ1654" s="17">
        <v>0</v>
      </c>
      <c r="AK1654" s="17">
        <v>0</v>
      </c>
      <c r="AL1654" s="32">
        <v>0</v>
      </c>
      <c r="AM1654" s="172">
        <v>56.9</v>
      </c>
      <c r="AN1654" s="89"/>
      <c r="AO1654" s="171" t="s">
        <v>521</v>
      </c>
      <c r="AP1654" s="783" t="s">
        <v>521</v>
      </c>
      <c r="AQ1654" s="17" t="s">
        <v>271</v>
      </c>
      <c r="AR1654" s="174">
        <v>100</v>
      </c>
      <c r="AS1654" s="171"/>
      <c r="AT1654" s="171">
        <v>400</v>
      </c>
      <c r="AU1654" s="255">
        <f t="shared" si="116"/>
        <v>22.222222222222221</v>
      </c>
      <c r="AV1654" s="172">
        <v>99</v>
      </c>
      <c r="AW1654" s="171">
        <v>1</v>
      </c>
      <c r="AX1654" s="171">
        <v>20</v>
      </c>
      <c r="AY1654" s="171">
        <v>20</v>
      </c>
      <c r="AZ1654" s="171">
        <v>0</v>
      </c>
      <c r="BA1654" s="175">
        <v>60</v>
      </c>
      <c r="BB1654" s="259"/>
      <c r="BC1654" s="190"/>
      <c r="BD1654" s="177"/>
      <c r="BE1654" s="177"/>
      <c r="BF1654" s="178"/>
    </row>
    <row r="1655" spans="1:58" ht="15" customHeight="1">
      <c r="A1655" s="95">
        <v>1654</v>
      </c>
      <c r="B1655" s="211" t="s">
        <v>2211</v>
      </c>
      <c r="C1655" s="191" t="s">
        <v>2719</v>
      </c>
      <c r="D1655" s="171" t="s">
        <v>256</v>
      </c>
      <c r="E1655" s="463" t="s">
        <v>3377</v>
      </c>
      <c r="F1655" s="171">
        <v>2005</v>
      </c>
      <c r="G1655" s="171">
        <v>356</v>
      </c>
      <c r="H1655" s="172" t="s">
        <v>1738</v>
      </c>
      <c r="I1655" s="173" t="s">
        <v>1743</v>
      </c>
      <c r="J1655" s="212">
        <v>0.27777777777777779</v>
      </c>
      <c r="K1655" s="213">
        <v>2.8211805555555554</v>
      </c>
      <c r="L1655" s="91"/>
      <c r="M1655" s="171">
        <v>576</v>
      </c>
      <c r="N1655" s="171"/>
      <c r="O1655" s="172" t="s">
        <v>12</v>
      </c>
      <c r="P1655" s="511"/>
      <c r="Q1655" s="173" t="s">
        <v>273</v>
      </c>
      <c r="R1655" s="511"/>
      <c r="S1655" s="511"/>
      <c r="T1655" s="214" t="s">
        <v>2306</v>
      </c>
      <c r="U1655" s="89"/>
      <c r="V1655" s="103">
        <f t="shared" si="117"/>
        <v>11.111111111111111</v>
      </c>
      <c r="W1655" s="120">
        <v>0</v>
      </c>
      <c r="X1655" s="120">
        <v>0</v>
      </c>
      <c r="Y1655" s="120">
        <v>0</v>
      </c>
      <c r="Z1655" s="120">
        <v>0</v>
      </c>
      <c r="AA1655" s="17">
        <v>0</v>
      </c>
      <c r="AB1655" s="17">
        <v>0</v>
      </c>
      <c r="AC1655" s="17">
        <v>0</v>
      </c>
      <c r="AD1655" s="17">
        <v>0</v>
      </c>
      <c r="AE1655" s="17">
        <v>0</v>
      </c>
      <c r="AF1655" s="33">
        <v>2</v>
      </c>
      <c r="AG1655" s="17">
        <v>0</v>
      </c>
      <c r="AH1655" s="17">
        <v>0</v>
      </c>
      <c r="AI1655" s="17">
        <v>0</v>
      </c>
      <c r="AJ1655" s="17">
        <v>0</v>
      </c>
      <c r="AK1655" s="17">
        <v>0</v>
      </c>
      <c r="AL1655" s="32">
        <v>0</v>
      </c>
      <c r="AM1655" s="172">
        <v>56.9</v>
      </c>
      <c r="AN1655" s="89"/>
      <c r="AO1655" s="171" t="s">
        <v>521</v>
      </c>
      <c r="AP1655" s="783" t="s">
        <v>521</v>
      </c>
      <c r="AQ1655" s="17" t="s">
        <v>271</v>
      </c>
      <c r="AR1655" s="174">
        <v>100</v>
      </c>
      <c r="AS1655" s="171"/>
      <c r="AT1655" s="171">
        <v>400</v>
      </c>
      <c r="AU1655" s="255">
        <f t="shared" si="116"/>
        <v>22.222222222222221</v>
      </c>
      <c r="AV1655" s="172">
        <v>99</v>
      </c>
      <c r="AW1655" s="171">
        <v>1</v>
      </c>
      <c r="AX1655" s="171">
        <v>20</v>
      </c>
      <c r="AY1655" s="171">
        <v>20</v>
      </c>
      <c r="AZ1655" s="171">
        <v>0</v>
      </c>
      <c r="BA1655" s="175">
        <v>60</v>
      </c>
      <c r="BB1655" s="259"/>
      <c r="BC1655" s="190"/>
      <c r="BD1655" s="177"/>
      <c r="BE1655" s="177"/>
      <c r="BF1655" s="178"/>
    </row>
    <row r="1656" spans="1:58" ht="15" customHeight="1">
      <c r="A1656" s="95">
        <v>1655</v>
      </c>
      <c r="B1656" s="211" t="s">
        <v>2212</v>
      </c>
      <c r="C1656" s="191" t="s">
        <v>2719</v>
      </c>
      <c r="D1656" s="171" t="s">
        <v>256</v>
      </c>
      <c r="E1656" s="463" t="s">
        <v>3377</v>
      </c>
      <c r="F1656" s="171">
        <v>2005</v>
      </c>
      <c r="G1656" s="171">
        <v>356</v>
      </c>
      <c r="H1656" s="172" t="s">
        <v>1738</v>
      </c>
      <c r="I1656" s="173" t="s">
        <v>1751</v>
      </c>
      <c r="J1656" s="212">
        <v>0.27777777777777779</v>
      </c>
      <c r="K1656" s="213">
        <v>2.8211805555555554</v>
      </c>
      <c r="L1656" s="91"/>
      <c r="M1656" s="171">
        <v>576</v>
      </c>
      <c r="N1656" s="171"/>
      <c r="O1656" s="172" t="s">
        <v>12</v>
      </c>
      <c r="P1656" s="511"/>
      <c r="Q1656" s="173" t="s">
        <v>273</v>
      </c>
      <c r="R1656" s="511"/>
      <c r="S1656" s="511"/>
      <c r="T1656" s="214" t="s">
        <v>2306</v>
      </c>
      <c r="U1656" s="89"/>
      <c r="V1656" s="103">
        <f t="shared" si="117"/>
        <v>11.111111111111111</v>
      </c>
      <c r="W1656" s="120">
        <v>0</v>
      </c>
      <c r="X1656" s="120">
        <v>0</v>
      </c>
      <c r="Y1656" s="120">
        <v>0</v>
      </c>
      <c r="Z1656" s="120">
        <v>0</v>
      </c>
      <c r="AA1656" s="17">
        <v>0</v>
      </c>
      <c r="AB1656" s="17">
        <v>0</v>
      </c>
      <c r="AC1656" s="17">
        <v>0</v>
      </c>
      <c r="AD1656" s="17">
        <v>0</v>
      </c>
      <c r="AE1656" s="17">
        <v>0</v>
      </c>
      <c r="AF1656" s="33">
        <v>2</v>
      </c>
      <c r="AG1656" s="17">
        <v>0</v>
      </c>
      <c r="AH1656" s="17">
        <v>0</v>
      </c>
      <c r="AI1656" s="17">
        <v>0</v>
      </c>
      <c r="AJ1656" s="17">
        <v>0</v>
      </c>
      <c r="AK1656" s="17">
        <v>0</v>
      </c>
      <c r="AL1656" s="32">
        <v>0</v>
      </c>
      <c r="AM1656" s="172">
        <v>56.9</v>
      </c>
      <c r="AN1656" s="89"/>
      <c r="AO1656" s="171" t="s">
        <v>521</v>
      </c>
      <c r="AP1656" s="783" t="s">
        <v>521</v>
      </c>
      <c r="AQ1656" s="17" t="s">
        <v>271</v>
      </c>
      <c r="AR1656" s="174">
        <v>100</v>
      </c>
      <c r="AS1656" s="171"/>
      <c r="AT1656" s="171">
        <v>400</v>
      </c>
      <c r="AU1656" s="255">
        <f t="shared" si="116"/>
        <v>22.222222222222221</v>
      </c>
      <c r="AV1656" s="172">
        <v>99</v>
      </c>
      <c r="AW1656" s="171">
        <v>3</v>
      </c>
      <c r="AX1656" s="171">
        <v>20</v>
      </c>
      <c r="AY1656" s="171">
        <v>20</v>
      </c>
      <c r="AZ1656" s="171">
        <v>0</v>
      </c>
      <c r="BA1656" s="175">
        <v>60</v>
      </c>
      <c r="BB1656" s="259"/>
      <c r="BC1656" s="190"/>
      <c r="BD1656" s="177"/>
      <c r="BE1656" s="177"/>
      <c r="BF1656" s="178"/>
    </row>
    <row r="1657" spans="1:58" ht="15" customHeight="1">
      <c r="A1657" s="95">
        <v>1656</v>
      </c>
      <c r="B1657" s="211" t="s">
        <v>2213</v>
      </c>
      <c r="C1657" s="191" t="s">
        <v>2719</v>
      </c>
      <c r="D1657" s="171" t="s">
        <v>256</v>
      </c>
      <c r="E1657" s="463" t="s">
        <v>3377</v>
      </c>
      <c r="F1657" s="171">
        <v>2005</v>
      </c>
      <c r="G1657" s="171">
        <v>356</v>
      </c>
      <c r="H1657" s="172" t="s">
        <v>1738</v>
      </c>
      <c r="I1657" s="173" t="s">
        <v>1751</v>
      </c>
      <c r="J1657" s="212">
        <v>0.27777777777777779</v>
      </c>
      <c r="K1657" s="213">
        <v>2.8211805555555554</v>
      </c>
      <c r="L1657" s="91"/>
      <c r="M1657" s="171">
        <v>576</v>
      </c>
      <c r="N1657" s="171"/>
      <c r="O1657" s="172" t="s">
        <v>12</v>
      </c>
      <c r="P1657" s="511"/>
      <c r="Q1657" s="173" t="s">
        <v>273</v>
      </c>
      <c r="R1657" s="511"/>
      <c r="S1657" s="511"/>
      <c r="T1657" s="214" t="s">
        <v>2306</v>
      </c>
      <c r="U1657" s="89"/>
      <c r="V1657" s="103">
        <f t="shared" si="117"/>
        <v>11.111111111111111</v>
      </c>
      <c r="W1657" s="120">
        <v>0</v>
      </c>
      <c r="X1657" s="120">
        <v>0</v>
      </c>
      <c r="Y1657" s="120">
        <v>0</v>
      </c>
      <c r="Z1657" s="120">
        <v>0</v>
      </c>
      <c r="AA1657" s="17">
        <v>0</v>
      </c>
      <c r="AB1657" s="17">
        <v>0</v>
      </c>
      <c r="AC1657" s="17">
        <v>0</v>
      </c>
      <c r="AD1657" s="17">
        <v>0</v>
      </c>
      <c r="AE1657" s="17">
        <v>0</v>
      </c>
      <c r="AF1657" s="33">
        <v>2</v>
      </c>
      <c r="AG1657" s="17">
        <v>0</v>
      </c>
      <c r="AH1657" s="17">
        <v>0</v>
      </c>
      <c r="AI1657" s="17">
        <v>0</v>
      </c>
      <c r="AJ1657" s="17">
        <v>0</v>
      </c>
      <c r="AK1657" s="17">
        <v>0</v>
      </c>
      <c r="AL1657" s="32">
        <v>0</v>
      </c>
      <c r="AM1657" s="172">
        <v>56.9</v>
      </c>
      <c r="AN1657" s="89"/>
      <c r="AO1657" s="171" t="s">
        <v>521</v>
      </c>
      <c r="AP1657" s="783" t="s">
        <v>521</v>
      </c>
      <c r="AQ1657" s="17" t="s">
        <v>271</v>
      </c>
      <c r="AR1657" s="174">
        <v>100</v>
      </c>
      <c r="AS1657" s="171"/>
      <c r="AT1657" s="171">
        <v>400</v>
      </c>
      <c r="AU1657" s="255">
        <f t="shared" si="116"/>
        <v>22.222222222222221</v>
      </c>
      <c r="AV1657" s="172">
        <v>99</v>
      </c>
      <c r="AW1657" s="171">
        <v>3</v>
      </c>
      <c r="AX1657" s="171">
        <v>20</v>
      </c>
      <c r="AY1657" s="171">
        <v>20</v>
      </c>
      <c r="AZ1657" s="171">
        <v>0</v>
      </c>
      <c r="BA1657" s="175">
        <v>60</v>
      </c>
      <c r="BB1657" s="259"/>
      <c r="BC1657" s="190"/>
      <c r="BD1657" s="177"/>
      <c r="BE1657" s="177"/>
      <c r="BF1657" s="178"/>
    </row>
    <row r="1658" spans="1:58" ht="15" customHeight="1">
      <c r="A1658" s="95">
        <v>1657</v>
      </c>
      <c r="B1658" s="211" t="s">
        <v>2214</v>
      </c>
      <c r="C1658" s="191" t="s">
        <v>2719</v>
      </c>
      <c r="D1658" s="171" t="s">
        <v>256</v>
      </c>
      <c r="E1658" s="463" t="s">
        <v>3377</v>
      </c>
      <c r="F1658" s="171">
        <v>2005</v>
      </c>
      <c r="G1658" s="171">
        <v>356</v>
      </c>
      <c r="H1658" s="172" t="s">
        <v>1738</v>
      </c>
      <c r="I1658" s="173" t="s">
        <v>1743</v>
      </c>
      <c r="J1658" s="212">
        <v>0.27777777777777779</v>
      </c>
      <c r="K1658" s="213">
        <v>2.8211805555555554</v>
      </c>
      <c r="L1658" s="91"/>
      <c r="M1658" s="171">
        <v>576</v>
      </c>
      <c r="N1658" s="171"/>
      <c r="O1658" s="172" t="s">
        <v>12</v>
      </c>
      <c r="P1658" s="511"/>
      <c r="Q1658" s="173" t="s">
        <v>273</v>
      </c>
      <c r="R1658" s="511"/>
      <c r="S1658" s="511"/>
      <c r="T1658" s="214" t="s">
        <v>2306</v>
      </c>
      <c r="U1658" s="89"/>
      <c r="V1658" s="103">
        <f t="shared" si="117"/>
        <v>11.111111111111111</v>
      </c>
      <c r="W1658" s="120">
        <v>0</v>
      </c>
      <c r="X1658" s="120">
        <v>0</v>
      </c>
      <c r="Y1658" s="120">
        <v>0</v>
      </c>
      <c r="Z1658" s="120">
        <v>0</v>
      </c>
      <c r="AA1658" s="17">
        <v>0</v>
      </c>
      <c r="AB1658" s="17">
        <v>0</v>
      </c>
      <c r="AC1658" s="17">
        <v>0</v>
      </c>
      <c r="AD1658" s="17">
        <v>0</v>
      </c>
      <c r="AE1658" s="17">
        <v>0</v>
      </c>
      <c r="AF1658" s="33">
        <v>2</v>
      </c>
      <c r="AG1658" s="17">
        <v>0</v>
      </c>
      <c r="AH1658" s="17">
        <v>0</v>
      </c>
      <c r="AI1658" s="17">
        <v>0</v>
      </c>
      <c r="AJ1658" s="17">
        <v>0</v>
      </c>
      <c r="AK1658" s="17">
        <v>0</v>
      </c>
      <c r="AL1658" s="32">
        <v>0</v>
      </c>
      <c r="AM1658" s="172">
        <v>56.9</v>
      </c>
      <c r="AN1658" s="89"/>
      <c r="AO1658" s="171" t="s">
        <v>521</v>
      </c>
      <c r="AP1658" s="783" t="s">
        <v>521</v>
      </c>
      <c r="AQ1658" s="17" t="s">
        <v>271</v>
      </c>
      <c r="AR1658" s="174">
        <v>100</v>
      </c>
      <c r="AS1658" s="171"/>
      <c r="AT1658" s="171">
        <v>400</v>
      </c>
      <c r="AU1658" s="255">
        <f t="shared" si="116"/>
        <v>22.222222222222221</v>
      </c>
      <c r="AV1658" s="172">
        <v>99</v>
      </c>
      <c r="AW1658" s="171">
        <v>3</v>
      </c>
      <c r="AX1658" s="171">
        <v>20</v>
      </c>
      <c r="AY1658" s="171">
        <v>20</v>
      </c>
      <c r="AZ1658" s="171">
        <v>0</v>
      </c>
      <c r="BA1658" s="175">
        <v>60</v>
      </c>
      <c r="BB1658" s="259"/>
      <c r="BC1658" s="190"/>
      <c r="BD1658" s="177"/>
      <c r="BE1658" s="177"/>
      <c r="BF1658" s="178"/>
    </row>
    <row r="1659" spans="1:58" ht="15" customHeight="1">
      <c r="A1659" s="95">
        <v>1658</v>
      </c>
      <c r="B1659" s="211" t="s">
        <v>2215</v>
      </c>
      <c r="C1659" s="191" t="s">
        <v>2719</v>
      </c>
      <c r="D1659" s="171" t="s">
        <v>256</v>
      </c>
      <c r="E1659" s="463" t="s">
        <v>3377</v>
      </c>
      <c r="F1659" s="171">
        <v>2005</v>
      </c>
      <c r="G1659" s="171">
        <v>356</v>
      </c>
      <c r="H1659" s="172" t="s">
        <v>1738</v>
      </c>
      <c r="I1659" s="173" t="s">
        <v>1751</v>
      </c>
      <c r="J1659" s="212">
        <v>0.39386792452830188</v>
      </c>
      <c r="K1659" s="213">
        <v>4.1415094339622645</v>
      </c>
      <c r="L1659" s="91"/>
      <c r="M1659" s="171">
        <v>424</v>
      </c>
      <c r="N1659" s="171"/>
      <c r="O1659" s="172" t="s">
        <v>12</v>
      </c>
      <c r="P1659" s="511"/>
      <c r="Q1659" s="173" t="s">
        <v>273</v>
      </c>
      <c r="R1659" s="511"/>
      <c r="S1659" s="511"/>
      <c r="T1659" s="214" t="s">
        <v>2306</v>
      </c>
      <c r="U1659" s="89"/>
      <c r="V1659" s="103">
        <f t="shared" ref="V1659:V1667" si="118">(47/424)*100</f>
        <v>11.084905660377359</v>
      </c>
      <c r="W1659" s="120">
        <v>0</v>
      </c>
      <c r="X1659" s="120">
        <v>0</v>
      </c>
      <c r="Y1659" s="120">
        <v>0</v>
      </c>
      <c r="Z1659" s="120">
        <v>0</v>
      </c>
      <c r="AA1659" s="17">
        <v>0</v>
      </c>
      <c r="AB1659" s="17">
        <v>0</v>
      </c>
      <c r="AC1659" s="17">
        <v>0</v>
      </c>
      <c r="AD1659" s="17">
        <v>0</v>
      </c>
      <c r="AE1659" s="17">
        <v>0</v>
      </c>
      <c r="AF1659" s="33">
        <v>1.9995283018867924</v>
      </c>
      <c r="AG1659" s="17">
        <v>0</v>
      </c>
      <c r="AH1659" s="17">
        <v>0</v>
      </c>
      <c r="AI1659" s="17">
        <v>0</v>
      </c>
      <c r="AJ1659" s="17">
        <v>0</v>
      </c>
      <c r="AK1659" s="17">
        <v>0</v>
      </c>
      <c r="AL1659" s="32">
        <v>0</v>
      </c>
      <c r="AM1659" s="172">
        <v>78.25</v>
      </c>
      <c r="AN1659" s="89"/>
      <c r="AO1659" s="171" t="s">
        <v>521</v>
      </c>
      <c r="AP1659" s="783" t="s">
        <v>521</v>
      </c>
      <c r="AQ1659" s="17" t="s">
        <v>271</v>
      </c>
      <c r="AR1659" s="174">
        <v>100</v>
      </c>
      <c r="AS1659" s="171"/>
      <c r="AT1659" s="171">
        <v>400</v>
      </c>
      <c r="AU1659" s="255">
        <f t="shared" si="116"/>
        <v>22.222222222222221</v>
      </c>
      <c r="AV1659" s="172">
        <v>99</v>
      </c>
      <c r="AW1659" s="171">
        <v>0.5</v>
      </c>
      <c r="AX1659" s="171">
        <v>20</v>
      </c>
      <c r="AY1659" s="171">
        <v>20</v>
      </c>
      <c r="AZ1659" s="171">
        <v>0</v>
      </c>
      <c r="BA1659" s="175">
        <v>60</v>
      </c>
      <c r="BB1659" s="259"/>
      <c r="BC1659" s="190"/>
      <c r="BD1659" s="177"/>
      <c r="BE1659" s="177"/>
      <c r="BF1659" s="178"/>
    </row>
    <row r="1660" spans="1:58" ht="15" customHeight="1">
      <c r="A1660" s="95">
        <v>1659</v>
      </c>
      <c r="B1660" s="211" t="s">
        <v>2216</v>
      </c>
      <c r="C1660" s="191" t="s">
        <v>2719</v>
      </c>
      <c r="D1660" s="171" t="s">
        <v>256</v>
      </c>
      <c r="E1660" s="463" t="s">
        <v>3377</v>
      </c>
      <c r="F1660" s="171">
        <v>2005</v>
      </c>
      <c r="G1660" s="171">
        <v>356</v>
      </c>
      <c r="H1660" s="172" t="s">
        <v>1738</v>
      </c>
      <c r="I1660" s="173" t="s">
        <v>1751</v>
      </c>
      <c r="J1660" s="212">
        <v>0.39386792452830188</v>
      </c>
      <c r="K1660" s="213">
        <v>4.1415094339622645</v>
      </c>
      <c r="L1660" s="91"/>
      <c r="M1660" s="171">
        <v>424</v>
      </c>
      <c r="N1660" s="171"/>
      <c r="O1660" s="172" t="s">
        <v>12</v>
      </c>
      <c r="P1660" s="92"/>
      <c r="Q1660" s="173" t="s">
        <v>273</v>
      </c>
      <c r="R1660" s="511"/>
      <c r="S1660" s="511"/>
      <c r="T1660" s="214" t="s">
        <v>2306</v>
      </c>
      <c r="U1660" s="89"/>
      <c r="V1660" s="103">
        <f t="shared" si="118"/>
        <v>11.084905660377359</v>
      </c>
      <c r="W1660" s="120">
        <v>0</v>
      </c>
      <c r="X1660" s="120">
        <v>0</v>
      </c>
      <c r="Y1660" s="120">
        <v>0</v>
      </c>
      <c r="Z1660" s="120">
        <v>0</v>
      </c>
      <c r="AA1660" s="17">
        <v>0</v>
      </c>
      <c r="AB1660" s="17">
        <v>0</v>
      </c>
      <c r="AC1660" s="17">
        <v>0</v>
      </c>
      <c r="AD1660" s="17">
        <v>0</v>
      </c>
      <c r="AE1660" s="17">
        <v>0</v>
      </c>
      <c r="AF1660" s="33">
        <v>1.9995283018867924</v>
      </c>
      <c r="AG1660" s="17">
        <v>0</v>
      </c>
      <c r="AH1660" s="17">
        <v>0</v>
      </c>
      <c r="AI1660" s="17">
        <v>0</v>
      </c>
      <c r="AJ1660" s="17">
        <v>0</v>
      </c>
      <c r="AK1660" s="17">
        <v>0</v>
      </c>
      <c r="AL1660" s="32">
        <v>0</v>
      </c>
      <c r="AM1660" s="172">
        <v>78.25</v>
      </c>
      <c r="AN1660" s="89"/>
      <c r="AO1660" s="171" t="s">
        <v>521</v>
      </c>
      <c r="AP1660" s="783" t="s">
        <v>521</v>
      </c>
      <c r="AQ1660" s="17" t="s">
        <v>271</v>
      </c>
      <c r="AR1660" s="174">
        <v>100</v>
      </c>
      <c r="AS1660" s="171"/>
      <c r="AT1660" s="171">
        <v>400</v>
      </c>
      <c r="AU1660" s="255">
        <f t="shared" si="116"/>
        <v>22.222222222222221</v>
      </c>
      <c r="AV1660" s="172">
        <v>99</v>
      </c>
      <c r="AW1660" s="171">
        <v>0.5</v>
      </c>
      <c r="AX1660" s="171">
        <v>20</v>
      </c>
      <c r="AY1660" s="171">
        <v>20</v>
      </c>
      <c r="AZ1660" s="171">
        <v>0</v>
      </c>
      <c r="BA1660" s="175">
        <v>60</v>
      </c>
      <c r="BB1660" s="259"/>
      <c r="BC1660" s="190"/>
      <c r="BD1660" s="177"/>
      <c r="BE1660" s="177"/>
      <c r="BF1660" s="178"/>
    </row>
    <row r="1661" spans="1:58" ht="15" customHeight="1">
      <c r="A1661" s="95">
        <v>1660</v>
      </c>
      <c r="B1661" s="211" t="s">
        <v>2217</v>
      </c>
      <c r="C1661" s="191" t="s">
        <v>2719</v>
      </c>
      <c r="D1661" s="171" t="s">
        <v>256</v>
      </c>
      <c r="E1661" s="463" t="s">
        <v>3377</v>
      </c>
      <c r="F1661" s="171">
        <v>2005</v>
      </c>
      <c r="G1661" s="171">
        <v>356</v>
      </c>
      <c r="H1661" s="172" t="s">
        <v>1738</v>
      </c>
      <c r="I1661" s="173" t="s">
        <v>1743</v>
      </c>
      <c r="J1661" s="212">
        <v>0.39386792452830188</v>
      </c>
      <c r="K1661" s="213">
        <v>4.1415094339622645</v>
      </c>
      <c r="L1661" s="91"/>
      <c r="M1661" s="171">
        <v>424</v>
      </c>
      <c r="N1661" s="171"/>
      <c r="O1661" s="172" t="s">
        <v>12</v>
      </c>
      <c r="P1661" s="92"/>
      <c r="Q1661" s="173" t="s">
        <v>273</v>
      </c>
      <c r="R1661" s="511"/>
      <c r="S1661" s="511"/>
      <c r="T1661" s="214" t="s">
        <v>2306</v>
      </c>
      <c r="U1661" s="89"/>
      <c r="V1661" s="103">
        <f t="shared" si="118"/>
        <v>11.084905660377359</v>
      </c>
      <c r="W1661" s="120">
        <v>0</v>
      </c>
      <c r="X1661" s="120">
        <v>0</v>
      </c>
      <c r="Y1661" s="120">
        <v>0</v>
      </c>
      <c r="Z1661" s="120">
        <v>0</v>
      </c>
      <c r="AA1661" s="17">
        <v>0</v>
      </c>
      <c r="AB1661" s="17">
        <v>0</v>
      </c>
      <c r="AC1661" s="17">
        <v>0</v>
      </c>
      <c r="AD1661" s="17">
        <v>0</v>
      </c>
      <c r="AE1661" s="17">
        <v>0</v>
      </c>
      <c r="AF1661" s="33">
        <v>1.9995283018867924</v>
      </c>
      <c r="AG1661" s="17">
        <v>0</v>
      </c>
      <c r="AH1661" s="17">
        <v>0</v>
      </c>
      <c r="AI1661" s="17">
        <v>0</v>
      </c>
      <c r="AJ1661" s="17">
        <v>0</v>
      </c>
      <c r="AK1661" s="17">
        <v>0</v>
      </c>
      <c r="AL1661" s="32">
        <v>0</v>
      </c>
      <c r="AM1661" s="172">
        <v>78.25</v>
      </c>
      <c r="AN1661" s="89"/>
      <c r="AO1661" s="171" t="s">
        <v>521</v>
      </c>
      <c r="AP1661" s="783" t="s">
        <v>521</v>
      </c>
      <c r="AQ1661" s="17" t="s">
        <v>271</v>
      </c>
      <c r="AR1661" s="174">
        <v>100</v>
      </c>
      <c r="AS1661" s="171"/>
      <c r="AT1661" s="171">
        <v>400</v>
      </c>
      <c r="AU1661" s="255">
        <f t="shared" si="116"/>
        <v>22.222222222222221</v>
      </c>
      <c r="AV1661" s="172">
        <v>99</v>
      </c>
      <c r="AW1661" s="171">
        <v>0.5</v>
      </c>
      <c r="AX1661" s="171">
        <v>20</v>
      </c>
      <c r="AY1661" s="171">
        <v>20</v>
      </c>
      <c r="AZ1661" s="171">
        <v>0</v>
      </c>
      <c r="BA1661" s="175">
        <v>60</v>
      </c>
      <c r="BB1661" s="259"/>
      <c r="BC1661" s="190"/>
      <c r="BD1661" s="177"/>
      <c r="BE1661" s="177"/>
      <c r="BF1661" s="178"/>
    </row>
    <row r="1662" spans="1:58" ht="15" customHeight="1">
      <c r="A1662" s="95">
        <v>1661</v>
      </c>
      <c r="B1662" s="211" t="s">
        <v>2218</v>
      </c>
      <c r="C1662" s="191" t="s">
        <v>2719</v>
      </c>
      <c r="D1662" s="171" t="s">
        <v>256</v>
      </c>
      <c r="E1662" s="463" t="s">
        <v>3377</v>
      </c>
      <c r="F1662" s="171">
        <v>2005</v>
      </c>
      <c r="G1662" s="171">
        <v>356</v>
      </c>
      <c r="H1662" s="172" t="s">
        <v>1738</v>
      </c>
      <c r="I1662" s="173" t="s">
        <v>1751</v>
      </c>
      <c r="J1662" s="212">
        <v>0.39386792452830188</v>
      </c>
      <c r="K1662" s="213">
        <v>4.1415094339622645</v>
      </c>
      <c r="L1662" s="91"/>
      <c r="M1662" s="171">
        <v>424</v>
      </c>
      <c r="N1662" s="171"/>
      <c r="O1662" s="172" t="s">
        <v>12</v>
      </c>
      <c r="P1662" s="92"/>
      <c r="Q1662" s="173" t="s">
        <v>273</v>
      </c>
      <c r="R1662" s="511"/>
      <c r="S1662" s="511"/>
      <c r="T1662" s="214" t="s">
        <v>2306</v>
      </c>
      <c r="U1662" s="89"/>
      <c r="V1662" s="103">
        <f t="shared" si="118"/>
        <v>11.084905660377359</v>
      </c>
      <c r="W1662" s="120">
        <v>0</v>
      </c>
      <c r="X1662" s="120">
        <v>0</v>
      </c>
      <c r="Y1662" s="120">
        <v>0</v>
      </c>
      <c r="Z1662" s="120">
        <v>0</v>
      </c>
      <c r="AA1662" s="17">
        <v>0</v>
      </c>
      <c r="AB1662" s="17">
        <v>0</v>
      </c>
      <c r="AC1662" s="17">
        <v>0</v>
      </c>
      <c r="AD1662" s="17">
        <v>0</v>
      </c>
      <c r="AE1662" s="17">
        <v>0</v>
      </c>
      <c r="AF1662" s="33">
        <v>1.9995283018867924</v>
      </c>
      <c r="AG1662" s="17">
        <v>0</v>
      </c>
      <c r="AH1662" s="17">
        <v>0</v>
      </c>
      <c r="AI1662" s="17">
        <v>0</v>
      </c>
      <c r="AJ1662" s="17">
        <v>0</v>
      </c>
      <c r="AK1662" s="17">
        <v>0</v>
      </c>
      <c r="AL1662" s="32">
        <v>0</v>
      </c>
      <c r="AM1662" s="172">
        <v>78.25</v>
      </c>
      <c r="AN1662" s="89"/>
      <c r="AO1662" s="171" t="s">
        <v>521</v>
      </c>
      <c r="AP1662" s="783" t="s">
        <v>521</v>
      </c>
      <c r="AQ1662" s="17" t="s">
        <v>271</v>
      </c>
      <c r="AR1662" s="174">
        <v>100</v>
      </c>
      <c r="AS1662" s="171"/>
      <c r="AT1662" s="171">
        <v>400</v>
      </c>
      <c r="AU1662" s="255">
        <f t="shared" si="116"/>
        <v>22.222222222222221</v>
      </c>
      <c r="AV1662" s="172">
        <v>99</v>
      </c>
      <c r="AW1662" s="171">
        <v>1</v>
      </c>
      <c r="AX1662" s="171">
        <v>20</v>
      </c>
      <c r="AY1662" s="171">
        <v>20</v>
      </c>
      <c r="AZ1662" s="171">
        <v>0</v>
      </c>
      <c r="BA1662" s="175">
        <v>60</v>
      </c>
      <c r="BB1662" s="259"/>
      <c r="BC1662" s="190"/>
      <c r="BD1662" s="177"/>
      <c r="BE1662" s="177"/>
      <c r="BF1662" s="178"/>
    </row>
    <row r="1663" spans="1:58" ht="15" customHeight="1">
      <c r="A1663" s="95">
        <v>1662</v>
      </c>
      <c r="B1663" s="211" t="s">
        <v>2219</v>
      </c>
      <c r="C1663" s="191" t="s">
        <v>2719</v>
      </c>
      <c r="D1663" s="171" t="s">
        <v>256</v>
      </c>
      <c r="E1663" s="463" t="s">
        <v>3377</v>
      </c>
      <c r="F1663" s="171">
        <v>2005</v>
      </c>
      <c r="G1663" s="171">
        <v>356</v>
      </c>
      <c r="H1663" s="172" t="s">
        <v>1738</v>
      </c>
      <c r="I1663" s="173" t="s">
        <v>1751</v>
      </c>
      <c r="J1663" s="212">
        <v>0.39386792452830188</v>
      </c>
      <c r="K1663" s="213">
        <v>4.1415094339622645</v>
      </c>
      <c r="L1663" s="91"/>
      <c r="M1663" s="171">
        <v>424</v>
      </c>
      <c r="N1663" s="171"/>
      <c r="O1663" s="172" t="s">
        <v>12</v>
      </c>
      <c r="P1663" s="92"/>
      <c r="Q1663" s="173" t="s">
        <v>273</v>
      </c>
      <c r="R1663" s="511"/>
      <c r="S1663" s="511"/>
      <c r="T1663" s="214" t="s">
        <v>2306</v>
      </c>
      <c r="U1663" s="89"/>
      <c r="V1663" s="103">
        <f t="shared" si="118"/>
        <v>11.084905660377359</v>
      </c>
      <c r="W1663" s="120">
        <v>0</v>
      </c>
      <c r="X1663" s="120">
        <v>0</v>
      </c>
      <c r="Y1663" s="120">
        <v>0</v>
      </c>
      <c r="Z1663" s="120">
        <v>0</v>
      </c>
      <c r="AA1663" s="17">
        <v>0</v>
      </c>
      <c r="AB1663" s="17">
        <v>0</v>
      </c>
      <c r="AC1663" s="17">
        <v>0</v>
      </c>
      <c r="AD1663" s="17">
        <v>0</v>
      </c>
      <c r="AE1663" s="17">
        <v>0</v>
      </c>
      <c r="AF1663" s="33">
        <v>1.9995283018867924</v>
      </c>
      <c r="AG1663" s="17">
        <v>0</v>
      </c>
      <c r="AH1663" s="17">
        <v>0</v>
      </c>
      <c r="AI1663" s="17">
        <v>0</v>
      </c>
      <c r="AJ1663" s="17">
        <v>0</v>
      </c>
      <c r="AK1663" s="17">
        <v>0</v>
      </c>
      <c r="AL1663" s="32">
        <v>0</v>
      </c>
      <c r="AM1663" s="172">
        <v>78.25</v>
      </c>
      <c r="AN1663" s="89"/>
      <c r="AO1663" s="171" t="s">
        <v>521</v>
      </c>
      <c r="AP1663" s="783" t="s">
        <v>521</v>
      </c>
      <c r="AQ1663" s="17" t="s">
        <v>271</v>
      </c>
      <c r="AR1663" s="174">
        <v>100</v>
      </c>
      <c r="AS1663" s="171"/>
      <c r="AT1663" s="171">
        <v>400</v>
      </c>
      <c r="AU1663" s="255">
        <f t="shared" si="116"/>
        <v>22.222222222222221</v>
      </c>
      <c r="AV1663" s="172">
        <v>99</v>
      </c>
      <c r="AW1663" s="171">
        <v>1</v>
      </c>
      <c r="AX1663" s="171">
        <v>20</v>
      </c>
      <c r="AY1663" s="171">
        <v>20</v>
      </c>
      <c r="AZ1663" s="171">
        <v>0</v>
      </c>
      <c r="BA1663" s="175">
        <v>60</v>
      </c>
      <c r="BB1663" s="259"/>
      <c r="BC1663" s="190"/>
      <c r="BD1663" s="177"/>
      <c r="BE1663" s="177"/>
      <c r="BF1663" s="178"/>
    </row>
    <row r="1664" spans="1:58" ht="15" customHeight="1">
      <c r="A1664" s="95">
        <v>1663</v>
      </c>
      <c r="B1664" s="211" t="s">
        <v>2220</v>
      </c>
      <c r="C1664" s="191" t="s">
        <v>2719</v>
      </c>
      <c r="D1664" s="171" t="s">
        <v>256</v>
      </c>
      <c r="E1664" s="463" t="s">
        <v>3377</v>
      </c>
      <c r="F1664" s="171">
        <v>2005</v>
      </c>
      <c r="G1664" s="171">
        <v>356</v>
      </c>
      <c r="H1664" s="172" t="s">
        <v>1738</v>
      </c>
      <c r="I1664" s="173" t="s">
        <v>1743</v>
      </c>
      <c r="J1664" s="212">
        <v>0.39386792452830188</v>
      </c>
      <c r="K1664" s="213">
        <v>4.1415094339622645</v>
      </c>
      <c r="L1664" s="91"/>
      <c r="M1664" s="171">
        <v>424</v>
      </c>
      <c r="N1664" s="171"/>
      <c r="O1664" s="172" t="s">
        <v>12</v>
      </c>
      <c r="P1664" s="92"/>
      <c r="Q1664" s="173" t="s">
        <v>273</v>
      </c>
      <c r="R1664" s="511"/>
      <c r="S1664" s="511"/>
      <c r="T1664" s="214" t="s">
        <v>2306</v>
      </c>
      <c r="U1664" s="89"/>
      <c r="V1664" s="103">
        <f t="shared" si="118"/>
        <v>11.084905660377359</v>
      </c>
      <c r="W1664" s="120">
        <v>0</v>
      </c>
      <c r="X1664" s="120">
        <v>0</v>
      </c>
      <c r="Y1664" s="120">
        <v>0</v>
      </c>
      <c r="Z1664" s="120">
        <v>0</v>
      </c>
      <c r="AA1664" s="17">
        <v>0</v>
      </c>
      <c r="AB1664" s="17">
        <v>0</v>
      </c>
      <c r="AC1664" s="17">
        <v>0</v>
      </c>
      <c r="AD1664" s="17">
        <v>0</v>
      </c>
      <c r="AE1664" s="17">
        <v>0</v>
      </c>
      <c r="AF1664" s="33">
        <v>1.9995283018867924</v>
      </c>
      <c r="AG1664" s="17">
        <v>0</v>
      </c>
      <c r="AH1664" s="17">
        <v>0</v>
      </c>
      <c r="AI1664" s="17">
        <v>0</v>
      </c>
      <c r="AJ1664" s="17">
        <v>0</v>
      </c>
      <c r="AK1664" s="17">
        <v>0</v>
      </c>
      <c r="AL1664" s="32">
        <v>0</v>
      </c>
      <c r="AM1664" s="172">
        <v>78.25</v>
      </c>
      <c r="AN1664" s="89"/>
      <c r="AO1664" s="171" t="s">
        <v>521</v>
      </c>
      <c r="AP1664" s="783" t="s">
        <v>521</v>
      </c>
      <c r="AQ1664" s="17" t="s">
        <v>271</v>
      </c>
      <c r="AR1664" s="174">
        <v>100</v>
      </c>
      <c r="AS1664" s="171"/>
      <c r="AT1664" s="171">
        <v>400</v>
      </c>
      <c r="AU1664" s="255">
        <f t="shared" si="116"/>
        <v>22.222222222222221</v>
      </c>
      <c r="AV1664" s="172">
        <v>99</v>
      </c>
      <c r="AW1664" s="171">
        <v>1</v>
      </c>
      <c r="AX1664" s="171">
        <v>20</v>
      </c>
      <c r="AY1664" s="171">
        <v>20</v>
      </c>
      <c r="AZ1664" s="171">
        <v>0</v>
      </c>
      <c r="BA1664" s="175">
        <v>60</v>
      </c>
      <c r="BB1664" s="259"/>
      <c r="BC1664" s="190"/>
      <c r="BD1664" s="177"/>
      <c r="BE1664" s="177"/>
      <c r="BF1664" s="178"/>
    </row>
    <row r="1665" spans="1:58" ht="15" customHeight="1">
      <c r="A1665" s="95">
        <v>1664</v>
      </c>
      <c r="B1665" s="211" t="s">
        <v>2221</v>
      </c>
      <c r="C1665" s="191" t="s">
        <v>2719</v>
      </c>
      <c r="D1665" s="171" t="s">
        <v>256</v>
      </c>
      <c r="E1665" s="463" t="s">
        <v>3377</v>
      </c>
      <c r="F1665" s="171">
        <v>2005</v>
      </c>
      <c r="G1665" s="171">
        <v>356</v>
      </c>
      <c r="H1665" s="172" t="s">
        <v>1738</v>
      </c>
      <c r="I1665" s="173" t="s">
        <v>1751</v>
      </c>
      <c r="J1665" s="212">
        <v>0.39386792452830188</v>
      </c>
      <c r="K1665" s="213">
        <v>4.1415094339622645</v>
      </c>
      <c r="L1665" s="91"/>
      <c r="M1665" s="171">
        <v>424</v>
      </c>
      <c r="N1665" s="171"/>
      <c r="O1665" s="172" t="s">
        <v>12</v>
      </c>
      <c r="P1665" s="92"/>
      <c r="Q1665" s="173" t="s">
        <v>273</v>
      </c>
      <c r="R1665" s="511"/>
      <c r="S1665" s="511"/>
      <c r="T1665" s="214" t="s">
        <v>2306</v>
      </c>
      <c r="U1665" s="89"/>
      <c r="V1665" s="103">
        <f t="shared" si="118"/>
        <v>11.084905660377359</v>
      </c>
      <c r="W1665" s="120">
        <v>0</v>
      </c>
      <c r="X1665" s="120">
        <v>0</v>
      </c>
      <c r="Y1665" s="120">
        <v>0</v>
      </c>
      <c r="Z1665" s="120">
        <v>0</v>
      </c>
      <c r="AA1665" s="17">
        <v>0</v>
      </c>
      <c r="AB1665" s="17">
        <v>0</v>
      </c>
      <c r="AC1665" s="17">
        <v>0</v>
      </c>
      <c r="AD1665" s="17">
        <v>0</v>
      </c>
      <c r="AE1665" s="17">
        <v>0</v>
      </c>
      <c r="AF1665" s="33">
        <v>1.9995283018867924</v>
      </c>
      <c r="AG1665" s="17">
        <v>0</v>
      </c>
      <c r="AH1665" s="17">
        <v>0</v>
      </c>
      <c r="AI1665" s="17">
        <v>0</v>
      </c>
      <c r="AJ1665" s="17">
        <v>0</v>
      </c>
      <c r="AK1665" s="17">
        <v>0</v>
      </c>
      <c r="AL1665" s="32">
        <v>0</v>
      </c>
      <c r="AM1665" s="172">
        <v>78.25</v>
      </c>
      <c r="AN1665" s="89"/>
      <c r="AO1665" s="171" t="s">
        <v>521</v>
      </c>
      <c r="AP1665" s="783" t="s">
        <v>521</v>
      </c>
      <c r="AQ1665" s="17" t="s">
        <v>271</v>
      </c>
      <c r="AR1665" s="174">
        <v>100</v>
      </c>
      <c r="AS1665" s="171"/>
      <c r="AT1665" s="171">
        <v>400</v>
      </c>
      <c r="AU1665" s="255">
        <f t="shared" si="116"/>
        <v>22.222222222222221</v>
      </c>
      <c r="AV1665" s="172">
        <v>99</v>
      </c>
      <c r="AW1665" s="171">
        <v>3</v>
      </c>
      <c r="AX1665" s="171">
        <v>20</v>
      </c>
      <c r="AY1665" s="171">
        <v>20</v>
      </c>
      <c r="AZ1665" s="171">
        <v>0</v>
      </c>
      <c r="BA1665" s="175">
        <v>60</v>
      </c>
      <c r="BB1665" s="259"/>
      <c r="BC1665" s="190"/>
      <c r="BD1665" s="177"/>
      <c r="BE1665" s="177"/>
      <c r="BF1665" s="178"/>
    </row>
    <row r="1666" spans="1:58" ht="15" customHeight="1">
      <c r="A1666" s="95">
        <v>1665</v>
      </c>
      <c r="B1666" s="211" t="s">
        <v>2222</v>
      </c>
      <c r="C1666" s="191" t="s">
        <v>2719</v>
      </c>
      <c r="D1666" s="171" t="s">
        <v>256</v>
      </c>
      <c r="E1666" s="463" t="s">
        <v>3377</v>
      </c>
      <c r="F1666" s="171">
        <v>2005</v>
      </c>
      <c r="G1666" s="171">
        <v>356</v>
      </c>
      <c r="H1666" s="172" t="s">
        <v>1738</v>
      </c>
      <c r="I1666" s="173" t="s">
        <v>1751</v>
      </c>
      <c r="J1666" s="212">
        <v>0.39386792452830188</v>
      </c>
      <c r="K1666" s="213">
        <v>4.1415094339622645</v>
      </c>
      <c r="L1666" s="91"/>
      <c r="M1666" s="171">
        <v>424</v>
      </c>
      <c r="N1666" s="171"/>
      <c r="O1666" s="172" t="s">
        <v>12</v>
      </c>
      <c r="P1666" s="92"/>
      <c r="Q1666" s="173" t="s">
        <v>273</v>
      </c>
      <c r="R1666" s="511"/>
      <c r="S1666" s="511"/>
      <c r="T1666" s="214" t="s">
        <v>2306</v>
      </c>
      <c r="U1666" s="89"/>
      <c r="V1666" s="103">
        <f t="shared" si="118"/>
        <v>11.084905660377359</v>
      </c>
      <c r="W1666" s="120">
        <v>0</v>
      </c>
      <c r="X1666" s="120">
        <v>0</v>
      </c>
      <c r="Y1666" s="120">
        <v>0</v>
      </c>
      <c r="Z1666" s="120">
        <v>0</v>
      </c>
      <c r="AA1666" s="17">
        <v>0</v>
      </c>
      <c r="AB1666" s="17">
        <v>0</v>
      </c>
      <c r="AC1666" s="17">
        <v>0</v>
      </c>
      <c r="AD1666" s="17">
        <v>0</v>
      </c>
      <c r="AE1666" s="17">
        <v>0</v>
      </c>
      <c r="AF1666" s="33">
        <v>1.9995283018867924</v>
      </c>
      <c r="AG1666" s="17">
        <v>0</v>
      </c>
      <c r="AH1666" s="17">
        <v>0</v>
      </c>
      <c r="AI1666" s="17">
        <v>0</v>
      </c>
      <c r="AJ1666" s="17">
        <v>0</v>
      </c>
      <c r="AK1666" s="17">
        <v>0</v>
      </c>
      <c r="AL1666" s="32">
        <v>0</v>
      </c>
      <c r="AM1666" s="172">
        <v>78.25</v>
      </c>
      <c r="AN1666" s="89"/>
      <c r="AO1666" s="171" t="s">
        <v>521</v>
      </c>
      <c r="AP1666" s="783" t="s">
        <v>521</v>
      </c>
      <c r="AQ1666" s="17" t="s">
        <v>271</v>
      </c>
      <c r="AR1666" s="174">
        <v>100</v>
      </c>
      <c r="AS1666" s="171"/>
      <c r="AT1666" s="171">
        <v>400</v>
      </c>
      <c r="AU1666" s="255">
        <f t="shared" si="116"/>
        <v>22.222222222222221</v>
      </c>
      <c r="AV1666" s="172">
        <v>99</v>
      </c>
      <c r="AW1666" s="171">
        <v>3</v>
      </c>
      <c r="AX1666" s="171">
        <v>20</v>
      </c>
      <c r="AY1666" s="171">
        <v>20</v>
      </c>
      <c r="AZ1666" s="171">
        <v>0</v>
      </c>
      <c r="BA1666" s="175">
        <v>60</v>
      </c>
      <c r="BB1666" s="259"/>
      <c r="BC1666" s="190"/>
      <c r="BD1666" s="177"/>
      <c r="BE1666" s="177"/>
      <c r="BF1666" s="178"/>
    </row>
    <row r="1667" spans="1:58" ht="15" customHeight="1">
      <c r="A1667" s="95">
        <v>1666</v>
      </c>
      <c r="B1667" s="211" t="s">
        <v>2223</v>
      </c>
      <c r="C1667" s="191" t="s">
        <v>2719</v>
      </c>
      <c r="D1667" s="171" t="s">
        <v>256</v>
      </c>
      <c r="E1667" s="463" t="s">
        <v>3377</v>
      </c>
      <c r="F1667" s="171">
        <v>2005</v>
      </c>
      <c r="G1667" s="171">
        <v>356</v>
      </c>
      <c r="H1667" s="172" t="s">
        <v>1738</v>
      </c>
      <c r="I1667" s="173" t="s">
        <v>1743</v>
      </c>
      <c r="J1667" s="212">
        <v>0.39386792452830188</v>
      </c>
      <c r="K1667" s="213">
        <v>4.1415094339622645</v>
      </c>
      <c r="L1667" s="91"/>
      <c r="M1667" s="171">
        <v>424</v>
      </c>
      <c r="N1667" s="171"/>
      <c r="O1667" s="172" t="s">
        <v>12</v>
      </c>
      <c r="P1667" s="92"/>
      <c r="Q1667" s="173" t="s">
        <v>273</v>
      </c>
      <c r="R1667" s="511"/>
      <c r="S1667" s="511"/>
      <c r="T1667" s="214" t="s">
        <v>2306</v>
      </c>
      <c r="U1667" s="89"/>
      <c r="V1667" s="103">
        <f t="shared" si="118"/>
        <v>11.084905660377359</v>
      </c>
      <c r="W1667" s="120">
        <v>0</v>
      </c>
      <c r="X1667" s="120">
        <v>0</v>
      </c>
      <c r="Y1667" s="120">
        <v>0</v>
      </c>
      <c r="Z1667" s="120">
        <v>0</v>
      </c>
      <c r="AA1667" s="17">
        <v>0</v>
      </c>
      <c r="AB1667" s="17">
        <v>0</v>
      </c>
      <c r="AC1667" s="17">
        <v>0</v>
      </c>
      <c r="AD1667" s="17">
        <v>0</v>
      </c>
      <c r="AE1667" s="17">
        <v>0</v>
      </c>
      <c r="AF1667" s="33">
        <v>1.9995283018867924</v>
      </c>
      <c r="AG1667" s="17">
        <v>0</v>
      </c>
      <c r="AH1667" s="17">
        <v>0</v>
      </c>
      <c r="AI1667" s="17">
        <v>0</v>
      </c>
      <c r="AJ1667" s="17">
        <v>0</v>
      </c>
      <c r="AK1667" s="17">
        <v>0</v>
      </c>
      <c r="AL1667" s="32">
        <v>0</v>
      </c>
      <c r="AM1667" s="172">
        <v>78.25</v>
      </c>
      <c r="AN1667" s="89"/>
      <c r="AO1667" s="171" t="s">
        <v>521</v>
      </c>
      <c r="AP1667" s="783" t="s">
        <v>521</v>
      </c>
      <c r="AQ1667" s="17" t="s">
        <v>271</v>
      </c>
      <c r="AR1667" s="174">
        <v>100</v>
      </c>
      <c r="AS1667" s="171"/>
      <c r="AT1667" s="171">
        <v>400</v>
      </c>
      <c r="AU1667" s="255">
        <f t="shared" si="116"/>
        <v>22.222222222222221</v>
      </c>
      <c r="AV1667" s="172">
        <v>99</v>
      </c>
      <c r="AW1667" s="171">
        <v>3</v>
      </c>
      <c r="AX1667" s="171">
        <v>20</v>
      </c>
      <c r="AY1667" s="171">
        <v>20</v>
      </c>
      <c r="AZ1667" s="171">
        <v>0</v>
      </c>
      <c r="BA1667" s="175">
        <v>60</v>
      </c>
      <c r="BB1667" s="259"/>
      <c r="BC1667" s="190"/>
      <c r="BD1667" s="177"/>
      <c r="BE1667" s="177"/>
      <c r="BF1667" s="178"/>
    </row>
    <row r="1668" spans="1:58" ht="15" customHeight="1">
      <c r="A1668" s="95">
        <v>1667</v>
      </c>
      <c r="B1668" s="211" t="s">
        <v>2224</v>
      </c>
      <c r="C1668" s="191" t="s">
        <v>2719</v>
      </c>
      <c r="D1668" s="171" t="s">
        <v>256</v>
      </c>
      <c r="E1668" s="463" t="s">
        <v>3377</v>
      </c>
      <c r="F1668" s="171">
        <v>2005</v>
      </c>
      <c r="G1668" s="171">
        <v>356</v>
      </c>
      <c r="H1668" s="172" t="s">
        <v>1738</v>
      </c>
      <c r="I1668" s="173" t="s">
        <v>1751</v>
      </c>
      <c r="J1668" s="212">
        <v>0.5</v>
      </c>
      <c r="K1668" s="213">
        <v>5.3617647058823525</v>
      </c>
      <c r="L1668" s="91"/>
      <c r="M1668" s="171">
        <v>340</v>
      </c>
      <c r="N1668" s="171"/>
      <c r="O1668" s="172" t="s">
        <v>12</v>
      </c>
      <c r="P1668" s="511"/>
      <c r="Q1668" s="173" t="s">
        <v>273</v>
      </c>
      <c r="R1668" s="511"/>
      <c r="S1668" s="511"/>
      <c r="T1668" s="214" t="s">
        <v>2306</v>
      </c>
      <c r="U1668" s="89"/>
      <c r="V1668" s="103">
        <f t="shared" ref="V1668:V1676" si="119">(38/340)*100</f>
        <v>11.176470588235295</v>
      </c>
      <c r="W1668" s="120">
        <v>0</v>
      </c>
      <c r="X1668" s="120">
        <v>0</v>
      </c>
      <c r="Y1668" s="120">
        <v>0</v>
      </c>
      <c r="Z1668" s="120">
        <v>0</v>
      </c>
      <c r="AA1668" s="17">
        <v>0</v>
      </c>
      <c r="AB1668" s="17">
        <v>0</v>
      </c>
      <c r="AC1668" s="17">
        <v>0</v>
      </c>
      <c r="AD1668" s="17">
        <v>0</v>
      </c>
      <c r="AE1668" s="17">
        <v>0</v>
      </c>
      <c r="AF1668" s="33">
        <v>1.5564705882352941</v>
      </c>
      <c r="AG1668" s="17">
        <v>0</v>
      </c>
      <c r="AH1668" s="17">
        <v>0</v>
      </c>
      <c r="AI1668" s="17">
        <v>0</v>
      </c>
      <c r="AJ1668" s="17">
        <v>0</v>
      </c>
      <c r="AK1668" s="17">
        <v>0</v>
      </c>
      <c r="AL1668" s="32">
        <v>0</v>
      </c>
      <c r="AM1668" s="172">
        <v>99.6</v>
      </c>
      <c r="AN1668" s="89"/>
      <c r="AO1668" s="171" t="s">
        <v>521</v>
      </c>
      <c r="AP1668" s="783" t="s">
        <v>521</v>
      </c>
      <c r="AQ1668" s="17" t="s">
        <v>271</v>
      </c>
      <c r="AR1668" s="174">
        <v>100</v>
      </c>
      <c r="AS1668" s="171"/>
      <c r="AT1668" s="171">
        <v>400</v>
      </c>
      <c r="AU1668" s="255">
        <f t="shared" si="116"/>
        <v>22.222222222222221</v>
      </c>
      <c r="AV1668" s="172">
        <v>99</v>
      </c>
      <c r="AW1668" s="171">
        <v>0.5</v>
      </c>
      <c r="AX1668" s="171">
        <v>20</v>
      </c>
      <c r="AY1668" s="171">
        <v>20</v>
      </c>
      <c r="AZ1668" s="171">
        <v>0</v>
      </c>
      <c r="BA1668" s="175">
        <v>60</v>
      </c>
      <c r="BB1668" s="259"/>
      <c r="BC1668" s="190"/>
      <c r="BD1668" s="177"/>
      <c r="BE1668" s="177"/>
      <c r="BF1668" s="178"/>
    </row>
    <row r="1669" spans="1:58" ht="15" customHeight="1">
      <c r="A1669" s="95">
        <v>1668</v>
      </c>
      <c r="B1669" s="211" t="s">
        <v>2225</v>
      </c>
      <c r="C1669" s="191" t="s">
        <v>2719</v>
      </c>
      <c r="D1669" s="171" t="s">
        <v>256</v>
      </c>
      <c r="E1669" s="463" t="s">
        <v>3377</v>
      </c>
      <c r="F1669" s="171">
        <v>2005</v>
      </c>
      <c r="G1669" s="171">
        <v>356</v>
      </c>
      <c r="H1669" s="172" t="s">
        <v>1738</v>
      </c>
      <c r="I1669" s="173" t="s">
        <v>1751</v>
      </c>
      <c r="J1669" s="212">
        <v>0.5</v>
      </c>
      <c r="K1669" s="213">
        <v>5.3617647058823525</v>
      </c>
      <c r="L1669" s="91"/>
      <c r="M1669" s="171">
        <v>340</v>
      </c>
      <c r="N1669" s="171"/>
      <c r="O1669" s="172" t="s">
        <v>12</v>
      </c>
      <c r="P1669" s="511"/>
      <c r="Q1669" s="173" t="s">
        <v>273</v>
      </c>
      <c r="R1669" s="511"/>
      <c r="S1669" s="511"/>
      <c r="T1669" s="214" t="s">
        <v>2306</v>
      </c>
      <c r="U1669" s="89"/>
      <c r="V1669" s="103">
        <f t="shared" si="119"/>
        <v>11.176470588235295</v>
      </c>
      <c r="W1669" s="120">
        <v>0</v>
      </c>
      <c r="X1669" s="120">
        <v>0</v>
      </c>
      <c r="Y1669" s="120">
        <v>0</v>
      </c>
      <c r="Z1669" s="120">
        <v>0</v>
      </c>
      <c r="AA1669" s="17">
        <v>0</v>
      </c>
      <c r="AB1669" s="17">
        <v>0</v>
      </c>
      <c r="AC1669" s="17">
        <v>0</v>
      </c>
      <c r="AD1669" s="17">
        <v>0</v>
      </c>
      <c r="AE1669" s="17">
        <v>0</v>
      </c>
      <c r="AF1669" s="33">
        <v>1.5564705882352941</v>
      </c>
      <c r="AG1669" s="17">
        <v>0</v>
      </c>
      <c r="AH1669" s="17">
        <v>0</v>
      </c>
      <c r="AI1669" s="17">
        <v>0</v>
      </c>
      <c r="AJ1669" s="17">
        <v>0</v>
      </c>
      <c r="AK1669" s="17">
        <v>0</v>
      </c>
      <c r="AL1669" s="32">
        <v>0</v>
      </c>
      <c r="AM1669" s="172">
        <v>99.6</v>
      </c>
      <c r="AN1669" s="89"/>
      <c r="AO1669" s="171" t="s">
        <v>521</v>
      </c>
      <c r="AP1669" s="783" t="s">
        <v>521</v>
      </c>
      <c r="AQ1669" s="17" t="s">
        <v>271</v>
      </c>
      <c r="AR1669" s="174">
        <v>100</v>
      </c>
      <c r="AS1669" s="171"/>
      <c r="AT1669" s="171">
        <v>400</v>
      </c>
      <c r="AU1669" s="255">
        <f t="shared" si="116"/>
        <v>22.222222222222221</v>
      </c>
      <c r="AV1669" s="172">
        <v>99</v>
      </c>
      <c r="AW1669" s="171">
        <v>0.5</v>
      </c>
      <c r="AX1669" s="171">
        <v>20</v>
      </c>
      <c r="AY1669" s="171">
        <v>20</v>
      </c>
      <c r="AZ1669" s="171">
        <v>0</v>
      </c>
      <c r="BA1669" s="175">
        <v>60</v>
      </c>
      <c r="BB1669" s="259"/>
      <c r="BC1669" s="190"/>
      <c r="BD1669" s="177"/>
      <c r="BE1669" s="177"/>
      <c r="BF1669" s="178"/>
    </row>
    <row r="1670" spans="1:58" ht="15" customHeight="1">
      <c r="A1670" s="95">
        <v>1669</v>
      </c>
      <c r="B1670" s="211" t="s">
        <v>2226</v>
      </c>
      <c r="C1670" s="191" t="s">
        <v>2719</v>
      </c>
      <c r="D1670" s="171" t="s">
        <v>256</v>
      </c>
      <c r="E1670" s="463" t="s">
        <v>3377</v>
      </c>
      <c r="F1670" s="171">
        <v>2005</v>
      </c>
      <c r="G1670" s="171">
        <v>356</v>
      </c>
      <c r="H1670" s="172" t="s">
        <v>1738</v>
      </c>
      <c r="I1670" s="173" t="s">
        <v>1743</v>
      </c>
      <c r="J1670" s="212">
        <v>0.5</v>
      </c>
      <c r="K1670" s="213">
        <v>5.3617647058823525</v>
      </c>
      <c r="L1670" s="91"/>
      <c r="M1670" s="171">
        <v>340</v>
      </c>
      <c r="N1670" s="171"/>
      <c r="O1670" s="172" t="s">
        <v>12</v>
      </c>
      <c r="P1670" s="511"/>
      <c r="Q1670" s="173" t="s">
        <v>273</v>
      </c>
      <c r="R1670" s="511"/>
      <c r="S1670" s="511"/>
      <c r="T1670" s="214" t="s">
        <v>2306</v>
      </c>
      <c r="U1670" s="89"/>
      <c r="V1670" s="103">
        <f t="shared" si="119"/>
        <v>11.176470588235295</v>
      </c>
      <c r="W1670" s="120">
        <v>0</v>
      </c>
      <c r="X1670" s="120">
        <v>0</v>
      </c>
      <c r="Y1670" s="120">
        <v>0</v>
      </c>
      <c r="Z1670" s="120">
        <v>0</v>
      </c>
      <c r="AA1670" s="17">
        <v>0</v>
      </c>
      <c r="AB1670" s="17">
        <v>0</v>
      </c>
      <c r="AC1670" s="17">
        <v>0</v>
      </c>
      <c r="AD1670" s="17">
        <v>0</v>
      </c>
      <c r="AE1670" s="17">
        <v>0</v>
      </c>
      <c r="AF1670" s="33">
        <v>1.5564705882352941</v>
      </c>
      <c r="AG1670" s="17">
        <v>0</v>
      </c>
      <c r="AH1670" s="17">
        <v>0</v>
      </c>
      <c r="AI1670" s="17">
        <v>0</v>
      </c>
      <c r="AJ1670" s="17">
        <v>0</v>
      </c>
      <c r="AK1670" s="17">
        <v>0</v>
      </c>
      <c r="AL1670" s="32">
        <v>0</v>
      </c>
      <c r="AM1670" s="172">
        <v>99.6</v>
      </c>
      <c r="AN1670" s="89"/>
      <c r="AO1670" s="171" t="s">
        <v>521</v>
      </c>
      <c r="AP1670" s="783" t="s">
        <v>521</v>
      </c>
      <c r="AQ1670" s="17" t="s">
        <v>271</v>
      </c>
      <c r="AR1670" s="174">
        <v>100</v>
      </c>
      <c r="AS1670" s="171"/>
      <c r="AT1670" s="171">
        <v>400</v>
      </c>
      <c r="AU1670" s="255">
        <f t="shared" ref="AU1670:AU1701" si="120">IF(ISBLANK(AS1670),(AR1670*AT1670)/((4*AT1670)+(2*AR1670)),AR1670*AS1670*AT1670/2/(AR1670*AS1670+AR1670*AT1670+AS1670*AT1670))</f>
        <v>22.222222222222221</v>
      </c>
      <c r="AV1670" s="172">
        <v>99</v>
      </c>
      <c r="AW1670" s="171">
        <v>0.5</v>
      </c>
      <c r="AX1670" s="171">
        <v>20</v>
      </c>
      <c r="AY1670" s="171">
        <v>20</v>
      </c>
      <c r="AZ1670" s="171">
        <v>0</v>
      </c>
      <c r="BA1670" s="175">
        <v>60</v>
      </c>
      <c r="BB1670" s="259"/>
      <c r="BC1670" s="190"/>
      <c r="BD1670" s="177"/>
      <c r="BE1670" s="177"/>
      <c r="BF1670" s="178"/>
    </row>
    <row r="1671" spans="1:58" ht="15" customHeight="1">
      <c r="A1671" s="95">
        <v>1670</v>
      </c>
      <c r="B1671" s="211" t="s">
        <v>2227</v>
      </c>
      <c r="C1671" s="191" t="s">
        <v>2719</v>
      </c>
      <c r="D1671" s="171" t="s">
        <v>256</v>
      </c>
      <c r="E1671" s="463" t="s">
        <v>3377</v>
      </c>
      <c r="F1671" s="171">
        <v>2005</v>
      </c>
      <c r="G1671" s="171">
        <v>356</v>
      </c>
      <c r="H1671" s="172" t="s">
        <v>1738</v>
      </c>
      <c r="I1671" s="173" t="s">
        <v>1751</v>
      </c>
      <c r="J1671" s="212">
        <v>0.5</v>
      </c>
      <c r="K1671" s="213">
        <v>5.3617647058823525</v>
      </c>
      <c r="L1671" s="91"/>
      <c r="M1671" s="171">
        <v>340</v>
      </c>
      <c r="N1671" s="171"/>
      <c r="O1671" s="172" t="s">
        <v>12</v>
      </c>
      <c r="P1671" s="511"/>
      <c r="Q1671" s="173" t="s">
        <v>273</v>
      </c>
      <c r="R1671" s="511"/>
      <c r="S1671" s="511"/>
      <c r="T1671" s="214" t="s">
        <v>2306</v>
      </c>
      <c r="U1671" s="89"/>
      <c r="V1671" s="103">
        <f t="shared" si="119"/>
        <v>11.176470588235295</v>
      </c>
      <c r="W1671" s="120">
        <v>0</v>
      </c>
      <c r="X1671" s="120">
        <v>0</v>
      </c>
      <c r="Y1671" s="120">
        <v>0</v>
      </c>
      <c r="Z1671" s="120">
        <v>0</v>
      </c>
      <c r="AA1671" s="17">
        <v>0</v>
      </c>
      <c r="AB1671" s="17">
        <v>0</v>
      </c>
      <c r="AC1671" s="17">
        <v>0</v>
      </c>
      <c r="AD1671" s="17">
        <v>0</v>
      </c>
      <c r="AE1671" s="17">
        <v>0</v>
      </c>
      <c r="AF1671" s="33">
        <v>1.5564705882352941</v>
      </c>
      <c r="AG1671" s="17">
        <v>0</v>
      </c>
      <c r="AH1671" s="17">
        <v>0</v>
      </c>
      <c r="AI1671" s="17">
        <v>0</v>
      </c>
      <c r="AJ1671" s="17">
        <v>0</v>
      </c>
      <c r="AK1671" s="17">
        <v>0</v>
      </c>
      <c r="AL1671" s="32">
        <v>0</v>
      </c>
      <c r="AM1671" s="172">
        <v>99.6</v>
      </c>
      <c r="AN1671" s="89"/>
      <c r="AO1671" s="171" t="s">
        <v>521</v>
      </c>
      <c r="AP1671" s="783" t="s">
        <v>521</v>
      </c>
      <c r="AQ1671" s="17" t="s">
        <v>271</v>
      </c>
      <c r="AR1671" s="174">
        <v>100</v>
      </c>
      <c r="AS1671" s="171"/>
      <c r="AT1671" s="171">
        <v>400</v>
      </c>
      <c r="AU1671" s="255">
        <f t="shared" si="120"/>
        <v>22.222222222222221</v>
      </c>
      <c r="AV1671" s="172">
        <v>99</v>
      </c>
      <c r="AW1671" s="171">
        <v>1</v>
      </c>
      <c r="AX1671" s="171">
        <v>20</v>
      </c>
      <c r="AY1671" s="171">
        <v>20</v>
      </c>
      <c r="AZ1671" s="171">
        <v>0</v>
      </c>
      <c r="BA1671" s="175">
        <v>60</v>
      </c>
      <c r="BB1671" s="259"/>
      <c r="BC1671" s="190"/>
      <c r="BD1671" s="177"/>
      <c r="BE1671" s="177"/>
      <c r="BF1671" s="178"/>
    </row>
    <row r="1672" spans="1:58" ht="15" customHeight="1">
      <c r="A1672" s="95">
        <v>1671</v>
      </c>
      <c r="B1672" s="211" t="s">
        <v>2228</v>
      </c>
      <c r="C1672" s="191" t="s">
        <v>2719</v>
      </c>
      <c r="D1672" s="171" t="s">
        <v>256</v>
      </c>
      <c r="E1672" s="463" t="s">
        <v>3377</v>
      </c>
      <c r="F1672" s="171">
        <v>2005</v>
      </c>
      <c r="G1672" s="171">
        <v>356</v>
      </c>
      <c r="H1672" s="172" t="s">
        <v>1738</v>
      </c>
      <c r="I1672" s="173" t="s">
        <v>1751</v>
      </c>
      <c r="J1672" s="212">
        <v>0.5</v>
      </c>
      <c r="K1672" s="213">
        <v>5.3617647058823525</v>
      </c>
      <c r="L1672" s="91"/>
      <c r="M1672" s="171">
        <v>340</v>
      </c>
      <c r="N1672" s="171"/>
      <c r="O1672" s="172" t="s">
        <v>12</v>
      </c>
      <c r="P1672" s="511"/>
      <c r="Q1672" s="173" t="s">
        <v>273</v>
      </c>
      <c r="R1672" s="511"/>
      <c r="S1672" s="511"/>
      <c r="T1672" s="214" t="s">
        <v>2306</v>
      </c>
      <c r="U1672" s="89"/>
      <c r="V1672" s="103">
        <f t="shared" si="119"/>
        <v>11.176470588235295</v>
      </c>
      <c r="W1672" s="120">
        <v>0</v>
      </c>
      <c r="X1672" s="120">
        <v>0</v>
      </c>
      <c r="Y1672" s="120">
        <v>0</v>
      </c>
      <c r="Z1672" s="120">
        <v>0</v>
      </c>
      <c r="AA1672" s="17">
        <v>0</v>
      </c>
      <c r="AB1672" s="17">
        <v>0</v>
      </c>
      <c r="AC1672" s="17">
        <v>0</v>
      </c>
      <c r="AD1672" s="17">
        <v>0</v>
      </c>
      <c r="AE1672" s="17">
        <v>0</v>
      </c>
      <c r="AF1672" s="33">
        <v>1.5564705882352941</v>
      </c>
      <c r="AG1672" s="17">
        <v>0</v>
      </c>
      <c r="AH1672" s="17">
        <v>0</v>
      </c>
      <c r="AI1672" s="17">
        <v>0</v>
      </c>
      <c r="AJ1672" s="17">
        <v>0</v>
      </c>
      <c r="AK1672" s="17">
        <v>0</v>
      </c>
      <c r="AL1672" s="32">
        <v>0</v>
      </c>
      <c r="AM1672" s="172">
        <v>99.6</v>
      </c>
      <c r="AN1672" s="89"/>
      <c r="AO1672" s="171" t="s">
        <v>521</v>
      </c>
      <c r="AP1672" s="783" t="s">
        <v>521</v>
      </c>
      <c r="AQ1672" s="17" t="s">
        <v>271</v>
      </c>
      <c r="AR1672" s="174">
        <v>100</v>
      </c>
      <c r="AS1672" s="171"/>
      <c r="AT1672" s="171">
        <v>400</v>
      </c>
      <c r="AU1672" s="255">
        <f t="shared" si="120"/>
        <v>22.222222222222221</v>
      </c>
      <c r="AV1672" s="172">
        <v>99</v>
      </c>
      <c r="AW1672" s="171">
        <v>1</v>
      </c>
      <c r="AX1672" s="171">
        <v>20</v>
      </c>
      <c r="AY1672" s="171">
        <v>20</v>
      </c>
      <c r="AZ1672" s="171">
        <v>0</v>
      </c>
      <c r="BA1672" s="175">
        <v>60</v>
      </c>
      <c r="BB1672" s="259"/>
      <c r="BC1672" s="190"/>
      <c r="BD1672" s="177"/>
      <c r="BE1672" s="177"/>
      <c r="BF1672" s="178"/>
    </row>
    <row r="1673" spans="1:58" ht="15" customHeight="1">
      <c r="A1673" s="95">
        <v>1672</v>
      </c>
      <c r="B1673" s="211" t="s">
        <v>2229</v>
      </c>
      <c r="C1673" s="191" t="s">
        <v>2719</v>
      </c>
      <c r="D1673" s="171" t="s">
        <v>256</v>
      </c>
      <c r="E1673" s="463" t="s">
        <v>3377</v>
      </c>
      <c r="F1673" s="171">
        <v>2005</v>
      </c>
      <c r="G1673" s="171">
        <v>356</v>
      </c>
      <c r="H1673" s="172" t="s">
        <v>1738</v>
      </c>
      <c r="I1673" s="173" t="s">
        <v>1743</v>
      </c>
      <c r="J1673" s="212">
        <v>0.5</v>
      </c>
      <c r="K1673" s="213">
        <v>5.3617647058823525</v>
      </c>
      <c r="L1673" s="91"/>
      <c r="M1673" s="171">
        <v>340</v>
      </c>
      <c r="N1673" s="171"/>
      <c r="O1673" s="172" t="s">
        <v>12</v>
      </c>
      <c r="P1673" s="511"/>
      <c r="Q1673" s="173" t="s">
        <v>273</v>
      </c>
      <c r="R1673" s="511"/>
      <c r="S1673" s="511"/>
      <c r="T1673" s="214" t="s">
        <v>2306</v>
      </c>
      <c r="U1673" s="89"/>
      <c r="V1673" s="103">
        <f t="shared" si="119"/>
        <v>11.176470588235295</v>
      </c>
      <c r="W1673" s="120">
        <v>0</v>
      </c>
      <c r="X1673" s="120">
        <v>0</v>
      </c>
      <c r="Y1673" s="120">
        <v>0</v>
      </c>
      <c r="Z1673" s="120">
        <v>0</v>
      </c>
      <c r="AA1673" s="17">
        <v>0</v>
      </c>
      <c r="AB1673" s="17">
        <v>0</v>
      </c>
      <c r="AC1673" s="17">
        <v>0</v>
      </c>
      <c r="AD1673" s="17">
        <v>0</v>
      </c>
      <c r="AE1673" s="17">
        <v>0</v>
      </c>
      <c r="AF1673" s="33">
        <v>1.5564705882352941</v>
      </c>
      <c r="AG1673" s="17">
        <v>0</v>
      </c>
      <c r="AH1673" s="17">
        <v>0</v>
      </c>
      <c r="AI1673" s="17">
        <v>0</v>
      </c>
      <c r="AJ1673" s="17">
        <v>0</v>
      </c>
      <c r="AK1673" s="17">
        <v>0</v>
      </c>
      <c r="AL1673" s="32">
        <v>0</v>
      </c>
      <c r="AM1673" s="172">
        <v>99.6</v>
      </c>
      <c r="AN1673" s="89"/>
      <c r="AO1673" s="171" t="s">
        <v>521</v>
      </c>
      <c r="AP1673" s="783" t="s">
        <v>521</v>
      </c>
      <c r="AQ1673" s="17" t="s">
        <v>271</v>
      </c>
      <c r="AR1673" s="174">
        <v>100</v>
      </c>
      <c r="AS1673" s="171"/>
      <c r="AT1673" s="171">
        <v>400</v>
      </c>
      <c r="AU1673" s="255">
        <f t="shared" si="120"/>
        <v>22.222222222222221</v>
      </c>
      <c r="AV1673" s="172">
        <v>99</v>
      </c>
      <c r="AW1673" s="171">
        <v>1</v>
      </c>
      <c r="AX1673" s="171">
        <v>20</v>
      </c>
      <c r="AY1673" s="171">
        <v>20</v>
      </c>
      <c r="AZ1673" s="171">
        <v>0</v>
      </c>
      <c r="BA1673" s="175">
        <v>60</v>
      </c>
      <c r="BB1673" s="259"/>
      <c r="BC1673" s="190"/>
      <c r="BD1673" s="177"/>
      <c r="BE1673" s="177"/>
      <c r="BF1673" s="178"/>
    </row>
    <row r="1674" spans="1:58" ht="15" customHeight="1">
      <c r="A1674" s="95">
        <v>1673</v>
      </c>
      <c r="B1674" s="211" t="s">
        <v>2230</v>
      </c>
      <c r="C1674" s="191" t="s">
        <v>2719</v>
      </c>
      <c r="D1674" s="171" t="s">
        <v>256</v>
      </c>
      <c r="E1674" s="463" t="s">
        <v>3377</v>
      </c>
      <c r="F1674" s="171">
        <v>2005</v>
      </c>
      <c r="G1674" s="171">
        <v>356</v>
      </c>
      <c r="H1674" s="172" t="s">
        <v>1738</v>
      </c>
      <c r="I1674" s="173" t="s">
        <v>1751</v>
      </c>
      <c r="J1674" s="212">
        <v>0.5</v>
      </c>
      <c r="K1674" s="213">
        <v>5.3617647058823525</v>
      </c>
      <c r="L1674" s="91"/>
      <c r="M1674" s="171">
        <v>340</v>
      </c>
      <c r="N1674" s="171"/>
      <c r="O1674" s="172" t="s">
        <v>12</v>
      </c>
      <c r="P1674" s="511"/>
      <c r="Q1674" s="173" t="s">
        <v>273</v>
      </c>
      <c r="R1674" s="511"/>
      <c r="S1674" s="511"/>
      <c r="T1674" s="214" t="s">
        <v>2306</v>
      </c>
      <c r="U1674" s="89"/>
      <c r="V1674" s="103">
        <f t="shared" si="119"/>
        <v>11.176470588235295</v>
      </c>
      <c r="W1674" s="120">
        <v>0</v>
      </c>
      <c r="X1674" s="120">
        <v>0</v>
      </c>
      <c r="Y1674" s="120">
        <v>0</v>
      </c>
      <c r="Z1674" s="120">
        <v>0</v>
      </c>
      <c r="AA1674" s="17">
        <v>0</v>
      </c>
      <c r="AB1674" s="17">
        <v>0</v>
      </c>
      <c r="AC1674" s="17">
        <v>0</v>
      </c>
      <c r="AD1674" s="17">
        <v>0</v>
      </c>
      <c r="AE1674" s="17">
        <v>0</v>
      </c>
      <c r="AF1674" s="33">
        <v>1.5564705882352941</v>
      </c>
      <c r="AG1674" s="17">
        <v>0</v>
      </c>
      <c r="AH1674" s="17">
        <v>0</v>
      </c>
      <c r="AI1674" s="17">
        <v>0</v>
      </c>
      <c r="AJ1674" s="17">
        <v>0</v>
      </c>
      <c r="AK1674" s="17">
        <v>0</v>
      </c>
      <c r="AL1674" s="32">
        <v>0</v>
      </c>
      <c r="AM1674" s="172">
        <v>99.6</v>
      </c>
      <c r="AN1674" s="89"/>
      <c r="AO1674" s="171" t="s">
        <v>521</v>
      </c>
      <c r="AP1674" s="783" t="s">
        <v>521</v>
      </c>
      <c r="AQ1674" s="17" t="s">
        <v>271</v>
      </c>
      <c r="AR1674" s="174">
        <v>100</v>
      </c>
      <c r="AS1674" s="171"/>
      <c r="AT1674" s="171">
        <v>400</v>
      </c>
      <c r="AU1674" s="255">
        <f t="shared" si="120"/>
        <v>22.222222222222221</v>
      </c>
      <c r="AV1674" s="172">
        <v>99</v>
      </c>
      <c r="AW1674" s="171">
        <v>3</v>
      </c>
      <c r="AX1674" s="171">
        <v>20</v>
      </c>
      <c r="AY1674" s="171">
        <v>20</v>
      </c>
      <c r="AZ1674" s="171">
        <v>0</v>
      </c>
      <c r="BA1674" s="175">
        <v>60</v>
      </c>
      <c r="BB1674" s="259"/>
      <c r="BC1674" s="190"/>
      <c r="BD1674" s="177"/>
      <c r="BE1674" s="177"/>
      <c r="BF1674" s="178"/>
    </row>
    <row r="1675" spans="1:58" ht="15" customHeight="1">
      <c r="A1675" s="95">
        <v>1674</v>
      </c>
      <c r="B1675" s="211" t="s">
        <v>2231</v>
      </c>
      <c r="C1675" s="191" t="s">
        <v>2719</v>
      </c>
      <c r="D1675" s="171" t="s">
        <v>256</v>
      </c>
      <c r="E1675" s="463" t="s">
        <v>3377</v>
      </c>
      <c r="F1675" s="171">
        <v>2005</v>
      </c>
      <c r="G1675" s="171">
        <v>356</v>
      </c>
      <c r="H1675" s="172" t="s">
        <v>1738</v>
      </c>
      <c r="I1675" s="173" t="s">
        <v>1751</v>
      </c>
      <c r="J1675" s="212">
        <v>0.5</v>
      </c>
      <c r="K1675" s="213">
        <v>5.3617647058823525</v>
      </c>
      <c r="L1675" s="91"/>
      <c r="M1675" s="171">
        <v>340</v>
      </c>
      <c r="N1675" s="171"/>
      <c r="O1675" s="172" t="s">
        <v>12</v>
      </c>
      <c r="P1675" s="511"/>
      <c r="Q1675" s="173" t="s">
        <v>273</v>
      </c>
      <c r="R1675" s="511"/>
      <c r="S1675" s="511"/>
      <c r="T1675" s="214" t="s">
        <v>2306</v>
      </c>
      <c r="U1675" s="89"/>
      <c r="V1675" s="103">
        <f t="shared" si="119"/>
        <v>11.176470588235295</v>
      </c>
      <c r="W1675" s="120">
        <v>0</v>
      </c>
      <c r="X1675" s="120">
        <v>0</v>
      </c>
      <c r="Y1675" s="120">
        <v>0</v>
      </c>
      <c r="Z1675" s="120">
        <v>0</v>
      </c>
      <c r="AA1675" s="17">
        <v>0</v>
      </c>
      <c r="AB1675" s="17">
        <v>0</v>
      </c>
      <c r="AC1675" s="17">
        <v>0</v>
      </c>
      <c r="AD1675" s="17">
        <v>0</v>
      </c>
      <c r="AE1675" s="17">
        <v>0</v>
      </c>
      <c r="AF1675" s="33">
        <v>1.5564705882352941</v>
      </c>
      <c r="AG1675" s="17">
        <v>0</v>
      </c>
      <c r="AH1675" s="17">
        <v>0</v>
      </c>
      <c r="AI1675" s="17">
        <v>0</v>
      </c>
      <c r="AJ1675" s="17">
        <v>0</v>
      </c>
      <c r="AK1675" s="17">
        <v>0</v>
      </c>
      <c r="AL1675" s="32">
        <v>0</v>
      </c>
      <c r="AM1675" s="172">
        <v>99.6</v>
      </c>
      <c r="AN1675" s="89"/>
      <c r="AO1675" s="171" t="s">
        <v>521</v>
      </c>
      <c r="AP1675" s="783" t="s">
        <v>521</v>
      </c>
      <c r="AQ1675" s="17" t="s">
        <v>271</v>
      </c>
      <c r="AR1675" s="174">
        <v>100</v>
      </c>
      <c r="AS1675" s="171"/>
      <c r="AT1675" s="171">
        <v>400</v>
      </c>
      <c r="AU1675" s="255">
        <f t="shared" si="120"/>
        <v>22.222222222222221</v>
      </c>
      <c r="AV1675" s="172">
        <v>99</v>
      </c>
      <c r="AW1675" s="171">
        <v>3</v>
      </c>
      <c r="AX1675" s="171">
        <v>20</v>
      </c>
      <c r="AY1675" s="171">
        <v>20</v>
      </c>
      <c r="AZ1675" s="171">
        <v>0</v>
      </c>
      <c r="BA1675" s="175">
        <v>60</v>
      </c>
      <c r="BB1675" s="259"/>
      <c r="BC1675" s="190"/>
      <c r="BD1675" s="177"/>
      <c r="BE1675" s="177"/>
      <c r="BF1675" s="178"/>
    </row>
    <row r="1676" spans="1:58" ht="15" customHeight="1">
      <c r="A1676" s="95">
        <v>1675</v>
      </c>
      <c r="B1676" s="211" t="s">
        <v>2232</v>
      </c>
      <c r="C1676" s="191" t="s">
        <v>2719</v>
      </c>
      <c r="D1676" s="171" t="s">
        <v>256</v>
      </c>
      <c r="E1676" s="463" t="s">
        <v>3377</v>
      </c>
      <c r="F1676" s="171">
        <v>2005</v>
      </c>
      <c r="G1676" s="171">
        <v>356</v>
      </c>
      <c r="H1676" s="172" t="s">
        <v>1738</v>
      </c>
      <c r="I1676" s="173" t="s">
        <v>1743</v>
      </c>
      <c r="J1676" s="212">
        <v>0.5</v>
      </c>
      <c r="K1676" s="213">
        <v>5.3617647058823525</v>
      </c>
      <c r="L1676" s="91"/>
      <c r="M1676" s="171">
        <v>340</v>
      </c>
      <c r="N1676" s="171"/>
      <c r="O1676" s="172" t="s">
        <v>12</v>
      </c>
      <c r="P1676" s="511"/>
      <c r="Q1676" s="173" t="s">
        <v>273</v>
      </c>
      <c r="R1676" s="511"/>
      <c r="S1676" s="511"/>
      <c r="T1676" s="214" t="s">
        <v>2306</v>
      </c>
      <c r="U1676" s="89"/>
      <c r="V1676" s="103">
        <f t="shared" si="119"/>
        <v>11.176470588235295</v>
      </c>
      <c r="W1676" s="120">
        <v>0</v>
      </c>
      <c r="X1676" s="120">
        <v>0</v>
      </c>
      <c r="Y1676" s="120">
        <v>0</v>
      </c>
      <c r="Z1676" s="120">
        <v>0</v>
      </c>
      <c r="AA1676" s="17">
        <v>0</v>
      </c>
      <c r="AB1676" s="17">
        <v>0</v>
      </c>
      <c r="AC1676" s="17">
        <v>0</v>
      </c>
      <c r="AD1676" s="17">
        <v>0</v>
      </c>
      <c r="AE1676" s="17">
        <v>0</v>
      </c>
      <c r="AF1676" s="33">
        <v>1.5564705882352941</v>
      </c>
      <c r="AG1676" s="17">
        <v>0</v>
      </c>
      <c r="AH1676" s="17">
        <v>0</v>
      </c>
      <c r="AI1676" s="17">
        <v>0</v>
      </c>
      <c r="AJ1676" s="17">
        <v>0</v>
      </c>
      <c r="AK1676" s="17">
        <v>0</v>
      </c>
      <c r="AL1676" s="32">
        <v>0</v>
      </c>
      <c r="AM1676" s="172">
        <v>99.6</v>
      </c>
      <c r="AN1676" s="89"/>
      <c r="AO1676" s="171" t="s">
        <v>521</v>
      </c>
      <c r="AP1676" s="783" t="s">
        <v>521</v>
      </c>
      <c r="AQ1676" s="17" t="s">
        <v>271</v>
      </c>
      <c r="AR1676" s="174">
        <v>100</v>
      </c>
      <c r="AS1676" s="171"/>
      <c r="AT1676" s="171">
        <v>400</v>
      </c>
      <c r="AU1676" s="255">
        <f t="shared" si="120"/>
        <v>22.222222222222221</v>
      </c>
      <c r="AV1676" s="172">
        <v>99</v>
      </c>
      <c r="AW1676" s="171">
        <v>3</v>
      </c>
      <c r="AX1676" s="171">
        <v>20</v>
      </c>
      <c r="AY1676" s="171">
        <v>20</v>
      </c>
      <c r="AZ1676" s="171">
        <v>0</v>
      </c>
      <c r="BA1676" s="175">
        <v>60</v>
      </c>
      <c r="BB1676" s="259"/>
      <c r="BC1676" s="190"/>
      <c r="BD1676" s="177"/>
      <c r="BE1676" s="177"/>
      <c r="BF1676" s="178"/>
    </row>
    <row r="1677" spans="1:58">
      <c r="A1677" s="95">
        <v>1676</v>
      </c>
      <c r="B1677" s="211" t="s">
        <v>2233</v>
      </c>
      <c r="C1677" s="191" t="s">
        <v>2719</v>
      </c>
      <c r="D1677" s="171" t="s">
        <v>256</v>
      </c>
      <c r="E1677" s="463" t="s">
        <v>3377</v>
      </c>
      <c r="F1677" s="171">
        <v>2006</v>
      </c>
      <c r="G1677" s="171">
        <v>357</v>
      </c>
      <c r="H1677" s="172" t="s">
        <v>1738</v>
      </c>
      <c r="I1677" s="173" t="s">
        <v>1739</v>
      </c>
      <c r="J1677" s="212">
        <v>0.25</v>
      </c>
      <c r="K1677" s="213">
        <v>2.9241379310344828</v>
      </c>
      <c r="L1677" s="91"/>
      <c r="M1677" s="171">
        <v>580</v>
      </c>
      <c r="N1677" s="171"/>
      <c r="O1677" s="172" t="s">
        <v>12</v>
      </c>
      <c r="P1677" s="511"/>
      <c r="Q1677" s="173" t="s">
        <v>273</v>
      </c>
      <c r="R1677" s="511"/>
      <c r="S1677" s="511"/>
      <c r="T1677" s="214"/>
      <c r="U1677" s="89"/>
      <c r="V1677" s="102">
        <v>0</v>
      </c>
      <c r="W1677" s="120">
        <v>0</v>
      </c>
      <c r="X1677" s="120">
        <v>0</v>
      </c>
      <c r="Y1677" s="120">
        <v>0</v>
      </c>
      <c r="Z1677" s="120">
        <v>0</v>
      </c>
      <c r="AA1677" s="17">
        <v>0</v>
      </c>
      <c r="AB1677" s="17">
        <v>0</v>
      </c>
      <c r="AC1677" s="17">
        <v>0</v>
      </c>
      <c r="AD1677" s="17">
        <v>0</v>
      </c>
      <c r="AE1677" s="17">
        <v>0</v>
      </c>
      <c r="AF1677" s="33">
        <v>1.9482758620689655</v>
      </c>
      <c r="AG1677" s="17">
        <v>0</v>
      </c>
      <c r="AH1677" s="17">
        <v>0</v>
      </c>
      <c r="AI1677" s="17">
        <v>0</v>
      </c>
      <c r="AJ1677" s="17">
        <v>0</v>
      </c>
      <c r="AK1677" s="17">
        <v>0</v>
      </c>
      <c r="AL1677" s="32">
        <v>0</v>
      </c>
      <c r="AM1677" s="172">
        <v>83.662000000000006</v>
      </c>
      <c r="AN1677" s="89"/>
      <c r="AO1677" s="171">
        <v>18.873200000000001</v>
      </c>
      <c r="AP1677" s="783">
        <v>43697.5</v>
      </c>
      <c r="AQ1677" s="17" t="s">
        <v>271</v>
      </c>
      <c r="AR1677" s="174">
        <v>100</v>
      </c>
      <c r="AS1677" s="171"/>
      <c r="AT1677" s="171">
        <v>400</v>
      </c>
      <c r="AU1677" s="255">
        <f t="shared" si="120"/>
        <v>22.222222222222221</v>
      </c>
      <c r="AV1677" s="172">
        <v>99</v>
      </c>
      <c r="AW1677" s="171">
        <v>1</v>
      </c>
      <c r="AX1677" s="171">
        <v>20</v>
      </c>
      <c r="AY1677" s="171">
        <v>20</v>
      </c>
      <c r="AZ1677" s="171">
        <v>0</v>
      </c>
      <c r="BA1677" s="175">
        <v>99</v>
      </c>
      <c r="BB1677" s="259"/>
      <c r="BC1677" s="190"/>
      <c r="BD1677" s="171"/>
      <c r="BE1677" s="171"/>
      <c r="BF1677" s="190" t="s">
        <v>1768</v>
      </c>
    </row>
    <row r="1678" spans="1:58">
      <c r="A1678" s="95">
        <v>1677</v>
      </c>
      <c r="B1678" s="211" t="s">
        <v>2234</v>
      </c>
      <c r="C1678" s="191" t="s">
        <v>2719</v>
      </c>
      <c r="D1678" s="171" t="s">
        <v>256</v>
      </c>
      <c r="E1678" s="463" t="s">
        <v>3377</v>
      </c>
      <c r="F1678" s="171">
        <v>2006</v>
      </c>
      <c r="G1678" s="171">
        <v>357</v>
      </c>
      <c r="H1678" s="172" t="s">
        <v>1738</v>
      </c>
      <c r="I1678" s="173" t="s">
        <v>1739</v>
      </c>
      <c r="J1678" s="212">
        <v>0.29401088929219599</v>
      </c>
      <c r="K1678" s="213">
        <v>3.0780399274047188</v>
      </c>
      <c r="L1678" s="91"/>
      <c r="M1678" s="171">
        <v>551</v>
      </c>
      <c r="N1678" s="171"/>
      <c r="O1678" s="172" t="s">
        <v>12</v>
      </c>
      <c r="P1678" s="511"/>
      <c r="Q1678" s="173" t="s">
        <v>273</v>
      </c>
      <c r="R1678" s="511"/>
      <c r="S1678" s="511"/>
      <c r="T1678" s="214"/>
      <c r="U1678" s="89"/>
      <c r="V1678" s="102">
        <v>0</v>
      </c>
      <c r="W1678" s="120">
        <v>0</v>
      </c>
      <c r="X1678" s="120">
        <v>0</v>
      </c>
      <c r="Y1678" s="120">
        <v>0</v>
      </c>
      <c r="Z1678" s="120">
        <v>0</v>
      </c>
      <c r="AA1678" s="17">
        <v>0</v>
      </c>
      <c r="AB1678" s="17">
        <v>0</v>
      </c>
      <c r="AC1678" s="17">
        <v>0</v>
      </c>
      <c r="AD1678" s="17">
        <v>0</v>
      </c>
      <c r="AE1678" s="17">
        <v>0</v>
      </c>
      <c r="AF1678" s="33">
        <v>2.1597096188747731</v>
      </c>
      <c r="AG1678" s="17">
        <v>0</v>
      </c>
      <c r="AH1678" s="17">
        <v>5.26</v>
      </c>
      <c r="AI1678" s="17">
        <v>0</v>
      </c>
      <c r="AJ1678" s="17">
        <v>0</v>
      </c>
      <c r="AK1678" s="17">
        <v>0</v>
      </c>
      <c r="AL1678" s="58" t="s">
        <v>2541</v>
      </c>
      <c r="AM1678" s="172">
        <v>73.802800000000005</v>
      </c>
      <c r="AN1678" s="89"/>
      <c r="AO1678" s="171">
        <v>16.901399999999999</v>
      </c>
      <c r="AP1678" s="783">
        <v>39355.699999999997</v>
      </c>
      <c r="AQ1678" s="17" t="s">
        <v>271</v>
      </c>
      <c r="AR1678" s="174">
        <v>100</v>
      </c>
      <c r="AS1678" s="171"/>
      <c r="AT1678" s="171">
        <v>400</v>
      </c>
      <c r="AU1678" s="255">
        <f t="shared" si="120"/>
        <v>22.222222222222221</v>
      </c>
      <c r="AV1678" s="172">
        <v>99</v>
      </c>
      <c r="AW1678" s="171">
        <v>1</v>
      </c>
      <c r="AX1678" s="171">
        <v>20</v>
      </c>
      <c r="AY1678" s="171">
        <v>20</v>
      </c>
      <c r="AZ1678" s="171">
        <v>0</v>
      </c>
      <c r="BA1678" s="175">
        <v>99</v>
      </c>
      <c r="BB1678" s="259"/>
      <c r="BC1678" s="190"/>
      <c r="BD1678" s="177"/>
      <c r="BE1678" s="177"/>
      <c r="BF1678" s="178" t="s">
        <v>1768</v>
      </c>
    </row>
    <row r="1679" spans="1:58">
      <c r="A1679" s="95">
        <v>1678</v>
      </c>
      <c r="B1679" s="211" t="s">
        <v>2235</v>
      </c>
      <c r="C1679" s="191" t="s">
        <v>2719</v>
      </c>
      <c r="D1679" s="171" t="s">
        <v>256</v>
      </c>
      <c r="E1679" s="463" t="s">
        <v>3377</v>
      </c>
      <c r="F1679" s="171">
        <v>2006</v>
      </c>
      <c r="G1679" s="171">
        <v>357</v>
      </c>
      <c r="H1679" s="172" t="s">
        <v>1738</v>
      </c>
      <c r="I1679" s="173" t="s">
        <v>1739</v>
      </c>
      <c r="J1679" s="212">
        <v>0.3258426966292135</v>
      </c>
      <c r="K1679" s="213">
        <v>3.1760299625468167</v>
      </c>
      <c r="L1679" s="91"/>
      <c r="M1679" s="171">
        <v>534</v>
      </c>
      <c r="N1679" s="171"/>
      <c r="O1679" s="172" t="s">
        <v>12</v>
      </c>
      <c r="P1679" s="511"/>
      <c r="Q1679" s="173" t="s">
        <v>273</v>
      </c>
      <c r="R1679" s="511"/>
      <c r="S1679" s="511"/>
      <c r="T1679" s="214"/>
      <c r="U1679" s="89"/>
      <c r="V1679" s="102">
        <v>0</v>
      </c>
      <c r="W1679" s="120">
        <v>0</v>
      </c>
      <c r="X1679" s="120">
        <v>0</v>
      </c>
      <c r="Y1679" s="120">
        <v>0</v>
      </c>
      <c r="Z1679" s="120">
        <v>0</v>
      </c>
      <c r="AA1679" s="17">
        <v>0</v>
      </c>
      <c r="AB1679" s="17">
        <v>0</v>
      </c>
      <c r="AC1679" s="17">
        <v>0</v>
      </c>
      <c r="AD1679" s="17">
        <v>0</v>
      </c>
      <c r="AE1679" s="17">
        <v>0</v>
      </c>
      <c r="AF1679" s="33">
        <v>2.2846441947565541</v>
      </c>
      <c r="AG1679" s="17">
        <v>0</v>
      </c>
      <c r="AH1679" s="17">
        <v>8.61</v>
      </c>
      <c r="AI1679" s="17">
        <v>0</v>
      </c>
      <c r="AJ1679" s="17">
        <v>0</v>
      </c>
      <c r="AK1679" s="17">
        <v>0</v>
      </c>
      <c r="AL1679" s="58" t="s">
        <v>2541</v>
      </c>
      <c r="AM1679" s="172">
        <v>77.464799999999997</v>
      </c>
      <c r="AN1679" s="89"/>
      <c r="AO1679" s="171">
        <v>16.338000000000001</v>
      </c>
      <c r="AP1679" s="783">
        <v>37395</v>
      </c>
      <c r="AQ1679" s="17" t="s">
        <v>271</v>
      </c>
      <c r="AR1679" s="174">
        <v>100</v>
      </c>
      <c r="AS1679" s="171"/>
      <c r="AT1679" s="171">
        <v>400</v>
      </c>
      <c r="AU1679" s="255">
        <f t="shared" si="120"/>
        <v>22.222222222222221</v>
      </c>
      <c r="AV1679" s="172">
        <v>99</v>
      </c>
      <c r="AW1679" s="171">
        <v>1</v>
      </c>
      <c r="AX1679" s="171">
        <v>20</v>
      </c>
      <c r="AY1679" s="171">
        <v>20</v>
      </c>
      <c r="AZ1679" s="171">
        <v>0</v>
      </c>
      <c r="BA1679" s="175">
        <v>99</v>
      </c>
      <c r="BB1679" s="259"/>
      <c r="BC1679" s="190"/>
      <c r="BD1679" s="177"/>
      <c r="BE1679" s="177"/>
      <c r="BF1679" s="178" t="s">
        <v>1768</v>
      </c>
    </row>
    <row r="1680" spans="1:58" ht="15" customHeight="1">
      <c r="A1680" s="95">
        <v>1679</v>
      </c>
      <c r="B1680" s="211" t="s">
        <v>2236</v>
      </c>
      <c r="C1680" s="191" t="s">
        <v>2719</v>
      </c>
      <c r="D1680" s="171" t="s">
        <v>256</v>
      </c>
      <c r="E1680" s="463" t="s">
        <v>3377</v>
      </c>
      <c r="F1680" s="171">
        <v>2006</v>
      </c>
      <c r="G1680" s="171">
        <v>357</v>
      </c>
      <c r="H1680" s="172" t="s">
        <v>1738</v>
      </c>
      <c r="I1680" s="173" t="s">
        <v>1751</v>
      </c>
      <c r="J1680" s="212">
        <v>0.25</v>
      </c>
      <c r="K1680" s="213">
        <v>2.9241379310344828</v>
      </c>
      <c r="L1680" s="91"/>
      <c r="M1680" s="171">
        <v>580</v>
      </c>
      <c r="N1680" s="171"/>
      <c r="O1680" s="172" t="s">
        <v>12</v>
      </c>
      <c r="P1680" s="511"/>
      <c r="Q1680" s="173" t="s">
        <v>273</v>
      </c>
      <c r="R1680" s="511"/>
      <c r="S1680" s="511"/>
      <c r="T1680" s="214"/>
      <c r="U1680" s="89"/>
      <c r="V1680" s="102">
        <v>0</v>
      </c>
      <c r="W1680" s="120">
        <v>0</v>
      </c>
      <c r="X1680" s="120">
        <v>0</v>
      </c>
      <c r="Y1680" s="120">
        <v>0</v>
      </c>
      <c r="Z1680" s="120">
        <v>0</v>
      </c>
      <c r="AA1680" s="17">
        <v>0</v>
      </c>
      <c r="AB1680" s="17">
        <v>0</v>
      </c>
      <c r="AC1680" s="17">
        <v>0</v>
      </c>
      <c r="AD1680" s="17">
        <v>0</v>
      </c>
      <c r="AE1680" s="17">
        <v>0</v>
      </c>
      <c r="AF1680" s="33">
        <v>1.9482758620689655</v>
      </c>
      <c r="AG1680" s="17">
        <v>0</v>
      </c>
      <c r="AH1680" s="17">
        <v>0</v>
      </c>
      <c r="AI1680" s="17">
        <v>0</v>
      </c>
      <c r="AJ1680" s="17">
        <v>0</v>
      </c>
      <c r="AK1680" s="17">
        <v>0</v>
      </c>
      <c r="AL1680" s="32">
        <v>0</v>
      </c>
      <c r="AM1680" s="172">
        <v>83.662000000000006</v>
      </c>
      <c r="AN1680" s="89"/>
      <c r="AO1680" s="171">
        <v>56.338000000000001</v>
      </c>
      <c r="AP1680" s="783">
        <v>43697.5</v>
      </c>
      <c r="AQ1680" s="17" t="s">
        <v>271</v>
      </c>
      <c r="AR1680" s="174">
        <v>100</v>
      </c>
      <c r="AS1680" s="171"/>
      <c r="AT1680" s="171">
        <v>400</v>
      </c>
      <c r="AU1680" s="255">
        <f t="shared" si="120"/>
        <v>22.222222222222221</v>
      </c>
      <c r="AV1680" s="172">
        <v>99</v>
      </c>
      <c r="AW1680" s="171">
        <v>3</v>
      </c>
      <c r="AX1680" s="171">
        <v>20</v>
      </c>
      <c r="AY1680" s="171">
        <v>20</v>
      </c>
      <c r="AZ1680" s="171">
        <v>0</v>
      </c>
      <c r="BA1680" s="175">
        <v>60</v>
      </c>
      <c r="BB1680" s="259"/>
      <c r="BC1680" s="190"/>
      <c r="BD1680" s="177"/>
      <c r="BE1680" s="177"/>
      <c r="BF1680" s="178" t="s">
        <v>1768</v>
      </c>
    </row>
    <row r="1681" spans="1:58" ht="15" customHeight="1">
      <c r="A1681" s="95">
        <v>1680</v>
      </c>
      <c r="B1681" s="211" t="s">
        <v>2237</v>
      </c>
      <c r="C1681" s="191" t="s">
        <v>2719</v>
      </c>
      <c r="D1681" s="171" t="s">
        <v>256</v>
      </c>
      <c r="E1681" s="463" t="s">
        <v>3377</v>
      </c>
      <c r="F1681" s="171">
        <v>2006</v>
      </c>
      <c r="G1681" s="171">
        <v>357</v>
      </c>
      <c r="H1681" s="172" t="s">
        <v>1738</v>
      </c>
      <c r="I1681" s="173" t="s">
        <v>1751</v>
      </c>
      <c r="J1681" s="212">
        <v>0.29401088929219599</v>
      </c>
      <c r="K1681" s="213">
        <v>3.0780399274047188</v>
      </c>
      <c r="L1681" s="91"/>
      <c r="M1681" s="171">
        <v>551</v>
      </c>
      <c r="N1681" s="171"/>
      <c r="O1681" s="172" t="s">
        <v>12</v>
      </c>
      <c r="P1681" s="511"/>
      <c r="Q1681" s="173" t="s">
        <v>273</v>
      </c>
      <c r="R1681" s="511"/>
      <c r="S1681" s="511"/>
      <c r="T1681" s="214"/>
      <c r="U1681" s="89"/>
      <c r="V1681" s="102">
        <v>0</v>
      </c>
      <c r="W1681" s="120">
        <v>0</v>
      </c>
      <c r="X1681" s="120">
        <v>0</v>
      </c>
      <c r="Y1681" s="120">
        <v>0</v>
      </c>
      <c r="Z1681" s="120">
        <v>0</v>
      </c>
      <c r="AA1681" s="17">
        <v>0</v>
      </c>
      <c r="AB1681" s="17">
        <v>0</v>
      </c>
      <c r="AC1681" s="17">
        <v>0</v>
      </c>
      <c r="AD1681" s="17">
        <v>0</v>
      </c>
      <c r="AE1681" s="17">
        <v>0</v>
      </c>
      <c r="AF1681" s="33">
        <v>2.1597096188747731</v>
      </c>
      <c r="AG1681" s="17">
        <v>0</v>
      </c>
      <c r="AH1681" s="17">
        <v>5.26</v>
      </c>
      <c r="AI1681" s="17">
        <v>0</v>
      </c>
      <c r="AJ1681" s="17">
        <v>0</v>
      </c>
      <c r="AK1681" s="17">
        <v>0</v>
      </c>
      <c r="AL1681" s="58" t="s">
        <v>2541</v>
      </c>
      <c r="AM1681" s="172">
        <v>73.802800000000005</v>
      </c>
      <c r="AN1681" s="89"/>
      <c r="AO1681" s="171">
        <v>49.014099999999999</v>
      </c>
      <c r="AP1681" s="783">
        <v>39355.699999999997</v>
      </c>
      <c r="AQ1681" s="17" t="s">
        <v>271</v>
      </c>
      <c r="AR1681" s="174">
        <v>100</v>
      </c>
      <c r="AS1681" s="171"/>
      <c r="AT1681" s="171">
        <v>400</v>
      </c>
      <c r="AU1681" s="255">
        <f t="shared" si="120"/>
        <v>22.222222222222221</v>
      </c>
      <c r="AV1681" s="172">
        <v>99</v>
      </c>
      <c r="AW1681" s="171">
        <v>3</v>
      </c>
      <c r="AX1681" s="171">
        <v>20</v>
      </c>
      <c r="AY1681" s="171">
        <v>20</v>
      </c>
      <c r="AZ1681" s="171">
        <v>0</v>
      </c>
      <c r="BA1681" s="175">
        <v>60</v>
      </c>
      <c r="BB1681" s="259"/>
      <c r="BC1681" s="190"/>
      <c r="BD1681" s="177"/>
      <c r="BE1681" s="177"/>
      <c r="BF1681" s="178" t="s">
        <v>1768</v>
      </c>
    </row>
    <row r="1682" spans="1:58" ht="15" customHeight="1">
      <c r="A1682" s="95">
        <v>1681</v>
      </c>
      <c r="B1682" s="211" t="s">
        <v>2238</v>
      </c>
      <c r="C1682" s="191" t="s">
        <v>2719</v>
      </c>
      <c r="D1682" s="171" t="s">
        <v>256</v>
      </c>
      <c r="E1682" s="463" t="s">
        <v>3377</v>
      </c>
      <c r="F1682" s="171">
        <v>2006</v>
      </c>
      <c r="G1682" s="171">
        <v>357</v>
      </c>
      <c r="H1682" s="172" t="s">
        <v>1738</v>
      </c>
      <c r="I1682" s="173" t="s">
        <v>1751</v>
      </c>
      <c r="J1682" s="212">
        <v>0.3258426966292135</v>
      </c>
      <c r="K1682" s="213">
        <v>3.1760299625468167</v>
      </c>
      <c r="L1682" s="91"/>
      <c r="M1682" s="171">
        <v>534</v>
      </c>
      <c r="N1682" s="171"/>
      <c r="O1682" s="172" t="s">
        <v>12</v>
      </c>
      <c r="P1682" s="511"/>
      <c r="Q1682" s="173" t="s">
        <v>273</v>
      </c>
      <c r="R1682" s="511"/>
      <c r="S1682" s="511"/>
      <c r="T1682" s="214"/>
      <c r="U1682" s="89"/>
      <c r="V1682" s="102">
        <v>0</v>
      </c>
      <c r="W1682" s="120">
        <v>0</v>
      </c>
      <c r="X1682" s="120">
        <v>0</v>
      </c>
      <c r="Y1682" s="120">
        <v>0</v>
      </c>
      <c r="Z1682" s="120">
        <v>0</v>
      </c>
      <c r="AA1682" s="17">
        <v>0</v>
      </c>
      <c r="AB1682" s="17">
        <v>0</v>
      </c>
      <c r="AC1682" s="17">
        <v>0</v>
      </c>
      <c r="AD1682" s="17">
        <v>0</v>
      </c>
      <c r="AE1682" s="17">
        <v>0</v>
      </c>
      <c r="AF1682" s="33">
        <v>2.2846441947565541</v>
      </c>
      <c r="AG1682" s="17">
        <v>0</v>
      </c>
      <c r="AH1682" s="17">
        <v>8.61</v>
      </c>
      <c r="AI1682" s="17">
        <v>0</v>
      </c>
      <c r="AJ1682" s="17">
        <v>0</v>
      </c>
      <c r="AK1682" s="17">
        <v>0</v>
      </c>
      <c r="AL1682" s="58" t="s">
        <v>2541</v>
      </c>
      <c r="AM1682" s="172">
        <v>77.464799999999997</v>
      </c>
      <c r="AN1682" s="89"/>
      <c r="AO1682" s="171">
        <v>47.042299999999997</v>
      </c>
      <c r="AP1682" s="783">
        <v>37395</v>
      </c>
      <c r="AQ1682" s="17" t="s">
        <v>271</v>
      </c>
      <c r="AR1682" s="174">
        <v>100</v>
      </c>
      <c r="AS1682" s="171"/>
      <c r="AT1682" s="171">
        <v>400</v>
      </c>
      <c r="AU1682" s="255">
        <f t="shared" si="120"/>
        <v>22.222222222222221</v>
      </c>
      <c r="AV1682" s="172">
        <v>99</v>
      </c>
      <c r="AW1682" s="171">
        <v>3</v>
      </c>
      <c r="AX1682" s="171">
        <v>20</v>
      </c>
      <c r="AY1682" s="171">
        <v>20</v>
      </c>
      <c r="AZ1682" s="171">
        <v>0</v>
      </c>
      <c r="BA1682" s="175">
        <v>60</v>
      </c>
      <c r="BB1682" s="259"/>
      <c r="BC1682" s="190"/>
      <c r="BD1682" s="177"/>
      <c r="BE1682" s="177"/>
      <c r="BF1682" s="178" t="s">
        <v>1768</v>
      </c>
    </row>
    <row r="1683" spans="1:58" ht="15" customHeight="1">
      <c r="A1683" s="95">
        <v>1682</v>
      </c>
      <c r="B1683" s="211" t="s">
        <v>2239</v>
      </c>
      <c r="C1683" s="191" t="s">
        <v>2719</v>
      </c>
      <c r="D1683" s="171" t="s">
        <v>256</v>
      </c>
      <c r="E1683" s="463" t="s">
        <v>3377</v>
      </c>
      <c r="F1683" s="171">
        <v>2006</v>
      </c>
      <c r="G1683" s="171">
        <v>357</v>
      </c>
      <c r="H1683" s="172" t="s">
        <v>1738</v>
      </c>
      <c r="I1683" s="173" t="s">
        <v>1751</v>
      </c>
      <c r="J1683" s="212">
        <v>0.25</v>
      </c>
      <c r="K1683" s="213">
        <v>2.9241379310344828</v>
      </c>
      <c r="L1683" s="91"/>
      <c r="M1683" s="171">
        <v>580</v>
      </c>
      <c r="N1683" s="171"/>
      <c r="O1683" s="172" t="s">
        <v>12</v>
      </c>
      <c r="P1683" s="511"/>
      <c r="Q1683" s="173" t="s">
        <v>273</v>
      </c>
      <c r="R1683" s="511"/>
      <c r="S1683" s="511"/>
      <c r="T1683" s="214"/>
      <c r="U1683" s="89"/>
      <c r="V1683" s="102">
        <v>0</v>
      </c>
      <c r="W1683" s="120">
        <v>0</v>
      </c>
      <c r="X1683" s="120">
        <v>0</v>
      </c>
      <c r="Y1683" s="120">
        <v>0</v>
      </c>
      <c r="Z1683" s="120">
        <v>0</v>
      </c>
      <c r="AA1683" s="17">
        <v>0</v>
      </c>
      <c r="AB1683" s="17">
        <v>0</v>
      </c>
      <c r="AC1683" s="17">
        <v>0</v>
      </c>
      <c r="AD1683" s="17">
        <v>0</v>
      </c>
      <c r="AE1683" s="17">
        <v>0</v>
      </c>
      <c r="AF1683" s="33">
        <v>1.9482758620689655</v>
      </c>
      <c r="AG1683" s="17">
        <v>0</v>
      </c>
      <c r="AH1683" s="17">
        <v>0</v>
      </c>
      <c r="AI1683" s="17">
        <v>0</v>
      </c>
      <c r="AJ1683" s="17">
        <v>0</v>
      </c>
      <c r="AK1683" s="17">
        <v>0</v>
      </c>
      <c r="AL1683" s="32">
        <v>0</v>
      </c>
      <c r="AM1683" s="172">
        <v>83.662000000000006</v>
      </c>
      <c r="AN1683" s="89"/>
      <c r="AO1683" s="171">
        <v>70.7042</v>
      </c>
      <c r="AP1683" s="783">
        <v>43697.5</v>
      </c>
      <c r="AQ1683" s="17" t="s">
        <v>271</v>
      </c>
      <c r="AR1683" s="174">
        <v>100</v>
      </c>
      <c r="AS1683" s="171"/>
      <c r="AT1683" s="171">
        <v>400</v>
      </c>
      <c r="AU1683" s="255">
        <f t="shared" si="120"/>
        <v>22.222222222222221</v>
      </c>
      <c r="AV1683" s="172">
        <v>99</v>
      </c>
      <c r="AW1683" s="171">
        <v>7</v>
      </c>
      <c r="AX1683" s="171">
        <v>20</v>
      </c>
      <c r="AY1683" s="171">
        <v>20</v>
      </c>
      <c r="AZ1683" s="171">
        <v>0</v>
      </c>
      <c r="BA1683" s="175">
        <v>60</v>
      </c>
      <c r="BB1683" s="259"/>
      <c r="BC1683" s="190"/>
      <c r="BD1683" s="177"/>
      <c r="BE1683" s="177"/>
      <c r="BF1683" s="178" t="s">
        <v>1768</v>
      </c>
    </row>
    <row r="1684" spans="1:58" ht="15" customHeight="1">
      <c r="A1684" s="95">
        <v>1683</v>
      </c>
      <c r="B1684" s="211" t="s">
        <v>2240</v>
      </c>
      <c r="C1684" s="191" t="s">
        <v>2719</v>
      </c>
      <c r="D1684" s="171" t="s">
        <v>256</v>
      </c>
      <c r="E1684" s="463" t="s">
        <v>3377</v>
      </c>
      <c r="F1684" s="171">
        <v>2006</v>
      </c>
      <c r="G1684" s="171">
        <v>357</v>
      </c>
      <c r="H1684" s="172" t="s">
        <v>1738</v>
      </c>
      <c r="I1684" s="173" t="s">
        <v>1751</v>
      </c>
      <c r="J1684" s="212">
        <v>0.29401088929219599</v>
      </c>
      <c r="K1684" s="213">
        <v>3.0780399274047188</v>
      </c>
      <c r="L1684" s="91"/>
      <c r="M1684" s="171">
        <v>551</v>
      </c>
      <c r="N1684" s="171"/>
      <c r="O1684" s="172" t="s">
        <v>12</v>
      </c>
      <c r="P1684" s="511"/>
      <c r="Q1684" s="173" t="s">
        <v>273</v>
      </c>
      <c r="R1684" s="511"/>
      <c r="S1684" s="511"/>
      <c r="T1684" s="214"/>
      <c r="U1684" s="89"/>
      <c r="V1684" s="102">
        <v>0</v>
      </c>
      <c r="W1684" s="120">
        <v>0</v>
      </c>
      <c r="X1684" s="120">
        <v>0</v>
      </c>
      <c r="Y1684" s="120">
        <v>0</v>
      </c>
      <c r="Z1684" s="120">
        <v>0</v>
      </c>
      <c r="AA1684" s="17">
        <v>0</v>
      </c>
      <c r="AB1684" s="17">
        <v>0</v>
      </c>
      <c r="AC1684" s="17">
        <v>0</v>
      </c>
      <c r="AD1684" s="17">
        <v>0</v>
      </c>
      <c r="AE1684" s="17">
        <v>0</v>
      </c>
      <c r="AF1684" s="33">
        <v>2.1597096188747731</v>
      </c>
      <c r="AG1684" s="17">
        <v>0</v>
      </c>
      <c r="AH1684" s="17">
        <v>5.26</v>
      </c>
      <c r="AI1684" s="17">
        <v>0</v>
      </c>
      <c r="AJ1684" s="17">
        <v>0</v>
      </c>
      <c r="AK1684" s="17">
        <v>0</v>
      </c>
      <c r="AL1684" s="58" t="s">
        <v>2541</v>
      </c>
      <c r="AM1684" s="172">
        <v>73.802800000000005</v>
      </c>
      <c r="AN1684" s="89"/>
      <c r="AO1684" s="171">
        <v>61.690100000000001</v>
      </c>
      <c r="AP1684" s="783">
        <v>39355.699999999997</v>
      </c>
      <c r="AQ1684" s="17" t="s">
        <v>271</v>
      </c>
      <c r="AR1684" s="174">
        <v>100</v>
      </c>
      <c r="AS1684" s="171"/>
      <c r="AT1684" s="171">
        <v>400</v>
      </c>
      <c r="AU1684" s="255">
        <f t="shared" si="120"/>
        <v>22.222222222222221</v>
      </c>
      <c r="AV1684" s="172">
        <v>99</v>
      </c>
      <c r="AW1684" s="171">
        <v>7</v>
      </c>
      <c r="AX1684" s="171">
        <v>20</v>
      </c>
      <c r="AY1684" s="171">
        <v>20</v>
      </c>
      <c r="AZ1684" s="171">
        <v>0</v>
      </c>
      <c r="BA1684" s="175">
        <v>60</v>
      </c>
      <c r="BB1684" s="259"/>
      <c r="BC1684" s="190"/>
      <c r="BD1684" s="177"/>
      <c r="BE1684" s="177"/>
      <c r="BF1684" s="178" t="s">
        <v>1768</v>
      </c>
    </row>
    <row r="1685" spans="1:58" ht="15" customHeight="1">
      <c r="A1685" s="95">
        <v>1684</v>
      </c>
      <c r="B1685" s="211" t="s">
        <v>2241</v>
      </c>
      <c r="C1685" s="191" t="s">
        <v>2719</v>
      </c>
      <c r="D1685" s="171" t="s">
        <v>256</v>
      </c>
      <c r="E1685" s="463" t="s">
        <v>3377</v>
      </c>
      <c r="F1685" s="171">
        <v>2006</v>
      </c>
      <c r="G1685" s="171">
        <v>357</v>
      </c>
      <c r="H1685" s="172" t="s">
        <v>1738</v>
      </c>
      <c r="I1685" s="173" t="s">
        <v>1751</v>
      </c>
      <c r="J1685" s="212">
        <v>0.3258426966292135</v>
      </c>
      <c r="K1685" s="213">
        <v>3.1760299625468167</v>
      </c>
      <c r="L1685" s="91"/>
      <c r="M1685" s="171">
        <v>534</v>
      </c>
      <c r="N1685" s="171"/>
      <c r="O1685" s="172" t="s">
        <v>12</v>
      </c>
      <c r="P1685" s="511"/>
      <c r="Q1685" s="173" t="s">
        <v>273</v>
      </c>
      <c r="R1685" s="511"/>
      <c r="S1685" s="511"/>
      <c r="T1685" s="214"/>
      <c r="U1685" s="89"/>
      <c r="V1685" s="102">
        <v>0</v>
      </c>
      <c r="W1685" s="120">
        <v>0</v>
      </c>
      <c r="X1685" s="120">
        <v>0</v>
      </c>
      <c r="Y1685" s="120">
        <v>0</v>
      </c>
      <c r="Z1685" s="120">
        <v>0</v>
      </c>
      <c r="AA1685" s="17">
        <v>0</v>
      </c>
      <c r="AB1685" s="17">
        <v>0</v>
      </c>
      <c r="AC1685" s="17">
        <v>0</v>
      </c>
      <c r="AD1685" s="17">
        <v>0</v>
      </c>
      <c r="AE1685" s="17">
        <v>0</v>
      </c>
      <c r="AF1685" s="33">
        <v>2.2846441947565541</v>
      </c>
      <c r="AG1685" s="17">
        <v>0</v>
      </c>
      <c r="AH1685" s="17">
        <v>8.61</v>
      </c>
      <c r="AI1685" s="17">
        <v>0</v>
      </c>
      <c r="AJ1685" s="17">
        <v>0</v>
      </c>
      <c r="AK1685" s="17">
        <v>0</v>
      </c>
      <c r="AL1685" s="58" t="s">
        <v>2541</v>
      </c>
      <c r="AM1685" s="172">
        <v>77.464799999999997</v>
      </c>
      <c r="AN1685" s="89"/>
      <c r="AO1685" s="171">
        <v>60.845100000000002</v>
      </c>
      <c r="AP1685" s="783">
        <v>37395</v>
      </c>
      <c r="AQ1685" s="17" t="s">
        <v>271</v>
      </c>
      <c r="AR1685" s="174">
        <v>100</v>
      </c>
      <c r="AS1685" s="171"/>
      <c r="AT1685" s="171">
        <v>400</v>
      </c>
      <c r="AU1685" s="255">
        <f t="shared" si="120"/>
        <v>22.222222222222221</v>
      </c>
      <c r="AV1685" s="172">
        <v>99</v>
      </c>
      <c r="AW1685" s="171">
        <v>7</v>
      </c>
      <c r="AX1685" s="171">
        <v>20</v>
      </c>
      <c r="AY1685" s="171">
        <v>20</v>
      </c>
      <c r="AZ1685" s="171">
        <v>0</v>
      </c>
      <c r="BA1685" s="175">
        <v>60</v>
      </c>
      <c r="BB1685" s="259"/>
      <c r="BC1685" s="190"/>
      <c r="BD1685" s="177"/>
      <c r="BE1685" s="177"/>
      <c r="BF1685" s="178" t="s">
        <v>1768</v>
      </c>
    </row>
    <row r="1686" spans="1:58">
      <c r="A1686" s="95">
        <v>1685</v>
      </c>
      <c r="B1686" s="211" t="s">
        <v>2242</v>
      </c>
      <c r="C1686" s="191" t="s">
        <v>2720</v>
      </c>
      <c r="D1686" s="171" t="s">
        <v>1769</v>
      </c>
      <c r="E1686" s="463" t="s">
        <v>3377</v>
      </c>
      <c r="F1686" s="171">
        <v>2003</v>
      </c>
      <c r="G1686" s="171">
        <v>358</v>
      </c>
      <c r="H1686" s="172" t="s">
        <v>1738</v>
      </c>
      <c r="I1686" s="173" t="s">
        <v>1739</v>
      </c>
      <c r="J1686" s="212">
        <v>0.26</v>
      </c>
      <c r="K1686" s="213">
        <v>3.7016129032258065</v>
      </c>
      <c r="L1686" s="91"/>
      <c r="M1686" s="171">
        <v>496</v>
      </c>
      <c r="N1686" s="171"/>
      <c r="O1686" s="172" t="s">
        <v>12</v>
      </c>
      <c r="P1686" s="92"/>
      <c r="Q1686" s="173" t="s">
        <v>523</v>
      </c>
      <c r="R1686" s="506" t="s">
        <v>2727</v>
      </c>
      <c r="S1686" s="511"/>
      <c r="T1686" s="214" t="s">
        <v>2306</v>
      </c>
      <c r="U1686" s="89"/>
      <c r="V1686" s="102">
        <v>0</v>
      </c>
      <c r="W1686" s="120">
        <v>0</v>
      </c>
      <c r="X1686" s="120">
        <v>0</v>
      </c>
      <c r="Y1686" s="120">
        <v>0</v>
      </c>
      <c r="Z1686" s="120">
        <v>0</v>
      </c>
      <c r="AA1686" s="17">
        <v>0</v>
      </c>
      <c r="AB1686" s="17">
        <v>0</v>
      </c>
      <c r="AC1686" s="17">
        <v>0</v>
      </c>
      <c r="AD1686" s="17">
        <v>0</v>
      </c>
      <c r="AE1686" s="17">
        <v>0</v>
      </c>
      <c r="AF1686" s="33">
        <v>1.5120967741935485</v>
      </c>
      <c r="AG1686" s="17">
        <v>0</v>
      </c>
      <c r="AH1686" s="17">
        <v>0</v>
      </c>
      <c r="AI1686" s="17">
        <v>0</v>
      </c>
      <c r="AJ1686" s="17">
        <v>0</v>
      </c>
      <c r="AK1686" s="17">
        <v>0</v>
      </c>
      <c r="AL1686" s="32">
        <v>0</v>
      </c>
      <c r="AM1686" s="172">
        <v>86.6</v>
      </c>
      <c r="AN1686" s="89"/>
      <c r="AO1686" s="171" t="s">
        <v>521</v>
      </c>
      <c r="AP1686" s="783" t="s">
        <v>521</v>
      </c>
      <c r="AQ1686" s="17" t="s">
        <v>533</v>
      </c>
      <c r="AR1686" s="174">
        <v>100</v>
      </c>
      <c r="AS1686" s="171"/>
      <c r="AT1686" s="171">
        <v>300</v>
      </c>
      <c r="AU1686" s="255">
        <f t="shared" si="120"/>
        <v>21.428571428571427</v>
      </c>
      <c r="AV1686" s="172">
        <v>100</v>
      </c>
      <c r="AW1686" s="171">
        <v>1</v>
      </c>
      <c r="AX1686" s="171">
        <v>28</v>
      </c>
      <c r="AY1686" s="171">
        <v>30</v>
      </c>
      <c r="AZ1686" s="171">
        <v>0</v>
      </c>
      <c r="BA1686" s="175">
        <v>99</v>
      </c>
      <c r="BB1686" s="259"/>
      <c r="BC1686" s="190"/>
      <c r="BD1686" s="177"/>
      <c r="BE1686" s="177"/>
      <c r="BF1686" s="178" t="s">
        <v>1770</v>
      </c>
    </row>
    <row r="1687" spans="1:58">
      <c r="A1687" s="95">
        <v>1686</v>
      </c>
      <c r="B1687" s="211" t="s">
        <v>2243</v>
      </c>
      <c r="C1687" s="191" t="s">
        <v>2720</v>
      </c>
      <c r="D1687" s="171" t="s">
        <v>1769</v>
      </c>
      <c r="E1687" s="463" t="s">
        <v>3377</v>
      </c>
      <c r="F1687" s="171">
        <v>2003</v>
      </c>
      <c r="G1687" s="171">
        <v>358</v>
      </c>
      <c r="H1687" s="172" t="s">
        <v>1738</v>
      </c>
      <c r="I1687" s="173" t="s">
        <v>1739</v>
      </c>
      <c r="J1687" s="212">
        <v>0.3</v>
      </c>
      <c r="K1687" s="213">
        <v>3.5995975855130786</v>
      </c>
      <c r="L1687" s="91"/>
      <c r="M1687" s="171">
        <v>497</v>
      </c>
      <c r="N1687" s="171"/>
      <c r="O1687" s="172" t="s">
        <v>12</v>
      </c>
      <c r="P1687" s="92"/>
      <c r="Q1687" s="173" t="s">
        <v>523</v>
      </c>
      <c r="R1687" s="506" t="s">
        <v>2727</v>
      </c>
      <c r="S1687" s="511"/>
      <c r="T1687" s="214" t="s">
        <v>2306</v>
      </c>
      <c r="U1687" s="89"/>
      <c r="V1687" s="102">
        <v>0</v>
      </c>
      <c r="W1687" s="120">
        <v>0</v>
      </c>
      <c r="X1687" s="120">
        <v>0</v>
      </c>
      <c r="Y1687" s="120">
        <v>0</v>
      </c>
      <c r="Z1687" s="120">
        <v>0</v>
      </c>
      <c r="AA1687" s="17">
        <v>0</v>
      </c>
      <c r="AB1687" s="17">
        <v>0</v>
      </c>
      <c r="AC1687" s="17">
        <v>0</v>
      </c>
      <c r="AD1687" s="17">
        <v>0</v>
      </c>
      <c r="AE1687" s="17">
        <v>0</v>
      </c>
      <c r="AF1687" s="33">
        <v>1.2072434607645874</v>
      </c>
      <c r="AG1687" s="17">
        <v>0</v>
      </c>
      <c r="AH1687" s="17">
        <v>0</v>
      </c>
      <c r="AI1687" s="17">
        <v>0</v>
      </c>
      <c r="AJ1687" s="17">
        <v>0</v>
      </c>
      <c r="AK1687" s="17">
        <v>0</v>
      </c>
      <c r="AL1687" s="32">
        <v>0</v>
      </c>
      <c r="AM1687" s="172">
        <v>70.099999999999994</v>
      </c>
      <c r="AN1687" s="89"/>
      <c r="AO1687" s="171" t="s">
        <v>521</v>
      </c>
      <c r="AP1687" s="783" t="s">
        <v>521</v>
      </c>
      <c r="AQ1687" s="17" t="s">
        <v>533</v>
      </c>
      <c r="AR1687" s="174">
        <v>100</v>
      </c>
      <c r="AS1687" s="171"/>
      <c r="AT1687" s="171">
        <v>300</v>
      </c>
      <c r="AU1687" s="255">
        <f t="shared" si="120"/>
        <v>21.428571428571427</v>
      </c>
      <c r="AV1687" s="172">
        <v>100</v>
      </c>
      <c r="AW1687" s="171">
        <v>1</v>
      </c>
      <c r="AX1687" s="171">
        <v>28</v>
      </c>
      <c r="AY1687" s="171">
        <v>30</v>
      </c>
      <c r="AZ1687" s="171">
        <v>0</v>
      </c>
      <c r="BA1687" s="175">
        <v>99</v>
      </c>
      <c r="BB1687" s="259"/>
      <c r="BC1687" s="190"/>
      <c r="BD1687" s="177"/>
      <c r="BE1687" s="177"/>
      <c r="BF1687" s="178" t="s">
        <v>1770</v>
      </c>
    </row>
    <row r="1688" spans="1:58">
      <c r="A1688" s="95">
        <v>1687</v>
      </c>
      <c r="B1688" s="211" t="s">
        <v>2244</v>
      </c>
      <c r="C1688" s="191" t="s">
        <v>2720</v>
      </c>
      <c r="D1688" s="171" t="s">
        <v>1769</v>
      </c>
      <c r="E1688" s="463" t="s">
        <v>3377</v>
      </c>
      <c r="F1688" s="171">
        <v>2003</v>
      </c>
      <c r="G1688" s="171">
        <v>358</v>
      </c>
      <c r="H1688" s="172" t="s">
        <v>1738</v>
      </c>
      <c r="I1688" s="173" t="s">
        <v>1739</v>
      </c>
      <c r="J1688" s="212">
        <v>0.35</v>
      </c>
      <c r="K1688" s="213">
        <v>3.5040160642570282</v>
      </c>
      <c r="L1688" s="91"/>
      <c r="M1688" s="171">
        <v>498</v>
      </c>
      <c r="N1688" s="171"/>
      <c r="O1688" s="172" t="s">
        <v>12</v>
      </c>
      <c r="P1688" s="92"/>
      <c r="Q1688" s="173" t="s">
        <v>523</v>
      </c>
      <c r="R1688" s="506" t="s">
        <v>2727</v>
      </c>
      <c r="S1688" s="511"/>
      <c r="T1688" s="214" t="s">
        <v>2306</v>
      </c>
      <c r="U1688" s="89"/>
      <c r="V1688" s="102">
        <v>0</v>
      </c>
      <c r="W1688" s="120">
        <v>0</v>
      </c>
      <c r="X1688" s="120">
        <v>0</v>
      </c>
      <c r="Y1688" s="120">
        <v>0</v>
      </c>
      <c r="Z1688" s="120">
        <v>0</v>
      </c>
      <c r="AA1688" s="17">
        <v>0</v>
      </c>
      <c r="AB1688" s="17">
        <v>0</v>
      </c>
      <c r="AC1688" s="17">
        <v>0</v>
      </c>
      <c r="AD1688" s="17">
        <v>0</v>
      </c>
      <c r="AE1688" s="17">
        <v>0</v>
      </c>
      <c r="AF1688" s="33">
        <v>0.68273092369477917</v>
      </c>
      <c r="AG1688" s="17">
        <v>0</v>
      </c>
      <c r="AH1688" s="17">
        <v>0</v>
      </c>
      <c r="AI1688" s="17">
        <v>0</v>
      </c>
      <c r="AJ1688" s="17">
        <v>0</v>
      </c>
      <c r="AK1688" s="17">
        <v>0</v>
      </c>
      <c r="AL1688" s="32">
        <v>0</v>
      </c>
      <c r="AM1688" s="172">
        <v>63.7</v>
      </c>
      <c r="AN1688" s="89"/>
      <c r="AO1688" s="171" t="s">
        <v>521</v>
      </c>
      <c r="AP1688" s="783" t="s">
        <v>521</v>
      </c>
      <c r="AQ1688" s="17" t="s">
        <v>533</v>
      </c>
      <c r="AR1688" s="174">
        <v>100</v>
      </c>
      <c r="AS1688" s="171"/>
      <c r="AT1688" s="171">
        <v>300</v>
      </c>
      <c r="AU1688" s="255">
        <f t="shared" si="120"/>
        <v>21.428571428571427</v>
      </c>
      <c r="AV1688" s="172">
        <v>100</v>
      </c>
      <c r="AW1688" s="171">
        <v>1</v>
      </c>
      <c r="AX1688" s="171">
        <v>28</v>
      </c>
      <c r="AY1688" s="171">
        <v>30</v>
      </c>
      <c r="AZ1688" s="171">
        <v>0</v>
      </c>
      <c r="BA1688" s="175">
        <v>99</v>
      </c>
      <c r="BB1688" s="259"/>
      <c r="BC1688" s="190"/>
      <c r="BD1688" s="177"/>
      <c r="BE1688" s="177"/>
      <c r="BF1688" s="178" t="s">
        <v>1770</v>
      </c>
    </row>
    <row r="1689" spans="1:58">
      <c r="A1689" s="95">
        <v>1688</v>
      </c>
      <c r="B1689" s="211" t="s">
        <v>2245</v>
      </c>
      <c r="C1689" s="191" t="s">
        <v>2720</v>
      </c>
      <c r="D1689" s="171" t="s">
        <v>1769</v>
      </c>
      <c r="E1689" s="463" t="s">
        <v>3377</v>
      </c>
      <c r="F1689" s="171">
        <v>2003</v>
      </c>
      <c r="G1689" s="171">
        <v>358</v>
      </c>
      <c r="H1689" s="172" t="s">
        <v>1738</v>
      </c>
      <c r="I1689" s="173" t="s">
        <v>1739</v>
      </c>
      <c r="J1689" s="212">
        <v>0.26</v>
      </c>
      <c r="K1689" s="213">
        <v>3.8322717622080678</v>
      </c>
      <c r="L1689" s="91"/>
      <c r="M1689" s="171">
        <v>471</v>
      </c>
      <c r="N1689" s="171"/>
      <c r="O1689" s="172" t="s">
        <v>12</v>
      </c>
      <c r="P1689" s="92"/>
      <c r="Q1689" s="173" t="s">
        <v>523</v>
      </c>
      <c r="R1689" s="506" t="s">
        <v>2727</v>
      </c>
      <c r="S1689" s="511"/>
      <c r="T1689" s="214" t="s">
        <v>2306</v>
      </c>
      <c r="U1689" s="89"/>
      <c r="V1689" s="103">
        <f>(25/471)*100</f>
        <v>5.3078556263269645</v>
      </c>
      <c r="W1689" s="120">
        <v>0</v>
      </c>
      <c r="X1689" s="120">
        <v>0</v>
      </c>
      <c r="Y1689" s="120">
        <v>0</v>
      </c>
      <c r="Z1689" s="120">
        <v>0</v>
      </c>
      <c r="AA1689" s="17">
        <v>0</v>
      </c>
      <c r="AB1689" s="17">
        <v>0</v>
      </c>
      <c r="AC1689" s="17">
        <v>0</v>
      </c>
      <c r="AD1689" s="17">
        <v>0</v>
      </c>
      <c r="AE1689" s="17">
        <v>0</v>
      </c>
      <c r="AF1689" s="33">
        <v>1.48619957537155</v>
      </c>
      <c r="AG1689" s="17">
        <v>0</v>
      </c>
      <c r="AH1689" s="17">
        <v>0</v>
      </c>
      <c r="AI1689" s="17">
        <v>0</v>
      </c>
      <c r="AJ1689" s="17">
        <v>0</v>
      </c>
      <c r="AK1689" s="17">
        <v>0</v>
      </c>
      <c r="AL1689" s="32">
        <v>0</v>
      </c>
      <c r="AM1689" s="172">
        <v>91.2</v>
      </c>
      <c r="AN1689" s="89"/>
      <c r="AO1689" s="171" t="s">
        <v>521</v>
      </c>
      <c r="AP1689" s="783" t="s">
        <v>521</v>
      </c>
      <c r="AQ1689" s="17" t="s">
        <v>533</v>
      </c>
      <c r="AR1689" s="174">
        <v>100</v>
      </c>
      <c r="AS1689" s="171"/>
      <c r="AT1689" s="171">
        <v>300</v>
      </c>
      <c r="AU1689" s="255">
        <f t="shared" si="120"/>
        <v>21.428571428571427</v>
      </c>
      <c r="AV1689" s="172">
        <v>100</v>
      </c>
      <c r="AW1689" s="171">
        <v>1</v>
      </c>
      <c r="AX1689" s="171">
        <v>28</v>
      </c>
      <c r="AY1689" s="171">
        <v>30</v>
      </c>
      <c r="AZ1689" s="171">
        <v>0</v>
      </c>
      <c r="BA1689" s="175">
        <v>99</v>
      </c>
      <c r="BB1689" s="259"/>
      <c r="BC1689" s="190"/>
      <c r="BD1689" s="177"/>
      <c r="BE1689" s="177"/>
      <c r="BF1689" s="178" t="s">
        <v>1770</v>
      </c>
    </row>
    <row r="1690" spans="1:58">
      <c r="A1690" s="95">
        <v>1689</v>
      </c>
      <c r="B1690" s="211" t="s">
        <v>2246</v>
      </c>
      <c r="C1690" s="191" t="s">
        <v>2720</v>
      </c>
      <c r="D1690" s="171" t="s">
        <v>1769</v>
      </c>
      <c r="E1690" s="463" t="s">
        <v>3377</v>
      </c>
      <c r="F1690" s="171">
        <v>2003</v>
      </c>
      <c r="G1690" s="171">
        <v>358</v>
      </c>
      <c r="H1690" s="172" t="s">
        <v>1738</v>
      </c>
      <c r="I1690" s="173" t="s">
        <v>1739</v>
      </c>
      <c r="J1690" s="212">
        <v>0.3</v>
      </c>
      <c r="K1690" s="213">
        <v>3.7288135593220337</v>
      </c>
      <c r="L1690" s="91"/>
      <c r="M1690" s="171">
        <v>471</v>
      </c>
      <c r="N1690" s="171"/>
      <c r="O1690" s="172" t="s">
        <v>12</v>
      </c>
      <c r="P1690" s="92"/>
      <c r="Q1690" s="173" t="s">
        <v>523</v>
      </c>
      <c r="R1690" s="506" t="s">
        <v>2727</v>
      </c>
      <c r="S1690" s="511"/>
      <c r="T1690" s="214" t="s">
        <v>2306</v>
      </c>
      <c r="U1690" s="89"/>
      <c r="V1690" s="103">
        <f>(25/471)*100</f>
        <v>5.3078556263269645</v>
      </c>
      <c r="W1690" s="120">
        <v>0</v>
      </c>
      <c r="X1690" s="120">
        <v>0</v>
      </c>
      <c r="Y1690" s="120">
        <v>0</v>
      </c>
      <c r="Z1690" s="120">
        <v>0</v>
      </c>
      <c r="AA1690" s="17">
        <v>0</v>
      </c>
      <c r="AB1690" s="17">
        <v>0</v>
      </c>
      <c r="AC1690" s="17">
        <v>0</v>
      </c>
      <c r="AD1690" s="17">
        <v>0</v>
      </c>
      <c r="AE1690" s="17">
        <v>0</v>
      </c>
      <c r="AF1690" s="33">
        <v>1.2288135593220337</v>
      </c>
      <c r="AG1690" s="17">
        <v>0</v>
      </c>
      <c r="AH1690" s="17">
        <v>0</v>
      </c>
      <c r="AI1690" s="17">
        <v>0</v>
      </c>
      <c r="AJ1690" s="17">
        <v>0</v>
      </c>
      <c r="AK1690" s="17">
        <v>0</v>
      </c>
      <c r="AL1690" s="32">
        <v>0</v>
      </c>
      <c r="AM1690" s="172">
        <v>83.7</v>
      </c>
      <c r="AN1690" s="89"/>
      <c r="AO1690" s="171" t="s">
        <v>521</v>
      </c>
      <c r="AP1690" s="783" t="s">
        <v>521</v>
      </c>
      <c r="AQ1690" s="17" t="s">
        <v>533</v>
      </c>
      <c r="AR1690" s="174">
        <v>100</v>
      </c>
      <c r="AS1690" s="171"/>
      <c r="AT1690" s="171">
        <v>300</v>
      </c>
      <c r="AU1690" s="255">
        <f t="shared" si="120"/>
        <v>21.428571428571427</v>
      </c>
      <c r="AV1690" s="172">
        <v>100</v>
      </c>
      <c r="AW1690" s="171">
        <v>1</v>
      </c>
      <c r="AX1690" s="171">
        <v>28</v>
      </c>
      <c r="AY1690" s="171">
        <v>30</v>
      </c>
      <c r="AZ1690" s="171">
        <v>0</v>
      </c>
      <c r="BA1690" s="175">
        <v>99</v>
      </c>
      <c r="BB1690" s="259"/>
      <c r="BC1690" s="190"/>
      <c r="BD1690" s="177"/>
      <c r="BE1690" s="177"/>
      <c r="BF1690" s="178" t="s">
        <v>1770</v>
      </c>
    </row>
    <row r="1691" spans="1:58">
      <c r="A1691" s="95">
        <v>1690</v>
      </c>
      <c r="B1691" s="211" t="s">
        <v>2247</v>
      </c>
      <c r="C1691" s="191" t="s">
        <v>2720</v>
      </c>
      <c r="D1691" s="171" t="s">
        <v>1769</v>
      </c>
      <c r="E1691" s="463" t="s">
        <v>3377</v>
      </c>
      <c r="F1691" s="171">
        <v>2003</v>
      </c>
      <c r="G1691" s="171">
        <v>358</v>
      </c>
      <c r="H1691" s="172" t="s">
        <v>1738</v>
      </c>
      <c r="I1691" s="173" t="s">
        <v>1739</v>
      </c>
      <c r="J1691" s="212">
        <v>0.35</v>
      </c>
      <c r="K1691" s="213">
        <v>3.5750528541226214</v>
      </c>
      <c r="L1691" s="91"/>
      <c r="M1691" s="171">
        <v>471</v>
      </c>
      <c r="N1691" s="171"/>
      <c r="O1691" s="172" t="s">
        <v>12</v>
      </c>
      <c r="P1691" s="92"/>
      <c r="Q1691" s="173" t="s">
        <v>523</v>
      </c>
      <c r="R1691" s="506" t="s">
        <v>2727</v>
      </c>
      <c r="S1691" s="511"/>
      <c r="T1691" s="214" t="s">
        <v>2306</v>
      </c>
      <c r="U1691" s="89"/>
      <c r="V1691" s="103">
        <f>(25/471)*100</f>
        <v>5.3078556263269645</v>
      </c>
      <c r="W1691" s="120">
        <v>0</v>
      </c>
      <c r="X1691" s="120">
        <v>0</v>
      </c>
      <c r="Y1691" s="120">
        <v>0</v>
      </c>
      <c r="Z1691" s="120">
        <v>0</v>
      </c>
      <c r="AA1691" s="17">
        <v>0</v>
      </c>
      <c r="AB1691" s="17">
        <v>0</v>
      </c>
      <c r="AC1691" s="17">
        <v>0</v>
      </c>
      <c r="AD1691" s="17">
        <v>0</v>
      </c>
      <c r="AE1691" s="17">
        <v>0</v>
      </c>
      <c r="AF1691" s="33">
        <v>1.1205073995771668</v>
      </c>
      <c r="AG1691" s="17">
        <v>0</v>
      </c>
      <c r="AH1691" s="17">
        <v>0</v>
      </c>
      <c r="AI1691" s="17">
        <v>0</v>
      </c>
      <c r="AJ1691" s="17">
        <v>0</v>
      </c>
      <c r="AK1691" s="17">
        <v>0</v>
      </c>
      <c r="AL1691" s="32">
        <v>0</v>
      </c>
      <c r="AM1691" s="172">
        <v>70.3</v>
      </c>
      <c r="AN1691" s="89"/>
      <c r="AO1691" s="171" t="s">
        <v>521</v>
      </c>
      <c r="AP1691" s="783" t="s">
        <v>521</v>
      </c>
      <c r="AQ1691" s="17" t="s">
        <v>533</v>
      </c>
      <c r="AR1691" s="174">
        <v>100</v>
      </c>
      <c r="AS1691" s="171"/>
      <c r="AT1691" s="171">
        <v>300</v>
      </c>
      <c r="AU1691" s="255">
        <f t="shared" si="120"/>
        <v>21.428571428571427</v>
      </c>
      <c r="AV1691" s="172">
        <v>100</v>
      </c>
      <c r="AW1691" s="171">
        <v>1</v>
      </c>
      <c r="AX1691" s="171">
        <v>28</v>
      </c>
      <c r="AY1691" s="171">
        <v>30</v>
      </c>
      <c r="AZ1691" s="171">
        <v>0</v>
      </c>
      <c r="BA1691" s="175">
        <v>99</v>
      </c>
      <c r="BB1691" s="259"/>
      <c r="BC1691" s="190"/>
      <c r="BD1691" s="177"/>
      <c r="BE1691" s="177"/>
      <c r="BF1691" s="178" t="s">
        <v>1770</v>
      </c>
    </row>
    <row r="1692" spans="1:58">
      <c r="A1692" s="95">
        <v>1691</v>
      </c>
      <c r="B1692" s="211" t="s">
        <v>2248</v>
      </c>
      <c r="C1692" s="191" t="s">
        <v>2720</v>
      </c>
      <c r="D1692" s="171" t="s">
        <v>1769</v>
      </c>
      <c r="E1692" s="463" t="s">
        <v>3377</v>
      </c>
      <c r="F1692" s="171">
        <v>2003</v>
      </c>
      <c r="G1692" s="171">
        <v>358</v>
      </c>
      <c r="H1692" s="172" t="s">
        <v>1738</v>
      </c>
      <c r="I1692" s="173" t="s">
        <v>1739</v>
      </c>
      <c r="J1692" s="212">
        <v>0.26</v>
      </c>
      <c r="K1692" s="213">
        <v>4.0224215246636774</v>
      </c>
      <c r="L1692" s="91"/>
      <c r="M1692" s="171">
        <v>446</v>
      </c>
      <c r="N1692" s="171"/>
      <c r="O1692" s="172" t="s">
        <v>12</v>
      </c>
      <c r="P1692" s="92"/>
      <c r="Q1692" s="173" t="s">
        <v>523</v>
      </c>
      <c r="R1692" s="506" t="s">
        <v>2727</v>
      </c>
      <c r="S1692" s="511"/>
      <c r="T1692" s="214" t="s">
        <v>2306</v>
      </c>
      <c r="U1692" s="89"/>
      <c r="V1692" s="103">
        <f>(50/446)*100</f>
        <v>11.210762331838566</v>
      </c>
      <c r="W1692" s="120">
        <v>0</v>
      </c>
      <c r="X1692" s="120">
        <v>0</v>
      </c>
      <c r="Y1692" s="120">
        <v>0</v>
      </c>
      <c r="Z1692" s="120">
        <v>0</v>
      </c>
      <c r="AA1692" s="17">
        <v>0</v>
      </c>
      <c r="AB1692" s="17">
        <v>0</v>
      </c>
      <c r="AC1692" s="17">
        <v>0</v>
      </c>
      <c r="AD1692" s="17">
        <v>0</v>
      </c>
      <c r="AE1692" s="17">
        <v>0</v>
      </c>
      <c r="AF1692" s="33">
        <v>1.6816143497757847</v>
      </c>
      <c r="AG1692" s="17">
        <v>0</v>
      </c>
      <c r="AH1692" s="17">
        <v>0</v>
      </c>
      <c r="AI1692" s="17">
        <v>0</v>
      </c>
      <c r="AJ1692" s="17">
        <v>0</v>
      </c>
      <c r="AK1692" s="17">
        <v>0</v>
      </c>
      <c r="AL1692" s="32">
        <v>0</v>
      </c>
      <c r="AM1692" s="172">
        <v>96.6</v>
      </c>
      <c r="AN1692" s="89"/>
      <c r="AO1692" s="171" t="s">
        <v>521</v>
      </c>
      <c r="AP1692" s="783" t="s">
        <v>521</v>
      </c>
      <c r="AQ1692" s="17" t="s">
        <v>533</v>
      </c>
      <c r="AR1692" s="174">
        <v>100</v>
      </c>
      <c r="AS1692" s="171"/>
      <c r="AT1692" s="171">
        <v>300</v>
      </c>
      <c r="AU1692" s="255">
        <f t="shared" si="120"/>
        <v>21.428571428571427</v>
      </c>
      <c r="AV1692" s="172">
        <v>100</v>
      </c>
      <c r="AW1692" s="171">
        <v>1</v>
      </c>
      <c r="AX1692" s="171">
        <v>28</v>
      </c>
      <c r="AY1692" s="171">
        <v>30</v>
      </c>
      <c r="AZ1692" s="171">
        <v>0</v>
      </c>
      <c r="BA1692" s="175">
        <v>99</v>
      </c>
      <c r="BB1692" s="259"/>
      <c r="BC1692" s="190"/>
      <c r="BD1692" s="177"/>
      <c r="BE1692" s="177"/>
      <c r="BF1692" s="178" t="s">
        <v>1770</v>
      </c>
    </row>
    <row r="1693" spans="1:58">
      <c r="A1693" s="95">
        <v>1692</v>
      </c>
      <c r="B1693" s="211" t="s">
        <v>2249</v>
      </c>
      <c r="C1693" s="191" t="s">
        <v>2720</v>
      </c>
      <c r="D1693" s="171" t="s">
        <v>1769</v>
      </c>
      <c r="E1693" s="463" t="s">
        <v>3377</v>
      </c>
      <c r="F1693" s="171">
        <v>2003</v>
      </c>
      <c r="G1693" s="171">
        <v>358</v>
      </c>
      <c r="H1693" s="172" t="s">
        <v>1738</v>
      </c>
      <c r="I1693" s="173" t="s">
        <v>1739</v>
      </c>
      <c r="J1693" s="212">
        <v>0.3</v>
      </c>
      <c r="K1693" s="213">
        <v>3.9149888143176734</v>
      </c>
      <c r="L1693" s="91"/>
      <c r="M1693" s="171">
        <v>446</v>
      </c>
      <c r="N1693" s="171"/>
      <c r="O1693" s="172" t="s">
        <v>12</v>
      </c>
      <c r="P1693" s="92"/>
      <c r="Q1693" s="173" t="s">
        <v>523</v>
      </c>
      <c r="R1693" s="506" t="s">
        <v>2727</v>
      </c>
      <c r="S1693" s="511"/>
      <c r="T1693" s="214" t="s">
        <v>2306</v>
      </c>
      <c r="U1693" s="214" t="s">
        <v>2312</v>
      </c>
      <c r="V1693" s="103">
        <f>(50/446)*100</f>
        <v>11.210762331838566</v>
      </c>
      <c r="W1693" s="120">
        <v>0</v>
      </c>
      <c r="X1693" s="120">
        <v>0</v>
      </c>
      <c r="Y1693" s="120">
        <v>0</v>
      </c>
      <c r="Z1693" s="120">
        <v>0</v>
      </c>
      <c r="AA1693" s="17">
        <v>0</v>
      </c>
      <c r="AB1693" s="17">
        <v>0</v>
      </c>
      <c r="AC1693" s="17">
        <v>0</v>
      </c>
      <c r="AD1693" s="17">
        <v>0</v>
      </c>
      <c r="AE1693" s="17">
        <v>0</v>
      </c>
      <c r="AF1693" s="33">
        <v>1.3646532438478747</v>
      </c>
      <c r="AG1693" s="17">
        <v>0</v>
      </c>
      <c r="AH1693" s="17">
        <v>0</v>
      </c>
      <c r="AI1693" s="17">
        <v>0</v>
      </c>
      <c r="AJ1693" s="17">
        <v>0</v>
      </c>
      <c r="AK1693" s="17">
        <v>0</v>
      </c>
      <c r="AL1693" s="32">
        <v>0</v>
      </c>
      <c r="AM1693" s="172">
        <v>91.1</v>
      </c>
      <c r="AN1693" s="89"/>
      <c r="AO1693" s="171" t="s">
        <v>521</v>
      </c>
      <c r="AP1693" s="783" t="s">
        <v>521</v>
      </c>
      <c r="AQ1693" s="17" t="s">
        <v>533</v>
      </c>
      <c r="AR1693" s="174">
        <v>100</v>
      </c>
      <c r="AS1693" s="171"/>
      <c r="AT1693" s="171">
        <v>300</v>
      </c>
      <c r="AU1693" s="255">
        <f t="shared" si="120"/>
        <v>21.428571428571427</v>
      </c>
      <c r="AV1693" s="172">
        <v>100</v>
      </c>
      <c r="AW1693" s="171">
        <v>1</v>
      </c>
      <c r="AX1693" s="171">
        <v>28</v>
      </c>
      <c r="AY1693" s="171">
        <v>30</v>
      </c>
      <c r="AZ1693" s="171">
        <v>0</v>
      </c>
      <c r="BA1693" s="175">
        <v>99</v>
      </c>
      <c r="BB1693" s="259"/>
      <c r="BC1693" s="190"/>
      <c r="BD1693" s="177"/>
      <c r="BE1693" s="177"/>
      <c r="BF1693" s="178" t="s">
        <v>1770</v>
      </c>
    </row>
    <row r="1694" spans="1:58">
      <c r="A1694" s="95">
        <v>1693</v>
      </c>
      <c r="B1694" s="211" t="s">
        <v>2250</v>
      </c>
      <c r="C1694" s="191" t="s">
        <v>2720</v>
      </c>
      <c r="D1694" s="171" t="s">
        <v>1769</v>
      </c>
      <c r="E1694" s="463" t="s">
        <v>3377</v>
      </c>
      <c r="F1694" s="171">
        <v>2003</v>
      </c>
      <c r="G1694" s="171">
        <v>358</v>
      </c>
      <c r="H1694" s="172" t="s">
        <v>1738</v>
      </c>
      <c r="I1694" s="173" t="s">
        <v>1739</v>
      </c>
      <c r="J1694" s="212">
        <v>0.35</v>
      </c>
      <c r="K1694" s="213">
        <v>3.7539149888143175</v>
      </c>
      <c r="L1694" s="91"/>
      <c r="M1694" s="171">
        <v>446</v>
      </c>
      <c r="N1694" s="171"/>
      <c r="O1694" s="172" t="s">
        <v>12</v>
      </c>
      <c r="P1694" s="92"/>
      <c r="Q1694" s="173" t="s">
        <v>523</v>
      </c>
      <c r="R1694" s="506" t="s">
        <v>2727</v>
      </c>
      <c r="S1694" s="511"/>
      <c r="T1694" s="214" t="s">
        <v>2306</v>
      </c>
      <c r="U1694" s="214" t="s">
        <v>2312</v>
      </c>
      <c r="V1694" s="103">
        <f>(50/446)*100</f>
        <v>11.210762331838566</v>
      </c>
      <c r="W1694" s="120">
        <v>0</v>
      </c>
      <c r="X1694" s="120">
        <v>0</v>
      </c>
      <c r="Y1694" s="120">
        <v>0</v>
      </c>
      <c r="Z1694" s="120">
        <v>0</v>
      </c>
      <c r="AA1694" s="17">
        <v>0</v>
      </c>
      <c r="AB1694" s="17">
        <v>0</v>
      </c>
      <c r="AC1694" s="17">
        <v>0</v>
      </c>
      <c r="AD1694" s="17">
        <v>0</v>
      </c>
      <c r="AE1694" s="17">
        <v>0</v>
      </c>
      <c r="AF1694" s="33">
        <v>1.2527964205816553</v>
      </c>
      <c r="AG1694" s="17">
        <v>0</v>
      </c>
      <c r="AH1694" s="17">
        <v>0</v>
      </c>
      <c r="AI1694" s="17">
        <v>0</v>
      </c>
      <c r="AJ1694" s="17">
        <v>0</v>
      </c>
      <c r="AK1694" s="17">
        <v>0</v>
      </c>
      <c r="AL1694" s="32">
        <v>0</v>
      </c>
      <c r="AM1694" s="172">
        <v>75.2</v>
      </c>
      <c r="AN1694" s="89"/>
      <c r="AO1694" s="171" t="s">
        <v>521</v>
      </c>
      <c r="AP1694" s="783" t="s">
        <v>521</v>
      </c>
      <c r="AQ1694" s="17" t="s">
        <v>533</v>
      </c>
      <c r="AR1694" s="174">
        <v>100</v>
      </c>
      <c r="AS1694" s="171"/>
      <c r="AT1694" s="171">
        <v>300</v>
      </c>
      <c r="AU1694" s="255">
        <f t="shared" si="120"/>
        <v>21.428571428571427</v>
      </c>
      <c r="AV1694" s="172">
        <v>100</v>
      </c>
      <c r="AW1694" s="171">
        <v>1</v>
      </c>
      <c r="AX1694" s="171">
        <v>28</v>
      </c>
      <c r="AY1694" s="171">
        <v>30</v>
      </c>
      <c r="AZ1694" s="171">
        <v>0</v>
      </c>
      <c r="BA1694" s="175">
        <v>99</v>
      </c>
      <c r="BB1694" s="259"/>
      <c r="BC1694" s="190"/>
      <c r="BD1694" s="177"/>
      <c r="BE1694" s="177"/>
      <c r="BF1694" s="178" t="s">
        <v>1770</v>
      </c>
    </row>
    <row r="1695" spans="1:58" ht="15" customHeight="1">
      <c r="A1695" s="95">
        <v>1694</v>
      </c>
      <c r="B1695" s="211" t="s">
        <v>2251</v>
      </c>
      <c r="C1695" s="191" t="s">
        <v>2720</v>
      </c>
      <c r="D1695" s="171" t="s">
        <v>1769</v>
      </c>
      <c r="E1695" s="463" t="s">
        <v>3377</v>
      </c>
      <c r="F1695" s="171">
        <v>2003</v>
      </c>
      <c r="G1695" s="171">
        <v>358</v>
      </c>
      <c r="H1695" s="172" t="s">
        <v>1738</v>
      </c>
      <c r="I1695" s="173" t="s">
        <v>1743</v>
      </c>
      <c r="J1695" s="212">
        <v>0.3</v>
      </c>
      <c r="K1695" s="213">
        <v>3.5995975855130786</v>
      </c>
      <c r="L1695" s="91"/>
      <c r="M1695" s="171">
        <v>497</v>
      </c>
      <c r="N1695" s="171"/>
      <c r="O1695" s="172" t="s">
        <v>12</v>
      </c>
      <c r="P1695" s="92"/>
      <c r="Q1695" s="173" t="s">
        <v>523</v>
      </c>
      <c r="R1695" s="506" t="s">
        <v>2727</v>
      </c>
      <c r="S1695" s="511"/>
      <c r="T1695" s="214" t="s">
        <v>2306</v>
      </c>
      <c r="U1695" s="214" t="s">
        <v>2312</v>
      </c>
      <c r="V1695" s="102">
        <v>0</v>
      </c>
      <c r="W1695" s="120">
        <v>0</v>
      </c>
      <c r="X1695" s="120">
        <v>0</v>
      </c>
      <c r="Y1695" s="120">
        <v>0</v>
      </c>
      <c r="Z1695" s="120">
        <v>0</v>
      </c>
      <c r="AA1695" s="17">
        <v>0</v>
      </c>
      <c r="AB1695" s="17">
        <v>0</v>
      </c>
      <c r="AC1695" s="17">
        <v>0</v>
      </c>
      <c r="AD1695" s="17">
        <v>0</v>
      </c>
      <c r="AE1695" s="17">
        <v>0</v>
      </c>
      <c r="AF1695" s="33">
        <v>1.2072434607645874</v>
      </c>
      <c r="AG1695" s="17">
        <v>0</v>
      </c>
      <c r="AH1695" s="17">
        <v>0</v>
      </c>
      <c r="AI1695" s="17">
        <v>0</v>
      </c>
      <c r="AJ1695" s="17">
        <v>0</v>
      </c>
      <c r="AK1695" s="17">
        <v>0</v>
      </c>
      <c r="AL1695" s="32">
        <v>0</v>
      </c>
      <c r="AM1695" s="172">
        <v>70.099999999999994</v>
      </c>
      <c r="AN1695" s="89"/>
      <c r="AO1695" s="171" t="s">
        <v>521</v>
      </c>
      <c r="AP1695" s="783" t="s">
        <v>521</v>
      </c>
      <c r="AQ1695" s="17" t="s">
        <v>533</v>
      </c>
      <c r="AR1695" s="174">
        <v>100</v>
      </c>
      <c r="AS1695" s="171"/>
      <c r="AT1695" s="171">
        <v>300</v>
      </c>
      <c r="AU1695" s="255">
        <f t="shared" si="120"/>
        <v>21.428571428571427</v>
      </c>
      <c r="AV1695" s="172">
        <v>95</v>
      </c>
      <c r="AW1695" s="171">
        <v>7</v>
      </c>
      <c r="AX1695" s="171">
        <v>30</v>
      </c>
      <c r="AY1695" s="171">
        <v>30</v>
      </c>
      <c r="AZ1695" s="171">
        <v>0</v>
      </c>
      <c r="BA1695" s="175">
        <v>65</v>
      </c>
      <c r="BB1695" s="259"/>
      <c r="BC1695" s="190"/>
      <c r="BD1695" s="177"/>
      <c r="BE1695" s="177"/>
      <c r="BF1695" s="178" t="s">
        <v>1770</v>
      </c>
    </row>
    <row r="1696" spans="1:58" ht="15" customHeight="1">
      <c r="A1696" s="95">
        <v>1695</v>
      </c>
      <c r="B1696" s="211" t="s">
        <v>2252</v>
      </c>
      <c r="C1696" s="191" t="s">
        <v>2720</v>
      </c>
      <c r="D1696" s="171" t="s">
        <v>1769</v>
      </c>
      <c r="E1696" s="463" t="s">
        <v>3377</v>
      </c>
      <c r="F1696" s="171">
        <v>2003</v>
      </c>
      <c r="G1696" s="171">
        <v>358</v>
      </c>
      <c r="H1696" s="172" t="s">
        <v>1738</v>
      </c>
      <c r="I1696" s="173" t="s">
        <v>1743</v>
      </c>
      <c r="J1696" s="212">
        <v>0.35</v>
      </c>
      <c r="K1696" s="213">
        <v>3.5040160642570282</v>
      </c>
      <c r="L1696" s="91"/>
      <c r="M1696" s="171">
        <v>498</v>
      </c>
      <c r="N1696" s="171"/>
      <c r="O1696" s="172" t="s">
        <v>12</v>
      </c>
      <c r="P1696" s="92"/>
      <c r="Q1696" s="173" t="s">
        <v>523</v>
      </c>
      <c r="R1696" s="506" t="s">
        <v>2727</v>
      </c>
      <c r="S1696" s="511"/>
      <c r="T1696" s="214" t="s">
        <v>2306</v>
      </c>
      <c r="U1696" s="214" t="s">
        <v>2312</v>
      </c>
      <c r="V1696" s="102">
        <v>0</v>
      </c>
      <c r="W1696" s="120">
        <v>0</v>
      </c>
      <c r="X1696" s="120">
        <v>0</v>
      </c>
      <c r="Y1696" s="120">
        <v>0</v>
      </c>
      <c r="Z1696" s="120">
        <v>0</v>
      </c>
      <c r="AA1696" s="17">
        <v>0</v>
      </c>
      <c r="AB1696" s="17">
        <v>0</v>
      </c>
      <c r="AC1696" s="17">
        <v>0</v>
      </c>
      <c r="AD1696" s="17">
        <v>0</v>
      </c>
      <c r="AE1696" s="17">
        <v>0</v>
      </c>
      <c r="AF1696" s="33">
        <v>0.68273092369477917</v>
      </c>
      <c r="AG1696" s="17">
        <v>0</v>
      </c>
      <c r="AH1696" s="17">
        <v>0</v>
      </c>
      <c r="AI1696" s="17">
        <v>0</v>
      </c>
      <c r="AJ1696" s="17">
        <v>0</v>
      </c>
      <c r="AK1696" s="17">
        <v>0</v>
      </c>
      <c r="AL1696" s="32">
        <v>0</v>
      </c>
      <c r="AM1696" s="172">
        <v>63.7</v>
      </c>
      <c r="AN1696" s="89"/>
      <c r="AO1696" s="171" t="s">
        <v>521</v>
      </c>
      <c r="AP1696" s="783" t="s">
        <v>521</v>
      </c>
      <c r="AQ1696" s="17" t="s">
        <v>533</v>
      </c>
      <c r="AR1696" s="174">
        <v>100</v>
      </c>
      <c r="AS1696" s="171"/>
      <c r="AT1696" s="171">
        <v>300</v>
      </c>
      <c r="AU1696" s="255">
        <f t="shared" si="120"/>
        <v>21.428571428571427</v>
      </c>
      <c r="AV1696" s="172">
        <v>95</v>
      </c>
      <c r="AW1696" s="171">
        <v>7</v>
      </c>
      <c r="AX1696" s="171">
        <v>30</v>
      </c>
      <c r="AY1696" s="171">
        <v>30</v>
      </c>
      <c r="AZ1696" s="171">
        <v>0</v>
      </c>
      <c r="BA1696" s="175">
        <v>65</v>
      </c>
      <c r="BB1696" s="259"/>
      <c r="BC1696" s="190"/>
      <c r="BD1696" s="177"/>
      <c r="BE1696" s="177"/>
      <c r="BF1696" s="178" t="s">
        <v>1770</v>
      </c>
    </row>
    <row r="1697" spans="1:58" ht="15" customHeight="1">
      <c r="A1697" s="95">
        <v>1696</v>
      </c>
      <c r="B1697" s="211" t="s">
        <v>2253</v>
      </c>
      <c r="C1697" s="191" t="s">
        <v>2720</v>
      </c>
      <c r="D1697" s="171" t="s">
        <v>1769</v>
      </c>
      <c r="E1697" s="463" t="s">
        <v>3377</v>
      </c>
      <c r="F1697" s="171">
        <v>2003</v>
      </c>
      <c r="G1697" s="171">
        <v>358</v>
      </c>
      <c r="H1697" s="172" t="s">
        <v>1738</v>
      </c>
      <c r="I1697" s="173" t="s">
        <v>1743</v>
      </c>
      <c r="J1697" s="212">
        <v>0.26</v>
      </c>
      <c r="K1697" s="213">
        <v>3.7016129032258065</v>
      </c>
      <c r="L1697" s="91"/>
      <c r="M1697" s="171">
        <v>496</v>
      </c>
      <c r="N1697" s="171"/>
      <c r="O1697" s="172" t="s">
        <v>12</v>
      </c>
      <c r="P1697" s="92"/>
      <c r="Q1697" s="173" t="s">
        <v>523</v>
      </c>
      <c r="R1697" s="506" t="s">
        <v>2727</v>
      </c>
      <c r="S1697" s="511"/>
      <c r="T1697" s="214" t="s">
        <v>2306</v>
      </c>
      <c r="U1697" s="214" t="s">
        <v>2312</v>
      </c>
      <c r="V1697" s="102">
        <v>0</v>
      </c>
      <c r="W1697" s="120">
        <v>0</v>
      </c>
      <c r="X1697" s="120">
        <v>0</v>
      </c>
      <c r="Y1697" s="120">
        <v>0</v>
      </c>
      <c r="Z1697" s="120">
        <v>0</v>
      </c>
      <c r="AA1697" s="17">
        <v>0</v>
      </c>
      <c r="AB1697" s="17">
        <v>0</v>
      </c>
      <c r="AC1697" s="17">
        <v>0</v>
      </c>
      <c r="AD1697" s="17">
        <v>0</v>
      </c>
      <c r="AE1697" s="17">
        <v>0</v>
      </c>
      <c r="AF1697" s="33">
        <v>1.5120967741935485</v>
      </c>
      <c r="AG1697" s="17">
        <v>0</v>
      </c>
      <c r="AH1697" s="17">
        <v>0</v>
      </c>
      <c r="AI1697" s="17">
        <v>0</v>
      </c>
      <c r="AJ1697" s="17">
        <v>0</v>
      </c>
      <c r="AK1697" s="17">
        <v>0</v>
      </c>
      <c r="AL1697" s="32">
        <v>0</v>
      </c>
      <c r="AM1697" s="172">
        <v>86.6</v>
      </c>
      <c r="AN1697" s="89"/>
      <c r="AO1697" s="171" t="s">
        <v>521</v>
      </c>
      <c r="AP1697" s="783" t="s">
        <v>521</v>
      </c>
      <c r="AQ1697" s="17" t="s">
        <v>533</v>
      </c>
      <c r="AR1697" s="174">
        <v>100</v>
      </c>
      <c r="AS1697" s="171"/>
      <c r="AT1697" s="171">
        <v>300</v>
      </c>
      <c r="AU1697" s="255">
        <f t="shared" si="120"/>
        <v>21.428571428571427</v>
      </c>
      <c r="AV1697" s="172">
        <v>95</v>
      </c>
      <c r="AW1697" s="171">
        <v>7</v>
      </c>
      <c r="AX1697" s="171">
        <v>30</v>
      </c>
      <c r="AY1697" s="171">
        <v>30</v>
      </c>
      <c r="AZ1697" s="171">
        <v>0</v>
      </c>
      <c r="BA1697" s="175">
        <v>65</v>
      </c>
      <c r="BB1697" s="259"/>
      <c r="BC1697" s="190"/>
      <c r="BD1697" s="177"/>
      <c r="BE1697" s="177"/>
      <c r="BF1697" s="178" t="s">
        <v>1770</v>
      </c>
    </row>
    <row r="1698" spans="1:58" ht="15" customHeight="1">
      <c r="A1698" s="95">
        <v>1697</v>
      </c>
      <c r="B1698" s="211" t="s">
        <v>2254</v>
      </c>
      <c r="C1698" s="191" t="s">
        <v>2720</v>
      </c>
      <c r="D1698" s="171" t="s">
        <v>1769</v>
      </c>
      <c r="E1698" s="463" t="s">
        <v>3377</v>
      </c>
      <c r="F1698" s="171">
        <v>2003</v>
      </c>
      <c r="G1698" s="171">
        <v>358</v>
      </c>
      <c r="H1698" s="172" t="s">
        <v>1738</v>
      </c>
      <c r="I1698" s="173" t="s">
        <v>1743</v>
      </c>
      <c r="J1698" s="212">
        <v>0.26</v>
      </c>
      <c r="K1698" s="213">
        <v>3.8322717622080678</v>
      </c>
      <c r="L1698" s="91"/>
      <c r="M1698" s="171">
        <v>471</v>
      </c>
      <c r="N1698" s="171"/>
      <c r="O1698" s="172" t="s">
        <v>12</v>
      </c>
      <c r="P1698" s="92"/>
      <c r="Q1698" s="173" t="s">
        <v>523</v>
      </c>
      <c r="R1698" s="506" t="s">
        <v>2727</v>
      </c>
      <c r="S1698" s="511"/>
      <c r="T1698" s="214" t="s">
        <v>2306</v>
      </c>
      <c r="U1698" s="214" t="s">
        <v>2312</v>
      </c>
      <c r="V1698" s="103">
        <f>(25/471)*100</f>
        <v>5.3078556263269645</v>
      </c>
      <c r="W1698" s="120">
        <v>0</v>
      </c>
      <c r="X1698" s="120">
        <v>0</v>
      </c>
      <c r="Y1698" s="120">
        <v>0</v>
      </c>
      <c r="Z1698" s="120">
        <v>0</v>
      </c>
      <c r="AA1698" s="17">
        <v>0</v>
      </c>
      <c r="AB1698" s="17">
        <v>0</v>
      </c>
      <c r="AC1698" s="17">
        <v>0</v>
      </c>
      <c r="AD1698" s="17">
        <v>0</v>
      </c>
      <c r="AE1698" s="17">
        <v>0</v>
      </c>
      <c r="AF1698" s="33">
        <v>1.48619957537155</v>
      </c>
      <c r="AG1698" s="17">
        <v>0</v>
      </c>
      <c r="AH1698" s="17">
        <v>0</v>
      </c>
      <c r="AI1698" s="17">
        <v>0</v>
      </c>
      <c r="AJ1698" s="17">
        <v>0</v>
      </c>
      <c r="AK1698" s="17">
        <v>0</v>
      </c>
      <c r="AL1698" s="32">
        <v>0</v>
      </c>
      <c r="AM1698" s="172">
        <v>91.2</v>
      </c>
      <c r="AN1698" s="89"/>
      <c r="AO1698" s="171" t="s">
        <v>521</v>
      </c>
      <c r="AP1698" s="783" t="s">
        <v>521</v>
      </c>
      <c r="AQ1698" s="17" t="s">
        <v>533</v>
      </c>
      <c r="AR1698" s="174">
        <v>100</v>
      </c>
      <c r="AS1698" s="171"/>
      <c r="AT1698" s="171">
        <v>300</v>
      </c>
      <c r="AU1698" s="255">
        <f t="shared" si="120"/>
        <v>21.428571428571427</v>
      </c>
      <c r="AV1698" s="172">
        <v>95</v>
      </c>
      <c r="AW1698" s="171">
        <v>7</v>
      </c>
      <c r="AX1698" s="171">
        <v>30</v>
      </c>
      <c r="AY1698" s="171">
        <v>30</v>
      </c>
      <c r="AZ1698" s="171">
        <v>0</v>
      </c>
      <c r="BA1698" s="175">
        <v>65</v>
      </c>
      <c r="BB1698" s="259"/>
      <c r="BC1698" s="190"/>
      <c r="BD1698" s="177"/>
      <c r="BE1698" s="177"/>
      <c r="BF1698" s="178" t="s">
        <v>1770</v>
      </c>
    </row>
    <row r="1699" spans="1:58" ht="15" customHeight="1">
      <c r="A1699" s="95">
        <v>1698</v>
      </c>
      <c r="B1699" s="211" t="s">
        <v>2255</v>
      </c>
      <c r="C1699" s="191" t="s">
        <v>2720</v>
      </c>
      <c r="D1699" s="171" t="s">
        <v>1769</v>
      </c>
      <c r="E1699" s="463" t="s">
        <v>3377</v>
      </c>
      <c r="F1699" s="171">
        <v>2003</v>
      </c>
      <c r="G1699" s="171">
        <v>358</v>
      </c>
      <c r="H1699" s="172" t="s">
        <v>1738</v>
      </c>
      <c r="I1699" s="173" t="s">
        <v>1743</v>
      </c>
      <c r="J1699" s="212">
        <v>0.3</v>
      </c>
      <c r="K1699" s="213">
        <v>3.7288135593220337</v>
      </c>
      <c r="L1699" s="91"/>
      <c r="M1699" s="171">
        <v>471</v>
      </c>
      <c r="N1699" s="171"/>
      <c r="O1699" s="172" t="s">
        <v>12</v>
      </c>
      <c r="P1699" s="92"/>
      <c r="Q1699" s="173" t="s">
        <v>523</v>
      </c>
      <c r="R1699" s="506" t="s">
        <v>2727</v>
      </c>
      <c r="S1699" s="511"/>
      <c r="T1699" s="214" t="s">
        <v>2306</v>
      </c>
      <c r="U1699" s="214" t="s">
        <v>2312</v>
      </c>
      <c r="V1699" s="103">
        <f>(25/471)*100</f>
        <v>5.3078556263269645</v>
      </c>
      <c r="W1699" s="120">
        <v>0</v>
      </c>
      <c r="X1699" s="120">
        <v>0</v>
      </c>
      <c r="Y1699" s="120">
        <v>0</v>
      </c>
      <c r="Z1699" s="120">
        <v>0</v>
      </c>
      <c r="AA1699" s="17">
        <v>0</v>
      </c>
      <c r="AB1699" s="17">
        <v>0</v>
      </c>
      <c r="AC1699" s="17">
        <v>0</v>
      </c>
      <c r="AD1699" s="17">
        <v>0</v>
      </c>
      <c r="AE1699" s="17">
        <v>0</v>
      </c>
      <c r="AF1699" s="33">
        <v>1.2288135593220337</v>
      </c>
      <c r="AG1699" s="17">
        <v>0</v>
      </c>
      <c r="AH1699" s="17">
        <v>0</v>
      </c>
      <c r="AI1699" s="17">
        <v>0</v>
      </c>
      <c r="AJ1699" s="17">
        <v>0</v>
      </c>
      <c r="AK1699" s="17">
        <v>0</v>
      </c>
      <c r="AL1699" s="32">
        <v>0</v>
      </c>
      <c r="AM1699" s="172">
        <v>83.7</v>
      </c>
      <c r="AN1699" s="89"/>
      <c r="AO1699" s="171" t="s">
        <v>521</v>
      </c>
      <c r="AP1699" s="783" t="s">
        <v>521</v>
      </c>
      <c r="AQ1699" s="17" t="s">
        <v>533</v>
      </c>
      <c r="AR1699" s="174">
        <v>100</v>
      </c>
      <c r="AS1699" s="171"/>
      <c r="AT1699" s="171">
        <v>300</v>
      </c>
      <c r="AU1699" s="255">
        <f t="shared" si="120"/>
        <v>21.428571428571427</v>
      </c>
      <c r="AV1699" s="172">
        <v>95</v>
      </c>
      <c r="AW1699" s="171">
        <v>7</v>
      </c>
      <c r="AX1699" s="171">
        <v>30</v>
      </c>
      <c r="AY1699" s="171">
        <v>30</v>
      </c>
      <c r="AZ1699" s="171">
        <v>0</v>
      </c>
      <c r="BA1699" s="175">
        <v>65</v>
      </c>
      <c r="BB1699" s="259"/>
      <c r="BC1699" s="190"/>
      <c r="BD1699" s="177"/>
      <c r="BE1699" s="177"/>
      <c r="BF1699" s="178" t="s">
        <v>1770</v>
      </c>
    </row>
    <row r="1700" spans="1:58" ht="15" customHeight="1">
      <c r="A1700" s="95">
        <v>1699</v>
      </c>
      <c r="B1700" s="211" t="s">
        <v>2256</v>
      </c>
      <c r="C1700" s="191" t="s">
        <v>2720</v>
      </c>
      <c r="D1700" s="171" t="s">
        <v>1769</v>
      </c>
      <c r="E1700" s="463" t="s">
        <v>3377</v>
      </c>
      <c r="F1700" s="171">
        <v>2003</v>
      </c>
      <c r="G1700" s="171">
        <v>358</v>
      </c>
      <c r="H1700" s="172" t="s">
        <v>1738</v>
      </c>
      <c r="I1700" s="173" t="s">
        <v>1743</v>
      </c>
      <c r="J1700" s="212">
        <v>0.35</v>
      </c>
      <c r="K1700" s="213">
        <v>3.5750528541226214</v>
      </c>
      <c r="L1700" s="91"/>
      <c r="M1700" s="171">
        <v>471</v>
      </c>
      <c r="N1700" s="171"/>
      <c r="O1700" s="172" t="s">
        <v>12</v>
      </c>
      <c r="P1700" s="92"/>
      <c r="Q1700" s="173" t="s">
        <v>523</v>
      </c>
      <c r="R1700" s="506" t="s">
        <v>2727</v>
      </c>
      <c r="S1700" s="511"/>
      <c r="T1700" s="214" t="s">
        <v>2306</v>
      </c>
      <c r="U1700" s="214" t="s">
        <v>2312</v>
      </c>
      <c r="V1700" s="103">
        <f>(25/471)*100</f>
        <v>5.3078556263269645</v>
      </c>
      <c r="W1700" s="120">
        <v>0</v>
      </c>
      <c r="X1700" s="120">
        <v>0</v>
      </c>
      <c r="Y1700" s="120">
        <v>0</v>
      </c>
      <c r="Z1700" s="120">
        <v>0</v>
      </c>
      <c r="AA1700" s="17">
        <v>0</v>
      </c>
      <c r="AB1700" s="17">
        <v>0</v>
      </c>
      <c r="AC1700" s="17">
        <v>0</v>
      </c>
      <c r="AD1700" s="17">
        <v>0</v>
      </c>
      <c r="AE1700" s="17">
        <v>0</v>
      </c>
      <c r="AF1700" s="33">
        <v>1.1205073995771668</v>
      </c>
      <c r="AG1700" s="17">
        <v>0</v>
      </c>
      <c r="AH1700" s="17">
        <v>0</v>
      </c>
      <c r="AI1700" s="17">
        <v>0</v>
      </c>
      <c r="AJ1700" s="17">
        <v>0</v>
      </c>
      <c r="AK1700" s="17">
        <v>0</v>
      </c>
      <c r="AL1700" s="32">
        <v>0</v>
      </c>
      <c r="AM1700" s="172">
        <v>70.3</v>
      </c>
      <c r="AN1700" s="89"/>
      <c r="AO1700" s="171" t="s">
        <v>521</v>
      </c>
      <c r="AP1700" s="783" t="s">
        <v>521</v>
      </c>
      <c r="AQ1700" s="17" t="s">
        <v>533</v>
      </c>
      <c r="AR1700" s="174">
        <v>100</v>
      </c>
      <c r="AS1700" s="171"/>
      <c r="AT1700" s="171">
        <v>300</v>
      </c>
      <c r="AU1700" s="255">
        <f t="shared" si="120"/>
        <v>21.428571428571427</v>
      </c>
      <c r="AV1700" s="172">
        <v>95</v>
      </c>
      <c r="AW1700" s="171">
        <v>7</v>
      </c>
      <c r="AX1700" s="171">
        <v>30</v>
      </c>
      <c r="AY1700" s="171">
        <v>30</v>
      </c>
      <c r="AZ1700" s="171">
        <v>0</v>
      </c>
      <c r="BA1700" s="175">
        <v>65</v>
      </c>
      <c r="BB1700" s="259"/>
      <c r="BC1700" s="190"/>
      <c r="BD1700" s="177"/>
      <c r="BE1700" s="177"/>
      <c r="BF1700" s="178" t="s">
        <v>1770</v>
      </c>
    </row>
    <row r="1701" spans="1:58" ht="15" customHeight="1">
      <c r="A1701" s="95">
        <v>1700</v>
      </c>
      <c r="B1701" s="211" t="s">
        <v>2257</v>
      </c>
      <c r="C1701" s="191" t="s">
        <v>2720</v>
      </c>
      <c r="D1701" s="171" t="s">
        <v>1769</v>
      </c>
      <c r="E1701" s="463" t="s">
        <v>3377</v>
      </c>
      <c r="F1701" s="171">
        <v>2003</v>
      </c>
      <c r="G1701" s="171">
        <v>358</v>
      </c>
      <c r="H1701" s="172" t="s">
        <v>1738</v>
      </c>
      <c r="I1701" s="173" t="s">
        <v>1743</v>
      </c>
      <c r="J1701" s="212">
        <v>0.26</v>
      </c>
      <c r="K1701" s="213">
        <v>4.0224215246636774</v>
      </c>
      <c r="L1701" s="91"/>
      <c r="M1701" s="171">
        <v>446</v>
      </c>
      <c r="N1701" s="171"/>
      <c r="O1701" s="172" t="s">
        <v>12</v>
      </c>
      <c r="P1701" s="92"/>
      <c r="Q1701" s="173" t="s">
        <v>523</v>
      </c>
      <c r="R1701" s="506" t="s">
        <v>2727</v>
      </c>
      <c r="S1701" s="511"/>
      <c r="T1701" s="214" t="s">
        <v>2306</v>
      </c>
      <c r="U1701" s="214" t="s">
        <v>2312</v>
      </c>
      <c r="V1701" s="103">
        <f>(50/446)*100</f>
        <v>11.210762331838566</v>
      </c>
      <c r="W1701" s="120">
        <v>0</v>
      </c>
      <c r="X1701" s="120">
        <v>0</v>
      </c>
      <c r="Y1701" s="120">
        <v>0</v>
      </c>
      <c r="Z1701" s="120">
        <v>0</v>
      </c>
      <c r="AA1701" s="17">
        <v>0</v>
      </c>
      <c r="AB1701" s="17">
        <v>0</v>
      </c>
      <c r="AC1701" s="17">
        <v>0</v>
      </c>
      <c r="AD1701" s="17">
        <v>0</v>
      </c>
      <c r="AE1701" s="17">
        <v>0</v>
      </c>
      <c r="AF1701" s="33">
        <v>1.6816143497757847</v>
      </c>
      <c r="AG1701" s="17">
        <v>0</v>
      </c>
      <c r="AH1701" s="17">
        <v>0</v>
      </c>
      <c r="AI1701" s="17">
        <v>0</v>
      </c>
      <c r="AJ1701" s="17">
        <v>0</v>
      </c>
      <c r="AK1701" s="17">
        <v>0</v>
      </c>
      <c r="AL1701" s="32">
        <v>0</v>
      </c>
      <c r="AM1701" s="172">
        <v>96.6</v>
      </c>
      <c r="AN1701" s="89"/>
      <c r="AO1701" s="171" t="s">
        <v>521</v>
      </c>
      <c r="AP1701" s="783" t="s">
        <v>521</v>
      </c>
      <c r="AQ1701" s="17" t="s">
        <v>533</v>
      </c>
      <c r="AR1701" s="174">
        <v>100</v>
      </c>
      <c r="AS1701" s="171"/>
      <c r="AT1701" s="171">
        <v>300</v>
      </c>
      <c r="AU1701" s="255">
        <f t="shared" si="120"/>
        <v>21.428571428571427</v>
      </c>
      <c r="AV1701" s="172">
        <v>95</v>
      </c>
      <c r="AW1701" s="171">
        <v>7</v>
      </c>
      <c r="AX1701" s="171">
        <v>30</v>
      </c>
      <c r="AY1701" s="171">
        <v>30</v>
      </c>
      <c r="AZ1701" s="171">
        <v>0</v>
      </c>
      <c r="BA1701" s="175">
        <v>65</v>
      </c>
      <c r="BB1701" s="259"/>
      <c r="BC1701" s="190"/>
      <c r="BD1701" s="177"/>
      <c r="BE1701" s="177"/>
      <c r="BF1701" s="178" t="s">
        <v>1770</v>
      </c>
    </row>
    <row r="1702" spans="1:58" ht="15" customHeight="1">
      <c r="A1702" s="95">
        <v>1701</v>
      </c>
      <c r="B1702" s="211" t="s">
        <v>2258</v>
      </c>
      <c r="C1702" s="191" t="s">
        <v>2720</v>
      </c>
      <c r="D1702" s="171" t="s">
        <v>1769</v>
      </c>
      <c r="E1702" s="463" t="s">
        <v>3377</v>
      </c>
      <c r="F1702" s="171">
        <v>2003</v>
      </c>
      <c r="G1702" s="171">
        <v>358</v>
      </c>
      <c r="H1702" s="172" t="s">
        <v>1738</v>
      </c>
      <c r="I1702" s="173" t="s">
        <v>1743</v>
      </c>
      <c r="J1702" s="212">
        <v>0.3</v>
      </c>
      <c r="K1702" s="213">
        <v>3.9149888143176734</v>
      </c>
      <c r="L1702" s="91"/>
      <c r="M1702" s="171">
        <v>446</v>
      </c>
      <c r="N1702" s="171"/>
      <c r="O1702" s="172" t="s">
        <v>12</v>
      </c>
      <c r="P1702" s="92"/>
      <c r="Q1702" s="173" t="s">
        <v>523</v>
      </c>
      <c r="R1702" s="506" t="s">
        <v>2727</v>
      </c>
      <c r="S1702" s="511"/>
      <c r="T1702" s="214" t="s">
        <v>2306</v>
      </c>
      <c r="U1702" s="214" t="s">
        <v>2312</v>
      </c>
      <c r="V1702" s="103">
        <f>(50/446)*100</f>
        <v>11.210762331838566</v>
      </c>
      <c r="W1702" s="120">
        <v>0</v>
      </c>
      <c r="X1702" s="120">
        <v>0</v>
      </c>
      <c r="Y1702" s="120">
        <v>0</v>
      </c>
      <c r="Z1702" s="120">
        <v>0</v>
      </c>
      <c r="AA1702" s="17">
        <v>0</v>
      </c>
      <c r="AB1702" s="17">
        <v>0</v>
      </c>
      <c r="AC1702" s="17">
        <v>0</v>
      </c>
      <c r="AD1702" s="17">
        <v>0</v>
      </c>
      <c r="AE1702" s="17">
        <v>0</v>
      </c>
      <c r="AF1702" s="33">
        <v>1.3646532438478747</v>
      </c>
      <c r="AG1702" s="17">
        <v>0</v>
      </c>
      <c r="AH1702" s="17">
        <v>0</v>
      </c>
      <c r="AI1702" s="17">
        <v>0</v>
      </c>
      <c r="AJ1702" s="17">
        <v>0</v>
      </c>
      <c r="AK1702" s="17">
        <v>0</v>
      </c>
      <c r="AL1702" s="32">
        <v>0</v>
      </c>
      <c r="AM1702" s="172">
        <v>91.1</v>
      </c>
      <c r="AN1702" s="89"/>
      <c r="AO1702" s="171" t="s">
        <v>521</v>
      </c>
      <c r="AP1702" s="783" t="s">
        <v>521</v>
      </c>
      <c r="AQ1702" s="17" t="s">
        <v>533</v>
      </c>
      <c r="AR1702" s="174">
        <v>100</v>
      </c>
      <c r="AS1702" s="171"/>
      <c r="AT1702" s="171">
        <v>300</v>
      </c>
      <c r="AU1702" s="255">
        <f t="shared" ref="AU1702:AU1723" si="121">IF(ISBLANK(AS1702),(AR1702*AT1702)/((4*AT1702)+(2*AR1702)),AR1702*AS1702*AT1702/2/(AR1702*AS1702+AR1702*AT1702+AS1702*AT1702))</f>
        <v>21.428571428571427</v>
      </c>
      <c r="AV1702" s="172">
        <v>95</v>
      </c>
      <c r="AW1702" s="171">
        <v>7</v>
      </c>
      <c r="AX1702" s="171">
        <v>30</v>
      </c>
      <c r="AY1702" s="171">
        <v>30</v>
      </c>
      <c r="AZ1702" s="171">
        <v>0</v>
      </c>
      <c r="BA1702" s="175">
        <v>65</v>
      </c>
      <c r="BB1702" s="259"/>
      <c r="BC1702" s="190"/>
      <c r="BD1702" s="177"/>
      <c r="BE1702" s="177"/>
      <c r="BF1702" s="178" t="s">
        <v>1770</v>
      </c>
    </row>
    <row r="1703" spans="1:58" ht="15" customHeight="1">
      <c r="A1703" s="95">
        <v>1702</v>
      </c>
      <c r="B1703" s="211" t="s">
        <v>2259</v>
      </c>
      <c r="C1703" s="191" t="s">
        <v>2720</v>
      </c>
      <c r="D1703" s="171" t="s">
        <v>1769</v>
      </c>
      <c r="E1703" s="463" t="s">
        <v>3377</v>
      </c>
      <c r="F1703" s="171">
        <v>2003</v>
      </c>
      <c r="G1703" s="171">
        <v>358</v>
      </c>
      <c r="H1703" s="172" t="s">
        <v>1738</v>
      </c>
      <c r="I1703" s="173" t="s">
        <v>1743</v>
      </c>
      <c r="J1703" s="212">
        <v>0.35</v>
      </c>
      <c r="K1703" s="213">
        <v>3.7539149888143175</v>
      </c>
      <c r="L1703" s="91"/>
      <c r="M1703" s="171">
        <v>446</v>
      </c>
      <c r="N1703" s="171"/>
      <c r="O1703" s="172" t="s">
        <v>12</v>
      </c>
      <c r="P1703" s="92"/>
      <c r="Q1703" s="173" t="s">
        <v>523</v>
      </c>
      <c r="R1703" s="506" t="s">
        <v>2727</v>
      </c>
      <c r="S1703" s="511"/>
      <c r="T1703" s="214" t="s">
        <v>2306</v>
      </c>
      <c r="U1703" s="214" t="s">
        <v>2312</v>
      </c>
      <c r="V1703" s="103">
        <f>(50/446)*100</f>
        <v>11.210762331838566</v>
      </c>
      <c r="W1703" s="120">
        <v>0</v>
      </c>
      <c r="X1703" s="120">
        <v>0</v>
      </c>
      <c r="Y1703" s="120">
        <v>0</v>
      </c>
      <c r="Z1703" s="120">
        <v>0</v>
      </c>
      <c r="AA1703" s="17">
        <v>0</v>
      </c>
      <c r="AB1703" s="17">
        <v>0</v>
      </c>
      <c r="AC1703" s="17">
        <v>0</v>
      </c>
      <c r="AD1703" s="17">
        <v>0</v>
      </c>
      <c r="AE1703" s="17">
        <v>0</v>
      </c>
      <c r="AF1703" s="33">
        <v>1.2527964205816553</v>
      </c>
      <c r="AG1703" s="17">
        <v>0</v>
      </c>
      <c r="AH1703" s="17">
        <v>0</v>
      </c>
      <c r="AI1703" s="17">
        <v>0</v>
      </c>
      <c r="AJ1703" s="17">
        <v>0</v>
      </c>
      <c r="AK1703" s="17">
        <v>0</v>
      </c>
      <c r="AL1703" s="32">
        <v>0</v>
      </c>
      <c r="AM1703" s="172">
        <v>75.2</v>
      </c>
      <c r="AN1703" s="89"/>
      <c r="AO1703" s="171" t="s">
        <v>521</v>
      </c>
      <c r="AP1703" s="783" t="s">
        <v>521</v>
      </c>
      <c r="AQ1703" s="17" t="s">
        <v>533</v>
      </c>
      <c r="AR1703" s="174">
        <v>100</v>
      </c>
      <c r="AS1703" s="171"/>
      <c r="AT1703" s="171">
        <v>300</v>
      </c>
      <c r="AU1703" s="255">
        <f t="shared" si="121"/>
        <v>21.428571428571427</v>
      </c>
      <c r="AV1703" s="172">
        <v>95</v>
      </c>
      <c r="AW1703" s="171">
        <v>7</v>
      </c>
      <c r="AX1703" s="171">
        <v>30</v>
      </c>
      <c r="AY1703" s="171">
        <v>30</v>
      </c>
      <c r="AZ1703" s="171">
        <v>0</v>
      </c>
      <c r="BA1703" s="175">
        <v>65</v>
      </c>
      <c r="BB1703" s="259"/>
      <c r="BC1703" s="190"/>
      <c r="BD1703" s="177"/>
      <c r="BE1703" s="177"/>
      <c r="BF1703" s="178" t="s">
        <v>1770</v>
      </c>
    </row>
    <row r="1704" spans="1:58" ht="15" customHeight="1">
      <c r="A1704" s="95">
        <v>1703</v>
      </c>
      <c r="B1704" s="211" t="s">
        <v>420</v>
      </c>
      <c r="C1704" s="191" t="s">
        <v>2714</v>
      </c>
      <c r="D1704" s="171" t="s">
        <v>256</v>
      </c>
      <c r="E1704" s="463" t="s">
        <v>3377</v>
      </c>
      <c r="F1704" s="171">
        <v>2008</v>
      </c>
      <c r="G1704" s="171">
        <v>359</v>
      </c>
      <c r="H1704" s="172" t="s">
        <v>1738</v>
      </c>
      <c r="I1704" s="173" t="s">
        <v>1743</v>
      </c>
      <c r="J1704" s="212">
        <v>0.32075471698113206</v>
      </c>
      <c r="K1704" s="213">
        <v>3.3207547169811322</v>
      </c>
      <c r="L1704" s="91">
        <f t="shared" ref="L1704:L1711" si="122">((J1704)*(M1704+((V1704+W1704+X1704+Y1704+Z1704+AA1704+AB1704+AC1704+AD1704+AK1704)/100)*(M1704)))</f>
        <v>170</v>
      </c>
      <c r="M1704" s="171">
        <v>530</v>
      </c>
      <c r="N1704" s="171"/>
      <c r="O1704" s="172" t="s">
        <v>12</v>
      </c>
      <c r="P1704" s="92"/>
      <c r="Q1704" s="173" t="s">
        <v>273</v>
      </c>
      <c r="R1704" s="511"/>
      <c r="S1704" s="92"/>
      <c r="T1704" s="214" t="s">
        <v>2306</v>
      </c>
      <c r="U1704" s="89"/>
      <c r="V1704" s="102">
        <v>0</v>
      </c>
      <c r="W1704" s="120">
        <v>0</v>
      </c>
      <c r="X1704" s="120">
        <v>0</v>
      </c>
      <c r="Y1704" s="120">
        <v>0</v>
      </c>
      <c r="Z1704" s="120">
        <v>0</v>
      </c>
      <c r="AA1704" s="17">
        <v>0</v>
      </c>
      <c r="AB1704" s="17">
        <v>0</v>
      </c>
      <c r="AC1704" s="17">
        <v>0</v>
      </c>
      <c r="AD1704" s="17">
        <v>0</v>
      </c>
      <c r="AE1704" s="17">
        <v>0</v>
      </c>
      <c r="AF1704" s="17">
        <v>0</v>
      </c>
      <c r="AG1704" s="17">
        <v>0</v>
      </c>
      <c r="AH1704" s="17">
        <v>0</v>
      </c>
      <c r="AI1704" s="17">
        <v>0</v>
      </c>
      <c r="AJ1704" s="17">
        <v>0</v>
      </c>
      <c r="AK1704" s="17">
        <v>0</v>
      </c>
      <c r="AL1704" s="32">
        <v>0</v>
      </c>
      <c r="AM1704" s="172">
        <v>81.900000000000006</v>
      </c>
      <c r="AN1704" s="89"/>
      <c r="AO1704" s="171" t="s">
        <v>521</v>
      </c>
      <c r="AP1704" s="783">
        <v>48600</v>
      </c>
      <c r="AQ1704" s="17" t="s">
        <v>1771</v>
      </c>
      <c r="AR1704" s="174">
        <v>100</v>
      </c>
      <c r="AS1704" s="171"/>
      <c r="AT1704" s="171">
        <v>515</v>
      </c>
      <c r="AU1704" s="255">
        <f t="shared" si="121"/>
        <v>22.787610619469028</v>
      </c>
      <c r="AV1704" s="172" t="s">
        <v>521</v>
      </c>
      <c r="AW1704" s="171">
        <v>1</v>
      </c>
      <c r="AX1704" s="171">
        <v>20</v>
      </c>
      <c r="AY1704" s="171" t="s">
        <v>521</v>
      </c>
      <c r="AZ1704" s="171">
        <v>0</v>
      </c>
      <c r="BA1704" s="175">
        <v>60</v>
      </c>
      <c r="BB1704" s="259"/>
      <c r="BC1704" s="190"/>
      <c r="BD1704" s="177"/>
      <c r="BE1704" s="177"/>
      <c r="BF1704" s="178"/>
    </row>
    <row r="1705" spans="1:58" ht="15" customHeight="1">
      <c r="A1705" s="95">
        <v>1704</v>
      </c>
      <c r="B1705" s="211" t="s">
        <v>421</v>
      </c>
      <c r="C1705" s="191" t="s">
        <v>2714</v>
      </c>
      <c r="D1705" s="171" t="s">
        <v>256</v>
      </c>
      <c r="E1705" s="463" t="s">
        <v>3377</v>
      </c>
      <c r="F1705" s="171">
        <v>2008</v>
      </c>
      <c r="G1705" s="171">
        <v>359</v>
      </c>
      <c r="H1705" s="172" t="s">
        <v>1738</v>
      </c>
      <c r="I1705" s="173" t="s">
        <v>1743</v>
      </c>
      <c r="J1705" s="212">
        <v>0.36170212765957449</v>
      </c>
      <c r="K1705" s="213">
        <v>3.7446808510638299</v>
      </c>
      <c r="L1705" s="91">
        <f t="shared" si="122"/>
        <v>191.70212765957447</v>
      </c>
      <c r="M1705" s="171">
        <v>470</v>
      </c>
      <c r="N1705" s="171"/>
      <c r="O1705" s="172" t="s">
        <v>12</v>
      </c>
      <c r="P1705" s="92"/>
      <c r="Q1705" s="173" t="s">
        <v>273</v>
      </c>
      <c r="R1705" s="511"/>
      <c r="S1705" s="92"/>
      <c r="T1705" s="214" t="s">
        <v>2306</v>
      </c>
      <c r="U1705" s="89"/>
      <c r="V1705" s="102">
        <v>0</v>
      </c>
      <c r="W1705" s="120">
        <f>(60/M1705)*100</f>
        <v>12.76595744680851</v>
      </c>
      <c r="X1705" s="120">
        <v>0</v>
      </c>
      <c r="Y1705" s="120">
        <v>0</v>
      </c>
      <c r="Z1705" s="120">
        <v>0</v>
      </c>
      <c r="AA1705" s="17">
        <v>0</v>
      </c>
      <c r="AB1705" s="17">
        <v>0</v>
      </c>
      <c r="AC1705" s="17">
        <v>0</v>
      </c>
      <c r="AD1705" s="17">
        <v>0</v>
      </c>
      <c r="AE1705" s="17">
        <v>0</v>
      </c>
      <c r="AF1705" s="17">
        <v>0</v>
      </c>
      <c r="AG1705" s="17">
        <v>0</v>
      </c>
      <c r="AH1705" s="17">
        <v>0</v>
      </c>
      <c r="AI1705" s="17">
        <v>0</v>
      </c>
      <c r="AJ1705" s="17">
        <v>0</v>
      </c>
      <c r="AK1705" s="17">
        <v>0</v>
      </c>
      <c r="AL1705" s="32">
        <v>0</v>
      </c>
      <c r="AM1705" s="172">
        <v>79.8</v>
      </c>
      <c r="AN1705" s="89"/>
      <c r="AO1705" s="171" t="s">
        <v>521</v>
      </c>
      <c r="AP1705" s="783">
        <v>47600</v>
      </c>
      <c r="AQ1705" s="17" t="s">
        <v>1771</v>
      </c>
      <c r="AR1705" s="174">
        <v>100</v>
      </c>
      <c r="AS1705" s="171"/>
      <c r="AT1705" s="171">
        <v>515</v>
      </c>
      <c r="AU1705" s="255">
        <f t="shared" si="121"/>
        <v>22.787610619469028</v>
      </c>
      <c r="AV1705" s="172" t="s">
        <v>521</v>
      </c>
      <c r="AW1705" s="171">
        <v>1</v>
      </c>
      <c r="AX1705" s="171">
        <v>20</v>
      </c>
      <c r="AY1705" s="171" t="s">
        <v>521</v>
      </c>
      <c r="AZ1705" s="171">
        <v>0</v>
      </c>
      <c r="BA1705" s="175">
        <v>60</v>
      </c>
      <c r="BB1705" s="259"/>
      <c r="BC1705" s="190"/>
      <c r="BD1705" s="177"/>
      <c r="BE1705" s="177"/>
      <c r="BF1705" s="178"/>
    </row>
    <row r="1706" spans="1:58" ht="15" customHeight="1">
      <c r="A1706" s="95">
        <v>1705</v>
      </c>
      <c r="B1706" s="211" t="s">
        <v>422</v>
      </c>
      <c r="C1706" s="191" t="s">
        <v>2714</v>
      </c>
      <c r="D1706" s="171" t="s">
        <v>256</v>
      </c>
      <c r="E1706" s="463" t="s">
        <v>3377</v>
      </c>
      <c r="F1706" s="171">
        <v>2008</v>
      </c>
      <c r="G1706" s="171">
        <v>359</v>
      </c>
      <c r="H1706" s="172" t="s">
        <v>1738</v>
      </c>
      <c r="I1706" s="173" t="s">
        <v>1743</v>
      </c>
      <c r="J1706" s="212">
        <v>0.32075471698113206</v>
      </c>
      <c r="K1706" s="213">
        <v>3.3962264150943398</v>
      </c>
      <c r="L1706" s="91">
        <f t="shared" si="122"/>
        <v>170</v>
      </c>
      <c r="M1706" s="171">
        <v>530</v>
      </c>
      <c r="N1706" s="171"/>
      <c r="O1706" s="172" t="s">
        <v>12</v>
      </c>
      <c r="P1706" s="92"/>
      <c r="Q1706" s="173" t="s">
        <v>273</v>
      </c>
      <c r="R1706" s="511"/>
      <c r="S1706" s="92"/>
      <c r="T1706" s="214" t="s">
        <v>2306</v>
      </c>
      <c r="U1706" s="89"/>
      <c r="V1706" s="102">
        <v>0</v>
      </c>
      <c r="W1706" s="120">
        <v>0</v>
      </c>
      <c r="X1706" s="120">
        <v>0</v>
      </c>
      <c r="Y1706" s="120">
        <v>0</v>
      </c>
      <c r="Z1706" s="120">
        <v>0</v>
      </c>
      <c r="AA1706" s="17">
        <v>0</v>
      </c>
      <c r="AB1706" s="17">
        <v>0</v>
      </c>
      <c r="AC1706" s="17">
        <v>0</v>
      </c>
      <c r="AD1706" s="17">
        <v>0</v>
      </c>
      <c r="AE1706" s="17">
        <v>0</v>
      </c>
      <c r="AF1706" s="17">
        <v>0</v>
      </c>
      <c r="AG1706" s="17">
        <v>0</v>
      </c>
      <c r="AH1706" s="17">
        <v>0</v>
      </c>
      <c r="AI1706" s="17">
        <v>0</v>
      </c>
      <c r="AJ1706" s="17">
        <v>0</v>
      </c>
      <c r="AK1706" s="17">
        <v>0</v>
      </c>
      <c r="AL1706" s="32">
        <v>0</v>
      </c>
      <c r="AM1706" s="172">
        <v>74.3</v>
      </c>
      <c r="AN1706" s="89"/>
      <c r="AO1706" s="171" t="s">
        <v>521</v>
      </c>
      <c r="AP1706" s="783">
        <v>49100</v>
      </c>
      <c r="AQ1706" s="17" t="s">
        <v>1771</v>
      </c>
      <c r="AR1706" s="174">
        <v>100</v>
      </c>
      <c r="AS1706" s="171"/>
      <c r="AT1706" s="171">
        <v>515</v>
      </c>
      <c r="AU1706" s="255">
        <f t="shared" si="121"/>
        <v>22.787610619469028</v>
      </c>
      <c r="AV1706" s="172" t="s">
        <v>521</v>
      </c>
      <c r="AW1706" s="171">
        <v>1</v>
      </c>
      <c r="AX1706" s="171">
        <v>20</v>
      </c>
      <c r="AY1706" s="171" t="s">
        <v>521</v>
      </c>
      <c r="AZ1706" s="171">
        <v>0</v>
      </c>
      <c r="BA1706" s="175">
        <v>60</v>
      </c>
      <c r="BB1706" s="259"/>
      <c r="BC1706" s="190"/>
      <c r="BD1706" s="177"/>
      <c r="BE1706" s="177"/>
      <c r="BF1706" s="178"/>
    </row>
    <row r="1707" spans="1:58" ht="15" customHeight="1">
      <c r="A1707" s="95">
        <v>1706</v>
      </c>
      <c r="B1707" s="211" t="s">
        <v>423</v>
      </c>
      <c r="C1707" s="191" t="s">
        <v>2714</v>
      </c>
      <c r="D1707" s="171" t="s">
        <v>256</v>
      </c>
      <c r="E1707" s="463" t="s">
        <v>3377</v>
      </c>
      <c r="F1707" s="171">
        <v>2008</v>
      </c>
      <c r="G1707" s="171">
        <v>359</v>
      </c>
      <c r="H1707" s="172" t="s">
        <v>1738</v>
      </c>
      <c r="I1707" s="173" t="s">
        <v>1743</v>
      </c>
      <c r="J1707" s="212">
        <v>0.32075471698113206</v>
      </c>
      <c r="K1707" s="213">
        <v>3.3962264150943398</v>
      </c>
      <c r="L1707" s="91">
        <f t="shared" si="122"/>
        <v>170</v>
      </c>
      <c r="M1707" s="171">
        <v>530</v>
      </c>
      <c r="N1707" s="171"/>
      <c r="O1707" s="172" t="s">
        <v>12</v>
      </c>
      <c r="P1707" s="92"/>
      <c r="Q1707" s="173" t="s">
        <v>273</v>
      </c>
      <c r="R1707" s="511"/>
      <c r="S1707" s="92"/>
      <c r="T1707" s="214" t="s">
        <v>2306</v>
      </c>
      <c r="U1707" s="89"/>
      <c r="V1707" s="102">
        <v>0</v>
      </c>
      <c r="W1707" s="120">
        <v>0</v>
      </c>
      <c r="X1707" s="120">
        <v>0</v>
      </c>
      <c r="Y1707" s="120">
        <v>0</v>
      </c>
      <c r="Z1707" s="120">
        <v>0</v>
      </c>
      <c r="AA1707" s="17">
        <v>0</v>
      </c>
      <c r="AB1707" s="17">
        <v>0</v>
      </c>
      <c r="AC1707" s="17">
        <v>0</v>
      </c>
      <c r="AD1707" s="17">
        <v>0</v>
      </c>
      <c r="AE1707" s="17">
        <v>0</v>
      </c>
      <c r="AF1707" s="17">
        <v>0</v>
      </c>
      <c r="AG1707" s="17">
        <v>0</v>
      </c>
      <c r="AH1707" s="17">
        <v>0</v>
      </c>
      <c r="AI1707" s="17">
        <v>0</v>
      </c>
      <c r="AJ1707" s="17">
        <v>0</v>
      </c>
      <c r="AK1707" s="17">
        <v>0</v>
      </c>
      <c r="AL1707" s="32">
        <v>0</v>
      </c>
      <c r="AM1707" s="172">
        <v>81.5</v>
      </c>
      <c r="AN1707" s="89"/>
      <c r="AO1707" s="171" t="s">
        <v>521</v>
      </c>
      <c r="AP1707" s="783">
        <v>47500</v>
      </c>
      <c r="AQ1707" s="17" t="s">
        <v>1771</v>
      </c>
      <c r="AR1707" s="174">
        <v>100</v>
      </c>
      <c r="AS1707" s="171"/>
      <c r="AT1707" s="171">
        <v>515</v>
      </c>
      <c r="AU1707" s="255">
        <f t="shared" si="121"/>
        <v>22.787610619469028</v>
      </c>
      <c r="AV1707" s="172" t="s">
        <v>521</v>
      </c>
      <c r="AW1707" s="171">
        <v>1</v>
      </c>
      <c r="AX1707" s="171">
        <v>20</v>
      </c>
      <c r="AY1707" s="171" t="s">
        <v>521</v>
      </c>
      <c r="AZ1707" s="171">
        <v>0</v>
      </c>
      <c r="BA1707" s="175">
        <v>60</v>
      </c>
      <c r="BB1707" s="259"/>
      <c r="BC1707" s="190"/>
      <c r="BD1707" s="177"/>
      <c r="BE1707" s="177"/>
      <c r="BF1707" s="178"/>
    </row>
    <row r="1708" spans="1:58" ht="15" customHeight="1">
      <c r="A1708" s="95">
        <v>1707</v>
      </c>
      <c r="B1708" s="211" t="s">
        <v>2260</v>
      </c>
      <c r="C1708" s="191" t="s">
        <v>2714</v>
      </c>
      <c r="D1708" s="171" t="s">
        <v>256</v>
      </c>
      <c r="E1708" s="463" t="s">
        <v>3377</v>
      </c>
      <c r="F1708" s="171">
        <v>2008</v>
      </c>
      <c r="G1708" s="171">
        <v>359</v>
      </c>
      <c r="H1708" s="172" t="s">
        <v>1738</v>
      </c>
      <c r="I1708" s="173" t="s">
        <v>1743</v>
      </c>
      <c r="J1708" s="212">
        <v>0.32075471698113206</v>
      </c>
      <c r="K1708" s="213">
        <v>3.3962264150943398</v>
      </c>
      <c r="L1708" s="91">
        <f t="shared" si="122"/>
        <v>170</v>
      </c>
      <c r="M1708" s="171">
        <v>530</v>
      </c>
      <c r="N1708" s="171"/>
      <c r="O1708" s="172" t="s">
        <v>12</v>
      </c>
      <c r="P1708" s="92"/>
      <c r="Q1708" s="173" t="s">
        <v>273</v>
      </c>
      <c r="R1708" s="511"/>
      <c r="S1708" s="92"/>
      <c r="T1708" s="214" t="s">
        <v>2306</v>
      </c>
      <c r="U1708" s="89"/>
      <c r="V1708" s="102">
        <v>0</v>
      </c>
      <c r="W1708" s="120">
        <v>0</v>
      </c>
      <c r="X1708" s="120">
        <v>0</v>
      </c>
      <c r="Y1708" s="120">
        <v>0</v>
      </c>
      <c r="Z1708" s="120">
        <v>0</v>
      </c>
      <c r="AA1708" s="17">
        <v>0</v>
      </c>
      <c r="AB1708" s="17">
        <v>0</v>
      </c>
      <c r="AC1708" s="17">
        <v>0</v>
      </c>
      <c r="AD1708" s="17">
        <v>0</v>
      </c>
      <c r="AE1708" s="17">
        <v>0</v>
      </c>
      <c r="AF1708" s="17">
        <v>0</v>
      </c>
      <c r="AG1708" s="17">
        <v>0</v>
      </c>
      <c r="AH1708" s="17">
        <v>0</v>
      </c>
      <c r="AI1708" s="17">
        <v>0</v>
      </c>
      <c r="AJ1708" s="17">
        <v>0</v>
      </c>
      <c r="AK1708" s="17">
        <v>0</v>
      </c>
      <c r="AL1708" s="32">
        <v>0</v>
      </c>
      <c r="AM1708" s="172">
        <v>84.3</v>
      </c>
      <c r="AN1708" s="89"/>
      <c r="AO1708" s="171" t="s">
        <v>521</v>
      </c>
      <c r="AP1708" s="783">
        <v>47300</v>
      </c>
      <c r="AQ1708" s="17" t="s">
        <v>1771</v>
      </c>
      <c r="AR1708" s="174">
        <v>100</v>
      </c>
      <c r="AS1708" s="171"/>
      <c r="AT1708" s="171">
        <v>515</v>
      </c>
      <c r="AU1708" s="255">
        <f t="shared" si="121"/>
        <v>22.787610619469028</v>
      </c>
      <c r="AV1708" s="172" t="s">
        <v>521</v>
      </c>
      <c r="AW1708" s="171">
        <v>1</v>
      </c>
      <c r="AX1708" s="171">
        <v>20</v>
      </c>
      <c r="AY1708" s="171" t="s">
        <v>521</v>
      </c>
      <c r="AZ1708" s="171">
        <v>0</v>
      </c>
      <c r="BA1708" s="175">
        <v>60</v>
      </c>
      <c r="BB1708" s="259"/>
      <c r="BC1708" s="190"/>
      <c r="BD1708" s="177"/>
      <c r="BE1708" s="177"/>
      <c r="BF1708" s="178"/>
    </row>
    <row r="1709" spans="1:58" ht="15" customHeight="1">
      <c r="A1709" s="95">
        <v>1708</v>
      </c>
      <c r="B1709" s="211" t="s">
        <v>2261</v>
      </c>
      <c r="C1709" s="191" t="s">
        <v>2714</v>
      </c>
      <c r="D1709" s="171" t="s">
        <v>256</v>
      </c>
      <c r="E1709" s="463" t="s">
        <v>3377</v>
      </c>
      <c r="F1709" s="171">
        <v>2008</v>
      </c>
      <c r="G1709" s="171">
        <v>359</v>
      </c>
      <c r="H1709" s="172" t="s">
        <v>1738</v>
      </c>
      <c r="I1709" s="173" t="s">
        <v>1743</v>
      </c>
      <c r="J1709" s="212">
        <v>0.32075471698113206</v>
      </c>
      <c r="K1709" s="213">
        <v>3.3962264150943398</v>
      </c>
      <c r="L1709" s="91">
        <f t="shared" si="122"/>
        <v>170</v>
      </c>
      <c r="M1709" s="171">
        <v>530</v>
      </c>
      <c r="N1709" s="171"/>
      <c r="O1709" s="172" t="s">
        <v>12</v>
      </c>
      <c r="P1709" s="92"/>
      <c r="Q1709" s="173" t="s">
        <v>273</v>
      </c>
      <c r="R1709" s="511"/>
      <c r="S1709" s="92"/>
      <c r="T1709" s="214" t="s">
        <v>2306</v>
      </c>
      <c r="U1709" s="89"/>
      <c r="V1709" s="102">
        <v>0</v>
      </c>
      <c r="W1709" s="120">
        <v>0</v>
      </c>
      <c r="X1709" s="120">
        <v>0</v>
      </c>
      <c r="Y1709" s="120">
        <v>0</v>
      </c>
      <c r="Z1709" s="120">
        <v>0</v>
      </c>
      <c r="AA1709" s="17">
        <v>0</v>
      </c>
      <c r="AB1709" s="17">
        <v>0</v>
      </c>
      <c r="AC1709" s="17">
        <v>0</v>
      </c>
      <c r="AD1709" s="17">
        <v>0</v>
      </c>
      <c r="AE1709" s="17">
        <v>0</v>
      </c>
      <c r="AF1709" s="17">
        <v>0</v>
      </c>
      <c r="AG1709" s="17">
        <v>0</v>
      </c>
      <c r="AH1709" s="17">
        <v>0</v>
      </c>
      <c r="AI1709" s="17">
        <v>0</v>
      </c>
      <c r="AJ1709" s="17">
        <v>0</v>
      </c>
      <c r="AK1709" s="17">
        <v>0</v>
      </c>
      <c r="AL1709" s="32">
        <v>0</v>
      </c>
      <c r="AM1709" s="172">
        <v>87.6</v>
      </c>
      <c r="AN1709" s="89"/>
      <c r="AO1709" s="171" t="s">
        <v>521</v>
      </c>
      <c r="AP1709" s="783">
        <v>43100</v>
      </c>
      <c r="AQ1709" s="17" t="s">
        <v>1771</v>
      </c>
      <c r="AR1709" s="174">
        <v>100</v>
      </c>
      <c r="AS1709" s="171"/>
      <c r="AT1709" s="171">
        <v>515</v>
      </c>
      <c r="AU1709" s="255">
        <f t="shared" si="121"/>
        <v>22.787610619469028</v>
      </c>
      <c r="AV1709" s="172" t="s">
        <v>521</v>
      </c>
      <c r="AW1709" s="171">
        <v>1</v>
      </c>
      <c r="AX1709" s="171">
        <v>20</v>
      </c>
      <c r="AY1709" s="171" t="s">
        <v>521</v>
      </c>
      <c r="AZ1709" s="171">
        <v>0</v>
      </c>
      <c r="BA1709" s="175">
        <v>60</v>
      </c>
      <c r="BB1709" s="259"/>
      <c r="BC1709" s="190"/>
      <c r="BD1709" s="171"/>
      <c r="BE1709" s="171"/>
      <c r="BF1709" s="190"/>
    </row>
    <row r="1710" spans="1:58" ht="15" customHeight="1">
      <c r="A1710" s="95">
        <v>1709</v>
      </c>
      <c r="B1710" s="211" t="s">
        <v>2262</v>
      </c>
      <c r="C1710" s="191" t="s">
        <v>2714</v>
      </c>
      <c r="D1710" s="171" t="s">
        <v>256</v>
      </c>
      <c r="E1710" s="463" t="s">
        <v>3377</v>
      </c>
      <c r="F1710" s="171">
        <v>2008</v>
      </c>
      <c r="G1710" s="171">
        <v>359</v>
      </c>
      <c r="H1710" s="172" t="s">
        <v>1738</v>
      </c>
      <c r="I1710" s="173" t="s">
        <v>1743</v>
      </c>
      <c r="J1710" s="212">
        <v>0.36170212765957449</v>
      </c>
      <c r="K1710" s="213">
        <v>3.8297872340425534</v>
      </c>
      <c r="L1710" s="91">
        <f t="shared" si="122"/>
        <v>191.70212765957447</v>
      </c>
      <c r="M1710" s="171">
        <v>470</v>
      </c>
      <c r="N1710" s="171"/>
      <c r="O1710" s="172" t="s">
        <v>12</v>
      </c>
      <c r="P1710" s="92"/>
      <c r="Q1710" s="173" t="s">
        <v>273</v>
      </c>
      <c r="R1710" s="511"/>
      <c r="S1710" s="92"/>
      <c r="T1710" s="214" t="s">
        <v>2306</v>
      </c>
      <c r="U1710" s="89"/>
      <c r="V1710" s="102">
        <v>0</v>
      </c>
      <c r="W1710" s="120">
        <f>(60/M1710)*100</f>
        <v>12.76595744680851</v>
      </c>
      <c r="X1710" s="120">
        <v>0</v>
      </c>
      <c r="Y1710" s="120">
        <v>0</v>
      </c>
      <c r="Z1710" s="120">
        <v>0</v>
      </c>
      <c r="AA1710" s="17">
        <v>0</v>
      </c>
      <c r="AB1710" s="17">
        <v>0</v>
      </c>
      <c r="AC1710" s="17">
        <v>0</v>
      </c>
      <c r="AD1710" s="17">
        <v>0</v>
      </c>
      <c r="AE1710" s="17">
        <v>0</v>
      </c>
      <c r="AF1710" s="17">
        <v>0</v>
      </c>
      <c r="AG1710" s="17">
        <v>0</v>
      </c>
      <c r="AH1710" s="17">
        <v>0</v>
      </c>
      <c r="AI1710" s="17">
        <v>0</v>
      </c>
      <c r="AJ1710" s="17">
        <v>0</v>
      </c>
      <c r="AK1710" s="17">
        <v>0</v>
      </c>
      <c r="AL1710" s="32">
        <v>0</v>
      </c>
      <c r="AM1710" s="172">
        <v>74.7</v>
      </c>
      <c r="AN1710" s="89"/>
      <c r="AO1710" s="171" t="s">
        <v>521</v>
      </c>
      <c r="AP1710" s="783">
        <v>47300</v>
      </c>
      <c r="AQ1710" s="17" t="s">
        <v>1771</v>
      </c>
      <c r="AR1710" s="174">
        <v>100</v>
      </c>
      <c r="AS1710" s="171"/>
      <c r="AT1710" s="171">
        <v>515</v>
      </c>
      <c r="AU1710" s="255">
        <f t="shared" si="121"/>
        <v>22.787610619469028</v>
      </c>
      <c r="AV1710" s="172" t="s">
        <v>521</v>
      </c>
      <c r="AW1710" s="171">
        <v>1</v>
      </c>
      <c r="AX1710" s="171">
        <v>20</v>
      </c>
      <c r="AY1710" s="171" t="s">
        <v>521</v>
      </c>
      <c r="AZ1710" s="171">
        <v>0</v>
      </c>
      <c r="BA1710" s="175">
        <v>60</v>
      </c>
      <c r="BB1710" s="259"/>
      <c r="BC1710" s="190"/>
      <c r="BD1710" s="177"/>
      <c r="BE1710" s="177"/>
      <c r="BF1710" s="178"/>
    </row>
    <row r="1711" spans="1:58" ht="15" customHeight="1">
      <c r="A1711" s="95">
        <v>1710</v>
      </c>
      <c r="B1711" s="211" t="s">
        <v>2263</v>
      </c>
      <c r="C1711" s="191" t="s">
        <v>2714</v>
      </c>
      <c r="D1711" s="171" t="s">
        <v>256</v>
      </c>
      <c r="E1711" s="463" t="s">
        <v>3377</v>
      </c>
      <c r="F1711" s="171">
        <v>2008</v>
      </c>
      <c r="G1711" s="171">
        <v>359</v>
      </c>
      <c r="H1711" s="172" t="s">
        <v>1738</v>
      </c>
      <c r="I1711" s="173" t="s">
        <v>1743</v>
      </c>
      <c r="J1711" s="212">
        <v>0.36170212765957449</v>
      </c>
      <c r="K1711" s="213">
        <v>3.8297872340425534</v>
      </c>
      <c r="L1711" s="91">
        <f t="shared" si="122"/>
        <v>191.70212765957447</v>
      </c>
      <c r="M1711" s="171">
        <v>470</v>
      </c>
      <c r="N1711" s="171"/>
      <c r="O1711" s="172" t="s">
        <v>12</v>
      </c>
      <c r="P1711" s="92"/>
      <c r="Q1711" s="173" t="s">
        <v>273</v>
      </c>
      <c r="R1711" s="92"/>
      <c r="S1711" s="92"/>
      <c r="T1711" s="214" t="s">
        <v>2306</v>
      </c>
      <c r="U1711" s="89"/>
      <c r="V1711" s="102">
        <v>0</v>
      </c>
      <c r="W1711" s="120">
        <f>(60/M1711)*100</f>
        <v>12.76595744680851</v>
      </c>
      <c r="X1711" s="120">
        <v>0</v>
      </c>
      <c r="Y1711" s="120">
        <v>0</v>
      </c>
      <c r="Z1711" s="120">
        <v>0</v>
      </c>
      <c r="AA1711" s="17">
        <v>0</v>
      </c>
      <c r="AB1711" s="17">
        <v>0</v>
      </c>
      <c r="AC1711" s="17">
        <v>0</v>
      </c>
      <c r="AD1711" s="17">
        <v>0</v>
      </c>
      <c r="AE1711" s="17">
        <v>0</v>
      </c>
      <c r="AF1711" s="17">
        <v>0</v>
      </c>
      <c r="AG1711" s="17">
        <v>0</v>
      </c>
      <c r="AH1711" s="17">
        <v>0</v>
      </c>
      <c r="AI1711" s="17">
        <v>0</v>
      </c>
      <c r="AJ1711" s="17">
        <v>0</v>
      </c>
      <c r="AK1711" s="17">
        <v>0</v>
      </c>
      <c r="AL1711" s="32">
        <v>0</v>
      </c>
      <c r="AM1711" s="172">
        <v>79.7</v>
      </c>
      <c r="AN1711" s="89"/>
      <c r="AO1711" s="171" t="s">
        <v>521</v>
      </c>
      <c r="AP1711" s="783">
        <v>45500</v>
      </c>
      <c r="AQ1711" s="17" t="s">
        <v>1771</v>
      </c>
      <c r="AR1711" s="174">
        <v>100</v>
      </c>
      <c r="AS1711" s="171"/>
      <c r="AT1711" s="171">
        <v>515</v>
      </c>
      <c r="AU1711" s="255">
        <f t="shared" si="121"/>
        <v>22.787610619469028</v>
      </c>
      <c r="AV1711" s="172" t="s">
        <v>521</v>
      </c>
      <c r="AW1711" s="171">
        <v>1</v>
      </c>
      <c r="AX1711" s="171">
        <v>20</v>
      </c>
      <c r="AY1711" s="171" t="s">
        <v>521</v>
      </c>
      <c r="AZ1711" s="171">
        <v>0</v>
      </c>
      <c r="BA1711" s="175">
        <v>60</v>
      </c>
      <c r="BB1711" s="259"/>
      <c r="BC1711" s="190"/>
      <c r="BD1711" s="177"/>
      <c r="BE1711" s="177"/>
      <c r="BF1711" s="178"/>
    </row>
    <row r="1712" spans="1:58" ht="15" customHeight="1">
      <c r="A1712" s="95">
        <v>1711</v>
      </c>
      <c r="B1712" s="211" t="s">
        <v>2264</v>
      </c>
      <c r="C1712" s="191" t="s">
        <v>2721</v>
      </c>
      <c r="D1712" s="171" t="s">
        <v>2324</v>
      </c>
      <c r="E1712" s="463" t="s">
        <v>3377</v>
      </c>
      <c r="F1712" s="171">
        <v>2002</v>
      </c>
      <c r="G1712" s="171">
        <v>360</v>
      </c>
      <c r="H1712" s="172" t="s">
        <v>1738</v>
      </c>
      <c r="I1712" s="173" t="s">
        <v>1739</v>
      </c>
      <c r="J1712" s="212">
        <v>0.33003952569169959</v>
      </c>
      <c r="K1712" s="213">
        <v>3.3932806324110674</v>
      </c>
      <c r="L1712" s="91"/>
      <c r="M1712" s="171">
        <v>506</v>
      </c>
      <c r="N1712" s="171"/>
      <c r="O1712" s="172" t="s">
        <v>12</v>
      </c>
      <c r="P1712" s="92"/>
      <c r="Q1712" s="173" t="s">
        <v>523</v>
      </c>
      <c r="R1712" s="171" t="s">
        <v>2726</v>
      </c>
      <c r="S1712" s="92"/>
      <c r="T1712" s="214" t="s">
        <v>2306</v>
      </c>
      <c r="U1712" s="214" t="s">
        <v>2315</v>
      </c>
      <c r="V1712" s="102">
        <v>0</v>
      </c>
      <c r="W1712" s="120">
        <v>0</v>
      </c>
      <c r="X1712" s="120">
        <v>0</v>
      </c>
      <c r="Y1712" s="120">
        <v>0</v>
      </c>
      <c r="Z1712" s="120">
        <v>0</v>
      </c>
      <c r="AA1712" s="17">
        <v>0</v>
      </c>
      <c r="AB1712" s="17">
        <v>0</v>
      </c>
      <c r="AC1712" s="17">
        <v>0</v>
      </c>
      <c r="AD1712" s="17">
        <v>0</v>
      </c>
      <c r="AE1712" s="17">
        <v>0</v>
      </c>
      <c r="AF1712" s="17">
        <v>0</v>
      </c>
      <c r="AG1712" s="17">
        <v>0</v>
      </c>
      <c r="AH1712" s="17">
        <v>0</v>
      </c>
      <c r="AI1712" s="17">
        <v>0</v>
      </c>
      <c r="AJ1712" s="17">
        <v>0</v>
      </c>
      <c r="AK1712" s="17">
        <v>0</v>
      </c>
      <c r="AL1712" s="32">
        <v>0</v>
      </c>
      <c r="AM1712" s="172">
        <v>72</v>
      </c>
      <c r="AN1712" s="89"/>
      <c r="AO1712" s="171" t="s">
        <v>521</v>
      </c>
      <c r="AP1712" s="783" t="s">
        <v>521</v>
      </c>
      <c r="AQ1712" s="17" t="s">
        <v>1744</v>
      </c>
      <c r="AR1712" s="174">
        <v>40</v>
      </c>
      <c r="AS1712" s="171"/>
      <c r="AT1712" s="171">
        <v>1000</v>
      </c>
      <c r="AU1712" s="255">
        <f t="shared" si="121"/>
        <v>9.8039215686274517</v>
      </c>
      <c r="AV1712" s="172">
        <v>99</v>
      </c>
      <c r="AW1712" s="171">
        <v>0</v>
      </c>
      <c r="AX1712" s="171">
        <v>30</v>
      </c>
      <c r="AY1712" s="171">
        <v>30</v>
      </c>
      <c r="AZ1712" s="171">
        <v>0</v>
      </c>
      <c r="BA1712" s="175">
        <v>99</v>
      </c>
      <c r="BB1712" s="259"/>
      <c r="BC1712" s="190"/>
      <c r="BD1712" s="171"/>
      <c r="BE1712" s="171"/>
      <c r="BF1712" s="190"/>
    </row>
    <row r="1713" spans="1:82" ht="15" customHeight="1">
      <c r="A1713" s="95">
        <v>1712</v>
      </c>
      <c r="B1713" s="211" t="s">
        <v>2265</v>
      </c>
      <c r="C1713" s="191" t="s">
        <v>2721</v>
      </c>
      <c r="D1713" s="171" t="s">
        <v>2324</v>
      </c>
      <c r="E1713" s="463" t="s">
        <v>3377</v>
      </c>
      <c r="F1713" s="171">
        <v>2002</v>
      </c>
      <c r="G1713" s="171">
        <v>360</v>
      </c>
      <c r="H1713" s="172" t="s">
        <v>1738</v>
      </c>
      <c r="I1713" s="173" t="s">
        <v>1739</v>
      </c>
      <c r="J1713" s="212">
        <v>0.33003952569169959</v>
      </c>
      <c r="K1713" s="213">
        <v>3.3932806324110674</v>
      </c>
      <c r="L1713" s="91"/>
      <c r="M1713" s="171">
        <v>506</v>
      </c>
      <c r="N1713" s="171"/>
      <c r="O1713" s="172" t="s">
        <v>12</v>
      </c>
      <c r="P1713" s="92"/>
      <c r="Q1713" s="173" t="s">
        <v>523</v>
      </c>
      <c r="R1713" s="171" t="s">
        <v>2726</v>
      </c>
      <c r="S1713" s="92"/>
      <c r="T1713" s="214" t="s">
        <v>2306</v>
      </c>
      <c r="U1713" s="214" t="s">
        <v>2315</v>
      </c>
      <c r="V1713" s="102">
        <v>0</v>
      </c>
      <c r="W1713" s="120">
        <v>0</v>
      </c>
      <c r="X1713" s="120">
        <v>0</v>
      </c>
      <c r="Y1713" s="120">
        <v>0</v>
      </c>
      <c r="Z1713" s="120">
        <v>0</v>
      </c>
      <c r="AA1713" s="17">
        <v>0</v>
      </c>
      <c r="AB1713" s="17">
        <v>0</v>
      </c>
      <c r="AC1713" s="17">
        <v>0</v>
      </c>
      <c r="AD1713" s="17">
        <v>0</v>
      </c>
      <c r="AE1713" s="17">
        <v>0</v>
      </c>
      <c r="AF1713" s="17">
        <v>0</v>
      </c>
      <c r="AG1713" s="17">
        <v>0</v>
      </c>
      <c r="AH1713" s="17">
        <v>0</v>
      </c>
      <c r="AI1713" s="17">
        <v>0</v>
      </c>
      <c r="AJ1713" s="17">
        <v>0</v>
      </c>
      <c r="AK1713" s="17">
        <v>0</v>
      </c>
      <c r="AL1713" s="32">
        <v>0</v>
      </c>
      <c r="AM1713" s="172">
        <v>72</v>
      </c>
      <c r="AN1713" s="89"/>
      <c r="AO1713" s="171" t="s">
        <v>521</v>
      </c>
      <c r="AP1713" s="783" t="s">
        <v>521</v>
      </c>
      <c r="AQ1713" s="17" t="s">
        <v>1744</v>
      </c>
      <c r="AR1713" s="174">
        <v>40</v>
      </c>
      <c r="AS1713" s="171"/>
      <c r="AT1713" s="171">
        <v>1000</v>
      </c>
      <c r="AU1713" s="255">
        <f t="shared" si="121"/>
        <v>9.8039215686274517</v>
      </c>
      <c r="AV1713" s="172">
        <v>99</v>
      </c>
      <c r="AW1713" s="171">
        <v>0</v>
      </c>
      <c r="AX1713" s="171">
        <v>30</v>
      </c>
      <c r="AY1713" s="171">
        <v>30</v>
      </c>
      <c r="AZ1713" s="171">
        <v>0</v>
      </c>
      <c r="BA1713" s="175">
        <v>99</v>
      </c>
      <c r="BB1713" s="259"/>
      <c r="BC1713" s="190"/>
      <c r="BD1713" s="177"/>
      <c r="BE1713" s="177"/>
      <c r="BF1713" s="178"/>
    </row>
    <row r="1714" spans="1:82" ht="15" customHeight="1">
      <c r="A1714" s="95">
        <v>1713</v>
      </c>
      <c r="B1714" s="211" t="s">
        <v>2266</v>
      </c>
      <c r="C1714" s="191" t="s">
        <v>2721</v>
      </c>
      <c r="D1714" s="171" t="s">
        <v>2324</v>
      </c>
      <c r="E1714" s="463" t="s">
        <v>3377</v>
      </c>
      <c r="F1714" s="171">
        <v>2002</v>
      </c>
      <c r="G1714" s="171">
        <v>360</v>
      </c>
      <c r="H1714" s="172" t="s">
        <v>1738</v>
      </c>
      <c r="I1714" s="173" t="s">
        <v>1739</v>
      </c>
      <c r="J1714" s="212">
        <v>0.33003952569169959</v>
      </c>
      <c r="K1714" s="213">
        <v>3.0948616600790513</v>
      </c>
      <c r="L1714" s="91"/>
      <c r="M1714" s="171">
        <v>506</v>
      </c>
      <c r="N1714" s="171"/>
      <c r="O1714" s="172" t="s">
        <v>12</v>
      </c>
      <c r="P1714" s="92"/>
      <c r="Q1714" s="173" t="s">
        <v>523</v>
      </c>
      <c r="R1714" s="171" t="s">
        <v>2726</v>
      </c>
      <c r="S1714" s="92"/>
      <c r="T1714" s="171" t="s">
        <v>2306</v>
      </c>
      <c r="U1714" s="214" t="s">
        <v>2315</v>
      </c>
      <c r="V1714" s="102">
        <v>0</v>
      </c>
      <c r="W1714" s="120">
        <v>0</v>
      </c>
      <c r="X1714" s="120">
        <v>0</v>
      </c>
      <c r="Y1714" s="120">
        <v>0</v>
      </c>
      <c r="Z1714" s="120">
        <v>0</v>
      </c>
      <c r="AA1714" s="17">
        <v>0</v>
      </c>
      <c r="AB1714" s="17">
        <v>0</v>
      </c>
      <c r="AC1714" s="17">
        <v>0</v>
      </c>
      <c r="AD1714" s="17">
        <v>0</v>
      </c>
      <c r="AE1714" s="17">
        <v>0</v>
      </c>
      <c r="AF1714" s="17">
        <v>0</v>
      </c>
      <c r="AG1714" s="17">
        <v>0</v>
      </c>
      <c r="AH1714" s="17">
        <v>0</v>
      </c>
      <c r="AI1714" s="17">
        <v>0</v>
      </c>
      <c r="AJ1714" s="17">
        <v>0</v>
      </c>
      <c r="AK1714" s="17">
        <v>0</v>
      </c>
      <c r="AL1714" s="32">
        <v>0</v>
      </c>
      <c r="AM1714" s="172">
        <v>70.2</v>
      </c>
      <c r="AN1714" s="89"/>
      <c r="AO1714" s="171" t="s">
        <v>521</v>
      </c>
      <c r="AP1714" s="783" t="s">
        <v>521</v>
      </c>
      <c r="AQ1714" s="17" t="s">
        <v>1744</v>
      </c>
      <c r="AR1714" s="174">
        <v>40</v>
      </c>
      <c r="AS1714" s="171"/>
      <c r="AT1714" s="171">
        <v>1000</v>
      </c>
      <c r="AU1714" s="255">
        <f t="shared" si="121"/>
        <v>9.8039215686274517</v>
      </c>
      <c r="AV1714" s="172">
        <v>99</v>
      </c>
      <c r="AW1714" s="171">
        <v>0</v>
      </c>
      <c r="AX1714" s="171">
        <v>30</v>
      </c>
      <c r="AY1714" s="171">
        <v>30</v>
      </c>
      <c r="AZ1714" s="171">
        <v>0</v>
      </c>
      <c r="BA1714" s="175">
        <v>99</v>
      </c>
      <c r="BB1714" s="259"/>
      <c r="BC1714" s="190"/>
      <c r="BD1714" s="177"/>
      <c r="BE1714" s="177"/>
      <c r="BF1714" s="178" t="s">
        <v>2526</v>
      </c>
    </row>
    <row r="1715" spans="1:82" ht="15" customHeight="1">
      <c r="A1715" s="95">
        <v>1714</v>
      </c>
      <c r="B1715" s="211" t="s">
        <v>2267</v>
      </c>
      <c r="C1715" s="191" t="s">
        <v>2721</v>
      </c>
      <c r="D1715" s="171" t="s">
        <v>2324</v>
      </c>
      <c r="E1715" s="463" t="s">
        <v>3377</v>
      </c>
      <c r="F1715" s="171">
        <v>2002</v>
      </c>
      <c r="G1715" s="171">
        <v>360</v>
      </c>
      <c r="H1715" s="172" t="s">
        <v>1738</v>
      </c>
      <c r="I1715" s="173" t="s">
        <v>1739</v>
      </c>
      <c r="J1715" s="212">
        <v>0.33003952569169959</v>
      </c>
      <c r="K1715" s="213">
        <v>3.1837944664031621</v>
      </c>
      <c r="L1715" s="91"/>
      <c r="M1715" s="171">
        <v>506</v>
      </c>
      <c r="N1715" s="171"/>
      <c r="O1715" s="172" t="s">
        <v>12</v>
      </c>
      <c r="P1715" s="92"/>
      <c r="Q1715" s="173" t="s">
        <v>523</v>
      </c>
      <c r="R1715" s="171" t="s">
        <v>2726</v>
      </c>
      <c r="S1715" s="92"/>
      <c r="T1715" s="171" t="s">
        <v>2306</v>
      </c>
      <c r="U1715" s="214" t="s">
        <v>2315</v>
      </c>
      <c r="V1715" s="102">
        <v>0</v>
      </c>
      <c r="W1715" s="120">
        <v>0</v>
      </c>
      <c r="X1715" s="120">
        <v>0</v>
      </c>
      <c r="Y1715" s="120">
        <v>0</v>
      </c>
      <c r="Z1715" s="120">
        <v>0</v>
      </c>
      <c r="AA1715" s="17">
        <v>0</v>
      </c>
      <c r="AB1715" s="17">
        <v>0</v>
      </c>
      <c r="AC1715" s="17">
        <v>0</v>
      </c>
      <c r="AD1715" s="17">
        <v>0</v>
      </c>
      <c r="AE1715" s="17">
        <v>0</v>
      </c>
      <c r="AF1715" s="17">
        <v>0</v>
      </c>
      <c r="AG1715" s="17">
        <v>0</v>
      </c>
      <c r="AH1715" s="17">
        <v>0</v>
      </c>
      <c r="AI1715" s="17">
        <v>0</v>
      </c>
      <c r="AJ1715" s="17">
        <v>0</v>
      </c>
      <c r="AK1715" s="17">
        <v>0</v>
      </c>
      <c r="AL1715" s="32">
        <v>0</v>
      </c>
      <c r="AM1715" s="172">
        <v>70.2</v>
      </c>
      <c r="AN1715" s="89"/>
      <c r="AO1715" s="171" t="s">
        <v>521</v>
      </c>
      <c r="AP1715" s="783" t="s">
        <v>521</v>
      </c>
      <c r="AQ1715" s="17" t="s">
        <v>1744</v>
      </c>
      <c r="AR1715" s="174">
        <v>40</v>
      </c>
      <c r="AS1715" s="171"/>
      <c r="AT1715" s="171">
        <v>1000</v>
      </c>
      <c r="AU1715" s="255">
        <f t="shared" si="121"/>
        <v>9.8039215686274517</v>
      </c>
      <c r="AV1715" s="172">
        <v>99</v>
      </c>
      <c r="AW1715" s="171">
        <v>0</v>
      </c>
      <c r="AX1715" s="171">
        <v>30</v>
      </c>
      <c r="AY1715" s="171">
        <v>30</v>
      </c>
      <c r="AZ1715" s="171">
        <v>0</v>
      </c>
      <c r="BA1715" s="175">
        <v>99</v>
      </c>
      <c r="BB1715" s="259"/>
      <c r="BC1715" s="190"/>
      <c r="BD1715" s="177"/>
      <c r="BE1715" s="177"/>
      <c r="BF1715" s="178" t="s">
        <v>2526</v>
      </c>
    </row>
    <row r="1716" spans="1:82" ht="15" customHeight="1">
      <c r="A1716" s="95">
        <v>1715</v>
      </c>
      <c r="B1716" s="211" t="s">
        <v>2268</v>
      </c>
      <c r="C1716" s="191" t="s">
        <v>2721</v>
      </c>
      <c r="D1716" s="171" t="s">
        <v>2324</v>
      </c>
      <c r="E1716" s="463" t="s">
        <v>3377</v>
      </c>
      <c r="F1716" s="171">
        <v>2002</v>
      </c>
      <c r="G1716" s="171">
        <v>360</v>
      </c>
      <c r="H1716" s="172" t="s">
        <v>1738</v>
      </c>
      <c r="I1716" s="173" t="s">
        <v>1739</v>
      </c>
      <c r="J1716" s="212">
        <v>0.33003952569169959</v>
      </c>
      <c r="K1716" s="213">
        <v>3.2173913043478262</v>
      </c>
      <c r="L1716" s="91"/>
      <c r="M1716" s="171">
        <v>506</v>
      </c>
      <c r="N1716" s="171"/>
      <c r="O1716" s="172" t="s">
        <v>12</v>
      </c>
      <c r="P1716" s="92"/>
      <c r="Q1716" s="173" t="s">
        <v>523</v>
      </c>
      <c r="R1716" s="171" t="s">
        <v>2726</v>
      </c>
      <c r="S1716" s="92"/>
      <c r="T1716" s="171" t="s">
        <v>2306</v>
      </c>
      <c r="U1716" s="214" t="s">
        <v>2315</v>
      </c>
      <c r="V1716" s="102">
        <v>0</v>
      </c>
      <c r="W1716" s="120">
        <v>0</v>
      </c>
      <c r="X1716" s="120">
        <v>0</v>
      </c>
      <c r="Y1716" s="120">
        <v>0</v>
      </c>
      <c r="Z1716" s="120">
        <v>0</v>
      </c>
      <c r="AA1716" s="17">
        <v>0</v>
      </c>
      <c r="AB1716" s="17">
        <v>0</v>
      </c>
      <c r="AC1716" s="17">
        <v>0</v>
      </c>
      <c r="AD1716" s="17">
        <v>0</v>
      </c>
      <c r="AE1716" s="17">
        <v>0</v>
      </c>
      <c r="AF1716" s="17">
        <v>0</v>
      </c>
      <c r="AG1716" s="17">
        <v>0</v>
      </c>
      <c r="AH1716" s="17">
        <v>0</v>
      </c>
      <c r="AI1716" s="17">
        <v>0</v>
      </c>
      <c r="AJ1716" s="17">
        <v>0</v>
      </c>
      <c r="AK1716" s="17">
        <v>0</v>
      </c>
      <c r="AL1716" s="32">
        <v>0</v>
      </c>
      <c r="AM1716" s="172">
        <v>67.8</v>
      </c>
      <c r="AN1716" s="89"/>
      <c r="AO1716" s="171" t="s">
        <v>521</v>
      </c>
      <c r="AP1716" s="783" t="s">
        <v>521</v>
      </c>
      <c r="AQ1716" s="17" t="s">
        <v>1744</v>
      </c>
      <c r="AR1716" s="174">
        <v>40</v>
      </c>
      <c r="AS1716" s="171"/>
      <c r="AT1716" s="171">
        <v>1000</v>
      </c>
      <c r="AU1716" s="255">
        <f t="shared" si="121"/>
        <v>9.8039215686274517</v>
      </c>
      <c r="AV1716" s="172">
        <v>99</v>
      </c>
      <c r="AW1716" s="171">
        <v>0</v>
      </c>
      <c r="AX1716" s="171">
        <v>30</v>
      </c>
      <c r="AY1716" s="171">
        <v>30</v>
      </c>
      <c r="AZ1716" s="171">
        <v>0</v>
      </c>
      <c r="BA1716" s="175">
        <v>99</v>
      </c>
      <c r="BB1716" s="259"/>
      <c r="BC1716" s="190"/>
      <c r="BD1716" s="177"/>
      <c r="BE1716" s="177"/>
      <c r="BF1716" s="178" t="s">
        <v>2526</v>
      </c>
    </row>
    <row r="1717" spans="1:82" ht="15" customHeight="1">
      <c r="A1717" s="95">
        <v>1716</v>
      </c>
      <c r="B1717" s="211" t="s">
        <v>2269</v>
      </c>
      <c r="C1717" s="191" t="s">
        <v>2721</v>
      </c>
      <c r="D1717" s="171" t="s">
        <v>2324</v>
      </c>
      <c r="E1717" s="463" t="s">
        <v>3377</v>
      </c>
      <c r="F1717" s="171">
        <v>2002</v>
      </c>
      <c r="G1717" s="171">
        <v>360</v>
      </c>
      <c r="H1717" s="172" t="s">
        <v>1738</v>
      </c>
      <c r="I1717" s="173" t="s">
        <v>1739</v>
      </c>
      <c r="J1717" s="212">
        <v>0.33003952569169959</v>
      </c>
      <c r="K1717" s="213">
        <v>3.3063241106719365</v>
      </c>
      <c r="L1717" s="91"/>
      <c r="M1717" s="171">
        <v>506</v>
      </c>
      <c r="N1717" s="171"/>
      <c r="O1717" s="172" t="s">
        <v>12</v>
      </c>
      <c r="P1717" s="92"/>
      <c r="Q1717" s="173" t="s">
        <v>523</v>
      </c>
      <c r="R1717" s="171" t="s">
        <v>2726</v>
      </c>
      <c r="S1717" s="92"/>
      <c r="T1717" s="171" t="s">
        <v>2306</v>
      </c>
      <c r="U1717" s="214" t="s">
        <v>2315</v>
      </c>
      <c r="V1717" s="102">
        <v>0</v>
      </c>
      <c r="W1717" s="120">
        <v>0</v>
      </c>
      <c r="X1717" s="120">
        <v>0</v>
      </c>
      <c r="Y1717" s="120">
        <v>0</v>
      </c>
      <c r="Z1717" s="120">
        <v>0</v>
      </c>
      <c r="AA1717" s="17">
        <v>0</v>
      </c>
      <c r="AB1717" s="17">
        <v>0</v>
      </c>
      <c r="AC1717" s="17">
        <v>0</v>
      </c>
      <c r="AD1717" s="17">
        <v>0</v>
      </c>
      <c r="AE1717" s="17">
        <v>0</v>
      </c>
      <c r="AF1717" s="17">
        <v>0</v>
      </c>
      <c r="AG1717" s="17">
        <v>0</v>
      </c>
      <c r="AH1717" s="17">
        <v>0</v>
      </c>
      <c r="AI1717" s="17">
        <v>0</v>
      </c>
      <c r="AJ1717" s="17">
        <v>0</v>
      </c>
      <c r="AK1717" s="17">
        <v>0</v>
      </c>
      <c r="AL1717" s="32">
        <v>0</v>
      </c>
      <c r="AM1717" s="172" t="s">
        <v>521</v>
      </c>
      <c r="AN1717" s="89"/>
      <c r="AO1717" s="171" t="s">
        <v>521</v>
      </c>
      <c r="AP1717" s="783" t="s">
        <v>521</v>
      </c>
      <c r="AQ1717" s="17" t="s">
        <v>1744</v>
      </c>
      <c r="AR1717" s="174">
        <v>40</v>
      </c>
      <c r="AS1717" s="171"/>
      <c r="AT1717" s="171">
        <v>1000</v>
      </c>
      <c r="AU1717" s="255">
        <f t="shared" si="121"/>
        <v>9.8039215686274517</v>
      </c>
      <c r="AV1717" s="172">
        <v>99</v>
      </c>
      <c r="AW1717" s="171">
        <v>0</v>
      </c>
      <c r="AX1717" s="171">
        <v>30</v>
      </c>
      <c r="AY1717" s="171">
        <v>30</v>
      </c>
      <c r="AZ1717" s="171">
        <v>0</v>
      </c>
      <c r="BA1717" s="175">
        <v>99</v>
      </c>
      <c r="BB1717" s="259"/>
      <c r="BC1717" s="190"/>
      <c r="BD1717" s="177"/>
      <c r="BE1717" s="177"/>
      <c r="BF1717" s="178" t="s">
        <v>2526</v>
      </c>
    </row>
    <row r="1718" spans="1:82" ht="15" customHeight="1">
      <c r="A1718" s="95">
        <v>1717</v>
      </c>
      <c r="B1718" s="211" t="s">
        <v>2270</v>
      </c>
      <c r="C1718" s="191" t="s">
        <v>2721</v>
      </c>
      <c r="D1718" s="171" t="s">
        <v>2324</v>
      </c>
      <c r="E1718" s="463" t="s">
        <v>3377</v>
      </c>
      <c r="F1718" s="171">
        <v>2002</v>
      </c>
      <c r="G1718" s="171">
        <v>360</v>
      </c>
      <c r="H1718" s="172" t="s">
        <v>1738</v>
      </c>
      <c r="I1718" s="173" t="s">
        <v>1739</v>
      </c>
      <c r="J1718" s="212">
        <v>0.33003952569169959</v>
      </c>
      <c r="K1718" s="213">
        <v>3.1324110671936758</v>
      </c>
      <c r="L1718" s="91"/>
      <c r="M1718" s="171">
        <v>506</v>
      </c>
      <c r="N1718" s="171"/>
      <c r="O1718" s="172" t="s">
        <v>12</v>
      </c>
      <c r="P1718" s="92"/>
      <c r="Q1718" s="173" t="s">
        <v>523</v>
      </c>
      <c r="R1718" s="171" t="s">
        <v>2726</v>
      </c>
      <c r="S1718" s="92"/>
      <c r="T1718" s="171" t="s">
        <v>2306</v>
      </c>
      <c r="U1718" s="214" t="s">
        <v>2315</v>
      </c>
      <c r="V1718" s="102">
        <v>0</v>
      </c>
      <c r="W1718" s="120">
        <v>0</v>
      </c>
      <c r="X1718" s="120">
        <v>0</v>
      </c>
      <c r="Y1718" s="120">
        <v>0</v>
      </c>
      <c r="Z1718" s="120">
        <v>0</v>
      </c>
      <c r="AA1718" s="17">
        <v>0</v>
      </c>
      <c r="AB1718" s="17">
        <v>0</v>
      </c>
      <c r="AC1718" s="17">
        <v>0</v>
      </c>
      <c r="AD1718" s="17">
        <v>0</v>
      </c>
      <c r="AE1718" s="17">
        <v>0</v>
      </c>
      <c r="AF1718" s="17">
        <v>0</v>
      </c>
      <c r="AG1718" s="17">
        <v>0</v>
      </c>
      <c r="AH1718" s="17">
        <v>0</v>
      </c>
      <c r="AI1718" s="17">
        <v>0</v>
      </c>
      <c r="AJ1718" s="17">
        <v>0</v>
      </c>
      <c r="AK1718" s="17">
        <v>0</v>
      </c>
      <c r="AL1718" s="32">
        <v>0</v>
      </c>
      <c r="AM1718" s="172" t="s">
        <v>521</v>
      </c>
      <c r="AN1718" s="89"/>
      <c r="AO1718" s="171" t="s">
        <v>521</v>
      </c>
      <c r="AP1718" s="783" t="s">
        <v>521</v>
      </c>
      <c r="AQ1718" s="17" t="s">
        <v>1744</v>
      </c>
      <c r="AR1718" s="174">
        <v>40</v>
      </c>
      <c r="AS1718" s="171"/>
      <c r="AT1718" s="171">
        <v>1000</v>
      </c>
      <c r="AU1718" s="255">
        <f t="shared" si="121"/>
        <v>9.8039215686274517</v>
      </c>
      <c r="AV1718" s="172">
        <v>99</v>
      </c>
      <c r="AW1718" s="171">
        <v>0</v>
      </c>
      <c r="AX1718" s="171">
        <v>30</v>
      </c>
      <c r="AY1718" s="171">
        <v>30</v>
      </c>
      <c r="AZ1718" s="171">
        <v>0</v>
      </c>
      <c r="BA1718" s="175">
        <v>99</v>
      </c>
      <c r="BB1718" s="259"/>
      <c r="BC1718" s="190"/>
      <c r="BD1718" s="177"/>
      <c r="BE1718" s="177"/>
      <c r="BF1718" s="178" t="s">
        <v>2526</v>
      </c>
    </row>
    <row r="1719" spans="1:82" s="21" customFormat="1">
      <c r="A1719" s="95">
        <v>1718</v>
      </c>
      <c r="B1719" s="211" t="s">
        <v>2322</v>
      </c>
      <c r="C1719" s="191" t="s">
        <v>2323</v>
      </c>
      <c r="D1719" s="171" t="s">
        <v>2324</v>
      </c>
      <c r="E1719" s="463" t="s">
        <v>3377</v>
      </c>
      <c r="F1719" s="171">
        <v>2001</v>
      </c>
      <c r="G1719" s="171">
        <v>381</v>
      </c>
      <c r="H1719" s="172" t="s">
        <v>1738</v>
      </c>
      <c r="I1719" s="173" t="s">
        <v>1739</v>
      </c>
      <c r="J1719" s="212">
        <v>0.37</v>
      </c>
      <c r="K1719" s="223">
        <v>3.8671171171171173</v>
      </c>
      <c r="L1719" s="170"/>
      <c r="M1719" s="171">
        <v>444</v>
      </c>
      <c r="N1719" s="171"/>
      <c r="O1719" s="172" t="s">
        <v>521</v>
      </c>
      <c r="P1719" s="92"/>
      <c r="Q1719" s="173" t="s">
        <v>521</v>
      </c>
      <c r="R1719" s="511"/>
      <c r="S1719" s="92"/>
      <c r="T1719" s="214" t="s">
        <v>521</v>
      </c>
      <c r="U1719" s="171" t="s">
        <v>521</v>
      </c>
      <c r="V1719" s="102">
        <v>10</v>
      </c>
      <c r="W1719" s="120">
        <v>0</v>
      </c>
      <c r="X1719" s="120">
        <v>0</v>
      </c>
      <c r="Y1719" s="120">
        <v>0</v>
      </c>
      <c r="Z1719" s="120">
        <v>0</v>
      </c>
      <c r="AA1719" s="17">
        <v>0</v>
      </c>
      <c r="AB1719" s="17">
        <v>0</v>
      </c>
      <c r="AC1719" s="17">
        <v>0</v>
      </c>
      <c r="AD1719" s="17">
        <v>0</v>
      </c>
      <c r="AE1719" s="17">
        <v>0</v>
      </c>
      <c r="AF1719" s="17">
        <v>1.5</v>
      </c>
      <c r="AG1719" s="17">
        <v>0</v>
      </c>
      <c r="AH1719" s="17">
        <v>0</v>
      </c>
      <c r="AI1719" s="17">
        <v>0</v>
      </c>
      <c r="AJ1719" s="17">
        <v>0</v>
      </c>
      <c r="AK1719" s="17">
        <v>0</v>
      </c>
      <c r="AL1719" s="32">
        <v>0</v>
      </c>
      <c r="AM1719" s="172" t="s">
        <v>521</v>
      </c>
      <c r="AN1719" s="89"/>
      <c r="AO1719" s="171">
        <v>79</v>
      </c>
      <c r="AP1719" s="783" t="s">
        <v>521</v>
      </c>
      <c r="AQ1719" s="17" t="s">
        <v>1744</v>
      </c>
      <c r="AR1719" s="174">
        <v>40</v>
      </c>
      <c r="AS1719" s="171"/>
      <c r="AT1719" s="171">
        <v>1000</v>
      </c>
      <c r="AU1719" s="255">
        <f t="shared" si="121"/>
        <v>9.8039215686274517</v>
      </c>
      <c r="AV1719" s="172">
        <v>99</v>
      </c>
      <c r="AW1719" s="171">
        <v>0</v>
      </c>
      <c r="AX1719" s="171">
        <v>30</v>
      </c>
      <c r="AY1719" s="171">
        <v>30</v>
      </c>
      <c r="AZ1719" s="171" t="s">
        <v>521</v>
      </c>
      <c r="BA1719" s="175">
        <v>99</v>
      </c>
      <c r="BB1719" s="259"/>
      <c r="BC1719" s="190"/>
      <c r="BD1719" s="177"/>
      <c r="BE1719" s="177"/>
      <c r="BF1719" s="178" t="s">
        <v>2325</v>
      </c>
      <c r="BG1719" s="20"/>
      <c r="BH1719" s="20"/>
      <c r="BI1719" s="20"/>
      <c r="BJ1719" s="20"/>
      <c r="BK1719" s="20"/>
      <c r="BL1719" s="20"/>
      <c r="BM1719" s="20"/>
      <c r="BN1719" s="20"/>
      <c r="BO1719" s="20"/>
      <c r="BP1719" s="20"/>
      <c r="BQ1719" s="20"/>
      <c r="BR1719" s="20"/>
      <c r="BS1719" s="20"/>
      <c r="BT1719" s="20"/>
      <c r="BU1719" s="20"/>
      <c r="BV1719" s="20"/>
      <c r="BW1719" s="20"/>
      <c r="BX1719" s="20"/>
      <c r="BY1719" s="20"/>
      <c r="BZ1719" s="20"/>
      <c r="CA1719" s="20"/>
      <c r="CB1719" s="20"/>
      <c r="CC1719" s="20"/>
      <c r="CD1719" s="20"/>
    </row>
    <row r="1720" spans="1:82" s="1" customFormat="1">
      <c r="A1720" s="95">
        <v>1719</v>
      </c>
      <c r="B1720" s="211" t="s">
        <v>2326</v>
      </c>
      <c r="C1720" s="191" t="s">
        <v>2323</v>
      </c>
      <c r="D1720" s="171" t="s">
        <v>2324</v>
      </c>
      <c r="E1720" s="463" t="s">
        <v>3377</v>
      </c>
      <c r="F1720" s="171">
        <v>2001</v>
      </c>
      <c r="G1720" s="171">
        <v>381</v>
      </c>
      <c r="H1720" s="172" t="s">
        <v>1738</v>
      </c>
      <c r="I1720" s="173" t="s">
        <v>1739</v>
      </c>
      <c r="J1720" s="212">
        <v>0.37</v>
      </c>
      <c r="K1720" s="223">
        <v>2.599099099099099</v>
      </c>
      <c r="L1720" s="170"/>
      <c r="M1720" s="171">
        <v>444</v>
      </c>
      <c r="N1720" s="171"/>
      <c r="O1720" s="172" t="s">
        <v>521</v>
      </c>
      <c r="P1720" s="92"/>
      <c r="Q1720" s="173" t="s">
        <v>521</v>
      </c>
      <c r="R1720" s="511"/>
      <c r="S1720" s="92"/>
      <c r="T1720" s="214" t="s">
        <v>521</v>
      </c>
      <c r="U1720" s="171" t="s">
        <v>521</v>
      </c>
      <c r="V1720" s="102">
        <v>10</v>
      </c>
      <c r="W1720" s="120">
        <v>0</v>
      </c>
      <c r="X1720" s="120">
        <v>0</v>
      </c>
      <c r="Y1720" s="120">
        <v>0</v>
      </c>
      <c r="Z1720" s="120">
        <v>0</v>
      </c>
      <c r="AA1720" s="17">
        <v>0</v>
      </c>
      <c r="AB1720" s="17">
        <v>0</v>
      </c>
      <c r="AC1720" s="17">
        <v>0</v>
      </c>
      <c r="AD1720" s="17">
        <v>0</v>
      </c>
      <c r="AE1720" s="17">
        <v>0</v>
      </c>
      <c r="AF1720" s="17">
        <v>2.2000000000000002</v>
      </c>
      <c r="AG1720" s="17">
        <v>0</v>
      </c>
      <c r="AH1720" s="17">
        <v>0</v>
      </c>
      <c r="AI1720" s="17">
        <v>0</v>
      </c>
      <c r="AJ1720" s="17">
        <v>0</v>
      </c>
      <c r="AK1720" s="17">
        <v>0</v>
      </c>
      <c r="AL1720" s="32">
        <v>0</v>
      </c>
      <c r="AM1720" s="172" t="s">
        <v>521</v>
      </c>
      <c r="AN1720" s="89"/>
      <c r="AO1720" s="171">
        <v>55</v>
      </c>
      <c r="AP1720" s="783" t="s">
        <v>521</v>
      </c>
      <c r="AQ1720" s="17" t="s">
        <v>1744</v>
      </c>
      <c r="AR1720" s="174">
        <v>40</v>
      </c>
      <c r="AS1720" s="171"/>
      <c r="AT1720" s="171">
        <v>1000</v>
      </c>
      <c r="AU1720" s="255">
        <f t="shared" si="121"/>
        <v>9.8039215686274517</v>
      </c>
      <c r="AV1720" s="172">
        <v>99</v>
      </c>
      <c r="AW1720" s="171">
        <v>0</v>
      </c>
      <c r="AX1720" s="171">
        <v>30</v>
      </c>
      <c r="AY1720" s="171">
        <v>30</v>
      </c>
      <c r="AZ1720" s="171" t="s">
        <v>521</v>
      </c>
      <c r="BA1720" s="175">
        <v>99</v>
      </c>
      <c r="BB1720" s="259"/>
      <c r="BC1720" s="190"/>
      <c r="BD1720" s="177"/>
      <c r="BE1720" s="177"/>
      <c r="BF1720" s="178" t="s">
        <v>2327</v>
      </c>
      <c r="BG1720" s="26"/>
      <c r="BH1720" s="26"/>
      <c r="BI1720" s="26"/>
      <c r="BJ1720" s="26"/>
      <c r="BK1720" s="26"/>
      <c r="BL1720" s="26"/>
      <c r="BM1720" s="26"/>
      <c r="BN1720" s="26"/>
      <c r="BO1720" s="26"/>
      <c r="BP1720" s="26"/>
      <c r="BQ1720" s="26"/>
      <c r="BR1720" s="26"/>
      <c r="BS1720" s="26"/>
      <c r="BT1720" s="26"/>
      <c r="BU1720" s="26"/>
      <c r="BV1720" s="26"/>
      <c r="BW1720" s="26"/>
      <c r="BX1720" s="26"/>
      <c r="BY1720" s="26"/>
      <c r="BZ1720" s="26"/>
      <c r="CA1720" s="26"/>
      <c r="CB1720" s="26"/>
      <c r="CC1720" s="26"/>
      <c r="CD1720" s="26"/>
    </row>
    <row r="1721" spans="1:82" s="1" customFormat="1">
      <c r="A1721" s="95">
        <v>1720</v>
      </c>
      <c r="B1721" s="211" t="s">
        <v>2328</v>
      </c>
      <c r="C1721" s="191" t="s">
        <v>2323</v>
      </c>
      <c r="D1721" s="171" t="s">
        <v>2324</v>
      </c>
      <c r="E1721" s="463" t="s">
        <v>3377</v>
      </c>
      <c r="F1721" s="171">
        <v>2001</v>
      </c>
      <c r="G1721" s="171">
        <v>381</v>
      </c>
      <c r="H1721" s="172" t="s">
        <v>1738</v>
      </c>
      <c r="I1721" s="173" t="s">
        <v>1739</v>
      </c>
      <c r="J1721" s="212">
        <v>0.37</v>
      </c>
      <c r="K1721" s="223">
        <v>2.5495495495495497</v>
      </c>
      <c r="L1721" s="170"/>
      <c r="M1721" s="171">
        <v>444</v>
      </c>
      <c r="N1721" s="171"/>
      <c r="O1721" s="172" t="s">
        <v>521</v>
      </c>
      <c r="P1721" s="92"/>
      <c r="Q1721" s="173" t="s">
        <v>521</v>
      </c>
      <c r="R1721" s="92"/>
      <c r="S1721" s="92"/>
      <c r="T1721" s="214" t="s">
        <v>521</v>
      </c>
      <c r="U1721" s="171" t="s">
        <v>521</v>
      </c>
      <c r="V1721" s="102">
        <v>10</v>
      </c>
      <c r="W1721" s="120">
        <v>0</v>
      </c>
      <c r="X1721" s="120">
        <v>0</v>
      </c>
      <c r="Y1721" s="120">
        <v>0</v>
      </c>
      <c r="Z1721" s="120">
        <v>0</v>
      </c>
      <c r="AA1721" s="17">
        <v>0</v>
      </c>
      <c r="AB1721" s="17">
        <v>0</v>
      </c>
      <c r="AC1721" s="17">
        <v>0</v>
      </c>
      <c r="AD1721" s="17">
        <v>0</v>
      </c>
      <c r="AE1721" s="17">
        <v>0</v>
      </c>
      <c r="AF1721" s="17">
        <v>1.8</v>
      </c>
      <c r="AG1721" s="17">
        <v>0</v>
      </c>
      <c r="AH1721" s="17">
        <v>0</v>
      </c>
      <c r="AI1721" s="17">
        <v>0</v>
      </c>
      <c r="AJ1721" s="17">
        <v>0</v>
      </c>
      <c r="AK1721" s="17">
        <v>0</v>
      </c>
      <c r="AL1721" s="32">
        <v>0</v>
      </c>
      <c r="AM1721" s="172" t="s">
        <v>521</v>
      </c>
      <c r="AN1721" s="89"/>
      <c r="AO1721" s="171">
        <v>55</v>
      </c>
      <c r="AP1721" s="783" t="s">
        <v>521</v>
      </c>
      <c r="AQ1721" s="17" t="s">
        <v>1744</v>
      </c>
      <c r="AR1721" s="174">
        <v>40</v>
      </c>
      <c r="AS1721" s="171"/>
      <c r="AT1721" s="171">
        <v>1000</v>
      </c>
      <c r="AU1721" s="255">
        <f t="shared" si="121"/>
        <v>9.8039215686274517</v>
      </c>
      <c r="AV1721" s="172">
        <v>99</v>
      </c>
      <c r="AW1721" s="171">
        <v>0</v>
      </c>
      <c r="AX1721" s="171">
        <v>30</v>
      </c>
      <c r="AY1721" s="171">
        <v>30</v>
      </c>
      <c r="AZ1721" s="171" t="s">
        <v>521</v>
      </c>
      <c r="BA1721" s="175">
        <v>99</v>
      </c>
      <c r="BB1721" s="259"/>
      <c r="BC1721" s="190"/>
      <c r="BD1721" s="177"/>
      <c r="BE1721" s="177"/>
      <c r="BF1721" s="178" t="s">
        <v>2329</v>
      </c>
      <c r="BG1721" s="26"/>
      <c r="BH1721" s="26"/>
      <c r="BI1721" s="26"/>
      <c r="BJ1721" s="26"/>
      <c r="BK1721" s="26"/>
      <c r="BL1721" s="26"/>
      <c r="BM1721" s="26"/>
      <c r="BN1721" s="26"/>
      <c r="BO1721" s="26"/>
      <c r="BP1721" s="26"/>
      <c r="BQ1721" s="26"/>
      <c r="BR1721" s="26"/>
      <c r="BS1721" s="26"/>
      <c r="BT1721" s="26"/>
      <c r="BU1721" s="26"/>
      <c r="BV1721" s="26"/>
      <c r="BW1721" s="26"/>
      <c r="BX1721" s="26"/>
      <c r="BY1721" s="26"/>
      <c r="BZ1721" s="26"/>
      <c r="CA1721" s="26"/>
      <c r="CB1721" s="26"/>
      <c r="CC1721" s="26"/>
      <c r="CD1721" s="26"/>
    </row>
    <row r="1722" spans="1:82" s="1" customFormat="1">
      <c r="A1722" s="95">
        <v>1721</v>
      </c>
      <c r="B1722" s="211" t="s">
        <v>2330</v>
      </c>
      <c r="C1722" s="191" t="s">
        <v>2323</v>
      </c>
      <c r="D1722" s="171" t="s">
        <v>2324</v>
      </c>
      <c r="E1722" s="463" t="s">
        <v>3377</v>
      </c>
      <c r="F1722" s="171">
        <v>2001</v>
      </c>
      <c r="G1722" s="171">
        <v>381</v>
      </c>
      <c r="H1722" s="172" t="s">
        <v>1738</v>
      </c>
      <c r="I1722" s="173" t="s">
        <v>1739</v>
      </c>
      <c r="J1722" s="212">
        <v>0.37</v>
      </c>
      <c r="K1722" s="223">
        <v>3.3896396396396398</v>
      </c>
      <c r="L1722" s="170"/>
      <c r="M1722" s="171">
        <v>444</v>
      </c>
      <c r="N1722" s="171"/>
      <c r="O1722" s="172" t="s">
        <v>521</v>
      </c>
      <c r="P1722" s="92"/>
      <c r="Q1722" s="173" t="s">
        <v>521</v>
      </c>
      <c r="R1722" s="92"/>
      <c r="S1722" s="92"/>
      <c r="T1722" s="214" t="s">
        <v>521</v>
      </c>
      <c r="U1722" s="171" t="s">
        <v>521</v>
      </c>
      <c r="V1722" s="102">
        <v>10</v>
      </c>
      <c r="W1722" s="120">
        <v>0</v>
      </c>
      <c r="X1722" s="120">
        <v>0</v>
      </c>
      <c r="Y1722" s="120">
        <v>0</v>
      </c>
      <c r="Z1722" s="120">
        <v>0</v>
      </c>
      <c r="AA1722" s="17">
        <v>0</v>
      </c>
      <c r="AB1722" s="17">
        <v>0</v>
      </c>
      <c r="AC1722" s="17">
        <v>0</v>
      </c>
      <c r="AD1722" s="17">
        <v>0</v>
      </c>
      <c r="AE1722" s="17">
        <v>0</v>
      </c>
      <c r="AF1722" s="17">
        <v>2</v>
      </c>
      <c r="AG1722" s="17">
        <v>0</v>
      </c>
      <c r="AH1722" s="17">
        <v>0</v>
      </c>
      <c r="AI1722" s="17">
        <v>0</v>
      </c>
      <c r="AJ1722" s="17">
        <v>0</v>
      </c>
      <c r="AK1722" s="17">
        <v>0</v>
      </c>
      <c r="AL1722" s="32">
        <v>0</v>
      </c>
      <c r="AM1722" s="172" t="s">
        <v>521</v>
      </c>
      <c r="AN1722" s="89"/>
      <c r="AO1722" s="171">
        <v>60</v>
      </c>
      <c r="AP1722" s="783" t="s">
        <v>521</v>
      </c>
      <c r="AQ1722" s="17" t="s">
        <v>1744</v>
      </c>
      <c r="AR1722" s="174">
        <v>40</v>
      </c>
      <c r="AS1722" s="171"/>
      <c r="AT1722" s="171">
        <v>1000</v>
      </c>
      <c r="AU1722" s="255">
        <f t="shared" si="121"/>
        <v>9.8039215686274517</v>
      </c>
      <c r="AV1722" s="172">
        <v>99</v>
      </c>
      <c r="AW1722" s="171">
        <v>0</v>
      </c>
      <c r="AX1722" s="171">
        <v>30</v>
      </c>
      <c r="AY1722" s="171">
        <v>30</v>
      </c>
      <c r="AZ1722" s="171" t="s">
        <v>521</v>
      </c>
      <c r="BA1722" s="175">
        <v>99</v>
      </c>
      <c r="BB1722" s="259"/>
      <c r="BC1722" s="190"/>
      <c r="BD1722" s="177"/>
      <c r="BE1722" s="177"/>
      <c r="BF1722" s="178" t="s">
        <v>2331</v>
      </c>
      <c r="BG1722" s="26"/>
      <c r="BH1722" s="26"/>
      <c r="BI1722" s="26"/>
      <c r="BJ1722" s="26"/>
      <c r="BK1722" s="26"/>
      <c r="BL1722" s="26"/>
      <c r="BM1722" s="26"/>
      <c r="BN1722" s="26"/>
      <c r="BO1722" s="26"/>
      <c r="BP1722" s="26"/>
      <c r="BQ1722" s="26"/>
      <c r="BR1722" s="26"/>
      <c r="BS1722" s="26"/>
      <c r="BT1722" s="26"/>
      <c r="BU1722" s="26"/>
      <c r="BV1722" s="26"/>
      <c r="BW1722" s="26"/>
      <c r="BX1722" s="26"/>
      <c r="BY1722" s="26"/>
      <c r="BZ1722" s="26"/>
      <c r="CA1722" s="26"/>
      <c r="CB1722" s="26"/>
      <c r="CC1722" s="26"/>
      <c r="CD1722" s="26"/>
    </row>
    <row r="1723" spans="1:82" s="1" customFormat="1">
      <c r="A1723" s="95">
        <v>1722</v>
      </c>
      <c r="B1723" s="211" t="s">
        <v>2332</v>
      </c>
      <c r="C1723" s="191" t="s">
        <v>2323</v>
      </c>
      <c r="D1723" s="171" t="s">
        <v>2324</v>
      </c>
      <c r="E1723" s="463" t="s">
        <v>3377</v>
      </c>
      <c r="F1723" s="171">
        <v>2001</v>
      </c>
      <c r="G1723" s="171">
        <v>381</v>
      </c>
      <c r="H1723" s="172" t="s">
        <v>1738</v>
      </c>
      <c r="I1723" s="173" t="s">
        <v>1739</v>
      </c>
      <c r="J1723" s="212">
        <v>0.37</v>
      </c>
      <c r="K1723" s="223">
        <v>3.3716216216216215</v>
      </c>
      <c r="L1723" s="170"/>
      <c r="M1723" s="171">
        <v>444</v>
      </c>
      <c r="N1723" s="171"/>
      <c r="O1723" s="172" t="s">
        <v>521</v>
      </c>
      <c r="P1723" s="92"/>
      <c r="Q1723" s="173" t="s">
        <v>521</v>
      </c>
      <c r="R1723" s="92"/>
      <c r="S1723" s="92"/>
      <c r="T1723" s="214" t="s">
        <v>521</v>
      </c>
      <c r="U1723" s="171" t="s">
        <v>521</v>
      </c>
      <c r="V1723" s="102">
        <v>10</v>
      </c>
      <c r="W1723" s="120">
        <v>0</v>
      </c>
      <c r="X1723" s="120">
        <v>0</v>
      </c>
      <c r="Y1723" s="120">
        <v>0</v>
      </c>
      <c r="Z1723" s="120">
        <v>0</v>
      </c>
      <c r="AA1723" s="17">
        <v>0</v>
      </c>
      <c r="AB1723" s="17">
        <v>0</v>
      </c>
      <c r="AC1723" s="17">
        <v>0</v>
      </c>
      <c r="AD1723" s="17">
        <v>0</v>
      </c>
      <c r="AE1723" s="17">
        <v>0</v>
      </c>
      <c r="AF1723" s="17">
        <v>2</v>
      </c>
      <c r="AG1723" s="17">
        <v>0</v>
      </c>
      <c r="AH1723" s="17">
        <v>0</v>
      </c>
      <c r="AI1723" s="17">
        <v>0</v>
      </c>
      <c r="AJ1723" s="17">
        <v>0</v>
      </c>
      <c r="AK1723" s="17">
        <v>0</v>
      </c>
      <c r="AL1723" s="32">
        <v>0</v>
      </c>
      <c r="AM1723" s="172" t="s">
        <v>521</v>
      </c>
      <c r="AN1723" s="89"/>
      <c r="AO1723" s="171">
        <v>59</v>
      </c>
      <c r="AP1723" s="783" t="s">
        <v>521</v>
      </c>
      <c r="AQ1723" s="17" t="s">
        <v>1744</v>
      </c>
      <c r="AR1723" s="174">
        <v>40</v>
      </c>
      <c r="AS1723" s="171"/>
      <c r="AT1723" s="171">
        <v>1000</v>
      </c>
      <c r="AU1723" s="255">
        <f t="shared" si="121"/>
        <v>9.8039215686274517</v>
      </c>
      <c r="AV1723" s="172">
        <v>99</v>
      </c>
      <c r="AW1723" s="171">
        <v>0</v>
      </c>
      <c r="AX1723" s="171">
        <v>30</v>
      </c>
      <c r="AY1723" s="171">
        <v>30</v>
      </c>
      <c r="AZ1723" s="171" t="s">
        <v>521</v>
      </c>
      <c r="BA1723" s="175">
        <v>99</v>
      </c>
      <c r="BB1723" s="259"/>
      <c r="BC1723" s="190"/>
      <c r="BD1723" s="177"/>
      <c r="BE1723" s="177"/>
      <c r="BF1723" s="178" t="s">
        <v>2333</v>
      </c>
      <c r="BG1723" s="26"/>
      <c r="BH1723" s="26"/>
      <c r="BI1723" s="26"/>
      <c r="BJ1723" s="26"/>
      <c r="BK1723" s="26"/>
      <c r="BL1723" s="26"/>
      <c r="BM1723" s="26"/>
      <c r="BN1723" s="26"/>
      <c r="BO1723" s="26"/>
      <c r="BP1723" s="26"/>
      <c r="BQ1723" s="26"/>
      <c r="BR1723" s="26"/>
      <c r="BS1723" s="26"/>
      <c r="BT1723" s="26"/>
      <c r="BU1723" s="26"/>
      <c r="BV1723" s="26"/>
      <c r="BW1723" s="26"/>
      <c r="BX1723" s="26"/>
      <c r="BY1723" s="26"/>
      <c r="BZ1723" s="26"/>
      <c r="CA1723" s="26"/>
      <c r="CB1723" s="26"/>
      <c r="CC1723" s="26"/>
      <c r="CD1723" s="26"/>
    </row>
    <row r="1724" spans="1:82" s="1" customFormat="1">
      <c r="A1724" s="95">
        <v>1723</v>
      </c>
      <c r="B1724" s="211" t="s">
        <v>2334</v>
      </c>
      <c r="C1724" s="191" t="s">
        <v>2335</v>
      </c>
      <c r="D1724" s="171" t="s">
        <v>1747</v>
      </c>
      <c r="E1724" s="463" t="s">
        <v>3377</v>
      </c>
      <c r="F1724" s="171">
        <v>2001</v>
      </c>
      <c r="G1724" s="89"/>
      <c r="H1724" s="172" t="s">
        <v>1745</v>
      </c>
      <c r="I1724" s="173" t="s">
        <v>1739</v>
      </c>
      <c r="J1724" s="212">
        <v>0.35</v>
      </c>
      <c r="K1724" s="213">
        <v>0</v>
      </c>
      <c r="L1724" s="91"/>
      <c r="M1724" s="171" t="s">
        <v>521</v>
      </c>
      <c r="N1724" s="171"/>
      <c r="O1724" s="172" t="s">
        <v>521</v>
      </c>
      <c r="P1724" s="92"/>
      <c r="Q1724" s="173" t="s">
        <v>521</v>
      </c>
      <c r="R1724" s="92"/>
      <c r="S1724" s="92"/>
      <c r="T1724" s="214" t="s">
        <v>521</v>
      </c>
      <c r="U1724" s="171" t="s">
        <v>521</v>
      </c>
      <c r="V1724" s="102">
        <v>0</v>
      </c>
      <c r="W1724" s="120">
        <v>0</v>
      </c>
      <c r="X1724" s="120">
        <v>0</v>
      </c>
      <c r="Y1724" s="120">
        <v>0</v>
      </c>
      <c r="Z1724" s="120">
        <v>0</v>
      </c>
      <c r="AA1724" s="17">
        <v>0</v>
      </c>
      <c r="AB1724" s="17">
        <v>0</v>
      </c>
      <c r="AC1724" s="17">
        <v>0</v>
      </c>
      <c r="AD1724" s="17">
        <v>0</v>
      </c>
      <c r="AE1724" s="17">
        <v>0</v>
      </c>
      <c r="AF1724" s="17">
        <v>0</v>
      </c>
      <c r="AG1724" s="17">
        <v>0</v>
      </c>
      <c r="AH1724" s="17">
        <v>0</v>
      </c>
      <c r="AI1724" s="17">
        <v>0</v>
      </c>
      <c r="AJ1724" s="17">
        <v>0</v>
      </c>
      <c r="AK1724" s="17">
        <v>0</v>
      </c>
      <c r="AL1724" s="32">
        <v>0</v>
      </c>
      <c r="AM1724" s="172" t="s">
        <v>521</v>
      </c>
      <c r="AN1724" s="89"/>
      <c r="AO1724" s="171" t="s">
        <v>521</v>
      </c>
      <c r="AP1724" s="173" t="s">
        <v>521</v>
      </c>
      <c r="AQ1724" s="17" t="s">
        <v>2336</v>
      </c>
      <c r="AR1724" s="174">
        <v>11</v>
      </c>
      <c r="AS1724" s="171"/>
      <c r="AT1724" s="171">
        <v>300</v>
      </c>
      <c r="AU1724" s="255">
        <f>(AR1724*AT1724)/((2*AT1724)+(2*AR1724))</f>
        <v>5.305466237942122</v>
      </c>
      <c r="AV1724" s="172">
        <v>99</v>
      </c>
      <c r="AW1724" s="171">
        <v>0</v>
      </c>
      <c r="AX1724" s="171">
        <v>30</v>
      </c>
      <c r="AY1724" s="171">
        <v>30</v>
      </c>
      <c r="AZ1724" s="171" t="s">
        <v>521</v>
      </c>
      <c r="BA1724" s="175">
        <v>99</v>
      </c>
      <c r="BB1724" s="259"/>
      <c r="BC1724" s="190"/>
      <c r="BD1724" s="177"/>
      <c r="BE1724" s="177"/>
      <c r="BF1724" s="178" t="s">
        <v>2337</v>
      </c>
      <c r="BG1724" s="26"/>
      <c r="BH1724" s="26"/>
      <c r="BI1724" s="26"/>
      <c r="BJ1724" s="26"/>
      <c r="BK1724" s="26"/>
      <c r="BL1724" s="26"/>
      <c r="BM1724" s="26"/>
      <c r="BN1724" s="26"/>
      <c r="BO1724" s="26"/>
      <c r="BP1724" s="26"/>
      <c r="BQ1724" s="26"/>
      <c r="BR1724" s="26"/>
      <c r="BS1724" s="26"/>
      <c r="BT1724" s="26"/>
      <c r="BU1724" s="26"/>
      <c r="BV1724" s="26"/>
      <c r="BW1724" s="26"/>
      <c r="BX1724" s="26"/>
      <c r="BY1724" s="26"/>
      <c r="BZ1724" s="26"/>
      <c r="CA1724" s="26"/>
      <c r="CB1724" s="26"/>
      <c r="CC1724" s="26"/>
      <c r="CD1724" s="26"/>
    </row>
    <row r="1725" spans="1:82" s="1" customFormat="1">
      <c r="A1725" s="95">
        <v>1724</v>
      </c>
      <c r="B1725" s="211" t="s">
        <v>2338</v>
      </c>
      <c r="C1725" s="191" t="s">
        <v>2335</v>
      </c>
      <c r="D1725" s="171" t="s">
        <v>1747</v>
      </c>
      <c r="E1725" s="463" t="s">
        <v>3377</v>
      </c>
      <c r="F1725" s="171">
        <v>2001</v>
      </c>
      <c r="G1725" s="89"/>
      <c r="H1725" s="172" t="s">
        <v>1745</v>
      </c>
      <c r="I1725" s="173" t="s">
        <v>1739</v>
      </c>
      <c r="J1725" s="212">
        <v>0.35</v>
      </c>
      <c r="K1725" s="213">
        <v>0</v>
      </c>
      <c r="L1725" s="91"/>
      <c r="M1725" s="171" t="s">
        <v>521</v>
      </c>
      <c r="N1725" s="171"/>
      <c r="O1725" s="172" t="s">
        <v>521</v>
      </c>
      <c r="P1725" s="92"/>
      <c r="Q1725" s="173" t="s">
        <v>521</v>
      </c>
      <c r="R1725" s="92"/>
      <c r="S1725" s="92"/>
      <c r="T1725" s="214" t="s">
        <v>521</v>
      </c>
      <c r="U1725" s="171" t="s">
        <v>521</v>
      </c>
      <c r="V1725" s="102">
        <v>0</v>
      </c>
      <c r="W1725" s="120">
        <v>0</v>
      </c>
      <c r="X1725" s="120">
        <v>0</v>
      </c>
      <c r="Y1725" s="120">
        <v>0</v>
      </c>
      <c r="Z1725" s="120">
        <v>0</v>
      </c>
      <c r="AA1725" s="17">
        <v>0</v>
      </c>
      <c r="AB1725" s="17">
        <v>0</v>
      </c>
      <c r="AC1725" s="17">
        <v>0</v>
      </c>
      <c r="AD1725" s="17">
        <v>0</v>
      </c>
      <c r="AE1725" s="17">
        <v>0</v>
      </c>
      <c r="AF1725" s="17">
        <v>0</v>
      </c>
      <c r="AG1725" s="17">
        <v>0</v>
      </c>
      <c r="AH1725" s="17">
        <v>0</v>
      </c>
      <c r="AI1725" s="17">
        <v>0</v>
      </c>
      <c r="AJ1725" s="17">
        <v>0</v>
      </c>
      <c r="AK1725" s="17">
        <v>0</v>
      </c>
      <c r="AL1725" s="32">
        <v>0</v>
      </c>
      <c r="AM1725" s="172" t="s">
        <v>521</v>
      </c>
      <c r="AN1725" s="89"/>
      <c r="AO1725" s="171" t="s">
        <v>521</v>
      </c>
      <c r="AP1725" s="173" t="s">
        <v>521</v>
      </c>
      <c r="AQ1725" s="17" t="s">
        <v>2336</v>
      </c>
      <c r="AR1725" s="174">
        <v>11</v>
      </c>
      <c r="AS1725" s="171"/>
      <c r="AT1725" s="171">
        <v>300</v>
      </c>
      <c r="AU1725" s="255">
        <f>(AR1725*AT1725)/((2*AT1725)+(2*AR1725))</f>
        <v>5.305466237942122</v>
      </c>
      <c r="AV1725" s="172">
        <v>99</v>
      </c>
      <c r="AW1725" s="171">
        <v>0</v>
      </c>
      <c r="AX1725" s="171">
        <v>30</v>
      </c>
      <c r="AY1725" s="171">
        <v>30</v>
      </c>
      <c r="AZ1725" s="171" t="s">
        <v>521</v>
      </c>
      <c r="BA1725" s="175">
        <v>99</v>
      </c>
      <c r="BB1725" s="259"/>
      <c r="BC1725" s="190"/>
      <c r="BD1725" s="177"/>
      <c r="BE1725" s="177"/>
      <c r="BF1725" s="178" t="s">
        <v>2339</v>
      </c>
      <c r="BG1725" s="26"/>
      <c r="BH1725" s="26"/>
      <c r="BI1725" s="26"/>
      <c r="BJ1725" s="26"/>
      <c r="BK1725" s="26"/>
      <c r="BL1725" s="26"/>
      <c r="BM1725" s="26"/>
      <c r="BN1725" s="26"/>
      <c r="BO1725" s="26"/>
      <c r="BP1725" s="26"/>
      <c r="BQ1725" s="26"/>
      <c r="BR1725" s="26"/>
      <c r="BS1725" s="26"/>
      <c r="BT1725" s="26"/>
      <c r="BU1725" s="26"/>
      <c r="BV1725" s="26"/>
      <c r="BW1725" s="26"/>
      <c r="BX1725" s="26"/>
      <c r="BY1725" s="26"/>
      <c r="BZ1725" s="26"/>
      <c r="CA1725" s="26"/>
      <c r="CB1725" s="26"/>
      <c r="CC1725" s="26"/>
      <c r="CD1725" s="26"/>
    </row>
    <row r="1726" spans="1:82" s="1" customFormat="1">
      <c r="A1726" s="95">
        <v>1725</v>
      </c>
      <c r="B1726" s="211" t="s">
        <v>2340</v>
      </c>
      <c r="C1726" s="191" t="s">
        <v>2335</v>
      </c>
      <c r="D1726" s="171" t="s">
        <v>1747</v>
      </c>
      <c r="E1726" s="463" t="s">
        <v>3377</v>
      </c>
      <c r="F1726" s="171">
        <v>2001</v>
      </c>
      <c r="G1726" s="89"/>
      <c r="H1726" s="172" t="s">
        <v>1745</v>
      </c>
      <c r="I1726" s="173" t="s">
        <v>1739</v>
      </c>
      <c r="J1726" s="212">
        <v>0.35</v>
      </c>
      <c r="K1726" s="213">
        <v>0</v>
      </c>
      <c r="L1726" s="91"/>
      <c r="M1726" s="171" t="s">
        <v>521</v>
      </c>
      <c r="N1726" s="171"/>
      <c r="O1726" s="172" t="s">
        <v>521</v>
      </c>
      <c r="P1726" s="92"/>
      <c r="Q1726" s="173" t="s">
        <v>521</v>
      </c>
      <c r="R1726" s="92"/>
      <c r="S1726" s="92"/>
      <c r="T1726" s="214" t="s">
        <v>521</v>
      </c>
      <c r="U1726" s="171" t="s">
        <v>521</v>
      </c>
      <c r="V1726" s="102">
        <v>0</v>
      </c>
      <c r="W1726" s="120">
        <v>0</v>
      </c>
      <c r="X1726" s="120">
        <v>0</v>
      </c>
      <c r="Y1726" s="120">
        <v>0</v>
      </c>
      <c r="Z1726" s="120">
        <v>0</v>
      </c>
      <c r="AA1726" s="17">
        <v>0</v>
      </c>
      <c r="AB1726" s="17">
        <v>0</v>
      </c>
      <c r="AC1726" s="17">
        <v>0</v>
      </c>
      <c r="AD1726" s="17">
        <v>0</v>
      </c>
      <c r="AE1726" s="17">
        <v>0</v>
      </c>
      <c r="AF1726" s="17">
        <v>0</v>
      </c>
      <c r="AG1726" s="17">
        <v>0</v>
      </c>
      <c r="AH1726" s="17">
        <v>0</v>
      </c>
      <c r="AI1726" s="17">
        <v>0</v>
      </c>
      <c r="AJ1726" s="17">
        <v>0</v>
      </c>
      <c r="AK1726" s="17">
        <v>0</v>
      </c>
      <c r="AL1726" s="32">
        <v>0</v>
      </c>
      <c r="AM1726" s="172" t="s">
        <v>521</v>
      </c>
      <c r="AN1726" s="89"/>
      <c r="AO1726" s="171" t="s">
        <v>521</v>
      </c>
      <c r="AP1726" s="173" t="s">
        <v>521</v>
      </c>
      <c r="AQ1726" s="17" t="s">
        <v>2336</v>
      </c>
      <c r="AR1726" s="174">
        <v>11</v>
      </c>
      <c r="AS1726" s="171"/>
      <c r="AT1726" s="171">
        <v>300</v>
      </c>
      <c r="AU1726" s="255">
        <f>(AR1726*AT1726)/((2*AT1726)+(2*AR1726))</f>
        <v>5.305466237942122</v>
      </c>
      <c r="AV1726" s="172">
        <v>99</v>
      </c>
      <c r="AW1726" s="171">
        <v>0</v>
      </c>
      <c r="AX1726" s="171">
        <v>30</v>
      </c>
      <c r="AY1726" s="171">
        <v>30</v>
      </c>
      <c r="AZ1726" s="171" t="s">
        <v>521</v>
      </c>
      <c r="BA1726" s="175">
        <v>99</v>
      </c>
      <c r="BB1726" s="259"/>
      <c r="BC1726" s="224"/>
      <c r="BD1726" s="225"/>
      <c r="BE1726" s="225"/>
      <c r="BF1726" s="178" t="s">
        <v>2341</v>
      </c>
      <c r="BG1726" s="26"/>
      <c r="BH1726" s="26"/>
      <c r="BI1726" s="26"/>
      <c r="BJ1726" s="26"/>
      <c r="BK1726" s="26"/>
      <c r="BL1726" s="26"/>
      <c r="BM1726" s="26"/>
      <c r="BN1726" s="26"/>
      <c r="BO1726" s="26"/>
      <c r="BP1726" s="26"/>
      <c r="BQ1726" s="26"/>
      <c r="BR1726" s="26"/>
      <c r="BS1726" s="26"/>
      <c r="BT1726" s="26"/>
      <c r="BU1726" s="26"/>
      <c r="BV1726" s="26"/>
      <c r="BW1726" s="26"/>
      <c r="BX1726" s="26"/>
      <c r="BY1726" s="26"/>
      <c r="BZ1726" s="26"/>
      <c r="CA1726" s="26"/>
      <c r="CB1726" s="26"/>
      <c r="CC1726" s="26"/>
      <c r="CD1726" s="26"/>
    </row>
    <row r="1727" spans="1:82" s="1" customFormat="1">
      <c r="A1727" s="95">
        <v>1726</v>
      </c>
      <c r="B1727" s="211" t="s">
        <v>2342</v>
      </c>
      <c r="C1727" s="191" t="s">
        <v>2335</v>
      </c>
      <c r="D1727" s="171" t="s">
        <v>1747</v>
      </c>
      <c r="E1727" s="463" t="s">
        <v>3377</v>
      </c>
      <c r="F1727" s="171">
        <v>2001</v>
      </c>
      <c r="G1727" s="89"/>
      <c r="H1727" s="172" t="s">
        <v>1745</v>
      </c>
      <c r="I1727" s="173" t="s">
        <v>1739</v>
      </c>
      <c r="J1727" s="212">
        <v>0.35</v>
      </c>
      <c r="K1727" s="213">
        <v>0</v>
      </c>
      <c r="L1727" s="91"/>
      <c r="M1727" s="171" t="s">
        <v>521</v>
      </c>
      <c r="N1727" s="171"/>
      <c r="O1727" s="172" t="s">
        <v>521</v>
      </c>
      <c r="P1727" s="92"/>
      <c r="Q1727" s="173" t="s">
        <v>521</v>
      </c>
      <c r="R1727" s="92"/>
      <c r="S1727" s="92"/>
      <c r="T1727" s="214" t="s">
        <v>521</v>
      </c>
      <c r="U1727" s="171" t="s">
        <v>521</v>
      </c>
      <c r="V1727" s="102">
        <v>0</v>
      </c>
      <c r="W1727" s="120">
        <v>0</v>
      </c>
      <c r="X1727" s="120">
        <v>0</v>
      </c>
      <c r="Y1727" s="120">
        <v>0</v>
      </c>
      <c r="Z1727" s="120">
        <v>0</v>
      </c>
      <c r="AA1727" s="17">
        <v>0</v>
      </c>
      <c r="AB1727" s="17">
        <v>0</v>
      </c>
      <c r="AC1727" s="17">
        <v>0</v>
      </c>
      <c r="AD1727" s="17">
        <v>0</v>
      </c>
      <c r="AE1727" s="17">
        <v>0</v>
      </c>
      <c r="AF1727" s="17">
        <v>0</v>
      </c>
      <c r="AG1727" s="17">
        <v>0</v>
      </c>
      <c r="AH1727" s="17">
        <v>0</v>
      </c>
      <c r="AI1727" s="17">
        <v>0</v>
      </c>
      <c r="AJ1727" s="17">
        <v>0</v>
      </c>
      <c r="AK1727" s="17">
        <v>0</v>
      </c>
      <c r="AL1727" s="32">
        <v>0</v>
      </c>
      <c r="AM1727" s="172" t="s">
        <v>521</v>
      </c>
      <c r="AN1727" s="89"/>
      <c r="AO1727" s="171" t="s">
        <v>521</v>
      </c>
      <c r="AP1727" s="173" t="s">
        <v>521</v>
      </c>
      <c r="AQ1727" s="17" t="s">
        <v>2336</v>
      </c>
      <c r="AR1727" s="174">
        <v>11</v>
      </c>
      <c r="AS1727" s="171"/>
      <c r="AT1727" s="171">
        <v>300</v>
      </c>
      <c r="AU1727" s="255">
        <f>(AR1727*AT1727)/((2*AT1727)+(2*AR1727))</f>
        <v>5.305466237942122</v>
      </c>
      <c r="AV1727" s="172">
        <v>99</v>
      </c>
      <c r="AW1727" s="171">
        <v>0</v>
      </c>
      <c r="AX1727" s="171">
        <v>30</v>
      </c>
      <c r="AY1727" s="171">
        <v>30</v>
      </c>
      <c r="AZ1727" s="171" t="s">
        <v>521</v>
      </c>
      <c r="BA1727" s="175">
        <v>99</v>
      </c>
      <c r="BB1727" s="259"/>
      <c r="BC1727" s="224"/>
      <c r="BD1727" s="225"/>
      <c r="BE1727" s="225"/>
      <c r="BF1727" s="178" t="s">
        <v>2343</v>
      </c>
      <c r="BG1727" s="26"/>
      <c r="BH1727" s="26"/>
      <c r="BI1727" s="26"/>
      <c r="BJ1727" s="26"/>
      <c r="BK1727" s="26"/>
      <c r="BL1727" s="26"/>
      <c r="BM1727" s="26"/>
      <c r="BN1727" s="26"/>
      <c r="BO1727" s="26"/>
      <c r="BP1727" s="26"/>
      <c r="BQ1727" s="26"/>
      <c r="BR1727" s="26"/>
      <c r="BS1727" s="26"/>
      <c r="BT1727" s="26"/>
      <c r="BU1727" s="26"/>
      <c r="BV1727" s="26"/>
      <c r="BW1727" s="26"/>
      <c r="BX1727" s="26"/>
      <c r="BY1727" s="26"/>
      <c r="BZ1727" s="26"/>
      <c r="CA1727" s="26"/>
      <c r="CB1727" s="26"/>
      <c r="CC1727" s="26"/>
      <c r="CD1727" s="26"/>
    </row>
    <row r="1728" spans="1:82" s="1" customFormat="1">
      <c r="A1728" s="95">
        <v>1727</v>
      </c>
      <c r="B1728" s="211" t="s">
        <v>2344</v>
      </c>
      <c r="C1728" s="191" t="s">
        <v>2345</v>
      </c>
      <c r="D1728" s="171" t="s">
        <v>445</v>
      </c>
      <c r="E1728" s="463" t="s">
        <v>3377</v>
      </c>
      <c r="F1728" s="171">
        <v>2008</v>
      </c>
      <c r="G1728" s="171">
        <v>382</v>
      </c>
      <c r="H1728" s="172" t="s">
        <v>1738</v>
      </c>
      <c r="I1728" s="173" t="s">
        <v>1739</v>
      </c>
      <c r="J1728" s="226">
        <v>0.34</v>
      </c>
      <c r="K1728" s="223">
        <v>4</v>
      </c>
      <c r="L1728" s="170"/>
      <c r="M1728" s="171" t="s">
        <v>521</v>
      </c>
      <c r="N1728" s="171"/>
      <c r="O1728" s="227" t="s">
        <v>12</v>
      </c>
      <c r="P1728" s="89"/>
      <c r="Q1728" s="173" t="s">
        <v>2346</v>
      </c>
      <c r="R1728" s="512" t="s">
        <v>2729</v>
      </c>
      <c r="S1728" s="92"/>
      <c r="T1728" s="92"/>
      <c r="U1728" s="214" t="s">
        <v>3345</v>
      </c>
      <c r="V1728" s="102">
        <v>0</v>
      </c>
      <c r="W1728" s="120">
        <v>0</v>
      </c>
      <c r="X1728" s="120">
        <v>0</v>
      </c>
      <c r="Y1728" s="120">
        <v>0</v>
      </c>
      <c r="Z1728" s="120">
        <v>0</v>
      </c>
      <c r="AA1728" s="17">
        <v>0</v>
      </c>
      <c r="AB1728" s="17">
        <v>0</v>
      </c>
      <c r="AC1728" s="17">
        <v>0</v>
      </c>
      <c r="AD1728" s="17">
        <v>0</v>
      </c>
      <c r="AE1728" s="17">
        <v>0</v>
      </c>
      <c r="AF1728" s="72">
        <v>3.3600000000000003</v>
      </c>
      <c r="AG1728" s="17">
        <v>0</v>
      </c>
      <c r="AH1728" s="17">
        <v>0</v>
      </c>
      <c r="AI1728" s="17">
        <v>0</v>
      </c>
      <c r="AJ1728" s="17">
        <v>0</v>
      </c>
      <c r="AK1728" s="17">
        <v>0</v>
      </c>
      <c r="AL1728" s="32">
        <v>0</v>
      </c>
      <c r="AM1728" s="172" t="s">
        <v>521</v>
      </c>
      <c r="AN1728" s="89"/>
      <c r="AO1728" s="171">
        <v>50</v>
      </c>
      <c r="AP1728" s="173">
        <v>31600</v>
      </c>
      <c r="AQ1728" s="17" t="s">
        <v>2348</v>
      </c>
      <c r="AR1728" s="174">
        <v>200</v>
      </c>
      <c r="AS1728" s="171"/>
      <c r="AT1728" s="171">
        <v>1000</v>
      </c>
      <c r="AU1728" s="255">
        <f>IF(ISBLANK(AS1728),(AR1728*AT1728)/((4*AT1728)+(2*AR1728)),AR1728*AS1728*AT1728/2/(AR1728*AS1728+AR1728*AT1728+AS1728*AT1728))</f>
        <v>45.454545454545453</v>
      </c>
      <c r="AV1728" s="172">
        <v>99</v>
      </c>
      <c r="AW1728" s="171">
        <v>0</v>
      </c>
      <c r="AX1728" s="171">
        <v>25</v>
      </c>
      <c r="AY1728" s="171">
        <v>25</v>
      </c>
      <c r="AZ1728" s="171" t="s">
        <v>521</v>
      </c>
      <c r="BA1728" s="175">
        <v>99</v>
      </c>
      <c r="BB1728" s="259"/>
      <c r="BC1728" s="224"/>
      <c r="BD1728" s="225"/>
      <c r="BE1728" s="225"/>
      <c r="BF1728" s="178" t="s">
        <v>2349</v>
      </c>
      <c r="BG1728" s="26"/>
      <c r="BH1728" s="26"/>
      <c r="BI1728" s="26"/>
      <c r="BJ1728" s="26"/>
      <c r="BK1728" s="26"/>
      <c r="BL1728" s="26"/>
      <c r="BM1728" s="26"/>
      <c r="BN1728" s="26"/>
      <c r="BO1728" s="26"/>
      <c r="BP1728" s="26"/>
      <c r="BQ1728" s="26"/>
      <c r="BR1728" s="26"/>
      <c r="BS1728" s="26"/>
      <c r="BT1728" s="26"/>
      <c r="BU1728" s="26"/>
      <c r="BV1728" s="26"/>
      <c r="BW1728" s="26"/>
      <c r="BX1728" s="26"/>
      <c r="BY1728" s="26"/>
      <c r="BZ1728" s="26"/>
      <c r="CA1728" s="26"/>
      <c r="CB1728" s="26"/>
      <c r="CC1728" s="26"/>
      <c r="CD1728" s="26"/>
    </row>
    <row r="1729" spans="1:82" s="1" customFormat="1">
      <c r="A1729" s="95">
        <v>1728</v>
      </c>
      <c r="B1729" s="211" t="s">
        <v>2350</v>
      </c>
      <c r="C1729" s="191" t="s">
        <v>2345</v>
      </c>
      <c r="D1729" s="171" t="s">
        <v>445</v>
      </c>
      <c r="E1729" s="463" t="s">
        <v>3377</v>
      </c>
      <c r="F1729" s="171">
        <v>2008</v>
      </c>
      <c r="G1729" s="171">
        <v>382</v>
      </c>
      <c r="H1729" s="172" t="s">
        <v>1738</v>
      </c>
      <c r="I1729" s="173" t="s">
        <v>1739</v>
      </c>
      <c r="J1729" s="212">
        <v>0.34</v>
      </c>
      <c r="K1729" s="223">
        <v>4</v>
      </c>
      <c r="L1729" s="170"/>
      <c r="M1729" s="171" t="s">
        <v>521</v>
      </c>
      <c r="N1729" s="171"/>
      <c r="O1729" s="227" t="s">
        <v>12</v>
      </c>
      <c r="P1729" s="89"/>
      <c r="Q1729" s="173" t="s">
        <v>2346</v>
      </c>
      <c r="R1729" s="512" t="s">
        <v>2729</v>
      </c>
      <c r="S1729" s="92"/>
      <c r="T1729" s="92"/>
      <c r="U1729" s="214" t="s">
        <v>3345</v>
      </c>
      <c r="V1729" s="102">
        <v>0</v>
      </c>
      <c r="W1729" s="120">
        <v>0</v>
      </c>
      <c r="X1729" s="120">
        <v>0</v>
      </c>
      <c r="Y1729" s="120">
        <v>0</v>
      </c>
      <c r="Z1729" s="120">
        <v>0</v>
      </c>
      <c r="AA1729" s="17">
        <v>0</v>
      </c>
      <c r="AB1729" s="17">
        <v>0</v>
      </c>
      <c r="AC1729" s="17">
        <v>0</v>
      </c>
      <c r="AD1729" s="17">
        <v>0</v>
      </c>
      <c r="AE1729" s="17">
        <v>0</v>
      </c>
      <c r="AF1729" s="72">
        <v>4</v>
      </c>
      <c r="AG1729" s="17">
        <v>0</v>
      </c>
      <c r="AH1729" s="17">
        <v>0</v>
      </c>
      <c r="AI1729" s="17">
        <v>0</v>
      </c>
      <c r="AJ1729" s="17">
        <v>0</v>
      </c>
      <c r="AK1729" s="17">
        <v>0</v>
      </c>
      <c r="AL1729" s="32">
        <v>0</v>
      </c>
      <c r="AM1729" s="172" t="s">
        <v>521</v>
      </c>
      <c r="AN1729" s="89"/>
      <c r="AO1729" s="171">
        <v>50</v>
      </c>
      <c r="AP1729" s="173">
        <v>31200</v>
      </c>
      <c r="AQ1729" s="17" t="s">
        <v>2348</v>
      </c>
      <c r="AR1729" s="174">
        <v>200</v>
      </c>
      <c r="AS1729" s="171"/>
      <c r="AT1729" s="171">
        <v>1000</v>
      </c>
      <c r="AU1729" s="255">
        <f>IF(ISBLANK(AS1729),(AR1729*AT1729)/((4*AT1729)+(2*AR1729)),AR1729*AS1729*AT1729/2/(AR1729*AS1729+AR1729*AT1729+AS1729*AT1729))</f>
        <v>45.454545454545453</v>
      </c>
      <c r="AV1729" s="172">
        <v>99</v>
      </c>
      <c r="AW1729" s="171">
        <v>0</v>
      </c>
      <c r="AX1729" s="171">
        <v>25</v>
      </c>
      <c r="AY1729" s="171">
        <v>25</v>
      </c>
      <c r="AZ1729" s="171" t="s">
        <v>521</v>
      </c>
      <c r="BA1729" s="175">
        <v>99</v>
      </c>
      <c r="BB1729" s="259"/>
      <c r="BC1729" s="224"/>
      <c r="BD1729" s="225"/>
      <c r="BE1729" s="225"/>
      <c r="BF1729" s="178" t="s">
        <v>2351</v>
      </c>
      <c r="BG1729" s="26"/>
      <c r="BH1729" s="26"/>
      <c r="BI1729" s="26"/>
      <c r="BJ1729" s="26"/>
      <c r="BK1729" s="26"/>
      <c r="BL1729" s="26"/>
      <c r="BM1729" s="26"/>
      <c r="BN1729" s="26"/>
      <c r="BO1729" s="26"/>
      <c r="BP1729" s="26"/>
      <c r="BQ1729" s="26"/>
      <c r="BR1729" s="26"/>
      <c r="BS1729" s="26"/>
      <c r="BT1729" s="26"/>
      <c r="BU1729" s="26"/>
      <c r="BV1729" s="26"/>
      <c r="BW1729" s="26"/>
      <c r="BX1729" s="26"/>
      <c r="BY1729" s="26"/>
      <c r="BZ1729" s="26"/>
      <c r="CA1729" s="26"/>
      <c r="CB1729" s="26"/>
      <c r="CC1729" s="26"/>
      <c r="CD1729" s="26"/>
    </row>
    <row r="1730" spans="1:82" s="1" customFormat="1">
      <c r="A1730" s="95">
        <v>1729</v>
      </c>
      <c r="B1730" s="211" t="s">
        <v>2352</v>
      </c>
      <c r="C1730" s="191" t="s">
        <v>2345</v>
      </c>
      <c r="D1730" s="171" t="s">
        <v>445</v>
      </c>
      <c r="E1730" s="463" t="s">
        <v>3377</v>
      </c>
      <c r="F1730" s="171">
        <v>2008</v>
      </c>
      <c r="G1730" s="171">
        <v>382</v>
      </c>
      <c r="H1730" s="172" t="s">
        <v>1738</v>
      </c>
      <c r="I1730" s="173" t="s">
        <v>1739</v>
      </c>
      <c r="J1730" s="212">
        <v>0.34</v>
      </c>
      <c r="K1730" s="223">
        <v>4</v>
      </c>
      <c r="L1730" s="170"/>
      <c r="M1730" s="171" t="s">
        <v>521</v>
      </c>
      <c r="N1730" s="171"/>
      <c r="O1730" s="227" t="s">
        <v>12</v>
      </c>
      <c r="P1730" s="89"/>
      <c r="Q1730" s="173" t="s">
        <v>2346</v>
      </c>
      <c r="R1730" s="512" t="s">
        <v>2729</v>
      </c>
      <c r="S1730" s="92"/>
      <c r="T1730" s="92"/>
      <c r="U1730" s="214" t="s">
        <v>3345</v>
      </c>
      <c r="V1730" s="102">
        <v>0</v>
      </c>
      <c r="W1730" s="120">
        <v>0</v>
      </c>
      <c r="X1730" s="120">
        <v>0</v>
      </c>
      <c r="Y1730" s="120">
        <v>0</v>
      </c>
      <c r="Z1730" s="120">
        <v>0</v>
      </c>
      <c r="AA1730" s="17">
        <v>0</v>
      </c>
      <c r="AB1730" s="17">
        <v>0</v>
      </c>
      <c r="AC1730" s="17">
        <v>0</v>
      </c>
      <c r="AD1730" s="17">
        <v>0</v>
      </c>
      <c r="AE1730" s="17">
        <v>0</v>
      </c>
      <c r="AF1730" s="72">
        <v>3.3600000000000003</v>
      </c>
      <c r="AG1730" s="17">
        <v>0</v>
      </c>
      <c r="AH1730" s="17">
        <v>0</v>
      </c>
      <c r="AI1730" s="17">
        <v>0</v>
      </c>
      <c r="AJ1730" s="17">
        <v>0</v>
      </c>
      <c r="AK1730" s="17">
        <v>0</v>
      </c>
      <c r="AL1730" s="32">
        <v>0</v>
      </c>
      <c r="AM1730" s="172" t="s">
        <v>521</v>
      </c>
      <c r="AN1730" s="89"/>
      <c r="AO1730" s="171">
        <v>54</v>
      </c>
      <c r="AP1730" s="173">
        <v>32000</v>
      </c>
      <c r="AQ1730" s="17" t="s">
        <v>2348</v>
      </c>
      <c r="AR1730" s="174">
        <v>200</v>
      </c>
      <c r="AS1730" s="171"/>
      <c r="AT1730" s="171">
        <v>1000</v>
      </c>
      <c r="AU1730" s="255">
        <f>IF(ISBLANK(AS1730),(AR1730*AT1730)/((4*AT1730)+(2*AR1730)),AR1730*AS1730*AT1730/2/(AR1730*AS1730+AR1730*AT1730+AS1730*AT1730))</f>
        <v>45.454545454545453</v>
      </c>
      <c r="AV1730" s="172">
        <v>99</v>
      </c>
      <c r="AW1730" s="171">
        <v>0</v>
      </c>
      <c r="AX1730" s="171">
        <v>25</v>
      </c>
      <c r="AY1730" s="171">
        <v>25</v>
      </c>
      <c r="AZ1730" s="171" t="s">
        <v>521</v>
      </c>
      <c r="BA1730" s="175">
        <v>99</v>
      </c>
      <c r="BB1730" s="259"/>
      <c r="BC1730" s="224"/>
      <c r="BD1730" s="225"/>
      <c r="BE1730" s="225"/>
      <c r="BF1730" s="178" t="s">
        <v>2353</v>
      </c>
      <c r="BG1730" s="26"/>
      <c r="BH1730" s="26"/>
      <c r="BI1730" s="26"/>
      <c r="BJ1730" s="26"/>
      <c r="BK1730" s="26"/>
      <c r="BL1730" s="26"/>
      <c r="BM1730" s="26"/>
      <c r="BN1730" s="26"/>
      <c r="BO1730" s="26"/>
      <c r="BP1730" s="26"/>
      <c r="BQ1730" s="26"/>
      <c r="BR1730" s="26"/>
      <c r="BS1730" s="26"/>
      <c r="BT1730" s="26"/>
      <c r="BU1730" s="26"/>
      <c r="BV1730" s="26"/>
      <c r="BW1730" s="26"/>
      <c r="BX1730" s="26"/>
      <c r="BY1730" s="26"/>
      <c r="BZ1730" s="26"/>
      <c r="CA1730" s="26"/>
      <c r="CB1730" s="26"/>
      <c r="CC1730" s="26"/>
      <c r="CD1730" s="26"/>
    </row>
    <row r="1731" spans="1:82" s="1" customFormat="1">
      <c r="A1731" s="95">
        <v>1730</v>
      </c>
      <c r="B1731" s="211" t="s">
        <v>2354</v>
      </c>
      <c r="C1731" s="191" t="s">
        <v>2345</v>
      </c>
      <c r="D1731" s="171" t="s">
        <v>445</v>
      </c>
      <c r="E1731" s="463" t="s">
        <v>3377</v>
      </c>
      <c r="F1731" s="171">
        <v>2008</v>
      </c>
      <c r="G1731" s="171">
        <v>382</v>
      </c>
      <c r="H1731" s="172" t="s">
        <v>1738</v>
      </c>
      <c r="I1731" s="173" t="s">
        <v>1739</v>
      </c>
      <c r="J1731" s="212">
        <v>0.34</v>
      </c>
      <c r="K1731" s="223">
        <v>4</v>
      </c>
      <c r="L1731" s="170"/>
      <c r="M1731" s="171" t="s">
        <v>521</v>
      </c>
      <c r="N1731" s="171"/>
      <c r="O1731" s="227" t="s">
        <v>12</v>
      </c>
      <c r="P1731" s="89"/>
      <c r="Q1731" s="173" t="s">
        <v>2346</v>
      </c>
      <c r="R1731" s="512" t="s">
        <v>2729</v>
      </c>
      <c r="S1731" s="92"/>
      <c r="T1731" s="92"/>
      <c r="U1731" s="214" t="s">
        <v>3345</v>
      </c>
      <c r="V1731" s="102">
        <v>0</v>
      </c>
      <c r="W1731" s="120">
        <v>0</v>
      </c>
      <c r="X1731" s="120">
        <v>0</v>
      </c>
      <c r="Y1731" s="120">
        <v>0</v>
      </c>
      <c r="Z1731" s="120">
        <v>0</v>
      </c>
      <c r="AA1731" s="17">
        <v>0</v>
      </c>
      <c r="AB1731" s="17">
        <v>0</v>
      </c>
      <c r="AC1731" s="17">
        <v>0</v>
      </c>
      <c r="AD1731" s="17">
        <v>0</v>
      </c>
      <c r="AE1731" s="17">
        <v>0</v>
      </c>
      <c r="AF1731" s="72">
        <v>4.32</v>
      </c>
      <c r="AG1731" s="17">
        <v>0</v>
      </c>
      <c r="AH1731" s="17">
        <v>0</v>
      </c>
      <c r="AI1731" s="17">
        <v>0</v>
      </c>
      <c r="AJ1731" s="17">
        <v>0</v>
      </c>
      <c r="AK1731" s="17">
        <v>0</v>
      </c>
      <c r="AL1731" s="32">
        <v>0</v>
      </c>
      <c r="AM1731" s="172" t="s">
        <v>521</v>
      </c>
      <c r="AN1731" s="89"/>
      <c r="AO1731" s="171">
        <v>57</v>
      </c>
      <c r="AP1731" s="173">
        <v>31400</v>
      </c>
      <c r="AQ1731" s="17" t="s">
        <v>2348</v>
      </c>
      <c r="AR1731" s="174">
        <v>200</v>
      </c>
      <c r="AS1731" s="171"/>
      <c r="AT1731" s="171">
        <v>1000</v>
      </c>
      <c r="AU1731" s="255">
        <f>IF(ISBLANK(AS1731),(AR1731*AT1731)/((4*AT1731)+(2*AR1731)),AR1731*AS1731*AT1731/2/(AR1731*AS1731+AR1731*AT1731+AS1731*AT1731))</f>
        <v>45.454545454545453</v>
      </c>
      <c r="AV1731" s="172">
        <v>99</v>
      </c>
      <c r="AW1731" s="171">
        <v>0</v>
      </c>
      <c r="AX1731" s="171">
        <v>25</v>
      </c>
      <c r="AY1731" s="171">
        <v>25</v>
      </c>
      <c r="AZ1731" s="171" t="s">
        <v>521</v>
      </c>
      <c r="BA1731" s="175">
        <v>99</v>
      </c>
      <c r="BB1731" s="259"/>
      <c r="BC1731" s="224"/>
      <c r="BD1731" s="225"/>
      <c r="BE1731" s="225"/>
      <c r="BF1731" s="178" t="s">
        <v>2355</v>
      </c>
      <c r="BG1731" s="26"/>
      <c r="BH1731" s="26"/>
      <c r="BI1731" s="26"/>
      <c r="BJ1731" s="26"/>
      <c r="BK1731" s="26"/>
      <c r="BL1731" s="26"/>
      <c r="BM1731" s="26"/>
      <c r="BN1731" s="26"/>
      <c r="BO1731" s="26"/>
      <c r="BP1731" s="26"/>
      <c r="BQ1731" s="26"/>
      <c r="BR1731" s="26"/>
      <c r="BS1731" s="26"/>
      <c r="BT1731" s="26"/>
      <c r="BU1731" s="26"/>
      <c r="BV1731" s="26"/>
      <c r="BW1731" s="26"/>
      <c r="BX1731" s="26"/>
      <c r="BY1731" s="26"/>
      <c r="BZ1731" s="26"/>
      <c r="CA1731" s="26"/>
      <c r="CB1731" s="26"/>
      <c r="CC1731" s="26"/>
      <c r="CD1731" s="26"/>
    </row>
    <row r="1732" spans="1:82" s="1" customFormat="1">
      <c r="A1732" s="95">
        <v>1731</v>
      </c>
      <c r="B1732" s="211" t="s">
        <v>2356</v>
      </c>
      <c r="C1732" s="191" t="s">
        <v>2357</v>
      </c>
      <c r="D1732" s="171" t="s">
        <v>254</v>
      </c>
      <c r="E1732" s="463" t="s">
        <v>3377</v>
      </c>
      <c r="F1732" s="171">
        <v>1997</v>
      </c>
      <c r="G1732" s="171">
        <v>383</v>
      </c>
      <c r="H1732" s="172" t="s">
        <v>1738</v>
      </c>
      <c r="I1732" s="173" t="s">
        <v>1739</v>
      </c>
      <c r="J1732" s="212">
        <v>0.42</v>
      </c>
      <c r="K1732" s="223"/>
      <c r="L1732" s="91"/>
      <c r="M1732" s="171"/>
      <c r="N1732" s="171"/>
      <c r="O1732" s="172" t="s">
        <v>521</v>
      </c>
      <c r="P1732" s="92"/>
      <c r="Q1732" s="173" t="s">
        <v>521</v>
      </c>
      <c r="R1732" s="92"/>
      <c r="S1732" s="92"/>
      <c r="T1732" s="171" t="s">
        <v>521</v>
      </c>
      <c r="U1732" s="171" t="s">
        <v>521</v>
      </c>
      <c r="V1732" s="102"/>
      <c r="W1732" s="120"/>
      <c r="X1732" s="120">
        <v>0</v>
      </c>
      <c r="Y1732" s="17">
        <v>0</v>
      </c>
      <c r="Z1732" s="17">
        <v>0</v>
      </c>
      <c r="AA1732" s="17">
        <v>0</v>
      </c>
      <c r="AB1732" s="17">
        <v>0</v>
      </c>
      <c r="AC1732" s="17">
        <v>0</v>
      </c>
      <c r="AD1732" s="17">
        <v>0</v>
      </c>
      <c r="AE1732" s="17">
        <v>0</v>
      </c>
      <c r="AF1732" s="17">
        <v>0</v>
      </c>
      <c r="AG1732" s="17">
        <v>0</v>
      </c>
      <c r="AH1732" s="17">
        <v>0</v>
      </c>
      <c r="AI1732" s="17">
        <v>0</v>
      </c>
      <c r="AJ1732" s="17">
        <v>0</v>
      </c>
      <c r="AK1732" s="17">
        <v>0</v>
      </c>
      <c r="AL1732" s="32">
        <v>0</v>
      </c>
      <c r="AM1732" s="172" t="s">
        <v>521</v>
      </c>
      <c r="AN1732" s="89"/>
      <c r="AO1732" s="171" t="s">
        <v>521</v>
      </c>
      <c r="AP1732" s="173">
        <v>17630</v>
      </c>
      <c r="AQ1732" s="89"/>
      <c r="AR1732" s="89"/>
      <c r="AS1732" s="89"/>
      <c r="AT1732" s="171" t="s">
        <v>521</v>
      </c>
      <c r="AU1732" s="89"/>
      <c r="AV1732" s="172" t="s">
        <v>521</v>
      </c>
      <c r="AW1732" s="171" t="s">
        <v>521</v>
      </c>
      <c r="AX1732" s="171" t="s">
        <v>521</v>
      </c>
      <c r="AY1732" s="171" t="s">
        <v>521</v>
      </c>
      <c r="AZ1732" s="171" t="s">
        <v>521</v>
      </c>
      <c r="BA1732" s="175" t="s">
        <v>521</v>
      </c>
      <c r="BB1732" s="259"/>
      <c r="BC1732" s="224"/>
      <c r="BD1732" s="225"/>
      <c r="BE1732" s="225"/>
      <c r="BF1732" s="228"/>
      <c r="BG1732" s="26"/>
      <c r="BH1732" s="26"/>
      <c r="BI1732" s="26"/>
      <c r="BJ1732" s="26"/>
      <c r="BK1732" s="26"/>
      <c r="BL1732" s="26"/>
      <c r="BM1732" s="26"/>
      <c r="BN1732" s="26"/>
      <c r="BO1732" s="26"/>
      <c r="BP1732" s="26"/>
      <c r="BQ1732" s="26"/>
      <c r="BR1732" s="26"/>
      <c r="BS1732" s="26"/>
      <c r="BT1732" s="26"/>
      <c r="BU1732" s="26"/>
      <c r="BV1732" s="26"/>
      <c r="BW1732" s="26"/>
      <c r="BX1732" s="26"/>
      <c r="BY1732" s="26"/>
      <c r="BZ1732" s="26"/>
      <c r="CA1732" s="26"/>
      <c r="CB1732" s="26"/>
      <c r="CC1732" s="26"/>
      <c r="CD1732" s="26"/>
    </row>
    <row r="1733" spans="1:82" s="1" customFormat="1">
      <c r="A1733" s="95">
        <v>1732</v>
      </c>
      <c r="B1733" s="211" t="s">
        <v>2358</v>
      </c>
      <c r="C1733" s="191" t="s">
        <v>2359</v>
      </c>
      <c r="D1733" s="171" t="s">
        <v>2324</v>
      </c>
      <c r="E1733" s="463" t="s">
        <v>3377</v>
      </c>
      <c r="F1733" s="171">
        <v>2000</v>
      </c>
      <c r="G1733" s="171">
        <v>384</v>
      </c>
      <c r="H1733" s="172" t="s">
        <v>1738</v>
      </c>
      <c r="I1733" s="173" t="s">
        <v>1739</v>
      </c>
      <c r="J1733" s="226">
        <v>0.25</v>
      </c>
      <c r="K1733" s="223">
        <v>2.9809027777777777</v>
      </c>
      <c r="L1733" s="91">
        <f>((J1733)*(M1733+((V1733+W1733+X1733+Y1733+Z1733+AA1733+AB1733+AC1733+AD1733+AK1733)/100)*(M1733)))</f>
        <v>144</v>
      </c>
      <c r="M1733" s="171">
        <v>576</v>
      </c>
      <c r="N1733" s="171"/>
      <c r="O1733" s="227" t="s">
        <v>12</v>
      </c>
      <c r="P1733" s="92"/>
      <c r="Q1733" s="173" t="s">
        <v>273</v>
      </c>
      <c r="R1733" s="171" t="s">
        <v>2726</v>
      </c>
      <c r="S1733" s="92"/>
      <c r="T1733" s="214" t="s">
        <v>2306</v>
      </c>
      <c r="U1733" s="214" t="s">
        <v>2315</v>
      </c>
      <c r="V1733" s="144">
        <v>0</v>
      </c>
      <c r="W1733" s="120">
        <v>0</v>
      </c>
      <c r="X1733" s="120">
        <v>0</v>
      </c>
      <c r="Y1733" s="120">
        <v>0</v>
      </c>
      <c r="Z1733" s="120">
        <v>0</v>
      </c>
      <c r="AA1733" s="17">
        <v>0</v>
      </c>
      <c r="AB1733" s="17">
        <v>0</v>
      </c>
      <c r="AC1733" s="17">
        <v>0</v>
      </c>
      <c r="AD1733" s="17">
        <v>0</v>
      </c>
      <c r="AE1733" s="17">
        <v>0</v>
      </c>
      <c r="AF1733" s="17">
        <v>5</v>
      </c>
      <c r="AG1733" s="17">
        <v>0</v>
      </c>
      <c r="AH1733" s="17">
        <v>0</v>
      </c>
      <c r="AI1733" s="17">
        <v>0</v>
      </c>
      <c r="AJ1733" s="17">
        <v>0</v>
      </c>
      <c r="AK1733" s="17">
        <v>0</v>
      </c>
      <c r="AL1733" s="32">
        <v>0</v>
      </c>
      <c r="AM1733" s="172" t="s">
        <v>521</v>
      </c>
      <c r="AN1733" s="89"/>
      <c r="AO1733" s="171">
        <v>75</v>
      </c>
      <c r="AP1733" s="173" t="s">
        <v>521</v>
      </c>
      <c r="AQ1733" s="17" t="s">
        <v>1744</v>
      </c>
      <c r="AR1733" s="174">
        <v>40</v>
      </c>
      <c r="AS1733" s="171"/>
      <c r="AT1733" s="171">
        <v>1000</v>
      </c>
      <c r="AU1733" s="255">
        <f>IF(ISBLANK(AS1733),(AR1733*AT1733)/((4*AT1733)+(2*AR1733)),AR1733*AS1733*AT1733/2/(AR1733*AS1733+AR1733*AT1733+AS1733*AT1733))</f>
        <v>9.8039215686274517</v>
      </c>
      <c r="AV1733" s="172">
        <v>99</v>
      </c>
      <c r="AW1733" s="171">
        <v>0</v>
      </c>
      <c r="AX1733" s="171">
        <v>30</v>
      </c>
      <c r="AY1733" s="171">
        <v>30</v>
      </c>
      <c r="AZ1733" s="171" t="s">
        <v>521</v>
      </c>
      <c r="BA1733" s="175">
        <v>99</v>
      </c>
      <c r="BB1733" s="259"/>
      <c r="BC1733" s="224"/>
      <c r="BD1733" s="225"/>
      <c r="BE1733" s="225"/>
      <c r="BF1733" s="228"/>
      <c r="BG1733" s="26"/>
      <c r="BH1733" s="26"/>
      <c r="BI1733" s="26"/>
      <c r="BJ1733" s="26"/>
      <c r="BK1733" s="26"/>
      <c r="BL1733" s="26"/>
      <c r="BM1733" s="26"/>
      <c r="BN1733" s="26"/>
      <c r="BO1733" s="26"/>
      <c r="BP1733" s="26"/>
      <c r="BQ1733" s="26"/>
      <c r="BR1733" s="26"/>
      <c r="BS1733" s="26"/>
      <c r="BT1733" s="26"/>
      <c r="BU1733" s="26"/>
      <c r="BV1733" s="26"/>
      <c r="BW1733" s="26"/>
      <c r="BX1733" s="26"/>
      <c r="BY1733" s="26"/>
      <c r="BZ1733" s="26"/>
      <c r="CA1733" s="26"/>
      <c r="CB1733" s="26"/>
      <c r="CC1733" s="26"/>
      <c r="CD1733" s="26"/>
    </row>
    <row r="1734" spans="1:82" s="1" customFormat="1">
      <c r="A1734" s="95">
        <v>1733</v>
      </c>
      <c r="B1734" s="211" t="s">
        <v>2360</v>
      </c>
      <c r="C1734" s="191" t="s">
        <v>2359</v>
      </c>
      <c r="D1734" s="171" t="s">
        <v>2324</v>
      </c>
      <c r="E1734" s="463" t="s">
        <v>3377</v>
      </c>
      <c r="F1734" s="171">
        <v>2000</v>
      </c>
      <c r="G1734" s="171">
        <v>384</v>
      </c>
      <c r="H1734" s="172" t="s">
        <v>1738</v>
      </c>
      <c r="I1734" s="173" t="s">
        <v>1739</v>
      </c>
      <c r="J1734" s="226">
        <v>0.27722772277227725</v>
      </c>
      <c r="K1734" s="223">
        <v>3.4</v>
      </c>
      <c r="L1734" s="91">
        <f>((J1734)*(M1734+((V1734+W1734+X1734+Y1734+Z1734+AA1734+AB1734+AC1734+AD1734+AK1734)/100)*(M1734)))</f>
        <v>155.52600000000001</v>
      </c>
      <c r="M1734" s="171">
        <v>505</v>
      </c>
      <c r="N1734" s="171"/>
      <c r="O1734" s="227" t="s">
        <v>12</v>
      </c>
      <c r="P1734" s="92"/>
      <c r="Q1734" s="173" t="s">
        <v>273</v>
      </c>
      <c r="R1734" s="171" t="s">
        <v>2726</v>
      </c>
      <c r="S1734" s="92"/>
      <c r="T1734" s="214" t="s">
        <v>2306</v>
      </c>
      <c r="U1734" s="214" t="s">
        <v>2315</v>
      </c>
      <c r="V1734" s="144">
        <v>11.09</v>
      </c>
      <c r="W1734" s="120">
        <v>0</v>
      </c>
      <c r="X1734" s="120">
        <v>0</v>
      </c>
      <c r="Y1734" s="120">
        <v>0</v>
      </c>
      <c r="Z1734" s="120">
        <v>0</v>
      </c>
      <c r="AA1734" s="17">
        <v>0</v>
      </c>
      <c r="AB1734" s="17">
        <v>0</v>
      </c>
      <c r="AC1734" s="17">
        <v>0</v>
      </c>
      <c r="AD1734" s="17">
        <v>0</v>
      </c>
      <c r="AE1734" s="17">
        <v>0</v>
      </c>
      <c r="AF1734" s="17">
        <v>5</v>
      </c>
      <c r="AG1734" s="17">
        <v>0</v>
      </c>
      <c r="AH1734" s="17">
        <v>0</v>
      </c>
      <c r="AI1734" s="17">
        <v>0</v>
      </c>
      <c r="AJ1734" s="17">
        <v>0</v>
      </c>
      <c r="AK1734" s="17">
        <v>0</v>
      </c>
      <c r="AL1734" s="32">
        <v>0</v>
      </c>
      <c r="AM1734" s="172" t="s">
        <v>521</v>
      </c>
      <c r="AN1734" s="89"/>
      <c r="AO1734" s="171">
        <v>98</v>
      </c>
      <c r="AP1734" s="173" t="s">
        <v>521</v>
      </c>
      <c r="AQ1734" s="17" t="s">
        <v>1744</v>
      </c>
      <c r="AR1734" s="174">
        <v>40</v>
      </c>
      <c r="AS1734" s="171"/>
      <c r="AT1734" s="171">
        <v>1000</v>
      </c>
      <c r="AU1734" s="255">
        <f>IF(ISBLANK(AS1734),(AR1734*AT1734)/((4*AT1734)+(2*AR1734)),AR1734*AS1734*AT1734/2/(AR1734*AS1734+AR1734*AT1734+AS1734*AT1734))</f>
        <v>9.8039215686274517</v>
      </c>
      <c r="AV1734" s="172">
        <v>99</v>
      </c>
      <c r="AW1734" s="171">
        <v>0</v>
      </c>
      <c r="AX1734" s="171">
        <v>30</v>
      </c>
      <c r="AY1734" s="171">
        <v>30</v>
      </c>
      <c r="AZ1734" s="171" t="s">
        <v>521</v>
      </c>
      <c r="BA1734" s="175">
        <v>99</v>
      </c>
      <c r="BB1734" s="259"/>
      <c r="BC1734" s="224"/>
      <c r="BD1734" s="225"/>
      <c r="BE1734" s="225"/>
      <c r="BF1734" s="228"/>
      <c r="BG1734" s="26"/>
      <c r="BH1734" s="26"/>
      <c r="BI1734" s="26"/>
      <c r="BJ1734" s="26"/>
      <c r="BK1734" s="26"/>
      <c r="BL1734" s="26"/>
      <c r="BM1734" s="26"/>
      <c r="BN1734" s="26"/>
      <c r="BO1734" s="26"/>
      <c r="BP1734" s="26"/>
      <c r="BQ1734" s="26"/>
      <c r="BR1734" s="26"/>
      <c r="BS1734" s="26"/>
      <c r="BT1734" s="26"/>
      <c r="BU1734" s="26"/>
      <c r="BV1734" s="26"/>
      <c r="BW1734" s="26"/>
      <c r="BX1734" s="26"/>
      <c r="BY1734" s="26"/>
      <c r="BZ1734" s="26"/>
      <c r="CA1734" s="26"/>
      <c r="CB1734" s="26"/>
      <c r="CC1734" s="26"/>
      <c r="CD1734" s="26"/>
    </row>
    <row r="1735" spans="1:82" s="1" customFormat="1">
      <c r="A1735" s="95">
        <v>1734</v>
      </c>
      <c r="B1735" s="211" t="s">
        <v>2361</v>
      </c>
      <c r="C1735" s="191" t="s">
        <v>2359</v>
      </c>
      <c r="D1735" s="171" t="s">
        <v>2324</v>
      </c>
      <c r="E1735" s="463" t="s">
        <v>3377</v>
      </c>
      <c r="F1735" s="171">
        <v>2000</v>
      </c>
      <c r="G1735" s="171">
        <v>384</v>
      </c>
      <c r="H1735" s="172" t="s">
        <v>1738</v>
      </c>
      <c r="I1735" s="173" t="s">
        <v>1739</v>
      </c>
      <c r="J1735" s="226">
        <v>0.33003952569169959</v>
      </c>
      <c r="K1735" s="223">
        <v>3.3932806324110674</v>
      </c>
      <c r="L1735" s="170"/>
      <c r="M1735" s="171">
        <v>506</v>
      </c>
      <c r="N1735" s="171"/>
      <c r="O1735" s="227" t="s">
        <v>12</v>
      </c>
      <c r="P1735" s="92"/>
      <c r="Q1735" s="173" t="s">
        <v>273</v>
      </c>
      <c r="R1735" s="171" t="s">
        <v>2726</v>
      </c>
      <c r="S1735" s="92"/>
      <c r="T1735" s="214" t="s">
        <v>2306</v>
      </c>
      <c r="U1735" s="214" t="s">
        <v>2315</v>
      </c>
      <c r="V1735" s="144">
        <v>0</v>
      </c>
      <c r="W1735" s="120">
        <v>0</v>
      </c>
      <c r="X1735" s="120">
        <v>0</v>
      </c>
      <c r="Y1735" s="120">
        <v>0</v>
      </c>
      <c r="Z1735" s="120">
        <v>0</v>
      </c>
      <c r="AA1735" s="17">
        <v>0</v>
      </c>
      <c r="AB1735" s="17">
        <v>0</v>
      </c>
      <c r="AC1735" s="17">
        <v>0</v>
      </c>
      <c r="AD1735" s="17">
        <v>0</v>
      </c>
      <c r="AE1735" s="17">
        <v>0</v>
      </c>
      <c r="AF1735" s="17">
        <v>1.5</v>
      </c>
      <c r="AG1735" s="17">
        <v>0</v>
      </c>
      <c r="AH1735" s="17">
        <v>0</v>
      </c>
      <c r="AI1735" s="17">
        <v>0</v>
      </c>
      <c r="AJ1735" s="17">
        <v>0</v>
      </c>
      <c r="AK1735" s="17">
        <v>0</v>
      </c>
      <c r="AL1735" s="32">
        <v>0</v>
      </c>
      <c r="AM1735" s="172" t="s">
        <v>521</v>
      </c>
      <c r="AN1735" s="89"/>
      <c r="AO1735" s="171">
        <v>63</v>
      </c>
      <c r="AP1735" s="173" t="s">
        <v>521</v>
      </c>
      <c r="AQ1735" s="17" t="s">
        <v>1744</v>
      </c>
      <c r="AR1735" s="174">
        <v>40</v>
      </c>
      <c r="AS1735" s="171"/>
      <c r="AT1735" s="171">
        <v>1000</v>
      </c>
      <c r="AU1735" s="255">
        <f>IF(ISBLANK(AS1735),(AR1735*AT1735)/((4*AT1735)+(2*AR1735)),AR1735*AS1735*AT1735/2/(AR1735*AS1735+AR1735*AT1735+AS1735*AT1735))</f>
        <v>9.8039215686274517</v>
      </c>
      <c r="AV1735" s="172">
        <v>99</v>
      </c>
      <c r="AW1735" s="171">
        <v>0</v>
      </c>
      <c r="AX1735" s="171">
        <v>30</v>
      </c>
      <c r="AY1735" s="171">
        <v>30</v>
      </c>
      <c r="AZ1735" s="171" t="s">
        <v>521</v>
      </c>
      <c r="BA1735" s="175">
        <v>99</v>
      </c>
      <c r="BB1735" s="259"/>
      <c r="BC1735" s="224"/>
      <c r="BD1735" s="225"/>
      <c r="BE1735" s="225"/>
      <c r="BF1735" s="228"/>
      <c r="BG1735" s="26"/>
      <c r="BH1735" s="26"/>
      <c r="BI1735" s="26"/>
      <c r="BJ1735" s="26"/>
      <c r="BK1735" s="26"/>
      <c r="BL1735" s="26"/>
      <c r="BM1735" s="26"/>
      <c r="BN1735" s="26"/>
      <c r="BO1735" s="26"/>
      <c r="BP1735" s="26"/>
      <c r="BQ1735" s="26"/>
      <c r="BR1735" s="26"/>
      <c r="BS1735" s="26"/>
      <c r="BT1735" s="26"/>
      <c r="BU1735" s="26"/>
      <c r="BV1735" s="26"/>
      <c r="BW1735" s="26"/>
      <c r="BX1735" s="26"/>
      <c r="BY1735" s="26"/>
      <c r="BZ1735" s="26"/>
      <c r="CA1735" s="26"/>
      <c r="CB1735" s="26"/>
      <c r="CC1735" s="26"/>
      <c r="CD1735" s="26"/>
    </row>
    <row r="1736" spans="1:82" s="1" customFormat="1">
      <c r="A1736" s="95">
        <v>1735</v>
      </c>
      <c r="B1736" s="211" t="s">
        <v>2362</v>
      </c>
      <c r="C1736" s="191" t="s">
        <v>2359</v>
      </c>
      <c r="D1736" s="171" t="s">
        <v>2324</v>
      </c>
      <c r="E1736" s="463" t="s">
        <v>3377</v>
      </c>
      <c r="F1736" s="171">
        <v>2000</v>
      </c>
      <c r="G1736" s="171">
        <v>384</v>
      </c>
      <c r="H1736" s="172" t="s">
        <v>1738</v>
      </c>
      <c r="I1736" s="173" t="s">
        <v>1739</v>
      </c>
      <c r="J1736" s="226">
        <v>0.36711711711711714</v>
      </c>
      <c r="K1736" s="223">
        <v>3.8671171171171173</v>
      </c>
      <c r="L1736" s="170"/>
      <c r="M1736" s="171">
        <v>444</v>
      </c>
      <c r="N1736" s="171"/>
      <c r="O1736" s="227" t="s">
        <v>12</v>
      </c>
      <c r="P1736" s="92"/>
      <c r="Q1736" s="173" t="s">
        <v>273</v>
      </c>
      <c r="R1736" s="171" t="s">
        <v>2726</v>
      </c>
      <c r="S1736" s="92"/>
      <c r="T1736" s="214" t="s">
        <v>2306</v>
      </c>
      <c r="U1736" s="214" t="s">
        <v>2315</v>
      </c>
      <c r="V1736" s="144">
        <v>11.04</v>
      </c>
      <c r="W1736" s="120">
        <v>0</v>
      </c>
      <c r="X1736" s="120">
        <v>0</v>
      </c>
      <c r="Y1736" s="120">
        <v>0</v>
      </c>
      <c r="Z1736" s="120">
        <v>0</v>
      </c>
      <c r="AA1736" s="17">
        <v>0</v>
      </c>
      <c r="AB1736" s="17">
        <v>0</v>
      </c>
      <c r="AC1736" s="17">
        <v>0</v>
      </c>
      <c r="AD1736" s="17">
        <v>0</v>
      </c>
      <c r="AE1736" s="17">
        <v>0</v>
      </c>
      <c r="AF1736" s="17">
        <v>1.5</v>
      </c>
      <c r="AG1736" s="17">
        <v>0</v>
      </c>
      <c r="AH1736" s="17">
        <v>0</v>
      </c>
      <c r="AI1736" s="17">
        <v>0</v>
      </c>
      <c r="AJ1736" s="17">
        <v>0</v>
      </c>
      <c r="AK1736" s="17">
        <v>0</v>
      </c>
      <c r="AL1736" s="32">
        <v>0</v>
      </c>
      <c r="AM1736" s="172" t="s">
        <v>521</v>
      </c>
      <c r="AN1736" s="89"/>
      <c r="AO1736" s="171">
        <v>77</v>
      </c>
      <c r="AP1736" s="173" t="s">
        <v>521</v>
      </c>
      <c r="AQ1736" s="17" t="s">
        <v>1744</v>
      </c>
      <c r="AR1736" s="174">
        <v>40</v>
      </c>
      <c r="AS1736" s="171"/>
      <c r="AT1736" s="171">
        <v>1000</v>
      </c>
      <c r="AU1736" s="255">
        <f>IF(ISBLANK(AS1736),(AR1736*AT1736)/((4*AT1736)+(2*AR1736)),AR1736*AS1736*AT1736/2/(AR1736*AS1736+AR1736*AT1736+AS1736*AT1736))</f>
        <v>9.8039215686274517</v>
      </c>
      <c r="AV1736" s="172">
        <v>99</v>
      </c>
      <c r="AW1736" s="171">
        <v>0</v>
      </c>
      <c r="AX1736" s="171">
        <v>30</v>
      </c>
      <c r="AY1736" s="171">
        <v>30</v>
      </c>
      <c r="AZ1736" s="171" t="s">
        <v>521</v>
      </c>
      <c r="BA1736" s="175">
        <v>99</v>
      </c>
      <c r="BB1736" s="259"/>
      <c r="BC1736" s="224"/>
      <c r="BD1736" s="225"/>
      <c r="BE1736" s="225"/>
      <c r="BF1736" s="228"/>
      <c r="BG1736" s="26"/>
      <c r="BH1736" s="26"/>
      <c r="BI1736" s="26"/>
      <c r="BJ1736" s="26"/>
      <c r="BK1736" s="26"/>
      <c r="BL1736" s="26"/>
      <c r="BM1736" s="26"/>
      <c r="BN1736" s="26"/>
      <c r="BO1736" s="26"/>
      <c r="BP1736" s="26"/>
      <c r="BQ1736" s="26"/>
      <c r="BR1736" s="26"/>
      <c r="BS1736" s="26"/>
      <c r="BT1736" s="26"/>
      <c r="BU1736" s="26"/>
      <c r="BV1736" s="26"/>
      <c r="BW1736" s="26"/>
      <c r="BX1736" s="26"/>
      <c r="BY1736" s="26"/>
      <c r="BZ1736" s="26"/>
      <c r="CA1736" s="26"/>
      <c r="CB1736" s="26"/>
      <c r="CC1736" s="26"/>
      <c r="CD1736" s="26"/>
    </row>
    <row r="1737" spans="1:82" s="1" customFormat="1">
      <c r="A1737" s="95">
        <v>1736</v>
      </c>
      <c r="B1737" s="211" t="s">
        <v>2363</v>
      </c>
      <c r="C1737" s="191" t="s">
        <v>1746</v>
      </c>
      <c r="D1737" s="171" t="s">
        <v>1747</v>
      </c>
      <c r="E1737" s="463" t="s">
        <v>3377</v>
      </c>
      <c r="F1737" s="171">
        <v>1996</v>
      </c>
      <c r="G1737" s="89"/>
      <c r="H1737" s="172" t="s">
        <v>1738</v>
      </c>
      <c r="I1737" s="173" t="s">
        <v>1739</v>
      </c>
      <c r="J1737" s="226">
        <v>0.35</v>
      </c>
      <c r="K1737" s="213">
        <v>0</v>
      </c>
      <c r="L1737" s="91"/>
      <c r="M1737" s="171" t="s">
        <v>521</v>
      </c>
      <c r="N1737" s="171"/>
      <c r="O1737" s="227" t="s">
        <v>12</v>
      </c>
      <c r="P1737" s="92"/>
      <c r="Q1737" s="173" t="s">
        <v>2364</v>
      </c>
      <c r="R1737" s="92"/>
      <c r="S1737" s="92"/>
      <c r="T1737" s="171" t="s">
        <v>521</v>
      </c>
      <c r="U1737" s="171" t="s">
        <v>521</v>
      </c>
      <c r="V1737" s="102">
        <v>0</v>
      </c>
      <c r="W1737" s="120">
        <v>0</v>
      </c>
      <c r="X1737" s="120">
        <v>0</v>
      </c>
      <c r="Y1737" s="120">
        <v>0</v>
      </c>
      <c r="Z1737" s="120">
        <v>0</v>
      </c>
      <c r="AA1737" s="17">
        <v>0</v>
      </c>
      <c r="AB1737" s="17">
        <v>0</v>
      </c>
      <c r="AC1737" s="17">
        <v>0</v>
      </c>
      <c r="AD1737" s="17">
        <v>0</v>
      </c>
      <c r="AE1737" s="17">
        <v>0</v>
      </c>
      <c r="AF1737" s="17">
        <v>3.5</v>
      </c>
      <c r="AG1737" s="17">
        <v>0</v>
      </c>
      <c r="AH1737" s="17">
        <v>0</v>
      </c>
      <c r="AI1737" s="17">
        <v>0</v>
      </c>
      <c r="AJ1737" s="17">
        <v>0</v>
      </c>
      <c r="AK1737" s="17">
        <v>0</v>
      </c>
      <c r="AL1737" s="32">
        <v>0</v>
      </c>
      <c r="AM1737" s="172" t="s">
        <v>521</v>
      </c>
      <c r="AN1737" s="89"/>
      <c r="AO1737" s="171" t="s">
        <v>521</v>
      </c>
      <c r="AP1737" s="173" t="s">
        <v>521</v>
      </c>
      <c r="AQ1737" s="89"/>
      <c r="AR1737" s="89"/>
      <c r="AS1737" s="89"/>
      <c r="AT1737" s="171" t="s">
        <v>521</v>
      </c>
      <c r="AU1737" s="89"/>
      <c r="AV1737" s="172">
        <v>99</v>
      </c>
      <c r="AW1737" s="171">
        <v>0.23</v>
      </c>
      <c r="AX1737" s="171">
        <v>30</v>
      </c>
      <c r="AY1737" s="171">
        <v>30</v>
      </c>
      <c r="AZ1737" s="171" t="s">
        <v>521</v>
      </c>
      <c r="BA1737" s="175">
        <v>99</v>
      </c>
      <c r="BB1737" s="259"/>
      <c r="BC1737" s="224"/>
      <c r="BD1737" s="225"/>
      <c r="BE1737" s="225"/>
      <c r="BF1737" s="228"/>
      <c r="BG1737" s="26"/>
      <c r="BH1737" s="26"/>
      <c r="BI1737" s="26"/>
      <c r="BJ1737" s="26"/>
      <c r="BK1737" s="26"/>
      <c r="BL1737" s="26"/>
      <c r="BM1737" s="26"/>
      <c r="BN1737" s="26"/>
      <c r="BO1737" s="26"/>
      <c r="BP1737" s="26"/>
      <c r="BQ1737" s="26"/>
      <c r="BR1737" s="26"/>
      <c r="BS1737" s="26"/>
      <c r="BT1737" s="26"/>
      <c r="BU1737" s="26"/>
      <c r="BV1737" s="26"/>
      <c r="BW1737" s="26"/>
      <c r="BX1737" s="26"/>
      <c r="BY1737" s="26"/>
      <c r="BZ1737" s="26"/>
      <c r="CA1737" s="26"/>
      <c r="CB1737" s="26"/>
      <c r="CC1737" s="26"/>
      <c r="CD1737" s="26"/>
    </row>
    <row r="1738" spans="1:82" s="1" customFormat="1">
      <c r="A1738" s="95">
        <v>1737</v>
      </c>
      <c r="B1738" s="211" t="s">
        <v>2365</v>
      </c>
      <c r="C1738" s="191" t="s">
        <v>1746</v>
      </c>
      <c r="D1738" s="171" t="s">
        <v>1747</v>
      </c>
      <c r="E1738" s="463" t="s">
        <v>3377</v>
      </c>
      <c r="F1738" s="171">
        <v>1996</v>
      </c>
      <c r="G1738" s="89"/>
      <c r="H1738" s="172" t="s">
        <v>1738</v>
      </c>
      <c r="I1738" s="173" t="s">
        <v>1739</v>
      </c>
      <c r="J1738" s="226">
        <v>0.35</v>
      </c>
      <c r="K1738" s="213">
        <v>0</v>
      </c>
      <c r="L1738" s="91"/>
      <c r="M1738" s="171" t="s">
        <v>521</v>
      </c>
      <c r="N1738" s="171"/>
      <c r="O1738" s="227" t="s">
        <v>12</v>
      </c>
      <c r="P1738" s="92"/>
      <c r="Q1738" s="173" t="s">
        <v>2364</v>
      </c>
      <c r="R1738" s="92"/>
      <c r="S1738" s="92"/>
      <c r="T1738" s="171" t="s">
        <v>521</v>
      </c>
      <c r="U1738" s="171" t="s">
        <v>521</v>
      </c>
      <c r="V1738" s="102">
        <v>3</v>
      </c>
      <c r="W1738" s="120">
        <v>0</v>
      </c>
      <c r="X1738" s="120">
        <v>0</v>
      </c>
      <c r="Y1738" s="120">
        <v>0</v>
      </c>
      <c r="Z1738" s="120">
        <v>0</v>
      </c>
      <c r="AA1738" s="17">
        <v>0</v>
      </c>
      <c r="AB1738" s="17">
        <v>0</v>
      </c>
      <c r="AC1738" s="17">
        <v>0</v>
      </c>
      <c r="AD1738" s="17">
        <v>0</v>
      </c>
      <c r="AE1738" s="17">
        <v>0</v>
      </c>
      <c r="AF1738" s="17">
        <v>3.5</v>
      </c>
      <c r="AG1738" s="17">
        <v>0</v>
      </c>
      <c r="AH1738" s="17">
        <v>0</v>
      </c>
      <c r="AI1738" s="17">
        <v>0</v>
      </c>
      <c r="AJ1738" s="17">
        <v>0</v>
      </c>
      <c r="AK1738" s="17">
        <v>0</v>
      </c>
      <c r="AL1738" s="32">
        <v>0</v>
      </c>
      <c r="AM1738" s="172" t="s">
        <v>521</v>
      </c>
      <c r="AN1738" s="89"/>
      <c r="AO1738" s="171" t="s">
        <v>521</v>
      </c>
      <c r="AP1738" s="173" t="s">
        <v>521</v>
      </c>
      <c r="AQ1738" s="89"/>
      <c r="AR1738" s="89"/>
      <c r="AS1738" s="89"/>
      <c r="AT1738" s="171" t="s">
        <v>521</v>
      </c>
      <c r="AU1738" s="89"/>
      <c r="AV1738" s="172">
        <v>99</v>
      </c>
      <c r="AW1738" s="171">
        <v>0.23</v>
      </c>
      <c r="AX1738" s="171">
        <v>30</v>
      </c>
      <c r="AY1738" s="171">
        <v>30</v>
      </c>
      <c r="AZ1738" s="171" t="s">
        <v>521</v>
      </c>
      <c r="BA1738" s="175">
        <v>99</v>
      </c>
      <c r="BB1738" s="259"/>
      <c r="BC1738" s="224"/>
      <c r="BD1738" s="225"/>
      <c r="BE1738" s="225"/>
      <c r="BF1738" s="228"/>
      <c r="BG1738" s="26"/>
      <c r="BH1738" s="26"/>
      <c r="BI1738" s="26"/>
      <c r="BJ1738" s="26"/>
      <c r="BK1738" s="26"/>
      <c r="BL1738" s="26"/>
      <c r="BM1738" s="26"/>
      <c r="BN1738" s="26"/>
      <c r="BO1738" s="26"/>
      <c r="BP1738" s="26"/>
      <c r="BQ1738" s="26"/>
      <c r="BR1738" s="26"/>
      <c r="BS1738" s="26"/>
      <c r="BT1738" s="26"/>
      <c r="BU1738" s="26"/>
      <c r="BV1738" s="26"/>
      <c r="BW1738" s="26"/>
      <c r="BX1738" s="26"/>
      <c r="BY1738" s="26"/>
      <c r="BZ1738" s="26"/>
      <c r="CA1738" s="26"/>
      <c r="CB1738" s="26"/>
      <c r="CC1738" s="26"/>
      <c r="CD1738" s="26"/>
    </row>
    <row r="1739" spans="1:82" s="1" customFormat="1">
      <c r="A1739" s="95">
        <v>1738</v>
      </c>
      <c r="B1739" s="211" t="s">
        <v>2366</v>
      </c>
      <c r="C1739" s="191" t="s">
        <v>1746</v>
      </c>
      <c r="D1739" s="171" t="s">
        <v>1747</v>
      </c>
      <c r="E1739" s="463" t="s">
        <v>3377</v>
      </c>
      <c r="F1739" s="171">
        <v>1996</v>
      </c>
      <c r="G1739" s="89"/>
      <c r="H1739" s="172" t="s">
        <v>1738</v>
      </c>
      <c r="I1739" s="173" t="s">
        <v>1739</v>
      </c>
      <c r="J1739" s="226">
        <v>0.35</v>
      </c>
      <c r="K1739" s="213">
        <v>0</v>
      </c>
      <c r="L1739" s="91"/>
      <c r="M1739" s="171" t="s">
        <v>521</v>
      </c>
      <c r="N1739" s="171"/>
      <c r="O1739" s="227" t="s">
        <v>12</v>
      </c>
      <c r="P1739" s="92"/>
      <c r="Q1739" s="173" t="s">
        <v>2364</v>
      </c>
      <c r="R1739" s="92"/>
      <c r="S1739" s="92"/>
      <c r="T1739" s="171" t="s">
        <v>521</v>
      </c>
      <c r="U1739" s="171" t="s">
        <v>521</v>
      </c>
      <c r="V1739" s="102">
        <v>6</v>
      </c>
      <c r="W1739" s="120">
        <v>0</v>
      </c>
      <c r="X1739" s="120">
        <v>0</v>
      </c>
      <c r="Y1739" s="120">
        <v>0</v>
      </c>
      <c r="Z1739" s="120">
        <v>0</v>
      </c>
      <c r="AA1739" s="17">
        <v>0</v>
      </c>
      <c r="AB1739" s="17">
        <v>0</v>
      </c>
      <c r="AC1739" s="17">
        <v>0</v>
      </c>
      <c r="AD1739" s="17">
        <v>0</v>
      </c>
      <c r="AE1739" s="17">
        <v>0</v>
      </c>
      <c r="AF1739" s="17">
        <v>3.5</v>
      </c>
      <c r="AG1739" s="17">
        <v>0</v>
      </c>
      <c r="AH1739" s="17">
        <v>0</v>
      </c>
      <c r="AI1739" s="17">
        <v>0</v>
      </c>
      <c r="AJ1739" s="17">
        <v>0</v>
      </c>
      <c r="AK1739" s="17">
        <v>0</v>
      </c>
      <c r="AL1739" s="32">
        <v>0</v>
      </c>
      <c r="AM1739" s="172" t="s">
        <v>521</v>
      </c>
      <c r="AN1739" s="89"/>
      <c r="AO1739" s="171" t="s">
        <v>521</v>
      </c>
      <c r="AP1739" s="173" t="s">
        <v>521</v>
      </c>
      <c r="AQ1739" s="89"/>
      <c r="AR1739" s="89"/>
      <c r="AS1739" s="89"/>
      <c r="AT1739" s="171" t="s">
        <v>521</v>
      </c>
      <c r="AU1739" s="89"/>
      <c r="AV1739" s="172">
        <v>99</v>
      </c>
      <c r="AW1739" s="171">
        <v>0.22</v>
      </c>
      <c r="AX1739" s="171">
        <v>30</v>
      </c>
      <c r="AY1739" s="171">
        <v>30</v>
      </c>
      <c r="AZ1739" s="171" t="s">
        <v>521</v>
      </c>
      <c r="BA1739" s="175">
        <v>99</v>
      </c>
      <c r="BB1739" s="259"/>
      <c r="BC1739" s="224"/>
      <c r="BD1739" s="225"/>
      <c r="BE1739" s="225"/>
      <c r="BF1739" s="228"/>
      <c r="BG1739" s="26"/>
      <c r="BH1739" s="26"/>
      <c r="BI1739" s="26"/>
      <c r="BJ1739" s="26"/>
      <c r="BK1739" s="26"/>
      <c r="BL1739" s="26"/>
      <c r="BM1739" s="26"/>
      <c r="BN1739" s="26"/>
      <c r="BO1739" s="26"/>
      <c r="BP1739" s="26"/>
      <c r="BQ1739" s="26"/>
      <c r="BR1739" s="26"/>
      <c r="BS1739" s="26"/>
      <c r="BT1739" s="26"/>
      <c r="BU1739" s="26"/>
      <c r="BV1739" s="26"/>
      <c r="BW1739" s="26"/>
      <c r="BX1739" s="26"/>
      <c r="BY1739" s="26"/>
      <c r="BZ1739" s="26"/>
      <c r="CA1739" s="26"/>
      <c r="CB1739" s="26"/>
      <c r="CC1739" s="26"/>
      <c r="CD1739" s="26"/>
    </row>
    <row r="1740" spans="1:82" s="1" customFormat="1">
      <c r="A1740" s="95">
        <v>1739</v>
      </c>
      <c r="B1740" s="211" t="s">
        <v>2367</v>
      </c>
      <c r="C1740" s="191" t="s">
        <v>1746</v>
      </c>
      <c r="D1740" s="171" t="s">
        <v>1747</v>
      </c>
      <c r="E1740" s="463" t="s">
        <v>3377</v>
      </c>
      <c r="F1740" s="171">
        <v>1996</v>
      </c>
      <c r="G1740" s="89"/>
      <c r="H1740" s="172" t="s">
        <v>1738</v>
      </c>
      <c r="I1740" s="173" t="s">
        <v>1739</v>
      </c>
      <c r="J1740" s="226">
        <v>0.35</v>
      </c>
      <c r="K1740" s="213">
        <v>0</v>
      </c>
      <c r="L1740" s="91"/>
      <c r="M1740" s="171" t="s">
        <v>521</v>
      </c>
      <c r="N1740" s="171"/>
      <c r="O1740" s="227" t="s">
        <v>12</v>
      </c>
      <c r="P1740" s="92"/>
      <c r="Q1740" s="173" t="s">
        <v>2364</v>
      </c>
      <c r="R1740" s="92"/>
      <c r="S1740" s="92"/>
      <c r="T1740" s="171" t="s">
        <v>521</v>
      </c>
      <c r="U1740" s="171" t="s">
        <v>521</v>
      </c>
      <c r="V1740" s="102">
        <v>10</v>
      </c>
      <c r="W1740" s="120">
        <v>0</v>
      </c>
      <c r="X1740" s="120">
        <v>0</v>
      </c>
      <c r="Y1740" s="120">
        <v>0</v>
      </c>
      <c r="Z1740" s="120">
        <v>0</v>
      </c>
      <c r="AA1740" s="17">
        <v>0</v>
      </c>
      <c r="AB1740" s="17">
        <v>0</v>
      </c>
      <c r="AC1740" s="17">
        <v>0</v>
      </c>
      <c r="AD1740" s="17">
        <v>0</v>
      </c>
      <c r="AE1740" s="17">
        <v>0</v>
      </c>
      <c r="AF1740" s="17">
        <v>3.5</v>
      </c>
      <c r="AG1740" s="17">
        <v>0</v>
      </c>
      <c r="AH1740" s="17">
        <v>0</v>
      </c>
      <c r="AI1740" s="17">
        <v>0</v>
      </c>
      <c r="AJ1740" s="17">
        <v>0</v>
      </c>
      <c r="AK1740" s="17">
        <v>0</v>
      </c>
      <c r="AL1740" s="32">
        <v>0</v>
      </c>
      <c r="AM1740" s="172" t="s">
        <v>521</v>
      </c>
      <c r="AN1740" s="89"/>
      <c r="AO1740" s="171" t="s">
        <v>521</v>
      </c>
      <c r="AP1740" s="173" t="s">
        <v>521</v>
      </c>
      <c r="AQ1740" s="89"/>
      <c r="AR1740" s="89"/>
      <c r="AS1740" s="89"/>
      <c r="AT1740" s="171" t="s">
        <v>521</v>
      </c>
      <c r="AU1740" s="89"/>
      <c r="AV1740" s="172">
        <v>99</v>
      </c>
      <c r="AW1740" s="171">
        <v>0.22</v>
      </c>
      <c r="AX1740" s="171">
        <v>30</v>
      </c>
      <c r="AY1740" s="171">
        <v>30</v>
      </c>
      <c r="AZ1740" s="171" t="s">
        <v>521</v>
      </c>
      <c r="BA1740" s="175">
        <v>99</v>
      </c>
      <c r="BB1740" s="259"/>
      <c r="BC1740" s="224"/>
      <c r="BD1740" s="225"/>
      <c r="BE1740" s="225"/>
      <c r="BF1740" s="228"/>
      <c r="BG1740" s="26"/>
      <c r="BH1740" s="26"/>
      <c r="BI1740" s="26"/>
      <c r="BJ1740" s="26"/>
      <c r="BK1740" s="26"/>
      <c r="BL1740" s="26"/>
      <c r="BM1740" s="26"/>
      <c r="BN1740" s="26"/>
      <c r="BO1740" s="26"/>
      <c r="BP1740" s="26"/>
      <c r="BQ1740" s="26"/>
      <c r="BR1740" s="26"/>
      <c r="BS1740" s="26"/>
      <c r="BT1740" s="26"/>
      <c r="BU1740" s="26"/>
      <c r="BV1740" s="26"/>
      <c r="BW1740" s="26"/>
      <c r="BX1740" s="26"/>
      <c r="BY1740" s="26"/>
      <c r="BZ1740" s="26"/>
      <c r="CA1740" s="26"/>
      <c r="CB1740" s="26"/>
      <c r="CC1740" s="26"/>
      <c r="CD1740" s="26"/>
    </row>
    <row r="1741" spans="1:82" s="1" customFormat="1">
      <c r="A1741" s="95">
        <v>1740</v>
      </c>
      <c r="B1741" s="211" t="s">
        <v>2368</v>
      </c>
      <c r="C1741" s="191" t="s">
        <v>2369</v>
      </c>
      <c r="D1741" s="171" t="s">
        <v>256</v>
      </c>
      <c r="E1741" s="463" t="s">
        <v>3377</v>
      </c>
      <c r="F1741" s="171">
        <v>2011</v>
      </c>
      <c r="G1741" s="89"/>
      <c r="H1741" s="172" t="s">
        <v>1738</v>
      </c>
      <c r="I1741" s="173" t="s">
        <v>1739</v>
      </c>
      <c r="J1741" s="226">
        <v>0.63</v>
      </c>
      <c r="K1741" s="223">
        <v>6.42</v>
      </c>
      <c r="L1741" s="91">
        <f>((J1741)*(M1741+((V1741+W1741+X1741+Y1741+Z1741+AA1741+AB1741+AC1741+AD1741+AK1741)/100)*(M1741)))</f>
        <v>226.8</v>
      </c>
      <c r="M1741" s="214">
        <v>288</v>
      </c>
      <c r="N1741" s="214"/>
      <c r="O1741" s="227" t="s">
        <v>12</v>
      </c>
      <c r="P1741" s="92"/>
      <c r="Q1741" s="173" t="s">
        <v>2370</v>
      </c>
      <c r="R1741" s="512" t="s">
        <v>2729</v>
      </c>
      <c r="S1741" s="92"/>
      <c r="T1741" s="214" t="s">
        <v>2306</v>
      </c>
      <c r="U1741" s="171" t="s">
        <v>2347</v>
      </c>
      <c r="V1741" s="144">
        <v>0</v>
      </c>
      <c r="W1741" s="145">
        <v>25</v>
      </c>
      <c r="X1741" s="120">
        <v>0</v>
      </c>
      <c r="Y1741" s="120">
        <v>0</v>
      </c>
      <c r="Z1741" s="120">
        <v>0</v>
      </c>
      <c r="AA1741" s="17">
        <v>0</v>
      </c>
      <c r="AB1741" s="17">
        <v>0</v>
      </c>
      <c r="AC1741" s="17">
        <v>0</v>
      </c>
      <c r="AD1741" s="17">
        <v>0</v>
      </c>
      <c r="AE1741" s="17">
        <v>0</v>
      </c>
      <c r="AF1741" s="17">
        <v>0</v>
      </c>
      <c r="AG1741" s="17">
        <v>0</v>
      </c>
      <c r="AH1741" s="17">
        <v>0</v>
      </c>
      <c r="AI1741" s="17">
        <v>0</v>
      </c>
      <c r="AJ1741" s="17">
        <v>0</v>
      </c>
      <c r="AK1741" s="17">
        <v>0</v>
      </c>
      <c r="AL1741" s="32">
        <v>0</v>
      </c>
      <c r="AM1741" s="227">
        <v>34.1</v>
      </c>
      <c r="AN1741" s="89"/>
      <c r="AO1741" s="214">
        <v>24.2</v>
      </c>
      <c r="AP1741" s="173" t="s">
        <v>521</v>
      </c>
      <c r="AQ1741" s="171" t="s">
        <v>271</v>
      </c>
      <c r="AR1741" s="229">
        <v>100</v>
      </c>
      <c r="AS1741" s="214"/>
      <c r="AT1741" s="214">
        <v>400</v>
      </c>
      <c r="AU1741" s="255">
        <f>IF(ISBLANK(AS1741),(AR1741*AT1741)/((4*AT1741)+(2*AR1741)),AR1741*AS1741*AT1741/2/(AR1741*AS1741+AR1741*AT1741+AS1741*AT1741))</f>
        <v>22.222222222222221</v>
      </c>
      <c r="AV1741" s="172">
        <v>99</v>
      </c>
      <c r="AW1741" s="171">
        <v>0</v>
      </c>
      <c r="AX1741" s="171" t="s">
        <v>521</v>
      </c>
      <c r="AY1741" s="171" t="s">
        <v>521</v>
      </c>
      <c r="AZ1741" s="171" t="s">
        <v>521</v>
      </c>
      <c r="BA1741" s="175">
        <v>99</v>
      </c>
      <c r="BB1741" s="259"/>
      <c r="BC1741" s="224"/>
      <c r="BD1741" s="225"/>
      <c r="BE1741" s="225"/>
      <c r="BF1741" s="178" t="s">
        <v>3460</v>
      </c>
      <c r="BG1741" s="26"/>
      <c r="BH1741" s="26"/>
      <c r="BI1741" s="26"/>
      <c r="BJ1741" s="26"/>
      <c r="BK1741" s="26"/>
      <c r="BL1741" s="26"/>
      <c r="BM1741" s="26"/>
      <c r="BN1741" s="26"/>
      <c r="BO1741" s="26"/>
      <c r="BP1741" s="26"/>
      <c r="BQ1741" s="26"/>
      <c r="BR1741" s="26"/>
      <c r="BS1741" s="26"/>
      <c r="BT1741" s="26"/>
      <c r="BU1741" s="26"/>
      <c r="BV1741" s="26"/>
      <c r="BW1741" s="26"/>
      <c r="BX1741" s="26"/>
      <c r="BY1741" s="26"/>
      <c r="BZ1741" s="26"/>
      <c r="CA1741" s="26"/>
      <c r="CB1741" s="26"/>
      <c r="CC1741" s="26"/>
      <c r="CD1741" s="26"/>
    </row>
    <row r="1742" spans="1:82" s="1" customFormat="1">
      <c r="A1742" s="95">
        <v>1741</v>
      </c>
      <c r="B1742" s="211" t="s">
        <v>2371</v>
      </c>
      <c r="C1742" s="191" t="s">
        <v>2369</v>
      </c>
      <c r="D1742" s="171" t="s">
        <v>256</v>
      </c>
      <c r="E1742" s="463" t="s">
        <v>3377</v>
      </c>
      <c r="F1742" s="171">
        <v>2011</v>
      </c>
      <c r="G1742" s="89"/>
      <c r="H1742" s="172" t="s">
        <v>1738</v>
      </c>
      <c r="I1742" s="173" t="s">
        <v>1739</v>
      </c>
      <c r="J1742" s="226">
        <v>0.33</v>
      </c>
      <c r="K1742" s="223">
        <v>3.82</v>
      </c>
      <c r="L1742" s="91">
        <f>((J1742)*(M1742+((V1742+W1742+X1742+Y1742+Z1742+AA1742+AB1742+AC1742+AD1742+AK1742)/100)*(M1742)))</f>
        <v>164.83500000000001</v>
      </c>
      <c r="M1742" s="214">
        <v>450</v>
      </c>
      <c r="N1742" s="214"/>
      <c r="O1742" s="227" t="s">
        <v>12</v>
      </c>
      <c r="P1742" s="92"/>
      <c r="Q1742" s="173" t="s">
        <v>2370</v>
      </c>
      <c r="R1742" s="512" t="s">
        <v>2729</v>
      </c>
      <c r="S1742" s="92"/>
      <c r="T1742" s="214" t="s">
        <v>2306</v>
      </c>
      <c r="U1742" s="171" t="s">
        <v>2347</v>
      </c>
      <c r="V1742" s="144">
        <v>11</v>
      </c>
      <c r="W1742" s="120">
        <v>0</v>
      </c>
      <c r="X1742" s="120">
        <v>0</v>
      </c>
      <c r="Y1742" s="120">
        <v>0</v>
      </c>
      <c r="Z1742" s="120">
        <v>0</v>
      </c>
      <c r="AA1742" s="17">
        <v>0</v>
      </c>
      <c r="AB1742" s="17">
        <v>0</v>
      </c>
      <c r="AC1742" s="17">
        <v>0</v>
      </c>
      <c r="AD1742" s="17">
        <v>0</v>
      </c>
      <c r="AE1742" s="17">
        <v>0</v>
      </c>
      <c r="AF1742" s="17">
        <v>0</v>
      </c>
      <c r="AG1742" s="17">
        <v>0</v>
      </c>
      <c r="AH1742" s="17">
        <v>0</v>
      </c>
      <c r="AI1742" s="17">
        <v>0</v>
      </c>
      <c r="AJ1742" s="17">
        <v>0</v>
      </c>
      <c r="AK1742" s="17">
        <v>0</v>
      </c>
      <c r="AL1742" s="32">
        <v>0</v>
      </c>
      <c r="AM1742" s="227">
        <v>88.7</v>
      </c>
      <c r="AN1742" s="89"/>
      <c r="AO1742" s="214">
        <v>67.099999999999994</v>
      </c>
      <c r="AP1742" s="173" t="s">
        <v>521</v>
      </c>
      <c r="AQ1742" s="171" t="s">
        <v>271</v>
      </c>
      <c r="AR1742" s="229">
        <v>100</v>
      </c>
      <c r="AS1742" s="214"/>
      <c r="AT1742" s="214">
        <v>400</v>
      </c>
      <c r="AU1742" s="255">
        <f>IF(ISBLANK(AS1742),(AR1742*AT1742)/((4*AT1742)+(2*AR1742)),AR1742*AS1742*AT1742/2/(AR1742*AS1742+AR1742*AT1742+AS1742*AT1742))</f>
        <v>22.222222222222221</v>
      </c>
      <c r="AV1742" s="172">
        <v>99</v>
      </c>
      <c r="AW1742" s="171">
        <v>0</v>
      </c>
      <c r="AX1742" s="171" t="s">
        <v>521</v>
      </c>
      <c r="AY1742" s="171" t="s">
        <v>521</v>
      </c>
      <c r="AZ1742" s="171" t="s">
        <v>521</v>
      </c>
      <c r="BA1742" s="175">
        <v>99</v>
      </c>
      <c r="BB1742" s="259"/>
      <c r="BC1742" s="224"/>
      <c r="BD1742" s="225"/>
      <c r="BE1742" s="225"/>
      <c r="BF1742" s="178" t="s">
        <v>3460</v>
      </c>
      <c r="BG1742" s="26"/>
      <c r="BH1742" s="26"/>
      <c r="BI1742" s="26"/>
      <c r="BJ1742" s="26"/>
      <c r="BK1742" s="26"/>
      <c r="BL1742" s="26"/>
      <c r="BM1742" s="26"/>
      <c r="BN1742" s="26"/>
      <c r="BO1742" s="26"/>
      <c r="BP1742" s="26"/>
      <c r="BQ1742" s="26"/>
      <c r="BR1742" s="26"/>
      <c r="BS1742" s="26"/>
      <c r="BT1742" s="26"/>
      <c r="BU1742" s="26"/>
      <c r="BV1742" s="26"/>
      <c r="BW1742" s="26"/>
      <c r="BX1742" s="26"/>
      <c r="BY1742" s="26"/>
      <c r="BZ1742" s="26"/>
      <c r="CA1742" s="26"/>
      <c r="CB1742" s="26"/>
      <c r="CC1742" s="26"/>
      <c r="CD1742" s="26"/>
    </row>
    <row r="1743" spans="1:82" s="1" customFormat="1">
      <c r="A1743" s="95">
        <v>1742</v>
      </c>
      <c r="B1743" s="211" t="s">
        <v>2372</v>
      </c>
      <c r="C1743" s="191" t="s">
        <v>2373</v>
      </c>
      <c r="D1743" s="171" t="s">
        <v>253</v>
      </c>
      <c r="E1743" s="463" t="s">
        <v>3377</v>
      </c>
      <c r="F1743" s="171">
        <v>1997</v>
      </c>
      <c r="G1743" s="89"/>
      <c r="H1743" s="172" t="s">
        <v>1738</v>
      </c>
      <c r="I1743" s="173" t="s">
        <v>1739</v>
      </c>
      <c r="J1743" s="226">
        <v>0.3</v>
      </c>
      <c r="K1743" s="213">
        <v>0</v>
      </c>
      <c r="L1743" s="91"/>
      <c r="M1743" s="171" t="s">
        <v>521</v>
      </c>
      <c r="N1743" s="171"/>
      <c r="O1743" s="172" t="s">
        <v>521</v>
      </c>
      <c r="P1743" s="92"/>
      <c r="Q1743" s="173" t="s">
        <v>521</v>
      </c>
      <c r="R1743" s="92"/>
      <c r="S1743" s="92"/>
      <c r="T1743" s="214" t="s">
        <v>521</v>
      </c>
      <c r="U1743" s="171" t="s">
        <v>521</v>
      </c>
      <c r="V1743" s="102">
        <v>0</v>
      </c>
      <c r="W1743" s="120">
        <v>0</v>
      </c>
      <c r="X1743" s="120">
        <v>0</v>
      </c>
      <c r="Y1743" s="120">
        <v>0</v>
      </c>
      <c r="Z1743" s="120">
        <v>0</v>
      </c>
      <c r="AA1743" s="17">
        <v>0</v>
      </c>
      <c r="AB1743" s="17">
        <v>0</v>
      </c>
      <c r="AC1743" s="17">
        <v>0</v>
      </c>
      <c r="AD1743" s="17">
        <v>0</v>
      </c>
      <c r="AE1743" s="17">
        <v>0</v>
      </c>
      <c r="AF1743" s="17">
        <v>0</v>
      </c>
      <c r="AG1743" s="17">
        <v>0</v>
      </c>
      <c r="AH1743" s="17">
        <v>0</v>
      </c>
      <c r="AI1743" s="17">
        <v>0</v>
      </c>
      <c r="AJ1743" s="17">
        <v>0</v>
      </c>
      <c r="AK1743" s="17">
        <v>0</v>
      </c>
      <c r="AL1743" s="32">
        <v>0</v>
      </c>
      <c r="AM1743" s="172" t="s">
        <v>521</v>
      </c>
      <c r="AN1743" s="89"/>
      <c r="AO1743" s="171" t="s">
        <v>521</v>
      </c>
      <c r="AP1743" s="173" t="s">
        <v>521</v>
      </c>
      <c r="AQ1743" s="89"/>
      <c r="AR1743" s="89"/>
      <c r="AS1743" s="89"/>
      <c r="AT1743" s="171" t="s">
        <v>521</v>
      </c>
      <c r="AU1743" s="89"/>
      <c r="AV1743" s="172" t="s">
        <v>521</v>
      </c>
      <c r="AW1743" s="171" t="s">
        <v>521</v>
      </c>
      <c r="AX1743" s="171" t="s">
        <v>521</v>
      </c>
      <c r="AY1743" s="171" t="s">
        <v>521</v>
      </c>
      <c r="AZ1743" s="171" t="s">
        <v>521</v>
      </c>
      <c r="BA1743" s="175" t="s">
        <v>521</v>
      </c>
      <c r="BB1743" s="259"/>
      <c r="BC1743" s="224"/>
      <c r="BD1743" s="225"/>
      <c r="BE1743" s="225"/>
      <c r="BF1743" s="228"/>
      <c r="BG1743" s="26"/>
      <c r="BH1743" s="26"/>
      <c r="BI1743" s="26"/>
      <c r="BJ1743" s="26"/>
      <c r="BK1743" s="26"/>
      <c r="BL1743" s="26"/>
      <c r="BM1743" s="26"/>
      <c r="BN1743" s="26"/>
      <c r="BO1743" s="26"/>
      <c r="BP1743" s="26"/>
      <c r="BQ1743" s="26"/>
      <c r="BR1743" s="26"/>
      <c r="BS1743" s="26"/>
      <c r="BT1743" s="26"/>
      <c r="BU1743" s="26"/>
      <c r="BV1743" s="26"/>
      <c r="BW1743" s="26"/>
      <c r="BX1743" s="26"/>
      <c r="BY1743" s="26"/>
      <c r="BZ1743" s="26"/>
      <c r="CA1743" s="26"/>
      <c r="CB1743" s="26"/>
      <c r="CC1743" s="26"/>
      <c r="CD1743" s="26"/>
    </row>
    <row r="1744" spans="1:82" s="1" customFormat="1">
      <c r="A1744" s="95">
        <v>1743</v>
      </c>
      <c r="B1744" s="211" t="s">
        <v>2374</v>
      </c>
      <c r="C1744" s="191" t="s">
        <v>2373</v>
      </c>
      <c r="D1744" s="171" t="s">
        <v>253</v>
      </c>
      <c r="E1744" s="463" t="s">
        <v>3377</v>
      </c>
      <c r="F1744" s="171">
        <v>1997</v>
      </c>
      <c r="G1744" s="89"/>
      <c r="H1744" s="172" t="s">
        <v>1738</v>
      </c>
      <c r="I1744" s="173" t="s">
        <v>1739</v>
      </c>
      <c r="J1744" s="226">
        <v>0.4</v>
      </c>
      <c r="K1744" s="213">
        <v>0</v>
      </c>
      <c r="L1744" s="91"/>
      <c r="M1744" s="171" t="s">
        <v>521</v>
      </c>
      <c r="N1744" s="171"/>
      <c r="O1744" s="172" t="s">
        <v>521</v>
      </c>
      <c r="P1744" s="92"/>
      <c r="Q1744" s="173" t="s">
        <v>521</v>
      </c>
      <c r="R1744" s="92"/>
      <c r="S1744" s="92"/>
      <c r="T1744" s="214" t="s">
        <v>521</v>
      </c>
      <c r="U1744" s="171" t="s">
        <v>521</v>
      </c>
      <c r="V1744" s="102">
        <v>0</v>
      </c>
      <c r="W1744" s="120">
        <v>0</v>
      </c>
      <c r="X1744" s="120">
        <v>0</v>
      </c>
      <c r="Y1744" s="120">
        <v>0</v>
      </c>
      <c r="Z1744" s="120">
        <v>0</v>
      </c>
      <c r="AA1744" s="17">
        <v>0</v>
      </c>
      <c r="AB1744" s="17">
        <v>0</v>
      </c>
      <c r="AC1744" s="17">
        <v>0</v>
      </c>
      <c r="AD1744" s="17">
        <v>0</v>
      </c>
      <c r="AE1744" s="17">
        <v>0</v>
      </c>
      <c r="AF1744" s="17">
        <v>0</v>
      </c>
      <c r="AG1744" s="17">
        <v>0</v>
      </c>
      <c r="AH1744" s="17">
        <v>0</v>
      </c>
      <c r="AI1744" s="17">
        <v>0</v>
      </c>
      <c r="AJ1744" s="17">
        <v>0</v>
      </c>
      <c r="AK1744" s="17">
        <v>0</v>
      </c>
      <c r="AL1744" s="32">
        <v>0</v>
      </c>
      <c r="AM1744" s="172" t="s">
        <v>521</v>
      </c>
      <c r="AN1744" s="89"/>
      <c r="AO1744" s="171" t="s">
        <v>521</v>
      </c>
      <c r="AP1744" s="173" t="s">
        <v>521</v>
      </c>
      <c r="AQ1744" s="89"/>
      <c r="AR1744" s="89"/>
      <c r="AS1744" s="89"/>
      <c r="AT1744" s="171" t="s">
        <v>521</v>
      </c>
      <c r="AU1744" s="89"/>
      <c r="AV1744" s="172" t="s">
        <v>521</v>
      </c>
      <c r="AW1744" s="171" t="s">
        <v>521</v>
      </c>
      <c r="AX1744" s="171" t="s">
        <v>521</v>
      </c>
      <c r="AY1744" s="171" t="s">
        <v>521</v>
      </c>
      <c r="AZ1744" s="171" t="s">
        <v>521</v>
      </c>
      <c r="BA1744" s="175" t="s">
        <v>521</v>
      </c>
      <c r="BB1744" s="259"/>
      <c r="BC1744" s="224"/>
      <c r="BD1744" s="225"/>
      <c r="BE1744" s="225"/>
      <c r="BF1744" s="228"/>
      <c r="BG1744" s="26"/>
      <c r="BH1744" s="26"/>
      <c r="BI1744" s="26"/>
      <c r="BJ1744" s="26"/>
      <c r="BK1744" s="26"/>
      <c r="BL1744" s="26"/>
      <c r="BM1744" s="26"/>
      <c r="BN1744" s="26"/>
      <c r="BO1744" s="26"/>
      <c r="BP1744" s="26"/>
      <c r="BQ1744" s="26"/>
      <c r="BR1744" s="26"/>
      <c r="BS1744" s="26"/>
      <c r="BT1744" s="26"/>
      <c r="BU1744" s="26"/>
      <c r="BV1744" s="26"/>
      <c r="BW1744" s="26"/>
      <c r="BX1744" s="26"/>
      <c r="BY1744" s="26"/>
      <c r="BZ1744" s="26"/>
      <c r="CA1744" s="26"/>
      <c r="CB1744" s="26"/>
      <c r="CC1744" s="26"/>
      <c r="CD1744" s="26"/>
    </row>
    <row r="1745" spans="1:82" s="1" customFormat="1">
      <c r="A1745" s="95">
        <v>1744</v>
      </c>
      <c r="B1745" s="211" t="s">
        <v>2375</v>
      </c>
      <c r="C1745" s="191" t="s">
        <v>2373</v>
      </c>
      <c r="D1745" s="171" t="s">
        <v>253</v>
      </c>
      <c r="E1745" s="463" t="s">
        <v>3377</v>
      </c>
      <c r="F1745" s="171">
        <v>1997</v>
      </c>
      <c r="G1745" s="89"/>
      <c r="H1745" s="172" t="s">
        <v>1738</v>
      </c>
      <c r="I1745" s="173" t="s">
        <v>1739</v>
      </c>
      <c r="J1745" s="226">
        <v>0.5</v>
      </c>
      <c r="K1745" s="213">
        <v>0</v>
      </c>
      <c r="L1745" s="91"/>
      <c r="M1745" s="171" t="s">
        <v>521</v>
      </c>
      <c r="N1745" s="171"/>
      <c r="O1745" s="172" t="s">
        <v>521</v>
      </c>
      <c r="P1745" s="92"/>
      <c r="Q1745" s="173" t="s">
        <v>521</v>
      </c>
      <c r="R1745" s="92"/>
      <c r="S1745" s="92"/>
      <c r="T1745" s="214" t="s">
        <v>521</v>
      </c>
      <c r="U1745" s="171" t="s">
        <v>521</v>
      </c>
      <c r="V1745" s="102">
        <v>0</v>
      </c>
      <c r="W1745" s="120">
        <v>0</v>
      </c>
      <c r="X1745" s="120">
        <v>0</v>
      </c>
      <c r="Y1745" s="120">
        <v>0</v>
      </c>
      <c r="Z1745" s="120">
        <v>0</v>
      </c>
      <c r="AA1745" s="17">
        <v>0</v>
      </c>
      <c r="AB1745" s="17">
        <v>0</v>
      </c>
      <c r="AC1745" s="17">
        <v>0</v>
      </c>
      <c r="AD1745" s="17">
        <v>0</v>
      </c>
      <c r="AE1745" s="17">
        <v>0</v>
      </c>
      <c r="AF1745" s="17">
        <v>0</v>
      </c>
      <c r="AG1745" s="17">
        <v>0</v>
      </c>
      <c r="AH1745" s="17">
        <v>0</v>
      </c>
      <c r="AI1745" s="17">
        <v>0</v>
      </c>
      <c r="AJ1745" s="17">
        <v>0</v>
      </c>
      <c r="AK1745" s="17">
        <v>0</v>
      </c>
      <c r="AL1745" s="32">
        <v>0</v>
      </c>
      <c r="AM1745" s="172" t="s">
        <v>521</v>
      </c>
      <c r="AN1745" s="89"/>
      <c r="AO1745" s="171" t="s">
        <v>521</v>
      </c>
      <c r="AP1745" s="173" t="s">
        <v>521</v>
      </c>
      <c r="AQ1745" s="89"/>
      <c r="AR1745" s="89"/>
      <c r="AS1745" s="89"/>
      <c r="AT1745" s="171" t="s">
        <v>521</v>
      </c>
      <c r="AU1745" s="89"/>
      <c r="AV1745" s="172" t="s">
        <v>521</v>
      </c>
      <c r="AW1745" s="171" t="s">
        <v>521</v>
      </c>
      <c r="AX1745" s="171" t="s">
        <v>521</v>
      </c>
      <c r="AY1745" s="171" t="s">
        <v>521</v>
      </c>
      <c r="AZ1745" s="171" t="s">
        <v>521</v>
      </c>
      <c r="BA1745" s="175" t="s">
        <v>521</v>
      </c>
      <c r="BB1745" s="259"/>
      <c r="BC1745" s="224"/>
      <c r="BD1745" s="225"/>
      <c r="BE1745" s="225"/>
      <c r="BF1745" s="228"/>
      <c r="BG1745" s="26"/>
      <c r="BH1745" s="26"/>
      <c r="BI1745" s="26"/>
      <c r="BJ1745" s="26"/>
      <c r="BK1745" s="26"/>
      <c r="BL1745" s="26"/>
      <c r="BM1745" s="26"/>
      <c r="BN1745" s="26"/>
      <c r="BO1745" s="26"/>
      <c r="BP1745" s="26"/>
      <c r="BQ1745" s="26"/>
      <c r="BR1745" s="26"/>
      <c r="BS1745" s="26"/>
      <c r="BT1745" s="26"/>
      <c r="BU1745" s="26"/>
      <c r="BV1745" s="26"/>
      <c r="BW1745" s="26"/>
      <c r="BX1745" s="26"/>
      <c r="BY1745" s="26"/>
      <c r="BZ1745" s="26"/>
      <c r="CA1745" s="26"/>
      <c r="CB1745" s="26"/>
      <c r="CC1745" s="26"/>
      <c r="CD1745" s="26"/>
    </row>
    <row r="1746" spans="1:82" s="1" customFormat="1">
      <c r="A1746" s="95">
        <v>1745</v>
      </c>
      <c r="B1746" s="211" t="s">
        <v>2376</v>
      </c>
      <c r="C1746" s="191" t="s">
        <v>433</v>
      </c>
      <c r="D1746" s="171" t="s">
        <v>446</v>
      </c>
      <c r="E1746" s="463" t="s">
        <v>3377</v>
      </c>
      <c r="F1746" s="171">
        <v>2003</v>
      </c>
      <c r="G1746" s="89"/>
      <c r="H1746" s="172" t="s">
        <v>1738</v>
      </c>
      <c r="I1746" s="173" t="s">
        <v>1739</v>
      </c>
      <c r="J1746" s="212">
        <v>0.5</v>
      </c>
      <c r="K1746" s="223">
        <v>4.6567567567567565</v>
      </c>
      <c r="L1746" s="170"/>
      <c r="M1746" s="171">
        <v>370</v>
      </c>
      <c r="N1746" s="171"/>
      <c r="O1746" s="227" t="s">
        <v>12</v>
      </c>
      <c r="P1746" s="89"/>
      <c r="Q1746" s="230" t="s">
        <v>2377</v>
      </c>
      <c r="R1746" s="506" t="s">
        <v>2727</v>
      </c>
      <c r="S1746" s="92"/>
      <c r="T1746" s="214" t="s">
        <v>2306</v>
      </c>
      <c r="U1746" s="214" t="s">
        <v>3345</v>
      </c>
      <c r="V1746" s="102">
        <v>0</v>
      </c>
      <c r="W1746" s="156">
        <v>0</v>
      </c>
      <c r="X1746" s="120">
        <v>0</v>
      </c>
      <c r="Y1746" s="120">
        <v>0</v>
      </c>
      <c r="Z1746" s="120">
        <v>0</v>
      </c>
      <c r="AA1746" s="17">
        <v>0</v>
      </c>
      <c r="AB1746" s="17">
        <v>0</v>
      </c>
      <c r="AC1746" s="17">
        <v>0</v>
      </c>
      <c r="AD1746" s="17">
        <v>0</v>
      </c>
      <c r="AE1746" s="17">
        <v>0</v>
      </c>
      <c r="AF1746" s="17">
        <v>0</v>
      </c>
      <c r="AG1746" s="17">
        <v>0</v>
      </c>
      <c r="AH1746" s="17">
        <v>0</v>
      </c>
      <c r="AI1746" s="17">
        <v>0</v>
      </c>
      <c r="AJ1746" s="17">
        <v>0</v>
      </c>
      <c r="AK1746" s="17">
        <v>0</v>
      </c>
      <c r="AL1746" s="32">
        <v>0</v>
      </c>
      <c r="AM1746" s="172">
        <v>31.1</v>
      </c>
      <c r="AN1746" s="89"/>
      <c r="AO1746" s="171">
        <v>9.6</v>
      </c>
      <c r="AP1746" s="173">
        <v>26900</v>
      </c>
      <c r="AQ1746" s="171" t="s">
        <v>271</v>
      </c>
      <c r="AR1746" s="229">
        <v>100</v>
      </c>
      <c r="AS1746" s="214"/>
      <c r="AT1746" s="214">
        <v>400</v>
      </c>
      <c r="AU1746" s="255">
        <f t="shared" ref="AU1746:AU1757" si="123">IF(ISBLANK(AS1746),(AR1746*AT1746)/((4*AT1746)+(2*AR1746)),AR1746*AS1746*AT1746/2/(AR1746*AS1746+AR1746*AT1746+AS1746*AT1746))</f>
        <v>22.222222222222221</v>
      </c>
      <c r="AV1746" s="172">
        <v>99</v>
      </c>
      <c r="AW1746" s="214">
        <v>0.25</v>
      </c>
      <c r="AX1746" s="214">
        <v>20</v>
      </c>
      <c r="AY1746" s="214">
        <v>20</v>
      </c>
      <c r="AZ1746" s="171" t="s">
        <v>521</v>
      </c>
      <c r="BA1746" s="175">
        <v>99</v>
      </c>
      <c r="BB1746" s="259"/>
      <c r="BC1746" s="224"/>
      <c r="BD1746" s="224"/>
      <c r="BE1746" s="224"/>
      <c r="BF1746" s="231" t="s">
        <v>2378</v>
      </c>
      <c r="BG1746" s="26"/>
      <c r="BH1746" s="26"/>
      <c r="BI1746" s="26"/>
      <c r="BJ1746" s="26"/>
      <c r="BK1746" s="26"/>
      <c r="BL1746" s="26"/>
      <c r="BM1746" s="26"/>
      <c r="BN1746" s="26"/>
      <c r="BO1746" s="26"/>
      <c r="BP1746" s="26"/>
      <c r="BQ1746" s="26"/>
      <c r="BR1746" s="26"/>
      <c r="BS1746" s="26"/>
      <c r="BT1746" s="26"/>
      <c r="BU1746" s="26"/>
      <c r="BV1746" s="26"/>
      <c r="BW1746" s="26"/>
      <c r="BX1746" s="26"/>
      <c r="BY1746" s="26"/>
      <c r="BZ1746" s="26"/>
      <c r="CA1746" s="26"/>
      <c r="CB1746" s="26"/>
      <c r="CC1746" s="26"/>
      <c r="CD1746" s="26"/>
    </row>
    <row r="1747" spans="1:82" s="1" customFormat="1">
      <c r="A1747" s="95">
        <v>1746</v>
      </c>
      <c r="B1747" s="211" t="s">
        <v>2379</v>
      </c>
      <c r="C1747" s="191" t="s">
        <v>433</v>
      </c>
      <c r="D1747" s="171" t="s">
        <v>446</v>
      </c>
      <c r="E1747" s="463" t="s">
        <v>3377</v>
      </c>
      <c r="F1747" s="171">
        <v>2003</v>
      </c>
      <c r="G1747" s="89"/>
      <c r="H1747" s="172" t="s">
        <v>1738</v>
      </c>
      <c r="I1747" s="173" t="s">
        <v>1739</v>
      </c>
      <c r="J1747" s="226">
        <v>0.3511111111111111</v>
      </c>
      <c r="K1747" s="223">
        <v>3.8511111111111109</v>
      </c>
      <c r="L1747" s="170"/>
      <c r="M1747" s="171">
        <v>450</v>
      </c>
      <c r="N1747" s="171"/>
      <c r="O1747" s="227" t="s">
        <v>12</v>
      </c>
      <c r="P1747" s="89"/>
      <c r="Q1747" s="230" t="s">
        <v>2377</v>
      </c>
      <c r="R1747" s="506" t="s">
        <v>2727</v>
      </c>
      <c r="S1747" s="92"/>
      <c r="T1747" s="214" t="s">
        <v>2306</v>
      </c>
      <c r="U1747" s="214" t="s">
        <v>3345</v>
      </c>
      <c r="V1747" s="102">
        <v>0</v>
      </c>
      <c r="W1747" s="156">
        <v>0</v>
      </c>
      <c r="X1747" s="120">
        <v>0</v>
      </c>
      <c r="Y1747" s="120">
        <v>0</v>
      </c>
      <c r="Z1747" s="120">
        <v>0</v>
      </c>
      <c r="AA1747" s="17">
        <v>0</v>
      </c>
      <c r="AB1747" s="17">
        <v>0</v>
      </c>
      <c r="AC1747" s="17">
        <v>0</v>
      </c>
      <c r="AD1747" s="17">
        <v>0</v>
      </c>
      <c r="AE1747" s="17">
        <v>0</v>
      </c>
      <c r="AF1747" s="17">
        <v>0</v>
      </c>
      <c r="AG1747" s="17">
        <v>0</v>
      </c>
      <c r="AH1747" s="17">
        <v>0</v>
      </c>
      <c r="AI1747" s="17">
        <v>0</v>
      </c>
      <c r="AJ1747" s="17">
        <v>0</v>
      </c>
      <c r="AK1747" s="17">
        <v>0</v>
      </c>
      <c r="AL1747" s="32">
        <v>0</v>
      </c>
      <c r="AM1747" s="227">
        <v>47.1</v>
      </c>
      <c r="AN1747" s="89"/>
      <c r="AO1747" s="214">
        <v>21.8</v>
      </c>
      <c r="AP1747" s="230">
        <v>32900</v>
      </c>
      <c r="AQ1747" s="171" t="s">
        <v>271</v>
      </c>
      <c r="AR1747" s="229">
        <v>100</v>
      </c>
      <c r="AS1747" s="214"/>
      <c r="AT1747" s="214">
        <v>400</v>
      </c>
      <c r="AU1747" s="255">
        <f t="shared" si="123"/>
        <v>22.222222222222221</v>
      </c>
      <c r="AV1747" s="172">
        <v>99</v>
      </c>
      <c r="AW1747" s="214">
        <v>0.25</v>
      </c>
      <c r="AX1747" s="214">
        <v>20</v>
      </c>
      <c r="AY1747" s="214">
        <v>20</v>
      </c>
      <c r="AZ1747" s="171" t="s">
        <v>521</v>
      </c>
      <c r="BA1747" s="175">
        <v>99</v>
      </c>
      <c r="BB1747" s="259"/>
      <c r="BC1747" s="224"/>
      <c r="BD1747" s="225"/>
      <c r="BE1747" s="225"/>
      <c r="BF1747" s="228" t="s">
        <v>2380</v>
      </c>
      <c r="BG1747" s="26"/>
      <c r="BH1747" s="26"/>
      <c r="BI1747" s="26"/>
      <c r="BJ1747" s="26"/>
      <c r="BK1747" s="26"/>
      <c r="BL1747" s="26"/>
      <c r="BM1747" s="26"/>
      <c r="BN1747" s="26"/>
      <c r="BO1747" s="26"/>
      <c r="BP1747" s="26"/>
      <c r="BQ1747" s="26"/>
      <c r="BR1747" s="26"/>
      <c r="BS1747" s="26"/>
      <c r="BT1747" s="26"/>
      <c r="BU1747" s="26"/>
      <c r="BV1747" s="26"/>
      <c r="BW1747" s="26"/>
      <c r="BX1747" s="26"/>
      <c r="BY1747" s="26"/>
      <c r="BZ1747" s="26"/>
      <c r="CA1747" s="26"/>
      <c r="CB1747" s="26"/>
      <c r="CC1747" s="26"/>
      <c r="CD1747" s="26"/>
    </row>
    <row r="1748" spans="1:82" s="1" customFormat="1">
      <c r="A1748" s="95">
        <v>1747</v>
      </c>
      <c r="B1748" s="211" t="s">
        <v>2381</v>
      </c>
      <c r="C1748" s="191" t="s">
        <v>433</v>
      </c>
      <c r="D1748" s="171" t="s">
        <v>446</v>
      </c>
      <c r="E1748" s="463" t="s">
        <v>3377</v>
      </c>
      <c r="F1748" s="171">
        <v>2003</v>
      </c>
      <c r="G1748" s="89"/>
      <c r="H1748" s="172" t="s">
        <v>1738</v>
      </c>
      <c r="I1748" s="173" t="s">
        <v>1739</v>
      </c>
      <c r="J1748" s="226">
        <v>0.31</v>
      </c>
      <c r="K1748" s="223">
        <v>3.4</v>
      </c>
      <c r="L1748" s="170"/>
      <c r="M1748" s="171">
        <v>500</v>
      </c>
      <c r="N1748" s="171"/>
      <c r="O1748" s="227" t="s">
        <v>12</v>
      </c>
      <c r="P1748" s="89"/>
      <c r="Q1748" s="230" t="s">
        <v>2377</v>
      </c>
      <c r="R1748" s="506" t="s">
        <v>2727</v>
      </c>
      <c r="S1748" s="92"/>
      <c r="T1748" s="214" t="s">
        <v>2306</v>
      </c>
      <c r="U1748" s="214" t="s">
        <v>3345</v>
      </c>
      <c r="V1748" s="102">
        <v>0</v>
      </c>
      <c r="W1748" s="156">
        <v>0</v>
      </c>
      <c r="X1748" s="120">
        <v>0</v>
      </c>
      <c r="Y1748" s="120">
        <v>0</v>
      </c>
      <c r="Z1748" s="120">
        <v>0</v>
      </c>
      <c r="AA1748" s="17">
        <v>0</v>
      </c>
      <c r="AB1748" s="17">
        <v>0</v>
      </c>
      <c r="AC1748" s="17">
        <v>0</v>
      </c>
      <c r="AD1748" s="17">
        <v>0</v>
      </c>
      <c r="AE1748" s="17">
        <v>0</v>
      </c>
      <c r="AF1748" s="17">
        <v>0</v>
      </c>
      <c r="AG1748" s="17">
        <v>0</v>
      </c>
      <c r="AH1748" s="17">
        <v>0</v>
      </c>
      <c r="AI1748" s="17">
        <v>0</v>
      </c>
      <c r="AJ1748" s="17">
        <v>0</v>
      </c>
      <c r="AK1748" s="17">
        <v>0</v>
      </c>
      <c r="AL1748" s="32">
        <v>0</v>
      </c>
      <c r="AM1748" s="227">
        <v>55.5</v>
      </c>
      <c r="AN1748" s="89"/>
      <c r="AO1748" s="214">
        <v>25</v>
      </c>
      <c r="AP1748" s="230">
        <v>34300</v>
      </c>
      <c r="AQ1748" s="171" t="s">
        <v>271</v>
      </c>
      <c r="AR1748" s="229">
        <v>100</v>
      </c>
      <c r="AS1748" s="214"/>
      <c r="AT1748" s="214">
        <v>400</v>
      </c>
      <c r="AU1748" s="255">
        <f t="shared" si="123"/>
        <v>22.222222222222221</v>
      </c>
      <c r="AV1748" s="172">
        <v>99</v>
      </c>
      <c r="AW1748" s="214">
        <v>0.25</v>
      </c>
      <c r="AX1748" s="214">
        <v>20</v>
      </c>
      <c r="AY1748" s="214">
        <v>20</v>
      </c>
      <c r="AZ1748" s="171" t="s">
        <v>521</v>
      </c>
      <c r="BA1748" s="175">
        <v>99</v>
      </c>
      <c r="BB1748" s="259"/>
      <c r="BC1748" s="224"/>
      <c r="BD1748" s="225"/>
      <c r="BE1748" s="225"/>
      <c r="BF1748" s="228" t="s">
        <v>2382</v>
      </c>
      <c r="BG1748" s="26"/>
      <c r="BH1748" s="26"/>
      <c r="BI1748" s="26"/>
      <c r="BJ1748" s="26"/>
      <c r="BK1748" s="26"/>
      <c r="BL1748" s="26"/>
      <c r="BM1748" s="26"/>
      <c r="BN1748" s="26"/>
      <c r="BO1748" s="26"/>
      <c r="BP1748" s="26"/>
      <c r="BQ1748" s="26"/>
      <c r="BR1748" s="26"/>
      <c r="BS1748" s="26"/>
      <c r="BT1748" s="26"/>
      <c r="BU1748" s="26"/>
      <c r="BV1748" s="26"/>
      <c r="BW1748" s="26"/>
      <c r="BX1748" s="26"/>
      <c r="BY1748" s="26"/>
      <c r="BZ1748" s="26"/>
      <c r="CA1748" s="26"/>
      <c r="CB1748" s="26"/>
      <c r="CC1748" s="26"/>
      <c r="CD1748" s="26"/>
    </row>
    <row r="1749" spans="1:82" s="1" customFormat="1">
      <c r="A1749" s="95">
        <v>1748</v>
      </c>
      <c r="B1749" s="211" t="s">
        <v>2383</v>
      </c>
      <c r="C1749" s="191" t="s">
        <v>433</v>
      </c>
      <c r="D1749" s="171" t="s">
        <v>446</v>
      </c>
      <c r="E1749" s="463" t="s">
        <v>3377</v>
      </c>
      <c r="F1749" s="171">
        <v>2003</v>
      </c>
      <c r="G1749" s="89"/>
      <c r="H1749" s="172" t="s">
        <v>1738</v>
      </c>
      <c r="I1749" s="173" t="s">
        <v>1739</v>
      </c>
      <c r="J1749" s="226">
        <v>0.2690909090909091</v>
      </c>
      <c r="K1749" s="223">
        <v>3.0490909090909093</v>
      </c>
      <c r="L1749" s="170"/>
      <c r="M1749" s="171">
        <v>550</v>
      </c>
      <c r="N1749" s="171"/>
      <c r="O1749" s="227" t="s">
        <v>12</v>
      </c>
      <c r="P1749" s="89"/>
      <c r="Q1749" s="230" t="s">
        <v>2377</v>
      </c>
      <c r="R1749" s="506" t="s">
        <v>2727</v>
      </c>
      <c r="S1749" s="92"/>
      <c r="T1749" s="214" t="s">
        <v>2306</v>
      </c>
      <c r="U1749" s="214" t="s">
        <v>3345</v>
      </c>
      <c r="V1749" s="102">
        <v>0</v>
      </c>
      <c r="W1749" s="156">
        <v>0</v>
      </c>
      <c r="X1749" s="120">
        <v>0</v>
      </c>
      <c r="Y1749" s="120">
        <v>0</v>
      </c>
      <c r="Z1749" s="120">
        <v>0</v>
      </c>
      <c r="AA1749" s="17">
        <v>0</v>
      </c>
      <c r="AB1749" s="17">
        <v>0</v>
      </c>
      <c r="AC1749" s="17">
        <v>0</v>
      </c>
      <c r="AD1749" s="17">
        <v>0</v>
      </c>
      <c r="AE1749" s="17">
        <v>0</v>
      </c>
      <c r="AF1749" s="17">
        <v>0</v>
      </c>
      <c r="AG1749" s="17">
        <v>0</v>
      </c>
      <c r="AH1749" s="17">
        <v>0</v>
      </c>
      <c r="AI1749" s="17">
        <v>0</v>
      </c>
      <c r="AJ1749" s="17">
        <v>0</v>
      </c>
      <c r="AK1749" s="17">
        <v>0</v>
      </c>
      <c r="AL1749" s="32">
        <v>0</v>
      </c>
      <c r="AM1749" s="227">
        <v>66.2</v>
      </c>
      <c r="AN1749" s="89"/>
      <c r="AO1749" s="214">
        <v>30.3</v>
      </c>
      <c r="AP1749" s="230">
        <v>36200</v>
      </c>
      <c r="AQ1749" s="171" t="s">
        <v>271</v>
      </c>
      <c r="AR1749" s="229">
        <v>100</v>
      </c>
      <c r="AS1749" s="214"/>
      <c r="AT1749" s="214">
        <v>400</v>
      </c>
      <c r="AU1749" s="255">
        <f t="shared" si="123"/>
        <v>22.222222222222221</v>
      </c>
      <c r="AV1749" s="172">
        <v>99</v>
      </c>
      <c r="AW1749" s="214">
        <v>0.25</v>
      </c>
      <c r="AX1749" s="214">
        <v>20</v>
      </c>
      <c r="AY1749" s="214">
        <v>20</v>
      </c>
      <c r="AZ1749" s="171" t="s">
        <v>521</v>
      </c>
      <c r="BA1749" s="175">
        <v>99</v>
      </c>
      <c r="BB1749" s="259"/>
      <c r="BC1749" s="224"/>
      <c r="BD1749" s="225"/>
      <c r="BE1749" s="225"/>
      <c r="BF1749" s="228" t="s">
        <v>2384</v>
      </c>
      <c r="BG1749" s="26"/>
      <c r="BH1749" s="26"/>
      <c r="BI1749" s="26"/>
      <c r="BJ1749" s="26"/>
      <c r="BK1749" s="26"/>
      <c r="BL1749" s="26"/>
      <c r="BM1749" s="26"/>
      <c r="BN1749" s="26"/>
      <c r="BO1749" s="26"/>
      <c r="BP1749" s="26"/>
      <c r="BQ1749" s="26"/>
      <c r="BR1749" s="26"/>
      <c r="BS1749" s="26"/>
      <c r="BT1749" s="26"/>
      <c r="BU1749" s="26"/>
      <c r="BV1749" s="26"/>
      <c r="BW1749" s="26"/>
      <c r="BX1749" s="26"/>
      <c r="BY1749" s="26"/>
      <c r="BZ1749" s="26"/>
      <c r="CA1749" s="26"/>
      <c r="CB1749" s="26"/>
      <c r="CC1749" s="26"/>
      <c r="CD1749" s="26"/>
    </row>
    <row r="1750" spans="1:82" s="1" customFormat="1">
      <c r="A1750" s="95">
        <v>1749</v>
      </c>
      <c r="B1750" s="211" t="s">
        <v>2385</v>
      </c>
      <c r="C1750" s="191" t="s">
        <v>433</v>
      </c>
      <c r="D1750" s="171" t="s">
        <v>446</v>
      </c>
      <c r="E1750" s="463" t="s">
        <v>3377</v>
      </c>
      <c r="F1750" s="171">
        <v>2003</v>
      </c>
      <c r="G1750" s="89"/>
      <c r="H1750" s="172" t="s">
        <v>1738</v>
      </c>
      <c r="I1750" s="173" t="s">
        <v>1739</v>
      </c>
      <c r="J1750" s="226">
        <v>0.34444444444444444</v>
      </c>
      <c r="K1750" s="223">
        <v>3.7422222222222223</v>
      </c>
      <c r="L1750" s="170"/>
      <c r="M1750" s="171">
        <v>450</v>
      </c>
      <c r="N1750" s="171"/>
      <c r="O1750" s="227" t="s">
        <v>12</v>
      </c>
      <c r="P1750" s="89"/>
      <c r="Q1750" s="230" t="s">
        <v>2377</v>
      </c>
      <c r="R1750" s="506" t="s">
        <v>2727</v>
      </c>
      <c r="S1750" s="92"/>
      <c r="T1750" s="214" t="s">
        <v>2306</v>
      </c>
      <c r="U1750" s="214" t="s">
        <v>3345</v>
      </c>
      <c r="V1750" s="102">
        <v>0</v>
      </c>
      <c r="W1750" s="156">
        <v>11.111111111111111</v>
      </c>
      <c r="X1750" s="120">
        <v>0</v>
      </c>
      <c r="Y1750" s="120">
        <v>0</v>
      </c>
      <c r="Z1750" s="120">
        <v>0</v>
      </c>
      <c r="AA1750" s="17">
        <v>0</v>
      </c>
      <c r="AB1750" s="17">
        <v>0</v>
      </c>
      <c r="AC1750" s="17">
        <v>0</v>
      </c>
      <c r="AD1750" s="17">
        <v>0</v>
      </c>
      <c r="AE1750" s="17">
        <v>0</v>
      </c>
      <c r="AF1750" s="17">
        <v>0</v>
      </c>
      <c r="AG1750" s="17">
        <v>0</v>
      </c>
      <c r="AH1750" s="17">
        <v>0</v>
      </c>
      <c r="AI1750" s="17">
        <v>0</v>
      </c>
      <c r="AJ1750" s="17">
        <v>0</v>
      </c>
      <c r="AK1750" s="17">
        <v>0</v>
      </c>
      <c r="AL1750" s="32">
        <v>0</v>
      </c>
      <c r="AM1750" s="227">
        <v>53.4</v>
      </c>
      <c r="AN1750" s="89"/>
      <c r="AO1750" s="214">
        <v>20.2</v>
      </c>
      <c r="AP1750" s="230">
        <v>34000</v>
      </c>
      <c r="AQ1750" s="171" t="s">
        <v>271</v>
      </c>
      <c r="AR1750" s="229">
        <v>100</v>
      </c>
      <c r="AS1750" s="214"/>
      <c r="AT1750" s="214">
        <v>400</v>
      </c>
      <c r="AU1750" s="255">
        <f t="shared" si="123"/>
        <v>22.222222222222221</v>
      </c>
      <c r="AV1750" s="172">
        <v>99</v>
      </c>
      <c r="AW1750" s="214">
        <v>0.25</v>
      </c>
      <c r="AX1750" s="214">
        <v>20</v>
      </c>
      <c r="AY1750" s="214">
        <v>20</v>
      </c>
      <c r="AZ1750" s="171" t="s">
        <v>521</v>
      </c>
      <c r="BA1750" s="175">
        <v>99</v>
      </c>
      <c r="BB1750" s="259"/>
      <c r="BC1750" s="224"/>
      <c r="BD1750" s="225"/>
      <c r="BE1750" s="225"/>
      <c r="BF1750" s="228" t="s">
        <v>2386</v>
      </c>
      <c r="BG1750" s="26"/>
      <c r="BH1750" s="26"/>
      <c r="BI1750" s="26"/>
      <c r="BJ1750" s="26"/>
      <c r="BK1750" s="26"/>
      <c r="BL1750" s="26"/>
      <c r="BM1750" s="26"/>
      <c r="BN1750" s="26"/>
      <c r="BO1750" s="26"/>
      <c r="BP1750" s="26"/>
      <c r="BQ1750" s="26"/>
      <c r="BR1750" s="26"/>
      <c r="BS1750" s="26"/>
      <c r="BT1750" s="26"/>
      <c r="BU1750" s="26"/>
      <c r="BV1750" s="26"/>
      <c r="BW1750" s="26"/>
      <c r="BX1750" s="26"/>
      <c r="BY1750" s="26"/>
      <c r="BZ1750" s="26"/>
      <c r="CA1750" s="26"/>
      <c r="CB1750" s="26"/>
      <c r="CC1750" s="26"/>
      <c r="CD1750" s="26"/>
    </row>
    <row r="1751" spans="1:82" s="1" customFormat="1">
      <c r="A1751" s="95">
        <v>1750</v>
      </c>
      <c r="B1751" s="211" t="s">
        <v>2387</v>
      </c>
      <c r="C1751" s="191" t="s">
        <v>433</v>
      </c>
      <c r="D1751" s="171" t="s">
        <v>446</v>
      </c>
      <c r="E1751" s="463" t="s">
        <v>3377</v>
      </c>
      <c r="F1751" s="171">
        <v>2003</v>
      </c>
      <c r="G1751" s="89"/>
      <c r="H1751" s="172" t="s">
        <v>1738</v>
      </c>
      <c r="I1751" s="173" t="s">
        <v>1739</v>
      </c>
      <c r="J1751" s="226">
        <v>0.29898989898989897</v>
      </c>
      <c r="K1751" s="223">
        <v>3.3555555555555556</v>
      </c>
      <c r="L1751" s="170"/>
      <c r="M1751" s="171">
        <v>495</v>
      </c>
      <c r="N1751" s="171"/>
      <c r="O1751" s="227" t="s">
        <v>12</v>
      </c>
      <c r="P1751" s="89"/>
      <c r="Q1751" s="230" t="s">
        <v>2377</v>
      </c>
      <c r="R1751" s="506" t="s">
        <v>2727</v>
      </c>
      <c r="S1751" s="92"/>
      <c r="T1751" s="214" t="s">
        <v>2306</v>
      </c>
      <c r="U1751" s="214" t="s">
        <v>3345</v>
      </c>
      <c r="V1751" s="102">
        <v>0</v>
      </c>
      <c r="W1751" s="156">
        <v>11.111111111111111</v>
      </c>
      <c r="X1751" s="120">
        <v>0</v>
      </c>
      <c r="Y1751" s="120">
        <v>0</v>
      </c>
      <c r="Z1751" s="120">
        <v>0</v>
      </c>
      <c r="AA1751" s="17">
        <v>0</v>
      </c>
      <c r="AB1751" s="17">
        <v>0</v>
      </c>
      <c r="AC1751" s="17">
        <v>0</v>
      </c>
      <c r="AD1751" s="17">
        <v>0</v>
      </c>
      <c r="AE1751" s="17">
        <v>0</v>
      </c>
      <c r="AF1751" s="17">
        <v>0</v>
      </c>
      <c r="AG1751" s="17">
        <v>0</v>
      </c>
      <c r="AH1751" s="17">
        <v>0</v>
      </c>
      <c r="AI1751" s="17">
        <v>0</v>
      </c>
      <c r="AJ1751" s="17">
        <v>0</v>
      </c>
      <c r="AK1751" s="17">
        <v>0</v>
      </c>
      <c r="AL1751" s="32">
        <v>0</v>
      </c>
      <c r="AM1751" s="227">
        <v>63.6</v>
      </c>
      <c r="AN1751" s="89"/>
      <c r="AO1751" s="214">
        <v>24.3</v>
      </c>
      <c r="AP1751" s="230">
        <v>35100</v>
      </c>
      <c r="AQ1751" s="171" t="s">
        <v>271</v>
      </c>
      <c r="AR1751" s="229">
        <v>100</v>
      </c>
      <c r="AS1751" s="214"/>
      <c r="AT1751" s="214">
        <v>400</v>
      </c>
      <c r="AU1751" s="255">
        <f t="shared" si="123"/>
        <v>22.222222222222221</v>
      </c>
      <c r="AV1751" s="172">
        <v>99</v>
      </c>
      <c r="AW1751" s="214">
        <v>0.25</v>
      </c>
      <c r="AX1751" s="214">
        <v>20</v>
      </c>
      <c r="AY1751" s="214">
        <v>20</v>
      </c>
      <c r="AZ1751" s="171" t="s">
        <v>521</v>
      </c>
      <c r="BA1751" s="175">
        <v>99</v>
      </c>
      <c r="BB1751" s="259"/>
      <c r="BC1751" s="224"/>
      <c r="BD1751" s="225"/>
      <c r="BE1751" s="225"/>
      <c r="BF1751" s="228" t="s">
        <v>2388</v>
      </c>
      <c r="BG1751" s="26"/>
      <c r="BH1751" s="26"/>
      <c r="BI1751" s="26"/>
      <c r="BJ1751" s="26"/>
      <c r="BK1751" s="26"/>
      <c r="BL1751" s="26"/>
      <c r="BM1751" s="26"/>
      <c r="BN1751" s="26"/>
      <c r="BO1751" s="26"/>
      <c r="BP1751" s="26"/>
      <c r="BQ1751" s="26"/>
      <c r="BR1751" s="26"/>
      <c r="BS1751" s="26"/>
      <c r="BT1751" s="26"/>
      <c r="BU1751" s="26"/>
      <c r="BV1751" s="26"/>
      <c r="BW1751" s="26"/>
      <c r="BX1751" s="26"/>
      <c r="BY1751" s="26"/>
      <c r="BZ1751" s="26"/>
      <c r="CA1751" s="26"/>
      <c r="CB1751" s="26"/>
      <c r="CC1751" s="26"/>
      <c r="CD1751" s="26"/>
    </row>
    <row r="1752" spans="1:82" s="1" customFormat="1">
      <c r="A1752" s="95">
        <v>1751</v>
      </c>
      <c r="B1752" s="211" t="s">
        <v>2389</v>
      </c>
      <c r="C1752" s="191" t="s">
        <v>433</v>
      </c>
      <c r="D1752" s="171" t="s">
        <v>446</v>
      </c>
      <c r="E1752" s="463" t="s">
        <v>3377</v>
      </c>
      <c r="F1752" s="171">
        <v>2003</v>
      </c>
      <c r="G1752" s="89"/>
      <c r="H1752" s="172" t="s">
        <v>1738</v>
      </c>
      <c r="I1752" s="173" t="s">
        <v>1739</v>
      </c>
      <c r="J1752" s="226">
        <v>0.625</v>
      </c>
      <c r="K1752" s="223">
        <v>5.743243243243243</v>
      </c>
      <c r="L1752" s="170"/>
      <c r="M1752" s="171">
        <v>296</v>
      </c>
      <c r="N1752" s="171"/>
      <c r="O1752" s="227" t="s">
        <v>12</v>
      </c>
      <c r="P1752" s="89"/>
      <c r="Q1752" s="230" t="s">
        <v>2377</v>
      </c>
      <c r="R1752" s="506" t="s">
        <v>2727</v>
      </c>
      <c r="S1752" s="92"/>
      <c r="T1752" s="214" t="s">
        <v>2306</v>
      </c>
      <c r="U1752" s="214" t="s">
        <v>3345</v>
      </c>
      <c r="V1752" s="102">
        <v>0</v>
      </c>
      <c r="W1752" s="156">
        <v>25</v>
      </c>
      <c r="X1752" s="120">
        <v>0</v>
      </c>
      <c r="Y1752" s="120">
        <v>0</v>
      </c>
      <c r="Z1752" s="120">
        <v>0</v>
      </c>
      <c r="AA1752" s="17">
        <v>0</v>
      </c>
      <c r="AB1752" s="17">
        <v>0</v>
      </c>
      <c r="AC1752" s="17">
        <v>0</v>
      </c>
      <c r="AD1752" s="17">
        <v>0</v>
      </c>
      <c r="AE1752" s="17">
        <v>0</v>
      </c>
      <c r="AF1752" s="17">
        <v>0</v>
      </c>
      <c r="AG1752" s="17">
        <v>0</v>
      </c>
      <c r="AH1752" s="17">
        <v>0</v>
      </c>
      <c r="AI1752" s="17">
        <v>0</v>
      </c>
      <c r="AJ1752" s="17">
        <v>0</v>
      </c>
      <c r="AK1752" s="17">
        <v>0</v>
      </c>
      <c r="AL1752" s="32">
        <v>0</v>
      </c>
      <c r="AM1752" s="227">
        <v>29.3</v>
      </c>
      <c r="AN1752" s="89"/>
      <c r="AO1752" s="214">
        <v>6.1</v>
      </c>
      <c r="AP1752" s="230">
        <v>26700</v>
      </c>
      <c r="AQ1752" s="171" t="s">
        <v>271</v>
      </c>
      <c r="AR1752" s="229">
        <v>100</v>
      </c>
      <c r="AS1752" s="214"/>
      <c r="AT1752" s="214">
        <v>400</v>
      </c>
      <c r="AU1752" s="255">
        <f t="shared" si="123"/>
        <v>22.222222222222221</v>
      </c>
      <c r="AV1752" s="172">
        <v>99</v>
      </c>
      <c r="AW1752" s="214">
        <v>0.25</v>
      </c>
      <c r="AX1752" s="214">
        <v>20</v>
      </c>
      <c r="AY1752" s="214">
        <v>20</v>
      </c>
      <c r="AZ1752" s="171" t="s">
        <v>521</v>
      </c>
      <c r="BA1752" s="175">
        <v>99</v>
      </c>
      <c r="BB1752" s="259"/>
      <c r="BC1752" s="224"/>
      <c r="BD1752" s="224"/>
      <c r="BE1752" s="224"/>
      <c r="BF1752" s="231" t="s">
        <v>2390</v>
      </c>
      <c r="BG1752" s="26"/>
      <c r="BH1752" s="26"/>
      <c r="BI1752" s="26"/>
      <c r="BJ1752" s="26"/>
      <c r="BK1752" s="26"/>
      <c r="BL1752" s="26"/>
      <c r="BM1752" s="26"/>
      <c r="BN1752" s="26"/>
      <c r="BO1752" s="26"/>
      <c r="BP1752" s="26"/>
      <c r="BQ1752" s="26"/>
      <c r="BR1752" s="26"/>
      <c r="BS1752" s="26"/>
      <c r="BT1752" s="26"/>
      <c r="BU1752" s="26"/>
      <c r="BV1752" s="26"/>
      <c r="BW1752" s="26"/>
      <c r="BX1752" s="26"/>
      <c r="BY1752" s="26"/>
      <c r="BZ1752" s="26"/>
      <c r="CA1752" s="26"/>
      <c r="CB1752" s="26"/>
      <c r="CC1752" s="26"/>
      <c r="CD1752" s="26"/>
    </row>
    <row r="1753" spans="1:82" s="1" customFormat="1">
      <c r="A1753" s="95">
        <v>1752</v>
      </c>
      <c r="B1753" s="211" t="s">
        <v>2391</v>
      </c>
      <c r="C1753" s="191" t="s">
        <v>433</v>
      </c>
      <c r="D1753" s="171" t="s">
        <v>446</v>
      </c>
      <c r="E1753" s="463" t="s">
        <v>3377</v>
      </c>
      <c r="F1753" s="171">
        <v>2003</v>
      </c>
      <c r="G1753" s="89"/>
      <c r="H1753" s="172" t="s">
        <v>1738</v>
      </c>
      <c r="I1753" s="173" t="s">
        <v>1739</v>
      </c>
      <c r="J1753" s="226">
        <v>0.43888888888888888</v>
      </c>
      <c r="K1753" s="223">
        <v>4.7333333333333334</v>
      </c>
      <c r="L1753" s="170"/>
      <c r="M1753" s="171">
        <v>360</v>
      </c>
      <c r="N1753" s="171"/>
      <c r="O1753" s="227" t="s">
        <v>12</v>
      </c>
      <c r="P1753" s="89"/>
      <c r="Q1753" s="230" t="s">
        <v>2377</v>
      </c>
      <c r="R1753" s="506" t="s">
        <v>2727</v>
      </c>
      <c r="S1753" s="92"/>
      <c r="T1753" s="214" t="s">
        <v>2306</v>
      </c>
      <c r="U1753" s="214" t="s">
        <v>3345</v>
      </c>
      <c r="V1753" s="102">
        <v>0</v>
      </c>
      <c r="W1753" s="156">
        <v>25</v>
      </c>
      <c r="X1753" s="120">
        <v>0</v>
      </c>
      <c r="Y1753" s="120">
        <v>0</v>
      </c>
      <c r="Z1753" s="120">
        <v>0</v>
      </c>
      <c r="AA1753" s="17">
        <v>0</v>
      </c>
      <c r="AB1753" s="17">
        <v>0</v>
      </c>
      <c r="AC1753" s="17">
        <v>0</v>
      </c>
      <c r="AD1753" s="17">
        <v>0</v>
      </c>
      <c r="AE1753" s="17">
        <v>0</v>
      </c>
      <c r="AF1753" s="17">
        <v>0</v>
      </c>
      <c r="AG1753" s="17">
        <v>0</v>
      </c>
      <c r="AH1753" s="17">
        <v>0</v>
      </c>
      <c r="AI1753" s="17">
        <v>0</v>
      </c>
      <c r="AJ1753" s="17">
        <v>0</v>
      </c>
      <c r="AK1753" s="17">
        <v>0</v>
      </c>
      <c r="AL1753" s="32">
        <v>0</v>
      </c>
      <c r="AM1753" s="227">
        <v>45.9</v>
      </c>
      <c r="AN1753" s="89"/>
      <c r="AO1753" s="214">
        <v>14</v>
      </c>
      <c r="AP1753" s="230">
        <v>32400</v>
      </c>
      <c r="AQ1753" s="171" t="s">
        <v>271</v>
      </c>
      <c r="AR1753" s="229">
        <v>100</v>
      </c>
      <c r="AS1753" s="214"/>
      <c r="AT1753" s="214">
        <v>400</v>
      </c>
      <c r="AU1753" s="255">
        <f t="shared" si="123"/>
        <v>22.222222222222221</v>
      </c>
      <c r="AV1753" s="172">
        <v>99</v>
      </c>
      <c r="AW1753" s="214">
        <v>0.25</v>
      </c>
      <c r="AX1753" s="214">
        <v>20</v>
      </c>
      <c r="AY1753" s="214">
        <v>20</v>
      </c>
      <c r="AZ1753" s="171" t="s">
        <v>521</v>
      </c>
      <c r="BA1753" s="175">
        <v>99</v>
      </c>
      <c r="BB1753" s="259"/>
      <c r="BC1753" s="224"/>
      <c r="BD1753" s="225"/>
      <c r="BE1753" s="225"/>
      <c r="BF1753" s="228" t="s">
        <v>2392</v>
      </c>
      <c r="BG1753" s="26"/>
      <c r="BH1753" s="26"/>
      <c r="BI1753" s="26"/>
      <c r="BJ1753" s="26"/>
      <c r="BK1753" s="26"/>
      <c r="BL1753" s="26"/>
      <c r="BM1753" s="26"/>
      <c r="BN1753" s="26"/>
      <c r="BO1753" s="26"/>
      <c r="BP1753" s="26"/>
      <c r="BQ1753" s="26"/>
      <c r="BR1753" s="26"/>
      <c r="BS1753" s="26"/>
      <c r="BT1753" s="26"/>
      <c r="BU1753" s="26"/>
      <c r="BV1753" s="26"/>
      <c r="BW1753" s="26"/>
      <c r="BX1753" s="26"/>
      <c r="BY1753" s="26"/>
      <c r="BZ1753" s="26"/>
      <c r="CA1753" s="26"/>
      <c r="CB1753" s="26"/>
      <c r="CC1753" s="26"/>
      <c r="CD1753" s="26"/>
    </row>
    <row r="1754" spans="1:82" s="1" customFormat="1">
      <c r="A1754" s="95">
        <v>1753</v>
      </c>
      <c r="B1754" s="211" t="s">
        <v>2393</v>
      </c>
      <c r="C1754" s="191" t="s">
        <v>433</v>
      </c>
      <c r="D1754" s="171" t="s">
        <v>446</v>
      </c>
      <c r="E1754" s="463" t="s">
        <v>3377</v>
      </c>
      <c r="F1754" s="171">
        <v>2003</v>
      </c>
      <c r="G1754" s="89"/>
      <c r="H1754" s="172" t="s">
        <v>1738</v>
      </c>
      <c r="I1754" s="173" t="s">
        <v>1739</v>
      </c>
      <c r="J1754" s="226">
        <v>0.38750000000000001</v>
      </c>
      <c r="K1754" s="223">
        <v>4.17</v>
      </c>
      <c r="L1754" s="170"/>
      <c r="M1754" s="171">
        <v>400</v>
      </c>
      <c r="N1754" s="171"/>
      <c r="O1754" s="227" t="s">
        <v>12</v>
      </c>
      <c r="P1754" s="89"/>
      <c r="Q1754" s="230" t="s">
        <v>2377</v>
      </c>
      <c r="R1754" s="506" t="s">
        <v>2727</v>
      </c>
      <c r="S1754" s="92"/>
      <c r="T1754" s="214" t="s">
        <v>2306</v>
      </c>
      <c r="U1754" s="214" t="s">
        <v>3345</v>
      </c>
      <c r="V1754" s="102">
        <v>0</v>
      </c>
      <c r="W1754" s="156">
        <v>25</v>
      </c>
      <c r="X1754" s="120">
        <v>0</v>
      </c>
      <c r="Y1754" s="120">
        <v>0</v>
      </c>
      <c r="Z1754" s="120">
        <v>0</v>
      </c>
      <c r="AA1754" s="17">
        <v>0</v>
      </c>
      <c r="AB1754" s="17">
        <v>0</v>
      </c>
      <c r="AC1754" s="17">
        <v>0</v>
      </c>
      <c r="AD1754" s="17">
        <v>0</v>
      </c>
      <c r="AE1754" s="17">
        <v>0</v>
      </c>
      <c r="AF1754" s="17">
        <v>0</v>
      </c>
      <c r="AG1754" s="17">
        <v>0</v>
      </c>
      <c r="AH1754" s="17">
        <v>0</v>
      </c>
      <c r="AI1754" s="17">
        <v>0</v>
      </c>
      <c r="AJ1754" s="17">
        <v>0</v>
      </c>
      <c r="AK1754" s="17">
        <v>0</v>
      </c>
      <c r="AL1754" s="32">
        <v>0</v>
      </c>
      <c r="AM1754" s="227">
        <v>52.6</v>
      </c>
      <c r="AN1754" s="89"/>
      <c r="AO1754" s="214">
        <v>14.2</v>
      </c>
      <c r="AP1754" s="230">
        <v>33600</v>
      </c>
      <c r="AQ1754" s="171" t="s">
        <v>271</v>
      </c>
      <c r="AR1754" s="229">
        <v>100</v>
      </c>
      <c r="AS1754" s="214"/>
      <c r="AT1754" s="214">
        <v>400</v>
      </c>
      <c r="AU1754" s="255">
        <f t="shared" si="123"/>
        <v>22.222222222222221</v>
      </c>
      <c r="AV1754" s="172">
        <v>99</v>
      </c>
      <c r="AW1754" s="214">
        <v>0.25</v>
      </c>
      <c r="AX1754" s="214">
        <v>20</v>
      </c>
      <c r="AY1754" s="214">
        <v>20</v>
      </c>
      <c r="AZ1754" s="171" t="s">
        <v>521</v>
      </c>
      <c r="BA1754" s="175">
        <v>99</v>
      </c>
      <c r="BB1754" s="259"/>
      <c r="BC1754" s="224"/>
      <c r="BD1754" s="225"/>
      <c r="BE1754" s="225"/>
      <c r="BF1754" s="228" t="s">
        <v>2394</v>
      </c>
      <c r="BG1754" s="26"/>
      <c r="BH1754" s="26"/>
      <c r="BI1754" s="26"/>
      <c r="BJ1754" s="26"/>
      <c r="BK1754" s="26"/>
      <c r="BL1754" s="26"/>
      <c r="BM1754" s="26"/>
      <c r="BN1754" s="26"/>
      <c r="BO1754" s="26"/>
      <c r="BP1754" s="26"/>
      <c r="BQ1754" s="26"/>
      <c r="BR1754" s="26"/>
      <c r="BS1754" s="26"/>
      <c r="BT1754" s="26"/>
      <c r="BU1754" s="26"/>
      <c r="BV1754" s="26"/>
      <c r="BW1754" s="26"/>
      <c r="BX1754" s="26"/>
      <c r="BY1754" s="26"/>
      <c r="BZ1754" s="26"/>
      <c r="CA1754" s="26"/>
      <c r="CB1754" s="26"/>
      <c r="CC1754" s="26"/>
      <c r="CD1754" s="26"/>
    </row>
    <row r="1755" spans="1:82" s="1" customFormat="1">
      <c r="A1755" s="95">
        <v>1754</v>
      </c>
      <c r="B1755" s="211" t="s">
        <v>2395</v>
      </c>
      <c r="C1755" s="191" t="s">
        <v>433</v>
      </c>
      <c r="D1755" s="171" t="s">
        <v>446</v>
      </c>
      <c r="E1755" s="463" t="s">
        <v>3377</v>
      </c>
      <c r="F1755" s="171">
        <v>2003</v>
      </c>
      <c r="G1755" s="89"/>
      <c r="H1755" s="172" t="s">
        <v>1738</v>
      </c>
      <c r="I1755" s="173" t="s">
        <v>1739</v>
      </c>
      <c r="J1755" s="226">
        <v>0.33636363636363636</v>
      </c>
      <c r="K1755" s="223">
        <v>3.7340909090909089</v>
      </c>
      <c r="L1755" s="170"/>
      <c r="M1755" s="171">
        <v>440</v>
      </c>
      <c r="N1755" s="171"/>
      <c r="O1755" s="227" t="s">
        <v>12</v>
      </c>
      <c r="P1755" s="89"/>
      <c r="Q1755" s="230" t="s">
        <v>2377</v>
      </c>
      <c r="R1755" s="506" t="s">
        <v>2727</v>
      </c>
      <c r="S1755" s="92"/>
      <c r="T1755" s="214" t="s">
        <v>2306</v>
      </c>
      <c r="U1755" s="214" t="s">
        <v>3345</v>
      </c>
      <c r="V1755" s="102">
        <v>0</v>
      </c>
      <c r="W1755" s="156">
        <v>25</v>
      </c>
      <c r="X1755" s="120">
        <v>0</v>
      </c>
      <c r="Y1755" s="120">
        <v>0</v>
      </c>
      <c r="Z1755" s="120">
        <v>0</v>
      </c>
      <c r="AA1755" s="17">
        <v>0</v>
      </c>
      <c r="AB1755" s="17">
        <v>0</v>
      </c>
      <c r="AC1755" s="17">
        <v>0</v>
      </c>
      <c r="AD1755" s="17">
        <v>0</v>
      </c>
      <c r="AE1755" s="17">
        <v>0</v>
      </c>
      <c r="AF1755" s="17">
        <v>0</v>
      </c>
      <c r="AG1755" s="17">
        <v>0</v>
      </c>
      <c r="AH1755" s="17">
        <v>0</v>
      </c>
      <c r="AI1755" s="17">
        <v>0</v>
      </c>
      <c r="AJ1755" s="17">
        <v>0</v>
      </c>
      <c r="AK1755" s="17">
        <v>0</v>
      </c>
      <c r="AL1755" s="32">
        <v>0</v>
      </c>
      <c r="AM1755" s="227">
        <v>62.4</v>
      </c>
      <c r="AN1755" s="89"/>
      <c r="AO1755" s="214">
        <v>13.4</v>
      </c>
      <c r="AP1755" s="230">
        <v>34500</v>
      </c>
      <c r="AQ1755" s="171" t="s">
        <v>271</v>
      </c>
      <c r="AR1755" s="229">
        <v>100</v>
      </c>
      <c r="AS1755" s="214"/>
      <c r="AT1755" s="214">
        <v>400</v>
      </c>
      <c r="AU1755" s="255">
        <f t="shared" si="123"/>
        <v>22.222222222222221</v>
      </c>
      <c r="AV1755" s="172">
        <v>99</v>
      </c>
      <c r="AW1755" s="214">
        <v>0.25</v>
      </c>
      <c r="AX1755" s="214">
        <v>20</v>
      </c>
      <c r="AY1755" s="214">
        <v>20</v>
      </c>
      <c r="AZ1755" s="171" t="s">
        <v>521</v>
      </c>
      <c r="BA1755" s="175">
        <v>99</v>
      </c>
      <c r="BB1755" s="259"/>
      <c r="BC1755" s="224"/>
      <c r="BD1755" s="225"/>
      <c r="BE1755" s="225"/>
      <c r="BF1755" s="228" t="s">
        <v>2396</v>
      </c>
      <c r="BG1755" s="26"/>
      <c r="BH1755" s="26"/>
      <c r="BI1755" s="26"/>
      <c r="BJ1755" s="26"/>
      <c r="BK1755" s="26"/>
      <c r="BL1755" s="26"/>
      <c r="BM1755" s="26"/>
      <c r="BN1755" s="26"/>
      <c r="BO1755" s="26"/>
      <c r="BP1755" s="26"/>
      <c r="BQ1755" s="26"/>
      <c r="BR1755" s="26"/>
      <c r="BS1755" s="26"/>
      <c r="BT1755" s="26"/>
      <c r="BU1755" s="26"/>
      <c r="BV1755" s="26"/>
      <c r="BW1755" s="26"/>
      <c r="BX1755" s="26"/>
      <c r="BY1755" s="26"/>
      <c r="BZ1755" s="26"/>
      <c r="CA1755" s="26"/>
      <c r="CB1755" s="26"/>
      <c r="CC1755" s="26"/>
      <c r="CD1755" s="26"/>
    </row>
    <row r="1756" spans="1:82" s="1" customFormat="1">
      <c r="A1756" s="95">
        <v>1755</v>
      </c>
      <c r="B1756" s="211" t="s">
        <v>2397</v>
      </c>
      <c r="C1756" s="191" t="s">
        <v>433</v>
      </c>
      <c r="D1756" s="171" t="s">
        <v>446</v>
      </c>
      <c r="E1756" s="463" t="s">
        <v>3377</v>
      </c>
      <c r="F1756" s="171">
        <v>2003</v>
      </c>
      <c r="G1756" s="89"/>
      <c r="H1756" s="172" t="s">
        <v>1738</v>
      </c>
      <c r="I1756" s="173" t="s">
        <v>1739</v>
      </c>
      <c r="J1756" s="226">
        <v>0.44285714285714284</v>
      </c>
      <c r="K1756" s="223">
        <v>4.72</v>
      </c>
      <c r="L1756" s="170"/>
      <c r="M1756" s="171">
        <v>350</v>
      </c>
      <c r="N1756" s="171"/>
      <c r="O1756" s="227" t="s">
        <v>12</v>
      </c>
      <c r="P1756" s="89"/>
      <c r="Q1756" s="230" t="s">
        <v>2377</v>
      </c>
      <c r="R1756" s="506" t="s">
        <v>2727</v>
      </c>
      <c r="S1756" s="92"/>
      <c r="T1756" s="214" t="s">
        <v>2306</v>
      </c>
      <c r="U1756" s="214" t="s">
        <v>3345</v>
      </c>
      <c r="V1756" s="102">
        <v>0</v>
      </c>
      <c r="W1756" s="156">
        <v>42.857142857142854</v>
      </c>
      <c r="X1756" s="120">
        <v>0</v>
      </c>
      <c r="Y1756" s="120">
        <v>0</v>
      </c>
      <c r="Z1756" s="120">
        <v>0</v>
      </c>
      <c r="AA1756" s="17">
        <v>0</v>
      </c>
      <c r="AB1756" s="17">
        <v>0</v>
      </c>
      <c r="AC1756" s="17">
        <v>0</v>
      </c>
      <c r="AD1756" s="17">
        <v>0</v>
      </c>
      <c r="AE1756" s="17">
        <v>0</v>
      </c>
      <c r="AF1756" s="17">
        <v>0</v>
      </c>
      <c r="AG1756" s="17">
        <v>0</v>
      </c>
      <c r="AH1756" s="17">
        <v>0</v>
      </c>
      <c r="AI1756" s="17">
        <v>0</v>
      </c>
      <c r="AJ1756" s="17">
        <v>0</v>
      </c>
      <c r="AK1756" s="17">
        <v>0</v>
      </c>
      <c r="AL1756" s="32">
        <v>0</v>
      </c>
      <c r="AM1756" s="227">
        <v>49.3</v>
      </c>
      <c r="AN1756" s="89"/>
      <c r="AO1756" s="214">
        <v>5.6</v>
      </c>
      <c r="AP1756" s="230">
        <v>32800</v>
      </c>
      <c r="AQ1756" s="171" t="s">
        <v>271</v>
      </c>
      <c r="AR1756" s="229">
        <v>100</v>
      </c>
      <c r="AS1756" s="214"/>
      <c r="AT1756" s="214">
        <v>400</v>
      </c>
      <c r="AU1756" s="255">
        <f t="shared" si="123"/>
        <v>22.222222222222221</v>
      </c>
      <c r="AV1756" s="172">
        <v>99</v>
      </c>
      <c r="AW1756" s="214">
        <v>0.25</v>
      </c>
      <c r="AX1756" s="214">
        <v>20</v>
      </c>
      <c r="AY1756" s="214">
        <v>20</v>
      </c>
      <c r="AZ1756" s="171" t="s">
        <v>521</v>
      </c>
      <c r="BA1756" s="175">
        <v>99</v>
      </c>
      <c r="BB1756" s="259"/>
      <c r="BC1756" s="224"/>
      <c r="BD1756" s="225"/>
      <c r="BE1756" s="225"/>
      <c r="BF1756" s="228" t="s">
        <v>2398</v>
      </c>
      <c r="BG1756" s="26"/>
      <c r="BH1756" s="26"/>
      <c r="BI1756" s="26"/>
      <c r="BJ1756" s="26"/>
      <c r="BK1756" s="26"/>
      <c r="BL1756" s="26"/>
      <c r="BM1756" s="26"/>
      <c r="BN1756" s="26"/>
      <c r="BO1756" s="26"/>
      <c r="BP1756" s="26"/>
      <c r="BQ1756" s="26"/>
      <c r="BR1756" s="26"/>
      <c r="BS1756" s="26"/>
      <c r="BT1756" s="26"/>
      <c r="BU1756" s="26"/>
      <c r="BV1756" s="26"/>
      <c r="BW1756" s="26"/>
      <c r="BX1756" s="26"/>
      <c r="BY1756" s="26"/>
      <c r="BZ1756" s="26"/>
      <c r="CA1756" s="26"/>
      <c r="CB1756" s="26"/>
      <c r="CC1756" s="26"/>
      <c r="CD1756" s="26"/>
    </row>
    <row r="1757" spans="1:82" s="1" customFormat="1">
      <c r="A1757" s="95">
        <v>1756</v>
      </c>
      <c r="B1757" s="211" t="s">
        <v>2399</v>
      </c>
      <c r="C1757" s="191" t="s">
        <v>433</v>
      </c>
      <c r="D1757" s="171" t="s">
        <v>446</v>
      </c>
      <c r="E1757" s="463" t="s">
        <v>3377</v>
      </c>
      <c r="F1757" s="171">
        <v>2003</v>
      </c>
      <c r="G1757" s="89"/>
      <c r="H1757" s="172" t="s">
        <v>1738</v>
      </c>
      <c r="I1757" s="173" t="s">
        <v>1739</v>
      </c>
      <c r="J1757" s="226">
        <v>0.38441558441558443</v>
      </c>
      <c r="K1757" s="223">
        <v>4.220779220779221</v>
      </c>
      <c r="L1757" s="170"/>
      <c r="M1757" s="171">
        <v>385</v>
      </c>
      <c r="N1757" s="171"/>
      <c r="O1757" s="227" t="s">
        <v>12</v>
      </c>
      <c r="P1757" s="89"/>
      <c r="Q1757" s="230" t="s">
        <v>2377</v>
      </c>
      <c r="R1757" s="506" t="s">
        <v>2727</v>
      </c>
      <c r="S1757" s="92"/>
      <c r="T1757" s="214" t="s">
        <v>2306</v>
      </c>
      <c r="U1757" s="214" t="s">
        <v>3345</v>
      </c>
      <c r="V1757" s="102">
        <v>0</v>
      </c>
      <c r="W1757" s="156">
        <v>42.857142857142854</v>
      </c>
      <c r="X1757" s="120">
        <v>0</v>
      </c>
      <c r="Y1757" s="120">
        <v>0</v>
      </c>
      <c r="Z1757" s="120">
        <v>0</v>
      </c>
      <c r="AA1757" s="17">
        <v>0</v>
      </c>
      <c r="AB1757" s="17">
        <v>0</v>
      </c>
      <c r="AC1757" s="17">
        <v>0</v>
      </c>
      <c r="AD1757" s="17">
        <v>0</v>
      </c>
      <c r="AE1757" s="17">
        <v>0</v>
      </c>
      <c r="AF1757" s="17">
        <v>0</v>
      </c>
      <c r="AG1757" s="17">
        <v>0</v>
      </c>
      <c r="AH1757" s="17">
        <v>0</v>
      </c>
      <c r="AI1757" s="17">
        <v>0</v>
      </c>
      <c r="AJ1757" s="17">
        <v>0</v>
      </c>
      <c r="AK1757" s="17">
        <v>0</v>
      </c>
      <c r="AL1757" s="32">
        <v>0</v>
      </c>
      <c r="AM1757" s="227">
        <v>55.8</v>
      </c>
      <c r="AN1757" s="89"/>
      <c r="AO1757" s="214">
        <v>4.7</v>
      </c>
      <c r="AP1757" s="230">
        <v>35000</v>
      </c>
      <c r="AQ1757" s="171" t="s">
        <v>271</v>
      </c>
      <c r="AR1757" s="229">
        <v>100</v>
      </c>
      <c r="AS1757" s="214"/>
      <c r="AT1757" s="214">
        <v>400</v>
      </c>
      <c r="AU1757" s="255">
        <f t="shared" si="123"/>
        <v>22.222222222222221</v>
      </c>
      <c r="AV1757" s="172">
        <v>99</v>
      </c>
      <c r="AW1757" s="214">
        <v>0.25</v>
      </c>
      <c r="AX1757" s="214">
        <v>20</v>
      </c>
      <c r="AY1757" s="214">
        <v>20</v>
      </c>
      <c r="AZ1757" s="171" t="s">
        <v>521</v>
      </c>
      <c r="BA1757" s="175">
        <v>99</v>
      </c>
      <c r="BB1757" s="259"/>
      <c r="BC1757" s="224"/>
      <c r="BD1757" s="225"/>
      <c r="BE1757" s="225"/>
      <c r="BF1757" s="228" t="s">
        <v>2400</v>
      </c>
      <c r="BG1757" s="26"/>
      <c r="BH1757" s="26"/>
      <c r="BI1757" s="26"/>
      <c r="BJ1757" s="26"/>
      <c r="BK1757" s="26"/>
      <c r="BL1757" s="26"/>
      <c r="BM1757" s="26"/>
      <c r="BN1757" s="26"/>
      <c r="BO1757" s="26"/>
      <c r="BP1757" s="26"/>
      <c r="BQ1757" s="26"/>
      <c r="BR1757" s="26"/>
      <c r="BS1757" s="26"/>
      <c r="BT1757" s="26"/>
      <c r="BU1757" s="26"/>
      <c r="BV1757" s="26"/>
      <c r="BW1757" s="26"/>
      <c r="BX1757" s="26"/>
      <c r="BY1757" s="26"/>
      <c r="BZ1757" s="26"/>
      <c r="CA1757" s="26"/>
      <c r="CB1757" s="26"/>
      <c r="CC1757" s="26"/>
      <c r="CD1757" s="26"/>
    </row>
    <row r="1758" spans="1:82" s="1" customFormat="1">
      <c r="A1758" s="95">
        <v>1757</v>
      </c>
      <c r="B1758" s="211" t="s">
        <v>2401</v>
      </c>
      <c r="C1758" s="191" t="s">
        <v>2402</v>
      </c>
      <c r="D1758" s="171" t="s">
        <v>253</v>
      </c>
      <c r="E1758" s="463" t="s">
        <v>3377</v>
      </c>
      <c r="F1758" s="171">
        <v>2002</v>
      </c>
      <c r="G1758" s="89"/>
      <c r="H1758" s="172" t="s">
        <v>1738</v>
      </c>
      <c r="I1758" s="173" t="s">
        <v>1739</v>
      </c>
      <c r="J1758" s="226">
        <v>0.37</v>
      </c>
      <c r="K1758" s="213">
        <v>0</v>
      </c>
      <c r="L1758" s="91"/>
      <c r="M1758" s="171" t="s">
        <v>521</v>
      </c>
      <c r="N1758" s="171"/>
      <c r="O1758" s="172" t="s">
        <v>521</v>
      </c>
      <c r="P1758" s="92"/>
      <c r="Q1758" s="173" t="s">
        <v>521</v>
      </c>
      <c r="R1758" s="92"/>
      <c r="S1758" s="92"/>
      <c r="T1758" s="214" t="s">
        <v>521</v>
      </c>
      <c r="U1758" s="171" t="s">
        <v>521</v>
      </c>
      <c r="V1758" s="144">
        <v>5.2</v>
      </c>
      <c r="W1758" s="120">
        <v>0</v>
      </c>
      <c r="X1758" s="120">
        <v>0</v>
      </c>
      <c r="Y1758" s="120">
        <v>0</v>
      </c>
      <c r="Z1758" s="120">
        <v>0</v>
      </c>
      <c r="AA1758" s="17">
        <v>0</v>
      </c>
      <c r="AB1758" s="17">
        <v>0</v>
      </c>
      <c r="AC1758" s="17">
        <v>0</v>
      </c>
      <c r="AD1758" s="17">
        <v>0</v>
      </c>
      <c r="AE1758" s="17">
        <v>0</v>
      </c>
      <c r="AF1758" s="72">
        <v>1.7</v>
      </c>
      <c r="AG1758" s="17">
        <v>0.2</v>
      </c>
      <c r="AH1758" s="17">
        <v>0</v>
      </c>
      <c r="AI1758" s="17">
        <v>0</v>
      </c>
      <c r="AJ1758" s="17">
        <v>0</v>
      </c>
      <c r="AK1758" s="17">
        <v>0</v>
      </c>
      <c r="AL1758" s="32">
        <v>0</v>
      </c>
      <c r="AM1758" s="227" t="s">
        <v>521</v>
      </c>
      <c r="AN1758" s="89"/>
      <c r="AO1758" s="171" t="s">
        <v>521</v>
      </c>
      <c r="AP1758" s="173" t="s">
        <v>521</v>
      </c>
      <c r="AQ1758" s="89"/>
      <c r="AR1758" s="89"/>
      <c r="AS1758" s="89"/>
      <c r="AT1758" s="171" t="s">
        <v>521</v>
      </c>
      <c r="AU1758" s="89"/>
      <c r="AV1758" s="172">
        <v>99</v>
      </c>
      <c r="AW1758" s="214">
        <v>0.31</v>
      </c>
      <c r="AX1758" s="214">
        <v>20</v>
      </c>
      <c r="AY1758" s="214">
        <v>21</v>
      </c>
      <c r="AZ1758" s="171" t="s">
        <v>521</v>
      </c>
      <c r="BA1758" s="175">
        <v>99</v>
      </c>
      <c r="BB1758" s="259"/>
      <c r="BC1758" s="224"/>
      <c r="BD1758" s="225"/>
      <c r="BE1758" s="225"/>
      <c r="BF1758" s="228" t="s">
        <v>2403</v>
      </c>
      <c r="BG1758" s="26"/>
      <c r="BH1758" s="26"/>
      <c r="BI1758" s="26"/>
      <c r="BJ1758" s="26"/>
      <c r="BK1758" s="26"/>
      <c r="BL1758" s="26"/>
      <c r="BM1758" s="26"/>
      <c r="BN1758" s="26"/>
      <c r="BO1758" s="26"/>
      <c r="BP1758" s="26"/>
      <c r="BQ1758" s="26"/>
      <c r="BR1758" s="26"/>
      <c r="BS1758" s="26"/>
      <c r="BT1758" s="26"/>
      <c r="BU1758" s="26"/>
      <c r="BV1758" s="26"/>
      <c r="BW1758" s="26"/>
      <c r="BX1758" s="26"/>
      <c r="BY1758" s="26"/>
      <c r="BZ1758" s="26"/>
      <c r="CA1758" s="26"/>
      <c r="CB1758" s="26"/>
      <c r="CC1758" s="26"/>
      <c r="CD1758" s="26"/>
    </row>
    <row r="1759" spans="1:82" s="1" customFormat="1">
      <c r="A1759" s="95">
        <v>1758</v>
      </c>
      <c r="B1759" s="211" t="s">
        <v>2404</v>
      </c>
      <c r="C1759" s="191" t="s">
        <v>2405</v>
      </c>
      <c r="D1759" s="171" t="s">
        <v>251</v>
      </c>
      <c r="E1759" s="463" t="s">
        <v>3377</v>
      </c>
      <c r="F1759" s="171">
        <v>2011</v>
      </c>
      <c r="G1759" s="89"/>
      <c r="H1759" s="172" t="s">
        <v>1738</v>
      </c>
      <c r="I1759" s="173" t="s">
        <v>1739</v>
      </c>
      <c r="J1759" s="226">
        <f>155/M1759</f>
        <v>0.16672044745616865</v>
      </c>
      <c r="K1759" s="223">
        <v>1.547811121867269</v>
      </c>
      <c r="L1759" s="170"/>
      <c r="M1759" s="229">
        <v>929.7</v>
      </c>
      <c r="N1759" s="229"/>
      <c r="O1759" s="227" t="s">
        <v>120</v>
      </c>
      <c r="P1759" s="92"/>
      <c r="Q1759" s="230" t="s">
        <v>2406</v>
      </c>
      <c r="R1759" s="171" t="s">
        <v>2733</v>
      </c>
      <c r="S1759" s="92"/>
      <c r="T1759" s="214" t="s">
        <v>2306</v>
      </c>
      <c r="U1759" s="214" t="s">
        <v>2310</v>
      </c>
      <c r="V1759" s="144">
        <v>10.3</v>
      </c>
      <c r="W1759" s="120">
        <v>0</v>
      </c>
      <c r="X1759" s="120">
        <v>0</v>
      </c>
      <c r="Y1759" s="120">
        <v>0</v>
      </c>
      <c r="Z1759" s="120">
        <v>0</v>
      </c>
      <c r="AA1759" s="17">
        <v>0</v>
      </c>
      <c r="AB1759" s="17">
        <v>0</v>
      </c>
      <c r="AC1759" s="17">
        <v>0</v>
      </c>
      <c r="AD1759" s="17">
        <v>0</v>
      </c>
      <c r="AE1759" s="17">
        <v>0</v>
      </c>
      <c r="AF1759" s="151">
        <v>2.7750887383026783</v>
      </c>
      <c r="AG1759" s="17">
        <v>0</v>
      </c>
      <c r="AH1759" s="17">
        <v>0</v>
      </c>
      <c r="AI1759" s="17">
        <v>0</v>
      </c>
      <c r="AJ1759" s="17">
        <v>0</v>
      </c>
      <c r="AK1759" s="17">
        <v>0</v>
      </c>
      <c r="AL1759" s="152">
        <v>0</v>
      </c>
      <c r="AM1759" s="785">
        <v>79.646000000000001</v>
      </c>
      <c r="AN1759" s="89"/>
      <c r="AO1759" s="214">
        <v>52</v>
      </c>
      <c r="AP1759" s="230">
        <v>52300</v>
      </c>
      <c r="AQ1759" s="171" t="s">
        <v>271</v>
      </c>
      <c r="AR1759" s="229">
        <v>100</v>
      </c>
      <c r="AS1759" s="214"/>
      <c r="AT1759" s="214">
        <v>400</v>
      </c>
      <c r="AU1759" s="255">
        <f t="shared" ref="AU1759:AU1766" si="124">IF(ISBLANK(AS1759),(AR1759*AT1759)/((4*AT1759)+(2*AR1759)),AR1759*AS1759*AT1759/2/(AR1759*AS1759+AR1759*AT1759+AS1759*AT1759))</f>
        <v>22.222222222222221</v>
      </c>
      <c r="AV1759" s="172">
        <v>99</v>
      </c>
      <c r="AW1759" s="214">
        <v>0.01</v>
      </c>
      <c r="AX1759" s="214">
        <v>20</v>
      </c>
      <c r="AY1759" s="214">
        <v>20</v>
      </c>
      <c r="AZ1759" s="171" t="s">
        <v>521</v>
      </c>
      <c r="BA1759" s="175">
        <v>99</v>
      </c>
      <c r="BB1759" s="259"/>
      <c r="BC1759" s="224"/>
      <c r="BD1759" s="225"/>
      <c r="BE1759" s="225"/>
      <c r="BF1759" s="228" t="s">
        <v>2407</v>
      </c>
      <c r="BG1759" s="26"/>
      <c r="BH1759" s="26"/>
      <c r="BI1759" s="26"/>
      <c r="BJ1759" s="26"/>
      <c r="BK1759" s="26"/>
      <c r="BL1759" s="26"/>
      <c r="BM1759" s="26"/>
      <c r="BN1759" s="26"/>
      <c r="BO1759" s="26"/>
      <c r="BP1759" s="26"/>
      <c r="BQ1759" s="26"/>
      <c r="BR1759" s="26"/>
      <c r="BS1759" s="26"/>
      <c r="BT1759" s="26"/>
      <c r="BU1759" s="26"/>
      <c r="BV1759" s="26"/>
      <c r="BW1759" s="26"/>
      <c r="BX1759" s="26"/>
      <c r="BY1759" s="26"/>
      <c r="BZ1759" s="26"/>
      <c r="CA1759" s="26"/>
      <c r="CB1759" s="26"/>
      <c r="CC1759" s="26"/>
      <c r="CD1759" s="26"/>
    </row>
    <row r="1760" spans="1:82" s="1" customFormat="1">
      <c r="A1760" s="95">
        <v>1759</v>
      </c>
      <c r="B1760" s="211" t="s">
        <v>2408</v>
      </c>
      <c r="C1760" s="191" t="s">
        <v>2405</v>
      </c>
      <c r="D1760" s="171" t="s">
        <v>251</v>
      </c>
      <c r="E1760" s="463" t="s">
        <v>3377</v>
      </c>
      <c r="F1760" s="171">
        <v>2011</v>
      </c>
      <c r="G1760" s="89"/>
      <c r="H1760" s="172" t="s">
        <v>1738</v>
      </c>
      <c r="I1760" s="173" t="s">
        <v>1739</v>
      </c>
      <c r="J1760" s="226">
        <f>155/M1760</f>
        <v>0.25552258489943946</v>
      </c>
      <c r="K1760" s="223">
        <v>2.8602044180679194</v>
      </c>
      <c r="L1760" s="170"/>
      <c r="M1760" s="229">
        <v>606.6</v>
      </c>
      <c r="N1760" s="229"/>
      <c r="O1760" s="227" t="s">
        <v>120</v>
      </c>
      <c r="P1760" s="92"/>
      <c r="Q1760" s="230" t="s">
        <v>2406</v>
      </c>
      <c r="R1760" s="171" t="s">
        <v>2733</v>
      </c>
      <c r="S1760" s="92"/>
      <c r="T1760" s="214" t="s">
        <v>2306</v>
      </c>
      <c r="U1760" s="214" t="s">
        <v>2310</v>
      </c>
      <c r="V1760" s="144">
        <v>67.400000000000006</v>
      </c>
      <c r="W1760" s="120">
        <v>0</v>
      </c>
      <c r="X1760" s="120">
        <v>0</v>
      </c>
      <c r="Y1760" s="120">
        <v>0</v>
      </c>
      <c r="Z1760" s="120">
        <v>0</v>
      </c>
      <c r="AA1760" s="17">
        <v>0</v>
      </c>
      <c r="AB1760" s="17">
        <v>0</v>
      </c>
      <c r="AC1760" s="17">
        <v>0</v>
      </c>
      <c r="AD1760" s="17">
        <v>0</v>
      </c>
      <c r="AE1760" s="17">
        <v>0</v>
      </c>
      <c r="AF1760" s="151">
        <v>1.4441147378832837</v>
      </c>
      <c r="AG1760" s="17">
        <v>0</v>
      </c>
      <c r="AH1760" s="17">
        <v>0</v>
      </c>
      <c r="AI1760" s="17">
        <v>0</v>
      </c>
      <c r="AJ1760" s="17">
        <v>0</v>
      </c>
      <c r="AK1760" s="17">
        <v>0</v>
      </c>
      <c r="AL1760" s="32">
        <v>0</v>
      </c>
      <c r="AM1760" s="785">
        <v>127.965</v>
      </c>
      <c r="AN1760" s="89"/>
      <c r="AO1760" s="214">
        <v>29.1</v>
      </c>
      <c r="AP1760" s="230">
        <v>45800</v>
      </c>
      <c r="AQ1760" s="171" t="s">
        <v>271</v>
      </c>
      <c r="AR1760" s="229">
        <v>100</v>
      </c>
      <c r="AS1760" s="214"/>
      <c r="AT1760" s="214">
        <v>400</v>
      </c>
      <c r="AU1760" s="255">
        <f t="shared" si="124"/>
        <v>22.222222222222221</v>
      </c>
      <c r="AV1760" s="172">
        <v>99</v>
      </c>
      <c r="AW1760" s="214">
        <v>0.01</v>
      </c>
      <c r="AX1760" s="214">
        <v>20</v>
      </c>
      <c r="AY1760" s="214">
        <v>20</v>
      </c>
      <c r="AZ1760" s="171" t="s">
        <v>521</v>
      </c>
      <c r="BA1760" s="175">
        <v>99</v>
      </c>
      <c r="BB1760" s="259"/>
      <c r="BC1760" s="224"/>
      <c r="BD1760" s="225"/>
      <c r="BE1760" s="225"/>
      <c r="BF1760" s="228" t="s">
        <v>2409</v>
      </c>
      <c r="BG1760" s="26"/>
      <c r="BH1760" s="26"/>
      <c r="BI1760" s="26"/>
      <c r="BJ1760" s="26"/>
      <c r="BK1760" s="26"/>
      <c r="BL1760" s="26"/>
      <c r="BM1760" s="26"/>
      <c r="BN1760" s="26"/>
      <c r="BO1760" s="26"/>
      <c r="BP1760" s="26"/>
      <c r="BQ1760" s="26"/>
      <c r="BR1760" s="26"/>
      <c r="BS1760" s="26"/>
      <c r="BT1760" s="26"/>
      <c r="BU1760" s="26"/>
      <c r="BV1760" s="26"/>
      <c r="BW1760" s="26"/>
      <c r="BX1760" s="26"/>
      <c r="BY1760" s="26"/>
      <c r="BZ1760" s="26"/>
      <c r="CA1760" s="26"/>
      <c r="CB1760" s="26"/>
      <c r="CC1760" s="26"/>
      <c r="CD1760" s="26"/>
    </row>
    <row r="1761" spans="1:82" s="1" customFormat="1">
      <c r="A1761" s="95">
        <v>1760</v>
      </c>
      <c r="B1761" s="211" t="s">
        <v>2410</v>
      </c>
      <c r="C1761" s="191" t="s">
        <v>2405</v>
      </c>
      <c r="D1761" s="171" t="s">
        <v>251</v>
      </c>
      <c r="E1761" s="463" t="s">
        <v>3377</v>
      </c>
      <c r="F1761" s="171">
        <v>2011</v>
      </c>
      <c r="G1761" s="89"/>
      <c r="H1761" s="172" t="s">
        <v>1738</v>
      </c>
      <c r="I1761" s="173" t="s">
        <v>1739</v>
      </c>
      <c r="J1761" s="226">
        <f>155/M1761</f>
        <v>0.3331184182248012</v>
      </c>
      <c r="K1761" s="223">
        <v>4.0167633784655061</v>
      </c>
      <c r="L1761" s="170"/>
      <c r="M1761" s="229">
        <v>465.3</v>
      </c>
      <c r="N1761" s="229"/>
      <c r="O1761" s="227" t="s">
        <v>120</v>
      </c>
      <c r="P1761" s="92"/>
      <c r="Q1761" s="230" t="s">
        <v>2406</v>
      </c>
      <c r="R1761" s="171" t="s">
        <v>2733</v>
      </c>
      <c r="S1761" s="92"/>
      <c r="T1761" s="214" t="s">
        <v>2306</v>
      </c>
      <c r="U1761" s="214" t="s">
        <v>2310</v>
      </c>
      <c r="V1761" s="144">
        <v>51.7</v>
      </c>
      <c r="W1761" s="120">
        <v>0</v>
      </c>
      <c r="X1761" s="120">
        <v>0</v>
      </c>
      <c r="Y1761" s="120">
        <v>0</v>
      </c>
      <c r="Z1761" s="120">
        <v>0</v>
      </c>
      <c r="AA1761" s="17">
        <v>0</v>
      </c>
      <c r="AB1761" s="17">
        <v>0</v>
      </c>
      <c r="AC1761" s="17">
        <v>0</v>
      </c>
      <c r="AD1761" s="17">
        <v>0</v>
      </c>
      <c r="AE1761" s="17">
        <v>0</v>
      </c>
      <c r="AF1761" s="151">
        <v>0.99935525467440367</v>
      </c>
      <c r="AG1761" s="17">
        <v>0</v>
      </c>
      <c r="AH1761" s="17">
        <v>0</v>
      </c>
      <c r="AI1761" s="17">
        <v>0</v>
      </c>
      <c r="AJ1761" s="17">
        <v>0</v>
      </c>
      <c r="AK1761" s="17">
        <v>0</v>
      </c>
      <c r="AL1761" s="152">
        <v>0</v>
      </c>
      <c r="AM1761" s="785">
        <v>115.221</v>
      </c>
      <c r="AN1761" s="89"/>
      <c r="AO1761" s="214">
        <v>19.600000000000001</v>
      </c>
      <c r="AP1761" s="230">
        <v>41600</v>
      </c>
      <c r="AQ1761" s="171" t="s">
        <v>271</v>
      </c>
      <c r="AR1761" s="229">
        <v>100</v>
      </c>
      <c r="AS1761" s="214"/>
      <c r="AT1761" s="214">
        <v>400</v>
      </c>
      <c r="AU1761" s="255">
        <f t="shared" si="124"/>
        <v>22.222222222222221</v>
      </c>
      <c r="AV1761" s="172">
        <v>99</v>
      </c>
      <c r="AW1761" s="214">
        <v>0.01</v>
      </c>
      <c r="AX1761" s="214">
        <v>20</v>
      </c>
      <c r="AY1761" s="214">
        <v>20</v>
      </c>
      <c r="AZ1761" s="171" t="s">
        <v>521</v>
      </c>
      <c r="BA1761" s="175">
        <v>99</v>
      </c>
      <c r="BB1761" s="259"/>
      <c r="BC1761" s="224"/>
      <c r="BD1761" s="225"/>
      <c r="BE1761" s="225"/>
      <c r="BF1761" s="228" t="s">
        <v>2411</v>
      </c>
      <c r="BG1761" s="26"/>
      <c r="BH1761" s="26"/>
      <c r="BI1761" s="26"/>
      <c r="BJ1761" s="26"/>
      <c r="BK1761" s="26"/>
      <c r="BL1761" s="26"/>
      <c r="BM1761" s="26"/>
      <c r="BN1761" s="26"/>
      <c r="BO1761" s="26"/>
      <c r="BP1761" s="26"/>
      <c r="BQ1761" s="26"/>
      <c r="BR1761" s="26"/>
      <c r="BS1761" s="26"/>
      <c r="BT1761" s="26"/>
      <c r="BU1761" s="26"/>
      <c r="BV1761" s="26"/>
      <c r="BW1761" s="26"/>
      <c r="BX1761" s="26"/>
      <c r="BY1761" s="26"/>
      <c r="BZ1761" s="26"/>
      <c r="CA1761" s="26"/>
      <c r="CB1761" s="26"/>
      <c r="CC1761" s="26"/>
      <c r="CD1761" s="26"/>
    </row>
    <row r="1762" spans="1:82" s="1" customFormat="1">
      <c r="A1762" s="95">
        <v>1761</v>
      </c>
      <c r="B1762" s="211" t="s">
        <v>2412</v>
      </c>
      <c r="C1762" s="191" t="s">
        <v>2405</v>
      </c>
      <c r="D1762" s="171" t="s">
        <v>251</v>
      </c>
      <c r="E1762" s="463" t="s">
        <v>3377</v>
      </c>
      <c r="F1762" s="171">
        <v>2011</v>
      </c>
      <c r="G1762" s="89"/>
      <c r="H1762" s="172" t="s">
        <v>1738</v>
      </c>
      <c r="I1762" s="173" t="s">
        <v>1739</v>
      </c>
      <c r="J1762" s="226">
        <f>149/M1762</f>
        <v>0.16262824710761842</v>
      </c>
      <c r="K1762" s="223">
        <v>1.5706177690460597</v>
      </c>
      <c r="L1762" s="170"/>
      <c r="M1762" s="229">
        <v>916.2</v>
      </c>
      <c r="N1762" s="229"/>
      <c r="O1762" s="227" t="s">
        <v>120</v>
      </c>
      <c r="P1762" s="92"/>
      <c r="Q1762" s="230" t="s">
        <v>2406</v>
      </c>
      <c r="R1762" s="171" t="s">
        <v>2733</v>
      </c>
      <c r="S1762" s="92"/>
      <c r="T1762" s="214" t="s">
        <v>2306</v>
      </c>
      <c r="U1762" s="214" t="s">
        <v>2310</v>
      </c>
      <c r="V1762" s="144">
        <v>10.199999999999999</v>
      </c>
      <c r="W1762" s="120">
        <v>0</v>
      </c>
      <c r="X1762" s="120">
        <v>0</v>
      </c>
      <c r="Y1762" s="120">
        <v>0</v>
      </c>
      <c r="Z1762" s="120">
        <v>0</v>
      </c>
      <c r="AA1762" s="17">
        <v>0</v>
      </c>
      <c r="AB1762" s="17">
        <v>0</v>
      </c>
      <c r="AC1762" s="17">
        <v>0</v>
      </c>
      <c r="AD1762" s="17">
        <v>0</v>
      </c>
      <c r="AE1762" s="17">
        <v>0</v>
      </c>
      <c r="AF1762" s="151">
        <v>2.8159790438768826</v>
      </c>
      <c r="AG1762" s="17">
        <v>0</v>
      </c>
      <c r="AH1762" s="17">
        <v>0.65</v>
      </c>
      <c r="AI1762" s="17">
        <v>0</v>
      </c>
      <c r="AJ1762" s="17">
        <v>0</v>
      </c>
      <c r="AK1762" s="17">
        <v>1.64</v>
      </c>
      <c r="AL1762" s="32">
        <v>0</v>
      </c>
      <c r="AM1762" s="785">
        <v>104.071</v>
      </c>
      <c r="AN1762" s="89"/>
      <c r="AO1762" s="214">
        <v>40.200000000000003</v>
      </c>
      <c r="AP1762" s="230">
        <v>50400</v>
      </c>
      <c r="AQ1762" s="171" t="s">
        <v>271</v>
      </c>
      <c r="AR1762" s="229">
        <v>100</v>
      </c>
      <c r="AS1762" s="214"/>
      <c r="AT1762" s="214">
        <v>400</v>
      </c>
      <c r="AU1762" s="255">
        <f t="shared" si="124"/>
        <v>22.222222222222221</v>
      </c>
      <c r="AV1762" s="172">
        <v>99</v>
      </c>
      <c r="AW1762" s="214">
        <v>0.01</v>
      </c>
      <c r="AX1762" s="214">
        <v>20</v>
      </c>
      <c r="AY1762" s="214">
        <v>20</v>
      </c>
      <c r="AZ1762" s="171" t="s">
        <v>521</v>
      </c>
      <c r="BA1762" s="175">
        <v>99</v>
      </c>
      <c r="BB1762" s="259"/>
      <c r="BC1762" s="224"/>
      <c r="BD1762" s="225"/>
      <c r="BE1762" s="225"/>
      <c r="BF1762" s="228" t="s">
        <v>2413</v>
      </c>
      <c r="BG1762" s="26"/>
      <c r="BH1762" s="26"/>
      <c r="BI1762" s="26"/>
      <c r="BJ1762" s="26"/>
      <c r="BK1762" s="26"/>
      <c r="BL1762" s="26"/>
      <c r="BM1762" s="26"/>
      <c r="BN1762" s="26"/>
      <c r="BO1762" s="26"/>
      <c r="BP1762" s="26"/>
      <c r="BQ1762" s="26"/>
      <c r="BR1762" s="26"/>
      <c r="BS1762" s="26"/>
      <c r="BT1762" s="26"/>
      <c r="BU1762" s="26"/>
      <c r="BV1762" s="26"/>
      <c r="BW1762" s="26"/>
      <c r="BX1762" s="26"/>
      <c r="BY1762" s="26"/>
      <c r="BZ1762" s="26"/>
      <c r="CA1762" s="26"/>
      <c r="CB1762" s="26"/>
      <c r="CC1762" s="26"/>
      <c r="CD1762" s="26"/>
    </row>
    <row r="1763" spans="1:82" s="1" customFormat="1">
      <c r="A1763" s="95">
        <v>1762</v>
      </c>
      <c r="B1763" s="211" t="s">
        <v>2414</v>
      </c>
      <c r="C1763" s="191" t="s">
        <v>2405</v>
      </c>
      <c r="D1763" s="171" t="s">
        <v>251</v>
      </c>
      <c r="E1763" s="463" t="s">
        <v>3377</v>
      </c>
      <c r="F1763" s="171">
        <v>2011</v>
      </c>
      <c r="G1763" s="89"/>
      <c r="H1763" s="172" t="s">
        <v>1738</v>
      </c>
      <c r="I1763" s="173" t="s">
        <v>1739</v>
      </c>
      <c r="J1763" s="226">
        <f>149/M1763</f>
        <v>0.16343095316441811</v>
      </c>
      <c r="K1763" s="223">
        <v>1.5783700778764944</v>
      </c>
      <c r="L1763" s="170"/>
      <c r="M1763" s="229">
        <v>911.7</v>
      </c>
      <c r="N1763" s="229"/>
      <c r="O1763" s="227" t="s">
        <v>120</v>
      </c>
      <c r="P1763" s="92"/>
      <c r="Q1763" s="230" t="s">
        <v>2406</v>
      </c>
      <c r="R1763" s="171" t="s">
        <v>2733</v>
      </c>
      <c r="S1763" s="92"/>
      <c r="T1763" s="214" t="s">
        <v>2306</v>
      </c>
      <c r="U1763" s="214" t="s">
        <v>2310</v>
      </c>
      <c r="V1763" s="144">
        <v>10.1</v>
      </c>
      <c r="W1763" s="120">
        <v>0</v>
      </c>
      <c r="X1763" s="120">
        <v>0</v>
      </c>
      <c r="Y1763" s="120">
        <v>0</v>
      </c>
      <c r="Z1763" s="120">
        <v>0</v>
      </c>
      <c r="AA1763" s="17">
        <v>0</v>
      </c>
      <c r="AB1763" s="17">
        <v>0</v>
      </c>
      <c r="AC1763" s="17">
        <v>0</v>
      </c>
      <c r="AD1763" s="17">
        <v>0</v>
      </c>
      <c r="AE1763" s="17">
        <v>0</v>
      </c>
      <c r="AF1763" s="151">
        <v>2.5556652407590215</v>
      </c>
      <c r="AG1763" s="17">
        <v>0</v>
      </c>
      <c r="AH1763" s="17">
        <v>0.66</v>
      </c>
      <c r="AI1763" s="17">
        <v>0</v>
      </c>
      <c r="AJ1763" s="17">
        <v>0</v>
      </c>
      <c r="AK1763" s="17">
        <v>2.19</v>
      </c>
      <c r="AL1763" s="152">
        <v>0</v>
      </c>
      <c r="AM1763" s="785">
        <v>127.434</v>
      </c>
      <c r="AN1763" s="89"/>
      <c r="AO1763" s="214">
        <v>33.9</v>
      </c>
      <c r="AP1763" s="230">
        <v>52000</v>
      </c>
      <c r="AQ1763" s="171" t="s">
        <v>271</v>
      </c>
      <c r="AR1763" s="229">
        <v>100</v>
      </c>
      <c r="AS1763" s="214"/>
      <c r="AT1763" s="214">
        <v>400</v>
      </c>
      <c r="AU1763" s="255">
        <f t="shared" si="124"/>
        <v>22.222222222222221</v>
      </c>
      <c r="AV1763" s="172">
        <v>99</v>
      </c>
      <c r="AW1763" s="214">
        <v>0.01</v>
      </c>
      <c r="AX1763" s="214">
        <v>20</v>
      </c>
      <c r="AY1763" s="214">
        <v>20</v>
      </c>
      <c r="AZ1763" s="171" t="s">
        <v>521</v>
      </c>
      <c r="BA1763" s="175">
        <v>99</v>
      </c>
      <c r="BB1763" s="259"/>
      <c r="BC1763" s="224"/>
      <c r="BD1763" s="225"/>
      <c r="BE1763" s="225"/>
      <c r="BF1763" s="228" t="s">
        <v>2415</v>
      </c>
      <c r="BG1763" s="26"/>
      <c r="BH1763" s="26"/>
      <c r="BI1763" s="26"/>
      <c r="BJ1763" s="26"/>
      <c r="BK1763" s="26"/>
      <c r="BL1763" s="26"/>
      <c r="BM1763" s="26"/>
      <c r="BN1763" s="26"/>
      <c r="BO1763" s="26"/>
      <c r="BP1763" s="26"/>
      <c r="BQ1763" s="26"/>
      <c r="BR1763" s="26"/>
      <c r="BS1763" s="26"/>
      <c r="BT1763" s="26"/>
      <c r="BU1763" s="26"/>
      <c r="BV1763" s="26"/>
      <c r="BW1763" s="26"/>
      <c r="BX1763" s="26"/>
      <c r="BY1763" s="26"/>
      <c r="BZ1763" s="26"/>
      <c r="CA1763" s="26"/>
      <c r="CB1763" s="26"/>
      <c r="CC1763" s="26"/>
      <c r="CD1763" s="26"/>
    </row>
    <row r="1764" spans="1:82" s="1" customFormat="1">
      <c r="A1764" s="95">
        <v>1763</v>
      </c>
      <c r="B1764" s="211" t="s">
        <v>2416</v>
      </c>
      <c r="C1764" s="191" t="s">
        <v>2405</v>
      </c>
      <c r="D1764" s="171" t="s">
        <v>251</v>
      </c>
      <c r="E1764" s="463" t="s">
        <v>3377</v>
      </c>
      <c r="F1764" s="171">
        <v>2011</v>
      </c>
      <c r="G1764" s="89"/>
      <c r="H1764" s="172" t="s">
        <v>1738</v>
      </c>
      <c r="I1764" s="173" t="s">
        <v>1739</v>
      </c>
      <c r="J1764" s="226">
        <f>149/M1764</f>
        <v>0.16424162257495589</v>
      </c>
      <c r="K1764" s="223">
        <v>1.5861992945326278</v>
      </c>
      <c r="L1764" s="170"/>
      <c r="M1764" s="229">
        <v>907.2</v>
      </c>
      <c r="N1764" s="229"/>
      <c r="O1764" s="227" t="s">
        <v>120</v>
      </c>
      <c r="P1764" s="92"/>
      <c r="Q1764" s="230" t="s">
        <v>2406</v>
      </c>
      <c r="R1764" s="171" t="s">
        <v>2733</v>
      </c>
      <c r="S1764" s="92"/>
      <c r="T1764" s="214" t="s">
        <v>2306</v>
      </c>
      <c r="U1764" s="214" t="s">
        <v>2310</v>
      </c>
      <c r="V1764" s="144">
        <v>10</v>
      </c>
      <c r="W1764" s="120">
        <v>0</v>
      </c>
      <c r="X1764" s="120">
        <v>0</v>
      </c>
      <c r="Y1764" s="120">
        <v>0</v>
      </c>
      <c r="Z1764" s="120">
        <v>0</v>
      </c>
      <c r="AA1764" s="17">
        <v>0</v>
      </c>
      <c r="AB1764" s="17">
        <v>0</v>
      </c>
      <c r="AC1764" s="17">
        <v>0</v>
      </c>
      <c r="AD1764" s="17">
        <v>0</v>
      </c>
      <c r="AE1764" s="17">
        <v>0</v>
      </c>
      <c r="AF1764" s="151">
        <v>2.8439153439153437</v>
      </c>
      <c r="AG1764" s="17">
        <v>0</v>
      </c>
      <c r="AH1764" s="17">
        <v>0.66</v>
      </c>
      <c r="AI1764" s="17">
        <v>0</v>
      </c>
      <c r="AJ1764" s="17">
        <v>0</v>
      </c>
      <c r="AK1764" s="17">
        <v>2.76</v>
      </c>
      <c r="AL1764" s="32">
        <v>0</v>
      </c>
      <c r="AM1764" s="785">
        <v>87.610600000000005</v>
      </c>
      <c r="AN1764" s="89"/>
      <c r="AO1764" s="214">
        <v>39.200000000000003</v>
      </c>
      <c r="AP1764" s="230">
        <v>50400</v>
      </c>
      <c r="AQ1764" s="171" t="s">
        <v>271</v>
      </c>
      <c r="AR1764" s="229">
        <v>100</v>
      </c>
      <c r="AS1764" s="214"/>
      <c r="AT1764" s="214">
        <v>400</v>
      </c>
      <c r="AU1764" s="255">
        <f t="shared" si="124"/>
        <v>22.222222222222221</v>
      </c>
      <c r="AV1764" s="172">
        <v>99</v>
      </c>
      <c r="AW1764" s="214">
        <v>0.01</v>
      </c>
      <c r="AX1764" s="214">
        <v>20</v>
      </c>
      <c r="AY1764" s="214">
        <v>20</v>
      </c>
      <c r="AZ1764" s="171" t="s">
        <v>521</v>
      </c>
      <c r="BA1764" s="175">
        <v>99</v>
      </c>
      <c r="BB1764" s="259"/>
      <c r="BC1764" s="224"/>
      <c r="BD1764" s="225"/>
      <c r="BE1764" s="225"/>
      <c r="BF1764" s="228" t="s">
        <v>2417</v>
      </c>
      <c r="BG1764" s="26"/>
      <c r="BH1764" s="26"/>
      <c r="BI1764" s="26"/>
      <c r="BJ1764" s="26"/>
      <c r="BK1764" s="26"/>
      <c r="BL1764" s="26"/>
      <c r="BM1764" s="26"/>
      <c r="BN1764" s="26"/>
      <c r="BO1764" s="26"/>
      <c r="BP1764" s="26"/>
      <c r="BQ1764" s="26"/>
      <c r="BR1764" s="26"/>
      <c r="BS1764" s="26"/>
      <c r="BT1764" s="26"/>
      <c r="BU1764" s="26"/>
      <c r="BV1764" s="26"/>
      <c r="BW1764" s="26"/>
      <c r="BX1764" s="26"/>
      <c r="BY1764" s="26"/>
      <c r="BZ1764" s="26"/>
      <c r="CA1764" s="26"/>
      <c r="CB1764" s="26"/>
      <c r="CC1764" s="26"/>
      <c r="CD1764" s="26"/>
    </row>
    <row r="1765" spans="1:82" s="1" customFormat="1">
      <c r="A1765" s="95">
        <v>1764</v>
      </c>
      <c r="B1765" s="211" t="s">
        <v>2418</v>
      </c>
      <c r="C1765" s="191" t="s">
        <v>2405</v>
      </c>
      <c r="D1765" s="171" t="s">
        <v>251</v>
      </c>
      <c r="E1765" s="463" t="s">
        <v>3377</v>
      </c>
      <c r="F1765" s="171">
        <v>2011</v>
      </c>
      <c r="G1765" s="89"/>
      <c r="H1765" s="172" t="s">
        <v>1738</v>
      </c>
      <c r="I1765" s="173" t="s">
        <v>1739</v>
      </c>
      <c r="J1765" s="226">
        <f>149/M1765</f>
        <v>0.25314305130818893</v>
      </c>
      <c r="K1765" s="223">
        <v>2.947672443085287</v>
      </c>
      <c r="L1765" s="170"/>
      <c r="M1765" s="229">
        <v>588.6</v>
      </c>
      <c r="N1765" s="229"/>
      <c r="O1765" s="227" t="s">
        <v>120</v>
      </c>
      <c r="P1765" s="92"/>
      <c r="Q1765" s="230" t="s">
        <v>2406</v>
      </c>
      <c r="R1765" s="171" t="s">
        <v>2733</v>
      </c>
      <c r="S1765" s="92"/>
      <c r="T1765" s="214" t="s">
        <v>2306</v>
      </c>
      <c r="U1765" s="214" t="s">
        <v>2310</v>
      </c>
      <c r="V1765" s="144">
        <v>65.400000000000006</v>
      </c>
      <c r="W1765" s="120">
        <v>0</v>
      </c>
      <c r="X1765" s="120">
        <v>0</v>
      </c>
      <c r="Y1765" s="120">
        <v>0</v>
      </c>
      <c r="Z1765" s="120">
        <v>0</v>
      </c>
      <c r="AA1765" s="17">
        <v>0</v>
      </c>
      <c r="AB1765" s="17">
        <v>0</v>
      </c>
      <c r="AC1765" s="17">
        <v>0</v>
      </c>
      <c r="AD1765" s="17">
        <v>0</v>
      </c>
      <c r="AE1765" s="17">
        <v>0</v>
      </c>
      <c r="AF1765" s="151">
        <v>1.4882772680937817</v>
      </c>
      <c r="AG1765" s="17">
        <v>0</v>
      </c>
      <c r="AH1765" s="17">
        <v>1.02</v>
      </c>
      <c r="AI1765" s="17">
        <v>0</v>
      </c>
      <c r="AJ1765" s="17">
        <v>0</v>
      </c>
      <c r="AK1765" s="17">
        <v>3.4</v>
      </c>
      <c r="AL1765" s="32">
        <v>0</v>
      </c>
      <c r="AM1765" s="785">
        <v>115.752</v>
      </c>
      <c r="AN1765" s="89"/>
      <c r="AO1765" s="214">
        <v>25.4</v>
      </c>
      <c r="AP1765" s="230">
        <v>43500</v>
      </c>
      <c r="AQ1765" s="171" t="s">
        <v>271</v>
      </c>
      <c r="AR1765" s="229">
        <v>100</v>
      </c>
      <c r="AS1765" s="214"/>
      <c r="AT1765" s="214">
        <v>400</v>
      </c>
      <c r="AU1765" s="255">
        <f t="shared" si="124"/>
        <v>22.222222222222221</v>
      </c>
      <c r="AV1765" s="172">
        <v>99</v>
      </c>
      <c r="AW1765" s="214">
        <v>0.01</v>
      </c>
      <c r="AX1765" s="214">
        <v>20</v>
      </c>
      <c r="AY1765" s="214">
        <v>20</v>
      </c>
      <c r="AZ1765" s="171" t="s">
        <v>521</v>
      </c>
      <c r="BA1765" s="175">
        <v>99</v>
      </c>
      <c r="BB1765" s="259"/>
      <c r="BC1765" s="224"/>
      <c r="BD1765" s="225"/>
      <c r="BE1765" s="225"/>
      <c r="BF1765" s="228" t="s">
        <v>2419</v>
      </c>
      <c r="BG1765" s="26"/>
      <c r="BH1765" s="26"/>
      <c r="BI1765" s="26"/>
      <c r="BJ1765" s="26"/>
      <c r="BK1765" s="26"/>
      <c r="BL1765" s="26"/>
      <c r="BM1765" s="26"/>
      <c r="BN1765" s="26"/>
      <c r="BO1765" s="26"/>
      <c r="BP1765" s="26"/>
      <c r="BQ1765" s="26"/>
      <c r="BR1765" s="26"/>
      <c r="BS1765" s="26"/>
      <c r="BT1765" s="26"/>
      <c r="BU1765" s="26"/>
      <c r="BV1765" s="26"/>
      <c r="BW1765" s="26"/>
      <c r="BX1765" s="26"/>
      <c r="BY1765" s="26"/>
      <c r="BZ1765" s="26"/>
      <c r="CA1765" s="26"/>
      <c r="CB1765" s="26"/>
      <c r="CC1765" s="26"/>
      <c r="CD1765" s="26"/>
    </row>
    <row r="1766" spans="1:82" s="1" customFormat="1">
      <c r="A1766" s="95">
        <v>1765</v>
      </c>
      <c r="B1766" s="211" t="s">
        <v>2420</v>
      </c>
      <c r="C1766" s="191" t="s">
        <v>2405</v>
      </c>
      <c r="D1766" s="171" t="s">
        <v>251</v>
      </c>
      <c r="E1766" s="463" t="s">
        <v>3377</v>
      </c>
      <c r="F1766" s="171">
        <v>2011</v>
      </c>
      <c r="G1766" s="89"/>
      <c r="H1766" s="172" t="s">
        <v>1738</v>
      </c>
      <c r="I1766" s="173" t="s">
        <v>1739</v>
      </c>
      <c r="J1766" s="226">
        <f>149/M1766</f>
        <v>0.33310976972948803</v>
      </c>
      <c r="K1766" s="223">
        <v>4.1784037558685441</v>
      </c>
      <c r="L1766" s="170"/>
      <c r="M1766" s="229">
        <v>447.3</v>
      </c>
      <c r="N1766" s="229"/>
      <c r="O1766" s="227" t="s">
        <v>120</v>
      </c>
      <c r="P1766" s="511"/>
      <c r="Q1766" s="230" t="s">
        <v>2406</v>
      </c>
      <c r="R1766" s="171" t="s">
        <v>2733</v>
      </c>
      <c r="S1766" s="511"/>
      <c r="T1766" s="214" t="s">
        <v>2306</v>
      </c>
      <c r="U1766" s="214" t="s">
        <v>2310</v>
      </c>
      <c r="V1766" s="144">
        <v>49.7</v>
      </c>
      <c r="W1766" s="120">
        <v>0</v>
      </c>
      <c r="X1766" s="120">
        <v>0</v>
      </c>
      <c r="Y1766" s="120">
        <v>0</v>
      </c>
      <c r="Z1766" s="120">
        <v>0</v>
      </c>
      <c r="AA1766" s="17">
        <v>0</v>
      </c>
      <c r="AB1766" s="17">
        <v>0</v>
      </c>
      <c r="AC1766" s="17">
        <v>0</v>
      </c>
      <c r="AD1766" s="17">
        <v>0</v>
      </c>
      <c r="AE1766" s="17">
        <v>0</v>
      </c>
      <c r="AF1766" s="151">
        <v>1.1111111111111109</v>
      </c>
      <c r="AG1766" s="17">
        <v>0</v>
      </c>
      <c r="AH1766" s="17">
        <v>1.34</v>
      </c>
      <c r="AI1766" s="17">
        <v>0</v>
      </c>
      <c r="AJ1766" s="17">
        <v>0</v>
      </c>
      <c r="AK1766" s="17">
        <v>4.47</v>
      </c>
      <c r="AL1766" s="32">
        <v>0</v>
      </c>
      <c r="AM1766" s="785">
        <v>157.16800000000001</v>
      </c>
      <c r="AN1766" s="89"/>
      <c r="AO1766" s="214">
        <v>16.899999999999999</v>
      </c>
      <c r="AP1766" s="230">
        <v>40700</v>
      </c>
      <c r="AQ1766" s="171" t="s">
        <v>271</v>
      </c>
      <c r="AR1766" s="229">
        <v>100</v>
      </c>
      <c r="AS1766" s="214"/>
      <c r="AT1766" s="214">
        <v>400</v>
      </c>
      <c r="AU1766" s="255">
        <f t="shared" si="124"/>
        <v>22.222222222222221</v>
      </c>
      <c r="AV1766" s="172">
        <v>99</v>
      </c>
      <c r="AW1766" s="214">
        <v>0.01</v>
      </c>
      <c r="AX1766" s="214">
        <v>20</v>
      </c>
      <c r="AY1766" s="214">
        <v>20</v>
      </c>
      <c r="AZ1766" s="171" t="s">
        <v>521</v>
      </c>
      <c r="BA1766" s="175">
        <v>99</v>
      </c>
      <c r="BB1766" s="259"/>
      <c r="BC1766" s="224"/>
      <c r="BD1766" s="225"/>
      <c r="BE1766" s="225"/>
      <c r="BF1766" s="228" t="s">
        <v>2421</v>
      </c>
      <c r="BG1766" s="26"/>
      <c r="BH1766" s="26"/>
      <c r="BI1766" s="26"/>
      <c r="BJ1766" s="26"/>
      <c r="BK1766" s="26"/>
      <c r="BL1766" s="26"/>
      <c r="BM1766" s="26"/>
      <c r="BN1766" s="26"/>
      <c r="BO1766" s="26"/>
      <c r="BP1766" s="26"/>
      <c r="BQ1766" s="26"/>
      <c r="BR1766" s="26"/>
      <c r="BS1766" s="26"/>
      <c r="BT1766" s="26"/>
      <c r="BU1766" s="26"/>
      <c r="BV1766" s="26"/>
      <c r="BW1766" s="26"/>
      <c r="BX1766" s="26"/>
      <c r="BY1766" s="26"/>
      <c r="BZ1766" s="26"/>
      <c r="CA1766" s="26"/>
      <c r="CB1766" s="26"/>
      <c r="CC1766" s="26"/>
      <c r="CD1766" s="26"/>
    </row>
    <row r="1767" spans="1:82" s="1" customFormat="1">
      <c r="A1767" s="95">
        <v>1766</v>
      </c>
      <c r="B1767" s="211" t="s">
        <v>2422</v>
      </c>
      <c r="C1767" s="191" t="s">
        <v>441</v>
      </c>
      <c r="D1767" s="171" t="s">
        <v>266</v>
      </c>
      <c r="E1767" s="463" t="s">
        <v>3377</v>
      </c>
      <c r="F1767" s="171">
        <v>2002</v>
      </c>
      <c r="G1767" s="171">
        <v>371</v>
      </c>
      <c r="H1767" s="172" t="s">
        <v>1745</v>
      </c>
      <c r="I1767" s="173" t="s">
        <v>1743</v>
      </c>
      <c r="J1767" s="226">
        <v>0.37</v>
      </c>
      <c r="K1767" s="223">
        <v>4</v>
      </c>
      <c r="L1767" s="170"/>
      <c r="M1767" s="214">
        <v>430</v>
      </c>
      <c r="N1767" s="214"/>
      <c r="O1767" s="227" t="s">
        <v>12</v>
      </c>
      <c r="P1767" s="92"/>
      <c r="Q1767" s="230" t="s">
        <v>2423</v>
      </c>
      <c r="R1767" s="506" t="s">
        <v>2731</v>
      </c>
      <c r="S1767" s="92"/>
      <c r="T1767" s="92"/>
      <c r="U1767" s="214" t="s">
        <v>2320</v>
      </c>
      <c r="V1767" s="144">
        <v>4.88</v>
      </c>
      <c r="W1767" s="145">
        <v>0</v>
      </c>
      <c r="X1767" s="120">
        <v>0</v>
      </c>
      <c r="Y1767" s="120">
        <v>0</v>
      </c>
      <c r="Z1767" s="120">
        <v>0</v>
      </c>
      <c r="AA1767" s="72">
        <v>0</v>
      </c>
      <c r="AB1767" s="17">
        <v>0</v>
      </c>
      <c r="AC1767" s="17">
        <v>0</v>
      </c>
      <c r="AD1767" s="72">
        <v>0</v>
      </c>
      <c r="AE1767" s="72">
        <v>0</v>
      </c>
      <c r="AF1767" s="72">
        <v>0.6</v>
      </c>
      <c r="AG1767" s="72">
        <v>0</v>
      </c>
      <c r="AH1767" s="17">
        <v>0</v>
      </c>
      <c r="AI1767" s="72">
        <v>0</v>
      </c>
      <c r="AJ1767" s="72">
        <v>5.0000000000000001E-3</v>
      </c>
      <c r="AK1767" s="17">
        <v>0</v>
      </c>
      <c r="AL1767" s="152">
        <v>0</v>
      </c>
      <c r="AM1767" s="227">
        <v>89</v>
      </c>
      <c r="AN1767" s="89"/>
      <c r="AO1767" s="214" t="s">
        <v>521</v>
      </c>
      <c r="AP1767" s="230" t="s">
        <v>521</v>
      </c>
      <c r="AQ1767" s="214" t="s">
        <v>1778</v>
      </c>
      <c r="AR1767" s="229">
        <v>27.5</v>
      </c>
      <c r="AS1767" s="214"/>
      <c r="AT1767" s="214">
        <v>300</v>
      </c>
      <c r="AU1767" s="255">
        <f t="shared" ref="AU1767:AU1810" si="125">(AR1767*AT1767)/((2*AT1767)+(2*AR1767))</f>
        <v>12.595419847328245</v>
      </c>
      <c r="AV1767" s="172">
        <v>60</v>
      </c>
      <c r="AW1767" s="214">
        <v>2</v>
      </c>
      <c r="AX1767" s="214">
        <v>20</v>
      </c>
      <c r="AY1767" s="214">
        <v>20</v>
      </c>
      <c r="AZ1767" s="171" t="s">
        <v>521</v>
      </c>
      <c r="BA1767" s="175">
        <v>60</v>
      </c>
      <c r="BB1767" s="259"/>
      <c r="BC1767" s="224"/>
      <c r="BD1767" s="225"/>
      <c r="BE1767" s="225"/>
      <c r="BF1767" s="228" t="s">
        <v>2424</v>
      </c>
      <c r="BG1767" s="26"/>
      <c r="BH1767" s="26"/>
      <c r="BI1767" s="26"/>
      <c r="BJ1767" s="26"/>
      <c r="BK1767" s="26"/>
      <c r="BL1767" s="26"/>
      <c r="BM1767" s="26"/>
      <c r="BN1767" s="26"/>
      <c r="BO1767" s="26"/>
      <c r="BP1767" s="26"/>
      <c r="BQ1767" s="26"/>
      <c r="BR1767" s="26"/>
      <c r="BS1767" s="26"/>
      <c r="BT1767" s="26"/>
      <c r="BU1767" s="26"/>
      <c r="BV1767" s="26"/>
      <c r="BW1767" s="26"/>
      <c r="BX1767" s="26"/>
      <c r="BY1767" s="26"/>
      <c r="BZ1767" s="26"/>
      <c r="CA1767" s="26"/>
      <c r="CB1767" s="26"/>
      <c r="CC1767" s="26"/>
      <c r="CD1767" s="26"/>
    </row>
    <row r="1768" spans="1:82" s="1" customFormat="1">
      <c r="A1768" s="95">
        <v>1767</v>
      </c>
      <c r="B1768" s="211" t="s">
        <v>2425</v>
      </c>
      <c r="C1768" s="191" t="s">
        <v>441</v>
      </c>
      <c r="D1768" s="171" t="s">
        <v>266</v>
      </c>
      <c r="E1768" s="463" t="s">
        <v>3377</v>
      </c>
      <c r="F1768" s="171">
        <v>2002</v>
      </c>
      <c r="G1768" s="171">
        <v>371</v>
      </c>
      <c r="H1768" s="172" t="s">
        <v>1745</v>
      </c>
      <c r="I1768" s="173" t="s">
        <v>1743</v>
      </c>
      <c r="J1768" s="226">
        <v>0.37</v>
      </c>
      <c r="K1768" s="223">
        <v>4</v>
      </c>
      <c r="L1768" s="170"/>
      <c r="M1768" s="214">
        <v>430</v>
      </c>
      <c r="N1768" s="214"/>
      <c r="O1768" s="227" t="s">
        <v>12</v>
      </c>
      <c r="P1768" s="92"/>
      <c r="Q1768" s="230" t="s">
        <v>2423</v>
      </c>
      <c r="R1768" s="506" t="s">
        <v>2731</v>
      </c>
      <c r="S1768" s="92"/>
      <c r="T1768" s="92"/>
      <c r="U1768" s="214" t="s">
        <v>2320</v>
      </c>
      <c r="V1768" s="144">
        <v>4.88</v>
      </c>
      <c r="W1768" s="145">
        <v>0</v>
      </c>
      <c r="X1768" s="120">
        <v>0</v>
      </c>
      <c r="Y1768" s="120">
        <v>0</v>
      </c>
      <c r="Z1768" s="120">
        <v>0</v>
      </c>
      <c r="AA1768" s="72">
        <v>0</v>
      </c>
      <c r="AB1768" s="17">
        <v>0</v>
      </c>
      <c r="AC1768" s="17">
        <v>0</v>
      </c>
      <c r="AD1768" s="72">
        <v>0</v>
      </c>
      <c r="AE1768" s="72">
        <v>0</v>
      </c>
      <c r="AF1768" s="72">
        <v>0.6</v>
      </c>
      <c r="AG1768" s="72">
        <v>0</v>
      </c>
      <c r="AH1768" s="17">
        <v>0</v>
      </c>
      <c r="AI1768" s="72">
        <v>0</v>
      </c>
      <c r="AJ1768" s="72">
        <v>5.0000000000000001E-3</v>
      </c>
      <c r="AK1768" s="17">
        <v>0</v>
      </c>
      <c r="AL1768" s="152">
        <v>0</v>
      </c>
      <c r="AM1768" s="227">
        <v>89</v>
      </c>
      <c r="AN1768" s="89"/>
      <c r="AO1768" s="214" t="s">
        <v>521</v>
      </c>
      <c r="AP1768" s="230" t="s">
        <v>521</v>
      </c>
      <c r="AQ1768" s="214" t="s">
        <v>1778</v>
      </c>
      <c r="AR1768" s="229">
        <v>27.5</v>
      </c>
      <c r="AS1768" s="214"/>
      <c r="AT1768" s="214">
        <v>300</v>
      </c>
      <c r="AU1768" s="255">
        <f t="shared" si="125"/>
        <v>12.595419847328245</v>
      </c>
      <c r="AV1768" s="172">
        <v>60</v>
      </c>
      <c r="AW1768" s="214">
        <v>1</v>
      </c>
      <c r="AX1768" s="214">
        <v>20</v>
      </c>
      <c r="AY1768" s="214">
        <v>20</v>
      </c>
      <c r="AZ1768" s="171" t="s">
        <v>521</v>
      </c>
      <c r="BA1768" s="175">
        <v>60</v>
      </c>
      <c r="BB1768" s="259"/>
      <c r="BC1768" s="224"/>
      <c r="BD1768" s="225"/>
      <c r="BE1768" s="225"/>
      <c r="BF1768" s="228" t="s">
        <v>2426</v>
      </c>
      <c r="BG1768" s="26"/>
      <c r="BH1768" s="26"/>
      <c r="BI1768" s="26"/>
      <c r="BJ1768" s="26"/>
      <c r="BK1768" s="26"/>
      <c r="BL1768" s="26"/>
      <c r="BM1768" s="26"/>
      <c r="BN1768" s="26"/>
      <c r="BO1768" s="26"/>
      <c r="BP1768" s="26"/>
      <c r="BQ1768" s="26"/>
      <c r="BR1768" s="26"/>
      <c r="BS1768" s="26"/>
      <c r="BT1768" s="26"/>
      <c r="BU1768" s="26"/>
      <c r="BV1768" s="26"/>
      <c r="BW1768" s="26"/>
      <c r="BX1768" s="26"/>
      <c r="BY1768" s="26"/>
      <c r="BZ1768" s="26"/>
      <c r="CA1768" s="26"/>
      <c r="CB1768" s="26"/>
      <c r="CC1768" s="26"/>
      <c r="CD1768" s="26"/>
    </row>
    <row r="1769" spans="1:82" s="1" customFormat="1">
      <c r="A1769" s="95">
        <v>1768</v>
      </c>
      <c r="B1769" s="211" t="s">
        <v>2427</v>
      </c>
      <c r="C1769" s="191" t="s">
        <v>441</v>
      </c>
      <c r="D1769" s="171" t="s">
        <v>266</v>
      </c>
      <c r="E1769" s="463" t="s">
        <v>3377</v>
      </c>
      <c r="F1769" s="171">
        <v>2002</v>
      </c>
      <c r="G1769" s="171">
        <v>371</v>
      </c>
      <c r="H1769" s="172" t="s">
        <v>1745</v>
      </c>
      <c r="I1769" s="173" t="s">
        <v>1739</v>
      </c>
      <c r="J1769" s="226">
        <v>0.37</v>
      </c>
      <c r="K1769" s="223">
        <v>4</v>
      </c>
      <c r="L1769" s="170"/>
      <c r="M1769" s="214">
        <v>430</v>
      </c>
      <c r="N1769" s="214"/>
      <c r="O1769" s="227" t="s">
        <v>12</v>
      </c>
      <c r="P1769" s="92"/>
      <c r="Q1769" s="230" t="s">
        <v>2423</v>
      </c>
      <c r="R1769" s="506" t="s">
        <v>2731</v>
      </c>
      <c r="S1769" s="92"/>
      <c r="T1769" s="92"/>
      <c r="U1769" s="214" t="s">
        <v>2320</v>
      </c>
      <c r="V1769" s="144">
        <v>4.88</v>
      </c>
      <c r="W1769" s="145">
        <v>0</v>
      </c>
      <c r="X1769" s="120">
        <v>0</v>
      </c>
      <c r="Y1769" s="120">
        <v>0</v>
      </c>
      <c r="Z1769" s="120">
        <v>0</v>
      </c>
      <c r="AA1769" s="72">
        <v>0</v>
      </c>
      <c r="AB1769" s="17">
        <v>0</v>
      </c>
      <c r="AC1769" s="17">
        <v>0</v>
      </c>
      <c r="AD1769" s="72">
        <v>0</v>
      </c>
      <c r="AE1769" s="72">
        <v>0</v>
      </c>
      <c r="AF1769" s="72">
        <v>0.6</v>
      </c>
      <c r="AG1769" s="72">
        <v>0</v>
      </c>
      <c r="AH1769" s="17">
        <v>0</v>
      </c>
      <c r="AI1769" s="72">
        <v>0</v>
      </c>
      <c r="AJ1769" s="72">
        <v>5.0000000000000001E-3</v>
      </c>
      <c r="AK1769" s="17">
        <v>0</v>
      </c>
      <c r="AL1769" s="152">
        <v>0</v>
      </c>
      <c r="AM1769" s="227">
        <v>89</v>
      </c>
      <c r="AN1769" s="89"/>
      <c r="AO1769" s="214" t="s">
        <v>521</v>
      </c>
      <c r="AP1769" s="230" t="s">
        <v>521</v>
      </c>
      <c r="AQ1769" s="214" t="s">
        <v>1778</v>
      </c>
      <c r="AR1769" s="229">
        <v>27.5</v>
      </c>
      <c r="AS1769" s="214"/>
      <c r="AT1769" s="214">
        <v>300</v>
      </c>
      <c r="AU1769" s="255">
        <f t="shared" si="125"/>
        <v>12.595419847328245</v>
      </c>
      <c r="AV1769" s="172">
        <v>99</v>
      </c>
      <c r="AW1769" s="214">
        <v>2</v>
      </c>
      <c r="AX1769" s="214">
        <v>20</v>
      </c>
      <c r="AY1769" s="214">
        <v>20</v>
      </c>
      <c r="AZ1769" s="171" t="s">
        <v>521</v>
      </c>
      <c r="BA1769" s="175">
        <v>99</v>
      </c>
      <c r="BB1769" s="259"/>
      <c r="BC1769" s="224"/>
      <c r="BD1769" s="225"/>
      <c r="BE1769" s="225"/>
      <c r="BF1769" s="228" t="s">
        <v>2428</v>
      </c>
      <c r="BG1769" s="26"/>
      <c r="BH1769" s="26"/>
      <c r="BI1769" s="26"/>
      <c r="BJ1769" s="26"/>
      <c r="BK1769" s="26"/>
      <c r="BL1769" s="26"/>
      <c r="BM1769" s="26"/>
      <c r="BN1769" s="26"/>
      <c r="BO1769" s="26"/>
      <c r="BP1769" s="26"/>
      <c r="BQ1769" s="26"/>
      <c r="BR1769" s="26"/>
      <c r="BS1769" s="26"/>
      <c r="BT1769" s="26"/>
      <c r="BU1769" s="26"/>
      <c r="BV1769" s="26"/>
      <c r="BW1769" s="26"/>
      <c r="BX1769" s="26"/>
      <c r="BY1769" s="26"/>
      <c r="BZ1769" s="26"/>
      <c r="CA1769" s="26"/>
      <c r="CB1769" s="26"/>
      <c r="CC1769" s="26"/>
      <c r="CD1769" s="26"/>
    </row>
    <row r="1770" spans="1:82" s="1" customFormat="1">
      <c r="A1770" s="95">
        <v>1769</v>
      </c>
      <c r="B1770" s="211" t="s">
        <v>2429</v>
      </c>
      <c r="C1770" s="191" t="s">
        <v>441</v>
      </c>
      <c r="D1770" s="171" t="s">
        <v>266</v>
      </c>
      <c r="E1770" s="463" t="s">
        <v>3377</v>
      </c>
      <c r="F1770" s="171">
        <v>2002</v>
      </c>
      <c r="G1770" s="171">
        <v>371</v>
      </c>
      <c r="H1770" s="172" t="s">
        <v>1745</v>
      </c>
      <c r="I1770" s="173" t="s">
        <v>1743</v>
      </c>
      <c r="J1770" s="226">
        <v>0.37</v>
      </c>
      <c r="K1770" s="223">
        <v>4</v>
      </c>
      <c r="L1770" s="170"/>
      <c r="M1770" s="214">
        <v>430</v>
      </c>
      <c r="N1770" s="214"/>
      <c r="O1770" s="227" t="s">
        <v>12</v>
      </c>
      <c r="P1770" s="92"/>
      <c r="Q1770" s="230" t="s">
        <v>2423</v>
      </c>
      <c r="R1770" s="506" t="s">
        <v>2731</v>
      </c>
      <c r="S1770" s="92"/>
      <c r="T1770" s="92"/>
      <c r="U1770" s="214" t="s">
        <v>2320</v>
      </c>
      <c r="V1770" s="144">
        <v>4.88</v>
      </c>
      <c r="W1770" s="145">
        <v>0</v>
      </c>
      <c r="X1770" s="120">
        <v>0</v>
      </c>
      <c r="Y1770" s="120">
        <v>0</v>
      </c>
      <c r="Z1770" s="120">
        <v>0</v>
      </c>
      <c r="AA1770" s="72">
        <v>0</v>
      </c>
      <c r="AB1770" s="17">
        <v>0</v>
      </c>
      <c r="AC1770" s="17">
        <v>0</v>
      </c>
      <c r="AD1770" s="72">
        <v>0</v>
      </c>
      <c r="AE1770" s="72">
        <v>0</v>
      </c>
      <c r="AF1770" s="72">
        <v>0.6</v>
      </c>
      <c r="AG1770" s="72">
        <v>0</v>
      </c>
      <c r="AH1770" s="17">
        <v>0</v>
      </c>
      <c r="AI1770" s="72">
        <v>0</v>
      </c>
      <c r="AJ1770" s="72">
        <v>5.0000000000000001E-3</v>
      </c>
      <c r="AK1770" s="17">
        <v>0</v>
      </c>
      <c r="AL1770" s="152">
        <v>0</v>
      </c>
      <c r="AM1770" s="227">
        <v>89</v>
      </c>
      <c r="AN1770" s="89"/>
      <c r="AO1770" s="214" t="s">
        <v>521</v>
      </c>
      <c r="AP1770" s="230" t="s">
        <v>521</v>
      </c>
      <c r="AQ1770" s="214" t="s">
        <v>1778</v>
      </c>
      <c r="AR1770" s="229">
        <v>27.5</v>
      </c>
      <c r="AS1770" s="214"/>
      <c r="AT1770" s="214">
        <v>300</v>
      </c>
      <c r="AU1770" s="255">
        <f t="shared" si="125"/>
        <v>12.595419847328245</v>
      </c>
      <c r="AV1770" s="172">
        <v>60</v>
      </c>
      <c r="AW1770" s="214">
        <v>3</v>
      </c>
      <c r="AX1770" s="214">
        <v>20</v>
      </c>
      <c r="AY1770" s="214">
        <v>20</v>
      </c>
      <c r="AZ1770" s="171" t="s">
        <v>521</v>
      </c>
      <c r="BA1770" s="175">
        <v>60</v>
      </c>
      <c r="BB1770" s="259"/>
      <c r="BC1770" s="224"/>
      <c r="BD1770" s="225"/>
      <c r="BE1770" s="225"/>
      <c r="BF1770" s="228" t="s">
        <v>2430</v>
      </c>
      <c r="BG1770" s="26"/>
      <c r="BH1770" s="26"/>
      <c r="BI1770" s="26"/>
      <c r="BJ1770" s="26"/>
      <c r="BK1770" s="26"/>
      <c r="BL1770" s="26"/>
      <c r="BM1770" s="26"/>
      <c r="BN1770" s="26"/>
      <c r="BO1770" s="26"/>
      <c r="BP1770" s="26"/>
      <c r="BQ1770" s="26"/>
      <c r="BR1770" s="26"/>
      <c r="BS1770" s="26"/>
      <c r="BT1770" s="26"/>
      <c r="BU1770" s="26"/>
      <c r="BV1770" s="26"/>
      <c r="BW1770" s="26"/>
      <c r="BX1770" s="26"/>
      <c r="BY1770" s="26"/>
      <c r="BZ1770" s="26"/>
      <c r="CA1770" s="26"/>
      <c r="CB1770" s="26"/>
      <c r="CC1770" s="26"/>
      <c r="CD1770" s="26"/>
    </row>
    <row r="1771" spans="1:82" s="1" customFormat="1">
      <c r="A1771" s="95">
        <v>1770</v>
      </c>
      <c r="B1771" s="211" t="s">
        <v>2431</v>
      </c>
      <c r="C1771" s="191" t="s">
        <v>441</v>
      </c>
      <c r="D1771" s="171" t="s">
        <v>266</v>
      </c>
      <c r="E1771" s="463" t="s">
        <v>3377</v>
      </c>
      <c r="F1771" s="171">
        <v>2002</v>
      </c>
      <c r="G1771" s="171">
        <v>371</v>
      </c>
      <c r="H1771" s="172" t="s">
        <v>1745</v>
      </c>
      <c r="I1771" s="173" t="s">
        <v>1743</v>
      </c>
      <c r="J1771" s="226">
        <v>0.37</v>
      </c>
      <c r="K1771" s="223">
        <v>4</v>
      </c>
      <c r="L1771" s="170"/>
      <c r="M1771" s="214">
        <v>430</v>
      </c>
      <c r="N1771" s="214"/>
      <c r="O1771" s="227" t="s">
        <v>12</v>
      </c>
      <c r="P1771" s="92"/>
      <c r="Q1771" s="230" t="s">
        <v>2423</v>
      </c>
      <c r="R1771" s="506" t="s">
        <v>2731</v>
      </c>
      <c r="S1771" s="92"/>
      <c r="T1771" s="92"/>
      <c r="U1771" s="214" t="s">
        <v>2320</v>
      </c>
      <c r="V1771" s="144">
        <v>4.88</v>
      </c>
      <c r="W1771" s="145">
        <v>0</v>
      </c>
      <c r="X1771" s="120">
        <v>0</v>
      </c>
      <c r="Y1771" s="120">
        <v>0</v>
      </c>
      <c r="Z1771" s="120">
        <v>0</v>
      </c>
      <c r="AA1771" s="72">
        <v>0</v>
      </c>
      <c r="AB1771" s="17">
        <v>0</v>
      </c>
      <c r="AC1771" s="17">
        <v>0</v>
      </c>
      <c r="AD1771" s="72">
        <v>0</v>
      </c>
      <c r="AE1771" s="72">
        <v>0</v>
      </c>
      <c r="AF1771" s="72">
        <v>0.6</v>
      </c>
      <c r="AG1771" s="72">
        <v>0</v>
      </c>
      <c r="AH1771" s="17">
        <v>0</v>
      </c>
      <c r="AI1771" s="72">
        <v>0</v>
      </c>
      <c r="AJ1771" s="72">
        <v>5.0000000000000001E-3</v>
      </c>
      <c r="AK1771" s="17">
        <v>0</v>
      </c>
      <c r="AL1771" s="152">
        <v>0</v>
      </c>
      <c r="AM1771" s="227">
        <v>89</v>
      </c>
      <c r="AN1771" s="89"/>
      <c r="AO1771" s="214" t="s">
        <v>521</v>
      </c>
      <c r="AP1771" s="230" t="s">
        <v>521</v>
      </c>
      <c r="AQ1771" s="214" t="s">
        <v>1778</v>
      </c>
      <c r="AR1771" s="229">
        <v>27.5</v>
      </c>
      <c r="AS1771" s="214"/>
      <c r="AT1771" s="214">
        <v>300</v>
      </c>
      <c r="AU1771" s="255">
        <f t="shared" si="125"/>
        <v>12.595419847328245</v>
      </c>
      <c r="AV1771" s="172">
        <v>60</v>
      </c>
      <c r="AW1771" s="214">
        <v>28</v>
      </c>
      <c r="AX1771" s="214">
        <v>20</v>
      </c>
      <c r="AY1771" s="214">
        <v>20</v>
      </c>
      <c r="AZ1771" s="171" t="s">
        <v>521</v>
      </c>
      <c r="BA1771" s="175">
        <v>60</v>
      </c>
      <c r="BB1771" s="259"/>
      <c r="BC1771" s="224"/>
      <c r="BD1771" s="225"/>
      <c r="BE1771" s="225"/>
      <c r="BF1771" s="228" t="s">
        <v>2432</v>
      </c>
      <c r="BG1771" s="26"/>
      <c r="BH1771" s="26"/>
      <c r="BI1771" s="26"/>
      <c r="BJ1771" s="26"/>
      <c r="BK1771" s="26"/>
      <c r="BL1771" s="26"/>
      <c r="BM1771" s="26"/>
      <c r="BN1771" s="26"/>
      <c r="BO1771" s="26"/>
      <c r="BP1771" s="26"/>
      <c r="BQ1771" s="26"/>
      <c r="BR1771" s="26"/>
      <c r="BS1771" s="26"/>
      <c r="BT1771" s="26"/>
      <c r="BU1771" s="26"/>
      <c r="BV1771" s="26"/>
      <c r="BW1771" s="26"/>
      <c r="BX1771" s="26"/>
      <c r="BY1771" s="26"/>
      <c r="BZ1771" s="26"/>
      <c r="CA1771" s="26"/>
      <c r="CB1771" s="26"/>
      <c r="CC1771" s="26"/>
      <c r="CD1771" s="26"/>
    </row>
    <row r="1772" spans="1:82" s="1" customFormat="1">
      <c r="A1772" s="95">
        <v>1771</v>
      </c>
      <c r="B1772" s="211" t="s">
        <v>2433</v>
      </c>
      <c r="C1772" s="191" t="s">
        <v>441</v>
      </c>
      <c r="D1772" s="171" t="s">
        <v>266</v>
      </c>
      <c r="E1772" s="463" t="s">
        <v>3377</v>
      </c>
      <c r="F1772" s="171">
        <v>2002</v>
      </c>
      <c r="G1772" s="171">
        <v>371</v>
      </c>
      <c r="H1772" s="172" t="s">
        <v>1745</v>
      </c>
      <c r="I1772" s="173" t="s">
        <v>1743</v>
      </c>
      <c r="J1772" s="226">
        <v>0.37</v>
      </c>
      <c r="K1772" s="223">
        <v>4.0599999999999996</v>
      </c>
      <c r="L1772" s="170"/>
      <c r="M1772" s="214">
        <v>440</v>
      </c>
      <c r="N1772" s="214"/>
      <c r="O1772" s="227" t="s">
        <v>12</v>
      </c>
      <c r="P1772" s="92"/>
      <c r="Q1772" s="230" t="s">
        <v>2423</v>
      </c>
      <c r="R1772" s="506" t="s">
        <v>2731</v>
      </c>
      <c r="S1772" s="92"/>
      <c r="T1772" s="92"/>
      <c r="U1772" s="214" t="s">
        <v>2320</v>
      </c>
      <c r="V1772" s="144">
        <v>10</v>
      </c>
      <c r="W1772" s="145">
        <v>0</v>
      </c>
      <c r="X1772" s="120">
        <v>0</v>
      </c>
      <c r="Y1772" s="120">
        <v>0</v>
      </c>
      <c r="Z1772" s="120">
        <v>0</v>
      </c>
      <c r="AA1772" s="72">
        <v>0</v>
      </c>
      <c r="AB1772" s="17">
        <v>0</v>
      </c>
      <c r="AC1772" s="17">
        <v>0</v>
      </c>
      <c r="AD1772" s="72">
        <v>0</v>
      </c>
      <c r="AE1772" s="72">
        <v>0</v>
      </c>
      <c r="AF1772" s="72">
        <v>1.02</v>
      </c>
      <c r="AG1772" s="72">
        <v>0</v>
      </c>
      <c r="AH1772" s="17">
        <v>0</v>
      </c>
      <c r="AI1772" s="72">
        <v>0</v>
      </c>
      <c r="AJ1772" s="72">
        <v>0</v>
      </c>
      <c r="AK1772" s="17">
        <v>0</v>
      </c>
      <c r="AL1772" s="152">
        <v>0</v>
      </c>
      <c r="AM1772" s="227">
        <v>105</v>
      </c>
      <c r="AN1772" s="89"/>
      <c r="AO1772" s="214" t="s">
        <v>521</v>
      </c>
      <c r="AP1772" s="230" t="s">
        <v>521</v>
      </c>
      <c r="AQ1772" s="214" t="s">
        <v>1778</v>
      </c>
      <c r="AR1772" s="229">
        <v>27.5</v>
      </c>
      <c r="AS1772" s="214"/>
      <c r="AT1772" s="214">
        <v>300</v>
      </c>
      <c r="AU1772" s="255">
        <f t="shared" si="125"/>
        <v>12.595419847328245</v>
      </c>
      <c r="AV1772" s="172">
        <v>60</v>
      </c>
      <c r="AW1772" s="214">
        <v>2</v>
      </c>
      <c r="AX1772" s="214">
        <v>20</v>
      </c>
      <c r="AY1772" s="214">
        <v>20</v>
      </c>
      <c r="AZ1772" s="171" t="s">
        <v>521</v>
      </c>
      <c r="BA1772" s="175">
        <v>60</v>
      </c>
      <c r="BB1772" s="259"/>
      <c r="BC1772" s="224"/>
      <c r="BD1772" s="225"/>
      <c r="BE1772" s="225"/>
      <c r="BF1772" s="228" t="s">
        <v>2434</v>
      </c>
      <c r="BG1772" s="26"/>
      <c r="BH1772" s="26"/>
      <c r="BI1772" s="26"/>
      <c r="BJ1772" s="26"/>
      <c r="BK1772" s="26"/>
      <c r="BL1772" s="26"/>
      <c r="BM1772" s="26"/>
      <c r="BN1772" s="26"/>
      <c r="BO1772" s="26"/>
      <c r="BP1772" s="26"/>
      <c r="BQ1772" s="26"/>
      <c r="BR1772" s="26"/>
      <c r="BS1772" s="26"/>
      <c r="BT1772" s="26"/>
      <c r="BU1772" s="26"/>
      <c r="BV1772" s="26"/>
      <c r="BW1772" s="26"/>
      <c r="BX1772" s="26"/>
      <c r="BY1772" s="26"/>
      <c r="BZ1772" s="26"/>
      <c r="CA1772" s="26"/>
      <c r="CB1772" s="26"/>
      <c r="CC1772" s="26"/>
      <c r="CD1772" s="26"/>
    </row>
    <row r="1773" spans="1:82" s="1" customFormat="1">
      <c r="A1773" s="95">
        <v>1772</v>
      </c>
      <c r="B1773" s="211" t="s">
        <v>2435</v>
      </c>
      <c r="C1773" s="191" t="s">
        <v>441</v>
      </c>
      <c r="D1773" s="171" t="s">
        <v>266</v>
      </c>
      <c r="E1773" s="463" t="s">
        <v>3377</v>
      </c>
      <c r="F1773" s="171">
        <v>2002</v>
      </c>
      <c r="G1773" s="171">
        <v>371</v>
      </c>
      <c r="H1773" s="172" t="s">
        <v>1745</v>
      </c>
      <c r="I1773" s="173" t="s">
        <v>1739</v>
      </c>
      <c r="J1773" s="226">
        <v>0.37</v>
      </c>
      <c r="K1773" s="223">
        <v>4.0599999999999996</v>
      </c>
      <c r="L1773" s="170"/>
      <c r="M1773" s="214">
        <v>440</v>
      </c>
      <c r="N1773" s="214"/>
      <c r="O1773" s="227" t="s">
        <v>12</v>
      </c>
      <c r="P1773" s="92"/>
      <c r="Q1773" s="230" t="s">
        <v>2423</v>
      </c>
      <c r="R1773" s="506" t="s">
        <v>2731</v>
      </c>
      <c r="S1773" s="92"/>
      <c r="T1773" s="92"/>
      <c r="U1773" s="214" t="s">
        <v>2320</v>
      </c>
      <c r="V1773" s="144">
        <v>10</v>
      </c>
      <c r="W1773" s="145">
        <v>0</v>
      </c>
      <c r="X1773" s="120">
        <v>0</v>
      </c>
      <c r="Y1773" s="120">
        <v>0</v>
      </c>
      <c r="Z1773" s="120">
        <v>0</v>
      </c>
      <c r="AA1773" s="72">
        <v>0</v>
      </c>
      <c r="AB1773" s="17">
        <v>0</v>
      </c>
      <c r="AC1773" s="17">
        <v>0</v>
      </c>
      <c r="AD1773" s="72">
        <v>0</v>
      </c>
      <c r="AE1773" s="72">
        <v>0</v>
      </c>
      <c r="AF1773" s="72">
        <v>1.02</v>
      </c>
      <c r="AG1773" s="72">
        <v>0</v>
      </c>
      <c r="AH1773" s="17">
        <v>0</v>
      </c>
      <c r="AI1773" s="72">
        <v>0</v>
      </c>
      <c r="AJ1773" s="72">
        <v>0</v>
      </c>
      <c r="AK1773" s="17">
        <v>0</v>
      </c>
      <c r="AL1773" s="152">
        <v>0</v>
      </c>
      <c r="AM1773" s="227">
        <v>105</v>
      </c>
      <c r="AN1773" s="89"/>
      <c r="AO1773" s="214" t="s">
        <v>521</v>
      </c>
      <c r="AP1773" s="230" t="s">
        <v>521</v>
      </c>
      <c r="AQ1773" s="214" t="s">
        <v>1778</v>
      </c>
      <c r="AR1773" s="229">
        <v>27.5</v>
      </c>
      <c r="AS1773" s="214"/>
      <c r="AT1773" s="214">
        <v>300</v>
      </c>
      <c r="AU1773" s="255">
        <f t="shared" si="125"/>
        <v>12.595419847328245</v>
      </c>
      <c r="AV1773" s="172">
        <v>99</v>
      </c>
      <c r="AW1773" s="214">
        <v>2</v>
      </c>
      <c r="AX1773" s="214">
        <v>20</v>
      </c>
      <c r="AY1773" s="214">
        <v>20</v>
      </c>
      <c r="AZ1773" s="171" t="s">
        <v>521</v>
      </c>
      <c r="BA1773" s="175">
        <v>99</v>
      </c>
      <c r="BB1773" s="259"/>
      <c r="BC1773" s="224"/>
      <c r="BD1773" s="225"/>
      <c r="BE1773" s="225"/>
      <c r="BF1773" s="228" t="s">
        <v>2436</v>
      </c>
      <c r="BG1773" s="26"/>
      <c r="BH1773" s="26"/>
      <c r="BI1773" s="26"/>
      <c r="BJ1773" s="26"/>
      <c r="BK1773" s="26"/>
      <c r="BL1773" s="26"/>
      <c r="BM1773" s="26"/>
      <c r="BN1773" s="26"/>
      <c r="BO1773" s="26"/>
      <c r="BP1773" s="26"/>
      <c r="BQ1773" s="26"/>
      <c r="BR1773" s="26"/>
      <c r="BS1773" s="26"/>
      <c r="BT1773" s="26"/>
      <c r="BU1773" s="26"/>
      <c r="BV1773" s="26"/>
      <c r="BW1773" s="26"/>
      <c r="BX1773" s="26"/>
      <c r="BY1773" s="26"/>
      <c r="BZ1773" s="26"/>
      <c r="CA1773" s="26"/>
      <c r="CB1773" s="26"/>
      <c r="CC1773" s="26"/>
      <c r="CD1773" s="26"/>
    </row>
    <row r="1774" spans="1:82" s="1" customFormat="1">
      <c r="A1774" s="95">
        <v>1773</v>
      </c>
      <c r="B1774" s="211" t="s">
        <v>2437</v>
      </c>
      <c r="C1774" s="191" t="s">
        <v>441</v>
      </c>
      <c r="D1774" s="171" t="s">
        <v>266</v>
      </c>
      <c r="E1774" s="463" t="s">
        <v>3377</v>
      </c>
      <c r="F1774" s="171">
        <v>2002</v>
      </c>
      <c r="G1774" s="171">
        <v>371</v>
      </c>
      <c r="H1774" s="172" t="s">
        <v>1745</v>
      </c>
      <c r="I1774" s="173" t="s">
        <v>1743</v>
      </c>
      <c r="J1774" s="226">
        <v>0.37</v>
      </c>
      <c r="K1774" s="223">
        <v>4.0599999999999996</v>
      </c>
      <c r="L1774" s="170"/>
      <c r="M1774" s="214">
        <v>440</v>
      </c>
      <c r="N1774" s="214"/>
      <c r="O1774" s="227" t="s">
        <v>12</v>
      </c>
      <c r="P1774" s="92"/>
      <c r="Q1774" s="230" t="s">
        <v>2423</v>
      </c>
      <c r="R1774" s="506" t="s">
        <v>2731</v>
      </c>
      <c r="S1774" s="92"/>
      <c r="T1774" s="92"/>
      <c r="U1774" s="214" t="s">
        <v>2320</v>
      </c>
      <c r="V1774" s="144">
        <v>10</v>
      </c>
      <c r="W1774" s="145">
        <v>0</v>
      </c>
      <c r="X1774" s="120">
        <v>0</v>
      </c>
      <c r="Y1774" s="120">
        <v>0</v>
      </c>
      <c r="Z1774" s="120">
        <v>0</v>
      </c>
      <c r="AA1774" s="72">
        <v>0</v>
      </c>
      <c r="AB1774" s="17">
        <v>0</v>
      </c>
      <c r="AC1774" s="17">
        <v>0</v>
      </c>
      <c r="AD1774" s="72">
        <v>0</v>
      </c>
      <c r="AE1774" s="72">
        <v>0</v>
      </c>
      <c r="AF1774" s="72">
        <v>1.02</v>
      </c>
      <c r="AG1774" s="72">
        <v>0</v>
      </c>
      <c r="AH1774" s="17">
        <v>0</v>
      </c>
      <c r="AI1774" s="72">
        <v>0</v>
      </c>
      <c r="AJ1774" s="72">
        <v>0</v>
      </c>
      <c r="AK1774" s="17">
        <v>0</v>
      </c>
      <c r="AL1774" s="152">
        <v>0</v>
      </c>
      <c r="AM1774" s="227">
        <v>105</v>
      </c>
      <c r="AN1774" s="89"/>
      <c r="AO1774" s="214" t="s">
        <v>521</v>
      </c>
      <c r="AP1774" s="230" t="s">
        <v>521</v>
      </c>
      <c r="AQ1774" s="214" t="s">
        <v>1778</v>
      </c>
      <c r="AR1774" s="229">
        <v>27.5</v>
      </c>
      <c r="AS1774" s="214"/>
      <c r="AT1774" s="214">
        <v>300</v>
      </c>
      <c r="AU1774" s="255">
        <f t="shared" si="125"/>
        <v>12.595419847328245</v>
      </c>
      <c r="AV1774" s="172">
        <v>60</v>
      </c>
      <c r="AW1774" s="214">
        <v>1</v>
      </c>
      <c r="AX1774" s="214">
        <v>20</v>
      </c>
      <c r="AY1774" s="214">
        <v>20</v>
      </c>
      <c r="AZ1774" s="171" t="s">
        <v>521</v>
      </c>
      <c r="BA1774" s="175">
        <v>60</v>
      </c>
      <c r="BB1774" s="259"/>
      <c r="BC1774" s="224"/>
      <c r="BD1774" s="225"/>
      <c r="BE1774" s="225"/>
      <c r="BF1774" s="228" t="s">
        <v>2438</v>
      </c>
      <c r="BG1774" s="26"/>
      <c r="BH1774" s="26"/>
      <c r="BI1774" s="26"/>
      <c r="BJ1774" s="26"/>
      <c r="BK1774" s="26"/>
      <c r="BL1774" s="26"/>
      <c r="BM1774" s="26"/>
      <c r="BN1774" s="26"/>
      <c r="BO1774" s="26"/>
      <c r="BP1774" s="26"/>
      <c r="BQ1774" s="26"/>
      <c r="BR1774" s="26"/>
      <c r="BS1774" s="26"/>
      <c r="BT1774" s="26"/>
      <c r="BU1774" s="26"/>
      <c r="BV1774" s="26"/>
      <c r="BW1774" s="26"/>
      <c r="BX1774" s="26"/>
      <c r="BY1774" s="26"/>
      <c r="BZ1774" s="26"/>
      <c r="CA1774" s="26"/>
      <c r="CB1774" s="26"/>
      <c r="CC1774" s="26"/>
      <c r="CD1774" s="26"/>
    </row>
    <row r="1775" spans="1:82" s="1" customFormat="1">
      <c r="A1775" s="95">
        <v>1774</v>
      </c>
      <c r="B1775" s="211" t="s">
        <v>2439</v>
      </c>
      <c r="C1775" s="191" t="s">
        <v>441</v>
      </c>
      <c r="D1775" s="171" t="s">
        <v>266</v>
      </c>
      <c r="E1775" s="463" t="s">
        <v>3377</v>
      </c>
      <c r="F1775" s="171">
        <v>2002</v>
      </c>
      <c r="G1775" s="171">
        <v>371</v>
      </c>
      <c r="H1775" s="172" t="s">
        <v>1745</v>
      </c>
      <c r="I1775" s="173" t="s">
        <v>1739</v>
      </c>
      <c r="J1775" s="226">
        <v>0.37</v>
      </c>
      <c r="K1775" s="223">
        <v>4.0599999999999996</v>
      </c>
      <c r="L1775" s="170"/>
      <c r="M1775" s="214">
        <v>440</v>
      </c>
      <c r="N1775" s="214"/>
      <c r="O1775" s="227" t="s">
        <v>12</v>
      </c>
      <c r="P1775" s="92"/>
      <c r="Q1775" s="230" t="s">
        <v>2423</v>
      </c>
      <c r="R1775" s="506" t="s">
        <v>2731</v>
      </c>
      <c r="S1775" s="92"/>
      <c r="T1775" s="92"/>
      <c r="U1775" s="214" t="s">
        <v>2320</v>
      </c>
      <c r="V1775" s="144">
        <v>10</v>
      </c>
      <c r="W1775" s="145">
        <v>0</v>
      </c>
      <c r="X1775" s="120">
        <v>0</v>
      </c>
      <c r="Y1775" s="120">
        <v>0</v>
      </c>
      <c r="Z1775" s="120">
        <v>0</v>
      </c>
      <c r="AA1775" s="72">
        <v>0</v>
      </c>
      <c r="AB1775" s="17">
        <v>0</v>
      </c>
      <c r="AC1775" s="17">
        <v>0</v>
      </c>
      <c r="AD1775" s="72">
        <v>0</v>
      </c>
      <c r="AE1775" s="72">
        <v>0</v>
      </c>
      <c r="AF1775" s="72">
        <v>1.02</v>
      </c>
      <c r="AG1775" s="72">
        <v>0</v>
      </c>
      <c r="AH1775" s="17">
        <v>0</v>
      </c>
      <c r="AI1775" s="72">
        <v>0</v>
      </c>
      <c r="AJ1775" s="72">
        <v>0</v>
      </c>
      <c r="AK1775" s="17">
        <v>0</v>
      </c>
      <c r="AL1775" s="152">
        <v>0</v>
      </c>
      <c r="AM1775" s="227">
        <v>105</v>
      </c>
      <c r="AN1775" s="89"/>
      <c r="AO1775" s="214" t="s">
        <v>521</v>
      </c>
      <c r="AP1775" s="230" t="s">
        <v>521</v>
      </c>
      <c r="AQ1775" s="214" t="s">
        <v>1778</v>
      </c>
      <c r="AR1775" s="229">
        <v>27.5</v>
      </c>
      <c r="AS1775" s="214"/>
      <c r="AT1775" s="214">
        <v>300</v>
      </c>
      <c r="AU1775" s="255">
        <f t="shared" si="125"/>
        <v>12.595419847328245</v>
      </c>
      <c r="AV1775" s="172">
        <v>99</v>
      </c>
      <c r="AW1775" s="214">
        <v>1</v>
      </c>
      <c r="AX1775" s="214">
        <v>20</v>
      </c>
      <c r="AY1775" s="214">
        <v>20</v>
      </c>
      <c r="AZ1775" s="171" t="s">
        <v>521</v>
      </c>
      <c r="BA1775" s="175">
        <v>99</v>
      </c>
      <c r="BB1775" s="259"/>
      <c r="BC1775" s="224"/>
      <c r="BD1775" s="225"/>
      <c r="BE1775" s="225"/>
      <c r="BF1775" s="228" t="s">
        <v>2440</v>
      </c>
      <c r="BG1775" s="26"/>
      <c r="BH1775" s="26"/>
      <c r="BI1775" s="26"/>
      <c r="BJ1775" s="26"/>
      <c r="BK1775" s="26"/>
      <c r="BL1775" s="26"/>
      <c r="BM1775" s="26"/>
      <c r="BN1775" s="26"/>
      <c r="BO1775" s="26"/>
      <c r="BP1775" s="26"/>
      <c r="BQ1775" s="26"/>
      <c r="BR1775" s="26"/>
      <c r="BS1775" s="26"/>
      <c r="BT1775" s="26"/>
      <c r="BU1775" s="26"/>
      <c r="BV1775" s="26"/>
      <c r="BW1775" s="26"/>
      <c r="BX1775" s="26"/>
      <c r="BY1775" s="26"/>
      <c r="BZ1775" s="26"/>
      <c r="CA1775" s="26"/>
      <c r="CB1775" s="26"/>
      <c r="CC1775" s="26"/>
      <c r="CD1775" s="26"/>
    </row>
    <row r="1776" spans="1:82" s="1" customFormat="1">
      <c r="A1776" s="95">
        <v>1775</v>
      </c>
      <c r="B1776" s="211" t="s">
        <v>2441</v>
      </c>
      <c r="C1776" s="191" t="s">
        <v>441</v>
      </c>
      <c r="D1776" s="171" t="s">
        <v>266</v>
      </c>
      <c r="E1776" s="463" t="s">
        <v>3377</v>
      </c>
      <c r="F1776" s="171">
        <v>2002</v>
      </c>
      <c r="G1776" s="171">
        <v>371</v>
      </c>
      <c r="H1776" s="172" t="s">
        <v>1745</v>
      </c>
      <c r="I1776" s="173" t="s">
        <v>1743</v>
      </c>
      <c r="J1776" s="226">
        <v>0.37</v>
      </c>
      <c r="K1776" s="223">
        <v>4.0599999999999996</v>
      </c>
      <c r="L1776" s="170"/>
      <c r="M1776" s="214">
        <v>440</v>
      </c>
      <c r="N1776" s="214"/>
      <c r="O1776" s="227" t="s">
        <v>12</v>
      </c>
      <c r="P1776" s="92"/>
      <c r="Q1776" s="230" t="s">
        <v>2423</v>
      </c>
      <c r="R1776" s="506" t="s">
        <v>2731</v>
      </c>
      <c r="S1776" s="92"/>
      <c r="T1776" s="92"/>
      <c r="U1776" s="214" t="s">
        <v>2320</v>
      </c>
      <c r="V1776" s="144">
        <v>10</v>
      </c>
      <c r="W1776" s="145">
        <v>0</v>
      </c>
      <c r="X1776" s="120">
        <v>0</v>
      </c>
      <c r="Y1776" s="120">
        <v>0</v>
      </c>
      <c r="Z1776" s="120">
        <v>0</v>
      </c>
      <c r="AA1776" s="72">
        <v>0</v>
      </c>
      <c r="AB1776" s="17">
        <v>0</v>
      </c>
      <c r="AC1776" s="17">
        <v>0</v>
      </c>
      <c r="AD1776" s="72">
        <v>0</v>
      </c>
      <c r="AE1776" s="72">
        <v>0</v>
      </c>
      <c r="AF1776" s="72">
        <v>1.02</v>
      </c>
      <c r="AG1776" s="72">
        <v>0</v>
      </c>
      <c r="AH1776" s="17">
        <v>0</v>
      </c>
      <c r="AI1776" s="72">
        <v>0</v>
      </c>
      <c r="AJ1776" s="72">
        <v>0</v>
      </c>
      <c r="AK1776" s="17">
        <v>0</v>
      </c>
      <c r="AL1776" s="152">
        <v>0</v>
      </c>
      <c r="AM1776" s="227">
        <v>105</v>
      </c>
      <c r="AN1776" s="89"/>
      <c r="AO1776" s="214" t="s">
        <v>521</v>
      </c>
      <c r="AP1776" s="230" t="s">
        <v>521</v>
      </c>
      <c r="AQ1776" s="214" t="s">
        <v>1778</v>
      </c>
      <c r="AR1776" s="229">
        <v>27.5</v>
      </c>
      <c r="AS1776" s="214"/>
      <c r="AT1776" s="214">
        <v>300</v>
      </c>
      <c r="AU1776" s="255">
        <f t="shared" si="125"/>
        <v>12.595419847328245</v>
      </c>
      <c r="AV1776" s="172">
        <v>60</v>
      </c>
      <c r="AW1776" s="214">
        <v>3</v>
      </c>
      <c r="AX1776" s="214">
        <v>20</v>
      </c>
      <c r="AY1776" s="214">
        <v>20</v>
      </c>
      <c r="AZ1776" s="171" t="s">
        <v>521</v>
      </c>
      <c r="BA1776" s="175">
        <v>60</v>
      </c>
      <c r="BB1776" s="259"/>
      <c r="BC1776" s="224"/>
      <c r="BD1776" s="225"/>
      <c r="BE1776" s="225"/>
      <c r="BF1776" s="228" t="s">
        <v>2442</v>
      </c>
      <c r="BG1776" s="26"/>
      <c r="BH1776" s="26"/>
      <c r="BI1776" s="26"/>
      <c r="BJ1776" s="26"/>
      <c r="BK1776" s="26"/>
      <c r="BL1776" s="26"/>
      <c r="BM1776" s="26"/>
      <c r="BN1776" s="26"/>
      <c r="BO1776" s="26"/>
      <c r="BP1776" s="26"/>
      <c r="BQ1776" s="26"/>
      <c r="BR1776" s="26"/>
      <c r="BS1776" s="26"/>
      <c r="BT1776" s="26"/>
      <c r="BU1776" s="26"/>
      <c r="BV1776" s="26"/>
      <c r="BW1776" s="26"/>
      <c r="BX1776" s="26"/>
      <c r="BY1776" s="26"/>
      <c r="BZ1776" s="26"/>
      <c r="CA1776" s="26"/>
      <c r="CB1776" s="26"/>
      <c r="CC1776" s="26"/>
      <c r="CD1776" s="26"/>
    </row>
    <row r="1777" spans="1:82" s="1" customFormat="1">
      <c r="A1777" s="95">
        <v>1776</v>
      </c>
      <c r="B1777" s="211" t="s">
        <v>2443</v>
      </c>
      <c r="C1777" s="191" t="s">
        <v>441</v>
      </c>
      <c r="D1777" s="171" t="s">
        <v>266</v>
      </c>
      <c r="E1777" s="463" t="s">
        <v>3377</v>
      </c>
      <c r="F1777" s="171">
        <v>2002</v>
      </c>
      <c r="G1777" s="171">
        <v>371</v>
      </c>
      <c r="H1777" s="172" t="s">
        <v>1745</v>
      </c>
      <c r="I1777" s="173" t="s">
        <v>1739</v>
      </c>
      <c r="J1777" s="226">
        <v>0.37</v>
      </c>
      <c r="K1777" s="223">
        <v>4.0599999999999996</v>
      </c>
      <c r="L1777" s="170"/>
      <c r="M1777" s="214">
        <v>440</v>
      </c>
      <c r="N1777" s="214"/>
      <c r="O1777" s="227" t="s">
        <v>12</v>
      </c>
      <c r="P1777" s="92"/>
      <c r="Q1777" s="230" t="s">
        <v>2423</v>
      </c>
      <c r="R1777" s="506" t="s">
        <v>2731</v>
      </c>
      <c r="S1777" s="92"/>
      <c r="T1777" s="92"/>
      <c r="U1777" s="214" t="s">
        <v>2320</v>
      </c>
      <c r="V1777" s="144">
        <v>10</v>
      </c>
      <c r="W1777" s="145">
        <v>0</v>
      </c>
      <c r="X1777" s="120">
        <v>0</v>
      </c>
      <c r="Y1777" s="120">
        <v>0</v>
      </c>
      <c r="Z1777" s="120">
        <v>0</v>
      </c>
      <c r="AA1777" s="72">
        <v>0</v>
      </c>
      <c r="AB1777" s="17">
        <v>0</v>
      </c>
      <c r="AC1777" s="17">
        <v>0</v>
      </c>
      <c r="AD1777" s="72">
        <v>0</v>
      </c>
      <c r="AE1777" s="72">
        <v>0</v>
      </c>
      <c r="AF1777" s="72">
        <v>1.02</v>
      </c>
      <c r="AG1777" s="72">
        <v>0</v>
      </c>
      <c r="AH1777" s="17">
        <v>0</v>
      </c>
      <c r="AI1777" s="72">
        <v>0</v>
      </c>
      <c r="AJ1777" s="72">
        <v>0</v>
      </c>
      <c r="AK1777" s="17">
        <v>0</v>
      </c>
      <c r="AL1777" s="152">
        <v>0</v>
      </c>
      <c r="AM1777" s="227">
        <v>105</v>
      </c>
      <c r="AN1777" s="89"/>
      <c r="AO1777" s="214" t="s">
        <v>521</v>
      </c>
      <c r="AP1777" s="230" t="s">
        <v>521</v>
      </c>
      <c r="AQ1777" s="214" t="s">
        <v>1778</v>
      </c>
      <c r="AR1777" s="229">
        <v>27.5</v>
      </c>
      <c r="AS1777" s="214"/>
      <c r="AT1777" s="214">
        <v>300</v>
      </c>
      <c r="AU1777" s="255">
        <f t="shared" si="125"/>
        <v>12.595419847328245</v>
      </c>
      <c r="AV1777" s="172">
        <v>99</v>
      </c>
      <c r="AW1777" s="214">
        <v>3</v>
      </c>
      <c r="AX1777" s="214">
        <v>20</v>
      </c>
      <c r="AY1777" s="214">
        <v>20</v>
      </c>
      <c r="AZ1777" s="171" t="s">
        <v>521</v>
      </c>
      <c r="BA1777" s="175">
        <v>99</v>
      </c>
      <c r="BB1777" s="259"/>
      <c r="BC1777" s="224"/>
      <c r="BD1777" s="225"/>
      <c r="BE1777" s="225"/>
      <c r="BF1777" s="228" t="s">
        <v>2444</v>
      </c>
      <c r="BG1777" s="26"/>
      <c r="BH1777" s="26"/>
      <c r="BI1777" s="26"/>
      <c r="BJ1777" s="26"/>
      <c r="BK1777" s="26"/>
      <c r="BL1777" s="26"/>
      <c r="BM1777" s="26"/>
      <c r="BN1777" s="26"/>
      <c r="BO1777" s="26"/>
      <c r="BP1777" s="26"/>
      <c r="BQ1777" s="26"/>
      <c r="BR1777" s="26"/>
      <c r="BS1777" s="26"/>
      <c r="BT1777" s="26"/>
      <c r="BU1777" s="26"/>
      <c r="BV1777" s="26"/>
      <c r="BW1777" s="26"/>
      <c r="BX1777" s="26"/>
      <c r="BY1777" s="26"/>
      <c r="BZ1777" s="26"/>
      <c r="CA1777" s="26"/>
      <c r="CB1777" s="26"/>
      <c r="CC1777" s="26"/>
      <c r="CD1777" s="26"/>
    </row>
    <row r="1778" spans="1:82" s="1" customFormat="1">
      <c r="A1778" s="95">
        <v>1777</v>
      </c>
      <c r="B1778" s="211" t="s">
        <v>2445</v>
      </c>
      <c r="C1778" s="191" t="s">
        <v>441</v>
      </c>
      <c r="D1778" s="171" t="s">
        <v>266</v>
      </c>
      <c r="E1778" s="463" t="s">
        <v>3377</v>
      </c>
      <c r="F1778" s="171">
        <v>2002</v>
      </c>
      <c r="G1778" s="171">
        <v>371</v>
      </c>
      <c r="H1778" s="172" t="s">
        <v>1745</v>
      </c>
      <c r="I1778" s="173" t="s">
        <v>1743</v>
      </c>
      <c r="J1778" s="226">
        <v>0.36</v>
      </c>
      <c r="K1778" s="223">
        <v>3.82</v>
      </c>
      <c r="L1778" s="170"/>
      <c r="M1778" s="214">
        <v>445</v>
      </c>
      <c r="N1778" s="214"/>
      <c r="O1778" s="227" t="s">
        <v>12</v>
      </c>
      <c r="P1778" s="92"/>
      <c r="Q1778" s="230" t="s">
        <v>2423</v>
      </c>
      <c r="R1778" s="506" t="s">
        <v>2731</v>
      </c>
      <c r="S1778" s="92"/>
      <c r="T1778" s="92"/>
      <c r="U1778" s="214" t="s">
        <v>2320</v>
      </c>
      <c r="V1778" s="144">
        <v>9.89</v>
      </c>
      <c r="W1778" s="145">
        <v>0</v>
      </c>
      <c r="X1778" s="120">
        <v>0</v>
      </c>
      <c r="Y1778" s="120">
        <v>0</v>
      </c>
      <c r="Z1778" s="120">
        <v>0</v>
      </c>
      <c r="AA1778" s="72">
        <v>0</v>
      </c>
      <c r="AB1778" s="17">
        <v>0</v>
      </c>
      <c r="AC1778" s="17">
        <v>0</v>
      </c>
      <c r="AD1778" s="72">
        <v>0</v>
      </c>
      <c r="AE1778" s="72">
        <v>0</v>
      </c>
      <c r="AF1778" s="72">
        <v>0.85</v>
      </c>
      <c r="AG1778" s="72">
        <v>0</v>
      </c>
      <c r="AH1778" s="17">
        <v>0</v>
      </c>
      <c r="AI1778" s="72">
        <v>0</v>
      </c>
      <c r="AJ1778" s="72">
        <v>5.0000000000000001E-3</v>
      </c>
      <c r="AK1778" s="17">
        <v>0</v>
      </c>
      <c r="AL1778" s="152">
        <v>0</v>
      </c>
      <c r="AM1778" s="227">
        <v>95</v>
      </c>
      <c r="AN1778" s="89"/>
      <c r="AO1778" s="214" t="s">
        <v>521</v>
      </c>
      <c r="AP1778" s="230" t="s">
        <v>521</v>
      </c>
      <c r="AQ1778" s="214" t="s">
        <v>1778</v>
      </c>
      <c r="AR1778" s="229">
        <v>27.5</v>
      </c>
      <c r="AS1778" s="214"/>
      <c r="AT1778" s="214">
        <v>300</v>
      </c>
      <c r="AU1778" s="255">
        <f t="shared" si="125"/>
        <v>12.595419847328245</v>
      </c>
      <c r="AV1778" s="172">
        <v>60</v>
      </c>
      <c r="AW1778" s="214">
        <v>2</v>
      </c>
      <c r="AX1778" s="214">
        <v>20</v>
      </c>
      <c r="AY1778" s="214">
        <v>20</v>
      </c>
      <c r="AZ1778" s="171" t="s">
        <v>521</v>
      </c>
      <c r="BA1778" s="175">
        <v>60</v>
      </c>
      <c r="BB1778" s="259"/>
      <c r="BC1778" s="224"/>
      <c r="BD1778" s="225"/>
      <c r="BE1778" s="225"/>
      <c r="BF1778" s="228" t="s">
        <v>2446</v>
      </c>
      <c r="BG1778" s="26"/>
      <c r="BH1778" s="26"/>
      <c r="BI1778" s="26"/>
      <c r="BJ1778" s="26"/>
      <c r="BK1778" s="26"/>
      <c r="BL1778" s="26"/>
      <c r="BM1778" s="26"/>
      <c r="BN1778" s="26"/>
      <c r="BO1778" s="26"/>
      <c r="BP1778" s="26"/>
      <c r="BQ1778" s="26"/>
      <c r="BR1778" s="26"/>
      <c r="BS1778" s="26"/>
      <c r="BT1778" s="26"/>
      <c r="BU1778" s="26"/>
      <c r="BV1778" s="26"/>
      <c r="BW1778" s="26"/>
      <c r="BX1778" s="26"/>
      <c r="BY1778" s="26"/>
      <c r="BZ1778" s="26"/>
      <c r="CA1778" s="26"/>
      <c r="CB1778" s="26"/>
      <c r="CC1778" s="26"/>
      <c r="CD1778" s="26"/>
    </row>
    <row r="1779" spans="1:82" s="1" customFormat="1">
      <c r="A1779" s="95">
        <v>1778</v>
      </c>
      <c r="B1779" s="211" t="s">
        <v>2447</v>
      </c>
      <c r="C1779" s="191" t="s">
        <v>441</v>
      </c>
      <c r="D1779" s="171" t="s">
        <v>266</v>
      </c>
      <c r="E1779" s="463" t="s">
        <v>3377</v>
      </c>
      <c r="F1779" s="171">
        <v>2002</v>
      </c>
      <c r="G1779" s="171">
        <v>371</v>
      </c>
      <c r="H1779" s="172" t="s">
        <v>1745</v>
      </c>
      <c r="I1779" s="173" t="s">
        <v>1739</v>
      </c>
      <c r="J1779" s="226">
        <v>0.36</v>
      </c>
      <c r="K1779" s="223">
        <v>3.82</v>
      </c>
      <c r="L1779" s="170"/>
      <c r="M1779" s="214">
        <v>445</v>
      </c>
      <c r="N1779" s="214"/>
      <c r="O1779" s="227" t="s">
        <v>12</v>
      </c>
      <c r="P1779" s="92"/>
      <c r="Q1779" s="230" t="s">
        <v>2423</v>
      </c>
      <c r="R1779" s="506" t="s">
        <v>2731</v>
      </c>
      <c r="S1779" s="92"/>
      <c r="T1779" s="92"/>
      <c r="U1779" s="214" t="s">
        <v>2320</v>
      </c>
      <c r="V1779" s="144">
        <v>9.89</v>
      </c>
      <c r="W1779" s="145">
        <v>0</v>
      </c>
      <c r="X1779" s="120">
        <v>0</v>
      </c>
      <c r="Y1779" s="120">
        <v>0</v>
      </c>
      <c r="Z1779" s="120">
        <v>0</v>
      </c>
      <c r="AA1779" s="72">
        <v>0</v>
      </c>
      <c r="AB1779" s="17">
        <v>0</v>
      </c>
      <c r="AC1779" s="17">
        <v>0</v>
      </c>
      <c r="AD1779" s="72">
        <v>0</v>
      </c>
      <c r="AE1779" s="72">
        <v>0</v>
      </c>
      <c r="AF1779" s="72">
        <v>0.85</v>
      </c>
      <c r="AG1779" s="72">
        <v>0</v>
      </c>
      <c r="AH1779" s="17">
        <v>0</v>
      </c>
      <c r="AI1779" s="72">
        <v>0</v>
      </c>
      <c r="AJ1779" s="72">
        <v>5.0000000000000001E-3</v>
      </c>
      <c r="AK1779" s="17">
        <v>0</v>
      </c>
      <c r="AL1779" s="152">
        <v>0</v>
      </c>
      <c r="AM1779" s="227">
        <v>95</v>
      </c>
      <c r="AN1779" s="89"/>
      <c r="AO1779" s="214" t="s">
        <v>521</v>
      </c>
      <c r="AP1779" s="230" t="s">
        <v>521</v>
      </c>
      <c r="AQ1779" s="214" t="s">
        <v>1778</v>
      </c>
      <c r="AR1779" s="229">
        <v>27.5</v>
      </c>
      <c r="AS1779" s="214"/>
      <c r="AT1779" s="214">
        <v>300</v>
      </c>
      <c r="AU1779" s="255">
        <f t="shared" si="125"/>
        <v>12.595419847328245</v>
      </c>
      <c r="AV1779" s="172">
        <v>99</v>
      </c>
      <c r="AW1779" s="214">
        <v>2</v>
      </c>
      <c r="AX1779" s="214">
        <v>20</v>
      </c>
      <c r="AY1779" s="214">
        <v>20</v>
      </c>
      <c r="AZ1779" s="171" t="s">
        <v>521</v>
      </c>
      <c r="BA1779" s="175">
        <v>99</v>
      </c>
      <c r="BB1779" s="259"/>
      <c r="BC1779" s="224"/>
      <c r="BD1779" s="225"/>
      <c r="BE1779" s="225"/>
      <c r="BF1779" s="228" t="s">
        <v>2448</v>
      </c>
      <c r="BG1779" s="26"/>
      <c r="BH1779" s="26"/>
      <c r="BI1779" s="26"/>
      <c r="BJ1779" s="26"/>
      <c r="BK1779" s="26"/>
      <c r="BL1779" s="26"/>
      <c r="BM1779" s="26"/>
      <c r="BN1779" s="26"/>
      <c r="BO1779" s="26"/>
      <c r="BP1779" s="26"/>
      <c r="BQ1779" s="26"/>
      <c r="BR1779" s="26"/>
      <c r="BS1779" s="26"/>
      <c r="BT1779" s="26"/>
      <c r="BU1779" s="26"/>
      <c r="BV1779" s="26"/>
      <c r="BW1779" s="26"/>
      <c r="BX1779" s="26"/>
      <c r="BY1779" s="26"/>
      <c r="BZ1779" s="26"/>
      <c r="CA1779" s="26"/>
      <c r="CB1779" s="26"/>
      <c r="CC1779" s="26"/>
      <c r="CD1779" s="26"/>
    </row>
    <row r="1780" spans="1:82" s="1" customFormat="1">
      <c r="A1780" s="95">
        <v>1779</v>
      </c>
      <c r="B1780" s="211" t="s">
        <v>2449</v>
      </c>
      <c r="C1780" s="191" t="s">
        <v>441</v>
      </c>
      <c r="D1780" s="171" t="s">
        <v>266</v>
      </c>
      <c r="E1780" s="463" t="s">
        <v>3377</v>
      </c>
      <c r="F1780" s="171">
        <v>2002</v>
      </c>
      <c r="G1780" s="171">
        <v>371</v>
      </c>
      <c r="H1780" s="172" t="s">
        <v>1745</v>
      </c>
      <c r="I1780" s="173" t="s">
        <v>1739</v>
      </c>
      <c r="J1780" s="226">
        <v>0.36</v>
      </c>
      <c r="K1780" s="223">
        <v>3.82</v>
      </c>
      <c r="L1780" s="170"/>
      <c r="M1780" s="214">
        <v>445</v>
      </c>
      <c r="N1780" s="214"/>
      <c r="O1780" s="227" t="s">
        <v>12</v>
      </c>
      <c r="P1780" s="92"/>
      <c r="Q1780" s="230" t="s">
        <v>2423</v>
      </c>
      <c r="R1780" s="506" t="s">
        <v>2731</v>
      </c>
      <c r="S1780" s="92"/>
      <c r="T1780" s="92"/>
      <c r="U1780" s="214" t="s">
        <v>2320</v>
      </c>
      <c r="V1780" s="144">
        <v>9.89</v>
      </c>
      <c r="W1780" s="145">
        <v>0</v>
      </c>
      <c r="X1780" s="120">
        <v>0</v>
      </c>
      <c r="Y1780" s="120">
        <v>0</v>
      </c>
      <c r="Z1780" s="120">
        <v>0</v>
      </c>
      <c r="AA1780" s="72">
        <v>0</v>
      </c>
      <c r="AB1780" s="17">
        <v>0</v>
      </c>
      <c r="AC1780" s="17">
        <v>0</v>
      </c>
      <c r="AD1780" s="72">
        <v>0</v>
      </c>
      <c r="AE1780" s="72">
        <v>0</v>
      </c>
      <c r="AF1780" s="72">
        <v>0.85</v>
      </c>
      <c r="AG1780" s="72">
        <v>0</v>
      </c>
      <c r="AH1780" s="17">
        <v>0</v>
      </c>
      <c r="AI1780" s="72">
        <v>0</v>
      </c>
      <c r="AJ1780" s="72">
        <v>5.0000000000000001E-3</v>
      </c>
      <c r="AK1780" s="17">
        <v>0</v>
      </c>
      <c r="AL1780" s="152">
        <v>0</v>
      </c>
      <c r="AM1780" s="227">
        <v>95</v>
      </c>
      <c r="AN1780" s="89"/>
      <c r="AO1780" s="214" t="s">
        <v>521</v>
      </c>
      <c r="AP1780" s="230" t="s">
        <v>521</v>
      </c>
      <c r="AQ1780" s="214" t="s">
        <v>1778</v>
      </c>
      <c r="AR1780" s="229">
        <v>27.5</v>
      </c>
      <c r="AS1780" s="214"/>
      <c r="AT1780" s="214">
        <v>300</v>
      </c>
      <c r="AU1780" s="255">
        <f t="shared" si="125"/>
        <v>12.595419847328245</v>
      </c>
      <c r="AV1780" s="172">
        <v>99</v>
      </c>
      <c r="AW1780" s="214">
        <v>1</v>
      </c>
      <c r="AX1780" s="214">
        <v>20</v>
      </c>
      <c r="AY1780" s="214">
        <v>20</v>
      </c>
      <c r="AZ1780" s="171" t="s">
        <v>521</v>
      </c>
      <c r="BA1780" s="175">
        <v>99</v>
      </c>
      <c r="BB1780" s="259"/>
      <c r="BC1780" s="224"/>
      <c r="BD1780" s="225"/>
      <c r="BE1780" s="225"/>
      <c r="BF1780" s="228" t="s">
        <v>2450</v>
      </c>
      <c r="BG1780" s="26"/>
      <c r="BH1780" s="26"/>
      <c r="BI1780" s="26"/>
      <c r="BJ1780" s="26"/>
      <c r="BK1780" s="26"/>
      <c r="BL1780" s="26"/>
      <c r="BM1780" s="26"/>
      <c r="BN1780" s="26"/>
      <c r="BO1780" s="26"/>
      <c r="BP1780" s="26"/>
      <c r="BQ1780" s="26"/>
      <c r="BR1780" s="26"/>
      <c r="BS1780" s="26"/>
      <c r="BT1780" s="26"/>
      <c r="BU1780" s="26"/>
      <c r="BV1780" s="26"/>
      <c r="BW1780" s="26"/>
      <c r="BX1780" s="26"/>
      <c r="BY1780" s="26"/>
      <c r="BZ1780" s="26"/>
      <c r="CA1780" s="26"/>
      <c r="CB1780" s="26"/>
      <c r="CC1780" s="26"/>
      <c r="CD1780" s="26"/>
    </row>
    <row r="1781" spans="1:82" s="1" customFormat="1">
      <c r="A1781" s="95">
        <v>1780</v>
      </c>
      <c r="B1781" s="211" t="s">
        <v>2451</v>
      </c>
      <c r="C1781" s="191" t="s">
        <v>441</v>
      </c>
      <c r="D1781" s="171" t="s">
        <v>266</v>
      </c>
      <c r="E1781" s="463" t="s">
        <v>3377</v>
      </c>
      <c r="F1781" s="171">
        <v>2002</v>
      </c>
      <c r="G1781" s="171">
        <v>371</v>
      </c>
      <c r="H1781" s="172" t="s">
        <v>1745</v>
      </c>
      <c r="I1781" s="173" t="s">
        <v>1743</v>
      </c>
      <c r="J1781" s="226">
        <v>0.36</v>
      </c>
      <c r="K1781" s="223">
        <v>3.82</v>
      </c>
      <c r="L1781" s="170"/>
      <c r="M1781" s="214">
        <v>445</v>
      </c>
      <c r="N1781" s="214"/>
      <c r="O1781" s="227" t="s">
        <v>12</v>
      </c>
      <c r="P1781" s="92"/>
      <c r="Q1781" s="230" t="s">
        <v>2423</v>
      </c>
      <c r="R1781" s="65" t="s">
        <v>2731</v>
      </c>
      <c r="S1781" s="92"/>
      <c r="T1781" s="92"/>
      <c r="U1781" s="214" t="s">
        <v>2320</v>
      </c>
      <c r="V1781" s="144">
        <v>9.89</v>
      </c>
      <c r="W1781" s="145">
        <v>0</v>
      </c>
      <c r="X1781" s="120">
        <v>0</v>
      </c>
      <c r="Y1781" s="120">
        <v>0</v>
      </c>
      <c r="Z1781" s="120">
        <v>0</v>
      </c>
      <c r="AA1781" s="72">
        <v>0</v>
      </c>
      <c r="AB1781" s="17">
        <v>0</v>
      </c>
      <c r="AC1781" s="17">
        <v>0</v>
      </c>
      <c r="AD1781" s="72">
        <v>0</v>
      </c>
      <c r="AE1781" s="72">
        <v>0</v>
      </c>
      <c r="AF1781" s="72">
        <v>0.85</v>
      </c>
      <c r="AG1781" s="72">
        <v>0</v>
      </c>
      <c r="AH1781" s="17">
        <v>0</v>
      </c>
      <c r="AI1781" s="72">
        <v>0</v>
      </c>
      <c r="AJ1781" s="72">
        <v>5.0000000000000001E-3</v>
      </c>
      <c r="AK1781" s="17">
        <v>0</v>
      </c>
      <c r="AL1781" s="152">
        <v>0</v>
      </c>
      <c r="AM1781" s="227">
        <v>95</v>
      </c>
      <c r="AN1781" s="89"/>
      <c r="AO1781" s="214" t="s">
        <v>521</v>
      </c>
      <c r="AP1781" s="230" t="s">
        <v>521</v>
      </c>
      <c r="AQ1781" s="214" t="s">
        <v>1778</v>
      </c>
      <c r="AR1781" s="229">
        <v>27.5</v>
      </c>
      <c r="AS1781" s="214"/>
      <c r="AT1781" s="214">
        <v>300</v>
      </c>
      <c r="AU1781" s="255">
        <f t="shared" si="125"/>
        <v>12.595419847328245</v>
      </c>
      <c r="AV1781" s="172">
        <v>60</v>
      </c>
      <c r="AW1781" s="214">
        <v>1</v>
      </c>
      <c r="AX1781" s="214">
        <v>20</v>
      </c>
      <c r="AY1781" s="214">
        <v>20</v>
      </c>
      <c r="AZ1781" s="171" t="s">
        <v>521</v>
      </c>
      <c r="BA1781" s="175">
        <v>60</v>
      </c>
      <c r="BB1781" s="259"/>
      <c r="BC1781" s="224"/>
      <c r="BD1781" s="225"/>
      <c r="BE1781" s="225"/>
      <c r="BF1781" s="228" t="s">
        <v>2452</v>
      </c>
      <c r="BG1781" s="26"/>
      <c r="BH1781" s="26"/>
      <c r="BI1781" s="26"/>
      <c r="BJ1781" s="26"/>
      <c r="BK1781" s="26"/>
      <c r="BL1781" s="26"/>
      <c r="BM1781" s="26"/>
      <c r="BN1781" s="26"/>
      <c r="BO1781" s="26"/>
      <c r="BP1781" s="26"/>
      <c r="BQ1781" s="26"/>
      <c r="BR1781" s="26"/>
      <c r="BS1781" s="26"/>
      <c r="BT1781" s="26"/>
      <c r="BU1781" s="26"/>
      <c r="BV1781" s="26"/>
      <c r="BW1781" s="26"/>
      <c r="BX1781" s="26"/>
      <c r="BY1781" s="26"/>
      <c r="BZ1781" s="26"/>
      <c r="CA1781" s="26"/>
      <c r="CB1781" s="26"/>
      <c r="CC1781" s="26"/>
      <c r="CD1781" s="26"/>
    </row>
    <row r="1782" spans="1:82" s="1" customFormat="1">
      <c r="A1782" s="95">
        <v>1781</v>
      </c>
      <c r="B1782" s="211" t="s">
        <v>2453</v>
      </c>
      <c r="C1782" s="191" t="s">
        <v>441</v>
      </c>
      <c r="D1782" s="171" t="s">
        <v>266</v>
      </c>
      <c r="E1782" s="463" t="s">
        <v>3377</v>
      </c>
      <c r="F1782" s="171">
        <v>2002</v>
      </c>
      <c r="G1782" s="171">
        <v>371</v>
      </c>
      <c r="H1782" s="172" t="s">
        <v>1745</v>
      </c>
      <c r="I1782" s="173" t="s">
        <v>1743</v>
      </c>
      <c r="J1782" s="226">
        <v>0.36</v>
      </c>
      <c r="K1782" s="223">
        <v>3.82</v>
      </c>
      <c r="L1782" s="170"/>
      <c r="M1782" s="214">
        <v>445</v>
      </c>
      <c r="N1782" s="214"/>
      <c r="O1782" s="227" t="s">
        <v>12</v>
      </c>
      <c r="P1782" s="92"/>
      <c r="Q1782" s="230" t="s">
        <v>2423</v>
      </c>
      <c r="R1782" s="65" t="s">
        <v>2731</v>
      </c>
      <c r="S1782" s="92"/>
      <c r="T1782" s="92"/>
      <c r="U1782" s="214" t="s">
        <v>2320</v>
      </c>
      <c r="V1782" s="144">
        <v>9.89</v>
      </c>
      <c r="W1782" s="145">
        <v>0</v>
      </c>
      <c r="X1782" s="120">
        <v>0</v>
      </c>
      <c r="Y1782" s="120">
        <v>0</v>
      </c>
      <c r="Z1782" s="120">
        <v>0</v>
      </c>
      <c r="AA1782" s="72">
        <v>0</v>
      </c>
      <c r="AB1782" s="17">
        <v>0</v>
      </c>
      <c r="AC1782" s="17">
        <v>0</v>
      </c>
      <c r="AD1782" s="72">
        <v>0</v>
      </c>
      <c r="AE1782" s="72">
        <v>0</v>
      </c>
      <c r="AF1782" s="72">
        <v>0.85</v>
      </c>
      <c r="AG1782" s="72">
        <v>0</v>
      </c>
      <c r="AH1782" s="17">
        <v>0</v>
      </c>
      <c r="AI1782" s="72">
        <v>0</v>
      </c>
      <c r="AJ1782" s="72">
        <v>5.0000000000000001E-3</v>
      </c>
      <c r="AK1782" s="17">
        <v>0</v>
      </c>
      <c r="AL1782" s="152">
        <v>0</v>
      </c>
      <c r="AM1782" s="227">
        <v>95</v>
      </c>
      <c r="AN1782" s="89"/>
      <c r="AO1782" s="214" t="s">
        <v>521</v>
      </c>
      <c r="AP1782" s="230" t="s">
        <v>521</v>
      </c>
      <c r="AQ1782" s="214" t="s">
        <v>1778</v>
      </c>
      <c r="AR1782" s="229">
        <v>27.5</v>
      </c>
      <c r="AS1782" s="214"/>
      <c r="AT1782" s="214">
        <v>300</v>
      </c>
      <c r="AU1782" s="255">
        <f t="shared" si="125"/>
        <v>12.595419847328245</v>
      </c>
      <c r="AV1782" s="172">
        <v>60</v>
      </c>
      <c r="AW1782" s="214">
        <v>3</v>
      </c>
      <c r="AX1782" s="214">
        <v>20</v>
      </c>
      <c r="AY1782" s="214">
        <v>20</v>
      </c>
      <c r="AZ1782" s="171" t="s">
        <v>521</v>
      </c>
      <c r="BA1782" s="175">
        <v>60</v>
      </c>
      <c r="BB1782" s="259"/>
      <c r="BC1782" s="224"/>
      <c r="BD1782" s="225"/>
      <c r="BE1782" s="225"/>
      <c r="BF1782" s="228" t="s">
        <v>2454</v>
      </c>
      <c r="BG1782" s="26"/>
      <c r="BH1782" s="26"/>
      <c r="BI1782" s="26"/>
      <c r="BJ1782" s="26"/>
      <c r="BK1782" s="26"/>
      <c r="BL1782" s="26"/>
      <c r="BM1782" s="26"/>
      <c r="BN1782" s="26"/>
      <c r="BO1782" s="26"/>
      <c r="BP1782" s="26"/>
      <c r="BQ1782" s="26"/>
      <c r="BR1782" s="26"/>
      <c r="BS1782" s="26"/>
      <c r="BT1782" s="26"/>
      <c r="BU1782" s="26"/>
      <c r="BV1782" s="26"/>
      <c r="BW1782" s="26"/>
      <c r="BX1782" s="26"/>
      <c r="BY1782" s="26"/>
      <c r="BZ1782" s="26"/>
      <c r="CA1782" s="26"/>
      <c r="CB1782" s="26"/>
      <c r="CC1782" s="26"/>
      <c r="CD1782" s="26"/>
    </row>
    <row r="1783" spans="1:82" s="1" customFormat="1">
      <c r="A1783" s="95">
        <v>1782</v>
      </c>
      <c r="B1783" s="211" t="s">
        <v>2455</v>
      </c>
      <c r="C1783" s="191" t="s">
        <v>441</v>
      </c>
      <c r="D1783" s="171" t="s">
        <v>266</v>
      </c>
      <c r="E1783" s="463" t="s">
        <v>3377</v>
      </c>
      <c r="F1783" s="171">
        <v>2002</v>
      </c>
      <c r="G1783" s="171">
        <v>371</v>
      </c>
      <c r="H1783" s="172" t="s">
        <v>1745</v>
      </c>
      <c r="I1783" s="173" t="s">
        <v>1743</v>
      </c>
      <c r="J1783" s="226">
        <v>0.32</v>
      </c>
      <c r="K1783" s="223">
        <v>4.12</v>
      </c>
      <c r="L1783" s="170"/>
      <c r="M1783" s="214">
        <v>455</v>
      </c>
      <c r="N1783" s="214"/>
      <c r="O1783" s="227" t="s">
        <v>12</v>
      </c>
      <c r="P1783" s="92"/>
      <c r="Q1783" s="230" t="s">
        <v>2423</v>
      </c>
      <c r="R1783" s="65" t="s">
        <v>2308</v>
      </c>
      <c r="S1783" s="92"/>
      <c r="T1783" s="92"/>
      <c r="U1783" s="214" t="s">
        <v>2308</v>
      </c>
      <c r="V1783" s="144">
        <v>5.05</v>
      </c>
      <c r="W1783" s="145">
        <v>0</v>
      </c>
      <c r="X1783" s="120">
        <v>0</v>
      </c>
      <c r="Y1783" s="120">
        <v>0</v>
      </c>
      <c r="Z1783" s="120">
        <v>0</v>
      </c>
      <c r="AA1783" s="72">
        <v>0</v>
      </c>
      <c r="AB1783" s="17">
        <v>0</v>
      </c>
      <c r="AC1783" s="17">
        <v>0</v>
      </c>
      <c r="AD1783" s="72">
        <v>0</v>
      </c>
      <c r="AE1783" s="72">
        <v>0</v>
      </c>
      <c r="AF1783" s="72">
        <v>1.1200000000000001</v>
      </c>
      <c r="AG1783" s="72">
        <v>0</v>
      </c>
      <c r="AH1783" s="17">
        <v>0</v>
      </c>
      <c r="AI1783" s="72">
        <v>0</v>
      </c>
      <c r="AJ1783" s="72">
        <v>0</v>
      </c>
      <c r="AK1783" s="17">
        <v>0</v>
      </c>
      <c r="AL1783" s="152">
        <v>0</v>
      </c>
      <c r="AM1783" s="227">
        <v>101</v>
      </c>
      <c r="AN1783" s="89"/>
      <c r="AO1783" s="214" t="s">
        <v>521</v>
      </c>
      <c r="AP1783" s="230" t="s">
        <v>521</v>
      </c>
      <c r="AQ1783" s="214" t="s">
        <v>1778</v>
      </c>
      <c r="AR1783" s="229">
        <v>27.5</v>
      </c>
      <c r="AS1783" s="214"/>
      <c r="AT1783" s="214">
        <v>300</v>
      </c>
      <c r="AU1783" s="255">
        <f t="shared" si="125"/>
        <v>12.595419847328245</v>
      </c>
      <c r="AV1783" s="172">
        <v>60</v>
      </c>
      <c r="AW1783" s="214">
        <v>2</v>
      </c>
      <c r="AX1783" s="214">
        <v>20</v>
      </c>
      <c r="AY1783" s="214">
        <v>20</v>
      </c>
      <c r="AZ1783" s="171" t="s">
        <v>521</v>
      </c>
      <c r="BA1783" s="175">
        <v>60</v>
      </c>
      <c r="BB1783" s="259"/>
      <c r="BC1783" s="224"/>
      <c r="BD1783" s="225"/>
      <c r="BE1783" s="225"/>
      <c r="BF1783" s="228" t="s">
        <v>2456</v>
      </c>
      <c r="BG1783" s="26"/>
      <c r="BH1783" s="26"/>
      <c r="BI1783" s="26"/>
      <c r="BJ1783" s="26"/>
      <c r="BK1783" s="26"/>
      <c r="BL1783" s="26"/>
      <c r="BM1783" s="26"/>
      <c r="BN1783" s="26"/>
      <c r="BO1783" s="26"/>
      <c r="BP1783" s="26"/>
      <c r="BQ1783" s="26"/>
      <c r="BR1783" s="26"/>
      <c r="BS1783" s="26"/>
      <c r="BT1783" s="26"/>
      <c r="BU1783" s="26"/>
      <c r="BV1783" s="26"/>
      <c r="BW1783" s="26"/>
      <c r="BX1783" s="26"/>
      <c r="BY1783" s="26"/>
      <c r="BZ1783" s="26"/>
      <c r="CA1783" s="26"/>
      <c r="CB1783" s="26"/>
      <c r="CC1783" s="26"/>
      <c r="CD1783" s="26"/>
    </row>
    <row r="1784" spans="1:82" s="1" customFormat="1">
      <c r="A1784" s="95">
        <v>1783</v>
      </c>
      <c r="B1784" s="211" t="s">
        <v>2457</v>
      </c>
      <c r="C1784" s="191" t="s">
        <v>441</v>
      </c>
      <c r="D1784" s="171" t="s">
        <v>266</v>
      </c>
      <c r="E1784" s="463" t="s">
        <v>3377</v>
      </c>
      <c r="F1784" s="171">
        <v>2002</v>
      </c>
      <c r="G1784" s="171">
        <v>371</v>
      </c>
      <c r="H1784" s="172" t="s">
        <v>1745</v>
      </c>
      <c r="I1784" s="173" t="s">
        <v>1739</v>
      </c>
      <c r="J1784" s="226">
        <v>0.32</v>
      </c>
      <c r="K1784" s="223">
        <v>4.12</v>
      </c>
      <c r="L1784" s="170"/>
      <c r="M1784" s="214">
        <v>455</v>
      </c>
      <c r="N1784" s="214"/>
      <c r="O1784" s="227" t="s">
        <v>12</v>
      </c>
      <c r="P1784" s="92"/>
      <c r="Q1784" s="230" t="s">
        <v>2423</v>
      </c>
      <c r="R1784" s="65" t="s">
        <v>2308</v>
      </c>
      <c r="S1784" s="92"/>
      <c r="T1784" s="92"/>
      <c r="U1784" s="214" t="s">
        <v>2308</v>
      </c>
      <c r="V1784" s="144">
        <v>5.05</v>
      </c>
      <c r="W1784" s="145">
        <v>0</v>
      </c>
      <c r="X1784" s="120">
        <v>0</v>
      </c>
      <c r="Y1784" s="120">
        <v>0</v>
      </c>
      <c r="Z1784" s="120">
        <v>0</v>
      </c>
      <c r="AA1784" s="72">
        <v>0</v>
      </c>
      <c r="AB1784" s="17">
        <v>0</v>
      </c>
      <c r="AC1784" s="17">
        <v>0</v>
      </c>
      <c r="AD1784" s="72">
        <v>0</v>
      </c>
      <c r="AE1784" s="72">
        <v>0</v>
      </c>
      <c r="AF1784" s="72">
        <v>1.1200000000000001</v>
      </c>
      <c r="AG1784" s="72">
        <v>0</v>
      </c>
      <c r="AH1784" s="17">
        <v>0</v>
      </c>
      <c r="AI1784" s="72">
        <v>0</v>
      </c>
      <c r="AJ1784" s="72">
        <v>0</v>
      </c>
      <c r="AK1784" s="17">
        <v>0</v>
      </c>
      <c r="AL1784" s="152">
        <v>0</v>
      </c>
      <c r="AM1784" s="227">
        <v>101</v>
      </c>
      <c r="AN1784" s="89"/>
      <c r="AO1784" s="214" t="s">
        <v>521</v>
      </c>
      <c r="AP1784" s="230" t="s">
        <v>521</v>
      </c>
      <c r="AQ1784" s="214" t="s">
        <v>1778</v>
      </c>
      <c r="AR1784" s="229">
        <v>27.5</v>
      </c>
      <c r="AS1784" s="214"/>
      <c r="AT1784" s="214">
        <v>300</v>
      </c>
      <c r="AU1784" s="255">
        <f t="shared" si="125"/>
        <v>12.595419847328245</v>
      </c>
      <c r="AV1784" s="172">
        <v>99</v>
      </c>
      <c r="AW1784" s="214">
        <v>1</v>
      </c>
      <c r="AX1784" s="214">
        <v>20</v>
      </c>
      <c r="AY1784" s="214">
        <v>20</v>
      </c>
      <c r="AZ1784" s="171" t="s">
        <v>521</v>
      </c>
      <c r="BA1784" s="175">
        <v>99</v>
      </c>
      <c r="BB1784" s="259"/>
      <c r="BC1784" s="224"/>
      <c r="BD1784" s="225"/>
      <c r="BE1784" s="225"/>
      <c r="BF1784" s="228" t="s">
        <v>2458</v>
      </c>
      <c r="BG1784" s="26"/>
      <c r="BH1784" s="26"/>
      <c r="BI1784" s="26"/>
      <c r="BJ1784" s="26"/>
      <c r="BK1784" s="26"/>
      <c r="BL1784" s="26"/>
      <c r="BM1784" s="26"/>
      <c r="BN1784" s="26"/>
      <c r="BO1784" s="26"/>
      <c r="BP1784" s="26"/>
      <c r="BQ1784" s="26"/>
      <c r="BR1784" s="26"/>
      <c r="BS1784" s="26"/>
      <c r="BT1784" s="26"/>
      <c r="BU1784" s="26"/>
      <c r="BV1784" s="26"/>
      <c r="BW1784" s="26"/>
      <c r="BX1784" s="26"/>
      <c r="BY1784" s="26"/>
      <c r="BZ1784" s="26"/>
      <c r="CA1784" s="26"/>
      <c r="CB1784" s="26"/>
      <c r="CC1784" s="26"/>
      <c r="CD1784" s="26"/>
    </row>
    <row r="1785" spans="1:82" s="1" customFormat="1">
      <c r="A1785" s="95">
        <v>1784</v>
      </c>
      <c r="B1785" s="211" t="s">
        <v>2459</v>
      </c>
      <c r="C1785" s="191" t="s">
        <v>441</v>
      </c>
      <c r="D1785" s="171" t="s">
        <v>266</v>
      </c>
      <c r="E1785" s="463" t="s">
        <v>3377</v>
      </c>
      <c r="F1785" s="171">
        <v>2002</v>
      </c>
      <c r="G1785" s="171">
        <v>371</v>
      </c>
      <c r="H1785" s="172" t="s">
        <v>1745</v>
      </c>
      <c r="I1785" s="173" t="s">
        <v>1739</v>
      </c>
      <c r="J1785" s="226">
        <v>0.32</v>
      </c>
      <c r="K1785" s="223">
        <v>4.12</v>
      </c>
      <c r="L1785" s="170"/>
      <c r="M1785" s="214">
        <v>455</v>
      </c>
      <c r="N1785" s="214"/>
      <c r="O1785" s="227" t="s">
        <v>12</v>
      </c>
      <c r="P1785" s="92"/>
      <c r="Q1785" s="230" t="s">
        <v>2423</v>
      </c>
      <c r="R1785" s="65" t="s">
        <v>2308</v>
      </c>
      <c r="S1785" s="92"/>
      <c r="T1785" s="92"/>
      <c r="U1785" s="214" t="s">
        <v>2308</v>
      </c>
      <c r="V1785" s="144">
        <v>5.05</v>
      </c>
      <c r="W1785" s="145">
        <v>0</v>
      </c>
      <c r="X1785" s="120">
        <v>0</v>
      </c>
      <c r="Y1785" s="120">
        <v>0</v>
      </c>
      <c r="Z1785" s="120">
        <v>0</v>
      </c>
      <c r="AA1785" s="72">
        <v>0</v>
      </c>
      <c r="AB1785" s="17">
        <v>0</v>
      </c>
      <c r="AC1785" s="17">
        <v>0</v>
      </c>
      <c r="AD1785" s="72">
        <v>0</v>
      </c>
      <c r="AE1785" s="72">
        <v>0</v>
      </c>
      <c r="AF1785" s="72">
        <v>1.1200000000000001</v>
      </c>
      <c r="AG1785" s="72">
        <v>0</v>
      </c>
      <c r="AH1785" s="17">
        <v>0</v>
      </c>
      <c r="AI1785" s="72">
        <v>0</v>
      </c>
      <c r="AJ1785" s="72">
        <v>0</v>
      </c>
      <c r="AK1785" s="17">
        <v>0</v>
      </c>
      <c r="AL1785" s="152">
        <v>0</v>
      </c>
      <c r="AM1785" s="227">
        <v>101</v>
      </c>
      <c r="AN1785" s="89"/>
      <c r="AO1785" s="214" t="s">
        <v>521</v>
      </c>
      <c r="AP1785" s="230" t="s">
        <v>521</v>
      </c>
      <c r="AQ1785" s="214" t="s">
        <v>1778</v>
      </c>
      <c r="AR1785" s="229">
        <v>27.5</v>
      </c>
      <c r="AS1785" s="214"/>
      <c r="AT1785" s="214">
        <v>300</v>
      </c>
      <c r="AU1785" s="255">
        <f t="shared" si="125"/>
        <v>12.595419847328245</v>
      </c>
      <c r="AV1785" s="172">
        <v>99</v>
      </c>
      <c r="AW1785" s="214">
        <v>3</v>
      </c>
      <c r="AX1785" s="214">
        <v>20</v>
      </c>
      <c r="AY1785" s="214">
        <v>20</v>
      </c>
      <c r="AZ1785" s="171" t="s">
        <v>521</v>
      </c>
      <c r="BA1785" s="175">
        <v>99</v>
      </c>
      <c r="BB1785" s="259"/>
      <c r="BC1785" s="224"/>
      <c r="BD1785" s="225"/>
      <c r="BE1785" s="225"/>
      <c r="BF1785" s="228" t="s">
        <v>2460</v>
      </c>
      <c r="BG1785" s="26"/>
      <c r="BH1785" s="26"/>
      <c r="BI1785" s="26"/>
      <c r="BJ1785" s="26"/>
      <c r="BK1785" s="26"/>
      <c r="BL1785" s="26"/>
      <c r="BM1785" s="26"/>
      <c r="BN1785" s="26"/>
      <c r="BO1785" s="26"/>
      <c r="BP1785" s="26"/>
      <c r="BQ1785" s="26"/>
      <c r="BR1785" s="26"/>
      <c r="BS1785" s="26"/>
      <c r="BT1785" s="26"/>
      <c r="BU1785" s="26"/>
      <c r="BV1785" s="26"/>
      <c r="BW1785" s="26"/>
      <c r="BX1785" s="26"/>
      <c r="BY1785" s="26"/>
      <c r="BZ1785" s="26"/>
      <c r="CA1785" s="26"/>
      <c r="CB1785" s="26"/>
      <c r="CC1785" s="26"/>
      <c r="CD1785" s="26"/>
    </row>
    <row r="1786" spans="1:82" s="1" customFormat="1">
      <c r="A1786" s="95">
        <v>1785</v>
      </c>
      <c r="B1786" s="211" t="s">
        <v>2461</v>
      </c>
      <c r="C1786" s="191" t="s">
        <v>441</v>
      </c>
      <c r="D1786" s="171" t="s">
        <v>266</v>
      </c>
      <c r="E1786" s="463" t="s">
        <v>3377</v>
      </c>
      <c r="F1786" s="171">
        <v>2002</v>
      </c>
      <c r="G1786" s="171">
        <v>371</v>
      </c>
      <c r="H1786" s="172" t="s">
        <v>1745</v>
      </c>
      <c r="I1786" s="173" t="s">
        <v>1739</v>
      </c>
      <c r="J1786" s="226">
        <v>0.32</v>
      </c>
      <c r="K1786" s="223">
        <v>4.12</v>
      </c>
      <c r="L1786" s="170"/>
      <c r="M1786" s="214">
        <v>455</v>
      </c>
      <c r="N1786" s="214"/>
      <c r="O1786" s="227" t="s">
        <v>12</v>
      </c>
      <c r="P1786" s="92"/>
      <c r="Q1786" s="230" t="s">
        <v>2423</v>
      </c>
      <c r="R1786" s="65" t="s">
        <v>2308</v>
      </c>
      <c r="S1786" s="92"/>
      <c r="T1786" s="92"/>
      <c r="U1786" s="214" t="s">
        <v>2308</v>
      </c>
      <c r="V1786" s="144">
        <v>5.05</v>
      </c>
      <c r="W1786" s="145">
        <v>0</v>
      </c>
      <c r="X1786" s="120">
        <v>0</v>
      </c>
      <c r="Y1786" s="120">
        <v>0</v>
      </c>
      <c r="Z1786" s="120">
        <v>0</v>
      </c>
      <c r="AA1786" s="72">
        <v>0</v>
      </c>
      <c r="AB1786" s="17">
        <v>0</v>
      </c>
      <c r="AC1786" s="17">
        <v>0</v>
      </c>
      <c r="AD1786" s="72">
        <v>0</v>
      </c>
      <c r="AE1786" s="72">
        <v>0</v>
      </c>
      <c r="AF1786" s="72">
        <v>1.1200000000000001</v>
      </c>
      <c r="AG1786" s="72">
        <v>0</v>
      </c>
      <c r="AH1786" s="17">
        <v>0</v>
      </c>
      <c r="AI1786" s="72">
        <v>0</v>
      </c>
      <c r="AJ1786" s="72">
        <v>0</v>
      </c>
      <c r="AK1786" s="17">
        <v>0</v>
      </c>
      <c r="AL1786" s="152">
        <v>0</v>
      </c>
      <c r="AM1786" s="227">
        <v>101</v>
      </c>
      <c r="AN1786" s="89"/>
      <c r="AO1786" s="214" t="s">
        <v>521</v>
      </c>
      <c r="AP1786" s="230" t="s">
        <v>521</v>
      </c>
      <c r="AQ1786" s="214" t="s">
        <v>1778</v>
      </c>
      <c r="AR1786" s="229">
        <v>27.5</v>
      </c>
      <c r="AS1786" s="214"/>
      <c r="AT1786" s="214">
        <v>300</v>
      </c>
      <c r="AU1786" s="255">
        <f t="shared" si="125"/>
        <v>12.595419847328245</v>
      </c>
      <c r="AV1786" s="172">
        <v>99</v>
      </c>
      <c r="AW1786" s="214">
        <v>28</v>
      </c>
      <c r="AX1786" s="214">
        <v>20</v>
      </c>
      <c r="AY1786" s="214">
        <v>20</v>
      </c>
      <c r="AZ1786" s="171" t="s">
        <v>521</v>
      </c>
      <c r="BA1786" s="175">
        <v>99</v>
      </c>
      <c r="BB1786" s="259"/>
      <c r="BC1786" s="224"/>
      <c r="BD1786" s="225"/>
      <c r="BE1786" s="225"/>
      <c r="BF1786" s="228" t="s">
        <v>2462</v>
      </c>
      <c r="BG1786" s="26"/>
      <c r="BH1786" s="26"/>
      <c r="BI1786" s="26"/>
      <c r="BJ1786" s="26"/>
      <c r="BK1786" s="26"/>
      <c r="BL1786" s="26"/>
      <c r="BM1786" s="26"/>
      <c r="BN1786" s="26"/>
      <c r="BO1786" s="26"/>
      <c r="BP1786" s="26"/>
      <c r="BQ1786" s="26"/>
      <c r="BR1786" s="26"/>
      <c r="BS1786" s="26"/>
      <c r="BT1786" s="26"/>
      <c r="BU1786" s="26"/>
      <c r="BV1786" s="26"/>
      <c r="BW1786" s="26"/>
      <c r="BX1786" s="26"/>
      <c r="BY1786" s="26"/>
      <c r="BZ1786" s="26"/>
      <c r="CA1786" s="26"/>
      <c r="CB1786" s="26"/>
      <c r="CC1786" s="26"/>
      <c r="CD1786" s="26"/>
    </row>
    <row r="1787" spans="1:82" s="1" customFormat="1">
      <c r="A1787" s="95">
        <v>1786</v>
      </c>
      <c r="B1787" s="211" t="s">
        <v>2463</v>
      </c>
      <c r="C1787" s="191" t="s">
        <v>441</v>
      </c>
      <c r="D1787" s="171" t="s">
        <v>266</v>
      </c>
      <c r="E1787" s="463" t="s">
        <v>3377</v>
      </c>
      <c r="F1787" s="171">
        <v>2002</v>
      </c>
      <c r="G1787" s="171">
        <v>371</v>
      </c>
      <c r="H1787" s="172" t="s">
        <v>1745</v>
      </c>
      <c r="I1787" s="173" t="s">
        <v>1743</v>
      </c>
      <c r="J1787" s="226">
        <v>0.32</v>
      </c>
      <c r="K1787" s="223">
        <v>4.12</v>
      </c>
      <c r="L1787" s="170"/>
      <c r="M1787" s="214">
        <v>455</v>
      </c>
      <c r="N1787" s="214"/>
      <c r="O1787" s="227" t="s">
        <v>12</v>
      </c>
      <c r="P1787" s="92"/>
      <c r="Q1787" s="230" t="s">
        <v>2423</v>
      </c>
      <c r="R1787" s="65" t="s">
        <v>2308</v>
      </c>
      <c r="S1787" s="92"/>
      <c r="T1787" s="92"/>
      <c r="U1787" s="214" t="s">
        <v>2308</v>
      </c>
      <c r="V1787" s="144">
        <v>5.05</v>
      </c>
      <c r="W1787" s="145">
        <v>0</v>
      </c>
      <c r="X1787" s="120">
        <v>0</v>
      </c>
      <c r="Y1787" s="120">
        <v>0</v>
      </c>
      <c r="Z1787" s="120">
        <v>0</v>
      </c>
      <c r="AA1787" s="72">
        <v>0</v>
      </c>
      <c r="AB1787" s="17">
        <v>0</v>
      </c>
      <c r="AC1787" s="17">
        <v>0</v>
      </c>
      <c r="AD1787" s="72">
        <v>0</v>
      </c>
      <c r="AE1787" s="72">
        <v>0</v>
      </c>
      <c r="AF1787" s="72">
        <v>1.1200000000000001</v>
      </c>
      <c r="AG1787" s="72">
        <v>0</v>
      </c>
      <c r="AH1787" s="17">
        <v>0</v>
      </c>
      <c r="AI1787" s="72">
        <v>0</v>
      </c>
      <c r="AJ1787" s="72">
        <v>0</v>
      </c>
      <c r="AK1787" s="17">
        <v>0</v>
      </c>
      <c r="AL1787" s="152">
        <v>0</v>
      </c>
      <c r="AM1787" s="227">
        <v>101</v>
      </c>
      <c r="AN1787" s="89"/>
      <c r="AO1787" s="214" t="s">
        <v>521</v>
      </c>
      <c r="AP1787" s="230" t="s">
        <v>521</v>
      </c>
      <c r="AQ1787" s="214" t="s">
        <v>1778</v>
      </c>
      <c r="AR1787" s="229">
        <v>27.5</v>
      </c>
      <c r="AS1787" s="214"/>
      <c r="AT1787" s="214">
        <v>300</v>
      </c>
      <c r="AU1787" s="255">
        <f t="shared" si="125"/>
        <v>12.595419847328245</v>
      </c>
      <c r="AV1787" s="172">
        <v>60</v>
      </c>
      <c r="AW1787" s="214">
        <v>1</v>
      </c>
      <c r="AX1787" s="214">
        <v>20</v>
      </c>
      <c r="AY1787" s="214">
        <v>20</v>
      </c>
      <c r="AZ1787" s="171" t="s">
        <v>521</v>
      </c>
      <c r="BA1787" s="175">
        <v>60</v>
      </c>
      <c r="BB1787" s="259"/>
      <c r="BC1787" s="224"/>
      <c r="BD1787" s="225"/>
      <c r="BE1787" s="225"/>
      <c r="BF1787" s="228" t="s">
        <v>2464</v>
      </c>
      <c r="BG1787" s="26"/>
      <c r="BH1787" s="26"/>
      <c r="BI1787" s="26"/>
      <c r="BJ1787" s="26"/>
      <c r="BK1787" s="26"/>
      <c r="BL1787" s="26"/>
      <c r="BM1787" s="26"/>
      <c r="BN1787" s="26"/>
      <c r="BO1787" s="26"/>
      <c r="BP1787" s="26"/>
      <c r="BQ1787" s="26"/>
      <c r="BR1787" s="26"/>
      <c r="BS1787" s="26"/>
      <c r="BT1787" s="26"/>
      <c r="BU1787" s="26"/>
      <c r="BV1787" s="26"/>
      <c r="BW1787" s="26"/>
      <c r="BX1787" s="26"/>
      <c r="BY1787" s="26"/>
      <c r="BZ1787" s="26"/>
      <c r="CA1787" s="26"/>
      <c r="CB1787" s="26"/>
      <c r="CC1787" s="26"/>
      <c r="CD1787" s="26"/>
    </row>
    <row r="1788" spans="1:82" s="1" customFormat="1">
      <c r="A1788" s="95">
        <v>1787</v>
      </c>
      <c r="B1788" s="211" t="s">
        <v>2465</v>
      </c>
      <c r="C1788" s="191" t="s">
        <v>441</v>
      </c>
      <c r="D1788" s="171" t="s">
        <v>266</v>
      </c>
      <c r="E1788" s="463" t="s">
        <v>3377</v>
      </c>
      <c r="F1788" s="171">
        <v>2002</v>
      </c>
      <c r="G1788" s="171">
        <v>371</v>
      </c>
      <c r="H1788" s="172" t="s">
        <v>1745</v>
      </c>
      <c r="I1788" s="173" t="s">
        <v>1743</v>
      </c>
      <c r="J1788" s="226">
        <v>0.32</v>
      </c>
      <c r="K1788" s="223">
        <v>4.12</v>
      </c>
      <c r="L1788" s="170"/>
      <c r="M1788" s="214">
        <v>455</v>
      </c>
      <c r="N1788" s="214"/>
      <c r="O1788" s="227" t="s">
        <v>12</v>
      </c>
      <c r="P1788" s="92"/>
      <c r="Q1788" s="230" t="s">
        <v>2423</v>
      </c>
      <c r="R1788" s="65" t="s">
        <v>2308</v>
      </c>
      <c r="S1788" s="92"/>
      <c r="T1788" s="92"/>
      <c r="U1788" s="214" t="s">
        <v>2308</v>
      </c>
      <c r="V1788" s="144">
        <v>5.05</v>
      </c>
      <c r="W1788" s="145">
        <v>0</v>
      </c>
      <c r="X1788" s="120">
        <v>0</v>
      </c>
      <c r="Y1788" s="120">
        <v>0</v>
      </c>
      <c r="Z1788" s="120">
        <v>0</v>
      </c>
      <c r="AA1788" s="72">
        <v>0</v>
      </c>
      <c r="AB1788" s="17">
        <v>0</v>
      </c>
      <c r="AC1788" s="17">
        <v>0</v>
      </c>
      <c r="AD1788" s="72">
        <v>0</v>
      </c>
      <c r="AE1788" s="72">
        <v>0</v>
      </c>
      <c r="AF1788" s="72">
        <v>1.1200000000000001</v>
      </c>
      <c r="AG1788" s="72">
        <v>0</v>
      </c>
      <c r="AH1788" s="17">
        <v>0</v>
      </c>
      <c r="AI1788" s="72">
        <v>0</v>
      </c>
      <c r="AJ1788" s="72">
        <v>0</v>
      </c>
      <c r="AK1788" s="17">
        <v>0</v>
      </c>
      <c r="AL1788" s="152">
        <v>0</v>
      </c>
      <c r="AM1788" s="227">
        <v>101</v>
      </c>
      <c r="AN1788" s="89"/>
      <c r="AO1788" s="214" t="s">
        <v>521</v>
      </c>
      <c r="AP1788" s="230" t="s">
        <v>521</v>
      </c>
      <c r="AQ1788" s="214" t="s">
        <v>1778</v>
      </c>
      <c r="AR1788" s="229">
        <v>27.5</v>
      </c>
      <c r="AS1788" s="214"/>
      <c r="AT1788" s="214">
        <v>300</v>
      </c>
      <c r="AU1788" s="255">
        <f t="shared" si="125"/>
        <v>12.595419847328245</v>
      </c>
      <c r="AV1788" s="172">
        <v>60</v>
      </c>
      <c r="AW1788" s="214">
        <v>3</v>
      </c>
      <c r="AX1788" s="214">
        <v>20</v>
      </c>
      <c r="AY1788" s="214">
        <v>20</v>
      </c>
      <c r="AZ1788" s="171" t="s">
        <v>521</v>
      </c>
      <c r="BA1788" s="175">
        <v>60</v>
      </c>
      <c r="BB1788" s="259"/>
      <c r="BC1788" s="224"/>
      <c r="BD1788" s="225"/>
      <c r="BE1788" s="225"/>
      <c r="BF1788" s="228" t="s">
        <v>2466</v>
      </c>
      <c r="BG1788" s="26"/>
      <c r="BH1788" s="26"/>
      <c r="BI1788" s="26"/>
      <c r="BJ1788" s="26"/>
      <c r="BK1788" s="26"/>
      <c r="BL1788" s="26"/>
      <c r="BM1788" s="26"/>
      <c r="BN1788" s="26"/>
      <c r="BO1788" s="26"/>
      <c r="BP1788" s="26"/>
      <c r="BQ1788" s="26"/>
      <c r="BR1788" s="26"/>
      <c r="BS1788" s="26"/>
      <c r="BT1788" s="26"/>
      <c r="BU1788" s="26"/>
      <c r="BV1788" s="26"/>
      <c r="BW1788" s="26"/>
      <c r="BX1788" s="26"/>
      <c r="BY1788" s="26"/>
      <c r="BZ1788" s="26"/>
      <c r="CA1788" s="26"/>
      <c r="CB1788" s="26"/>
      <c r="CC1788" s="26"/>
      <c r="CD1788" s="26"/>
    </row>
    <row r="1789" spans="1:82" s="1" customFormat="1">
      <c r="A1789" s="95">
        <v>1788</v>
      </c>
      <c r="B1789" s="211" t="s">
        <v>2467</v>
      </c>
      <c r="C1789" s="191" t="s">
        <v>441</v>
      </c>
      <c r="D1789" s="171" t="s">
        <v>266</v>
      </c>
      <c r="E1789" s="463" t="s">
        <v>3377</v>
      </c>
      <c r="F1789" s="171">
        <v>2002</v>
      </c>
      <c r="G1789" s="171">
        <v>371</v>
      </c>
      <c r="H1789" s="172" t="s">
        <v>1745</v>
      </c>
      <c r="I1789" s="173" t="s">
        <v>1743</v>
      </c>
      <c r="J1789" s="226">
        <v>0.32</v>
      </c>
      <c r="K1789" s="223">
        <v>4.12</v>
      </c>
      <c r="L1789" s="170"/>
      <c r="M1789" s="214">
        <v>455</v>
      </c>
      <c r="N1789" s="214"/>
      <c r="O1789" s="227" t="s">
        <v>12</v>
      </c>
      <c r="P1789" s="92"/>
      <c r="Q1789" s="230" t="s">
        <v>2423</v>
      </c>
      <c r="R1789" s="506" t="s">
        <v>2308</v>
      </c>
      <c r="S1789" s="92"/>
      <c r="T1789" s="511"/>
      <c r="U1789" s="214" t="s">
        <v>2308</v>
      </c>
      <c r="V1789" s="144">
        <v>5.05</v>
      </c>
      <c r="W1789" s="145">
        <v>0</v>
      </c>
      <c r="X1789" s="120">
        <v>0</v>
      </c>
      <c r="Y1789" s="120">
        <v>0</v>
      </c>
      <c r="Z1789" s="120">
        <v>0</v>
      </c>
      <c r="AA1789" s="72">
        <v>0</v>
      </c>
      <c r="AB1789" s="17">
        <v>0</v>
      </c>
      <c r="AC1789" s="17">
        <v>0</v>
      </c>
      <c r="AD1789" s="72">
        <v>0</v>
      </c>
      <c r="AE1789" s="72">
        <v>0</v>
      </c>
      <c r="AF1789" s="72">
        <v>1.1200000000000001</v>
      </c>
      <c r="AG1789" s="72">
        <v>0</v>
      </c>
      <c r="AH1789" s="17">
        <v>0</v>
      </c>
      <c r="AI1789" s="72">
        <v>0</v>
      </c>
      <c r="AJ1789" s="72">
        <v>0</v>
      </c>
      <c r="AK1789" s="17">
        <v>0</v>
      </c>
      <c r="AL1789" s="152">
        <v>0</v>
      </c>
      <c r="AM1789" s="227">
        <v>101</v>
      </c>
      <c r="AN1789" s="89"/>
      <c r="AO1789" s="214" t="s">
        <v>521</v>
      </c>
      <c r="AP1789" s="230" t="s">
        <v>521</v>
      </c>
      <c r="AQ1789" s="214" t="s">
        <v>1778</v>
      </c>
      <c r="AR1789" s="229">
        <v>27.5</v>
      </c>
      <c r="AS1789" s="214"/>
      <c r="AT1789" s="214">
        <v>300</v>
      </c>
      <c r="AU1789" s="255">
        <f t="shared" si="125"/>
        <v>12.595419847328245</v>
      </c>
      <c r="AV1789" s="172">
        <v>60</v>
      </c>
      <c r="AW1789" s="214">
        <v>28</v>
      </c>
      <c r="AX1789" s="214">
        <v>20</v>
      </c>
      <c r="AY1789" s="214">
        <v>20</v>
      </c>
      <c r="AZ1789" s="171" t="s">
        <v>521</v>
      </c>
      <c r="BA1789" s="175">
        <v>60</v>
      </c>
      <c r="BB1789" s="259"/>
      <c r="BC1789" s="224"/>
      <c r="BD1789" s="225"/>
      <c r="BE1789" s="225"/>
      <c r="BF1789" s="228" t="s">
        <v>2468</v>
      </c>
      <c r="BG1789" s="26"/>
      <c r="BH1789" s="26"/>
      <c r="BI1789" s="26"/>
      <c r="BJ1789" s="26"/>
      <c r="BK1789" s="26"/>
      <c r="BL1789" s="26"/>
      <c r="BM1789" s="26"/>
      <c r="BN1789" s="26"/>
      <c r="BO1789" s="26"/>
      <c r="BP1789" s="26"/>
      <c r="BQ1789" s="26"/>
      <c r="BR1789" s="26"/>
      <c r="BS1789" s="26"/>
      <c r="BT1789" s="26"/>
      <c r="BU1789" s="26"/>
      <c r="BV1789" s="26"/>
      <c r="BW1789" s="26"/>
      <c r="BX1789" s="26"/>
      <c r="BY1789" s="26"/>
      <c r="BZ1789" s="26"/>
      <c r="CA1789" s="26"/>
      <c r="CB1789" s="26"/>
      <c r="CC1789" s="26"/>
      <c r="CD1789" s="26"/>
    </row>
    <row r="1790" spans="1:82" s="1" customFormat="1">
      <c r="A1790" s="95">
        <v>1789</v>
      </c>
      <c r="B1790" s="211" t="s">
        <v>2469</v>
      </c>
      <c r="C1790" s="191" t="s">
        <v>441</v>
      </c>
      <c r="D1790" s="171" t="s">
        <v>266</v>
      </c>
      <c r="E1790" s="463" t="s">
        <v>3377</v>
      </c>
      <c r="F1790" s="171">
        <v>2002</v>
      </c>
      <c r="G1790" s="171">
        <v>371</v>
      </c>
      <c r="H1790" s="172" t="s">
        <v>1745</v>
      </c>
      <c r="I1790" s="173" t="s">
        <v>1743</v>
      </c>
      <c r="J1790" s="226">
        <v>0.31</v>
      </c>
      <c r="K1790" s="223">
        <v>3.56</v>
      </c>
      <c r="L1790" s="170"/>
      <c r="M1790" s="214">
        <v>495</v>
      </c>
      <c r="N1790" s="214"/>
      <c r="O1790" s="227" t="s">
        <v>12</v>
      </c>
      <c r="P1790" s="92"/>
      <c r="Q1790" s="230" t="s">
        <v>2423</v>
      </c>
      <c r="R1790" s="506" t="s">
        <v>2731</v>
      </c>
      <c r="S1790" s="92"/>
      <c r="T1790" s="511"/>
      <c r="U1790" s="214" t="s">
        <v>2320</v>
      </c>
      <c r="V1790" s="144">
        <v>10.1</v>
      </c>
      <c r="W1790" s="145">
        <v>0</v>
      </c>
      <c r="X1790" s="120">
        <v>0</v>
      </c>
      <c r="Y1790" s="120">
        <v>0</v>
      </c>
      <c r="Z1790" s="120">
        <v>0</v>
      </c>
      <c r="AA1790" s="72">
        <v>0</v>
      </c>
      <c r="AB1790" s="17">
        <v>0</v>
      </c>
      <c r="AC1790" s="17">
        <v>0</v>
      </c>
      <c r="AD1790" s="72">
        <v>0</v>
      </c>
      <c r="AE1790" s="72">
        <v>0</v>
      </c>
      <c r="AF1790" s="72">
        <v>0.93</v>
      </c>
      <c r="AG1790" s="72">
        <v>0</v>
      </c>
      <c r="AH1790" s="17">
        <v>0</v>
      </c>
      <c r="AI1790" s="72">
        <v>0</v>
      </c>
      <c r="AJ1790" s="72">
        <v>0</v>
      </c>
      <c r="AK1790" s="17">
        <v>0</v>
      </c>
      <c r="AL1790" s="152">
        <v>0</v>
      </c>
      <c r="AM1790" s="227">
        <v>121</v>
      </c>
      <c r="AN1790" s="89"/>
      <c r="AO1790" s="214" t="s">
        <v>521</v>
      </c>
      <c r="AP1790" s="230" t="s">
        <v>521</v>
      </c>
      <c r="AQ1790" s="214" t="s">
        <v>1778</v>
      </c>
      <c r="AR1790" s="229">
        <v>27.5</v>
      </c>
      <c r="AS1790" s="214"/>
      <c r="AT1790" s="214">
        <v>300</v>
      </c>
      <c r="AU1790" s="255">
        <f t="shared" si="125"/>
        <v>12.595419847328245</v>
      </c>
      <c r="AV1790" s="172">
        <v>60</v>
      </c>
      <c r="AW1790" s="214">
        <v>2</v>
      </c>
      <c r="AX1790" s="214">
        <v>20</v>
      </c>
      <c r="AY1790" s="214">
        <v>20</v>
      </c>
      <c r="AZ1790" s="171" t="s">
        <v>521</v>
      </c>
      <c r="BA1790" s="175">
        <v>60</v>
      </c>
      <c r="BB1790" s="259"/>
      <c r="BC1790" s="224"/>
      <c r="BD1790" s="225"/>
      <c r="BE1790" s="225"/>
      <c r="BF1790" s="228" t="s">
        <v>2470</v>
      </c>
      <c r="BG1790" s="26"/>
      <c r="BH1790" s="26"/>
      <c r="BI1790" s="26"/>
      <c r="BJ1790" s="26"/>
      <c r="BK1790" s="26"/>
      <c r="BL1790" s="26"/>
      <c r="BM1790" s="26"/>
      <c r="BN1790" s="26"/>
      <c r="BO1790" s="26"/>
      <c r="BP1790" s="26"/>
      <c r="BQ1790" s="26"/>
      <c r="BR1790" s="26"/>
      <c r="BS1790" s="26"/>
      <c r="BT1790" s="26"/>
      <c r="BU1790" s="26"/>
      <c r="BV1790" s="26"/>
      <c r="BW1790" s="26"/>
      <c r="BX1790" s="26"/>
      <c r="BY1790" s="26"/>
      <c r="BZ1790" s="26"/>
      <c r="CA1790" s="26"/>
      <c r="CB1790" s="26"/>
      <c r="CC1790" s="26"/>
      <c r="CD1790" s="26"/>
    </row>
    <row r="1791" spans="1:82" s="1" customFormat="1">
      <c r="A1791" s="95">
        <v>1790</v>
      </c>
      <c r="B1791" s="211" t="s">
        <v>2471</v>
      </c>
      <c r="C1791" s="191" t="s">
        <v>441</v>
      </c>
      <c r="D1791" s="171" t="s">
        <v>266</v>
      </c>
      <c r="E1791" s="463" t="s">
        <v>3377</v>
      </c>
      <c r="F1791" s="171">
        <v>2002</v>
      </c>
      <c r="G1791" s="171">
        <v>371</v>
      </c>
      <c r="H1791" s="172" t="s">
        <v>1745</v>
      </c>
      <c r="I1791" s="173" t="s">
        <v>1739</v>
      </c>
      <c r="J1791" s="226">
        <v>0.31</v>
      </c>
      <c r="K1791" s="223">
        <v>3.56</v>
      </c>
      <c r="L1791" s="170"/>
      <c r="M1791" s="214">
        <v>495</v>
      </c>
      <c r="N1791" s="214"/>
      <c r="O1791" s="227" t="s">
        <v>12</v>
      </c>
      <c r="P1791" s="92"/>
      <c r="Q1791" s="230" t="s">
        <v>2423</v>
      </c>
      <c r="R1791" s="506" t="s">
        <v>2731</v>
      </c>
      <c r="S1791" s="92"/>
      <c r="T1791" s="511"/>
      <c r="U1791" s="214" t="s">
        <v>2320</v>
      </c>
      <c r="V1791" s="144">
        <v>10.1</v>
      </c>
      <c r="W1791" s="145">
        <v>0</v>
      </c>
      <c r="X1791" s="120">
        <v>0</v>
      </c>
      <c r="Y1791" s="120">
        <v>0</v>
      </c>
      <c r="Z1791" s="120">
        <v>0</v>
      </c>
      <c r="AA1791" s="72">
        <v>0</v>
      </c>
      <c r="AB1791" s="17">
        <v>0</v>
      </c>
      <c r="AC1791" s="17">
        <v>0</v>
      </c>
      <c r="AD1791" s="72">
        <v>0</v>
      </c>
      <c r="AE1791" s="72">
        <v>0</v>
      </c>
      <c r="AF1791" s="72">
        <v>0.93</v>
      </c>
      <c r="AG1791" s="72">
        <v>0</v>
      </c>
      <c r="AH1791" s="17">
        <v>0</v>
      </c>
      <c r="AI1791" s="72">
        <v>0</v>
      </c>
      <c r="AJ1791" s="72">
        <v>0</v>
      </c>
      <c r="AK1791" s="17">
        <v>0</v>
      </c>
      <c r="AL1791" s="152">
        <v>0</v>
      </c>
      <c r="AM1791" s="227">
        <v>121</v>
      </c>
      <c r="AN1791" s="89"/>
      <c r="AO1791" s="214" t="s">
        <v>521</v>
      </c>
      <c r="AP1791" s="230" t="s">
        <v>521</v>
      </c>
      <c r="AQ1791" s="214" t="s">
        <v>1778</v>
      </c>
      <c r="AR1791" s="229">
        <v>27.5</v>
      </c>
      <c r="AS1791" s="214"/>
      <c r="AT1791" s="214">
        <v>300</v>
      </c>
      <c r="AU1791" s="255">
        <f t="shared" si="125"/>
        <v>12.595419847328245</v>
      </c>
      <c r="AV1791" s="172">
        <v>99</v>
      </c>
      <c r="AW1791" s="214">
        <v>2</v>
      </c>
      <c r="AX1791" s="214">
        <v>20</v>
      </c>
      <c r="AY1791" s="214">
        <v>20</v>
      </c>
      <c r="AZ1791" s="171" t="s">
        <v>521</v>
      </c>
      <c r="BA1791" s="175">
        <v>99</v>
      </c>
      <c r="BB1791" s="259"/>
      <c r="BC1791" s="224"/>
      <c r="BD1791" s="225"/>
      <c r="BE1791" s="225"/>
      <c r="BF1791" s="228" t="s">
        <v>2472</v>
      </c>
      <c r="BG1791" s="26"/>
      <c r="BH1791" s="26"/>
      <c r="BI1791" s="26"/>
      <c r="BJ1791" s="26"/>
      <c r="BK1791" s="26"/>
      <c r="BL1791" s="26"/>
      <c r="BM1791" s="26"/>
      <c r="BN1791" s="26"/>
      <c r="BO1791" s="26"/>
      <c r="BP1791" s="26"/>
      <c r="BQ1791" s="26"/>
      <c r="BR1791" s="26"/>
      <c r="BS1791" s="26"/>
      <c r="BT1791" s="26"/>
      <c r="BU1791" s="26"/>
      <c r="BV1791" s="26"/>
      <c r="BW1791" s="26"/>
      <c r="BX1791" s="26"/>
      <c r="BY1791" s="26"/>
      <c r="BZ1791" s="26"/>
      <c r="CA1791" s="26"/>
      <c r="CB1791" s="26"/>
      <c r="CC1791" s="26"/>
      <c r="CD1791" s="26"/>
    </row>
    <row r="1792" spans="1:82" s="1" customFormat="1">
      <c r="A1792" s="95">
        <v>1791</v>
      </c>
      <c r="B1792" s="211" t="s">
        <v>2473</v>
      </c>
      <c r="C1792" s="191" t="s">
        <v>441</v>
      </c>
      <c r="D1792" s="171" t="s">
        <v>266</v>
      </c>
      <c r="E1792" s="463" t="s">
        <v>3377</v>
      </c>
      <c r="F1792" s="171">
        <v>2002</v>
      </c>
      <c r="G1792" s="171">
        <v>371</v>
      </c>
      <c r="H1792" s="172" t="s">
        <v>1745</v>
      </c>
      <c r="I1792" s="173" t="s">
        <v>1739</v>
      </c>
      <c r="J1792" s="226">
        <v>0.31</v>
      </c>
      <c r="K1792" s="223">
        <v>3.56</v>
      </c>
      <c r="L1792" s="170"/>
      <c r="M1792" s="214">
        <v>495</v>
      </c>
      <c r="N1792" s="214"/>
      <c r="O1792" s="227" t="s">
        <v>12</v>
      </c>
      <c r="P1792" s="92"/>
      <c r="Q1792" s="230" t="s">
        <v>2423</v>
      </c>
      <c r="R1792" s="506" t="s">
        <v>2731</v>
      </c>
      <c r="S1792" s="92"/>
      <c r="T1792" s="511"/>
      <c r="U1792" s="214" t="s">
        <v>2320</v>
      </c>
      <c r="V1792" s="144">
        <v>10.1</v>
      </c>
      <c r="W1792" s="145">
        <v>0</v>
      </c>
      <c r="X1792" s="120">
        <v>0</v>
      </c>
      <c r="Y1792" s="120">
        <v>0</v>
      </c>
      <c r="Z1792" s="120">
        <v>0</v>
      </c>
      <c r="AA1792" s="72">
        <v>0</v>
      </c>
      <c r="AB1792" s="17">
        <v>0</v>
      </c>
      <c r="AC1792" s="17">
        <v>0</v>
      </c>
      <c r="AD1792" s="72">
        <v>0</v>
      </c>
      <c r="AE1792" s="72">
        <v>0</v>
      </c>
      <c r="AF1792" s="72">
        <v>0.93</v>
      </c>
      <c r="AG1792" s="72">
        <v>0</v>
      </c>
      <c r="AH1792" s="17">
        <v>0</v>
      </c>
      <c r="AI1792" s="72">
        <v>0</v>
      </c>
      <c r="AJ1792" s="72">
        <v>0</v>
      </c>
      <c r="AK1792" s="17">
        <v>0</v>
      </c>
      <c r="AL1792" s="152">
        <v>0</v>
      </c>
      <c r="AM1792" s="227">
        <v>121</v>
      </c>
      <c r="AN1792" s="89"/>
      <c r="AO1792" s="214" t="s">
        <v>521</v>
      </c>
      <c r="AP1792" s="230" t="s">
        <v>521</v>
      </c>
      <c r="AQ1792" s="214" t="s">
        <v>1778</v>
      </c>
      <c r="AR1792" s="229">
        <v>27.5</v>
      </c>
      <c r="AS1792" s="214"/>
      <c r="AT1792" s="214">
        <v>300</v>
      </c>
      <c r="AU1792" s="255">
        <f t="shared" si="125"/>
        <v>12.595419847328245</v>
      </c>
      <c r="AV1792" s="172">
        <v>99</v>
      </c>
      <c r="AW1792" s="214">
        <v>1</v>
      </c>
      <c r="AX1792" s="214">
        <v>20</v>
      </c>
      <c r="AY1792" s="214">
        <v>20</v>
      </c>
      <c r="AZ1792" s="171" t="s">
        <v>521</v>
      </c>
      <c r="BA1792" s="175">
        <v>99</v>
      </c>
      <c r="BB1792" s="259"/>
      <c r="BC1792" s="224"/>
      <c r="BD1792" s="225"/>
      <c r="BE1792" s="225"/>
      <c r="BF1792" s="228" t="s">
        <v>2474</v>
      </c>
      <c r="BG1792" s="26"/>
      <c r="BH1792" s="26"/>
      <c r="BI1792" s="26"/>
      <c r="BJ1792" s="26"/>
      <c r="BK1792" s="26"/>
      <c r="BL1792" s="26"/>
      <c r="BM1792" s="26"/>
      <c r="BN1792" s="26"/>
      <c r="BO1792" s="26"/>
      <c r="BP1792" s="26"/>
      <c r="BQ1792" s="26"/>
      <c r="BR1792" s="26"/>
      <c r="BS1792" s="26"/>
      <c r="BT1792" s="26"/>
      <c r="BU1792" s="26"/>
      <c r="BV1792" s="26"/>
      <c r="BW1792" s="26"/>
      <c r="BX1792" s="26"/>
      <c r="BY1792" s="26"/>
      <c r="BZ1792" s="26"/>
      <c r="CA1792" s="26"/>
      <c r="CB1792" s="26"/>
      <c r="CC1792" s="26"/>
      <c r="CD1792" s="26"/>
    </row>
    <row r="1793" spans="1:82" s="1" customFormat="1">
      <c r="A1793" s="95">
        <v>1792</v>
      </c>
      <c r="B1793" s="211" t="s">
        <v>2475</v>
      </c>
      <c r="C1793" s="191" t="s">
        <v>441</v>
      </c>
      <c r="D1793" s="171" t="s">
        <v>266</v>
      </c>
      <c r="E1793" s="463" t="s">
        <v>3377</v>
      </c>
      <c r="F1793" s="171">
        <v>2002</v>
      </c>
      <c r="G1793" s="171">
        <v>371</v>
      </c>
      <c r="H1793" s="172" t="s">
        <v>1745</v>
      </c>
      <c r="I1793" s="173" t="s">
        <v>1743</v>
      </c>
      <c r="J1793" s="226">
        <v>0.31</v>
      </c>
      <c r="K1793" s="223">
        <v>3.56</v>
      </c>
      <c r="L1793" s="170"/>
      <c r="M1793" s="214">
        <v>495</v>
      </c>
      <c r="N1793" s="214"/>
      <c r="O1793" s="227" t="s">
        <v>12</v>
      </c>
      <c r="P1793" s="92"/>
      <c r="Q1793" s="230" t="s">
        <v>2423</v>
      </c>
      <c r="R1793" s="506" t="s">
        <v>2731</v>
      </c>
      <c r="S1793" s="92"/>
      <c r="T1793" s="511"/>
      <c r="U1793" s="214" t="s">
        <v>2320</v>
      </c>
      <c r="V1793" s="144">
        <v>10.1</v>
      </c>
      <c r="W1793" s="145">
        <v>0</v>
      </c>
      <c r="X1793" s="120">
        <v>0</v>
      </c>
      <c r="Y1793" s="120">
        <v>0</v>
      </c>
      <c r="Z1793" s="120">
        <v>0</v>
      </c>
      <c r="AA1793" s="72">
        <v>0</v>
      </c>
      <c r="AB1793" s="17">
        <v>0</v>
      </c>
      <c r="AC1793" s="17">
        <v>0</v>
      </c>
      <c r="AD1793" s="72">
        <v>0</v>
      </c>
      <c r="AE1793" s="72">
        <v>0</v>
      </c>
      <c r="AF1793" s="72">
        <v>0.93</v>
      </c>
      <c r="AG1793" s="72">
        <v>0</v>
      </c>
      <c r="AH1793" s="17">
        <v>0</v>
      </c>
      <c r="AI1793" s="72">
        <v>0</v>
      </c>
      <c r="AJ1793" s="72">
        <v>0</v>
      </c>
      <c r="AK1793" s="17">
        <v>0</v>
      </c>
      <c r="AL1793" s="152">
        <v>0</v>
      </c>
      <c r="AM1793" s="227">
        <v>121</v>
      </c>
      <c r="AN1793" s="89"/>
      <c r="AO1793" s="214" t="s">
        <v>521</v>
      </c>
      <c r="AP1793" s="230" t="s">
        <v>521</v>
      </c>
      <c r="AQ1793" s="214" t="s">
        <v>1778</v>
      </c>
      <c r="AR1793" s="229">
        <v>27.5</v>
      </c>
      <c r="AS1793" s="214"/>
      <c r="AT1793" s="214">
        <v>300</v>
      </c>
      <c r="AU1793" s="255">
        <f t="shared" si="125"/>
        <v>12.595419847328245</v>
      </c>
      <c r="AV1793" s="172">
        <v>60</v>
      </c>
      <c r="AW1793" s="214">
        <v>1</v>
      </c>
      <c r="AX1793" s="214">
        <v>20</v>
      </c>
      <c r="AY1793" s="214">
        <v>20</v>
      </c>
      <c r="AZ1793" s="171" t="s">
        <v>521</v>
      </c>
      <c r="BA1793" s="175">
        <v>60</v>
      </c>
      <c r="BB1793" s="259"/>
      <c r="BC1793" s="224"/>
      <c r="BD1793" s="225"/>
      <c r="BE1793" s="225"/>
      <c r="BF1793" s="228" t="s">
        <v>2476</v>
      </c>
      <c r="BG1793" s="26"/>
      <c r="BH1793" s="26"/>
      <c r="BI1793" s="26"/>
      <c r="BJ1793" s="26"/>
      <c r="BK1793" s="26"/>
      <c r="BL1793" s="26"/>
      <c r="BM1793" s="26"/>
      <c r="BN1793" s="26"/>
      <c r="BO1793" s="26"/>
      <c r="BP1793" s="26"/>
      <c r="BQ1793" s="26"/>
      <c r="BR1793" s="26"/>
      <c r="BS1793" s="26"/>
      <c r="BT1793" s="26"/>
      <c r="BU1793" s="26"/>
      <c r="BV1793" s="26"/>
      <c r="BW1793" s="26"/>
      <c r="BX1793" s="26"/>
      <c r="BY1793" s="26"/>
      <c r="BZ1793" s="26"/>
      <c r="CA1793" s="26"/>
      <c r="CB1793" s="26"/>
      <c r="CC1793" s="26"/>
      <c r="CD1793" s="26"/>
    </row>
    <row r="1794" spans="1:82" s="1" customFormat="1">
      <c r="A1794" s="95">
        <v>1793</v>
      </c>
      <c r="B1794" s="211" t="s">
        <v>2477</v>
      </c>
      <c r="C1794" s="191" t="s">
        <v>441</v>
      </c>
      <c r="D1794" s="171" t="s">
        <v>266</v>
      </c>
      <c r="E1794" s="463" t="s">
        <v>3377</v>
      </c>
      <c r="F1794" s="171">
        <v>2002</v>
      </c>
      <c r="G1794" s="171">
        <v>371</v>
      </c>
      <c r="H1794" s="172" t="s">
        <v>1745</v>
      </c>
      <c r="I1794" s="173" t="s">
        <v>1743</v>
      </c>
      <c r="J1794" s="226">
        <v>0.31</v>
      </c>
      <c r="K1794" s="223">
        <v>3.56</v>
      </c>
      <c r="L1794" s="170"/>
      <c r="M1794" s="214">
        <v>495</v>
      </c>
      <c r="N1794" s="214"/>
      <c r="O1794" s="227" t="s">
        <v>12</v>
      </c>
      <c r="P1794" s="92"/>
      <c r="Q1794" s="230" t="s">
        <v>2423</v>
      </c>
      <c r="R1794" s="506" t="s">
        <v>2731</v>
      </c>
      <c r="S1794" s="92"/>
      <c r="T1794" s="511"/>
      <c r="U1794" s="214" t="s">
        <v>2320</v>
      </c>
      <c r="V1794" s="144">
        <v>10.1</v>
      </c>
      <c r="W1794" s="145">
        <v>0</v>
      </c>
      <c r="X1794" s="120">
        <v>0</v>
      </c>
      <c r="Y1794" s="120">
        <v>0</v>
      </c>
      <c r="Z1794" s="120">
        <v>0</v>
      </c>
      <c r="AA1794" s="72">
        <v>0</v>
      </c>
      <c r="AB1794" s="17">
        <v>0</v>
      </c>
      <c r="AC1794" s="17">
        <v>0</v>
      </c>
      <c r="AD1794" s="72">
        <v>0</v>
      </c>
      <c r="AE1794" s="72">
        <v>0</v>
      </c>
      <c r="AF1794" s="72">
        <v>0.93</v>
      </c>
      <c r="AG1794" s="72">
        <v>0</v>
      </c>
      <c r="AH1794" s="17">
        <v>0</v>
      </c>
      <c r="AI1794" s="72">
        <v>0</v>
      </c>
      <c r="AJ1794" s="72">
        <v>0</v>
      </c>
      <c r="AK1794" s="17">
        <v>0</v>
      </c>
      <c r="AL1794" s="152">
        <v>0</v>
      </c>
      <c r="AM1794" s="227">
        <v>121</v>
      </c>
      <c r="AN1794" s="89"/>
      <c r="AO1794" s="214" t="s">
        <v>521</v>
      </c>
      <c r="AP1794" s="230" t="s">
        <v>521</v>
      </c>
      <c r="AQ1794" s="214" t="s">
        <v>1778</v>
      </c>
      <c r="AR1794" s="229">
        <v>27.5</v>
      </c>
      <c r="AS1794" s="214"/>
      <c r="AT1794" s="214">
        <v>300</v>
      </c>
      <c r="AU1794" s="255">
        <f t="shared" si="125"/>
        <v>12.595419847328245</v>
      </c>
      <c r="AV1794" s="172">
        <v>60</v>
      </c>
      <c r="AW1794" s="214">
        <v>3</v>
      </c>
      <c r="AX1794" s="214">
        <v>20</v>
      </c>
      <c r="AY1794" s="214">
        <v>20</v>
      </c>
      <c r="AZ1794" s="171" t="s">
        <v>521</v>
      </c>
      <c r="BA1794" s="175">
        <v>60</v>
      </c>
      <c r="BB1794" s="259"/>
      <c r="BC1794" s="224"/>
      <c r="BD1794" s="225"/>
      <c r="BE1794" s="225"/>
      <c r="BF1794" s="228" t="s">
        <v>2478</v>
      </c>
      <c r="BG1794" s="26"/>
      <c r="BH1794" s="26"/>
      <c r="BI1794" s="26"/>
      <c r="BJ1794" s="26"/>
      <c r="BK1794" s="26"/>
      <c r="BL1794" s="26"/>
      <c r="BM1794" s="26"/>
      <c r="BN1794" s="26"/>
      <c r="BO1794" s="26"/>
      <c r="BP1794" s="26"/>
      <c r="BQ1794" s="26"/>
      <c r="BR1794" s="26"/>
      <c r="BS1794" s="26"/>
      <c r="BT1794" s="26"/>
      <c r="BU1794" s="26"/>
      <c r="BV1794" s="26"/>
      <c r="BW1794" s="26"/>
      <c r="BX1794" s="26"/>
      <c r="BY1794" s="26"/>
      <c r="BZ1794" s="26"/>
      <c r="CA1794" s="26"/>
      <c r="CB1794" s="26"/>
      <c r="CC1794" s="26"/>
      <c r="CD1794" s="26"/>
    </row>
    <row r="1795" spans="1:82" s="1" customFormat="1">
      <c r="A1795" s="95">
        <v>1794</v>
      </c>
      <c r="B1795" s="211" t="s">
        <v>2479</v>
      </c>
      <c r="C1795" s="191" t="s">
        <v>441</v>
      </c>
      <c r="D1795" s="171" t="s">
        <v>266</v>
      </c>
      <c r="E1795" s="463" t="s">
        <v>3377</v>
      </c>
      <c r="F1795" s="171">
        <v>2002</v>
      </c>
      <c r="G1795" s="171">
        <v>371</v>
      </c>
      <c r="H1795" s="172" t="s">
        <v>1745</v>
      </c>
      <c r="I1795" s="173" t="s">
        <v>1743</v>
      </c>
      <c r="J1795" s="226">
        <v>0.3</v>
      </c>
      <c r="K1795" s="223">
        <v>3.28</v>
      </c>
      <c r="L1795" s="170"/>
      <c r="M1795" s="214">
        <v>530</v>
      </c>
      <c r="N1795" s="214"/>
      <c r="O1795" s="227" t="s">
        <v>12</v>
      </c>
      <c r="P1795" s="92"/>
      <c r="Q1795" s="230" t="s">
        <v>2423</v>
      </c>
      <c r="R1795" s="506" t="s">
        <v>2731</v>
      </c>
      <c r="S1795" s="92"/>
      <c r="T1795" s="92"/>
      <c r="U1795" s="214" t="s">
        <v>2320</v>
      </c>
      <c r="V1795" s="144">
        <v>9.6199999999999992</v>
      </c>
      <c r="W1795" s="145">
        <v>0</v>
      </c>
      <c r="X1795" s="120">
        <v>0</v>
      </c>
      <c r="Y1795" s="120">
        <v>0</v>
      </c>
      <c r="Z1795" s="120">
        <v>0</v>
      </c>
      <c r="AA1795" s="72">
        <v>0</v>
      </c>
      <c r="AB1795" s="17">
        <v>0</v>
      </c>
      <c r="AC1795" s="17">
        <v>0</v>
      </c>
      <c r="AD1795" s="72">
        <v>0</v>
      </c>
      <c r="AE1795" s="72">
        <v>0</v>
      </c>
      <c r="AF1795" s="72">
        <v>1.43</v>
      </c>
      <c r="AG1795" s="72">
        <v>0</v>
      </c>
      <c r="AH1795" s="17">
        <v>0</v>
      </c>
      <c r="AI1795" s="72">
        <v>0</v>
      </c>
      <c r="AJ1795" s="72">
        <v>0</v>
      </c>
      <c r="AK1795" s="17">
        <v>0</v>
      </c>
      <c r="AL1795" s="152">
        <v>0</v>
      </c>
      <c r="AM1795" s="227">
        <v>126</v>
      </c>
      <c r="AN1795" s="89"/>
      <c r="AO1795" s="214" t="s">
        <v>521</v>
      </c>
      <c r="AP1795" s="230" t="s">
        <v>521</v>
      </c>
      <c r="AQ1795" s="214" t="s">
        <v>1778</v>
      </c>
      <c r="AR1795" s="229">
        <v>27.5</v>
      </c>
      <c r="AS1795" s="214"/>
      <c r="AT1795" s="214">
        <v>300</v>
      </c>
      <c r="AU1795" s="255">
        <f t="shared" si="125"/>
        <v>12.595419847328245</v>
      </c>
      <c r="AV1795" s="172">
        <v>60</v>
      </c>
      <c r="AW1795" s="214">
        <v>2</v>
      </c>
      <c r="AX1795" s="214">
        <v>20</v>
      </c>
      <c r="AY1795" s="214">
        <v>20</v>
      </c>
      <c r="AZ1795" s="171" t="s">
        <v>521</v>
      </c>
      <c r="BA1795" s="175">
        <v>60</v>
      </c>
      <c r="BB1795" s="259"/>
      <c r="BC1795" s="224"/>
      <c r="BD1795" s="225"/>
      <c r="BE1795" s="225"/>
      <c r="BF1795" s="228" t="s">
        <v>2480</v>
      </c>
      <c r="BG1795" s="26"/>
      <c r="BH1795" s="26"/>
      <c r="BI1795" s="26"/>
      <c r="BJ1795" s="26"/>
      <c r="BK1795" s="26"/>
      <c r="BL1795" s="26"/>
      <c r="BM1795" s="26"/>
      <c r="BN1795" s="26"/>
      <c r="BO1795" s="26"/>
      <c r="BP1795" s="26"/>
      <c r="BQ1795" s="26"/>
      <c r="BR1795" s="26"/>
      <c r="BS1795" s="26"/>
      <c r="BT1795" s="26"/>
      <c r="BU1795" s="26"/>
      <c r="BV1795" s="26"/>
      <c r="BW1795" s="26"/>
      <c r="BX1795" s="26"/>
      <c r="BY1795" s="26"/>
      <c r="BZ1795" s="26"/>
      <c r="CA1795" s="26"/>
      <c r="CB1795" s="26"/>
      <c r="CC1795" s="26"/>
      <c r="CD1795" s="26"/>
    </row>
    <row r="1796" spans="1:82" s="1" customFormat="1">
      <c r="A1796" s="95">
        <v>1795</v>
      </c>
      <c r="B1796" s="211" t="s">
        <v>2481</v>
      </c>
      <c r="C1796" s="191" t="s">
        <v>441</v>
      </c>
      <c r="D1796" s="171" t="s">
        <v>266</v>
      </c>
      <c r="E1796" s="463" t="s">
        <v>3377</v>
      </c>
      <c r="F1796" s="171">
        <v>2002</v>
      </c>
      <c r="G1796" s="171">
        <v>371</v>
      </c>
      <c r="H1796" s="172" t="s">
        <v>1745</v>
      </c>
      <c r="I1796" s="173" t="s">
        <v>1739</v>
      </c>
      <c r="J1796" s="226">
        <v>0.3</v>
      </c>
      <c r="K1796" s="223">
        <v>3.28</v>
      </c>
      <c r="L1796" s="170"/>
      <c r="M1796" s="214">
        <v>530</v>
      </c>
      <c r="N1796" s="214"/>
      <c r="O1796" s="227" t="s">
        <v>12</v>
      </c>
      <c r="P1796" s="92"/>
      <c r="Q1796" s="230" t="s">
        <v>2423</v>
      </c>
      <c r="R1796" s="506" t="s">
        <v>2731</v>
      </c>
      <c r="S1796" s="92"/>
      <c r="T1796" s="92"/>
      <c r="U1796" s="214" t="s">
        <v>2320</v>
      </c>
      <c r="V1796" s="144">
        <v>9.6199999999999992</v>
      </c>
      <c r="W1796" s="145">
        <v>0</v>
      </c>
      <c r="X1796" s="120">
        <v>0</v>
      </c>
      <c r="Y1796" s="120">
        <v>0</v>
      </c>
      <c r="Z1796" s="120">
        <v>0</v>
      </c>
      <c r="AA1796" s="72">
        <v>0</v>
      </c>
      <c r="AB1796" s="17">
        <v>0</v>
      </c>
      <c r="AC1796" s="17">
        <v>0</v>
      </c>
      <c r="AD1796" s="72">
        <v>0</v>
      </c>
      <c r="AE1796" s="72">
        <v>0</v>
      </c>
      <c r="AF1796" s="72">
        <v>1.43</v>
      </c>
      <c r="AG1796" s="72">
        <v>0</v>
      </c>
      <c r="AH1796" s="17">
        <v>0</v>
      </c>
      <c r="AI1796" s="72">
        <v>0</v>
      </c>
      <c r="AJ1796" s="72">
        <v>0</v>
      </c>
      <c r="AK1796" s="17">
        <v>0</v>
      </c>
      <c r="AL1796" s="152">
        <v>0</v>
      </c>
      <c r="AM1796" s="227">
        <v>126</v>
      </c>
      <c r="AN1796" s="89"/>
      <c r="AO1796" s="214" t="s">
        <v>521</v>
      </c>
      <c r="AP1796" s="230" t="s">
        <v>521</v>
      </c>
      <c r="AQ1796" s="214" t="s">
        <v>1778</v>
      </c>
      <c r="AR1796" s="229">
        <v>27.5</v>
      </c>
      <c r="AS1796" s="214"/>
      <c r="AT1796" s="214">
        <v>300</v>
      </c>
      <c r="AU1796" s="255">
        <f t="shared" si="125"/>
        <v>12.595419847328245</v>
      </c>
      <c r="AV1796" s="172">
        <v>99</v>
      </c>
      <c r="AW1796" s="214">
        <v>2</v>
      </c>
      <c r="AX1796" s="214">
        <v>20</v>
      </c>
      <c r="AY1796" s="214">
        <v>20</v>
      </c>
      <c r="AZ1796" s="171" t="s">
        <v>521</v>
      </c>
      <c r="BA1796" s="175">
        <v>99</v>
      </c>
      <c r="BB1796" s="259"/>
      <c r="BC1796" s="224"/>
      <c r="BD1796" s="225"/>
      <c r="BE1796" s="225"/>
      <c r="BF1796" s="228" t="s">
        <v>2482</v>
      </c>
      <c r="BG1796" s="26"/>
      <c r="BH1796" s="26"/>
      <c r="BI1796" s="26"/>
      <c r="BJ1796" s="26"/>
      <c r="BK1796" s="26"/>
      <c r="BL1796" s="26"/>
      <c r="BM1796" s="26"/>
      <c r="BN1796" s="26"/>
      <c r="BO1796" s="26"/>
      <c r="BP1796" s="26"/>
      <c r="BQ1796" s="26"/>
      <c r="BR1796" s="26"/>
      <c r="BS1796" s="26"/>
      <c r="BT1796" s="26"/>
      <c r="BU1796" s="26"/>
      <c r="BV1796" s="26"/>
      <c r="BW1796" s="26"/>
      <c r="BX1796" s="26"/>
      <c r="BY1796" s="26"/>
      <c r="BZ1796" s="26"/>
      <c r="CA1796" s="26"/>
      <c r="CB1796" s="26"/>
      <c r="CC1796" s="26"/>
      <c r="CD1796" s="26"/>
    </row>
    <row r="1797" spans="1:82" s="1" customFormat="1">
      <c r="A1797" s="95">
        <v>1796</v>
      </c>
      <c r="B1797" s="211" t="s">
        <v>2483</v>
      </c>
      <c r="C1797" s="191" t="s">
        <v>441</v>
      </c>
      <c r="D1797" s="171" t="s">
        <v>266</v>
      </c>
      <c r="E1797" s="463" t="s">
        <v>3377</v>
      </c>
      <c r="F1797" s="171">
        <v>2002</v>
      </c>
      <c r="G1797" s="171">
        <v>371</v>
      </c>
      <c r="H1797" s="172" t="s">
        <v>1745</v>
      </c>
      <c r="I1797" s="173" t="s">
        <v>1739</v>
      </c>
      <c r="J1797" s="226">
        <v>0.3</v>
      </c>
      <c r="K1797" s="223">
        <v>3.28</v>
      </c>
      <c r="L1797" s="170"/>
      <c r="M1797" s="214">
        <v>530</v>
      </c>
      <c r="N1797" s="214"/>
      <c r="O1797" s="227" t="s">
        <v>12</v>
      </c>
      <c r="P1797" s="92"/>
      <c r="Q1797" s="230" t="s">
        <v>2423</v>
      </c>
      <c r="R1797" s="506" t="s">
        <v>2731</v>
      </c>
      <c r="S1797" s="92"/>
      <c r="T1797" s="92"/>
      <c r="U1797" s="214" t="s">
        <v>2320</v>
      </c>
      <c r="V1797" s="144">
        <v>9.6199999999999992</v>
      </c>
      <c r="W1797" s="145">
        <v>0</v>
      </c>
      <c r="X1797" s="120">
        <v>0</v>
      </c>
      <c r="Y1797" s="120">
        <v>0</v>
      </c>
      <c r="Z1797" s="120">
        <v>0</v>
      </c>
      <c r="AA1797" s="72">
        <v>0</v>
      </c>
      <c r="AB1797" s="17">
        <v>0</v>
      </c>
      <c r="AC1797" s="17">
        <v>0</v>
      </c>
      <c r="AD1797" s="72">
        <v>0</v>
      </c>
      <c r="AE1797" s="72">
        <v>0</v>
      </c>
      <c r="AF1797" s="72">
        <v>1.43</v>
      </c>
      <c r="AG1797" s="72">
        <v>0</v>
      </c>
      <c r="AH1797" s="17">
        <v>0</v>
      </c>
      <c r="AI1797" s="72">
        <v>0</v>
      </c>
      <c r="AJ1797" s="72">
        <v>0</v>
      </c>
      <c r="AK1797" s="17">
        <v>0</v>
      </c>
      <c r="AL1797" s="152">
        <v>0</v>
      </c>
      <c r="AM1797" s="227">
        <v>126</v>
      </c>
      <c r="AN1797" s="89"/>
      <c r="AO1797" s="214" t="s">
        <v>521</v>
      </c>
      <c r="AP1797" s="230" t="s">
        <v>521</v>
      </c>
      <c r="AQ1797" s="214" t="s">
        <v>1778</v>
      </c>
      <c r="AR1797" s="229">
        <v>27.5</v>
      </c>
      <c r="AS1797" s="214"/>
      <c r="AT1797" s="214">
        <v>300</v>
      </c>
      <c r="AU1797" s="255">
        <f t="shared" si="125"/>
        <v>12.595419847328245</v>
      </c>
      <c r="AV1797" s="172">
        <v>99</v>
      </c>
      <c r="AW1797" s="214">
        <v>3</v>
      </c>
      <c r="AX1797" s="214">
        <v>20</v>
      </c>
      <c r="AY1797" s="214">
        <v>20</v>
      </c>
      <c r="AZ1797" s="171" t="s">
        <v>521</v>
      </c>
      <c r="BA1797" s="175">
        <v>99</v>
      </c>
      <c r="BB1797" s="259"/>
      <c r="BC1797" s="224"/>
      <c r="BD1797" s="225"/>
      <c r="BE1797" s="225"/>
      <c r="BF1797" s="228" t="s">
        <v>2484</v>
      </c>
      <c r="BG1797" s="26"/>
      <c r="BH1797" s="26"/>
      <c r="BI1797" s="26"/>
      <c r="BJ1797" s="26"/>
      <c r="BK1797" s="26"/>
      <c r="BL1797" s="26"/>
      <c r="BM1797" s="26"/>
      <c r="BN1797" s="26"/>
      <c r="BO1797" s="26"/>
      <c r="BP1797" s="26"/>
      <c r="BQ1797" s="26"/>
      <c r="BR1797" s="26"/>
      <c r="BS1797" s="26"/>
      <c r="BT1797" s="26"/>
      <c r="BU1797" s="26"/>
      <c r="BV1797" s="26"/>
      <c r="BW1797" s="26"/>
      <c r="BX1797" s="26"/>
      <c r="BY1797" s="26"/>
      <c r="BZ1797" s="26"/>
      <c r="CA1797" s="26"/>
      <c r="CB1797" s="26"/>
      <c r="CC1797" s="26"/>
      <c r="CD1797" s="26"/>
    </row>
    <row r="1798" spans="1:82" s="1" customFormat="1">
      <c r="A1798" s="95">
        <v>1797</v>
      </c>
      <c r="B1798" s="211" t="s">
        <v>2485</v>
      </c>
      <c r="C1798" s="191" t="s">
        <v>441</v>
      </c>
      <c r="D1798" s="171" t="s">
        <v>266</v>
      </c>
      <c r="E1798" s="463" t="s">
        <v>3377</v>
      </c>
      <c r="F1798" s="171">
        <v>2002</v>
      </c>
      <c r="G1798" s="171">
        <v>371</v>
      </c>
      <c r="H1798" s="172" t="s">
        <v>1745</v>
      </c>
      <c r="I1798" s="173" t="s">
        <v>1743</v>
      </c>
      <c r="J1798" s="226">
        <v>0.3</v>
      </c>
      <c r="K1798" s="223">
        <v>3.28</v>
      </c>
      <c r="L1798" s="170"/>
      <c r="M1798" s="214">
        <v>530</v>
      </c>
      <c r="N1798" s="214"/>
      <c r="O1798" s="227" t="s">
        <v>12</v>
      </c>
      <c r="P1798" s="92"/>
      <c r="Q1798" s="230" t="s">
        <v>2423</v>
      </c>
      <c r="R1798" s="506" t="s">
        <v>2731</v>
      </c>
      <c r="S1798" s="92"/>
      <c r="T1798" s="92"/>
      <c r="U1798" s="214" t="s">
        <v>2320</v>
      </c>
      <c r="V1798" s="144">
        <v>9.6199999999999992</v>
      </c>
      <c r="W1798" s="145">
        <v>0</v>
      </c>
      <c r="X1798" s="120">
        <v>0</v>
      </c>
      <c r="Y1798" s="120">
        <v>0</v>
      </c>
      <c r="Z1798" s="120">
        <v>0</v>
      </c>
      <c r="AA1798" s="72">
        <v>0</v>
      </c>
      <c r="AB1798" s="17">
        <v>0</v>
      </c>
      <c r="AC1798" s="17">
        <v>0</v>
      </c>
      <c r="AD1798" s="72">
        <v>0</v>
      </c>
      <c r="AE1798" s="72">
        <v>0</v>
      </c>
      <c r="AF1798" s="72">
        <v>1.43</v>
      </c>
      <c r="AG1798" s="72">
        <v>0</v>
      </c>
      <c r="AH1798" s="17">
        <v>0</v>
      </c>
      <c r="AI1798" s="72">
        <v>0</v>
      </c>
      <c r="AJ1798" s="72">
        <v>0</v>
      </c>
      <c r="AK1798" s="17">
        <v>0</v>
      </c>
      <c r="AL1798" s="152">
        <v>0</v>
      </c>
      <c r="AM1798" s="227">
        <v>126</v>
      </c>
      <c r="AN1798" s="89"/>
      <c r="AO1798" s="214" t="s">
        <v>521</v>
      </c>
      <c r="AP1798" s="230" t="s">
        <v>521</v>
      </c>
      <c r="AQ1798" s="214" t="s">
        <v>1778</v>
      </c>
      <c r="AR1798" s="229">
        <v>27.5</v>
      </c>
      <c r="AS1798" s="214"/>
      <c r="AT1798" s="214">
        <v>300</v>
      </c>
      <c r="AU1798" s="255">
        <f t="shared" si="125"/>
        <v>12.595419847328245</v>
      </c>
      <c r="AV1798" s="172">
        <v>60</v>
      </c>
      <c r="AW1798" s="214">
        <v>1</v>
      </c>
      <c r="AX1798" s="214">
        <v>20</v>
      </c>
      <c r="AY1798" s="214">
        <v>20</v>
      </c>
      <c r="AZ1798" s="171" t="s">
        <v>521</v>
      </c>
      <c r="BA1798" s="175">
        <v>60</v>
      </c>
      <c r="BB1798" s="259"/>
      <c r="BC1798" s="224"/>
      <c r="BD1798" s="225"/>
      <c r="BE1798" s="225"/>
      <c r="BF1798" s="228" t="s">
        <v>2486</v>
      </c>
      <c r="BG1798" s="26"/>
      <c r="BH1798" s="26"/>
      <c r="BI1798" s="26"/>
      <c r="BJ1798" s="26"/>
      <c r="BK1798" s="26"/>
      <c r="BL1798" s="26"/>
      <c r="BM1798" s="26"/>
      <c r="BN1798" s="26"/>
      <c r="BO1798" s="26"/>
      <c r="BP1798" s="26"/>
      <c r="BQ1798" s="26"/>
      <c r="BR1798" s="26"/>
      <c r="BS1798" s="26"/>
      <c r="BT1798" s="26"/>
      <c r="BU1798" s="26"/>
      <c r="BV1798" s="26"/>
      <c r="BW1798" s="26"/>
      <c r="BX1798" s="26"/>
      <c r="BY1798" s="26"/>
      <c r="BZ1798" s="26"/>
      <c r="CA1798" s="26"/>
      <c r="CB1798" s="26"/>
      <c r="CC1798" s="26"/>
      <c r="CD1798" s="26"/>
    </row>
    <row r="1799" spans="1:82" s="1" customFormat="1">
      <c r="A1799" s="95">
        <v>1798</v>
      </c>
      <c r="B1799" s="211" t="s">
        <v>2487</v>
      </c>
      <c r="C1799" s="191" t="s">
        <v>441</v>
      </c>
      <c r="D1799" s="171" t="s">
        <v>266</v>
      </c>
      <c r="E1799" s="463" t="s">
        <v>3377</v>
      </c>
      <c r="F1799" s="171">
        <v>2002</v>
      </c>
      <c r="G1799" s="171">
        <v>371</v>
      </c>
      <c r="H1799" s="172" t="s">
        <v>1745</v>
      </c>
      <c r="I1799" s="173" t="s">
        <v>1743</v>
      </c>
      <c r="J1799" s="226">
        <v>0.3</v>
      </c>
      <c r="K1799" s="223">
        <v>3.28</v>
      </c>
      <c r="L1799" s="170"/>
      <c r="M1799" s="214">
        <v>530</v>
      </c>
      <c r="N1799" s="214"/>
      <c r="O1799" s="227" t="s">
        <v>12</v>
      </c>
      <c r="P1799" s="92"/>
      <c r="Q1799" s="230" t="s">
        <v>2423</v>
      </c>
      <c r="R1799" s="506" t="s">
        <v>2731</v>
      </c>
      <c r="S1799" s="92"/>
      <c r="T1799" s="92"/>
      <c r="U1799" s="214" t="s">
        <v>2320</v>
      </c>
      <c r="V1799" s="144">
        <v>9.6199999999999992</v>
      </c>
      <c r="W1799" s="145">
        <v>0</v>
      </c>
      <c r="X1799" s="120">
        <v>0</v>
      </c>
      <c r="Y1799" s="120">
        <v>0</v>
      </c>
      <c r="Z1799" s="120">
        <v>0</v>
      </c>
      <c r="AA1799" s="72">
        <v>0</v>
      </c>
      <c r="AB1799" s="17">
        <v>0</v>
      </c>
      <c r="AC1799" s="17">
        <v>0</v>
      </c>
      <c r="AD1799" s="72">
        <v>0</v>
      </c>
      <c r="AE1799" s="72">
        <v>0</v>
      </c>
      <c r="AF1799" s="72">
        <v>1.43</v>
      </c>
      <c r="AG1799" s="72">
        <v>0</v>
      </c>
      <c r="AH1799" s="17">
        <v>0</v>
      </c>
      <c r="AI1799" s="72">
        <v>0</v>
      </c>
      <c r="AJ1799" s="72">
        <v>0</v>
      </c>
      <c r="AK1799" s="17">
        <v>0</v>
      </c>
      <c r="AL1799" s="152">
        <v>0</v>
      </c>
      <c r="AM1799" s="227">
        <v>126</v>
      </c>
      <c r="AN1799" s="89"/>
      <c r="AO1799" s="214" t="s">
        <v>521</v>
      </c>
      <c r="AP1799" s="230" t="s">
        <v>521</v>
      </c>
      <c r="AQ1799" s="214" t="s">
        <v>1778</v>
      </c>
      <c r="AR1799" s="229">
        <v>27.5</v>
      </c>
      <c r="AS1799" s="214"/>
      <c r="AT1799" s="214">
        <v>300</v>
      </c>
      <c r="AU1799" s="255">
        <f t="shared" si="125"/>
        <v>12.595419847328245</v>
      </c>
      <c r="AV1799" s="172">
        <v>60</v>
      </c>
      <c r="AW1799" s="214">
        <v>3</v>
      </c>
      <c r="AX1799" s="214">
        <v>20</v>
      </c>
      <c r="AY1799" s="214">
        <v>20</v>
      </c>
      <c r="AZ1799" s="171" t="s">
        <v>521</v>
      </c>
      <c r="BA1799" s="175">
        <v>60</v>
      </c>
      <c r="BB1799" s="259"/>
      <c r="BC1799" s="224"/>
      <c r="BD1799" s="225"/>
      <c r="BE1799" s="225"/>
      <c r="BF1799" s="228" t="s">
        <v>2488</v>
      </c>
      <c r="BG1799" s="26"/>
      <c r="BH1799" s="26"/>
      <c r="BI1799" s="26"/>
      <c r="BJ1799" s="26"/>
      <c r="BK1799" s="26"/>
      <c r="BL1799" s="26"/>
      <c r="BM1799" s="26"/>
      <c r="BN1799" s="26"/>
      <c r="BO1799" s="26"/>
      <c r="BP1799" s="26"/>
      <c r="BQ1799" s="26"/>
      <c r="BR1799" s="26"/>
      <c r="BS1799" s="26"/>
      <c r="BT1799" s="26"/>
      <c r="BU1799" s="26"/>
      <c r="BV1799" s="26"/>
      <c r="BW1799" s="26"/>
      <c r="BX1799" s="26"/>
      <c r="BY1799" s="26"/>
      <c r="BZ1799" s="26"/>
      <c r="CA1799" s="26"/>
      <c r="CB1799" s="26"/>
      <c r="CC1799" s="26"/>
      <c r="CD1799" s="26"/>
    </row>
    <row r="1800" spans="1:82" s="1" customFormat="1">
      <c r="A1800" s="95">
        <v>1799</v>
      </c>
      <c r="B1800" s="211" t="s">
        <v>2489</v>
      </c>
      <c r="C1800" s="191" t="s">
        <v>441</v>
      </c>
      <c r="D1800" s="171" t="s">
        <v>266</v>
      </c>
      <c r="E1800" s="463" t="s">
        <v>3377</v>
      </c>
      <c r="F1800" s="171">
        <v>2002</v>
      </c>
      <c r="G1800" s="171">
        <v>371</v>
      </c>
      <c r="H1800" s="172" t="s">
        <v>1745</v>
      </c>
      <c r="I1800" s="173" t="s">
        <v>1743</v>
      </c>
      <c r="J1800" s="226">
        <v>0.3</v>
      </c>
      <c r="K1800" s="223">
        <v>3.69</v>
      </c>
      <c r="L1800" s="170"/>
      <c r="M1800" s="214">
        <v>490</v>
      </c>
      <c r="N1800" s="214"/>
      <c r="O1800" s="227" t="s">
        <v>12</v>
      </c>
      <c r="P1800" s="92"/>
      <c r="Q1800" s="230" t="s">
        <v>2423</v>
      </c>
      <c r="R1800" s="506" t="s">
        <v>2727</v>
      </c>
      <c r="S1800" s="92"/>
      <c r="T1800" s="92"/>
      <c r="U1800" s="214" t="s">
        <v>2312</v>
      </c>
      <c r="V1800" s="144">
        <v>10</v>
      </c>
      <c r="W1800" s="145">
        <v>0</v>
      </c>
      <c r="X1800" s="120">
        <v>0</v>
      </c>
      <c r="Y1800" s="120">
        <v>0</v>
      </c>
      <c r="Z1800" s="120">
        <v>0</v>
      </c>
      <c r="AA1800" s="72">
        <v>0</v>
      </c>
      <c r="AB1800" s="17">
        <v>0</v>
      </c>
      <c r="AC1800" s="17">
        <v>0</v>
      </c>
      <c r="AD1800" s="72">
        <v>0</v>
      </c>
      <c r="AE1800" s="72">
        <v>0</v>
      </c>
      <c r="AF1800" s="72">
        <v>1.76</v>
      </c>
      <c r="AG1800" s="72">
        <v>0</v>
      </c>
      <c r="AH1800" s="17">
        <v>0</v>
      </c>
      <c r="AI1800" s="72">
        <v>0</v>
      </c>
      <c r="AJ1800" s="72">
        <v>0</v>
      </c>
      <c r="AK1800" s="17">
        <v>0</v>
      </c>
      <c r="AL1800" s="152">
        <v>0</v>
      </c>
      <c r="AM1800" s="227">
        <v>122</v>
      </c>
      <c r="AN1800" s="89"/>
      <c r="AO1800" s="214" t="s">
        <v>521</v>
      </c>
      <c r="AP1800" s="230" t="s">
        <v>521</v>
      </c>
      <c r="AQ1800" s="214" t="s">
        <v>1778</v>
      </c>
      <c r="AR1800" s="229">
        <v>27.5</v>
      </c>
      <c r="AS1800" s="214"/>
      <c r="AT1800" s="214">
        <v>300</v>
      </c>
      <c r="AU1800" s="255">
        <f t="shared" si="125"/>
        <v>12.595419847328245</v>
      </c>
      <c r="AV1800" s="172">
        <v>60</v>
      </c>
      <c r="AW1800" s="214">
        <v>2</v>
      </c>
      <c r="AX1800" s="214">
        <v>20</v>
      </c>
      <c r="AY1800" s="214">
        <v>20</v>
      </c>
      <c r="AZ1800" s="171" t="s">
        <v>521</v>
      </c>
      <c r="BA1800" s="175">
        <v>60</v>
      </c>
      <c r="BB1800" s="259"/>
      <c r="BC1800" s="224"/>
      <c r="BD1800" s="225"/>
      <c r="BE1800" s="225"/>
      <c r="BF1800" s="228" t="s">
        <v>2490</v>
      </c>
      <c r="BG1800" s="26"/>
      <c r="BH1800" s="26"/>
      <c r="BI1800" s="26"/>
      <c r="BJ1800" s="26"/>
      <c r="BK1800" s="26"/>
      <c r="BL1800" s="26"/>
      <c r="BM1800" s="26"/>
      <c r="BN1800" s="26"/>
      <c r="BO1800" s="26"/>
      <c r="BP1800" s="26"/>
      <c r="BQ1800" s="26"/>
      <c r="BR1800" s="26"/>
      <c r="BS1800" s="26"/>
      <c r="BT1800" s="26"/>
      <c r="BU1800" s="26"/>
      <c r="BV1800" s="26"/>
      <c r="BW1800" s="26"/>
      <c r="BX1800" s="26"/>
      <c r="BY1800" s="26"/>
      <c r="BZ1800" s="26"/>
      <c r="CA1800" s="26"/>
      <c r="CB1800" s="26"/>
      <c r="CC1800" s="26"/>
      <c r="CD1800" s="26"/>
    </row>
    <row r="1801" spans="1:82" s="1" customFormat="1">
      <c r="A1801" s="95">
        <v>1800</v>
      </c>
      <c r="B1801" s="211" t="s">
        <v>2491</v>
      </c>
      <c r="C1801" s="191" t="s">
        <v>441</v>
      </c>
      <c r="D1801" s="171" t="s">
        <v>266</v>
      </c>
      <c r="E1801" s="463" t="s">
        <v>3377</v>
      </c>
      <c r="F1801" s="171">
        <v>2002</v>
      </c>
      <c r="G1801" s="171">
        <v>371</v>
      </c>
      <c r="H1801" s="172" t="s">
        <v>1745</v>
      </c>
      <c r="I1801" s="173" t="s">
        <v>1739</v>
      </c>
      <c r="J1801" s="226">
        <v>0.3</v>
      </c>
      <c r="K1801" s="223">
        <v>3.69</v>
      </c>
      <c r="L1801" s="170"/>
      <c r="M1801" s="214">
        <v>490</v>
      </c>
      <c r="N1801" s="214"/>
      <c r="O1801" s="227" t="s">
        <v>12</v>
      </c>
      <c r="P1801" s="92"/>
      <c r="Q1801" s="230" t="s">
        <v>2423</v>
      </c>
      <c r="R1801" s="506" t="s">
        <v>2727</v>
      </c>
      <c r="S1801" s="92"/>
      <c r="T1801" s="92"/>
      <c r="U1801" s="214" t="s">
        <v>2312</v>
      </c>
      <c r="V1801" s="144">
        <v>10</v>
      </c>
      <c r="W1801" s="145">
        <v>0</v>
      </c>
      <c r="X1801" s="120">
        <v>0</v>
      </c>
      <c r="Y1801" s="120">
        <v>0</v>
      </c>
      <c r="Z1801" s="120">
        <v>0</v>
      </c>
      <c r="AA1801" s="72">
        <v>0</v>
      </c>
      <c r="AB1801" s="17">
        <v>0</v>
      </c>
      <c r="AC1801" s="17">
        <v>0</v>
      </c>
      <c r="AD1801" s="72">
        <v>0</v>
      </c>
      <c r="AE1801" s="72">
        <v>0</v>
      </c>
      <c r="AF1801" s="72">
        <v>1.76</v>
      </c>
      <c r="AG1801" s="72">
        <v>0</v>
      </c>
      <c r="AH1801" s="17">
        <v>0</v>
      </c>
      <c r="AI1801" s="72">
        <v>0</v>
      </c>
      <c r="AJ1801" s="72">
        <v>0</v>
      </c>
      <c r="AK1801" s="17">
        <v>0</v>
      </c>
      <c r="AL1801" s="152">
        <v>0</v>
      </c>
      <c r="AM1801" s="227">
        <v>122</v>
      </c>
      <c r="AN1801" s="89"/>
      <c r="AO1801" s="214" t="s">
        <v>521</v>
      </c>
      <c r="AP1801" s="230" t="s">
        <v>521</v>
      </c>
      <c r="AQ1801" s="214" t="s">
        <v>1778</v>
      </c>
      <c r="AR1801" s="229">
        <v>27.5</v>
      </c>
      <c r="AS1801" s="214"/>
      <c r="AT1801" s="214">
        <v>300</v>
      </c>
      <c r="AU1801" s="255">
        <f t="shared" si="125"/>
        <v>12.595419847328245</v>
      </c>
      <c r="AV1801" s="172">
        <v>99</v>
      </c>
      <c r="AW1801" s="214">
        <v>2</v>
      </c>
      <c r="AX1801" s="214">
        <v>20</v>
      </c>
      <c r="AY1801" s="214">
        <v>20</v>
      </c>
      <c r="AZ1801" s="171" t="s">
        <v>521</v>
      </c>
      <c r="BA1801" s="175">
        <v>99</v>
      </c>
      <c r="BB1801" s="259"/>
      <c r="BC1801" s="224"/>
      <c r="BD1801" s="225"/>
      <c r="BE1801" s="225"/>
      <c r="BF1801" s="228" t="s">
        <v>2492</v>
      </c>
      <c r="BG1801" s="26"/>
      <c r="BH1801" s="26"/>
      <c r="BI1801" s="26"/>
      <c r="BJ1801" s="26"/>
      <c r="BK1801" s="26"/>
      <c r="BL1801" s="26"/>
      <c r="BM1801" s="26"/>
      <c r="BN1801" s="26"/>
      <c r="BO1801" s="26"/>
      <c r="BP1801" s="26"/>
      <c r="BQ1801" s="26"/>
      <c r="BR1801" s="26"/>
      <c r="BS1801" s="26"/>
      <c r="BT1801" s="26"/>
      <c r="BU1801" s="26"/>
      <c r="BV1801" s="26"/>
      <c r="BW1801" s="26"/>
      <c r="BX1801" s="26"/>
      <c r="BY1801" s="26"/>
      <c r="BZ1801" s="26"/>
      <c r="CA1801" s="26"/>
      <c r="CB1801" s="26"/>
      <c r="CC1801" s="26"/>
      <c r="CD1801" s="26"/>
    </row>
    <row r="1802" spans="1:82" s="1" customFormat="1">
      <c r="A1802" s="95">
        <v>1801</v>
      </c>
      <c r="B1802" s="211" t="s">
        <v>2493</v>
      </c>
      <c r="C1802" s="191" t="s">
        <v>441</v>
      </c>
      <c r="D1802" s="171" t="s">
        <v>266</v>
      </c>
      <c r="E1802" s="463" t="s">
        <v>3377</v>
      </c>
      <c r="F1802" s="171">
        <v>2002</v>
      </c>
      <c r="G1802" s="171">
        <v>371</v>
      </c>
      <c r="H1802" s="172" t="s">
        <v>1745</v>
      </c>
      <c r="I1802" s="173" t="s">
        <v>1739</v>
      </c>
      <c r="J1802" s="226">
        <v>0.3</v>
      </c>
      <c r="K1802" s="223">
        <v>3.69</v>
      </c>
      <c r="L1802" s="170"/>
      <c r="M1802" s="214">
        <v>490</v>
      </c>
      <c r="N1802" s="214"/>
      <c r="O1802" s="227" t="s">
        <v>12</v>
      </c>
      <c r="P1802" s="92"/>
      <c r="Q1802" s="230" t="s">
        <v>2423</v>
      </c>
      <c r="R1802" s="65" t="s">
        <v>2727</v>
      </c>
      <c r="S1802" s="92"/>
      <c r="T1802" s="511"/>
      <c r="U1802" s="214" t="s">
        <v>2312</v>
      </c>
      <c r="V1802" s="144">
        <v>10</v>
      </c>
      <c r="W1802" s="145">
        <v>0</v>
      </c>
      <c r="X1802" s="120">
        <v>0</v>
      </c>
      <c r="Y1802" s="120">
        <v>0</v>
      </c>
      <c r="Z1802" s="120">
        <v>0</v>
      </c>
      <c r="AA1802" s="72">
        <v>0</v>
      </c>
      <c r="AB1802" s="17">
        <v>0</v>
      </c>
      <c r="AC1802" s="17">
        <v>0</v>
      </c>
      <c r="AD1802" s="72">
        <v>0</v>
      </c>
      <c r="AE1802" s="72">
        <v>0</v>
      </c>
      <c r="AF1802" s="72">
        <v>1.76</v>
      </c>
      <c r="AG1802" s="72">
        <v>0</v>
      </c>
      <c r="AH1802" s="17">
        <v>0</v>
      </c>
      <c r="AI1802" s="72">
        <v>0</v>
      </c>
      <c r="AJ1802" s="72">
        <v>0</v>
      </c>
      <c r="AK1802" s="17">
        <v>0</v>
      </c>
      <c r="AL1802" s="152">
        <v>0</v>
      </c>
      <c r="AM1802" s="227">
        <v>122</v>
      </c>
      <c r="AN1802" s="89"/>
      <c r="AO1802" s="214" t="s">
        <v>521</v>
      </c>
      <c r="AP1802" s="230" t="s">
        <v>521</v>
      </c>
      <c r="AQ1802" s="214" t="s">
        <v>1778</v>
      </c>
      <c r="AR1802" s="229">
        <v>27.5</v>
      </c>
      <c r="AS1802" s="214"/>
      <c r="AT1802" s="214">
        <v>300</v>
      </c>
      <c r="AU1802" s="255">
        <f t="shared" si="125"/>
        <v>12.595419847328245</v>
      </c>
      <c r="AV1802" s="172">
        <v>99</v>
      </c>
      <c r="AW1802" s="214">
        <v>3</v>
      </c>
      <c r="AX1802" s="214">
        <v>20</v>
      </c>
      <c r="AY1802" s="214">
        <v>20</v>
      </c>
      <c r="AZ1802" s="171" t="s">
        <v>521</v>
      </c>
      <c r="BA1802" s="175">
        <v>99</v>
      </c>
      <c r="BB1802" s="259"/>
      <c r="BC1802" s="224"/>
      <c r="BD1802" s="225"/>
      <c r="BE1802" s="225"/>
      <c r="BF1802" s="228" t="s">
        <v>2494</v>
      </c>
      <c r="BG1802" s="26"/>
      <c r="BH1802" s="26"/>
      <c r="BI1802" s="26"/>
      <c r="BJ1802" s="26"/>
      <c r="BK1802" s="26"/>
      <c r="BL1802" s="26"/>
      <c r="BM1802" s="26"/>
      <c r="BN1802" s="26"/>
      <c r="BO1802" s="26"/>
      <c r="BP1802" s="26"/>
      <c r="BQ1802" s="26"/>
      <c r="BR1802" s="26"/>
      <c r="BS1802" s="26"/>
      <c r="BT1802" s="26"/>
      <c r="BU1802" s="26"/>
      <c r="BV1802" s="26"/>
      <c r="BW1802" s="26"/>
      <c r="BX1802" s="26"/>
      <c r="BY1802" s="26"/>
      <c r="BZ1802" s="26"/>
      <c r="CA1802" s="26"/>
      <c r="CB1802" s="26"/>
      <c r="CC1802" s="26"/>
      <c r="CD1802" s="26"/>
    </row>
    <row r="1803" spans="1:82" s="1" customFormat="1">
      <c r="A1803" s="95">
        <v>1802</v>
      </c>
      <c r="B1803" s="211" t="s">
        <v>2495</v>
      </c>
      <c r="C1803" s="191" t="s">
        <v>441</v>
      </c>
      <c r="D1803" s="171" t="s">
        <v>266</v>
      </c>
      <c r="E1803" s="463" t="s">
        <v>3377</v>
      </c>
      <c r="F1803" s="171">
        <v>2002</v>
      </c>
      <c r="G1803" s="171">
        <v>371</v>
      </c>
      <c r="H1803" s="172" t="s">
        <v>1745</v>
      </c>
      <c r="I1803" s="173" t="s">
        <v>1739</v>
      </c>
      <c r="J1803" s="226">
        <v>0.3</v>
      </c>
      <c r="K1803" s="223">
        <v>3.69</v>
      </c>
      <c r="L1803" s="170"/>
      <c r="M1803" s="214">
        <v>490</v>
      </c>
      <c r="N1803" s="214"/>
      <c r="O1803" s="227" t="s">
        <v>12</v>
      </c>
      <c r="P1803" s="92"/>
      <c r="Q1803" s="230" t="s">
        <v>2423</v>
      </c>
      <c r="R1803" s="65" t="s">
        <v>2727</v>
      </c>
      <c r="S1803" s="92"/>
      <c r="T1803" s="511"/>
      <c r="U1803" s="214" t="s">
        <v>2312</v>
      </c>
      <c r="V1803" s="144">
        <v>10</v>
      </c>
      <c r="W1803" s="145">
        <v>0</v>
      </c>
      <c r="X1803" s="120">
        <v>0</v>
      </c>
      <c r="Y1803" s="120">
        <v>0</v>
      </c>
      <c r="Z1803" s="120">
        <v>0</v>
      </c>
      <c r="AA1803" s="72">
        <v>0</v>
      </c>
      <c r="AB1803" s="17">
        <v>0</v>
      </c>
      <c r="AC1803" s="17">
        <v>0</v>
      </c>
      <c r="AD1803" s="72">
        <v>0</v>
      </c>
      <c r="AE1803" s="72">
        <v>0</v>
      </c>
      <c r="AF1803" s="72">
        <v>1.76</v>
      </c>
      <c r="AG1803" s="72">
        <v>0</v>
      </c>
      <c r="AH1803" s="17">
        <v>0</v>
      </c>
      <c r="AI1803" s="72">
        <v>0</v>
      </c>
      <c r="AJ1803" s="72">
        <v>0</v>
      </c>
      <c r="AK1803" s="17">
        <v>0</v>
      </c>
      <c r="AL1803" s="152">
        <v>0</v>
      </c>
      <c r="AM1803" s="227">
        <v>122</v>
      </c>
      <c r="AN1803" s="89"/>
      <c r="AO1803" s="214" t="s">
        <v>521</v>
      </c>
      <c r="AP1803" s="230" t="s">
        <v>521</v>
      </c>
      <c r="AQ1803" s="214" t="s">
        <v>1778</v>
      </c>
      <c r="AR1803" s="229">
        <v>27.5</v>
      </c>
      <c r="AS1803" s="214"/>
      <c r="AT1803" s="214">
        <v>300</v>
      </c>
      <c r="AU1803" s="255">
        <f t="shared" si="125"/>
        <v>12.595419847328245</v>
      </c>
      <c r="AV1803" s="172">
        <v>99</v>
      </c>
      <c r="AW1803" s="214">
        <v>28</v>
      </c>
      <c r="AX1803" s="214">
        <v>20</v>
      </c>
      <c r="AY1803" s="214">
        <v>20</v>
      </c>
      <c r="AZ1803" s="171" t="s">
        <v>521</v>
      </c>
      <c r="BA1803" s="175">
        <v>99</v>
      </c>
      <c r="BB1803" s="259"/>
      <c r="BC1803" s="224"/>
      <c r="BD1803" s="225"/>
      <c r="BE1803" s="225"/>
      <c r="BF1803" s="228" t="s">
        <v>2496</v>
      </c>
      <c r="BG1803" s="26"/>
      <c r="BH1803" s="26"/>
      <c r="BI1803" s="26"/>
      <c r="BJ1803" s="26"/>
      <c r="BK1803" s="26"/>
      <c r="BL1803" s="26"/>
      <c r="BM1803" s="26"/>
      <c r="BN1803" s="26"/>
      <c r="BO1803" s="26"/>
      <c r="BP1803" s="26"/>
      <c r="BQ1803" s="26"/>
      <c r="BR1803" s="26"/>
      <c r="BS1803" s="26"/>
      <c r="BT1803" s="26"/>
      <c r="BU1803" s="26"/>
      <c r="BV1803" s="26"/>
      <c r="BW1803" s="26"/>
      <c r="BX1803" s="26"/>
      <c r="BY1803" s="26"/>
      <c r="BZ1803" s="26"/>
      <c r="CA1803" s="26"/>
      <c r="CB1803" s="26"/>
      <c r="CC1803" s="26"/>
      <c r="CD1803" s="26"/>
    </row>
    <row r="1804" spans="1:82" s="1" customFormat="1">
      <c r="A1804" s="95">
        <v>1803</v>
      </c>
      <c r="B1804" s="211" t="s">
        <v>2497</v>
      </c>
      <c r="C1804" s="191" t="s">
        <v>441</v>
      </c>
      <c r="D1804" s="171" t="s">
        <v>266</v>
      </c>
      <c r="E1804" s="463" t="s">
        <v>3377</v>
      </c>
      <c r="F1804" s="171">
        <v>2002</v>
      </c>
      <c r="G1804" s="171">
        <v>371</v>
      </c>
      <c r="H1804" s="172" t="s">
        <v>1745</v>
      </c>
      <c r="I1804" s="173" t="s">
        <v>1743</v>
      </c>
      <c r="J1804" s="226">
        <v>0.3</v>
      </c>
      <c r="K1804" s="223">
        <v>3.69</v>
      </c>
      <c r="L1804" s="170"/>
      <c r="M1804" s="214">
        <v>490</v>
      </c>
      <c r="N1804" s="214"/>
      <c r="O1804" s="227" t="s">
        <v>12</v>
      </c>
      <c r="P1804" s="92"/>
      <c r="Q1804" s="230" t="s">
        <v>2423</v>
      </c>
      <c r="R1804" s="65" t="s">
        <v>2727</v>
      </c>
      <c r="S1804" s="92"/>
      <c r="T1804" s="511"/>
      <c r="U1804" s="214" t="s">
        <v>2312</v>
      </c>
      <c r="V1804" s="144">
        <v>10</v>
      </c>
      <c r="W1804" s="145">
        <v>0</v>
      </c>
      <c r="X1804" s="120">
        <v>0</v>
      </c>
      <c r="Y1804" s="120">
        <v>0</v>
      </c>
      <c r="Z1804" s="120">
        <v>0</v>
      </c>
      <c r="AA1804" s="72">
        <v>0</v>
      </c>
      <c r="AB1804" s="17">
        <v>0</v>
      </c>
      <c r="AC1804" s="17">
        <v>0</v>
      </c>
      <c r="AD1804" s="72">
        <v>0</v>
      </c>
      <c r="AE1804" s="72">
        <v>0</v>
      </c>
      <c r="AF1804" s="72">
        <v>1.76</v>
      </c>
      <c r="AG1804" s="72">
        <v>0</v>
      </c>
      <c r="AH1804" s="17">
        <v>0</v>
      </c>
      <c r="AI1804" s="72">
        <v>0</v>
      </c>
      <c r="AJ1804" s="72">
        <v>0</v>
      </c>
      <c r="AK1804" s="17">
        <v>0</v>
      </c>
      <c r="AL1804" s="152">
        <v>0</v>
      </c>
      <c r="AM1804" s="227">
        <v>122</v>
      </c>
      <c r="AN1804" s="89"/>
      <c r="AO1804" s="214" t="s">
        <v>521</v>
      </c>
      <c r="AP1804" s="230" t="s">
        <v>521</v>
      </c>
      <c r="AQ1804" s="214" t="s">
        <v>1778</v>
      </c>
      <c r="AR1804" s="229">
        <v>27.5</v>
      </c>
      <c r="AS1804" s="214"/>
      <c r="AT1804" s="214">
        <v>300</v>
      </c>
      <c r="AU1804" s="255">
        <f t="shared" si="125"/>
        <v>12.595419847328245</v>
      </c>
      <c r="AV1804" s="172">
        <v>60</v>
      </c>
      <c r="AW1804" s="214">
        <v>1</v>
      </c>
      <c r="AX1804" s="214">
        <v>20</v>
      </c>
      <c r="AY1804" s="214">
        <v>20</v>
      </c>
      <c r="AZ1804" s="171" t="s">
        <v>521</v>
      </c>
      <c r="BA1804" s="175">
        <v>60</v>
      </c>
      <c r="BB1804" s="259"/>
      <c r="BC1804" s="224"/>
      <c r="BD1804" s="225"/>
      <c r="BE1804" s="225"/>
      <c r="BF1804" s="228" t="s">
        <v>2498</v>
      </c>
      <c r="BG1804" s="26"/>
      <c r="BH1804" s="26"/>
      <c r="BI1804" s="26"/>
      <c r="BJ1804" s="26"/>
      <c r="BK1804" s="26"/>
      <c r="BL1804" s="26"/>
      <c r="BM1804" s="26"/>
      <c r="BN1804" s="26"/>
      <c r="BO1804" s="26"/>
      <c r="BP1804" s="26"/>
      <c r="BQ1804" s="26"/>
      <c r="BR1804" s="26"/>
      <c r="BS1804" s="26"/>
      <c r="BT1804" s="26"/>
      <c r="BU1804" s="26"/>
      <c r="BV1804" s="26"/>
      <c r="BW1804" s="26"/>
      <c r="BX1804" s="26"/>
      <c r="BY1804" s="26"/>
      <c r="BZ1804" s="26"/>
      <c r="CA1804" s="26"/>
      <c r="CB1804" s="26"/>
      <c r="CC1804" s="26"/>
      <c r="CD1804" s="26"/>
    </row>
    <row r="1805" spans="1:82" s="1" customFormat="1">
      <c r="A1805" s="95">
        <v>1804</v>
      </c>
      <c r="B1805" s="211" t="s">
        <v>2499</v>
      </c>
      <c r="C1805" s="191" t="s">
        <v>441</v>
      </c>
      <c r="D1805" s="171" t="s">
        <v>266</v>
      </c>
      <c r="E1805" s="463" t="s">
        <v>3377</v>
      </c>
      <c r="F1805" s="171">
        <v>2002</v>
      </c>
      <c r="G1805" s="171">
        <v>371</v>
      </c>
      <c r="H1805" s="172" t="s">
        <v>1745</v>
      </c>
      <c r="I1805" s="173" t="s">
        <v>1743</v>
      </c>
      <c r="J1805" s="226">
        <v>0.3</v>
      </c>
      <c r="K1805" s="223">
        <v>3.69</v>
      </c>
      <c r="L1805" s="170"/>
      <c r="M1805" s="214">
        <v>490</v>
      </c>
      <c r="N1805" s="214"/>
      <c r="O1805" s="227" t="s">
        <v>12</v>
      </c>
      <c r="P1805" s="92"/>
      <c r="Q1805" s="230" t="s">
        <v>2423</v>
      </c>
      <c r="R1805" s="65" t="s">
        <v>2727</v>
      </c>
      <c r="S1805" s="92"/>
      <c r="T1805" s="511"/>
      <c r="U1805" s="214" t="s">
        <v>2312</v>
      </c>
      <c r="V1805" s="144">
        <v>10</v>
      </c>
      <c r="W1805" s="145">
        <v>0</v>
      </c>
      <c r="X1805" s="120">
        <v>0</v>
      </c>
      <c r="Y1805" s="120">
        <v>0</v>
      </c>
      <c r="Z1805" s="120">
        <v>0</v>
      </c>
      <c r="AA1805" s="72">
        <v>0</v>
      </c>
      <c r="AB1805" s="17">
        <v>0</v>
      </c>
      <c r="AC1805" s="17">
        <v>0</v>
      </c>
      <c r="AD1805" s="72">
        <v>0</v>
      </c>
      <c r="AE1805" s="72">
        <v>0</v>
      </c>
      <c r="AF1805" s="72">
        <v>1.76</v>
      </c>
      <c r="AG1805" s="72">
        <v>0</v>
      </c>
      <c r="AH1805" s="17">
        <v>0</v>
      </c>
      <c r="AI1805" s="72">
        <v>0</v>
      </c>
      <c r="AJ1805" s="72">
        <v>0</v>
      </c>
      <c r="AK1805" s="17">
        <v>0</v>
      </c>
      <c r="AL1805" s="152">
        <v>0</v>
      </c>
      <c r="AM1805" s="227">
        <v>122</v>
      </c>
      <c r="AN1805" s="89"/>
      <c r="AO1805" s="214" t="s">
        <v>521</v>
      </c>
      <c r="AP1805" s="230" t="s">
        <v>521</v>
      </c>
      <c r="AQ1805" s="214" t="s">
        <v>1778</v>
      </c>
      <c r="AR1805" s="229">
        <v>27.5</v>
      </c>
      <c r="AS1805" s="214"/>
      <c r="AT1805" s="214">
        <v>300</v>
      </c>
      <c r="AU1805" s="255">
        <f t="shared" si="125"/>
        <v>12.595419847328245</v>
      </c>
      <c r="AV1805" s="172">
        <v>60</v>
      </c>
      <c r="AW1805" s="214">
        <v>3</v>
      </c>
      <c r="AX1805" s="214">
        <v>20</v>
      </c>
      <c r="AY1805" s="214">
        <v>20</v>
      </c>
      <c r="AZ1805" s="171" t="s">
        <v>521</v>
      </c>
      <c r="BA1805" s="175">
        <v>60</v>
      </c>
      <c r="BB1805" s="259"/>
      <c r="BC1805" s="224"/>
      <c r="BD1805" s="225"/>
      <c r="BE1805" s="225"/>
      <c r="BF1805" s="228" t="s">
        <v>2500</v>
      </c>
      <c r="BG1805" s="26"/>
      <c r="BH1805" s="26"/>
      <c r="BI1805" s="26"/>
      <c r="BJ1805" s="26"/>
      <c r="BK1805" s="26"/>
      <c r="BL1805" s="26"/>
      <c r="BM1805" s="26"/>
      <c r="BN1805" s="26"/>
      <c r="BO1805" s="26"/>
      <c r="BP1805" s="26"/>
      <c r="BQ1805" s="26"/>
      <c r="BR1805" s="26"/>
      <c r="BS1805" s="26"/>
      <c r="BT1805" s="26"/>
      <c r="BU1805" s="26"/>
      <c r="BV1805" s="26"/>
      <c r="BW1805" s="26"/>
      <c r="BX1805" s="26"/>
      <c r="BY1805" s="26"/>
      <c r="BZ1805" s="26"/>
      <c r="CA1805" s="26"/>
      <c r="CB1805" s="26"/>
      <c r="CC1805" s="26"/>
      <c r="CD1805" s="26"/>
    </row>
    <row r="1806" spans="1:82" s="1" customFormat="1">
      <c r="A1806" s="95">
        <v>1805</v>
      </c>
      <c r="B1806" s="211" t="s">
        <v>2501</v>
      </c>
      <c r="C1806" s="191" t="s">
        <v>441</v>
      </c>
      <c r="D1806" s="171" t="s">
        <v>266</v>
      </c>
      <c r="E1806" s="463" t="s">
        <v>3377</v>
      </c>
      <c r="F1806" s="171">
        <v>2002</v>
      </c>
      <c r="G1806" s="171">
        <v>371</v>
      </c>
      <c r="H1806" s="172" t="s">
        <v>1745</v>
      </c>
      <c r="I1806" s="173" t="s">
        <v>1743</v>
      </c>
      <c r="J1806" s="226">
        <v>0.25</v>
      </c>
      <c r="K1806" s="223">
        <v>3.22</v>
      </c>
      <c r="L1806" s="170"/>
      <c r="M1806" s="214">
        <v>545</v>
      </c>
      <c r="N1806" s="214"/>
      <c r="O1806" s="227" t="s">
        <v>12</v>
      </c>
      <c r="P1806" s="92"/>
      <c r="Q1806" s="230" t="s">
        <v>2423</v>
      </c>
      <c r="R1806" s="65" t="s">
        <v>2731</v>
      </c>
      <c r="S1806" s="92"/>
      <c r="T1806" s="511"/>
      <c r="U1806" s="214" t="s">
        <v>2320</v>
      </c>
      <c r="V1806" s="144">
        <v>10.09</v>
      </c>
      <c r="W1806" s="145">
        <v>0</v>
      </c>
      <c r="X1806" s="120">
        <v>0</v>
      </c>
      <c r="Y1806" s="120">
        <v>0</v>
      </c>
      <c r="Z1806" s="120">
        <v>0</v>
      </c>
      <c r="AA1806" s="72">
        <v>0</v>
      </c>
      <c r="AB1806" s="17">
        <v>0</v>
      </c>
      <c r="AC1806" s="17">
        <v>0</v>
      </c>
      <c r="AD1806" s="72">
        <v>0</v>
      </c>
      <c r="AE1806" s="72">
        <v>0</v>
      </c>
      <c r="AF1806" s="72">
        <v>1.98</v>
      </c>
      <c r="AG1806" s="72">
        <v>0</v>
      </c>
      <c r="AH1806" s="17">
        <v>0</v>
      </c>
      <c r="AI1806" s="72">
        <v>0</v>
      </c>
      <c r="AJ1806" s="72">
        <v>0</v>
      </c>
      <c r="AK1806" s="17">
        <v>0</v>
      </c>
      <c r="AL1806" s="152">
        <v>0</v>
      </c>
      <c r="AM1806" s="227">
        <v>129</v>
      </c>
      <c r="AN1806" s="89"/>
      <c r="AO1806" s="214" t="s">
        <v>521</v>
      </c>
      <c r="AP1806" s="230" t="s">
        <v>521</v>
      </c>
      <c r="AQ1806" s="214" t="s">
        <v>1778</v>
      </c>
      <c r="AR1806" s="229">
        <v>27.5</v>
      </c>
      <c r="AS1806" s="214"/>
      <c r="AT1806" s="214">
        <v>300</v>
      </c>
      <c r="AU1806" s="255">
        <f t="shared" si="125"/>
        <v>12.595419847328245</v>
      </c>
      <c r="AV1806" s="172">
        <v>60</v>
      </c>
      <c r="AW1806" s="214">
        <v>2</v>
      </c>
      <c r="AX1806" s="214">
        <v>20</v>
      </c>
      <c r="AY1806" s="214">
        <v>20</v>
      </c>
      <c r="AZ1806" s="171" t="s">
        <v>521</v>
      </c>
      <c r="BA1806" s="175">
        <v>60</v>
      </c>
      <c r="BB1806" s="259"/>
      <c r="BC1806" s="224"/>
      <c r="BD1806" s="225"/>
      <c r="BE1806" s="225"/>
      <c r="BF1806" s="228" t="s">
        <v>2502</v>
      </c>
      <c r="BG1806" s="26"/>
      <c r="BH1806" s="26"/>
      <c r="BI1806" s="26"/>
      <c r="BJ1806" s="26"/>
      <c r="BK1806" s="26"/>
      <c r="BL1806" s="26"/>
      <c r="BM1806" s="26"/>
      <c r="BN1806" s="26"/>
      <c r="BO1806" s="26"/>
      <c r="BP1806" s="26"/>
      <c r="BQ1806" s="26"/>
      <c r="BR1806" s="26"/>
      <c r="BS1806" s="26"/>
      <c r="BT1806" s="26"/>
      <c r="BU1806" s="26"/>
      <c r="BV1806" s="26"/>
      <c r="BW1806" s="26"/>
      <c r="BX1806" s="26"/>
      <c r="BY1806" s="26"/>
      <c r="BZ1806" s="26"/>
      <c r="CA1806" s="26"/>
      <c r="CB1806" s="26"/>
      <c r="CC1806" s="26"/>
      <c r="CD1806" s="26"/>
    </row>
    <row r="1807" spans="1:82" s="1" customFormat="1">
      <c r="A1807" s="95">
        <v>1806</v>
      </c>
      <c r="B1807" s="211" t="s">
        <v>2503</v>
      </c>
      <c r="C1807" s="191" t="s">
        <v>441</v>
      </c>
      <c r="D1807" s="171" t="s">
        <v>266</v>
      </c>
      <c r="E1807" s="463" t="s">
        <v>3377</v>
      </c>
      <c r="F1807" s="171">
        <v>2002</v>
      </c>
      <c r="G1807" s="171">
        <v>371</v>
      </c>
      <c r="H1807" s="172" t="s">
        <v>1745</v>
      </c>
      <c r="I1807" s="173" t="s">
        <v>1739</v>
      </c>
      <c r="J1807" s="226">
        <v>0.25</v>
      </c>
      <c r="K1807" s="223">
        <v>3.22</v>
      </c>
      <c r="L1807" s="170"/>
      <c r="M1807" s="214">
        <v>545</v>
      </c>
      <c r="N1807" s="214"/>
      <c r="O1807" s="227" t="s">
        <v>12</v>
      </c>
      <c r="P1807" s="92"/>
      <c r="Q1807" s="230" t="s">
        <v>2423</v>
      </c>
      <c r="R1807" s="65" t="s">
        <v>2731</v>
      </c>
      <c r="S1807" s="92"/>
      <c r="T1807" s="511"/>
      <c r="U1807" s="214" t="s">
        <v>2320</v>
      </c>
      <c r="V1807" s="144">
        <v>10.09</v>
      </c>
      <c r="W1807" s="145">
        <v>0</v>
      </c>
      <c r="X1807" s="120">
        <v>0</v>
      </c>
      <c r="Y1807" s="120">
        <v>0</v>
      </c>
      <c r="Z1807" s="120">
        <v>0</v>
      </c>
      <c r="AA1807" s="72">
        <v>0</v>
      </c>
      <c r="AB1807" s="17">
        <v>0</v>
      </c>
      <c r="AC1807" s="17">
        <v>0</v>
      </c>
      <c r="AD1807" s="72">
        <v>0</v>
      </c>
      <c r="AE1807" s="72">
        <v>0</v>
      </c>
      <c r="AF1807" s="72">
        <v>1.98</v>
      </c>
      <c r="AG1807" s="72">
        <v>0</v>
      </c>
      <c r="AH1807" s="17">
        <v>0</v>
      </c>
      <c r="AI1807" s="72">
        <v>0</v>
      </c>
      <c r="AJ1807" s="72">
        <v>0</v>
      </c>
      <c r="AK1807" s="17">
        <v>0</v>
      </c>
      <c r="AL1807" s="152">
        <v>0</v>
      </c>
      <c r="AM1807" s="227">
        <v>129</v>
      </c>
      <c r="AN1807" s="89"/>
      <c r="AO1807" s="214" t="s">
        <v>521</v>
      </c>
      <c r="AP1807" s="230" t="s">
        <v>521</v>
      </c>
      <c r="AQ1807" s="214" t="s">
        <v>1778</v>
      </c>
      <c r="AR1807" s="229">
        <v>27.5</v>
      </c>
      <c r="AS1807" s="214"/>
      <c r="AT1807" s="214">
        <v>300</v>
      </c>
      <c r="AU1807" s="255">
        <f t="shared" si="125"/>
        <v>12.595419847328245</v>
      </c>
      <c r="AV1807" s="172">
        <v>99</v>
      </c>
      <c r="AW1807" s="214">
        <v>2</v>
      </c>
      <c r="AX1807" s="214">
        <v>20</v>
      </c>
      <c r="AY1807" s="214">
        <v>20</v>
      </c>
      <c r="AZ1807" s="171" t="s">
        <v>521</v>
      </c>
      <c r="BA1807" s="175">
        <v>99</v>
      </c>
      <c r="BB1807" s="259"/>
      <c r="BC1807" s="224"/>
      <c r="BD1807" s="225"/>
      <c r="BE1807" s="225"/>
      <c r="BF1807" s="228" t="s">
        <v>2504</v>
      </c>
      <c r="BG1807" s="26"/>
      <c r="BH1807" s="26"/>
      <c r="BI1807" s="26"/>
      <c r="BJ1807" s="26"/>
      <c r="BK1807" s="26"/>
      <c r="BL1807" s="26"/>
      <c r="BM1807" s="26"/>
      <c r="BN1807" s="26"/>
      <c r="BO1807" s="26"/>
      <c r="BP1807" s="26"/>
      <c r="BQ1807" s="26"/>
      <c r="BR1807" s="26"/>
      <c r="BS1807" s="26"/>
      <c r="BT1807" s="26"/>
      <c r="BU1807" s="26"/>
      <c r="BV1807" s="26"/>
      <c r="BW1807" s="26"/>
      <c r="BX1807" s="26"/>
      <c r="BY1807" s="26"/>
      <c r="BZ1807" s="26"/>
      <c r="CA1807" s="26"/>
      <c r="CB1807" s="26"/>
      <c r="CC1807" s="26"/>
      <c r="CD1807" s="26"/>
    </row>
    <row r="1808" spans="1:82" s="1" customFormat="1">
      <c r="A1808" s="95">
        <v>1807</v>
      </c>
      <c r="B1808" s="211" t="s">
        <v>2505</v>
      </c>
      <c r="C1808" s="191" t="s">
        <v>441</v>
      </c>
      <c r="D1808" s="171" t="s">
        <v>266</v>
      </c>
      <c r="E1808" s="463" t="s">
        <v>3377</v>
      </c>
      <c r="F1808" s="171">
        <v>2002</v>
      </c>
      <c r="G1808" s="171">
        <v>371</v>
      </c>
      <c r="H1808" s="172" t="s">
        <v>1745</v>
      </c>
      <c r="I1808" s="173" t="s">
        <v>1739</v>
      </c>
      <c r="J1808" s="226">
        <v>0.25</v>
      </c>
      <c r="K1808" s="223">
        <v>3.22</v>
      </c>
      <c r="L1808" s="170"/>
      <c r="M1808" s="214">
        <v>545</v>
      </c>
      <c r="N1808" s="214"/>
      <c r="O1808" s="227" t="s">
        <v>12</v>
      </c>
      <c r="P1808" s="92"/>
      <c r="Q1808" s="230" t="s">
        <v>2423</v>
      </c>
      <c r="R1808" s="65" t="s">
        <v>2731</v>
      </c>
      <c r="S1808" s="92"/>
      <c r="T1808" s="511"/>
      <c r="U1808" s="214" t="s">
        <v>2320</v>
      </c>
      <c r="V1808" s="144">
        <v>10.09</v>
      </c>
      <c r="W1808" s="145">
        <v>0</v>
      </c>
      <c r="X1808" s="120">
        <v>0</v>
      </c>
      <c r="Y1808" s="120">
        <v>0</v>
      </c>
      <c r="Z1808" s="120">
        <v>0</v>
      </c>
      <c r="AA1808" s="72">
        <v>0</v>
      </c>
      <c r="AB1808" s="17">
        <v>0</v>
      </c>
      <c r="AC1808" s="17">
        <v>0</v>
      </c>
      <c r="AD1808" s="72">
        <v>0</v>
      </c>
      <c r="AE1808" s="72">
        <v>0</v>
      </c>
      <c r="AF1808" s="72">
        <v>1.98</v>
      </c>
      <c r="AG1808" s="72">
        <v>0</v>
      </c>
      <c r="AH1808" s="17">
        <v>0</v>
      </c>
      <c r="AI1808" s="72">
        <v>0</v>
      </c>
      <c r="AJ1808" s="72">
        <v>0</v>
      </c>
      <c r="AK1808" s="17">
        <v>0</v>
      </c>
      <c r="AL1808" s="152">
        <v>0</v>
      </c>
      <c r="AM1808" s="227">
        <v>129</v>
      </c>
      <c r="AN1808" s="89"/>
      <c r="AO1808" s="214" t="s">
        <v>521</v>
      </c>
      <c r="AP1808" s="230" t="s">
        <v>521</v>
      </c>
      <c r="AQ1808" s="214" t="s">
        <v>1778</v>
      </c>
      <c r="AR1808" s="229">
        <v>27.5</v>
      </c>
      <c r="AS1808" s="214"/>
      <c r="AT1808" s="214">
        <v>300</v>
      </c>
      <c r="AU1808" s="255">
        <f t="shared" si="125"/>
        <v>12.595419847328245</v>
      </c>
      <c r="AV1808" s="172">
        <v>99</v>
      </c>
      <c r="AW1808" s="214">
        <v>1</v>
      </c>
      <c r="AX1808" s="214">
        <v>20</v>
      </c>
      <c r="AY1808" s="214">
        <v>20</v>
      </c>
      <c r="AZ1808" s="171" t="s">
        <v>521</v>
      </c>
      <c r="BA1808" s="175">
        <v>99</v>
      </c>
      <c r="BB1808" s="259"/>
      <c r="BC1808" s="224"/>
      <c r="BD1808" s="225"/>
      <c r="BE1808" s="225"/>
      <c r="BF1808" s="228" t="s">
        <v>2506</v>
      </c>
      <c r="BG1808" s="26"/>
      <c r="BH1808" s="26"/>
      <c r="BI1808" s="26"/>
      <c r="BJ1808" s="26"/>
      <c r="BK1808" s="26"/>
      <c r="BL1808" s="26"/>
      <c r="BM1808" s="26"/>
      <c r="BN1808" s="26"/>
      <c r="BO1808" s="26"/>
      <c r="BP1808" s="26"/>
      <c r="BQ1808" s="26"/>
      <c r="BR1808" s="26"/>
      <c r="BS1808" s="26"/>
      <c r="BT1808" s="26"/>
      <c r="BU1808" s="26"/>
      <c r="BV1808" s="26"/>
      <c r="BW1808" s="26"/>
      <c r="BX1808" s="26"/>
      <c r="BY1808" s="26"/>
      <c r="BZ1808" s="26"/>
      <c r="CA1808" s="26"/>
      <c r="CB1808" s="26"/>
      <c r="CC1808" s="26"/>
      <c r="CD1808" s="26"/>
    </row>
    <row r="1809" spans="1:82" s="1" customFormat="1">
      <c r="A1809" s="95">
        <v>1808</v>
      </c>
      <c r="B1809" s="211" t="s">
        <v>2507</v>
      </c>
      <c r="C1809" s="191" t="s">
        <v>441</v>
      </c>
      <c r="D1809" s="171" t="s">
        <v>266</v>
      </c>
      <c r="E1809" s="463" t="s">
        <v>3377</v>
      </c>
      <c r="F1809" s="171">
        <v>2002</v>
      </c>
      <c r="G1809" s="171">
        <v>371</v>
      </c>
      <c r="H1809" s="172" t="s">
        <v>1745</v>
      </c>
      <c r="I1809" s="173" t="s">
        <v>1743</v>
      </c>
      <c r="J1809" s="226">
        <v>0.25</v>
      </c>
      <c r="K1809" s="223">
        <v>3.22</v>
      </c>
      <c r="L1809" s="170"/>
      <c r="M1809" s="214">
        <v>545</v>
      </c>
      <c r="N1809" s="214"/>
      <c r="O1809" s="227" t="s">
        <v>12</v>
      </c>
      <c r="P1809" s="92"/>
      <c r="Q1809" s="230" t="s">
        <v>2423</v>
      </c>
      <c r="R1809" s="65" t="s">
        <v>2731</v>
      </c>
      <c r="S1809" s="92"/>
      <c r="T1809" s="511"/>
      <c r="U1809" s="214" t="s">
        <v>2320</v>
      </c>
      <c r="V1809" s="144">
        <v>10.09</v>
      </c>
      <c r="W1809" s="145">
        <v>0</v>
      </c>
      <c r="X1809" s="120">
        <v>0</v>
      </c>
      <c r="Y1809" s="120">
        <v>0</v>
      </c>
      <c r="Z1809" s="120">
        <v>0</v>
      </c>
      <c r="AA1809" s="72">
        <v>0</v>
      </c>
      <c r="AB1809" s="17">
        <v>0</v>
      </c>
      <c r="AC1809" s="17">
        <v>0</v>
      </c>
      <c r="AD1809" s="72">
        <v>0</v>
      </c>
      <c r="AE1809" s="72">
        <v>0</v>
      </c>
      <c r="AF1809" s="72">
        <v>1.98</v>
      </c>
      <c r="AG1809" s="72">
        <v>0</v>
      </c>
      <c r="AH1809" s="17">
        <v>0</v>
      </c>
      <c r="AI1809" s="72">
        <v>0</v>
      </c>
      <c r="AJ1809" s="72">
        <v>0</v>
      </c>
      <c r="AK1809" s="17">
        <v>0</v>
      </c>
      <c r="AL1809" s="152">
        <v>0</v>
      </c>
      <c r="AM1809" s="227">
        <v>129</v>
      </c>
      <c r="AN1809" s="89"/>
      <c r="AO1809" s="214" t="s">
        <v>521</v>
      </c>
      <c r="AP1809" s="230" t="s">
        <v>521</v>
      </c>
      <c r="AQ1809" s="214" t="s">
        <v>1778</v>
      </c>
      <c r="AR1809" s="229">
        <v>27.5</v>
      </c>
      <c r="AS1809" s="214"/>
      <c r="AT1809" s="214">
        <v>300</v>
      </c>
      <c r="AU1809" s="255">
        <f t="shared" si="125"/>
        <v>12.595419847328245</v>
      </c>
      <c r="AV1809" s="172">
        <v>60</v>
      </c>
      <c r="AW1809" s="214">
        <v>1</v>
      </c>
      <c r="AX1809" s="214">
        <v>20</v>
      </c>
      <c r="AY1809" s="214">
        <v>20</v>
      </c>
      <c r="AZ1809" s="171" t="s">
        <v>521</v>
      </c>
      <c r="BA1809" s="175">
        <v>60</v>
      </c>
      <c r="BB1809" s="259"/>
      <c r="BC1809" s="224"/>
      <c r="BD1809" s="225"/>
      <c r="BE1809" s="225"/>
      <c r="BF1809" s="228" t="s">
        <v>2508</v>
      </c>
      <c r="BG1809" s="26"/>
      <c r="BH1809" s="26"/>
      <c r="BI1809" s="26"/>
      <c r="BJ1809" s="26"/>
      <c r="BK1809" s="26"/>
      <c r="BL1809" s="26"/>
      <c r="BM1809" s="26"/>
      <c r="BN1809" s="26"/>
      <c r="BO1809" s="26"/>
      <c r="BP1809" s="26"/>
      <c r="BQ1809" s="26"/>
      <c r="BR1809" s="26"/>
      <c r="BS1809" s="26"/>
      <c r="BT1809" s="26"/>
      <c r="BU1809" s="26"/>
      <c r="BV1809" s="26"/>
      <c r="BW1809" s="26"/>
      <c r="BX1809" s="26"/>
      <c r="BY1809" s="26"/>
      <c r="BZ1809" s="26"/>
      <c r="CA1809" s="26"/>
      <c r="CB1809" s="26"/>
      <c r="CC1809" s="26"/>
      <c r="CD1809" s="26"/>
    </row>
    <row r="1810" spans="1:82" s="1" customFormat="1">
      <c r="A1810" s="95">
        <v>1809</v>
      </c>
      <c r="B1810" s="211" t="s">
        <v>2509</v>
      </c>
      <c r="C1810" s="191" t="s">
        <v>441</v>
      </c>
      <c r="D1810" s="171" t="s">
        <v>266</v>
      </c>
      <c r="E1810" s="463" t="s">
        <v>3377</v>
      </c>
      <c r="F1810" s="171">
        <v>2002</v>
      </c>
      <c r="G1810" s="171">
        <v>371</v>
      </c>
      <c r="H1810" s="172" t="s">
        <v>1745</v>
      </c>
      <c r="I1810" s="173" t="s">
        <v>1743</v>
      </c>
      <c r="J1810" s="226">
        <v>0.25</v>
      </c>
      <c r="K1810" s="223">
        <v>3.22</v>
      </c>
      <c r="L1810" s="170"/>
      <c r="M1810" s="214">
        <v>545</v>
      </c>
      <c r="N1810" s="214"/>
      <c r="O1810" s="227" t="s">
        <v>12</v>
      </c>
      <c r="P1810" s="92"/>
      <c r="Q1810" s="230" t="s">
        <v>2423</v>
      </c>
      <c r="R1810" s="65" t="s">
        <v>2731</v>
      </c>
      <c r="S1810" s="92"/>
      <c r="T1810" s="511"/>
      <c r="U1810" s="214" t="s">
        <v>2320</v>
      </c>
      <c r="V1810" s="144">
        <v>10.09</v>
      </c>
      <c r="W1810" s="145">
        <v>0</v>
      </c>
      <c r="X1810" s="120">
        <v>0</v>
      </c>
      <c r="Y1810" s="120">
        <v>0</v>
      </c>
      <c r="Z1810" s="120">
        <v>0</v>
      </c>
      <c r="AA1810" s="72">
        <v>0</v>
      </c>
      <c r="AB1810" s="17">
        <v>0</v>
      </c>
      <c r="AC1810" s="17">
        <v>0</v>
      </c>
      <c r="AD1810" s="72">
        <v>0</v>
      </c>
      <c r="AE1810" s="72">
        <v>0</v>
      </c>
      <c r="AF1810" s="72">
        <v>1.98</v>
      </c>
      <c r="AG1810" s="72">
        <v>0</v>
      </c>
      <c r="AH1810" s="17">
        <v>0</v>
      </c>
      <c r="AI1810" s="72">
        <v>0</v>
      </c>
      <c r="AJ1810" s="72">
        <v>0</v>
      </c>
      <c r="AK1810" s="17">
        <v>0</v>
      </c>
      <c r="AL1810" s="152">
        <v>0</v>
      </c>
      <c r="AM1810" s="227">
        <v>129</v>
      </c>
      <c r="AN1810" s="89"/>
      <c r="AO1810" s="214" t="s">
        <v>521</v>
      </c>
      <c r="AP1810" s="230" t="s">
        <v>521</v>
      </c>
      <c r="AQ1810" s="214" t="s">
        <v>1778</v>
      </c>
      <c r="AR1810" s="229">
        <v>27.5</v>
      </c>
      <c r="AS1810" s="214"/>
      <c r="AT1810" s="214">
        <v>300</v>
      </c>
      <c r="AU1810" s="255">
        <f t="shared" si="125"/>
        <v>12.595419847328245</v>
      </c>
      <c r="AV1810" s="172">
        <v>60</v>
      </c>
      <c r="AW1810" s="214">
        <v>3</v>
      </c>
      <c r="AX1810" s="214">
        <v>20</v>
      </c>
      <c r="AY1810" s="214">
        <v>20</v>
      </c>
      <c r="AZ1810" s="171" t="s">
        <v>521</v>
      </c>
      <c r="BA1810" s="175">
        <v>60</v>
      </c>
      <c r="BB1810" s="259"/>
      <c r="BC1810" s="224"/>
      <c r="BD1810" s="225"/>
      <c r="BE1810" s="225"/>
      <c r="BF1810" s="228" t="s">
        <v>2510</v>
      </c>
      <c r="BG1810" s="26"/>
      <c r="BH1810" s="26"/>
      <c r="BI1810" s="26"/>
      <c r="BJ1810" s="26"/>
      <c r="BK1810" s="26"/>
      <c r="BL1810" s="26"/>
      <c r="BM1810" s="26"/>
      <c r="BN1810" s="26"/>
      <c r="BO1810" s="26"/>
      <c r="BP1810" s="26"/>
      <c r="BQ1810" s="26"/>
      <c r="BR1810" s="26"/>
      <c r="BS1810" s="26"/>
      <c r="BT1810" s="26"/>
      <c r="BU1810" s="26"/>
      <c r="BV1810" s="26"/>
      <c r="BW1810" s="26"/>
      <c r="BX1810" s="26"/>
      <c r="BY1810" s="26"/>
      <c r="BZ1810" s="26"/>
      <c r="CA1810" s="26"/>
      <c r="CB1810" s="26"/>
      <c r="CC1810" s="26"/>
      <c r="CD1810" s="26"/>
    </row>
    <row r="1811" spans="1:82">
      <c r="A1811" s="95">
        <v>1810</v>
      </c>
      <c r="B1811" s="211" t="s">
        <v>2770</v>
      </c>
      <c r="C1811" s="191" t="s">
        <v>2763</v>
      </c>
      <c r="D1811" s="171" t="s">
        <v>255</v>
      </c>
      <c r="E1811" s="463" t="s">
        <v>3377</v>
      </c>
      <c r="F1811" s="171">
        <v>1987</v>
      </c>
      <c r="G1811" s="219">
        <v>373</v>
      </c>
      <c r="H1811" s="57"/>
      <c r="I1811" s="173" t="s">
        <v>2564</v>
      </c>
      <c r="J1811" s="232">
        <v>0.47</v>
      </c>
      <c r="K1811" s="219">
        <v>1.367</v>
      </c>
      <c r="L1811" s="91">
        <f t="shared" ref="L1811:L1828" si="126">(J1811)*(M1811)</f>
        <v>183.29999999999998</v>
      </c>
      <c r="M1811" s="219">
        <v>390</v>
      </c>
      <c r="N1811" s="219"/>
      <c r="O1811" s="163"/>
      <c r="P1811" s="92"/>
      <c r="Q1811" s="233" t="s">
        <v>273</v>
      </c>
      <c r="R1811" s="219" t="s">
        <v>2723</v>
      </c>
      <c r="S1811" s="219" t="s">
        <v>2764</v>
      </c>
      <c r="T1811" s="219" t="s">
        <v>2306</v>
      </c>
      <c r="U1811" s="219" t="s">
        <v>2313</v>
      </c>
      <c r="V1811" s="146"/>
      <c r="W1811" s="147"/>
      <c r="X1811" s="147"/>
      <c r="Y1811" s="120">
        <v>0</v>
      </c>
      <c r="Z1811" s="120">
        <v>0</v>
      </c>
      <c r="AA1811" s="148"/>
      <c r="AB1811" s="17">
        <v>0</v>
      </c>
      <c r="AC1811" s="17">
        <v>0</v>
      </c>
      <c r="AD1811" s="148"/>
      <c r="AE1811" s="148"/>
      <c r="AF1811" s="17">
        <v>0</v>
      </c>
      <c r="AG1811" s="148"/>
      <c r="AH1811" s="17">
        <v>0</v>
      </c>
      <c r="AI1811" s="17">
        <v>0</v>
      </c>
      <c r="AJ1811" s="17">
        <v>0</v>
      </c>
      <c r="AK1811" s="17">
        <v>0</v>
      </c>
      <c r="AL1811" s="32">
        <v>0</v>
      </c>
      <c r="AM1811" s="786">
        <v>50.1</v>
      </c>
      <c r="AN1811" s="89"/>
      <c r="AO1811" s="89"/>
      <c r="AP1811" s="787">
        <v>29800</v>
      </c>
      <c r="AQ1811" s="17" t="s">
        <v>2766</v>
      </c>
      <c r="AR1811" s="174">
        <v>100</v>
      </c>
      <c r="AS1811" s="171">
        <v>100</v>
      </c>
      <c r="AT1811" s="171">
        <v>400</v>
      </c>
      <c r="AU1811" s="234">
        <v>75</v>
      </c>
      <c r="AV1811" s="172">
        <v>95</v>
      </c>
      <c r="AW1811" s="171">
        <v>8</v>
      </c>
      <c r="AX1811" s="89"/>
      <c r="AY1811" s="171">
        <v>20</v>
      </c>
      <c r="AZ1811" s="89"/>
      <c r="BA1811" s="175">
        <v>60</v>
      </c>
      <c r="BB1811" s="259"/>
      <c r="BC1811" s="176"/>
      <c r="BD1811" s="177"/>
      <c r="BE1811" s="177"/>
      <c r="BF1811" s="178"/>
    </row>
    <row r="1812" spans="1:82">
      <c r="A1812" s="95">
        <v>1811</v>
      </c>
      <c r="B1812" s="211" t="s">
        <v>2771</v>
      </c>
      <c r="C1812" s="191" t="s">
        <v>2763</v>
      </c>
      <c r="D1812" s="171" t="s">
        <v>255</v>
      </c>
      <c r="E1812" s="463" t="s">
        <v>3377</v>
      </c>
      <c r="F1812" s="171">
        <v>1987</v>
      </c>
      <c r="G1812" s="219">
        <v>373</v>
      </c>
      <c r="H1812" s="57"/>
      <c r="I1812" s="173" t="s">
        <v>2564</v>
      </c>
      <c r="J1812" s="232">
        <v>0.47</v>
      </c>
      <c r="K1812" s="219">
        <v>1.367</v>
      </c>
      <c r="L1812" s="91">
        <f t="shared" si="126"/>
        <v>183.29999999999998</v>
      </c>
      <c r="M1812" s="219">
        <v>390</v>
      </c>
      <c r="N1812" s="219"/>
      <c r="O1812" s="163"/>
      <c r="P1812" s="92"/>
      <c r="Q1812" s="233" t="s">
        <v>273</v>
      </c>
      <c r="R1812" s="219" t="s">
        <v>2723</v>
      </c>
      <c r="S1812" s="219" t="s">
        <v>2764</v>
      </c>
      <c r="T1812" s="219" t="s">
        <v>2306</v>
      </c>
      <c r="U1812" s="219" t="s">
        <v>2313</v>
      </c>
      <c r="V1812" s="146"/>
      <c r="W1812" s="147"/>
      <c r="X1812" s="147"/>
      <c r="Y1812" s="120">
        <v>0</v>
      </c>
      <c r="Z1812" s="120">
        <v>0</v>
      </c>
      <c r="AA1812" s="148"/>
      <c r="AB1812" s="17">
        <v>0</v>
      </c>
      <c r="AC1812" s="17">
        <v>0</v>
      </c>
      <c r="AD1812" s="148"/>
      <c r="AE1812" s="148"/>
      <c r="AF1812" s="17">
        <v>0</v>
      </c>
      <c r="AG1812" s="148"/>
      <c r="AH1812" s="17">
        <v>0</v>
      </c>
      <c r="AI1812" s="17">
        <v>0</v>
      </c>
      <c r="AJ1812" s="17">
        <v>0</v>
      </c>
      <c r="AK1812" s="17">
        <v>0</v>
      </c>
      <c r="AL1812" s="32">
        <v>0</v>
      </c>
      <c r="AM1812" s="786">
        <v>50.1</v>
      </c>
      <c r="AN1812" s="89"/>
      <c r="AO1812" s="89"/>
      <c r="AP1812" s="787">
        <v>29800</v>
      </c>
      <c r="AQ1812" s="17" t="s">
        <v>2765</v>
      </c>
      <c r="AR1812" s="174">
        <v>150</v>
      </c>
      <c r="AS1812" s="171">
        <v>150</v>
      </c>
      <c r="AT1812" s="171">
        <v>600</v>
      </c>
      <c r="AU1812" s="234">
        <v>75</v>
      </c>
      <c r="AV1812" s="172">
        <v>95</v>
      </c>
      <c r="AW1812" s="171">
        <v>8</v>
      </c>
      <c r="AX1812" s="89"/>
      <c r="AY1812" s="171">
        <v>20</v>
      </c>
      <c r="AZ1812" s="89"/>
      <c r="BA1812" s="175">
        <v>60</v>
      </c>
      <c r="BB1812" s="259"/>
      <c r="BC1812" s="176"/>
      <c r="BD1812" s="177"/>
      <c r="BE1812" s="177"/>
      <c r="BF1812" s="178"/>
    </row>
    <row r="1813" spans="1:82">
      <c r="A1813" s="95">
        <v>1812</v>
      </c>
      <c r="B1813" s="211" t="s">
        <v>2772</v>
      </c>
      <c r="C1813" s="191" t="s">
        <v>2763</v>
      </c>
      <c r="D1813" s="171" t="s">
        <v>255</v>
      </c>
      <c r="E1813" s="463" t="s">
        <v>3377</v>
      </c>
      <c r="F1813" s="171">
        <v>1987</v>
      </c>
      <c r="G1813" s="219">
        <v>373</v>
      </c>
      <c r="H1813" s="57"/>
      <c r="I1813" s="173" t="s">
        <v>2564</v>
      </c>
      <c r="J1813" s="232">
        <v>0.47</v>
      </c>
      <c r="K1813" s="219">
        <v>1.367</v>
      </c>
      <c r="L1813" s="91">
        <f t="shared" si="126"/>
        <v>183.29999999999998</v>
      </c>
      <c r="M1813" s="219">
        <v>390</v>
      </c>
      <c r="N1813" s="219"/>
      <c r="O1813" s="163"/>
      <c r="P1813" s="92"/>
      <c r="Q1813" s="233" t="s">
        <v>273</v>
      </c>
      <c r="R1813" s="219" t="s">
        <v>2723</v>
      </c>
      <c r="S1813" s="219" t="s">
        <v>2764</v>
      </c>
      <c r="T1813" s="219" t="s">
        <v>2306</v>
      </c>
      <c r="U1813" s="219" t="s">
        <v>2313</v>
      </c>
      <c r="V1813" s="146"/>
      <c r="W1813" s="147"/>
      <c r="X1813" s="147"/>
      <c r="Y1813" s="120">
        <v>0</v>
      </c>
      <c r="Z1813" s="120">
        <v>0</v>
      </c>
      <c r="AA1813" s="148"/>
      <c r="AB1813" s="17">
        <v>0</v>
      </c>
      <c r="AC1813" s="17">
        <v>0</v>
      </c>
      <c r="AD1813" s="148"/>
      <c r="AE1813" s="148"/>
      <c r="AF1813" s="17">
        <v>0</v>
      </c>
      <c r="AG1813" s="148"/>
      <c r="AH1813" s="17">
        <v>0</v>
      </c>
      <c r="AI1813" s="17">
        <v>0</v>
      </c>
      <c r="AJ1813" s="17">
        <v>0</v>
      </c>
      <c r="AK1813" s="17">
        <v>0</v>
      </c>
      <c r="AL1813" s="32">
        <v>0</v>
      </c>
      <c r="AM1813" s="786">
        <v>50.1</v>
      </c>
      <c r="AN1813" s="89"/>
      <c r="AO1813" s="89"/>
      <c r="AP1813" s="787">
        <v>29800</v>
      </c>
      <c r="AQ1813" s="17" t="s">
        <v>2767</v>
      </c>
      <c r="AR1813" s="174">
        <v>200</v>
      </c>
      <c r="AS1813" s="171">
        <v>200</v>
      </c>
      <c r="AT1813" s="171">
        <v>800</v>
      </c>
      <c r="AU1813" s="234">
        <v>75</v>
      </c>
      <c r="AV1813" s="172">
        <v>95</v>
      </c>
      <c r="AW1813" s="171">
        <v>8</v>
      </c>
      <c r="AX1813" s="89"/>
      <c r="AY1813" s="171">
        <v>20</v>
      </c>
      <c r="AZ1813" s="89"/>
      <c r="BA1813" s="175">
        <v>60</v>
      </c>
      <c r="BB1813" s="259"/>
      <c r="BC1813" s="176"/>
      <c r="BD1813" s="177"/>
      <c r="BE1813" s="177"/>
      <c r="BF1813" s="178"/>
    </row>
    <row r="1814" spans="1:82">
      <c r="A1814" s="95">
        <v>1813</v>
      </c>
      <c r="B1814" s="211" t="s">
        <v>2773</v>
      </c>
      <c r="C1814" s="191" t="s">
        <v>2763</v>
      </c>
      <c r="D1814" s="171" t="s">
        <v>255</v>
      </c>
      <c r="E1814" s="463" t="s">
        <v>3377</v>
      </c>
      <c r="F1814" s="171">
        <v>1987</v>
      </c>
      <c r="G1814" s="219">
        <v>373</v>
      </c>
      <c r="H1814" s="57"/>
      <c r="I1814" s="173" t="s">
        <v>2564</v>
      </c>
      <c r="J1814" s="232">
        <v>0.47</v>
      </c>
      <c r="K1814" s="219">
        <v>1.367</v>
      </c>
      <c r="L1814" s="91">
        <f t="shared" si="126"/>
        <v>183.29999999999998</v>
      </c>
      <c r="M1814" s="219">
        <v>390</v>
      </c>
      <c r="N1814" s="219"/>
      <c r="O1814" s="163"/>
      <c r="P1814" s="92"/>
      <c r="Q1814" s="233" t="s">
        <v>273</v>
      </c>
      <c r="R1814" s="219" t="s">
        <v>2723</v>
      </c>
      <c r="S1814" s="219" t="s">
        <v>2764</v>
      </c>
      <c r="T1814" s="219" t="s">
        <v>2306</v>
      </c>
      <c r="U1814" s="219" t="s">
        <v>2313</v>
      </c>
      <c r="V1814" s="146"/>
      <c r="W1814" s="147"/>
      <c r="X1814" s="147"/>
      <c r="Y1814" s="120">
        <v>0</v>
      </c>
      <c r="Z1814" s="120">
        <v>0</v>
      </c>
      <c r="AA1814" s="148"/>
      <c r="AB1814" s="17">
        <v>0</v>
      </c>
      <c r="AC1814" s="17">
        <v>0</v>
      </c>
      <c r="AD1814" s="148"/>
      <c r="AE1814" s="148"/>
      <c r="AF1814" s="17">
        <v>0</v>
      </c>
      <c r="AG1814" s="148"/>
      <c r="AH1814" s="17">
        <v>0</v>
      </c>
      <c r="AI1814" s="17">
        <v>0</v>
      </c>
      <c r="AJ1814" s="17">
        <v>0</v>
      </c>
      <c r="AK1814" s="17">
        <v>0</v>
      </c>
      <c r="AL1814" s="32">
        <v>0</v>
      </c>
      <c r="AM1814" s="786">
        <v>50.1</v>
      </c>
      <c r="AN1814" s="89"/>
      <c r="AO1814" s="89"/>
      <c r="AP1814" s="787">
        <v>29800</v>
      </c>
      <c r="AQ1814" s="17" t="s">
        <v>2768</v>
      </c>
      <c r="AR1814" s="174">
        <v>300</v>
      </c>
      <c r="AS1814" s="171">
        <v>300</v>
      </c>
      <c r="AT1814" s="171">
        <v>1200</v>
      </c>
      <c r="AU1814" s="234">
        <v>75</v>
      </c>
      <c r="AV1814" s="172">
        <v>95</v>
      </c>
      <c r="AW1814" s="171">
        <v>8</v>
      </c>
      <c r="AX1814" s="89"/>
      <c r="AY1814" s="171">
        <v>20</v>
      </c>
      <c r="AZ1814" s="89"/>
      <c r="BA1814" s="175">
        <v>60</v>
      </c>
      <c r="BB1814" s="259"/>
      <c r="BC1814" s="176"/>
      <c r="BD1814" s="177"/>
      <c r="BE1814" s="177"/>
      <c r="BF1814" s="178"/>
    </row>
    <row r="1815" spans="1:82">
      <c r="A1815" s="95">
        <v>1814</v>
      </c>
      <c r="B1815" s="211" t="s">
        <v>2774</v>
      </c>
      <c r="C1815" s="191" t="s">
        <v>2763</v>
      </c>
      <c r="D1815" s="171" t="s">
        <v>255</v>
      </c>
      <c r="E1815" s="463" t="s">
        <v>3377</v>
      </c>
      <c r="F1815" s="171">
        <v>1987</v>
      </c>
      <c r="G1815" s="219">
        <v>373</v>
      </c>
      <c r="H1815" s="57"/>
      <c r="I1815" s="173" t="s">
        <v>2564</v>
      </c>
      <c r="J1815" s="232">
        <v>0.47</v>
      </c>
      <c r="K1815" s="219">
        <v>1.367</v>
      </c>
      <c r="L1815" s="91">
        <f t="shared" si="126"/>
        <v>183.29999999999998</v>
      </c>
      <c r="M1815" s="219">
        <v>390</v>
      </c>
      <c r="N1815" s="219"/>
      <c r="O1815" s="163"/>
      <c r="P1815" s="92"/>
      <c r="Q1815" s="233" t="s">
        <v>273</v>
      </c>
      <c r="R1815" s="219" t="s">
        <v>2723</v>
      </c>
      <c r="S1815" s="219" t="s">
        <v>2764</v>
      </c>
      <c r="T1815" s="219" t="s">
        <v>2306</v>
      </c>
      <c r="U1815" s="219" t="s">
        <v>2313</v>
      </c>
      <c r="V1815" s="146"/>
      <c r="W1815" s="147"/>
      <c r="X1815" s="147"/>
      <c r="Y1815" s="120">
        <v>0</v>
      </c>
      <c r="Z1815" s="120">
        <v>0</v>
      </c>
      <c r="AA1815" s="148"/>
      <c r="AB1815" s="17">
        <v>0</v>
      </c>
      <c r="AC1815" s="17">
        <v>0</v>
      </c>
      <c r="AD1815" s="148"/>
      <c r="AE1815" s="148"/>
      <c r="AF1815" s="17">
        <v>0</v>
      </c>
      <c r="AG1815" s="148"/>
      <c r="AH1815" s="17">
        <v>0</v>
      </c>
      <c r="AI1815" s="17">
        <v>0</v>
      </c>
      <c r="AJ1815" s="17">
        <v>0</v>
      </c>
      <c r="AK1815" s="17">
        <v>0</v>
      </c>
      <c r="AL1815" s="32">
        <v>0</v>
      </c>
      <c r="AM1815" s="786">
        <v>50.1</v>
      </c>
      <c r="AN1815" s="89"/>
      <c r="AO1815" s="89"/>
      <c r="AP1815" s="787">
        <v>29800</v>
      </c>
      <c r="AQ1815" s="17" t="s">
        <v>2769</v>
      </c>
      <c r="AR1815" s="174">
        <v>400</v>
      </c>
      <c r="AS1815" s="171">
        <v>400</v>
      </c>
      <c r="AT1815" s="171">
        <v>1600</v>
      </c>
      <c r="AU1815" s="234">
        <v>75</v>
      </c>
      <c r="AV1815" s="172">
        <v>95</v>
      </c>
      <c r="AW1815" s="171">
        <v>8</v>
      </c>
      <c r="AX1815" s="89"/>
      <c r="AY1815" s="171">
        <v>20</v>
      </c>
      <c r="AZ1815" s="89"/>
      <c r="BA1815" s="175">
        <v>60</v>
      </c>
      <c r="BB1815" s="259"/>
      <c r="BC1815" s="176"/>
      <c r="BD1815" s="177"/>
      <c r="BE1815" s="177"/>
      <c r="BF1815" s="178"/>
    </row>
    <row r="1816" spans="1:82">
      <c r="A1816" s="95">
        <v>1815</v>
      </c>
      <c r="B1816" s="211" t="s">
        <v>2775</v>
      </c>
      <c r="C1816" s="191" t="s">
        <v>2763</v>
      </c>
      <c r="D1816" s="171" t="s">
        <v>255</v>
      </c>
      <c r="E1816" s="463" t="s">
        <v>3377</v>
      </c>
      <c r="F1816" s="171">
        <v>1987</v>
      </c>
      <c r="G1816" s="219">
        <v>373</v>
      </c>
      <c r="H1816" s="57"/>
      <c r="I1816" s="173" t="s">
        <v>2564</v>
      </c>
      <c r="J1816" s="232">
        <v>0.47</v>
      </c>
      <c r="K1816" s="219">
        <v>1.367</v>
      </c>
      <c r="L1816" s="91">
        <f t="shared" si="126"/>
        <v>183.29999999999998</v>
      </c>
      <c r="M1816" s="219">
        <v>390</v>
      </c>
      <c r="N1816" s="219"/>
      <c r="O1816" s="163"/>
      <c r="P1816" s="92"/>
      <c r="Q1816" s="233" t="s">
        <v>273</v>
      </c>
      <c r="R1816" s="219" t="s">
        <v>2723</v>
      </c>
      <c r="S1816" s="219" t="s">
        <v>2764</v>
      </c>
      <c r="T1816" s="219" t="s">
        <v>2306</v>
      </c>
      <c r="U1816" s="219" t="s">
        <v>2313</v>
      </c>
      <c r="V1816" s="146"/>
      <c r="W1816" s="147"/>
      <c r="X1816" s="147"/>
      <c r="Y1816" s="120">
        <v>0</v>
      </c>
      <c r="Z1816" s="120">
        <v>0</v>
      </c>
      <c r="AA1816" s="148"/>
      <c r="AB1816" s="17">
        <v>0</v>
      </c>
      <c r="AC1816" s="17">
        <v>0</v>
      </c>
      <c r="AD1816" s="148"/>
      <c r="AE1816" s="148"/>
      <c r="AF1816" s="17">
        <v>0</v>
      </c>
      <c r="AG1816" s="148"/>
      <c r="AH1816" s="17">
        <v>0</v>
      </c>
      <c r="AI1816" s="17">
        <v>0</v>
      </c>
      <c r="AJ1816" s="17">
        <v>0</v>
      </c>
      <c r="AK1816" s="17">
        <v>0</v>
      </c>
      <c r="AL1816" s="32">
        <v>0</v>
      </c>
      <c r="AM1816" s="786">
        <v>50.1</v>
      </c>
      <c r="AN1816" s="89"/>
      <c r="AO1816" s="89"/>
      <c r="AP1816" s="787">
        <v>29800</v>
      </c>
      <c r="AQ1816" s="17" t="s">
        <v>2765</v>
      </c>
      <c r="AR1816" s="174">
        <v>150</v>
      </c>
      <c r="AS1816" s="171">
        <v>150</v>
      </c>
      <c r="AT1816" s="171">
        <v>600</v>
      </c>
      <c r="AU1816" s="234">
        <v>75</v>
      </c>
      <c r="AV1816" s="172">
        <v>95</v>
      </c>
      <c r="AW1816" s="171">
        <v>8</v>
      </c>
      <c r="AX1816" s="89"/>
      <c r="AY1816" s="171">
        <v>20</v>
      </c>
      <c r="AZ1816" s="89"/>
      <c r="BA1816" s="175">
        <v>60</v>
      </c>
      <c r="BB1816" s="259"/>
      <c r="BC1816" s="176"/>
      <c r="BD1816" s="177"/>
      <c r="BE1816" s="177"/>
      <c r="BF1816" s="178"/>
    </row>
    <row r="1817" spans="1:82">
      <c r="A1817" s="95">
        <v>1816</v>
      </c>
      <c r="B1817" s="211" t="s">
        <v>2776</v>
      </c>
      <c r="C1817" s="191" t="s">
        <v>2763</v>
      </c>
      <c r="D1817" s="171" t="s">
        <v>255</v>
      </c>
      <c r="E1817" s="463" t="s">
        <v>3377</v>
      </c>
      <c r="F1817" s="171">
        <v>1987</v>
      </c>
      <c r="G1817" s="219">
        <v>373</v>
      </c>
      <c r="H1817" s="57"/>
      <c r="I1817" s="173" t="s">
        <v>2564</v>
      </c>
      <c r="J1817" s="232">
        <v>0.47</v>
      </c>
      <c r="K1817" s="219">
        <v>1.367</v>
      </c>
      <c r="L1817" s="91">
        <f t="shared" si="126"/>
        <v>183.29999999999998</v>
      </c>
      <c r="M1817" s="219">
        <v>390</v>
      </c>
      <c r="N1817" s="219"/>
      <c r="O1817" s="163"/>
      <c r="P1817" s="92"/>
      <c r="Q1817" s="233" t="s">
        <v>273</v>
      </c>
      <c r="R1817" s="219" t="s">
        <v>2723</v>
      </c>
      <c r="S1817" s="219" t="s">
        <v>2764</v>
      </c>
      <c r="T1817" s="219" t="s">
        <v>2306</v>
      </c>
      <c r="U1817" s="219" t="s">
        <v>2313</v>
      </c>
      <c r="V1817" s="146"/>
      <c r="W1817" s="147"/>
      <c r="X1817" s="147"/>
      <c r="Y1817" s="120">
        <v>0</v>
      </c>
      <c r="Z1817" s="120">
        <v>0</v>
      </c>
      <c r="AA1817" s="148"/>
      <c r="AB1817" s="17">
        <v>0</v>
      </c>
      <c r="AC1817" s="17">
        <v>0</v>
      </c>
      <c r="AD1817" s="148"/>
      <c r="AE1817" s="148"/>
      <c r="AF1817" s="17">
        <v>0</v>
      </c>
      <c r="AG1817" s="148"/>
      <c r="AH1817" s="17">
        <v>0</v>
      </c>
      <c r="AI1817" s="17">
        <v>0</v>
      </c>
      <c r="AJ1817" s="17">
        <v>0</v>
      </c>
      <c r="AK1817" s="17">
        <v>0</v>
      </c>
      <c r="AL1817" s="32">
        <v>0</v>
      </c>
      <c r="AM1817" s="786">
        <v>50.1</v>
      </c>
      <c r="AN1817" s="89"/>
      <c r="AO1817" s="89"/>
      <c r="AP1817" s="787">
        <v>29800</v>
      </c>
      <c r="AQ1817" s="17" t="s">
        <v>271</v>
      </c>
      <c r="AR1817" s="174">
        <v>100</v>
      </c>
      <c r="AS1817" s="171">
        <v>100</v>
      </c>
      <c r="AT1817" s="171">
        <v>400</v>
      </c>
      <c r="AU1817" s="171">
        <v>75</v>
      </c>
      <c r="AV1817" s="172">
        <v>95</v>
      </c>
      <c r="AW1817" s="171">
        <v>8</v>
      </c>
      <c r="AX1817" s="89"/>
      <c r="AY1817" s="171">
        <v>20</v>
      </c>
      <c r="AZ1817" s="89"/>
      <c r="BA1817" s="175">
        <v>60</v>
      </c>
      <c r="BB1817" s="259"/>
      <c r="BC1817" s="176"/>
      <c r="BD1817" s="177"/>
      <c r="BE1817" s="177"/>
      <c r="BF1817" s="178"/>
    </row>
    <row r="1818" spans="1:82">
      <c r="A1818" s="95">
        <v>1817</v>
      </c>
      <c r="B1818" s="211" t="s">
        <v>2777</v>
      </c>
      <c r="C1818" s="191" t="s">
        <v>2763</v>
      </c>
      <c r="D1818" s="171" t="s">
        <v>255</v>
      </c>
      <c r="E1818" s="463" t="s">
        <v>3377</v>
      </c>
      <c r="F1818" s="171">
        <v>1987</v>
      </c>
      <c r="G1818" s="219">
        <v>373</v>
      </c>
      <c r="H1818" s="57"/>
      <c r="I1818" s="173" t="s">
        <v>2564</v>
      </c>
      <c r="J1818" s="232">
        <v>0.47</v>
      </c>
      <c r="K1818" s="219">
        <v>1.367</v>
      </c>
      <c r="L1818" s="91">
        <f t="shared" si="126"/>
        <v>183.29999999999998</v>
      </c>
      <c r="M1818" s="219">
        <v>390</v>
      </c>
      <c r="N1818" s="219"/>
      <c r="O1818" s="163"/>
      <c r="P1818" s="92"/>
      <c r="Q1818" s="233" t="s">
        <v>273</v>
      </c>
      <c r="R1818" s="219" t="s">
        <v>2723</v>
      </c>
      <c r="S1818" s="219" t="s">
        <v>2764</v>
      </c>
      <c r="T1818" s="219" t="s">
        <v>2306</v>
      </c>
      <c r="U1818" s="219" t="s">
        <v>2313</v>
      </c>
      <c r="V1818" s="146"/>
      <c r="W1818" s="147"/>
      <c r="X1818" s="147"/>
      <c r="Y1818" s="120">
        <v>0</v>
      </c>
      <c r="Z1818" s="120">
        <v>0</v>
      </c>
      <c r="AA1818" s="148"/>
      <c r="AB1818" s="17">
        <v>0</v>
      </c>
      <c r="AC1818" s="17">
        <v>0</v>
      </c>
      <c r="AD1818" s="148"/>
      <c r="AE1818" s="148"/>
      <c r="AF1818" s="17">
        <v>0</v>
      </c>
      <c r="AG1818" s="148"/>
      <c r="AH1818" s="17">
        <v>0</v>
      </c>
      <c r="AI1818" s="17">
        <v>0</v>
      </c>
      <c r="AJ1818" s="17">
        <v>0</v>
      </c>
      <c r="AK1818" s="17">
        <v>0</v>
      </c>
      <c r="AL1818" s="32">
        <v>0</v>
      </c>
      <c r="AM1818" s="786">
        <v>50.1</v>
      </c>
      <c r="AN1818" s="89"/>
      <c r="AO1818" s="89"/>
      <c r="AP1818" s="787">
        <v>29800</v>
      </c>
      <c r="AQ1818" s="17" t="s">
        <v>2778</v>
      </c>
      <c r="AR1818" s="174">
        <v>150</v>
      </c>
      <c r="AS1818" s="171">
        <v>150</v>
      </c>
      <c r="AT1818" s="171">
        <v>600</v>
      </c>
      <c r="AU1818" s="171">
        <v>75</v>
      </c>
      <c r="AV1818" s="172">
        <v>95</v>
      </c>
      <c r="AW1818" s="171">
        <v>8</v>
      </c>
      <c r="AX1818" s="89"/>
      <c r="AY1818" s="171">
        <v>20</v>
      </c>
      <c r="AZ1818" s="89"/>
      <c r="BA1818" s="175">
        <v>60</v>
      </c>
      <c r="BB1818" s="259"/>
      <c r="BC1818" s="176"/>
      <c r="BD1818" s="177"/>
      <c r="BE1818" s="177"/>
      <c r="BF1818" s="178"/>
    </row>
    <row r="1819" spans="1:82">
      <c r="A1819" s="95">
        <v>1818</v>
      </c>
      <c r="B1819" s="211" t="s">
        <v>2779</v>
      </c>
      <c r="C1819" s="191" t="s">
        <v>2763</v>
      </c>
      <c r="D1819" s="171" t="s">
        <v>255</v>
      </c>
      <c r="E1819" s="463" t="s">
        <v>3377</v>
      </c>
      <c r="F1819" s="171">
        <v>1987</v>
      </c>
      <c r="G1819" s="219">
        <v>373</v>
      </c>
      <c r="H1819" s="57"/>
      <c r="I1819" s="173" t="s">
        <v>2564</v>
      </c>
      <c r="J1819" s="232">
        <v>0.47</v>
      </c>
      <c r="K1819" s="219">
        <v>1.367</v>
      </c>
      <c r="L1819" s="91">
        <f t="shared" si="126"/>
        <v>183.29999999999998</v>
      </c>
      <c r="M1819" s="219">
        <v>390</v>
      </c>
      <c r="N1819" s="219"/>
      <c r="O1819" s="163"/>
      <c r="P1819" s="92"/>
      <c r="Q1819" s="233" t="s">
        <v>273</v>
      </c>
      <c r="R1819" s="219" t="s">
        <v>2723</v>
      </c>
      <c r="S1819" s="219" t="s">
        <v>2764</v>
      </c>
      <c r="T1819" s="219" t="s">
        <v>2306</v>
      </c>
      <c r="U1819" s="219" t="s">
        <v>2313</v>
      </c>
      <c r="V1819" s="146"/>
      <c r="W1819" s="147"/>
      <c r="X1819" s="147"/>
      <c r="Y1819" s="120">
        <v>0</v>
      </c>
      <c r="Z1819" s="120">
        <v>0</v>
      </c>
      <c r="AA1819" s="148"/>
      <c r="AB1819" s="17">
        <v>0</v>
      </c>
      <c r="AC1819" s="17">
        <v>0</v>
      </c>
      <c r="AD1819" s="148"/>
      <c r="AE1819" s="148"/>
      <c r="AF1819" s="17">
        <v>0</v>
      </c>
      <c r="AG1819" s="148"/>
      <c r="AH1819" s="17">
        <v>0</v>
      </c>
      <c r="AI1819" s="17">
        <v>0</v>
      </c>
      <c r="AJ1819" s="17">
        <v>0</v>
      </c>
      <c r="AK1819" s="17">
        <v>0</v>
      </c>
      <c r="AL1819" s="32">
        <v>0</v>
      </c>
      <c r="AM1819" s="786">
        <v>50.1</v>
      </c>
      <c r="AN1819" s="89"/>
      <c r="AO1819" s="89"/>
      <c r="AP1819" s="787">
        <v>29800</v>
      </c>
      <c r="AQ1819" s="17" t="s">
        <v>2780</v>
      </c>
      <c r="AR1819" s="174">
        <v>200</v>
      </c>
      <c r="AS1819" s="171">
        <v>200</v>
      </c>
      <c r="AT1819" s="171">
        <v>800</v>
      </c>
      <c r="AU1819" s="171">
        <v>75</v>
      </c>
      <c r="AV1819" s="172">
        <v>95</v>
      </c>
      <c r="AW1819" s="171">
        <v>8</v>
      </c>
      <c r="AX1819" s="89"/>
      <c r="AY1819" s="171">
        <v>20</v>
      </c>
      <c r="AZ1819" s="89"/>
      <c r="BA1819" s="175">
        <v>60</v>
      </c>
      <c r="BB1819" s="259"/>
      <c r="BC1819" s="176"/>
      <c r="BD1819" s="177"/>
      <c r="BE1819" s="177"/>
      <c r="BF1819" s="178"/>
    </row>
    <row r="1820" spans="1:82">
      <c r="A1820" s="95">
        <v>1819</v>
      </c>
      <c r="B1820" s="211" t="s">
        <v>2781</v>
      </c>
      <c r="C1820" s="191" t="s">
        <v>2763</v>
      </c>
      <c r="D1820" s="171" t="s">
        <v>255</v>
      </c>
      <c r="E1820" s="463" t="s">
        <v>3377</v>
      </c>
      <c r="F1820" s="171">
        <v>1987</v>
      </c>
      <c r="G1820" s="219">
        <v>373</v>
      </c>
      <c r="H1820" s="57"/>
      <c r="I1820" s="173" t="s">
        <v>2564</v>
      </c>
      <c r="J1820" s="232">
        <v>0.47</v>
      </c>
      <c r="K1820" s="219">
        <v>1.367</v>
      </c>
      <c r="L1820" s="91">
        <f t="shared" si="126"/>
        <v>183.29999999999998</v>
      </c>
      <c r="M1820" s="219">
        <v>390</v>
      </c>
      <c r="N1820" s="219"/>
      <c r="O1820" s="163"/>
      <c r="P1820" s="92"/>
      <c r="Q1820" s="233" t="s">
        <v>273</v>
      </c>
      <c r="R1820" s="219" t="s">
        <v>2723</v>
      </c>
      <c r="S1820" s="219" t="s">
        <v>2764</v>
      </c>
      <c r="T1820" s="219" t="s">
        <v>2306</v>
      </c>
      <c r="U1820" s="219" t="s">
        <v>2313</v>
      </c>
      <c r="V1820" s="146"/>
      <c r="W1820" s="147"/>
      <c r="X1820" s="147"/>
      <c r="Y1820" s="120">
        <v>0</v>
      </c>
      <c r="Z1820" s="120">
        <v>0</v>
      </c>
      <c r="AA1820" s="148"/>
      <c r="AB1820" s="17">
        <v>0</v>
      </c>
      <c r="AC1820" s="17">
        <v>0</v>
      </c>
      <c r="AD1820" s="148"/>
      <c r="AE1820" s="148"/>
      <c r="AF1820" s="17">
        <v>0</v>
      </c>
      <c r="AG1820" s="148"/>
      <c r="AH1820" s="17">
        <v>0</v>
      </c>
      <c r="AI1820" s="17">
        <v>0</v>
      </c>
      <c r="AJ1820" s="17">
        <v>0</v>
      </c>
      <c r="AK1820" s="17">
        <v>0</v>
      </c>
      <c r="AL1820" s="32">
        <v>0</v>
      </c>
      <c r="AM1820" s="786">
        <v>50.1</v>
      </c>
      <c r="AN1820" s="89"/>
      <c r="AO1820" s="89"/>
      <c r="AP1820" s="787">
        <v>29800</v>
      </c>
      <c r="AQ1820" s="17" t="s">
        <v>2782</v>
      </c>
      <c r="AR1820" s="174">
        <v>300</v>
      </c>
      <c r="AS1820" s="171">
        <v>300</v>
      </c>
      <c r="AT1820" s="171">
        <v>1200</v>
      </c>
      <c r="AU1820" s="171">
        <v>75</v>
      </c>
      <c r="AV1820" s="172">
        <v>95</v>
      </c>
      <c r="AW1820" s="171">
        <v>8</v>
      </c>
      <c r="AX1820" s="89"/>
      <c r="AY1820" s="171">
        <v>20</v>
      </c>
      <c r="AZ1820" s="89"/>
      <c r="BA1820" s="175">
        <v>60</v>
      </c>
      <c r="BB1820" s="259"/>
      <c r="BC1820" s="176"/>
      <c r="BD1820" s="177"/>
      <c r="BE1820" s="177"/>
      <c r="BF1820" s="178"/>
    </row>
    <row r="1821" spans="1:82">
      <c r="A1821" s="95">
        <v>1820</v>
      </c>
      <c r="B1821" s="211" t="s">
        <v>2783</v>
      </c>
      <c r="C1821" s="191" t="s">
        <v>2763</v>
      </c>
      <c r="D1821" s="171" t="s">
        <v>255</v>
      </c>
      <c r="E1821" s="463" t="s">
        <v>3377</v>
      </c>
      <c r="F1821" s="171">
        <v>1987</v>
      </c>
      <c r="G1821" s="219">
        <v>373</v>
      </c>
      <c r="H1821" s="57"/>
      <c r="I1821" s="173" t="s">
        <v>2564</v>
      </c>
      <c r="J1821" s="232">
        <v>0.47</v>
      </c>
      <c r="K1821" s="219">
        <v>1.367</v>
      </c>
      <c r="L1821" s="91">
        <f t="shared" si="126"/>
        <v>183.29999999999998</v>
      </c>
      <c r="M1821" s="219">
        <v>390</v>
      </c>
      <c r="N1821" s="219"/>
      <c r="O1821" s="163"/>
      <c r="P1821" s="92"/>
      <c r="Q1821" s="233" t="s">
        <v>273</v>
      </c>
      <c r="R1821" s="219" t="s">
        <v>2723</v>
      </c>
      <c r="S1821" s="219" t="s">
        <v>2764</v>
      </c>
      <c r="T1821" s="219" t="s">
        <v>2306</v>
      </c>
      <c r="U1821" s="219" t="s">
        <v>2313</v>
      </c>
      <c r="V1821" s="146"/>
      <c r="W1821" s="147"/>
      <c r="X1821" s="147"/>
      <c r="Y1821" s="120">
        <v>0</v>
      </c>
      <c r="Z1821" s="120">
        <v>0</v>
      </c>
      <c r="AA1821" s="148"/>
      <c r="AB1821" s="17">
        <v>0</v>
      </c>
      <c r="AC1821" s="17">
        <v>0</v>
      </c>
      <c r="AD1821" s="148"/>
      <c r="AE1821" s="148"/>
      <c r="AF1821" s="17">
        <v>0</v>
      </c>
      <c r="AG1821" s="148"/>
      <c r="AH1821" s="17">
        <v>0</v>
      </c>
      <c r="AI1821" s="17">
        <v>0</v>
      </c>
      <c r="AJ1821" s="17">
        <v>0</v>
      </c>
      <c r="AK1821" s="17">
        <v>0</v>
      </c>
      <c r="AL1821" s="32">
        <v>0</v>
      </c>
      <c r="AM1821" s="786">
        <v>50.1</v>
      </c>
      <c r="AN1821" s="89"/>
      <c r="AO1821" s="89"/>
      <c r="AP1821" s="787">
        <v>29800</v>
      </c>
      <c r="AQ1821" s="17" t="s">
        <v>2784</v>
      </c>
      <c r="AR1821" s="174">
        <v>400</v>
      </c>
      <c r="AS1821" s="171">
        <v>400</v>
      </c>
      <c r="AT1821" s="171">
        <v>1600</v>
      </c>
      <c r="AU1821" s="171">
        <v>75</v>
      </c>
      <c r="AV1821" s="172">
        <v>95</v>
      </c>
      <c r="AW1821" s="171">
        <v>8</v>
      </c>
      <c r="AX1821" s="89"/>
      <c r="AY1821" s="171">
        <v>20</v>
      </c>
      <c r="AZ1821" s="89"/>
      <c r="BA1821" s="175">
        <v>60</v>
      </c>
      <c r="BB1821" s="259"/>
      <c r="BC1821" s="176"/>
      <c r="BD1821" s="177"/>
      <c r="BE1821" s="177"/>
      <c r="BF1821" s="178"/>
    </row>
    <row r="1822" spans="1:82">
      <c r="A1822" s="95">
        <v>1821</v>
      </c>
      <c r="B1822" s="211" t="s">
        <v>2785</v>
      </c>
      <c r="C1822" s="191" t="s">
        <v>2763</v>
      </c>
      <c r="D1822" s="171" t="s">
        <v>255</v>
      </c>
      <c r="E1822" s="463" t="s">
        <v>3377</v>
      </c>
      <c r="F1822" s="171">
        <v>1987</v>
      </c>
      <c r="G1822" s="219">
        <v>373</v>
      </c>
      <c r="H1822" s="57"/>
      <c r="I1822" s="173" t="s">
        <v>2564</v>
      </c>
      <c r="J1822" s="232">
        <v>0.47</v>
      </c>
      <c r="K1822" s="219">
        <v>1.367</v>
      </c>
      <c r="L1822" s="91">
        <f t="shared" si="126"/>
        <v>183.29999999999998</v>
      </c>
      <c r="M1822" s="219">
        <v>390</v>
      </c>
      <c r="N1822" s="219"/>
      <c r="O1822" s="163"/>
      <c r="P1822" s="92"/>
      <c r="Q1822" s="233" t="s">
        <v>273</v>
      </c>
      <c r="R1822" s="219" t="s">
        <v>2723</v>
      </c>
      <c r="S1822" s="219" t="s">
        <v>2764</v>
      </c>
      <c r="T1822" s="219" t="s">
        <v>2306</v>
      </c>
      <c r="U1822" s="219" t="s">
        <v>2313</v>
      </c>
      <c r="V1822" s="146"/>
      <c r="W1822" s="147"/>
      <c r="X1822" s="147"/>
      <c r="Y1822" s="120">
        <v>0</v>
      </c>
      <c r="Z1822" s="120">
        <v>0</v>
      </c>
      <c r="AA1822" s="148"/>
      <c r="AB1822" s="17">
        <v>0</v>
      </c>
      <c r="AC1822" s="17">
        <v>0</v>
      </c>
      <c r="AD1822" s="148"/>
      <c r="AE1822" s="148"/>
      <c r="AF1822" s="17">
        <v>0</v>
      </c>
      <c r="AG1822" s="148"/>
      <c r="AH1822" s="17">
        <v>0</v>
      </c>
      <c r="AI1822" s="17">
        <v>0</v>
      </c>
      <c r="AJ1822" s="17">
        <v>0</v>
      </c>
      <c r="AK1822" s="17">
        <v>0</v>
      </c>
      <c r="AL1822" s="32">
        <v>0</v>
      </c>
      <c r="AM1822" s="786">
        <v>50.1</v>
      </c>
      <c r="AN1822" s="89"/>
      <c r="AO1822" s="89"/>
      <c r="AP1822" s="787">
        <v>29800</v>
      </c>
      <c r="AQ1822" s="17" t="s">
        <v>2778</v>
      </c>
      <c r="AR1822" s="174">
        <v>150</v>
      </c>
      <c r="AS1822" s="171">
        <v>150</v>
      </c>
      <c r="AT1822" s="171">
        <v>600</v>
      </c>
      <c r="AU1822" s="171">
        <v>75</v>
      </c>
      <c r="AV1822" s="172">
        <v>95</v>
      </c>
      <c r="AW1822" s="171">
        <v>8</v>
      </c>
      <c r="AX1822" s="89"/>
      <c r="AY1822" s="171">
        <v>20</v>
      </c>
      <c r="AZ1822" s="89"/>
      <c r="BA1822" s="175">
        <v>60</v>
      </c>
      <c r="BB1822" s="259"/>
      <c r="BC1822" s="176"/>
      <c r="BD1822" s="177"/>
      <c r="BE1822" s="177"/>
      <c r="BF1822" s="178"/>
    </row>
    <row r="1823" spans="1:82">
      <c r="A1823" s="95">
        <v>1822</v>
      </c>
      <c r="B1823" s="211" t="s">
        <v>2786</v>
      </c>
      <c r="C1823" s="191" t="s">
        <v>2763</v>
      </c>
      <c r="D1823" s="171" t="s">
        <v>255</v>
      </c>
      <c r="E1823" s="463" t="s">
        <v>3377</v>
      </c>
      <c r="F1823" s="171">
        <v>1987</v>
      </c>
      <c r="G1823" s="219">
        <v>373</v>
      </c>
      <c r="H1823" s="57"/>
      <c r="I1823" s="173" t="s">
        <v>2564</v>
      </c>
      <c r="J1823" s="232">
        <v>0.47</v>
      </c>
      <c r="K1823" s="219">
        <v>1.367</v>
      </c>
      <c r="L1823" s="91">
        <f t="shared" si="126"/>
        <v>183.29999999999998</v>
      </c>
      <c r="M1823" s="219">
        <v>390</v>
      </c>
      <c r="N1823" s="219"/>
      <c r="O1823" s="163"/>
      <c r="P1823" s="92"/>
      <c r="Q1823" s="233" t="s">
        <v>273</v>
      </c>
      <c r="R1823" s="219" t="s">
        <v>2723</v>
      </c>
      <c r="S1823" s="219" t="s">
        <v>2764</v>
      </c>
      <c r="T1823" s="219" t="s">
        <v>2306</v>
      </c>
      <c r="U1823" s="219" t="s">
        <v>2313</v>
      </c>
      <c r="V1823" s="146"/>
      <c r="W1823" s="147"/>
      <c r="X1823" s="147"/>
      <c r="Y1823" s="120">
        <v>0</v>
      </c>
      <c r="Z1823" s="120">
        <v>0</v>
      </c>
      <c r="AA1823" s="148"/>
      <c r="AB1823" s="17">
        <v>0</v>
      </c>
      <c r="AC1823" s="17">
        <v>0</v>
      </c>
      <c r="AD1823" s="148"/>
      <c r="AE1823" s="148"/>
      <c r="AF1823" s="17">
        <v>0</v>
      </c>
      <c r="AG1823" s="148"/>
      <c r="AH1823" s="17">
        <v>0</v>
      </c>
      <c r="AI1823" s="17">
        <v>0</v>
      </c>
      <c r="AJ1823" s="17">
        <v>0</v>
      </c>
      <c r="AK1823" s="17">
        <v>0</v>
      </c>
      <c r="AL1823" s="32">
        <v>0</v>
      </c>
      <c r="AM1823" s="786">
        <v>50.1</v>
      </c>
      <c r="AN1823" s="89"/>
      <c r="AO1823" s="89"/>
      <c r="AP1823" s="787">
        <v>29800</v>
      </c>
      <c r="AQ1823" s="17" t="s">
        <v>2778</v>
      </c>
      <c r="AR1823" s="174">
        <v>150</v>
      </c>
      <c r="AS1823" s="171">
        <v>150</v>
      </c>
      <c r="AT1823" s="171">
        <v>600</v>
      </c>
      <c r="AU1823" s="171">
        <v>75</v>
      </c>
      <c r="AV1823" s="172">
        <v>95</v>
      </c>
      <c r="AW1823" s="171">
        <v>8</v>
      </c>
      <c r="AX1823" s="89"/>
      <c r="AY1823" s="171">
        <v>20</v>
      </c>
      <c r="AZ1823" s="89"/>
      <c r="BA1823" s="175">
        <v>60</v>
      </c>
      <c r="BB1823" s="259"/>
      <c r="BC1823" s="176"/>
      <c r="BD1823" s="177"/>
      <c r="BE1823" s="177"/>
      <c r="BF1823" s="178"/>
    </row>
    <row r="1824" spans="1:82">
      <c r="A1824" s="95">
        <v>1823</v>
      </c>
      <c r="B1824" s="211" t="s">
        <v>2787</v>
      </c>
      <c r="C1824" s="191" t="s">
        <v>2763</v>
      </c>
      <c r="D1824" s="171" t="s">
        <v>255</v>
      </c>
      <c r="E1824" s="463" t="s">
        <v>3377</v>
      </c>
      <c r="F1824" s="171">
        <v>1987</v>
      </c>
      <c r="G1824" s="219">
        <v>373</v>
      </c>
      <c r="H1824" s="57"/>
      <c r="I1824" s="173" t="s">
        <v>2564</v>
      </c>
      <c r="J1824" s="232">
        <v>0.47</v>
      </c>
      <c r="K1824" s="219">
        <v>1.367</v>
      </c>
      <c r="L1824" s="91">
        <f t="shared" si="126"/>
        <v>183.29999999999998</v>
      </c>
      <c r="M1824" s="219">
        <v>390</v>
      </c>
      <c r="N1824" s="219"/>
      <c r="O1824" s="163"/>
      <c r="P1824" s="92"/>
      <c r="Q1824" s="233" t="s">
        <v>273</v>
      </c>
      <c r="R1824" s="219" t="s">
        <v>2723</v>
      </c>
      <c r="S1824" s="219" t="s">
        <v>2764</v>
      </c>
      <c r="T1824" s="219" t="s">
        <v>2306</v>
      </c>
      <c r="U1824" s="219" t="s">
        <v>2313</v>
      </c>
      <c r="V1824" s="146"/>
      <c r="W1824" s="147"/>
      <c r="X1824" s="147"/>
      <c r="Y1824" s="120">
        <v>0</v>
      </c>
      <c r="Z1824" s="120">
        <v>0</v>
      </c>
      <c r="AA1824" s="148"/>
      <c r="AB1824" s="17">
        <v>0</v>
      </c>
      <c r="AC1824" s="17">
        <v>0</v>
      </c>
      <c r="AD1824" s="148"/>
      <c r="AE1824" s="148"/>
      <c r="AF1824" s="17">
        <v>0</v>
      </c>
      <c r="AG1824" s="148"/>
      <c r="AH1824" s="17">
        <v>0</v>
      </c>
      <c r="AI1824" s="17">
        <v>0</v>
      </c>
      <c r="AJ1824" s="17">
        <v>0</v>
      </c>
      <c r="AK1824" s="17">
        <v>0</v>
      </c>
      <c r="AL1824" s="32">
        <v>0</v>
      </c>
      <c r="AM1824" s="786">
        <v>50.1</v>
      </c>
      <c r="AN1824" s="89"/>
      <c r="AO1824" s="89"/>
      <c r="AP1824" s="787">
        <v>29800</v>
      </c>
      <c r="AQ1824" s="17" t="s">
        <v>2778</v>
      </c>
      <c r="AR1824" s="174">
        <v>150</v>
      </c>
      <c r="AS1824" s="171">
        <v>150</v>
      </c>
      <c r="AT1824" s="171">
        <v>600</v>
      </c>
      <c r="AU1824" s="171">
        <v>75</v>
      </c>
      <c r="AV1824" s="172">
        <v>95</v>
      </c>
      <c r="AW1824" s="171">
        <v>14</v>
      </c>
      <c r="AX1824" s="89"/>
      <c r="AY1824" s="171">
        <v>20</v>
      </c>
      <c r="AZ1824" s="89"/>
      <c r="BA1824" s="175">
        <v>60</v>
      </c>
      <c r="BB1824" s="259"/>
      <c r="BC1824" s="176"/>
      <c r="BD1824" s="177"/>
      <c r="BE1824" s="177"/>
      <c r="BF1824" s="178"/>
    </row>
    <row r="1825" spans="1:58">
      <c r="A1825" s="95">
        <v>1824</v>
      </c>
      <c r="B1825" s="211" t="s">
        <v>2788</v>
      </c>
      <c r="C1825" s="191" t="s">
        <v>2763</v>
      </c>
      <c r="D1825" s="171" t="s">
        <v>255</v>
      </c>
      <c r="E1825" s="463" t="s">
        <v>3377</v>
      </c>
      <c r="F1825" s="171">
        <v>1987</v>
      </c>
      <c r="G1825" s="219">
        <v>373</v>
      </c>
      <c r="H1825" s="57"/>
      <c r="I1825" s="173" t="s">
        <v>2564</v>
      </c>
      <c r="J1825" s="232">
        <v>0.47</v>
      </c>
      <c r="K1825" s="219">
        <v>1.367</v>
      </c>
      <c r="L1825" s="91">
        <f t="shared" si="126"/>
        <v>183.29999999999998</v>
      </c>
      <c r="M1825" s="219">
        <v>390</v>
      </c>
      <c r="N1825" s="219"/>
      <c r="O1825" s="163"/>
      <c r="P1825" s="92"/>
      <c r="Q1825" s="233" t="s">
        <v>273</v>
      </c>
      <c r="R1825" s="219" t="s">
        <v>2723</v>
      </c>
      <c r="S1825" s="219" t="s">
        <v>2764</v>
      </c>
      <c r="T1825" s="219" t="s">
        <v>2306</v>
      </c>
      <c r="U1825" s="219" t="s">
        <v>2313</v>
      </c>
      <c r="V1825" s="146"/>
      <c r="W1825" s="147"/>
      <c r="X1825" s="147"/>
      <c r="Y1825" s="120">
        <v>0</v>
      </c>
      <c r="Z1825" s="120">
        <v>0</v>
      </c>
      <c r="AA1825" s="148"/>
      <c r="AB1825" s="17">
        <v>0</v>
      </c>
      <c r="AC1825" s="17">
        <v>0</v>
      </c>
      <c r="AD1825" s="148"/>
      <c r="AE1825" s="148"/>
      <c r="AF1825" s="17">
        <v>0</v>
      </c>
      <c r="AG1825" s="148"/>
      <c r="AH1825" s="17">
        <v>0</v>
      </c>
      <c r="AI1825" s="17">
        <v>0</v>
      </c>
      <c r="AJ1825" s="17">
        <v>0</v>
      </c>
      <c r="AK1825" s="17">
        <v>0</v>
      </c>
      <c r="AL1825" s="32">
        <v>0</v>
      </c>
      <c r="AM1825" s="786">
        <v>50.1</v>
      </c>
      <c r="AN1825" s="89"/>
      <c r="AO1825" s="89"/>
      <c r="AP1825" s="787">
        <v>29800</v>
      </c>
      <c r="AQ1825" s="17" t="s">
        <v>2778</v>
      </c>
      <c r="AR1825" s="174">
        <v>150</v>
      </c>
      <c r="AS1825" s="171">
        <v>150</v>
      </c>
      <c r="AT1825" s="171">
        <v>600</v>
      </c>
      <c r="AU1825" s="171">
        <v>75</v>
      </c>
      <c r="AV1825" s="172">
        <v>95</v>
      </c>
      <c r="AW1825" s="171">
        <v>21</v>
      </c>
      <c r="AX1825" s="89"/>
      <c r="AY1825" s="171">
        <v>20</v>
      </c>
      <c r="AZ1825" s="89"/>
      <c r="BA1825" s="175">
        <v>60</v>
      </c>
      <c r="BB1825" s="259"/>
      <c r="BC1825" s="176"/>
      <c r="BD1825" s="177"/>
      <c r="BE1825" s="177"/>
      <c r="BF1825" s="178"/>
    </row>
    <row r="1826" spans="1:58">
      <c r="A1826" s="95">
        <v>1825</v>
      </c>
      <c r="B1826" s="211" t="s">
        <v>2789</v>
      </c>
      <c r="C1826" s="191" t="s">
        <v>2763</v>
      </c>
      <c r="D1826" s="171" t="s">
        <v>255</v>
      </c>
      <c r="E1826" s="463" t="s">
        <v>3377</v>
      </c>
      <c r="F1826" s="171">
        <v>1987</v>
      </c>
      <c r="G1826" s="219">
        <v>373</v>
      </c>
      <c r="H1826" s="57"/>
      <c r="I1826" s="173" t="s">
        <v>2564</v>
      </c>
      <c r="J1826" s="232">
        <v>0.47</v>
      </c>
      <c r="K1826" s="219">
        <v>1.367</v>
      </c>
      <c r="L1826" s="91">
        <f t="shared" si="126"/>
        <v>183.29999999999998</v>
      </c>
      <c r="M1826" s="219">
        <v>390</v>
      </c>
      <c r="N1826" s="219"/>
      <c r="O1826" s="163"/>
      <c r="P1826" s="92"/>
      <c r="Q1826" s="233" t="s">
        <v>273</v>
      </c>
      <c r="R1826" s="219" t="s">
        <v>2723</v>
      </c>
      <c r="S1826" s="219" t="s">
        <v>2764</v>
      </c>
      <c r="T1826" s="219" t="s">
        <v>2306</v>
      </c>
      <c r="U1826" s="219" t="s">
        <v>2313</v>
      </c>
      <c r="V1826" s="146"/>
      <c r="W1826" s="147"/>
      <c r="X1826" s="147"/>
      <c r="Y1826" s="120">
        <v>0</v>
      </c>
      <c r="Z1826" s="120">
        <v>0</v>
      </c>
      <c r="AA1826" s="148"/>
      <c r="AB1826" s="17">
        <v>0</v>
      </c>
      <c r="AC1826" s="17">
        <v>0</v>
      </c>
      <c r="AD1826" s="148"/>
      <c r="AE1826" s="148"/>
      <c r="AF1826" s="17">
        <v>0</v>
      </c>
      <c r="AG1826" s="148"/>
      <c r="AH1826" s="17">
        <v>0</v>
      </c>
      <c r="AI1826" s="17">
        <v>0</v>
      </c>
      <c r="AJ1826" s="17">
        <v>0</v>
      </c>
      <c r="AK1826" s="17">
        <v>0</v>
      </c>
      <c r="AL1826" s="32">
        <v>0</v>
      </c>
      <c r="AM1826" s="786">
        <v>50.1</v>
      </c>
      <c r="AN1826" s="89"/>
      <c r="AO1826" s="89"/>
      <c r="AP1826" s="787">
        <v>29800</v>
      </c>
      <c r="AQ1826" s="17" t="s">
        <v>2778</v>
      </c>
      <c r="AR1826" s="174">
        <v>150</v>
      </c>
      <c r="AS1826" s="171">
        <v>150</v>
      </c>
      <c r="AT1826" s="171">
        <v>600</v>
      </c>
      <c r="AU1826" s="171">
        <v>75</v>
      </c>
      <c r="AV1826" s="172">
        <v>95</v>
      </c>
      <c r="AW1826" s="171">
        <v>28</v>
      </c>
      <c r="AX1826" s="89"/>
      <c r="AY1826" s="171">
        <v>20</v>
      </c>
      <c r="AZ1826" s="89"/>
      <c r="BA1826" s="175">
        <v>60</v>
      </c>
      <c r="BB1826" s="259"/>
      <c r="BC1826" s="176"/>
      <c r="BD1826" s="177"/>
      <c r="BE1826" s="177"/>
      <c r="BF1826" s="178"/>
    </row>
    <row r="1827" spans="1:58">
      <c r="A1827" s="95">
        <v>1826</v>
      </c>
      <c r="B1827" s="211" t="s">
        <v>2790</v>
      </c>
      <c r="C1827" s="191" t="s">
        <v>2763</v>
      </c>
      <c r="D1827" s="171" t="s">
        <v>255</v>
      </c>
      <c r="E1827" s="463" t="s">
        <v>3377</v>
      </c>
      <c r="F1827" s="171">
        <v>1987</v>
      </c>
      <c r="G1827" s="219">
        <v>373</v>
      </c>
      <c r="H1827" s="57"/>
      <c r="I1827" s="173" t="s">
        <v>2564</v>
      </c>
      <c r="J1827" s="232">
        <v>0.47</v>
      </c>
      <c r="K1827" s="219">
        <v>1.367</v>
      </c>
      <c r="L1827" s="91">
        <f t="shared" si="126"/>
        <v>183.29999999999998</v>
      </c>
      <c r="M1827" s="219">
        <v>390</v>
      </c>
      <c r="N1827" s="219"/>
      <c r="O1827" s="163"/>
      <c r="P1827" s="92"/>
      <c r="Q1827" s="233" t="s">
        <v>273</v>
      </c>
      <c r="R1827" s="219" t="s">
        <v>2723</v>
      </c>
      <c r="S1827" s="219" t="s">
        <v>2764</v>
      </c>
      <c r="T1827" s="219" t="s">
        <v>2306</v>
      </c>
      <c r="U1827" s="219" t="s">
        <v>2313</v>
      </c>
      <c r="V1827" s="146"/>
      <c r="W1827" s="147"/>
      <c r="X1827" s="147"/>
      <c r="Y1827" s="120">
        <v>0</v>
      </c>
      <c r="Z1827" s="120">
        <v>0</v>
      </c>
      <c r="AA1827" s="148"/>
      <c r="AB1827" s="17">
        <v>0</v>
      </c>
      <c r="AC1827" s="17">
        <v>0</v>
      </c>
      <c r="AD1827" s="148"/>
      <c r="AE1827" s="148"/>
      <c r="AF1827" s="17">
        <v>0</v>
      </c>
      <c r="AG1827" s="148"/>
      <c r="AH1827" s="17">
        <v>0</v>
      </c>
      <c r="AI1827" s="17">
        <v>0</v>
      </c>
      <c r="AJ1827" s="17">
        <v>0</v>
      </c>
      <c r="AK1827" s="17">
        <v>0</v>
      </c>
      <c r="AL1827" s="32">
        <v>0</v>
      </c>
      <c r="AM1827" s="786">
        <v>50.1</v>
      </c>
      <c r="AN1827" s="89"/>
      <c r="AO1827" s="89"/>
      <c r="AP1827" s="787">
        <v>29800</v>
      </c>
      <c r="AQ1827" s="17" t="s">
        <v>2778</v>
      </c>
      <c r="AR1827" s="174">
        <v>150</v>
      </c>
      <c r="AS1827" s="171">
        <v>150</v>
      </c>
      <c r="AT1827" s="171">
        <v>600</v>
      </c>
      <c r="AU1827" s="171">
        <v>75</v>
      </c>
      <c r="AV1827" s="172">
        <v>95</v>
      </c>
      <c r="AW1827" s="171">
        <v>84</v>
      </c>
      <c r="AX1827" s="89"/>
      <c r="AY1827" s="171">
        <v>20</v>
      </c>
      <c r="AZ1827" s="89"/>
      <c r="BA1827" s="175">
        <v>60</v>
      </c>
      <c r="BB1827" s="259"/>
      <c r="BC1827" s="176"/>
      <c r="BD1827" s="177"/>
      <c r="BE1827" s="177"/>
      <c r="BF1827" s="178"/>
    </row>
    <row r="1828" spans="1:58">
      <c r="A1828" s="95">
        <v>1827</v>
      </c>
      <c r="B1828" s="211" t="s">
        <v>2791</v>
      </c>
      <c r="C1828" s="191" t="s">
        <v>2763</v>
      </c>
      <c r="D1828" s="171" t="s">
        <v>255</v>
      </c>
      <c r="E1828" s="463" t="s">
        <v>3377</v>
      </c>
      <c r="F1828" s="171">
        <v>1987</v>
      </c>
      <c r="G1828" s="219">
        <v>373</v>
      </c>
      <c r="H1828" s="57"/>
      <c r="I1828" s="173" t="s">
        <v>2564</v>
      </c>
      <c r="J1828" s="232">
        <v>0.47</v>
      </c>
      <c r="K1828" s="219">
        <v>1.367</v>
      </c>
      <c r="L1828" s="91">
        <f t="shared" si="126"/>
        <v>183.29999999999998</v>
      </c>
      <c r="M1828" s="219">
        <v>390</v>
      </c>
      <c r="N1828" s="219"/>
      <c r="O1828" s="163"/>
      <c r="P1828" s="92"/>
      <c r="Q1828" s="233" t="s">
        <v>273</v>
      </c>
      <c r="R1828" s="219" t="s">
        <v>2723</v>
      </c>
      <c r="S1828" s="219" t="s">
        <v>2764</v>
      </c>
      <c r="T1828" s="219" t="s">
        <v>2306</v>
      </c>
      <c r="U1828" s="219" t="s">
        <v>2313</v>
      </c>
      <c r="V1828" s="146"/>
      <c r="W1828" s="147"/>
      <c r="X1828" s="147"/>
      <c r="Y1828" s="120">
        <v>0</v>
      </c>
      <c r="Z1828" s="120">
        <v>0</v>
      </c>
      <c r="AA1828" s="148"/>
      <c r="AB1828" s="17">
        <v>0</v>
      </c>
      <c r="AC1828" s="17">
        <v>0</v>
      </c>
      <c r="AD1828" s="148"/>
      <c r="AE1828" s="148"/>
      <c r="AF1828" s="17">
        <v>0</v>
      </c>
      <c r="AG1828" s="148"/>
      <c r="AH1828" s="17">
        <v>0</v>
      </c>
      <c r="AI1828" s="17">
        <v>0</v>
      </c>
      <c r="AJ1828" s="17">
        <v>0</v>
      </c>
      <c r="AK1828" s="17">
        <v>0</v>
      </c>
      <c r="AL1828" s="32">
        <v>0</v>
      </c>
      <c r="AM1828" s="786">
        <v>50.1</v>
      </c>
      <c r="AN1828" s="89"/>
      <c r="AO1828" s="89"/>
      <c r="AP1828" s="787">
        <v>29800</v>
      </c>
      <c r="AQ1828" s="17" t="s">
        <v>2778</v>
      </c>
      <c r="AR1828" s="174">
        <v>150</v>
      </c>
      <c r="AS1828" s="171">
        <v>150</v>
      </c>
      <c r="AT1828" s="171">
        <v>600</v>
      </c>
      <c r="AU1828" s="171">
        <v>75</v>
      </c>
      <c r="AV1828" s="172">
        <v>95</v>
      </c>
      <c r="AW1828" s="171">
        <v>182</v>
      </c>
      <c r="AX1828" s="89"/>
      <c r="AY1828" s="171">
        <v>20</v>
      </c>
      <c r="AZ1828" s="89"/>
      <c r="BA1828" s="175">
        <v>60</v>
      </c>
      <c r="BB1828" s="259"/>
      <c r="BC1828" s="176"/>
      <c r="BD1828" s="177"/>
      <c r="BE1828" s="177"/>
      <c r="BF1828" s="178"/>
    </row>
    <row r="1829" spans="1:58">
      <c r="A1829" s="111">
        <v>1828</v>
      </c>
      <c r="B1829" s="99" t="s">
        <v>2803</v>
      </c>
      <c r="C1829" s="73" t="s">
        <v>2804</v>
      </c>
      <c r="D1829" s="251" t="s">
        <v>119</v>
      </c>
      <c r="E1829" s="463" t="s">
        <v>3377</v>
      </c>
      <c r="F1829" s="252">
        <v>2013</v>
      </c>
      <c r="G1829" s="219">
        <v>374</v>
      </c>
      <c r="H1829" s="235" t="s">
        <v>1738</v>
      </c>
      <c r="I1829" s="236" t="s">
        <v>1743</v>
      </c>
      <c r="J1829" s="508">
        <v>0.3</v>
      </c>
      <c r="K1829" s="283"/>
      <c r="L1829" s="512"/>
      <c r="M1829" s="507"/>
      <c r="N1829" s="507"/>
      <c r="O1829" s="509" t="s">
        <v>126</v>
      </c>
      <c r="P1829" s="92"/>
      <c r="Q1829" s="510" t="s">
        <v>10</v>
      </c>
      <c r="R1829" s="506" t="s">
        <v>2805</v>
      </c>
      <c r="S1829" s="507"/>
      <c r="T1829" s="507"/>
      <c r="U1829" s="219" t="s">
        <v>2805</v>
      </c>
      <c r="V1829" s="146"/>
      <c r="W1829" s="147"/>
      <c r="X1829" s="147"/>
      <c r="Y1829" s="120">
        <v>0</v>
      </c>
      <c r="Z1829" s="120">
        <v>0</v>
      </c>
      <c r="AA1829" s="148"/>
      <c r="AB1829" s="17">
        <v>0</v>
      </c>
      <c r="AC1829" s="17">
        <v>0</v>
      </c>
      <c r="AD1829" s="148"/>
      <c r="AE1829" s="148"/>
      <c r="AF1829" s="17">
        <v>0</v>
      </c>
      <c r="AG1829" s="148"/>
      <c r="AH1829" s="17">
        <v>0</v>
      </c>
      <c r="AI1829" s="148"/>
      <c r="AJ1829" s="148"/>
      <c r="AK1829" s="17">
        <v>0</v>
      </c>
      <c r="AL1829" s="149"/>
      <c r="AM1829" s="235">
        <v>41.644333971262633</v>
      </c>
      <c r="AN1829" s="89"/>
      <c r="AO1829" s="89"/>
      <c r="AP1829" s="788">
        <v>35094.314555252786</v>
      </c>
      <c r="AQ1829" s="133" t="s">
        <v>2806</v>
      </c>
      <c r="AR1829" s="238">
        <v>76.2</v>
      </c>
      <c r="AS1829" s="237">
        <v>101.6</v>
      </c>
      <c r="AT1829" s="237">
        <v>406.4</v>
      </c>
      <c r="AU1829" s="171">
        <f t="shared" ref="AU1829:AU1866" si="127">(AR1829*AS1829*AT1829)/(2*(AR1829*AS1829+AR1829*AT1829+AS1829*AT1829))</f>
        <v>19.664516129032258</v>
      </c>
      <c r="AV1829" s="509">
        <v>98</v>
      </c>
      <c r="AW1829" s="251">
        <v>28</v>
      </c>
      <c r="AX1829" s="89"/>
      <c r="AY1829" s="750">
        <v>23</v>
      </c>
      <c r="AZ1829" s="89"/>
      <c r="BA1829" s="239">
        <v>50</v>
      </c>
      <c r="BB1829" s="276" t="s">
        <v>2807</v>
      </c>
      <c r="BC1829" s="176"/>
      <c r="BD1829" s="177"/>
      <c r="BE1829" s="177"/>
      <c r="BF1829" s="240"/>
    </row>
    <row r="1830" spans="1:58">
      <c r="A1830" s="111">
        <v>1829</v>
      </c>
      <c r="B1830" s="99" t="s">
        <v>2808</v>
      </c>
      <c r="C1830" s="73" t="s">
        <v>2804</v>
      </c>
      <c r="D1830" s="251" t="s">
        <v>119</v>
      </c>
      <c r="E1830" s="463" t="s">
        <v>3377</v>
      </c>
      <c r="F1830" s="252">
        <v>2013</v>
      </c>
      <c r="G1830" s="219">
        <v>374</v>
      </c>
      <c r="H1830" s="235" t="s">
        <v>1738</v>
      </c>
      <c r="I1830" s="236" t="s">
        <v>1743</v>
      </c>
      <c r="J1830" s="508">
        <v>0.38</v>
      </c>
      <c r="K1830" s="283"/>
      <c r="L1830" s="512"/>
      <c r="M1830" s="507"/>
      <c r="N1830" s="507"/>
      <c r="O1830" s="509" t="s">
        <v>126</v>
      </c>
      <c r="P1830" s="92"/>
      <c r="Q1830" s="510" t="s">
        <v>10</v>
      </c>
      <c r="R1830" s="506" t="s">
        <v>2805</v>
      </c>
      <c r="S1830" s="507"/>
      <c r="T1830" s="507"/>
      <c r="U1830" s="506" t="s">
        <v>2805</v>
      </c>
      <c r="V1830" s="146"/>
      <c r="W1830" s="147"/>
      <c r="X1830" s="147"/>
      <c r="Y1830" s="120">
        <v>0</v>
      </c>
      <c r="Z1830" s="120">
        <v>0</v>
      </c>
      <c r="AA1830" s="148"/>
      <c r="AB1830" s="17">
        <v>0</v>
      </c>
      <c r="AC1830" s="17">
        <v>0</v>
      </c>
      <c r="AD1830" s="148"/>
      <c r="AE1830" s="148"/>
      <c r="AF1830" s="17">
        <v>0</v>
      </c>
      <c r="AG1830" s="148"/>
      <c r="AH1830" s="17">
        <v>0</v>
      </c>
      <c r="AI1830" s="148"/>
      <c r="AJ1830" s="148"/>
      <c r="AK1830" s="17">
        <v>0</v>
      </c>
      <c r="AL1830" s="149"/>
      <c r="AM1830" s="235">
        <v>30.336932032045627</v>
      </c>
      <c r="AN1830" s="89"/>
      <c r="AO1830" s="89"/>
      <c r="AP1830" s="788">
        <v>31440.093196847287</v>
      </c>
      <c r="AQ1830" s="133" t="s">
        <v>2809</v>
      </c>
      <c r="AR1830" s="238">
        <v>76.2</v>
      </c>
      <c r="AS1830" s="237">
        <v>101.6</v>
      </c>
      <c r="AT1830" s="237">
        <v>406.4</v>
      </c>
      <c r="AU1830" s="171">
        <f t="shared" si="127"/>
        <v>19.664516129032258</v>
      </c>
      <c r="AV1830" s="509">
        <v>98</v>
      </c>
      <c r="AW1830" s="251">
        <v>28</v>
      </c>
      <c r="AX1830" s="89"/>
      <c r="AY1830" s="750">
        <v>23</v>
      </c>
      <c r="AZ1830" s="89"/>
      <c r="BA1830" s="239">
        <v>50</v>
      </c>
      <c r="BB1830" s="276" t="s">
        <v>2807</v>
      </c>
      <c r="BC1830" s="176"/>
      <c r="BD1830" s="177"/>
      <c r="BE1830" s="177"/>
      <c r="BF1830" s="240"/>
    </row>
    <row r="1831" spans="1:58">
      <c r="A1831" s="111">
        <v>1830</v>
      </c>
      <c r="B1831" s="99" t="s">
        <v>2810</v>
      </c>
      <c r="C1831" s="73" t="s">
        <v>2804</v>
      </c>
      <c r="D1831" s="251" t="s">
        <v>119</v>
      </c>
      <c r="E1831" s="463" t="s">
        <v>3377</v>
      </c>
      <c r="F1831" s="252">
        <v>2013</v>
      </c>
      <c r="G1831" s="219">
        <v>374</v>
      </c>
      <c r="H1831" s="235" t="s">
        <v>1738</v>
      </c>
      <c r="I1831" s="236" t="s">
        <v>1743</v>
      </c>
      <c r="J1831" s="508">
        <v>0.38</v>
      </c>
      <c r="K1831" s="283"/>
      <c r="L1831" s="512"/>
      <c r="M1831" s="507"/>
      <c r="N1831" s="507"/>
      <c r="O1831" s="509" t="s">
        <v>126</v>
      </c>
      <c r="P1831" s="92"/>
      <c r="Q1831" s="510" t="s">
        <v>10</v>
      </c>
      <c r="R1831" s="506" t="s">
        <v>2805</v>
      </c>
      <c r="S1831" s="507"/>
      <c r="T1831" s="507"/>
      <c r="U1831" s="506" t="s">
        <v>2805</v>
      </c>
      <c r="V1831" s="146"/>
      <c r="W1831" s="147"/>
      <c r="X1831" s="147"/>
      <c r="Y1831" s="120">
        <v>0</v>
      </c>
      <c r="Z1831" s="120">
        <v>0</v>
      </c>
      <c r="AA1831" s="148"/>
      <c r="AB1831" s="17">
        <v>0</v>
      </c>
      <c r="AC1831" s="17">
        <v>0</v>
      </c>
      <c r="AD1831" s="148"/>
      <c r="AE1831" s="148"/>
      <c r="AF1831" s="17">
        <v>0</v>
      </c>
      <c r="AG1831" s="148"/>
      <c r="AH1831" s="17">
        <v>0</v>
      </c>
      <c r="AI1831" s="148"/>
      <c r="AJ1831" s="148"/>
      <c r="AK1831" s="17">
        <v>0</v>
      </c>
      <c r="AL1831" s="149"/>
      <c r="AM1831" s="235">
        <v>30.336932032045627</v>
      </c>
      <c r="AN1831" s="89"/>
      <c r="AO1831" s="89"/>
      <c r="AP1831" s="788">
        <v>31440.093196847287</v>
      </c>
      <c r="AQ1831" s="133" t="s">
        <v>2811</v>
      </c>
      <c r="AR1831" s="238">
        <v>76.2</v>
      </c>
      <c r="AS1831" s="237">
        <v>101.6</v>
      </c>
      <c r="AT1831" s="237">
        <v>406.4</v>
      </c>
      <c r="AU1831" s="171">
        <f t="shared" si="127"/>
        <v>19.664516129032258</v>
      </c>
      <c r="AV1831" s="509">
        <v>98</v>
      </c>
      <c r="AW1831" s="251">
        <v>28</v>
      </c>
      <c r="AX1831" s="89"/>
      <c r="AY1831" s="750">
        <v>23</v>
      </c>
      <c r="AZ1831" s="89"/>
      <c r="BA1831" s="239">
        <v>50</v>
      </c>
      <c r="BB1831" s="276" t="s">
        <v>2807</v>
      </c>
      <c r="BC1831" s="176"/>
      <c r="BD1831" s="177"/>
      <c r="BE1831" s="177"/>
      <c r="BF1831" s="240"/>
    </row>
    <row r="1832" spans="1:58">
      <c r="A1832" s="111">
        <v>1831</v>
      </c>
      <c r="B1832" s="99" t="s">
        <v>2812</v>
      </c>
      <c r="C1832" s="73" t="s">
        <v>2804</v>
      </c>
      <c r="D1832" s="251" t="s">
        <v>119</v>
      </c>
      <c r="E1832" s="463" t="s">
        <v>3377</v>
      </c>
      <c r="F1832" s="252">
        <v>2013</v>
      </c>
      <c r="G1832" s="219">
        <v>374</v>
      </c>
      <c r="H1832" s="235" t="s">
        <v>1738</v>
      </c>
      <c r="I1832" s="236" t="s">
        <v>1743</v>
      </c>
      <c r="J1832" s="508">
        <v>0.38</v>
      </c>
      <c r="K1832" s="283"/>
      <c r="L1832" s="512"/>
      <c r="M1832" s="507"/>
      <c r="N1832" s="507"/>
      <c r="O1832" s="509" t="s">
        <v>126</v>
      </c>
      <c r="P1832" s="92"/>
      <c r="Q1832" s="510" t="s">
        <v>10</v>
      </c>
      <c r="R1832" s="506" t="s">
        <v>2805</v>
      </c>
      <c r="S1832" s="507"/>
      <c r="T1832" s="507"/>
      <c r="U1832" s="506" t="s">
        <v>2805</v>
      </c>
      <c r="V1832" s="146"/>
      <c r="W1832" s="147"/>
      <c r="X1832" s="147"/>
      <c r="Y1832" s="120">
        <v>0</v>
      </c>
      <c r="Z1832" s="120">
        <v>0</v>
      </c>
      <c r="AA1832" s="148"/>
      <c r="AB1832" s="17">
        <v>0</v>
      </c>
      <c r="AC1832" s="17">
        <v>0</v>
      </c>
      <c r="AD1832" s="148"/>
      <c r="AE1832" s="148"/>
      <c r="AF1832" s="17">
        <v>0</v>
      </c>
      <c r="AG1832" s="148"/>
      <c r="AH1832" s="17">
        <v>0</v>
      </c>
      <c r="AI1832" s="148"/>
      <c r="AJ1832" s="148"/>
      <c r="AK1832" s="17">
        <v>0</v>
      </c>
      <c r="AL1832" s="149"/>
      <c r="AM1832" s="235">
        <v>45.022765038467718</v>
      </c>
      <c r="AN1832" s="89"/>
      <c r="AO1832" s="89"/>
      <c r="AP1832" s="788">
        <v>35576.947564853515</v>
      </c>
      <c r="AQ1832" s="133" t="s">
        <v>2813</v>
      </c>
      <c r="AR1832" s="238">
        <v>76.2</v>
      </c>
      <c r="AS1832" s="237">
        <v>101.6</v>
      </c>
      <c r="AT1832" s="237">
        <v>406.4</v>
      </c>
      <c r="AU1832" s="171">
        <f t="shared" si="127"/>
        <v>19.664516129032258</v>
      </c>
      <c r="AV1832" s="509">
        <v>98</v>
      </c>
      <c r="AW1832" s="251">
        <v>28</v>
      </c>
      <c r="AX1832" s="89"/>
      <c r="AY1832" s="750">
        <v>23</v>
      </c>
      <c r="AZ1832" s="89"/>
      <c r="BA1832" s="239">
        <v>50</v>
      </c>
      <c r="BB1832" s="276" t="s">
        <v>2807</v>
      </c>
      <c r="BC1832" s="176"/>
      <c r="BD1832" s="177"/>
      <c r="BE1832" s="177"/>
      <c r="BF1832" s="240"/>
    </row>
    <row r="1833" spans="1:58">
      <c r="A1833" s="111">
        <v>1832</v>
      </c>
      <c r="B1833" s="99" t="s">
        <v>2814</v>
      </c>
      <c r="C1833" s="73" t="s">
        <v>2804</v>
      </c>
      <c r="D1833" s="251" t="s">
        <v>119</v>
      </c>
      <c r="E1833" s="463" t="s">
        <v>3377</v>
      </c>
      <c r="F1833" s="252">
        <v>2013</v>
      </c>
      <c r="G1833" s="219">
        <v>374</v>
      </c>
      <c r="H1833" s="235" t="s">
        <v>1738</v>
      </c>
      <c r="I1833" s="236" t="s">
        <v>1743</v>
      </c>
      <c r="J1833" s="508">
        <v>0.49</v>
      </c>
      <c r="K1833" s="283"/>
      <c r="L1833" s="512"/>
      <c r="M1833" s="507"/>
      <c r="N1833" s="507"/>
      <c r="O1833" s="509" t="s">
        <v>126</v>
      </c>
      <c r="P1833" s="92"/>
      <c r="Q1833" s="510" t="s">
        <v>10</v>
      </c>
      <c r="R1833" s="506" t="s">
        <v>2805</v>
      </c>
      <c r="S1833" s="507"/>
      <c r="T1833" s="507"/>
      <c r="U1833" s="506" t="s">
        <v>2805</v>
      </c>
      <c r="V1833" s="146"/>
      <c r="W1833" s="147"/>
      <c r="X1833" s="147"/>
      <c r="Y1833" s="120">
        <v>0</v>
      </c>
      <c r="Z1833" s="120">
        <v>0</v>
      </c>
      <c r="AA1833" s="148"/>
      <c r="AB1833" s="17">
        <v>0</v>
      </c>
      <c r="AC1833" s="17">
        <v>0</v>
      </c>
      <c r="AD1833" s="148"/>
      <c r="AE1833" s="148"/>
      <c r="AF1833" s="17">
        <v>0</v>
      </c>
      <c r="AG1833" s="148"/>
      <c r="AH1833" s="17">
        <v>0</v>
      </c>
      <c r="AI1833" s="148"/>
      <c r="AJ1833" s="148"/>
      <c r="AK1833" s="17">
        <v>0</v>
      </c>
      <c r="AL1833" s="149"/>
      <c r="AM1833" s="235">
        <v>30.336932032045627</v>
      </c>
      <c r="AN1833" s="89"/>
      <c r="AO1833" s="89"/>
      <c r="AP1833" s="788">
        <v>31440.093196847287</v>
      </c>
      <c r="AQ1833" s="133" t="s">
        <v>2815</v>
      </c>
      <c r="AR1833" s="238">
        <v>76.2</v>
      </c>
      <c r="AS1833" s="237">
        <v>101.6</v>
      </c>
      <c r="AT1833" s="237">
        <v>406.4</v>
      </c>
      <c r="AU1833" s="171">
        <f t="shared" si="127"/>
        <v>19.664516129032258</v>
      </c>
      <c r="AV1833" s="509">
        <v>98</v>
      </c>
      <c r="AW1833" s="251">
        <v>28</v>
      </c>
      <c r="AX1833" s="89"/>
      <c r="AY1833" s="750">
        <v>23</v>
      </c>
      <c r="AZ1833" s="89"/>
      <c r="BA1833" s="239">
        <v>50</v>
      </c>
      <c r="BB1833" s="276" t="s">
        <v>2807</v>
      </c>
      <c r="BC1833" s="176"/>
      <c r="BD1833" s="177"/>
      <c r="BE1833" s="177"/>
      <c r="BF1833" s="240"/>
    </row>
    <row r="1834" spans="1:58">
      <c r="A1834" s="111">
        <v>1833</v>
      </c>
      <c r="B1834" s="99" t="s">
        <v>2816</v>
      </c>
      <c r="C1834" s="73" t="s">
        <v>2804</v>
      </c>
      <c r="D1834" s="251" t="s">
        <v>119</v>
      </c>
      <c r="E1834" s="463" t="s">
        <v>3377</v>
      </c>
      <c r="F1834" s="252">
        <v>2013</v>
      </c>
      <c r="G1834" s="219">
        <v>374</v>
      </c>
      <c r="H1834" s="235" t="s">
        <v>1738</v>
      </c>
      <c r="I1834" s="236" t="s">
        <v>1743</v>
      </c>
      <c r="J1834" s="508">
        <v>0.38</v>
      </c>
      <c r="K1834" s="283"/>
      <c r="L1834" s="512"/>
      <c r="M1834" s="507"/>
      <c r="N1834" s="507"/>
      <c r="O1834" s="509" t="s">
        <v>126</v>
      </c>
      <c r="P1834" s="92"/>
      <c r="Q1834" s="510" t="s">
        <v>10</v>
      </c>
      <c r="R1834" s="506" t="s">
        <v>2805</v>
      </c>
      <c r="S1834" s="507"/>
      <c r="T1834" s="507"/>
      <c r="U1834" s="506" t="s">
        <v>2805</v>
      </c>
      <c r="V1834" s="146"/>
      <c r="W1834" s="147"/>
      <c r="X1834" s="147"/>
      <c r="Y1834" s="120">
        <v>0</v>
      </c>
      <c r="Z1834" s="120">
        <v>0</v>
      </c>
      <c r="AA1834" s="148"/>
      <c r="AB1834" s="17">
        <v>0</v>
      </c>
      <c r="AC1834" s="17">
        <v>0</v>
      </c>
      <c r="AD1834" s="148"/>
      <c r="AE1834" s="148"/>
      <c r="AF1834" s="17">
        <v>0</v>
      </c>
      <c r="AG1834" s="148"/>
      <c r="AH1834" s="17">
        <v>0</v>
      </c>
      <c r="AI1834" s="148"/>
      <c r="AJ1834" s="148"/>
      <c r="AK1834" s="17">
        <v>0</v>
      </c>
      <c r="AL1834" s="149"/>
      <c r="AM1834" s="235">
        <v>25.855339800038887</v>
      </c>
      <c r="AN1834" s="89"/>
      <c r="AO1834" s="89"/>
      <c r="AP1834" s="788">
        <v>29233.770867243969</v>
      </c>
      <c r="AQ1834" s="133" t="s">
        <v>2817</v>
      </c>
      <c r="AR1834" s="238">
        <v>76.2</v>
      </c>
      <c r="AS1834" s="237">
        <v>101.6</v>
      </c>
      <c r="AT1834" s="237">
        <v>406.4</v>
      </c>
      <c r="AU1834" s="171">
        <f t="shared" si="127"/>
        <v>19.664516129032258</v>
      </c>
      <c r="AV1834" s="509">
        <v>98</v>
      </c>
      <c r="AW1834" s="251">
        <v>28</v>
      </c>
      <c r="AX1834" s="89"/>
      <c r="AY1834" s="750">
        <v>23</v>
      </c>
      <c r="AZ1834" s="89"/>
      <c r="BA1834" s="239">
        <v>50</v>
      </c>
      <c r="BB1834" s="276" t="s">
        <v>2807</v>
      </c>
      <c r="BC1834" s="176"/>
      <c r="BD1834" s="177"/>
      <c r="BE1834" s="177"/>
      <c r="BF1834" s="240"/>
    </row>
    <row r="1835" spans="1:58">
      <c r="A1835" s="111">
        <v>1834</v>
      </c>
      <c r="B1835" s="99" t="s">
        <v>2818</v>
      </c>
      <c r="C1835" s="73" t="s">
        <v>2804</v>
      </c>
      <c r="D1835" s="251" t="s">
        <v>119</v>
      </c>
      <c r="E1835" s="463" t="s">
        <v>3377</v>
      </c>
      <c r="F1835" s="252">
        <v>2013</v>
      </c>
      <c r="G1835" s="219">
        <v>374</v>
      </c>
      <c r="H1835" s="235" t="s">
        <v>1738</v>
      </c>
      <c r="I1835" s="236" t="s">
        <v>1743</v>
      </c>
      <c r="J1835" s="508">
        <v>0.38</v>
      </c>
      <c r="K1835" s="283"/>
      <c r="L1835" s="512"/>
      <c r="M1835" s="507"/>
      <c r="N1835" s="507"/>
      <c r="O1835" s="509" t="s">
        <v>126</v>
      </c>
      <c r="P1835" s="92"/>
      <c r="Q1835" s="510" t="s">
        <v>10</v>
      </c>
      <c r="R1835" s="506" t="s">
        <v>2819</v>
      </c>
      <c r="S1835" s="507"/>
      <c r="T1835" s="507"/>
      <c r="U1835" s="506" t="s">
        <v>2819</v>
      </c>
      <c r="V1835" s="146"/>
      <c r="W1835" s="147"/>
      <c r="X1835" s="147"/>
      <c r="Y1835" s="120">
        <v>0</v>
      </c>
      <c r="Z1835" s="120">
        <v>0</v>
      </c>
      <c r="AA1835" s="148"/>
      <c r="AB1835" s="17">
        <v>0</v>
      </c>
      <c r="AC1835" s="17">
        <v>0</v>
      </c>
      <c r="AD1835" s="148"/>
      <c r="AE1835" s="148"/>
      <c r="AF1835" s="17">
        <v>0</v>
      </c>
      <c r="AG1835" s="148"/>
      <c r="AH1835" s="17">
        <v>0</v>
      </c>
      <c r="AI1835" s="148"/>
      <c r="AJ1835" s="148"/>
      <c r="AK1835" s="17">
        <v>0</v>
      </c>
      <c r="AL1835" s="149"/>
      <c r="AM1835" s="235">
        <v>36.818003875255378</v>
      </c>
      <c r="AN1835" s="89"/>
      <c r="AO1835" s="89"/>
      <c r="AP1835" s="788">
        <v>30405.879604845733</v>
      </c>
      <c r="AQ1835" s="133" t="s">
        <v>2820</v>
      </c>
      <c r="AR1835" s="238">
        <v>76.2</v>
      </c>
      <c r="AS1835" s="237">
        <v>101.6</v>
      </c>
      <c r="AT1835" s="237">
        <v>406.4</v>
      </c>
      <c r="AU1835" s="171">
        <f t="shared" si="127"/>
        <v>19.664516129032258</v>
      </c>
      <c r="AV1835" s="509">
        <v>98</v>
      </c>
      <c r="AW1835" s="251">
        <v>28</v>
      </c>
      <c r="AX1835" s="89"/>
      <c r="AY1835" s="750">
        <v>23</v>
      </c>
      <c r="AZ1835" s="89"/>
      <c r="BA1835" s="239">
        <v>50</v>
      </c>
      <c r="BB1835" s="276" t="s">
        <v>2807</v>
      </c>
      <c r="BC1835" s="176"/>
      <c r="BD1835" s="177"/>
      <c r="BE1835" s="177"/>
      <c r="BF1835" s="240"/>
    </row>
    <row r="1836" spans="1:58">
      <c r="A1836" s="111">
        <v>1835</v>
      </c>
      <c r="B1836" s="99" t="s">
        <v>2821</v>
      </c>
      <c r="C1836" s="73" t="s">
        <v>2804</v>
      </c>
      <c r="D1836" s="251" t="s">
        <v>119</v>
      </c>
      <c r="E1836" s="463" t="s">
        <v>3377</v>
      </c>
      <c r="F1836" s="252">
        <v>2013</v>
      </c>
      <c r="G1836" s="219">
        <v>374</v>
      </c>
      <c r="H1836" s="235" t="s">
        <v>1738</v>
      </c>
      <c r="I1836" s="236" t="s">
        <v>1743</v>
      </c>
      <c r="J1836" s="508">
        <v>0.3</v>
      </c>
      <c r="K1836" s="283"/>
      <c r="L1836" s="512"/>
      <c r="M1836" s="507"/>
      <c r="N1836" s="507"/>
      <c r="O1836" s="509" t="s">
        <v>126</v>
      </c>
      <c r="P1836" s="92"/>
      <c r="Q1836" s="510" t="s">
        <v>10</v>
      </c>
      <c r="R1836" s="506" t="s">
        <v>2819</v>
      </c>
      <c r="S1836" s="507"/>
      <c r="T1836" s="507"/>
      <c r="U1836" s="506" t="s">
        <v>2819</v>
      </c>
      <c r="V1836" s="146"/>
      <c r="W1836" s="147"/>
      <c r="X1836" s="147"/>
      <c r="Y1836" s="120">
        <v>0</v>
      </c>
      <c r="Z1836" s="120">
        <v>0</v>
      </c>
      <c r="AA1836" s="148"/>
      <c r="AB1836" s="17">
        <v>0</v>
      </c>
      <c r="AC1836" s="17">
        <v>0</v>
      </c>
      <c r="AD1836" s="148"/>
      <c r="AE1836" s="148"/>
      <c r="AF1836" s="17">
        <v>0</v>
      </c>
      <c r="AG1836" s="148"/>
      <c r="AH1836" s="17">
        <v>0</v>
      </c>
      <c r="AI1836" s="148"/>
      <c r="AJ1836" s="148"/>
      <c r="AK1836" s="17">
        <v>0</v>
      </c>
      <c r="AL1836" s="149"/>
      <c r="AM1836" s="235">
        <v>41.782229116862844</v>
      </c>
      <c r="AN1836" s="89"/>
      <c r="AO1836" s="89"/>
      <c r="AP1836" s="788">
        <v>33301.677662450093</v>
      </c>
      <c r="AQ1836" s="133" t="s">
        <v>2822</v>
      </c>
      <c r="AR1836" s="238">
        <v>76.2</v>
      </c>
      <c r="AS1836" s="237">
        <v>101.6</v>
      </c>
      <c r="AT1836" s="237">
        <v>406.4</v>
      </c>
      <c r="AU1836" s="171">
        <f t="shared" si="127"/>
        <v>19.664516129032258</v>
      </c>
      <c r="AV1836" s="509">
        <v>98</v>
      </c>
      <c r="AW1836" s="251">
        <v>28</v>
      </c>
      <c r="AX1836" s="89"/>
      <c r="AY1836" s="750">
        <v>23</v>
      </c>
      <c r="AZ1836" s="89"/>
      <c r="BA1836" s="239">
        <v>50</v>
      </c>
      <c r="BB1836" s="276" t="s">
        <v>2807</v>
      </c>
      <c r="BC1836" s="176"/>
      <c r="BD1836" s="177"/>
      <c r="BE1836" s="177"/>
      <c r="BF1836" s="240"/>
    </row>
    <row r="1837" spans="1:58">
      <c r="A1837" s="111">
        <v>1836</v>
      </c>
      <c r="B1837" s="99" t="s">
        <v>2823</v>
      </c>
      <c r="C1837" s="73" t="s">
        <v>2804</v>
      </c>
      <c r="D1837" s="251" t="s">
        <v>119</v>
      </c>
      <c r="E1837" s="463" t="s">
        <v>3377</v>
      </c>
      <c r="F1837" s="252">
        <v>2013</v>
      </c>
      <c r="G1837" s="219">
        <v>374</v>
      </c>
      <c r="H1837" s="235" t="s">
        <v>1738</v>
      </c>
      <c r="I1837" s="236" t="s">
        <v>1743</v>
      </c>
      <c r="J1837" s="508">
        <v>0.38</v>
      </c>
      <c r="K1837" s="283"/>
      <c r="L1837" s="512"/>
      <c r="M1837" s="507"/>
      <c r="N1837" s="507"/>
      <c r="O1837" s="509" t="s">
        <v>126</v>
      </c>
      <c r="P1837" s="92"/>
      <c r="Q1837" s="510" t="s">
        <v>10</v>
      </c>
      <c r="R1837" s="506" t="s">
        <v>2819</v>
      </c>
      <c r="S1837" s="507"/>
      <c r="T1837" s="507"/>
      <c r="U1837" s="506" t="s">
        <v>2819</v>
      </c>
      <c r="V1837" s="146"/>
      <c r="W1837" s="147"/>
      <c r="X1837" s="147"/>
      <c r="Y1837" s="120">
        <v>0</v>
      </c>
      <c r="Z1837" s="120">
        <v>0</v>
      </c>
      <c r="AA1837" s="148"/>
      <c r="AB1837" s="17">
        <v>0</v>
      </c>
      <c r="AC1837" s="17">
        <v>0</v>
      </c>
      <c r="AD1837" s="148"/>
      <c r="AE1837" s="148"/>
      <c r="AF1837" s="17">
        <v>0</v>
      </c>
      <c r="AG1837" s="148"/>
      <c r="AH1837" s="17">
        <v>0</v>
      </c>
      <c r="AI1837" s="148"/>
      <c r="AJ1837" s="148"/>
      <c r="AK1837" s="17">
        <v>0</v>
      </c>
      <c r="AL1837" s="149"/>
      <c r="AM1837" s="235">
        <v>28.820085430443346</v>
      </c>
      <c r="AN1837" s="89"/>
      <c r="AO1837" s="89"/>
      <c r="AP1837" s="788">
        <v>28613.242712043037</v>
      </c>
      <c r="AQ1837" s="133" t="s">
        <v>2824</v>
      </c>
      <c r="AR1837" s="238">
        <v>76.2</v>
      </c>
      <c r="AS1837" s="237">
        <v>101.6</v>
      </c>
      <c r="AT1837" s="237">
        <v>406.4</v>
      </c>
      <c r="AU1837" s="171">
        <f t="shared" si="127"/>
        <v>19.664516129032258</v>
      </c>
      <c r="AV1837" s="509">
        <v>98</v>
      </c>
      <c r="AW1837" s="251">
        <v>28</v>
      </c>
      <c r="AX1837" s="89"/>
      <c r="AY1837" s="750">
        <v>23</v>
      </c>
      <c r="AZ1837" s="89"/>
      <c r="BA1837" s="239">
        <v>50</v>
      </c>
      <c r="BB1837" s="276" t="s">
        <v>2807</v>
      </c>
      <c r="BC1837" s="176"/>
      <c r="BD1837" s="177"/>
      <c r="BE1837" s="177"/>
      <c r="BF1837" s="240"/>
    </row>
    <row r="1838" spans="1:58">
      <c r="A1838" s="111">
        <v>1837</v>
      </c>
      <c r="B1838" s="99" t="s">
        <v>2825</v>
      </c>
      <c r="C1838" s="73" t="s">
        <v>2804</v>
      </c>
      <c r="D1838" s="251" t="s">
        <v>119</v>
      </c>
      <c r="E1838" s="463" t="s">
        <v>3377</v>
      </c>
      <c r="F1838" s="252">
        <v>2013</v>
      </c>
      <c r="G1838" s="219">
        <v>374</v>
      </c>
      <c r="H1838" s="235" t="s">
        <v>1738</v>
      </c>
      <c r="I1838" s="236" t="s">
        <v>1743</v>
      </c>
      <c r="J1838" s="508">
        <v>0.49</v>
      </c>
      <c r="K1838" s="283"/>
      <c r="L1838" s="512"/>
      <c r="M1838" s="507"/>
      <c r="N1838" s="507"/>
      <c r="O1838" s="509" t="s">
        <v>126</v>
      </c>
      <c r="P1838" s="92"/>
      <c r="Q1838" s="510" t="s">
        <v>10</v>
      </c>
      <c r="R1838" s="506" t="s">
        <v>2819</v>
      </c>
      <c r="S1838" s="507"/>
      <c r="T1838" s="507"/>
      <c r="U1838" s="506" t="s">
        <v>2819</v>
      </c>
      <c r="V1838" s="146"/>
      <c r="W1838" s="147"/>
      <c r="X1838" s="147"/>
      <c r="Y1838" s="120">
        <v>0</v>
      </c>
      <c r="Z1838" s="120">
        <v>0</v>
      </c>
      <c r="AA1838" s="148"/>
      <c r="AB1838" s="17">
        <v>0</v>
      </c>
      <c r="AC1838" s="17">
        <v>0</v>
      </c>
      <c r="AD1838" s="148"/>
      <c r="AE1838" s="148"/>
      <c r="AF1838" s="17">
        <v>0</v>
      </c>
      <c r="AG1838" s="148"/>
      <c r="AH1838" s="17">
        <v>0</v>
      </c>
      <c r="AI1838" s="148"/>
      <c r="AJ1838" s="148"/>
      <c r="AK1838" s="17">
        <v>0</v>
      </c>
      <c r="AL1838" s="149"/>
      <c r="AM1838" s="235">
        <v>28.957980576043553</v>
      </c>
      <c r="AN1838" s="89"/>
      <c r="AO1838" s="89"/>
      <c r="AP1838" s="788">
        <v>30199.036886445421</v>
      </c>
      <c r="AQ1838" s="133" t="s">
        <v>2826</v>
      </c>
      <c r="AR1838" s="238">
        <v>76.2</v>
      </c>
      <c r="AS1838" s="237">
        <v>101.6</v>
      </c>
      <c r="AT1838" s="237">
        <v>406.4</v>
      </c>
      <c r="AU1838" s="171">
        <f t="shared" si="127"/>
        <v>19.664516129032258</v>
      </c>
      <c r="AV1838" s="509">
        <v>98</v>
      </c>
      <c r="AW1838" s="251">
        <v>28</v>
      </c>
      <c r="AX1838" s="89"/>
      <c r="AY1838" s="750">
        <v>23</v>
      </c>
      <c r="AZ1838" s="89"/>
      <c r="BA1838" s="239">
        <v>50</v>
      </c>
      <c r="BB1838" s="276" t="s">
        <v>2807</v>
      </c>
      <c r="BC1838" s="176"/>
      <c r="BD1838" s="177"/>
      <c r="BE1838" s="177"/>
      <c r="BF1838" s="240"/>
    </row>
    <row r="1839" spans="1:58">
      <c r="A1839" s="111">
        <v>1838</v>
      </c>
      <c r="B1839" s="99" t="s">
        <v>2827</v>
      </c>
      <c r="C1839" s="73" t="s">
        <v>2804</v>
      </c>
      <c r="D1839" s="251" t="s">
        <v>119</v>
      </c>
      <c r="E1839" s="463" t="s">
        <v>3377</v>
      </c>
      <c r="F1839" s="252">
        <v>2013</v>
      </c>
      <c r="G1839" s="219">
        <v>374</v>
      </c>
      <c r="H1839" s="235" t="s">
        <v>1738</v>
      </c>
      <c r="I1839" s="236" t="s">
        <v>1743</v>
      </c>
      <c r="J1839" s="508">
        <v>0.33</v>
      </c>
      <c r="K1839" s="283"/>
      <c r="L1839" s="512"/>
      <c r="M1839" s="507"/>
      <c r="N1839" s="507"/>
      <c r="O1839" s="509" t="s">
        <v>126</v>
      </c>
      <c r="P1839" s="92"/>
      <c r="Q1839" s="510" t="s">
        <v>10</v>
      </c>
      <c r="R1839" s="512" t="s">
        <v>2828</v>
      </c>
      <c r="S1839" s="507"/>
      <c r="T1839" s="507"/>
      <c r="U1839" s="512" t="s">
        <v>2828</v>
      </c>
      <c r="V1839" s="146"/>
      <c r="W1839" s="147"/>
      <c r="X1839" s="147"/>
      <c r="Y1839" s="120">
        <v>0</v>
      </c>
      <c r="Z1839" s="120">
        <v>0</v>
      </c>
      <c r="AA1839" s="148"/>
      <c r="AB1839" s="17">
        <v>0</v>
      </c>
      <c r="AC1839" s="17">
        <v>0</v>
      </c>
      <c r="AD1839" s="148"/>
      <c r="AE1839" s="148"/>
      <c r="AF1839" s="17">
        <v>0</v>
      </c>
      <c r="AG1839" s="148"/>
      <c r="AH1839" s="17">
        <v>0</v>
      </c>
      <c r="AI1839" s="148"/>
      <c r="AJ1839" s="148"/>
      <c r="AK1839" s="17">
        <v>0</v>
      </c>
      <c r="AL1839" s="149"/>
      <c r="AM1839" s="235">
        <v>38.679588340858174</v>
      </c>
      <c r="AN1839" s="89"/>
      <c r="AO1839" s="89"/>
      <c r="AP1839" s="788">
        <v>30336.932032045628</v>
      </c>
      <c r="AQ1839" s="133" t="s">
        <v>2829</v>
      </c>
      <c r="AR1839" s="238">
        <v>76.2</v>
      </c>
      <c r="AS1839" s="237">
        <v>101.6</v>
      </c>
      <c r="AT1839" s="237">
        <v>406.4</v>
      </c>
      <c r="AU1839" s="171">
        <f t="shared" si="127"/>
        <v>19.664516129032258</v>
      </c>
      <c r="AV1839" s="509">
        <v>98</v>
      </c>
      <c r="AW1839" s="251">
        <v>28</v>
      </c>
      <c r="AX1839" s="89"/>
      <c r="AY1839" s="750">
        <v>23</v>
      </c>
      <c r="AZ1839" s="89"/>
      <c r="BA1839" s="239">
        <v>50</v>
      </c>
      <c r="BB1839" s="276" t="s">
        <v>2807</v>
      </c>
      <c r="BC1839" s="176"/>
      <c r="BD1839" s="177"/>
      <c r="BE1839" s="177"/>
      <c r="BF1839" s="240"/>
    </row>
    <row r="1840" spans="1:58">
      <c r="A1840" s="111">
        <v>1839</v>
      </c>
      <c r="B1840" s="99" t="s">
        <v>2830</v>
      </c>
      <c r="C1840" s="73" t="s">
        <v>2804</v>
      </c>
      <c r="D1840" s="251" t="s">
        <v>119</v>
      </c>
      <c r="E1840" s="463" t="s">
        <v>3377</v>
      </c>
      <c r="F1840" s="252">
        <v>2013</v>
      </c>
      <c r="G1840" s="219">
        <v>374</v>
      </c>
      <c r="H1840" s="235" t="s">
        <v>1738</v>
      </c>
      <c r="I1840" s="236" t="s">
        <v>1743</v>
      </c>
      <c r="J1840" s="508">
        <v>0.33</v>
      </c>
      <c r="K1840" s="283"/>
      <c r="L1840" s="512"/>
      <c r="M1840" s="507"/>
      <c r="N1840" s="507"/>
      <c r="O1840" s="509" t="s">
        <v>126</v>
      </c>
      <c r="P1840" s="92"/>
      <c r="Q1840" s="510" t="s">
        <v>10</v>
      </c>
      <c r="R1840" s="512" t="s">
        <v>2828</v>
      </c>
      <c r="S1840" s="507"/>
      <c r="T1840" s="507"/>
      <c r="U1840" s="512" t="s">
        <v>2828</v>
      </c>
      <c r="V1840" s="146"/>
      <c r="W1840" s="147"/>
      <c r="X1840" s="147"/>
      <c r="Y1840" s="120">
        <v>0</v>
      </c>
      <c r="Z1840" s="120">
        <v>0</v>
      </c>
      <c r="AA1840" s="148"/>
      <c r="AB1840" s="17">
        <v>0</v>
      </c>
      <c r="AC1840" s="17">
        <v>0</v>
      </c>
      <c r="AD1840" s="148"/>
      <c r="AE1840" s="148"/>
      <c r="AF1840" s="17">
        <v>0</v>
      </c>
      <c r="AG1840" s="148"/>
      <c r="AH1840" s="17">
        <v>0</v>
      </c>
      <c r="AI1840" s="148"/>
      <c r="AJ1840" s="148"/>
      <c r="AK1840" s="17">
        <v>0</v>
      </c>
      <c r="AL1840" s="149"/>
      <c r="AM1840" s="235">
        <v>38.679588340858174</v>
      </c>
      <c r="AN1840" s="89"/>
      <c r="AO1840" s="89"/>
      <c r="AP1840" s="788">
        <v>30336.932032045628</v>
      </c>
      <c r="AQ1840" s="133" t="s">
        <v>2831</v>
      </c>
      <c r="AR1840" s="238">
        <v>76.2</v>
      </c>
      <c r="AS1840" s="237">
        <v>101.6</v>
      </c>
      <c r="AT1840" s="237">
        <v>406.4</v>
      </c>
      <c r="AU1840" s="171">
        <f t="shared" si="127"/>
        <v>19.664516129032258</v>
      </c>
      <c r="AV1840" s="509">
        <v>98</v>
      </c>
      <c r="AW1840" s="251">
        <v>28</v>
      </c>
      <c r="AX1840" s="89"/>
      <c r="AY1840" s="750">
        <v>23</v>
      </c>
      <c r="AZ1840" s="89"/>
      <c r="BA1840" s="239">
        <v>50</v>
      </c>
      <c r="BB1840" s="276" t="s">
        <v>2807</v>
      </c>
      <c r="BC1840" s="176"/>
      <c r="BD1840" s="177"/>
      <c r="BE1840" s="177"/>
      <c r="BF1840" s="240"/>
    </row>
    <row r="1841" spans="1:58">
      <c r="A1841" s="111">
        <v>1840</v>
      </c>
      <c r="B1841" s="99" t="s">
        <v>2832</v>
      </c>
      <c r="C1841" s="73" t="s">
        <v>2804</v>
      </c>
      <c r="D1841" s="251" t="s">
        <v>119</v>
      </c>
      <c r="E1841" s="463" t="s">
        <v>3377</v>
      </c>
      <c r="F1841" s="252">
        <v>2013</v>
      </c>
      <c r="G1841" s="219">
        <v>374</v>
      </c>
      <c r="H1841" s="235" t="s">
        <v>1738</v>
      </c>
      <c r="I1841" s="236" t="s">
        <v>1743</v>
      </c>
      <c r="J1841" s="508">
        <v>0.33</v>
      </c>
      <c r="K1841" s="283"/>
      <c r="L1841" s="512"/>
      <c r="M1841" s="507"/>
      <c r="N1841" s="507"/>
      <c r="O1841" s="509" t="s">
        <v>126</v>
      </c>
      <c r="P1841" s="92"/>
      <c r="Q1841" s="510" t="s">
        <v>10</v>
      </c>
      <c r="R1841" s="512" t="s">
        <v>2828</v>
      </c>
      <c r="S1841" s="507"/>
      <c r="T1841" s="507"/>
      <c r="U1841" s="512" t="s">
        <v>2828</v>
      </c>
      <c r="V1841" s="146"/>
      <c r="W1841" s="147"/>
      <c r="X1841" s="147"/>
      <c r="Y1841" s="120">
        <v>0</v>
      </c>
      <c r="Z1841" s="120">
        <v>0</v>
      </c>
      <c r="AA1841" s="148"/>
      <c r="AB1841" s="17">
        <v>0</v>
      </c>
      <c r="AC1841" s="17">
        <v>0</v>
      </c>
      <c r="AD1841" s="148"/>
      <c r="AE1841" s="148"/>
      <c r="AF1841" s="17">
        <v>0</v>
      </c>
      <c r="AG1841" s="148"/>
      <c r="AH1841" s="17">
        <v>0</v>
      </c>
      <c r="AI1841" s="148"/>
      <c r="AJ1841" s="148"/>
      <c r="AK1841" s="17">
        <v>0</v>
      </c>
      <c r="AL1841" s="149"/>
      <c r="AM1841" s="235">
        <v>38.679588340858174</v>
      </c>
      <c r="AN1841" s="89"/>
      <c r="AO1841" s="89"/>
      <c r="AP1841" s="788">
        <v>30336.932032045628</v>
      </c>
      <c r="AQ1841" s="133" t="s">
        <v>2833</v>
      </c>
      <c r="AR1841" s="238">
        <v>76.2</v>
      </c>
      <c r="AS1841" s="237">
        <v>101.6</v>
      </c>
      <c r="AT1841" s="237">
        <v>406.4</v>
      </c>
      <c r="AU1841" s="171">
        <f t="shared" si="127"/>
        <v>19.664516129032258</v>
      </c>
      <c r="AV1841" s="509">
        <v>98</v>
      </c>
      <c r="AW1841" s="251">
        <v>28</v>
      </c>
      <c r="AX1841" s="89"/>
      <c r="AY1841" s="750">
        <v>23</v>
      </c>
      <c r="AZ1841" s="89"/>
      <c r="BA1841" s="239">
        <v>50</v>
      </c>
      <c r="BB1841" s="276" t="s">
        <v>2807</v>
      </c>
      <c r="BC1841" s="176"/>
      <c r="BD1841" s="177"/>
      <c r="BE1841" s="177"/>
      <c r="BF1841" s="240"/>
    </row>
    <row r="1842" spans="1:58">
      <c r="A1842" s="111">
        <v>1841</v>
      </c>
      <c r="B1842" s="99" t="s">
        <v>2834</v>
      </c>
      <c r="C1842" s="73" t="s">
        <v>2804</v>
      </c>
      <c r="D1842" s="251" t="s">
        <v>119</v>
      </c>
      <c r="E1842" s="463" t="s">
        <v>3377</v>
      </c>
      <c r="F1842" s="252">
        <v>2013</v>
      </c>
      <c r="G1842" s="219">
        <v>374</v>
      </c>
      <c r="H1842" s="235" t="s">
        <v>1738</v>
      </c>
      <c r="I1842" s="236" t="s">
        <v>1743</v>
      </c>
      <c r="J1842" s="508">
        <v>0.49</v>
      </c>
      <c r="K1842" s="283"/>
      <c r="L1842" s="512"/>
      <c r="M1842" s="507"/>
      <c r="N1842" s="507"/>
      <c r="O1842" s="509" t="s">
        <v>126</v>
      </c>
      <c r="P1842" s="92"/>
      <c r="Q1842" s="510" t="s">
        <v>10</v>
      </c>
      <c r="R1842" s="512" t="s">
        <v>2828</v>
      </c>
      <c r="S1842" s="507"/>
      <c r="T1842" s="507"/>
      <c r="U1842" s="512" t="s">
        <v>2828</v>
      </c>
      <c r="V1842" s="146"/>
      <c r="W1842" s="147"/>
      <c r="X1842" s="147"/>
      <c r="Y1842" s="120">
        <v>0</v>
      </c>
      <c r="Z1842" s="120">
        <v>0</v>
      </c>
      <c r="AA1842" s="148"/>
      <c r="AB1842" s="17">
        <v>0</v>
      </c>
      <c r="AC1842" s="17">
        <v>0</v>
      </c>
      <c r="AD1842" s="148"/>
      <c r="AE1842" s="148"/>
      <c r="AF1842" s="17">
        <v>0</v>
      </c>
      <c r="AG1842" s="148"/>
      <c r="AH1842" s="17">
        <v>0</v>
      </c>
      <c r="AI1842" s="148"/>
      <c r="AJ1842" s="148"/>
      <c r="AK1842" s="17">
        <v>0</v>
      </c>
      <c r="AL1842" s="149"/>
      <c r="AM1842" s="235">
        <v>26.544815528039926</v>
      </c>
      <c r="AN1842" s="89"/>
      <c r="AO1842" s="89"/>
      <c r="AP1842" s="788">
        <v>23442.174752035258</v>
      </c>
      <c r="AQ1842" s="133" t="s">
        <v>2835</v>
      </c>
      <c r="AR1842" s="238">
        <v>76.2</v>
      </c>
      <c r="AS1842" s="237">
        <v>101.6</v>
      </c>
      <c r="AT1842" s="237">
        <v>406.4</v>
      </c>
      <c r="AU1842" s="171">
        <f t="shared" si="127"/>
        <v>19.664516129032258</v>
      </c>
      <c r="AV1842" s="509">
        <v>98</v>
      </c>
      <c r="AW1842" s="251">
        <v>28</v>
      </c>
      <c r="AX1842" s="89"/>
      <c r="AY1842" s="750">
        <v>23</v>
      </c>
      <c r="AZ1842" s="89"/>
      <c r="BA1842" s="239">
        <v>50</v>
      </c>
      <c r="BB1842" s="276" t="s">
        <v>2807</v>
      </c>
      <c r="BC1842" s="176"/>
      <c r="BD1842" s="177"/>
      <c r="BE1842" s="177"/>
      <c r="BF1842" s="240"/>
    </row>
    <row r="1843" spans="1:58">
      <c r="A1843" s="111">
        <v>1842</v>
      </c>
      <c r="B1843" s="99" t="s">
        <v>2836</v>
      </c>
      <c r="C1843" s="73" t="s">
        <v>2804</v>
      </c>
      <c r="D1843" s="251" t="s">
        <v>119</v>
      </c>
      <c r="E1843" s="463" t="s">
        <v>3377</v>
      </c>
      <c r="F1843" s="252">
        <v>2013</v>
      </c>
      <c r="G1843" s="219">
        <v>374</v>
      </c>
      <c r="H1843" s="235" t="s">
        <v>1738</v>
      </c>
      <c r="I1843" s="236" t="s">
        <v>1743</v>
      </c>
      <c r="J1843" s="508">
        <v>0.49</v>
      </c>
      <c r="K1843" s="283"/>
      <c r="L1843" s="512"/>
      <c r="M1843" s="507"/>
      <c r="N1843" s="507"/>
      <c r="O1843" s="509" t="s">
        <v>126</v>
      </c>
      <c r="P1843" s="92"/>
      <c r="Q1843" s="510" t="s">
        <v>10</v>
      </c>
      <c r="R1843" s="512" t="s">
        <v>2828</v>
      </c>
      <c r="S1843" s="507"/>
      <c r="T1843" s="507"/>
      <c r="U1843" s="512" t="s">
        <v>2828</v>
      </c>
      <c r="V1843" s="146"/>
      <c r="W1843" s="147"/>
      <c r="X1843" s="147"/>
      <c r="Y1843" s="120">
        <v>0</v>
      </c>
      <c r="Z1843" s="120">
        <v>0</v>
      </c>
      <c r="AA1843" s="148"/>
      <c r="AB1843" s="17">
        <v>0</v>
      </c>
      <c r="AC1843" s="17">
        <v>0</v>
      </c>
      <c r="AD1843" s="148"/>
      <c r="AE1843" s="148"/>
      <c r="AF1843" s="17">
        <v>0</v>
      </c>
      <c r="AG1843" s="148"/>
      <c r="AH1843" s="17">
        <v>0</v>
      </c>
      <c r="AI1843" s="148"/>
      <c r="AJ1843" s="148"/>
      <c r="AK1843" s="17">
        <v>0</v>
      </c>
      <c r="AL1843" s="149"/>
      <c r="AM1843" s="235">
        <v>26.544815528039926</v>
      </c>
      <c r="AN1843" s="89"/>
      <c r="AO1843" s="89"/>
      <c r="AP1843" s="788">
        <v>23442.174752035258</v>
      </c>
      <c r="AQ1843" s="133" t="s">
        <v>2837</v>
      </c>
      <c r="AR1843" s="238">
        <v>76.2</v>
      </c>
      <c r="AS1843" s="237">
        <v>101.6</v>
      </c>
      <c r="AT1843" s="237">
        <v>406.4</v>
      </c>
      <c r="AU1843" s="171">
        <f t="shared" si="127"/>
        <v>19.664516129032258</v>
      </c>
      <c r="AV1843" s="509">
        <v>98</v>
      </c>
      <c r="AW1843" s="251">
        <v>28</v>
      </c>
      <c r="AX1843" s="89"/>
      <c r="AY1843" s="750">
        <v>23</v>
      </c>
      <c r="AZ1843" s="89"/>
      <c r="BA1843" s="239">
        <v>50</v>
      </c>
      <c r="BB1843" s="276" t="s">
        <v>2807</v>
      </c>
      <c r="BC1843" s="176"/>
      <c r="BD1843" s="177"/>
      <c r="BE1843" s="177"/>
      <c r="BF1843" s="240"/>
    </row>
    <row r="1844" spans="1:58">
      <c r="A1844" s="111">
        <v>1843</v>
      </c>
      <c r="B1844" s="99" t="s">
        <v>2838</v>
      </c>
      <c r="C1844" s="73" t="s">
        <v>2804</v>
      </c>
      <c r="D1844" s="251" t="s">
        <v>119</v>
      </c>
      <c r="E1844" s="463" t="s">
        <v>3377</v>
      </c>
      <c r="F1844" s="252">
        <v>2013</v>
      </c>
      <c r="G1844" s="219">
        <v>374</v>
      </c>
      <c r="H1844" s="235" t="s">
        <v>1738</v>
      </c>
      <c r="I1844" s="236" t="s">
        <v>1743</v>
      </c>
      <c r="J1844" s="508">
        <v>0.38</v>
      </c>
      <c r="K1844" s="283"/>
      <c r="L1844" s="512"/>
      <c r="M1844" s="507"/>
      <c r="N1844" s="507"/>
      <c r="O1844" s="509" t="s">
        <v>126</v>
      </c>
      <c r="P1844" s="92"/>
      <c r="Q1844" s="510" t="s">
        <v>10</v>
      </c>
      <c r="R1844" s="512" t="s">
        <v>2828</v>
      </c>
      <c r="S1844" s="507"/>
      <c r="T1844" s="507"/>
      <c r="U1844" s="512" t="s">
        <v>2828</v>
      </c>
      <c r="V1844" s="146"/>
      <c r="W1844" s="147"/>
      <c r="X1844" s="147"/>
      <c r="Y1844" s="120">
        <v>0</v>
      </c>
      <c r="Z1844" s="120">
        <v>0</v>
      </c>
      <c r="AA1844" s="148"/>
      <c r="AB1844" s="17">
        <v>0</v>
      </c>
      <c r="AC1844" s="17">
        <v>0</v>
      </c>
      <c r="AD1844" s="148"/>
      <c r="AE1844" s="148"/>
      <c r="AF1844" s="17">
        <v>0</v>
      </c>
      <c r="AG1844" s="148"/>
      <c r="AH1844" s="17">
        <v>0</v>
      </c>
      <c r="AI1844" s="148"/>
      <c r="AJ1844" s="148"/>
      <c r="AK1844" s="17">
        <v>0</v>
      </c>
      <c r="AL1844" s="149"/>
      <c r="AM1844" s="235">
        <v>37.645374748856618</v>
      </c>
      <c r="AN1844" s="89"/>
      <c r="AO1844" s="89"/>
      <c r="AP1844" s="788">
        <v>32267.464070448532</v>
      </c>
      <c r="AQ1844" s="133" t="s">
        <v>2839</v>
      </c>
      <c r="AR1844" s="238">
        <v>76.2</v>
      </c>
      <c r="AS1844" s="237">
        <v>101.6</v>
      </c>
      <c r="AT1844" s="237">
        <v>406.4</v>
      </c>
      <c r="AU1844" s="171">
        <f t="shared" si="127"/>
        <v>19.664516129032258</v>
      </c>
      <c r="AV1844" s="509">
        <v>98</v>
      </c>
      <c r="AW1844" s="251">
        <v>28</v>
      </c>
      <c r="AX1844" s="89"/>
      <c r="AY1844" s="750">
        <v>23</v>
      </c>
      <c r="AZ1844" s="89"/>
      <c r="BA1844" s="239">
        <v>50</v>
      </c>
      <c r="BB1844" s="276" t="s">
        <v>2807</v>
      </c>
      <c r="BC1844" s="176"/>
      <c r="BD1844" s="177"/>
      <c r="BE1844" s="177"/>
      <c r="BF1844" s="240"/>
    </row>
    <row r="1845" spans="1:58">
      <c r="A1845" s="111">
        <v>1844</v>
      </c>
      <c r="B1845" s="99" t="s">
        <v>2840</v>
      </c>
      <c r="C1845" s="73" t="s">
        <v>2804</v>
      </c>
      <c r="D1845" s="251" t="s">
        <v>119</v>
      </c>
      <c r="E1845" s="463" t="s">
        <v>3377</v>
      </c>
      <c r="F1845" s="252">
        <v>2013</v>
      </c>
      <c r="G1845" s="219">
        <v>374</v>
      </c>
      <c r="H1845" s="235" t="s">
        <v>1738</v>
      </c>
      <c r="I1845" s="236" t="s">
        <v>1743</v>
      </c>
      <c r="J1845" s="508">
        <v>0.38</v>
      </c>
      <c r="K1845" s="283"/>
      <c r="L1845" s="512"/>
      <c r="M1845" s="507"/>
      <c r="N1845" s="507"/>
      <c r="O1845" s="509" t="s">
        <v>126</v>
      </c>
      <c r="P1845" s="92"/>
      <c r="Q1845" s="510" t="s">
        <v>10</v>
      </c>
      <c r="R1845" s="512" t="s">
        <v>2828</v>
      </c>
      <c r="S1845" s="507"/>
      <c r="T1845" s="507"/>
      <c r="U1845" s="512" t="s">
        <v>2828</v>
      </c>
      <c r="V1845" s="146"/>
      <c r="W1845" s="147"/>
      <c r="X1845" s="147"/>
      <c r="Y1845" s="120">
        <v>0</v>
      </c>
      <c r="Z1845" s="120">
        <v>0</v>
      </c>
      <c r="AA1845" s="148"/>
      <c r="AB1845" s="17">
        <v>0</v>
      </c>
      <c r="AC1845" s="17">
        <v>0</v>
      </c>
      <c r="AD1845" s="148"/>
      <c r="AE1845" s="148"/>
      <c r="AF1845" s="17">
        <v>0</v>
      </c>
      <c r="AG1845" s="148"/>
      <c r="AH1845" s="17">
        <v>0</v>
      </c>
      <c r="AI1845" s="148"/>
      <c r="AJ1845" s="148"/>
      <c r="AK1845" s="17">
        <v>0</v>
      </c>
      <c r="AL1845" s="149"/>
      <c r="AM1845" s="235">
        <v>39.231168923259006</v>
      </c>
      <c r="AN1845" s="89"/>
      <c r="AO1845" s="89"/>
      <c r="AP1845" s="788">
        <v>31026.407760046666</v>
      </c>
      <c r="AQ1845" s="133" t="s">
        <v>2841</v>
      </c>
      <c r="AR1845" s="238">
        <v>76.2</v>
      </c>
      <c r="AS1845" s="237">
        <v>101.6</v>
      </c>
      <c r="AT1845" s="237">
        <v>406.4</v>
      </c>
      <c r="AU1845" s="171">
        <f t="shared" si="127"/>
        <v>19.664516129032258</v>
      </c>
      <c r="AV1845" s="509">
        <v>98</v>
      </c>
      <c r="AW1845" s="251">
        <v>28</v>
      </c>
      <c r="AX1845" s="89"/>
      <c r="AY1845" s="750">
        <v>23</v>
      </c>
      <c r="AZ1845" s="89"/>
      <c r="BA1845" s="239">
        <v>50</v>
      </c>
      <c r="BB1845" s="276" t="s">
        <v>2807</v>
      </c>
      <c r="BC1845" s="176"/>
      <c r="BD1845" s="177"/>
      <c r="BE1845" s="177"/>
      <c r="BF1845" s="240"/>
    </row>
    <row r="1846" spans="1:58">
      <c r="A1846" s="111">
        <v>1845</v>
      </c>
      <c r="B1846" s="99" t="s">
        <v>2842</v>
      </c>
      <c r="C1846" s="73" t="s">
        <v>2804</v>
      </c>
      <c r="D1846" s="251" t="s">
        <v>119</v>
      </c>
      <c r="E1846" s="463" t="s">
        <v>3377</v>
      </c>
      <c r="F1846" s="252">
        <v>2013</v>
      </c>
      <c r="G1846" s="219">
        <v>374</v>
      </c>
      <c r="H1846" s="235" t="s">
        <v>1738</v>
      </c>
      <c r="I1846" s="236" t="s">
        <v>1743</v>
      </c>
      <c r="J1846" s="508">
        <v>0.38</v>
      </c>
      <c r="K1846" s="283"/>
      <c r="L1846" s="512"/>
      <c r="M1846" s="507"/>
      <c r="N1846" s="507"/>
      <c r="O1846" s="509" t="s">
        <v>126</v>
      </c>
      <c r="P1846" s="92"/>
      <c r="Q1846" s="510" t="s">
        <v>10</v>
      </c>
      <c r="R1846" s="506" t="s">
        <v>2843</v>
      </c>
      <c r="S1846" s="507"/>
      <c r="T1846" s="507"/>
      <c r="U1846" s="506" t="s">
        <v>2843</v>
      </c>
      <c r="V1846" s="146"/>
      <c r="W1846" s="147"/>
      <c r="X1846" s="148"/>
      <c r="Y1846" s="148"/>
      <c r="Z1846" s="148"/>
      <c r="AA1846" s="148"/>
      <c r="AB1846" s="17">
        <v>0</v>
      </c>
      <c r="AC1846" s="17">
        <v>0</v>
      </c>
      <c r="AD1846" s="148"/>
      <c r="AE1846" s="148"/>
      <c r="AF1846" s="17">
        <v>0</v>
      </c>
      <c r="AG1846" s="148"/>
      <c r="AH1846" s="17">
        <v>0</v>
      </c>
      <c r="AI1846" s="148"/>
      <c r="AJ1846" s="148"/>
      <c r="AK1846" s="17">
        <v>0</v>
      </c>
      <c r="AL1846" s="149"/>
      <c r="AM1846" s="235">
        <v>29.7853514496448</v>
      </c>
      <c r="AN1846" s="89"/>
      <c r="AO1846" s="89"/>
      <c r="AP1846" s="788">
        <v>26613.763100840028</v>
      </c>
      <c r="AQ1846" s="133" t="s">
        <v>2844</v>
      </c>
      <c r="AR1846" s="238">
        <v>76.2</v>
      </c>
      <c r="AS1846" s="237">
        <v>101.6</v>
      </c>
      <c r="AT1846" s="237">
        <v>406.4</v>
      </c>
      <c r="AU1846" s="171">
        <f t="shared" si="127"/>
        <v>19.664516129032258</v>
      </c>
      <c r="AV1846" s="509">
        <v>98</v>
      </c>
      <c r="AW1846" s="251">
        <v>28</v>
      </c>
      <c r="AX1846" s="89"/>
      <c r="AY1846" s="750">
        <v>23</v>
      </c>
      <c r="AZ1846" s="89"/>
      <c r="BA1846" s="239">
        <v>50</v>
      </c>
      <c r="BB1846" s="276" t="s">
        <v>2807</v>
      </c>
      <c r="BC1846" s="176"/>
      <c r="BD1846" s="177"/>
      <c r="BE1846" s="177"/>
      <c r="BF1846" s="240"/>
    </row>
    <row r="1847" spans="1:58">
      <c r="A1847" s="111">
        <v>1846</v>
      </c>
      <c r="B1847" s="99" t="s">
        <v>2845</v>
      </c>
      <c r="C1847" s="73" t="s">
        <v>2804</v>
      </c>
      <c r="D1847" s="251" t="s">
        <v>119</v>
      </c>
      <c r="E1847" s="463" t="s">
        <v>3377</v>
      </c>
      <c r="F1847" s="252">
        <v>2013</v>
      </c>
      <c r="G1847" s="219">
        <v>374</v>
      </c>
      <c r="H1847" s="235" t="s">
        <v>1738</v>
      </c>
      <c r="I1847" s="236" t="s">
        <v>1743</v>
      </c>
      <c r="J1847" s="508">
        <v>0.3</v>
      </c>
      <c r="K1847" s="283"/>
      <c r="L1847" s="512"/>
      <c r="M1847" s="507"/>
      <c r="N1847" s="507"/>
      <c r="O1847" s="509" t="s">
        <v>126</v>
      </c>
      <c r="P1847" s="92"/>
      <c r="Q1847" s="510" t="s">
        <v>10</v>
      </c>
      <c r="R1847" s="506" t="s">
        <v>2843</v>
      </c>
      <c r="S1847" s="507"/>
      <c r="T1847" s="507"/>
      <c r="U1847" s="506" t="s">
        <v>2843</v>
      </c>
      <c r="V1847" s="146"/>
      <c r="W1847" s="147"/>
      <c r="X1847" s="148"/>
      <c r="Y1847" s="148"/>
      <c r="Z1847" s="148"/>
      <c r="AA1847" s="148"/>
      <c r="AB1847" s="17">
        <v>0</v>
      </c>
      <c r="AC1847" s="17">
        <v>0</v>
      </c>
      <c r="AD1847" s="148"/>
      <c r="AE1847" s="148"/>
      <c r="AF1847" s="17">
        <v>0</v>
      </c>
      <c r="AG1847" s="148"/>
      <c r="AH1847" s="17">
        <v>0</v>
      </c>
      <c r="AI1847" s="148"/>
      <c r="AJ1847" s="148"/>
      <c r="AK1847" s="17">
        <v>0</v>
      </c>
      <c r="AL1847" s="149"/>
      <c r="AM1847" s="235">
        <v>31.164302905646874</v>
      </c>
      <c r="AN1847" s="89"/>
      <c r="AO1847" s="89"/>
      <c r="AP1847" s="788">
        <v>27441.133974441273</v>
      </c>
      <c r="AQ1847" s="133" t="s">
        <v>2846</v>
      </c>
      <c r="AR1847" s="238">
        <v>76.2</v>
      </c>
      <c r="AS1847" s="237">
        <v>101.6</v>
      </c>
      <c r="AT1847" s="237">
        <v>406.4</v>
      </c>
      <c r="AU1847" s="171">
        <f t="shared" si="127"/>
        <v>19.664516129032258</v>
      </c>
      <c r="AV1847" s="509">
        <v>98</v>
      </c>
      <c r="AW1847" s="251">
        <v>28</v>
      </c>
      <c r="AX1847" s="89"/>
      <c r="AY1847" s="750">
        <v>23</v>
      </c>
      <c r="AZ1847" s="89"/>
      <c r="BA1847" s="239">
        <v>50</v>
      </c>
      <c r="BB1847" s="276" t="s">
        <v>2807</v>
      </c>
      <c r="BC1847" s="176"/>
      <c r="BD1847" s="177"/>
      <c r="BE1847" s="177"/>
      <c r="BF1847" s="240"/>
    </row>
    <row r="1848" spans="1:58">
      <c r="A1848" s="111">
        <v>1847</v>
      </c>
      <c r="B1848" s="99" t="s">
        <v>2847</v>
      </c>
      <c r="C1848" s="73" t="s">
        <v>2804</v>
      </c>
      <c r="D1848" s="251" t="s">
        <v>119</v>
      </c>
      <c r="E1848" s="463" t="s">
        <v>3377</v>
      </c>
      <c r="F1848" s="252">
        <v>2013</v>
      </c>
      <c r="G1848" s="219">
        <v>374</v>
      </c>
      <c r="H1848" s="235" t="s">
        <v>1738</v>
      </c>
      <c r="I1848" s="236" t="s">
        <v>1743</v>
      </c>
      <c r="J1848" s="508">
        <v>0.38</v>
      </c>
      <c r="K1848" s="283"/>
      <c r="L1848" s="512"/>
      <c r="M1848" s="507"/>
      <c r="N1848" s="507"/>
      <c r="O1848" s="509" t="s">
        <v>126</v>
      </c>
      <c r="P1848" s="92"/>
      <c r="Q1848" s="510" t="s">
        <v>10</v>
      </c>
      <c r="R1848" s="506" t="s">
        <v>2843</v>
      </c>
      <c r="S1848" s="507"/>
      <c r="T1848" s="507"/>
      <c r="U1848" s="506" t="s">
        <v>2843</v>
      </c>
      <c r="V1848" s="146"/>
      <c r="W1848" s="147"/>
      <c r="X1848" s="148"/>
      <c r="Y1848" s="148"/>
      <c r="Z1848" s="148"/>
      <c r="AA1848" s="148"/>
      <c r="AB1848" s="17">
        <v>0</v>
      </c>
      <c r="AC1848" s="17">
        <v>0</v>
      </c>
      <c r="AD1848" s="148"/>
      <c r="AE1848" s="148"/>
      <c r="AF1848" s="17">
        <v>0</v>
      </c>
      <c r="AG1848" s="148"/>
      <c r="AH1848" s="17">
        <v>0</v>
      </c>
      <c r="AI1848" s="148"/>
      <c r="AJ1848" s="148"/>
      <c r="AK1848" s="17">
        <v>0</v>
      </c>
      <c r="AL1848" s="149"/>
      <c r="AM1848" s="235">
        <v>30.750617468846251</v>
      </c>
      <c r="AN1848" s="89"/>
      <c r="AO1848" s="89"/>
      <c r="AP1848" s="788">
        <v>27716.924265641686</v>
      </c>
      <c r="AQ1848" s="133" t="s">
        <v>2848</v>
      </c>
      <c r="AR1848" s="238">
        <v>76.2</v>
      </c>
      <c r="AS1848" s="237">
        <v>101.6</v>
      </c>
      <c r="AT1848" s="237">
        <v>406.4</v>
      </c>
      <c r="AU1848" s="171">
        <f t="shared" si="127"/>
        <v>19.664516129032258</v>
      </c>
      <c r="AV1848" s="509">
        <v>98</v>
      </c>
      <c r="AW1848" s="251">
        <v>28</v>
      </c>
      <c r="AX1848" s="89"/>
      <c r="AY1848" s="750">
        <v>23</v>
      </c>
      <c r="AZ1848" s="89"/>
      <c r="BA1848" s="239">
        <v>50</v>
      </c>
      <c r="BB1848" s="276" t="s">
        <v>2807</v>
      </c>
      <c r="BC1848" s="176"/>
      <c r="BD1848" s="177"/>
      <c r="BE1848" s="177"/>
      <c r="BF1848" s="240"/>
    </row>
    <row r="1849" spans="1:58">
      <c r="A1849" s="111">
        <v>1848</v>
      </c>
      <c r="B1849" s="99" t="s">
        <v>2849</v>
      </c>
      <c r="C1849" s="73" t="s">
        <v>2804</v>
      </c>
      <c r="D1849" s="251" t="s">
        <v>119</v>
      </c>
      <c r="E1849" s="463" t="s">
        <v>3377</v>
      </c>
      <c r="F1849" s="252">
        <v>2013</v>
      </c>
      <c r="G1849" s="219">
        <v>374</v>
      </c>
      <c r="H1849" s="235" t="s">
        <v>1738</v>
      </c>
      <c r="I1849" s="236" t="s">
        <v>1743</v>
      </c>
      <c r="J1849" s="508">
        <v>0.49</v>
      </c>
      <c r="K1849" s="283"/>
      <c r="L1849" s="512"/>
      <c r="M1849" s="507"/>
      <c r="N1849" s="507"/>
      <c r="O1849" s="509" t="s">
        <v>126</v>
      </c>
      <c r="P1849" s="92"/>
      <c r="Q1849" s="510" t="s">
        <v>10</v>
      </c>
      <c r="R1849" s="506" t="s">
        <v>2843</v>
      </c>
      <c r="S1849" s="507"/>
      <c r="T1849" s="507"/>
      <c r="U1849" s="506" t="s">
        <v>2843</v>
      </c>
      <c r="V1849" s="146"/>
      <c r="W1849" s="147"/>
      <c r="X1849" s="148"/>
      <c r="Y1849" s="148"/>
      <c r="Z1849" s="148"/>
      <c r="AA1849" s="148"/>
      <c r="AB1849" s="17">
        <v>0</v>
      </c>
      <c r="AC1849" s="17">
        <v>0</v>
      </c>
      <c r="AD1849" s="148"/>
      <c r="AE1849" s="148"/>
      <c r="AF1849" s="17">
        <v>0</v>
      </c>
      <c r="AG1849" s="148"/>
      <c r="AH1849" s="17">
        <v>0</v>
      </c>
      <c r="AI1849" s="148"/>
      <c r="AJ1849" s="148"/>
      <c r="AK1849" s="17">
        <v>0</v>
      </c>
      <c r="AL1849" s="149"/>
      <c r="AM1849" s="235">
        <v>29.509561158444384</v>
      </c>
      <c r="AN1849" s="89"/>
      <c r="AO1849" s="89"/>
      <c r="AP1849" s="788">
        <v>28475.34756644283</v>
      </c>
      <c r="AQ1849" s="133" t="s">
        <v>2850</v>
      </c>
      <c r="AR1849" s="238">
        <v>76.2</v>
      </c>
      <c r="AS1849" s="237">
        <v>101.6</v>
      </c>
      <c r="AT1849" s="237">
        <v>406.4</v>
      </c>
      <c r="AU1849" s="171">
        <f t="shared" si="127"/>
        <v>19.664516129032258</v>
      </c>
      <c r="AV1849" s="509">
        <v>98</v>
      </c>
      <c r="AW1849" s="251">
        <v>28</v>
      </c>
      <c r="AX1849" s="89"/>
      <c r="AY1849" s="750">
        <v>23</v>
      </c>
      <c r="AZ1849" s="89"/>
      <c r="BA1849" s="239">
        <v>50</v>
      </c>
      <c r="BB1849" s="276" t="s">
        <v>2807</v>
      </c>
      <c r="BC1849" s="176"/>
      <c r="BD1849" s="177"/>
      <c r="BE1849" s="177"/>
      <c r="BF1849" s="240"/>
    </row>
    <row r="1850" spans="1:58">
      <c r="A1850" s="111">
        <v>1849</v>
      </c>
      <c r="B1850" s="99" t="s">
        <v>2851</v>
      </c>
      <c r="C1850" s="73" t="s">
        <v>2804</v>
      </c>
      <c r="D1850" s="251" t="s">
        <v>119</v>
      </c>
      <c r="E1850" s="463" t="s">
        <v>3377</v>
      </c>
      <c r="F1850" s="252">
        <v>2013</v>
      </c>
      <c r="G1850" s="219">
        <v>374</v>
      </c>
      <c r="H1850" s="235" t="s">
        <v>1738</v>
      </c>
      <c r="I1850" s="236" t="s">
        <v>1743</v>
      </c>
      <c r="J1850" s="508">
        <v>0.38</v>
      </c>
      <c r="K1850" s="283"/>
      <c r="L1850" s="512"/>
      <c r="M1850" s="507"/>
      <c r="N1850" s="507"/>
      <c r="O1850" s="509" t="s">
        <v>126</v>
      </c>
      <c r="P1850" s="92"/>
      <c r="Q1850" s="510" t="s">
        <v>10</v>
      </c>
      <c r="R1850" s="506" t="s">
        <v>2852</v>
      </c>
      <c r="S1850" s="507"/>
      <c r="T1850" s="507"/>
      <c r="U1850" s="506" t="s">
        <v>2852</v>
      </c>
      <c r="V1850" s="146"/>
      <c r="W1850" s="147"/>
      <c r="X1850" s="147"/>
      <c r="Y1850" s="120">
        <v>0</v>
      </c>
      <c r="Z1850" s="120">
        <v>0</v>
      </c>
      <c r="AA1850" s="148"/>
      <c r="AB1850" s="17">
        <v>0</v>
      </c>
      <c r="AC1850" s="17">
        <v>0</v>
      </c>
      <c r="AD1850" s="148"/>
      <c r="AE1850" s="148"/>
      <c r="AF1850" s="17">
        <v>0</v>
      </c>
      <c r="AG1850" s="148"/>
      <c r="AH1850" s="17">
        <v>0</v>
      </c>
      <c r="AI1850" s="148"/>
      <c r="AJ1850" s="148"/>
      <c r="AK1850" s="17">
        <v>0</v>
      </c>
      <c r="AL1850" s="149"/>
      <c r="AM1850" s="235">
        <v>21.856380577632873</v>
      </c>
      <c r="AN1850" s="89"/>
      <c r="AO1850" s="89"/>
      <c r="AP1850" s="788">
        <v>25234.811644837955</v>
      </c>
      <c r="AQ1850" s="133" t="s">
        <v>2853</v>
      </c>
      <c r="AR1850" s="238">
        <v>76.2</v>
      </c>
      <c r="AS1850" s="237">
        <v>101.6</v>
      </c>
      <c r="AT1850" s="237">
        <v>406.4</v>
      </c>
      <c r="AU1850" s="171">
        <f t="shared" si="127"/>
        <v>19.664516129032258</v>
      </c>
      <c r="AV1850" s="509">
        <v>98</v>
      </c>
      <c r="AW1850" s="251">
        <v>28</v>
      </c>
      <c r="AX1850" s="89"/>
      <c r="AY1850" s="750">
        <v>23</v>
      </c>
      <c r="AZ1850" s="89"/>
      <c r="BA1850" s="239">
        <v>50</v>
      </c>
      <c r="BB1850" s="276" t="s">
        <v>2807</v>
      </c>
      <c r="BC1850" s="176"/>
      <c r="BD1850" s="177"/>
      <c r="BE1850" s="177"/>
      <c r="BF1850" s="240"/>
    </row>
    <row r="1851" spans="1:58">
      <c r="A1851" s="111">
        <v>1850</v>
      </c>
      <c r="B1851" s="99" t="s">
        <v>2854</v>
      </c>
      <c r="C1851" s="73" t="s">
        <v>2804</v>
      </c>
      <c r="D1851" s="251" t="s">
        <v>119</v>
      </c>
      <c r="E1851" s="463" t="s">
        <v>3377</v>
      </c>
      <c r="F1851" s="252">
        <v>2013</v>
      </c>
      <c r="G1851" s="219">
        <v>374</v>
      </c>
      <c r="H1851" s="235" t="s">
        <v>1738</v>
      </c>
      <c r="I1851" s="236" t="s">
        <v>1743</v>
      </c>
      <c r="J1851" s="508">
        <v>0.3</v>
      </c>
      <c r="K1851" s="283"/>
      <c r="L1851" s="512"/>
      <c r="M1851" s="507"/>
      <c r="N1851" s="507"/>
      <c r="O1851" s="509" t="s">
        <v>126</v>
      </c>
      <c r="P1851" s="92"/>
      <c r="Q1851" s="510" t="s">
        <v>10</v>
      </c>
      <c r="R1851" s="506" t="s">
        <v>2852</v>
      </c>
      <c r="S1851" s="507"/>
      <c r="T1851" s="507"/>
      <c r="U1851" s="506" t="s">
        <v>2852</v>
      </c>
      <c r="V1851" s="146"/>
      <c r="W1851" s="147"/>
      <c r="X1851" s="147"/>
      <c r="Y1851" s="120">
        <v>0</v>
      </c>
      <c r="Z1851" s="120">
        <v>0</v>
      </c>
      <c r="AA1851" s="148"/>
      <c r="AB1851" s="17">
        <v>0</v>
      </c>
      <c r="AC1851" s="17">
        <v>0</v>
      </c>
      <c r="AD1851" s="148"/>
      <c r="AE1851" s="148"/>
      <c r="AF1851" s="17">
        <v>0</v>
      </c>
      <c r="AG1851" s="148"/>
      <c r="AH1851" s="17">
        <v>0</v>
      </c>
      <c r="AI1851" s="148"/>
      <c r="AJ1851" s="148"/>
      <c r="AK1851" s="17">
        <v>0</v>
      </c>
      <c r="AL1851" s="149"/>
      <c r="AM1851" s="235">
        <v>31.922726206448015</v>
      </c>
      <c r="AN1851" s="89"/>
      <c r="AO1851" s="89"/>
      <c r="AP1851" s="788">
        <v>29164.823294443868</v>
      </c>
      <c r="AQ1851" s="133" t="s">
        <v>2855</v>
      </c>
      <c r="AR1851" s="238">
        <v>76.2</v>
      </c>
      <c r="AS1851" s="237">
        <v>101.6</v>
      </c>
      <c r="AT1851" s="237">
        <v>406.4</v>
      </c>
      <c r="AU1851" s="171">
        <f t="shared" si="127"/>
        <v>19.664516129032258</v>
      </c>
      <c r="AV1851" s="509">
        <v>98</v>
      </c>
      <c r="AW1851" s="251">
        <v>28</v>
      </c>
      <c r="AX1851" s="89"/>
      <c r="AY1851" s="750">
        <v>23</v>
      </c>
      <c r="AZ1851" s="89"/>
      <c r="BA1851" s="239">
        <v>50</v>
      </c>
      <c r="BB1851" s="276" t="s">
        <v>2807</v>
      </c>
      <c r="BC1851" s="176"/>
      <c r="BD1851" s="177"/>
      <c r="BE1851" s="177"/>
      <c r="BF1851" s="240"/>
    </row>
    <row r="1852" spans="1:58">
      <c r="A1852" s="111">
        <v>1851</v>
      </c>
      <c r="B1852" s="99" t="s">
        <v>2856</v>
      </c>
      <c r="C1852" s="73" t="s">
        <v>2804</v>
      </c>
      <c r="D1852" s="251" t="s">
        <v>119</v>
      </c>
      <c r="E1852" s="463" t="s">
        <v>3377</v>
      </c>
      <c r="F1852" s="252">
        <v>2013</v>
      </c>
      <c r="G1852" s="219">
        <v>374</v>
      </c>
      <c r="H1852" s="235" t="s">
        <v>1738</v>
      </c>
      <c r="I1852" s="236" t="s">
        <v>1743</v>
      </c>
      <c r="J1852" s="508">
        <v>0.38</v>
      </c>
      <c r="K1852" s="283"/>
      <c r="L1852" s="512"/>
      <c r="M1852" s="507"/>
      <c r="N1852" s="507"/>
      <c r="O1852" s="509" t="s">
        <v>126</v>
      </c>
      <c r="P1852" s="92"/>
      <c r="Q1852" s="510" t="s">
        <v>10</v>
      </c>
      <c r="R1852" s="506" t="s">
        <v>2852</v>
      </c>
      <c r="S1852" s="507"/>
      <c r="T1852" s="507"/>
      <c r="U1852" s="506" t="s">
        <v>2852</v>
      </c>
      <c r="V1852" s="146"/>
      <c r="W1852" s="147"/>
      <c r="X1852" s="147"/>
      <c r="Y1852" s="120">
        <v>0</v>
      </c>
      <c r="Z1852" s="120">
        <v>0</v>
      </c>
      <c r="AA1852" s="148"/>
      <c r="AB1852" s="17">
        <v>0</v>
      </c>
      <c r="AC1852" s="17">
        <v>0</v>
      </c>
      <c r="AD1852" s="148"/>
      <c r="AE1852" s="148"/>
      <c r="AF1852" s="17">
        <v>0</v>
      </c>
      <c r="AG1852" s="148"/>
      <c r="AH1852" s="17">
        <v>0</v>
      </c>
      <c r="AI1852" s="148"/>
      <c r="AJ1852" s="148"/>
      <c r="AK1852" s="17">
        <v>0</v>
      </c>
      <c r="AL1852" s="149"/>
      <c r="AM1852" s="235">
        <v>21.994275723233081</v>
      </c>
      <c r="AN1852" s="89"/>
      <c r="AO1852" s="89"/>
      <c r="AP1852" s="788">
        <v>26475.867955239821</v>
      </c>
      <c r="AQ1852" s="133" t="s">
        <v>2857</v>
      </c>
      <c r="AR1852" s="238">
        <v>76.2</v>
      </c>
      <c r="AS1852" s="237">
        <v>101.6</v>
      </c>
      <c r="AT1852" s="237">
        <v>406.4</v>
      </c>
      <c r="AU1852" s="171">
        <f t="shared" si="127"/>
        <v>19.664516129032258</v>
      </c>
      <c r="AV1852" s="509">
        <v>98</v>
      </c>
      <c r="AW1852" s="251">
        <v>28</v>
      </c>
      <c r="AX1852" s="89"/>
      <c r="AY1852" s="750">
        <v>23</v>
      </c>
      <c r="AZ1852" s="89"/>
      <c r="BA1852" s="239">
        <v>50</v>
      </c>
      <c r="BB1852" s="276" t="s">
        <v>2807</v>
      </c>
      <c r="BC1852" s="176"/>
      <c r="BD1852" s="177"/>
      <c r="BE1852" s="177"/>
      <c r="BF1852" s="240"/>
    </row>
    <row r="1853" spans="1:58">
      <c r="A1853" s="111">
        <v>1852</v>
      </c>
      <c r="B1853" s="99" t="s">
        <v>2858</v>
      </c>
      <c r="C1853" s="73" t="s">
        <v>2804</v>
      </c>
      <c r="D1853" s="251" t="s">
        <v>119</v>
      </c>
      <c r="E1853" s="463" t="s">
        <v>3377</v>
      </c>
      <c r="F1853" s="252">
        <v>2013</v>
      </c>
      <c r="G1853" s="219">
        <v>374</v>
      </c>
      <c r="H1853" s="235" t="s">
        <v>1738</v>
      </c>
      <c r="I1853" s="236" t="s">
        <v>1743</v>
      </c>
      <c r="J1853" s="508">
        <v>0.49</v>
      </c>
      <c r="K1853" s="283"/>
      <c r="L1853" s="512"/>
      <c r="M1853" s="507"/>
      <c r="N1853" s="507"/>
      <c r="O1853" s="509" t="s">
        <v>126</v>
      </c>
      <c r="P1853" s="92"/>
      <c r="Q1853" s="510" t="s">
        <v>10</v>
      </c>
      <c r="R1853" s="506" t="s">
        <v>2852</v>
      </c>
      <c r="S1853" s="507"/>
      <c r="T1853" s="507"/>
      <c r="U1853" s="506" t="s">
        <v>2852</v>
      </c>
      <c r="V1853" s="146"/>
      <c r="W1853" s="147"/>
      <c r="X1853" s="147"/>
      <c r="Y1853" s="120">
        <v>0</v>
      </c>
      <c r="Z1853" s="120">
        <v>0</v>
      </c>
      <c r="AA1853" s="148"/>
      <c r="AB1853" s="17">
        <v>0</v>
      </c>
      <c r="AC1853" s="17">
        <v>0</v>
      </c>
      <c r="AD1853" s="148"/>
      <c r="AE1853" s="148"/>
      <c r="AF1853" s="17">
        <v>0</v>
      </c>
      <c r="AG1853" s="148"/>
      <c r="AH1853" s="17">
        <v>0</v>
      </c>
      <c r="AI1853" s="148"/>
      <c r="AJ1853" s="148"/>
      <c r="AK1853" s="17">
        <v>0</v>
      </c>
      <c r="AL1853" s="149"/>
      <c r="AM1853" s="235">
        <v>23.028489315234637</v>
      </c>
      <c r="AN1853" s="89"/>
      <c r="AO1853" s="89"/>
      <c r="AP1853" s="788">
        <v>25924.287372838993</v>
      </c>
      <c r="AQ1853" s="133" t="s">
        <v>2859</v>
      </c>
      <c r="AR1853" s="238">
        <v>76.2</v>
      </c>
      <c r="AS1853" s="237">
        <v>101.6</v>
      </c>
      <c r="AT1853" s="237">
        <v>406.4</v>
      </c>
      <c r="AU1853" s="171">
        <f t="shared" si="127"/>
        <v>19.664516129032258</v>
      </c>
      <c r="AV1853" s="509">
        <v>98</v>
      </c>
      <c r="AW1853" s="251">
        <v>28</v>
      </c>
      <c r="AX1853" s="89"/>
      <c r="AY1853" s="750">
        <v>23</v>
      </c>
      <c r="AZ1853" s="89"/>
      <c r="BA1853" s="239">
        <v>50</v>
      </c>
      <c r="BB1853" s="276" t="s">
        <v>2807</v>
      </c>
      <c r="BC1853" s="176"/>
      <c r="BD1853" s="177"/>
      <c r="BE1853" s="177"/>
      <c r="BF1853" s="240"/>
    </row>
    <row r="1854" spans="1:58">
      <c r="A1854" s="111">
        <v>1853</v>
      </c>
      <c r="B1854" s="99" t="s">
        <v>2860</v>
      </c>
      <c r="C1854" s="73" t="s">
        <v>2804</v>
      </c>
      <c r="D1854" s="251" t="s">
        <v>119</v>
      </c>
      <c r="E1854" s="463" t="s">
        <v>3377</v>
      </c>
      <c r="F1854" s="252">
        <v>2013</v>
      </c>
      <c r="G1854" s="219">
        <v>374</v>
      </c>
      <c r="H1854" s="235" t="s">
        <v>1738</v>
      </c>
      <c r="I1854" s="236" t="s">
        <v>1743</v>
      </c>
      <c r="J1854" s="508">
        <v>0.38</v>
      </c>
      <c r="K1854" s="283"/>
      <c r="L1854" s="512"/>
      <c r="M1854" s="507"/>
      <c r="N1854" s="507"/>
      <c r="O1854" s="509" t="s">
        <v>126</v>
      </c>
      <c r="P1854" s="92"/>
      <c r="Q1854" s="510" t="s">
        <v>10</v>
      </c>
      <c r="R1854" s="506" t="s">
        <v>2861</v>
      </c>
      <c r="S1854" s="507"/>
      <c r="T1854" s="507"/>
      <c r="U1854" s="506" t="s">
        <v>2861</v>
      </c>
      <c r="V1854" s="146"/>
      <c r="W1854" s="147"/>
      <c r="X1854" s="148"/>
      <c r="Y1854" s="148"/>
      <c r="Z1854" s="148"/>
      <c r="AA1854" s="148"/>
      <c r="AB1854" s="17">
        <v>0</v>
      </c>
      <c r="AC1854" s="17">
        <v>0</v>
      </c>
      <c r="AD1854" s="148"/>
      <c r="AE1854" s="148"/>
      <c r="AF1854" s="17">
        <v>0</v>
      </c>
      <c r="AG1854" s="148"/>
      <c r="AH1854" s="17">
        <v>0</v>
      </c>
      <c r="AI1854" s="148"/>
      <c r="AJ1854" s="148"/>
      <c r="AK1854" s="17">
        <v>0</v>
      </c>
      <c r="AL1854" s="149"/>
      <c r="AM1854" s="235">
        <v>32.543254361648948</v>
      </c>
      <c r="AN1854" s="89"/>
      <c r="AO1854" s="89"/>
      <c r="AP1854" s="788">
        <v>27854.819411241893</v>
      </c>
      <c r="AQ1854" s="133" t="s">
        <v>2862</v>
      </c>
      <c r="AR1854" s="238">
        <v>76.2</v>
      </c>
      <c r="AS1854" s="237">
        <v>101.6</v>
      </c>
      <c r="AT1854" s="237">
        <v>406.4</v>
      </c>
      <c r="AU1854" s="171">
        <f t="shared" si="127"/>
        <v>19.664516129032258</v>
      </c>
      <c r="AV1854" s="509">
        <v>98</v>
      </c>
      <c r="AW1854" s="251">
        <v>28</v>
      </c>
      <c r="AX1854" s="89"/>
      <c r="AY1854" s="750">
        <v>23</v>
      </c>
      <c r="AZ1854" s="89"/>
      <c r="BA1854" s="241">
        <v>50</v>
      </c>
      <c r="BB1854" s="276" t="s">
        <v>2807</v>
      </c>
      <c r="BC1854" s="176"/>
      <c r="BD1854" s="177"/>
      <c r="BE1854" s="177"/>
      <c r="BF1854" s="240"/>
    </row>
    <row r="1855" spans="1:58">
      <c r="A1855" s="111">
        <v>1854</v>
      </c>
      <c r="B1855" s="99" t="s">
        <v>2863</v>
      </c>
      <c r="C1855" s="73" t="s">
        <v>2804</v>
      </c>
      <c r="D1855" s="251" t="s">
        <v>119</v>
      </c>
      <c r="E1855" s="463" t="s">
        <v>3377</v>
      </c>
      <c r="F1855" s="252">
        <v>2013</v>
      </c>
      <c r="G1855" s="219">
        <v>374</v>
      </c>
      <c r="H1855" s="235" t="s">
        <v>1738</v>
      </c>
      <c r="I1855" s="236" t="s">
        <v>1743</v>
      </c>
      <c r="J1855" s="508">
        <v>0.3</v>
      </c>
      <c r="K1855" s="283"/>
      <c r="L1855" s="512"/>
      <c r="M1855" s="507"/>
      <c r="N1855" s="507"/>
      <c r="O1855" s="509" t="s">
        <v>126</v>
      </c>
      <c r="P1855" s="92"/>
      <c r="Q1855" s="510" t="s">
        <v>10</v>
      </c>
      <c r="R1855" s="506" t="s">
        <v>2861</v>
      </c>
      <c r="S1855" s="507"/>
      <c r="T1855" s="507"/>
      <c r="U1855" s="506" t="s">
        <v>2861</v>
      </c>
      <c r="V1855" s="146"/>
      <c r="W1855" s="147"/>
      <c r="X1855" s="148"/>
      <c r="Y1855" s="148"/>
      <c r="Z1855" s="148"/>
      <c r="AA1855" s="148"/>
      <c r="AB1855" s="17">
        <v>0</v>
      </c>
      <c r="AC1855" s="17">
        <v>0</v>
      </c>
      <c r="AD1855" s="148"/>
      <c r="AE1855" s="148"/>
      <c r="AF1855" s="17">
        <v>0</v>
      </c>
      <c r="AG1855" s="148"/>
      <c r="AH1855" s="17">
        <v>0</v>
      </c>
      <c r="AI1855" s="148"/>
      <c r="AJ1855" s="148"/>
      <c r="AK1855" s="17">
        <v>0</v>
      </c>
      <c r="AL1855" s="149"/>
      <c r="AM1855" s="235">
        <v>46.53961164007</v>
      </c>
      <c r="AN1855" s="89"/>
      <c r="AO1855" s="89"/>
      <c r="AP1855" s="788">
        <v>36197.475720054441</v>
      </c>
      <c r="AQ1855" s="133" t="s">
        <v>2864</v>
      </c>
      <c r="AR1855" s="238">
        <v>76.2</v>
      </c>
      <c r="AS1855" s="237">
        <v>101.6</v>
      </c>
      <c r="AT1855" s="237">
        <v>406.4</v>
      </c>
      <c r="AU1855" s="171">
        <f t="shared" si="127"/>
        <v>19.664516129032258</v>
      </c>
      <c r="AV1855" s="509">
        <v>98</v>
      </c>
      <c r="AW1855" s="251">
        <v>28</v>
      </c>
      <c r="AX1855" s="89"/>
      <c r="AY1855" s="750">
        <v>23</v>
      </c>
      <c r="AZ1855" s="89"/>
      <c r="BA1855" s="241">
        <v>50</v>
      </c>
      <c r="BB1855" s="276" t="s">
        <v>2807</v>
      </c>
      <c r="BC1855" s="176"/>
      <c r="BD1855" s="177"/>
      <c r="BE1855" s="177"/>
      <c r="BF1855" s="240"/>
    </row>
    <row r="1856" spans="1:58">
      <c r="A1856" s="111">
        <v>1855</v>
      </c>
      <c r="B1856" s="99" t="s">
        <v>2865</v>
      </c>
      <c r="C1856" s="73" t="s">
        <v>2804</v>
      </c>
      <c r="D1856" s="251" t="s">
        <v>119</v>
      </c>
      <c r="E1856" s="463" t="s">
        <v>3377</v>
      </c>
      <c r="F1856" s="252">
        <v>2013</v>
      </c>
      <c r="G1856" s="219">
        <v>374</v>
      </c>
      <c r="H1856" s="235" t="s">
        <v>1738</v>
      </c>
      <c r="I1856" s="236" t="s">
        <v>1743</v>
      </c>
      <c r="J1856" s="508">
        <v>0.38</v>
      </c>
      <c r="K1856" s="283"/>
      <c r="L1856" s="512"/>
      <c r="M1856" s="507"/>
      <c r="N1856" s="507"/>
      <c r="O1856" s="509" t="s">
        <v>126</v>
      </c>
      <c r="P1856" s="92"/>
      <c r="Q1856" s="510" t="s">
        <v>10</v>
      </c>
      <c r="R1856" s="506" t="s">
        <v>2861</v>
      </c>
      <c r="S1856" s="507"/>
      <c r="T1856" s="507"/>
      <c r="U1856" s="506" t="s">
        <v>2861</v>
      </c>
      <c r="V1856" s="146"/>
      <c r="W1856" s="147"/>
      <c r="X1856" s="148"/>
      <c r="Y1856" s="148"/>
      <c r="Z1856" s="148"/>
      <c r="AA1856" s="148"/>
      <c r="AB1856" s="17">
        <v>0</v>
      </c>
      <c r="AC1856" s="17">
        <v>0</v>
      </c>
      <c r="AD1856" s="148"/>
      <c r="AE1856" s="148"/>
      <c r="AF1856" s="17">
        <v>0</v>
      </c>
      <c r="AG1856" s="148"/>
      <c r="AH1856" s="17">
        <v>0</v>
      </c>
      <c r="AI1856" s="148"/>
      <c r="AJ1856" s="148"/>
      <c r="AK1856" s="17">
        <v>0</v>
      </c>
      <c r="AL1856" s="149"/>
      <c r="AM1856" s="235">
        <v>33.301677662450089</v>
      </c>
      <c r="AN1856" s="89"/>
      <c r="AO1856" s="89"/>
      <c r="AP1856" s="788">
        <v>27579.029120041479</v>
      </c>
      <c r="AQ1856" s="133" t="s">
        <v>2866</v>
      </c>
      <c r="AR1856" s="238">
        <v>76.2</v>
      </c>
      <c r="AS1856" s="237">
        <v>101.6</v>
      </c>
      <c r="AT1856" s="237">
        <v>406.4</v>
      </c>
      <c r="AU1856" s="171">
        <f t="shared" si="127"/>
        <v>19.664516129032258</v>
      </c>
      <c r="AV1856" s="509">
        <v>98</v>
      </c>
      <c r="AW1856" s="251">
        <v>28</v>
      </c>
      <c r="AX1856" s="89"/>
      <c r="AY1856" s="750">
        <v>23</v>
      </c>
      <c r="AZ1856" s="89"/>
      <c r="BA1856" s="241">
        <v>50</v>
      </c>
      <c r="BB1856" s="276" t="s">
        <v>2807</v>
      </c>
      <c r="BC1856" s="176"/>
      <c r="BD1856" s="177"/>
      <c r="BE1856" s="177"/>
      <c r="BF1856" s="240"/>
    </row>
    <row r="1857" spans="1:82">
      <c r="A1857" s="111">
        <v>1856</v>
      </c>
      <c r="B1857" s="99" t="s">
        <v>2867</v>
      </c>
      <c r="C1857" s="73" t="s">
        <v>2804</v>
      </c>
      <c r="D1857" s="251" t="s">
        <v>119</v>
      </c>
      <c r="E1857" s="463" t="s">
        <v>3377</v>
      </c>
      <c r="F1857" s="252">
        <v>2013</v>
      </c>
      <c r="G1857" s="219">
        <v>374</v>
      </c>
      <c r="H1857" s="235" t="s">
        <v>1738</v>
      </c>
      <c r="I1857" s="236" t="s">
        <v>1743</v>
      </c>
      <c r="J1857" s="508">
        <v>0.49</v>
      </c>
      <c r="K1857" s="283"/>
      <c r="L1857" s="512"/>
      <c r="M1857" s="507"/>
      <c r="N1857" s="507"/>
      <c r="O1857" s="509" t="s">
        <v>126</v>
      </c>
      <c r="P1857" s="92"/>
      <c r="Q1857" s="510" t="s">
        <v>10</v>
      </c>
      <c r="R1857" s="506" t="s">
        <v>2861</v>
      </c>
      <c r="S1857" s="507"/>
      <c r="T1857" s="507"/>
      <c r="U1857" s="506" t="s">
        <v>2861</v>
      </c>
      <c r="V1857" s="146"/>
      <c r="W1857" s="147"/>
      <c r="X1857" s="148"/>
      <c r="Y1857" s="148"/>
      <c r="Z1857" s="148"/>
      <c r="AA1857" s="148"/>
      <c r="AB1857" s="17">
        <v>0</v>
      </c>
      <c r="AC1857" s="17">
        <v>0</v>
      </c>
      <c r="AD1857" s="148"/>
      <c r="AE1857" s="148"/>
      <c r="AF1857" s="17">
        <v>0</v>
      </c>
      <c r="AG1857" s="148"/>
      <c r="AH1857" s="17">
        <v>0</v>
      </c>
      <c r="AI1857" s="148"/>
      <c r="AJ1857" s="148"/>
      <c r="AK1857" s="17">
        <v>0</v>
      </c>
      <c r="AL1857" s="149"/>
      <c r="AM1857" s="235">
        <v>26.269025236839511</v>
      </c>
      <c r="AN1857" s="89"/>
      <c r="AO1857" s="89"/>
      <c r="AP1857" s="788">
        <v>28820.085430443345</v>
      </c>
      <c r="AQ1857" s="133" t="s">
        <v>2868</v>
      </c>
      <c r="AR1857" s="238">
        <v>76.2</v>
      </c>
      <c r="AS1857" s="237">
        <v>101.6</v>
      </c>
      <c r="AT1857" s="237">
        <v>406.4</v>
      </c>
      <c r="AU1857" s="171">
        <f t="shared" si="127"/>
        <v>19.664516129032258</v>
      </c>
      <c r="AV1857" s="509">
        <v>98</v>
      </c>
      <c r="AW1857" s="251">
        <v>28</v>
      </c>
      <c r="AX1857" s="89"/>
      <c r="AY1857" s="750">
        <v>23</v>
      </c>
      <c r="AZ1857" s="89"/>
      <c r="BA1857" s="241">
        <v>50</v>
      </c>
      <c r="BB1857" s="276" t="s">
        <v>2807</v>
      </c>
      <c r="BC1857" s="176"/>
      <c r="BD1857" s="177"/>
      <c r="BE1857" s="177"/>
      <c r="BF1857" s="240"/>
    </row>
    <row r="1858" spans="1:82">
      <c r="A1858" s="111">
        <v>1857</v>
      </c>
      <c r="B1858" s="99" t="s">
        <v>2869</v>
      </c>
      <c r="C1858" s="73" t="s">
        <v>2804</v>
      </c>
      <c r="D1858" s="251" t="s">
        <v>119</v>
      </c>
      <c r="E1858" s="463" t="s">
        <v>3377</v>
      </c>
      <c r="F1858" s="252">
        <v>2013</v>
      </c>
      <c r="G1858" s="219">
        <v>374</v>
      </c>
      <c r="H1858" s="235" t="s">
        <v>1738</v>
      </c>
      <c r="I1858" s="236" t="s">
        <v>1743</v>
      </c>
      <c r="J1858" s="508">
        <v>0.38</v>
      </c>
      <c r="K1858" s="283"/>
      <c r="L1858" s="512"/>
      <c r="M1858" s="507"/>
      <c r="N1858" s="507"/>
      <c r="O1858" s="509" t="s">
        <v>126</v>
      </c>
      <c r="P1858" s="92"/>
      <c r="Q1858" s="510" t="s">
        <v>10</v>
      </c>
      <c r="R1858" s="506" t="s">
        <v>2870</v>
      </c>
      <c r="S1858" s="507"/>
      <c r="T1858" s="507"/>
      <c r="U1858" s="506" t="s">
        <v>2870</v>
      </c>
      <c r="V1858" s="146"/>
      <c r="W1858" s="147"/>
      <c r="X1858" s="148"/>
      <c r="Y1858" s="148"/>
      <c r="Z1858" s="148"/>
      <c r="AA1858" s="148"/>
      <c r="AB1858" s="17">
        <v>0</v>
      </c>
      <c r="AC1858" s="17">
        <v>0</v>
      </c>
      <c r="AD1858" s="148"/>
      <c r="AE1858" s="148"/>
      <c r="AF1858" s="17">
        <v>0</v>
      </c>
      <c r="AG1858" s="148"/>
      <c r="AH1858" s="17">
        <v>0</v>
      </c>
      <c r="AI1858" s="148"/>
      <c r="AJ1858" s="148"/>
      <c r="AK1858" s="17">
        <v>0</v>
      </c>
      <c r="AL1858" s="149"/>
      <c r="AM1858" s="235">
        <v>31.991673779248117</v>
      </c>
      <c r="AN1858" s="89"/>
      <c r="AO1858" s="89"/>
      <c r="AP1858" s="788">
        <v>27923.766984042002</v>
      </c>
      <c r="AQ1858" s="133" t="s">
        <v>2871</v>
      </c>
      <c r="AR1858" s="238">
        <v>76.2</v>
      </c>
      <c r="AS1858" s="237">
        <v>101.6</v>
      </c>
      <c r="AT1858" s="237">
        <v>406.4</v>
      </c>
      <c r="AU1858" s="171">
        <f t="shared" si="127"/>
        <v>19.664516129032258</v>
      </c>
      <c r="AV1858" s="509">
        <v>98</v>
      </c>
      <c r="AW1858" s="251">
        <v>28</v>
      </c>
      <c r="AX1858" s="89"/>
      <c r="AY1858" s="750">
        <v>23</v>
      </c>
      <c r="AZ1858" s="89"/>
      <c r="BA1858" s="241">
        <v>50</v>
      </c>
      <c r="BB1858" s="276" t="s">
        <v>2807</v>
      </c>
      <c r="BC1858" s="176"/>
      <c r="BD1858" s="177"/>
      <c r="BE1858" s="177"/>
      <c r="BF1858" s="240"/>
    </row>
    <row r="1859" spans="1:82">
      <c r="A1859" s="111">
        <v>1858</v>
      </c>
      <c r="B1859" s="99" t="s">
        <v>2872</v>
      </c>
      <c r="C1859" s="73" t="s">
        <v>2804</v>
      </c>
      <c r="D1859" s="251" t="s">
        <v>119</v>
      </c>
      <c r="E1859" s="463" t="s">
        <v>3377</v>
      </c>
      <c r="F1859" s="252">
        <v>2013</v>
      </c>
      <c r="G1859" s="219">
        <v>374</v>
      </c>
      <c r="H1859" s="235" t="s">
        <v>1738</v>
      </c>
      <c r="I1859" s="236" t="s">
        <v>1743</v>
      </c>
      <c r="J1859" s="508">
        <v>0.3</v>
      </c>
      <c r="K1859" s="283"/>
      <c r="L1859" s="512"/>
      <c r="M1859" s="507"/>
      <c r="N1859" s="507"/>
      <c r="O1859" s="509" t="s">
        <v>126</v>
      </c>
      <c r="P1859" s="92"/>
      <c r="Q1859" s="510" t="s">
        <v>10</v>
      </c>
      <c r="R1859" s="506" t="s">
        <v>2870</v>
      </c>
      <c r="S1859" s="507"/>
      <c r="T1859" s="507"/>
      <c r="U1859" s="506" t="s">
        <v>2870</v>
      </c>
      <c r="V1859" s="146"/>
      <c r="W1859" s="147"/>
      <c r="X1859" s="148"/>
      <c r="Y1859" s="148"/>
      <c r="Z1859" s="148"/>
      <c r="AA1859" s="148"/>
      <c r="AB1859" s="17">
        <v>0</v>
      </c>
      <c r="AC1859" s="17">
        <v>0</v>
      </c>
      <c r="AD1859" s="148"/>
      <c r="AE1859" s="148"/>
      <c r="AF1859" s="17">
        <v>0</v>
      </c>
      <c r="AG1859" s="148"/>
      <c r="AH1859" s="17">
        <v>0</v>
      </c>
      <c r="AI1859" s="148"/>
      <c r="AJ1859" s="148"/>
      <c r="AK1859" s="17">
        <v>0</v>
      </c>
      <c r="AL1859" s="149"/>
      <c r="AM1859" s="235">
        <v>37.576427176056519</v>
      </c>
      <c r="AN1859" s="89"/>
      <c r="AO1859" s="89"/>
      <c r="AP1859" s="788">
        <v>34129.048536051327</v>
      </c>
      <c r="AQ1859" s="133" t="s">
        <v>2873</v>
      </c>
      <c r="AR1859" s="238">
        <v>76.2</v>
      </c>
      <c r="AS1859" s="237">
        <v>101.6</v>
      </c>
      <c r="AT1859" s="237">
        <v>406.4</v>
      </c>
      <c r="AU1859" s="171">
        <f t="shared" si="127"/>
        <v>19.664516129032258</v>
      </c>
      <c r="AV1859" s="509">
        <v>98</v>
      </c>
      <c r="AW1859" s="251">
        <v>28</v>
      </c>
      <c r="AX1859" s="89"/>
      <c r="AY1859" s="750">
        <v>23</v>
      </c>
      <c r="AZ1859" s="89"/>
      <c r="BA1859" s="241">
        <v>50</v>
      </c>
      <c r="BB1859" s="276" t="s">
        <v>2807</v>
      </c>
      <c r="BC1859" s="176"/>
      <c r="BD1859" s="177"/>
      <c r="BE1859" s="177"/>
      <c r="BF1859" s="240"/>
    </row>
    <row r="1860" spans="1:82">
      <c r="A1860" s="111">
        <v>1859</v>
      </c>
      <c r="B1860" s="99" t="s">
        <v>2874</v>
      </c>
      <c r="C1860" s="73" t="s">
        <v>2804</v>
      </c>
      <c r="D1860" s="251" t="s">
        <v>119</v>
      </c>
      <c r="E1860" s="463" t="s">
        <v>3377</v>
      </c>
      <c r="F1860" s="252">
        <v>2013</v>
      </c>
      <c r="G1860" s="219">
        <v>374</v>
      </c>
      <c r="H1860" s="235" t="s">
        <v>1738</v>
      </c>
      <c r="I1860" s="236" t="s">
        <v>1743</v>
      </c>
      <c r="J1860" s="508">
        <v>0.38</v>
      </c>
      <c r="K1860" s="283"/>
      <c r="L1860" s="512"/>
      <c r="M1860" s="507"/>
      <c r="N1860" s="507"/>
      <c r="O1860" s="509" t="s">
        <v>126</v>
      </c>
      <c r="P1860" s="92"/>
      <c r="Q1860" s="510" t="s">
        <v>10</v>
      </c>
      <c r="R1860" s="506" t="s">
        <v>2870</v>
      </c>
      <c r="S1860" s="507"/>
      <c r="T1860" s="507"/>
      <c r="U1860" s="506" t="s">
        <v>2870</v>
      </c>
      <c r="V1860" s="146"/>
      <c r="W1860" s="147"/>
      <c r="X1860" s="148"/>
      <c r="Y1860" s="148"/>
      <c r="Z1860" s="148"/>
      <c r="AA1860" s="148"/>
      <c r="AB1860" s="17">
        <v>0</v>
      </c>
      <c r="AC1860" s="17">
        <v>0</v>
      </c>
      <c r="AD1860" s="148"/>
      <c r="AE1860" s="148"/>
      <c r="AF1860" s="17">
        <v>0</v>
      </c>
      <c r="AG1860" s="148"/>
      <c r="AH1860" s="17">
        <v>0</v>
      </c>
      <c r="AI1860" s="148"/>
      <c r="AJ1860" s="148"/>
      <c r="AK1860" s="17">
        <v>0</v>
      </c>
      <c r="AL1860" s="149"/>
      <c r="AM1860" s="235">
        <v>27.854819411241895</v>
      </c>
      <c r="AN1860" s="89"/>
      <c r="AO1860" s="89"/>
      <c r="AP1860" s="788">
        <v>29509.561158444383</v>
      </c>
      <c r="AQ1860" s="133" t="s">
        <v>2875</v>
      </c>
      <c r="AR1860" s="238">
        <v>76.2</v>
      </c>
      <c r="AS1860" s="237">
        <v>101.6</v>
      </c>
      <c r="AT1860" s="237">
        <v>406.4</v>
      </c>
      <c r="AU1860" s="171">
        <f t="shared" si="127"/>
        <v>19.664516129032258</v>
      </c>
      <c r="AV1860" s="509">
        <v>98</v>
      </c>
      <c r="AW1860" s="251">
        <v>28</v>
      </c>
      <c r="AX1860" s="89"/>
      <c r="AY1860" s="750">
        <v>23</v>
      </c>
      <c r="AZ1860" s="89"/>
      <c r="BA1860" s="241">
        <v>50</v>
      </c>
      <c r="BB1860" s="276" t="s">
        <v>2807</v>
      </c>
      <c r="BC1860" s="176"/>
      <c r="BD1860" s="177"/>
      <c r="BE1860" s="177"/>
      <c r="BF1860" s="240"/>
    </row>
    <row r="1861" spans="1:82">
      <c r="A1861" s="111">
        <v>1860</v>
      </c>
      <c r="B1861" s="99" t="s">
        <v>2876</v>
      </c>
      <c r="C1861" s="73" t="s">
        <v>2804</v>
      </c>
      <c r="D1861" s="251" t="s">
        <v>119</v>
      </c>
      <c r="E1861" s="463" t="s">
        <v>3377</v>
      </c>
      <c r="F1861" s="252">
        <v>2013</v>
      </c>
      <c r="G1861" s="219">
        <v>374</v>
      </c>
      <c r="H1861" s="235" t="s">
        <v>1738</v>
      </c>
      <c r="I1861" s="236" t="s">
        <v>1743</v>
      </c>
      <c r="J1861" s="508">
        <v>0.49</v>
      </c>
      <c r="K1861" s="283"/>
      <c r="L1861" s="512"/>
      <c r="M1861" s="507"/>
      <c r="N1861" s="507"/>
      <c r="O1861" s="509" t="s">
        <v>126</v>
      </c>
      <c r="P1861" s="92"/>
      <c r="Q1861" s="510" t="s">
        <v>10</v>
      </c>
      <c r="R1861" s="506" t="s">
        <v>2870</v>
      </c>
      <c r="S1861" s="507"/>
      <c r="T1861" s="507"/>
      <c r="U1861" s="506" t="s">
        <v>2870</v>
      </c>
      <c r="V1861" s="146"/>
      <c r="W1861" s="147"/>
      <c r="X1861" s="148"/>
      <c r="Y1861" s="148"/>
      <c r="Z1861" s="148"/>
      <c r="AA1861" s="148"/>
      <c r="AB1861" s="17">
        <v>0</v>
      </c>
      <c r="AC1861" s="17">
        <v>0</v>
      </c>
      <c r="AD1861" s="148"/>
      <c r="AE1861" s="148"/>
      <c r="AF1861" s="17">
        <v>0</v>
      </c>
      <c r="AG1861" s="148"/>
      <c r="AH1861" s="17">
        <v>0</v>
      </c>
      <c r="AI1861" s="148"/>
      <c r="AJ1861" s="148"/>
      <c r="AK1861" s="17">
        <v>0</v>
      </c>
      <c r="AL1861" s="149"/>
      <c r="AM1861" s="235">
        <v>21.097957276831732</v>
      </c>
      <c r="AN1861" s="89"/>
      <c r="AO1861" s="89"/>
      <c r="AP1861" s="788">
        <v>24752.178635237229</v>
      </c>
      <c r="AQ1861" s="133" t="s">
        <v>2877</v>
      </c>
      <c r="AR1861" s="238">
        <v>76.2</v>
      </c>
      <c r="AS1861" s="237">
        <v>101.6</v>
      </c>
      <c r="AT1861" s="237">
        <v>406.4</v>
      </c>
      <c r="AU1861" s="171">
        <f t="shared" si="127"/>
        <v>19.664516129032258</v>
      </c>
      <c r="AV1861" s="509">
        <v>98</v>
      </c>
      <c r="AW1861" s="251">
        <v>28</v>
      </c>
      <c r="AX1861" s="89"/>
      <c r="AY1861" s="750">
        <v>23</v>
      </c>
      <c r="AZ1861" s="89"/>
      <c r="BA1861" s="241">
        <v>50</v>
      </c>
      <c r="BB1861" s="276" t="s">
        <v>2807</v>
      </c>
      <c r="BC1861" s="176"/>
      <c r="BD1861" s="177"/>
      <c r="BE1861" s="177"/>
      <c r="BF1861" s="240"/>
    </row>
    <row r="1862" spans="1:82">
      <c r="A1862" s="111">
        <v>1861</v>
      </c>
      <c r="B1862" s="99" t="s">
        <v>2878</v>
      </c>
      <c r="C1862" s="73" t="s">
        <v>2804</v>
      </c>
      <c r="D1862" s="251" t="s">
        <v>119</v>
      </c>
      <c r="E1862" s="463" t="s">
        <v>3377</v>
      </c>
      <c r="F1862" s="252">
        <v>2013</v>
      </c>
      <c r="G1862" s="219">
        <v>374</v>
      </c>
      <c r="H1862" s="235" t="s">
        <v>1738</v>
      </c>
      <c r="I1862" s="236" t="s">
        <v>1743</v>
      </c>
      <c r="J1862" s="264">
        <v>0.32</v>
      </c>
      <c r="K1862" s="283"/>
      <c r="L1862" s="512"/>
      <c r="M1862" s="507"/>
      <c r="N1862" s="507"/>
      <c r="O1862" s="509" t="s">
        <v>126</v>
      </c>
      <c r="P1862" s="92"/>
      <c r="Q1862" s="510" t="s">
        <v>10</v>
      </c>
      <c r="R1862" s="506" t="s">
        <v>2805</v>
      </c>
      <c r="S1862" s="507"/>
      <c r="T1862" s="507"/>
      <c r="U1862" s="506" t="s">
        <v>2805</v>
      </c>
      <c r="V1862" s="146"/>
      <c r="W1862" s="147"/>
      <c r="X1862" s="147"/>
      <c r="Y1862" s="120">
        <v>0</v>
      </c>
      <c r="Z1862" s="120">
        <v>0</v>
      </c>
      <c r="AA1862" s="148"/>
      <c r="AB1862" s="17">
        <v>0</v>
      </c>
      <c r="AC1862" s="17">
        <v>0</v>
      </c>
      <c r="AD1862" s="148"/>
      <c r="AE1862" s="148"/>
      <c r="AF1862" s="17">
        <v>0</v>
      </c>
      <c r="AG1862" s="148"/>
      <c r="AH1862" s="17">
        <v>0</v>
      </c>
      <c r="AI1862" s="17">
        <v>0</v>
      </c>
      <c r="AJ1862" s="17">
        <v>0</v>
      </c>
      <c r="AK1862" s="17">
        <v>0</v>
      </c>
      <c r="AL1862" s="32">
        <v>0</v>
      </c>
      <c r="AM1862" s="235">
        <v>36.473266011254857</v>
      </c>
      <c r="AN1862" s="89"/>
      <c r="AO1862" s="89"/>
      <c r="AP1862" s="788">
        <v>34680.629118452161</v>
      </c>
      <c r="AQ1862" s="133" t="s">
        <v>2879</v>
      </c>
      <c r="AR1862" s="238">
        <v>76.2</v>
      </c>
      <c r="AS1862" s="237">
        <v>101.6</v>
      </c>
      <c r="AT1862" s="237">
        <v>406.4</v>
      </c>
      <c r="AU1862" s="171">
        <f t="shared" si="127"/>
        <v>19.664516129032258</v>
      </c>
      <c r="AV1862" s="509">
        <v>98</v>
      </c>
      <c r="AW1862" s="251">
        <v>28</v>
      </c>
      <c r="AX1862" s="89"/>
      <c r="AY1862" s="750">
        <v>23</v>
      </c>
      <c r="AZ1862" s="89"/>
      <c r="BA1862" s="241">
        <v>50</v>
      </c>
      <c r="BB1862" s="276" t="s">
        <v>2807</v>
      </c>
      <c r="BC1862" s="176"/>
      <c r="BD1862" s="177"/>
      <c r="BE1862" s="177"/>
      <c r="BF1862" s="240"/>
    </row>
    <row r="1863" spans="1:82">
      <c r="A1863" s="111">
        <v>1862</v>
      </c>
      <c r="B1863" s="99" t="s">
        <v>2880</v>
      </c>
      <c r="C1863" s="73" t="s">
        <v>2804</v>
      </c>
      <c r="D1863" s="251" t="s">
        <v>119</v>
      </c>
      <c r="E1863" s="463" t="s">
        <v>3377</v>
      </c>
      <c r="F1863" s="252">
        <v>2013</v>
      </c>
      <c r="G1863" s="219">
        <v>374</v>
      </c>
      <c r="H1863" s="235" t="s">
        <v>1738</v>
      </c>
      <c r="I1863" s="236" t="s">
        <v>1743</v>
      </c>
      <c r="J1863" s="264">
        <v>0.31</v>
      </c>
      <c r="K1863" s="283"/>
      <c r="L1863" s="512"/>
      <c r="M1863" s="507"/>
      <c r="N1863" s="507"/>
      <c r="O1863" s="509" t="s">
        <v>126</v>
      </c>
      <c r="P1863" s="92"/>
      <c r="Q1863" s="510" t="s">
        <v>10</v>
      </c>
      <c r="R1863" s="506" t="s">
        <v>2861</v>
      </c>
      <c r="S1863" s="507"/>
      <c r="T1863" s="507"/>
      <c r="U1863" s="506" t="s">
        <v>2861</v>
      </c>
      <c r="V1863" s="146"/>
      <c r="W1863" s="147"/>
      <c r="X1863" s="147"/>
      <c r="Y1863" s="120">
        <v>0</v>
      </c>
      <c r="Z1863" s="120">
        <v>0</v>
      </c>
      <c r="AA1863" s="148"/>
      <c r="AB1863" s="17">
        <v>0</v>
      </c>
      <c r="AC1863" s="17">
        <v>0</v>
      </c>
      <c r="AD1863" s="148"/>
      <c r="AE1863" s="148"/>
      <c r="AF1863" s="17">
        <v>0</v>
      </c>
      <c r="AG1863" s="148"/>
      <c r="AH1863" s="17">
        <v>0</v>
      </c>
      <c r="AI1863" s="148"/>
      <c r="AJ1863" s="148"/>
      <c r="AK1863" s="17">
        <v>0</v>
      </c>
      <c r="AL1863" s="149"/>
      <c r="AM1863" s="235">
        <v>37.369584457656202</v>
      </c>
      <c r="AN1863" s="89"/>
      <c r="AO1863" s="89"/>
      <c r="AP1863" s="788">
        <v>28957.980576043552</v>
      </c>
      <c r="AQ1863" s="133" t="s">
        <v>2881</v>
      </c>
      <c r="AR1863" s="238">
        <v>76.2</v>
      </c>
      <c r="AS1863" s="237">
        <v>101.6</v>
      </c>
      <c r="AT1863" s="237">
        <v>406.4</v>
      </c>
      <c r="AU1863" s="171">
        <f t="shared" si="127"/>
        <v>19.664516129032258</v>
      </c>
      <c r="AV1863" s="509">
        <v>98</v>
      </c>
      <c r="AW1863" s="251">
        <v>28</v>
      </c>
      <c r="AX1863" s="89"/>
      <c r="AY1863" s="750">
        <v>23</v>
      </c>
      <c r="AZ1863" s="89"/>
      <c r="BA1863" s="241">
        <v>50</v>
      </c>
      <c r="BB1863" s="276" t="s">
        <v>2807</v>
      </c>
      <c r="BC1863" s="176"/>
      <c r="BD1863" s="177"/>
      <c r="BE1863" s="177"/>
      <c r="BF1863" s="240"/>
    </row>
    <row r="1864" spans="1:82">
      <c r="A1864" s="111">
        <v>1863</v>
      </c>
      <c r="B1864" s="99" t="s">
        <v>2882</v>
      </c>
      <c r="C1864" s="73" t="s">
        <v>2804</v>
      </c>
      <c r="D1864" s="251" t="s">
        <v>119</v>
      </c>
      <c r="E1864" s="463" t="s">
        <v>3377</v>
      </c>
      <c r="F1864" s="252">
        <v>2013</v>
      </c>
      <c r="G1864" s="219">
        <v>374</v>
      </c>
      <c r="H1864" s="235" t="s">
        <v>1738</v>
      </c>
      <c r="I1864" s="236" t="s">
        <v>1743</v>
      </c>
      <c r="J1864" s="264">
        <v>0.32</v>
      </c>
      <c r="K1864" s="283"/>
      <c r="L1864" s="512"/>
      <c r="M1864" s="507"/>
      <c r="N1864" s="507"/>
      <c r="O1864" s="509" t="s">
        <v>126</v>
      </c>
      <c r="P1864" s="92"/>
      <c r="Q1864" s="510" t="s">
        <v>10</v>
      </c>
      <c r="R1864" s="506" t="s">
        <v>2805</v>
      </c>
      <c r="S1864" s="507"/>
      <c r="T1864" s="507"/>
      <c r="U1864" s="506" t="s">
        <v>2805</v>
      </c>
      <c r="V1864" s="146"/>
      <c r="W1864" s="147"/>
      <c r="X1864" s="148"/>
      <c r="Y1864" s="148"/>
      <c r="Z1864" s="148"/>
      <c r="AA1864" s="148"/>
      <c r="AB1864" s="17">
        <v>0</v>
      </c>
      <c r="AC1864" s="17">
        <v>0</v>
      </c>
      <c r="AD1864" s="148"/>
      <c r="AE1864" s="148"/>
      <c r="AF1864" s="17">
        <v>0</v>
      </c>
      <c r="AG1864" s="148"/>
      <c r="AH1864" s="17">
        <v>0</v>
      </c>
      <c r="AI1864" s="148"/>
      <c r="AJ1864" s="148"/>
      <c r="AK1864" s="17">
        <v>0</v>
      </c>
      <c r="AL1864" s="149"/>
      <c r="AM1864" s="235">
        <v>43.43697086406533</v>
      </c>
      <c r="AN1864" s="89"/>
      <c r="AO1864" s="89"/>
      <c r="AP1864" s="788">
        <v>33094.834944049777</v>
      </c>
      <c r="AQ1864" s="133" t="s">
        <v>2883</v>
      </c>
      <c r="AR1864" s="238">
        <v>76.2</v>
      </c>
      <c r="AS1864" s="237">
        <v>101.6</v>
      </c>
      <c r="AT1864" s="237">
        <v>406.4</v>
      </c>
      <c r="AU1864" s="171">
        <f t="shared" si="127"/>
        <v>19.664516129032258</v>
      </c>
      <c r="AV1864" s="509">
        <v>98</v>
      </c>
      <c r="AW1864" s="251">
        <v>28</v>
      </c>
      <c r="AX1864" s="89"/>
      <c r="AY1864" s="750">
        <v>23</v>
      </c>
      <c r="AZ1864" s="89"/>
      <c r="BA1864" s="241">
        <v>50</v>
      </c>
      <c r="BB1864" s="276" t="s">
        <v>2807</v>
      </c>
      <c r="BC1864" s="176"/>
      <c r="BD1864" s="177"/>
      <c r="BE1864" s="177"/>
      <c r="BF1864" s="240"/>
    </row>
    <row r="1865" spans="1:82">
      <c r="A1865" s="111">
        <v>1864</v>
      </c>
      <c r="B1865" s="99" t="s">
        <v>2884</v>
      </c>
      <c r="C1865" s="73" t="s">
        <v>2804</v>
      </c>
      <c r="D1865" s="251" t="s">
        <v>119</v>
      </c>
      <c r="E1865" s="463" t="s">
        <v>3377</v>
      </c>
      <c r="F1865" s="252">
        <v>2013</v>
      </c>
      <c r="G1865" s="219">
        <v>374</v>
      </c>
      <c r="H1865" s="235" t="s">
        <v>1738</v>
      </c>
      <c r="I1865" s="236" t="s">
        <v>1743</v>
      </c>
      <c r="J1865" s="264">
        <v>0.4</v>
      </c>
      <c r="K1865" s="283"/>
      <c r="L1865" s="512"/>
      <c r="M1865" s="507"/>
      <c r="N1865" s="507"/>
      <c r="O1865" s="509" t="s">
        <v>126</v>
      </c>
      <c r="P1865" s="92"/>
      <c r="Q1865" s="510" t="s">
        <v>10</v>
      </c>
      <c r="R1865" s="506" t="s">
        <v>2843</v>
      </c>
      <c r="S1865" s="507"/>
      <c r="T1865" s="507"/>
      <c r="U1865" s="506" t="s">
        <v>2843</v>
      </c>
      <c r="V1865" s="146"/>
      <c r="W1865" s="147"/>
      <c r="X1865" s="148"/>
      <c r="Y1865" s="148"/>
      <c r="Z1865" s="148"/>
      <c r="AA1865" s="148"/>
      <c r="AB1865" s="17">
        <v>0</v>
      </c>
      <c r="AC1865" s="17">
        <v>0</v>
      </c>
      <c r="AD1865" s="148"/>
      <c r="AE1865" s="148"/>
      <c r="AF1865" s="17">
        <v>0</v>
      </c>
      <c r="AG1865" s="148"/>
      <c r="AH1865" s="17">
        <v>0</v>
      </c>
      <c r="AI1865" s="148"/>
      <c r="AJ1865" s="148"/>
      <c r="AK1865" s="17">
        <v>0</v>
      </c>
      <c r="AL1865" s="149"/>
      <c r="AM1865" s="235">
        <v>25.372706790438162</v>
      </c>
      <c r="AN1865" s="89"/>
      <c r="AO1865" s="89"/>
      <c r="AP1865" s="788">
        <v>23442.174752035258</v>
      </c>
      <c r="AQ1865" s="133" t="s">
        <v>2885</v>
      </c>
      <c r="AR1865" s="238">
        <v>76.2</v>
      </c>
      <c r="AS1865" s="237">
        <v>101.6</v>
      </c>
      <c r="AT1865" s="237">
        <v>406.4</v>
      </c>
      <c r="AU1865" s="171">
        <f t="shared" si="127"/>
        <v>19.664516129032258</v>
      </c>
      <c r="AV1865" s="509">
        <v>98</v>
      </c>
      <c r="AW1865" s="251">
        <v>28</v>
      </c>
      <c r="AX1865" s="89"/>
      <c r="AY1865" s="750">
        <v>23</v>
      </c>
      <c r="AZ1865" s="89"/>
      <c r="BA1865" s="241">
        <v>50</v>
      </c>
      <c r="BB1865" s="276" t="s">
        <v>2807</v>
      </c>
      <c r="BC1865" s="176"/>
      <c r="BD1865" s="177"/>
      <c r="BE1865" s="177"/>
      <c r="BF1865" s="240"/>
    </row>
    <row r="1866" spans="1:82">
      <c r="A1866" s="111">
        <v>1865</v>
      </c>
      <c r="B1866" s="99" t="s">
        <v>2886</v>
      </c>
      <c r="C1866" s="73" t="s">
        <v>2804</v>
      </c>
      <c r="D1866" s="251" t="s">
        <v>119</v>
      </c>
      <c r="E1866" s="463" t="s">
        <v>3377</v>
      </c>
      <c r="F1866" s="252">
        <v>2013</v>
      </c>
      <c r="G1866" s="219">
        <v>374</v>
      </c>
      <c r="H1866" s="235" t="s">
        <v>1738</v>
      </c>
      <c r="I1866" s="236" t="s">
        <v>1743</v>
      </c>
      <c r="J1866" s="264">
        <v>0.41</v>
      </c>
      <c r="K1866" s="283"/>
      <c r="L1866" s="512"/>
      <c r="M1866" s="507"/>
      <c r="N1866" s="507"/>
      <c r="O1866" s="509" t="s">
        <v>126</v>
      </c>
      <c r="P1866" s="92"/>
      <c r="Q1866" s="510" t="s">
        <v>10</v>
      </c>
      <c r="R1866" s="506" t="s">
        <v>2852</v>
      </c>
      <c r="S1866" s="507"/>
      <c r="T1866" s="507"/>
      <c r="U1866" s="506" t="s">
        <v>2852</v>
      </c>
      <c r="V1866" s="146"/>
      <c r="W1866" s="147"/>
      <c r="X1866" s="148"/>
      <c r="Y1866" s="148"/>
      <c r="Z1866" s="148"/>
      <c r="AA1866" s="148"/>
      <c r="AB1866" s="17">
        <v>0</v>
      </c>
      <c r="AC1866" s="17">
        <v>0</v>
      </c>
      <c r="AD1866" s="148"/>
      <c r="AE1866" s="148"/>
      <c r="AF1866" s="17">
        <v>0</v>
      </c>
      <c r="AG1866" s="148"/>
      <c r="AH1866" s="17">
        <v>0</v>
      </c>
      <c r="AI1866" s="148"/>
      <c r="AJ1866" s="148"/>
      <c r="AK1866" s="17">
        <v>0</v>
      </c>
      <c r="AL1866" s="149"/>
      <c r="AM1866" s="235">
        <v>28.061662129642205</v>
      </c>
      <c r="AN1866" s="89"/>
      <c r="AO1866" s="89"/>
      <c r="AP1866" s="788">
        <v>25372.706790438162</v>
      </c>
      <c r="AQ1866" s="133" t="s">
        <v>2887</v>
      </c>
      <c r="AR1866" s="238">
        <v>76.2</v>
      </c>
      <c r="AS1866" s="237">
        <v>101.6</v>
      </c>
      <c r="AT1866" s="237">
        <v>406.4</v>
      </c>
      <c r="AU1866" s="171">
        <f t="shared" si="127"/>
        <v>19.664516129032258</v>
      </c>
      <c r="AV1866" s="509">
        <v>98</v>
      </c>
      <c r="AW1866" s="251">
        <v>28</v>
      </c>
      <c r="AX1866" s="89"/>
      <c r="AY1866" s="750">
        <v>23</v>
      </c>
      <c r="AZ1866" s="89"/>
      <c r="BA1866" s="241">
        <v>50</v>
      </c>
      <c r="BB1866" s="276" t="s">
        <v>2807</v>
      </c>
      <c r="BC1866" s="176"/>
      <c r="BD1866" s="177"/>
      <c r="BE1866" s="177"/>
      <c r="BF1866" s="240"/>
    </row>
    <row r="1867" spans="1:82">
      <c r="A1867" s="111">
        <v>1866</v>
      </c>
      <c r="B1867" s="211" t="s">
        <v>2891</v>
      </c>
      <c r="C1867" s="191" t="s">
        <v>2889</v>
      </c>
      <c r="D1867" s="171" t="s">
        <v>2890</v>
      </c>
      <c r="E1867" s="463" t="s">
        <v>3377</v>
      </c>
      <c r="F1867" s="171">
        <v>2017</v>
      </c>
      <c r="G1867" s="219">
        <v>375</v>
      </c>
      <c r="H1867" s="235" t="s">
        <v>1738</v>
      </c>
      <c r="I1867" s="236" t="s">
        <v>1743</v>
      </c>
      <c r="J1867" s="242">
        <v>0.44</v>
      </c>
      <c r="K1867" s="171">
        <v>4.84</v>
      </c>
      <c r="M1867" s="171">
        <v>375</v>
      </c>
      <c r="N1867" s="171"/>
      <c r="O1867" s="509" t="s">
        <v>126</v>
      </c>
      <c r="P1867" s="89"/>
      <c r="Q1867" s="173" t="s">
        <v>522</v>
      </c>
      <c r="R1867" s="171" t="s">
        <v>2729</v>
      </c>
      <c r="S1867" s="507"/>
      <c r="T1867" s="507"/>
      <c r="U1867" s="89"/>
      <c r="V1867" s="102">
        <v>0</v>
      </c>
      <c r="W1867" s="120">
        <v>0</v>
      </c>
      <c r="X1867" s="120">
        <v>0</v>
      </c>
      <c r="Y1867" s="120">
        <v>0</v>
      </c>
      <c r="Z1867" s="120">
        <v>0</v>
      </c>
      <c r="AA1867" s="17">
        <v>0</v>
      </c>
      <c r="AB1867" s="17">
        <v>0</v>
      </c>
      <c r="AC1867" s="17">
        <v>0</v>
      </c>
      <c r="AD1867" s="17">
        <v>0</v>
      </c>
      <c r="AE1867" s="17">
        <v>0</v>
      </c>
      <c r="AF1867" s="17">
        <v>0</v>
      </c>
      <c r="AG1867" s="17">
        <v>0.6</v>
      </c>
      <c r="AH1867" s="17">
        <v>0</v>
      </c>
      <c r="AI1867" s="17">
        <v>0</v>
      </c>
      <c r="AJ1867" s="17">
        <v>4.4999999999999998E-2</v>
      </c>
      <c r="AK1867" s="17">
        <v>0</v>
      </c>
      <c r="AL1867" s="32">
        <v>0</v>
      </c>
      <c r="AM1867" s="172">
        <v>35.9</v>
      </c>
      <c r="AN1867" s="89"/>
      <c r="AO1867" s="171">
        <v>18.3</v>
      </c>
      <c r="AP1867" s="783">
        <v>33853</v>
      </c>
      <c r="AQ1867" s="243" t="s">
        <v>2736</v>
      </c>
      <c r="AR1867" s="243">
        <v>75</v>
      </c>
      <c r="AS1867" s="243"/>
      <c r="AT1867" s="243">
        <v>450</v>
      </c>
      <c r="AU1867" s="171">
        <v>35</v>
      </c>
      <c r="AV1867" s="57"/>
      <c r="AW1867" s="171">
        <v>2</v>
      </c>
      <c r="AX1867" s="171">
        <v>20</v>
      </c>
      <c r="AY1867" s="171">
        <v>20</v>
      </c>
      <c r="AZ1867" s="171" t="s">
        <v>118</v>
      </c>
      <c r="BA1867" s="175">
        <v>65</v>
      </c>
      <c r="BB1867" s="754"/>
      <c r="BC1867" s="176"/>
      <c r="BD1867" s="177"/>
      <c r="BE1867" s="177"/>
      <c r="BF1867" s="178"/>
    </row>
    <row r="1868" spans="1:82">
      <c r="A1868" s="111">
        <v>1867</v>
      </c>
      <c r="B1868" s="211" t="s">
        <v>2892</v>
      </c>
      <c r="C1868" s="191" t="s">
        <v>2889</v>
      </c>
      <c r="D1868" s="171" t="s">
        <v>2890</v>
      </c>
      <c r="E1868" s="463" t="s">
        <v>3377</v>
      </c>
      <c r="F1868" s="171">
        <v>2017</v>
      </c>
      <c r="G1868" s="219">
        <v>375</v>
      </c>
      <c r="H1868" s="235" t="s">
        <v>1738</v>
      </c>
      <c r="I1868" s="236" t="s">
        <v>1743</v>
      </c>
      <c r="J1868" s="242">
        <v>0.44</v>
      </c>
      <c r="K1868" s="171">
        <v>4.84</v>
      </c>
      <c r="M1868" s="171">
        <v>375</v>
      </c>
      <c r="N1868" s="171"/>
      <c r="O1868" s="509" t="s">
        <v>126</v>
      </c>
      <c r="P1868" s="89"/>
      <c r="Q1868" s="173" t="s">
        <v>522</v>
      </c>
      <c r="R1868" s="171" t="s">
        <v>2729</v>
      </c>
      <c r="S1868" s="507"/>
      <c r="T1868" s="507"/>
      <c r="U1868" s="89"/>
      <c r="V1868" s="102">
        <v>0</v>
      </c>
      <c r="W1868" s="120">
        <v>0</v>
      </c>
      <c r="X1868" s="120">
        <v>0</v>
      </c>
      <c r="Y1868" s="120">
        <v>0</v>
      </c>
      <c r="Z1868" s="120">
        <v>0</v>
      </c>
      <c r="AA1868" s="17">
        <v>0</v>
      </c>
      <c r="AB1868" s="17">
        <v>0</v>
      </c>
      <c r="AC1868" s="17">
        <v>0</v>
      </c>
      <c r="AD1868" s="17">
        <v>0</v>
      </c>
      <c r="AE1868" s="17">
        <v>0</v>
      </c>
      <c r="AF1868" s="17">
        <v>0</v>
      </c>
      <c r="AG1868" s="17">
        <v>0.6</v>
      </c>
      <c r="AH1868" s="17">
        <v>0</v>
      </c>
      <c r="AI1868" s="17">
        <v>0</v>
      </c>
      <c r="AJ1868" s="17">
        <v>4.4999999999999998E-2</v>
      </c>
      <c r="AK1868" s="17">
        <v>0</v>
      </c>
      <c r="AL1868" s="32">
        <v>0</v>
      </c>
      <c r="AM1868" s="172">
        <v>35.9</v>
      </c>
      <c r="AN1868" s="89"/>
      <c r="AO1868" s="171">
        <v>29</v>
      </c>
      <c r="AP1868" s="783">
        <v>33853</v>
      </c>
      <c r="AQ1868" s="243" t="s">
        <v>2736</v>
      </c>
      <c r="AR1868" s="243">
        <v>75</v>
      </c>
      <c r="AS1868" s="243"/>
      <c r="AT1868" s="243">
        <v>450</v>
      </c>
      <c r="AU1868" s="171">
        <v>35</v>
      </c>
      <c r="AV1868" s="57"/>
      <c r="AW1868" s="171">
        <v>7</v>
      </c>
      <c r="AX1868" s="171">
        <v>20</v>
      </c>
      <c r="AY1868" s="171">
        <v>20</v>
      </c>
      <c r="AZ1868" s="171" t="s">
        <v>118</v>
      </c>
      <c r="BA1868" s="175">
        <v>65</v>
      </c>
      <c r="BB1868" s="754"/>
      <c r="BC1868" s="176"/>
      <c r="BD1868" s="177"/>
      <c r="BE1868" s="177"/>
      <c r="BF1868" s="178"/>
    </row>
    <row r="1869" spans="1:82">
      <c r="A1869" s="111">
        <v>1868</v>
      </c>
      <c r="B1869" s="211" t="s">
        <v>2893</v>
      </c>
      <c r="C1869" s="191" t="s">
        <v>2889</v>
      </c>
      <c r="D1869" s="171" t="s">
        <v>2890</v>
      </c>
      <c r="E1869" s="463" t="s">
        <v>3377</v>
      </c>
      <c r="F1869" s="171">
        <v>2017</v>
      </c>
      <c r="G1869" s="219">
        <v>375</v>
      </c>
      <c r="H1869" s="235" t="s">
        <v>1738</v>
      </c>
      <c r="I1869" s="236" t="s">
        <v>1743</v>
      </c>
      <c r="J1869" s="242">
        <v>0.44</v>
      </c>
      <c r="K1869" s="171">
        <v>4.84</v>
      </c>
      <c r="M1869" s="171">
        <v>375</v>
      </c>
      <c r="N1869" s="171"/>
      <c r="O1869" s="509" t="s">
        <v>126</v>
      </c>
      <c r="P1869" s="89"/>
      <c r="Q1869" s="173" t="s">
        <v>522</v>
      </c>
      <c r="R1869" s="171" t="s">
        <v>2729</v>
      </c>
      <c r="S1869" s="507"/>
      <c r="T1869" s="507"/>
      <c r="U1869" s="89"/>
      <c r="V1869" s="102">
        <v>0</v>
      </c>
      <c r="W1869" s="120">
        <v>0</v>
      </c>
      <c r="X1869" s="120">
        <v>0</v>
      </c>
      <c r="Y1869" s="120">
        <v>0</v>
      </c>
      <c r="Z1869" s="120">
        <v>0</v>
      </c>
      <c r="AA1869" s="17">
        <v>0</v>
      </c>
      <c r="AB1869" s="17">
        <v>0</v>
      </c>
      <c r="AC1869" s="17">
        <v>0</v>
      </c>
      <c r="AD1869" s="17">
        <v>0</v>
      </c>
      <c r="AE1869" s="17">
        <v>0</v>
      </c>
      <c r="AF1869" s="17">
        <v>0</v>
      </c>
      <c r="AG1869" s="17">
        <v>0.6</v>
      </c>
      <c r="AH1869" s="17">
        <v>0</v>
      </c>
      <c r="AI1869" s="17">
        <v>0</v>
      </c>
      <c r="AJ1869" s="17">
        <v>4.4999999999999998E-2</v>
      </c>
      <c r="AK1869" s="17">
        <v>0</v>
      </c>
      <c r="AL1869" s="32">
        <v>0</v>
      </c>
      <c r="AM1869" s="172">
        <v>35.9</v>
      </c>
      <c r="AN1869" s="89"/>
      <c r="AO1869" s="171">
        <v>35.9</v>
      </c>
      <c r="AP1869" s="783">
        <v>33853</v>
      </c>
      <c r="AQ1869" s="243" t="s">
        <v>2736</v>
      </c>
      <c r="AR1869" s="243">
        <v>75</v>
      </c>
      <c r="AS1869" s="243"/>
      <c r="AT1869" s="243">
        <v>450</v>
      </c>
      <c r="AU1869" s="171">
        <v>35</v>
      </c>
      <c r="AV1869" s="57"/>
      <c r="AW1869" s="171">
        <v>28</v>
      </c>
      <c r="AX1869" s="171">
        <v>20</v>
      </c>
      <c r="AY1869" s="171">
        <v>20</v>
      </c>
      <c r="AZ1869" s="171" t="s">
        <v>118</v>
      </c>
      <c r="BA1869" s="175">
        <v>65</v>
      </c>
      <c r="BB1869" s="754"/>
      <c r="BC1869" s="176"/>
      <c r="BD1869" s="177"/>
      <c r="BE1869" s="177"/>
      <c r="BF1869" s="178"/>
    </row>
    <row r="1870" spans="1:82">
      <c r="A1870" s="111">
        <v>1869</v>
      </c>
      <c r="B1870" s="211" t="s">
        <v>2894</v>
      </c>
      <c r="C1870" s="191" t="s">
        <v>2889</v>
      </c>
      <c r="D1870" s="171" t="s">
        <v>2890</v>
      </c>
      <c r="E1870" s="463" t="s">
        <v>3377</v>
      </c>
      <c r="F1870" s="171">
        <v>2017</v>
      </c>
      <c r="G1870" s="219">
        <v>375</v>
      </c>
      <c r="H1870" s="235" t="s">
        <v>1738</v>
      </c>
      <c r="I1870" s="173" t="s">
        <v>2895</v>
      </c>
      <c r="J1870" s="242">
        <v>0.44</v>
      </c>
      <c r="K1870" s="171">
        <v>4.84</v>
      </c>
      <c r="M1870" s="171">
        <v>375</v>
      </c>
      <c r="N1870" s="171"/>
      <c r="O1870" s="509" t="s">
        <v>126</v>
      </c>
      <c r="P1870" s="89"/>
      <c r="Q1870" s="173" t="s">
        <v>522</v>
      </c>
      <c r="R1870" s="171" t="s">
        <v>2729</v>
      </c>
      <c r="S1870" s="507"/>
      <c r="T1870" s="507"/>
      <c r="U1870" s="89"/>
      <c r="V1870" s="102">
        <v>0</v>
      </c>
      <c r="W1870" s="120">
        <v>0</v>
      </c>
      <c r="X1870" s="120">
        <v>0</v>
      </c>
      <c r="Y1870" s="120">
        <v>0</v>
      </c>
      <c r="Z1870" s="120">
        <v>0</v>
      </c>
      <c r="AA1870" s="17">
        <v>0</v>
      </c>
      <c r="AB1870" s="17">
        <v>0</v>
      </c>
      <c r="AC1870" s="17">
        <v>0</v>
      </c>
      <c r="AD1870" s="17">
        <v>0</v>
      </c>
      <c r="AE1870" s="17">
        <v>0</v>
      </c>
      <c r="AF1870" s="17">
        <v>0</v>
      </c>
      <c r="AG1870" s="17">
        <v>0.6</v>
      </c>
      <c r="AH1870" s="17">
        <v>0</v>
      </c>
      <c r="AI1870" s="17">
        <v>0</v>
      </c>
      <c r="AJ1870" s="17">
        <v>4.4999999999999998E-2</v>
      </c>
      <c r="AK1870" s="17">
        <v>0</v>
      </c>
      <c r="AL1870" s="32">
        <v>0</v>
      </c>
      <c r="AM1870" s="172">
        <v>35.9</v>
      </c>
      <c r="AN1870" s="89"/>
      <c r="AO1870" s="89"/>
      <c r="AP1870" s="783">
        <v>33853</v>
      </c>
      <c r="AQ1870" s="243" t="s">
        <v>2736</v>
      </c>
      <c r="AR1870" s="243">
        <v>75</v>
      </c>
      <c r="AS1870" s="243"/>
      <c r="AT1870" s="243">
        <v>450</v>
      </c>
      <c r="AU1870" s="171">
        <v>35</v>
      </c>
      <c r="AV1870" s="57"/>
      <c r="AW1870" s="89"/>
      <c r="AX1870" s="171">
        <v>20</v>
      </c>
      <c r="AY1870" s="171">
        <v>20</v>
      </c>
      <c r="AZ1870" s="171" t="s">
        <v>118</v>
      </c>
      <c r="BA1870" s="175">
        <v>99</v>
      </c>
      <c r="BB1870" s="754"/>
      <c r="BC1870" s="176"/>
      <c r="BD1870" s="177"/>
      <c r="BE1870" s="177"/>
      <c r="BF1870" s="178"/>
    </row>
    <row r="1871" spans="1:82" s="82" customFormat="1">
      <c r="A1871" s="111">
        <v>1870</v>
      </c>
      <c r="B1871" s="211">
        <v>3</v>
      </c>
      <c r="C1871" s="191" t="s">
        <v>3378</v>
      </c>
      <c r="D1871" s="171" t="s">
        <v>119</v>
      </c>
      <c r="E1871" s="464" t="s">
        <v>3476</v>
      </c>
      <c r="F1871" s="171">
        <v>2011</v>
      </c>
      <c r="G1871" s="171">
        <v>385</v>
      </c>
      <c r="H1871" s="172" t="s">
        <v>1738</v>
      </c>
      <c r="I1871" s="173" t="s">
        <v>1751</v>
      </c>
      <c r="J1871" s="242">
        <v>0.33</v>
      </c>
      <c r="K1871" s="171">
        <v>5.25</v>
      </c>
      <c r="L1871" s="37"/>
      <c r="M1871" s="171">
        <v>280.62</v>
      </c>
      <c r="N1871" s="171"/>
      <c r="O1871" s="161"/>
      <c r="P1871" s="92"/>
      <c r="Q1871" s="173" t="s">
        <v>526</v>
      </c>
      <c r="R1871" s="171" t="s">
        <v>2347</v>
      </c>
      <c r="S1871" s="171" t="s">
        <v>2988</v>
      </c>
      <c r="T1871" s="171" t="s">
        <v>2306</v>
      </c>
      <c r="U1871" s="89"/>
      <c r="V1871" s="102">
        <v>0</v>
      </c>
      <c r="W1871" s="120">
        <v>20</v>
      </c>
      <c r="X1871" s="120">
        <v>0</v>
      </c>
      <c r="Y1871" s="120">
        <v>0</v>
      </c>
      <c r="Z1871" s="120">
        <v>0</v>
      </c>
      <c r="AA1871" s="17">
        <v>0</v>
      </c>
      <c r="AB1871" s="17">
        <v>0</v>
      </c>
      <c r="AC1871" s="17">
        <v>5</v>
      </c>
      <c r="AD1871" s="17">
        <v>0</v>
      </c>
      <c r="AE1871" s="17">
        <v>0</v>
      </c>
      <c r="AF1871" s="17">
        <v>0.6</v>
      </c>
      <c r="AG1871" s="17">
        <v>0</v>
      </c>
      <c r="AH1871" s="17">
        <v>0</v>
      </c>
      <c r="AI1871" s="17">
        <v>0</v>
      </c>
      <c r="AJ1871" s="17">
        <v>0</v>
      </c>
      <c r="AK1871" s="17">
        <v>0</v>
      </c>
      <c r="AL1871" s="32">
        <v>0</v>
      </c>
      <c r="AM1871" s="172">
        <v>73.256795999999994</v>
      </c>
      <c r="AN1871" s="89"/>
      <c r="AO1871" s="89"/>
      <c r="AP1871" s="782"/>
      <c r="AQ1871" s="17" t="s">
        <v>2986</v>
      </c>
      <c r="AR1871" s="174">
        <v>50</v>
      </c>
      <c r="AS1871" s="171" t="s">
        <v>246</v>
      </c>
      <c r="AT1871" s="171">
        <v>200</v>
      </c>
      <c r="AU1871" s="167">
        <v>20</v>
      </c>
      <c r="AV1871" s="172">
        <v>100</v>
      </c>
      <c r="AW1871" s="171">
        <v>7</v>
      </c>
      <c r="AX1871" s="89"/>
      <c r="AY1871" s="171">
        <v>23</v>
      </c>
      <c r="AZ1871" s="89"/>
      <c r="BA1871" s="175">
        <v>50</v>
      </c>
      <c r="BB1871" s="189" t="s">
        <v>2990</v>
      </c>
      <c r="BC1871" s="176"/>
      <c r="BD1871" s="171"/>
      <c r="BE1871" s="171"/>
      <c r="BF1871" s="190"/>
      <c r="BG1871" s="15"/>
      <c r="BH1871" s="15"/>
      <c r="BI1871" s="15"/>
      <c r="BJ1871" s="15"/>
      <c r="BK1871" s="15"/>
      <c r="BL1871" s="15"/>
      <c r="BM1871" s="15"/>
      <c r="BN1871" s="15"/>
      <c r="BO1871" s="15"/>
      <c r="BP1871" s="15"/>
      <c r="BQ1871" s="15"/>
      <c r="BR1871" s="15"/>
      <c r="BS1871" s="15"/>
      <c r="BT1871" s="15"/>
      <c r="BU1871" s="15"/>
      <c r="BV1871" s="15"/>
      <c r="BW1871" s="15"/>
      <c r="BX1871" s="15"/>
      <c r="BY1871" s="15"/>
      <c r="BZ1871" s="15"/>
      <c r="CA1871" s="15"/>
      <c r="CB1871" s="15"/>
      <c r="CC1871" s="15"/>
      <c r="CD1871" s="15"/>
    </row>
    <row r="1872" spans="1:82">
      <c r="A1872" s="111">
        <v>1871</v>
      </c>
      <c r="B1872" s="211">
        <v>7</v>
      </c>
      <c r="C1872" s="191" t="s">
        <v>3378</v>
      </c>
      <c r="D1872" s="171" t="s">
        <v>119</v>
      </c>
      <c r="E1872" s="464" t="s">
        <v>3476</v>
      </c>
      <c r="F1872" s="171">
        <v>2011</v>
      </c>
      <c r="G1872" s="171">
        <v>385</v>
      </c>
      <c r="H1872" s="172" t="s">
        <v>1738</v>
      </c>
      <c r="I1872" s="173" t="s">
        <v>1751</v>
      </c>
      <c r="J1872" s="242">
        <v>0.33</v>
      </c>
      <c r="K1872" s="171">
        <v>5.25</v>
      </c>
      <c r="M1872" s="171">
        <v>261.63</v>
      </c>
      <c r="N1872" s="171"/>
      <c r="O1872" s="161"/>
      <c r="P1872" s="92"/>
      <c r="Q1872" s="173" t="s">
        <v>526</v>
      </c>
      <c r="R1872" s="171" t="s">
        <v>2347</v>
      </c>
      <c r="S1872" s="171" t="s">
        <v>2988</v>
      </c>
      <c r="T1872" s="171" t="s">
        <v>2561</v>
      </c>
      <c r="U1872" s="89"/>
      <c r="V1872" s="102">
        <v>5</v>
      </c>
      <c r="W1872" s="120">
        <v>25</v>
      </c>
      <c r="X1872" s="120">
        <v>0</v>
      </c>
      <c r="Y1872" s="120">
        <v>0</v>
      </c>
      <c r="Z1872" s="120">
        <v>0</v>
      </c>
      <c r="AA1872" s="17">
        <v>0</v>
      </c>
      <c r="AB1872" s="17">
        <v>0</v>
      </c>
      <c r="AC1872" s="17">
        <v>0</v>
      </c>
      <c r="AD1872" s="17">
        <v>0</v>
      </c>
      <c r="AE1872" s="17">
        <v>0</v>
      </c>
      <c r="AF1872" s="17">
        <v>0.6</v>
      </c>
      <c r="AG1872" s="17">
        <v>0</v>
      </c>
      <c r="AH1872" s="17">
        <v>0.5</v>
      </c>
      <c r="AI1872" s="17">
        <v>0</v>
      </c>
      <c r="AJ1872" s="17">
        <v>0</v>
      </c>
      <c r="AK1872" s="17">
        <v>0</v>
      </c>
      <c r="AL1872" s="32">
        <v>0</v>
      </c>
      <c r="AM1872" s="172">
        <v>71.298685000000006</v>
      </c>
      <c r="AN1872" s="89"/>
      <c r="AO1872" s="89"/>
      <c r="AP1872" s="782"/>
      <c r="AQ1872" s="17" t="s">
        <v>2986</v>
      </c>
      <c r="AR1872" s="174">
        <v>50</v>
      </c>
      <c r="AS1872" s="171" t="s">
        <v>246</v>
      </c>
      <c r="AT1872" s="171">
        <v>200</v>
      </c>
      <c r="AU1872" s="167">
        <v>20</v>
      </c>
      <c r="AV1872" s="172">
        <v>100</v>
      </c>
      <c r="AW1872" s="171">
        <v>7</v>
      </c>
      <c r="AX1872" s="89"/>
      <c r="AY1872" s="171">
        <v>23</v>
      </c>
      <c r="AZ1872" s="89"/>
      <c r="BA1872" s="175">
        <v>50</v>
      </c>
      <c r="BB1872" s="189" t="s">
        <v>2990</v>
      </c>
      <c r="BC1872" s="176"/>
      <c r="BD1872" s="177"/>
      <c r="BE1872" s="177"/>
      <c r="BF1872" s="178"/>
    </row>
    <row r="1873" spans="1:58">
      <c r="A1873" s="111">
        <v>1872</v>
      </c>
      <c r="B1873" s="211">
        <v>12</v>
      </c>
      <c r="C1873" s="191" t="s">
        <v>3378</v>
      </c>
      <c r="D1873" s="171" t="s">
        <v>119</v>
      </c>
      <c r="E1873" s="464" t="s">
        <v>3476</v>
      </c>
      <c r="F1873" s="171">
        <v>2011</v>
      </c>
      <c r="G1873" s="171">
        <v>385</v>
      </c>
      <c r="H1873" s="172" t="s">
        <v>1738</v>
      </c>
      <c r="I1873" s="173" t="s">
        <v>1751</v>
      </c>
      <c r="J1873" s="242">
        <v>0.33</v>
      </c>
      <c r="K1873" s="171">
        <v>5.25</v>
      </c>
      <c r="M1873" s="171">
        <v>243.24</v>
      </c>
      <c r="N1873" s="171"/>
      <c r="O1873" s="161"/>
      <c r="P1873" s="92"/>
      <c r="Q1873" s="173" t="s">
        <v>526</v>
      </c>
      <c r="R1873" s="171" t="s">
        <v>2347</v>
      </c>
      <c r="S1873" s="171" t="s">
        <v>2988</v>
      </c>
      <c r="T1873" s="171" t="s">
        <v>2561</v>
      </c>
      <c r="U1873" s="89"/>
      <c r="V1873" s="102">
        <v>5</v>
      </c>
      <c r="W1873" s="120">
        <v>30</v>
      </c>
      <c r="X1873" s="120">
        <v>0</v>
      </c>
      <c r="Y1873" s="120">
        <v>0</v>
      </c>
      <c r="Z1873" s="120">
        <v>0</v>
      </c>
      <c r="AA1873" s="17">
        <v>0</v>
      </c>
      <c r="AB1873" s="17">
        <v>0</v>
      </c>
      <c r="AC1873" s="17">
        <v>0</v>
      </c>
      <c r="AD1873" s="17">
        <v>0</v>
      </c>
      <c r="AE1873" s="17">
        <v>0</v>
      </c>
      <c r="AF1873" s="17">
        <v>0.6</v>
      </c>
      <c r="AG1873" s="17">
        <v>0</v>
      </c>
      <c r="AH1873" s="17">
        <v>0.5</v>
      </c>
      <c r="AI1873" s="17">
        <v>0</v>
      </c>
      <c r="AJ1873" s="17">
        <v>0</v>
      </c>
      <c r="AK1873" s="17">
        <v>0</v>
      </c>
      <c r="AL1873" s="32">
        <v>0</v>
      </c>
      <c r="AM1873" s="172">
        <v>68.023679999999999</v>
      </c>
      <c r="AN1873" s="89"/>
      <c r="AO1873" s="89"/>
      <c r="AP1873" s="782"/>
      <c r="AQ1873" s="17" t="s">
        <v>2986</v>
      </c>
      <c r="AR1873" s="174">
        <v>50</v>
      </c>
      <c r="AS1873" s="171" t="s">
        <v>246</v>
      </c>
      <c r="AT1873" s="171">
        <v>200</v>
      </c>
      <c r="AU1873" s="167">
        <v>20</v>
      </c>
      <c r="AV1873" s="172">
        <v>100</v>
      </c>
      <c r="AW1873" s="171">
        <v>7</v>
      </c>
      <c r="AX1873" s="89"/>
      <c r="AY1873" s="171">
        <v>23</v>
      </c>
      <c r="AZ1873" s="89"/>
      <c r="BA1873" s="175">
        <v>50</v>
      </c>
      <c r="BB1873" s="189" t="s">
        <v>2990</v>
      </c>
      <c r="BC1873" s="176"/>
      <c r="BD1873" s="177"/>
      <c r="BE1873" s="177"/>
      <c r="BF1873" s="178"/>
    </row>
    <row r="1874" spans="1:58">
      <c r="A1874" s="111">
        <v>1873</v>
      </c>
      <c r="B1874" s="211">
        <v>17</v>
      </c>
      <c r="C1874" s="191" t="s">
        <v>3378</v>
      </c>
      <c r="D1874" s="171" t="s">
        <v>119</v>
      </c>
      <c r="E1874" s="464" t="s">
        <v>3476</v>
      </c>
      <c r="F1874" s="171">
        <v>2011</v>
      </c>
      <c r="G1874" s="171">
        <v>385</v>
      </c>
      <c r="H1874" s="172" t="s">
        <v>1738</v>
      </c>
      <c r="I1874" s="173" t="s">
        <v>1751</v>
      </c>
      <c r="J1874" s="242">
        <v>0.33</v>
      </c>
      <c r="K1874" s="171">
        <v>5.25</v>
      </c>
      <c r="M1874" s="171">
        <v>243.24</v>
      </c>
      <c r="N1874" s="171"/>
      <c r="O1874" s="161"/>
      <c r="P1874" s="92"/>
      <c r="Q1874" s="173" t="s">
        <v>526</v>
      </c>
      <c r="R1874" s="171" t="s">
        <v>2347</v>
      </c>
      <c r="S1874" s="171" t="s">
        <v>2988</v>
      </c>
      <c r="T1874" s="171" t="s">
        <v>2561</v>
      </c>
      <c r="U1874" s="89"/>
      <c r="V1874" s="102">
        <v>5</v>
      </c>
      <c r="W1874" s="120">
        <v>25</v>
      </c>
      <c r="X1874" s="120">
        <v>0</v>
      </c>
      <c r="Y1874" s="120">
        <v>0</v>
      </c>
      <c r="Z1874" s="120">
        <v>0</v>
      </c>
      <c r="AA1874" s="17">
        <v>0</v>
      </c>
      <c r="AB1874" s="17">
        <v>0</v>
      </c>
      <c r="AC1874" s="17">
        <v>0</v>
      </c>
      <c r="AD1874" s="17">
        <v>0</v>
      </c>
      <c r="AE1874" s="17">
        <v>0</v>
      </c>
      <c r="AF1874" s="17">
        <v>0.4</v>
      </c>
      <c r="AG1874" s="17">
        <v>0.2</v>
      </c>
      <c r="AH1874" s="17">
        <v>0</v>
      </c>
      <c r="AI1874" s="17">
        <v>0</v>
      </c>
      <c r="AJ1874" s="17">
        <v>0</v>
      </c>
      <c r="AK1874" s="17">
        <v>0</v>
      </c>
      <c r="AL1874" s="32">
        <v>0</v>
      </c>
      <c r="AM1874" s="172">
        <v>64.790030000000002</v>
      </c>
      <c r="AN1874" s="89"/>
      <c r="AO1874" s="89"/>
      <c r="AP1874" s="782"/>
      <c r="AQ1874" s="17" t="s">
        <v>2986</v>
      </c>
      <c r="AR1874" s="174">
        <v>50</v>
      </c>
      <c r="AS1874" s="171" t="s">
        <v>246</v>
      </c>
      <c r="AT1874" s="171">
        <v>200</v>
      </c>
      <c r="AU1874" s="167">
        <v>20</v>
      </c>
      <c r="AV1874" s="172">
        <v>100</v>
      </c>
      <c r="AW1874" s="171">
        <v>7</v>
      </c>
      <c r="AX1874" s="89"/>
      <c r="AY1874" s="171">
        <v>23</v>
      </c>
      <c r="AZ1874" s="89"/>
      <c r="BA1874" s="175">
        <v>50</v>
      </c>
      <c r="BB1874" s="189" t="s">
        <v>2990</v>
      </c>
      <c r="BC1874" s="176"/>
      <c r="BD1874" s="177"/>
      <c r="BE1874" s="177"/>
      <c r="BF1874" s="178"/>
    </row>
    <row r="1875" spans="1:58">
      <c r="A1875" s="111">
        <v>1874</v>
      </c>
      <c r="B1875" s="211">
        <v>21</v>
      </c>
      <c r="C1875" s="191" t="s">
        <v>3378</v>
      </c>
      <c r="D1875" s="171" t="s">
        <v>119</v>
      </c>
      <c r="E1875" s="464" t="s">
        <v>3476</v>
      </c>
      <c r="F1875" s="171">
        <v>2011</v>
      </c>
      <c r="G1875" s="171">
        <v>385</v>
      </c>
      <c r="H1875" s="172" t="s">
        <v>1738</v>
      </c>
      <c r="I1875" s="173" t="s">
        <v>1751</v>
      </c>
      <c r="J1875" s="242">
        <v>0.33</v>
      </c>
      <c r="K1875" s="171">
        <v>5.25</v>
      </c>
      <c r="M1875" s="171">
        <v>243.24</v>
      </c>
      <c r="N1875" s="171"/>
      <c r="O1875" s="161"/>
      <c r="P1875" s="92"/>
      <c r="Q1875" s="173" t="s">
        <v>526</v>
      </c>
      <c r="R1875" s="171" t="s">
        <v>2347</v>
      </c>
      <c r="S1875" s="171" t="s">
        <v>2988</v>
      </c>
      <c r="T1875" s="171" t="s">
        <v>2561</v>
      </c>
      <c r="U1875" s="89"/>
      <c r="V1875" s="102">
        <v>5</v>
      </c>
      <c r="W1875" s="120">
        <v>25</v>
      </c>
      <c r="X1875" s="120">
        <v>0</v>
      </c>
      <c r="Y1875" s="120">
        <v>0</v>
      </c>
      <c r="Z1875" s="120">
        <v>0</v>
      </c>
      <c r="AA1875" s="17">
        <v>0</v>
      </c>
      <c r="AB1875" s="17">
        <v>0</v>
      </c>
      <c r="AC1875" s="17">
        <v>0</v>
      </c>
      <c r="AD1875" s="17">
        <v>0</v>
      </c>
      <c r="AE1875" s="17">
        <v>0</v>
      </c>
      <c r="AF1875" s="17">
        <v>0.4</v>
      </c>
      <c r="AG1875" s="17">
        <v>0.2</v>
      </c>
      <c r="AH1875" s="17">
        <v>2</v>
      </c>
      <c r="AI1875" s="17">
        <v>0</v>
      </c>
      <c r="AJ1875" s="17">
        <v>0</v>
      </c>
      <c r="AK1875" s="17">
        <v>0</v>
      </c>
      <c r="AL1875" s="32">
        <v>0</v>
      </c>
      <c r="AM1875" s="172">
        <v>64.679720000000003</v>
      </c>
      <c r="AN1875" s="89"/>
      <c r="AO1875" s="89"/>
      <c r="AP1875" s="782"/>
      <c r="AQ1875" s="17" t="s">
        <v>2986</v>
      </c>
      <c r="AR1875" s="174">
        <v>50</v>
      </c>
      <c r="AS1875" s="171" t="s">
        <v>246</v>
      </c>
      <c r="AT1875" s="171">
        <v>200</v>
      </c>
      <c r="AU1875" s="167">
        <v>20</v>
      </c>
      <c r="AV1875" s="172">
        <v>100</v>
      </c>
      <c r="AW1875" s="171">
        <v>7</v>
      </c>
      <c r="AX1875" s="89"/>
      <c r="AY1875" s="171">
        <v>23</v>
      </c>
      <c r="AZ1875" s="89"/>
      <c r="BA1875" s="175">
        <v>50</v>
      </c>
      <c r="BB1875" s="189" t="s">
        <v>2990</v>
      </c>
      <c r="BC1875" s="176"/>
      <c r="BD1875" s="177"/>
      <c r="BE1875" s="177"/>
      <c r="BF1875" s="178"/>
    </row>
    <row r="1876" spans="1:58">
      <c r="A1876" s="111">
        <v>1875</v>
      </c>
      <c r="B1876" s="211">
        <v>30</v>
      </c>
      <c r="C1876" s="191" t="s">
        <v>3378</v>
      </c>
      <c r="D1876" s="171" t="s">
        <v>119</v>
      </c>
      <c r="E1876" s="464" t="s">
        <v>3476</v>
      </c>
      <c r="F1876" s="171">
        <v>2011</v>
      </c>
      <c r="G1876" s="171">
        <v>385</v>
      </c>
      <c r="H1876" s="172" t="s">
        <v>1738</v>
      </c>
      <c r="I1876" s="173" t="s">
        <v>1751</v>
      </c>
      <c r="J1876" s="242">
        <v>0.33</v>
      </c>
      <c r="K1876" s="171">
        <v>5.25</v>
      </c>
      <c r="M1876" s="171">
        <v>243.24</v>
      </c>
      <c r="N1876" s="171"/>
      <c r="O1876" s="161"/>
      <c r="P1876" s="92"/>
      <c r="Q1876" s="173" t="s">
        <v>526</v>
      </c>
      <c r="R1876" s="171" t="s">
        <v>2347</v>
      </c>
      <c r="S1876" s="171" t="s">
        <v>2988</v>
      </c>
      <c r="T1876" s="171" t="s">
        <v>2561</v>
      </c>
      <c r="U1876" s="89"/>
      <c r="V1876" s="102">
        <v>5</v>
      </c>
      <c r="W1876" s="120">
        <v>25</v>
      </c>
      <c r="X1876" s="120">
        <v>0</v>
      </c>
      <c r="Y1876" s="120">
        <v>0</v>
      </c>
      <c r="Z1876" s="120">
        <v>0</v>
      </c>
      <c r="AA1876" s="17">
        <v>0</v>
      </c>
      <c r="AB1876" s="17">
        <v>0</v>
      </c>
      <c r="AC1876" s="17">
        <v>0</v>
      </c>
      <c r="AD1876" s="17">
        <v>0</v>
      </c>
      <c r="AE1876" s="17">
        <v>0</v>
      </c>
      <c r="AF1876" s="17">
        <v>0.4</v>
      </c>
      <c r="AG1876" s="17">
        <v>0.2</v>
      </c>
      <c r="AH1876" s="17">
        <v>2.5</v>
      </c>
      <c r="AI1876" s="17">
        <v>0</v>
      </c>
      <c r="AJ1876" s="17">
        <v>0</v>
      </c>
      <c r="AK1876" s="17">
        <v>0</v>
      </c>
      <c r="AL1876" s="32">
        <v>0</v>
      </c>
      <c r="AM1876" s="172">
        <v>65.376090000000005</v>
      </c>
      <c r="AN1876" s="89"/>
      <c r="AO1876" s="89"/>
      <c r="AP1876" s="782"/>
      <c r="AQ1876" s="17" t="s">
        <v>2986</v>
      </c>
      <c r="AR1876" s="174">
        <v>50</v>
      </c>
      <c r="AS1876" s="171" t="s">
        <v>246</v>
      </c>
      <c r="AT1876" s="171">
        <v>200</v>
      </c>
      <c r="AU1876" s="167">
        <v>20</v>
      </c>
      <c r="AV1876" s="172">
        <v>100</v>
      </c>
      <c r="AW1876" s="171">
        <v>7</v>
      </c>
      <c r="AX1876" s="89"/>
      <c r="AY1876" s="171">
        <v>23</v>
      </c>
      <c r="AZ1876" s="89"/>
      <c r="BA1876" s="175">
        <v>50</v>
      </c>
      <c r="BB1876" s="189" t="s">
        <v>2990</v>
      </c>
      <c r="BC1876" s="176"/>
      <c r="BD1876" s="177"/>
      <c r="BE1876" s="177"/>
      <c r="BF1876" s="178"/>
    </row>
    <row r="1877" spans="1:58">
      <c r="A1877" s="111">
        <v>1876</v>
      </c>
      <c r="B1877" s="211">
        <v>31</v>
      </c>
      <c r="C1877" s="191" t="s">
        <v>3378</v>
      </c>
      <c r="D1877" s="171" t="s">
        <v>119</v>
      </c>
      <c r="E1877" s="464" t="s">
        <v>3476</v>
      </c>
      <c r="F1877" s="171">
        <v>2011</v>
      </c>
      <c r="G1877" s="171">
        <v>385</v>
      </c>
      <c r="H1877" s="172" t="s">
        <v>1738</v>
      </c>
      <c r="I1877" s="173" t="s">
        <v>1751</v>
      </c>
      <c r="J1877" s="242">
        <v>0.33</v>
      </c>
      <c r="K1877" s="171">
        <v>4.8</v>
      </c>
      <c r="M1877" s="171">
        <v>281.20999999999998</v>
      </c>
      <c r="N1877" s="171"/>
      <c r="O1877" s="161"/>
      <c r="P1877" s="92"/>
      <c r="Q1877" s="173" t="s">
        <v>526</v>
      </c>
      <c r="R1877" s="171" t="s">
        <v>2347</v>
      </c>
      <c r="S1877" s="171" t="s">
        <v>2988</v>
      </c>
      <c r="T1877" s="171" t="s">
        <v>2561</v>
      </c>
      <c r="U1877" s="89"/>
      <c r="V1877" s="102">
        <v>0</v>
      </c>
      <c r="W1877" s="120">
        <v>25</v>
      </c>
      <c r="X1877" s="120">
        <v>0</v>
      </c>
      <c r="Y1877" s="120">
        <v>0</v>
      </c>
      <c r="Z1877" s="120">
        <v>0</v>
      </c>
      <c r="AA1877" s="17">
        <v>0</v>
      </c>
      <c r="AB1877" s="17">
        <v>0</v>
      </c>
      <c r="AC1877" s="17">
        <v>5</v>
      </c>
      <c r="AD1877" s="17">
        <v>0</v>
      </c>
      <c r="AE1877" s="17">
        <v>0</v>
      </c>
      <c r="AF1877" s="17">
        <v>0.4</v>
      </c>
      <c r="AG1877" s="17">
        <v>0.2</v>
      </c>
      <c r="AH1877" s="17">
        <v>0</v>
      </c>
      <c r="AI1877" s="17">
        <v>0</v>
      </c>
      <c r="AJ1877" s="17">
        <v>0</v>
      </c>
      <c r="AK1877" s="17">
        <v>0</v>
      </c>
      <c r="AL1877" s="32">
        <v>0</v>
      </c>
      <c r="AM1877" s="172">
        <v>68.44426</v>
      </c>
      <c r="AN1877" s="89"/>
      <c r="AO1877" s="89"/>
      <c r="AP1877" s="782"/>
      <c r="AQ1877" s="17" t="s">
        <v>2987</v>
      </c>
      <c r="AR1877" s="174">
        <v>75</v>
      </c>
      <c r="AS1877" s="171" t="s">
        <v>246</v>
      </c>
      <c r="AT1877" s="171">
        <v>300</v>
      </c>
      <c r="AU1877" s="167">
        <v>30</v>
      </c>
      <c r="AV1877" s="172">
        <v>100</v>
      </c>
      <c r="AW1877" s="171">
        <v>7</v>
      </c>
      <c r="AX1877" s="89"/>
      <c r="AY1877" s="171">
        <v>23</v>
      </c>
      <c r="AZ1877" s="89"/>
      <c r="BA1877" s="175">
        <v>50</v>
      </c>
      <c r="BB1877" s="189" t="s">
        <v>2990</v>
      </c>
      <c r="BC1877" s="176"/>
      <c r="BD1877" s="177"/>
      <c r="BE1877" s="177"/>
      <c r="BF1877" s="178"/>
    </row>
    <row r="1878" spans="1:58">
      <c r="A1878" s="111">
        <v>1877</v>
      </c>
      <c r="B1878" s="211">
        <v>32</v>
      </c>
      <c r="C1878" s="191" t="s">
        <v>3378</v>
      </c>
      <c r="D1878" s="171" t="s">
        <v>119</v>
      </c>
      <c r="E1878" s="464" t="s">
        <v>3476</v>
      </c>
      <c r="F1878" s="171">
        <v>2011</v>
      </c>
      <c r="G1878" s="171">
        <v>385</v>
      </c>
      <c r="H1878" s="172" t="s">
        <v>1738</v>
      </c>
      <c r="I1878" s="173" t="s">
        <v>1751</v>
      </c>
      <c r="J1878" s="242">
        <v>0.34</v>
      </c>
      <c r="K1878" s="171">
        <v>4.76</v>
      </c>
      <c r="M1878" s="171">
        <v>281.20999999999998</v>
      </c>
      <c r="N1878" s="171"/>
      <c r="O1878" s="161"/>
      <c r="P1878" s="92"/>
      <c r="Q1878" s="173" t="s">
        <v>526</v>
      </c>
      <c r="R1878" s="171" t="s">
        <v>2347</v>
      </c>
      <c r="S1878" s="171" t="s">
        <v>2988</v>
      </c>
      <c r="T1878" s="171" t="s">
        <v>2561</v>
      </c>
      <c r="U1878" s="89"/>
      <c r="V1878" s="102">
        <v>0</v>
      </c>
      <c r="W1878" s="120">
        <v>25</v>
      </c>
      <c r="X1878" s="120">
        <v>0</v>
      </c>
      <c r="Y1878" s="120">
        <v>0</v>
      </c>
      <c r="Z1878" s="120">
        <v>0</v>
      </c>
      <c r="AA1878" s="17">
        <v>0</v>
      </c>
      <c r="AB1878" s="17">
        <v>0</v>
      </c>
      <c r="AC1878" s="17">
        <v>5</v>
      </c>
      <c r="AD1878" s="17">
        <v>0</v>
      </c>
      <c r="AE1878" s="17">
        <v>0</v>
      </c>
      <c r="AF1878" s="17">
        <v>0.4</v>
      </c>
      <c r="AG1878" s="17">
        <v>0.2</v>
      </c>
      <c r="AH1878" s="17">
        <v>0</v>
      </c>
      <c r="AI1878" s="17">
        <v>0</v>
      </c>
      <c r="AJ1878" s="17">
        <v>0</v>
      </c>
      <c r="AK1878" s="17">
        <v>0</v>
      </c>
      <c r="AL1878" s="32">
        <v>0</v>
      </c>
      <c r="AM1878" s="172">
        <v>64.07987</v>
      </c>
      <c r="AN1878" s="89"/>
      <c r="AO1878" s="89"/>
      <c r="AP1878" s="782"/>
      <c r="AQ1878" s="17" t="s">
        <v>2987</v>
      </c>
      <c r="AR1878" s="174">
        <v>75</v>
      </c>
      <c r="AS1878" s="171" t="s">
        <v>246</v>
      </c>
      <c r="AT1878" s="171">
        <v>300</v>
      </c>
      <c r="AU1878" s="167">
        <v>30</v>
      </c>
      <c r="AV1878" s="172">
        <v>100</v>
      </c>
      <c r="AW1878" s="171">
        <v>7</v>
      </c>
      <c r="AX1878" s="89"/>
      <c r="AY1878" s="171">
        <v>23</v>
      </c>
      <c r="AZ1878" s="89"/>
      <c r="BA1878" s="175">
        <v>50</v>
      </c>
      <c r="BB1878" s="189" t="s">
        <v>2990</v>
      </c>
      <c r="BC1878" s="176"/>
      <c r="BD1878" s="177"/>
      <c r="BE1878" s="177"/>
      <c r="BF1878" s="178"/>
    </row>
    <row r="1879" spans="1:58">
      <c r="A1879" s="111">
        <v>1878</v>
      </c>
      <c r="B1879" s="211">
        <v>33</v>
      </c>
      <c r="C1879" s="191" t="s">
        <v>3378</v>
      </c>
      <c r="D1879" s="171" t="s">
        <v>119</v>
      </c>
      <c r="E1879" s="464" t="s">
        <v>3476</v>
      </c>
      <c r="F1879" s="171">
        <v>2011</v>
      </c>
      <c r="G1879" s="171">
        <v>385</v>
      </c>
      <c r="H1879" s="172" t="s">
        <v>1738</v>
      </c>
      <c r="I1879" s="173" t="s">
        <v>1751</v>
      </c>
      <c r="J1879" s="242">
        <v>0.34</v>
      </c>
      <c r="K1879" s="171">
        <v>5.28</v>
      </c>
      <c r="M1879" s="171">
        <v>260.45</v>
      </c>
      <c r="N1879" s="171"/>
      <c r="O1879" s="161"/>
      <c r="P1879" s="92"/>
      <c r="Q1879" s="173" t="s">
        <v>526</v>
      </c>
      <c r="R1879" s="171" t="s">
        <v>2347</v>
      </c>
      <c r="S1879" s="171" t="s">
        <v>2988</v>
      </c>
      <c r="T1879" s="171" t="s">
        <v>2561</v>
      </c>
      <c r="U1879" s="89"/>
      <c r="V1879" s="102">
        <v>0</v>
      </c>
      <c r="W1879" s="120">
        <v>25</v>
      </c>
      <c r="X1879" s="120">
        <v>0</v>
      </c>
      <c r="Y1879" s="120">
        <v>0</v>
      </c>
      <c r="Z1879" s="120">
        <v>0</v>
      </c>
      <c r="AA1879" s="17">
        <v>0</v>
      </c>
      <c r="AB1879" s="17">
        <v>0</v>
      </c>
      <c r="AC1879" s="17">
        <v>5</v>
      </c>
      <c r="AD1879" s="17">
        <v>0</v>
      </c>
      <c r="AE1879" s="17">
        <v>0</v>
      </c>
      <c r="AF1879" s="17">
        <v>0.4</v>
      </c>
      <c r="AG1879" s="17">
        <v>0.2</v>
      </c>
      <c r="AH1879" s="17">
        <v>0</v>
      </c>
      <c r="AI1879" s="17">
        <v>0</v>
      </c>
      <c r="AJ1879" s="17">
        <v>0</v>
      </c>
      <c r="AK1879" s="17">
        <v>0</v>
      </c>
      <c r="AL1879" s="32">
        <v>0</v>
      </c>
      <c r="AM1879" s="172">
        <v>73.146479999999997</v>
      </c>
      <c r="AN1879" s="89"/>
      <c r="AO1879" s="89"/>
      <c r="AP1879" s="782"/>
      <c r="AQ1879" s="17" t="s">
        <v>2987</v>
      </c>
      <c r="AR1879" s="174">
        <v>75</v>
      </c>
      <c r="AS1879" s="171" t="s">
        <v>246</v>
      </c>
      <c r="AT1879" s="171">
        <v>300</v>
      </c>
      <c r="AU1879" s="167">
        <v>30</v>
      </c>
      <c r="AV1879" s="172">
        <v>100</v>
      </c>
      <c r="AW1879" s="171">
        <v>7</v>
      </c>
      <c r="AX1879" s="89"/>
      <c r="AY1879" s="171">
        <v>23</v>
      </c>
      <c r="AZ1879" s="89"/>
      <c r="BA1879" s="175">
        <v>50</v>
      </c>
      <c r="BB1879" s="189" t="s">
        <v>2990</v>
      </c>
      <c r="BC1879" s="176"/>
      <c r="BD1879" s="177"/>
      <c r="BE1879" s="177"/>
      <c r="BF1879" s="178"/>
    </row>
    <row r="1880" spans="1:58">
      <c r="A1880" s="111">
        <v>1879</v>
      </c>
      <c r="B1880" s="211">
        <v>2</v>
      </c>
      <c r="C1880" s="191" t="s">
        <v>3378</v>
      </c>
      <c r="D1880" s="171" t="s">
        <v>119</v>
      </c>
      <c r="E1880" s="464" t="s">
        <v>3476</v>
      </c>
      <c r="F1880" s="171">
        <v>2011</v>
      </c>
      <c r="G1880" s="171">
        <v>385</v>
      </c>
      <c r="H1880" s="172" t="s">
        <v>1738</v>
      </c>
      <c r="I1880" s="173" t="s">
        <v>1751</v>
      </c>
      <c r="J1880" s="242">
        <v>0.33</v>
      </c>
      <c r="K1880" s="171">
        <v>5.25</v>
      </c>
      <c r="M1880" s="213">
        <v>280.61974713299998</v>
      </c>
      <c r="N1880" s="213"/>
      <c r="O1880" s="161"/>
      <c r="P1880" s="92"/>
      <c r="Q1880" s="173" t="s">
        <v>526</v>
      </c>
      <c r="R1880" s="171" t="s">
        <v>2347</v>
      </c>
      <c r="S1880" s="171" t="s">
        <v>2988</v>
      </c>
      <c r="T1880" s="171" t="s">
        <v>2561</v>
      </c>
      <c r="U1880" s="89"/>
      <c r="V1880" s="102">
        <v>5</v>
      </c>
      <c r="W1880" s="120">
        <v>20</v>
      </c>
      <c r="X1880" s="120">
        <v>0</v>
      </c>
      <c r="Y1880" s="120">
        <v>0</v>
      </c>
      <c r="Z1880" s="120">
        <v>0</v>
      </c>
      <c r="AA1880" s="17">
        <v>0</v>
      </c>
      <c r="AB1880" s="17">
        <v>0</v>
      </c>
      <c r="AC1880" s="17">
        <v>0</v>
      </c>
      <c r="AD1880" s="17">
        <v>0</v>
      </c>
      <c r="AE1880" s="17">
        <v>0</v>
      </c>
      <c r="AF1880" s="17">
        <v>0.6</v>
      </c>
      <c r="AG1880" s="17">
        <v>0</v>
      </c>
      <c r="AH1880" s="17">
        <v>0</v>
      </c>
      <c r="AI1880" s="17">
        <v>0</v>
      </c>
      <c r="AJ1880" s="17">
        <v>0</v>
      </c>
      <c r="AK1880" s="17">
        <v>0</v>
      </c>
      <c r="AL1880" s="32">
        <v>0</v>
      </c>
      <c r="AM1880" s="57"/>
      <c r="AN1880" s="89"/>
      <c r="AO1880" s="89"/>
      <c r="AP1880" s="782"/>
      <c r="AQ1880" s="17" t="s">
        <v>2986</v>
      </c>
      <c r="AR1880" s="174">
        <v>50</v>
      </c>
      <c r="AS1880" s="171" t="s">
        <v>246</v>
      </c>
      <c r="AT1880" s="171">
        <v>200</v>
      </c>
      <c r="AU1880" s="167">
        <v>20</v>
      </c>
      <c r="AV1880" s="172">
        <v>100</v>
      </c>
      <c r="AW1880" s="171">
        <v>7</v>
      </c>
      <c r="AX1880" s="89"/>
      <c r="AY1880" s="171">
        <v>23</v>
      </c>
      <c r="AZ1880" s="89"/>
      <c r="BA1880" s="175">
        <v>50</v>
      </c>
      <c r="BB1880" s="189" t="s">
        <v>2990</v>
      </c>
      <c r="BC1880" s="176"/>
      <c r="BD1880" s="171"/>
      <c r="BE1880" s="171"/>
      <c r="BF1880" s="190"/>
    </row>
    <row r="1881" spans="1:58">
      <c r="A1881" s="111">
        <v>1880</v>
      </c>
      <c r="B1881" s="211">
        <v>4</v>
      </c>
      <c r="C1881" s="191" t="s">
        <v>3378</v>
      </c>
      <c r="D1881" s="171" t="s">
        <v>119</v>
      </c>
      <c r="E1881" s="464" t="s">
        <v>3476</v>
      </c>
      <c r="F1881" s="171">
        <v>2011</v>
      </c>
      <c r="G1881" s="171">
        <v>385</v>
      </c>
      <c r="H1881" s="172" t="s">
        <v>1738</v>
      </c>
      <c r="I1881" s="173" t="s">
        <v>1751</v>
      </c>
      <c r="J1881" s="242">
        <v>0.33</v>
      </c>
      <c r="K1881" s="171">
        <v>5.25</v>
      </c>
      <c r="M1881" s="213">
        <v>280.61974713299998</v>
      </c>
      <c r="N1881" s="213"/>
      <c r="O1881" s="161"/>
      <c r="P1881" s="92"/>
      <c r="Q1881" s="173" t="s">
        <v>526</v>
      </c>
      <c r="R1881" s="171" t="s">
        <v>2347</v>
      </c>
      <c r="S1881" s="171" t="s">
        <v>2988</v>
      </c>
      <c r="T1881" s="171" t="s">
        <v>2561</v>
      </c>
      <c r="U1881" s="89"/>
      <c r="V1881" s="102">
        <v>0</v>
      </c>
      <c r="W1881" s="120">
        <v>20</v>
      </c>
      <c r="X1881" s="120">
        <v>0</v>
      </c>
      <c r="Y1881" s="120">
        <v>0</v>
      </c>
      <c r="Z1881" s="120">
        <v>0</v>
      </c>
      <c r="AA1881" s="17">
        <v>0</v>
      </c>
      <c r="AB1881" s="17">
        <v>0</v>
      </c>
      <c r="AC1881" s="17">
        <v>5</v>
      </c>
      <c r="AD1881" s="17">
        <v>0</v>
      </c>
      <c r="AE1881" s="17">
        <v>0</v>
      </c>
      <c r="AF1881" s="17">
        <v>0.6</v>
      </c>
      <c r="AG1881" s="17">
        <v>0</v>
      </c>
      <c r="AH1881" s="17">
        <v>0.5</v>
      </c>
      <c r="AI1881" s="17">
        <v>0</v>
      </c>
      <c r="AJ1881" s="17">
        <v>0</v>
      </c>
      <c r="AK1881" s="17">
        <v>0</v>
      </c>
      <c r="AL1881" s="32">
        <v>0</v>
      </c>
      <c r="AM1881" s="57"/>
      <c r="AN1881" s="89"/>
      <c r="AO1881" s="89"/>
      <c r="AP1881" s="782"/>
      <c r="AQ1881" s="17" t="s">
        <v>2986</v>
      </c>
      <c r="AR1881" s="174">
        <v>50</v>
      </c>
      <c r="AS1881" s="171" t="s">
        <v>246</v>
      </c>
      <c r="AT1881" s="171">
        <v>200</v>
      </c>
      <c r="AU1881" s="167">
        <v>20</v>
      </c>
      <c r="AV1881" s="172">
        <v>100</v>
      </c>
      <c r="AW1881" s="171">
        <v>7</v>
      </c>
      <c r="AX1881" s="89"/>
      <c r="AY1881" s="171">
        <v>23</v>
      </c>
      <c r="AZ1881" s="89"/>
      <c r="BA1881" s="175">
        <v>50</v>
      </c>
      <c r="BB1881" s="189" t="s">
        <v>2990</v>
      </c>
      <c r="BC1881" s="176"/>
      <c r="BD1881" s="177"/>
      <c r="BE1881" s="177"/>
      <c r="BF1881" s="178"/>
    </row>
    <row r="1882" spans="1:58">
      <c r="A1882" s="111">
        <v>1881</v>
      </c>
      <c r="B1882" s="211">
        <v>5</v>
      </c>
      <c r="C1882" s="191" t="s">
        <v>3378</v>
      </c>
      <c r="D1882" s="171" t="s">
        <v>119</v>
      </c>
      <c r="E1882" s="464" t="s">
        <v>3476</v>
      </c>
      <c r="F1882" s="171">
        <v>2011</v>
      </c>
      <c r="G1882" s="171">
        <v>385</v>
      </c>
      <c r="H1882" s="172" t="s">
        <v>1738</v>
      </c>
      <c r="I1882" s="173" t="s">
        <v>1751</v>
      </c>
      <c r="J1882" s="242">
        <v>0.33</v>
      </c>
      <c r="K1882" s="171">
        <v>5.25</v>
      </c>
      <c r="M1882" s="213">
        <v>261.63490166100001</v>
      </c>
      <c r="N1882" s="213"/>
      <c r="O1882" s="161"/>
      <c r="P1882" s="92"/>
      <c r="Q1882" s="173" t="s">
        <v>526</v>
      </c>
      <c r="R1882" s="171" t="s">
        <v>2347</v>
      </c>
      <c r="S1882" s="171" t="s">
        <v>2988</v>
      </c>
      <c r="T1882" s="171" t="s">
        <v>2561</v>
      </c>
      <c r="U1882" s="89"/>
      <c r="V1882" s="102">
        <v>5</v>
      </c>
      <c r="W1882" s="120">
        <v>25</v>
      </c>
      <c r="X1882" s="120">
        <v>0</v>
      </c>
      <c r="Y1882" s="120">
        <v>0</v>
      </c>
      <c r="Z1882" s="120">
        <v>0</v>
      </c>
      <c r="AA1882" s="17">
        <v>0</v>
      </c>
      <c r="AB1882" s="17">
        <v>0</v>
      </c>
      <c r="AC1882" s="17">
        <v>0</v>
      </c>
      <c r="AD1882" s="17">
        <v>0</v>
      </c>
      <c r="AE1882" s="17">
        <v>0</v>
      </c>
      <c r="AF1882" s="17">
        <v>0.6</v>
      </c>
      <c r="AG1882" s="17">
        <v>0</v>
      </c>
      <c r="AH1882" s="17">
        <v>0</v>
      </c>
      <c r="AI1882" s="17">
        <v>0</v>
      </c>
      <c r="AJ1882" s="17">
        <v>0</v>
      </c>
      <c r="AK1882" s="17">
        <v>0</v>
      </c>
      <c r="AL1882" s="32">
        <v>0</v>
      </c>
      <c r="AM1882" s="57"/>
      <c r="AN1882" s="89"/>
      <c r="AO1882" s="89"/>
      <c r="AP1882" s="782"/>
      <c r="AQ1882" s="17" t="s">
        <v>2986</v>
      </c>
      <c r="AR1882" s="174">
        <v>50</v>
      </c>
      <c r="AS1882" s="171" t="s">
        <v>246</v>
      </c>
      <c r="AT1882" s="171">
        <v>200</v>
      </c>
      <c r="AU1882" s="167">
        <v>20</v>
      </c>
      <c r="AV1882" s="172">
        <v>100</v>
      </c>
      <c r="AW1882" s="171">
        <v>7</v>
      </c>
      <c r="AX1882" s="89"/>
      <c r="AY1882" s="171">
        <v>23</v>
      </c>
      <c r="AZ1882" s="89"/>
      <c r="BA1882" s="175">
        <v>50</v>
      </c>
      <c r="BB1882" s="189" t="s">
        <v>2990</v>
      </c>
      <c r="BC1882" s="176"/>
      <c r="BD1882" s="177"/>
      <c r="BE1882" s="177"/>
      <c r="BF1882" s="178"/>
    </row>
    <row r="1883" spans="1:58">
      <c r="A1883" s="111">
        <v>1882</v>
      </c>
      <c r="B1883" s="211">
        <v>6</v>
      </c>
      <c r="C1883" s="191" t="s">
        <v>3378</v>
      </c>
      <c r="D1883" s="171" t="s">
        <v>119</v>
      </c>
      <c r="E1883" s="464" t="s">
        <v>3476</v>
      </c>
      <c r="F1883" s="171">
        <v>2011</v>
      </c>
      <c r="G1883" s="171">
        <v>385</v>
      </c>
      <c r="H1883" s="172" t="s">
        <v>1738</v>
      </c>
      <c r="I1883" s="173" t="s">
        <v>1751</v>
      </c>
      <c r="J1883" s="242">
        <v>0.33</v>
      </c>
      <c r="K1883" s="171">
        <v>5.25</v>
      </c>
      <c r="M1883" s="213">
        <v>261.63490166100001</v>
      </c>
      <c r="N1883" s="213"/>
      <c r="O1883" s="161"/>
      <c r="P1883" s="92"/>
      <c r="Q1883" s="173" t="s">
        <v>526</v>
      </c>
      <c r="R1883" s="171" t="s">
        <v>2347</v>
      </c>
      <c r="S1883" s="171" t="s">
        <v>2988</v>
      </c>
      <c r="T1883" s="171" t="s">
        <v>2561</v>
      </c>
      <c r="U1883" s="89"/>
      <c r="V1883" s="102">
        <v>0</v>
      </c>
      <c r="W1883" s="120">
        <v>25</v>
      </c>
      <c r="X1883" s="120">
        <v>0</v>
      </c>
      <c r="Y1883" s="120">
        <v>0</v>
      </c>
      <c r="Z1883" s="120">
        <v>0</v>
      </c>
      <c r="AA1883" s="17">
        <v>0</v>
      </c>
      <c r="AB1883" s="17">
        <v>0</v>
      </c>
      <c r="AC1883" s="17">
        <v>5</v>
      </c>
      <c r="AD1883" s="17">
        <v>0</v>
      </c>
      <c r="AE1883" s="17">
        <v>0</v>
      </c>
      <c r="AF1883" s="17">
        <v>0.6</v>
      </c>
      <c r="AG1883" s="17">
        <v>0</v>
      </c>
      <c r="AH1883" s="17">
        <v>0</v>
      </c>
      <c r="AI1883" s="17">
        <v>0</v>
      </c>
      <c r="AJ1883" s="17">
        <v>0</v>
      </c>
      <c r="AK1883" s="17">
        <v>0</v>
      </c>
      <c r="AL1883" s="32">
        <v>0</v>
      </c>
      <c r="AM1883" s="57"/>
      <c r="AN1883" s="89"/>
      <c r="AO1883" s="89"/>
      <c r="AP1883" s="782"/>
      <c r="AQ1883" s="17" t="s">
        <v>2986</v>
      </c>
      <c r="AR1883" s="174">
        <v>50</v>
      </c>
      <c r="AS1883" s="171" t="s">
        <v>246</v>
      </c>
      <c r="AT1883" s="171">
        <v>200</v>
      </c>
      <c r="AU1883" s="167">
        <v>20</v>
      </c>
      <c r="AV1883" s="172">
        <v>100</v>
      </c>
      <c r="AW1883" s="171">
        <v>7</v>
      </c>
      <c r="AX1883" s="89"/>
      <c r="AY1883" s="171">
        <v>23</v>
      </c>
      <c r="AZ1883" s="89"/>
      <c r="BA1883" s="175">
        <v>50</v>
      </c>
      <c r="BB1883" s="189" t="s">
        <v>2990</v>
      </c>
      <c r="BC1883" s="176"/>
      <c r="BD1883" s="177"/>
      <c r="BE1883" s="177"/>
      <c r="BF1883" s="178"/>
    </row>
    <row r="1884" spans="1:58">
      <c r="A1884" s="111">
        <v>1883</v>
      </c>
      <c r="B1884" s="211">
        <v>8</v>
      </c>
      <c r="C1884" s="191" t="s">
        <v>3378</v>
      </c>
      <c r="D1884" s="171" t="s">
        <v>119</v>
      </c>
      <c r="E1884" s="464" t="s">
        <v>3476</v>
      </c>
      <c r="F1884" s="171">
        <v>2011</v>
      </c>
      <c r="G1884" s="171">
        <v>385</v>
      </c>
      <c r="H1884" s="172" t="s">
        <v>1738</v>
      </c>
      <c r="I1884" s="173" t="s">
        <v>1751</v>
      </c>
      <c r="J1884" s="242">
        <v>0.33</v>
      </c>
      <c r="K1884" s="171">
        <v>5.25</v>
      </c>
      <c r="M1884" s="213">
        <v>261.63490166100001</v>
      </c>
      <c r="N1884" s="213"/>
      <c r="O1884" s="161"/>
      <c r="P1884" s="92"/>
      <c r="Q1884" s="173" t="s">
        <v>526</v>
      </c>
      <c r="R1884" s="171" t="s">
        <v>2347</v>
      </c>
      <c r="S1884" s="171" t="s">
        <v>2988</v>
      </c>
      <c r="T1884" s="171" t="s">
        <v>2561</v>
      </c>
      <c r="U1884" s="89"/>
      <c r="V1884" s="102">
        <v>0</v>
      </c>
      <c r="W1884" s="120">
        <v>25</v>
      </c>
      <c r="X1884" s="120">
        <v>0</v>
      </c>
      <c r="Y1884" s="120">
        <v>0</v>
      </c>
      <c r="Z1884" s="120">
        <v>0</v>
      </c>
      <c r="AA1884" s="17">
        <v>0</v>
      </c>
      <c r="AB1884" s="17">
        <v>0</v>
      </c>
      <c r="AC1884" s="17">
        <v>5</v>
      </c>
      <c r="AD1884" s="17">
        <v>0</v>
      </c>
      <c r="AE1884" s="17">
        <v>0</v>
      </c>
      <c r="AF1884" s="17">
        <v>0.6</v>
      </c>
      <c r="AG1884" s="17">
        <v>0</v>
      </c>
      <c r="AH1884" s="17">
        <v>0.5</v>
      </c>
      <c r="AI1884" s="17">
        <v>0</v>
      </c>
      <c r="AJ1884" s="17">
        <v>0</v>
      </c>
      <c r="AK1884" s="17">
        <v>0</v>
      </c>
      <c r="AL1884" s="32">
        <v>0</v>
      </c>
      <c r="AM1884" s="57"/>
      <c r="AN1884" s="89"/>
      <c r="AO1884" s="89"/>
      <c r="AP1884" s="782"/>
      <c r="AQ1884" s="17" t="s">
        <v>2986</v>
      </c>
      <c r="AR1884" s="174">
        <v>50</v>
      </c>
      <c r="AS1884" s="171" t="s">
        <v>246</v>
      </c>
      <c r="AT1884" s="171">
        <v>200</v>
      </c>
      <c r="AU1884" s="167">
        <v>20</v>
      </c>
      <c r="AV1884" s="172">
        <v>100</v>
      </c>
      <c r="AW1884" s="171">
        <v>7</v>
      </c>
      <c r="AX1884" s="89"/>
      <c r="AY1884" s="171">
        <v>23</v>
      </c>
      <c r="AZ1884" s="89"/>
      <c r="BA1884" s="175">
        <v>50</v>
      </c>
      <c r="BB1884" s="189" t="s">
        <v>2990</v>
      </c>
      <c r="BC1884" s="176"/>
      <c r="BD1884" s="177"/>
      <c r="BE1884" s="177"/>
      <c r="BF1884" s="178"/>
    </row>
    <row r="1885" spans="1:58">
      <c r="A1885" s="111">
        <v>1884</v>
      </c>
      <c r="B1885" s="211">
        <v>9</v>
      </c>
      <c r="C1885" s="191" t="s">
        <v>3378</v>
      </c>
      <c r="D1885" s="171" t="s">
        <v>119</v>
      </c>
      <c r="E1885" s="464" t="s">
        <v>3476</v>
      </c>
      <c r="F1885" s="171">
        <v>2011</v>
      </c>
      <c r="G1885" s="171">
        <v>385</v>
      </c>
      <c r="H1885" s="172" t="s">
        <v>1738</v>
      </c>
      <c r="I1885" s="173" t="s">
        <v>1751</v>
      </c>
      <c r="J1885" s="242">
        <v>0.33</v>
      </c>
      <c r="K1885" s="171">
        <v>5.25</v>
      </c>
      <c r="M1885" s="213">
        <v>243.24333261000001</v>
      </c>
      <c r="N1885" s="213"/>
      <c r="O1885" s="161"/>
      <c r="P1885" s="92"/>
      <c r="Q1885" s="173" t="s">
        <v>526</v>
      </c>
      <c r="R1885" s="171" t="s">
        <v>2347</v>
      </c>
      <c r="S1885" s="171" t="s">
        <v>2988</v>
      </c>
      <c r="T1885" s="171" t="s">
        <v>2561</v>
      </c>
      <c r="U1885" s="89"/>
      <c r="V1885" s="102">
        <v>5</v>
      </c>
      <c r="W1885" s="120">
        <v>30</v>
      </c>
      <c r="X1885" s="120">
        <v>0</v>
      </c>
      <c r="Y1885" s="120">
        <v>0</v>
      </c>
      <c r="Z1885" s="120">
        <v>0</v>
      </c>
      <c r="AA1885" s="17">
        <v>0</v>
      </c>
      <c r="AB1885" s="17">
        <v>0</v>
      </c>
      <c r="AC1885" s="17">
        <v>0</v>
      </c>
      <c r="AD1885" s="17">
        <v>0</v>
      </c>
      <c r="AE1885" s="17">
        <v>0</v>
      </c>
      <c r="AF1885" s="17">
        <v>0.6</v>
      </c>
      <c r="AG1885" s="17">
        <v>0</v>
      </c>
      <c r="AH1885" s="17">
        <v>0</v>
      </c>
      <c r="AI1885" s="17">
        <v>0</v>
      </c>
      <c r="AJ1885" s="17">
        <v>0</v>
      </c>
      <c r="AK1885" s="17">
        <v>0</v>
      </c>
      <c r="AL1885" s="32">
        <v>0</v>
      </c>
      <c r="AM1885" s="57"/>
      <c r="AN1885" s="89"/>
      <c r="AO1885" s="89"/>
      <c r="AP1885" s="782"/>
      <c r="AQ1885" s="17" t="s">
        <v>2986</v>
      </c>
      <c r="AR1885" s="174">
        <v>50</v>
      </c>
      <c r="AS1885" s="171" t="s">
        <v>246</v>
      </c>
      <c r="AT1885" s="171">
        <v>200</v>
      </c>
      <c r="AU1885" s="167">
        <v>20</v>
      </c>
      <c r="AV1885" s="172">
        <v>100</v>
      </c>
      <c r="AW1885" s="171">
        <v>7</v>
      </c>
      <c r="AX1885" s="89"/>
      <c r="AY1885" s="171">
        <v>23</v>
      </c>
      <c r="AZ1885" s="89"/>
      <c r="BA1885" s="175">
        <v>50</v>
      </c>
      <c r="BB1885" s="189" t="s">
        <v>2990</v>
      </c>
      <c r="BC1885" s="176"/>
      <c r="BD1885" s="177"/>
      <c r="BE1885" s="177"/>
      <c r="BF1885" s="178"/>
    </row>
    <row r="1886" spans="1:58">
      <c r="A1886" s="111">
        <v>1885</v>
      </c>
      <c r="B1886" s="211">
        <v>10</v>
      </c>
      <c r="C1886" s="191" t="s">
        <v>3378</v>
      </c>
      <c r="D1886" s="171" t="s">
        <v>119</v>
      </c>
      <c r="E1886" s="464" t="s">
        <v>3476</v>
      </c>
      <c r="F1886" s="171">
        <v>2011</v>
      </c>
      <c r="G1886" s="171">
        <v>385</v>
      </c>
      <c r="H1886" s="172" t="s">
        <v>1738</v>
      </c>
      <c r="I1886" s="173" t="s">
        <v>1751</v>
      </c>
      <c r="J1886" s="242">
        <v>0.33</v>
      </c>
      <c r="K1886" s="171">
        <v>5.25</v>
      </c>
      <c r="M1886" s="213">
        <v>243.24333261000001</v>
      </c>
      <c r="N1886" s="213"/>
      <c r="O1886" s="161"/>
      <c r="P1886" s="92"/>
      <c r="Q1886" s="173" t="s">
        <v>526</v>
      </c>
      <c r="R1886" s="171" t="s">
        <v>2347</v>
      </c>
      <c r="S1886" s="171" t="s">
        <v>2988</v>
      </c>
      <c r="T1886" s="171" t="s">
        <v>2561</v>
      </c>
      <c r="U1886" s="89"/>
      <c r="V1886" s="102">
        <v>0</v>
      </c>
      <c r="W1886" s="120">
        <v>30</v>
      </c>
      <c r="X1886" s="120">
        <v>0</v>
      </c>
      <c r="Y1886" s="120">
        <v>0</v>
      </c>
      <c r="Z1886" s="120">
        <v>0</v>
      </c>
      <c r="AA1886" s="17">
        <v>0</v>
      </c>
      <c r="AB1886" s="17">
        <v>0</v>
      </c>
      <c r="AC1886" s="17">
        <v>5</v>
      </c>
      <c r="AD1886" s="17">
        <v>0</v>
      </c>
      <c r="AE1886" s="17">
        <v>0</v>
      </c>
      <c r="AF1886" s="17">
        <v>0.6</v>
      </c>
      <c r="AG1886" s="17">
        <v>0</v>
      </c>
      <c r="AH1886" s="17">
        <v>0</v>
      </c>
      <c r="AI1886" s="17">
        <v>0</v>
      </c>
      <c r="AJ1886" s="17">
        <v>0</v>
      </c>
      <c r="AK1886" s="17">
        <v>0</v>
      </c>
      <c r="AL1886" s="32">
        <v>0</v>
      </c>
      <c r="AM1886" s="57"/>
      <c r="AN1886" s="89"/>
      <c r="AO1886" s="89"/>
      <c r="AP1886" s="782"/>
      <c r="AQ1886" s="17" t="s">
        <v>2986</v>
      </c>
      <c r="AR1886" s="174">
        <v>50</v>
      </c>
      <c r="AS1886" s="171" t="s">
        <v>246</v>
      </c>
      <c r="AT1886" s="171">
        <v>200</v>
      </c>
      <c r="AU1886" s="167">
        <v>20</v>
      </c>
      <c r="AV1886" s="172">
        <v>100</v>
      </c>
      <c r="AW1886" s="171">
        <v>7</v>
      </c>
      <c r="AX1886" s="89"/>
      <c r="AY1886" s="171">
        <v>23</v>
      </c>
      <c r="AZ1886" s="89"/>
      <c r="BA1886" s="175">
        <v>50</v>
      </c>
      <c r="BB1886" s="189" t="s">
        <v>2990</v>
      </c>
      <c r="BC1886" s="176"/>
      <c r="BD1886" s="177"/>
      <c r="BE1886" s="177"/>
      <c r="BF1886" s="178"/>
    </row>
    <row r="1887" spans="1:58">
      <c r="A1887" s="111">
        <v>1886</v>
      </c>
      <c r="B1887" s="211">
        <v>11</v>
      </c>
      <c r="C1887" s="191" t="s">
        <v>3378</v>
      </c>
      <c r="D1887" s="171" t="s">
        <v>119</v>
      </c>
      <c r="E1887" s="464" t="s">
        <v>3476</v>
      </c>
      <c r="F1887" s="171">
        <v>2011</v>
      </c>
      <c r="G1887" s="171">
        <v>385</v>
      </c>
      <c r="H1887" s="172" t="s">
        <v>1738</v>
      </c>
      <c r="I1887" s="173" t="s">
        <v>1751</v>
      </c>
      <c r="J1887" s="242">
        <v>0.33</v>
      </c>
      <c r="K1887" s="171">
        <v>5.25</v>
      </c>
      <c r="M1887" s="213">
        <v>243.24333261000001</v>
      </c>
      <c r="N1887" s="213"/>
      <c r="O1887" s="161"/>
      <c r="P1887" s="92"/>
      <c r="Q1887" s="173" t="s">
        <v>526</v>
      </c>
      <c r="R1887" s="171" t="s">
        <v>2347</v>
      </c>
      <c r="S1887" s="171" t="s">
        <v>2988</v>
      </c>
      <c r="T1887" s="171" t="s">
        <v>2561</v>
      </c>
      <c r="U1887" s="89"/>
      <c r="V1887" s="102">
        <v>0</v>
      </c>
      <c r="W1887" s="120">
        <v>30</v>
      </c>
      <c r="X1887" s="120">
        <v>0</v>
      </c>
      <c r="Y1887" s="120">
        <v>0</v>
      </c>
      <c r="Z1887" s="120">
        <v>0</v>
      </c>
      <c r="AA1887" s="17">
        <v>0</v>
      </c>
      <c r="AB1887" s="17">
        <v>0</v>
      </c>
      <c r="AC1887" s="17">
        <v>5</v>
      </c>
      <c r="AD1887" s="17">
        <v>0</v>
      </c>
      <c r="AE1887" s="17">
        <v>0</v>
      </c>
      <c r="AF1887" s="17">
        <v>0.6</v>
      </c>
      <c r="AG1887" s="17">
        <v>0</v>
      </c>
      <c r="AH1887" s="17">
        <v>0.5</v>
      </c>
      <c r="AI1887" s="17">
        <v>0</v>
      </c>
      <c r="AJ1887" s="17">
        <v>0</v>
      </c>
      <c r="AK1887" s="17">
        <v>0</v>
      </c>
      <c r="AL1887" s="32">
        <v>0</v>
      </c>
      <c r="AM1887" s="172">
        <v>58.34</v>
      </c>
      <c r="AN1887" s="89"/>
      <c r="AO1887" s="89"/>
      <c r="AP1887" s="782"/>
      <c r="AQ1887" s="17" t="s">
        <v>2986</v>
      </c>
      <c r="AR1887" s="174">
        <v>50</v>
      </c>
      <c r="AS1887" s="171" t="s">
        <v>246</v>
      </c>
      <c r="AT1887" s="171">
        <v>200</v>
      </c>
      <c r="AU1887" s="167">
        <v>20</v>
      </c>
      <c r="AV1887" s="172">
        <v>100</v>
      </c>
      <c r="AW1887" s="171">
        <v>7</v>
      </c>
      <c r="AX1887" s="89"/>
      <c r="AY1887" s="171">
        <v>23</v>
      </c>
      <c r="AZ1887" s="89"/>
      <c r="BA1887" s="175">
        <v>50</v>
      </c>
      <c r="BB1887" s="189" t="s">
        <v>2990</v>
      </c>
      <c r="BC1887" s="176"/>
      <c r="BD1887" s="177"/>
      <c r="BE1887" s="177"/>
      <c r="BF1887" s="178"/>
    </row>
    <row r="1888" spans="1:58">
      <c r="A1888" s="111">
        <v>1887</v>
      </c>
      <c r="B1888" s="211">
        <v>13</v>
      </c>
      <c r="C1888" s="191" t="s">
        <v>3378</v>
      </c>
      <c r="D1888" s="171" t="s">
        <v>119</v>
      </c>
      <c r="E1888" s="464" t="s">
        <v>3476</v>
      </c>
      <c r="F1888" s="171">
        <v>2011</v>
      </c>
      <c r="G1888" s="171">
        <v>385</v>
      </c>
      <c r="H1888" s="172" t="s">
        <v>1738</v>
      </c>
      <c r="I1888" s="173" t="s">
        <v>1751</v>
      </c>
      <c r="J1888" s="242">
        <v>0.33</v>
      </c>
      <c r="K1888" s="171">
        <v>5.25</v>
      </c>
      <c r="M1888" s="213">
        <v>261.63490166100001</v>
      </c>
      <c r="N1888" s="213"/>
      <c r="O1888" s="161"/>
      <c r="P1888" s="92"/>
      <c r="Q1888" s="173" t="s">
        <v>526</v>
      </c>
      <c r="R1888" s="171" t="s">
        <v>2347</v>
      </c>
      <c r="S1888" s="171" t="s">
        <v>2988</v>
      </c>
      <c r="T1888" s="171" t="s">
        <v>2561</v>
      </c>
      <c r="U1888" s="89"/>
      <c r="V1888" s="102">
        <v>5</v>
      </c>
      <c r="W1888" s="120">
        <v>25</v>
      </c>
      <c r="X1888" s="120">
        <v>0</v>
      </c>
      <c r="Y1888" s="120">
        <v>0</v>
      </c>
      <c r="Z1888" s="120">
        <v>0</v>
      </c>
      <c r="AA1888" s="17">
        <v>0</v>
      </c>
      <c r="AB1888" s="17">
        <v>0</v>
      </c>
      <c r="AC1888" s="17">
        <v>0</v>
      </c>
      <c r="AD1888" s="17">
        <v>0</v>
      </c>
      <c r="AE1888" s="17">
        <v>0</v>
      </c>
      <c r="AF1888" s="17">
        <v>0.6</v>
      </c>
      <c r="AG1888" s="17">
        <v>0</v>
      </c>
      <c r="AH1888" s="17">
        <v>1</v>
      </c>
      <c r="AI1888" s="17">
        <v>0</v>
      </c>
      <c r="AJ1888" s="17">
        <v>0</v>
      </c>
      <c r="AK1888" s="17">
        <v>0</v>
      </c>
      <c r="AL1888" s="32">
        <v>0</v>
      </c>
      <c r="AM1888" s="57"/>
      <c r="AN1888" s="89"/>
      <c r="AO1888" s="89"/>
      <c r="AP1888" s="782"/>
      <c r="AQ1888" s="17" t="s">
        <v>2986</v>
      </c>
      <c r="AR1888" s="174">
        <v>50</v>
      </c>
      <c r="AS1888" s="171" t="s">
        <v>246</v>
      </c>
      <c r="AT1888" s="171">
        <v>200</v>
      </c>
      <c r="AU1888" s="167">
        <v>20</v>
      </c>
      <c r="AV1888" s="172">
        <v>100</v>
      </c>
      <c r="AW1888" s="171">
        <v>7</v>
      </c>
      <c r="AX1888" s="89"/>
      <c r="AY1888" s="171">
        <v>23</v>
      </c>
      <c r="AZ1888" s="89"/>
      <c r="BA1888" s="175">
        <v>50</v>
      </c>
      <c r="BB1888" s="189" t="s">
        <v>2990</v>
      </c>
      <c r="BC1888" s="176"/>
      <c r="BD1888" s="177"/>
      <c r="BE1888" s="177"/>
      <c r="BF1888" s="178"/>
    </row>
    <row r="1889" spans="1:82">
      <c r="A1889" s="111">
        <v>1888</v>
      </c>
      <c r="B1889" s="211">
        <v>14</v>
      </c>
      <c r="C1889" s="191" t="s">
        <v>3378</v>
      </c>
      <c r="D1889" s="171" t="s">
        <v>119</v>
      </c>
      <c r="E1889" s="464" t="s">
        <v>3476</v>
      </c>
      <c r="F1889" s="171">
        <v>2011</v>
      </c>
      <c r="G1889" s="171">
        <v>385</v>
      </c>
      <c r="H1889" s="172" t="s">
        <v>1738</v>
      </c>
      <c r="I1889" s="173" t="s">
        <v>1751</v>
      </c>
      <c r="J1889" s="242">
        <v>0.33</v>
      </c>
      <c r="K1889" s="171">
        <v>5.25</v>
      </c>
      <c r="M1889" s="213">
        <v>261.63490166100001</v>
      </c>
      <c r="N1889" s="213"/>
      <c r="O1889" s="161"/>
      <c r="P1889" s="92"/>
      <c r="Q1889" s="173" t="s">
        <v>526</v>
      </c>
      <c r="R1889" s="171" t="s">
        <v>2347</v>
      </c>
      <c r="S1889" s="171" t="s">
        <v>2988</v>
      </c>
      <c r="T1889" s="171" t="s">
        <v>2561</v>
      </c>
      <c r="U1889" s="89"/>
      <c r="V1889" s="102">
        <v>5</v>
      </c>
      <c r="W1889" s="120">
        <v>25</v>
      </c>
      <c r="X1889" s="120">
        <v>0</v>
      </c>
      <c r="Y1889" s="120">
        <v>0</v>
      </c>
      <c r="Z1889" s="120">
        <v>0</v>
      </c>
      <c r="AA1889" s="17">
        <v>0</v>
      </c>
      <c r="AB1889" s="17">
        <v>0</v>
      </c>
      <c r="AC1889" s="17">
        <v>0</v>
      </c>
      <c r="AD1889" s="17">
        <v>0</v>
      </c>
      <c r="AE1889" s="17">
        <v>0</v>
      </c>
      <c r="AF1889" s="17">
        <v>0.6</v>
      </c>
      <c r="AG1889" s="17">
        <v>0</v>
      </c>
      <c r="AH1889" s="17">
        <v>1.5</v>
      </c>
      <c r="AI1889" s="17">
        <v>0</v>
      </c>
      <c r="AJ1889" s="17">
        <v>0</v>
      </c>
      <c r="AK1889" s="17">
        <v>0</v>
      </c>
      <c r="AL1889" s="32">
        <v>0</v>
      </c>
      <c r="AM1889" s="57"/>
      <c r="AN1889" s="89"/>
      <c r="AO1889" s="89"/>
      <c r="AP1889" s="782"/>
      <c r="AQ1889" s="17" t="s">
        <v>2986</v>
      </c>
      <c r="AR1889" s="174">
        <v>50</v>
      </c>
      <c r="AS1889" s="171" t="s">
        <v>246</v>
      </c>
      <c r="AT1889" s="171">
        <v>200</v>
      </c>
      <c r="AU1889" s="167">
        <v>20</v>
      </c>
      <c r="AV1889" s="172">
        <v>100</v>
      </c>
      <c r="AW1889" s="171">
        <v>7</v>
      </c>
      <c r="AX1889" s="89"/>
      <c r="AY1889" s="171">
        <v>23</v>
      </c>
      <c r="AZ1889" s="89"/>
      <c r="BA1889" s="175">
        <v>50</v>
      </c>
      <c r="BB1889" s="189" t="s">
        <v>2990</v>
      </c>
      <c r="BC1889" s="176"/>
      <c r="BD1889" s="177"/>
      <c r="BE1889" s="177"/>
      <c r="BF1889" s="178"/>
    </row>
    <row r="1890" spans="1:82">
      <c r="A1890" s="111">
        <v>1889</v>
      </c>
      <c r="B1890" s="211">
        <v>15</v>
      </c>
      <c r="C1890" s="191" t="s">
        <v>3378</v>
      </c>
      <c r="D1890" s="171" t="s">
        <v>119</v>
      </c>
      <c r="E1890" s="464" t="s">
        <v>3476</v>
      </c>
      <c r="F1890" s="171">
        <v>2011</v>
      </c>
      <c r="G1890" s="171">
        <v>385</v>
      </c>
      <c r="H1890" s="172" t="s">
        <v>1738</v>
      </c>
      <c r="I1890" s="173" t="s">
        <v>1751</v>
      </c>
      <c r="J1890" s="242">
        <v>0.33</v>
      </c>
      <c r="K1890" s="171">
        <v>5.25</v>
      </c>
      <c r="M1890" s="213">
        <v>261.63490166100001</v>
      </c>
      <c r="N1890" s="213"/>
      <c r="O1890" s="161"/>
      <c r="P1890" s="92"/>
      <c r="Q1890" s="173" t="s">
        <v>526</v>
      </c>
      <c r="R1890" s="171" t="s">
        <v>2347</v>
      </c>
      <c r="S1890" s="171" t="s">
        <v>2988</v>
      </c>
      <c r="T1890" s="171" t="s">
        <v>2561</v>
      </c>
      <c r="U1890" s="89"/>
      <c r="V1890" s="102">
        <v>5</v>
      </c>
      <c r="W1890" s="120">
        <v>25</v>
      </c>
      <c r="X1890" s="120">
        <v>0</v>
      </c>
      <c r="Y1890" s="120">
        <v>0</v>
      </c>
      <c r="Z1890" s="120">
        <v>0</v>
      </c>
      <c r="AA1890" s="17">
        <v>0</v>
      </c>
      <c r="AB1890" s="17">
        <v>0</v>
      </c>
      <c r="AC1890" s="17">
        <v>0</v>
      </c>
      <c r="AD1890" s="17">
        <v>0</v>
      </c>
      <c r="AE1890" s="17">
        <v>0</v>
      </c>
      <c r="AF1890" s="17">
        <v>0.6</v>
      </c>
      <c r="AG1890" s="17">
        <v>0</v>
      </c>
      <c r="AH1890" s="17">
        <v>2</v>
      </c>
      <c r="AI1890" s="17">
        <v>0</v>
      </c>
      <c r="AJ1890" s="17">
        <v>0</v>
      </c>
      <c r="AK1890" s="17">
        <v>0</v>
      </c>
      <c r="AL1890" s="32">
        <v>0</v>
      </c>
      <c r="AM1890" s="57"/>
      <c r="AN1890" s="89"/>
      <c r="AO1890" s="89"/>
      <c r="AP1890" s="782"/>
      <c r="AQ1890" s="17" t="s">
        <v>2986</v>
      </c>
      <c r="AR1890" s="174">
        <v>50</v>
      </c>
      <c r="AS1890" s="171" t="s">
        <v>246</v>
      </c>
      <c r="AT1890" s="171">
        <v>200</v>
      </c>
      <c r="AU1890" s="167">
        <v>20</v>
      </c>
      <c r="AV1890" s="172">
        <v>100</v>
      </c>
      <c r="AW1890" s="171">
        <v>7</v>
      </c>
      <c r="AX1890" s="89"/>
      <c r="AY1890" s="171">
        <v>23</v>
      </c>
      <c r="AZ1890" s="89"/>
      <c r="BA1890" s="175">
        <v>50</v>
      </c>
      <c r="BB1890" s="189" t="s">
        <v>2990</v>
      </c>
      <c r="BC1890" s="176"/>
      <c r="BD1890" s="177"/>
      <c r="BE1890" s="177"/>
      <c r="BF1890" s="178"/>
    </row>
    <row r="1891" spans="1:82">
      <c r="A1891" s="111">
        <v>1890</v>
      </c>
      <c r="B1891" s="211">
        <v>16</v>
      </c>
      <c r="C1891" s="191" t="s">
        <v>3378</v>
      </c>
      <c r="D1891" s="171" t="s">
        <v>119</v>
      </c>
      <c r="E1891" s="464" t="s">
        <v>3476</v>
      </c>
      <c r="F1891" s="171">
        <v>2011</v>
      </c>
      <c r="G1891" s="171">
        <v>385</v>
      </c>
      <c r="H1891" s="172" t="s">
        <v>1738</v>
      </c>
      <c r="I1891" s="173" t="s">
        <v>1751</v>
      </c>
      <c r="J1891" s="242">
        <v>0.33</v>
      </c>
      <c r="K1891" s="171">
        <v>5.25</v>
      </c>
      <c r="M1891" s="213">
        <v>261.63490166100001</v>
      </c>
      <c r="N1891" s="213"/>
      <c r="O1891" s="161"/>
      <c r="P1891" s="92"/>
      <c r="Q1891" s="173" t="s">
        <v>526</v>
      </c>
      <c r="R1891" s="171" t="s">
        <v>2347</v>
      </c>
      <c r="S1891" s="171" t="s">
        <v>2988</v>
      </c>
      <c r="T1891" s="171" t="s">
        <v>2561</v>
      </c>
      <c r="U1891" s="89"/>
      <c r="V1891" s="102">
        <v>5</v>
      </c>
      <c r="W1891" s="120">
        <v>25</v>
      </c>
      <c r="X1891" s="120">
        <v>0</v>
      </c>
      <c r="Y1891" s="120">
        <v>0</v>
      </c>
      <c r="Z1891" s="120">
        <v>0</v>
      </c>
      <c r="AA1891" s="17">
        <v>0</v>
      </c>
      <c r="AB1891" s="17">
        <v>0</v>
      </c>
      <c r="AC1891" s="17">
        <v>0</v>
      </c>
      <c r="AD1891" s="17">
        <v>0</v>
      </c>
      <c r="AE1891" s="17">
        <v>0</v>
      </c>
      <c r="AF1891" s="17">
        <v>0.6</v>
      </c>
      <c r="AG1891" s="17">
        <v>0</v>
      </c>
      <c r="AH1891" s="17">
        <v>2.5</v>
      </c>
      <c r="AI1891" s="17">
        <v>0</v>
      </c>
      <c r="AJ1891" s="17">
        <v>0</v>
      </c>
      <c r="AK1891" s="17">
        <v>0</v>
      </c>
      <c r="AL1891" s="32">
        <v>0</v>
      </c>
      <c r="AM1891" s="57"/>
      <c r="AN1891" s="89"/>
      <c r="AO1891" s="89"/>
      <c r="AP1891" s="782"/>
      <c r="AQ1891" s="17" t="s">
        <v>2986</v>
      </c>
      <c r="AR1891" s="174">
        <v>50</v>
      </c>
      <c r="AS1891" s="171" t="s">
        <v>246</v>
      </c>
      <c r="AT1891" s="171">
        <v>200</v>
      </c>
      <c r="AU1891" s="167">
        <v>20</v>
      </c>
      <c r="AV1891" s="172">
        <v>100</v>
      </c>
      <c r="AW1891" s="171">
        <v>7</v>
      </c>
      <c r="AX1891" s="89"/>
      <c r="AY1891" s="171">
        <v>23</v>
      </c>
      <c r="AZ1891" s="89"/>
      <c r="BA1891" s="175">
        <v>50</v>
      </c>
      <c r="BB1891" s="189" t="s">
        <v>2990</v>
      </c>
      <c r="BC1891" s="176"/>
      <c r="BD1891" s="177"/>
      <c r="BE1891" s="177"/>
      <c r="BF1891" s="178"/>
    </row>
    <row r="1892" spans="1:82">
      <c r="A1892" s="111">
        <v>1891</v>
      </c>
      <c r="B1892" s="211">
        <v>18</v>
      </c>
      <c r="C1892" s="191" t="s">
        <v>3378</v>
      </c>
      <c r="D1892" s="171" t="s">
        <v>119</v>
      </c>
      <c r="E1892" s="464" t="s">
        <v>3476</v>
      </c>
      <c r="F1892" s="171">
        <v>2011</v>
      </c>
      <c r="G1892" s="171">
        <v>385</v>
      </c>
      <c r="H1892" s="172" t="s">
        <v>1738</v>
      </c>
      <c r="I1892" s="173" t="s">
        <v>1751</v>
      </c>
      <c r="J1892" s="242">
        <v>0.33</v>
      </c>
      <c r="K1892" s="171">
        <v>5.25</v>
      </c>
      <c r="M1892" s="213">
        <v>261.63490166100001</v>
      </c>
      <c r="N1892" s="213"/>
      <c r="O1892" s="161"/>
      <c r="P1892" s="92"/>
      <c r="Q1892" s="173" t="s">
        <v>526</v>
      </c>
      <c r="R1892" s="171" t="s">
        <v>2347</v>
      </c>
      <c r="S1892" s="171" t="s">
        <v>2988</v>
      </c>
      <c r="T1892" s="171" t="s">
        <v>2561</v>
      </c>
      <c r="U1892" s="89"/>
      <c r="V1892" s="102">
        <v>5</v>
      </c>
      <c r="W1892" s="120">
        <v>25</v>
      </c>
      <c r="X1892" s="120">
        <v>0</v>
      </c>
      <c r="Y1892" s="120">
        <v>0</v>
      </c>
      <c r="Z1892" s="120">
        <v>0</v>
      </c>
      <c r="AA1892" s="17">
        <v>0</v>
      </c>
      <c r="AB1892" s="17">
        <v>0</v>
      </c>
      <c r="AC1892" s="17">
        <v>0</v>
      </c>
      <c r="AD1892" s="17">
        <v>0</v>
      </c>
      <c r="AE1892" s="17">
        <v>0</v>
      </c>
      <c r="AF1892" s="17">
        <v>0.4</v>
      </c>
      <c r="AG1892" s="17">
        <v>0.2</v>
      </c>
      <c r="AH1892" s="17">
        <v>0.5</v>
      </c>
      <c r="AI1892" s="17">
        <v>0</v>
      </c>
      <c r="AJ1892" s="17">
        <v>0</v>
      </c>
      <c r="AK1892" s="17">
        <v>0</v>
      </c>
      <c r="AL1892" s="32">
        <v>0</v>
      </c>
      <c r="AM1892" s="172">
        <v>52.41</v>
      </c>
      <c r="AN1892" s="89"/>
      <c r="AO1892" s="89"/>
      <c r="AP1892" s="782"/>
      <c r="AQ1892" s="17" t="s">
        <v>2986</v>
      </c>
      <c r="AR1892" s="174">
        <v>50</v>
      </c>
      <c r="AS1892" s="171" t="s">
        <v>246</v>
      </c>
      <c r="AT1892" s="171">
        <v>200</v>
      </c>
      <c r="AU1892" s="167">
        <v>20</v>
      </c>
      <c r="AV1892" s="172">
        <v>100</v>
      </c>
      <c r="AW1892" s="171">
        <v>7</v>
      </c>
      <c r="AX1892" s="89"/>
      <c r="AY1892" s="171">
        <v>23</v>
      </c>
      <c r="AZ1892" s="89"/>
      <c r="BA1892" s="175">
        <v>50</v>
      </c>
      <c r="BB1892" s="189" t="s">
        <v>2990</v>
      </c>
      <c r="BC1892" s="176"/>
      <c r="BD1892" s="177"/>
      <c r="BE1892" s="177"/>
      <c r="BF1892" s="178"/>
    </row>
    <row r="1893" spans="1:82">
      <c r="A1893" s="111">
        <v>1892</v>
      </c>
      <c r="B1893" s="211">
        <v>19</v>
      </c>
      <c r="C1893" s="191" t="s">
        <v>3378</v>
      </c>
      <c r="D1893" s="171" t="s">
        <v>119</v>
      </c>
      <c r="E1893" s="464" t="s">
        <v>3476</v>
      </c>
      <c r="F1893" s="171">
        <v>2011</v>
      </c>
      <c r="G1893" s="171">
        <v>385</v>
      </c>
      <c r="H1893" s="172" t="s">
        <v>1738</v>
      </c>
      <c r="I1893" s="173" t="s">
        <v>1751</v>
      </c>
      <c r="J1893" s="242">
        <v>0.33</v>
      </c>
      <c r="K1893" s="171">
        <v>5.25</v>
      </c>
      <c r="M1893" s="213">
        <v>261.63490166100001</v>
      </c>
      <c r="N1893" s="213"/>
      <c r="O1893" s="161"/>
      <c r="P1893" s="92"/>
      <c r="Q1893" s="173" t="s">
        <v>526</v>
      </c>
      <c r="R1893" s="171" t="s">
        <v>2347</v>
      </c>
      <c r="S1893" s="171" t="s">
        <v>2988</v>
      </c>
      <c r="T1893" s="171" t="s">
        <v>2561</v>
      </c>
      <c r="U1893" s="89"/>
      <c r="V1893" s="102">
        <v>5</v>
      </c>
      <c r="W1893" s="120">
        <v>25</v>
      </c>
      <c r="X1893" s="120">
        <v>0</v>
      </c>
      <c r="Y1893" s="120">
        <v>0</v>
      </c>
      <c r="Z1893" s="120">
        <v>0</v>
      </c>
      <c r="AA1893" s="17">
        <v>0</v>
      </c>
      <c r="AB1893" s="17">
        <v>0</v>
      </c>
      <c r="AC1893" s="17">
        <v>0</v>
      </c>
      <c r="AD1893" s="17">
        <v>0</v>
      </c>
      <c r="AE1893" s="17">
        <v>0</v>
      </c>
      <c r="AF1893" s="17">
        <v>0.4</v>
      </c>
      <c r="AG1893" s="17">
        <v>0.2</v>
      </c>
      <c r="AH1893" s="17">
        <v>1</v>
      </c>
      <c r="AI1893" s="17">
        <v>0</v>
      </c>
      <c r="AJ1893" s="17">
        <v>0</v>
      </c>
      <c r="AK1893" s="17">
        <v>0</v>
      </c>
      <c r="AL1893" s="32">
        <v>0</v>
      </c>
      <c r="AM1893" s="57"/>
      <c r="AN1893" s="89"/>
      <c r="AO1893" s="89"/>
      <c r="AP1893" s="782"/>
      <c r="AQ1893" s="17" t="s">
        <v>2986</v>
      </c>
      <c r="AR1893" s="174">
        <v>50</v>
      </c>
      <c r="AS1893" s="171" t="s">
        <v>246</v>
      </c>
      <c r="AT1893" s="171">
        <v>200</v>
      </c>
      <c r="AU1893" s="167">
        <v>20</v>
      </c>
      <c r="AV1893" s="172">
        <v>100</v>
      </c>
      <c r="AW1893" s="171">
        <v>7</v>
      </c>
      <c r="AX1893" s="89"/>
      <c r="AY1893" s="171">
        <v>23</v>
      </c>
      <c r="AZ1893" s="89"/>
      <c r="BA1893" s="175">
        <v>50</v>
      </c>
      <c r="BB1893" s="189" t="s">
        <v>2990</v>
      </c>
      <c r="BC1893" s="176"/>
      <c r="BD1893" s="177"/>
      <c r="BE1893" s="177"/>
      <c r="BF1893" s="178"/>
    </row>
    <row r="1894" spans="1:82">
      <c r="A1894" s="111">
        <v>1893</v>
      </c>
      <c r="B1894" s="211">
        <v>20</v>
      </c>
      <c r="C1894" s="191" t="s">
        <v>3378</v>
      </c>
      <c r="D1894" s="171" t="s">
        <v>119</v>
      </c>
      <c r="E1894" s="464" t="s">
        <v>3476</v>
      </c>
      <c r="F1894" s="171">
        <v>2011</v>
      </c>
      <c r="G1894" s="171">
        <v>385</v>
      </c>
      <c r="H1894" s="172" t="s">
        <v>1738</v>
      </c>
      <c r="I1894" s="173" t="s">
        <v>1751</v>
      </c>
      <c r="J1894" s="242">
        <v>0.33</v>
      </c>
      <c r="K1894" s="171">
        <v>5.25</v>
      </c>
      <c r="M1894" s="213">
        <v>261.63490166100001</v>
      </c>
      <c r="N1894" s="213"/>
      <c r="O1894" s="161"/>
      <c r="P1894" s="92"/>
      <c r="Q1894" s="173" t="s">
        <v>526</v>
      </c>
      <c r="R1894" s="171" t="s">
        <v>2347</v>
      </c>
      <c r="S1894" s="171" t="s">
        <v>2988</v>
      </c>
      <c r="T1894" s="171" t="s">
        <v>2561</v>
      </c>
      <c r="U1894" s="89"/>
      <c r="V1894" s="102">
        <v>5</v>
      </c>
      <c r="W1894" s="120">
        <v>25</v>
      </c>
      <c r="X1894" s="120">
        <v>0</v>
      </c>
      <c r="Y1894" s="120">
        <v>0</v>
      </c>
      <c r="Z1894" s="120">
        <v>0</v>
      </c>
      <c r="AA1894" s="17">
        <v>0</v>
      </c>
      <c r="AB1894" s="17">
        <v>0</v>
      </c>
      <c r="AC1894" s="17">
        <v>0</v>
      </c>
      <c r="AD1894" s="17">
        <v>0</v>
      </c>
      <c r="AE1894" s="17">
        <v>0</v>
      </c>
      <c r="AF1894" s="17">
        <v>0.4</v>
      </c>
      <c r="AG1894" s="17">
        <v>0.2</v>
      </c>
      <c r="AH1894" s="17">
        <v>1.5</v>
      </c>
      <c r="AI1894" s="17">
        <v>0</v>
      </c>
      <c r="AJ1894" s="17">
        <v>0</v>
      </c>
      <c r="AK1894" s="17">
        <v>0</v>
      </c>
      <c r="AL1894" s="32">
        <v>0</v>
      </c>
      <c r="AM1894" s="57"/>
      <c r="AN1894" s="89"/>
      <c r="AO1894" s="89"/>
      <c r="AP1894" s="782"/>
      <c r="AQ1894" s="17" t="s">
        <v>2986</v>
      </c>
      <c r="AR1894" s="174">
        <v>50</v>
      </c>
      <c r="AS1894" s="171" t="s">
        <v>246</v>
      </c>
      <c r="AT1894" s="171">
        <v>200</v>
      </c>
      <c r="AU1894" s="167">
        <v>20</v>
      </c>
      <c r="AV1894" s="172">
        <v>100</v>
      </c>
      <c r="AW1894" s="171">
        <v>7</v>
      </c>
      <c r="AX1894" s="89"/>
      <c r="AY1894" s="171">
        <v>23</v>
      </c>
      <c r="AZ1894" s="89"/>
      <c r="BA1894" s="175">
        <v>50</v>
      </c>
      <c r="BB1894" s="189" t="s">
        <v>2990</v>
      </c>
      <c r="BC1894" s="176"/>
      <c r="BD1894" s="177"/>
      <c r="BE1894" s="177"/>
      <c r="BF1894" s="178"/>
    </row>
    <row r="1895" spans="1:82">
      <c r="A1895" s="111">
        <v>1894</v>
      </c>
      <c r="B1895" s="211">
        <v>22</v>
      </c>
      <c r="C1895" s="191" t="s">
        <v>3378</v>
      </c>
      <c r="D1895" s="171" t="s">
        <v>119</v>
      </c>
      <c r="E1895" s="464" t="s">
        <v>3476</v>
      </c>
      <c r="F1895" s="171">
        <v>2011</v>
      </c>
      <c r="G1895" s="171">
        <v>385</v>
      </c>
      <c r="H1895" s="172" t="s">
        <v>1738</v>
      </c>
      <c r="I1895" s="173" t="s">
        <v>1751</v>
      </c>
      <c r="J1895" s="242">
        <v>0.33</v>
      </c>
      <c r="K1895" s="171">
        <v>5.25</v>
      </c>
      <c r="M1895" s="213">
        <v>261.63490166100001</v>
      </c>
      <c r="N1895" s="213"/>
      <c r="O1895" s="161"/>
      <c r="P1895" s="92"/>
      <c r="Q1895" s="173" t="s">
        <v>526</v>
      </c>
      <c r="R1895" s="171" t="s">
        <v>2347</v>
      </c>
      <c r="S1895" s="171" t="s">
        <v>2988</v>
      </c>
      <c r="T1895" s="171" t="s">
        <v>2561</v>
      </c>
      <c r="U1895" s="89"/>
      <c r="V1895" s="102">
        <v>5</v>
      </c>
      <c r="W1895" s="120">
        <v>25</v>
      </c>
      <c r="X1895" s="120">
        <v>0</v>
      </c>
      <c r="Y1895" s="120">
        <v>0</v>
      </c>
      <c r="Z1895" s="120">
        <v>0</v>
      </c>
      <c r="AA1895" s="17">
        <v>0</v>
      </c>
      <c r="AB1895" s="17">
        <v>0</v>
      </c>
      <c r="AC1895" s="17">
        <v>0</v>
      </c>
      <c r="AD1895" s="17">
        <v>0</v>
      </c>
      <c r="AE1895" s="17">
        <v>0</v>
      </c>
      <c r="AF1895" s="17">
        <v>0.4</v>
      </c>
      <c r="AG1895" s="17">
        <v>0.2</v>
      </c>
      <c r="AH1895" s="17">
        <v>2.5</v>
      </c>
      <c r="AI1895" s="17">
        <v>0</v>
      </c>
      <c r="AJ1895" s="17">
        <v>0</v>
      </c>
      <c r="AK1895" s="17">
        <v>0</v>
      </c>
      <c r="AL1895" s="32">
        <v>0</v>
      </c>
      <c r="AM1895" s="57"/>
      <c r="AN1895" s="89"/>
      <c r="AO1895" s="89"/>
      <c r="AP1895" s="782"/>
      <c r="AQ1895" s="17" t="s">
        <v>2986</v>
      </c>
      <c r="AR1895" s="174">
        <v>50</v>
      </c>
      <c r="AS1895" s="171" t="s">
        <v>246</v>
      </c>
      <c r="AT1895" s="171">
        <v>200</v>
      </c>
      <c r="AU1895" s="167">
        <v>20</v>
      </c>
      <c r="AV1895" s="172">
        <v>100</v>
      </c>
      <c r="AW1895" s="171">
        <v>7</v>
      </c>
      <c r="AX1895" s="89"/>
      <c r="AY1895" s="171">
        <v>23</v>
      </c>
      <c r="AZ1895" s="89"/>
      <c r="BA1895" s="175">
        <v>50</v>
      </c>
      <c r="BB1895" s="189" t="s">
        <v>2990</v>
      </c>
      <c r="BC1895" s="176"/>
      <c r="BD1895" s="177"/>
      <c r="BE1895" s="177"/>
      <c r="BF1895" s="178"/>
    </row>
    <row r="1896" spans="1:82">
      <c r="A1896" s="111">
        <v>1895</v>
      </c>
      <c r="B1896" s="211">
        <v>23</v>
      </c>
      <c r="C1896" s="191" t="s">
        <v>3378</v>
      </c>
      <c r="D1896" s="171" t="s">
        <v>119</v>
      </c>
      <c r="E1896" s="464" t="s">
        <v>3476</v>
      </c>
      <c r="F1896" s="171">
        <v>2011</v>
      </c>
      <c r="G1896" s="171">
        <v>385</v>
      </c>
      <c r="H1896" s="172" t="s">
        <v>1738</v>
      </c>
      <c r="I1896" s="173" t="s">
        <v>1751</v>
      </c>
      <c r="J1896" s="242">
        <v>0.33</v>
      </c>
      <c r="K1896" s="171">
        <v>5.25</v>
      </c>
      <c r="M1896" s="213">
        <v>261.63490166100001</v>
      </c>
      <c r="N1896" s="213"/>
      <c r="O1896" s="161"/>
      <c r="P1896" s="92"/>
      <c r="Q1896" s="173" t="s">
        <v>526</v>
      </c>
      <c r="R1896" s="171" t="s">
        <v>2347</v>
      </c>
      <c r="S1896" s="171" t="s">
        <v>2988</v>
      </c>
      <c r="T1896" s="171" t="s">
        <v>2561</v>
      </c>
      <c r="U1896" s="89"/>
      <c r="V1896" s="102">
        <v>5</v>
      </c>
      <c r="W1896" s="120">
        <v>25</v>
      </c>
      <c r="X1896" s="120">
        <v>0</v>
      </c>
      <c r="Y1896" s="120">
        <v>0</v>
      </c>
      <c r="Z1896" s="120">
        <v>0</v>
      </c>
      <c r="AA1896" s="17">
        <v>0</v>
      </c>
      <c r="AB1896" s="17">
        <v>0</v>
      </c>
      <c r="AC1896" s="17">
        <v>0</v>
      </c>
      <c r="AD1896" s="17">
        <v>0</v>
      </c>
      <c r="AE1896" s="17">
        <v>0</v>
      </c>
      <c r="AF1896" s="17">
        <v>0.6</v>
      </c>
      <c r="AG1896" s="17">
        <v>0</v>
      </c>
      <c r="AH1896" s="17">
        <v>0</v>
      </c>
      <c r="AI1896" s="17">
        <v>0</v>
      </c>
      <c r="AJ1896" s="17">
        <v>0</v>
      </c>
      <c r="AK1896" s="17">
        <v>0</v>
      </c>
      <c r="AL1896" s="32">
        <v>0</v>
      </c>
      <c r="AM1896" s="57"/>
      <c r="AN1896" s="89"/>
      <c r="AO1896" s="89"/>
      <c r="AP1896" s="782"/>
      <c r="AQ1896" s="17" t="s">
        <v>2986</v>
      </c>
      <c r="AR1896" s="174">
        <v>50</v>
      </c>
      <c r="AS1896" s="171" t="s">
        <v>246</v>
      </c>
      <c r="AT1896" s="171">
        <v>200</v>
      </c>
      <c r="AU1896" s="167">
        <v>20</v>
      </c>
      <c r="AV1896" s="172">
        <v>100</v>
      </c>
      <c r="AW1896" s="171">
        <v>7</v>
      </c>
      <c r="AX1896" s="89"/>
      <c r="AY1896" s="171">
        <v>23</v>
      </c>
      <c r="AZ1896" s="89"/>
      <c r="BA1896" s="175">
        <v>50</v>
      </c>
      <c r="BB1896" s="189" t="s">
        <v>2990</v>
      </c>
      <c r="BC1896" s="176"/>
      <c r="BD1896" s="177"/>
      <c r="BE1896" s="177"/>
      <c r="BF1896" s="178"/>
    </row>
    <row r="1897" spans="1:82">
      <c r="A1897" s="111">
        <v>1896</v>
      </c>
      <c r="B1897" s="211">
        <v>24</v>
      </c>
      <c r="C1897" s="191" t="s">
        <v>3378</v>
      </c>
      <c r="D1897" s="171" t="s">
        <v>119</v>
      </c>
      <c r="E1897" s="464" t="s">
        <v>3476</v>
      </c>
      <c r="F1897" s="171">
        <v>2011</v>
      </c>
      <c r="G1897" s="171">
        <v>385</v>
      </c>
      <c r="H1897" s="172" t="s">
        <v>1738</v>
      </c>
      <c r="I1897" s="173" t="s">
        <v>1751</v>
      </c>
      <c r="J1897" s="242">
        <v>0.33</v>
      </c>
      <c r="K1897" s="171">
        <v>5.25</v>
      </c>
      <c r="M1897" s="213">
        <v>261.63490166100001</v>
      </c>
      <c r="N1897" s="213"/>
      <c r="O1897" s="161"/>
      <c r="P1897" s="92"/>
      <c r="Q1897" s="173" t="s">
        <v>526</v>
      </c>
      <c r="R1897" s="171" t="s">
        <v>2347</v>
      </c>
      <c r="S1897" s="171" t="s">
        <v>2988</v>
      </c>
      <c r="T1897" s="171" t="s">
        <v>2561</v>
      </c>
      <c r="U1897" s="89"/>
      <c r="V1897" s="102">
        <v>5</v>
      </c>
      <c r="W1897" s="120">
        <v>25</v>
      </c>
      <c r="X1897" s="120">
        <v>0</v>
      </c>
      <c r="Y1897" s="120">
        <v>0</v>
      </c>
      <c r="Z1897" s="120">
        <v>0</v>
      </c>
      <c r="AA1897" s="17">
        <v>0</v>
      </c>
      <c r="AB1897" s="17">
        <v>0</v>
      </c>
      <c r="AC1897" s="17">
        <v>0</v>
      </c>
      <c r="AD1897" s="17">
        <v>0</v>
      </c>
      <c r="AE1897" s="17">
        <v>0</v>
      </c>
      <c r="AF1897" s="17">
        <v>0.6</v>
      </c>
      <c r="AG1897" s="17">
        <v>0</v>
      </c>
      <c r="AH1897" s="17">
        <v>0.5</v>
      </c>
      <c r="AI1897" s="17">
        <v>0</v>
      </c>
      <c r="AJ1897" s="17">
        <v>0</v>
      </c>
      <c r="AK1897" s="17">
        <v>0</v>
      </c>
      <c r="AL1897" s="32">
        <v>0</v>
      </c>
      <c r="AM1897" s="57"/>
      <c r="AN1897" s="89"/>
      <c r="AO1897" s="89"/>
      <c r="AP1897" s="782"/>
      <c r="AQ1897" s="17" t="s">
        <v>2986</v>
      </c>
      <c r="AR1897" s="174">
        <v>50</v>
      </c>
      <c r="AS1897" s="171" t="s">
        <v>246</v>
      </c>
      <c r="AT1897" s="171">
        <v>200</v>
      </c>
      <c r="AU1897" s="167">
        <v>20</v>
      </c>
      <c r="AV1897" s="172">
        <v>100</v>
      </c>
      <c r="AW1897" s="171">
        <v>7</v>
      </c>
      <c r="AX1897" s="89"/>
      <c r="AY1897" s="171">
        <v>23</v>
      </c>
      <c r="AZ1897" s="89"/>
      <c r="BA1897" s="175">
        <v>50</v>
      </c>
      <c r="BB1897" s="189" t="s">
        <v>2990</v>
      </c>
      <c r="BC1897" s="176"/>
      <c r="BD1897" s="177"/>
      <c r="BE1897" s="177"/>
      <c r="BF1897" s="178"/>
    </row>
    <row r="1898" spans="1:82">
      <c r="A1898" s="111">
        <v>1897</v>
      </c>
      <c r="B1898" s="211">
        <v>25</v>
      </c>
      <c r="C1898" s="191" t="s">
        <v>3378</v>
      </c>
      <c r="D1898" s="171" t="s">
        <v>119</v>
      </c>
      <c r="E1898" s="464" t="s">
        <v>3476</v>
      </c>
      <c r="F1898" s="171">
        <v>2011</v>
      </c>
      <c r="G1898" s="171">
        <v>385</v>
      </c>
      <c r="H1898" s="172" t="s">
        <v>1738</v>
      </c>
      <c r="I1898" s="173" t="s">
        <v>1751</v>
      </c>
      <c r="J1898" s="242">
        <v>0.33</v>
      </c>
      <c r="K1898" s="171">
        <v>5.25</v>
      </c>
      <c r="M1898" s="213">
        <v>261.63490166100001</v>
      </c>
      <c r="N1898" s="213"/>
      <c r="O1898" s="161"/>
      <c r="P1898" s="92"/>
      <c r="Q1898" s="173" t="s">
        <v>526</v>
      </c>
      <c r="R1898" s="171" t="s">
        <v>2347</v>
      </c>
      <c r="S1898" s="171" t="s">
        <v>2988</v>
      </c>
      <c r="T1898" s="171" t="s">
        <v>2561</v>
      </c>
      <c r="U1898" s="89"/>
      <c r="V1898" s="102">
        <v>5</v>
      </c>
      <c r="W1898" s="120">
        <v>25</v>
      </c>
      <c r="X1898" s="120">
        <v>0</v>
      </c>
      <c r="Y1898" s="120">
        <v>0</v>
      </c>
      <c r="Z1898" s="120">
        <v>0</v>
      </c>
      <c r="AA1898" s="17">
        <v>0</v>
      </c>
      <c r="AB1898" s="17">
        <v>0</v>
      </c>
      <c r="AC1898" s="17">
        <v>0</v>
      </c>
      <c r="AD1898" s="17">
        <v>0</v>
      </c>
      <c r="AE1898" s="17">
        <v>0</v>
      </c>
      <c r="AF1898" s="17">
        <v>0.4</v>
      </c>
      <c r="AG1898" s="17">
        <v>0.2</v>
      </c>
      <c r="AH1898" s="17">
        <v>0</v>
      </c>
      <c r="AI1898" s="17">
        <v>0</v>
      </c>
      <c r="AJ1898" s="17">
        <v>0</v>
      </c>
      <c r="AK1898" s="17">
        <v>0</v>
      </c>
      <c r="AL1898" s="32">
        <v>0</v>
      </c>
      <c r="AM1898" s="57"/>
      <c r="AN1898" s="89"/>
      <c r="AO1898" s="89"/>
      <c r="AP1898" s="782"/>
      <c r="AQ1898" s="17" t="s">
        <v>2986</v>
      </c>
      <c r="AR1898" s="174">
        <v>50</v>
      </c>
      <c r="AS1898" s="171" t="s">
        <v>246</v>
      </c>
      <c r="AT1898" s="171">
        <v>200</v>
      </c>
      <c r="AU1898" s="167">
        <v>20</v>
      </c>
      <c r="AV1898" s="172">
        <v>100</v>
      </c>
      <c r="AW1898" s="171">
        <v>7</v>
      </c>
      <c r="AX1898" s="89"/>
      <c r="AY1898" s="171">
        <v>23</v>
      </c>
      <c r="AZ1898" s="89"/>
      <c r="BA1898" s="175">
        <v>50</v>
      </c>
      <c r="BB1898" s="189" t="s">
        <v>2990</v>
      </c>
      <c r="BC1898" s="176"/>
      <c r="BD1898" s="177"/>
      <c r="BE1898" s="177"/>
      <c r="BF1898" s="178"/>
    </row>
    <row r="1899" spans="1:82">
      <c r="A1899" s="111">
        <v>1898</v>
      </c>
      <c r="B1899" s="211">
        <v>27</v>
      </c>
      <c r="C1899" s="191" t="s">
        <v>3378</v>
      </c>
      <c r="D1899" s="171" t="s">
        <v>119</v>
      </c>
      <c r="E1899" s="464" t="s">
        <v>3476</v>
      </c>
      <c r="F1899" s="171">
        <v>2011</v>
      </c>
      <c r="G1899" s="171">
        <v>385</v>
      </c>
      <c r="H1899" s="172" t="s">
        <v>1738</v>
      </c>
      <c r="I1899" s="173" t="s">
        <v>1751</v>
      </c>
      <c r="J1899" s="242">
        <v>0.33</v>
      </c>
      <c r="K1899" s="171">
        <v>5.25</v>
      </c>
      <c r="M1899" s="213">
        <v>261.63490166100001</v>
      </c>
      <c r="N1899" s="213"/>
      <c r="O1899" s="161"/>
      <c r="P1899" s="92"/>
      <c r="Q1899" s="173" t="s">
        <v>526</v>
      </c>
      <c r="R1899" s="171" t="s">
        <v>2347</v>
      </c>
      <c r="S1899" s="171" t="s">
        <v>2988</v>
      </c>
      <c r="T1899" s="171" t="s">
        <v>2561</v>
      </c>
      <c r="U1899" s="89"/>
      <c r="V1899" s="102">
        <v>5</v>
      </c>
      <c r="W1899" s="120">
        <v>25</v>
      </c>
      <c r="X1899" s="120">
        <v>0</v>
      </c>
      <c r="Y1899" s="120">
        <v>0</v>
      </c>
      <c r="Z1899" s="120">
        <v>0</v>
      </c>
      <c r="AA1899" s="17">
        <v>0</v>
      </c>
      <c r="AB1899" s="17">
        <v>0</v>
      </c>
      <c r="AC1899" s="17">
        <v>0</v>
      </c>
      <c r="AD1899" s="17">
        <v>0</v>
      </c>
      <c r="AE1899" s="17">
        <v>0</v>
      </c>
      <c r="AF1899" s="17">
        <v>0.4</v>
      </c>
      <c r="AG1899" s="17">
        <v>0.2</v>
      </c>
      <c r="AH1899" s="17">
        <v>1</v>
      </c>
      <c r="AI1899" s="17">
        <v>0</v>
      </c>
      <c r="AJ1899" s="17">
        <v>0</v>
      </c>
      <c r="AK1899" s="17">
        <v>0</v>
      </c>
      <c r="AL1899" s="32">
        <v>0</v>
      </c>
      <c r="AM1899" s="57"/>
      <c r="AN1899" s="89"/>
      <c r="AO1899" s="89"/>
      <c r="AP1899" s="782"/>
      <c r="AQ1899" s="17" t="s">
        <v>2986</v>
      </c>
      <c r="AR1899" s="174">
        <v>50</v>
      </c>
      <c r="AS1899" s="171" t="s">
        <v>246</v>
      </c>
      <c r="AT1899" s="171">
        <v>200</v>
      </c>
      <c r="AU1899" s="167">
        <v>20</v>
      </c>
      <c r="AV1899" s="172">
        <v>100</v>
      </c>
      <c r="AW1899" s="171">
        <v>7</v>
      </c>
      <c r="AX1899" s="89"/>
      <c r="AY1899" s="171">
        <v>23</v>
      </c>
      <c r="AZ1899" s="89"/>
      <c r="BA1899" s="175">
        <v>50</v>
      </c>
      <c r="BB1899" s="189" t="s">
        <v>2990</v>
      </c>
      <c r="BC1899" s="176"/>
      <c r="BD1899" s="177"/>
      <c r="BE1899" s="177"/>
      <c r="BF1899" s="178"/>
    </row>
    <row r="1900" spans="1:82">
      <c r="A1900" s="111">
        <v>1899</v>
      </c>
      <c r="B1900" s="211">
        <v>28</v>
      </c>
      <c r="C1900" s="191" t="s">
        <v>3378</v>
      </c>
      <c r="D1900" s="171" t="s">
        <v>119</v>
      </c>
      <c r="E1900" s="464" t="s">
        <v>3476</v>
      </c>
      <c r="F1900" s="171">
        <v>2011</v>
      </c>
      <c r="G1900" s="171">
        <v>385</v>
      </c>
      <c r="H1900" s="172" t="s">
        <v>1738</v>
      </c>
      <c r="I1900" s="173" t="s">
        <v>1751</v>
      </c>
      <c r="J1900" s="242">
        <v>0.33</v>
      </c>
      <c r="K1900" s="171">
        <v>5.25</v>
      </c>
      <c r="M1900" s="213">
        <v>261.63490166100001</v>
      </c>
      <c r="N1900" s="213"/>
      <c r="O1900" s="161"/>
      <c r="P1900" s="92"/>
      <c r="Q1900" s="173" t="s">
        <v>526</v>
      </c>
      <c r="R1900" s="171" t="s">
        <v>2347</v>
      </c>
      <c r="S1900" s="171" t="s">
        <v>2988</v>
      </c>
      <c r="T1900" s="171" t="s">
        <v>2561</v>
      </c>
      <c r="U1900" s="89"/>
      <c r="V1900" s="102">
        <v>5</v>
      </c>
      <c r="W1900" s="120">
        <v>25</v>
      </c>
      <c r="X1900" s="120">
        <v>0</v>
      </c>
      <c r="Y1900" s="120">
        <v>0</v>
      </c>
      <c r="Z1900" s="120">
        <v>0</v>
      </c>
      <c r="AA1900" s="17">
        <v>0</v>
      </c>
      <c r="AB1900" s="17">
        <v>0</v>
      </c>
      <c r="AC1900" s="17">
        <v>0</v>
      </c>
      <c r="AD1900" s="17">
        <v>0</v>
      </c>
      <c r="AE1900" s="17">
        <v>0</v>
      </c>
      <c r="AF1900" s="17">
        <v>0.4</v>
      </c>
      <c r="AG1900" s="17">
        <v>0.2</v>
      </c>
      <c r="AH1900" s="17">
        <v>1.5</v>
      </c>
      <c r="AI1900" s="17">
        <v>0</v>
      </c>
      <c r="AJ1900" s="17">
        <v>0</v>
      </c>
      <c r="AK1900" s="17">
        <v>0</v>
      </c>
      <c r="AL1900" s="32">
        <v>0</v>
      </c>
      <c r="AM1900" s="57"/>
      <c r="AN1900" s="89"/>
      <c r="AO1900" s="89"/>
      <c r="AP1900" s="782"/>
      <c r="AQ1900" s="17" t="s">
        <v>2986</v>
      </c>
      <c r="AR1900" s="174">
        <v>50</v>
      </c>
      <c r="AS1900" s="171" t="s">
        <v>246</v>
      </c>
      <c r="AT1900" s="171">
        <v>200</v>
      </c>
      <c r="AU1900" s="167">
        <v>20</v>
      </c>
      <c r="AV1900" s="172">
        <v>100</v>
      </c>
      <c r="AW1900" s="171">
        <v>7</v>
      </c>
      <c r="AX1900" s="89"/>
      <c r="AY1900" s="171">
        <v>23</v>
      </c>
      <c r="AZ1900" s="89"/>
      <c r="BA1900" s="175">
        <v>50</v>
      </c>
      <c r="BB1900" s="189" t="s">
        <v>2990</v>
      </c>
      <c r="BC1900" s="176"/>
      <c r="BD1900" s="177"/>
      <c r="BE1900" s="177"/>
      <c r="BF1900" s="178"/>
    </row>
    <row r="1901" spans="1:82">
      <c r="A1901" s="111">
        <v>1900</v>
      </c>
      <c r="B1901" s="211">
        <v>29</v>
      </c>
      <c r="C1901" s="191" t="s">
        <v>3378</v>
      </c>
      <c r="D1901" s="171" t="s">
        <v>119</v>
      </c>
      <c r="E1901" s="464" t="s">
        <v>3476</v>
      </c>
      <c r="F1901" s="171">
        <v>2011</v>
      </c>
      <c r="G1901" s="171">
        <v>385</v>
      </c>
      <c r="H1901" s="172" t="s">
        <v>1738</v>
      </c>
      <c r="I1901" s="173" t="s">
        <v>1751</v>
      </c>
      <c r="J1901" s="242">
        <v>0.33</v>
      </c>
      <c r="K1901" s="171">
        <v>5.25</v>
      </c>
      <c r="M1901" s="213">
        <v>261.63490166100001</v>
      </c>
      <c r="N1901" s="213"/>
      <c r="O1901" s="161"/>
      <c r="P1901" s="92"/>
      <c r="Q1901" s="173" t="s">
        <v>526</v>
      </c>
      <c r="R1901" s="171" t="s">
        <v>2347</v>
      </c>
      <c r="S1901" s="171" t="s">
        <v>2988</v>
      </c>
      <c r="T1901" s="171" t="s">
        <v>2561</v>
      </c>
      <c r="U1901" s="89"/>
      <c r="V1901" s="102">
        <v>5</v>
      </c>
      <c r="W1901" s="120">
        <v>25</v>
      </c>
      <c r="X1901" s="120">
        <v>0</v>
      </c>
      <c r="Y1901" s="120">
        <v>0</v>
      </c>
      <c r="Z1901" s="120">
        <v>0</v>
      </c>
      <c r="AA1901" s="17">
        <v>0</v>
      </c>
      <c r="AB1901" s="17">
        <v>0</v>
      </c>
      <c r="AC1901" s="17">
        <v>0</v>
      </c>
      <c r="AD1901" s="17">
        <v>0</v>
      </c>
      <c r="AE1901" s="17">
        <v>0</v>
      </c>
      <c r="AF1901" s="17">
        <v>0.4</v>
      </c>
      <c r="AG1901" s="17">
        <v>0.2</v>
      </c>
      <c r="AH1901" s="17">
        <v>2</v>
      </c>
      <c r="AI1901" s="17">
        <v>0</v>
      </c>
      <c r="AJ1901" s="17">
        <v>0</v>
      </c>
      <c r="AK1901" s="17">
        <v>0</v>
      </c>
      <c r="AL1901" s="32">
        <v>0</v>
      </c>
      <c r="AM1901" s="57"/>
      <c r="AN1901" s="89"/>
      <c r="AO1901" s="89"/>
      <c r="AP1901" s="782"/>
      <c r="AQ1901" s="17" t="s">
        <v>2986</v>
      </c>
      <c r="AR1901" s="174">
        <v>50</v>
      </c>
      <c r="AS1901" s="171" t="s">
        <v>246</v>
      </c>
      <c r="AT1901" s="171">
        <v>200</v>
      </c>
      <c r="AU1901" s="167">
        <v>20</v>
      </c>
      <c r="AV1901" s="172">
        <v>100</v>
      </c>
      <c r="AW1901" s="171">
        <v>7</v>
      </c>
      <c r="AX1901" s="89"/>
      <c r="AY1901" s="171">
        <v>23</v>
      </c>
      <c r="AZ1901" s="89"/>
      <c r="BA1901" s="175">
        <v>50</v>
      </c>
      <c r="BB1901" s="189" t="s">
        <v>2990</v>
      </c>
      <c r="BC1901" s="176"/>
      <c r="BD1901" s="177"/>
      <c r="BE1901" s="177"/>
      <c r="BF1901" s="178"/>
    </row>
    <row r="1902" spans="1:82">
      <c r="A1902" s="111">
        <v>1901</v>
      </c>
      <c r="B1902" s="211">
        <v>34</v>
      </c>
      <c r="C1902" s="191" t="s">
        <v>3378</v>
      </c>
      <c r="D1902" s="171" t="s">
        <v>119</v>
      </c>
      <c r="E1902" s="464" t="s">
        <v>3476</v>
      </c>
      <c r="F1902" s="171">
        <v>2011</v>
      </c>
      <c r="G1902" s="171">
        <v>385</v>
      </c>
      <c r="H1902" s="172" t="s">
        <v>1738</v>
      </c>
      <c r="I1902" s="173" t="s">
        <v>1751</v>
      </c>
      <c r="J1902" s="242">
        <v>0.33</v>
      </c>
      <c r="K1902" s="171">
        <v>5.25</v>
      </c>
      <c r="M1902" s="213">
        <v>293.07855197399999</v>
      </c>
      <c r="N1902" s="213"/>
      <c r="O1902" s="161"/>
      <c r="P1902" s="92"/>
      <c r="Q1902" s="173" t="s">
        <v>526</v>
      </c>
      <c r="R1902" s="171" t="s">
        <v>2347</v>
      </c>
      <c r="S1902" s="171" t="s">
        <v>2988</v>
      </c>
      <c r="T1902" s="171" t="s">
        <v>2561</v>
      </c>
      <c r="U1902" s="89"/>
      <c r="V1902" s="102">
        <v>0</v>
      </c>
      <c r="W1902" s="120">
        <v>25</v>
      </c>
      <c r="X1902" s="120">
        <v>0</v>
      </c>
      <c r="Y1902" s="120">
        <v>0</v>
      </c>
      <c r="Z1902" s="120">
        <v>0</v>
      </c>
      <c r="AA1902" s="17">
        <v>0</v>
      </c>
      <c r="AB1902" s="17">
        <v>0</v>
      </c>
      <c r="AC1902" s="17">
        <v>5</v>
      </c>
      <c r="AD1902" s="17">
        <v>0</v>
      </c>
      <c r="AE1902" s="17">
        <v>0</v>
      </c>
      <c r="AF1902" s="17">
        <v>0.4</v>
      </c>
      <c r="AG1902" s="17">
        <v>0.2</v>
      </c>
      <c r="AH1902" s="17">
        <v>0</v>
      </c>
      <c r="AI1902" s="17">
        <v>0</v>
      </c>
      <c r="AJ1902" s="17">
        <v>0</v>
      </c>
      <c r="AK1902" s="17">
        <v>0</v>
      </c>
      <c r="AL1902" s="32">
        <v>0</v>
      </c>
      <c r="AM1902" s="57"/>
      <c r="AN1902" s="89"/>
      <c r="AO1902" s="89"/>
      <c r="AP1902" s="782"/>
      <c r="AQ1902" s="17" t="s">
        <v>2987</v>
      </c>
      <c r="AR1902" s="174">
        <v>75</v>
      </c>
      <c r="AS1902" s="171" t="s">
        <v>246</v>
      </c>
      <c r="AT1902" s="171">
        <v>300</v>
      </c>
      <c r="AU1902" s="167">
        <v>30</v>
      </c>
      <c r="AV1902" s="172">
        <v>100</v>
      </c>
      <c r="AW1902" s="171">
        <v>7</v>
      </c>
      <c r="AX1902" s="89"/>
      <c r="AY1902" s="171">
        <v>23</v>
      </c>
      <c r="AZ1902" s="89"/>
      <c r="BA1902" s="175">
        <v>50</v>
      </c>
      <c r="BB1902" s="189" t="s">
        <v>2990</v>
      </c>
      <c r="BC1902" s="176"/>
      <c r="BD1902" s="177"/>
      <c r="BE1902" s="177"/>
      <c r="BF1902" s="178"/>
    </row>
    <row r="1903" spans="1:82" s="82" customFormat="1">
      <c r="A1903" s="111">
        <v>1902</v>
      </c>
      <c r="B1903" s="211" t="s">
        <v>2999</v>
      </c>
      <c r="C1903" s="191" t="s">
        <v>3291</v>
      </c>
      <c r="D1903" s="171" t="s">
        <v>3290</v>
      </c>
      <c r="E1903" s="732" t="s">
        <v>3379</v>
      </c>
      <c r="F1903" s="171">
        <v>1997</v>
      </c>
      <c r="G1903" s="171">
        <v>1</v>
      </c>
      <c r="H1903" s="172" t="s">
        <v>1738</v>
      </c>
      <c r="I1903" s="173" t="s">
        <v>1751</v>
      </c>
      <c r="J1903" s="242">
        <v>0.6678082191780822</v>
      </c>
      <c r="K1903" s="213">
        <v>6.595890410958904</v>
      </c>
      <c r="L1903" s="38">
        <v>195</v>
      </c>
      <c r="M1903" s="171">
        <v>146</v>
      </c>
      <c r="N1903" s="171">
        <v>1000</v>
      </c>
      <c r="O1903" s="57"/>
      <c r="P1903" s="89"/>
      <c r="Q1903" s="221" t="s">
        <v>1754</v>
      </c>
      <c r="R1903" s="171" t="s">
        <v>3342</v>
      </c>
      <c r="S1903" s="171" t="s">
        <v>3342</v>
      </c>
      <c r="T1903" s="89"/>
      <c r="U1903" s="89" t="s">
        <v>3342</v>
      </c>
      <c r="V1903" s="102">
        <v>0</v>
      </c>
      <c r="W1903" s="120">
        <v>0</v>
      </c>
      <c r="X1903" s="120">
        <v>50</v>
      </c>
      <c r="Y1903" s="120">
        <v>0</v>
      </c>
      <c r="Z1903" s="120">
        <v>0</v>
      </c>
      <c r="AA1903" s="17">
        <v>0</v>
      </c>
      <c r="AB1903" s="17">
        <v>0</v>
      </c>
      <c r="AC1903" s="17">
        <v>0</v>
      </c>
      <c r="AD1903" s="17">
        <v>0</v>
      </c>
      <c r="AE1903" s="17">
        <v>0</v>
      </c>
      <c r="AF1903" s="17">
        <v>0</v>
      </c>
      <c r="AG1903" s="17">
        <v>0</v>
      </c>
      <c r="AH1903" s="17">
        <v>0</v>
      </c>
      <c r="AI1903" s="17">
        <v>0</v>
      </c>
      <c r="AJ1903" s="17">
        <v>0</v>
      </c>
      <c r="AK1903" s="17">
        <v>0</v>
      </c>
      <c r="AL1903" s="32">
        <v>0</v>
      </c>
      <c r="AM1903" s="172">
        <v>29</v>
      </c>
      <c r="AN1903" s="171">
        <v>80</v>
      </c>
      <c r="AO1903" s="89"/>
      <c r="AP1903" s="783">
        <v>31.2</v>
      </c>
      <c r="AQ1903" s="17" t="s">
        <v>3403</v>
      </c>
      <c r="AR1903" s="174">
        <v>100</v>
      </c>
      <c r="AS1903" s="171" t="s">
        <v>246</v>
      </c>
      <c r="AT1903" s="171">
        <v>200</v>
      </c>
      <c r="AU1903" s="171">
        <v>25</v>
      </c>
      <c r="AV1903" s="57"/>
      <c r="AW1903" s="171">
        <v>28</v>
      </c>
      <c r="AX1903" s="89"/>
      <c r="AY1903" s="171">
        <v>23</v>
      </c>
      <c r="AZ1903" s="89"/>
      <c r="BA1903" s="175">
        <v>65</v>
      </c>
      <c r="BB1903" s="259"/>
      <c r="BC1903" s="176"/>
      <c r="BD1903" s="171"/>
      <c r="BE1903" s="171"/>
      <c r="BF1903" s="190" t="s">
        <v>273</v>
      </c>
      <c r="BG1903" s="15"/>
      <c r="BH1903" s="15"/>
      <c r="BI1903" s="15"/>
      <c r="BJ1903" s="15"/>
      <c r="BK1903" s="15"/>
      <c r="BL1903" s="15"/>
      <c r="BM1903" s="15"/>
      <c r="BN1903" s="15"/>
      <c r="BO1903" s="15"/>
      <c r="BP1903" s="15"/>
      <c r="BQ1903" s="15"/>
      <c r="BR1903" s="15"/>
      <c r="BS1903" s="15"/>
      <c r="BT1903" s="15"/>
      <c r="BU1903" s="15"/>
      <c r="BV1903" s="15"/>
      <c r="BW1903" s="15"/>
      <c r="BX1903" s="15"/>
      <c r="BY1903" s="15"/>
      <c r="BZ1903" s="15"/>
      <c r="CA1903" s="15"/>
      <c r="CB1903" s="15"/>
      <c r="CC1903" s="15"/>
      <c r="CD1903" s="15"/>
    </row>
    <row r="1904" spans="1:82">
      <c r="A1904" s="111">
        <v>1903</v>
      </c>
      <c r="B1904" s="211" t="s">
        <v>3000</v>
      </c>
      <c r="C1904" s="191" t="s">
        <v>3291</v>
      </c>
      <c r="D1904" s="171" t="s">
        <v>3290</v>
      </c>
      <c r="E1904" s="732" t="s">
        <v>3379</v>
      </c>
      <c r="F1904" s="171">
        <v>1997</v>
      </c>
      <c r="G1904" s="171">
        <v>1</v>
      </c>
      <c r="H1904" s="172" t="s">
        <v>1738</v>
      </c>
      <c r="I1904" s="173" t="s">
        <v>1751</v>
      </c>
      <c r="J1904" s="242">
        <v>0.42951541850220265</v>
      </c>
      <c r="K1904" s="213">
        <v>3.9185022026431717</v>
      </c>
      <c r="L1904" s="38">
        <v>195</v>
      </c>
      <c r="M1904" s="171">
        <v>227</v>
      </c>
      <c r="N1904" s="171">
        <v>1000</v>
      </c>
      <c r="O1904" s="57"/>
      <c r="P1904" s="89"/>
      <c r="Q1904" s="221" t="s">
        <v>1754</v>
      </c>
      <c r="R1904" s="171" t="s">
        <v>3342</v>
      </c>
      <c r="S1904" s="171" t="s">
        <v>3342</v>
      </c>
      <c r="T1904" s="89"/>
      <c r="U1904" s="89" t="s">
        <v>3342</v>
      </c>
      <c r="V1904" s="102">
        <v>0</v>
      </c>
      <c r="W1904" s="120">
        <v>0</v>
      </c>
      <c r="X1904" s="120">
        <v>50</v>
      </c>
      <c r="Y1904" s="120">
        <v>0</v>
      </c>
      <c r="Z1904" s="120">
        <v>0</v>
      </c>
      <c r="AA1904" s="17">
        <v>0</v>
      </c>
      <c r="AB1904" s="17">
        <v>0</v>
      </c>
      <c r="AC1904" s="17">
        <v>0</v>
      </c>
      <c r="AD1904" s="17">
        <v>0</v>
      </c>
      <c r="AE1904" s="17">
        <v>0</v>
      </c>
      <c r="AF1904" s="17">
        <v>0</v>
      </c>
      <c r="AG1904" s="17">
        <v>0</v>
      </c>
      <c r="AH1904" s="17">
        <v>0</v>
      </c>
      <c r="AI1904" s="17">
        <v>0</v>
      </c>
      <c r="AJ1904" s="17">
        <v>0</v>
      </c>
      <c r="AK1904" s="17">
        <v>0</v>
      </c>
      <c r="AL1904" s="32">
        <v>0</v>
      </c>
      <c r="AM1904" s="172">
        <v>50</v>
      </c>
      <c r="AN1904" s="171">
        <v>55</v>
      </c>
      <c r="AO1904" s="89"/>
      <c r="AP1904" s="783">
        <v>32.1</v>
      </c>
      <c r="AQ1904" s="17" t="s">
        <v>3403</v>
      </c>
      <c r="AR1904" s="174">
        <v>100</v>
      </c>
      <c r="AS1904" s="171" t="s">
        <v>246</v>
      </c>
      <c r="AT1904" s="171">
        <v>200</v>
      </c>
      <c r="AU1904" s="171">
        <v>25</v>
      </c>
      <c r="AV1904" s="57"/>
      <c r="AW1904" s="171">
        <v>28</v>
      </c>
      <c r="AX1904" s="89"/>
      <c r="AY1904" s="171">
        <v>23</v>
      </c>
      <c r="AZ1904" s="89"/>
      <c r="BA1904" s="175">
        <v>65</v>
      </c>
      <c r="BB1904" s="259"/>
      <c r="BC1904" s="176"/>
      <c r="BD1904" s="171"/>
      <c r="BE1904" s="171"/>
      <c r="BF1904" s="190" t="s">
        <v>273</v>
      </c>
    </row>
    <row r="1905" spans="1:58">
      <c r="A1905" s="111">
        <v>1904</v>
      </c>
      <c r="B1905" s="211" t="s">
        <v>3001</v>
      </c>
      <c r="C1905" s="191" t="s">
        <v>3291</v>
      </c>
      <c r="D1905" s="171" t="s">
        <v>3290</v>
      </c>
      <c r="E1905" s="732" t="s">
        <v>3379</v>
      </c>
      <c r="F1905" s="171">
        <v>1997</v>
      </c>
      <c r="G1905" s="171">
        <v>1</v>
      </c>
      <c r="H1905" s="172" t="s">
        <v>1738</v>
      </c>
      <c r="I1905" s="173" t="s">
        <v>1751</v>
      </c>
      <c r="J1905" s="242">
        <v>0.6678082191780822</v>
      </c>
      <c r="K1905" s="213">
        <v>6.595890410958904</v>
      </c>
      <c r="L1905" s="38">
        <v>195</v>
      </c>
      <c r="M1905" s="171">
        <v>146</v>
      </c>
      <c r="N1905" s="171">
        <v>1000</v>
      </c>
      <c r="O1905" s="57"/>
      <c r="P1905" s="89"/>
      <c r="Q1905" s="221" t="s">
        <v>1754</v>
      </c>
      <c r="R1905" s="171" t="s">
        <v>3343</v>
      </c>
      <c r="S1905" s="171" t="s">
        <v>3342</v>
      </c>
      <c r="T1905" s="89"/>
      <c r="U1905" s="89" t="s">
        <v>3343</v>
      </c>
      <c r="V1905" s="102">
        <v>0</v>
      </c>
      <c r="W1905" s="120">
        <v>0</v>
      </c>
      <c r="X1905" s="120">
        <v>50</v>
      </c>
      <c r="Y1905" s="120">
        <v>0</v>
      </c>
      <c r="Z1905" s="120">
        <v>0</v>
      </c>
      <c r="AA1905" s="17">
        <v>0</v>
      </c>
      <c r="AB1905" s="17">
        <v>0</v>
      </c>
      <c r="AC1905" s="17">
        <v>0</v>
      </c>
      <c r="AD1905" s="17">
        <v>0</v>
      </c>
      <c r="AE1905" s="17">
        <v>0</v>
      </c>
      <c r="AF1905" s="17">
        <v>0</v>
      </c>
      <c r="AG1905" s="17">
        <v>0</v>
      </c>
      <c r="AH1905" s="17">
        <v>0</v>
      </c>
      <c r="AI1905" s="17">
        <v>0</v>
      </c>
      <c r="AJ1905" s="17">
        <v>0</v>
      </c>
      <c r="AK1905" s="17">
        <v>0</v>
      </c>
      <c r="AL1905" s="32">
        <v>0</v>
      </c>
      <c r="AM1905" s="172">
        <v>27.5</v>
      </c>
      <c r="AN1905" s="171">
        <v>75</v>
      </c>
      <c r="AO1905" s="89"/>
      <c r="AP1905" s="783">
        <v>26.6</v>
      </c>
      <c r="AQ1905" s="17" t="s">
        <v>3403</v>
      </c>
      <c r="AR1905" s="174">
        <v>100</v>
      </c>
      <c r="AS1905" s="171" t="s">
        <v>246</v>
      </c>
      <c r="AT1905" s="171">
        <v>200</v>
      </c>
      <c r="AU1905" s="171">
        <v>25</v>
      </c>
      <c r="AV1905" s="57"/>
      <c r="AW1905" s="171">
        <v>28</v>
      </c>
      <c r="AX1905" s="89"/>
      <c r="AY1905" s="171">
        <v>23</v>
      </c>
      <c r="AZ1905" s="89"/>
      <c r="BA1905" s="175">
        <v>65</v>
      </c>
      <c r="BB1905" s="259"/>
      <c r="BC1905" s="176"/>
      <c r="BD1905" s="177"/>
      <c r="BE1905" s="177"/>
      <c r="BF1905" s="190" t="s">
        <v>273</v>
      </c>
    </row>
    <row r="1906" spans="1:58">
      <c r="A1906" s="111">
        <v>1905</v>
      </c>
      <c r="B1906" s="211" t="s">
        <v>3002</v>
      </c>
      <c r="C1906" s="191" t="s">
        <v>3291</v>
      </c>
      <c r="D1906" s="171" t="s">
        <v>3290</v>
      </c>
      <c r="E1906" s="732" t="s">
        <v>3379</v>
      </c>
      <c r="F1906" s="171">
        <v>1997</v>
      </c>
      <c r="G1906" s="171">
        <v>1</v>
      </c>
      <c r="H1906" s="172" t="s">
        <v>1738</v>
      </c>
      <c r="I1906" s="173" t="s">
        <v>1751</v>
      </c>
      <c r="J1906" s="242">
        <v>0.42951541850220265</v>
      </c>
      <c r="K1906" s="213">
        <v>3.9185022026431717</v>
      </c>
      <c r="L1906" s="38">
        <v>195</v>
      </c>
      <c r="M1906" s="171">
        <v>227</v>
      </c>
      <c r="N1906" s="171">
        <v>1000</v>
      </c>
      <c r="O1906" s="57"/>
      <c r="P1906" s="89"/>
      <c r="Q1906" s="221" t="s">
        <v>1754</v>
      </c>
      <c r="R1906" s="171" t="s">
        <v>3343</v>
      </c>
      <c r="S1906" s="171" t="s">
        <v>3342</v>
      </c>
      <c r="T1906" s="89"/>
      <c r="U1906" s="89" t="s">
        <v>3343</v>
      </c>
      <c r="V1906" s="102">
        <v>0</v>
      </c>
      <c r="W1906" s="120">
        <v>0</v>
      </c>
      <c r="X1906" s="120">
        <v>50</v>
      </c>
      <c r="Y1906" s="120">
        <v>0</v>
      </c>
      <c r="Z1906" s="120">
        <v>0</v>
      </c>
      <c r="AA1906" s="17">
        <v>0</v>
      </c>
      <c r="AB1906" s="17">
        <v>0</v>
      </c>
      <c r="AC1906" s="17">
        <v>0</v>
      </c>
      <c r="AD1906" s="17">
        <v>0</v>
      </c>
      <c r="AE1906" s="17">
        <v>0</v>
      </c>
      <c r="AF1906" s="17">
        <v>0</v>
      </c>
      <c r="AG1906" s="17">
        <v>0</v>
      </c>
      <c r="AH1906" s="17">
        <v>0</v>
      </c>
      <c r="AI1906" s="17">
        <v>0</v>
      </c>
      <c r="AJ1906" s="17">
        <v>0</v>
      </c>
      <c r="AK1906" s="17">
        <v>0</v>
      </c>
      <c r="AL1906" s="32">
        <v>0</v>
      </c>
      <c r="AM1906" s="172">
        <v>47</v>
      </c>
      <c r="AN1906" s="171">
        <v>60</v>
      </c>
      <c r="AO1906" s="89"/>
      <c r="AP1906" s="783">
        <v>31.3</v>
      </c>
      <c r="AQ1906" s="17" t="s">
        <v>3403</v>
      </c>
      <c r="AR1906" s="174">
        <v>100</v>
      </c>
      <c r="AS1906" s="171" t="s">
        <v>246</v>
      </c>
      <c r="AT1906" s="171">
        <v>200</v>
      </c>
      <c r="AU1906" s="171">
        <v>25</v>
      </c>
      <c r="AV1906" s="57"/>
      <c r="AW1906" s="171">
        <v>28</v>
      </c>
      <c r="AX1906" s="89"/>
      <c r="AY1906" s="171">
        <v>23</v>
      </c>
      <c r="AZ1906" s="89"/>
      <c r="BA1906" s="175">
        <v>65</v>
      </c>
      <c r="BB1906" s="259"/>
      <c r="BC1906" s="176"/>
      <c r="BD1906" s="177"/>
      <c r="BE1906" s="177"/>
      <c r="BF1906" s="190" t="s">
        <v>273</v>
      </c>
    </row>
    <row r="1907" spans="1:58">
      <c r="A1907" s="111">
        <v>1906</v>
      </c>
      <c r="B1907" s="211" t="s">
        <v>3003</v>
      </c>
      <c r="C1907" s="191" t="s">
        <v>3291</v>
      </c>
      <c r="D1907" s="171" t="s">
        <v>3290</v>
      </c>
      <c r="E1907" s="732" t="s">
        <v>3379</v>
      </c>
      <c r="F1907" s="171">
        <v>1997</v>
      </c>
      <c r="G1907" s="171">
        <v>1</v>
      </c>
      <c r="H1907" s="172" t="s">
        <v>1738</v>
      </c>
      <c r="I1907" s="173" t="s">
        <v>1751</v>
      </c>
      <c r="J1907" s="242">
        <v>0.6678082191780822</v>
      </c>
      <c r="K1907" s="213">
        <v>6.595890410958904</v>
      </c>
      <c r="L1907" s="38">
        <v>195</v>
      </c>
      <c r="M1907" s="171">
        <v>146</v>
      </c>
      <c r="N1907" s="171">
        <v>1000</v>
      </c>
      <c r="O1907" s="57"/>
      <c r="P1907" s="89"/>
      <c r="Q1907" s="221" t="s">
        <v>1754</v>
      </c>
      <c r="R1907" s="171" t="s">
        <v>3344</v>
      </c>
      <c r="S1907" s="171" t="s">
        <v>3342</v>
      </c>
      <c r="T1907" s="89"/>
      <c r="U1907" s="89" t="s">
        <v>3344</v>
      </c>
      <c r="V1907" s="102">
        <v>0</v>
      </c>
      <c r="W1907" s="120">
        <v>0</v>
      </c>
      <c r="X1907" s="120">
        <v>50</v>
      </c>
      <c r="Y1907" s="120">
        <v>0</v>
      </c>
      <c r="Z1907" s="120">
        <v>0</v>
      </c>
      <c r="AA1907" s="17">
        <v>0</v>
      </c>
      <c r="AB1907" s="17">
        <v>0</v>
      </c>
      <c r="AC1907" s="17">
        <v>0</v>
      </c>
      <c r="AD1907" s="17">
        <v>0</v>
      </c>
      <c r="AE1907" s="17">
        <v>0</v>
      </c>
      <c r="AF1907" s="17">
        <v>0</v>
      </c>
      <c r="AG1907" s="17">
        <v>0</v>
      </c>
      <c r="AH1907" s="17">
        <v>0</v>
      </c>
      <c r="AI1907" s="17">
        <v>0</v>
      </c>
      <c r="AJ1907" s="17">
        <v>0</v>
      </c>
      <c r="AK1907" s="17">
        <v>0</v>
      </c>
      <c r="AL1907" s="32">
        <v>0</v>
      </c>
      <c r="AM1907" s="172">
        <v>29.5</v>
      </c>
      <c r="AN1907" s="171">
        <v>75</v>
      </c>
      <c r="AO1907" s="89"/>
      <c r="AP1907" s="783">
        <v>25</v>
      </c>
      <c r="AQ1907" s="17" t="s">
        <v>3403</v>
      </c>
      <c r="AR1907" s="174">
        <v>100</v>
      </c>
      <c r="AS1907" s="171" t="s">
        <v>246</v>
      </c>
      <c r="AT1907" s="171">
        <v>200</v>
      </c>
      <c r="AU1907" s="171">
        <v>25</v>
      </c>
      <c r="AV1907" s="57"/>
      <c r="AW1907" s="171">
        <v>28</v>
      </c>
      <c r="AX1907" s="89"/>
      <c r="AY1907" s="171">
        <v>23</v>
      </c>
      <c r="AZ1907" s="89"/>
      <c r="BA1907" s="175">
        <v>65</v>
      </c>
      <c r="BB1907" s="259"/>
      <c r="BC1907" s="176"/>
      <c r="BD1907" s="177"/>
      <c r="BE1907" s="177"/>
      <c r="BF1907" s="190" t="s">
        <v>273</v>
      </c>
    </row>
    <row r="1908" spans="1:58">
      <c r="A1908" s="111">
        <v>1907</v>
      </c>
      <c r="B1908" s="211" t="s">
        <v>3004</v>
      </c>
      <c r="C1908" s="191" t="s">
        <v>3291</v>
      </c>
      <c r="D1908" s="171" t="s">
        <v>3290</v>
      </c>
      <c r="E1908" s="732" t="s">
        <v>3379</v>
      </c>
      <c r="F1908" s="171">
        <v>1997</v>
      </c>
      <c r="G1908" s="171">
        <v>1</v>
      </c>
      <c r="H1908" s="172" t="s">
        <v>1738</v>
      </c>
      <c r="I1908" s="173" t="s">
        <v>1751</v>
      </c>
      <c r="J1908" s="242">
        <v>0.42951541850220265</v>
      </c>
      <c r="K1908" s="213">
        <v>3.9185022026431717</v>
      </c>
      <c r="L1908" s="38">
        <v>195</v>
      </c>
      <c r="M1908" s="171">
        <v>227</v>
      </c>
      <c r="N1908" s="171">
        <v>1000</v>
      </c>
      <c r="O1908" s="57"/>
      <c r="P1908" s="89"/>
      <c r="Q1908" s="221" t="s">
        <v>1754</v>
      </c>
      <c r="R1908" s="171" t="s">
        <v>3344</v>
      </c>
      <c r="S1908" s="171" t="s">
        <v>3342</v>
      </c>
      <c r="T1908" s="89"/>
      <c r="U1908" s="89" t="s">
        <v>3344</v>
      </c>
      <c r="V1908" s="102">
        <v>0</v>
      </c>
      <c r="W1908" s="120">
        <v>0</v>
      </c>
      <c r="X1908" s="120">
        <v>50</v>
      </c>
      <c r="Y1908" s="120">
        <v>0</v>
      </c>
      <c r="Z1908" s="120">
        <v>0</v>
      </c>
      <c r="AA1908" s="17">
        <v>0</v>
      </c>
      <c r="AB1908" s="17">
        <v>0</v>
      </c>
      <c r="AC1908" s="17">
        <v>0</v>
      </c>
      <c r="AD1908" s="17">
        <v>0</v>
      </c>
      <c r="AE1908" s="17">
        <v>0</v>
      </c>
      <c r="AF1908" s="17">
        <v>0</v>
      </c>
      <c r="AG1908" s="17">
        <v>0</v>
      </c>
      <c r="AH1908" s="17">
        <v>0</v>
      </c>
      <c r="AI1908" s="17">
        <v>0</v>
      </c>
      <c r="AJ1908" s="17">
        <v>0</v>
      </c>
      <c r="AK1908" s="17">
        <v>0</v>
      </c>
      <c r="AL1908" s="32">
        <v>0</v>
      </c>
      <c r="AM1908" s="172">
        <v>49</v>
      </c>
      <c r="AN1908" s="171">
        <v>50</v>
      </c>
      <c r="AO1908" s="89"/>
      <c r="AP1908" s="783">
        <v>26.7</v>
      </c>
      <c r="AQ1908" s="17" t="s">
        <v>3403</v>
      </c>
      <c r="AR1908" s="174">
        <v>100</v>
      </c>
      <c r="AS1908" s="171" t="s">
        <v>246</v>
      </c>
      <c r="AT1908" s="171">
        <v>200</v>
      </c>
      <c r="AU1908" s="171">
        <v>25</v>
      </c>
      <c r="AV1908" s="57"/>
      <c r="AW1908" s="171">
        <v>28</v>
      </c>
      <c r="AX1908" s="89"/>
      <c r="AY1908" s="171">
        <v>23</v>
      </c>
      <c r="AZ1908" s="89"/>
      <c r="BA1908" s="175">
        <v>65</v>
      </c>
      <c r="BB1908" s="259"/>
      <c r="BC1908" s="176"/>
      <c r="BD1908" s="177"/>
      <c r="BE1908" s="177"/>
      <c r="BF1908" s="190" t="s">
        <v>273</v>
      </c>
    </row>
    <row r="1909" spans="1:58">
      <c r="A1909" s="111">
        <v>1908</v>
      </c>
      <c r="B1909" s="211" t="s">
        <v>3005</v>
      </c>
      <c r="C1909" s="191" t="s">
        <v>3291</v>
      </c>
      <c r="D1909" s="171" t="s">
        <v>3290</v>
      </c>
      <c r="E1909" s="732" t="s">
        <v>3379</v>
      </c>
      <c r="F1909" s="171">
        <v>1997</v>
      </c>
      <c r="G1909" s="171">
        <v>1</v>
      </c>
      <c r="H1909" s="172" t="s">
        <v>1738</v>
      </c>
      <c r="I1909" s="173" t="s">
        <v>1751</v>
      </c>
      <c r="J1909" s="242">
        <v>0.6678082191780822</v>
      </c>
      <c r="K1909" s="213">
        <v>6.595890410958904</v>
      </c>
      <c r="L1909" s="38">
        <v>195</v>
      </c>
      <c r="M1909" s="171">
        <v>146</v>
      </c>
      <c r="N1909" s="171">
        <v>1000</v>
      </c>
      <c r="O1909" s="57"/>
      <c r="P1909" s="89"/>
      <c r="Q1909" s="221" t="s">
        <v>1754</v>
      </c>
      <c r="R1909" s="171" t="s">
        <v>3342</v>
      </c>
      <c r="S1909" s="171" t="s">
        <v>3343</v>
      </c>
      <c r="T1909" s="89"/>
      <c r="U1909" s="89" t="s">
        <v>3342</v>
      </c>
      <c r="V1909" s="102">
        <v>0</v>
      </c>
      <c r="W1909" s="120">
        <v>0</v>
      </c>
      <c r="X1909" s="120">
        <v>50</v>
      </c>
      <c r="Y1909" s="120">
        <v>0</v>
      </c>
      <c r="Z1909" s="120">
        <v>0</v>
      </c>
      <c r="AA1909" s="17">
        <v>0</v>
      </c>
      <c r="AB1909" s="17">
        <v>0</v>
      </c>
      <c r="AC1909" s="17">
        <v>0</v>
      </c>
      <c r="AD1909" s="17">
        <v>0</v>
      </c>
      <c r="AE1909" s="17">
        <v>0</v>
      </c>
      <c r="AF1909" s="17">
        <v>0</v>
      </c>
      <c r="AG1909" s="17">
        <v>0</v>
      </c>
      <c r="AH1909" s="17">
        <v>0</v>
      </c>
      <c r="AI1909" s="17">
        <v>0</v>
      </c>
      <c r="AJ1909" s="17">
        <v>0</v>
      </c>
      <c r="AK1909" s="17">
        <v>0</v>
      </c>
      <c r="AL1909" s="32">
        <v>0</v>
      </c>
      <c r="AM1909" s="172">
        <v>31</v>
      </c>
      <c r="AN1909" s="171">
        <v>50</v>
      </c>
      <c r="AO1909" s="89"/>
      <c r="AP1909" s="783">
        <v>25.7</v>
      </c>
      <c r="AQ1909" s="17" t="s">
        <v>3403</v>
      </c>
      <c r="AR1909" s="174">
        <v>100</v>
      </c>
      <c r="AS1909" s="171" t="s">
        <v>246</v>
      </c>
      <c r="AT1909" s="171">
        <v>200</v>
      </c>
      <c r="AU1909" s="171">
        <v>25</v>
      </c>
      <c r="AV1909" s="57"/>
      <c r="AW1909" s="171">
        <v>28</v>
      </c>
      <c r="AX1909" s="89"/>
      <c r="AY1909" s="171">
        <v>23</v>
      </c>
      <c r="AZ1909" s="89"/>
      <c r="BA1909" s="175">
        <v>65</v>
      </c>
      <c r="BB1909" s="259"/>
      <c r="BC1909" s="176"/>
      <c r="BD1909" s="177"/>
      <c r="BE1909" s="177"/>
      <c r="BF1909" s="190" t="s">
        <v>273</v>
      </c>
    </row>
    <row r="1910" spans="1:58">
      <c r="A1910" s="111">
        <v>1909</v>
      </c>
      <c r="B1910" s="211" t="s">
        <v>3006</v>
      </c>
      <c r="C1910" s="191" t="s">
        <v>3291</v>
      </c>
      <c r="D1910" s="171" t="s">
        <v>3290</v>
      </c>
      <c r="E1910" s="732" t="s">
        <v>3379</v>
      </c>
      <c r="F1910" s="171">
        <v>1997</v>
      </c>
      <c r="G1910" s="171">
        <v>1</v>
      </c>
      <c r="H1910" s="172" t="s">
        <v>1738</v>
      </c>
      <c r="I1910" s="173" t="s">
        <v>1751</v>
      </c>
      <c r="J1910" s="242">
        <v>0.42951541850220265</v>
      </c>
      <c r="K1910" s="213">
        <v>3.9207048458149778</v>
      </c>
      <c r="L1910" s="38">
        <v>195</v>
      </c>
      <c r="M1910" s="171">
        <v>227</v>
      </c>
      <c r="N1910" s="171">
        <v>1000</v>
      </c>
      <c r="O1910" s="57"/>
      <c r="P1910" s="89"/>
      <c r="Q1910" s="221" t="s">
        <v>1754</v>
      </c>
      <c r="R1910" s="171" t="s">
        <v>3342</v>
      </c>
      <c r="S1910" s="171" t="s">
        <v>3343</v>
      </c>
      <c r="T1910" s="89"/>
      <c r="U1910" s="89" t="s">
        <v>3342</v>
      </c>
      <c r="V1910" s="102">
        <v>0</v>
      </c>
      <c r="W1910" s="120">
        <v>0</v>
      </c>
      <c r="X1910" s="120">
        <v>50</v>
      </c>
      <c r="Y1910" s="120">
        <v>0</v>
      </c>
      <c r="Z1910" s="120">
        <v>0</v>
      </c>
      <c r="AA1910" s="17">
        <v>0</v>
      </c>
      <c r="AB1910" s="17">
        <v>0</v>
      </c>
      <c r="AC1910" s="17">
        <v>0</v>
      </c>
      <c r="AD1910" s="17">
        <v>0</v>
      </c>
      <c r="AE1910" s="17">
        <v>0</v>
      </c>
      <c r="AF1910" s="17">
        <v>0</v>
      </c>
      <c r="AG1910" s="17">
        <v>0</v>
      </c>
      <c r="AH1910" s="17">
        <v>0</v>
      </c>
      <c r="AI1910" s="17">
        <v>0</v>
      </c>
      <c r="AJ1910" s="17">
        <v>0</v>
      </c>
      <c r="AK1910" s="17">
        <v>0</v>
      </c>
      <c r="AL1910" s="32">
        <v>0</v>
      </c>
      <c r="AM1910" s="172">
        <v>51</v>
      </c>
      <c r="AN1910" s="171">
        <v>35</v>
      </c>
      <c r="AO1910" s="89"/>
      <c r="AP1910" s="783">
        <v>25.8</v>
      </c>
      <c r="AQ1910" s="17" t="s">
        <v>3403</v>
      </c>
      <c r="AR1910" s="174">
        <v>100</v>
      </c>
      <c r="AS1910" s="171" t="s">
        <v>246</v>
      </c>
      <c r="AT1910" s="171">
        <v>200</v>
      </c>
      <c r="AU1910" s="171">
        <v>25</v>
      </c>
      <c r="AV1910" s="57"/>
      <c r="AW1910" s="171">
        <v>28</v>
      </c>
      <c r="AX1910" s="89"/>
      <c r="AY1910" s="171">
        <v>23</v>
      </c>
      <c r="AZ1910" s="89"/>
      <c r="BA1910" s="175">
        <v>65</v>
      </c>
      <c r="BB1910" s="259"/>
      <c r="BC1910" s="176"/>
      <c r="BD1910" s="177"/>
      <c r="BE1910" s="177"/>
      <c r="BF1910" s="190" t="s">
        <v>273</v>
      </c>
    </row>
    <row r="1911" spans="1:58">
      <c r="A1911" s="111">
        <v>1910</v>
      </c>
      <c r="B1911" s="211" t="s">
        <v>3007</v>
      </c>
      <c r="C1911" s="191" t="s">
        <v>3291</v>
      </c>
      <c r="D1911" s="171" t="s">
        <v>3290</v>
      </c>
      <c r="E1911" s="732" t="s">
        <v>3379</v>
      </c>
      <c r="F1911" s="171">
        <v>1997</v>
      </c>
      <c r="G1911" s="171">
        <v>1</v>
      </c>
      <c r="H1911" s="172" t="s">
        <v>1738</v>
      </c>
      <c r="I1911" s="173" t="s">
        <v>1751</v>
      </c>
      <c r="J1911" s="242">
        <v>0.6678082191780822</v>
      </c>
      <c r="K1911" s="213">
        <v>6.595890410958904</v>
      </c>
      <c r="L1911" s="38">
        <v>195</v>
      </c>
      <c r="M1911" s="171">
        <v>146</v>
      </c>
      <c r="N1911" s="171">
        <v>1000</v>
      </c>
      <c r="O1911" s="57"/>
      <c r="P1911" s="89"/>
      <c r="Q1911" s="221" t="s">
        <v>1754</v>
      </c>
      <c r="R1911" s="171" t="s">
        <v>3342</v>
      </c>
      <c r="S1911" s="171" t="s">
        <v>3344</v>
      </c>
      <c r="T1911" s="89"/>
      <c r="U1911" s="89" t="s">
        <v>3342</v>
      </c>
      <c r="V1911" s="102">
        <v>0</v>
      </c>
      <c r="W1911" s="120">
        <v>0</v>
      </c>
      <c r="X1911" s="120">
        <v>50</v>
      </c>
      <c r="Y1911" s="120">
        <v>0</v>
      </c>
      <c r="Z1911" s="120">
        <v>0</v>
      </c>
      <c r="AA1911" s="17">
        <v>0</v>
      </c>
      <c r="AB1911" s="17">
        <v>0</v>
      </c>
      <c r="AC1911" s="17">
        <v>0</v>
      </c>
      <c r="AD1911" s="17">
        <v>0</v>
      </c>
      <c r="AE1911" s="17">
        <v>0</v>
      </c>
      <c r="AF1911" s="17">
        <v>0</v>
      </c>
      <c r="AG1911" s="17">
        <v>0</v>
      </c>
      <c r="AH1911" s="17">
        <v>0</v>
      </c>
      <c r="AI1911" s="17">
        <v>0</v>
      </c>
      <c r="AJ1911" s="17">
        <v>0</v>
      </c>
      <c r="AK1911" s="17">
        <v>0</v>
      </c>
      <c r="AL1911" s="32">
        <v>0</v>
      </c>
      <c r="AM1911" s="172">
        <v>32</v>
      </c>
      <c r="AN1911" s="171">
        <v>25</v>
      </c>
      <c r="AO1911" s="89"/>
      <c r="AP1911" s="783">
        <v>23.9</v>
      </c>
      <c r="AQ1911" s="17" t="s">
        <v>3403</v>
      </c>
      <c r="AR1911" s="174">
        <v>100</v>
      </c>
      <c r="AS1911" s="171" t="s">
        <v>246</v>
      </c>
      <c r="AT1911" s="171">
        <v>200</v>
      </c>
      <c r="AU1911" s="171">
        <v>25</v>
      </c>
      <c r="AV1911" s="57"/>
      <c r="AW1911" s="171">
        <v>28</v>
      </c>
      <c r="AX1911" s="89"/>
      <c r="AY1911" s="171">
        <v>23</v>
      </c>
      <c r="AZ1911" s="89"/>
      <c r="BA1911" s="175">
        <v>65</v>
      </c>
      <c r="BB1911" s="259"/>
      <c r="BC1911" s="176"/>
      <c r="BD1911" s="177"/>
      <c r="BE1911" s="177"/>
      <c r="BF1911" s="190" t="s">
        <v>273</v>
      </c>
    </row>
    <row r="1912" spans="1:58">
      <c r="A1912" s="111">
        <v>1911</v>
      </c>
      <c r="B1912" s="211" t="s">
        <v>3008</v>
      </c>
      <c r="C1912" s="191" t="s">
        <v>3291</v>
      </c>
      <c r="D1912" s="171" t="s">
        <v>3290</v>
      </c>
      <c r="E1912" s="732" t="s">
        <v>3379</v>
      </c>
      <c r="F1912" s="171">
        <v>1997</v>
      </c>
      <c r="G1912" s="171">
        <v>1</v>
      </c>
      <c r="H1912" s="172" t="s">
        <v>1738</v>
      </c>
      <c r="I1912" s="173" t="s">
        <v>1751</v>
      </c>
      <c r="J1912" s="242">
        <v>0.42951541850220265</v>
      </c>
      <c r="K1912" s="213">
        <v>3.9185022026431717</v>
      </c>
      <c r="L1912" s="38">
        <v>195</v>
      </c>
      <c r="M1912" s="171">
        <v>227</v>
      </c>
      <c r="N1912" s="171">
        <v>1000</v>
      </c>
      <c r="O1912" s="57"/>
      <c r="P1912" s="89"/>
      <c r="Q1912" s="221" t="s">
        <v>1754</v>
      </c>
      <c r="R1912" s="171" t="s">
        <v>3342</v>
      </c>
      <c r="S1912" s="171" t="s">
        <v>3344</v>
      </c>
      <c r="T1912" s="89"/>
      <c r="U1912" s="89" t="s">
        <v>3342</v>
      </c>
      <c r="V1912" s="102">
        <v>0</v>
      </c>
      <c r="W1912" s="120">
        <v>0</v>
      </c>
      <c r="X1912" s="120">
        <v>50</v>
      </c>
      <c r="Y1912" s="120">
        <v>0</v>
      </c>
      <c r="Z1912" s="120">
        <v>0</v>
      </c>
      <c r="AA1912" s="17">
        <v>0</v>
      </c>
      <c r="AB1912" s="17">
        <v>0</v>
      </c>
      <c r="AC1912" s="17">
        <v>0</v>
      </c>
      <c r="AD1912" s="17">
        <v>0</v>
      </c>
      <c r="AE1912" s="17">
        <v>0</v>
      </c>
      <c r="AF1912" s="17">
        <v>0</v>
      </c>
      <c r="AG1912" s="17">
        <v>0</v>
      </c>
      <c r="AH1912" s="17">
        <v>0</v>
      </c>
      <c r="AI1912" s="17">
        <v>0</v>
      </c>
      <c r="AJ1912" s="17">
        <v>0</v>
      </c>
      <c r="AK1912" s="17">
        <v>0</v>
      </c>
      <c r="AL1912" s="32">
        <v>0</v>
      </c>
      <c r="AM1912" s="172">
        <v>49.5</v>
      </c>
      <c r="AN1912" s="171">
        <v>10</v>
      </c>
      <c r="AO1912" s="89"/>
      <c r="AP1912" s="783"/>
      <c r="AQ1912" s="17" t="s">
        <v>3403</v>
      </c>
      <c r="AR1912" s="174">
        <v>100</v>
      </c>
      <c r="AS1912" s="171" t="s">
        <v>246</v>
      </c>
      <c r="AT1912" s="171">
        <v>200</v>
      </c>
      <c r="AU1912" s="171">
        <v>25</v>
      </c>
      <c r="AV1912" s="57"/>
      <c r="AW1912" s="171">
        <v>28</v>
      </c>
      <c r="AX1912" s="89"/>
      <c r="AY1912" s="171">
        <v>23</v>
      </c>
      <c r="AZ1912" s="89"/>
      <c r="BA1912" s="175">
        <v>65</v>
      </c>
      <c r="BB1912" s="259"/>
      <c r="BC1912" s="176"/>
      <c r="BD1912" s="177"/>
      <c r="BE1912" s="177"/>
      <c r="BF1912" s="190" t="s">
        <v>273</v>
      </c>
    </row>
    <row r="1913" spans="1:58">
      <c r="A1913" s="111">
        <v>1912</v>
      </c>
      <c r="B1913" s="211" t="s">
        <v>3009</v>
      </c>
      <c r="C1913" s="191" t="s">
        <v>3292</v>
      </c>
      <c r="D1913" s="171" t="s">
        <v>3290</v>
      </c>
      <c r="E1913" s="732" t="s">
        <v>3379</v>
      </c>
      <c r="F1913" s="171">
        <v>2000</v>
      </c>
      <c r="G1913" s="171">
        <v>2</v>
      </c>
      <c r="H1913" s="172" t="s">
        <v>1738</v>
      </c>
      <c r="I1913" s="173" t="s">
        <v>1751</v>
      </c>
      <c r="J1913" s="242">
        <v>0.41984732824427479</v>
      </c>
      <c r="K1913" s="213">
        <v>3.4274809160305342</v>
      </c>
      <c r="L1913" s="38">
        <v>220</v>
      </c>
      <c r="M1913" s="171">
        <v>524</v>
      </c>
      <c r="N1913" s="171">
        <v>1106</v>
      </c>
      <c r="O1913" s="114"/>
      <c r="P1913" s="71" t="s">
        <v>3450</v>
      </c>
      <c r="Q1913" s="221" t="s">
        <v>1754</v>
      </c>
      <c r="R1913" s="171" t="s">
        <v>3345</v>
      </c>
      <c r="S1913" s="171" t="s">
        <v>2315</v>
      </c>
      <c r="T1913" s="89"/>
      <c r="U1913" s="89" t="s">
        <v>3345</v>
      </c>
      <c r="V1913" s="102">
        <v>0</v>
      </c>
      <c r="W1913" s="120">
        <v>0</v>
      </c>
      <c r="X1913" s="120">
        <v>0</v>
      </c>
      <c r="Y1913" s="120">
        <v>0</v>
      </c>
      <c r="Z1913" s="120">
        <v>0</v>
      </c>
      <c r="AA1913" s="17">
        <v>0</v>
      </c>
      <c r="AB1913" s="17">
        <v>0</v>
      </c>
      <c r="AC1913" s="17">
        <v>0</v>
      </c>
      <c r="AD1913" s="17">
        <v>0</v>
      </c>
      <c r="AE1913" s="17">
        <v>0</v>
      </c>
      <c r="AF1913" s="17">
        <v>0</v>
      </c>
      <c r="AG1913" s="17">
        <v>0</v>
      </c>
      <c r="AH1913" s="17">
        <v>0</v>
      </c>
      <c r="AI1913" s="17">
        <v>0</v>
      </c>
      <c r="AJ1913" s="17">
        <v>0</v>
      </c>
      <c r="AK1913" s="17">
        <v>0</v>
      </c>
      <c r="AL1913" s="32">
        <v>0</v>
      </c>
      <c r="AM1913" s="172">
        <v>78.5</v>
      </c>
      <c r="AN1913" s="171">
        <v>65</v>
      </c>
      <c r="AO1913" s="89"/>
      <c r="AP1913" s="783">
        <v>45.01</v>
      </c>
      <c r="AQ1913" s="17" t="s">
        <v>3403</v>
      </c>
      <c r="AR1913" s="174">
        <v>100</v>
      </c>
      <c r="AS1913" s="171" t="s">
        <v>246</v>
      </c>
      <c r="AT1913" s="171">
        <v>200</v>
      </c>
      <c r="AU1913" s="171">
        <v>25</v>
      </c>
      <c r="AV1913" s="57"/>
      <c r="AW1913" s="171">
        <v>31</v>
      </c>
      <c r="AX1913" s="89"/>
      <c r="AY1913" s="171">
        <v>23</v>
      </c>
      <c r="AZ1913" s="89"/>
      <c r="BA1913" s="175">
        <v>65</v>
      </c>
      <c r="BB1913" s="259"/>
      <c r="BC1913" s="176"/>
      <c r="BD1913" s="177"/>
      <c r="BE1913" s="177"/>
      <c r="BF1913" s="190" t="s">
        <v>3309</v>
      </c>
    </row>
    <row r="1914" spans="1:58">
      <c r="A1914" s="111">
        <v>1913</v>
      </c>
      <c r="B1914" s="211" t="s">
        <v>3010</v>
      </c>
      <c r="C1914" s="191" t="s">
        <v>3292</v>
      </c>
      <c r="D1914" s="171" t="s">
        <v>3290</v>
      </c>
      <c r="E1914" s="732" t="s">
        <v>3379</v>
      </c>
      <c r="F1914" s="171">
        <v>2000</v>
      </c>
      <c r="G1914" s="171">
        <v>2</v>
      </c>
      <c r="H1914" s="172" t="s">
        <v>1738</v>
      </c>
      <c r="I1914" s="173" t="s">
        <v>1751</v>
      </c>
      <c r="J1914" s="242">
        <v>0.63091482649842268</v>
      </c>
      <c r="K1914" s="213">
        <v>6.4353312302839116</v>
      </c>
      <c r="L1914" s="38">
        <v>200</v>
      </c>
      <c r="M1914" s="171">
        <v>317</v>
      </c>
      <c r="N1914" s="171">
        <v>1106</v>
      </c>
      <c r="O1914" s="114"/>
      <c r="P1914" s="71" t="s">
        <v>3450</v>
      </c>
      <c r="Q1914" s="221" t="s">
        <v>1754</v>
      </c>
      <c r="R1914" s="171" t="s">
        <v>3345</v>
      </c>
      <c r="S1914" s="171" t="s">
        <v>2315</v>
      </c>
      <c r="T1914" s="89"/>
      <c r="U1914" s="89" t="s">
        <v>3345</v>
      </c>
      <c r="V1914" s="102">
        <v>0</v>
      </c>
      <c r="W1914" s="120">
        <v>0</v>
      </c>
      <c r="X1914" s="120">
        <v>0</v>
      </c>
      <c r="Y1914" s="120">
        <v>0</v>
      </c>
      <c r="Z1914" s="120">
        <v>0</v>
      </c>
      <c r="AA1914" s="17">
        <v>0</v>
      </c>
      <c r="AB1914" s="17">
        <v>0</v>
      </c>
      <c r="AC1914" s="17">
        <v>0</v>
      </c>
      <c r="AD1914" s="17">
        <v>0</v>
      </c>
      <c r="AE1914" s="17">
        <v>0</v>
      </c>
      <c r="AF1914" s="17">
        <v>0</v>
      </c>
      <c r="AG1914" s="17">
        <v>0</v>
      </c>
      <c r="AH1914" s="17">
        <v>0</v>
      </c>
      <c r="AI1914" s="17">
        <v>0</v>
      </c>
      <c r="AJ1914" s="17">
        <v>0</v>
      </c>
      <c r="AK1914" s="17">
        <v>0</v>
      </c>
      <c r="AL1914" s="32">
        <v>0</v>
      </c>
      <c r="AM1914" s="172">
        <v>49.5</v>
      </c>
      <c r="AN1914" s="171">
        <v>70</v>
      </c>
      <c r="AO1914" s="89"/>
      <c r="AP1914" s="783">
        <v>43.05</v>
      </c>
      <c r="AQ1914" s="17" t="s">
        <v>3403</v>
      </c>
      <c r="AR1914" s="174">
        <v>100</v>
      </c>
      <c r="AS1914" s="171" t="s">
        <v>246</v>
      </c>
      <c r="AT1914" s="171">
        <v>200</v>
      </c>
      <c r="AU1914" s="171">
        <v>25</v>
      </c>
      <c r="AV1914" s="57"/>
      <c r="AW1914" s="171">
        <v>31</v>
      </c>
      <c r="AX1914" s="89"/>
      <c r="AY1914" s="171">
        <v>23</v>
      </c>
      <c r="AZ1914" s="89"/>
      <c r="BA1914" s="175">
        <v>65</v>
      </c>
      <c r="BB1914" s="259"/>
      <c r="BC1914" s="176"/>
      <c r="BD1914" s="177"/>
      <c r="BE1914" s="177"/>
      <c r="BF1914" s="190" t="s">
        <v>3309</v>
      </c>
    </row>
    <row r="1915" spans="1:58">
      <c r="A1915" s="111">
        <v>1914</v>
      </c>
      <c r="B1915" s="211" t="s">
        <v>3011</v>
      </c>
      <c r="C1915" s="191" t="s">
        <v>3292</v>
      </c>
      <c r="D1915" s="171" t="s">
        <v>3290</v>
      </c>
      <c r="E1915" s="732" t="s">
        <v>3379</v>
      </c>
      <c r="F1915" s="171">
        <v>2000</v>
      </c>
      <c r="G1915" s="171">
        <v>2</v>
      </c>
      <c r="H1915" s="172" t="s">
        <v>1738</v>
      </c>
      <c r="I1915" s="173" t="s">
        <v>1751</v>
      </c>
      <c r="J1915" s="242">
        <v>0.42</v>
      </c>
      <c r="K1915" s="213">
        <v>3.65</v>
      </c>
      <c r="L1915" s="38">
        <v>210</v>
      </c>
      <c r="M1915" s="171">
        <v>435</v>
      </c>
      <c r="N1915" s="171">
        <v>1106</v>
      </c>
      <c r="O1915" s="114"/>
      <c r="P1915" s="71" t="s">
        <v>3447</v>
      </c>
      <c r="Q1915" s="221" t="s">
        <v>522</v>
      </c>
      <c r="R1915" s="171" t="s">
        <v>3345</v>
      </c>
      <c r="S1915" s="171" t="s">
        <v>2315</v>
      </c>
      <c r="T1915" s="89"/>
      <c r="U1915" s="89" t="s">
        <v>3345</v>
      </c>
      <c r="V1915" s="102">
        <v>0</v>
      </c>
      <c r="W1915" s="120">
        <v>0</v>
      </c>
      <c r="X1915" s="120">
        <v>0</v>
      </c>
      <c r="Y1915" s="120">
        <v>0</v>
      </c>
      <c r="Z1915" s="120">
        <v>0</v>
      </c>
      <c r="AA1915" s="120">
        <v>0</v>
      </c>
      <c r="AB1915" s="113" t="s">
        <v>3455</v>
      </c>
      <c r="AC1915" s="17">
        <v>0</v>
      </c>
      <c r="AD1915" s="17">
        <v>0</v>
      </c>
      <c r="AE1915" s="17">
        <v>0</v>
      </c>
      <c r="AF1915" s="17">
        <v>0</v>
      </c>
      <c r="AG1915" s="17">
        <v>0</v>
      </c>
      <c r="AH1915" s="17">
        <v>0</v>
      </c>
      <c r="AI1915" s="17">
        <v>0</v>
      </c>
      <c r="AJ1915" s="17">
        <v>0</v>
      </c>
      <c r="AK1915" s="17">
        <v>0</v>
      </c>
      <c r="AL1915" s="32">
        <v>0</v>
      </c>
      <c r="AM1915" s="172">
        <v>63.5</v>
      </c>
      <c r="AN1915" s="171">
        <v>70</v>
      </c>
      <c r="AO1915" s="89"/>
      <c r="AP1915" s="783">
        <v>42.46</v>
      </c>
      <c r="AQ1915" s="17" t="s">
        <v>3403</v>
      </c>
      <c r="AR1915" s="174">
        <v>100</v>
      </c>
      <c r="AS1915" s="171" t="s">
        <v>246</v>
      </c>
      <c r="AT1915" s="171">
        <v>200</v>
      </c>
      <c r="AU1915" s="171">
        <v>25</v>
      </c>
      <c r="AV1915" s="57"/>
      <c r="AW1915" s="171">
        <v>28</v>
      </c>
      <c r="AX1915" s="89"/>
      <c r="AY1915" s="171">
        <v>23</v>
      </c>
      <c r="AZ1915" s="89"/>
      <c r="BA1915" s="175">
        <v>65</v>
      </c>
      <c r="BB1915" s="259"/>
      <c r="BC1915" s="176"/>
      <c r="BD1915" s="177"/>
      <c r="BE1915" s="177"/>
      <c r="BF1915" s="190" t="s">
        <v>3380</v>
      </c>
    </row>
    <row r="1916" spans="1:58">
      <c r="A1916" s="111">
        <v>1915</v>
      </c>
      <c r="B1916" s="211" t="s">
        <v>3012</v>
      </c>
      <c r="C1916" s="191" t="s">
        <v>3292</v>
      </c>
      <c r="D1916" s="171" t="s">
        <v>3290</v>
      </c>
      <c r="E1916" s="732" t="s">
        <v>3379</v>
      </c>
      <c r="F1916" s="171">
        <v>2000</v>
      </c>
      <c r="G1916" s="171">
        <v>2</v>
      </c>
      <c r="H1916" s="172" t="s">
        <v>1738</v>
      </c>
      <c r="I1916" s="173" t="s">
        <v>1751</v>
      </c>
      <c r="J1916" s="242">
        <v>0.62913907284768211</v>
      </c>
      <c r="K1916" s="213">
        <v>6.8576158940397347</v>
      </c>
      <c r="L1916" s="38">
        <v>190</v>
      </c>
      <c r="M1916" s="171">
        <v>262.74</v>
      </c>
      <c r="N1916" s="171">
        <v>1106</v>
      </c>
      <c r="O1916" s="114"/>
      <c r="P1916" s="71" t="s">
        <v>3447</v>
      </c>
      <c r="Q1916" s="221" t="s">
        <v>522</v>
      </c>
      <c r="R1916" s="171" t="s">
        <v>3345</v>
      </c>
      <c r="S1916" s="171" t="s">
        <v>2315</v>
      </c>
      <c r="T1916" s="89"/>
      <c r="U1916" s="89" t="s">
        <v>3345</v>
      </c>
      <c r="V1916" s="102">
        <v>0</v>
      </c>
      <c r="W1916" s="120">
        <v>0</v>
      </c>
      <c r="X1916" s="120">
        <v>0</v>
      </c>
      <c r="Y1916" s="120">
        <v>0</v>
      </c>
      <c r="Z1916" s="120">
        <v>0</v>
      </c>
      <c r="AA1916" s="120">
        <v>0</v>
      </c>
      <c r="AB1916" s="113" t="s">
        <v>3455</v>
      </c>
      <c r="AC1916" s="17">
        <v>0</v>
      </c>
      <c r="AD1916" s="17">
        <v>0</v>
      </c>
      <c r="AE1916" s="17">
        <v>0</v>
      </c>
      <c r="AF1916" s="17">
        <v>0</v>
      </c>
      <c r="AG1916" s="17">
        <v>0</v>
      </c>
      <c r="AH1916" s="17">
        <v>0</v>
      </c>
      <c r="AI1916" s="17">
        <v>0</v>
      </c>
      <c r="AJ1916" s="17">
        <v>0</v>
      </c>
      <c r="AK1916" s="17">
        <v>0</v>
      </c>
      <c r="AL1916" s="32">
        <v>0</v>
      </c>
      <c r="AM1916" s="172">
        <v>35.5</v>
      </c>
      <c r="AN1916" s="171">
        <v>65</v>
      </c>
      <c r="AO1916" s="89"/>
      <c r="AP1916" s="783">
        <v>35.56</v>
      </c>
      <c r="AQ1916" s="17" t="s">
        <v>3403</v>
      </c>
      <c r="AR1916" s="174">
        <v>100</v>
      </c>
      <c r="AS1916" s="171" t="s">
        <v>246</v>
      </c>
      <c r="AT1916" s="171">
        <v>200</v>
      </c>
      <c r="AU1916" s="171">
        <v>25</v>
      </c>
      <c r="AV1916" s="57"/>
      <c r="AW1916" s="171">
        <v>28</v>
      </c>
      <c r="AX1916" s="89"/>
      <c r="AY1916" s="171">
        <v>23</v>
      </c>
      <c r="AZ1916" s="89"/>
      <c r="BA1916" s="175">
        <v>65</v>
      </c>
      <c r="BB1916" s="259"/>
      <c r="BC1916" s="176"/>
      <c r="BD1916" s="177"/>
      <c r="BE1916" s="177"/>
      <c r="BF1916" s="190" t="s">
        <v>3380</v>
      </c>
    </row>
    <row r="1917" spans="1:58">
      <c r="A1917" s="111">
        <v>1916</v>
      </c>
      <c r="B1917" s="211" t="s">
        <v>3013</v>
      </c>
      <c r="C1917" s="191" t="s">
        <v>3292</v>
      </c>
      <c r="D1917" s="171" t="s">
        <v>3290</v>
      </c>
      <c r="E1917" s="732" t="s">
        <v>3379</v>
      </c>
      <c r="F1917" s="171">
        <v>2000</v>
      </c>
      <c r="G1917" s="171">
        <v>2</v>
      </c>
      <c r="H1917" s="172" t="s">
        <v>1738</v>
      </c>
      <c r="I1917" s="173" t="s">
        <v>1751</v>
      </c>
      <c r="J1917" s="242">
        <v>0.41977611940298509</v>
      </c>
      <c r="K1917" s="213">
        <v>3.3041044776119404</v>
      </c>
      <c r="L1917" s="38">
        <v>225</v>
      </c>
      <c r="M1917" s="171">
        <v>536</v>
      </c>
      <c r="N1917" s="171">
        <v>1106</v>
      </c>
      <c r="O1917" s="114"/>
      <c r="P1917" s="71" t="s">
        <v>3448</v>
      </c>
      <c r="Q1917" s="221" t="s">
        <v>1754</v>
      </c>
      <c r="R1917" s="171" t="s">
        <v>3345</v>
      </c>
      <c r="S1917" s="171" t="s">
        <v>2315</v>
      </c>
      <c r="T1917" s="89"/>
      <c r="U1917" s="89" t="s">
        <v>3345</v>
      </c>
      <c r="V1917" s="102">
        <v>0</v>
      </c>
      <c r="W1917" s="120">
        <v>0</v>
      </c>
      <c r="X1917" s="120">
        <v>0</v>
      </c>
      <c r="Y1917" s="120">
        <v>0</v>
      </c>
      <c r="Z1917" s="120">
        <v>0</v>
      </c>
      <c r="AA1917" s="17">
        <v>0</v>
      </c>
      <c r="AB1917" s="17">
        <v>0</v>
      </c>
      <c r="AC1917" s="17">
        <v>0</v>
      </c>
      <c r="AD1917" s="17">
        <v>0</v>
      </c>
      <c r="AE1917" s="17">
        <v>0</v>
      </c>
      <c r="AF1917" s="17">
        <v>0</v>
      </c>
      <c r="AG1917" s="17">
        <v>0</v>
      </c>
      <c r="AH1917" s="17">
        <v>0</v>
      </c>
      <c r="AI1917" s="17">
        <v>0</v>
      </c>
      <c r="AJ1917" s="17">
        <v>0</v>
      </c>
      <c r="AK1917" s="17">
        <v>0</v>
      </c>
      <c r="AL1917" s="32">
        <v>0</v>
      </c>
      <c r="AM1917" s="172">
        <v>72</v>
      </c>
      <c r="AN1917" s="171">
        <v>70</v>
      </c>
      <c r="AO1917" s="89"/>
      <c r="AP1917" s="783">
        <v>43.14</v>
      </c>
      <c r="AQ1917" s="17" t="s">
        <v>3403</v>
      </c>
      <c r="AR1917" s="174">
        <v>100</v>
      </c>
      <c r="AS1917" s="171" t="s">
        <v>246</v>
      </c>
      <c r="AT1917" s="171">
        <v>200</v>
      </c>
      <c r="AU1917" s="171">
        <v>25</v>
      </c>
      <c r="AV1917" s="57"/>
      <c r="AW1917" s="171">
        <v>30</v>
      </c>
      <c r="AX1917" s="89"/>
      <c r="AY1917" s="171">
        <v>23</v>
      </c>
      <c r="AZ1917" s="89"/>
      <c r="BA1917" s="175">
        <v>65</v>
      </c>
      <c r="BB1917" s="259"/>
      <c r="BC1917" s="176"/>
      <c r="BD1917" s="177"/>
      <c r="BE1917" s="177"/>
      <c r="BF1917" s="190" t="s">
        <v>3310</v>
      </c>
    </row>
    <row r="1918" spans="1:58">
      <c r="A1918" s="111">
        <v>1917</v>
      </c>
      <c r="B1918" s="211" t="s">
        <v>3014</v>
      </c>
      <c r="C1918" s="191" t="s">
        <v>3292</v>
      </c>
      <c r="D1918" s="171" t="s">
        <v>3290</v>
      </c>
      <c r="E1918" s="732" t="s">
        <v>3379</v>
      </c>
      <c r="F1918" s="171">
        <v>2000</v>
      </c>
      <c r="G1918" s="171">
        <v>2</v>
      </c>
      <c r="H1918" s="172" t="s">
        <v>1738</v>
      </c>
      <c r="I1918" s="173" t="s">
        <v>1751</v>
      </c>
      <c r="J1918" s="242">
        <v>0.58238636363636365</v>
      </c>
      <c r="K1918" s="213">
        <v>5.7357954545454541</v>
      </c>
      <c r="L1918" s="38">
        <v>205</v>
      </c>
      <c r="M1918" s="171">
        <v>352</v>
      </c>
      <c r="N1918" s="171">
        <v>1106</v>
      </c>
      <c r="O1918" s="114"/>
      <c r="P1918" s="71" t="s">
        <v>3448</v>
      </c>
      <c r="Q1918" s="221" t="s">
        <v>1754</v>
      </c>
      <c r="R1918" s="171" t="s">
        <v>3345</v>
      </c>
      <c r="S1918" s="171" t="s">
        <v>2315</v>
      </c>
      <c r="T1918" s="89"/>
      <c r="U1918" s="89" t="s">
        <v>3345</v>
      </c>
      <c r="V1918" s="102">
        <v>0</v>
      </c>
      <c r="W1918" s="120">
        <v>0</v>
      </c>
      <c r="X1918" s="120">
        <v>0</v>
      </c>
      <c r="Y1918" s="120">
        <v>0</v>
      </c>
      <c r="Z1918" s="120">
        <v>0</v>
      </c>
      <c r="AA1918" s="17">
        <v>0</v>
      </c>
      <c r="AB1918" s="17">
        <v>0</v>
      </c>
      <c r="AC1918" s="17">
        <v>0</v>
      </c>
      <c r="AD1918" s="17">
        <v>0</v>
      </c>
      <c r="AE1918" s="17">
        <v>0</v>
      </c>
      <c r="AF1918" s="17">
        <v>0</v>
      </c>
      <c r="AG1918" s="17">
        <v>0</v>
      </c>
      <c r="AH1918" s="17">
        <v>0</v>
      </c>
      <c r="AI1918" s="17">
        <v>0</v>
      </c>
      <c r="AJ1918" s="17">
        <v>0</v>
      </c>
      <c r="AK1918" s="17">
        <v>0</v>
      </c>
      <c r="AL1918" s="32">
        <v>0</v>
      </c>
      <c r="AM1918" s="172">
        <v>47</v>
      </c>
      <c r="AN1918" s="171">
        <v>100</v>
      </c>
      <c r="AO1918" s="89"/>
      <c r="AP1918" s="783">
        <v>38.94</v>
      </c>
      <c r="AQ1918" s="17" t="s">
        <v>3403</v>
      </c>
      <c r="AR1918" s="174">
        <v>100</v>
      </c>
      <c r="AS1918" s="171" t="s">
        <v>246</v>
      </c>
      <c r="AT1918" s="171">
        <v>200</v>
      </c>
      <c r="AU1918" s="171">
        <v>25</v>
      </c>
      <c r="AV1918" s="57"/>
      <c r="AW1918" s="171">
        <v>30</v>
      </c>
      <c r="AX1918" s="89"/>
      <c r="AY1918" s="171">
        <v>23</v>
      </c>
      <c r="AZ1918" s="89"/>
      <c r="BA1918" s="175">
        <v>65</v>
      </c>
      <c r="BB1918" s="259"/>
      <c r="BC1918" s="176"/>
      <c r="BD1918" s="177"/>
      <c r="BE1918" s="177"/>
      <c r="BF1918" s="190" t="s">
        <v>3310</v>
      </c>
    </row>
    <row r="1919" spans="1:58">
      <c r="A1919" s="111">
        <v>1918</v>
      </c>
      <c r="B1919" s="211" t="s">
        <v>3015</v>
      </c>
      <c r="C1919" s="191" t="s">
        <v>3292</v>
      </c>
      <c r="D1919" s="171" t="s">
        <v>3290</v>
      </c>
      <c r="E1919" s="732" t="s">
        <v>3379</v>
      </c>
      <c r="F1919" s="171">
        <v>2000</v>
      </c>
      <c r="G1919" s="171">
        <v>2</v>
      </c>
      <c r="H1919" s="172" t="s">
        <v>1738</v>
      </c>
      <c r="I1919" s="173" t="s">
        <v>1751</v>
      </c>
      <c r="J1919" s="242">
        <v>0.42008196721311475</v>
      </c>
      <c r="K1919" s="213">
        <v>3.7868852459016393</v>
      </c>
      <c r="L1919" s="38">
        <v>205</v>
      </c>
      <c r="M1919" s="171">
        <v>424.56</v>
      </c>
      <c r="N1919" s="171">
        <v>1106</v>
      </c>
      <c r="O1919" s="114"/>
      <c r="P1919" s="71" t="s">
        <v>3447</v>
      </c>
      <c r="Q1919" s="221" t="s">
        <v>522</v>
      </c>
      <c r="R1919" s="171" t="s">
        <v>3345</v>
      </c>
      <c r="S1919" s="171" t="s">
        <v>2315</v>
      </c>
      <c r="T1919" s="89"/>
      <c r="U1919" s="89" t="s">
        <v>3345</v>
      </c>
      <c r="V1919" s="102">
        <v>0</v>
      </c>
      <c r="W1919" s="121" t="s">
        <v>3455</v>
      </c>
      <c r="X1919" s="120">
        <v>0</v>
      </c>
      <c r="Y1919" s="120">
        <v>0</v>
      </c>
      <c r="Z1919" s="120">
        <v>0</v>
      </c>
      <c r="AA1919" s="17">
        <v>0</v>
      </c>
      <c r="AB1919" s="17">
        <v>0</v>
      </c>
      <c r="AC1919" s="17">
        <v>0</v>
      </c>
      <c r="AD1919" s="17">
        <v>0</v>
      </c>
      <c r="AE1919" s="17">
        <v>0</v>
      </c>
      <c r="AF1919" s="17">
        <v>0</v>
      </c>
      <c r="AG1919" s="17">
        <v>0</v>
      </c>
      <c r="AH1919" s="17">
        <v>0</v>
      </c>
      <c r="AI1919" s="17">
        <v>0</v>
      </c>
      <c r="AJ1919" s="17">
        <v>0</v>
      </c>
      <c r="AK1919" s="17">
        <v>0</v>
      </c>
      <c r="AL1919" s="32">
        <v>0</v>
      </c>
      <c r="AM1919" s="172">
        <v>72</v>
      </c>
      <c r="AN1919" s="171">
        <v>65</v>
      </c>
      <c r="AO1919" s="89"/>
      <c r="AP1919" s="783">
        <v>45.06</v>
      </c>
      <c r="AQ1919" s="17" t="s">
        <v>3403</v>
      </c>
      <c r="AR1919" s="174">
        <v>100</v>
      </c>
      <c r="AS1919" s="171" t="s">
        <v>246</v>
      </c>
      <c r="AT1919" s="171">
        <v>200</v>
      </c>
      <c r="AU1919" s="171">
        <v>25</v>
      </c>
      <c r="AV1919" s="57"/>
      <c r="AW1919" s="171">
        <v>29</v>
      </c>
      <c r="AX1919" s="89"/>
      <c r="AY1919" s="171">
        <v>23</v>
      </c>
      <c r="AZ1919" s="89"/>
      <c r="BA1919" s="175">
        <v>65</v>
      </c>
      <c r="BB1919" s="259"/>
      <c r="BC1919" s="176"/>
      <c r="BD1919" s="177"/>
      <c r="BE1919" s="177"/>
      <c r="BF1919" s="190" t="s">
        <v>3381</v>
      </c>
    </row>
    <row r="1920" spans="1:58">
      <c r="A1920" s="111">
        <v>1919</v>
      </c>
      <c r="B1920" s="211" t="s">
        <v>3016</v>
      </c>
      <c r="C1920" s="191" t="s">
        <v>3292</v>
      </c>
      <c r="D1920" s="171" t="s">
        <v>3290</v>
      </c>
      <c r="E1920" s="732" t="s">
        <v>3379</v>
      </c>
      <c r="F1920" s="171">
        <v>2000</v>
      </c>
      <c r="G1920" s="171">
        <v>2</v>
      </c>
      <c r="H1920" s="172" t="s">
        <v>1738</v>
      </c>
      <c r="I1920" s="173" t="s">
        <v>1751</v>
      </c>
      <c r="J1920" s="242">
        <v>0.62913907284768211</v>
      </c>
      <c r="K1920" s="213">
        <v>6.8509933774834435</v>
      </c>
      <c r="L1920" s="38">
        <v>190</v>
      </c>
      <c r="M1920" s="171">
        <v>262.74</v>
      </c>
      <c r="N1920" s="171">
        <v>1106</v>
      </c>
      <c r="O1920" s="114"/>
      <c r="P1920" s="71" t="s">
        <v>3447</v>
      </c>
      <c r="Q1920" s="221" t="s">
        <v>522</v>
      </c>
      <c r="R1920" s="171" t="s">
        <v>3345</v>
      </c>
      <c r="S1920" s="171" t="s">
        <v>2315</v>
      </c>
      <c r="T1920" s="89"/>
      <c r="U1920" s="89" t="s">
        <v>3345</v>
      </c>
      <c r="V1920" s="102">
        <v>0</v>
      </c>
      <c r="W1920" s="121" t="s">
        <v>3455</v>
      </c>
      <c r="X1920" s="120">
        <v>0</v>
      </c>
      <c r="Y1920" s="120">
        <v>0</v>
      </c>
      <c r="Z1920" s="120">
        <v>0</v>
      </c>
      <c r="AA1920" s="17">
        <v>0</v>
      </c>
      <c r="AB1920" s="17">
        <v>0</v>
      </c>
      <c r="AC1920" s="17">
        <v>0</v>
      </c>
      <c r="AD1920" s="17">
        <v>0</v>
      </c>
      <c r="AE1920" s="17">
        <v>0</v>
      </c>
      <c r="AF1920" s="17">
        <v>0</v>
      </c>
      <c r="AG1920" s="17">
        <v>0</v>
      </c>
      <c r="AH1920" s="17">
        <v>0</v>
      </c>
      <c r="AI1920" s="17">
        <v>0</v>
      </c>
      <c r="AJ1920" s="17">
        <v>0</v>
      </c>
      <c r="AK1920" s="17">
        <v>0</v>
      </c>
      <c r="AL1920" s="32">
        <v>0</v>
      </c>
      <c r="AM1920" s="172">
        <v>42.5</v>
      </c>
      <c r="AN1920" s="171">
        <v>65</v>
      </c>
      <c r="AO1920" s="89"/>
      <c r="AP1920" s="783">
        <v>39.82</v>
      </c>
      <c r="AQ1920" s="17" t="s">
        <v>3403</v>
      </c>
      <c r="AR1920" s="174">
        <v>100</v>
      </c>
      <c r="AS1920" s="171" t="s">
        <v>246</v>
      </c>
      <c r="AT1920" s="171">
        <v>200</v>
      </c>
      <c r="AU1920" s="171">
        <v>25</v>
      </c>
      <c r="AV1920" s="57"/>
      <c r="AW1920" s="171">
        <v>28</v>
      </c>
      <c r="AX1920" s="89"/>
      <c r="AY1920" s="171">
        <v>23</v>
      </c>
      <c r="AZ1920" s="89"/>
      <c r="BA1920" s="175">
        <v>65</v>
      </c>
      <c r="BB1920" s="259"/>
      <c r="BC1920" s="176"/>
      <c r="BD1920" s="177"/>
      <c r="BE1920" s="177"/>
      <c r="BF1920" s="190" t="s">
        <v>3381</v>
      </c>
    </row>
    <row r="1921" spans="1:58">
      <c r="A1921" s="111">
        <v>1920</v>
      </c>
      <c r="B1921" s="211" t="s">
        <v>3017</v>
      </c>
      <c r="C1921" s="191" t="s">
        <v>3292</v>
      </c>
      <c r="D1921" s="171" t="s">
        <v>3290</v>
      </c>
      <c r="E1921" s="732" t="s">
        <v>3379</v>
      </c>
      <c r="F1921" s="171">
        <v>2000</v>
      </c>
      <c r="G1921" s="171">
        <v>2</v>
      </c>
      <c r="H1921" s="172" t="s">
        <v>1738</v>
      </c>
      <c r="I1921" s="173" t="s">
        <v>1751</v>
      </c>
      <c r="J1921" s="242">
        <v>0.42025862068965519</v>
      </c>
      <c r="K1921" s="213">
        <v>4.0495689655172411</v>
      </c>
      <c r="L1921" s="38">
        <v>195</v>
      </c>
      <c r="M1921" s="171">
        <v>325</v>
      </c>
      <c r="N1921" s="171">
        <v>1106</v>
      </c>
      <c r="O1921" s="114"/>
      <c r="P1921" s="71" t="s">
        <v>3446</v>
      </c>
      <c r="Q1921" s="221" t="s">
        <v>1754</v>
      </c>
      <c r="R1921" s="171" t="s">
        <v>3345</v>
      </c>
      <c r="S1921" s="171" t="s">
        <v>2315</v>
      </c>
      <c r="T1921" s="89"/>
      <c r="U1921" s="89" t="s">
        <v>3345</v>
      </c>
      <c r="V1921" s="102">
        <v>0</v>
      </c>
      <c r="W1921" s="120">
        <v>30</v>
      </c>
      <c r="X1921" s="120">
        <v>0</v>
      </c>
      <c r="Y1921" s="120">
        <v>0</v>
      </c>
      <c r="Z1921" s="120">
        <v>0</v>
      </c>
      <c r="AA1921" s="17">
        <v>0</v>
      </c>
      <c r="AB1921" s="17">
        <v>0</v>
      </c>
      <c r="AC1921" s="17">
        <v>0</v>
      </c>
      <c r="AD1921" s="17">
        <v>0</v>
      </c>
      <c r="AE1921" s="17">
        <v>0</v>
      </c>
      <c r="AF1921" s="17">
        <v>0</v>
      </c>
      <c r="AG1921" s="17">
        <v>0</v>
      </c>
      <c r="AH1921" s="17">
        <v>0</v>
      </c>
      <c r="AI1921" s="17">
        <v>0</v>
      </c>
      <c r="AJ1921" s="17">
        <v>0</v>
      </c>
      <c r="AK1921" s="17">
        <v>0</v>
      </c>
      <c r="AL1921" s="32">
        <v>0</v>
      </c>
      <c r="AM1921" s="172">
        <v>55</v>
      </c>
      <c r="AN1921" s="171">
        <v>70</v>
      </c>
      <c r="AO1921" s="89"/>
      <c r="AP1921" s="783">
        <v>44.04</v>
      </c>
      <c r="AQ1921" s="17" t="s">
        <v>3403</v>
      </c>
      <c r="AR1921" s="174">
        <v>100</v>
      </c>
      <c r="AS1921" s="171" t="s">
        <v>246</v>
      </c>
      <c r="AT1921" s="171">
        <v>200</v>
      </c>
      <c r="AU1921" s="171">
        <v>25</v>
      </c>
      <c r="AV1921" s="57"/>
      <c r="AW1921" s="171">
        <v>30</v>
      </c>
      <c r="AX1921" s="89"/>
      <c r="AY1921" s="171">
        <v>23</v>
      </c>
      <c r="AZ1921" s="89"/>
      <c r="BA1921" s="175">
        <v>65</v>
      </c>
      <c r="BB1921" s="259"/>
      <c r="BC1921" s="176"/>
      <c r="BD1921" s="177"/>
      <c r="BE1921" s="177"/>
      <c r="BF1921" s="190" t="s">
        <v>3311</v>
      </c>
    </row>
    <row r="1922" spans="1:58">
      <c r="A1922" s="111">
        <v>1921</v>
      </c>
      <c r="B1922" s="211" t="s">
        <v>3018</v>
      </c>
      <c r="C1922" s="191" t="s">
        <v>3292</v>
      </c>
      <c r="D1922" s="171" t="s">
        <v>3290</v>
      </c>
      <c r="E1922" s="732" t="s">
        <v>3379</v>
      </c>
      <c r="F1922" s="171">
        <v>2000</v>
      </c>
      <c r="G1922" s="171">
        <v>2</v>
      </c>
      <c r="H1922" s="172" t="s">
        <v>1738</v>
      </c>
      <c r="I1922" s="173" t="s">
        <v>1751</v>
      </c>
      <c r="J1922" s="242">
        <v>0.62937062937062938</v>
      </c>
      <c r="K1922" s="213">
        <v>7.3426573426573425</v>
      </c>
      <c r="L1922" s="38">
        <v>180</v>
      </c>
      <c r="M1922" s="171">
        <v>200</v>
      </c>
      <c r="N1922" s="171">
        <v>1106</v>
      </c>
      <c r="O1922" s="114"/>
      <c r="P1922" s="71" t="s">
        <v>3446</v>
      </c>
      <c r="Q1922" s="221" t="s">
        <v>1754</v>
      </c>
      <c r="R1922" s="171" t="s">
        <v>3345</v>
      </c>
      <c r="S1922" s="171" t="s">
        <v>2315</v>
      </c>
      <c r="T1922" s="89"/>
      <c r="U1922" s="89" t="s">
        <v>3345</v>
      </c>
      <c r="V1922" s="102">
        <v>0</v>
      </c>
      <c r="W1922" s="120">
        <v>30</v>
      </c>
      <c r="X1922" s="120">
        <v>0</v>
      </c>
      <c r="Y1922" s="120">
        <v>0</v>
      </c>
      <c r="Z1922" s="120">
        <v>0</v>
      </c>
      <c r="AA1922" s="17">
        <v>0</v>
      </c>
      <c r="AB1922" s="17">
        <v>0</v>
      </c>
      <c r="AC1922" s="17">
        <v>0</v>
      </c>
      <c r="AD1922" s="17">
        <v>0</v>
      </c>
      <c r="AE1922" s="17">
        <v>0</v>
      </c>
      <c r="AF1922" s="17">
        <v>0</v>
      </c>
      <c r="AG1922" s="17">
        <v>0</v>
      </c>
      <c r="AH1922" s="17">
        <v>0</v>
      </c>
      <c r="AI1922" s="17">
        <v>0</v>
      </c>
      <c r="AJ1922" s="17">
        <v>0</v>
      </c>
      <c r="AK1922" s="17">
        <v>0</v>
      </c>
      <c r="AL1922" s="32">
        <v>0</v>
      </c>
      <c r="AM1922" s="172">
        <v>31</v>
      </c>
      <c r="AN1922" s="171">
        <v>65</v>
      </c>
      <c r="AO1922" s="89"/>
      <c r="AP1922" s="783">
        <v>33.130000000000003</v>
      </c>
      <c r="AQ1922" s="17" t="s">
        <v>3403</v>
      </c>
      <c r="AR1922" s="174">
        <v>100</v>
      </c>
      <c r="AS1922" s="171" t="s">
        <v>246</v>
      </c>
      <c r="AT1922" s="171">
        <v>200</v>
      </c>
      <c r="AU1922" s="171">
        <v>25</v>
      </c>
      <c r="AV1922" s="57"/>
      <c r="AW1922" s="171">
        <v>30</v>
      </c>
      <c r="AX1922" s="89"/>
      <c r="AY1922" s="171">
        <v>23</v>
      </c>
      <c r="AZ1922" s="89"/>
      <c r="BA1922" s="175">
        <v>65</v>
      </c>
      <c r="BB1922" s="259"/>
      <c r="BC1922" s="176"/>
      <c r="BD1922" s="177"/>
      <c r="BE1922" s="177"/>
      <c r="BF1922" s="190" t="s">
        <v>3311</v>
      </c>
    </row>
    <row r="1923" spans="1:58">
      <c r="A1923" s="111">
        <v>1922</v>
      </c>
      <c r="B1923" s="211" t="s">
        <v>3019</v>
      </c>
      <c r="C1923" s="191" t="s">
        <v>3292</v>
      </c>
      <c r="D1923" s="171" t="s">
        <v>3290</v>
      </c>
      <c r="E1923" s="732" t="s">
        <v>3379</v>
      </c>
      <c r="F1923" s="171">
        <v>2000</v>
      </c>
      <c r="G1923" s="171">
        <v>2</v>
      </c>
      <c r="H1923" s="172" t="s">
        <v>1738</v>
      </c>
      <c r="I1923" s="173" t="s">
        <v>1751</v>
      </c>
      <c r="J1923" s="242">
        <v>0.42008196721311475</v>
      </c>
      <c r="K1923" s="213">
        <v>3.8114754098360657</v>
      </c>
      <c r="L1923" s="38">
        <v>205</v>
      </c>
      <c r="M1923" s="171">
        <v>351.36</v>
      </c>
      <c r="N1923" s="171">
        <v>1106</v>
      </c>
      <c r="O1923" s="114"/>
      <c r="P1923" s="71" t="s">
        <v>3447</v>
      </c>
      <c r="Q1923" s="221" t="s">
        <v>522</v>
      </c>
      <c r="R1923" s="171" t="s">
        <v>3345</v>
      </c>
      <c r="S1923" s="171" t="s">
        <v>2315</v>
      </c>
      <c r="T1923" s="89"/>
      <c r="U1923" s="89" t="s">
        <v>3345</v>
      </c>
      <c r="V1923" s="102">
        <v>0</v>
      </c>
      <c r="W1923" s="120">
        <v>28</v>
      </c>
      <c r="X1923" s="120">
        <v>0</v>
      </c>
      <c r="Y1923" s="120">
        <v>0</v>
      </c>
      <c r="Z1923" s="120">
        <v>0</v>
      </c>
      <c r="AA1923" s="17">
        <v>0</v>
      </c>
      <c r="AB1923" s="17">
        <v>0</v>
      </c>
      <c r="AC1923" s="17">
        <v>0</v>
      </c>
      <c r="AD1923" s="17">
        <v>0</v>
      </c>
      <c r="AE1923" s="17">
        <v>0</v>
      </c>
      <c r="AF1923" s="17">
        <v>0</v>
      </c>
      <c r="AG1923" s="17">
        <v>0</v>
      </c>
      <c r="AH1923" s="17">
        <v>0</v>
      </c>
      <c r="AI1923" s="17">
        <v>0</v>
      </c>
      <c r="AJ1923" s="17">
        <v>0</v>
      </c>
      <c r="AK1923" s="17">
        <v>0</v>
      </c>
      <c r="AL1923" s="32">
        <v>0</v>
      </c>
      <c r="AM1923" s="172">
        <v>56.5</v>
      </c>
      <c r="AN1923" s="171">
        <v>75</v>
      </c>
      <c r="AO1923" s="89"/>
      <c r="AP1923" s="783">
        <v>38.99</v>
      </c>
      <c r="AQ1923" s="17" t="s">
        <v>3403</v>
      </c>
      <c r="AR1923" s="174">
        <v>100</v>
      </c>
      <c r="AS1923" s="171" t="s">
        <v>246</v>
      </c>
      <c r="AT1923" s="171">
        <v>200</v>
      </c>
      <c r="AU1923" s="171">
        <v>25</v>
      </c>
      <c r="AV1923" s="57"/>
      <c r="AW1923" s="171">
        <v>31</v>
      </c>
      <c r="AX1923" s="89"/>
      <c r="AY1923" s="171">
        <v>23</v>
      </c>
      <c r="AZ1923" s="89"/>
      <c r="BA1923" s="175">
        <v>65</v>
      </c>
      <c r="BB1923" s="259"/>
      <c r="BC1923" s="176"/>
      <c r="BD1923" s="177"/>
      <c r="BE1923" s="177"/>
      <c r="BF1923" s="190" t="s">
        <v>3382</v>
      </c>
    </row>
    <row r="1924" spans="1:58">
      <c r="A1924" s="111">
        <v>1923</v>
      </c>
      <c r="B1924" s="211" t="s">
        <v>3020</v>
      </c>
      <c r="C1924" s="191" t="s">
        <v>3292</v>
      </c>
      <c r="D1924" s="171" t="s">
        <v>3290</v>
      </c>
      <c r="E1924" s="732" t="s">
        <v>3379</v>
      </c>
      <c r="F1924" s="171">
        <v>2000</v>
      </c>
      <c r="G1924" s="171">
        <v>2</v>
      </c>
      <c r="H1924" s="172" t="s">
        <v>1738</v>
      </c>
      <c r="I1924" s="173" t="s">
        <v>1751</v>
      </c>
      <c r="J1924" s="242">
        <v>0.62925170068027214</v>
      </c>
      <c r="K1924" s="213">
        <v>7.1360544217687076</v>
      </c>
      <c r="L1924" s="38">
        <v>185</v>
      </c>
      <c r="M1924" s="171">
        <v>211.67999999999998</v>
      </c>
      <c r="N1924" s="171">
        <v>1106</v>
      </c>
      <c r="O1924" s="114"/>
      <c r="P1924" s="71" t="s">
        <v>3447</v>
      </c>
      <c r="Q1924" s="221" t="s">
        <v>522</v>
      </c>
      <c r="R1924" s="171" t="s">
        <v>3345</v>
      </c>
      <c r="S1924" s="171" t="s">
        <v>2315</v>
      </c>
      <c r="T1924" s="89"/>
      <c r="U1924" s="89" t="s">
        <v>3345</v>
      </c>
      <c r="V1924" s="102">
        <v>0</v>
      </c>
      <c r="W1924" s="120">
        <v>28</v>
      </c>
      <c r="X1924" s="120">
        <v>0</v>
      </c>
      <c r="Y1924" s="120">
        <v>0</v>
      </c>
      <c r="Z1924" s="120">
        <v>0</v>
      </c>
      <c r="AA1924" s="17">
        <v>0</v>
      </c>
      <c r="AB1924" s="17">
        <v>0</v>
      </c>
      <c r="AC1924" s="17">
        <v>0</v>
      </c>
      <c r="AD1924" s="17">
        <v>0</v>
      </c>
      <c r="AE1924" s="17">
        <v>0</v>
      </c>
      <c r="AF1924" s="17">
        <v>0</v>
      </c>
      <c r="AG1924" s="17">
        <v>0</v>
      </c>
      <c r="AH1924" s="17">
        <v>0</v>
      </c>
      <c r="AI1924" s="17">
        <v>0</v>
      </c>
      <c r="AJ1924" s="17">
        <v>0</v>
      </c>
      <c r="AK1924" s="17">
        <v>0</v>
      </c>
      <c r="AL1924" s="32">
        <v>0</v>
      </c>
      <c r="AM1924" s="172">
        <v>30</v>
      </c>
      <c r="AN1924" s="171">
        <v>80</v>
      </c>
      <c r="AO1924" s="89"/>
      <c r="AP1924" s="783">
        <v>38.840000000000003</v>
      </c>
      <c r="AQ1924" s="17" t="s">
        <v>3403</v>
      </c>
      <c r="AR1924" s="174">
        <v>100</v>
      </c>
      <c r="AS1924" s="171" t="s">
        <v>246</v>
      </c>
      <c r="AT1924" s="171">
        <v>200</v>
      </c>
      <c r="AU1924" s="171">
        <v>25</v>
      </c>
      <c r="AV1924" s="57"/>
      <c r="AW1924" s="171">
        <v>31</v>
      </c>
      <c r="AX1924" s="89"/>
      <c r="AY1924" s="171">
        <v>23</v>
      </c>
      <c r="AZ1924" s="89"/>
      <c r="BA1924" s="175">
        <v>65</v>
      </c>
      <c r="BB1924" s="259"/>
      <c r="BC1924" s="176"/>
      <c r="BD1924" s="177"/>
      <c r="BE1924" s="177"/>
      <c r="BF1924" s="190" t="s">
        <v>3382</v>
      </c>
    </row>
    <row r="1925" spans="1:58">
      <c r="A1925" s="111">
        <v>1924</v>
      </c>
      <c r="B1925" s="211" t="s">
        <v>3021</v>
      </c>
      <c r="C1925" s="191" t="s">
        <v>3292</v>
      </c>
      <c r="D1925" s="171" t="s">
        <v>3290</v>
      </c>
      <c r="E1925" s="732" t="s">
        <v>3379</v>
      </c>
      <c r="F1925" s="171">
        <v>2000</v>
      </c>
      <c r="G1925" s="171">
        <v>2</v>
      </c>
      <c r="H1925" s="172" t="s">
        <v>1738</v>
      </c>
      <c r="I1925" s="173" t="s">
        <v>1751</v>
      </c>
      <c r="J1925" s="242">
        <v>0.419921875</v>
      </c>
      <c r="K1925" s="213">
        <v>3.515625</v>
      </c>
      <c r="L1925" s="38">
        <v>215</v>
      </c>
      <c r="M1925" s="171">
        <v>256</v>
      </c>
      <c r="N1925" s="171">
        <v>1106</v>
      </c>
      <c r="O1925" s="114"/>
      <c r="P1925" s="71" t="s">
        <v>3446</v>
      </c>
      <c r="Q1925" s="221" t="s">
        <v>1754</v>
      </c>
      <c r="R1925" s="171" t="s">
        <v>3345</v>
      </c>
      <c r="S1925" s="171" t="s">
        <v>2315</v>
      </c>
      <c r="T1925" s="89"/>
      <c r="U1925" s="89" t="s">
        <v>3345</v>
      </c>
      <c r="V1925" s="102">
        <v>0</v>
      </c>
      <c r="W1925" s="120">
        <v>0</v>
      </c>
      <c r="X1925" s="120">
        <v>50</v>
      </c>
      <c r="Y1925" s="120">
        <v>0</v>
      </c>
      <c r="Z1925" s="120">
        <v>0</v>
      </c>
      <c r="AA1925" s="17">
        <v>0</v>
      </c>
      <c r="AB1925" s="17">
        <v>0</v>
      </c>
      <c r="AC1925" s="17">
        <v>0</v>
      </c>
      <c r="AD1925" s="17">
        <v>0</v>
      </c>
      <c r="AE1925" s="17">
        <v>0</v>
      </c>
      <c r="AF1925" s="17">
        <v>0</v>
      </c>
      <c r="AG1925" s="17">
        <v>0</v>
      </c>
      <c r="AH1925" s="17">
        <v>0</v>
      </c>
      <c r="AI1925" s="17">
        <v>0</v>
      </c>
      <c r="AJ1925" s="17">
        <v>0</v>
      </c>
      <c r="AK1925" s="17">
        <v>0</v>
      </c>
      <c r="AL1925" s="32">
        <v>0</v>
      </c>
      <c r="AM1925" s="172">
        <v>45.5</v>
      </c>
      <c r="AN1925" s="171">
        <v>70</v>
      </c>
      <c r="AO1925" s="89"/>
      <c r="AP1925" s="783">
        <v>34.5</v>
      </c>
      <c r="AQ1925" s="17" t="s">
        <v>3403</v>
      </c>
      <c r="AR1925" s="174">
        <v>100</v>
      </c>
      <c r="AS1925" s="171" t="s">
        <v>246</v>
      </c>
      <c r="AT1925" s="171">
        <v>200</v>
      </c>
      <c r="AU1925" s="171">
        <v>25</v>
      </c>
      <c r="AV1925" s="57"/>
      <c r="AW1925" s="171">
        <v>30</v>
      </c>
      <c r="AX1925" s="89"/>
      <c r="AY1925" s="171">
        <v>23</v>
      </c>
      <c r="AZ1925" s="89"/>
      <c r="BA1925" s="175">
        <v>65</v>
      </c>
      <c r="BB1925" s="259"/>
      <c r="BC1925" s="176"/>
      <c r="BD1925" s="177"/>
      <c r="BE1925" s="177"/>
      <c r="BF1925" s="190" t="s">
        <v>3312</v>
      </c>
    </row>
    <row r="1926" spans="1:58">
      <c r="A1926" s="111">
        <v>1925</v>
      </c>
      <c r="B1926" s="211" t="s">
        <v>3022</v>
      </c>
      <c r="C1926" s="191" t="s">
        <v>3292</v>
      </c>
      <c r="D1926" s="171" t="s">
        <v>3290</v>
      </c>
      <c r="E1926" s="732" t="s">
        <v>3379</v>
      </c>
      <c r="F1926" s="171">
        <v>2000</v>
      </c>
      <c r="G1926" s="171">
        <v>2</v>
      </c>
      <c r="H1926" s="172" t="s">
        <v>1738</v>
      </c>
      <c r="I1926" s="173" t="s">
        <v>1751</v>
      </c>
      <c r="J1926" s="242">
        <v>0.62893081761006286</v>
      </c>
      <c r="K1926" s="213">
        <v>6.3742138364779874</v>
      </c>
      <c r="L1926" s="38">
        <v>200</v>
      </c>
      <c r="M1926" s="171">
        <v>159</v>
      </c>
      <c r="N1926" s="171">
        <v>1106</v>
      </c>
      <c r="O1926" s="114"/>
      <c r="P1926" s="71" t="s">
        <v>3446</v>
      </c>
      <c r="Q1926" s="221" t="s">
        <v>1754</v>
      </c>
      <c r="R1926" s="171" t="s">
        <v>3345</v>
      </c>
      <c r="S1926" s="171" t="s">
        <v>2315</v>
      </c>
      <c r="T1926" s="89"/>
      <c r="U1926" s="89" t="s">
        <v>3345</v>
      </c>
      <c r="V1926" s="102">
        <v>0</v>
      </c>
      <c r="W1926" s="120">
        <v>0</v>
      </c>
      <c r="X1926" s="120">
        <v>50</v>
      </c>
      <c r="Y1926" s="120">
        <v>0</v>
      </c>
      <c r="Z1926" s="120">
        <v>0</v>
      </c>
      <c r="AA1926" s="17">
        <v>0</v>
      </c>
      <c r="AB1926" s="17">
        <v>0</v>
      </c>
      <c r="AC1926" s="17">
        <v>0</v>
      </c>
      <c r="AD1926" s="17">
        <v>0</v>
      </c>
      <c r="AE1926" s="17">
        <v>0</v>
      </c>
      <c r="AF1926" s="17">
        <v>0</v>
      </c>
      <c r="AG1926" s="17">
        <v>0</v>
      </c>
      <c r="AH1926" s="17">
        <v>0</v>
      </c>
      <c r="AI1926" s="17">
        <v>0</v>
      </c>
      <c r="AJ1926" s="17">
        <v>0</v>
      </c>
      <c r="AK1926" s="17">
        <v>0</v>
      </c>
      <c r="AL1926" s="32">
        <v>0</v>
      </c>
      <c r="AM1926" s="172">
        <v>25</v>
      </c>
      <c r="AN1926" s="171">
        <v>90</v>
      </c>
      <c r="AO1926" s="89"/>
      <c r="AP1926" s="783">
        <v>35.97</v>
      </c>
      <c r="AQ1926" s="17" t="s">
        <v>3403</v>
      </c>
      <c r="AR1926" s="174">
        <v>100</v>
      </c>
      <c r="AS1926" s="171" t="s">
        <v>246</v>
      </c>
      <c r="AT1926" s="171">
        <v>200</v>
      </c>
      <c r="AU1926" s="171">
        <v>25</v>
      </c>
      <c r="AV1926" s="57"/>
      <c r="AW1926" s="171">
        <v>30</v>
      </c>
      <c r="AX1926" s="89"/>
      <c r="AY1926" s="171">
        <v>23</v>
      </c>
      <c r="AZ1926" s="89"/>
      <c r="BA1926" s="175">
        <v>65</v>
      </c>
      <c r="BB1926" s="259"/>
      <c r="BC1926" s="176"/>
      <c r="BD1926" s="177"/>
      <c r="BE1926" s="177"/>
      <c r="BF1926" s="190" t="s">
        <v>3312</v>
      </c>
    </row>
    <row r="1927" spans="1:58">
      <c r="A1927" s="111">
        <v>1926</v>
      </c>
      <c r="B1927" s="211" t="s">
        <v>3023</v>
      </c>
      <c r="C1927" s="191" t="s">
        <v>3292</v>
      </c>
      <c r="D1927" s="171" t="s">
        <v>3290</v>
      </c>
      <c r="E1927" s="732" t="s">
        <v>3379</v>
      </c>
      <c r="F1927" s="171">
        <v>2000</v>
      </c>
      <c r="G1927" s="171">
        <v>2</v>
      </c>
      <c r="H1927" s="172" t="s">
        <v>1738</v>
      </c>
      <c r="I1927" s="173" t="s">
        <v>1751</v>
      </c>
      <c r="J1927" s="242">
        <v>0.42016806722689076</v>
      </c>
      <c r="K1927" s="213">
        <v>3.8928571428571428</v>
      </c>
      <c r="L1927" s="38">
        <v>200</v>
      </c>
      <c r="M1927" s="171">
        <v>333</v>
      </c>
      <c r="N1927" s="171">
        <v>1106</v>
      </c>
      <c r="O1927" s="114"/>
      <c r="P1927" s="71" t="s">
        <v>3446</v>
      </c>
      <c r="Q1927" s="221" t="s">
        <v>1754</v>
      </c>
      <c r="R1927" s="171" t="s">
        <v>3345</v>
      </c>
      <c r="S1927" s="171" t="s">
        <v>2315</v>
      </c>
      <c r="T1927" s="89"/>
      <c r="U1927" s="89" t="s">
        <v>3345</v>
      </c>
      <c r="V1927" s="102">
        <v>0</v>
      </c>
      <c r="W1927" s="120">
        <v>30</v>
      </c>
      <c r="X1927" s="120">
        <v>0</v>
      </c>
      <c r="Y1927" s="120">
        <v>0</v>
      </c>
      <c r="Z1927" s="120">
        <v>0</v>
      </c>
      <c r="AA1927" s="17">
        <v>0</v>
      </c>
      <c r="AB1927" s="17">
        <v>0</v>
      </c>
      <c r="AC1927" s="17">
        <v>0</v>
      </c>
      <c r="AD1927" s="17">
        <v>0</v>
      </c>
      <c r="AE1927" s="17">
        <v>0</v>
      </c>
      <c r="AF1927" s="17">
        <v>0</v>
      </c>
      <c r="AG1927" s="17">
        <v>0</v>
      </c>
      <c r="AH1927" s="17">
        <v>0</v>
      </c>
      <c r="AI1927" s="17">
        <v>0</v>
      </c>
      <c r="AJ1927" s="17">
        <v>0</v>
      </c>
      <c r="AK1927" s="17">
        <v>0</v>
      </c>
      <c r="AL1927" s="32">
        <v>0</v>
      </c>
      <c r="AM1927" s="172">
        <v>59.5</v>
      </c>
      <c r="AN1927" s="171">
        <v>75</v>
      </c>
      <c r="AO1927" s="89"/>
      <c r="AP1927" s="783">
        <v>40.200000000000003</v>
      </c>
      <c r="AQ1927" s="17" t="s">
        <v>3403</v>
      </c>
      <c r="AR1927" s="174">
        <v>100</v>
      </c>
      <c r="AS1927" s="171" t="s">
        <v>246</v>
      </c>
      <c r="AT1927" s="171">
        <v>200</v>
      </c>
      <c r="AU1927" s="171">
        <v>25</v>
      </c>
      <c r="AV1927" s="57"/>
      <c r="AW1927" s="171">
        <v>28</v>
      </c>
      <c r="AX1927" s="89"/>
      <c r="AY1927" s="171">
        <v>23</v>
      </c>
      <c r="AZ1927" s="89"/>
      <c r="BA1927" s="175">
        <v>65</v>
      </c>
      <c r="BB1927" s="259"/>
      <c r="BC1927" s="176"/>
      <c r="BD1927" s="177"/>
      <c r="BE1927" s="177"/>
      <c r="BF1927" s="190" t="s">
        <v>3313</v>
      </c>
    </row>
    <row r="1928" spans="1:58">
      <c r="A1928" s="111">
        <v>1927</v>
      </c>
      <c r="B1928" s="211" t="s">
        <v>3024</v>
      </c>
      <c r="C1928" s="191" t="s">
        <v>3292</v>
      </c>
      <c r="D1928" s="171" t="s">
        <v>3290</v>
      </c>
      <c r="E1928" s="732" t="s">
        <v>3379</v>
      </c>
      <c r="F1928" s="171">
        <v>2000</v>
      </c>
      <c r="G1928" s="171">
        <v>2</v>
      </c>
      <c r="H1928" s="172" t="s">
        <v>1738</v>
      </c>
      <c r="I1928" s="173" t="s">
        <v>1751</v>
      </c>
      <c r="J1928" s="242">
        <v>0.62937062937062938</v>
      </c>
      <c r="K1928" s="213">
        <v>7.3426573426573425</v>
      </c>
      <c r="L1928" s="38">
        <v>180</v>
      </c>
      <c r="M1928" s="171">
        <v>200</v>
      </c>
      <c r="N1928" s="171">
        <v>1106</v>
      </c>
      <c r="O1928" s="114"/>
      <c r="P1928" s="71" t="s">
        <v>3446</v>
      </c>
      <c r="Q1928" s="221" t="s">
        <v>1754</v>
      </c>
      <c r="R1928" s="171" t="s">
        <v>3345</v>
      </c>
      <c r="S1928" s="171" t="s">
        <v>2315</v>
      </c>
      <c r="T1928" s="89"/>
      <c r="U1928" s="89" t="s">
        <v>3345</v>
      </c>
      <c r="V1928" s="102">
        <v>0</v>
      </c>
      <c r="W1928" s="122">
        <v>30</v>
      </c>
      <c r="X1928" s="120">
        <v>0</v>
      </c>
      <c r="Y1928" s="120">
        <v>0</v>
      </c>
      <c r="Z1928" s="120">
        <v>0</v>
      </c>
      <c r="AA1928" s="17">
        <v>0</v>
      </c>
      <c r="AB1928" s="17">
        <v>0</v>
      </c>
      <c r="AC1928" s="17">
        <v>0</v>
      </c>
      <c r="AD1928" s="17">
        <v>0</v>
      </c>
      <c r="AE1928" s="17">
        <v>0</v>
      </c>
      <c r="AF1928" s="17">
        <v>0</v>
      </c>
      <c r="AG1928" s="17">
        <v>0</v>
      </c>
      <c r="AH1928" s="17">
        <v>0</v>
      </c>
      <c r="AI1928" s="17">
        <v>0</v>
      </c>
      <c r="AJ1928" s="17">
        <v>0</v>
      </c>
      <c r="AK1928" s="17">
        <v>0</v>
      </c>
      <c r="AL1928" s="32">
        <v>0</v>
      </c>
      <c r="AM1928" s="172">
        <v>23.5</v>
      </c>
      <c r="AN1928" s="171">
        <v>60</v>
      </c>
      <c r="AO1928" s="89"/>
      <c r="AP1928" s="783">
        <v>29.99</v>
      </c>
      <c r="AQ1928" s="17" t="s">
        <v>3403</v>
      </c>
      <c r="AR1928" s="174">
        <v>100</v>
      </c>
      <c r="AS1928" s="171" t="s">
        <v>246</v>
      </c>
      <c r="AT1928" s="171">
        <v>200</v>
      </c>
      <c r="AU1928" s="171">
        <v>25</v>
      </c>
      <c r="AV1928" s="57"/>
      <c r="AW1928" s="171">
        <v>28</v>
      </c>
      <c r="AX1928" s="89"/>
      <c r="AY1928" s="171">
        <v>23</v>
      </c>
      <c r="AZ1928" s="89"/>
      <c r="BA1928" s="175">
        <v>65</v>
      </c>
      <c r="BB1928" s="259"/>
      <c r="BC1928" s="176"/>
      <c r="BD1928" s="177"/>
      <c r="BE1928" s="177"/>
      <c r="BF1928" s="190" t="s">
        <v>3313</v>
      </c>
    </row>
    <row r="1929" spans="1:58">
      <c r="A1929" s="111">
        <v>1928</v>
      </c>
      <c r="B1929" s="211" t="s">
        <v>3025</v>
      </c>
      <c r="C1929" s="191" t="s">
        <v>3292</v>
      </c>
      <c r="D1929" s="171" t="s">
        <v>3290</v>
      </c>
      <c r="E1929" s="732" t="s">
        <v>3379</v>
      </c>
      <c r="F1929" s="171">
        <v>2000</v>
      </c>
      <c r="G1929" s="171">
        <v>2</v>
      </c>
      <c r="H1929" s="172" t="s">
        <v>1738</v>
      </c>
      <c r="I1929" s="173" t="s">
        <v>1751</v>
      </c>
      <c r="J1929" s="242">
        <v>0.42008196721311475</v>
      </c>
      <c r="K1929" s="213">
        <v>3.7438524590163933</v>
      </c>
      <c r="L1929" s="38">
        <v>205</v>
      </c>
      <c r="M1929" s="171">
        <v>342</v>
      </c>
      <c r="N1929" s="171">
        <v>1106</v>
      </c>
      <c r="O1929" s="114"/>
      <c r="P1929" s="71" t="s">
        <v>3446</v>
      </c>
      <c r="Q1929" s="221" t="s">
        <v>1754</v>
      </c>
      <c r="R1929" s="171" t="s">
        <v>3345</v>
      </c>
      <c r="S1929" s="171" t="s">
        <v>2315</v>
      </c>
      <c r="T1929" s="89"/>
      <c r="U1929" s="89" t="s">
        <v>3345</v>
      </c>
      <c r="V1929" s="102">
        <v>0</v>
      </c>
      <c r="W1929" s="122">
        <v>30</v>
      </c>
      <c r="X1929" s="120">
        <v>0</v>
      </c>
      <c r="Y1929" s="120">
        <v>0</v>
      </c>
      <c r="Z1929" s="120">
        <v>0</v>
      </c>
      <c r="AA1929" s="17">
        <v>0</v>
      </c>
      <c r="AB1929" s="17">
        <v>0</v>
      </c>
      <c r="AC1929" s="17">
        <v>0</v>
      </c>
      <c r="AD1929" s="17">
        <v>0</v>
      </c>
      <c r="AE1929" s="17">
        <v>0</v>
      </c>
      <c r="AF1929" s="17">
        <v>0</v>
      </c>
      <c r="AG1929" s="17">
        <v>0</v>
      </c>
      <c r="AH1929" s="17">
        <v>0</v>
      </c>
      <c r="AI1929" s="17">
        <v>0</v>
      </c>
      <c r="AJ1929" s="17">
        <v>0</v>
      </c>
      <c r="AK1929" s="17">
        <v>0</v>
      </c>
      <c r="AL1929" s="32">
        <v>0</v>
      </c>
      <c r="AM1929" s="172">
        <v>50</v>
      </c>
      <c r="AN1929" s="171">
        <v>70</v>
      </c>
      <c r="AO1929" s="89"/>
      <c r="AP1929" s="783">
        <v>39.409999999999997</v>
      </c>
      <c r="AQ1929" s="17" t="s">
        <v>3403</v>
      </c>
      <c r="AR1929" s="174">
        <v>100</v>
      </c>
      <c r="AS1929" s="171" t="s">
        <v>246</v>
      </c>
      <c r="AT1929" s="171">
        <v>200</v>
      </c>
      <c r="AU1929" s="171">
        <v>25</v>
      </c>
      <c r="AV1929" s="57"/>
      <c r="AW1929" s="171">
        <v>29</v>
      </c>
      <c r="AX1929" s="89"/>
      <c r="AY1929" s="171">
        <v>23</v>
      </c>
      <c r="AZ1929" s="89"/>
      <c r="BA1929" s="175">
        <v>65</v>
      </c>
      <c r="BB1929" s="259"/>
      <c r="BC1929" s="176"/>
      <c r="BD1929" s="177"/>
      <c r="BE1929" s="177"/>
      <c r="BF1929" s="190" t="s">
        <v>3314</v>
      </c>
    </row>
    <row r="1930" spans="1:58">
      <c r="A1930" s="111">
        <v>1929</v>
      </c>
      <c r="B1930" s="211" t="s">
        <v>3026</v>
      </c>
      <c r="C1930" s="191" t="s">
        <v>3292</v>
      </c>
      <c r="D1930" s="171" t="s">
        <v>3290</v>
      </c>
      <c r="E1930" s="732" t="s">
        <v>3379</v>
      </c>
      <c r="F1930" s="171">
        <v>2000</v>
      </c>
      <c r="G1930" s="171">
        <v>2</v>
      </c>
      <c r="H1930" s="172" t="s">
        <v>1738</v>
      </c>
      <c r="I1930" s="173" t="s">
        <v>1751</v>
      </c>
      <c r="J1930" s="242">
        <v>0.62925170068027214</v>
      </c>
      <c r="K1930" s="213">
        <v>7.0680272108843534</v>
      </c>
      <c r="L1930" s="38">
        <v>185</v>
      </c>
      <c r="M1930" s="171">
        <v>206</v>
      </c>
      <c r="N1930" s="171">
        <v>1106</v>
      </c>
      <c r="O1930" s="114"/>
      <c r="P1930" s="71" t="s">
        <v>3446</v>
      </c>
      <c r="Q1930" s="221" t="s">
        <v>1754</v>
      </c>
      <c r="R1930" s="171" t="s">
        <v>3345</v>
      </c>
      <c r="S1930" s="171" t="s">
        <v>2315</v>
      </c>
      <c r="T1930" s="89"/>
      <c r="U1930" s="89" t="s">
        <v>3345</v>
      </c>
      <c r="V1930" s="102">
        <v>0</v>
      </c>
      <c r="W1930" s="122">
        <v>30</v>
      </c>
      <c r="X1930" s="120">
        <v>0</v>
      </c>
      <c r="Y1930" s="120">
        <v>0</v>
      </c>
      <c r="Z1930" s="120">
        <v>0</v>
      </c>
      <c r="AA1930" s="17">
        <v>0</v>
      </c>
      <c r="AB1930" s="17">
        <v>0</v>
      </c>
      <c r="AC1930" s="17">
        <v>0</v>
      </c>
      <c r="AD1930" s="17">
        <v>0</v>
      </c>
      <c r="AE1930" s="17">
        <v>0</v>
      </c>
      <c r="AF1930" s="17">
        <v>0</v>
      </c>
      <c r="AG1930" s="17">
        <v>0</v>
      </c>
      <c r="AH1930" s="17">
        <v>0</v>
      </c>
      <c r="AI1930" s="17">
        <v>0</v>
      </c>
      <c r="AJ1930" s="17">
        <v>0</v>
      </c>
      <c r="AK1930" s="17">
        <v>0</v>
      </c>
      <c r="AL1930" s="32">
        <v>0</v>
      </c>
      <c r="AM1930" s="172">
        <v>26.5</v>
      </c>
      <c r="AN1930" s="171">
        <v>80</v>
      </c>
      <c r="AO1930" s="89"/>
      <c r="AP1930" s="783">
        <v>34.08</v>
      </c>
      <c r="AQ1930" s="17" t="s">
        <v>3403</v>
      </c>
      <c r="AR1930" s="174">
        <v>100</v>
      </c>
      <c r="AS1930" s="171" t="s">
        <v>246</v>
      </c>
      <c r="AT1930" s="171">
        <v>200</v>
      </c>
      <c r="AU1930" s="171">
        <v>25</v>
      </c>
      <c r="AV1930" s="57"/>
      <c r="AW1930" s="171">
        <v>29</v>
      </c>
      <c r="AX1930" s="89"/>
      <c r="AY1930" s="171">
        <v>23</v>
      </c>
      <c r="AZ1930" s="89"/>
      <c r="BA1930" s="175">
        <v>65</v>
      </c>
      <c r="BB1930" s="259"/>
      <c r="BC1930" s="176"/>
      <c r="BD1930" s="177"/>
      <c r="BE1930" s="177"/>
      <c r="BF1930" s="190" t="s">
        <v>3314</v>
      </c>
    </row>
    <row r="1931" spans="1:58">
      <c r="A1931" s="111">
        <v>1930</v>
      </c>
      <c r="B1931" s="211" t="s">
        <v>3027</v>
      </c>
      <c r="C1931" s="191" t="s">
        <v>3292</v>
      </c>
      <c r="D1931" s="171" t="s">
        <v>3290</v>
      </c>
      <c r="E1931" s="732" t="s">
        <v>3379</v>
      </c>
      <c r="F1931" s="171">
        <v>2000</v>
      </c>
      <c r="G1931" s="171">
        <v>2</v>
      </c>
      <c r="H1931" s="172" t="s">
        <v>1738</v>
      </c>
      <c r="I1931" s="173" t="s">
        <v>1751</v>
      </c>
      <c r="J1931" s="242">
        <v>0.419921875</v>
      </c>
      <c r="K1931" s="213">
        <v>3.515625</v>
      </c>
      <c r="L1931" s="38">
        <v>215</v>
      </c>
      <c r="M1931" s="171">
        <v>256</v>
      </c>
      <c r="N1931" s="171">
        <v>1106</v>
      </c>
      <c r="O1931" s="114"/>
      <c r="P1931" s="71" t="s">
        <v>3446</v>
      </c>
      <c r="Q1931" s="221" t="s">
        <v>1754</v>
      </c>
      <c r="R1931" s="171" t="s">
        <v>3345</v>
      </c>
      <c r="S1931" s="171" t="s">
        <v>2315</v>
      </c>
      <c r="T1931" s="89"/>
      <c r="U1931" s="89" t="s">
        <v>3345</v>
      </c>
      <c r="V1931" s="102">
        <v>0</v>
      </c>
      <c r="W1931" s="120">
        <v>0</v>
      </c>
      <c r="X1931" s="120">
        <v>50</v>
      </c>
      <c r="Y1931" s="120">
        <v>0</v>
      </c>
      <c r="Z1931" s="120">
        <v>0</v>
      </c>
      <c r="AA1931" s="17">
        <v>0</v>
      </c>
      <c r="AB1931" s="17">
        <v>0</v>
      </c>
      <c r="AC1931" s="17">
        <v>0</v>
      </c>
      <c r="AD1931" s="17">
        <v>0</v>
      </c>
      <c r="AE1931" s="17">
        <v>0</v>
      </c>
      <c r="AF1931" s="17">
        <v>0</v>
      </c>
      <c r="AG1931" s="17">
        <v>0</v>
      </c>
      <c r="AH1931" s="17">
        <v>0</v>
      </c>
      <c r="AI1931" s="17">
        <v>0</v>
      </c>
      <c r="AJ1931" s="17">
        <v>0</v>
      </c>
      <c r="AK1931" s="17">
        <v>0</v>
      </c>
      <c r="AL1931" s="32">
        <v>0</v>
      </c>
      <c r="AM1931" s="172">
        <v>46.5</v>
      </c>
      <c r="AN1931" s="171">
        <v>50</v>
      </c>
      <c r="AO1931" s="89"/>
      <c r="AP1931" s="783">
        <v>36.869999999999997</v>
      </c>
      <c r="AQ1931" s="17" t="s">
        <v>3403</v>
      </c>
      <c r="AR1931" s="174">
        <v>100</v>
      </c>
      <c r="AS1931" s="171" t="s">
        <v>246</v>
      </c>
      <c r="AT1931" s="171">
        <v>200</v>
      </c>
      <c r="AU1931" s="171">
        <v>25</v>
      </c>
      <c r="AV1931" s="57"/>
      <c r="AW1931" s="171">
        <v>30</v>
      </c>
      <c r="AX1931" s="89"/>
      <c r="AY1931" s="171">
        <v>23</v>
      </c>
      <c r="AZ1931" s="89"/>
      <c r="BA1931" s="175">
        <v>65</v>
      </c>
      <c r="BB1931" s="259"/>
      <c r="BC1931" s="176"/>
      <c r="BD1931" s="177"/>
      <c r="BE1931" s="177"/>
      <c r="BF1931" s="190" t="s">
        <v>3315</v>
      </c>
    </row>
    <row r="1932" spans="1:58">
      <c r="A1932" s="111">
        <v>1931</v>
      </c>
      <c r="B1932" s="211" t="s">
        <v>3028</v>
      </c>
      <c r="C1932" s="191" t="s">
        <v>3292</v>
      </c>
      <c r="D1932" s="171" t="s">
        <v>3290</v>
      </c>
      <c r="E1932" s="732" t="s">
        <v>3379</v>
      </c>
      <c r="F1932" s="171">
        <v>2000</v>
      </c>
      <c r="G1932" s="171">
        <v>2</v>
      </c>
      <c r="H1932" s="172" t="s">
        <v>1738</v>
      </c>
      <c r="I1932" s="173" t="s">
        <v>1751</v>
      </c>
      <c r="J1932" s="242">
        <v>0.62903225806451613</v>
      </c>
      <c r="K1932" s="213">
        <v>6.6096774193548384</v>
      </c>
      <c r="L1932" s="38">
        <v>195</v>
      </c>
      <c r="M1932" s="171">
        <v>155</v>
      </c>
      <c r="N1932" s="171">
        <v>1106</v>
      </c>
      <c r="O1932" s="114"/>
      <c r="P1932" s="71" t="s">
        <v>3446</v>
      </c>
      <c r="Q1932" s="221" t="s">
        <v>1754</v>
      </c>
      <c r="R1932" s="171" t="s">
        <v>3345</v>
      </c>
      <c r="S1932" s="171" t="s">
        <v>2315</v>
      </c>
      <c r="T1932" s="89"/>
      <c r="U1932" s="89" t="s">
        <v>3345</v>
      </c>
      <c r="V1932" s="102">
        <v>0</v>
      </c>
      <c r="W1932" s="120">
        <v>0</v>
      </c>
      <c r="X1932" s="120">
        <v>50</v>
      </c>
      <c r="Y1932" s="120">
        <v>0</v>
      </c>
      <c r="Z1932" s="120">
        <v>0</v>
      </c>
      <c r="AA1932" s="17">
        <v>0</v>
      </c>
      <c r="AB1932" s="17">
        <v>0</v>
      </c>
      <c r="AC1932" s="17">
        <v>0</v>
      </c>
      <c r="AD1932" s="17">
        <v>0</v>
      </c>
      <c r="AE1932" s="17">
        <v>0</v>
      </c>
      <c r="AF1932" s="17">
        <v>0</v>
      </c>
      <c r="AG1932" s="17">
        <v>0</v>
      </c>
      <c r="AH1932" s="17">
        <v>0</v>
      </c>
      <c r="AI1932" s="17">
        <v>0</v>
      </c>
      <c r="AJ1932" s="17">
        <v>0</v>
      </c>
      <c r="AK1932" s="17">
        <v>0</v>
      </c>
      <c r="AL1932" s="32">
        <v>0</v>
      </c>
      <c r="AM1932" s="172">
        <v>24.5</v>
      </c>
      <c r="AN1932" s="171">
        <v>65</v>
      </c>
      <c r="AO1932" s="89"/>
      <c r="AP1932" s="783">
        <v>34.33</v>
      </c>
      <c r="AQ1932" s="17" t="s">
        <v>3403</v>
      </c>
      <c r="AR1932" s="174">
        <v>100</v>
      </c>
      <c r="AS1932" s="171" t="s">
        <v>246</v>
      </c>
      <c r="AT1932" s="171">
        <v>200</v>
      </c>
      <c r="AU1932" s="171">
        <v>25</v>
      </c>
      <c r="AV1932" s="57"/>
      <c r="AW1932" s="171">
        <v>29</v>
      </c>
      <c r="AX1932" s="89"/>
      <c r="AY1932" s="171">
        <v>23</v>
      </c>
      <c r="AZ1932" s="89"/>
      <c r="BA1932" s="175">
        <v>65</v>
      </c>
      <c r="BB1932" s="259"/>
      <c r="BC1932" s="176"/>
      <c r="BD1932" s="177"/>
      <c r="BE1932" s="177"/>
      <c r="BF1932" s="190" t="s">
        <v>3315</v>
      </c>
    </row>
    <row r="1933" spans="1:58">
      <c r="A1933" s="111">
        <v>1932</v>
      </c>
      <c r="B1933" s="211" t="s">
        <v>3029</v>
      </c>
      <c r="C1933" s="191" t="s">
        <v>3292</v>
      </c>
      <c r="D1933" s="171" t="s">
        <v>3290</v>
      </c>
      <c r="E1933" s="732" t="s">
        <v>3379</v>
      </c>
      <c r="F1933" s="171">
        <v>2001</v>
      </c>
      <c r="G1933" s="171">
        <v>3</v>
      </c>
      <c r="H1933" s="172" t="s">
        <v>1738</v>
      </c>
      <c r="I1933" s="173" t="s">
        <v>1751</v>
      </c>
      <c r="J1933" s="242">
        <v>0.41977611940298509</v>
      </c>
      <c r="K1933" s="213">
        <v>3.3041044776119404</v>
      </c>
      <c r="L1933" s="38">
        <v>225</v>
      </c>
      <c r="M1933" s="171">
        <v>536</v>
      </c>
      <c r="N1933" s="171">
        <v>1106</v>
      </c>
      <c r="O1933" s="114"/>
      <c r="P1933" s="71" t="s">
        <v>3448</v>
      </c>
      <c r="Q1933" s="221" t="s">
        <v>1754</v>
      </c>
      <c r="R1933" s="171" t="s">
        <v>3345</v>
      </c>
      <c r="S1933" s="171" t="s">
        <v>2315</v>
      </c>
      <c r="T1933" s="89"/>
      <c r="U1933" s="89" t="s">
        <v>3345</v>
      </c>
      <c r="V1933" s="102">
        <v>0</v>
      </c>
      <c r="W1933" s="120">
        <v>0</v>
      </c>
      <c r="X1933" s="120">
        <v>0</v>
      </c>
      <c r="Y1933" s="120">
        <v>0</v>
      </c>
      <c r="Z1933" s="120">
        <v>0</v>
      </c>
      <c r="AA1933" s="17">
        <v>0</v>
      </c>
      <c r="AB1933" s="17">
        <v>0</v>
      </c>
      <c r="AC1933" s="17">
        <v>0</v>
      </c>
      <c r="AD1933" s="17">
        <v>0</v>
      </c>
      <c r="AE1933" s="17">
        <v>0</v>
      </c>
      <c r="AF1933" s="17">
        <v>0</v>
      </c>
      <c r="AG1933" s="17">
        <v>0</v>
      </c>
      <c r="AH1933" s="17">
        <v>0</v>
      </c>
      <c r="AI1933" s="17">
        <v>0</v>
      </c>
      <c r="AJ1933" s="17">
        <v>0</v>
      </c>
      <c r="AK1933" s="17">
        <v>0</v>
      </c>
      <c r="AL1933" s="32">
        <v>0</v>
      </c>
      <c r="AM1933" s="172">
        <v>71</v>
      </c>
      <c r="AN1933" s="171">
        <v>75</v>
      </c>
      <c r="AO1933" s="89"/>
      <c r="AP1933" s="783">
        <v>43</v>
      </c>
      <c r="AQ1933" s="17" t="s">
        <v>3403</v>
      </c>
      <c r="AR1933" s="174">
        <v>100</v>
      </c>
      <c r="AS1933" s="171" t="s">
        <v>246</v>
      </c>
      <c r="AT1933" s="171">
        <v>200</v>
      </c>
      <c r="AU1933" s="171">
        <v>25</v>
      </c>
      <c r="AV1933" s="57"/>
      <c r="AW1933" s="171">
        <v>34</v>
      </c>
      <c r="AX1933" s="89"/>
      <c r="AY1933" s="171">
        <v>21</v>
      </c>
      <c r="AZ1933" s="89"/>
      <c r="BA1933" s="175">
        <v>65</v>
      </c>
      <c r="BB1933" s="259"/>
      <c r="BC1933" s="176"/>
      <c r="BD1933" s="177"/>
      <c r="BE1933" s="177"/>
      <c r="BF1933" s="190" t="s">
        <v>3316</v>
      </c>
    </row>
    <row r="1934" spans="1:58">
      <c r="A1934" s="111">
        <v>1933</v>
      </c>
      <c r="B1934" s="211" t="s">
        <v>3030</v>
      </c>
      <c r="C1934" s="191" t="s">
        <v>3292</v>
      </c>
      <c r="D1934" s="171" t="s">
        <v>3290</v>
      </c>
      <c r="E1934" s="732" t="s">
        <v>3379</v>
      </c>
      <c r="F1934" s="171">
        <v>2001</v>
      </c>
      <c r="G1934" s="171">
        <v>3</v>
      </c>
      <c r="H1934" s="172" t="s">
        <v>1738</v>
      </c>
      <c r="I1934" s="173" t="s">
        <v>1751</v>
      </c>
      <c r="J1934" s="242">
        <v>0.63091482649842268</v>
      </c>
      <c r="K1934" s="213">
        <v>6.4353312302839116</v>
      </c>
      <c r="L1934" s="38">
        <v>200</v>
      </c>
      <c r="M1934" s="171">
        <v>317</v>
      </c>
      <c r="N1934" s="171">
        <v>1106</v>
      </c>
      <c r="O1934" s="114"/>
      <c r="P1934" s="71" t="s">
        <v>3448</v>
      </c>
      <c r="Q1934" s="221" t="s">
        <v>1754</v>
      </c>
      <c r="R1934" s="171" t="s">
        <v>3345</v>
      </c>
      <c r="S1934" s="171" t="s">
        <v>2315</v>
      </c>
      <c r="T1934" s="89"/>
      <c r="U1934" s="89" t="s">
        <v>3345</v>
      </c>
      <c r="V1934" s="102">
        <v>0</v>
      </c>
      <c r="W1934" s="120">
        <v>0</v>
      </c>
      <c r="X1934" s="120">
        <v>0</v>
      </c>
      <c r="Y1934" s="120">
        <v>0</v>
      </c>
      <c r="Z1934" s="120">
        <v>0</v>
      </c>
      <c r="AA1934" s="17">
        <v>0</v>
      </c>
      <c r="AB1934" s="17">
        <v>0</v>
      </c>
      <c r="AC1934" s="17">
        <v>0</v>
      </c>
      <c r="AD1934" s="17">
        <v>0</v>
      </c>
      <c r="AE1934" s="17">
        <v>0</v>
      </c>
      <c r="AF1934" s="17">
        <v>0</v>
      </c>
      <c r="AG1934" s="17">
        <v>0</v>
      </c>
      <c r="AH1934" s="17">
        <v>0</v>
      </c>
      <c r="AI1934" s="17">
        <v>0</v>
      </c>
      <c r="AJ1934" s="17">
        <v>0</v>
      </c>
      <c r="AK1934" s="17">
        <v>0</v>
      </c>
      <c r="AL1934" s="32">
        <v>0</v>
      </c>
      <c r="AM1934" s="172">
        <v>46</v>
      </c>
      <c r="AN1934" s="171">
        <v>70</v>
      </c>
      <c r="AO1934" s="89"/>
      <c r="AP1934" s="783">
        <v>39</v>
      </c>
      <c r="AQ1934" s="17" t="s">
        <v>3403</v>
      </c>
      <c r="AR1934" s="174">
        <v>100</v>
      </c>
      <c r="AS1934" s="171" t="s">
        <v>246</v>
      </c>
      <c r="AT1934" s="171">
        <v>200</v>
      </c>
      <c r="AU1934" s="171">
        <v>25</v>
      </c>
      <c r="AV1934" s="57"/>
      <c r="AW1934" s="171">
        <v>34</v>
      </c>
      <c r="AX1934" s="89"/>
      <c r="AY1934" s="171">
        <v>21</v>
      </c>
      <c r="AZ1934" s="89"/>
      <c r="BA1934" s="175">
        <v>65</v>
      </c>
      <c r="BB1934" s="259"/>
      <c r="BC1934" s="176"/>
      <c r="BD1934" s="177"/>
      <c r="BE1934" s="177"/>
      <c r="BF1934" s="190" t="s">
        <v>3316</v>
      </c>
    </row>
    <row r="1935" spans="1:58">
      <c r="A1935" s="111">
        <v>1934</v>
      </c>
      <c r="B1935" s="211" t="s">
        <v>3031</v>
      </c>
      <c r="C1935" s="191" t="s">
        <v>3292</v>
      </c>
      <c r="D1935" s="171" t="s">
        <v>3290</v>
      </c>
      <c r="E1935" s="732" t="s">
        <v>3379</v>
      </c>
      <c r="F1935" s="171">
        <v>2001</v>
      </c>
      <c r="G1935" s="171">
        <v>3</v>
      </c>
      <c r="H1935" s="172" t="s">
        <v>1738</v>
      </c>
      <c r="I1935" s="173" t="s">
        <v>1751</v>
      </c>
      <c r="J1935" s="242">
        <v>0.41984732824427479</v>
      </c>
      <c r="K1935" s="213">
        <v>3.3797709923664123</v>
      </c>
      <c r="L1935" s="38">
        <v>220</v>
      </c>
      <c r="M1935" s="171">
        <v>524</v>
      </c>
      <c r="N1935" s="171">
        <v>1106</v>
      </c>
      <c r="O1935" s="114"/>
      <c r="P1935" s="71" t="s">
        <v>3450</v>
      </c>
      <c r="Q1935" s="221" t="s">
        <v>1754</v>
      </c>
      <c r="R1935" s="171" t="s">
        <v>3345</v>
      </c>
      <c r="S1935" s="171" t="s">
        <v>2315</v>
      </c>
      <c r="T1935" s="89"/>
      <c r="U1935" s="89" t="s">
        <v>3345</v>
      </c>
      <c r="V1935" s="102">
        <v>0</v>
      </c>
      <c r="W1935" s="120">
        <v>0</v>
      </c>
      <c r="X1935" s="120">
        <v>0</v>
      </c>
      <c r="Y1935" s="120">
        <v>0</v>
      </c>
      <c r="Z1935" s="120">
        <v>0</v>
      </c>
      <c r="AA1935" s="17">
        <v>0</v>
      </c>
      <c r="AB1935" s="17">
        <v>0</v>
      </c>
      <c r="AC1935" s="17">
        <v>0</v>
      </c>
      <c r="AD1935" s="17">
        <v>0</v>
      </c>
      <c r="AE1935" s="17">
        <v>0</v>
      </c>
      <c r="AF1935" s="17">
        <v>0</v>
      </c>
      <c r="AG1935" s="17">
        <v>0</v>
      </c>
      <c r="AH1935" s="17">
        <v>0</v>
      </c>
      <c r="AI1935" s="17">
        <v>0</v>
      </c>
      <c r="AJ1935" s="17">
        <v>0</v>
      </c>
      <c r="AK1935" s="17">
        <v>0</v>
      </c>
      <c r="AL1935" s="32">
        <v>0</v>
      </c>
      <c r="AM1935" s="172">
        <v>69.5</v>
      </c>
      <c r="AN1935" s="171">
        <v>65</v>
      </c>
      <c r="AO1935" s="89"/>
      <c r="AP1935" s="783">
        <v>46</v>
      </c>
      <c r="AQ1935" s="17" t="s">
        <v>3403</v>
      </c>
      <c r="AR1935" s="174">
        <v>100</v>
      </c>
      <c r="AS1935" s="171" t="s">
        <v>246</v>
      </c>
      <c r="AT1935" s="171">
        <v>200</v>
      </c>
      <c r="AU1935" s="171">
        <v>25</v>
      </c>
      <c r="AV1935" s="57"/>
      <c r="AW1935" s="171">
        <v>33</v>
      </c>
      <c r="AX1935" s="89"/>
      <c r="AY1935" s="171">
        <v>21</v>
      </c>
      <c r="AZ1935" s="89"/>
      <c r="BA1935" s="175">
        <v>65</v>
      </c>
      <c r="BB1935" s="259"/>
      <c r="BC1935" s="176"/>
      <c r="BD1935" s="177"/>
      <c r="BE1935" s="177"/>
      <c r="BF1935" s="190" t="s">
        <v>3317</v>
      </c>
    </row>
    <row r="1936" spans="1:58">
      <c r="A1936" s="111">
        <v>1935</v>
      </c>
      <c r="B1936" s="211" t="s">
        <v>3032</v>
      </c>
      <c r="C1936" s="191" t="s">
        <v>3292</v>
      </c>
      <c r="D1936" s="171" t="s">
        <v>3290</v>
      </c>
      <c r="E1936" s="732" t="s">
        <v>3379</v>
      </c>
      <c r="F1936" s="171">
        <v>2001</v>
      </c>
      <c r="G1936" s="171">
        <v>3</v>
      </c>
      <c r="H1936" s="172" t="s">
        <v>1738</v>
      </c>
      <c r="I1936" s="173" t="s">
        <v>1751</v>
      </c>
      <c r="J1936" s="242">
        <v>0.63091482649842268</v>
      </c>
      <c r="K1936" s="213">
        <v>6.4353312302839116</v>
      </c>
      <c r="L1936" s="38">
        <v>200</v>
      </c>
      <c r="M1936" s="171">
        <v>317</v>
      </c>
      <c r="N1936" s="171">
        <v>1106</v>
      </c>
      <c r="O1936" s="114"/>
      <c r="P1936" s="71" t="s">
        <v>3450</v>
      </c>
      <c r="Q1936" s="221" t="s">
        <v>1754</v>
      </c>
      <c r="R1936" s="171" t="s">
        <v>3345</v>
      </c>
      <c r="S1936" s="171" t="s">
        <v>2315</v>
      </c>
      <c r="T1936" s="89"/>
      <c r="U1936" s="89" t="s">
        <v>3345</v>
      </c>
      <c r="V1936" s="102">
        <v>0</v>
      </c>
      <c r="W1936" s="120">
        <v>0</v>
      </c>
      <c r="X1936" s="120">
        <v>0</v>
      </c>
      <c r="Y1936" s="120">
        <v>0</v>
      </c>
      <c r="Z1936" s="120">
        <v>0</v>
      </c>
      <c r="AA1936" s="17">
        <v>0</v>
      </c>
      <c r="AB1936" s="17">
        <v>0</v>
      </c>
      <c r="AC1936" s="17">
        <v>0</v>
      </c>
      <c r="AD1936" s="17">
        <v>0</v>
      </c>
      <c r="AE1936" s="17">
        <v>0</v>
      </c>
      <c r="AF1936" s="17">
        <v>0</v>
      </c>
      <c r="AG1936" s="17">
        <v>0</v>
      </c>
      <c r="AH1936" s="17">
        <v>0</v>
      </c>
      <c r="AI1936" s="17">
        <v>0</v>
      </c>
      <c r="AJ1936" s="17">
        <v>0</v>
      </c>
      <c r="AK1936" s="17">
        <v>0</v>
      </c>
      <c r="AL1936" s="32">
        <v>0</v>
      </c>
      <c r="AM1936" s="172">
        <v>42</v>
      </c>
      <c r="AN1936" s="171">
        <v>75</v>
      </c>
      <c r="AO1936" s="89"/>
      <c r="AP1936" s="783">
        <v>38</v>
      </c>
      <c r="AQ1936" s="17" t="s">
        <v>3403</v>
      </c>
      <c r="AR1936" s="174">
        <v>100</v>
      </c>
      <c r="AS1936" s="171" t="s">
        <v>246</v>
      </c>
      <c r="AT1936" s="171">
        <v>200</v>
      </c>
      <c r="AU1936" s="171">
        <v>25</v>
      </c>
      <c r="AV1936" s="57"/>
      <c r="AW1936" s="171">
        <v>33</v>
      </c>
      <c r="AX1936" s="89"/>
      <c r="AY1936" s="171">
        <v>21</v>
      </c>
      <c r="AZ1936" s="89"/>
      <c r="BA1936" s="175">
        <v>65</v>
      </c>
      <c r="BB1936" s="259"/>
      <c r="BC1936" s="176"/>
      <c r="BD1936" s="177"/>
      <c r="BE1936" s="177"/>
      <c r="BF1936" s="190" t="s">
        <v>3317</v>
      </c>
    </row>
    <row r="1937" spans="1:58">
      <c r="A1937" s="111">
        <v>1936</v>
      </c>
      <c r="B1937" s="211" t="s">
        <v>3033</v>
      </c>
      <c r="C1937" s="191" t="s">
        <v>3292</v>
      </c>
      <c r="D1937" s="171" t="s">
        <v>3290</v>
      </c>
      <c r="E1937" s="732" t="s">
        <v>3379</v>
      </c>
      <c r="F1937" s="171">
        <v>2001</v>
      </c>
      <c r="G1937" s="171">
        <v>3</v>
      </c>
      <c r="H1937" s="172" t="s">
        <v>1738</v>
      </c>
      <c r="I1937" s="173" t="s">
        <v>1751</v>
      </c>
      <c r="J1937" s="242">
        <v>0.419921875</v>
      </c>
      <c r="K1937" s="213">
        <v>3.515625</v>
      </c>
      <c r="L1937" s="38">
        <v>215</v>
      </c>
      <c r="M1937" s="171">
        <v>445.44</v>
      </c>
      <c r="N1937" s="171">
        <v>1106</v>
      </c>
      <c r="O1937" s="114"/>
      <c r="P1937" s="71" t="s">
        <v>3447</v>
      </c>
      <c r="Q1937" s="221" t="s">
        <v>522</v>
      </c>
      <c r="R1937" s="171" t="s">
        <v>3345</v>
      </c>
      <c r="S1937" s="171" t="s">
        <v>2315</v>
      </c>
      <c r="T1937" s="89"/>
      <c r="U1937" s="89" t="s">
        <v>3345</v>
      </c>
      <c r="V1937" s="102">
        <v>0</v>
      </c>
      <c r="W1937" s="121" t="s">
        <v>3455</v>
      </c>
      <c r="X1937" s="120">
        <v>0</v>
      </c>
      <c r="Y1937" s="120">
        <v>0</v>
      </c>
      <c r="Z1937" s="120">
        <v>0</v>
      </c>
      <c r="AA1937" s="17">
        <v>0</v>
      </c>
      <c r="AB1937" s="17">
        <v>0</v>
      </c>
      <c r="AC1937" s="17">
        <v>0</v>
      </c>
      <c r="AD1937" s="17">
        <v>0</v>
      </c>
      <c r="AE1937" s="17">
        <v>0</v>
      </c>
      <c r="AF1937" s="17">
        <v>0</v>
      </c>
      <c r="AG1937" s="17">
        <v>0</v>
      </c>
      <c r="AH1937" s="17">
        <v>0</v>
      </c>
      <c r="AI1937" s="17">
        <v>0</v>
      </c>
      <c r="AJ1937" s="17">
        <v>0</v>
      </c>
      <c r="AK1937" s="17">
        <v>0</v>
      </c>
      <c r="AL1937" s="32">
        <v>0</v>
      </c>
      <c r="AM1937" s="172">
        <v>57</v>
      </c>
      <c r="AN1937" s="171">
        <v>70</v>
      </c>
      <c r="AO1937" s="89"/>
      <c r="AP1937" s="783">
        <v>38</v>
      </c>
      <c r="AQ1937" s="17" t="s">
        <v>3403</v>
      </c>
      <c r="AR1937" s="174">
        <v>100</v>
      </c>
      <c r="AS1937" s="171" t="s">
        <v>246</v>
      </c>
      <c r="AT1937" s="171">
        <v>200</v>
      </c>
      <c r="AU1937" s="171">
        <v>25</v>
      </c>
      <c r="AV1937" s="57"/>
      <c r="AW1937" s="171">
        <v>30</v>
      </c>
      <c r="AX1937" s="89"/>
      <c r="AY1937" s="171">
        <v>22</v>
      </c>
      <c r="AZ1937" s="89"/>
      <c r="BA1937" s="175">
        <v>66</v>
      </c>
      <c r="BB1937" s="259"/>
      <c r="BC1937" s="176"/>
      <c r="BD1937" s="177"/>
      <c r="BE1937" s="177"/>
      <c r="BF1937" s="190" t="s">
        <v>3383</v>
      </c>
    </row>
    <row r="1938" spans="1:58">
      <c r="A1938" s="111">
        <v>1937</v>
      </c>
      <c r="B1938" s="211" t="s">
        <v>3034</v>
      </c>
      <c r="C1938" s="191" t="s">
        <v>3292</v>
      </c>
      <c r="D1938" s="171" t="s">
        <v>3290</v>
      </c>
      <c r="E1938" s="732" t="s">
        <v>3379</v>
      </c>
      <c r="F1938" s="171">
        <v>2001</v>
      </c>
      <c r="G1938" s="171">
        <v>3</v>
      </c>
      <c r="H1938" s="172" t="s">
        <v>1738</v>
      </c>
      <c r="I1938" s="173" t="s">
        <v>1751</v>
      </c>
      <c r="J1938" s="242">
        <v>0.62903225806451613</v>
      </c>
      <c r="K1938" s="213">
        <v>6.6096774193548384</v>
      </c>
      <c r="L1938" s="38">
        <v>195</v>
      </c>
      <c r="M1938" s="171">
        <v>269.7</v>
      </c>
      <c r="N1938" s="171">
        <v>1106</v>
      </c>
      <c r="O1938" s="114"/>
      <c r="P1938" s="71" t="s">
        <v>3447</v>
      </c>
      <c r="Q1938" s="221" t="s">
        <v>522</v>
      </c>
      <c r="R1938" s="171" t="s">
        <v>3345</v>
      </c>
      <c r="S1938" s="171" t="s">
        <v>2315</v>
      </c>
      <c r="T1938" s="89"/>
      <c r="U1938" s="89" t="s">
        <v>3345</v>
      </c>
      <c r="V1938" s="102">
        <v>0</v>
      </c>
      <c r="W1938" s="121" t="s">
        <v>3455</v>
      </c>
      <c r="X1938" s="120">
        <v>0</v>
      </c>
      <c r="Y1938" s="120">
        <v>0</v>
      </c>
      <c r="Z1938" s="120">
        <v>0</v>
      </c>
      <c r="AA1938" s="17">
        <v>0</v>
      </c>
      <c r="AB1938" s="17">
        <v>0</v>
      </c>
      <c r="AC1938" s="17">
        <v>0</v>
      </c>
      <c r="AD1938" s="17">
        <v>0</v>
      </c>
      <c r="AE1938" s="17">
        <v>0</v>
      </c>
      <c r="AF1938" s="17">
        <v>0</v>
      </c>
      <c r="AG1938" s="17">
        <v>0</v>
      </c>
      <c r="AH1938" s="17">
        <v>0</v>
      </c>
      <c r="AI1938" s="17">
        <v>0</v>
      </c>
      <c r="AJ1938" s="17">
        <v>0</v>
      </c>
      <c r="AK1938" s="17">
        <v>0</v>
      </c>
      <c r="AL1938" s="32">
        <v>0</v>
      </c>
      <c r="AM1938" s="172">
        <v>30</v>
      </c>
      <c r="AN1938" s="171">
        <v>60</v>
      </c>
      <c r="AO1938" s="89"/>
      <c r="AP1938" s="783">
        <v>33</v>
      </c>
      <c r="AQ1938" s="17" t="s">
        <v>3403</v>
      </c>
      <c r="AR1938" s="174">
        <v>100</v>
      </c>
      <c r="AS1938" s="171" t="s">
        <v>246</v>
      </c>
      <c r="AT1938" s="171">
        <v>200</v>
      </c>
      <c r="AU1938" s="171">
        <v>25</v>
      </c>
      <c r="AV1938" s="57"/>
      <c r="AW1938" s="171">
        <v>30</v>
      </c>
      <c r="AX1938" s="89"/>
      <c r="AY1938" s="171">
        <v>21</v>
      </c>
      <c r="AZ1938" s="89"/>
      <c r="BA1938" s="175">
        <v>66</v>
      </c>
      <c r="BB1938" s="259"/>
      <c r="BC1938" s="176"/>
      <c r="BD1938" s="177"/>
      <c r="BE1938" s="177"/>
      <c r="BF1938" s="190" t="s">
        <v>3383</v>
      </c>
    </row>
    <row r="1939" spans="1:58">
      <c r="A1939" s="111">
        <v>1938</v>
      </c>
      <c r="B1939" s="211" t="s">
        <v>3035</v>
      </c>
      <c r="C1939" s="191" t="s">
        <v>3292</v>
      </c>
      <c r="D1939" s="171" t="s">
        <v>3290</v>
      </c>
      <c r="E1939" s="732" t="s">
        <v>3379</v>
      </c>
      <c r="F1939" s="171">
        <v>2001</v>
      </c>
      <c r="G1939" s="171">
        <v>3</v>
      </c>
      <c r="H1939" s="172" t="s">
        <v>1738</v>
      </c>
      <c r="I1939" s="173" t="s">
        <v>1751</v>
      </c>
      <c r="J1939" s="242">
        <v>0.42008196721311475</v>
      </c>
      <c r="K1939" s="213">
        <v>3.793032786885246</v>
      </c>
      <c r="L1939" s="38">
        <v>205</v>
      </c>
      <c r="M1939" s="171">
        <v>424.56</v>
      </c>
      <c r="N1939" s="171">
        <v>1106</v>
      </c>
      <c r="O1939" s="114"/>
      <c r="P1939" s="71" t="s">
        <v>3447</v>
      </c>
      <c r="Q1939" s="221" t="s">
        <v>522</v>
      </c>
      <c r="R1939" s="171" t="s">
        <v>3345</v>
      </c>
      <c r="S1939" s="171" t="s">
        <v>2315</v>
      </c>
      <c r="T1939" s="89"/>
      <c r="U1939" s="89" t="s">
        <v>3345</v>
      </c>
      <c r="V1939" s="102">
        <v>0</v>
      </c>
      <c r="W1939" s="120">
        <v>0</v>
      </c>
      <c r="X1939" s="120">
        <v>0</v>
      </c>
      <c r="Y1939" s="120">
        <v>0</v>
      </c>
      <c r="Z1939" s="120">
        <v>0</v>
      </c>
      <c r="AA1939" s="120">
        <v>0</v>
      </c>
      <c r="AB1939" s="113" t="s">
        <v>3455</v>
      </c>
      <c r="AC1939" s="17">
        <v>0</v>
      </c>
      <c r="AD1939" s="17">
        <v>0</v>
      </c>
      <c r="AE1939" s="17">
        <v>0</v>
      </c>
      <c r="AF1939" s="17">
        <v>0</v>
      </c>
      <c r="AG1939" s="17">
        <v>0</v>
      </c>
      <c r="AH1939" s="17">
        <v>0</v>
      </c>
      <c r="AI1939" s="17">
        <v>0</v>
      </c>
      <c r="AJ1939" s="17">
        <v>0</v>
      </c>
      <c r="AK1939" s="17">
        <v>0</v>
      </c>
      <c r="AL1939" s="32">
        <v>0</v>
      </c>
      <c r="AM1939" s="172">
        <v>52</v>
      </c>
      <c r="AN1939" s="171">
        <v>85</v>
      </c>
      <c r="AO1939" s="89"/>
      <c r="AP1939" s="783">
        <v>40</v>
      </c>
      <c r="AQ1939" s="17" t="s">
        <v>3403</v>
      </c>
      <c r="AR1939" s="174">
        <v>100</v>
      </c>
      <c r="AS1939" s="171" t="s">
        <v>246</v>
      </c>
      <c r="AT1939" s="171">
        <v>200</v>
      </c>
      <c r="AU1939" s="171">
        <v>25</v>
      </c>
      <c r="AV1939" s="57"/>
      <c r="AW1939" s="171">
        <v>29</v>
      </c>
      <c r="AX1939" s="89"/>
      <c r="AY1939" s="171">
        <v>21</v>
      </c>
      <c r="AZ1939" s="89"/>
      <c r="BA1939" s="175">
        <v>66</v>
      </c>
      <c r="BB1939" s="259"/>
      <c r="BC1939" s="176"/>
      <c r="BD1939" s="177"/>
      <c r="BE1939" s="177"/>
      <c r="BF1939" s="190" t="s">
        <v>3384</v>
      </c>
    </row>
    <row r="1940" spans="1:58">
      <c r="A1940" s="111">
        <v>1939</v>
      </c>
      <c r="B1940" s="211" t="s">
        <v>3036</v>
      </c>
      <c r="C1940" s="191" t="s">
        <v>3292</v>
      </c>
      <c r="D1940" s="171" t="s">
        <v>3290</v>
      </c>
      <c r="E1940" s="732" t="s">
        <v>3379</v>
      </c>
      <c r="F1940" s="171">
        <v>2001</v>
      </c>
      <c r="G1940" s="171">
        <v>3</v>
      </c>
      <c r="H1940" s="172" t="s">
        <v>1738</v>
      </c>
      <c r="I1940" s="173" t="s">
        <v>1751</v>
      </c>
      <c r="J1940" s="242">
        <v>0.78</v>
      </c>
      <c r="K1940" s="213">
        <v>8.1959999999999997</v>
      </c>
      <c r="L1940" s="38">
        <v>195</v>
      </c>
      <c r="M1940" s="171">
        <v>217.5</v>
      </c>
      <c r="N1940" s="171">
        <v>1106</v>
      </c>
      <c r="O1940" s="114"/>
      <c r="P1940" s="71" t="s">
        <v>3447</v>
      </c>
      <c r="Q1940" s="221" t="s">
        <v>522</v>
      </c>
      <c r="R1940" s="171" t="s">
        <v>3345</v>
      </c>
      <c r="S1940" s="171" t="s">
        <v>2315</v>
      </c>
      <c r="T1940" s="89"/>
      <c r="U1940" s="89" t="s">
        <v>3345</v>
      </c>
      <c r="V1940" s="102">
        <v>0</v>
      </c>
      <c r="W1940" s="120">
        <v>0</v>
      </c>
      <c r="X1940" s="120">
        <v>0</v>
      </c>
      <c r="Y1940" s="120">
        <v>0</v>
      </c>
      <c r="Z1940" s="120">
        <v>0</v>
      </c>
      <c r="AA1940" s="120">
        <v>0</v>
      </c>
      <c r="AB1940" s="113" t="s">
        <v>3455</v>
      </c>
      <c r="AC1940" s="17">
        <v>0</v>
      </c>
      <c r="AD1940" s="17">
        <v>0</v>
      </c>
      <c r="AE1940" s="17">
        <v>0</v>
      </c>
      <c r="AF1940" s="17">
        <v>0</v>
      </c>
      <c r="AG1940" s="17">
        <v>0</v>
      </c>
      <c r="AH1940" s="17">
        <v>0</v>
      </c>
      <c r="AI1940" s="17">
        <v>0</v>
      </c>
      <c r="AJ1940" s="17">
        <v>0</v>
      </c>
      <c r="AK1940" s="17">
        <v>0</v>
      </c>
      <c r="AL1940" s="32">
        <v>0</v>
      </c>
      <c r="AM1940" s="172">
        <v>27.5</v>
      </c>
      <c r="AN1940" s="171">
        <v>70</v>
      </c>
      <c r="AO1940" s="89"/>
      <c r="AP1940" s="783">
        <v>34</v>
      </c>
      <c r="AQ1940" s="17" t="s">
        <v>3403</v>
      </c>
      <c r="AR1940" s="174">
        <v>100</v>
      </c>
      <c r="AS1940" s="171" t="s">
        <v>246</v>
      </c>
      <c r="AT1940" s="171">
        <v>200</v>
      </c>
      <c r="AU1940" s="171">
        <v>25</v>
      </c>
      <c r="AV1940" s="57"/>
      <c r="AW1940" s="171">
        <v>29</v>
      </c>
      <c r="AX1940" s="89"/>
      <c r="AY1940" s="171">
        <v>21</v>
      </c>
      <c r="AZ1940" s="89"/>
      <c r="BA1940" s="175">
        <v>66</v>
      </c>
      <c r="BB1940" s="259"/>
      <c r="BC1940" s="176"/>
      <c r="BD1940" s="177"/>
      <c r="BE1940" s="177"/>
      <c r="BF1940" s="190" t="s">
        <v>3384</v>
      </c>
    </row>
    <row r="1941" spans="1:58">
      <c r="A1941" s="111">
        <v>1940</v>
      </c>
      <c r="B1941" s="211" t="s">
        <v>3037</v>
      </c>
      <c r="C1941" s="191" t="s">
        <v>3292</v>
      </c>
      <c r="D1941" s="171" t="s">
        <v>3290</v>
      </c>
      <c r="E1941" s="732" t="s">
        <v>3379</v>
      </c>
      <c r="F1941" s="171">
        <v>2001</v>
      </c>
      <c r="G1941" s="171">
        <v>3</v>
      </c>
      <c r="H1941" s="172" t="s">
        <v>1738</v>
      </c>
      <c r="I1941" s="173" t="s">
        <v>1751</v>
      </c>
      <c r="J1941" s="242">
        <v>0.419921875</v>
      </c>
      <c r="K1941" s="213">
        <v>3.515625</v>
      </c>
      <c r="L1941" s="38">
        <v>215</v>
      </c>
      <c r="M1941" s="171">
        <v>256</v>
      </c>
      <c r="N1941" s="171">
        <v>1106</v>
      </c>
      <c r="O1941" s="114"/>
      <c r="P1941" s="71" t="s">
        <v>3450</v>
      </c>
      <c r="Q1941" s="221" t="s">
        <v>1754</v>
      </c>
      <c r="R1941" s="171" t="s">
        <v>3345</v>
      </c>
      <c r="S1941" s="171" t="s">
        <v>2315</v>
      </c>
      <c r="T1941" s="89"/>
      <c r="U1941" s="89" t="s">
        <v>3345</v>
      </c>
      <c r="V1941" s="102">
        <v>0</v>
      </c>
      <c r="W1941" s="120">
        <v>0</v>
      </c>
      <c r="X1941" s="120">
        <v>50</v>
      </c>
      <c r="Y1941" s="120">
        <v>0</v>
      </c>
      <c r="Z1941" s="120">
        <v>0</v>
      </c>
      <c r="AA1941" s="17">
        <v>0</v>
      </c>
      <c r="AB1941" s="17">
        <v>0</v>
      </c>
      <c r="AC1941" s="17">
        <v>0</v>
      </c>
      <c r="AD1941" s="17">
        <v>0</v>
      </c>
      <c r="AE1941" s="17">
        <v>0</v>
      </c>
      <c r="AF1941" s="17">
        <v>0</v>
      </c>
      <c r="AG1941" s="17">
        <v>0</v>
      </c>
      <c r="AH1941" s="17">
        <v>0</v>
      </c>
      <c r="AI1941" s="17">
        <v>0</v>
      </c>
      <c r="AJ1941" s="17">
        <v>0</v>
      </c>
      <c r="AK1941" s="17">
        <v>0</v>
      </c>
      <c r="AL1941" s="32">
        <v>0</v>
      </c>
      <c r="AM1941" s="172">
        <v>51.5</v>
      </c>
      <c r="AN1941" s="171">
        <v>75</v>
      </c>
      <c r="AO1941" s="89"/>
      <c r="AP1941" s="783">
        <v>40</v>
      </c>
      <c r="AQ1941" s="17" t="s">
        <v>3403</v>
      </c>
      <c r="AR1941" s="174">
        <v>100</v>
      </c>
      <c r="AS1941" s="171" t="s">
        <v>246</v>
      </c>
      <c r="AT1941" s="171">
        <v>200</v>
      </c>
      <c r="AU1941" s="171">
        <v>25</v>
      </c>
      <c r="AV1941" s="57"/>
      <c r="AW1941" s="171">
        <v>29</v>
      </c>
      <c r="AX1941" s="89"/>
      <c r="AY1941" s="171">
        <v>21</v>
      </c>
      <c r="AZ1941" s="89"/>
      <c r="BA1941" s="175">
        <v>64</v>
      </c>
      <c r="BB1941" s="259"/>
      <c r="BC1941" s="176"/>
      <c r="BD1941" s="177"/>
      <c r="BE1941" s="177"/>
      <c r="BF1941" s="190" t="s">
        <v>3318</v>
      </c>
    </row>
    <row r="1942" spans="1:58">
      <c r="A1942" s="111">
        <v>1941</v>
      </c>
      <c r="B1942" s="211" t="s">
        <v>3038</v>
      </c>
      <c r="C1942" s="191" t="s">
        <v>3292</v>
      </c>
      <c r="D1942" s="171" t="s">
        <v>3290</v>
      </c>
      <c r="E1942" s="732" t="s">
        <v>3379</v>
      </c>
      <c r="F1942" s="171">
        <v>2001</v>
      </c>
      <c r="G1942" s="171">
        <v>3</v>
      </c>
      <c r="H1942" s="172" t="s">
        <v>1738</v>
      </c>
      <c r="I1942" s="173" t="s">
        <v>1751</v>
      </c>
      <c r="J1942" s="242">
        <v>0.62903225806451613</v>
      </c>
      <c r="K1942" s="213">
        <v>6.6096774193548384</v>
      </c>
      <c r="L1942" s="38">
        <v>195</v>
      </c>
      <c r="M1942" s="171">
        <v>155</v>
      </c>
      <c r="N1942" s="171">
        <v>1106</v>
      </c>
      <c r="O1942" s="114"/>
      <c r="P1942" s="71" t="s">
        <v>3450</v>
      </c>
      <c r="Q1942" s="221" t="s">
        <v>1754</v>
      </c>
      <c r="R1942" s="171" t="s">
        <v>3345</v>
      </c>
      <c r="S1942" s="171" t="s">
        <v>2315</v>
      </c>
      <c r="T1942" s="89"/>
      <c r="U1942" s="89" t="s">
        <v>3345</v>
      </c>
      <c r="V1942" s="102">
        <v>0</v>
      </c>
      <c r="W1942" s="120">
        <v>0</v>
      </c>
      <c r="X1942" s="120">
        <v>50</v>
      </c>
      <c r="Y1942" s="120">
        <v>0</v>
      </c>
      <c r="Z1942" s="120">
        <v>0</v>
      </c>
      <c r="AA1942" s="17">
        <v>0</v>
      </c>
      <c r="AB1942" s="17">
        <v>0</v>
      </c>
      <c r="AC1942" s="17">
        <v>0</v>
      </c>
      <c r="AD1942" s="17">
        <v>0</v>
      </c>
      <c r="AE1942" s="17">
        <v>0</v>
      </c>
      <c r="AF1942" s="17">
        <v>0</v>
      </c>
      <c r="AG1942" s="17">
        <v>0</v>
      </c>
      <c r="AH1942" s="17">
        <v>0</v>
      </c>
      <c r="AI1942" s="17">
        <v>0</v>
      </c>
      <c r="AJ1942" s="17">
        <v>0</v>
      </c>
      <c r="AK1942" s="17">
        <v>0</v>
      </c>
      <c r="AL1942" s="32">
        <v>0</v>
      </c>
      <c r="AM1942" s="172">
        <v>31</v>
      </c>
      <c r="AN1942" s="171">
        <v>55</v>
      </c>
      <c r="AO1942" s="89"/>
      <c r="AP1942" s="783">
        <v>37</v>
      </c>
      <c r="AQ1942" s="17" t="s">
        <v>3403</v>
      </c>
      <c r="AR1942" s="174">
        <v>100</v>
      </c>
      <c r="AS1942" s="171" t="s">
        <v>246</v>
      </c>
      <c r="AT1942" s="171">
        <v>200</v>
      </c>
      <c r="AU1942" s="171">
        <v>25</v>
      </c>
      <c r="AV1942" s="57"/>
      <c r="AW1942" s="171">
        <v>29</v>
      </c>
      <c r="AX1942" s="89"/>
      <c r="AY1942" s="171">
        <v>21</v>
      </c>
      <c r="AZ1942" s="89"/>
      <c r="BA1942" s="175">
        <v>64</v>
      </c>
      <c r="BB1942" s="259"/>
      <c r="BC1942" s="176"/>
      <c r="BD1942" s="177"/>
      <c r="BE1942" s="177"/>
      <c r="BF1942" s="190" t="s">
        <v>3318</v>
      </c>
    </row>
    <row r="1943" spans="1:58">
      <c r="A1943" s="111">
        <v>1942</v>
      </c>
      <c r="B1943" s="211" t="s">
        <v>3039</v>
      </c>
      <c r="C1943" s="191" t="s">
        <v>3292</v>
      </c>
      <c r="D1943" s="171" t="s">
        <v>3290</v>
      </c>
      <c r="E1943" s="732" t="s">
        <v>3379</v>
      </c>
      <c r="F1943" s="171">
        <v>2001</v>
      </c>
      <c r="G1943" s="171">
        <v>3</v>
      </c>
      <c r="H1943" s="172" t="s">
        <v>1738</v>
      </c>
      <c r="I1943" s="173" t="s">
        <v>1751</v>
      </c>
      <c r="J1943" s="242">
        <v>0.42</v>
      </c>
      <c r="K1943" s="213">
        <v>3.6520000000000001</v>
      </c>
      <c r="L1943" s="38">
        <v>210</v>
      </c>
      <c r="M1943" s="171">
        <v>250</v>
      </c>
      <c r="N1943" s="171">
        <v>1106</v>
      </c>
      <c r="O1943" s="114"/>
      <c r="P1943" s="71" t="s">
        <v>3450</v>
      </c>
      <c r="Q1943" s="221" t="s">
        <v>1754</v>
      </c>
      <c r="R1943" s="171" t="s">
        <v>3345</v>
      </c>
      <c r="S1943" s="171" t="s">
        <v>2315</v>
      </c>
      <c r="T1943" s="89"/>
      <c r="U1943" s="89" t="s">
        <v>3345</v>
      </c>
      <c r="V1943" s="102">
        <v>0</v>
      </c>
      <c r="W1943" s="120">
        <v>0</v>
      </c>
      <c r="X1943" s="120">
        <v>50</v>
      </c>
      <c r="Y1943" s="120">
        <v>0</v>
      </c>
      <c r="Z1943" s="120">
        <v>0</v>
      </c>
      <c r="AA1943" s="17">
        <v>0</v>
      </c>
      <c r="AB1943" s="17">
        <v>0</v>
      </c>
      <c r="AC1943" s="17">
        <v>0</v>
      </c>
      <c r="AD1943" s="17">
        <v>0</v>
      </c>
      <c r="AE1943" s="17">
        <v>0</v>
      </c>
      <c r="AF1943" s="17">
        <v>0</v>
      </c>
      <c r="AG1943" s="17">
        <v>0</v>
      </c>
      <c r="AH1943" s="17">
        <v>0</v>
      </c>
      <c r="AI1943" s="17">
        <v>0</v>
      </c>
      <c r="AJ1943" s="17">
        <v>0</v>
      </c>
      <c r="AK1943" s="17">
        <v>0</v>
      </c>
      <c r="AL1943" s="32">
        <v>0</v>
      </c>
      <c r="AM1943" s="172">
        <v>42</v>
      </c>
      <c r="AN1943" s="171">
        <v>75</v>
      </c>
      <c r="AO1943" s="89"/>
      <c r="AP1943" s="783">
        <v>37</v>
      </c>
      <c r="AQ1943" s="17" t="s">
        <v>3403</v>
      </c>
      <c r="AR1943" s="174">
        <v>100</v>
      </c>
      <c r="AS1943" s="171" t="s">
        <v>246</v>
      </c>
      <c r="AT1943" s="171">
        <v>200</v>
      </c>
      <c r="AU1943" s="171">
        <v>25</v>
      </c>
      <c r="AV1943" s="57"/>
      <c r="AW1943" s="171">
        <v>28</v>
      </c>
      <c r="AX1943" s="89"/>
      <c r="AY1943" s="171">
        <v>21</v>
      </c>
      <c r="AZ1943" s="89"/>
      <c r="BA1943" s="175">
        <v>64</v>
      </c>
      <c r="BB1943" s="259"/>
      <c r="BC1943" s="176"/>
      <c r="BD1943" s="177"/>
      <c r="BE1943" s="177"/>
      <c r="BF1943" s="190" t="s">
        <v>3319</v>
      </c>
    </row>
    <row r="1944" spans="1:58">
      <c r="A1944" s="111">
        <v>1943</v>
      </c>
      <c r="B1944" s="211" t="s">
        <v>3040</v>
      </c>
      <c r="C1944" s="191" t="s">
        <v>3292</v>
      </c>
      <c r="D1944" s="171" t="s">
        <v>3290</v>
      </c>
      <c r="E1944" s="732" t="s">
        <v>3379</v>
      </c>
      <c r="F1944" s="171">
        <v>2001</v>
      </c>
      <c r="G1944" s="171">
        <v>3</v>
      </c>
      <c r="H1944" s="172" t="s">
        <v>1738</v>
      </c>
      <c r="I1944" s="173" t="s">
        <v>1751</v>
      </c>
      <c r="J1944" s="242">
        <v>0.62903225806451613</v>
      </c>
      <c r="K1944" s="213">
        <v>6.6096774193548384</v>
      </c>
      <c r="L1944" s="38">
        <v>195</v>
      </c>
      <c r="M1944" s="171">
        <v>155</v>
      </c>
      <c r="N1944" s="171">
        <v>1106</v>
      </c>
      <c r="O1944" s="114"/>
      <c r="P1944" s="71" t="s">
        <v>3450</v>
      </c>
      <c r="Q1944" s="221" t="s">
        <v>1754</v>
      </c>
      <c r="R1944" s="171" t="s">
        <v>3345</v>
      </c>
      <c r="S1944" s="171" t="s">
        <v>2315</v>
      </c>
      <c r="T1944" s="89"/>
      <c r="U1944" s="89" t="s">
        <v>3345</v>
      </c>
      <c r="V1944" s="102">
        <v>0</v>
      </c>
      <c r="W1944" s="120">
        <v>0</v>
      </c>
      <c r="X1944" s="120">
        <v>50</v>
      </c>
      <c r="Y1944" s="120">
        <v>0</v>
      </c>
      <c r="Z1944" s="120">
        <v>0</v>
      </c>
      <c r="AA1944" s="17">
        <v>0</v>
      </c>
      <c r="AB1944" s="17">
        <v>0</v>
      </c>
      <c r="AC1944" s="17">
        <v>0</v>
      </c>
      <c r="AD1944" s="17">
        <v>0</v>
      </c>
      <c r="AE1944" s="17">
        <v>0</v>
      </c>
      <c r="AF1944" s="17">
        <v>0</v>
      </c>
      <c r="AG1944" s="17">
        <v>0</v>
      </c>
      <c r="AH1944" s="17">
        <v>0</v>
      </c>
      <c r="AI1944" s="17">
        <v>0</v>
      </c>
      <c r="AJ1944" s="17">
        <v>0</v>
      </c>
      <c r="AK1944" s="17">
        <v>0</v>
      </c>
      <c r="AL1944" s="32">
        <v>0</v>
      </c>
      <c r="AM1944" s="172">
        <v>24.5</v>
      </c>
      <c r="AN1944" s="171">
        <v>75</v>
      </c>
      <c r="AO1944" s="89"/>
      <c r="AP1944" s="783">
        <v>23</v>
      </c>
      <c r="AQ1944" s="17" t="s">
        <v>3403</v>
      </c>
      <c r="AR1944" s="174">
        <v>100</v>
      </c>
      <c r="AS1944" s="171" t="s">
        <v>246</v>
      </c>
      <c r="AT1944" s="171">
        <v>200</v>
      </c>
      <c r="AU1944" s="171">
        <v>25</v>
      </c>
      <c r="AV1944" s="57"/>
      <c r="AW1944" s="171">
        <v>28</v>
      </c>
      <c r="AX1944" s="89"/>
      <c r="AY1944" s="171">
        <v>21</v>
      </c>
      <c r="AZ1944" s="89"/>
      <c r="BA1944" s="175">
        <v>64</v>
      </c>
      <c r="BB1944" s="259"/>
      <c r="BC1944" s="176"/>
      <c r="BD1944" s="177"/>
      <c r="BE1944" s="177"/>
      <c r="BF1944" s="190" t="s">
        <v>3319</v>
      </c>
    </row>
    <row r="1945" spans="1:58">
      <c r="A1945" s="111">
        <v>1944</v>
      </c>
      <c r="B1945" s="211" t="s">
        <v>3041</v>
      </c>
      <c r="C1945" s="191" t="s">
        <v>3292</v>
      </c>
      <c r="D1945" s="171" t="s">
        <v>3290</v>
      </c>
      <c r="E1945" s="732" t="s">
        <v>3379</v>
      </c>
      <c r="F1945" s="171">
        <v>2001</v>
      </c>
      <c r="G1945" s="171">
        <v>3</v>
      </c>
      <c r="H1945" s="172" t="s">
        <v>1738</v>
      </c>
      <c r="I1945" s="173" t="s">
        <v>1751</v>
      </c>
      <c r="J1945" s="242">
        <v>0.42016806722689076</v>
      </c>
      <c r="K1945" s="213">
        <v>3.9453781512605044</v>
      </c>
      <c r="L1945" s="38">
        <v>200</v>
      </c>
      <c r="M1945" s="171">
        <v>342.71999999999997</v>
      </c>
      <c r="N1945" s="171">
        <v>1106</v>
      </c>
      <c r="O1945" s="114"/>
      <c r="P1945" s="71" t="s">
        <v>3447</v>
      </c>
      <c r="Q1945" s="221" t="s">
        <v>522</v>
      </c>
      <c r="R1945" s="171" t="s">
        <v>3345</v>
      </c>
      <c r="S1945" s="171" t="s">
        <v>2315</v>
      </c>
      <c r="T1945" s="89"/>
      <c r="U1945" s="89" t="s">
        <v>3345</v>
      </c>
      <c r="V1945" s="102">
        <v>0</v>
      </c>
      <c r="W1945" s="120">
        <v>28</v>
      </c>
      <c r="X1945" s="120">
        <v>0</v>
      </c>
      <c r="Y1945" s="120">
        <v>0</v>
      </c>
      <c r="Z1945" s="120">
        <v>0</v>
      </c>
      <c r="AA1945" s="17">
        <v>0</v>
      </c>
      <c r="AB1945" s="17">
        <v>0</v>
      </c>
      <c r="AC1945" s="17">
        <v>0</v>
      </c>
      <c r="AD1945" s="17">
        <v>0</v>
      </c>
      <c r="AE1945" s="17">
        <v>0</v>
      </c>
      <c r="AF1945" s="17">
        <v>0</v>
      </c>
      <c r="AG1945" s="17">
        <v>0</v>
      </c>
      <c r="AH1945" s="17">
        <v>0</v>
      </c>
      <c r="AI1945" s="17">
        <v>0</v>
      </c>
      <c r="AJ1945" s="17">
        <v>0</v>
      </c>
      <c r="AK1945" s="17">
        <v>0</v>
      </c>
      <c r="AL1945" s="32">
        <v>0</v>
      </c>
      <c r="AM1945" s="172">
        <v>50.5</v>
      </c>
      <c r="AN1945" s="171">
        <v>75</v>
      </c>
      <c r="AO1945" s="89"/>
      <c r="AP1945" s="783">
        <v>39</v>
      </c>
      <c r="AQ1945" s="17" t="s">
        <v>3403</v>
      </c>
      <c r="AR1945" s="174">
        <v>100</v>
      </c>
      <c r="AS1945" s="171" t="s">
        <v>246</v>
      </c>
      <c r="AT1945" s="171">
        <v>200</v>
      </c>
      <c r="AU1945" s="171">
        <v>25</v>
      </c>
      <c r="AV1945" s="57"/>
      <c r="AW1945" s="171">
        <v>33</v>
      </c>
      <c r="AX1945" s="89"/>
      <c r="AY1945" s="171">
        <v>21</v>
      </c>
      <c r="AZ1945" s="89"/>
      <c r="BA1945" s="175">
        <v>65</v>
      </c>
      <c r="BB1945" s="259"/>
      <c r="BC1945" s="176"/>
      <c r="BD1945" s="177"/>
      <c r="BE1945" s="177"/>
      <c r="BF1945" s="190" t="s">
        <v>3385</v>
      </c>
    </row>
    <row r="1946" spans="1:58">
      <c r="A1946" s="111">
        <v>1945</v>
      </c>
      <c r="B1946" s="211" t="s">
        <v>3042</v>
      </c>
      <c r="C1946" s="191" t="s">
        <v>3292</v>
      </c>
      <c r="D1946" s="171" t="s">
        <v>3290</v>
      </c>
      <c r="E1946" s="732" t="s">
        <v>3379</v>
      </c>
      <c r="F1946" s="171">
        <v>2001</v>
      </c>
      <c r="G1946" s="171">
        <v>3</v>
      </c>
      <c r="H1946" s="172" t="s">
        <v>1738</v>
      </c>
      <c r="I1946" s="173" t="s">
        <v>1751</v>
      </c>
      <c r="J1946" s="242">
        <v>0.62925170068027214</v>
      </c>
      <c r="K1946" s="213">
        <v>7.1190476190476186</v>
      </c>
      <c r="L1946" s="38">
        <v>185</v>
      </c>
      <c r="M1946" s="171">
        <v>211.67999999999998</v>
      </c>
      <c r="N1946" s="171">
        <v>1106</v>
      </c>
      <c r="O1946" s="114"/>
      <c r="P1946" s="71" t="s">
        <v>3447</v>
      </c>
      <c r="Q1946" s="221" t="s">
        <v>522</v>
      </c>
      <c r="R1946" s="171" t="s">
        <v>3345</v>
      </c>
      <c r="S1946" s="171" t="s">
        <v>2315</v>
      </c>
      <c r="T1946" s="89"/>
      <c r="U1946" s="89" t="s">
        <v>3345</v>
      </c>
      <c r="V1946" s="102">
        <v>0</v>
      </c>
      <c r="W1946" s="120">
        <v>28</v>
      </c>
      <c r="X1946" s="120">
        <v>0</v>
      </c>
      <c r="Y1946" s="120">
        <v>0</v>
      </c>
      <c r="Z1946" s="120">
        <v>0</v>
      </c>
      <c r="AA1946" s="17">
        <v>0</v>
      </c>
      <c r="AB1946" s="17">
        <v>0</v>
      </c>
      <c r="AC1946" s="17">
        <v>0</v>
      </c>
      <c r="AD1946" s="17">
        <v>0</v>
      </c>
      <c r="AE1946" s="17">
        <v>0</v>
      </c>
      <c r="AF1946" s="17">
        <v>0</v>
      </c>
      <c r="AG1946" s="17">
        <v>0</v>
      </c>
      <c r="AH1946" s="17">
        <v>0</v>
      </c>
      <c r="AI1946" s="17">
        <v>0</v>
      </c>
      <c r="AJ1946" s="17">
        <v>0</v>
      </c>
      <c r="AK1946" s="17">
        <v>0</v>
      </c>
      <c r="AL1946" s="32">
        <v>0</v>
      </c>
      <c r="AM1946" s="172">
        <v>24.5</v>
      </c>
      <c r="AN1946" s="171">
        <v>70</v>
      </c>
      <c r="AO1946" s="89"/>
      <c r="AP1946" s="783">
        <v>34</v>
      </c>
      <c r="AQ1946" s="17" t="s">
        <v>3403</v>
      </c>
      <c r="AR1946" s="174">
        <v>100</v>
      </c>
      <c r="AS1946" s="171" t="s">
        <v>246</v>
      </c>
      <c r="AT1946" s="171">
        <v>200</v>
      </c>
      <c r="AU1946" s="171">
        <v>25</v>
      </c>
      <c r="AV1946" s="57"/>
      <c r="AW1946" s="171">
        <v>33</v>
      </c>
      <c r="AX1946" s="89"/>
      <c r="AY1946" s="171">
        <v>21</v>
      </c>
      <c r="AZ1946" s="89"/>
      <c r="BA1946" s="175">
        <v>65</v>
      </c>
      <c r="BB1946" s="259"/>
      <c r="BC1946" s="176"/>
      <c r="BD1946" s="177"/>
      <c r="BE1946" s="177"/>
      <c r="BF1946" s="190" t="s">
        <v>3386</v>
      </c>
    </row>
    <row r="1947" spans="1:58">
      <c r="A1947" s="111">
        <v>1946</v>
      </c>
      <c r="B1947" s="211" t="s">
        <v>3043</v>
      </c>
      <c r="C1947" s="191" t="s">
        <v>3292</v>
      </c>
      <c r="D1947" s="171" t="s">
        <v>3290</v>
      </c>
      <c r="E1947" s="732" t="s">
        <v>3379</v>
      </c>
      <c r="F1947" s="171">
        <v>2001</v>
      </c>
      <c r="G1947" s="171">
        <v>3</v>
      </c>
      <c r="H1947" s="172" t="s">
        <v>1738</v>
      </c>
      <c r="I1947" s="173" t="s">
        <v>1751</v>
      </c>
      <c r="J1947" s="242">
        <v>0.419921875</v>
      </c>
      <c r="K1947" s="213">
        <v>3.470703125</v>
      </c>
      <c r="L1947" s="38">
        <v>215</v>
      </c>
      <c r="M1947" s="171">
        <v>253.44</v>
      </c>
      <c r="N1947" s="171">
        <v>1106</v>
      </c>
      <c r="O1947" s="114"/>
      <c r="P1947" s="71" t="s">
        <v>3447</v>
      </c>
      <c r="Q1947" s="221" t="s">
        <v>3340</v>
      </c>
      <c r="R1947" s="171" t="s">
        <v>3345</v>
      </c>
      <c r="S1947" s="171" t="s">
        <v>2315</v>
      </c>
      <c r="T1947" s="89"/>
      <c r="U1947" s="89" t="s">
        <v>3345</v>
      </c>
      <c r="V1947" s="102">
        <v>0</v>
      </c>
      <c r="W1947" s="120">
        <v>0</v>
      </c>
      <c r="X1947" s="120">
        <v>51</v>
      </c>
      <c r="Y1947" s="120">
        <v>0</v>
      </c>
      <c r="Z1947" s="120">
        <v>0</v>
      </c>
      <c r="AA1947" s="17">
        <v>0</v>
      </c>
      <c r="AB1947" s="17">
        <v>0</v>
      </c>
      <c r="AC1947" s="17">
        <v>0</v>
      </c>
      <c r="AD1947" s="17">
        <v>0</v>
      </c>
      <c r="AE1947" s="17">
        <v>0</v>
      </c>
      <c r="AF1947" s="17">
        <v>0</v>
      </c>
      <c r="AG1947" s="17">
        <v>0</v>
      </c>
      <c r="AH1947" s="17">
        <v>0</v>
      </c>
      <c r="AI1947" s="17">
        <v>0</v>
      </c>
      <c r="AJ1947" s="17">
        <v>0</v>
      </c>
      <c r="AK1947" s="17">
        <v>0</v>
      </c>
      <c r="AL1947" s="32">
        <v>0</v>
      </c>
      <c r="AM1947" s="172">
        <v>47.5</v>
      </c>
      <c r="AN1947" s="171">
        <v>45</v>
      </c>
      <c r="AO1947" s="89"/>
      <c r="AP1947" s="783">
        <v>37</v>
      </c>
      <c r="AQ1947" s="17" t="s">
        <v>3403</v>
      </c>
      <c r="AR1947" s="174">
        <v>100</v>
      </c>
      <c r="AS1947" s="171" t="s">
        <v>246</v>
      </c>
      <c r="AT1947" s="171">
        <v>200</v>
      </c>
      <c r="AU1947" s="171">
        <v>25</v>
      </c>
      <c r="AV1947" s="57"/>
      <c r="AW1947" s="171">
        <v>32</v>
      </c>
      <c r="AX1947" s="89"/>
      <c r="AY1947" s="171">
        <v>21</v>
      </c>
      <c r="AZ1947" s="89"/>
      <c r="BA1947" s="175">
        <v>65</v>
      </c>
      <c r="BB1947" s="259"/>
      <c r="BC1947" s="176"/>
      <c r="BD1947" s="177"/>
      <c r="BE1947" s="177"/>
      <c r="BF1947" s="190" t="s">
        <v>3387</v>
      </c>
    </row>
    <row r="1948" spans="1:58">
      <c r="A1948" s="111">
        <v>1947</v>
      </c>
      <c r="B1948" s="211" t="s">
        <v>3044</v>
      </c>
      <c r="C1948" s="191" t="s">
        <v>3292</v>
      </c>
      <c r="D1948" s="171" t="s">
        <v>3290</v>
      </c>
      <c r="E1948" s="732" t="s">
        <v>3379</v>
      </c>
      <c r="F1948" s="171">
        <v>2001</v>
      </c>
      <c r="G1948" s="171">
        <v>3</v>
      </c>
      <c r="H1948" s="172" t="s">
        <v>1738</v>
      </c>
      <c r="I1948" s="173" t="s">
        <v>1751</v>
      </c>
      <c r="J1948" s="242">
        <v>0.62903225806451613</v>
      </c>
      <c r="K1948" s="213">
        <v>6.564516129032258</v>
      </c>
      <c r="L1948" s="38">
        <v>195</v>
      </c>
      <c r="M1948" s="171">
        <v>153.44999999999999</v>
      </c>
      <c r="N1948" s="171">
        <v>1106</v>
      </c>
      <c r="O1948" s="114"/>
      <c r="P1948" s="71" t="s">
        <v>3447</v>
      </c>
      <c r="Q1948" s="221" t="s">
        <v>3340</v>
      </c>
      <c r="R1948" s="171" t="s">
        <v>3345</v>
      </c>
      <c r="S1948" s="171" t="s">
        <v>2315</v>
      </c>
      <c r="T1948" s="89"/>
      <c r="U1948" s="89" t="s">
        <v>3345</v>
      </c>
      <c r="V1948" s="102">
        <v>0</v>
      </c>
      <c r="W1948" s="120">
        <v>0</v>
      </c>
      <c r="X1948" s="120">
        <v>51</v>
      </c>
      <c r="Y1948" s="120">
        <v>0</v>
      </c>
      <c r="Z1948" s="120">
        <v>0</v>
      </c>
      <c r="AA1948" s="17">
        <v>0</v>
      </c>
      <c r="AB1948" s="17">
        <v>0</v>
      </c>
      <c r="AC1948" s="17">
        <v>0</v>
      </c>
      <c r="AD1948" s="17">
        <v>0</v>
      </c>
      <c r="AE1948" s="17">
        <v>0</v>
      </c>
      <c r="AF1948" s="17">
        <v>0</v>
      </c>
      <c r="AG1948" s="17">
        <v>0</v>
      </c>
      <c r="AH1948" s="17">
        <v>0</v>
      </c>
      <c r="AI1948" s="17">
        <v>0</v>
      </c>
      <c r="AJ1948" s="17">
        <v>0</v>
      </c>
      <c r="AK1948" s="17">
        <v>0</v>
      </c>
      <c r="AL1948" s="32">
        <v>0</v>
      </c>
      <c r="AM1948" s="172">
        <v>29.5</v>
      </c>
      <c r="AN1948" s="171">
        <v>65</v>
      </c>
      <c r="AO1948" s="89"/>
      <c r="AP1948" s="783">
        <v>35</v>
      </c>
      <c r="AQ1948" s="17" t="s">
        <v>3403</v>
      </c>
      <c r="AR1948" s="174">
        <v>100</v>
      </c>
      <c r="AS1948" s="171" t="s">
        <v>246</v>
      </c>
      <c r="AT1948" s="171">
        <v>200</v>
      </c>
      <c r="AU1948" s="171">
        <v>25</v>
      </c>
      <c r="AV1948" s="57"/>
      <c r="AW1948" s="171">
        <v>32</v>
      </c>
      <c r="AX1948" s="89"/>
      <c r="AY1948" s="171">
        <v>21</v>
      </c>
      <c r="AZ1948" s="89"/>
      <c r="BA1948" s="175">
        <v>65</v>
      </c>
      <c r="BB1948" s="259"/>
      <c r="BC1948" s="176"/>
      <c r="BD1948" s="177"/>
      <c r="BE1948" s="177"/>
      <c r="BF1948" s="190" t="s">
        <v>3387</v>
      </c>
    </row>
    <row r="1949" spans="1:58">
      <c r="A1949" s="111">
        <v>1948</v>
      </c>
      <c r="B1949" s="211" t="s">
        <v>3045</v>
      </c>
      <c r="C1949" s="191" t="s">
        <v>3292</v>
      </c>
      <c r="D1949" s="171" t="s">
        <v>3290</v>
      </c>
      <c r="E1949" s="732" t="s">
        <v>3379</v>
      </c>
      <c r="F1949" s="171">
        <v>2001</v>
      </c>
      <c r="G1949" s="171">
        <v>3</v>
      </c>
      <c r="H1949" s="172" t="s">
        <v>1738</v>
      </c>
      <c r="I1949" s="173" t="s">
        <v>1751</v>
      </c>
      <c r="J1949" s="242">
        <v>0.41984732824427479</v>
      </c>
      <c r="K1949" s="213">
        <v>3.4122137404580153</v>
      </c>
      <c r="L1949" s="38">
        <v>220</v>
      </c>
      <c r="M1949" s="171">
        <v>455.88</v>
      </c>
      <c r="N1949" s="171">
        <v>1106</v>
      </c>
      <c r="O1949" s="114"/>
      <c r="P1949" s="71" t="s">
        <v>3446</v>
      </c>
      <c r="Q1949" s="221" t="s">
        <v>522</v>
      </c>
      <c r="R1949" s="171" t="s">
        <v>3345</v>
      </c>
      <c r="S1949" s="171" t="s">
        <v>2315</v>
      </c>
      <c r="T1949" s="89"/>
      <c r="U1949" s="89" t="s">
        <v>3345</v>
      </c>
      <c r="V1949" s="102">
        <v>0</v>
      </c>
      <c r="W1949" s="120">
        <v>0</v>
      </c>
      <c r="X1949" s="121" t="s">
        <v>3455</v>
      </c>
      <c r="Y1949" s="120">
        <v>0</v>
      </c>
      <c r="Z1949" s="120">
        <v>0</v>
      </c>
      <c r="AA1949" s="17">
        <v>0</v>
      </c>
      <c r="AB1949" s="17">
        <v>0</v>
      </c>
      <c r="AC1949" s="17">
        <v>0</v>
      </c>
      <c r="AD1949" s="17">
        <v>0</v>
      </c>
      <c r="AE1949" s="17">
        <v>0</v>
      </c>
      <c r="AF1949" s="17">
        <v>0</v>
      </c>
      <c r="AG1949" s="17">
        <v>0</v>
      </c>
      <c r="AH1949" s="17">
        <v>0</v>
      </c>
      <c r="AI1949" s="17">
        <v>0</v>
      </c>
      <c r="AJ1949" s="17">
        <v>0</v>
      </c>
      <c r="AK1949" s="17">
        <v>0</v>
      </c>
      <c r="AL1949" s="32">
        <v>0</v>
      </c>
      <c r="AM1949" s="172">
        <v>65.5</v>
      </c>
      <c r="AN1949" s="171">
        <v>70</v>
      </c>
      <c r="AO1949" s="89"/>
      <c r="AP1949" s="783">
        <v>44</v>
      </c>
      <c r="AQ1949" s="17" t="s">
        <v>3403</v>
      </c>
      <c r="AR1949" s="174">
        <v>100</v>
      </c>
      <c r="AS1949" s="171" t="s">
        <v>246</v>
      </c>
      <c r="AT1949" s="171">
        <v>200</v>
      </c>
      <c r="AU1949" s="171">
        <v>25</v>
      </c>
      <c r="AV1949" s="57"/>
      <c r="AW1949" s="171">
        <v>29</v>
      </c>
      <c r="AX1949" s="89"/>
      <c r="AY1949" s="171">
        <v>21</v>
      </c>
      <c r="AZ1949" s="89"/>
      <c r="BA1949" s="175">
        <v>61</v>
      </c>
      <c r="BB1949" s="259"/>
      <c r="BC1949" s="176"/>
      <c r="BD1949" s="177"/>
      <c r="BE1949" s="177"/>
      <c r="BF1949" s="190" t="s">
        <v>3388</v>
      </c>
    </row>
    <row r="1950" spans="1:58">
      <c r="A1950" s="111">
        <v>1949</v>
      </c>
      <c r="B1950" s="211" t="s">
        <v>3046</v>
      </c>
      <c r="C1950" s="191" t="s">
        <v>3292</v>
      </c>
      <c r="D1950" s="171" t="s">
        <v>3290</v>
      </c>
      <c r="E1950" s="732" t="s">
        <v>3379</v>
      </c>
      <c r="F1950" s="171">
        <v>2001</v>
      </c>
      <c r="G1950" s="171">
        <v>3</v>
      </c>
      <c r="H1950" s="172" t="s">
        <v>1738</v>
      </c>
      <c r="I1950" s="173" t="s">
        <v>1751</v>
      </c>
      <c r="J1950" s="242">
        <v>0.62903225806451613</v>
      </c>
      <c r="K1950" s="213">
        <v>6.6354838709677422</v>
      </c>
      <c r="L1950" s="38">
        <v>195</v>
      </c>
      <c r="M1950" s="171">
        <v>269.7</v>
      </c>
      <c r="N1950" s="171">
        <v>1106</v>
      </c>
      <c r="O1950" s="114"/>
      <c r="P1950" s="71" t="s">
        <v>3446</v>
      </c>
      <c r="Q1950" s="221" t="s">
        <v>522</v>
      </c>
      <c r="R1950" s="171" t="s">
        <v>3345</v>
      </c>
      <c r="S1950" s="171" t="s">
        <v>2315</v>
      </c>
      <c r="T1950" s="89"/>
      <c r="U1950" s="89" t="s">
        <v>3345</v>
      </c>
      <c r="V1950" s="102">
        <v>0</v>
      </c>
      <c r="W1950" s="120">
        <v>0</v>
      </c>
      <c r="X1950" s="121" t="s">
        <v>3455</v>
      </c>
      <c r="Y1950" s="120">
        <v>0</v>
      </c>
      <c r="Z1950" s="120">
        <v>0</v>
      </c>
      <c r="AA1950" s="17">
        <v>0</v>
      </c>
      <c r="AB1950" s="17">
        <v>0</v>
      </c>
      <c r="AC1950" s="17">
        <v>0</v>
      </c>
      <c r="AD1950" s="17">
        <v>0</v>
      </c>
      <c r="AE1950" s="17">
        <v>0</v>
      </c>
      <c r="AF1950" s="17">
        <v>0</v>
      </c>
      <c r="AG1950" s="17">
        <v>0</v>
      </c>
      <c r="AH1950" s="17">
        <v>0</v>
      </c>
      <c r="AI1950" s="17">
        <v>0</v>
      </c>
      <c r="AJ1950" s="17">
        <v>0</v>
      </c>
      <c r="AK1950" s="17">
        <v>0</v>
      </c>
      <c r="AL1950" s="32">
        <v>0</v>
      </c>
      <c r="AM1950" s="172">
        <v>42</v>
      </c>
      <c r="AN1950" s="171">
        <v>60</v>
      </c>
      <c r="AO1950" s="89"/>
      <c r="AP1950" s="783">
        <v>39.36</v>
      </c>
      <c r="AQ1950" s="17" t="s">
        <v>3403</v>
      </c>
      <c r="AR1950" s="174">
        <v>100</v>
      </c>
      <c r="AS1950" s="171" t="s">
        <v>246</v>
      </c>
      <c r="AT1950" s="171">
        <v>200</v>
      </c>
      <c r="AU1950" s="171">
        <v>25</v>
      </c>
      <c r="AV1950" s="57"/>
      <c r="AW1950" s="171">
        <v>29</v>
      </c>
      <c r="AX1950" s="89"/>
      <c r="AY1950" s="171">
        <v>21</v>
      </c>
      <c r="AZ1950" s="89"/>
      <c r="BA1950" s="175">
        <v>61</v>
      </c>
      <c r="BB1950" s="259"/>
      <c r="BC1950" s="176"/>
      <c r="BD1950" s="177"/>
      <c r="BE1950" s="177"/>
      <c r="BF1950" s="190" t="s">
        <v>3388</v>
      </c>
    </row>
    <row r="1951" spans="1:58">
      <c r="A1951" s="111">
        <v>1950</v>
      </c>
      <c r="B1951" s="211" t="s">
        <v>3047</v>
      </c>
      <c r="C1951" s="191" t="s">
        <v>3292</v>
      </c>
      <c r="D1951" s="171" t="s">
        <v>3290</v>
      </c>
      <c r="E1951" s="732" t="s">
        <v>3379</v>
      </c>
      <c r="F1951" s="171">
        <v>2001</v>
      </c>
      <c r="G1951" s="171">
        <v>3</v>
      </c>
      <c r="H1951" s="172" t="s">
        <v>1738</v>
      </c>
      <c r="I1951" s="173" t="s">
        <v>1751</v>
      </c>
      <c r="J1951" s="242">
        <v>0.41984732824427479</v>
      </c>
      <c r="K1951" s="213">
        <v>3.3835877862595418</v>
      </c>
      <c r="L1951" s="38">
        <v>220</v>
      </c>
      <c r="M1951" s="171">
        <v>377.28</v>
      </c>
      <c r="N1951" s="171">
        <v>1106</v>
      </c>
      <c r="O1951" s="114"/>
      <c r="P1951" s="71" t="s">
        <v>3446</v>
      </c>
      <c r="Q1951" s="221" t="s">
        <v>522</v>
      </c>
      <c r="R1951" s="171" t="s">
        <v>3345</v>
      </c>
      <c r="S1951" s="171" t="s">
        <v>2315</v>
      </c>
      <c r="T1951" s="89"/>
      <c r="U1951" s="89" t="s">
        <v>3345</v>
      </c>
      <c r="V1951" s="102">
        <v>0</v>
      </c>
      <c r="W1951" s="120">
        <v>0</v>
      </c>
      <c r="X1951" s="120">
        <v>28</v>
      </c>
      <c r="Y1951" s="120">
        <v>0</v>
      </c>
      <c r="Z1951" s="120">
        <v>0</v>
      </c>
      <c r="AA1951" s="17">
        <v>0</v>
      </c>
      <c r="AB1951" s="17">
        <v>0</v>
      </c>
      <c r="AC1951" s="17">
        <v>0</v>
      </c>
      <c r="AD1951" s="17">
        <v>0</v>
      </c>
      <c r="AE1951" s="17">
        <v>0</v>
      </c>
      <c r="AF1951" s="17">
        <v>0</v>
      </c>
      <c r="AG1951" s="17">
        <v>0</v>
      </c>
      <c r="AH1951" s="17">
        <v>0</v>
      </c>
      <c r="AI1951" s="17">
        <v>0</v>
      </c>
      <c r="AJ1951" s="17">
        <v>0</v>
      </c>
      <c r="AK1951" s="17">
        <v>0</v>
      </c>
      <c r="AL1951" s="32">
        <v>0</v>
      </c>
      <c r="AM1951" s="172">
        <v>60.5</v>
      </c>
      <c r="AN1951" s="171">
        <v>45</v>
      </c>
      <c r="AO1951" s="89"/>
      <c r="AP1951" s="783">
        <v>46</v>
      </c>
      <c r="AQ1951" s="17" t="s">
        <v>3403</v>
      </c>
      <c r="AR1951" s="174">
        <v>100</v>
      </c>
      <c r="AS1951" s="171" t="s">
        <v>246</v>
      </c>
      <c r="AT1951" s="171">
        <v>200</v>
      </c>
      <c r="AU1951" s="171">
        <v>25</v>
      </c>
      <c r="AV1951" s="57"/>
      <c r="AW1951" s="171">
        <v>28</v>
      </c>
      <c r="AX1951" s="89"/>
      <c r="AY1951" s="171">
        <v>21</v>
      </c>
      <c r="AZ1951" s="89"/>
      <c r="BA1951" s="175">
        <v>61</v>
      </c>
      <c r="BB1951" s="259"/>
      <c r="BC1951" s="176"/>
      <c r="BD1951" s="177"/>
      <c r="BE1951" s="177"/>
      <c r="BF1951" s="190" t="s">
        <v>3389</v>
      </c>
    </row>
    <row r="1952" spans="1:58">
      <c r="A1952" s="111">
        <v>1951</v>
      </c>
      <c r="B1952" s="211" t="s">
        <v>3048</v>
      </c>
      <c r="C1952" s="191" t="s">
        <v>3292</v>
      </c>
      <c r="D1952" s="171" t="s">
        <v>3290</v>
      </c>
      <c r="E1952" s="732" t="s">
        <v>3379</v>
      </c>
      <c r="F1952" s="171">
        <v>2001</v>
      </c>
      <c r="G1952" s="171">
        <v>3</v>
      </c>
      <c r="H1952" s="172" t="s">
        <v>1738</v>
      </c>
      <c r="I1952" s="173" t="s">
        <v>1751</v>
      </c>
      <c r="J1952" s="242">
        <v>0.63091482649842268</v>
      </c>
      <c r="K1952" s="213">
        <v>5.6246056782334382</v>
      </c>
      <c r="L1952" s="38">
        <v>200</v>
      </c>
      <c r="M1952" s="171">
        <v>228.23999999999998</v>
      </c>
      <c r="N1952" s="171">
        <v>1106</v>
      </c>
      <c r="O1952" s="114"/>
      <c r="P1952" s="71" t="s">
        <v>3446</v>
      </c>
      <c r="Q1952" s="221" t="s">
        <v>522</v>
      </c>
      <c r="R1952" s="171" t="s">
        <v>3345</v>
      </c>
      <c r="S1952" s="171" t="s">
        <v>2315</v>
      </c>
      <c r="T1952" s="89"/>
      <c r="U1952" s="89" t="s">
        <v>3345</v>
      </c>
      <c r="V1952" s="102">
        <v>0</v>
      </c>
      <c r="W1952" s="120">
        <v>0</v>
      </c>
      <c r="X1952" s="120">
        <v>28</v>
      </c>
      <c r="Y1952" s="120">
        <v>0</v>
      </c>
      <c r="Z1952" s="120">
        <v>0</v>
      </c>
      <c r="AA1952" s="17">
        <v>0</v>
      </c>
      <c r="AB1952" s="17">
        <v>0</v>
      </c>
      <c r="AC1952" s="17">
        <v>0</v>
      </c>
      <c r="AD1952" s="17">
        <v>0</v>
      </c>
      <c r="AE1952" s="17">
        <v>0</v>
      </c>
      <c r="AF1952" s="17">
        <v>0</v>
      </c>
      <c r="AG1952" s="17">
        <v>0</v>
      </c>
      <c r="AH1952" s="17">
        <v>0</v>
      </c>
      <c r="AI1952" s="17">
        <v>0</v>
      </c>
      <c r="AJ1952" s="17">
        <v>0</v>
      </c>
      <c r="AK1952" s="17">
        <v>0</v>
      </c>
      <c r="AL1952" s="32">
        <v>0</v>
      </c>
      <c r="AM1952" s="172">
        <v>36</v>
      </c>
      <c r="AN1952" s="171">
        <v>60</v>
      </c>
      <c r="AO1952" s="89"/>
      <c r="AP1952" s="783">
        <v>35</v>
      </c>
      <c r="AQ1952" s="17" t="s">
        <v>3403</v>
      </c>
      <c r="AR1952" s="174">
        <v>100</v>
      </c>
      <c r="AS1952" s="171" t="s">
        <v>246</v>
      </c>
      <c r="AT1952" s="171">
        <v>200</v>
      </c>
      <c r="AU1952" s="171">
        <v>25</v>
      </c>
      <c r="AV1952" s="57"/>
      <c r="AW1952" s="171">
        <v>28</v>
      </c>
      <c r="AX1952" s="89"/>
      <c r="AY1952" s="171">
        <v>21</v>
      </c>
      <c r="AZ1952" s="89"/>
      <c r="BA1952" s="175">
        <v>61</v>
      </c>
      <c r="BB1952" s="259"/>
      <c r="BC1952" s="176"/>
      <c r="BD1952" s="177"/>
      <c r="BE1952" s="177"/>
      <c r="BF1952" s="190" t="s">
        <v>3389</v>
      </c>
    </row>
    <row r="1953" spans="1:58">
      <c r="A1953" s="111">
        <v>1952</v>
      </c>
      <c r="B1953" s="211" t="s">
        <v>3049</v>
      </c>
      <c r="C1953" s="191" t="s">
        <v>3292</v>
      </c>
      <c r="D1953" s="171" t="s">
        <v>3290</v>
      </c>
      <c r="E1953" s="732" t="s">
        <v>3379</v>
      </c>
      <c r="F1953" s="171">
        <v>2001</v>
      </c>
      <c r="G1953" s="171">
        <v>3</v>
      </c>
      <c r="H1953" s="172" t="s">
        <v>1738</v>
      </c>
      <c r="I1953" s="173" t="s">
        <v>1751</v>
      </c>
      <c r="J1953" s="242">
        <v>0.42</v>
      </c>
      <c r="K1953" s="213">
        <v>3.548</v>
      </c>
      <c r="L1953" s="38">
        <v>210</v>
      </c>
      <c r="M1953" s="171">
        <v>350</v>
      </c>
      <c r="N1953" s="171">
        <v>1106</v>
      </c>
      <c r="O1953" s="114"/>
      <c r="P1953" s="71" t="s">
        <v>3450</v>
      </c>
      <c r="Q1953" s="221" t="s">
        <v>1754</v>
      </c>
      <c r="R1953" s="171" t="s">
        <v>3345</v>
      </c>
      <c r="S1953" s="171" t="s">
        <v>2315</v>
      </c>
      <c r="T1953" s="89"/>
      <c r="U1953" s="89" t="s">
        <v>3345</v>
      </c>
      <c r="V1953" s="102">
        <v>0</v>
      </c>
      <c r="W1953" s="120">
        <v>30</v>
      </c>
      <c r="X1953" s="120">
        <v>0</v>
      </c>
      <c r="Y1953" s="120">
        <v>0</v>
      </c>
      <c r="Z1953" s="120">
        <v>0</v>
      </c>
      <c r="AA1953" s="17">
        <v>0</v>
      </c>
      <c r="AB1953" s="17">
        <v>0</v>
      </c>
      <c r="AC1953" s="17">
        <v>0</v>
      </c>
      <c r="AD1953" s="17">
        <v>0</v>
      </c>
      <c r="AE1953" s="17">
        <v>0</v>
      </c>
      <c r="AF1953" s="17">
        <v>0</v>
      </c>
      <c r="AG1953" s="17">
        <v>0</v>
      </c>
      <c r="AH1953" s="17">
        <v>0</v>
      </c>
      <c r="AI1953" s="17">
        <v>0</v>
      </c>
      <c r="AJ1953" s="17">
        <v>0</v>
      </c>
      <c r="AK1953" s="17">
        <v>0</v>
      </c>
      <c r="AL1953" s="32">
        <v>0</v>
      </c>
      <c r="AM1953" s="172">
        <v>52</v>
      </c>
      <c r="AN1953" s="171">
        <v>75</v>
      </c>
      <c r="AO1953" s="89"/>
      <c r="AP1953" s="783">
        <v>36</v>
      </c>
      <c r="AQ1953" s="17" t="s">
        <v>3403</v>
      </c>
      <c r="AR1953" s="174">
        <v>100</v>
      </c>
      <c r="AS1953" s="171" t="s">
        <v>246</v>
      </c>
      <c r="AT1953" s="171">
        <v>200</v>
      </c>
      <c r="AU1953" s="171">
        <v>25</v>
      </c>
      <c r="AV1953" s="57"/>
      <c r="AW1953" s="171">
        <v>29</v>
      </c>
      <c r="AX1953" s="89"/>
      <c r="AY1953" s="171">
        <v>21</v>
      </c>
      <c r="AZ1953" s="89"/>
      <c r="BA1953" s="175">
        <v>66</v>
      </c>
      <c r="BB1953" s="259"/>
      <c r="BC1953" s="176"/>
      <c r="BD1953" s="177"/>
      <c r="BE1953" s="177"/>
      <c r="BF1953" s="190" t="s">
        <v>3320</v>
      </c>
    </row>
    <row r="1954" spans="1:58">
      <c r="A1954" s="111">
        <v>1953</v>
      </c>
      <c r="B1954" s="211" t="s">
        <v>3050</v>
      </c>
      <c r="C1954" s="191" t="s">
        <v>3292</v>
      </c>
      <c r="D1954" s="171" t="s">
        <v>3290</v>
      </c>
      <c r="E1954" s="732" t="s">
        <v>3379</v>
      </c>
      <c r="F1954" s="171">
        <v>2001</v>
      </c>
      <c r="G1954" s="171">
        <v>3</v>
      </c>
      <c r="H1954" s="172" t="s">
        <v>1738</v>
      </c>
      <c r="I1954" s="173" t="s">
        <v>1751</v>
      </c>
      <c r="J1954" s="242">
        <v>0.6312292358803987</v>
      </c>
      <c r="K1954" s="213">
        <v>6.8305647840531565</v>
      </c>
      <c r="L1954" s="38">
        <v>190</v>
      </c>
      <c r="M1954" s="171">
        <v>211</v>
      </c>
      <c r="N1954" s="171">
        <v>1106</v>
      </c>
      <c r="O1954" s="114"/>
      <c r="P1954" s="71" t="s">
        <v>3450</v>
      </c>
      <c r="Q1954" s="221" t="s">
        <v>1754</v>
      </c>
      <c r="R1954" s="171" t="s">
        <v>3345</v>
      </c>
      <c r="S1954" s="171" t="s">
        <v>2315</v>
      </c>
      <c r="T1954" s="89"/>
      <c r="U1954" s="89" t="s">
        <v>3345</v>
      </c>
      <c r="V1954" s="102">
        <v>0</v>
      </c>
      <c r="W1954" s="122">
        <v>30</v>
      </c>
      <c r="X1954" s="120">
        <v>0</v>
      </c>
      <c r="Y1954" s="120">
        <v>0</v>
      </c>
      <c r="Z1954" s="120">
        <v>0</v>
      </c>
      <c r="AA1954" s="17">
        <v>0</v>
      </c>
      <c r="AB1954" s="17">
        <v>0</v>
      </c>
      <c r="AC1954" s="17">
        <v>0</v>
      </c>
      <c r="AD1954" s="17">
        <v>0</v>
      </c>
      <c r="AE1954" s="17">
        <v>0</v>
      </c>
      <c r="AF1954" s="17">
        <v>0</v>
      </c>
      <c r="AG1954" s="17">
        <v>0</v>
      </c>
      <c r="AH1954" s="17">
        <v>0</v>
      </c>
      <c r="AI1954" s="17">
        <v>0</v>
      </c>
      <c r="AJ1954" s="17">
        <v>0</v>
      </c>
      <c r="AK1954" s="17">
        <v>0</v>
      </c>
      <c r="AL1954" s="32">
        <v>0</v>
      </c>
      <c r="AM1954" s="172">
        <v>25</v>
      </c>
      <c r="AN1954" s="171">
        <v>70</v>
      </c>
      <c r="AO1954" s="89"/>
      <c r="AP1954" s="783">
        <v>30</v>
      </c>
      <c r="AQ1954" s="17" t="s">
        <v>3403</v>
      </c>
      <c r="AR1954" s="174">
        <v>100</v>
      </c>
      <c r="AS1954" s="171" t="s">
        <v>246</v>
      </c>
      <c r="AT1954" s="171">
        <v>200</v>
      </c>
      <c r="AU1954" s="171">
        <v>25</v>
      </c>
      <c r="AV1954" s="57"/>
      <c r="AW1954" s="171">
        <v>29</v>
      </c>
      <c r="AX1954" s="89"/>
      <c r="AY1954" s="171">
        <v>21</v>
      </c>
      <c r="AZ1954" s="89"/>
      <c r="BA1954" s="175">
        <v>66</v>
      </c>
      <c r="BB1954" s="259"/>
      <c r="BC1954" s="176"/>
      <c r="BD1954" s="177"/>
      <c r="BE1954" s="177"/>
      <c r="BF1954" s="190" t="s">
        <v>3320</v>
      </c>
    </row>
    <row r="1955" spans="1:58">
      <c r="A1955" s="111">
        <v>1954</v>
      </c>
      <c r="B1955" s="211" t="s">
        <v>3051</v>
      </c>
      <c r="C1955" s="191" t="s">
        <v>3292</v>
      </c>
      <c r="D1955" s="171" t="s">
        <v>3290</v>
      </c>
      <c r="E1955" s="732" t="s">
        <v>3379</v>
      </c>
      <c r="F1955" s="171">
        <v>2001</v>
      </c>
      <c r="G1955" s="171">
        <v>3</v>
      </c>
      <c r="H1955" s="172" t="s">
        <v>1738</v>
      </c>
      <c r="I1955" s="173" t="s">
        <v>1751</v>
      </c>
      <c r="J1955" s="242">
        <v>0.42</v>
      </c>
      <c r="K1955" s="213">
        <v>3.6920000000000002</v>
      </c>
      <c r="L1955" s="38">
        <v>210</v>
      </c>
      <c r="M1955" s="171">
        <v>500</v>
      </c>
      <c r="N1955" s="171">
        <v>1106</v>
      </c>
      <c r="O1955" s="114"/>
      <c r="P1955" s="71" t="s">
        <v>3450</v>
      </c>
      <c r="Q1955" s="221" t="s">
        <v>1754</v>
      </c>
      <c r="R1955" s="171" t="s">
        <v>3345</v>
      </c>
      <c r="S1955" s="171" t="s">
        <v>2315</v>
      </c>
      <c r="T1955" s="89"/>
      <c r="U1955" s="89" t="s">
        <v>3345</v>
      </c>
      <c r="V1955" s="102">
        <v>0</v>
      </c>
      <c r="W1955" s="120">
        <v>0</v>
      </c>
      <c r="X1955" s="120">
        <v>0</v>
      </c>
      <c r="Y1955" s="120">
        <v>0</v>
      </c>
      <c r="Z1955" s="120">
        <v>0</v>
      </c>
      <c r="AA1955" s="17">
        <v>0</v>
      </c>
      <c r="AB1955" s="17">
        <v>0</v>
      </c>
      <c r="AC1955" s="17">
        <v>0</v>
      </c>
      <c r="AD1955" s="17">
        <v>0</v>
      </c>
      <c r="AE1955" s="17">
        <v>0</v>
      </c>
      <c r="AF1955" s="17">
        <v>0</v>
      </c>
      <c r="AG1955" s="17">
        <v>0</v>
      </c>
      <c r="AH1955" s="17">
        <v>0</v>
      </c>
      <c r="AI1955" s="17">
        <v>0</v>
      </c>
      <c r="AJ1955" s="17">
        <v>0</v>
      </c>
      <c r="AK1955" s="17">
        <v>0</v>
      </c>
      <c r="AL1955" s="32">
        <v>0</v>
      </c>
      <c r="AM1955" s="172">
        <v>63</v>
      </c>
      <c r="AN1955" s="171">
        <v>70</v>
      </c>
      <c r="AO1955" s="89"/>
      <c r="AP1955" s="783">
        <v>42</v>
      </c>
      <c r="AQ1955" s="17" t="s">
        <v>3403</v>
      </c>
      <c r="AR1955" s="174">
        <v>100</v>
      </c>
      <c r="AS1955" s="171" t="s">
        <v>246</v>
      </c>
      <c r="AT1955" s="171">
        <v>200</v>
      </c>
      <c r="AU1955" s="171">
        <v>25</v>
      </c>
      <c r="AV1955" s="57"/>
      <c r="AW1955" s="171">
        <v>30</v>
      </c>
      <c r="AX1955" s="89"/>
      <c r="AY1955" s="171">
        <v>21</v>
      </c>
      <c r="AZ1955" s="89"/>
      <c r="BA1955" s="175">
        <v>66</v>
      </c>
      <c r="BB1955" s="259"/>
      <c r="BC1955" s="176"/>
      <c r="BD1955" s="177"/>
      <c r="BE1955" s="177"/>
      <c r="BF1955" s="190" t="s">
        <v>3321</v>
      </c>
    </row>
    <row r="1956" spans="1:58">
      <c r="A1956" s="111">
        <v>1955</v>
      </c>
      <c r="B1956" s="211" t="s">
        <v>3052</v>
      </c>
      <c r="C1956" s="191" t="s">
        <v>3292</v>
      </c>
      <c r="D1956" s="171" t="s">
        <v>3290</v>
      </c>
      <c r="E1956" s="732" t="s">
        <v>3379</v>
      </c>
      <c r="F1956" s="171">
        <v>2001</v>
      </c>
      <c r="G1956" s="171">
        <v>3</v>
      </c>
      <c r="H1956" s="172" t="s">
        <v>1738</v>
      </c>
      <c r="I1956" s="173" t="s">
        <v>1751</v>
      </c>
      <c r="J1956" s="242">
        <v>0.62903225806451613</v>
      </c>
      <c r="K1956" s="213">
        <v>6.6516129032258062</v>
      </c>
      <c r="L1956" s="38">
        <v>195</v>
      </c>
      <c r="M1956" s="171">
        <v>310</v>
      </c>
      <c r="N1956" s="171">
        <v>1106</v>
      </c>
      <c r="O1956" s="114"/>
      <c r="P1956" s="71" t="s">
        <v>3450</v>
      </c>
      <c r="Q1956" s="221" t="s">
        <v>1754</v>
      </c>
      <c r="R1956" s="171" t="s">
        <v>3345</v>
      </c>
      <c r="S1956" s="171" t="s">
        <v>2315</v>
      </c>
      <c r="T1956" s="89"/>
      <c r="U1956" s="89" t="s">
        <v>3345</v>
      </c>
      <c r="V1956" s="102">
        <v>0</v>
      </c>
      <c r="W1956" s="120">
        <v>0</v>
      </c>
      <c r="X1956" s="120">
        <v>0</v>
      </c>
      <c r="Y1956" s="120">
        <v>0</v>
      </c>
      <c r="Z1956" s="120">
        <v>0</v>
      </c>
      <c r="AA1956" s="17">
        <v>0</v>
      </c>
      <c r="AB1956" s="17">
        <v>0</v>
      </c>
      <c r="AC1956" s="17">
        <v>0</v>
      </c>
      <c r="AD1956" s="17">
        <v>0</v>
      </c>
      <c r="AE1956" s="17">
        <v>0</v>
      </c>
      <c r="AF1956" s="17">
        <v>0</v>
      </c>
      <c r="AG1956" s="17">
        <v>0</v>
      </c>
      <c r="AH1956" s="17">
        <v>0</v>
      </c>
      <c r="AI1956" s="17">
        <v>0</v>
      </c>
      <c r="AJ1956" s="17">
        <v>0</v>
      </c>
      <c r="AK1956" s="17">
        <v>0</v>
      </c>
      <c r="AL1956" s="32">
        <v>0</v>
      </c>
      <c r="AM1956" s="172">
        <v>34.5</v>
      </c>
      <c r="AN1956" s="171">
        <v>75</v>
      </c>
      <c r="AO1956" s="89"/>
      <c r="AP1956" s="783">
        <v>39</v>
      </c>
      <c r="AQ1956" s="17" t="s">
        <v>3403</v>
      </c>
      <c r="AR1956" s="174">
        <v>100</v>
      </c>
      <c r="AS1956" s="171" t="s">
        <v>246</v>
      </c>
      <c r="AT1956" s="171">
        <v>200</v>
      </c>
      <c r="AU1956" s="171">
        <v>25</v>
      </c>
      <c r="AV1956" s="57"/>
      <c r="AW1956" s="171">
        <v>29</v>
      </c>
      <c r="AX1956" s="89"/>
      <c r="AY1956" s="171">
        <v>21</v>
      </c>
      <c r="AZ1956" s="89"/>
      <c r="BA1956" s="175">
        <v>66</v>
      </c>
      <c r="BB1956" s="259"/>
      <c r="BC1956" s="176"/>
      <c r="BD1956" s="177"/>
      <c r="BE1956" s="177"/>
      <c r="BF1956" s="190" t="s">
        <v>3321</v>
      </c>
    </row>
    <row r="1957" spans="1:58">
      <c r="A1957" s="111">
        <v>1956</v>
      </c>
      <c r="B1957" s="211" t="s">
        <v>3053</v>
      </c>
      <c r="C1957" s="244" t="s">
        <v>3293</v>
      </c>
      <c r="D1957" s="171" t="s">
        <v>3290</v>
      </c>
      <c r="E1957" s="732" t="s">
        <v>3379</v>
      </c>
      <c r="F1957" s="171">
        <v>2002</v>
      </c>
      <c r="G1957" s="171">
        <v>4</v>
      </c>
      <c r="H1957" s="172" t="s">
        <v>1738</v>
      </c>
      <c r="I1957" s="173" t="s">
        <v>1751</v>
      </c>
      <c r="J1957" s="242">
        <v>0.42003198720511797</v>
      </c>
      <c r="K1957" s="213">
        <v>3.5405837664934028</v>
      </c>
      <c r="L1957" s="38">
        <v>210.1</v>
      </c>
      <c r="M1957" s="171">
        <v>500.2</v>
      </c>
      <c r="N1957" s="171">
        <v>1129.5</v>
      </c>
      <c r="O1957" s="162"/>
      <c r="P1957" s="71">
        <v>42.5</v>
      </c>
      <c r="Q1957" s="221" t="s">
        <v>522</v>
      </c>
      <c r="R1957" s="171" t="s">
        <v>3346</v>
      </c>
      <c r="S1957" s="171" t="s">
        <v>2312</v>
      </c>
      <c r="T1957" s="89"/>
      <c r="U1957" s="89" t="s">
        <v>3346</v>
      </c>
      <c r="V1957" s="102">
        <v>0</v>
      </c>
      <c r="W1957" s="120">
        <v>0</v>
      </c>
      <c r="X1957" s="120">
        <v>0</v>
      </c>
      <c r="Y1957" s="120">
        <v>0</v>
      </c>
      <c r="Z1957" s="120">
        <v>0</v>
      </c>
      <c r="AA1957" s="17">
        <v>0</v>
      </c>
      <c r="AB1957" s="17">
        <v>0</v>
      </c>
      <c r="AC1957" s="17">
        <v>0</v>
      </c>
      <c r="AD1957" s="17">
        <v>0</v>
      </c>
      <c r="AE1957" s="17">
        <v>0</v>
      </c>
      <c r="AF1957" s="17">
        <v>0</v>
      </c>
      <c r="AG1957" s="17">
        <v>0</v>
      </c>
      <c r="AH1957" s="17">
        <v>0</v>
      </c>
      <c r="AI1957" s="17">
        <v>0</v>
      </c>
      <c r="AJ1957" s="17">
        <v>0</v>
      </c>
      <c r="AK1957" s="17">
        <v>0</v>
      </c>
      <c r="AL1957" s="32">
        <v>0</v>
      </c>
      <c r="AM1957" s="172">
        <v>64</v>
      </c>
      <c r="AN1957" s="171">
        <v>65</v>
      </c>
      <c r="AO1957" s="89"/>
      <c r="AP1957" s="783">
        <v>41.133171639913449</v>
      </c>
      <c r="AQ1957" s="17" t="s">
        <v>3403</v>
      </c>
      <c r="AR1957" s="174">
        <v>100</v>
      </c>
      <c r="AS1957" s="171" t="s">
        <v>246</v>
      </c>
      <c r="AT1957" s="171">
        <v>200</v>
      </c>
      <c r="AU1957" s="171">
        <v>25</v>
      </c>
      <c r="AV1957" s="57"/>
      <c r="AW1957" s="171">
        <v>35</v>
      </c>
      <c r="AX1957" s="89"/>
      <c r="AY1957" s="171">
        <v>22</v>
      </c>
      <c r="AZ1957" s="89"/>
      <c r="BA1957" s="175">
        <v>62</v>
      </c>
      <c r="BB1957" s="259"/>
      <c r="BC1957" s="176"/>
      <c r="BD1957" s="177"/>
      <c r="BE1957" s="177"/>
      <c r="BF1957" s="190" t="s">
        <v>3473</v>
      </c>
    </row>
    <row r="1958" spans="1:58">
      <c r="A1958" s="111">
        <v>1957</v>
      </c>
      <c r="B1958" s="211" t="s">
        <v>3054</v>
      </c>
      <c r="C1958" s="244" t="s">
        <v>3293</v>
      </c>
      <c r="D1958" s="171" t="s">
        <v>3290</v>
      </c>
      <c r="E1958" s="732" t="s">
        <v>3379</v>
      </c>
      <c r="F1958" s="171">
        <v>2002</v>
      </c>
      <c r="G1958" s="171">
        <v>4</v>
      </c>
      <c r="H1958" s="172" t="s">
        <v>1738</v>
      </c>
      <c r="I1958" s="173" t="s">
        <v>1751</v>
      </c>
      <c r="J1958" s="242">
        <v>0.63018242122719736</v>
      </c>
      <c r="K1958" s="213">
        <v>6.618573797678275</v>
      </c>
      <c r="L1958" s="38">
        <v>190</v>
      </c>
      <c r="M1958" s="171">
        <v>301.5</v>
      </c>
      <c r="N1958" s="171">
        <v>1128.9000000000001</v>
      </c>
      <c r="O1958" s="162"/>
      <c r="P1958" s="71">
        <v>42.5</v>
      </c>
      <c r="Q1958" s="221" t="s">
        <v>522</v>
      </c>
      <c r="R1958" s="171" t="s">
        <v>3346</v>
      </c>
      <c r="S1958" s="171" t="s">
        <v>2312</v>
      </c>
      <c r="T1958" s="89"/>
      <c r="U1958" s="89" t="s">
        <v>3346</v>
      </c>
      <c r="V1958" s="102">
        <v>0</v>
      </c>
      <c r="W1958" s="120">
        <v>0</v>
      </c>
      <c r="X1958" s="120">
        <v>0</v>
      </c>
      <c r="Y1958" s="120">
        <v>0</v>
      </c>
      <c r="Z1958" s="120">
        <v>0</v>
      </c>
      <c r="AA1958" s="17">
        <v>0</v>
      </c>
      <c r="AB1958" s="17">
        <v>0</v>
      </c>
      <c r="AC1958" s="17">
        <v>0</v>
      </c>
      <c r="AD1958" s="17">
        <v>0</v>
      </c>
      <c r="AE1958" s="17">
        <v>0</v>
      </c>
      <c r="AF1958" s="17">
        <v>0</v>
      </c>
      <c r="AG1958" s="17">
        <v>0</v>
      </c>
      <c r="AH1958" s="17">
        <v>0</v>
      </c>
      <c r="AI1958" s="17">
        <v>0</v>
      </c>
      <c r="AJ1958" s="17">
        <v>0</v>
      </c>
      <c r="AK1958" s="17">
        <v>0</v>
      </c>
      <c r="AL1958" s="32">
        <v>0</v>
      </c>
      <c r="AM1958" s="172">
        <v>33.5</v>
      </c>
      <c r="AN1958" s="171">
        <v>80</v>
      </c>
      <c r="AO1958" s="89"/>
      <c r="AP1958" s="783">
        <v>32.350879887284258</v>
      </c>
      <c r="AQ1958" s="17" t="s">
        <v>3403</v>
      </c>
      <c r="AR1958" s="174">
        <v>100</v>
      </c>
      <c r="AS1958" s="171" t="s">
        <v>246</v>
      </c>
      <c r="AT1958" s="171">
        <v>200</v>
      </c>
      <c r="AU1958" s="171">
        <v>25</v>
      </c>
      <c r="AV1958" s="57"/>
      <c r="AW1958" s="171">
        <v>35</v>
      </c>
      <c r="AX1958" s="89"/>
      <c r="AY1958" s="171">
        <v>22</v>
      </c>
      <c r="AZ1958" s="89"/>
      <c r="BA1958" s="175">
        <v>62</v>
      </c>
      <c r="BB1958" s="259"/>
      <c r="BC1958" s="176"/>
      <c r="BD1958" s="177"/>
      <c r="BE1958" s="177"/>
      <c r="BF1958" s="190" t="s">
        <v>3473</v>
      </c>
    </row>
    <row r="1959" spans="1:58">
      <c r="A1959" s="111">
        <v>1958</v>
      </c>
      <c r="B1959" s="211" t="s">
        <v>3055</v>
      </c>
      <c r="C1959" s="244" t="s">
        <v>3293</v>
      </c>
      <c r="D1959" s="171" t="s">
        <v>3290</v>
      </c>
      <c r="E1959" s="732" t="s">
        <v>3379</v>
      </c>
      <c r="F1959" s="171">
        <v>2002</v>
      </c>
      <c r="G1959" s="171">
        <v>4</v>
      </c>
      <c r="H1959" s="172" t="s">
        <v>1738</v>
      </c>
      <c r="I1959" s="173" t="s">
        <v>1751</v>
      </c>
      <c r="J1959" s="242">
        <v>0.42003198720511797</v>
      </c>
      <c r="K1959" s="213">
        <v>3.5405837664934028</v>
      </c>
      <c r="L1959" s="38">
        <v>210.1</v>
      </c>
      <c r="M1959" s="171">
        <v>500.2</v>
      </c>
      <c r="N1959" s="171">
        <v>1129.5</v>
      </c>
      <c r="O1959" s="162"/>
      <c r="P1959" s="71">
        <v>42.5</v>
      </c>
      <c r="Q1959" s="221" t="s">
        <v>522</v>
      </c>
      <c r="R1959" s="171" t="s">
        <v>3346</v>
      </c>
      <c r="S1959" s="171" t="s">
        <v>2312</v>
      </c>
      <c r="T1959" s="89"/>
      <c r="U1959" s="89" t="s">
        <v>3346</v>
      </c>
      <c r="V1959" s="102">
        <v>0</v>
      </c>
      <c r="W1959" s="120">
        <v>0</v>
      </c>
      <c r="X1959" s="120">
        <v>0</v>
      </c>
      <c r="Y1959" s="120">
        <v>0</v>
      </c>
      <c r="Z1959" s="120">
        <v>0</v>
      </c>
      <c r="AA1959" s="17">
        <v>0</v>
      </c>
      <c r="AB1959" s="17">
        <v>0</v>
      </c>
      <c r="AC1959" s="17">
        <v>0</v>
      </c>
      <c r="AD1959" s="17">
        <v>0</v>
      </c>
      <c r="AE1959" s="17">
        <v>0</v>
      </c>
      <c r="AF1959" s="17">
        <v>0</v>
      </c>
      <c r="AG1959" s="17">
        <v>0</v>
      </c>
      <c r="AH1959" s="17">
        <v>0</v>
      </c>
      <c r="AI1959" s="17">
        <v>0</v>
      </c>
      <c r="AJ1959" s="17">
        <v>0</v>
      </c>
      <c r="AK1959" s="17">
        <v>0</v>
      </c>
      <c r="AL1959" s="32">
        <v>0</v>
      </c>
      <c r="AM1959" s="172">
        <v>64.5</v>
      </c>
      <c r="AN1959" s="171">
        <v>60</v>
      </c>
      <c r="AO1959" s="89"/>
      <c r="AP1959" s="783">
        <v>36.528712127982836</v>
      </c>
      <c r="AQ1959" s="17" t="s">
        <v>3403</v>
      </c>
      <c r="AR1959" s="174">
        <v>100</v>
      </c>
      <c r="AS1959" s="171" t="s">
        <v>246</v>
      </c>
      <c r="AT1959" s="171">
        <v>200</v>
      </c>
      <c r="AU1959" s="171">
        <v>25</v>
      </c>
      <c r="AV1959" s="57"/>
      <c r="AW1959" s="171">
        <v>31</v>
      </c>
      <c r="AX1959" s="89"/>
      <c r="AY1959" s="171">
        <v>22</v>
      </c>
      <c r="AZ1959" s="89"/>
      <c r="BA1959" s="175">
        <v>62</v>
      </c>
      <c r="BB1959" s="259"/>
      <c r="BC1959" s="176"/>
      <c r="BD1959" s="177"/>
      <c r="BE1959" s="177"/>
      <c r="BF1959" s="190" t="s">
        <v>3473</v>
      </c>
    </row>
    <row r="1960" spans="1:58">
      <c r="A1960" s="111">
        <v>1959</v>
      </c>
      <c r="B1960" s="211" t="s">
        <v>3056</v>
      </c>
      <c r="C1960" s="244" t="s">
        <v>3293</v>
      </c>
      <c r="D1960" s="171" t="s">
        <v>3290</v>
      </c>
      <c r="E1960" s="732" t="s">
        <v>3379</v>
      </c>
      <c r="F1960" s="171">
        <v>2002</v>
      </c>
      <c r="G1960" s="171">
        <v>4</v>
      </c>
      <c r="H1960" s="172" t="s">
        <v>1738</v>
      </c>
      <c r="I1960" s="173" t="s">
        <v>1751</v>
      </c>
      <c r="J1960" s="242">
        <v>0.63011972274732209</v>
      </c>
      <c r="K1960" s="213">
        <v>6.1600504095778206</v>
      </c>
      <c r="L1960" s="38">
        <v>200</v>
      </c>
      <c r="M1960" s="171">
        <v>317.39999999999998</v>
      </c>
      <c r="N1960" s="171">
        <v>1128.9000000000001</v>
      </c>
      <c r="O1960" s="162"/>
      <c r="P1960" s="71">
        <v>42.5</v>
      </c>
      <c r="Q1960" s="221" t="s">
        <v>522</v>
      </c>
      <c r="R1960" s="171" t="s">
        <v>3346</v>
      </c>
      <c r="S1960" s="171" t="s">
        <v>2312</v>
      </c>
      <c r="T1960" s="89"/>
      <c r="U1960" s="89" t="s">
        <v>3346</v>
      </c>
      <c r="V1960" s="102">
        <v>0</v>
      </c>
      <c r="W1960" s="120">
        <v>0</v>
      </c>
      <c r="X1960" s="120">
        <v>0</v>
      </c>
      <c r="Y1960" s="120">
        <v>0</v>
      </c>
      <c r="Z1960" s="120">
        <v>0</v>
      </c>
      <c r="AA1960" s="17">
        <v>0</v>
      </c>
      <c r="AB1960" s="17">
        <v>0</v>
      </c>
      <c r="AC1960" s="17">
        <v>0</v>
      </c>
      <c r="AD1960" s="17">
        <v>0</v>
      </c>
      <c r="AE1960" s="17">
        <v>0</v>
      </c>
      <c r="AF1960" s="17">
        <v>0</v>
      </c>
      <c r="AG1960" s="17">
        <v>0</v>
      </c>
      <c r="AH1960" s="17">
        <v>0</v>
      </c>
      <c r="AI1960" s="17">
        <v>0</v>
      </c>
      <c r="AJ1960" s="17">
        <v>0</v>
      </c>
      <c r="AK1960" s="17">
        <v>0</v>
      </c>
      <c r="AL1960" s="32">
        <v>0</v>
      </c>
      <c r="AM1960" s="172">
        <v>38.5</v>
      </c>
      <c r="AN1960" s="171">
        <v>70</v>
      </c>
      <c r="AO1960" s="89"/>
      <c r="AP1960" s="783">
        <v>29.889399895860457</v>
      </c>
      <c r="AQ1960" s="17" t="s">
        <v>3403</v>
      </c>
      <c r="AR1960" s="174">
        <v>100</v>
      </c>
      <c r="AS1960" s="171" t="s">
        <v>246</v>
      </c>
      <c r="AT1960" s="171">
        <v>200</v>
      </c>
      <c r="AU1960" s="171">
        <v>25</v>
      </c>
      <c r="AV1960" s="57"/>
      <c r="AW1960" s="171">
        <v>31</v>
      </c>
      <c r="AX1960" s="89"/>
      <c r="AY1960" s="171">
        <v>22</v>
      </c>
      <c r="AZ1960" s="89"/>
      <c r="BA1960" s="175">
        <v>62</v>
      </c>
      <c r="BB1960" s="259"/>
      <c r="BC1960" s="176"/>
      <c r="BD1960" s="177"/>
      <c r="BE1960" s="177"/>
      <c r="BF1960" s="190" t="s">
        <v>3473</v>
      </c>
    </row>
    <row r="1961" spans="1:58">
      <c r="A1961" s="111">
        <v>1960</v>
      </c>
      <c r="B1961" s="211" t="s">
        <v>3057</v>
      </c>
      <c r="C1961" s="244" t="s">
        <v>3293</v>
      </c>
      <c r="D1961" s="171" t="s">
        <v>3290</v>
      </c>
      <c r="E1961" s="732" t="s">
        <v>3379</v>
      </c>
      <c r="F1961" s="171">
        <v>2002</v>
      </c>
      <c r="G1961" s="171">
        <v>4</v>
      </c>
      <c r="H1961" s="172" t="s">
        <v>1738</v>
      </c>
      <c r="I1961" s="173" t="s">
        <v>1751</v>
      </c>
      <c r="J1961" s="242">
        <v>0.42003198720511797</v>
      </c>
      <c r="K1961" s="213">
        <v>3.5405837664934028</v>
      </c>
      <c r="L1961" s="38">
        <v>210.1</v>
      </c>
      <c r="M1961" s="171">
        <v>500.2</v>
      </c>
      <c r="N1961" s="171">
        <v>1129.5</v>
      </c>
      <c r="O1961" s="162"/>
      <c r="P1961" s="71">
        <v>42.5</v>
      </c>
      <c r="Q1961" s="221" t="s">
        <v>522</v>
      </c>
      <c r="R1961" s="171" t="s">
        <v>3346</v>
      </c>
      <c r="S1961" s="171" t="s">
        <v>2312</v>
      </c>
      <c r="T1961" s="89"/>
      <c r="U1961" s="89" t="s">
        <v>3346</v>
      </c>
      <c r="V1961" s="102">
        <v>0</v>
      </c>
      <c r="W1961" s="120">
        <v>0</v>
      </c>
      <c r="X1961" s="120">
        <v>0</v>
      </c>
      <c r="Y1961" s="120">
        <v>0</v>
      </c>
      <c r="Z1961" s="120">
        <v>0</v>
      </c>
      <c r="AA1961" s="17">
        <v>0</v>
      </c>
      <c r="AB1961" s="17">
        <v>0</v>
      </c>
      <c r="AC1961" s="17">
        <v>0</v>
      </c>
      <c r="AD1961" s="17">
        <v>0</v>
      </c>
      <c r="AE1961" s="17">
        <v>0</v>
      </c>
      <c r="AF1961" s="17">
        <v>0</v>
      </c>
      <c r="AG1961" s="17">
        <v>0</v>
      </c>
      <c r="AH1961" s="17">
        <v>0</v>
      </c>
      <c r="AI1961" s="17">
        <v>0</v>
      </c>
      <c r="AJ1961" s="17">
        <v>0</v>
      </c>
      <c r="AK1961" s="17">
        <v>0</v>
      </c>
      <c r="AL1961" s="32">
        <v>0</v>
      </c>
      <c r="AM1961" s="172">
        <v>64</v>
      </c>
      <c r="AN1961" s="171">
        <v>75</v>
      </c>
      <c r="AO1961" s="89"/>
      <c r="AP1961" s="783">
        <v>38.229194070874641</v>
      </c>
      <c r="AQ1961" s="17" t="s">
        <v>3403</v>
      </c>
      <c r="AR1961" s="174">
        <v>100</v>
      </c>
      <c r="AS1961" s="171" t="s">
        <v>246</v>
      </c>
      <c r="AT1961" s="171">
        <v>200</v>
      </c>
      <c r="AU1961" s="171">
        <v>25</v>
      </c>
      <c r="AV1961" s="57"/>
      <c r="AW1961" s="171">
        <v>28</v>
      </c>
      <c r="AX1961" s="89"/>
      <c r="AY1961" s="171">
        <v>21</v>
      </c>
      <c r="AZ1961" s="89"/>
      <c r="BA1961" s="175">
        <v>63</v>
      </c>
      <c r="BB1961" s="259"/>
      <c r="BC1961" s="176"/>
      <c r="BD1961" s="177"/>
      <c r="BE1961" s="177"/>
      <c r="BF1961" s="190" t="s">
        <v>3473</v>
      </c>
    </row>
    <row r="1962" spans="1:58">
      <c r="A1962" s="111">
        <v>1961</v>
      </c>
      <c r="B1962" s="211" t="s">
        <v>3058</v>
      </c>
      <c r="C1962" s="244" t="s">
        <v>3293</v>
      </c>
      <c r="D1962" s="171" t="s">
        <v>3290</v>
      </c>
      <c r="E1962" s="732" t="s">
        <v>3379</v>
      </c>
      <c r="F1962" s="171">
        <v>2002</v>
      </c>
      <c r="G1962" s="171">
        <v>4</v>
      </c>
      <c r="H1962" s="172" t="s">
        <v>1738</v>
      </c>
      <c r="I1962" s="173" t="s">
        <v>1751</v>
      </c>
      <c r="J1962" s="242">
        <v>0.63011972274732209</v>
      </c>
      <c r="K1962" s="213">
        <v>6.1600504095778206</v>
      </c>
      <c r="L1962" s="38">
        <v>200</v>
      </c>
      <c r="M1962" s="171">
        <v>317.39999999999998</v>
      </c>
      <c r="N1962" s="171">
        <v>1128.9000000000001</v>
      </c>
      <c r="O1962" s="162"/>
      <c r="P1962" s="71">
        <v>42.5</v>
      </c>
      <c r="Q1962" s="221" t="s">
        <v>522</v>
      </c>
      <c r="R1962" s="171" t="s">
        <v>3346</v>
      </c>
      <c r="S1962" s="171" t="s">
        <v>2312</v>
      </c>
      <c r="T1962" s="89"/>
      <c r="U1962" s="89" t="s">
        <v>3346</v>
      </c>
      <c r="V1962" s="102">
        <v>0</v>
      </c>
      <c r="W1962" s="120">
        <v>0</v>
      </c>
      <c r="X1962" s="120">
        <v>0</v>
      </c>
      <c r="Y1962" s="120">
        <v>0</v>
      </c>
      <c r="Z1962" s="120">
        <v>0</v>
      </c>
      <c r="AA1962" s="17">
        <v>0</v>
      </c>
      <c r="AB1962" s="17">
        <v>0</v>
      </c>
      <c r="AC1962" s="17">
        <v>0</v>
      </c>
      <c r="AD1962" s="17">
        <v>0</v>
      </c>
      <c r="AE1962" s="17">
        <v>0</v>
      </c>
      <c r="AF1962" s="17">
        <v>0</v>
      </c>
      <c r="AG1962" s="17">
        <v>0</v>
      </c>
      <c r="AH1962" s="17">
        <v>0</v>
      </c>
      <c r="AI1962" s="17">
        <v>0</v>
      </c>
      <c r="AJ1962" s="17">
        <v>0</v>
      </c>
      <c r="AK1962" s="17">
        <v>0</v>
      </c>
      <c r="AL1962" s="32">
        <v>0</v>
      </c>
      <c r="AM1962" s="172">
        <v>35</v>
      </c>
      <c r="AN1962" s="171">
        <v>90</v>
      </c>
      <c r="AO1962" s="89"/>
      <c r="AP1962" s="783">
        <v>29.32913547904192</v>
      </c>
      <c r="AQ1962" s="17" t="s">
        <v>3403</v>
      </c>
      <c r="AR1962" s="174">
        <v>100</v>
      </c>
      <c r="AS1962" s="171" t="s">
        <v>246</v>
      </c>
      <c r="AT1962" s="171">
        <v>200</v>
      </c>
      <c r="AU1962" s="171">
        <v>25</v>
      </c>
      <c r="AV1962" s="57"/>
      <c r="AW1962" s="171">
        <v>28</v>
      </c>
      <c r="AX1962" s="89"/>
      <c r="AY1962" s="171">
        <v>22</v>
      </c>
      <c r="AZ1962" s="89"/>
      <c r="BA1962" s="175">
        <v>63</v>
      </c>
      <c r="BB1962" s="259"/>
      <c r="BC1962" s="176"/>
      <c r="BD1962" s="177"/>
      <c r="BE1962" s="177"/>
      <c r="BF1962" s="190" t="s">
        <v>3473</v>
      </c>
    </row>
    <row r="1963" spans="1:58">
      <c r="A1963" s="111">
        <v>1962</v>
      </c>
      <c r="B1963" s="211" t="s">
        <v>3059</v>
      </c>
      <c r="C1963" s="244" t="s">
        <v>3293</v>
      </c>
      <c r="D1963" s="171" t="s">
        <v>3290</v>
      </c>
      <c r="E1963" s="732" t="s">
        <v>3379</v>
      </c>
      <c r="F1963" s="171">
        <v>2002</v>
      </c>
      <c r="G1963" s="171">
        <v>4</v>
      </c>
      <c r="H1963" s="172" t="s">
        <v>1738</v>
      </c>
      <c r="I1963" s="173" t="s">
        <v>1751</v>
      </c>
      <c r="J1963" s="242">
        <v>0.41987179487179488</v>
      </c>
      <c r="K1963" s="213">
        <v>3.5655048076923079</v>
      </c>
      <c r="L1963" s="38">
        <v>209.6</v>
      </c>
      <c r="M1963" s="171">
        <v>499.2</v>
      </c>
      <c r="N1963" s="171">
        <v>1127.2</v>
      </c>
      <c r="O1963" s="162"/>
      <c r="P1963" s="71">
        <v>42.5</v>
      </c>
      <c r="Q1963" s="221" t="s">
        <v>522</v>
      </c>
      <c r="R1963" s="171" t="s">
        <v>3346</v>
      </c>
      <c r="S1963" s="171" t="s">
        <v>2312</v>
      </c>
      <c r="T1963" s="89"/>
      <c r="U1963" s="89" t="s">
        <v>3346</v>
      </c>
      <c r="V1963" s="102">
        <v>0</v>
      </c>
      <c r="W1963" s="120">
        <v>0</v>
      </c>
      <c r="X1963" s="120">
        <v>0</v>
      </c>
      <c r="Y1963" s="120">
        <v>0</v>
      </c>
      <c r="Z1963" s="120">
        <v>0</v>
      </c>
      <c r="AA1963" s="17">
        <v>0</v>
      </c>
      <c r="AB1963" s="17">
        <v>0</v>
      </c>
      <c r="AC1963" s="17">
        <v>0</v>
      </c>
      <c r="AD1963" s="17">
        <v>0</v>
      </c>
      <c r="AE1963" s="17">
        <v>0</v>
      </c>
      <c r="AF1963" s="17">
        <v>0</v>
      </c>
      <c r="AG1963" s="17">
        <v>0</v>
      </c>
      <c r="AH1963" s="17">
        <v>0</v>
      </c>
      <c r="AI1963" s="17">
        <v>0</v>
      </c>
      <c r="AJ1963" s="17">
        <v>0</v>
      </c>
      <c r="AK1963" s="17">
        <v>0</v>
      </c>
      <c r="AL1963" s="32">
        <v>0</v>
      </c>
      <c r="AM1963" s="172">
        <v>76</v>
      </c>
      <c r="AN1963" s="171">
        <v>70</v>
      </c>
      <c r="AO1963" s="89"/>
      <c r="AP1963" s="783">
        <v>37.646109985910535</v>
      </c>
      <c r="AQ1963" s="17" t="s">
        <v>3403</v>
      </c>
      <c r="AR1963" s="174">
        <v>100</v>
      </c>
      <c r="AS1963" s="171" t="s">
        <v>246</v>
      </c>
      <c r="AT1963" s="171">
        <v>200</v>
      </c>
      <c r="AU1963" s="171">
        <v>25</v>
      </c>
      <c r="AV1963" s="57"/>
      <c r="AW1963" s="171">
        <v>28</v>
      </c>
      <c r="AX1963" s="89"/>
      <c r="AY1963" s="171">
        <v>21</v>
      </c>
      <c r="AZ1963" s="89"/>
      <c r="BA1963" s="175">
        <v>61</v>
      </c>
      <c r="BB1963" s="259"/>
      <c r="BC1963" s="176"/>
      <c r="BD1963" s="177"/>
      <c r="BE1963" s="177"/>
      <c r="BF1963" s="190" t="s">
        <v>3473</v>
      </c>
    </row>
    <row r="1964" spans="1:58">
      <c r="A1964" s="111">
        <v>1963</v>
      </c>
      <c r="B1964" s="211" t="s">
        <v>3060</v>
      </c>
      <c r="C1964" s="244" t="s">
        <v>3293</v>
      </c>
      <c r="D1964" s="171" t="s">
        <v>3290</v>
      </c>
      <c r="E1964" s="732" t="s">
        <v>3379</v>
      </c>
      <c r="F1964" s="171">
        <v>2002</v>
      </c>
      <c r="G1964" s="171">
        <v>4</v>
      </c>
      <c r="H1964" s="172" t="s">
        <v>1738</v>
      </c>
      <c r="I1964" s="173" t="s">
        <v>1751</v>
      </c>
      <c r="J1964" s="242">
        <v>0.62996845425867509</v>
      </c>
      <c r="K1964" s="213">
        <v>6.1848580441640379</v>
      </c>
      <c r="L1964" s="38">
        <v>199.7</v>
      </c>
      <c r="M1964" s="171">
        <v>317</v>
      </c>
      <c r="N1964" s="171">
        <v>1127.5</v>
      </c>
      <c r="O1964" s="162"/>
      <c r="P1964" s="71">
        <v>42.5</v>
      </c>
      <c r="Q1964" s="221" t="s">
        <v>522</v>
      </c>
      <c r="R1964" s="171" t="s">
        <v>3346</v>
      </c>
      <c r="S1964" s="171" t="s">
        <v>2312</v>
      </c>
      <c r="T1964" s="89"/>
      <c r="U1964" s="89" t="s">
        <v>3346</v>
      </c>
      <c r="V1964" s="102">
        <v>0</v>
      </c>
      <c r="W1964" s="120">
        <v>0</v>
      </c>
      <c r="X1964" s="120">
        <v>0</v>
      </c>
      <c r="Y1964" s="120">
        <v>0</v>
      </c>
      <c r="Z1964" s="120">
        <v>0</v>
      </c>
      <c r="AA1964" s="17">
        <v>0</v>
      </c>
      <c r="AB1964" s="17">
        <v>0</v>
      </c>
      <c r="AC1964" s="17">
        <v>0</v>
      </c>
      <c r="AD1964" s="17">
        <v>0</v>
      </c>
      <c r="AE1964" s="17">
        <v>0</v>
      </c>
      <c r="AF1964" s="17">
        <v>0</v>
      </c>
      <c r="AG1964" s="17">
        <v>0</v>
      </c>
      <c r="AH1964" s="17">
        <v>0</v>
      </c>
      <c r="AI1964" s="17">
        <v>0</v>
      </c>
      <c r="AJ1964" s="17">
        <v>0</v>
      </c>
      <c r="AK1964" s="17">
        <v>0</v>
      </c>
      <c r="AL1964" s="32">
        <v>0</v>
      </c>
      <c r="AM1964" s="172">
        <v>42.5</v>
      </c>
      <c r="AN1964" s="171">
        <v>80</v>
      </c>
      <c r="AO1964" s="89"/>
      <c r="AP1964" s="783">
        <v>35.194962574850308</v>
      </c>
      <c r="AQ1964" s="17" t="s">
        <v>3403</v>
      </c>
      <c r="AR1964" s="174">
        <v>100</v>
      </c>
      <c r="AS1964" s="171" t="s">
        <v>246</v>
      </c>
      <c r="AT1964" s="171">
        <v>200</v>
      </c>
      <c r="AU1964" s="171">
        <v>25</v>
      </c>
      <c r="AV1964" s="57"/>
      <c r="AW1964" s="171">
        <v>28</v>
      </c>
      <c r="AX1964" s="89"/>
      <c r="AY1964" s="171">
        <v>22</v>
      </c>
      <c r="AZ1964" s="89"/>
      <c r="BA1964" s="175">
        <v>63</v>
      </c>
      <c r="BB1964" s="259"/>
      <c r="BC1964" s="176"/>
      <c r="BD1964" s="177"/>
      <c r="BE1964" s="177"/>
      <c r="BF1964" s="190" t="s">
        <v>3473</v>
      </c>
    </row>
    <row r="1965" spans="1:58">
      <c r="A1965" s="111">
        <v>1964</v>
      </c>
      <c r="B1965" s="211" t="s">
        <v>3061</v>
      </c>
      <c r="C1965" s="244" t="s">
        <v>3293</v>
      </c>
      <c r="D1965" s="171" t="s">
        <v>3290</v>
      </c>
      <c r="E1965" s="732" t="s">
        <v>3379</v>
      </c>
      <c r="F1965" s="171">
        <v>2002</v>
      </c>
      <c r="G1965" s="171">
        <v>4</v>
      </c>
      <c r="H1965" s="172" t="s">
        <v>1738</v>
      </c>
      <c r="I1965" s="173" t="s">
        <v>1751</v>
      </c>
      <c r="J1965" s="242">
        <v>0.4199559206571829</v>
      </c>
      <c r="K1965" s="213">
        <v>3.5519935884592266</v>
      </c>
      <c r="L1965" s="38">
        <v>209.6</v>
      </c>
      <c r="M1965" s="171">
        <v>499.1</v>
      </c>
      <c r="N1965" s="171">
        <v>1127.2</v>
      </c>
      <c r="O1965" s="162"/>
      <c r="P1965" s="71">
        <v>42.5</v>
      </c>
      <c r="Q1965" s="221" t="s">
        <v>522</v>
      </c>
      <c r="R1965" s="171" t="s">
        <v>3346</v>
      </c>
      <c r="S1965" s="171" t="s">
        <v>2312</v>
      </c>
      <c r="T1965" s="89"/>
      <c r="U1965" s="89" t="s">
        <v>3346</v>
      </c>
      <c r="V1965" s="102">
        <v>0</v>
      </c>
      <c r="W1965" s="120">
        <v>0</v>
      </c>
      <c r="X1965" s="120">
        <v>0</v>
      </c>
      <c r="Y1965" s="120">
        <v>0</v>
      </c>
      <c r="Z1965" s="120">
        <v>0</v>
      </c>
      <c r="AA1965" s="17">
        <v>0</v>
      </c>
      <c r="AB1965" s="17">
        <v>0</v>
      </c>
      <c r="AC1965" s="17">
        <v>0</v>
      </c>
      <c r="AD1965" s="17">
        <v>0</v>
      </c>
      <c r="AE1965" s="17">
        <v>0</v>
      </c>
      <c r="AF1965" s="17">
        <v>0</v>
      </c>
      <c r="AG1965" s="17">
        <v>0</v>
      </c>
      <c r="AH1965" s="17">
        <v>0</v>
      </c>
      <c r="AI1965" s="17">
        <v>0</v>
      </c>
      <c r="AJ1965" s="17">
        <v>0</v>
      </c>
      <c r="AK1965" s="17">
        <v>0</v>
      </c>
      <c r="AL1965" s="32">
        <v>0</v>
      </c>
      <c r="AM1965" s="172">
        <v>67</v>
      </c>
      <c r="AN1965" s="171">
        <v>60</v>
      </c>
      <c r="AO1965" s="89"/>
      <c r="AP1965" s="783">
        <v>39.383622754491022</v>
      </c>
      <c r="AQ1965" s="17" t="s">
        <v>3403</v>
      </c>
      <c r="AR1965" s="174">
        <v>100</v>
      </c>
      <c r="AS1965" s="171" t="s">
        <v>246</v>
      </c>
      <c r="AT1965" s="171">
        <v>200</v>
      </c>
      <c r="AU1965" s="171">
        <v>25</v>
      </c>
      <c r="AV1965" s="57"/>
      <c r="AW1965" s="171">
        <v>28</v>
      </c>
      <c r="AX1965" s="89"/>
      <c r="AY1965" s="171">
        <v>21</v>
      </c>
      <c r="AZ1965" s="89"/>
      <c r="BA1965" s="175">
        <v>61</v>
      </c>
      <c r="BB1965" s="259"/>
      <c r="BC1965" s="176"/>
      <c r="BD1965" s="177"/>
      <c r="BE1965" s="177"/>
      <c r="BF1965" s="190" t="s">
        <v>3473</v>
      </c>
    </row>
    <row r="1966" spans="1:58">
      <c r="A1966" s="111">
        <v>1965</v>
      </c>
      <c r="B1966" s="211" t="s">
        <v>3062</v>
      </c>
      <c r="C1966" s="244" t="s">
        <v>3293</v>
      </c>
      <c r="D1966" s="171" t="s">
        <v>3290</v>
      </c>
      <c r="E1966" s="732" t="s">
        <v>3379</v>
      </c>
      <c r="F1966" s="171">
        <v>2002</v>
      </c>
      <c r="G1966" s="171">
        <v>4</v>
      </c>
      <c r="H1966" s="172" t="s">
        <v>1738</v>
      </c>
      <c r="I1966" s="173" t="s">
        <v>1751</v>
      </c>
      <c r="J1966" s="242">
        <v>0.62996845425867509</v>
      </c>
      <c r="K1966" s="213">
        <v>6.1706624605678231</v>
      </c>
      <c r="L1966" s="38">
        <v>199.7</v>
      </c>
      <c r="M1966" s="171">
        <v>317</v>
      </c>
      <c r="N1966" s="171">
        <v>1127.5</v>
      </c>
      <c r="O1966" s="162"/>
      <c r="P1966" s="71">
        <v>42.5</v>
      </c>
      <c r="Q1966" s="221" t="s">
        <v>522</v>
      </c>
      <c r="R1966" s="171" t="s">
        <v>3346</v>
      </c>
      <c r="S1966" s="171" t="s">
        <v>2312</v>
      </c>
      <c r="T1966" s="89"/>
      <c r="U1966" s="89" t="s">
        <v>3346</v>
      </c>
      <c r="V1966" s="102">
        <v>0</v>
      </c>
      <c r="W1966" s="120">
        <v>0</v>
      </c>
      <c r="X1966" s="120">
        <v>0</v>
      </c>
      <c r="Y1966" s="120">
        <v>0</v>
      </c>
      <c r="Z1966" s="120">
        <v>0</v>
      </c>
      <c r="AA1966" s="17">
        <v>0</v>
      </c>
      <c r="AB1966" s="17">
        <v>0</v>
      </c>
      <c r="AC1966" s="17">
        <v>0</v>
      </c>
      <c r="AD1966" s="17">
        <v>0</v>
      </c>
      <c r="AE1966" s="17">
        <v>0</v>
      </c>
      <c r="AF1966" s="17">
        <v>0</v>
      </c>
      <c r="AG1966" s="17">
        <v>0</v>
      </c>
      <c r="AH1966" s="17">
        <v>0</v>
      </c>
      <c r="AI1966" s="17">
        <v>0</v>
      </c>
      <c r="AJ1966" s="17">
        <v>0</v>
      </c>
      <c r="AK1966" s="17">
        <v>0</v>
      </c>
      <c r="AL1966" s="32">
        <v>0</v>
      </c>
      <c r="AM1966" s="172">
        <v>41</v>
      </c>
      <c r="AN1966" s="171">
        <v>80</v>
      </c>
      <c r="AO1966" s="89"/>
      <c r="AP1966" s="783">
        <v>32.005692800445622</v>
      </c>
      <c r="AQ1966" s="17" t="s">
        <v>3403</v>
      </c>
      <c r="AR1966" s="174">
        <v>100</v>
      </c>
      <c r="AS1966" s="171" t="s">
        <v>246</v>
      </c>
      <c r="AT1966" s="171">
        <v>200</v>
      </c>
      <c r="AU1966" s="171">
        <v>25</v>
      </c>
      <c r="AV1966" s="57"/>
      <c r="AW1966" s="171">
        <v>28</v>
      </c>
      <c r="AX1966" s="89"/>
      <c r="AY1966" s="171">
        <v>21</v>
      </c>
      <c r="AZ1966" s="89"/>
      <c r="BA1966" s="175">
        <v>64</v>
      </c>
      <c r="BB1966" s="259"/>
      <c r="BC1966" s="176"/>
      <c r="BD1966" s="177"/>
      <c r="BE1966" s="177"/>
      <c r="BF1966" s="190" t="s">
        <v>3473</v>
      </c>
    </row>
    <row r="1967" spans="1:58">
      <c r="A1967" s="111">
        <v>1966</v>
      </c>
      <c r="B1967" s="211" t="s">
        <v>3063</v>
      </c>
      <c r="C1967" s="244" t="s">
        <v>3293</v>
      </c>
      <c r="D1967" s="171" t="s">
        <v>3290</v>
      </c>
      <c r="E1967" s="732" t="s">
        <v>3379</v>
      </c>
      <c r="F1967" s="171">
        <v>2002</v>
      </c>
      <c r="G1967" s="171">
        <v>4</v>
      </c>
      <c r="H1967" s="172" t="s">
        <v>1738</v>
      </c>
      <c r="I1967" s="173" t="s">
        <v>1751</v>
      </c>
      <c r="J1967" s="242">
        <v>0.4200798151648813</v>
      </c>
      <c r="K1967" s="213">
        <v>3.5429531611006095</v>
      </c>
      <c r="L1967" s="38">
        <v>200</v>
      </c>
      <c r="M1967" s="171">
        <v>476.1</v>
      </c>
      <c r="N1967" s="171">
        <v>1075.2</v>
      </c>
      <c r="O1967" s="162"/>
      <c r="P1967" s="71">
        <v>42.5</v>
      </c>
      <c r="Q1967" s="221" t="s">
        <v>522</v>
      </c>
      <c r="R1967" s="171" t="s">
        <v>3346</v>
      </c>
      <c r="S1967" s="171" t="s">
        <v>2312</v>
      </c>
      <c r="T1967" s="89"/>
      <c r="U1967" s="89" t="s">
        <v>3346</v>
      </c>
      <c r="V1967" s="102">
        <v>0</v>
      </c>
      <c r="W1967" s="120">
        <v>0</v>
      </c>
      <c r="X1967" s="120">
        <v>0</v>
      </c>
      <c r="Y1967" s="120">
        <v>0</v>
      </c>
      <c r="Z1967" s="120">
        <v>0</v>
      </c>
      <c r="AA1967" s="17">
        <v>0</v>
      </c>
      <c r="AB1967" s="17">
        <v>0</v>
      </c>
      <c r="AC1967" s="17">
        <v>0</v>
      </c>
      <c r="AD1967" s="17">
        <v>0</v>
      </c>
      <c r="AE1967" s="17">
        <v>0</v>
      </c>
      <c r="AF1967" s="17">
        <v>0</v>
      </c>
      <c r="AG1967" s="17">
        <v>0</v>
      </c>
      <c r="AH1967" s="17">
        <v>0</v>
      </c>
      <c r="AI1967" s="17">
        <v>0</v>
      </c>
      <c r="AJ1967" s="17">
        <v>0</v>
      </c>
      <c r="AK1967" s="17">
        <v>0</v>
      </c>
      <c r="AL1967" s="32">
        <v>0</v>
      </c>
      <c r="AM1967" s="172">
        <v>57.5</v>
      </c>
      <c r="AN1967" s="171">
        <v>45</v>
      </c>
      <c r="AO1967" s="89"/>
      <c r="AP1967" s="783">
        <v>36.437200598802391</v>
      </c>
      <c r="AQ1967" s="17" t="s">
        <v>3403</v>
      </c>
      <c r="AR1967" s="174">
        <v>100</v>
      </c>
      <c r="AS1967" s="171" t="s">
        <v>246</v>
      </c>
      <c r="AT1967" s="171">
        <v>200</v>
      </c>
      <c r="AU1967" s="171">
        <v>25</v>
      </c>
      <c r="AV1967" s="57"/>
      <c r="AW1967" s="171">
        <v>28</v>
      </c>
      <c r="AX1967" s="89"/>
      <c r="AY1967" s="171">
        <v>21</v>
      </c>
      <c r="AZ1967" s="89"/>
      <c r="BA1967" s="175">
        <v>63</v>
      </c>
      <c r="BB1967" s="259"/>
      <c r="BC1967" s="176"/>
      <c r="BD1967" s="177"/>
      <c r="BE1967" s="177"/>
      <c r="BF1967" s="190" t="s">
        <v>3473</v>
      </c>
    </row>
    <row r="1968" spans="1:58">
      <c r="A1968" s="111">
        <v>1967</v>
      </c>
      <c r="B1968" s="211" t="s">
        <v>3064</v>
      </c>
      <c r="C1968" s="244" t="s">
        <v>3293</v>
      </c>
      <c r="D1968" s="171" t="s">
        <v>3290</v>
      </c>
      <c r="E1968" s="732" t="s">
        <v>3379</v>
      </c>
      <c r="F1968" s="171">
        <v>2002</v>
      </c>
      <c r="G1968" s="171">
        <v>4</v>
      </c>
      <c r="H1968" s="172" t="s">
        <v>1738</v>
      </c>
      <c r="I1968" s="173" t="s">
        <v>1751</v>
      </c>
      <c r="J1968" s="242">
        <v>0.63017396520695868</v>
      </c>
      <c r="K1968" s="213">
        <v>6.1625674865027014</v>
      </c>
      <c r="L1968" s="38">
        <v>210.1</v>
      </c>
      <c r="M1968" s="171">
        <v>333.4</v>
      </c>
      <c r="N1968" s="171">
        <v>1185.9000000000001</v>
      </c>
      <c r="O1968" s="162"/>
      <c r="P1968" s="71">
        <v>42.5</v>
      </c>
      <c r="Q1968" s="221" t="s">
        <v>522</v>
      </c>
      <c r="R1968" s="171" t="s">
        <v>3346</v>
      </c>
      <c r="S1968" s="171" t="s">
        <v>2312</v>
      </c>
      <c r="T1968" s="89"/>
      <c r="U1968" s="89" t="s">
        <v>3346</v>
      </c>
      <c r="V1968" s="102">
        <v>0</v>
      </c>
      <c r="W1968" s="120">
        <v>0</v>
      </c>
      <c r="X1968" s="120">
        <v>0</v>
      </c>
      <c r="Y1968" s="120">
        <v>0</v>
      </c>
      <c r="Z1968" s="120">
        <v>0</v>
      </c>
      <c r="AA1968" s="17">
        <v>0</v>
      </c>
      <c r="AB1968" s="17">
        <v>0</v>
      </c>
      <c r="AC1968" s="17">
        <v>0</v>
      </c>
      <c r="AD1968" s="17">
        <v>0</v>
      </c>
      <c r="AE1968" s="17">
        <v>0</v>
      </c>
      <c r="AF1968" s="17">
        <v>0</v>
      </c>
      <c r="AG1968" s="17">
        <v>0</v>
      </c>
      <c r="AH1968" s="17">
        <v>0</v>
      </c>
      <c r="AI1968" s="17">
        <v>0</v>
      </c>
      <c r="AJ1968" s="17">
        <v>0</v>
      </c>
      <c r="AK1968" s="17">
        <v>0</v>
      </c>
      <c r="AL1968" s="32">
        <v>0</v>
      </c>
      <c r="AM1968" s="172">
        <v>37</v>
      </c>
      <c r="AN1968" s="171">
        <v>75</v>
      </c>
      <c r="AO1968" s="89"/>
      <c r="AP1968" s="783">
        <v>34.841640263776242</v>
      </c>
      <c r="AQ1968" s="17" t="s">
        <v>3403</v>
      </c>
      <c r="AR1968" s="174">
        <v>100</v>
      </c>
      <c r="AS1968" s="171" t="s">
        <v>246</v>
      </c>
      <c r="AT1968" s="171">
        <v>200</v>
      </c>
      <c r="AU1968" s="171">
        <v>25</v>
      </c>
      <c r="AV1968" s="57"/>
      <c r="AW1968" s="171">
        <v>28</v>
      </c>
      <c r="AX1968" s="89"/>
      <c r="AY1968" s="171">
        <v>21</v>
      </c>
      <c r="AZ1968" s="89"/>
      <c r="BA1968" s="175">
        <v>63</v>
      </c>
      <c r="BB1968" s="259"/>
      <c r="BC1968" s="176"/>
      <c r="BD1968" s="177"/>
      <c r="BE1968" s="177"/>
      <c r="BF1968" s="190" t="s">
        <v>3473</v>
      </c>
    </row>
    <row r="1969" spans="1:58">
      <c r="A1969" s="111">
        <v>1968</v>
      </c>
      <c r="B1969" s="211" t="s">
        <v>3065</v>
      </c>
      <c r="C1969" s="244" t="s">
        <v>3293</v>
      </c>
      <c r="D1969" s="171" t="s">
        <v>3290</v>
      </c>
      <c r="E1969" s="732" t="s">
        <v>3379</v>
      </c>
      <c r="F1969" s="171">
        <v>2002</v>
      </c>
      <c r="G1969" s="171">
        <v>4</v>
      </c>
      <c r="H1969" s="172" t="s">
        <v>1738</v>
      </c>
      <c r="I1969" s="173" t="s">
        <v>1751</v>
      </c>
      <c r="J1969" s="112"/>
      <c r="K1969" s="90"/>
      <c r="M1969" s="89"/>
      <c r="N1969" s="89"/>
      <c r="O1969" s="57"/>
      <c r="P1969" s="89"/>
      <c r="Q1969" s="88"/>
      <c r="R1969" s="89"/>
      <c r="S1969" s="89"/>
      <c r="T1969" s="89"/>
      <c r="U1969" s="89"/>
      <c r="V1969" s="104"/>
      <c r="Y1969" s="120">
        <v>0</v>
      </c>
      <c r="Z1969" s="120">
        <v>0</v>
      </c>
      <c r="AA1969" s="87"/>
      <c r="AB1969" s="17">
        <v>0</v>
      </c>
      <c r="AC1969" s="17">
        <v>0</v>
      </c>
      <c r="AD1969" s="17">
        <v>0</v>
      </c>
      <c r="AE1969" s="17">
        <v>0</v>
      </c>
      <c r="AF1969" s="17">
        <v>0</v>
      </c>
      <c r="AG1969" s="17">
        <v>0</v>
      </c>
      <c r="AH1969" s="17">
        <v>0</v>
      </c>
      <c r="AI1969" s="17">
        <v>0</v>
      </c>
      <c r="AJ1969" s="17">
        <v>0</v>
      </c>
      <c r="AK1969" s="17">
        <v>0</v>
      </c>
      <c r="AL1969" s="32">
        <v>0</v>
      </c>
      <c r="AM1969" s="172">
        <v>55</v>
      </c>
      <c r="AN1969" s="89"/>
      <c r="AO1969" s="89"/>
      <c r="AP1969" s="783">
        <v>34.1</v>
      </c>
      <c r="AQ1969" s="17" t="s">
        <v>3403</v>
      </c>
      <c r="AR1969" s="174">
        <v>100</v>
      </c>
      <c r="AS1969" s="171" t="s">
        <v>246</v>
      </c>
      <c r="AT1969" s="171">
        <v>200</v>
      </c>
      <c r="AU1969" s="171">
        <v>25</v>
      </c>
      <c r="AV1969" s="57"/>
      <c r="AW1969" s="171">
        <v>28</v>
      </c>
      <c r="AX1969" s="89"/>
      <c r="AY1969" s="171">
        <v>21</v>
      </c>
      <c r="AZ1969" s="89"/>
      <c r="BA1969" s="175">
        <v>64</v>
      </c>
      <c r="BB1969" s="259"/>
      <c r="BC1969" s="176"/>
      <c r="BD1969" s="177"/>
      <c r="BE1969" s="177"/>
      <c r="BF1969" s="190" t="s">
        <v>3456</v>
      </c>
    </row>
    <row r="1970" spans="1:58">
      <c r="A1970" s="111">
        <v>1969</v>
      </c>
      <c r="B1970" s="211" t="s">
        <v>3066</v>
      </c>
      <c r="C1970" s="244" t="s">
        <v>3293</v>
      </c>
      <c r="D1970" s="171" t="s">
        <v>3290</v>
      </c>
      <c r="E1970" s="732" t="s">
        <v>3379</v>
      </c>
      <c r="F1970" s="171">
        <v>2002</v>
      </c>
      <c r="G1970" s="171">
        <v>4</v>
      </c>
      <c r="H1970" s="172" t="s">
        <v>1738</v>
      </c>
      <c r="I1970" s="173" t="s">
        <v>1751</v>
      </c>
      <c r="J1970" s="112"/>
      <c r="K1970" s="90"/>
      <c r="M1970" s="89"/>
      <c r="N1970" s="89"/>
      <c r="O1970" s="57"/>
      <c r="P1970" s="89"/>
      <c r="Q1970" s="88"/>
      <c r="R1970" s="89"/>
      <c r="S1970" s="89"/>
      <c r="T1970" s="89"/>
      <c r="U1970" s="89"/>
      <c r="V1970" s="104"/>
      <c r="Y1970" s="120">
        <v>0</v>
      </c>
      <c r="Z1970" s="120">
        <v>0</v>
      </c>
      <c r="AA1970" s="87"/>
      <c r="AB1970" s="17">
        <v>0</v>
      </c>
      <c r="AC1970" s="17">
        <v>0</v>
      </c>
      <c r="AD1970" s="17">
        <v>0</v>
      </c>
      <c r="AE1970" s="17">
        <v>0</v>
      </c>
      <c r="AF1970" s="17">
        <v>0</v>
      </c>
      <c r="AG1970" s="17">
        <v>0</v>
      </c>
      <c r="AH1970" s="17">
        <v>0</v>
      </c>
      <c r="AI1970" s="17">
        <v>0</v>
      </c>
      <c r="AJ1970" s="17">
        <v>0</v>
      </c>
      <c r="AK1970" s="17">
        <v>0</v>
      </c>
      <c r="AL1970" s="32">
        <v>0</v>
      </c>
      <c r="AM1970" s="172">
        <v>30.5</v>
      </c>
      <c r="AN1970" s="89"/>
      <c r="AO1970" s="89"/>
      <c r="AP1970" s="783">
        <v>31</v>
      </c>
      <c r="AQ1970" s="17" t="s">
        <v>3403</v>
      </c>
      <c r="AR1970" s="174">
        <v>100</v>
      </c>
      <c r="AS1970" s="171" t="s">
        <v>246</v>
      </c>
      <c r="AT1970" s="171">
        <v>200</v>
      </c>
      <c r="AU1970" s="171">
        <v>25</v>
      </c>
      <c r="AV1970" s="57"/>
      <c r="AW1970" s="171">
        <v>28</v>
      </c>
      <c r="AX1970" s="89"/>
      <c r="AY1970" s="171">
        <v>21</v>
      </c>
      <c r="AZ1970" s="89"/>
      <c r="BA1970" s="175">
        <v>64</v>
      </c>
      <c r="BB1970" s="259"/>
      <c r="BC1970" s="176"/>
      <c r="BD1970" s="177"/>
      <c r="BE1970" s="177"/>
      <c r="BF1970" s="190" t="s">
        <v>3456</v>
      </c>
    </row>
    <row r="1971" spans="1:58">
      <c r="A1971" s="111">
        <v>1970</v>
      </c>
      <c r="B1971" s="211" t="s">
        <v>3067</v>
      </c>
      <c r="C1971" s="244" t="s">
        <v>3293</v>
      </c>
      <c r="D1971" s="171" t="s">
        <v>3290</v>
      </c>
      <c r="E1971" s="732" t="s">
        <v>3379</v>
      </c>
      <c r="F1971" s="171">
        <v>2002</v>
      </c>
      <c r="G1971" s="171">
        <v>4</v>
      </c>
      <c r="H1971" s="172" t="s">
        <v>1738</v>
      </c>
      <c r="I1971" s="173" t="s">
        <v>1751</v>
      </c>
      <c r="J1971" s="112"/>
      <c r="K1971" s="90"/>
      <c r="M1971" s="89"/>
      <c r="N1971" s="89"/>
      <c r="O1971" s="57"/>
      <c r="P1971" s="89"/>
      <c r="Q1971" s="88"/>
      <c r="R1971" s="89"/>
      <c r="S1971" s="89"/>
      <c r="T1971" s="89"/>
      <c r="U1971" s="89"/>
      <c r="V1971" s="104"/>
      <c r="Y1971" s="120">
        <v>0</v>
      </c>
      <c r="Z1971" s="120">
        <v>0</v>
      </c>
      <c r="AA1971" s="87"/>
      <c r="AB1971" s="17">
        <v>0</v>
      </c>
      <c r="AC1971" s="17">
        <v>0</v>
      </c>
      <c r="AD1971" s="17">
        <v>0</v>
      </c>
      <c r="AE1971" s="17">
        <v>0</v>
      </c>
      <c r="AF1971" s="17">
        <v>0</v>
      </c>
      <c r="AG1971" s="17">
        <v>0</v>
      </c>
      <c r="AH1971" s="17">
        <v>0</v>
      </c>
      <c r="AI1971" s="17">
        <v>0</v>
      </c>
      <c r="AJ1971" s="17">
        <v>0</v>
      </c>
      <c r="AK1971" s="17">
        <v>0</v>
      </c>
      <c r="AL1971" s="32">
        <v>0</v>
      </c>
      <c r="AM1971" s="172">
        <v>50</v>
      </c>
      <c r="AN1971" s="89"/>
      <c r="AO1971" s="89"/>
      <c r="AP1971" s="783">
        <v>35.799999999999997</v>
      </c>
      <c r="AQ1971" s="17" t="s">
        <v>3403</v>
      </c>
      <c r="AR1971" s="174">
        <v>100</v>
      </c>
      <c r="AS1971" s="171" t="s">
        <v>246</v>
      </c>
      <c r="AT1971" s="171">
        <v>200</v>
      </c>
      <c r="AU1971" s="171">
        <v>25</v>
      </c>
      <c r="AV1971" s="57"/>
      <c r="AW1971" s="171">
        <v>28</v>
      </c>
      <c r="AX1971" s="89"/>
      <c r="AY1971" s="171">
        <v>21</v>
      </c>
      <c r="AZ1971" s="89"/>
      <c r="BA1971" s="175">
        <v>64</v>
      </c>
      <c r="BB1971" s="259"/>
      <c r="BC1971" s="176"/>
      <c r="BD1971" s="177"/>
      <c r="BE1971" s="177"/>
      <c r="BF1971" s="190" t="s">
        <v>3456</v>
      </c>
    </row>
    <row r="1972" spans="1:58">
      <c r="A1972" s="111">
        <v>1971</v>
      </c>
      <c r="B1972" s="211" t="s">
        <v>3068</v>
      </c>
      <c r="C1972" s="244" t="s">
        <v>3293</v>
      </c>
      <c r="D1972" s="171" t="s">
        <v>3290</v>
      </c>
      <c r="E1972" s="732" t="s">
        <v>3379</v>
      </c>
      <c r="F1972" s="171">
        <v>2002</v>
      </c>
      <c r="G1972" s="171">
        <v>4</v>
      </c>
      <c r="H1972" s="172" t="s">
        <v>1738</v>
      </c>
      <c r="I1972" s="173" t="s">
        <v>1751</v>
      </c>
      <c r="J1972" s="112"/>
      <c r="K1972" s="90"/>
      <c r="M1972" s="89"/>
      <c r="N1972" s="89"/>
      <c r="O1972" s="57"/>
      <c r="P1972" s="89"/>
      <c r="Q1972" s="88"/>
      <c r="R1972" s="89"/>
      <c r="S1972" s="89"/>
      <c r="T1972" s="89"/>
      <c r="U1972" s="89"/>
      <c r="V1972" s="104"/>
      <c r="Y1972" s="120">
        <v>0</v>
      </c>
      <c r="Z1972" s="120">
        <v>0</v>
      </c>
      <c r="AA1972" s="87"/>
      <c r="AB1972" s="17">
        <v>0</v>
      </c>
      <c r="AC1972" s="17">
        <v>0</v>
      </c>
      <c r="AD1972" s="17">
        <v>0</v>
      </c>
      <c r="AE1972" s="17">
        <v>0</v>
      </c>
      <c r="AF1972" s="17">
        <v>0</v>
      </c>
      <c r="AG1972" s="17">
        <v>0</v>
      </c>
      <c r="AH1972" s="17">
        <v>0</v>
      </c>
      <c r="AI1972" s="17">
        <v>0</v>
      </c>
      <c r="AJ1972" s="17">
        <v>0</v>
      </c>
      <c r="AK1972" s="17">
        <v>0</v>
      </c>
      <c r="AL1972" s="32">
        <v>0</v>
      </c>
      <c r="AM1972" s="172">
        <v>25.5</v>
      </c>
      <c r="AN1972" s="89"/>
      <c r="AO1972" s="89"/>
      <c r="AP1972" s="783">
        <v>23.7</v>
      </c>
      <c r="AQ1972" s="17" t="s">
        <v>3403</v>
      </c>
      <c r="AR1972" s="174">
        <v>100</v>
      </c>
      <c r="AS1972" s="171" t="s">
        <v>246</v>
      </c>
      <c r="AT1972" s="171">
        <v>200</v>
      </c>
      <c r="AU1972" s="171">
        <v>25</v>
      </c>
      <c r="AV1972" s="57"/>
      <c r="AW1972" s="171">
        <v>28</v>
      </c>
      <c r="AX1972" s="89"/>
      <c r="AY1972" s="171">
        <v>21</v>
      </c>
      <c r="AZ1972" s="89"/>
      <c r="BA1972" s="175">
        <v>64</v>
      </c>
      <c r="BB1972" s="259"/>
      <c r="BC1972" s="176"/>
      <c r="BD1972" s="177"/>
      <c r="BE1972" s="177"/>
      <c r="BF1972" s="190" t="s">
        <v>3456</v>
      </c>
    </row>
    <row r="1973" spans="1:58">
      <c r="A1973" s="111">
        <v>1972</v>
      </c>
      <c r="B1973" s="211" t="s">
        <v>3069</v>
      </c>
      <c r="C1973" s="244" t="s">
        <v>3293</v>
      </c>
      <c r="D1973" s="171" t="s">
        <v>3290</v>
      </c>
      <c r="E1973" s="732" t="s">
        <v>3379</v>
      </c>
      <c r="F1973" s="171">
        <v>2002</v>
      </c>
      <c r="G1973" s="171">
        <v>4</v>
      </c>
      <c r="H1973" s="172" t="s">
        <v>1738</v>
      </c>
      <c r="I1973" s="173" t="s">
        <v>1751</v>
      </c>
      <c r="J1973" s="112"/>
      <c r="K1973" s="90"/>
      <c r="M1973" s="89"/>
      <c r="N1973" s="89"/>
      <c r="O1973" s="57"/>
      <c r="P1973" s="89"/>
      <c r="Q1973" s="88"/>
      <c r="R1973" s="89"/>
      <c r="S1973" s="89"/>
      <c r="T1973" s="89"/>
      <c r="U1973" s="89"/>
      <c r="V1973" s="104"/>
      <c r="Y1973" s="120">
        <v>0</v>
      </c>
      <c r="Z1973" s="120">
        <v>0</v>
      </c>
      <c r="AA1973" s="87"/>
      <c r="AB1973" s="17">
        <v>0</v>
      </c>
      <c r="AC1973" s="17">
        <v>0</v>
      </c>
      <c r="AD1973" s="17">
        <v>0</v>
      </c>
      <c r="AE1973" s="17">
        <v>0</v>
      </c>
      <c r="AF1973" s="17">
        <v>0</v>
      </c>
      <c r="AG1973" s="17">
        <v>0</v>
      </c>
      <c r="AH1973" s="17">
        <v>0</v>
      </c>
      <c r="AI1973" s="17">
        <v>0</v>
      </c>
      <c r="AJ1973" s="17">
        <v>0</v>
      </c>
      <c r="AK1973" s="17">
        <v>0</v>
      </c>
      <c r="AL1973" s="32">
        <v>0</v>
      </c>
      <c r="AM1973" s="172">
        <v>56</v>
      </c>
      <c r="AN1973" s="89"/>
      <c r="AO1973" s="89"/>
      <c r="AP1973" s="783">
        <v>35.1</v>
      </c>
      <c r="AQ1973" s="17" t="s">
        <v>3403</v>
      </c>
      <c r="AR1973" s="174">
        <v>100</v>
      </c>
      <c r="AS1973" s="171" t="s">
        <v>246</v>
      </c>
      <c r="AT1973" s="171">
        <v>200</v>
      </c>
      <c r="AU1973" s="171">
        <v>25</v>
      </c>
      <c r="AV1973" s="57"/>
      <c r="AW1973" s="171">
        <v>31</v>
      </c>
      <c r="AX1973" s="89"/>
      <c r="AY1973" s="171">
        <v>21</v>
      </c>
      <c r="AZ1973" s="89"/>
      <c r="BA1973" s="175">
        <v>60</v>
      </c>
      <c r="BB1973" s="259"/>
      <c r="BC1973" s="176"/>
      <c r="BD1973" s="177"/>
      <c r="BE1973" s="177"/>
      <c r="BF1973" s="190" t="s">
        <v>3456</v>
      </c>
    </row>
    <row r="1974" spans="1:58">
      <c r="A1974" s="111">
        <v>1973</v>
      </c>
      <c r="B1974" s="211" t="s">
        <v>3070</v>
      </c>
      <c r="C1974" s="244" t="s">
        <v>3293</v>
      </c>
      <c r="D1974" s="171" t="s">
        <v>3290</v>
      </c>
      <c r="E1974" s="732" t="s">
        <v>3379</v>
      </c>
      <c r="F1974" s="171">
        <v>2002</v>
      </c>
      <c r="G1974" s="171">
        <v>4</v>
      </c>
      <c r="H1974" s="172" t="s">
        <v>1738</v>
      </c>
      <c r="I1974" s="173" t="s">
        <v>1751</v>
      </c>
      <c r="J1974" s="112"/>
      <c r="K1974" s="90"/>
      <c r="M1974" s="89"/>
      <c r="N1974" s="89"/>
      <c r="O1974" s="57"/>
      <c r="P1974" s="89"/>
      <c r="Q1974" s="88"/>
      <c r="R1974" s="89"/>
      <c r="S1974" s="89"/>
      <c r="T1974" s="89"/>
      <c r="U1974" s="89"/>
      <c r="V1974" s="104"/>
      <c r="Y1974" s="120">
        <v>0</v>
      </c>
      <c r="Z1974" s="120">
        <v>0</v>
      </c>
      <c r="AA1974" s="87"/>
      <c r="AB1974" s="17">
        <v>0</v>
      </c>
      <c r="AC1974" s="17">
        <v>0</v>
      </c>
      <c r="AD1974" s="17">
        <v>0</v>
      </c>
      <c r="AE1974" s="17">
        <v>0</v>
      </c>
      <c r="AF1974" s="17">
        <v>0</v>
      </c>
      <c r="AG1974" s="17">
        <v>0</v>
      </c>
      <c r="AH1974" s="17">
        <v>0</v>
      </c>
      <c r="AI1974" s="17">
        <v>0</v>
      </c>
      <c r="AJ1974" s="17">
        <v>0</v>
      </c>
      <c r="AK1974" s="17">
        <v>0</v>
      </c>
      <c r="AL1974" s="32">
        <v>0</v>
      </c>
      <c r="AM1974" s="172">
        <v>58.5</v>
      </c>
      <c r="AN1974" s="89"/>
      <c r="AO1974" s="89"/>
      <c r="AP1974" s="783">
        <v>37.4</v>
      </c>
      <c r="AQ1974" s="17" t="s">
        <v>3403</v>
      </c>
      <c r="AR1974" s="174">
        <v>100</v>
      </c>
      <c r="AS1974" s="171" t="s">
        <v>246</v>
      </c>
      <c r="AT1974" s="171">
        <v>200</v>
      </c>
      <c r="AU1974" s="171">
        <v>25</v>
      </c>
      <c r="AV1974" s="57"/>
      <c r="AW1974" s="171">
        <v>31</v>
      </c>
      <c r="AX1974" s="89"/>
      <c r="AY1974" s="171">
        <v>21</v>
      </c>
      <c r="AZ1974" s="89"/>
      <c r="BA1974" s="175">
        <v>60</v>
      </c>
      <c r="BB1974" s="259"/>
      <c r="BC1974" s="176"/>
      <c r="BD1974" s="177"/>
      <c r="BE1974" s="177"/>
      <c r="BF1974" s="190" t="s">
        <v>3456</v>
      </c>
    </row>
    <row r="1975" spans="1:58">
      <c r="A1975" s="111">
        <v>1974</v>
      </c>
      <c r="B1975" s="211" t="s">
        <v>3071</v>
      </c>
      <c r="C1975" s="244" t="s">
        <v>3293</v>
      </c>
      <c r="D1975" s="171" t="s">
        <v>3290</v>
      </c>
      <c r="E1975" s="732" t="s">
        <v>3379</v>
      </c>
      <c r="F1975" s="171">
        <v>2002</v>
      </c>
      <c r="G1975" s="171">
        <v>4</v>
      </c>
      <c r="H1975" s="172" t="s">
        <v>1738</v>
      </c>
      <c r="I1975" s="173" t="s">
        <v>1751</v>
      </c>
      <c r="J1975" s="112"/>
      <c r="K1975" s="90"/>
      <c r="M1975" s="89"/>
      <c r="N1975" s="89"/>
      <c r="O1975" s="57"/>
      <c r="P1975" s="89"/>
      <c r="Q1975" s="88"/>
      <c r="R1975" s="89"/>
      <c r="S1975" s="89"/>
      <c r="T1975" s="89"/>
      <c r="U1975" s="89"/>
      <c r="V1975" s="104"/>
      <c r="Y1975" s="120">
        <v>0</v>
      </c>
      <c r="Z1975" s="120">
        <v>0</v>
      </c>
      <c r="AA1975" s="87"/>
      <c r="AB1975" s="17">
        <v>0</v>
      </c>
      <c r="AC1975" s="17">
        <v>0</v>
      </c>
      <c r="AD1975" s="17">
        <v>0</v>
      </c>
      <c r="AE1975" s="17">
        <v>0</v>
      </c>
      <c r="AF1975" s="17">
        <v>0</v>
      </c>
      <c r="AG1975" s="17">
        <v>0</v>
      </c>
      <c r="AH1975" s="17">
        <v>0</v>
      </c>
      <c r="AI1975" s="17">
        <v>0</v>
      </c>
      <c r="AJ1975" s="17">
        <v>0</v>
      </c>
      <c r="AK1975" s="17">
        <v>0</v>
      </c>
      <c r="AL1975" s="32">
        <v>0</v>
      </c>
      <c r="AM1975" s="172">
        <v>39</v>
      </c>
      <c r="AN1975" s="89"/>
      <c r="AO1975" s="89"/>
      <c r="AP1975" s="783">
        <v>31.9</v>
      </c>
      <c r="AQ1975" s="17" t="s">
        <v>3403</v>
      </c>
      <c r="AR1975" s="174">
        <v>100</v>
      </c>
      <c r="AS1975" s="171" t="s">
        <v>246</v>
      </c>
      <c r="AT1975" s="171">
        <v>200</v>
      </c>
      <c r="AU1975" s="171">
        <v>25</v>
      </c>
      <c r="AV1975" s="57"/>
      <c r="AW1975" s="171">
        <v>28</v>
      </c>
      <c r="AX1975" s="89"/>
      <c r="AY1975" s="171">
        <v>21</v>
      </c>
      <c r="AZ1975" s="89"/>
      <c r="BA1975" s="175">
        <v>63</v>
      </c>
      <c r="BB1975" s="259"/>
      <c r="BC1975" s="176"/>
      <c r="BD1975" s="177"/>
      <c r="BE1975" s="177"/>
      <c r="BF1975" s="190" t="s">
        <v>3456</v>
      </c>
    </row>
    <row r="1976" spans="1:58">
      <c r="A1976" s="111">
        <v>1975</v>
      </c>
      <c r="B1976" s="211" t="s">
        <v>3072</v>
      </c>
      <c r="C1976" s="244" t="s">
        <v>3293</v>
      </c>
      <c r="D1976" s="171" t="s">
        <v>3290</v>
      </c>
      <c r="E1976" s="732" t="s">
        <v>3379</v>
      </c>
      <c r="F1976" s="171">
        <v>2002</v>
      </c>
      <c r="G1976" s="171">
        <v>4</v>
      </c>
      <c r="H1976" s="172" t="s">
        <v>1738</v>
      </c>
      <c r="I1976" s="173" t="s">
        <v>1751</v>
      </c>
      <c r="J1976" s="112"/>
      <c r="K1976" s="90"/>
      <c r="M1976" s="89"/>
      <c r="N1976" s="89"/>
      <c r="O1976" s="57"/>
      <c r="P1976" s="89"/>
      <c r="Q1976" s="88"/>
      <c r="R1976" s="89"/>
      <c r="S1976" s="89"/>
      <c r="T1976" s="89"/>
      <c r="U1976" s="89"/>
      <c r="V1976" s="104"/>
      <c r="Y1976" s="120">
        <v>0</v>
      </c>
      <c r="Z1976" s="120">
        <v>0</v>
      </c>
      <c r="AA1976" s="87"/>
      <c r="AB1976" s="17">
        <v>0</v>
      </c>
      <c r="AC1976" s="17">
        <v>0</v>
      </c>
      <c r="AD1976" s="17">
        <v>0</v>
      </c>
      <c r="AE1976" s="17">
        <v>0</v>
      </c>
      <c r="AF1976" s="17">
        <v>0</v>
      </c>
      <c r="AG1976" s="17">
        <v>0</v>
      </c>
      <c r="AH1976" s="17">
        <v>0</v>
      </c>
      <c r="AI1976" s="17">
        <v>0</v>
      </c>
      <c r="AJ1976" s="17">
        <v>0</v>
      </c>
      <c r="AK1976" s="17">
        <v>0</v>
      </c>
      <c r="AL1976" s="32">
        <v>0</v>
      </c>
      <c r="AM1976" s="172">
        <v>58.5</v>
      </c>
      <c r="AN1976" s="89"/>
      <c r="AO1976" s="89"/>
      <c r="AP1976" s="783">
        <v>35</v>
      </c>
      <c r="AQ1976" s="17" t="s">
        <v>3403</v>
      </c>
      <c r="AR1976" s="174">
        <v>100</v>
      </c>
      <c r="AS1976" s="171" t="s">
        <v>246</v>
      </c>
      <c r="AT1976" s="171">
        <v>200</v>
      </c>
      <c r="AU1976" s="171">
        <v>25</v>
      </c>
      <c r="AV1976" s="57"/>
      <c r="AW1976" s="171">
        <v>28</v>
      </c>
      <c r="AX1976" s="89"/>
      <c r="AY1976" s="171">
        <v>21</v>
      </c>
      <c r="AZ1976" s="89"/>
      <c r="BA1976" s="175">
        <v>63</v>
      </c>
      <c r="BB1976" s="259"/>
      <c r="BC1976" s="176"/>
      <c r="BD1976" s="177"/>
      <c r="BE1976" s="177"/>
      <c r="BF1976" s="190" t="s">
        <v>3456</v>
      </c>
    </row>
    <row r="1977" spans="1:58">
      <c r="A1977" s="111">
        <v>1976</v>
      </c>
      <c r="B1977" s="211" t="s">
        <v>3073</v>
      </c>
      <c r="C1977" s="244" t="s">
        <v>3293</v>
      </c>
      <c r="D1977" s="171" t="s">
        <v>3290</v>
      </c>
      <c r="E1977" s="732" t="s">
        <v>3379</v>
      </c>
      <c r="F1977" s="171">
        <v>2002</v>
      </c>
      <c r="G1977" s="171">
        <v>4</v>
      </c>
      <c r="H1977" s="172" t="s">
        <v>1738</v>
      </c>
      <c r="I1977" s="173" t="s">
        <v>1751</v>
      </c>
      <c r="J1977" s="112"/>
      <c r="K1977" s="90"/>
      <c r="M1977" s="89"/>
      <c r="N1977" s="89"/>
      <c r="O1977" s="57"/>
      <c r="P1977" s="89"/>
      <c r="Q1977" s="88"/>
      <c r="R1977" s="89"/>
      <c r="S1977" s="89"/>
      <c r="T1977" s="89"/>
      <c r="U1977" s="89"/>
      <c r="V1977" s="104"/>
      <c r="Y1977" s="120">
        <v>0</v>
      </c>
      <c r="Z1977" s="120">
        <v>0</v>
      </c>
      <c r="AA1977" s="87"/>
      <c r="AB1977" s="17">
        <v>0</v>
      </c>
      <c r="AC1977" s="17">
        <v>0</v>
      </c>
      <c r="AD1977" s="17">
        <v>0</v>
      </c>
      <c r="AE1977" s="17">
        <v>0</v>
      </c>
      <c r="AF1977" s="17">
        <v>0</v>
      </c>
      <c r="AG1977" s="17">
        <v>0</v>
      </c>
      <c r="AH1977" s="17">
        <v>0</v>
      </c>
      <c r="AI1977" s="17">
        <v>0</v>
      </c>
      <c r="AJ1977" s="17">
        <v>0</v>
      </c>
      <c r="AK1977" s="17">
        <v>0</v>
      </c>
      <c r="AL1977" s="32">
        <v>0</v>
      </c>
      <c r="AM1977" s="172">
        <v>31</v>
      </c>
      <c r="AN1977" s="89"/>
      <c r="AO1977" s="89"/>
      <c r="AP1977" s="783">
        <v>32</v>
      </c>
      <c r="AQ1977" s="17" t="s">
        <v>3403</v>
      </c>
      <c r="AR1977" s="174">
        <v>100</v>
      </c>
      <c r="AS1977" s="171" t="s">
        <v>246</v>
      </c>
      <c r="AT1977" s="171">
        <v>200</v>
      </c>
      <c r="AU1977" s="171">
        <v>25</v>
      </c>
      <c r="AV1977" s="57"/>
      <c r="AW1977" s="171">
        <v>29</v>
      </c>
      <c r="AX1977" s="89"/>
      <c r="AY1977" s="171">
        <v>21</v>
      </c>
      <c r="AZ1977" s="89"/>
      <c r="BA1977" s="175">
        <v>64</v>
      </c>
      <c r="BB1977" s="259"/>
      <c r="BC1977" s="176"/>
      <c r="BD1977" s="177"/>
      <c r="BE1977" s="177"/>
      <c r="BF1977" s="190" t="s">
        <v>3456</v>
      </c>
    </row>
    <row r="1978" spans="1:58">
      <c r="A1978" s="111">
        <v>1977</v>
      </c>
      <c r="B1978" s="211" t="s">
        <v>3074</v>
      </c>
      <c r="C1978" s="244" t="s">
        <v>3293</v>
      </c>
      <c r="D1978" s="171" t="s">
        <v>3290</v>
      </c>
      <c r="E1978" s="732" t="s">
        <v>3379</v>
      </c>
      <c r="F1978" s="171">
        <v>2002</v>
      </c>
      <c r="G1978" s="171">
        <v>4</v>
      </c>
      <c r="H1978" s="172" t="s">
        <v>1738</v>
      </c>
      <c r="I1978" s="173" t="s">
        <v>1751</v>
      </c>
      <c r="J1978" s="112"/>
      <c r="K1978" s="90"/>
      <c r="M1978" s="89"/>
      <c r="N1978" s="89"/>
      <c r="O1978" s="57"/>
      <c r="P1978" s="89"/>
      <c r="Q1978" s="88"/>
      <c r="R1978" s="89"/>
      <c r="S1978" s="89"/>
      <c r="T1978" s="89"/>
      <c r="U1978" s="89"/>
      <c r="V1978" s="104"/>
      <c r="Y1978" s="120">
        <v>0</v>
      </c>
      <c r="Z1978" s="120">
        <v>0</v>
      </c>
      <c r="AA1978" s="87"/>
      <c r="AB1978" s="17">
        <v>0</v>
      </c>
      <c r="AC1978" s="17">
        <v>0</v>
      </c>
      <c r="AD1978" s="17">
        <v>0</v>
      </c>
      <c r="AE1978" s="17">
        <v>0</v>
      </c>
      <c r="AF1978" s="17">
        <v>0</v>
      </c>
      <c r="AG1978" s="17">
        <v>0</v>
      </c>
      <c r="AH1978" s="17">
        <v>0</v>
      </c>
      <c r="AI1978" s="17">
        <v>0</v>
      </c>
      <c r="AJ1978" s="17">
        <v>0</v>
      </c>
      <c r="AK1978" s="17">
        <v>0</v>
      </c>
      <c r="AL1978" s="32">
        <v>0</v>
      </c>
      <c r="AM1978" s="172">
        <v>58</v>
      </c>
      <c r="AN1978" s="89"/>
      <c r="AO1978" s="89"/>
      <c r="AP1978" s="783">
        <v>34.200000000000003</v>
      </c>
      <c r="AQ1978" s="17" t="s">
        <v>3403</v>
      </c>
      <c r="AR1978" s="174">
        <v>100</v>
      </c>
      <c r="AS1978" s="171" t="s">
        <v>246</v>
      </c>
      <c r="AT1978" s="171">
        <v>200</v>
      </c>
      <c r="AU1978" s="171">
        <v>25</v>
      </c>
      <c r="AV1978" s="57"/>
      <c r="AW1978" s="171">
        <v>42</v>
      </c>
      <c r="AX1978" s="89"/>
      <c r="AY1978" s="171">
        <v>21</v>
      </c>
      <c r="AZ1978" s="89"/>
      <c r="BA1978" s="175">
        <v>63</v>
      </c>
      <c r="BB1978" s="259"/>
      <c r="BC1978" s="176"/>
      <c r="BD1978" s="177"/>
      <c r="BE1978" s="177"/>
      <c r="BF1978" s="190" t="s">
        <v>3456</v>
      </c>
    </row>
    <row r="1979" spans="1:58">
      <c r="A1979" s="111">
        <v>1978</v>
      </c>
      <c r="B1979" s="211" t="s">
        <v>3075</v>
      </c>
      <c r="C1979" s="244" t="s">
        <v>3294</v>
      </c>
      <c r="D1979" s="171" t="s">
        <v>3290</v>
      </c>
      <c r="E1979" s="732" t="s">
        <v>3379</v>
      </c>
      <c r="F1979" s="171" t="s">
        <v>3295</v>
      </c>
      <c r="G1979" s="171">
        <v>5</v>
      </c>
      <c r="H1979" s="172" t="s">
        <v>1738</v>
      </c>
      <c r="I1979" s="173" t="s">
        <v>1751</v>
      </c>
      <c r="J1979" s="242">
        <v>0.41984732824427479</v>
      </c>
      <c r="K1979" s="213">
        <v>3.2805343511450382</v>
      </c>
      <c r="L1979" s="38">
        <v>220</v>
      </c>
      <c r="M1979" s="171">
        <v>455.88</v>
      </c>
      <c r="N1979" s="171">
        <v>1050</v>
      </c>
      <c r="O1979" s="114"/>
      <c r="P1979" s="71" t="s">
        <v>3448</v>
      </c>
      <c r="Q1979" s="221" t="s">
        <v>522</v>
      </c>
      <c r="R1979" s="171" t="s">
        <v>3346</v>
      </c>
      <c r="S1979" s="171" t="s">
        <v>2312</v>
      </c>
      <c r="T1979" s="89"/>
      <c r="U1979" s="89" t="s">
        <v>3346</v>
      </c>
      <c r="V1979" s="102">
        <v>0</v>
      </c>
      <c r="W1979" s="120">
        <v>0</v>
      </c>
      <c r="X1979" s="120">
        <v>0</v>
      </c>
      <c r="Y1979" s="120">
        <v>0</v>
      </c>
      <c r="Z1979" s="120">
        <v>0</v>
      </c>
      <c r="AA1979" s="120">
        <v>0</v>
      </c>
      <c r="AB1979" s="113" t="s">
        <v>3455</v>
      </c>
      <c r="AC1979" s="17">
        <v>0</v>
      </c>
      <c r="AD1979" s="17">
        <v>0</v>
      </c>
      <c r="AE1979" s="17">
        <v>0</v>
      </c>
      <c r="AF1979" s="17">
        <v>0</v>
      </c>
      <c r="AG1979" s="17">
        <v>0</v>
      </c>
      <c r="AH1979" s="17">
        <v>0</v>
      </c>
      <c r="AI1979" s="17">
        <v>0</v>
      </c>
      <c r="AJ1979" s="17">
        <v>0</v>
      </c>
      <c r="AK1979" s="17">
        <v>0</v>
      </c>
      <c r="AL1979" s="32">
        <v>0</v>
      </c>
      <c r="AM1979" s="172">
        <v>59</v>
      </c>
      <c r="AN1979" s="171">
        <v>40</v>
      </c>
      <c r="AO1979" s="89"/>
      <c r="AP1979" s="783">
        <v>36.630000000000003</v>
      </c>
      <c r="AQ1979" s="17" t="s">
        <v>3403</v>
      </c>
      <c r="AR1979" s="174">
        <v>100</v>
      </c>
      <c r="AS1979" s="171" t="s">
        <v>246</v>
      </c>
      <c r="AT1979" s="171">
        <v>200</v>
      </c>
      <c r="AU1979" s="171">
        <v>25</v>
      </c>
      <c r="AV1979" s="57"/>
      <c r="AW1979" s="171">
        <v>29</v>
      </c>
      <c r="AX1979" s="89"/>
      <c r="AY1979" s="171">
        <v>23</v>
      </c>
      <c r="AZ1979" s="89"/>
      <c r="BA1979" s="175">
        <v>65</v>
      </c>
      <c r="BB1979" s="259"/>
      <c r="BC1979" s="176"/>
      <c r="BD1979" s="177"/>
      <c r="BE1979" s="177"/>
      <c r="BF1979" s="190" t="s">
        <v>3390</v>
      </c>
    </row>
    <row r="1980" spans="1:58">
      <c r="A1980" s="111">
        <v>1979</v>
      </c>
      <c r="B1980" s="211" t="s">
        <v>3076</v>
      </c>
      <c r="C1980" s="244" t="s">
        <v>3294</v>
      </c>
      <c r="D1980" s="171" t="s">
        <v>3290</v>
      </c>
      <c r="E1980" s="732" t="s">
        <v>3379</v>
      </c>
      <c r="F1980" s="171" t="s">
        <v>3295</v>
      </c>
      <c r="G1980" s="171">
        <v>5</v>
      </c>
      <c r="H1980" s="172" t="s">
        <v>1738</v>
      </c>
      <c r="I1980" s="173" t="s">
        <v>1751</v>
      </c>
      <c r="J1980" s="242">
        <v>0.63091482649842268</v>
      </c>
      <c r="K1980" s="213">
        <v>6.1482649842271293</v>
      </c>
      <c r="L1980" s="38">
        <v>200</v>
      </c>
      <c r="M1980" s="171">
        <v>275.79000000000002</v>
      </c>
      <c r="N1980" s="171">
        <v>1050</v>
      </c>
      <c r="O1980" s="114"/>
      <c r="P1980" s="71" t="s">
        <v>3448</v>
      </c>
      <c r="Q1980" s="221" t="s">
        <v>522</v>
      </c>
      <c r="R1980" s="171" t="s">
        <v>3346</v>
      </c>
      <c r="S1980" s="171" t="s">
        <v>2312</v>
      </c>
      <c r="T1980" s="89"/>
      <c r="U1980" s="89" t="s">
        <v>3346</v>
      </c>
      <c r="V1980" s="102">
        <v>0</v>
      </c>
      <c r="W1980" s="120">
        <v>0</v>
      </c>
      <c r="X1980" s="120">
        <v>0</v>
      </c>
      <c r="Y1980" s="120">
        <v>0</v>
      </c>
      <c r="Z1980" s="120">
        <v>0</v>
      </c>
      <c r="AA1980" s="120">
        <v>0</v>
      </c>
      <c r="AB1980" s="113" t="s">
        <v>3455</v>
      </c>
      <c r="AC1980" s="17">
        <v>0</v>
      </c>
      <c r="AD1980" s="17">
        <v>0</v>
      </c>
      <c r="AE1980" s="17">
        <v>0</v>
      </c>
      <c r="AF1980" s="17">
        <v>0</v>
      </c>
      <c r="AG1980" s="17">
        <v>0</v>
      </c>
      <c r="AH1980" s="17">
        <v>0</v>
      </c>
      <c r="AI1980" s="17">
        <v>0</v>
      </c>
      <c r="AJ1980" s="17">
        <v>0</v>
      </c>
      <c r="AK1980" s="17">
        <v>0</v>
      </c>
      <c r="AL1980" s="32">
        <v>0</v>
      </c>
      <c r="AM1980" s="172">
        <v>37</v>
      </c>
      <c r="AN1980" s="171">
        <v>100</v>
      </c>
      <c r="AO1980" s="89"/>
      <c r="AP1980" s="783">
        <v>32.43</v>
      </c>
      <c r="AQ1980" s="17" t="s">
        <v>3403</v>
      </c>
      <c r="AR1980" s="174">
        <v>100</v>
      </c>
      <c r="AS1980" s="171" t="s">
        <v>246</v>
      </c>
      <c r="AT1980" s="171">
        <v>200</v>
      </c>
      <c r="AU1980" s="171">
        <v>25</v>
      </c>
      <c r="AV1980" s="57"/>
      <c r="AW1980" s="171">
        <v>30</v>
      </c>
      <c r="AX1980" s="89"/>
      <c r="AY1980" s="171">
        <v>23</v>
      </c>
      <c r="AZ1980" s="89"/>
      <c r="BA1980" s="175">
        <v>65</v>
      </c>
      <c r="BB1980" s="259"/>
      <c r="BC1980" s="176"/>
      <c r="BD1980" s="177"/>
      <c r="BE1980" s="177"/>
      <c r="BF1980" s="190" t="s">
        <v>3390</v>
      </c>
    </row>
    <row r="1981" spans="1:58">
      <c r="A1981" s="111">
        <v>1980</v>
      </c>
      <c r="B1981" s="211" t="s">
        <v>3077</v>
      </c>
      <c r="C1981" s="244" t="s">
        <v>3294</v>
      </c>
      <c r="D1981" s="171" t="s">
        <v>3290</v>
      </c>
      <c r="E1981" s="732" t="s">
        <v>3379</v>
      </c>
      <c r="F1981" s="171" t="s">
        <v>3295</v>
      </c>
      <c r="G1981" s="171">
        <v>5</v>
      </c>
      <c r="H1981" s="172" t="s">
        <v>1738</v>
      </c>
      <c r="I1981" s="173" t="s">
        <v>1751</v>
      </c>
      <c r="J1981" s="242">
        <v>0.41984732824427479</v>
      </c>
      <c r="K1981" s="213">
        <v>3.2900763358778624</v>
      </c>
      <c r="L1981" s="38">
        <v>220</v>
      </c>
      <c r="M1981" s="171">
        <v>524</v>
      </c>
      <c r="N1981" s="171">
        <v>1050</v>
      </c>
      <c r="O1981" s="114"/>
      <c r="P1981" s="71" t="s">
        <v>3448</v>
      </c>
      <c r="Q1981" s="221" t="s">
        <v>1754</v>
      </c>
      <c r="R1981" s="171" t="s">
        <v>3346</v>
      </c>
      <c r="S1981" s="171" t="s">
        <v>2312</v>
      </c>
      <c r="T1981" s="89"/>
      <c r="U1981" s="89" t="s">
        <v>3346</v>
      </c>
      <c r="V1981" s="102">
        <v>0</v>
      </c>
      <c r="W1981" s="120">
        <v>0</v>
      </c>
      <c r="X1981" s="120">
        <v>0</v>
      </c>
      <c r="Y1981" s="120">
        <v>0</v>
      </c>
      <c r="Z1981" s="120">
        <v>0</v>
      </c>
      <c r="AA1981" s="17">
        <v>0</v>
      </c>
      <c r="AB1981" s="17">
        <v>0</v>
      </c>
      <c r="AC1981" s="17">
        <v>0</v>
      </c>
      <c r="AD1981" s="17">
        <v>0</v>
      </c>
      <c r="AE1981" s="17">
        <v>0</v>
      </c>
      <c r="AF1981" s="17">
        <v>0</v>
      </c>
      <c r="AG1981" s="17">
        <v>0</v>
      </c>
      <c r="AH1981" s="17">
        <v>0</v>
      </c>
      <c r="AI1981" s="17">
        <v>0</v>
      </c>
      <c r="AJ1981" s="17">
        <v>0</v>
      </c>
      <c r="AK1981" s="17">
        <v>0</v>
      </c>
      <c r="AL1981" s="32">
        <v>0</v>
      </c>
      <c r="AM1981" s="172">
        <v>62.5</v>
      </c>
      <c r="AN1981" s="171">
        <v>35</v>
      </c>
      <c r="AO1981" s="89"/>
      <c r="AP1981" s="783">
        <v>36.07</v>
      </c>
      <c r="AQ1981" s="17" t="s">
        <v>3403</v>
      </c>
      <c r="AR1981" s="174">
        <v>100</v>
      </c>
      <c r="AS1981" s="171" t="s">
        <v>246</v>
      </c>
      <c r="AT1981" s="171">
        <v>200</v>
      </c>
      <c r="AU1981" s="171">
        <v>25</v>
      </c>
      <c r="AV1981" s="57"/>
      <c r="AW1981" s="171">
        <v>28</v>
      </c>
      <c r="AX1981" s="89"/>
      <c r="AY1981" s="171">
        <v>23</v>
      </c>
      <c r="AZ1981" s="89"/>
      <c r="BA1981" s="175">
        <v>65</v>
      </c>
      <c r="BB1981" s="259"/>
      <c r="BC1981" s="176"/>
      <c r="BD1981" s="177"/>
      <c r="BE1981" s="177"/>
      <c r="BF1981" s="190" t="s">
        <v>3322</v>
      </c>
    </row>
    <row r="1982" spans="1:58">
      <c r="A1982" s="111">
        <v>1981</v>
      </c>
      <c r="B1982" s="211" t="s">
        <v>3078</v>
      </c>
      <c r="C1982" s="244" t="s">
        <v>3294</v>
      </c>
      <c r="D1982" s="171" t="s">
        <v>3290</v>
      </c>
      <c r="E1982" s="732" t="s">
        <v>3379</v>
      </c>
      <c r="F1982" s="171" t="s">
        <v>3295</v>
      </c>
      <c r="G1982" s="171">
        <v>5</v>
      </c>
      <c r="H1982" s="172" t="s">
        <v>1738</v>
      </c>
      <c r="I1982" s="173" t="s">
        <v>1751</v>
      </c>
      <c r="J1982" s="242">
        <v>0.63063063063063063</v>
      </c>
      <c r="K1982" s="213">
        <v>5.741741741741742</v>
      </c>
      <c r="L1982" s="38">
        <v>210</v>
      </c>
      <c r="M1982" s="171">
        <v>333</v>
      </c>
      <c r="N1982" s="171">
        <v>1050</v>
      </c>
      <c r="O1982" s="114"/>
      <c r="P1982" s="71" t="s">
        <v>3448</v>
      </c>
      <c r="Q1982" s="221" t="s">
        <v>1754</v>
      </c>
      <c r="R1982" s="171" t="s">
        <v>3346</v>
      </c>
      <c r="S1982" s="171" t="s">
        <v>2312</v>
      </c>
      <c r="T1982" s="89"/>
      <c r="U1982" s="89" t="s">
        <v>3346</v>
      </c>
      <c r="V1982" s="102">
        <v>0</v>
      </c>
      <c r="W1982" s="120">
        <v>0</v>
      </c>
      <c r="X1982" s="120">
        <v>0</v>
      </c>
      <c r="Y1982" s="120">
        <v>0</v>
      </c>
      <c r="Z1982" s="120">
        <v>0</v>
      </c>
      <c r="AA1982" s="17">
        <v>0</v>
      </c>
      <c r="AB1982" s="17">
        <v>0</v>
      </c>
      <c r="AC1982" s="17">
        <v>0</v>
      </c>
      <c r="AD1982" s="17">
        <v>0</v>
      </c>
      <c r="AE1982" s="17">
        <v>0</v>
      </c>
      <c r="AF1982" s="17">
        <v>0</v>
      </c>
      <c r="AG1982" s="17">
        <v>0</v>
      </c>
      <c r="AH1982" s="17">
        <v>0</v>
      </c>
      <c r="AI1982" s="17">
        <v>0</v>
      </c>
      <c r="AJ1982" s="17">
        <v>0</v>
      </c>
      <c r="AK1982" s="17">
        <v>0</v>
      </c>
      <c r="AL1982" s="32">
        <v>0</v>
      </c>
      <c r="AM1982" s="172">
        <v>40</v>
      </c>
      <c r="AN1982" s="171">
        <v>55</v>
      </c>
      <c r="AO1982" s="89"/>
      <c r="AP1982" s="783">
        <v>32.43</v>
      </c>
      <c r="AQ1982" s="17" t="s">
        <v>3403</v>
      </c>
      <c r="AR1982" s="174">
        <v>100</v>
      </c>
      <c r="AS1982" s="171" t="s">
        <v>246</v>
      </c>
      <c r="AT1982" s="171">
        <v>200</v>
      </c>
      <c r="AU1982" s="171">
        <v>25</v>
      </c>
      <c r="AV1982" s="57"/>
      <c r="AW1982" s="171">
        <v>31</v>
      </c>
      <c r="AX1982" s="89"/>
      <c r="AY1982" s="171">
        <v>23</v>
      </c>
      <c r="AZ1982" s="89"/>
      <c r="BA1982" s="175">
        <v>65</v>
      </c>
      <c r="BB1982" s="259"/>
      <c r="BC1982" s="176"/>
      <c r="BD1982" s="177"/>
      <c r="BE1982" s="177"/>
      <c r="BF1982" s="190" t="s">
        <v>3322</v>
      </c>
    </row>
    <row r="1983" spans="1:58">
      <c r="A1983" s="111">
        <v>1982</v>
      </c>
      <c r="B1983" s="211" t="s">
        <v>3079</v>
      </c>
      <c r="C1983" s="244" t="s">
        <v>3294</v>
      </c>
      <c r="D1983" s="171" t="s">
        <v>3290</v>
      </c>
      <c r="E1983" s="732" t="s">
        <v>3379</v>
      </c>
      <c r="F1983" s="171" t="s">
        <v>3295</v>
      </c>
      <c r="G1983" s="171">
        <v>5</v>
      </c>
      <c r="H1983" s="172" t="s">
        <v>1738</v>
      </c>
      <c r="I1983" s="173" t="s">
        <v>1751</v>
      </c>
      <c r="J1983" s="242">
        <v>0.42</v>
      </c>
      <c r="K1983" s="213">
        <v>3.5419999999999998</v>
      </c>
      <c r="L1983" s="38">
        <v>210</v>
      </c>
      <c r="M1983" s="171">
        <v>500</v>
      </c>
      <c r="N1983" s="171">
        <v>1050</v>
      </c>
      <c r="O1983" s="114"/>
      <c r="P1983" s="71" t="s">
        <v>3446</v>
      </c>
      <c r="Q1983" s="221" t="s">
        <v>1754</v>
      </c>
      <c r="R1983" s="171" t="s">
        <v>3346</v>
      </c>
      <c r="S1983" s="171" t="s">
        <v>2312</v>
      </c>
      <c r="T1983" s="89"/>
      <c r="U1983" s="89" t="s">
        <v>3346</v>
      </c>
      <c r="V1983" s="102">
        <v>0</v>
      </c>
      <c r="W1983" s="120">
        <v>0</v>
      </c>
      <c r="X1983" s="120">
        <v>0</v>
      </c>
      <c r="Y1983" s="120">
        <v>0</v>
      </c>
      <c r="Z1983" s="120">
        <v>0</v>
      </c>
      <c r="AA1983" s="17">
        <v>0</v>
      </c>
      <c r="AB1983" s="17">
        <v>0</v>
      </c>
      <c r="AC1983" s="17">
        <v>0</v>
      </c>
      <c r="AD1983" s="17">
        <v>0</v>
      </c>
      <c r="AE1983" s="17">
        <v>0</v>
      </c>
      <c r="AF1983" s="17">
        <v>0</v>
      </c>
      <c r="AG1983" s="17">
        <v>0</v>
      </c>
      <c r="AH1983" s="17">
        <v>0</v>
      </c>
      <c r="AI1983" s="17">
        <v>0</v>
      </c>
      <c r="AJ1983" s="17">
        <v>0</v>
      </c>
      <c r="AK1983" s="17">
        <v>0</v>
      </c>
      <c r="AL1983" s="32">
        <v>0</v>
      </c>
      <c r="AM1983" s="172">
        <v>61</v>
      </c>
      <c r="AN1983" s="171">
        <v>85</v>
      </c>
      <c r="AO1983" s="89"/>
      <c r="AP1983" s="783">
        <v>33.29</v>
      </c>
      <c r="AQ1983" s="17" t="s">
        <v>3403</v>
      </c>
      <c r="AR1983" s="174">
        <v>100</v>
      </c>
      <c r="AS1983" s="171" t="s">
        <v>246</v>
      </c>
      <c r="AT1983" s="171">
        <v>200</v>
      </c>
      <c r="AU1983" s="171">
        <v>25</v>
      </c>
      <c r="AV1983" s="57"/>
      <c r="AW1983" s="171">
        <v>29</v>
      </c>
      <c r="AX1983" s="89"/>
      <c r="AY1983" s="171">
        <v>23</v>
      </c>
      <c r="AZ1983" s="89"/>
      <c r="BA1983" s="175">
        <v>65</v>
      </c>
      <c r="BB1983" s="259"/>
      <c r="BC1983" s="176"/>
      <c r="BD1983" s="177"/>
      <c r="BE1983" s="177"/>
      <c r="BF1983" s="190" t="s">
        <v>3323</v>
      </c>
    </row>
    <row r="1984" spans="1:58">
      <c r="A1984" s="111">
        <v>1983</v>
      </c>
      <c r="B1984" s="211" t="s">
        <v>3080</v>
      </c>
      <c r="C1984" s="244" t="s">
        <v>3294</v>
      </c>
      <c r="D1984" s="171" t="s">
        <v>3290</v>
      </c>
      <c r="E1984" s="732" t="s">
        <v>3379</v>
      </c>
      <c r="F1984" s="171" t="s">
        <v>3295</v>
      </c>
      <c r="G1984" s="171">
        <v>5</v>
      </c>
      <c r="H1984" s="172" t="s">
        <v>1738</v>
      </c>
      <c r="I1984" s="173" t="s">
        <v>1751</v>
      </c>
      <c r="J1984" s="242">
        <v>0.62913907284768211</v>
      </c>
      <c r="K1984" s="213">
        <v>6.5960264900662251</v>
      </c>
      <c r="L1984" s="38">
        <v>190</v>
      </c>
      <c r="M1984" s="171">
        <v>302</v>
      </c>
      <c r="N1984" s="171">
        <v>1050</v>
      </c>
      <c r="O1984" s="114"/>
      <c r="P1984" s="71" t="s">
        <v>3446</v>
      </c>
      <c r="Q1984" s="221" t="s">
        <v>1754</v>
      </c>
      <c r="R1984" s="171" t="s">
        <v>3346</v>
      </c>
      <c r="S1984" s="171" t="s">
        <v>2312</v>
      </c>
      <c r="T1984" s="89"/>
      <c r="U1984" s="89" t="s">
        <v>3346</v>
      </c>
      <c r="V1984" s="102">
        <v>0</v>
      </c>
      <c r="W1984" s="120">
        <v>0</v>
      </c>
      <c r="X1984" s="120">
        <v>0</v>
      </c>
      <c r="Y1984" s="120">
        <v>0</v>
      </c>
      <c r="Z1984" s="120">
        <v>0</v>
      </c>
      <c r="AA1984" s="17">
        <v>0</v>
      </c>
      <c r="AB1984" s="17">
        <v>0</v>
      </c>
      <c r="AC1984" s="17">
        <v>0</v>
      </c>
      <c r="AD1984" s="17">
        <v>0</v>
      </c>
      <c r="AE1984" s="17">
        <v>0</v>
      </c>
      <c r="AF1984" s="17">
        <v>0</v>
      </c>
      <c r="AG1984" s="17">
        <v>0</v>
      </c>
      <c r="AH1984" s="17">
        <v>0</v>
      </c>
      <c r="AI1984" s="17">
        <v>0</v>
      </c>
      <c r="AJ1984" s="17">
        <v>0</v>
      </c>
      <c r="AK1984" s="17">
        <v>0</v>
      </c>
      <c r="AL1984" s="32">
        <v>0</v>
      </c>
      <c r="AM1984" s="172">
        <v>40</v>
      </c>
      <c r="AN1984" s="171">
        <v>70</v>
      </c>
      <c r="AO1984" s="89"/>
      <c r="AP1984" s="783">
        <v>32.53</v>
      </c>
      <c r="AQ1984" s="17" t="s">
        <v>3403</v>
      </c>
      <c r="AR1984" s="174">
        <v>100</v>
      </c>
      <c r="AS1984" s="171" t="s">
        <v>246</v>
      </c>
      <c r="AT1984" s="171">
        <v>200</v>
      </c>
      <c r="AU1984" s="171">
        <v>25</v>
      </c>
      <c r="AV1984" s="57"/>
      <c r="AW1984" s="171">
        <v>29</v>
      </c>
      <c r="AX1984" s="89"/>
      <c r="AY1984" s="171">
        <v>23</v>
      </c>
      <c r="AZ1984" s="89"/>
      <c r="BA1984" s="175">
        <v>65</v>
      </c>
      <c r="BB1984" s="259"/>
      <c r="BC1984" s="176"/>
      <c r="BD1984" s="177"/>
      <c r="BE1984" s="177"/>
      <c r="BF1984" s="190" t="s">
        <v>3323</v>
      </c>
    </row>
    <row r="1985" spans="1:58">
      <c r="A1985" s="111">
        <v>1984</v>
      </c>
      <c r="B1985" s="211" t="s">
        <v>3081</v>
      </c>
      <c r="C1985" s="244" t="s">
        <v>3294</v>
      </c>
      <c r="D1985" s="171" t="s">
        <v>3290</v>
      </c>
      <c r="E1985" s="732" t="s">
        <v>3379</v>
      </c>
      <c r="F1985" s="171" t="s">
        <v>3295</v>
      </c>
      <c r="G1985" s="171">
        <v>5</v>
      </c>
      <c r="H1985" s="172" t="s">
        <v>1738</v>
      </c>
      <c r="I1985" s="173" t="s">
        <v>1751</v>
      </c>
      <c r="J1985" s="242">
        <v>0.41984732824427479</v>
      </c>
      <c r="K1985" s="213">
        <v>3.2900763358778624</v>
      </c>
      <c r="L1985" s="38">
        <v>220</v>
      </c>
      <c r="M1985" s="171">
        <v>524</v>
      </c>
      <c r="N1985" s="171">
        <v>1050</v>
      </c>
      <c r="O1985" s="114"/>
      <c r="P1985" s="71" t="s">
        <v>3446</v>
      </c>
      <c r="Q1985" s="221" t="s">
        <v>1754</v>
      </c>
      <c r="R1985" s="171" t="s">
        <v>3346</v>
      </c>
      <c r="S1985" s="171" t="s">
        <v>2312</v>
      </c>
      <c r="T1985" s="89"/>
      <c r="U1985" s="89" t="s">
        <v>3346</v>
      </c>
      <c r="V1985" s="102">
        <v>0</v>
      </c>
      <c r="W1985" s="120">
        <v>0</v>
      </c>
      <c r="X1985" s="120">
        <v>0</v>
      </c>
      <c r="Y1985" s="120">
        <v>0</v>
      </c>
      <c r="Z1985" s="120">
        <v>0</v>
      </c>
      <c r="AA1985" s="17">
        <v>0</v>
      </c>
      <c r="AB1985" s="17">
        <v>0</v>
      </c>
      <c r="AC1985" s="17">
        <v>0</v>
      </c>
      <c r="AD1985" s="17">
        <v>0</v>
      </c>
      <c r="AE1985" s="17">
        <v>0</v>
      </c>
      <c r="AF1985" s="17">
        <v>0</v>
      </c>
      <c r="AG1985" s="17">
        <v>0</v>
      </c>
      <c r="AH1985" s="17">
        <v>0</v>
      </c>
      <c r="AI1985" s="17">
        <v>0</v>
      </c>
      <c r="AJ1985" s="17">
        <v>0</v>
      </c>
      <c r="AK1985" s="17">
        <v>0</v>
      </c>
      <c r="AL1985" s="32">
        <v>0</v>
      </c>
      <c r="AM1985" s="172">
        <v>64.5</v>
      </c>
      <c r="AN1985" s="171">
        <v>95</v>
      </c>
      <c r="AO1985" s="89"/>
      <c r="AP1985" s="783">
        <v>36.57</v>
      </c>
      <c r="AQ1985" s="17" t="s">
        <v>3403</v>
      </c>
      <c r="AR1985" s="174">
        <v>100</v>
      </c>
      <c r="AS1985" s="171" t="s">
        <v>246</v>
      </c>
      <c r="AT1985" s="171">
        <v>200</v>
      </c>
      <c r="AU1985" s="171">
        <v>25</v>
      </c>
      <c r="AV1985" s="57"/>
      <c r="AW1985" s="171">
        <v>29</v>
      </c>
      <c r="AX1985" s="89"/>
      <c r="AY1985" s="171">
        <v>23</v>
      </c>
      <c r="AZ1985" s="89"/>
      <c r="BA1985" s="175">
        <v>65</v>
      </c>
      <c r="BB1985" s="259"/>
      <c r="BC1985" s="176"/>
      <c r="BD1985" s="177"/>
      <c r="BE1985" s="177"/>
      <c r="BF1985" s="190" t="s">
        <v>3323</v>
      </c>
    </row>
    <row r="1986" spans="1:58">
      <c r="A1986" s="111">
        <v>1985</v>
      </c>
      <c r="B1986" s="211" t="s">
        <v>3082</v>
      </c>
      <c r="C1986" s="244" t="s">
        <v>3294</v>
      </c>
      <c r="D1986" s="171" t="s">
        <v>3290</v>
      </c>
      <c r="E1986" s="732" t="s">
        <v>3379</v>
      </c>
      <c r="F1986" s="171" t="s">
        <v>3295</v>
      </c>
      <c r="G1986" s="171">
        <v>5</v>
      </c>
      <c r="H1986" s="172" t="s">
        <v>1738</v>
      </c>
      <c r="I1986" s="173" t="s">
        <v>1751</v>
      </c>
      <c r="J1986" s="242">
        <v>0.63091482649842268</v>
      </c>
      <c r="K1986" s="213">
        <v>6.2839116719242902</v>
      </c>
      <c r="L1986" s="38">
        <v>200</v>
      </c>
      <c r="M1986" s="171">
        <v>317</v>
      </c>
      <c r="N1986" s="171">
        <v>1050</v>
      </c>
      <c r="O1986" s="114"/>
      <c r="P1986" s="71" t="s">
        <v>3446</v>
      </c>
      <c r="Q1986" s="221" t="s">
        <v>1754</v>
      </c>
      <c r="R1986" s="171" t="s">
        <v>3346</v>
      </c>
      <c r="S1986" s="171" t="s">
        <v>2312</v>
      </c>
      <c r="T1986" s="89"/>
      <c r="U1986" s="89" t="s">
        <v>3346</v>
      </c>
      <c r="V1986" s="102">
        <v>0</v>
      </c>
      <c r="W1986" s="120">
        <v>0</v>
      </c>
      <c r="X1986" s="120">
        <v>0</v>
      </c>
      <c r="Y1986" s="120">
        <v>0</v>
      </c>
      <c r="Z1986" s="120">
        <v>0</v>
      </c>
      <c r="AA1986" s="17">
        <v>0</v>
      </c>
      <c r="AB1986" s="17">
        <v>0</v>
      </c>
      <c r="AC1986" s="17">
        <v>0</v>
      </c>
      <c r="AD1986" s="17">
        <v>0</v>
      </c>
      <c r="AE1986" s="17">
        <v>0</v>
      </c>
      <c r="AF1986" s="17">
        <v>0</v>
      </c>
      <c r="AG1986" s="17">
        <v>0</v>
      </c>
      <c r="AH1986" s="17">
        <v>0</v>
      </c>
      <c r="AI1986" s="17">
        <v>0</v>
      </c>
      <c r="AJ1986" s="17">
        <v>0</v>
      </c>
      <c r="AK1986" s="17">
        <v>0</v>
      </c>
      <c r="AL1986" s="32">
        <v>0</v>
      </c>
      <c r="AM1986" s="172">
        <v>36.5</v>
      </c>
      <c r="AN1986" s="171">
        <v>85</v>
      </c>
      <c r="AO1986" s="89"/>
      <c r="AP1986" s="783">
        <v>32.869999999999997</v>
      </c>
      <c r="AQ1986" s="17" t="s">
        <v>3403</v>
      </c>
      <c r="AR1986" s="174">
        <v>100</v>
      </c>
      <c r="AS1986" s="171" t="s">
        <v>246</v>
      </c>
      <c r="AT1986" s="171">
        <v>200</v>
      </c>
      <c r="AU1986" s="171">
        <v>25</v>
      </c>
      <c r="AV1986" s="57"/>
      <c r="AW1986" s="171">
        <v>28</v>
      </c>
      <c r="AX1986" s="89"/>
      <c r="AY1986" s="171">
        <v>23</v>
      </c>
      <c r="AZ1986" s="89"/>
      <c r="BA1986" s="175">
        <v>65</v>
      </c>
      <c r="BB1986" s="259"/>
      <c r="BC1986" s="176"/>
      <c r="BD1986" s="177"/>
      <c r="BE1986" s="177"/>
      <c r="BF1986" s="190" t="s">
        <v>3323</v>
      </c>
    </row>
    <row r="1987" spans="1:58">
      <c r="A1987" s="111">
        <v>1986</v>
      </c>
      <c r="B1987" s="211" t="s">
        <v>3083</v>
      </c>
      <c r="C1987" s="244" t="s">
        <v>3294</v>
      </c>
      <c r="D1987" s="171" t="s">
        <v>3290</v>
      </c>
      <c r="E1987" s="732" t="s">
        <v>3379</v>
      </c>
      <c r="F1987" s="171" t="s">
        <v>3295</v>
      </c>
      <c r="G1987" s="171">
        <v>5</v>
      </c>
      <c r="H1987" s="172" t="s">
        <v>1738</v>
      </c>
      <c r="I1987" s="173" t="s">
        <v>1751</v>
      </c>
      <c r="J1987" s="242">
        <v>0.41984732824427479</v>
      </c>
      <c r="K1987" s="213">
        <v>3.2900763358778624</v>
      </c>
      <c r="L1987" s="38">
        <v>220</v>
      </c>
      <c r="M1987" s="171">
        <v>524</v>
      </c>
      <c r="N1987" s="171">
        <v>1050</v>
      </c>
      <c r="O1987" s="114"/>
      <c r="P1987" s="71" t="s">
        <v>3446</v>
      </c>
      <c r="Q1987" s="221" t="s">
        <v>1754</v>
      </c>
      <c r="R1987" s="171" t="s">
        <v>3346</v>
      </c>
      <c r="S1987" s="171" t="s">
        <v>2312</v>
      </c>
      <c r="T1987" s="89"/>
      <c r="U1987" s="89" t="s">
        <v>3346</v>
      </c>
      <c r="V1987" s="102">
        <v>0</v>
      </c>
      <c r="W1987" s="120">
        <v>0</v>
      </c>
      <c r="X1987" s="120">
        <v>0</v>
      </c>
      <c r="Y1987" s="120">
        <v>0</v>
      </c>
      <c r="Z1987" s="120">
        <v>0</v>
      </c>
      <c r="AA1987" s="17">
        <v>0</v>
      </c>
      <c r="AB1987" s="17">
        <v>0</v>
      </c>
      <c r="AC1987" s="17">
        <v>0</v>
      </c>
      <c r="AD1987" s="17">
        <v>0</v>
      </c>
      <c r="AE1987" s="17">
        <v>0</v>
      </c>
      <c r="AF1987" s="17">
        <v>0</v>
      </c>
      <c r="AG1987" s="17">
        <v>0</v>
      </c>
      <c r="AH1987" s="17">
        <v>0</v>
      </c>
      <c r="AI1987" s="17">
        <v>0</v>
      </c>
      <c r="AJ1987" s="17">
        <v>0</v>
      </c>
      <c r="AK1987" s="17">
        <v>0</v>
      </c>
      <c r="AL1987" s="32">
        <v>0</v>
      </c>
      <c r="AM1987" s="172">
        <v>54.5</v>
      </c>
      <c r="AN1987" s="171">
        <v>95</v>
      </c>
      <c r="AO1987" s="89"/>
      <c r="AP1987" s="783">
        <v>38.630000000000003</v>
      </c>
      <c r="AQ1987" s="17" t="s">
        <v>3403</v>
      </c>
      <c r="AR1987" s="174">
        <v>100</v>
      </c>
      <c r="AS1987" s="171" t="s">
        <v>246</v>
      </c>
      <c r="AT1987" s="171">
        <v>200</v>
      </c>
      <c r="AU1987" s="171">
        <v>25</v>
      </c>
      <c r="AV1987" s="57"/>
      <c r="AW1987" s="171">
        <v>30</v>
      </c>
      <c r="AX1987" s="89"/>
      <c r="AY1987" s="171">
        <v>23</v>
      </c>
      <c r="AZ1987" s="89"/>
      <c r="BA1987" s="175">
        <v>65</v>
      </c>
      <c r="BB1987" s="259"/>
      <c r="BC1987" s="176"/>
      <c r="BD1987" s="177"/>
      <c r="BE1987" s="177"/>
      <c r="BF1987" s="190" t="s">
        <v>3323</v>
      </c>
    </row>
    <row r="1988" spans="1:58">
      <c r="A1988" s="111">
        <v>1987</v>
      </c>
      <c r="B1988" s="211" t="s">
        <v>3084</v>
      </c>
      <c r="C1988" s="244" t="s">
        <v>3294</v>
      </c>
      <c r="D1988" s="171" t="s">
        <v>3290</v>
      </c>
      <c r="E1988" s="732" t="s">
        <v>3379</v>
      </c>
      <c r="F1988" s="171" t="s">
        <v>3295</v>
      </c>
      <c r="G1988" s="171">
        <v>5</v>
      </c>
      <c r="H1988" s="172" t="s">
        <v>1738</v>
      </c>
      <c r="I1988" s="173" t="s">
        <v>1751</v>
      </c>
      <c r="J1988" s="242">
        <v>0.63091482649842268</v>
      </c>
      <c r="K1988" s="213">
        <v>6.1577287066246056</v>
      </c>
      <c r="L1988" s="38">
        <v>200</v>
      </c>
      <c r="M1988" s="171">
        <v>317</v>
      </c>
      <c r="N1988" s="171">
        <v>1050</v>
      </c>
      <c r="O1988" s="114"/>
      <c r="P1988" s="71" t="s">
        <v>3446</v>
      </c>
      <c r="Q1988" s="221" t="s">
        <v>1754</v>
      </c>
      <c r="R1988" s="171" t="s">
        <v>3346</v>
      </c>
      <c r="S1988" s="171" t="s">
        <v>2312</v>
      </c>
      <c r="T1988" s="89"/>
      <c r="U1988" s="89" t="s">
        <v>3346</v>
      </c>
      <c r="V1988" s="102">
        <v>0</v>
      </c>
      <c r="W1988" s="120">
        <v>0</v>
      </c>
      <c r="X1988" s="120">
        <v>0</v>
      </c>
      <c r="Y1988" s="120">
        <v>0</v>
      </c>
      <c r="Z1988" s="120">
        <v>0</v>
      </c>
      <c r="AA1988" s="17">
        <v>0</v>
      </c>
      <c r="AB1988" s="17">
        <v>0</v>
      </c>
      <c r="AC1988" s="17">
        <v>0</v>
      </c>
      <c r="AD1988" s="17">
        <v>0</v>
      </c>
      <c r="AE1988" s="17">
        <v>0</v>
      </c>
      <c r="AF1988" s="17">
        <v>0</v>
      </c>
      <c r="AG1988" s="17">
        <v>0</v>
      </c>
      <c r="AH1988" s="17">
        <v>0</v>
      </c>
      <c r="AI1988" s="17">
        <v>0</v>
      </c>
      <c r="AJ1988" s="17">
        <v>0</v>
      </c>
      <c r="AK1988" s="17">
        <v>0</v>
      </c>
      <c r="AL1988" s="32">
        <v>0</v>
      </c>
      <c r="AM1988" s="172">
        <v>33.5</v>
      </c>
      <c r="AN1988" s="171">
        <v>75</v>
      </c>
      <c r="AO1988" s="89"/>
      <c r="AP1988" s="783">
        <v>32.97</v>
      </c>
      <c r="AQ1988" s="17" t="s">
        <v>3403</v>
      </c>
      <c r="AR1988" s="174">
        <v>100</v>
      </c>
      <c r="AS1988" s="171" t="s">
        <v>246</v>
      </c>
      <c r="AT1988" s="171">
        <v>200</v>
      </c>
      <c r="AU1988" s="171">
        <v>25</v>
      </c>
      <c r="AV1988" s="57"/>
      <c r="AW1988" s="171">
        <v>30</v>
      </c>
      <c r="AX1988" s="89"/>
      <c r="AY1988" s="171">
        <v>23</v>
      </c>
      <c r="AZ1988" s="89"/>
      <c r="BA1988" s="175">
        <v>65</v>
      </c>
      <c r="BB1988" s="259"/>
      <c r="BC1988" s="176"/>
      <c r="BD1988" s="177"/>
      <c r="BE1988" s="177"/>
      <c r="BF1988" s="190" t="s">
        <v>3323</v>
      </c>
    </row>
    <row r="1989" spans="1:58">
      <c r="A1989" s="111">
        <v>1988</v>
      </c>
      <c r="B1989" s="211" t="s">
        <v>3085</v>
      </c>
      <c r="C1989" s="244" t="s">
        <v>3294</v>
      </c>
      <c r="D1989" s="171" t="s">
        <v>3290</v>
      </c>
      <c r="E1989" s="732" t="s">
        <v>3379</v>
      </c>
      <c r="F1989" s="171" t="s">
        <v>3295</v>
      </c>
      <c r="G1989" s="171">
        <v>5</v>
      </c>
      <c r="H1989" s="172" t="s">
        <v>1738</v>
      </c>
      <c r="I1989" s="173" t="s">
        <v>1751</v>
      </c>
      <c r="J1989" s="242">
        <v>0.41984732824427479</v>
      </c>
      <c r="K1989" s="213">
        <v>3.2805343511450382</v>
      </c>
      <c r="L1989" s="38">
        <v>220</v>
      </c>
      <c r="M1989" s="171">
        <v>524</v>
      </c>
      <c r="N1989" s="171">
        <v>1050</v>
      </c>
      <c r="O1989" s="114"/>
      <c r="P1989" s="71" t="s">
        <v>3446</v>
      </c>
      <c r="Q1989" s="221" t="s">
        <v>522</v>
      </c>
      <c r="R1989" s="171" t="s">
        <v>3346</v>
      </c>
      <c r="S1989" s="171" t="s">
        <v>2312</v>
      </c>
      <c r="T1989" s="89"/>
      <c r="U1989" s="89" t="s">
        <v>3346</v>
      </c>
      <c r="V1989" s="102">
        <v>0</v>
      </c>
      <c r="W1989" s="120">
        <v>0</v>
      </c>
      <c r="X1989" s="120">
        <v>0</v>
      </c>
      <c r="Y1989" s="120">
        <v>0</v>
      </c>
      <c r="Z1989" s="120">
        <v>0</v>
      </c>
      <c r="AA1989" s="17">
        <v>0</v>
      </c>
      <c r="AB1989" s="17">
        <v>0</v>
      </c>
      <c r="AC1989" s="17">
        <v>0</v>
      </c>
      <c r="AD1989" s="17">
        <v>0</v>
      </c>
      <c r="AE1989" s="17">
        <v>0</v>
      </c>
      <c r="AF1989" s="17">
        <v>0</v>
      </c>
      <c r="AG1989" s="17">
        <v>0</v>
      </c>
      <c r="AH1989" s="17">
        <v>0</v>
      </c>
      <c r="AI1989" s="17">
        <v>0</v>
      </c>
      <c r="AJ1989" s="17">
        <v>0</v>
      </c>
      <c r="AK1989" s="17">
        <v>0</v>
      </c>
      <c r="AL1989" s="32">
        <v>0</v>
      </c>
      <c r="AM1989" s="172">
        <v>56.5</v>
      </c>
      <c r="AN1989" s="171">
        <v>65</v>
      </c>
      <c r="AO1989" s="89"/>
      <c r="AP1989" s="783">
        <v>37.61</v>
      </c>
      <c r="AQ1989" s="17" t="s">
        <v>3403</v>
      </c>
      <c r="AR1989" s="174">
        <v>100</v>
      </c>
      <c r="AS1989" s="171" t="s">
        <v>246</v>
      </c>
      <c r="AT1989" s="171">
        <v>200</v>
      </c>
      <c r="AU1989" s="171">
        <v>25</v>
      </c>
      <c r="AV1989" s="57"/>
      <c r="AW1989" s="171">
        <v>29</v>
      </c>
      <c r="AX1989" s="89"/>
      <c r="AY1989" s="171">
        <v>23</v>
      </c>
      <c r="AZ1989" s="89"/>
      <c r="BA1989" s="175">
        <v>65</v>
      </c>
      <c r="BB1989" s="259"/>
      <c r="BC1989" s="176"/>
      <c r="BD1989" s="177"/>
      <c r="BE1989" s="177"/>
      <c r="BF1989" s="190" t="s">
        <v>3324</v>
      </c>
    </row>
    <row r="1990" spans="1:58">
      <c r="A1990" s="111">
        <v>1989</v>
      </c>
      <c r="B1990" s="211" t="s">
        <v>3086</v>
      </c>
      <c r="C1990" s="244" t="s">
        <v>3294</v>
      </c>
      <c r="D1990" s="171" t="s">
        <v>3290</v>
      </c>
      <c r="E1990" s="732" t="s">
        <v>3379</v>
      </c>
      <c r="F1990" s="171" t="s">
        <v>3295</v>
      </c>
      <c r="G1990" s="171">
        <v>5</v>
      </c>
      <c r="H1990" s="172" t="s">
        <v>1738</v>
      </c>
      <c r="I1990" s="173" t="s">
        <v>1751</v>
      </c>
      <c r="J1990" s="242">
        <v>0.63091482649842268</v>
      </c>
      <c r="K1990" s="213">
        <v>6.1482649842271293</v>
      </c>
      <c r="L1990" s="38">
        <v>200</v>
      </c>
      <c r="M1990" s="171">
        <v>317</v>
      </c>
      <c r="N1990" s="171">
        <v>1050</v>
      </c>
      <c r="O1990" s="114"/>
      <c r="P1990" s="71" t="s">
        <v>3446</v>
      </c>
      <c r="Q1990" s="221" t="s">
        <v>522</v>
      </c>
      <c r="R1990" s="171" t="s">
        <v>3346</v>
      </c>
      <c r="S1990" s="171" t="s">
        <v>2312</v>
      </c>
      <c r="T1990" s="89"/>
      <c r="U1990" s="89" t="s">
        <v>3346</v>
      </c>
      <c r="V1990" s="102">
        <v>0</v>
      </c>
      <c r="W1990" s="120">
        <v>0</v>
      </c>
      <c r="X1990" s="120">
        <v>0</v>
      </c>
      <c r="Y1990" s="120">
        <v>0</v>
      </c>
      <c r="Z1990" s="120">
        <v>0</v>
      </c>
      <c r="AA1990" s="17">
        <v>0</v>
      </c>
      <c r="AB1990" s="17">
        <v>0</v>
      </c>
      <c r="AC1990" s="17">
        <v>0</v>
      </c>
      <c r="AD1990" s="17">
        <v>0</v>
      </c>
      <c r="AE1990" s="17">
        <v>0</v>
      </c>
      <c r="AF1990" s="17">
        <v>0</v>
      </c>
      <c r="AG1990" s="17">
        <v>0</v>
      </c>
      <c r="AH1990" s="17">
        <v>0</v>
      </c>
      <c r="AI1990" s="17">
        <v>0</v>
      </c>
      <c r="AJ1990" s="17">
        <v>0</v>
      </c>
      <c r="AK1990" s="17">
        <v>0</v>
      </c>
      <c r="AL1990" s="32">
        <v>0</v>
      </c>
      <c r="AM1990" s="172">
        <v>32.5</v>
      </c>
      <c r="AN1990" s="171">
        <v>60</v>
      </c>
      <c r="AO1990" s="89"/>
      <c r="AP1990" s="783">
        <v>33.380000000000003</v>
      </c>
      <c r="AQ1990" s="17" t="s">
        <v>3403</v>
      </c>
      <c r="AR1990" s="174">
        <v>100</v>
      </c>
      <c r="AS1990" s="171" t="s">
        <v>246</v>
      </c>
      <c r="AT1990" s="171">
        <v>200</v>
      </c>
      <c r="AU1990" s="171">
        <v>25</v>
      </c>
      <c r="AV1990" s="57"/>
      <c r="AW1990" s="171">
        <v>29</v>
      </c>
      <c r="AX1990" s="89"/>
      <c r="AY1990" s="171">
        <v>23</v>
      </c>
      <c r="AZ1990" s="89"/>
      <c r="BA1990" s="175">
        <v>65</v>
      </c>
      <c r="BB1990" s="259"/>
      <c r="BC1990" s="176"/>
      <c r="BD1990" s="177"/>
      <c r="BE1990" s="177"/>
      <c r="BF1990" s="190" t="s">
        <v>3324</v>
      </c>
    </row>
    <row r="1991" spans="1:58">
      <c r="A1991" s="111">
        <v>1990</v>
      </c>
      <c r="B1991" s="211" t="s">
        <v>3087</v>
      </c>
      <c r="C1991" s="244" t="s">
        <v>3294</v>
      </c>
      <c r="D1991" s="171" t="s">
        <v>3290</v>
      </c>
      <c r="E1991" s="732" t="s">
        <v>3379</v>
      </c>
      <c r="F1991" s="171" t="s">
        <v>3295</v>
      </c>
      <c r="G1991" s="171">
        <v>5</v>
      </c>
      <c r="H1991" s="172" t="s">
        <v>1738</v>
      </c>
      <c r="I1991" s="173" t="s">
        <v>1751</v>
      </c>
      <c r="J1991" s="242">
        <v>0.42016806722689076</v>
      </c>
      <c r="K1991" s="213">
        <v>3.7752100840336134</v>
      </c>
      <c r="L1991" s="38">
        <v>200</v>
      </c>
      <c r="M1991" s="171">
        <v>414.12</v>
      </c>
      <c r="N1991" s="171">
        <v>1050</v>
      </c>
      <c r="O1991" s="114"/>
      <c r="P1991" s="71" t="s">
        <v>3446</v>
      </c>
      <c r="Q1991" s="221" t="s">
        <v>522</v>
      </c>
      <c r="R1991" s="171" t="s">
        <v>3346</v>
      </c>
      <c r="S1991" s="171" t="s">
        <v>2312</v>
      </c>
      <c r="T1991" s="89"/>
      <c r="U1991" s="89" t="s">
        <v>3346</v>
      </c>
      <c r="V1991" s="102">
        <v>0</v>
      </c>
      <c r="W1991" s="121" t="s">
        <v>3455</v>
      </c>
      <c r="X1991" s="120">
        <v>0</v>
      </c>
      <c r="Y1991" s="120">
        <v>0</v>
      </c>
      <c r="Z1991" s="120">
        <v>0</v>
      </c>
      <c r="AA1991" s="17">
        <v>0</v>
      </c>
      <c r="AB1991" s="17">
        <v>0</v>
      </c>
      <c r="AC1991" s="17">
        <v>0</v>
      </c>
      <c r="AD1991" s="17">
        <v>0</v>
      </c>
      <c r="AE1991" s="17">
        <v>0</v>
      </c>
      <c r="AF1991" s="17">
        <v>0</v>
      </c>
      <c r="AG1991" s="17">
        <v>0</v>
      </c>
      <c r="AH1991" s="17">
        <v>0</v>
      </c>
      <c r="AI1991" s="17">
        <v>0</v>
      </c>
      <c r="AJ1991" s="17">
        <v>0</v>
      </c>
      <c r="AK1991" s="17">
        <v>0</v>
      </c>
      <c r="AL1991" s="32">
        <v>0</v>
      </c>
      <c r="AM1991" s="172">
        <v>53</v>
      </c>
      <c r="AN1991" s="171">
        <v>90</v>
      </c>
      <c r="AO1991" s="89"/>
      <c r="AP1991" s="783">
        <v>34.340000000000003</v>
      </c>
      <c r="AQ1991" s="17" t="s">
        <v>3403</v>
      </c>
      <c r="AR1991" s="174">
        <v>100</v>
      </c>
      <c r="AS1991" s="171" t="s">
        <v>246</v>
      </c>
      <c r="AT1991" s="171">
        <v>200</v>
      </c>
      <c r="AU1991" s="171">
        <v>25</v>
      </c>
      <c r="AV1991" s="57"/>
      <c r="AW1991" s="171">
        <v>29</v>
      </c>
      <c r="AX1991" s="89"/>
      <c r="AY1991" s="171">
        <v>23</v>
      </c>
      <c r="AZ1991" s="89"/>
      <c r="BA1991" s="175">
        <v>65</v>
      </c>
      <c r="BB1991" s="259"/>
      <c r="BC1991" s="176"/>
      <c r="BD1991" s="177"/>
      <c r="BE1991" s="177"/>
      <c r="BF1991" s="190" t="s">
        <v>3391</v>
      </c>
    </row>
    <row r="1992" spans="1:58">
      <c r="A1992" s="111">
        <v>1991</v>
      </c>
      <c r="B1992" s="211" t="s">
        <v>3088</v>
      </c>
      <c r="C1992" s="244" t="s">
        <v>3294</v>
      </c>
      <c r="D1992" s="171" t="s">
        <v>3290</v>
      </c>
      <c r="E1992" s="732" t="s">
        <v>3379</v>
      </c>
      <c r="F1992" s="171" t="s">
        <v>3295</v>
      </c>
      <c r="G1992" s="171">
        <v>5</v>
      </c>
      <c r="H1992" s="172" t="s">
        <v>1738</v>
      </c>
      <c r="I1992" s="173" t="s">
        <v>1751</v>
      </c>
      <c r="J1992" s="242">
        <v>0.62937062937062938</v>
      </c>
      <c r="K1992" s="213">
        <v>7.0629370629370634</v>
      </c>
      <c r="L1992" s="38">
        <v>180</v>
      </c>
      <c r="M1992" s="171">
        <v>248.82</v>
      </c>
      <c r="N1992" s="171">
        <v>1050</v>
      </c>
      <c r="O1992" s="114"/>
      <c r="P1992" s="71" t="s">
        <v>3446</v>
      </c>
      <c r="Q1992" s="221" t="s">
        <v>522</v>
      </c>
      <c r="R1992" s="171" t="s">
        <v>3346</v>
      </c>
      <c r="S1992" s="171" t="s">
        <v>2312</v>
      </c>
      <c r="T1992" s="89"/>
      <c r="U1992" s="89" t="s">
        <v>3346</v>
      </c>
      <c r="V1992" s="102">
        <v>0</v>
      </c>
      <c r="W1992" s="121" t="s">
        <v>3455</v>
      </c>
      <c r="X1992" s="120">
        <v>0</v>
      </c>
      <c r="Y1992" s="120">
        <v>0</v>
      </c>
      <c r="Z1992" s="120">
        <v>0</v>
      </c>
      <c r="AA1992" s="17">
        <v>0</v>
      </c>
      <c r="AB1992" s="17">
        <v>0</v>
      </c>
      <c r="AC1992" s="17">
        <v>0</v>
      </c>
      <c r="AD1992" s="17">
        <v>0</v>
      </c>
      <c r="AE1992" s="17">
        <v>0</v>
      </c>
      <c r="AF1992" s="17">
        <v>0</v>
      </c>
      <c r="AG1992" s="17">
        <v>0</v>
      </c>
      <c r="AH1992" s="17">
        <v>0</v>
      </c>
      <c r="AI1992" s="17">
        <v>0</v>
      </c>
      <c r="AJ1992" s="17">
        <v>0</v>
      </c>
      <c r="AK1992" s="17">
        <v>0</v>
      </c>
      <c r="AL1992" s="32">
        <v>0</v>
      </c>
      <c r="AM1992" s="172">
        <v>31.5</v>
      </c>
      <c r="AN1992" s="171">
        <v>75</v>
      </c>
      <c r="AO1992" s="89"/>
      <c r="AP1992" s="783">
        <v>32.6</v>
      </c>
      <c r="AQ1992" s="17" t="s">
        <v>3403</v>
      </c>
      <c r="AR1992" s="174">
        <v>100</v>
      </c>
      <c r="AS1992" s="171" t="s">
        <v>246</v>
      </c>
      <c r="AT1992" s="171">
        <v>200</v>
      </c>
      <c r="AU1992" s="171">
        <v>25</v>
      </c>
      <c r="AV1992" s="57"/>
      <c r="AW1992" s="171">
        <v>29</v>
      </c>
      <c r="AX1992" s="89"/>
      <c r="AY1992" s="171">
        <v>23</v>
      </c>
      <c r="AZ1992" s="89"/>
      <c r="BA1992" s="175">
        <v>65</v>
      </c>
      <c r="BB1992" s="259"/>
      <c r="BC1992" s="176"/>
      <c r="BD1992" s="177"/>
      <c r="BE1992" s="177"/>
      <c r="BF1992" s="190" t="s">
        <v>3391</v>
      </c>
    </row>
    <row r="1993" spans="1:58">
      <c r="A1993" s="111">
        <v>1992</v>
      </c>
      <c r="B1993" s="211" t="s">
        <v>3089</v>
      </c>
      <c r="C1993" s="244" t="s">
        <v>3294</v>
      </c>
      <c r="D1993" s="171" t="s">
        <v>3290</v>
      </c>
      <c r="E1993" s="732" t="s">
        <v>3379</v>
      </c>
      <c r="F1993" s="171" t="s">
        <v>3295</v>
      </c>
      <c r="G1993" s="171">
        <v>5</v>
      </c>
      <c r="H1993" s="172" t="s">
        <v>1738</v>
      </c>
      <c r="I1993" s="173" t="s">
        <v>1751</v>
      </c>
      <c r="J1993" s="242">
        <v>0.42016806722689076</v>
      </c>
      <c r="K1993" s="213">
        <v>3.7373949579831933</v>
      </c>
      <c r="L1993" s="38">
        <v>200</v>
      </c>
      <c r="M1993" s="171">
        <v>476</v>
      </c>
      <c r="N1993" s="171">
        <v>1050</v>
      </c>
      <c r="O1993" s="114"/>
      <c r="P1993" s="71" t="s">
        <v>3446</v>
      </c>
      <c r="Q1993" s="221" t="s">
        <v>522</v>
      </c>
      <c r="R1993" s="171" t="s">
        <v>3346</v>
      </c>
      <c r="S1993" s="171" t="s">
        <v>2312</v>
      </c>
      <c r="T1993" s="89"/>
      <c r="U1993" s="89" t="s">
        <v>3346</v>
      </c>
      <c r="V1993" s="102">
        <v>0</v>
      </c>
      <c r="W1993" s="120">
        <v>0</v>
      </c>
      <c r="X1993" s="120">
        <v>0</v>
      </c>
      <c r="Y1993" s="120">
        <v>0</v>
      </c>
      <c r="Z1993" s="120">
        <v>0</v>
      </c>
      <c r="AA1993" s="17">
        <v>0</v>
      </c>
      <c r="AB1993" s="17">
        <v>0</v>
      </c>
      <c r="AC1993" s="17">
        <v>0</v>
      </c>
      <c r="AD1993" s="17">
        <v>0</v>
      </c>
      <c r="AE1993" s="17">
        <v>0</v>
      </c>
      <c r="AF1993" s="17">
        <v>0</v>
      </c>
      <c r="AG1993" s="17">
        <v>0</v>
      </c>
      <c r="AH1993" s="17">
        <v>0</v>
      </c>
      <c r="AI1993" s="17">
        <v>0</v>
      </c>
      <c r="AJ1993" s="17">
        <v>0</v>
      </c>
      <c r="AK1993" s="17">
        <v>0</v>
      </c>
      <c r="AL1993" s="32">
        <v>0</v>
      </c>
      <c r="AM1993" s="172">
        <v>54</v>
      </c>
      <c r="AN1993" s="171">
        <v>95</v>
      </c>
      <c r="AO1993" s="89"/>
      <c r="AP1993" s="783">
        <v>32.590000000000003</v>
      </c>
      <c r="AQ1993" s="17" t="s">
        <v>3403</v>
      </c>
      <c r="AR1993" s="174">
        <v>100</v>
      </c>
      <c r="AS1993" s="171" t="s">
        <v>246</v>
      </c>
      <c r="AT1993" s="171">
        <v>200</v>
      </c>
      <c r="AU1993" s="171">
        <v>25</v>
      </c>
      <c r="AV1993" s="57"/>
      <c r="AW1993" s="171">
        <v>28</v>
      </c>
      <c r="AX1993" s="89"/>
      <c r="AY1993" s="171">
        <v>23</v>
      </c>
      <c r="AZ1993" s="89"/>
      <c r="BA1993" s="175">
        <v>65</v>
      </c>
      <c r="BB1993" s="259"/>
      <c r="BC1993" s="176"/>
      <c r="BD1993" s="177"/>
      <c r="BE1993" s="177"/>
      <c r="BF1993" s="190" t="s">
        <v>3325</v>
      </c>
    </row>
    <row r="1994" spans="1:58">
      <c r="A1994" s="111">
        <v>1993</v>
      </c>
      <c r="B1994" s="211" t="s">
        <v>3090</v>
      </c>
      <c r="C1994" s="244" t="s">
        <v>3294</v>
      </c>
      <c r="D1994" s="171" t="s">
        <v>3290</v>
      </c>
      <c r="E1994" s="732" t="s">
        <v>3379</v>
      </c>
      <c r="F1994" s="171" t="s">
        <v>3295</v>
      </c>
      <c r="G1994" s="171">
        <v>5</v>
      </c>
      <c r="H1994" s="172" t="s">
        <v>1738</v>
      </c>
      <c r="I1994" s="173" t="s">
        <v>1751</v>
      </c>
      <c r="J1994" s="242">
        <v>0.62937062937062938</v>
      </c>
      <c r="K1994" s="213">
        <v>7.0244755244755241</v>
      </c>
      <c r="L1994" s="38">
        <v>180</v>
      </c>
      <c r="M1994" s="171">
        <v>286</v>
      </c>
      <c r="N1994" s="171">
        <v>1050</v>
      </c>
      <c r="O1994" s="114"/>
      <c r="P1994" s="71" t="s">
        <v>3446</v>
      </c>
      <c r="Q1994" s="221" t="s">
        <v>522</v>
      </c>
      <c r="R1994" s="171" t="s">
        <v>3346</v>
      </c>
      <c r="S1994" s="171" t="s">
        <v>2312</v>
      </c>
      <c r="T1994" s="89"/>
      <c r="U1994" s="89" t="s">
        <v>3346</v>
      </c>
      <c r="V1994" s="102">
        <v>0</v>
      </c>
      <c r="W1994" s="120">
        <v>0</v>
      </c>
      <c r="X1994" s="120">
        <v>0</v>
      </c>
      <c r="Y1994" s="120">
        <v>0</v>
      </c>
      <c r="Z1994" s="120">
        <v>0</v>
      </c>
      <c r="AA1994" s="17">
        <v>0</v>
      </c>
      <c r="AB1994" s="17">
        <v>0</v>
      </c>
      <c r="AC1994" s="17">
        <v>0</v>
      </c>
      <c r="AD1994" s="17">
        <v>0</v>
      </c>
      <c r="AE1994" s="17">
        <v>0</v>
      </c>
      <c r="AF1994" s="17">
        <v>0</v>
      </c>
      <c r="AG1994" s="17">
        <v>0</v>
      </c>
      <c r="AH1994" s="17">
        <v>0</v>
      </c>
      <c r="AI1994" s="17">
        <v>0</v>
      </c>
      <c r="AJ1994" s="17">
        <v>0</v>
      </c>
      <c r="AK1994" s="17">
        <v>0</v>
      </c>
      <c r="AL1994" s="32">
        <v>0</v>
      </c>
      <c r="AM1994" s="172">
        <v>33</v>
      </c>
      <c r="AN1994" s="171">
        <v>70</v>
      </c>
      <c r="AO1994" s="89"/>
      <c r="AP1994" s="783">
        <v>29.27</v>
      </c>
      <c r="AQ1994" s="17" t="s">
        <v>3403</v>
      </c>
      <c r="AR1994" s="174">
        <v>100</v>
      </c>
      <c r="AS1994" s="171" t="s">
        <v>246</v>
      </c>
      <c r="AT1994" s="171">
        <v>200</v>
      </c>
      <c r="AU1994" s="171">
        <v>25</v>
      </c>
      <c r="AV1994" s="57"/>
      <c r="AW1994" s="171">
        <v>28</v>
      </c>
      <c r="AX1994" s="89"/>
      <c r="AY1994" s="171">
        <v>23</v>
      </c>
      <c r="AZ1994" s="89"/>
      <c r="BA1994" s="175">
        <v>65</v>
      </c>
      <c r="BB1994" s="259"/>
      <c r="BC1994" s="176"/>
      <c r="BD1994" s="177"/>
      <c r="BE1994" s="177"/>
      <c r="BF1994" s="190" t="s">
        <v>3325</v>
      </c>
    </row>
    <row r="1995" spans="1:58">
      <c r="A1995" s="111">
        <v>1994</v>
      </c>
      <c r="B1995" s="211" t="s">
        <v>3091</v>
      </c>
      <c r="C1995" s="244" t="s">
        <v>3294</v>
      </c>
      <c r="D1995" s="171" t="s">
        <v>3290</v>
      </c>
      <c r="E1995" s="732" t="s">
        <v>3379</v>
      </c>
      <c r="F1995" s="171" t="s">
        <v>3295</v>
      </c>
      <c r="G1995" s="171">
        <v>5</v>
      </c>
      <c r="H1995" s="172" t="s">
        <v>1738</v>
      </c>
      <c r="I1995" s="173" t="s">
        <v>1751</v>
      </c>
      <c r="J1995" s="242">
        <v>0.42</v>
      </c>
      <c r="K1995" s="213">
        <v>3.452</v>
      </c>
      <c r="L1995" s="38">
        <v>210</v>
      </c>
      <c r="M1995" s="171">
        <v>260</v>
      </c>
      <c r="N1995" s="171">
        <v>1050</v>
      </c>
      <c r="O1995" s="114"/>
      <c r="P1995" s="71" t="s">
        <v>3447</v>
      </c>
      <c r="Q1995" s="221" t="s">
        <v>3341</v>
      </c>
      <c r="R1995" s="171" t="s">
        <v>3346</v>
      </c>
      <c r="S1995" s="171" t="s">
        <v>2312</v>
      </c>
      <c r="T1995" s="89"/>
      <c r="U1995" s="89" t="s">
        <v>3346</v>
      </c>
      <c r="V1995" s="102">
        <v>0</v>
      </c>
      <c r="W1995" s="120">
        <v>24</v>
      </c>
      <c r="X1995" s="120">
        <v>24</v>
      </c>
      <c r="Y1995" s="120">
        <v>0</v>
      </c>
      <c r="Z1995" s="120">
        <v>0</v>
      </c>
      <c r="AA1995" s="17">
        <v>0</v>
      </c>
      <c r="AB1995" s="17">
        <v>0</v>
      </c>
      <c r="AC1995" s="17">
        <v>0</v>
      </c>
      <c r="AD1995" s="17">
        <v>0</v>
      </c>
      <c r="AE1995" s="17">
        <v>0</v>
      </c>
      <c r="AF1995" s="17">
        <v>0</v>
      </c>
      <c r="AG1995" s="17">
        <v>0</v>
      </c>
      <c r="AH1995" s="17">
        <v>0</v>
      </c>
      <c r="AI1995" s="17">
        <v>0</v>
      </c>
      <c r="AJ1995" s="17">
        <v>0</v>
      </c>
      <c r="AK1995" s="17">
        <v>0</v>
      </c>
      <c r="AL1995" s="32">
        <v>0</v>
      </c>
      <c r="AM1995" s="172">
        <v>44.5</v>
      </c>
      <c r="AN1995" s="171">
        <v>90</v>
      </c>
      <c r="AO1995" s="89"/>
      <c r="AP1995" s="783">
        <v>31.18</v>
      </c>
      <c r="AQ1995" s="17" t="s">
        <v>3403</v>
      </c>
      <c r="AR1995" s="174">
        <v>100</v>
      </c>
      <c r="AS1995" s="171" t="s">
        <v>246</v>
      </c>
      <c r="AT1995" s="171">
        <v>200</v>
      </c>
      <c r="AU1995" s="171">
        <v>25</v>
      </c>
      <c r="AV1995" s="57"/>
      <c r="AW1995" s="171">
        <v>29</v>
      </c>
      <c r="AX1995" s="89"/>
      <c r="AY1995" s="171">
        <v>23</v>
      </c>
      <c r="AZ1995" s="89"/>
      <c r="BA1995" s="175">
        <v>65</v>
      </c>
      <c r="BB1995" s="259"/>
      <c r="BC1995" s="176"/>
      <c r="BD1995" s="177"/>
      <c r="BE1995" s="177"/>
      <c r="BF1995" s="190" t="s">
        <v>3392</v>
      </c>
    </row>
    <row r="1996" spans="1:58">
      <c r="A1996" s="111">
        <v>1995</v>
      </c>
      <c r="B1996" s="211" t="s">
        <v>3092</v>
      </c>
      <c r="C1996" s="244" t="s">
        <v>3294</v>
      </c>
      <c r="D1996" s="171" t="s">
        <v>3290</v>
      </c>
      <c r="E1996" s="732" t="s">
        <v>3379</v>
      </c>
      <c r="F1996" s="171" t="s">
        <v>3295</v>
      </c>
      <c r="G1996" s="171">
        <v>5</v>
      </c>
      <c r="H1996" s="172" t="s">
        <v>1738</v>
      </c>
      <c r="I1996" s="173" t="s">
        <v>1751</v>
      </c>
      <c r="J1996" s="242">
        <v>0.62937062937062938</v>
      </c>
      <c r="K1996" s="213">
        <v>7.0174825174825175</v>
      </c>
      <c r="L1996" s="38">
        <v>180</v>
      </c>
      <c r="M1996" s="171">
        <v>148.72</v>
      </c>
      <c r="N1996" s="171">
        <v>1050</v>
      </c>
      <c r="O1996" s="114"/>
      <c r="P1996" s="71" t="s">
        <v>3447</v>
      </c>
      <c r="Q1996" s="221" t="s">
        <v>3341</v>
      </c>
      <c r="R1996" s="171" t="s">
        <v>3346</v>
      </c>
      <c r="S1996" s="171" t="s">
        <v>2312</v>
      </c>
      <c r="T1996" s="89"/>
      <c r="U1996" s="89" t="s">
        <v>3346</v>
      </c>
      <c r="V1996" s="102">
        <v>0</v>
      </c>
      <c r="W1996" s="120">
        <v>24</v>
      </c>
      <c r="X1996" s="120">
        <v>24</v>
      </c>
      <c r="Y1996" s="120">
        <v>0</v>
      </c>
      <c r="Z1996" s="120">
        <v>0</v>
      </c>
      <c r="AA1996" s="17">
        <v>0</v>
      </c>
      <c r="AB1996" s="17">
        <v>0</v>
      </c>
      <c r="AC1996" s="17">
        <v>0</v>
      </c>
      <c r="AD1996" s="17">
        <v>0</v>
      </c>
      <c r="AE1996" s="17">
        <v>0</v>
      </c>
      <c r="AF1996" s="17">
        <v>0</v>
      </c>
      <c r="AG1996" s="17">
        <v>0</v>
      </c>
      <c r="AH1996" s="17">
        <v>0</v>
      </c>
      <c r="AI1996" s="17">
        <v>0</v>
      </c>
      <c r="AJ1996" s="17">
        <v>0</v>
      </c>
      <c r="AK1996" s="17">
        <v>0</v>
      </c>
      <c r="AL1996" s="32">
        <v>0</v>
      </c>
      <c r="AM1996" s="172">
        <v>23.5</v>
      </c>
      <c r="AN1996" s="171">
        <v>75</v>
      </c>
      <c r="AO1996" s="89"/>
      <c r="AP1996" s="783">
        <v>25.8</v>
      </c>
      <c r="AQ1996" s="17" t="s">
        <v>3403</v>
      </c>
      <c r="AR1996" s="174">
        <v>100</v>
      </c>
      <c r="AS1996" s="171" t="s">
        <v>246</v>
      </c>
      <c r="AT1996" s="171">
        <v>200</v>
      </c>
      <c r="AU1996" s="171">
        <v>25</v>
      </c>
      <c r="AV1996" s="57"/>
      <c r="AW1996" s="171">
        <v>28</v>
      </c>
      <c r="AX1996" s="89"/>
      <c r="AY1996" s="171">
        <v>23</v>
      </c>
      <c r="AZ1996" s="89"/>
      <c r="BA1996" s="175">
        <v>65</v>
      </c>
      <c r="BB1996" s="259"/>
      <c r="BC1996" s="176"/>
      <c r="BD1996" s="177"/>
      <c r="BE1996" s="177"/>
      <c r="BF1996" s="190" t="s">
        <v>3392</v>
      </c>
    </row>
    <row r="1997" spans="1:58">
      <c r="A1997" s="111">
        <v>1996</v>
      </c>
      <c r="B1997" s="211" t="s">
        <v>3093</v>
      </c>
      <c r="C1997" s="244" t="s">
        <v>3294</v>
      </c>
      <c r="D1997" s="171" t="s">
        <v>3290</v>
      </c>
      <c r="E1997" s="732" t="s">
        <v>3379</v>
      </c>
      <c r="F1997" s="171" t="s">
        <v>3295</v>
      </c>
      <c r="G1997" s="171">
        <v>5</v>
      </c>
      <c r="H1997" s="172" t="s">
        <v>1738</v>
      </c>
      <c r="I1997" s="173" t="s">
        <v>1751</v>
      </c>
      <c r="J1997" s="242">
        <v>0.42016806722689076</v>
      </c>
      <c r="K1997" s="213">
        <v>3.6869747899159662</v>
      </c>
      <c r="L1997" s="38">
        <v>200</v>
      </c>
      <c r="M1997" s="171">
        <v>333</v>
      </c>
      <c r="N1997" s="171">
        <v>1100</v>
      </c>
      <c r="O1997" s="114"/>
      <c r="P1997" s="71" t="s">
        <v>3446</v>
      </c>
      <c r="Q1997" s="221" t="s">
        <v>1754</v>
      </c>
      <c r="R1997" s="171" t="s">
        <v>3346</v>
      </c>
      <c r="S1997" s="171" t="s">
        <v>2312</v>
      </c>
      <c r="T1997" s="89"/>
      <c r="U1997" s="89" t="s">
        <v>3346</v>
      </c>
      <c r="V1997" s="102">
        <v>0</v>
      </c>
      <c r="W1997" s="120">
        <v>30</v>
      </c>
      <c r="X1997" s="120">
        <v>0</v>
      </c>
      <c r="Y1997" s="120">
        <v>0</v>
      </c>
      <c r="Z1997" s="120">
        <v>0</v>
      </c>
      <c r="AA1997" s="17">
        <v>0</v>
      </c>
      <c r="AB1997" s="17">
        <v>0</v>
      </c>
      <c r="AC1997" s="17">
        <v>0</v>
      </c>
      <c r="AD1997" s="17">
        <v>0</v>
      </c>
      <c r="AE1997" s="17">
        <v>0</v>
      </c>
      <c r="AF1997" s="17">
        <v>0</v>
      </c>
      <c r="AG1997" s="17">
        <v>0</v>
      </c>
      <c r="AH1997" s="17">
        <v>0</v>
      </c>
      <c r="AI1997" s="17">
        <v>0</v>
      </c>
      <c r="AJ1997" s="17">
        <v>0</v>
      </c>
      <c r="AK1997" s="17">
        <v>0</v>
      </c>
      <c r="AL1997" s="32">
        <v>0</v>
      </c>
      <c r="AM1997" s="172">
        <v>45.5</v>
      </c>
      <c r="AN1997" s="171">
        <v>85</v>
      </c>
      <c r="AO1997" s="89"/>
      <c r="AP1997" s="783">
        <v>39.979999999999997</v>
      </c>
      <c r="AQ1997" s="17" t="s">
        <v>3403</v>
      </c>
      <c r="AR1997" s="174">
        <v>100</v>
      </c>
      <c r="AS1997" s="171" t="s">
        <v>246</v>
      </c>
      <c r="AT1997" s="171">
        <v>200</v>
      </c>
      <c r="AU1997" s="171">
        <v>25</v>
      </c>
      <c r="AV1997" s="57"/>
      <c r="AW1997" s="171">
        <v>29</v>
      </c>
      <c r="AX1997" s="89"/>
      <c r="AY1997" s="171">
        <v>23</v>
      </c>
      <c r="AZ1997" s="89"/>
      <c r="BA1997" s="175">
        <v>65</v>
      </c>
      <c r="BB1997" s="259"/>
      <c r="BC1997" s="176"/>
      <c r="BD1997" s="177"/>
      <c r="BE1997" s="177"/>
      <c r="BF1997" s="190" t="s">
        <v>3326</v>
      </c>
    </row>
    <row r="1998" spans="1:58">
      <c r="A1998" s="111">
        <v>1997</v>
      </c>
      <c r="B1998" s="211" t="s">
        <v>3094</v>
      </c>
      <c r="C1998" s="244" t="s">
        <v>3294</v>
      </c>
      <c r="D1998" s="171" t="s">
        <v>3290</v>
      </c>
      <c r="E1998" s="732" t="s">
        <v>3379</v>
      </c>
      <c r="F1998" s="171" t="s">
        <v>3295</v>
      </c>
      <c r="G1998" s="171">
        <v>5</v>
      </c>
      <c r="H1998" s="172" t="s">
        <v>1738</v>
      </c>
      <c r="I1998" s="173" t="s">
        <v>1751</v>
      </c>
      <c r="J1998" s="242">
        <v>0.62937062937062938</v>
      </c>
      <c r="K1998" s="213">
        <v>6.9825174825174825</v>
      </c>
      <c r="L1998" s="38">
        <v>180</v>
      </c>
      <c r="M1998" s="171">
        <v>200</v>
      </c>
      <c r="N1998" s="171">
        <v>1100</v>
      </c>
      <c r="O1998" s="114"/>
      <c r="P1998" s="71" t="s">
        <v>3446</v>
      </c>
      <c r="Q1998" s="221" t="s">
        <v>1754</v>
      </c>
      <c r="R1998" s="171" t="s">
        <v>3346</v>
      </c>
      <c r="S1998" s="171" t="s">
        <v>2312</v>
      </c>
      <c r="T1998" s="89"/>
      <c r="U1998" s="89" t="s">
        <v>3346</v>
      </c>
      <c r="V1998" s="102">
        <v>0</v>
      </c>
      <c r="W1998" s="122">
        <v>30</v>
      </c>
      <c r="X1998" s="120">
        <v>0</v>
      </c>
      <c r="Y1998" s="120">
        <v>0</v>
      </c>
      <c r="Z1998" s="120">
        <v>0</v>
      </c>
      <c r="AA1998" s="17">
        <v>0</v>
      </c>
      <c r="AB1998" s="17">
        <v>0</v>
      </c>
      <c r="AC1998" s="17">
        <v>0</v>
      </c>
      <c r="AD1998" s="17">
        <v>0</v>
      </c>
      <c r="AE1998" s="17">
        <v>0</v>
      </c>
      <c r="AF1998" s="17">
        <v>0</v>
      </c>
      <c r="AG1998" s="17">
        <v>0</v>
      </c>
      <c r="AH1998" s="17">
        <v>0</v>
      </c>
      <c r="AI1998" s="17">
        <v>0</v>
      </c>
      <c r="AJ1998" s="17">
        <v>0</v>
      </c>
      <c r="AK1998" s="17">
        <v>0</v>
      </c>
      <c r="AL1998" s="32">
        <v>0</v>
      </c>
      <c r="AM1998" s="172">
        <v>25.5</v>
      </c>
      <c r="AN1998" s="171">
        <v>85</v>
      </c>
      <c r="AO1998" s="89"/>
      <c r="AP1998" s="783">
        <v>28.67</v>
      </c>
      <c r="AQ1998" s="17" t="s">
        <v>3403</v>
      </c>
      <c r="AR1998" s="174">
        <v>100</v>
      </c>
      <c r="AS1998" s="171" t="s">
        <v>246</v>
      </c>
      <c r="AT1998" s="171">
        <v>200</v>
      </c>
      <c r="AU1998" s="171">
        <v>25</v>
      </c>
      <c r="AV1998" s="57"/>
      <c r="AW1998" s="171">
        <v>29</v>
      </c>
      <c r="AX1998" s="89"/>
      <c r="AY1998" s="171">
        <v>23</v>
      </c>
      <c r="AZ1998" s="89"/>
      <c r="BA1998" s="175">
        <v>65</v>
      </c>
      <c r="BB1998" s="259"/>
      <c r="BC1998" s="176"/>
      <c r="BD1998" s="177"/>
      <c r="BE1998" s="177"/>
      <c r="BF1998" s="190" t="s">
        <v>3326</v>
      </c>
    </row>
    <row r="1999" spans="1:58">
      <c r="A1999" s="111">
        <v>1998</v>
      </c>
      <c r="B1999" s="211" t="s">
        <v>3095</v>
      </c>
      <c r="C1999" s="244" t="s">
        <v>3294</v>
      </c>
      <c r="D1999" s="171" t="s">
        <v>3290</v>
      </c>
      <c r="E1999" s="732" t="s">
        <v>3379</v>
      </c>
      <c r="F1999" s="171" t="s">
        <v>3295</v>
      </c>
      <c r="G1999" s="171">
        <v>5</v>
      </c>
      <c r="H1999" s="172" t="s">
        <v>1738</v>
      </c>
      <c r="I1999" s="173" t="s">
        <v>1751</v>
      </c>
      <c r="J1999" s="242">
        <v>0.41984732824427479</v>
      </c>
      <c r="K1999" s="213">
        <v>3.2519083969465647</v>
      </c>
      <c r="L1999" s="38">
        <v>220</v>
      </c>
      <c r="M1999" s="171">
        <v>262</v>
      </c>
      <c r="N1999" s="171">
        <v>1050</v>
      </c>
      <c r="O1999" s="114"/>
      <c r="P1999" s="71" t="s">
        <v>3446</v>
      </c>
      <c r="Q1999" s="221" t="s">
        <v>1754</v>
      </c>
      <c r="R1999" s="171" t="s">
        <v>3346</v>
      </c>
      <c r="S1999" s="171" t="s">
        <v>2312</v>
      </c>
      <c r="T1999" s="89"/>
      <c r="U1999" s="89" t="s">
        <v>3346</v>
      </c>
      <c r="V1999" s="102">
        <v>0</v>
      </c>
      <c r="W1999" s="122">
        <v>0</v>
      </c>
      <c r="X1999" s="120">
        <v>50</v>
      </c>
      <c r="Y1999" s="120">
        <v>0</v>
      </c>
      <c r="Z1999" s="120">
        <v>0</v>
      </c>
      <c r="AA1999" s="17">
        <v>0</v>
      </c>
      <c r="AB1999" s="17">
        <v>0</v>
      </c>
      <c r="AC1999" s="17">
        <v>0</v>
      </c>
      <c r="AD1999" s="17">
        <v>0</v>
      </c>
      <c r="AE1999" s="17">
        <v>0</v>
      </c>
      <c r="AF1999" s="17">
        <v>0</v>
      </c>
      <c r="AG1999" s="17">
        <v>0</v>
      </c>
      <c r="AH1999" s="17">
        <v>0</v>
      </c>
      <c r="AI1999" s="17">
        <v>0</v>
      </c>
      <c r="AJ1999" s="17">
        <v>0</v>
      </c>
      <c r="AK1999" s="17">
        <v>0</v>
      </c>
      <c r="AL1999" s="32">
        <v>0</v>
      </c>
      <c r="AM1999" s="172">
        <v>45.5</v>
      </c>
      <c r="AN1999" s="171">
        <v>95</v>
      </c>
      <c r="AO1999" s="89"/>
      <c r="AP1999" s="783">
        <v>29.52</v>
      </c>
      <c r="AQ1999" s="17" t="s">
        <v>3403</v>
      </c>
      <c r="AR1999" s="174">
        <v>100</v>
      </c>
      <c r="AS1999" s="171" t="s">
        <v>246</v>
      </c>
      <c r="AT1999" s="171">
        <v>200</v>
      </c>
      <c r="AU1999" s="171">
        <v>25</v>
      </c>
      <c r="AV1999" s="57"/>
      <c r="AW1999" s="171">
        <v>28</v>
      </c>
      <c r="AX1999" s="89"/>
      <c r="AY1999" s="171">
        <v>23</v>
      </c>
      <c r="AZ1999" s="89"/>
      <c r="BA1999" s="175">
        <v>65</v>
      </c>
      <c r="BB1999" s="259"/>
      <c r="BC1999" s="176"/>
      <c r="BD1999" s="177"/>
      <c r="BE1999" s="177"/>
      <c r="BF1999" s="190" t="s">
        <v>3327</v>
      </c>
    </row>
    <row r="2000" spans="1:58">
      <c r="A2000" s="111">
        <v>1999</v>
      </c>
      <c r="B2000" s="211" t="s">
        <v>3096</v>
      </c>
      <c r="C2000" s="244" t="s">
        <v>3294</v>
      </c>
      <c r="D2000" s="171" t="s">
        <v>3290</v>
      </c>
      <c r="E2000" s="732" t="s">
        <v>3379</v>
      </c>
      <c r="F2000" s="171" t="s">
        <v>3295</v>
      </c>
      <c r="G2000" s="171">
        <v>5</v>
      </c>
      <c r="H2000" s="172" t="s">
        <v>1738</v>
      </c>
      <c r="I2000" s="173" t="s">
        <v>1751</v>
      </c>
      <c r="J2000" s="242">
        <v>0.62893081761006286</v>
      </c>
      <c r="K2000" s="213">
        <v>6.10062893081761</v>
      </c>
      <c r="L2000" s="38">
        <v>200</v>
      </c>
      <c r="M2000" s="171">
        <v>159</v>
      </c>
      <c r="N2000" s="171">
        <v>1050</v>
      </c>
      <c r="O2000" s="114"/>
      <c r="P2000" s="71" t="s">
        <v>3446</v>
      </c>
      <c r="Q2000" s="221" t="s">
        <v>1754</v>
      </c>
      <c r="R2000" s="171" t="s">
        <v>3346</v>
      </c>
      <c r="S2000" s="171" t="s">
        <v>2312</v>
      </c>
      <c r="T2000" s="89"/>
      <c r="U2000" s="89" t="s">
        <v>3346</v>
      </c>
      <c r="V2000" s="102">
        <v>0</v>
      </c>
      <c r="W2000" s="122">
        <v>0</v>
      </c>
      <c r="X2000" s="120">
        <v>50</v>
      </c>
      <c r="Y2000" s="120">
        <v>0</v>
      </c>
      <c r="Z2000" s="120">
        <v>0</v>
      </c>
      <c r="AA2000" s="17">
        <v>0</v>
      </c>
      <c r="AB2000" s="17">
        <v>0</v>
      </c>
      <c r="AC2000" s="17">
        <v>0</v>
      </c>
      <c r="AD2000" s="17">
        <v>0</v>
      </c>
      <c r="AE2000" s="17">
        <v>0</v>
      </c>
      <c r="AF2000" s="17">
        <v>0</v>
      </c>
      <c r="AG2000" s="17">
        <v>0</v>
      </c>
      <c r="AH2000" s="17">
        <v>0</v>
      </c>
      <c r="AI2000" s="17">
        <v>0</v>
      </c>
      <c r="AJ2000" s="17">
        <v>0</v>
      </c>
      <c r="AK2000" s="17">
        <v>0</v>
      </c>
      <c r="AL2000" s="32">
        <v>0</v>
      </c>
      <c r="AM2000" s="172">
        <v>30</v>
      </c>
      <c r="AN2000" s="171">
        <v>70</v>
      </c>
      <c r="AO2000" s="89"/>
      <c r="AP2000" s="783">
        <v>29.06</v>
      </c>
      <c r="AQ2000" s="17" t="s">
        <v>3403</v>
      </c>
      <c r="AR2000" s="174">
        <v>100</v>
      </c>
      <c r="AS2000" s="171" t="s">
        <v>246</v>
      </c>
      <c r="AT2000" s="171">
        <v>200</v>
      </c>
      <c r="AU2000" s="171">
        <v>25</v>
      </c>
      <c r="AV2000" s="57"/>
      <c r="AW2000" s="171">
        <v>28</v>
      </c>
      <c r="AX2000" s="89"/>
      <c r="AY2000" s="171">
        <v>23</v>
      </c>
      <c r="AZ2000" s="89"/>
      <c r="BA2000" s="175">
        <v>65</v>
      </c>
      <c r="BB2000" s="259"/>
      <c r="BC2000" s="176"/>
      <c r="BD2000" s="177"/>
      <c r="BE2000" s="177"/>
      <c r="BF2000" s="190" t="s">
        <v>3327</v>
      </c>
    </row>
    <row r="2001" spans="1:58">
      <c r="A2001" s="111">
        <v>2000</v>
      </c>
      <c r="B2001" s="211" t="s">
        <v>3097</v>
      </c>
      <c r="C2001" s="244" t="s">
        <v>3293</v>
      </c>
      <c r="D2001" s="171" t="s">
        <v>3290</v>
      </c>
      <c r="E2001" s="732" t="s">
        <v>3379</v>
      </c>
      <c r="F2001" s="171">
        <v>1995</v>
      </c>
      <c r="G2001" s="171">
        <v>6</v>
      </c>
      <c r="H2001" s="172" t="s">
        <v>1738</v>
      </c>
      <c r="I2001" s="173" t="s">
        <v>1751</v>
      </c>
      <c r="J2001" s="242">
        <v>0.62925170068027214</v>
      </c>
      <c r="K2001" s="213">
        <v>7.5</v>
      </c>
      <c r="L2001" s="38">
        <v>185</v>
      </c>
      <c r="M2001" s="171">
        <v>294</v>
      </c>
      <c r="N2001" s="171">
        <v>1180</v>
      </c>
      <c r="O2001" s="162"/>
      <c r="P2001" s="116"/>
      <c r="Q2001" s="221" t="s">
        <v>1754</v>
      </c>
      <c r="R2001" s="171" t="s">
        <v>3345</v>
      </c>
      <c r="S2001" s="171" t="s">
        <v>3345</v>
      </c>
      <c r="T2001" s="89"/>
      <c r="U2001" s="89" t="s">
        <v>3345</v>
      </c>
      <c r="V2001" s="102">
        <v>0</v>
      </c>
      <c r="W2001" s="122">
        <v>0</v>
      </c>
      <c r="X2001" s="120">
        <v>0</v>
      </c>
      <c r="Y2001" s="120">
        <v>0</v>
      </c>
      <c r="Z2001" s="120">
        <v>0</v>
      </c>
      <c r="AA2001" s="17">
        <v>0</v>
      </c>
      <c r="AB2001" s="17">
        <v>0</v>
      </c>
      <c r="AC2001" s="17">
        <v>0</v>
      </c>
      <c r="AD2001" s="17">
        <v>0</v>
      </c>
      <c r="AE2001" s="17">
        <v>0</v>
      </c>
      <c r="AF2001" s="17">
        <v>0</v>
      </c>
      <c r="AG2001" s="17">
        <v>0</v>
      </c>
      <c r="AH2001" s="17">
        <v>0</v>
      </c>
      <c r="AI2001" s="17">
        <v>0</v>
      </c>
      <c r="AJ2001" s="33">
        <v>0.16706735666843242</v>
      </c>
      <c r="AK2001" s="17">
        <v>0</v>
      </c>
      <c r="AL2001" s="32">
        <v>0</v>
      </c>
      <c r="AM2001" s="172">
        <v>32</v>
      </c>
      <c r="AN2001" s="171">
        <v>50</v>
      </c>
      <c r="AO2001" s="89"/>
      <c r="AP2001" s="783">
        <v>33.590000000000003</v>
      </c>
      <c r="AQ2001" s="17" t="s">
        <v>3404</v>
      </c>
      <c r="AR2001" s="174">
        <v>145</v>
      </c>
      <c r="AS2001" s="171" t="s">
        <v>246</v>
      </c>
      <c r="AT2001" s="171">
        <v>150</v>
      </c>
      <c r="AU2001" s="171">
        <v>72.5</v>
      </c>
      <c r="AV2001" s="57"/>
      <c r="AW2001" s="171">
        <v>37</v>
      </c>
      <c r="AX2001" s="89"/>
      <c r="AY2001" s="171">
        <v>22</v>
      </c>
      <c r="AZ2001" s="89"/>
      <c r="BA2001" s="175">
        <v>65</v>
      </c>
      <c r="BB2001" s="259"/>
      <c r="BC2001" s="176"/>
      <c r="BD2001" s="177"/>
      <c r="BE2001" s="177"/>
      <c r="BF2001" s="190" t="s">
        <v>3393</v>
      </c>
    </row>
    <row r="2002" spans="1:58">
      <c r="A2002" s="111">
        <v>2001</v>
      </c>
      <c r="B2002" s="211" t="s">
        <v>3098</v>
      </c>
      <c r="C2002" s="244" t="s">
        <v>3293</v>
      </c>
      <c r="D2002" s="171" t="s">
        <v>3290</v>
      </c>
      <c r="E2002" s="732" t="s">
        <v>3379</v>
      </c>
      <c r="F2002" s="171">
        <v>1995</v>
      </c>
      <c r="G2002" s="171">
        <v>6</v>
      </c>
      <c r="H2002" s="172" t="s">
        <v>1738</v>
      </c>
      <c r="I2002" s="173" t="s">
        <v>1751</v>
      </c>
      <c r="J2002" s="242">
        <v>0.53968253968253965</v>
      </c>
      <c r="K2002" s="213">
        <v>6.980952380952381</v>
      </c>
      <c r="L2002" s="38">
        <v>170</v>
      </c>
      <c r="M2002" s="171">
        <v>220</v>
      </c>
      <c r="N2002" s="171">
        <v>1180</v>
      </c>
      <c r="O2002" s="162"/>
      <c r="P2002" s="116"/>
      <c r="Q2002" s="221" t="s">
        <v>1754</v>
      </c>
      <c r="R2002" s="171" t="s">
        <v>3345</v>
      </c>
      <c r="S2002" s="171" t="s">
        <v>3345</v>
      </c>
      <c r="T2002" s="89"/>
      <c r="U2002" s="89" t="s">
        <v>3345</v>
      </c>
      <c r="V2002" s="102">
        <v>0</v>
      </c>
      <c r="W2002" s="122">
        <v>30</v>
      </c>
      <c r="X2002" s="120">
        <v>0</v>
      </c>
      <c r="Y2002" s="120">
        <v>0</v>
      </c>
      <c r="Z2002" s="120">
        <v>0</v>
      </c>
      <c r="AA2002" s="17">
        <v>0</v>
      </c>
      <c r="AB2002" s="17">
        <v>0</v>
      </c>
      <c r="AC2002" s="17">
        <v>0</v>
      </c>
      <c r="AD2002" s="17">
        <v>0</v>
      </c>
      <c r="AE2002" s="17">
        <v>0</v>
      </c>
      <c r="AF2002" s="17">
        <v>0</v>
      </c>
      <c r="AG2002" s="17">
        <v>0</v>
      </c>
      <c r="AH2002" s="17">
        <v>0</v>
      </c>
      <c r="AI2002" s="17">
        <v>0</v>
      </c>
      <c r="AJ2002" s="33">
        <v>0.29815599065651288</v>
      </c>
      <c r="AK2002" s="17">
        <v>0</v>
      </c>
      <c r="AL2002" s="32">
        <v>0</v>
      </c>
      <c r="AM2002" s="172">
        <v>21</v>
      </c>
      <c r="AN2002" s="171">
        <v>50</v>
      </c>
      <c r="AO2002" s="89"/>
      <c r="AP2002" s="783">
        <v>24.11</v>
      </c>
      <c r="AQ2002" s="17" t="s">
        <v>3404</v>
      </c>
      <c r="AR2002" s="174">
        <v>145</v>
      </c>
      <c r="AS2002" s="171" t="s">
        <v>246</v>
      </c>
      <c r="AT2002" s="171">
        <v>150</v>
      </c>
      <c r="AU2002" s="171">
        <v>72.5</v>
      </c>
      <c r="AV2002" s="57"/>
      <c r="AW2002" s="171">
        <v>27</v>
      </c>
      <c r="AX2002" s="89"/>
      <c r="AY2002" s="171">
        <v>22</v>
      </c>
      <c r="AZ2002" s="89"/>
      <c r="BA2002" s="175">
        <v>65</v>
      </c>
      <c r="BB2002" s="259"/>
      <c r="BC2002" s="176"/>
      <c r="BD2002" s="177"/>
      <c r="BE2002" s="177"/>
      <c r="BF2002" s="190" t="s">
        <v>3393</v>
      </c>
    </row>
    <row r="2003" spans="1:58">
      <c r="A2003" s="111">
        <v>2002</v>
      </c>
      <c r="B2003" s="211" t="s">
        <v>3099</v>
      </c>
      <c r="C2003" s="244" t="s">
        <v>3293</v>
      </c>
      <c r="D2003" s="171" t="s">
        <v>3290</v>
      </c>
      <c r="E2003" s="732" t="s">
        <v>3379</v>
      </c>
      <c r="F2003" s="171">
        <v>1995</v>
      </c>
      <c r="G2003" s="171">
        <v>6</v>
      </c>
      <c r="H2003" s="172" t="s">
        <v>1738</v>
      </c>
      <c r="I2003" s="173" t="s">
        <v>1751</v>
      </c>
      <c r="J2003" s="242">
        <v>0.58917197452229297</v>
      </c>
      <c r="K2003" s="213">
        <v>7.2165605095541405</v>
      </c>
      <c r="L2003" s="38">
        <v>185</v>
      </c>
      <c r="M2003" s="171">
        <v>157</v>
      </c>
      <c r="N2003" s="171">
        <v>1180</v>
      </c>
      <c r="O2003" s="162"/>
      <c r="P2003" s="116"/>
      <c r="Q2003" s="221" t="s">
        <v>1754</v>
      </c>
      <c r="R2003" s="171" t="s">
        <v>3345</v>
      </c>
      <c r="S2003" s="171" t="s">
        <v>3345</v>
      </c>
      <c r="T2003" s="89"/>
      <c r="U2003" s="89" t="s">
        <v>3345</v>
      </c>
      <c r="V2003" s="102">
        <v>0</v>
      </c>
      <c r="W2003" s="120">
        <v>0</v>
      </c>
      <c r="X2003" s="120">
        <v>50</v>
      </c>
      <c r="Y2003" s="120">
        <v>0</v>
      </c>
      <c r="Z2003" s="120">
        <v>0</v>
      </c>
      <c r="AA2003" s="17">
        <v>0</v>
      </c>
      <c r="AB2003" s="17">
        <v>0</v>
      </c>
      <c r="AC2003" s="17">
        <v>0</v>
      </c>
      <c r="AD2003" s="17">
        <v>0</v>
      </c>
      <c r="AE2003" s="17">
        <v>0</v>
      </c>
      <c r="AF2003" s="17">
        <v>0</v>
      </c>
      <c r="AG2003" s="17">
        <v>0</v>
      </c>
      <c r="AH2003" s="17">
        <v>0</v>
      </c>
      <c r="AI2003" s="17">
        <v>0</v>
      </c>
      <c r="AJ2003" s="33">
        <v>0.16945757678844509</v>
      </c>
      <c r="AK2003" s="17">
        <v>0</v>
      </c>
      <c r="AL2003" s="32">
        <v>0</v>
      </c>
      <c r="AM2003" s="172">
        <v>37</v>
      </c>
      <c r="AN2003" s="171">
        <v>35</v>
      </c>
      <c r="AO2003" s="89"/>
      <c r="AP2003" s="783">
        <v>31.34</v>
      </c>
      <c r="AQ2003" s="17" t="s">
        <v>3405</v>
      </c>
      <c r="AR2003" s="174">
        <v>150</v>
      </c>
      <c r="AS2003" s="171" t="s">
        <v>246</v>
      </c>
      <c r="AT2003" s="171">
        <v>150</v>
      </c>
      <c r="AU2003" s="171">
        <v>75</v>
      </c>
      <c r="AV2003" s="57"/>
      <c r="AW2003" s="171">
        <v>37</v>
      </c>
      <c r="AX2003" s="89"/>
      <c r="AY2003" s="171">
        <v>21</v>
      </c>
      <c r="AZ2003" s="89"/>
      <c r="BA2003" s="175">
        <v>65</v>
      </c>
      <c r="BB2003" s="259"/>
      <c r="BC2003" s="176"/>
      <c r="BD2003" s="177"/>
      <c r="BE2003" s="177"/>
      <c r="BF2003" s="190" t="s">
        <v>3393</v>
      </c>
    </row>
    <row r="2004" spans="1:58">
      <c r="A2004" s="111">
        <v>2003</v>
      </c>
      <c r="B2004" s="211" t="s">
        <v>3100</v>
      </c>
      <c r="C2004" s="244" t="s">
        <v>3293</v>
      </c>
      <c r="D2004" s="171" t="s">
        <v>3290</v>
      </c>
      <c r="E2004" s="732" t="s">
        <v>3379</v>
      </c>
      <c r="F2004" s="171">
        <v>1995</v>
      </c>
      <c r="G2004" s="171">
        <v>6</v>
      </c>
      <c r="H2004" s="172" t="s">
        <v>1738</v>
      </c>
      <c r="I2004" s="173" t="s">
        <v>1751</v>
      </c>
      <c r="J2004" s="242">
        <v>0.66901408450704225</v>
      </c>
      <c r="K2004" s="213">
        <v>7.721830985915493</v>
      </c>
      <c r="L2004" s="38">
        <v>190</v>
      </c>
      <c r="M2004" s="171">
        <v>264</v>
      </c>
      <c r="N2004" s="171">
        <v>1180</v>
      </c>
      <c r="O2004" s="162"/>
      <c r="P2004" s="116"/>
      <c r="Q2004" s="221" t="s">
        <v>1754</v>
      </c>
      <c r="R2004" s="171" t="s">
        <v>3345</v>
      </c>
      <c r="S2004" s="171" t="s">
        <v>3345</v>
      </c>
      <c r="T2004" s="89"/>
      <c r="U2004" s="89" t="s">
        <v>3345</v>
      </c>
      <c r="V2004" s="119">
        <v>7</v>
      </c>
      <c r="W2004" s="120">
        <v>0</v>
      </c>
      <c r="X2004" s="120">
        <v>0</v>
      </c>
      <c r="Y2004" s="120">
        <v>0</v>
      </c>
      <c r="Z2004" s="120">
        <v>0</v>
      </c>
      <c r="AA2004" s="17">
        <v>0</v>
      </c>
      <c r="AB2004" s="17">
        <v>0</v>
      </c>
      <c r="AC2004" s="17">
        <v>0</v>
      </c>
      <c r="AD2004" s="17">
        <v>0</v>
      </c>
      <c r="AE2004" s="17">
        <v>0</v>
      </c>
      <c r="AF2004" s="17">
        <v>0</v>
      </c>
      <c r="AG2004" s="17">
        <v>0</v>
      </c>
      <c r="AH2004" s="17">
        <v>0</v>
      </c>
      <c r="AI2004" s="17">
        <v>0</v>
      </c>
      <c r="AJ2004" s="33">
        <v>0.17013259093657288</v>
      </c>
      <c r="AK2004" s="17">
        <v>0</v>
      </c>
      <c r="AL2004" s="32">
        <v>0</v>
      </c>
      <c r="AM2004" s="172">
        <v>37</v>
      </c>
      <c r="AN2004" s="171">
        <v>35</v>
      </c>
      <c r="AO2004" s="89"/>
      <c r="AP2004" s="783">
        <v>29.35</v>
      </c>
      <c r="AQ2004" s="17" t="s">
        <v>3405</v>
      </c>
      <c r="AR2004" s="174">
        <v>150</v>
      </c>
      <c r="AS2004" s="171" t="s">
        <v>246</v>
      </c>
      <c r="AT2004" s="171">
        <v>150</v>
      </c>
      <c r="AU2004" s="171">
        <v>75</v>
      </c>
      <c r="AV2004" s="57"/>
      <c r="AW2004" s="171">
        <v>36</v>
      </c>
      <c r="AX2004" s="89"/>
      <c r="AY2004" s="171">
        <v>21</v>
      </c>
      <c r="AZ2004" s="89"/>
      <c r="BA2004" s="175">
        <v>65</v>
      </c>
      <c r="BB2004" s="259"/>
      <c r="BC2004" s="176"/>
      <c r="BD2004" s="177"/>
      <c r="BE2004" s="177"/>
      <c r="BF2004" s="190" t="s">
        <v>3393</v>
      </c>
    </row>
    <row r="2005" spans="1:58">
      <c r="A2005" s="111">
        <v>2004</v>
      </c>
      <c r="B2005" s="211" t="s">
        <v>3101</v>
      </c>
      <c r="C2005" s="191" t="s">
        <v>3291</v>
      </c>
      <c r="D2005" s="171" t="s">
        <v>3290</v>
      </c>
      <c r="E2005" s="732" t="s">
        <v>3379</v>
      </c>
      <c r="F2005" s="171" t="s">
        <v>3296</v>
      </c>
      <c r="G2005" s="171">
        <v>7</v>
      </c>
      <c r="H2005" s="172" t="s">
        <v>1738</v>
      </c>
      <c r="I2005" s="173" t="s">
        <v>1751</v>
      </c>
      <c r="J2005" s="242">
        <v>0.83333333333333337</v>
      </c>
      <c r="K2005" s="213">
        <v>8.7416666666666671</v>
      </c>
      <c r="L2005" s="38">
        <v>200</v>
      </c>
      <c r="M2005" s="171">
        <v>240</v>
      </c>
      <c r="N2005" s="171">
        <v>1005</v>
      </c>
      <c r="O2005" s="162"/>
      <c r="P2005" s="116"/>
      <c r="Q2005" s="221" t="s">
        <v>1754</v>
      </c>
      <c r="R2005" s="171" t="s">
        <v>3346</v>
      </c>
      <c r="S2005" s="171" t="s">
        <v>3346</v>
      </c>
      <c r="T2005" s="89"/>
      <c r="U2005" s="89" t="s">
        <v>3346</v>
      </c>
      <c r="V2005" s="102">
        <v>0</v>
      </c>
      <c r="W2005" s="120">
        <v>0</v>
      </c>
      <c r="X2005" s="120">
        <v>0</v>
      </c>
      <c r="Y2005" s="120">
        <v>0</v>
      </c>
      <c r="Z2005" s="120">
        <v>0</v>
      </c>
      <c r="AA2005" s="17">
        <v>0</v>
      </c>
      <c r="AB2005" s="17">
        <v>0</v>
      </c>
      <c r="AC2005" s="17">
        <v>0</v>
      </c>
      <c r="AD2005" s="17">
        <v>0</v>
      </c>
      <c r="AE2005" s="17">
        <v>0</v>
      </c>
      <c r="AF2005" s="17">
        <v>0</v>
      </c>
      <c r="AG2005" s="17">
        <v>0</v>
      </c>
      <c r="AH2005" s="17">
        <v>0</v>
      </c>
      <c r="AI2005" s="17">
        <v>0</v>
      </c>
      <c r="AJ2005" s="17">
        <v>0</v>
      </c>
      <c r="AK2005" s="17">
        <v>0</v>
      </c>
      <c r="AL2005" s="32">
        <v>0</v>
      </c>
      <c r="AM2005" s="172">
        <v>21.1</v>
      </c>
      <c r="AN2005" s="89"/>
      <c r="AO2005" s="89"/>
      <c r="AP2005" s="783">
        <v>20.9</v>
      </c>
      <c r="AQ2005" s="17" t="s">
        <v>3406</v>
      </c>
      <c r="AR2005" s="174">
        <v>102</v>
      </c>
      <c r="AS2005" s="171" t="s">
        <v>246</v>
      </c>
      <c r="AT2005" s="171">
        <v>230</v>
      </c>
      <c r="AU2005" s="171">
        <v>25.5</v>
      </c>
      <c r="AV2005" s="57"/>
      <c r="AW2005" s="171">
        <v>49</v>
      </c>
      <c r="AX2005" s="89"/>
      <c r="AY2005" s="171">
        <v>21</v>
      </c>
      <c r="AZ2005" s="89"/>
      <c r="BA2005" s="175">
        <v>43</v>
      </c>
      <c r="BB2005" s="259"/>
      <c r="BC2005" s="176"/>
      <c r="BD2005" s="177"/>
      <c r="BE2005" s="177"/>
      <c r="BF2005" s="190" t="s">
        <v>273</v>
      </c>
    </row>
    <row r="2006" spans="1:58">
      <c r="A2006" s="111">
        <v>2005</v>
      </c>
      <c r="B2006" s="211" t="s">
        <v>3102</v>
      </c>
      <c r="C2006" s="191" t="s">
        <v>3291</v>
      </c>
      <c r="D2006" s="171" t="s">
        <v>3290</v>
      </c>
      <c r="E2006" s="732" t="s">
        <v>3379</v>
      </c>
      <c r="F2006" s="171" t="s">
        <v>3296</v>
      </c>
      <c r="G2006" s="171">
        <v>7</v>
      </c>
      <c r="H2006" s="172" t="s">
        <v>1738</v>
      </c>
      <c r="I2006" s="173" t="s">
        <v>1751</v>
      </c>
      <c r="J2006" s="242">
        <v>0.55555555555555558</v>
      </c>
      <c r="K2006" s="213">
        <v>5.5222222222222221</v>
      </c>
      <c r="L2006" s="38">
        <v>200</v>
      </c>
      <c r="M2006" s="171">
        <v>360</v>
      </c>
      <c r="N2006" s="171">
        <v>1005</v>
      </c>
      <c r="O2006" s="162"/>
      <c r="P2006" s="116"/>
      <c r="Q2006" s="221" t="s">
        <v>1754</v>
      </c>
      <c r="R2006" s="171" t="s">
        <v>3346</v>
      </c>
      <c r="S2006" s="171" t="s">
        <v>3346</v>
      </c>
      <c r="T2006" s="89"/>
      <c r="U2006" s="89" t="s">
        <v>3346</v>
      </c>
      <c r="V2006" s="102">
        <v>0</v>
      </c>
      <c r="W2006" s="120">
        <v>0</v>
      </c>
      <c r="X2006" s="120">
        <v>0</v>
      </c>
      <c r="Y2006" s="120">
        <v>0</v>
      </c>
      <c r="Z2006" s="120">
        <v>0</v>
      </c>
      <c r="AA2006" s="17">
        <v>0</v>
      </c>
      <c r="AB2006" s="17">
        <v>0</v>
      </c>
      <c r="AC2006" s="17">
        <v>0</v>
      </c>
      <c r="AD2006" s="17">
        <v>0</v>
      </c>
      <c r="AE2006" s="17">
        <v>0</v>
      </c>
      <c r="AF2006" s="17">
        <v>0</v>
      </c>
      <c r="AG2006" s="17">
        <v>0</v>
      </c>
      <c r="AH2006" s="17">
        <v>0</v>
      </c>
      <c r="AI2006" s="17">
        <v>0</v>
      </c>
      <c r="AJ2006" s="17">
        <v>0</v>
      </c>
      <c r="AK2006" s="17">
        <v>0</v>
      </c>
      <c r="AL2006" s="32">
        <v>0</v>
      </c>
      <c r="AM2006" s="172">
        <v>44.1</v>
      </c>
      <c r="AN2006" s="89"/>
      <c r="AO2006" s="89"/>
      <c r="AP2006" s="783">
        <v>33.299999999999997</v>
      </c>
      <c r="AQ2006" s="17" t="s">
        <v>3406</v>
      </c>
      <c r="AR2006" s="174">
        <v>102</v>
      </c>
      <c r="AS2006" s="171" t="s">
        <v>246</v>
      </c>
      <c r="AT2006" s="171">
        <v>230</v>
      </c>
      <c r="AU2006" s="171">
        <v>25.5</v>
      </c>
      <c r="AV2006" s="57"/>
      <c r="AW2006" s="171">
        <v>49</v>
      </c>
      <c r="AX2006" s="89"/>
      <c r="AY2006" s="171">
        <v>21</v>
      </c>
      <c r="AZ2006" s="89"/>
      <c r="BA2006" s="175">
        <v>43</v>
      </c>
      <c r="BB2006" s="259"/>
      <c r="BC2006" s="176"/>
      <c r="BD2006" s="177"/>
      <c r="BE2006" s="177"/>
      <c r="BF2006" s="190" t="s">
        <v>273</v>
      </c>
    </row>
    <row r="2007" spans="1:58">
      <c r="A2007" s="111">
        <v>2006</v>
      </c>
      <c r="B2007" s="211" t="s">
        <v>3103</v>
      </c>
      <c r="C2007" s="191" t="s">
        <v>3291</v>
      </c>
      <c r="D2007" s="171" t="s">
        <v>3290</v>
      </c>
      <c r="E2007" s="732" t="s">
        <v>3379</v>
      </c>
      <c r="F2007" s="171" t="s">
        <v>3296</v>
      </c>
      <c r="G2007" s="171">
        <v>7</v>
      </c>
      <c r="H2007" s="172" t="s">
        <v>1738</v>
      </c>
      <c r="I2007" s="173" t="s">
        <v>1751</v>
      </c>
      <c r="J2007" s="242">
        <v>0.41666666666666669</v>
      </c>
      <c r="K2007" s="213">
        <v>3.9104166666666669</v>
      </c>
      <c r="L2007" s="38">
        <v>200</v>
      </c>
      <c r="M2007" s="171">
        <v>480</v>
      </c>
      <c r="N2007" s="171">
        <v>1005</v>
      </c>
      <c r="O2007" s="162"/>
      <c r="P2007" s="116"/>
      <c r="Q2007" s="221" t="s">
        <v>1754</v>
      </c>
      <c r="R2007" s="171" t="s">
        <v>3346</v>
      </c>
      <c r="S2007" s="171" t="s">
        <v>3346</v>
      </c>
      <c r="T2007" s="89"/>
      <c r="U2007" s="89" t="s">
        <v>3346</v>
      </c>
      <c r="V2007" s="102">
        <v>0</v>
      </c>
      <c r="W2007" s="120">
        <v>0</v>
      </c>
      <c r="X2007" s="120">
        <v>0</v>
      </c>
      <c r="Y2007" s="120">
        <v>0</v>
      </c>
      <c r="Z2007" s="120">
        <v>0</v>
      </c>
      <c r="AA2007" s="17">
        <v>0</v>
      </c>
      <c r="AB2007" s="17">
        <v>0</v>
      </c>
      <c r="AC2007" s="17">
        <v>0</v>
      </c>
      <c r="AD2007" s="17">
        <v>0</v>
      </c>
      <c r="AE2007" s="17">
        <v>0</v>
      </c>
      <c r="AF2007" s="17">
        <v>0</v>
      </c>
      <c r="AG2007" s="17">
        <v>0</v>
      </c>
      <c r="AH2007" s="17">
        <v>0</v>
      </c>
      <c r="AI2007" s="17">
        <v>0</v>
      </c>
      <c r="AJ2007" s="17">
        <v>0</v>
      </c>
      <c r="AK2007" s="17">
        <v>0</v>
      </c>
      <c r="AL2007" s="32">
        <v>0</v>
      </c>
      <c r="AM2007" s="172">
        <v>65.099999999999994</v>
      </c>
      <c r="AN2007" s="89"/>
      <c r="AO2007" s="89"/>
      <c r="AP2007" s="783">
        <v>40</v>
      </c>
      <c r="AQ2007" s="17" t="s">
        <v>3406</v>
      </c>
      <c r="AR2007" s="174">
        <v>102</v>
      </c>
      <c r="AS2007" s="171" t="s">
        <v>246</v>
      </c>
      <c r="AT2007" s="171">
        <v>230</v>
      </c>
      <c r="AU2007" s="171">
        <v>25.5</v>
      </c>
      <c r="AV2007" s="57"/>
      <c r="AW2007" s="171">
        <v>49</v>
      </c>
      <c r="AX2007" s="89"/>
      <c r="AY2007" s="171">
        <v>21</v>
      </c>
      <c r="AZ2007" s="89"/>
      <c r="BA2007" s="175">
        <v>43</v>
      </c>
      <c r="BB2007" s="259"/>
      <c r="BC2007" s="176"/>
      <c r="BD2007" s="177"/>
      <c r="BE2007" s="177"/>
      <c r="BF2007" s="190" t="s">
        <v>273</v>
      </c>
    </row>
    <row r="2008" spans="1:58">
      <c r="A2008" s="111">
        <v>2007</v>
      </c>
      <c r="B2008" s="211" t="s">
        <v>3104</v>
      </c>
      <c r="C2008" s="191" t="s">
        <v>3291</v>
      </c>
      <c r="D2008" s="171" t="s">
        <v>3290</v>
      </c>
      <c r="E2008" s="732" t="s">
        <v>3379</v>
      </c>
      <c r="F2008" s="171" t="s">
        <v>3296</v>
      </c>
      <c r="G2008" s="171">
        <v>7</v>
      </c>
      <c r="H2008" s="172" t="s">
        <v>1738</v>
      </c>
      <c r="I2008" s="173" t="s">
        <v>1751</v>
      </c>
      <c r="J2008" s="242">
        <v>0.83333333333333337</v>
      </c>
      <c r="K2008" s="213">
        <v>7.6031746031746028</v>
      </c>
      <c r="L2008" s="38">
        <v>210</v>
      </c>
      <c r="M2008" s="171">
        <v>252</v>
      </c>
      <c r="N2008" s="171">
        <v>1036</v>
      </c>
      <c r="O2008" s="162"/>
      <c r="P2008" s="116"/>
      <c r="Q2008" s="221" t="s">
        <v>1754</v>
      </c>
      <c r="R2008" s="171" t="s">
        <v>3342</v>
      </c>
      <c r="S2008" s="171" t="s">
        <v>3342</v>
      </c>
      <c r="T2008" s="89"/>
      <c r="U2008" s="89" t="s">
        <v>3342</v>
      </c>
      <c r="V2008" s="102">
        <v>0</v>
      </c>
      <c r="W2008" s="120">
        <v>0</v>
      </c>
      <c r="X2008" s="120">
        <v>0</v>
      </c>
      <c r="Y2008" s="120">
        <v>0</v>
      </c>
      <c r="Z2008" s="120">
        <v>0</v>
      </c>
      <c r="AA2008" s="17">
        <v>0</v>
      </c>
      <c r="AB2008" s="17">
        <v>0</v>
      </c>
      <c r="AC2008" s="17">
        <v>0</v>
      </c>
      <c r="AD2008" s="17">
        <v>0</v>
      </c>
      <c r="AE2008" s="17">
        <v>0</v>
      </c>
      <c r="AF2008" s="17">
        <v>0</v>
      </c>
      <c r="AG2008" s="17">
        <v>0</v>
      </c>
      <c r="AH2008" s="17">
        <v>0</v>
      </c>
      <c r="AI2008" s="17">
        <v>0</v>
      </c>
      <c r="AJ2008" s="17">
        <v>0</v>
      </c>
      <c r="AK2008" s="17">
        <v>0</v>
      </c>
      <c r="AL2008" s="32">
        <v>0</v>
      </c>
      <c r="AM2008" s="172">
        <v>20.399999999999999</v>
      </c>
      <c r="AN2008" s="89"/>
      <c r="AO2008" s="89"/>
      <c r="AP2008" s="783">
        <v>18.600000000000001</v>
      </c>
      <c r="AQ2008" s="17" t="s">
        <v>3406</v>
      </c>
      <c r="AR2008" s="174">
        <v>102</v>
      </c>
      <c r="AS2008" s="171" t="s">
        <v>246</v>
      </c>
      <c r="AT2008" s="171">
        <v>230</v>
      </c>
      <c r="AU2008" s="171">
        <v>25.5</v>
      </c>
      <c r="AV2008" s="57"/>
      <c r="AW2008" s="171">
        <v>49</v>
      </c>
      <c r="AX2008" s="89"/>
      <c r="AY2008" s="171">
        <v>21</v>
      </c>
      <c r="AZ2008" s="89"/>
      <c r="BA2008" s="175">
        <v>43</v>
      </c>
      <c r="BB2008" s="259"/>
      <c r="BC2008" s="176"/>
      <c r="BD2008" s="177"/>
      <c r="BE2008" s="177"/>
      <c r="BF2008" s="190" t="s">
        <v>273</v>
      </c>
    </row>
    <row r="2009" spans="1:58">
      <c r="A2009" s="111">
        <v>2008</v>
      </c>
      <c r="B2009" s="211" t="s">
        <v>3105</v>
      </c>
      <c r="C2009" s="191" t="s">
        <v>3291</v>
      </c>
      <c r="D2009" s="171" t="s">
        <v>3290</v>
      </c>
      <c r="E2009" s="732" t="s">
        <v>3379</v>
      </c>
      <c r="F2009" s="171" t="s">
        <v>3296</v>
      </c>
      <c r="G2009" s="171">
        <v>7</v>
      </c>
      <c r="H2009" s="172" t="s">
        <v>1738</v>
      </c>
      <c r="I2009" s="173" t="s">
        <v>1751</v>
      </c>
      <c r="J2009" s="242">
        <v>0.55555555555555558</v>
      </c>
      <c r="K2009" s="213">
        <v>4.7830687830687832</v>
      </c>
      <c r="L2009" s="38">
        <v>210</v>
      </c>
      <c r="M2009" s="171">
        <v>378</v>
      </c>
      <c r="N2009" s="171">
        <v>1036</v>
      </c>
      <c r="O2009" s="162"/>
      <c r="P2009" s="116"/>
      <c r="Q2009" s="221" t="s">
        <v>1754</v>
      </c>
      <c r="R2009" s="171" t="s">
        <v>3342</v>
      </c>
      <c r="S2009" s="171" t="s">
        <v>3342</v>
      </c>
      <c r="T2009" s="89"/>
      <c r="U2009" s="89" t="s">
        <v>3342</v>
      </c>
      <c r="V2009" s="102">
        <v>0</v>
      </c>
      <c r="W2009" s="120">
        <v>0</v>
      </c>
      <c r="X2009" s="120">
        <v>0</v>
      </c>
      <c r="Y2009" s="120">
        <v>0</v>
      </c>
      <c r="Z2009" s="120">
        <v>0</v>
      </c>
      <c r="AA2009" s="17">
        <v>0</v>
      </c>
      <c r="AB2009" s="17">
        <v>0</v>
      </c>
      <c r="AC2009" s="17">
        <v>0</v>
      </c>
      <c r="AD2009" s="17">
        <v>0</v>
      </c>
      <c r="AE2009" s="17">
        <v>0</v>
      </c>
      <c r="AF2009" s="17">
        <v>0</v>
      </c>
      <c r="AG2009" s="17">
        <v>0</v>
      </c>
      <c r="AH2009" s="17">
        <v>0</v>
      </c>
      <c r="AI2009" s="17">
        <v>0</v>
      </c>
      <c r="AJ2009" s="17">
        <v>0</v>
      </c>
      <c r="AK2009" s="17">
        <v>0</v>
      </c>
      <c r="AL2009" s="32">
        <v>0</v>
      </c>
      <c r="AM2009" s="172">
        <v>41</v>
      </c>
      <c r="AN2009" s="89"/>
      <c r="AO2009" s="89"/>
      <c r="AP2009" s="783">
        <v>26</v>
      </c>
      <c r="AQ2009" s="17" t="s">
        <v>3406</v>
      </c>
      <c r="AR2009" s="174">
        <v>102</v>
      </c>
      <c r="AS2009" s="171" t="s">
        <v>246</v>
      </c>
      <c r="AT2009" s="171">
        <v>230</v>
      </c>
      <c r="AU2009" s="171">
        <v>25.5</v>
      </c>
      <c r="AV2009" s="57"/>
      <c r="AW2009" s="171">
        <v>49</v>
      </c>
      <c r="AX2009" s="89"/>
      <c r="AY2009" s="171">
        <v>21</v>
      </c>
      <c r="AZ2009" s="89"/>
      <c r="BA2009" s="175">
        <v>43</v>
      </c>
      <c r="BB2009" s="259"/>
      <c r="BC2009" s="176"/>
      <c r="BD2009" s="177"/>
      <c r="BE2009" s="177"/>
      <c r="BF2009" s="190" t="s">
        <v>273</v>
      </c>
    </row>
    <row r="2010" spans="1:58">
      <c r="A2010" s="111">
        <v>2009</v>
      </c>
      <c r="B2010" s="211" t="s">
        <v>3106</v>
      </c>
      <c r="C2010" s="191" t="s">
        <v>3291</v>
      </c>
      <c r="D2010" s="171" t="s">
        <v>3290</v>
      </c>
      <c r="E2010" s="732" t="s">
        <v>3379</v>
      </c>
      <c r="F2010" s="171" t="s">
        <v>3296</v>
      </c>
      <c r="G2010" s="171">
        <v>7</v>
      </c>
      <c r="H2010" s="172" t="s">
        <v>1738</v>
      </c>
      <c r="I2010" s="173" t="s">
        <v>1751</v>
      </c>
      <c r="J2010" s="242">
        <v>0.41666666666666669</v>
      </c>
      <c r="K2010" s="213">
        <v>3.373015873015873</v>
      </c>
      <c r="L2010" s="38">
        <v>210</v>
      </c>
      <c r="M2010" s="171">
        <v>504</v>
      </c>
      <c r="N2010" s="171">
        <v>1036</v>
      </c>
      <c r="O2010" s="162"/>
      <c r="P2010" s="116"/>
      <c r="Q2010" s="221" t="s">
        <v>1754</v>
      </c>
      <c r="R2010" s="171" t="s">
        <v>3342</v>
      </c>
      <c r="S2010" s="171" t="s">
        <v>3342</v>
      </c>
      <c r="T2010" s="89"/>
      <c r="U2010" s="89" t="s">
        <v>3342</v>
      </c>
      <c r="V2010" s="102">
        <v>0</v>
      </c>
      <c r="W2010" s="120">
        <v>0</v>
      </c>
      <c r="X2010" s="120">
        <v>0</v>
      </c>
      <c r="Y2010" s="120">
        <v>0</v>
      </c>
      <c r="Z2010" s="120">
        <v>0</v>
      </c>
      <c r="AA2010" s="17">
        <v>0</v>
      </c>
      <c r="AB2010" s="17">
        <v>0</v>
      </c>
      <c r="AC2010" s="17">
        <v>0</v>
      </c>
      <c r="AD2010" s="17">
        <v>0</v>
      </c>
      <c r="AE2010" s="17">
        <v>0</v>
      </c>
      <c r="AF2010" s="17">
        <v>0</v>
      </c>
      <c r="AG2010" s="17">
        <v>0</v>
      </c>
      <c r="AH2010" s="17">
        <v>0</v>
      </c>
      <c r="AI2010" s="17">
        <v>0</v>
      </c>
      <c r="AJ2010" s="17">
        <v>0</v>
      </c>
      <c r="AK2010" s="17">
        <v>0</v>
      </c>
      <c r="AL2010" s="32">
        <v>0</v>
      </c>
      <c r="AM2010" s="172">
        <v>61.6</v>
      </c>
      <c r="AN2010" s="89"/>
      <c r="AO2010" s="89"/>
      <c r="AP2010" s="783">
        <v>31.1</v>
      </c>
      <c r="AQ2010" s="17" t="s">
        <v>3406</v>
      </c>
      <c r="AR2010" s="174">
        <v>102</v>
      </c>
      <c r="AS2010" s="171" t="s">
        <v>246</v>
      </c>
      <c r="AT2010" s="171">
        <v>230</v>
      </c>
      <c r="AU2010" s="171">
        <v>25.5</v>
      </c>
      <c r="AV2010" s="57"/>
      <c r="AW2010" s="171">
        <v>49</v>
      </c>
      <c r="AX2010" s="89"/>
      <c r="AY2010" s="171">
        <v>21</v>
      </c>
      <c r="AZ2010" s="89"/>
      <c r="BA2010" s="175">
        <v>43</v>
      </c>
      <c r="BB2010" s="259"/>
      <c r="BC2010" s="176"/>
      <c r="BD2010" s="177"/>
      <c r="BE2010" s="177"/>
      <c r="BF2010" s="190" t="s">
        <v>273</v>
      </c>
    </row>
    <row r="2011" spans="1:58">
      <c r="A2011" s="111">
        <v>2010</v>
      </c>
      <c r="B2011" s="211" t="s">
        <v>3107</v>
      </c>
      <c r="C2011" s="191" t="s">
        <v>3298</v>
      </c>
      <c r="D2011" s="171" t="s">
        <v>3290</v>
      </c>
      <c r="E2011" s="732" t="s">
        <v>3379</v>
      </c>
      <c r="F2011" s="171">
        <v>2001</v>
      </c>
      <c r="G2011" s="171">
        <v>8</v>
      </c>
      <c r="H2011" s="172" t="s">
        <v>1738</v>
      </c>
      <c r="I2011" s="173" t="s">
        <v>1751</v>
      </c>
      <c r="J2011" s="242">
        <v>0.4</v>
      </c>
      <c r="K2011" s="213">
        <v>4.0888888888888886</v>
      </c>
      <c r="L2011" s="38">
        <v>180</v>
      </c>
      <c r="M2011" s="171">
        <v>450</v>
      </c>
      <c r="N2011" s="171">
        <v>1100</v>
      </c>
      <c r="O2011" s="162"/>
      <c r="P2011" s="71">
        <v>42.5</v>
      </c>
      <c r="Q2011" s="221" t="s">
        <v>1754</v>
      </c>
      <c r="R2011" s="171" t="s">
        <v>3347</v>
      </c>
      <c r="S2011" s="171" t="s">
        <v>3354</v>
      </c>
      <c r="T2011" s="89"/>
      <c r="U2011" s="89" t="s">
        <v>3347</v>
      </c>
      <c r="V2011" s="102">
        <v>0</v>
      </c>
      <c r="W2011" s="120">
        <v>0</v>
      </c>
      <c r="X2011" s="120">
        <v>0</v>
      </c>
      <c r="Y2011" s="120">
        <v>0</v>
      </c>
      <c r="Z2011" s="120">
        <v>0</v>
      </c>
      <c r="AA2011" s="17">
        <v>0</v>
      </c>
      <c r="AB2011" s="17">
        <v>0</v>
      </c>
      <c r="AC2011" s="17">
        <v>0</v>
      </c>
      <c r="AD2011" s="17">
        <v>0</v>
      </c>
      <c r="AE2011" s="17">
        <v>0</v>
      </c>
      <c r="AF2011" s="33">
        <v>0.3487792725460887</v>
      </c>
      <c r="AG2011" s="17">
        <v>0</v>
      </c>
      <c r="AH2011" s="17">
        <v>0</v>
      </c>
      <c r="AI2011" s="17">
        <v>0</v>
      </c>
      <c r="AJ2011" s="17">
        <v>0</v>
      </c>
      <c r="AK2011" s="17">
        <v>0</v>
      </c>
      <c r="AL2011" s="32">
        <v>0</v>
      </c>
      <c r="AM2011" s="172">
        <v>60</v>
      </c>
      <c r="AN2011" s="171">
        <v>30</v>
      </c>
      <c r="AO2011" s="89"/>
      <c r="AP2011" s="783">
        <v>40.6</v>
      </c>
      <c r="AQ2011" s="17" t="s">
        <v>3407</v>
      </c>
      <c r="AR2011" s="174">
        <v>100</v>
      </c>
      <c r="AS2011" s="171" t="s">
        <v>246</v>
      </c>
      <c r="AT2011" s="171">
        <v>200</v>
      </c>
      <c r="AU2011" s="171">
        <v>25</v>
      </c>
      <c r="AV2011" s="57"/>
      <c r="AW2011" s="171">
        <v>14</v>
      </c>
      <c r="AX2011" s="89"/>
      <c r="AY2011" s="171">
        <v>22</v>
      </c>
      <c r="AZ2011" s="89"/>
      <c r="BA2011" s="175">
        <v>65</v>
      </c>
      <c r="BB2011" s="259"/>
      <c r="BC2011" s="176"/>
      <c r="BD2011" s="177"/>
      <c r="BE2011" s="177"/>
      <c r="BF2011" s="190" t="s">
        <v>3394</v>
      </c>
    </row>
    <row r="2012" spans="1:58">
      <c r="A2012" s="111">
        <v>2011</v>
      </c>
      <c r="B2012" s="211" t="s">
        <v>3108</v>
      </c>
      <c r="C2012" s="191" t="s">
        <v>3298</v>
      </c>
      <c r="D2012" s="171" t="s">
        <v>3290</v>
      </c>
      <c r="E2012" s="732" t="s">
        <v>3379</v>
      </c>
      <c r="F2012" s="171">
        <v>2001</v>
      </c>
      <c r="G2012" s="171">
        <v>8</v>
      </c>
      <c r="H2012" s="172" t="s">
        <v>1738</v>
      </c>
      <c r="I2012" s="173" t="s">
        <v>1751</v>
      </c>
      <c r="J2012" s="242">
        <v>0.4</v>
      </c>
      <c r="K2012" s="213">
        <v>4.0444444444444443</v>
      </c>
      <c r="L2012" s="38">
        <v>180</v>
      </c>
      <c r="M2012" s="171">
        <v>225</v>
      </c>
      <c r="N2012" s="171">
        <v>1100</v>
      </c>
      <c r="O2012" s="162"/>
      <c r="P2012" s="71">
        <v>42.5</v>
      </c>
      <c r="Q2012" s="221" t="s">
        <v>1754</v>
      </c>
      <c r="R2012" s="171" t="s">
        <v>3347</v>
      </c>
      <c r="S2012" s="171" t="s">
        <v>3354</v>
      </c>
      <c r="T2012" s="89"/>
      <c r="U2012" s="89" t="s">
        <v>3347</v>
      </c>
      <c r="V2012" s="102">
        <v>0</v>
      </c>
      <c r="W2012" s="120">
        <v>0</v>
      </c>
      <c r="X2012" s="120">
        <v>0</v>
      </c>
      <c r="Y2012" s="120">
        <v>50</v>
      </c>
      <c r="Z2012" s="120">
        <v>0</v>
      </c>
      <c r="AA2012" s="17">
        <v>0</v>
      </c>
      <c r="AB2012" s="17">
        <v>0</v>
      </c>
      <c r="AC2012" s="17">
        <v>0</v>
      </c>
      <c r="AD2012" s="17">
        <v>0</v>
      </c>
      <c r="AE2012" s="17">
        <v>0</v>
      </c>
      <c r="AF2012" s="33">
        <v>0.3487792725460887</v>
      </c>
      <c r="AG2012" s="17">
        <v>0</v>
      </c>
      <c r="AH2012" s="17">
        <v>0</v>
      </c>
      <c r="AI2012" s="17">
        <v>0</v>
      </c>
      <c r="AJ2012" s="17">
        <v>0</v>
      </c>
      <c r="AK2012" s="17">
        <v>0</v>
      </c>
      <c r="AL2012" s="32">
        <v>0</v>
      </c>
      <c r="AM2012" s="172">
        <v>66</v>
      </c>
      <c r="AN2012" s="171">
        <v>35</v>
      </c>
      <c r="AO2012" s="89"/>
      <c r="AP2012" s="783">
        <v>42.2</v>
      </c>
      <c r="AQ2012" s="17" t="s">
        <v>3407</v>
      </c>
      <c r="AR2012" s="174">
        <v>100</v>
      </c>
      <c r="AS2012" s="171" t="s">
        <v>246</v>
      </c>
      <c r="AT2012" s="171">
        <v>200</v>
      </c>
      <c r="AU2012" s="171">
        <v>25</v>
      </c>
      <c r="AV2012" s="57"/>
      <c r="AW2012" s="171">
        <v>14</v>
      </c>
      <c r="AX2012" s="89"/>
      <c r="AY2012" s="171">
        <v>22</v>
      </c>
      <c r="AZ2012" s="89"/>
      <c r="BA2012" s="175">
        <v>65</v>
      </c>
      <c r="BB2012" s="259"/>
      <c r="BC2012" s="176"/>
      <c r="BD2012" s="177"/>
      <c r="BE2012" s="177"/>
      <c r="BF2012" s="190" t="s">
        <v>3394</v>
      </c>
    </row>
    <row r="2013" spans="1:58">
      <c r="A2013" s="111">
        <v>2012</v>
      </c>
      <c r="B2013" s="211" t="s">
        <v>3109</v>
      </c>
      <c r="C2013" s="191" t="s">
        <v>3298</v>
      </c>
      <c r="D2013" s="171" t="s">
        <v>3290</v>
      </c>
      <c r="E2013" s="732" t="s">
        <v>3379</v>
      </c>
      <c r="F2013" s="171">
        <v>2001</v>
      </c>
      <c r="G2013" s="171">
        <v>8</v>
      </c>
      <c r="H2013" s="172" t="s">
        <v>1738</v>
      </c>
      <c r="I2013" s="173" t="s">
        <v>1751</v>
      </c>
      <c r="J2013" s="242">
        <v>0.4</v>
      </c>
      <c r="K2013" s="213">
        <v>4.0444444444444443</v>
      </c>
      <c r="L2013" s="38">
        <v>180</v>
      </c>
      <c r="M2013" s="171">
        <v>225</v>
      </c>
      <c r="N2013" s="171">
        <v>1100</v>
      </c>
      <c r="O2013" s="162"/>
      <c r="P2013" s="71">
        <v>42.5</v>
      </c>
      <c r="Q2013" s="221" t="s">
        <v>1754</v>
      </c>
      <c r="R2013" s="171" t="s">
        <v>3347</v>
      </c>
      <c r="S2013" s="171" t="s">
        <v>3354</v>
      </c>
      <c r="T2013" s="89"/>
      <c r="U2013" s="89" t="s">
        <v>3347</v>
      </c>
      <c r="V2013" s="102">
        <v>0</v>
      </c>
      <c r="W2013" s="120">
        <v>0</v>
      </c>
      <c r="X2013" s="120">
        <v>50</v>
      </c>
      <c r="Y2013" s="120">
        <v>0</v>
      </c>
      <c r="Z2013" s="120">
        <v>0</v>
      </c>
      <c r="AA2013" s="17">
        <v>0</v>
      </c>
      <c r="AB2013" s="17">
        <v>0</v>
      </c>
      <c r="AC2013" s="17">
        <v>0</v>
      </c>
      <c r="AD2013" s="17">
        <v>0</v>
      </c>
      <c r="AE2013" s="17">
        <v>0</v>
      </c>
      <c r="AF2013" s="33">
        <v>0.3487792725460887</v>
      </c>
      <c r="AG2013" s="17">
        <v>0</v>
      </c>
      <c r="AH2013" s="17">
        <v>0</v>
      </c>
      <c r="AI2013" s="17">
        <v>0</v>
      </c>
      <c r="AJ2013" s="17">
        <v>0</v>
      </c>
      <c r="AK2013" s="17">
        <v>0</v>
      </c>
      <c r="AL2013" s="32">
        <v>0</v>
      </c>
      <c r="AM2013" s="172">
        <v>58.8</v>
      </c>
      <c r="AN2013" s="171">
        <v>60</v>
      </c>
      <c r="AO2013" s="89"/>
      <c r="AP2013" s="783">
        <v>38.4</v>
      </c>
      <c r="AQ2013" s="17" t="s">
        <v>3407</v>
      </c>
      <c r="AR2013" s="174">
        <v>100</v>
      </c>
      <c r="AS2013" s="171" t="s">
        <v>246</v>
      </c>
      <c r="AT2013" s="171">
        <v>200</v>
      </c>
      <c r="AU2013" s="171">
        <v>25</v>
      </c>
      <c r="AV2013" s="57"/>
      <c r="AW2013" s="171">
        <v>14</v>
      </c>
      <c r="AX2013" s="89"/>
      <c r="AY2013" s="171">
        <v>22</v>
      </c>
      <c r="AZ2013" s="89"/>
      <c r="BA2013" s="175">
        <v>65</v>
      </c>
      <c r="BB2013" s="259"/>
      <c r="BC2013" s="176"/>
      <c r="BD2013" s="177"/>
      <c r="BE2013" s="177"/>
      <c r="BF2013" s="190" t="s">
        <v>3394</v>
      </c>
    </row>
    <row r="2014" spans="1:58">
      <c r="A2014" s="111">
        <v>2013</v>
      </c>
      <c r="B2014" s="211" t="s">
        <v>3110</v>
      </c>
      <c r="C2014" s="191" t="s">
        <v>3298</v>
      </c>
      <c r="D2014" s="171" t="s">
        <v>3290</v>
      </c>
      <c r="E2014" s="732" t="s">
        <v>3379</v>
      </c>
      <c r="F2014" s="171">
        <v>2001</v>
      </c>
      <c r="G2014" s="171">
        <v>8</v>
      </c>
      <c r="H2014" s="172" t="s">
        <v>1738</v>
      </c>
      <c r="I2014" s="173" t="s">
        <v>1751</v>
      </c>
      <c r="J2014" s="242">
        <v>0.5</v>
      </c>
      <c r="K2014" s="213">
        <v>5.3194444444444446</v>
      </c>
      <c r="L2014" s="38">
        <v>180</v>
      </c>
      <c r="M2014" s="171">
        <v>360</v>
      </c>
      <c r="N2014" s="171">
        <v>1100</v>
      </c>
      <c r="O2014" s="162"/>
      <c r="P2014" s="71">
        <v>42.5</v>
      </c>
      <c r="Q2014" s="221" t="s">
        <v>1754</v>
      </c>
      <c r="R2014" s="171" t="s">
        <v>3347</v>
      </c>
      <c r="S2014" s="171" t="s">
        <v>3354</v>
      </c>
      <c r="T2014" s="89"/>
      <c r="U2014" s="89" t="s">
        <v>3347</v>
      </c>
      <c r="V2014" s="102">
        <v>0</v>
      </c>
      <c r="W2014" s="120">
        <v>0</v>
      </c>
      <c r="X2014" s="120">
        <v>0</v>
      </c>
      <c r="Y2014" s="120">
        <v>0</v>
      </c>
      <c r="Z2014" s="120">
        <v>0</v>
      </c>
      <c r="AA2014" s="17">
        <v>0</v>
      </c>
      <c r="AB2014" s="17">
        <v>0</v>
      </c>
      <c r="AC2014" s="17">
        <v>0</v>
      </c>
      <c r="AD2014" s="17">
        <v>0</v>
      </c>
      <c r="AE2014" s="17">
        <v>0</v>
      </c>
      <c r="AF2014" s="33">
        <v>0.24937655860349131</v>
      </c>
      <c r="AG2014" s="17">
        <v>0</v>
      </c>
      <c r="AH2014" s="17">
        <v>0</v>
      </c>
      <c r="AI2014" s="17">
        <v>0</v>
      </c>
      <c r="AJ2014" s="17">
        <v>0</v>
      </c>
      <c r="AK2014" s="17">
        <v>0</v>
      </c>
      <c r="AL2014" s="32">
        <v>0</v>
      </c>
      <c r="AM2014" s="57"/>
      <c r="AN2014" s="89"/>
      <c r="AO2014" s="89"/>
      <c r="AP2014" s="783">
        <v>41.9</v>
      </c>
      <c r="AQ2014" s="17" t="s">
        <v>3407</v>
      </c>
      <c r="AR2014" s="174">
        <v>100</v>
      </c>
      <c r="AS2014" s="171" t="s">
        <v>246</v>
      </c>
      <c r="AT2014" s="171">
        <v>200</v>
      </c>
      <c r="AU2014" s="171">
        <v>25</v>
      </c>
      <c r="AV2014" s="57"/>
      <c r="AW2014" s="171">
        <v>14</v>
      </c>
      <c r="AX2014" s="89"/>
      <c r="AY2014" s="171">
        <v>22</v>
      </c>
      <c r="AZ2014" s="89"/>
      <c r="BA2014" s="175">
        <v>65</v>
      </c>
      <c r="BB2014" s="259"/>
      <c r="BC2014" s="176"/>
      <c r="BD2014" s="177"/>
      <c r="BE2014" s="177"/>
      <c r="BF2014" s="190" t="s">
        <v>3394</v>
      </c>
    </row>
    <row r="2015" spans="1:58">
      <c r="A2015" s="111">
        <v>2014</v>
      </c>
      <c r="B2015" s="211" t="s">
        <v>3111</v>
      </c>
      <c r="C2015" s="191" t="s">
        <v>3298</v>
      </c>
      <c r="D2015" s="171" t="s">
        <v>3290</v>
      </c>
      <c r="E2015" s="732" t="s">
        <v>3379</v>
      </c>
      <c r="F2015" s="171">
        <v>2001</v>
      </c>
      <c r="G2015" s="171">
        <v>8</v>
      </c>
      <c r="H2015" s="172" t="s">
        <v>1738</v>
      </c>
      <c r="I2015" s="173" t="s">
        <v>1751</v>
      </c>
      <c r="J2015" s="242">
        <v>0.5</v>
      </c>
      <c r="K2015" s="213">
        <v>5.2777777777777777</v>
      </c>
      <c r="L2015" s="38">
        <v>180</v>
      </c>
      <c r="M2015" s="171">
        <v>180</v>
      </c>
      <c r="N2015" s="171">
        <v>1100</v>
      </c>
      <c r="O2015" s="162"/>
      <c r="P2015" s="71">
        <v>42.5</v>
      </c>
      <c r="Q2015" s="221" t="s">
        <v>1754</v>
      </c>
      <c r="R2015" s="171" t="s">
        <v>3347</v>
      </c>
      <c r="S2015" s="171" t="s">
        <v>3354</v>
      </c>
      <c r="T2015" s="89"/>
      <c r="U2015" s="89" t="s">
        <v>3347</v>
      </c>
      <c r="V2015" s="102">
        <v>0</v>
      </c>
      <c r="W2015" s="120">
        <v>0</v>
      </c>
      <c r="X2015" s="120">
        <v>0</v>
      </c>
      <c r="Y2015" s="120">
        <v>50</v>
      </c>
      <c r="Z2015" s="120">
        <v>0</v>
      </c>
      <c r="AA2015" s="17">
        <v>0</v>
      </c>
      <c r="AB2015" s="17">
        <v>0</v>
      </c>
      <c r="AC2015" s="17">
        <v>0</v>
      </c>
      <c r="AD2015" s="17">
        <v>0</v>
      </c>
      <c r="AE2015" s="17">
        <v>0</v>
      </c>
      <c r="AF2015" s="33">
        <v>0.24937655860349131</v>
      </c>
      <c r="AG2015" s="17">
        <v>0</v>
      </c>
      <c r="AH2015" s="17">
        <v>0</v>
      </c>
      <c r="AI2015" s="17">
        <v>0</v>
      </c>
      <c r="AJ2015" s="17">
        <v>0</v>
      </c>
      <c r="AK2015" s="17">
        <v>0</v>
      </c>
      <c r="AL2015" s="32">
        <v>0</v>
      </c>
      <c r="AM2015" s="57"/>
      <c r="AN2015" s="89"/>
      <c r="AO2015" s="89"/>
      <c r="AP2015" s="783">
        <v>41.2</v>
      </c>
      <c r="AQ2015" s="17" t="s">
        <v>3407</v>
      </c>
      <c r="AR2015" s="174">
        <v>100</v>
      </c>
      <c r="AS2015" s="171" t="s">
        <v>246</v>
      </c>
      <c r="AT2015" s="171">
        <v>200</v>
      </c>
      <c r="AU2015" s="171">
        <v>25</v>
      </c>
      <c r="AV2015" s="57"/>
      <c r="AW2015" s="171">
        <v>14</v>
      </c>
      <c r="AX2015" s="89"/>
      <c r="AY2015" s="171">
        <v>22</v>
      </c>
      <c r="AZ2015" s="89"/>
      <c r="BA2015" s="175">
        <v>65</v>
      </c>
      <c r="BB2015" s="259"/>
      <c r="BC2015" s="176"/>
      <c r="BD2015" s="177"/>
      <c r="BE2015" s="177"/>
      <c r="BF2015" s="190" t="s">
        <v>3394</v>
      </c>
    </row>
    <row r="2016" spans="1:58">
      <c r="A2016" s="111">
        <v>2015</v>
      </c>
      <c r="B2016" s="211" t="s">
        <v>3112</v>
      </c>
      <c r="C2016" s="191" t="s">
        <v>3298</v>
      </c>
      <c r="D2016" s="171" t="s">
        <v>3290</v>
      </c>
      <c r="E2016" s="732" t="s">
        <v>3379</v>
      </c>
      <c r="F2016" s="171">
        <v>2001</v>
      </c>
      <c r="G2016" s="171">
        <v>8</v>
      </c>
      <c r="H2016" s="172" t="s">
        <v>1738</v>
      </c>
      <c r="I2016" s="173" t="s">
        <v>1751</v>
      </c>
      <c r="J2016" s="242">
        <v>0.5</v>
      </c>
      <c r="K2016" s="213">
        <v>5.2777777777777777</v>
      </c>
      <c r="L2016" s="38">
        <v>180</v>
      </c>
      <c r="M2016" s="171">
        <v>180</v>
      </c>
      <c r="N2016" s="171">
        <v>1100</v>
      </c>
      <c r="O2016" s="162"/>
      <c r="P2016" s="71">
        <v>42.5</v>
      </c>
      <c r="Q2016" s="221" t="s">
        <v>1754</v>
      </c>
      <c r="R2016" s="171" t="s">
        <v>3347</v>
      </c>
      <c r="S2016" s="171" t="s">
        <v>3354</v>
      </c>
      <c r="T2016" s="89"/>
      <c r="U2016" s="89" t="s">
        <v>3347</v>
      </c>
      <c r="V2016" s="102">
        <v>0</v>
      </c>
      <c r="W2016" s="120">
        <v>0</v>
      </c>
      <c r="X2016" s="120">
        <v>50</v>
      </c>
      <c r="Y2016" s="120">
        <v>0</v>
      </c>
      <c r="Z2016" s="120">
        <v>0</v>
      </c>
      <c r="AA2016" s="17">
        <v>0</v>
      </c>
      <c r="AB2016" s="17">
        <v>0</v>
      </c>
      <c r="AC2016" s="17">
        <v>0</v>
      </c>
      <c r="AD2016" s="17">
        <v>0</v>
      </c>
      <c r="AE2016" s="17">
        <v>0</v>
      </c>
      <c r="AF2016" s="17">
        <v>0</v>
      </c>
      <c r="AG2016" s="17">
        <v>0</v>
      </c>
      <c r="AH2016" s="17">
        <v>0</v>
      </c>
      <c r="AI2016" s="17">
        <v>0</v>
      </c>
      <c r="AJ2016" s="17">
        <v>0</v>
      </c>
      <c r="AK2016" s="17">
        <v>0</v>
      </c>
      <c r="AL2016" s="32">
        <v>0</v>
      </c>
      <c r="AM2016" s="57"/>
      <c r="AN2016" s="89"/>
      <c r="AO2016" s="89"/>
      <c r="AP2016" s="783">
        <v>39</v>
      </c>
      <c r="AQ2016" s="17" t="s">
        <v>3407</v>
      </c>
      <c r="AR2016" s="174">
        <v>100</v>
      </c>
      <c r="AS2016" s="171" t="s">
        <v>246</v>
      </c>
      <c r="AT2016" s="171">
        <v>200</v>
      </c>
      <c r="AU2016" s="171">
        <v>25</v>
      </c>
      <c r="AV2016" s="57"/>
      <c r="AW2016" s="171">
        <v>14</v>
      </c>
      <c r="AX2016" s="89"/>
      <c r="AY2016" s="171">
        <v>22</v>
      </c>
      <c r="AZ2016" s="89"/>
      <c r="BA2016" s="175">
        <v>65</v>
      </c>
      <c r="BB2016" s="259"/>
      <c r="BC2016" s="176"/>
      <c r="BD2016" s="177"/>
      <c r="BE2016" s="177"/>
      <c r="BF2016" s="190" t="s">
        <v>3328</v>
      </c>
    </row>
    <row r="2017" spans="1:58">
      <c r="A2017" s="111">
        <v>2016</v>
      </c>
      <c r="B2017" s="211" t="s">
        <v>3113</v>
      </c>
      <c r="C2017" s="191" t="s">
        <v>3298</v>
      </c>
      <c r="D2017" s="171" t="s">
        <v>3290</v>
      </c>
      <c r="E2017" s="732" t="s">
        <v>3379</v>
      </c>
      <c r="F2017" s="171">
        <v>2001</v>
      </c>
      <c r="G2017" s="171">
        <v>8</v>
      </c>
      <c r="H2017" s="172" t="s">
        <v>1738</v>
      </c>
      <c r="I2017" s="173" t="s">
        <v>1751</v>
      </c>
      <c r="J2017" s="242">
        <v>0.6</v>
      </c>
      <c r="K2017" s="213">
        <v>6.5666666666666664</v>
      </c>
      <c r="L2017" s="38">
        <v>180</v>
      </c>
      <c r="M2017" s="171">
        <v>300</v>
      </c>
      <c r="N2017" s="171">
        <v>1100</v>
      </c>
      <c r="O2017" s="162"/>
      <c r="P2017" s="71">
        <v>42.5</v>
      </c>
      <c r="Q2017" s="221" t="s">
        <v>1754</v>
      </c>
      <c r="R2017" s="171" t="s">
        <v>3347</v>
      </c>
      <c r="S2017" s="171" t="s">
        <v>3354</v>
      </c>
      <c r="T2017" s="89"/>
      <c r="U2017" s="89" t="s">
        <v>3347</v>
      </c>
      <c r="V2017" s="102">
        <v>0</v>
      </c>
      <c r="W2017" s="120">
        <v>0</v>
      </c>
      <c r="X2017" s="120">
        <v>0</v>
      </c>
      <c r="Y2017" s="120">
        <v>0</v>
      </c>
      <c r="Z2017" s="120">
        <v>0</v>
      </c>
      <c r="AA2017" s="17">
        <v>0</v>
      </c>
      <c r="AB2017" s="17">
        <v>0</v>
      </c>
      <c r="AC2017" s="17">
        <v>0</v>
      </c>
      <c r="AD2017" s="17">
        <v>0</v>
      </c>
      <c r="AE2017" s="17">
        <v>0</v>
      </c>
      <c r="AF2017" s="17">
        <v>0</v>
      </c>
      <c r="AG2017" s="17">
        <v>0</v>
      </c>
      <c r="AH2017" s="17">
        <v>0</v>
      </c>
      <c r="AI2017" s="17">
        <v>0</v>
      </c>
      <c r="AJ2017" s="17">
        <v>0</v>
      </c>
      <c r="AK2017" s="17">
        <v>0</v>
      </c>
      <c r="AL2017" s="32">
        <v>0</v>
      </c>
      <c r="AM2017" s="172">
        <v>43.1</v>
      </c>
      <c r="AN2017" s="171">
        <v>50</v>
      </c>
      <c r="AO2017" s="89"/>
      <c r="AP2017" s="783">
        <v>41</v>
      </c>
      <c r="AQ2017" s="17" t="s">
        <v>3407</v>
      </c>
      <c r="AR2017" s="174">
        <v>100</v>
      </c>
      <c r="AS2017" s="171" t="s">
        <v>246</v>
      </c>
      <c r="AT2017" s="171">
        <v>200</v>
      </c>
      <c r="AU2017" s="171">
        <v>25</v>
      </c>
      <c r="AV2017" s="57"/>
      <c r="AW2017" s="171">
        <v>14</v>
      </c>
      <c r="AX2017" s="89"/>
      <c r="AY2017" s="171">
        <v>22</v>
      </c>
      <c r="AZ2017" s="89"/>
      <c r="BA2017" s="175">
        <v>65</v>
      </c>
      <c r="BB2017" s="259"/>
      <c r="BC2017" s="176"/>
      <c r="BD2017" s="177"/>
      <c r="BE2017" s="177"/>
      <c r="BF2017" s="190" t="s">
        <v>3328</v>
      </c>
    </row>
    <row r="2018" spans="1:58">
      <c r="A2018" s="111">
        <v>2017</v>
      </c>
      <c r="B2018" s="211" t="s">
        <v>3114</v>
      </c>
      <c r="C2018" s="191" t="s">
        <v>3298</v>
      </c>
      <c r="D2018" s="171" t="s">
        <v>3290</v>
      </c>
      <c r="E2018" s="732" t="s">
        <v>3379</v>
      </c>
      <c r="F2018" s="171">
        <v>2001</v>
      </c>
      <c r="G2018" s="171">
        <v>8</v>
      </c>
      <c r="H2018" s="172" t="s">
        <v>1738</v>
      </c>
      <c r="I2018" s="173" t="s">
        <v>1751</v>
      </c>
      <c r="J2018" s="242">
        <v>0.6</v>
      </c>
      <c r="K2018" s="213">
        <v>6.5166666666666666</v>
      </c>
      <c r="L2018" s="38">
        <v>180</v>
      </c>
      <c r="M2018" s="171">
        <v>150</v>
      </c>
      <c r="N2018" s="171">
        <v>1100</v>
      </c>
      <c r="O2018" s="162"/>
      <c r="P2018" s="71">
        <v>42.5</v>
      </c>
      <c r="Q2018" s="221" t="s">
        <v>1754</v>
      </c>
      <c r="R2018" s="171" t="s">
        <v>3347</v>
      </c>
      <c r="S2018" s="171" t="s">
        <v>3354</v>
      </c>
      <c r="T2018" s="89"/>
      <c r="U2018" s="89" t="s">
        <v>3347</v>
      </c>
      <c r="V2018" s="102">
        <v>0</v>
      </c>
      <c r="W2018" s="120">
        <v>0</v>
      </c>
      <c r="X2018" s="120">
        <v>0</v>
      </c>
      <c r="Y2018" s="120">
        <v>50</v>
      </c>
      <c r="Z2018" s="120">
        <v>0</v>
      </c>
      <c r="AA2018" s="17">
        <v>0</v>
      </c>
      <c r="AB2018" s="17">
        <v>0</v>
      </c>
      <c r="AC2018" s="17">
        <v>0</v>
      </c>
      <c r="AD2018" s="17">
        <v>0</v>
      </c>
      <c r="AE2018" s="17">
        <v>0</v>
      </c>
      <c r="AF2018" s="17">
        <v>0</v>
      </c>
      <c r="AG2018" s="17">
        <v>0</v>
      </c>
      <c r="AH2018" s="17">
        <v>0</v>
      </c>
      <c r="AI2018" s="17">
        <v>0</v>
      </c>
      <c r="AJ2018" s="17">
        <v>0</v>
      </c>
      <c r="AK2018" s="17">
        <v>0</v>
      </c>
      <c r="AL2018" s="32">
        <v>0</v>
      </c>
      <c r="AM2018" s="172">
        <v>49.1</v>
      </c>
      <c r="AN2018" s="171">
        <v>75</v>
      </c>
      <c r="AO2018" s="89"/>
      <c r="AP2018" s="783">
        <v>37.6</v>
      </c>
      <c r="AQ2018" s="17" t="s">
        <v>3407</v>
      </c>
      <c r="AR2018" s="174">
        <v>100</v>
      </c>
      <c r="AS2018" s="171" t="s">
        <v>246</v>
      </c>
      <c r="AT2018" s="171">
        <v>200</v>
      </c>
      <c r="AU2018" s="171">
        <v>25</v>
      </c>
      <c r="AV2018" s="57"/>
      <c r="AW2018" s="171">
        <v>14</v>
      </c>
      <c r="AX2018" s="89"/>
      <c r="AY2018" s="171">
        <v>22</v>
      </c>
      <c r="AZ2018" s="89"/>
      <c r="BA2018" s="175">
        <v>65</v>
      </c>
      <c r="BB2018" s="259"/>
      <c r="BC2018" s="176"/>
      <c r="BD2018" s="177"/>
      <c r="BE2018" s="177"/>
      <c r="BF2018" s="190" t="s">
        <v>3328</v>
      </c>
    </row>
    <row r="2019" spans="1:58">
      <c r="A2019" s="111">
        <v>2018</v>
      </c>
      <c r="B2019" s="211" t="s">
        <v>3115</v>
      </c>
      <c r="C2019" s="191" t="s">
        <v>3298</v>
      </c>
      <c r="D2019" s="171" t="s">
        <v>3290</v>
      </c>
      <c r="E2019" s="732" t="s">
        <v>3379</v>
      </c>
      <c r="F2019" s="171">
        <v>2001</v>
      </c>
      <c r="G2019" s="171">
        <v>8</v>
      </c>
      <c r="H2019" s="172" t="s">
        <v>1738</v>
      </c>
      <c r="I2019" s="173" t="s">
        <v>1751</v>
      </c>
      <c r="J2019" s="242">
        <v>0.6</v>
      </c>
      <c r="K2019" s="213">
        <v>6.5166666666666666</v>
      </c>
      <c r="L2019" s="38">
        <v>180</v>
      </c>
      <c r="M2019" s="171">
        <v>150</v>
      </c>
      <c r="N2019" s="171">
        <v>1100</v>
      </c>
      <c r="O2019" s="162"/>
      <c r="P2019" s="71">
        <v>42.5</v>
      </c>
      <c r="Q2019" s="221" t="s">
        <v>1754</v>
      </c>
      <c r="R2019" s="171" t="s">
        <v>3347</v>
      </c>
      <c r="S2019" s="171" t="s">
        <v>3354</v>
      </c>
      <c r="T2019" s="89"/>
      <c r="U2019" s="89" t="s">
        <v>3347</v>
      </c>
      <c r="V2019" s="102">
        <v>0</v>
      </c>
      <c r="W2019" s="120">
        <v>0</v>
      </c>
      <c r="X2019" s="120">
        <v>50</v>
      </c>
      <c r="Y2019" s="120">
        <v>0</v>
      </c>
      <c r="Z2019" s="120">
        <v>0</v>
      </c>
      <c r="AA2019" s="17">
        <v>0</v>
      </c>
      <c r="AB2019" s="17">
        <v>0</v>
      </c>
      <c r="AC2019" s="17">
        <v>0</v>
      </c>
      <c r="AD2019" s="17">
        <v>0</v>
      </c>
      <c r="AE2019" s="17">
        <v>0</v>
      </c>
      <c r="AF2019" s="17">
        <v>0</v>
      </c>
      <c r="AG2019" s="17">
        <v>0</v>
      </c>
      <c r="AH2019" s="17">
        <v>0</v>
      </c>
      <c r="AI2019" s="17">
        <v>0</v>
      </c>
      <c r="AJ2019" s="17">
        <v>0</v>
      </c>
      <c r="AK2019" s="17">
        <v>0</v>
      </c>
      <c r="AL2019" s="32">
        <v>0</v>
      </c>
      <c r="AM2019" s="172">
        <v>39.299999999999997</v>
      </c>
      <c r="AN2019" s="171">
        <v>65</v>
      </c>
      <c r="AO2019" s="89"/>
      <c r="AP2019" s="783">
        <v>34.1</v>
      </c>
      <c r="AQ2019" s="17" t="s">
        <v>3407</v>
      </c>
      <c r="AR2019" s="174">
        <v>100</v>
      </c>
      <c r="AS2019" s="171" t="s">
        <v>246</v>
      </c>
      <c r="AT2019" s="171">
        <v>200</v>
      </c>
      <c r="AU2019" s="171">
        <v>25</v>
      </c>
      <c r="AV2019" s="57"/>
      <c r="AW2019" s="171">
        <v>14</v>
      </c>
      <c r="AX2019" s="89"/>
      <c r="AY2019" s="171">
        <v>22</v>
      </c>
      <c r="AZ2019" s="89"/>
      <c r="BA2019" s="175">
        <v>65</v>
      </c>
      <c r="BB2019" s="259"/>
      <c r="BC2019" s="176"/>
      <c r="BD2019" s="177"/>
      <c r="BE2019" s="177"/>
      <c r="BF2019" s="190" t="s">
        <v>3328</v>
      </c>
    </row>
    <row r="2020" spans="1:58">
      <c r="A2020" s="111">
        <v>2019</v>
      </c>
      <c r="B2020" s="211" t="s">
        <v>3116</v>
      </c>
      <c r="C2020" s="191" t="s">
        <v>425</v>
      </c>
      <c r="D2020" s="171" t="s">
        <v>3290</v>
      </c>
      <c r="E2020" s="732" t="s">
        <v>3379</v>
      </c>
      <c r="F2020" s="171">
        <v>1993</v>
      </c>
      <c r="G2020" s="171">
        <v>9</v>
      </c>
      <c r="H2020" s="172" t="s">
        <v>1738</v>
      </c>
      <c r="I2020" s="173" t="s">
        <v>1751</v>
      </c>
      <c r="J2020" s="242">
        <v>0.60509554140127386</v>
      </c>
      <c r="K2020" s="213">
        <v>6.515923566878981</v>
      </c>
      <c r="L2020" s="38">
        <v>190</v>
      </c>
      <c r="M2020" s="171">
        <v>314</v>
      </c>
      <c r="N2020" s="171">
        <v>1130</v>
      </c>
      <c r="O2020" s="162"/>
      <c r="P2020" s="89"/>
      <c r="Q2020" s="221" t="s">
        <v>1754</v>
      </c>
      <c r="R2020" s="171" t="s">
        <v>3346</v>
      </c>
      <c r="S2020" s="171" t="s">
        <v>3346</v>
      </c>
      <c r="T2020" s="89"/>
      <c r="U2020" s="89" t="s">
        <v>3346</v>
      </c>
      <c r="V2020" s="102">
        <v>0</v>
      </c>
      <c r="W2020" s="120">
        <v>0</v>
      </c>
      <c r="X2020" s="120">
        <v>0</v>
      </c>
      <c r="Y2020" s="120">
        <v>0</v>
      </c>
      <c r="Z2020" s="120">
        <v>0</v>
      </c>
      <c r="AA2020" s="17">
        <v>0</v>
      </c>
      <c r="AB2020" s="17">
        <v>0</v>
      </c>
      <c r="AC2020" s="17">
        <v>0</v>
      </c>
      <c r="AD2020" s="17">
        <v>0</v>
      </c>
      <c r="AE2020" s="17">
        <v>0</v>
      </c>
      <c r="AF2020" s="17">
        <v>0</v>
      </c>
      <c r="AG2020" s="17">
        <v>0</v>
      </c>
      <c r="AH2020" s="17">
        <v>0</v>
      </c>
      <c r="AI2020" s="17">
        <v>0</v>
      </c>
      <c r="AJ2020" s="17">
        <v>0</v>
      </c>
      <c r="AK2020" s="17">
        <v>0</v>
      </c>
      <c r="AL2020" s="32">
        <v>0</v>
      </c>
      <c r="AM2020" s="172">
        <v>36.5</v>
      </c>
      <c r="AN2020" s="171">
        <v>35</v>
      </c>
      <c r="AO2020" s="89"/>
      <c r="AP2020" s="783">
        <v>38</v>
      </c>
      <c r="AQ2020" s="17" t="s">
        <v>3403</v>
      </c>
      <c r="AR2020" s="174">
        <v>100</v>
      </c>
      <c r="AS2020" s="171" t="s">
        <v>246</v>
      </c>
      <c r="AT2020" s="171">
        <v>200</v>
      </c>
      <c r="AU2020" s="171">
        <v>25</v>
      </c>
      <c r="AV2020" s="57"/>
      <c r="AW2020" s="171">
        <v>28</v>
      </c>
      <c r="AX2020" s="89"/>
      <c r="AY2020" s="171">
        <v>23</v>
      </c>
      <c r="AZ2020" s="89"/>
      <c r="BA2020" s="175">
        <v>60</v>
      </c>
      <c r="BB2020" s="259"/>
      <c r="BC2020" s="176"/>
      <c r="BD2020" s="177"/>
      <c r="BE2020" s="177"/>
      <c r="BF2020" s="190" t="s">
        <v>3329</v>
      </c>
    </row>
    <row r="2021" spans="1:58">
      <c r="A2021" s="111">
        <v>2020</v>
      </c>
      <c r="B2021" s="211" t="s">
        <v>3117</v>
      </c>
      <c r="C2021" s="191" t="s">
        <v>425</v>
      </c>
      <c r="D2021" s="171" t="s">
        <v>3290</v>
      </c>
      <c r="E2021" s="732" t="s">
        <v>3379</v>
      </c>
      <c r="F2021" s="171">
        <v>1993</v>
      </c>
      <c r="G2021" s="171">
        <v>9</v>
      </c>
      <c r="H2021" s="172" t="s">
        <v>1738</v>
      </c>
      <c r="I2021" s="173" t="s">
        <v>1751</v>
      </c>
      <c r="J2021" s="242">
        <v>0.42576419213973798</v>
      </c>
      <c r="K2021" s="213">
        <v>4.1157205240174672</v>
      </c>
      <c r="L2021" s="38">
        <v>195</v>
      </c>
      <c r="M2021" s="171">
        <v>458</v>
      </c>
      <c r="N2021" s="171">
        <v>1200</v>
      </c>
      <c r="O2021" s="162"/>
      <c r="P2021" s="89"/>
      <c r="Q2021" s="221" t="s">
        <v>1754</v>
      </c>
      <c r="R2021" s="171" t="s">
        <v>3346</v>
      </c>
      <c r="S2021" s="171" t="s">
        <v>3346</v>
      </c>
      <c r="T2021" s="89"/>
      <c r="U2021" s="89" t="s">
        <v>3346</v>
      </c>
      <c r="V2021" s="102">
        <v>0</v>
      </c>
      <c r="W2021" s="120">
        <v>0</v>
      </c>
      <c r="X2021" s="120">
        <v>0</v>
      </c>
      <c r="Y2021" s="120">
        <v>0</v>
      </c>
      <c r="Z2021" s="120">
        <v>0</v>
      </c>
      <c r="AA2021" s="17">
        <v>0</v>
      </c>
      <c r="AB2021" s="17">
        <v>0</v>
      </c>
      <c r="AC2021" s="17">
        <v>0</v>
      </c>
      <c r="AD2021" s="17">
        <v>0</v>
      </c>
      <c r="AE2021" s="17">
        <v>0</v>
      </c>
      <c r="AF2021" s="17">
        <v>0</v>
      </c>
      <c r="AG2021" s="17">
        <v>0</v>
      </c>
      <c r="AH2021" s="17">
        <v>0</v>
      </c>
      <c r="AI2021" s="17">
        <v>0</v>
      </c>
      <c r="AJ2021" s="17">
        <v>0</v>
      </c>
      <c r="AK2021" s="17">
        <v>0</v>
      </c>
      <c r="AL2021" s="32">
        <v>0</v>
      </c>
      <c r="AM2021" s="172">
        <v>61</v>
      </c>
      <c r="AN2021" s="171">
        <v>60</v>
      </c>
      <c r="AO2021" s="89"/>
      <c r="AP2021" s="783">
        <v>44</v>
      </c>
      <c r="AQ2021" s="17" t="s">
        <v>3403</v>
      </c>
      <c r="AR2021" s="174">
        <v>100</v>
      </c>
      <c r="AS2021" s="171" t="s">
        <v>246</v>
      </c>
      <c r="AT2021" s="171">
        <v>200</v>
      </c>
      <c r="AU2021" s="171">
        <v>25</v>
      </c>
      <c r="AV2021" s="57"/>
      <c r="AW2021" s="171">
        <v>28</v>
      </c>
      <c r="AX2021" s="89"/>
      <c r="AY2021" s="171">
        <v>23</v>
      </c>
      <c r="AZ2021" s="89"/>
      <c r="BA2021" s="175">
        <v>60</v>
      </c>
      <c r="BB2021" s="259"/>
      <c r="BC2021" s="176"/>
      <c r="BD2021" s="177"/>
      <c r="BE2021" s="177"/>
      <c r="BF2021" s="190" t="s">
        <v>3329</v>
      </c>
    </row>
    <row r="2022" spans="1:58">
      <c r="A2022" s="111">
        <v>2021</v>
      </c>
      <c r="B2022" s="211" t="s">
        <v>3118</v>
      </c>
      <c r="C2022" s="191" t="s">
        <v>425</v>
      </c>
      <c r="D2022" s="171" t="s">
        <v>3290</v>
      </c>
      <c r="E2022" s="732" t="s">
        <v>3379</v>
      </c>
      <c r="F2022" s="171">
        <v>1993</v>
      </c>
      <c r="G2022" s="171">
        <v>9</v>
      </c>
      <c r="H2022" s="172" t="s">
        <v>1738</v>
      </c>
      <c r="I2022" s="173" t="s">
        <v>1751</v>
      </c>
      <c r="J2022" s="242">
        <v>0.60666666666666669</v>
      </c>
      <c r="K2022" s="213">
        <v>7.0533333333333337</v>
      </c>
      <c r="L2022" s="38">
        <v>182</v>
      </c>
      <c r="M2022" s="171">
        <v>300</v>
      </c>
      <c r="N2022" s="171">
        <v>1250</v>
      </c>
      <c r="O2022" s="162"/>
      <c r="P2022" s="89"/>
      <c r="Q2022" s="221" t="s">
        <v>1754</v>
      </c>
      <c r="R2022" s="171" t="s">
        <v>3345</v>
      </c>
      <c r="S2022" s="171" t="s">
        <v>3355</v>
      </c>
      <c r="T2022" s="89"/>
      <c r="U2022" s="89" t="s">
        <v>3345</v>
      </c>
      <c r="V2022" s="102">
        <v>0</v>
      </c>
      <c r="W2022" s="120">
        <v>0</v>
      </c>
      <c r="X2022" s="120">
        <v>0</v>
      </c>
      <c r="Y2022" s="120">
        <v>0</v>
      </c>
      <c r="Z2022" s="120">
        <v>0</v>
      </c>
      <c r="AA2022" s="17">
        <v>0</v>
      </c>
      <c r="AB2022" s="17">
        <v>0</v>
      </c>
      <c r="AC2022" s="17">
        <v>0</v>
      </c>
      <c r="AD2022" s="17">
        <v>0</v>
      </c>
      <c r="AE2022" s="17">
        <v>0</v>
      </c>
      <c r="AF2022" s="17">
        <v>0</v>
      </c>
      <c r="AG2022" s="17">
        <v>0</v>
      </c>
      <c r="AH2022" s="17">
        <v>0</v>
      </c>
      <c r="AI2022" s="17">
        <v>0</v>
      </c>
      <c r="AJ2022" s="17">
        <v>0</v>
      </c>
      <c r="AK2022" s="17">
        <v>0</v>
      </c>
      <c r="AL2022" s="32">
        <v>0</v>
      </c>
      <c r="AM2022" s="172">
        <v>36</v>
      </c>
      <c r="AN2022" s="171">
        <v>65</v>
      </c>
      <c r="AO2022" s="89"/>
      <c r="AP2022" s="783">
        <v>40.5</v>
      </c>
      <c r="AQ2022" s="17" t="s">
        <v>3403</v>
      </c>
      <c r="AR2022" s="174">
        <v>100</v>
      </c>
      <c r="AS2022" s="171" t="s">
        <v>246</v>
      </c>
      <c r="AT2022" s="171">
        <v>200</v>
      </c>
      <c r="AU2022" s="171">
        <v>25</v>
      </c>
      <c r="AV2022" s="57"/>
      <c r="AW2022" s="171">
        <v>28</v>
      </c>
      <c r="AX2022" s="89"/>
      <c r="AY2022" s="171">
        <v>23</v>
      </c>
      <c r="AZ2022" s="89"/>
      <c r="BA2022" s="175">
        <v>60</v>
      </c>
      <c r="BB2022" s="259"/>
      <c r="BC2022" s="176"/>
      <c r="BD2022" s="177"/>
      <c r="BE2022" s="177"/>
      <c r="BF2022" s="190" t="s">
        <v>3329</v>
      </c>
    </row>
    <row r="2023" spans="1:58">
      <c r="A2023" s="111">
        <v>2022</v>
      </c>
      <c r="B2023" s="211" t="s">
        <v>3119</v>
      </c>
      <c r="C2023" s="191" t="s">
        <v>425</v>
      </c>
      <c r="D2023" s="171" t="s">
        <v>3290</v>
      </c>
      <c r="E2023" s="732" t="s">
        <v>3379</v>
      </c>
      <c r="F2023" s="171">
        <v>1993</v>
      </c>
      <c r="G2023" s="171">
        <v>9</v>
      </c>
      <c r="H2023" s="172" t="s">
        <v>1738</v>
      </c>
      <c r="I2023" s="173" t="s">
        <v>1751</v>
      </c>
      <c r="J2023" s="242">
        <v>0.42596810933940776</v>
      </c>
      <c r="K2023" s="213">
        <v>4.5261958997722092</v>
      </c>
      <c r="L2023" s="38">
        <v>187</v>
      </c>
      <c r="M2023" s="171">
        <v>439</v>
      </c>
      <c r="N2023" s="171">
        <v>1320</v>
      </c>
      <c r="O2023" s="162"/>
      <c r="P2023" s="89"/>
      <c r="Q2023" s="221" t="s">
        <v>1754</v>
      </c>
      <c r="R2023" s="171" t="s">
        <v>3345</v>
      </c>
      <c r="S2023" s="171" t="s">
        <v>3355</v>
      </c>
      <c r="T2023" s="89"/>
      <c r="U2023" s="89" t="s">
        <v>3345</v>
      </c>
      <c r="V2023" s="102">
        <v>0</v>
      </c>
      <c r="W2023" s="120">
        <v>0</v>
      </c>
      <c r="X2023" s="120">
        <v>0</v>
      </c>
      <c r="Y2023" s="120">
        <v>0</v>
      </c>
      <c r="Z2023" s="120">
        <v>0</v>
      </c>
      <c r="AA2023" s="17">
        <v>0</v>
      </c>
      <c r="AB2023" s="17">
        <v>0</v>
      </c>
      <c r="AC2023" s="17">
        <v>0</v>
      </c>
      <c r="AD2023" s="17">
        <v>0</v>
      </c>
      <c r="AE2023" s="17">
        <v>0</v>
      </c>
      <c r="AF2023" s="17">
        <v>0</v>
      </c>
      <c r="AG2023" s="17">
        <v>0</v>
      </c>
      <c r="AH2023" s="17">
        <v>0</v>
      </c>
      <c r="AI2023" s="17">
        <v>0</v>
      </c>
      <c r="AJ2023" s="17">
        <v>0</v>
      </c>
      <c r="AK2023" s="17">
        <v>0</v>
      </c>
      <c r="AL2023" s="32">
        <v>0</v>
      </c>
      <c r="AM2023" s="172">
        <v>61.5</v>
      </c>
      <c r="AN2023" s="171">
        <v>35</v>
      </c>
      <c r="AO2023" s="89"/>
      <c r="AP2023" s="783">
        <v>44</v>
      </c>
      <c r="AQ2023" s="17" t="s">
        <v>3403</v>
      </c>
      <c r="AR2023" s="174">
        <v>100</v>
      </c>
      <c r="AS2023" s="171" t="s">
        <v>246</v>
      </c>
      <c r="AT2023" s="171">
        <v>200</v>
      </c>
      <c r="AU2023" s="171">
        <v>25</v>
      </c>
      <c r="AV2023" s="57"/>
      <c r="AW2023" s="171">
        <v>28</v>
      </c>
      <c r="AX2023" s="89"/>
      <c r="AY2023" s="171">
        <v>23</v>
      </c>
      <c r="AZ2023" s="89"/>
      <c r="BA2023" s="175">
        <v>60</v>
      </c>
      <c r="BB2023" s="259"/>
      <c r="BC2023" s="176"/>
      <c r="BD2023" s="177"/>
      <c r="BE2023" s="177"/>
      <c r="BF2023" s="190" t="s">
        <v>3329</v>
      </c>
    </row>
    <row r="2024" spans="1:58">
      <c r="A2024" s="111">
        <v>2023</v>
      </c>
      <c r="B2024" s="211" t="s">
        <v>3120</v>
      </c>
      <c r="C2024" s="191" t="s">
        <v>425</v>
      </c>
      <c r="D2024" s="171" t="s">
        <v>3290</v>
      </c>
      <c r="E2024" s="732" t="s">
        <v>3379</v>
      </c>
      <c r="F2024" s="171">
        <v>1993</v>
      </c>
      <c r="G2024" s="171">
        <v>9</v>
      </c>
      <c r="H2024" s="172" t="s">
        <v>1738</v>
      </c>
      <c r="I2024" s="173" t="s">
        <v>1751</v>
      </c>
      <c r="J2024" s="242">
        <v>0.60661764705882348</v>
      </c>
      <c r="K2024" s="213">
        <v>7.7867647058823533</v>
      </c>
      <c r="L2024" s="38">
        <v>165</v>
      </c>
      <c r="M2024" s="171">
        <v>272</v>
      </c>
      <c r="N2024" s="171">
        <v>1210</v>
      </c>
      <c r="O2024" s="162"/>
      <c r="P2024" s="89"/>
      <c r="Q2024" s="221" t="s">
        <v>1754</v>
      </c>
      <c r="R2024" s="171" t="s">
        <v>2315</v>
      </c>
      <c r="S2024" s="171" t="s">
        <v>2315</v>
      </c>
      <c r="T2024" s="89"/>
      <c r="U2024" s="89" t="s">
        <v>2315</v>
      </c>
      <c r="V2024" s="102">
        <v>0</v>
      </c>
      <c r="W2024" s="120">
        <v>0</v>
      </c>
      <c r="X2024" s="120">
        <v>0</v>
      </c>
      <c r="Y2024" s="120">
        <v>0</v>
      </c>
      <c r="Z2024" s="120">
        <v>0</v>
      </c>
      <c r="AA2024" s="17">
        <v>0</v>
      </c>
      <c r="AB2024" s="17">
        <v>0</v>
      </c>
      <c r="AC2024" s="17">
        <v>0</v>
      </c>
      <c r="AD2024" s="17">
        <v>0</v>
      </c>
      <c r="AE2024" s="17">
        <v>0</v>
      </c>
      <c r="AF2024" s="17">
        <v>0</v>
      </c>
      <c r="AG2024" s="17">
        <v>0</v>
      </c>
      <c r="AH2024" s="17">
        <v>0</v>
      </c>
      <c r="AI2024" s="17">
        <v>0</v>
      </c>
      <c r="AJ2024" s="17">
        <v>0</v>
      </c>
      <c r="AK2024" s="17">
        <v>0</v>
      </c>
      <c r="AL2024" s="32">
        <v>0</v>
      </c>
      <c r="AM2024" s="172">
        <v>33</v>
      </c>
      <c r="AN2024" s="171">
        <v>75</v>
      </c>
      <c r="AO2024" s="89"/>
      <c r="AP2024" s="783">
        <v>44</v>
      </c>
      <c r="AQ2024" s="17" t="s">
        <v>3403</v>
      </c>
      <c r="AR2024" s="174">
        <v>100</v>
      </c>
      <c r="AS2024" s="171" t="s">
        <v>246</v>
      </c>
      <c r="AT2024" s="171">
        <v>200</v>
      </c>
      <c r="AU2024" s="171">
        <v>25</v>
      </c>
      <c r="AV2024" s="57"/>
      <c r="AW2024" s="171">
        <v>28</v>
      </c>
      <c r="AX2024" s="89"/>
      <c r="AY2024" s="171">
        <v>23</v>
      </c>
      <c r="AZ2024" s="89"/>
      <c r="BA2024" s="175">
        <v>60</v>
      </c>
      <c r="BB2024" s="259"/>
      <c r="BC2024" s="176"/>
      <c r="BD2024" s="177"/>
      <c r="BE2024" s="177"/>
      <c r="BF2024" s="190" t="s">
        <v>3329</v>
      </c>
    </row>
    <row r="2025" spans="1:58">
      <c r="A2025" s="111">
        <v>2024</v>
      </c>
      <c r="B2025" s="211" t="s">
        <v>3121</v>
      </c>
      <c r="C2025" s="191" t="s">
        <v>425</v>
      </c>
      <c r="D2025" s="171" t="s">
        <v>3290</v>
      </c>
      <c r="E2025" s="732" t="s">
        <v>3379</v>
      </c>
      <c r="F2025" s="171">
        <v>1993</v>
      </c>
      <c r="G2025" s="171">
        <v>9</v>
      </c>
      <c r="H2025" s="172" t="s">
        <v>1738</v>
      </c>
      <c r="I2025" s="173" t="s">
        <v>1751</v>
      </c>
      <c r="J2025" s="242">
        <v>0.42499999999999999</v>
      </c>
      <c r="K2025" s="213">
        <v>4.9775</v>
      </c>
      <c r="L2025" s="38">
        <v>170</v>
      </c>
      <c r="M2025" s="171">
        <v>400</v>
      </c>
      <c r="N2025" s="171">
        <v>1280</v>
      </c>
      <c r="O2025" s="162"/>
      <c r="P2025" s="89"/>
      <c r="Q2025" s="221" t="s">
        <v>1754</v>
      </c>
      <c r="R2025" s="171" t="s">
        <v>2315</v>
      </c>
      <c r="S2025" s="171" t="s">
        <v>2315</v>
      </c>
      <c r="T2025" s="89"/>
      <c r="U2025" s="89" t="s">
        <v>2315</v>
      </c>
      <c r="V2025" s="102">
        <v>0</v>
      </c>
      <c r="W2025" s="120">
        <v>0</v>
      </c>
      <c r="X2025" s="120">
        <v>0</v>
      </c>
      <c r="Y2025" s="120">
        <v>0</v>
      </c>
      <c r="Z2025" s="120">
        <v>0</v>
      </c>
      <c r="AA2025" s="17">
        <v>0</v>
      </c>
      <c r="AB2025" s="17">
        <v>0</v>
      </c>
      <c r="AC2025" s="17">
        <v>0</v>
      </c>
      <c r="AD2025" s="17">
        <v>0</v>
      </c>
      <c r="AE2025" s="17">
        <v>0</v>
      </c>
      <c r="AF2025" s="17">
        <v>0</v>
      </c>
      <c r="AG2025" s="17">
        <v>0</v>
      </c>
      <c r="AH2025" s="17">
        <v>0</v>
      </c>
      <c r="AI2025" s="17">
        <v>0</v>
      </c>
      <c r="AJ2025" s="17">
        <v>0</v>
      </c>
      <c r="AK2025" s="17">
        <v>0</v>
      </c>
      <c r="AL2025" s="32">
        <v>0</v>
      </c>
      <c r="AM2025" s="172">
        <v>60.5</v>
      </c>
      <c r="AN2025" s="171">
        <v>55</v>
      </c>
      <c r="AO2025" s="89"/>
      <c r="AP2025" s="783">
        <v>51.5</v>
      </c>
      <c r="AQ2025" s="17" t="s">
        <v>3403</v>
      </c>
      <c r="AR2025" s="174">
        <v>100</v>
      </c>
      <c r="AS2025" s="171" t="s">
        <v>246</v>
      </c>
      <c r="AT2025" s="171">
        <v>200</v>
      </c>
      <c r="AU2025" s="171">
        <v>25</v>
      </c>
      <c r="AV2025" s="57"/>
      <c r="AW2025" s="171">
        <v>28</v>
      </c>
      <c r="AX2025" s="89"/>
      <c r="AY2025" s="171">
        <v>23</v>
      </c>
      <c r="AZ2025" s="89"/>
      <c r="BA2025" s="175">
        <v>60</v>
      </c>
      <c r="BB2025" s="259"/>
      <c r="BC2025" s="176"/>
      <c r="BD2025" s="177"/>
      <c r="BE2025" s="177"/>
      <c r="BF2025" s="190" t="s">
        <v>3329</v>
      </c>
    </row>
    <row r="2026" spans="1:58">
      <c r="A2026" s="111">
        <v>2025</v>
      </c>
      <c r="B2026" s="211" t="s">
        <v>3122</v>
      </c>
      <c r="C2026" s="191" t="s">
        <v>425</v>
      </c>
      <c r="D2026" s="171" t="s">
        <v>3290</v>
      </c>
      <c r="E2026" s="732" t="s">
        <v>3379</v>
      </c>
      <c r="F2026" s="171">
        <v>1993</v>
      </c>
      <c r="G2026" s="171">
        <v>9</v>
      </c>
      <c r="H2026" s="172" t="s">
        <v>1738</v>
      </c>
      <c r="I2026" s="173" t="s">
        <v>1751</v>
      </c>
      <c r="J2026" s="242">
        <v>0.60606060606060608</v>
      </c>
      <c r="K2026" s="213">
        <v>6.3973063973063971</v>
      </c>
      <c r="L2026" s="38">
        <v>180</v>
      </c>
      <c r="M2026" s="171">
        <v>297</v>
      </c>
      <c r="N2026" s="171">
        <v>1110</v>
      </c>
      <c r="O2026" s="162"/>
      <c r="P2026" s="89"/>
      <c r="Q2026" s="221" t="s">
        <v>1754</v>
      </c>
      <c r="R2026" s="171" t="s">
        <v>3348</v>
      </c>
      <c r="S2026" s="171" t="s">
        <v>3348</v>
      </c>
      <c r="T2026" s="89"/>
      <c r="U2026" s="89" t="s">
        <v>3348</v>
      </c>
      <c r="V2026" s="102">
        <v>0</v>
      </c>
      <c r="W2026" s="120">
        <v>0</v>
      </c>
      <c r="X2026" s="120">
        <v>0</v>
      </c>
      <c r="Y2026" s="120">
        <v>0</v>
      </c>
      <c r="Z2026" s="120">
        <v>0</v>
      </c>
      <c r="AA2026" s="17">
        <v>0</v>
      </c>
      <c r="AB2026" s="17">
        <v>0</v>
      </c>
      <c r="AC2026" s="17">
        <v>0</v>
      </c>
      <c r="AD2026" s="17">
        <v>0</v>
      </c>
      <c r="AE2026" s="17">
        <v>0</v>
      </c>
      <c r="AF2026" s="17">
        <v>0</v>
      </c>
      <c r="AG2026" s="17">
        <v>0</v>
      </c>
      <c r="AH2026" s="17">
        <v>0</v>
      </c>
      <c r="AI2026" s="17">
        <v>0</v>
      </c>
      <c r="AJ2026" s="17">
        <v>0</v>
      </c>
      <c r="AK2026" s="17">
        <v>0</v>
      </c>
      <c r="AL2026" s="32">
        <v>0</v>
      </c>
      <c r="AM2026" s="172">
        <v>37.5</v>
      </c>
      <c r="AN2026" s="171">
        <v>80</v>
      </c>
      <c r="AO2026" s="89"/>
      <c r="AP2026" s="783">
        <v>33</v>
      </c>
      <c r="AQ2026" s="17" t="s">
        <v>3403</v>
      </c>
      <c r="AR2026" s="174">
        <v>100</v>
      </c>
      <c r="AS2026" s="171" t="s">
        <v>246</v>
      </c>
      <c r="AT2026" s="171">
        <v>200</v>
      </c>
      <c r="AU2026" s="171">
        <v>25</v>
      </c>
      <c r="AV2026" s="57"/>
      <c r="AW2026" s="171">
        <v>28</v>
      </c>
      <c r="AX2026" s="89"/>
      <c r="AY2026" s="171">
        <v>23</v>
      </c>
      <c r="AZ2026" s="89"/>
      <c r="BA2026" s="175">
        <v>60</v>
      </c>
      <c r="BB2026" s="259"/>
      <c r="BC2026" s="176"/>
      <c r="BD2026" s="177"/>
      <c r="BE2026" s="177"/>
      <c r="BF2026" s="190" t="s">
        <v>3329</v>
      </c>
    </row>
    <row r="2027" spans="1:58">
      <c r="A2027" s="111">
        <v>2026</v>
      </c>
      <c r="B2027" s="211" t="s">
        <v>3123</v>
      </c>
      <c r="C2027" s="191" t="s">
        <v>425</v>
      </c>
      <c r="D2027" s="171" t="s">
        <v>3290</v>
      </c>
      <c r="E2027" s="732" t="s">
        <v>3379</v>
      </c>
      <c r="F2027" s="171">
        <v>1993</v>
      </c>
      <c r="G2027" s="171">
        <v>9</v>
      </c>
      <c r="H2027" s="172" t="s">
        <v>1738</v>
      </c>
      <c r="I2027" s="173" t="s">
        <v>1751</v>
      </c>
      <c r="J2027" s="242">
        <v>0.43</v>
      </c>
      <c r="K2027" s="213">
        <v>3.645360824742268</v>
      </c>
      <c r="L2027" s="38">
        <v>185</v>
      </c>
      <c r="M2027" s="171">
        <v>485</v>
      </c>
      <c r="N2027" s="171">
        <v>1180</v>
      </c>
      <c r="O2027" s="162"/>
      <c r="P2027" s="89"/>
      <c r="Q2027" s="221" t="s">
        <v>1754</v>
      </c>
      <c r="R2027" s="171" t="s">
        <v>3348</v>
      </c>
      <c r="S2027" s="171" t="s">
        <v>3348</v>
      </c>
      <c r="T2027" s="89"/>
      <c r="U2027" s="89" t="s">
        <v>3348</v>
      </c>
      <c r="V2027" s="102">
        <v>0</v>
      </c>
      <c r="W2027" s="120">
        <v>0</v>
      </c>
      <c r="X2027" s="120">
        <v>0</v>
      </c>
      <c r="Y2027" s="120">
        <v>0</v>
      </c>
      <c r="Z2027" s="120">
        <v>0</v>
      </c>
      <c r="AA2027" s="17">
        <v>0</v>
      </c>
      <c r="AB2027" s="17">
        <v>0</v>
      </c>
      <c r="AC2027" s="17">
        <v>0</v>
      </c>
      <c r="AD2027" s="17">
        <v>0</v>
      </c>
      <c r="AE2027" s="17">
        <v>0</v>
      </c>
      <c r="AF2027" s="17">
        <v>0</v>
      </c>
      <c r="AG2027" s="17">
        <v>0</v>
      </c>
      <c r="AH2027" s="17">
        <v>0</v>
      </c>
      <c r="AI2027" s="17">
        <v>0</v>
      </c>
      <c r="AJ2027" s="17">
        <v>0</v>
      </c>
      <c r="AK2027" s="17">
        <v>0</v>
      </c>
      <c r="AL2027" s="32">
        <v>0</v>
      </c>
      <c r="AM2027" s="172">
        <v>65</v>
      </c>
      <c r="AN2027" s="171">
        <v>25</v>
      </c>
      <c r="AO2027" s="89"/>
      <c r="AP2027" s="783">
        <v>41</v>
      </c>
      <c r="AQ2027" s="17" t="s">
        <v>3403</v>
      </c>
      <c r="AR2027" s="174">
        <v>100</v>
      </c>
      <c r="AS2027" s="171" t="s">
        <v>246</v>
      </c>
      <c r="AT2027" s="171">
        <v>200</v>
      </c>
      <c r="AU2027" s="171">
        <v>25</v>
      </c>
      <c r="AV2027" s="57"/>
      <c r="AW2027" s="171">
        <v>28</v>
      </c>
      <c r="AX2027" s="89"/>
      <c r="AY2027" s="171">
        <v>23</v>
      </c>
      <c r="AZ2027" s="89"/>
      <c r="BA2027" s="175">
        <v>60</v>
      </c>
      <c r="BB2027" s="259"/>
      <c r="BC2027" s="176"/>
      <c r="BD2027" s="177"/>
      <c r="BE2027" s="177"/>
      <c r="BF2027" s="190" t="s">
        <v>3329</v>
      </c>
    </row>
    <row r="2028" spans="1:58">
      <c r="A2028" s="111">
        <v>2027</v>
      </c>
      <c r="B2028" s="211" t="s">
        <v>3124</v>
      </c>
      <c r="C2028" s="191" t="s">
        <v>425</v>
      </c>
      <c r="D2028" s="171" t="s">
        <v>3290</v>
      </c>
      <c r="E2028" s="732" t="s">
        <v>3379</v>
      </c>
      <c r="F2028" s="171">
        <v>1993</v>
      </c>
      <c r="G2028" s="171">
        <v>9</v>
      </c>
      <c r="H2028" s="172" t="s">
        <v>1738</v>
      </c>
      <c r="I2028" s="173" t="s">
        <v>1751</v>
      </c>
      <c r="J2028" s="242">
        <v>0.60517799352750812</v>
      </c>
      <c r="K2028" s="213">
        <v>6.1229773462783168</v>
      </c>
      <c r="L2028" s="38">
        <v>187</v>
      </c>
      <c r="M2028" s="171">
        <v>309</v>
      </c>
      <c r="N2028" s="171">
        <v>1093</v>
      </c>
      <c r="O2028" s="162"/>
      <c r="P2028" s="89"/>
      <c r="Q2028" s="221" t="s">
        <v>1754</v>
      </c>
      <c r="R2028" s="171" t="s">
        <v>2312</v>
      </c>
      <c r="S2028" s="171" t="s">
        <v>2312</v>
      </c>
      <c r="T2028" s="89"/>
      <c r="U2028" s="89" t="s">
        <v>2312</v>
      </c>
      <c r="V2028" s="102">
        <v>0</v>
      </c>
      <c r="W2028" s="120">
        <v>0</v>
      </c>
      <c r="X2028" s="120">
        <v>0</v>
      </c>
      <c r="Y2028" s="120">
        <v>0</v>
      </c>
      <c r="Z2028" s="120">
        <v>0</v>
      </c>
      <c r="AA2028" s="17">
        <v>0</v>
      </c>
      <c r="AB2028" s="17">
        <v>0</v>
      </c>
      <c r="AC2028" s="17">
        <v>0</v>
      </c>
      <c r="AD2028" s="17">
        <v>0</v>
      </c>
      <c r="AE2028" s="17">
        <v>0</v>
      </c>
      <c r="AF2028" s="17">
        <v>0</v>
      </c>
      <c r="AG2028" s="17">
        <v>0</v>
      </c>
      <c r="AH2028" s="17">
        <v>0</v>
      </c>
      <c r="AI2028" s="17">
        <v>0</v>
      </c>
      <c r="AJ2028" s="17">
        <v>0</v>
      </c>
      <c r="AK2028" s="17">
        <v>0</v>
      </c>
      <c r="AL2028" s="32">
        <v>0</v>
      </c>
      <c r="AM2028" s="172">
        <v>35.299999999999997</v>
      </c>
      <c r="AN2028" s="171">
        <v>60</v>
      </c>
      <c r="AO2028" s="89"/>
      <c r="AP2028" s="783">
        <v>29</v>
      </c>
      <c r="AQ2028" s="17" t="s">
        <v>3403</v>
      </c>
      <c r="AR2028" s="174">
        <v>100</v>
      </c>
      <c r="AS2028" s="171" t="s">
        <v>246</v>
      </c>
      <c r="AT2028" s="171">
        <v>200</v>
      </c>
      <c r="AU2028" s="171">
        <v>25</v>
      </c>
      <c r="AV2028" s="57"/>
      <c r="AW2028" s="171">
        <v>28</v>
      </c>
      <c r="AX2028" s="89"/>
      <c r="AY2028" s="171">
        <v>23</v>
      </c>
      <c r="AZ2028" s="89"/>
      <c r="BA2028" s="175">
        <v>60</v>
      </c>
      <c r="BB2028" s="259"/>
      <c r="BC2028" s="176"/>
      <c r="BD2028" s="177"/>
      <c r="BE2028" s="177"/>
      <c r="BF2028" s="190" t="s">
        <v>3329</v>
      </c>
    </row>
    <row r="2029" spans="1:58">
      <c r="A2029" s="111">
        <v>2028</v>
      </c>
      <c r="B2029" s="211" t="s">
        <v>3125</v>
      </c>
      <c r="C2029" s="191" t="s">
        <v>425</v>
      </c>
      <c r="D2029" s="171" t="s">
        <v>3290</v>
      </c>
      <c r="E2029" s="732" t="s">
        <v>3379</v>
      </c>
      <c r="F2029" s="171">
        <v>1993</v>
      </c>
      <c r="G2029" s="171">
        <v>9</v>
      </c>
      <c r="H2029" s="172" t="s">
        <v>1738</v>
      </c>
      <c r="I2029" s="173" t="s">
        <v>1751</v>
      </c>
      <c r="J2029" s="242">
        <v>0.42572062084257206</v>
      </c>
      <c r="K2029" s="213">
        <v>3.8980044345898004</v>
      </c>
      <c r="L2029" s="38">
        <v>192</v>
      </c>
      <c r="M2029" s="171">
        <v>451</v>
      </c>
      <c r="N2029" s="171">
        <v>1163</v>
      </c>
      <c r="O2029" s="162"/>
      <c r="P2029" s="89"/>
      <c r="Q2029" s="221" t="s">
        <v>1754</v>
      </c>
      <c r="R2029" s="171" t="s">
        <v>2312</v>
      </c>
      <c r="S2029" s="171" t="s">
        <v>2312</v>
      </c>
      <c r="T2029" s="89"/>
      <c r="U2029" s="89" t="s">
        <v>2312</v>
      </c>
      <c r="V2029" s="102">
        <v>0</v>
      </c>
      <c r="W2029" s="120">
        <v>0</v>
      </c>
      <c r="X2029" s="120">
        <v>0</v>
      </c>
      <c r="Y2029" s="120">
        <v>0</v>
      </c>
      <c r="Z2029" s="120">
        <v>0</v>
      </c>
      <c r="AA2029" s="17">
        <v>0</v>
      </c>
      <c r="AB2029" s="17">
        <v>0</v>
      </c>
      <c r="AC2029" s="17">
        <v>0</v>
      </c>
      <c r="AD2029" s="17">
        <v>0</v>
      </c>
      <c r="AE2029" s="17">
        <v>0</v>
      </c>
      <c r="AF2029" s="17">
        <v>0</v>
      </c>
      <c r="AG2029" s="17">
        <v>0</v>
      </c>
      <c r="AH2029" s="17">
        <v>0</v>
      </c>
      <c r="AI2029" s="17">
        <v>0</v>
      </c>
      <c r="AJ2029" s="17">
        <v>0</v>
      </c>
      <c r="AK2029" s="17">
        <v>0</v>
      </c>
      <c r="AL2029" s="32">
        <v>0</v>
      </c>
      <c r="AM2029" s="172">
        <v>60</v>
      </c>
      <c r="AN2029" s="171">
        <v>85</v>
      </c>
      <c r="AO2029" s="89"/>
      <c r="AP2029" s="783">
        <v>32</v>
      </c>
      <c r="AQ2029" s="17" t="s">
        <v>3403</v>
      </c>
      <c r="AR2029" s="174">
        <v>100</v>
      </c>
      <c r="AS2029" s="171" t="s">
        <v>246</v>
      </c>
      <c r="AT2029" s="171">
        <v>200</v>
      </c>
      <c r="AU2029" s="171">
        <v>25</v>
      </c>
      <c r="AV2029" s="57"/>
      <c r="AW2029" s="171">
        <v>28</v>
      </c>
      <c r="AX2029" s="89"/>
      <c r="AY2029" s="171">
        <v>23</v>
      </c>
      <c r="AZ2029" s="89"/>
      <c r="BA2029" s="175">
        <v>60</v>
      </c>
      <c r="BB2029" s="259"/>
      <c r="BC2029" s="176"/>
      <c r="BD2029" s="177"/>
      <c r="BE2029" s="177"/>
      <c r="BF2029" s="190" t="s">
        <v>3329</v>
      </c>
    </row>
    <row r="2030" spans="1:58">
      <c r="A2030" s="111">
        <v>2029</v>
      </c>
      <c r="B2030" s="211" t="s">
        <v>3126</v>
      </c>
      <c r="C2030" s="191" t="s">
        <v>425</v>
      </c>
      <c r="D2030" s="171" t="s">
        <v>3290</v>
      </c>
      <c r="E2030" s="732" t="s">
        <v>3379</v>
      </c>
      <c r="F2030" s="171">
        <v>1993</v>
      </c>
      <c r="G2030" s="171">
        <v>9</v>
      </c>
      <c r="H2030" s="172" t="s">
        <v>1738</v>
      </c>
      <c r="I2030" s="173" t="s">
        <v>1751</v>
      </c>
      <c r="J2030" s="242">
        <v>0.60559006211180122</v>
      </c>
      <c r="K2030" s="213">
        <v>5.7919254658385091</v>
      </c>
      <c r="L2030" s="38">
        <v>195</v>
      </c>
      <c r="M2030" s="171">
        <v>322</v>
      </c>
      <c r="N2030" s="171">
        <v>1123</v>
      </c>
      <c r="O2030" s="162"/>
      <c r="P2030" s="89"/>
      <c r="Q2030" s="221" t="s">
        <v>1754</v>
      </c>
      <c r="R2030" s="171" t="s">
        <v>2320</v>
      </c>
      <c r="S2030" s="171" t="s">
        <v>3356</v>
      </c>
      <c r="T2030" s="89"/>
      <c r="U2030" s="89" t="s">
        <v>2320</v>
      </c>
      <c r="V2030" s="102">
        <v>0</v>
      </c>
      <c r="W2030" s="120">
        <v>0</v>
      </c>
      <c r="X2030" s="120">
        <v>0</v>
      </c>
      <c r="Y2030" s="120">
        <v>0</v>
      </c>
      <c r="Z2030" s="120">
        <v>0</v>
      </c>
      <c r="AA2030" s="17">
        <v>0</v>
      </c>
      <c r="AB2030" s="17">
        <v>0</v>
      </c>
      <c r="AC2030" s="17">
        <v>0</v>
      </c>
      <c r="AD2030" s="17">
        <v>0</v>
      </c>
      <c r="AE2030" s="17">
        <v>0</v>
      </c>
      <c r="AF2030" s="17">
        <v>0</v>
      </c>
      <c r="AG2030" s="17">
        <v>0</v>
      </c>
      <c r="AH2030" s="17">
        <v>0</v>
      </c>
      <c r="AI2030" s="17">
        <v>0</v>
      </c>
      <c r="AJ2030" s="17">
        <v>0</v>
      </c>
      <c r="AK2030" s="17">
        <v>0</v>
      </c>
      <c r="AL2030" s="32">
        <v>0</v>
      </c>
      <c r="AM2030" s="172">
        <v>31</v>
      </c>
      <c r="AN2030" s="171">
        <v>85</v>
      </c>
      <c r="AO2030" s="89"/>
      <c r="AP2030" s="783">
        <v>28</v>
      </c>
      <c r="AQ2030" s="17" t="s">
        <v>3403</v>
      </c>
      <c r="AR2030" s="174">
        <v>100</v>
      </c>
      <c r="AS2030" s="171" t="s">
        <v>246</v>
      </c>
      <c r="AT2030" s="171">
        <v>200</v>
      </c>
      <c r="AU2030" s="171">
        <v>25</v>
      </c>
      <c r="AV2030" s="57"/>
      <c r="AW2030" s="171">
        <v>28</v>
      </c>
      <c r="AX2030" s="89"/>
      <c r="AY2030" s="171">
        <v>23</v>
      </c>
      <c r="AZ2030" s="89"/>
      <c r="BA2030" s="175">
        <v>60</v>
      </c>
      <c r="BB2030" s="259"/>
      <c r="BC2030" s="176"/>
      <c r="BD2030" s="177"/>
      <c r="BE2030" s="177"/>
      <c r="BF2030" s="190" t="s">
        <v>3329</v>
      </c>
    </row>
    <row r="2031" spans="1:58">
      <c r="A2031" s="111">
        <v>2030</v>
      </c>
      <c r="B2031" s="211" t="s">
        <v>3127</v>
      </c>
      <c r="C2031" s="191" t="s">
        <v>425</v>
      </c>
      <c r="D2031" s="171" t="s">
        <v>3290</v>
      </c>
      <c r="E2031" s="732" t="s">
        <v>3379</v>
      </c>
      <c r="F2031" s="171">
        <v>1993</v>
      </c>
      <c r="G2031" s="171">
        <v>9</v>
      </c>
      <c r="H2031" s="172" t="s">
        <v>1738</v>
      </c>
      <c r="I2031" s="173" t="s">
        <v>1751</v>
      </c>
      <c r="J2031" s="242">
        <v>0.42576419213973798</v>
      </c>
      <c r="K2031" s="213">
        <v>3.7969432314410478</v>
      </c>
      <c r="L2031" s="38">
        <v>195</v>
      </c>
      <c r="M2031" s="171">
        <v>458</v>
      </c>
      <c r="N2031" s="171">
        <v>1193</v>
      </c>
      <c r="O2031" s="162"/>
      <c r="P2031" s="89"/>
      <c r="Q2031" s="221" t="s">
        <v>1754</v>
      </c>
      <c r="R2031" s="171" t="s">
        <v>2320</v>
      </c>
      <c r="S2031" s="171" t="s">
        <v>3356</v>
      </c>
      <c r="T2031" s="89"/>
      <c r="U2031" s="89" t="s">
        <v>2320</v>
      </c>
      <c r="V2031" s="102">
        <v>0</v>
      </c>
      <c r="W2031" s="120">
        <v>0</v>
      </c>
      <c r="X2031" s="120">
        <v>0</v>
      </c>
      <c r="Y2031" s="120">
        <v>0</v>
      </c>
      <c r="Z2031" s="120">
        <v>0</v>
      </c>
      <c r="AA2031" s="17">
        <v>0</v>
      </c>
      <c r="AB2031" s="17">
        <v>0</v>
      </c>
      <c r="AC2031" s="17">
        <v>0</v>
      </c>
      <c r="AD2031" s="17">
        <v>0</v>
      </c>
      <c r="AE2031" s="17">
        <v>0</v>
      </c>
      <c r="AF2031" s="17">
        <v>0</v>
      </c>
      <c r="AG2031" s="17">
        <v>0</v>
      </c>
      <c r="AH2031" s="17">
        <v>0</v>
      </c>
      <c r="AI2031" s="17">
        <v>0</v>
      </c>
      <c r="AJ2031" s="17">
        <v>0</v>
      </c>
      <c r="AK2031" s="17">
        <v>0</v>
      </c>
      <c r="AL2031" s="32">
        <v>0</v>
      </c>
      <c r="AM2031" s="172">
        <v>57.5</v>
      </c>
      <c r="AN2031" s="171">
        <v>95</v>
      </c>
      <c r="AO2031" s="89"/>
      <c r="AP2031" s="783">
        <v>30.5</v>
      </c>
      <c r="AQ2031" s="17" t="s">
        <v>3403</v>
      </c>
      <c r="AR2031" s="174">
        <v>100</v>
      </c>
      <c r="AS2031" s="171" t="s">
        <v>246</v>
      </c>
      <c r="AT2031" s="171">
        <v>200</v>
      </c>
      <c r="AU2031" s="171">
        <v>25</v>
      </c>
      <c r="AV2031" s="57"/>
      <c r="AW2031" s="171">
        <v>28</v>
      </c>
      <c r="AX2031" s="89"/>
      <c r="AY2031" s="171">
        <v>23</v>
      </c>
      <c r="AZ2031" s="89"/>
      <c r="BA2031" s="175">
        <v>60</v>
      </c>
      <c r="BB2031" s="259"/>
      <c r="BC2031" s="176"/>
      <c r="BD2031" s="177"/>
      <c r="BE2031" s="177"/>
      <c r="BF2031" s="190" t="s">
        <v>3329</v>
      </c>
    </row>
    <row r="2032" spans="1:58">
      <c r="A2032" s="111">
        <v>2031</v>
      </c>
      <c r="B2032" s="211" t="s">
        <v>3128</v>
      </c>
      <c r="C2032" s="191" t="s">
        <v>425</v>
      </c>
      <c r="D2032" s="171" t="s">
        <v>3290</v>
      </c>
      <c r="E2032" s="732" t="s">
        <v>3379</v>
      </c>
      <c r="F2032" s="171">
        <v>1993</v>
      </c>
      <c r="G2032" s="171">
        <v>9</v>
      </c>
      <c r="H2032" s="172" t="s">
        <v>1738</v>
      </c>
      <c r="I2032" s="173" t="s">
        <v>1751</v>
      </c>
      <c r="J2032" s="242">
        <v>0.60559006211180122</v>
      </c>
      <c r="K2032" s="213">
        <v>5.7639751552795033</v>
      </c>
      <c r="L2032" s="38">
        <v>195</v>
      </c>
      <c r="M2032" s="171">
        <v>322</v>
      </c>
      <c r="N2032" s="171">
        <v>1022</v>
      </c>
      <c r="O2032" s="162"/>
      <c r="P2032" s="89"/>
      <c r="Q2032" s="221" t="s">
        <v>1754</v>
      </c>
      <c r="R2032" s="171" t="s">
        <v>3349</v>
      </c>
      <c r="S2032" s="171" t="s">
        <v>2320</v>
      </c>
      <c r="T2032" s="89"/>
      <c r="U2032" s="89" t="s">
        <v>3349</v>
      </c>
      <c r="V2032" s="102">
        <v>0</v>
      </c>
      <c r="W2032" s="120">
        <v>0</v>
      </c>
      <c r="X2032" s="120">
        <v>0</v>
      </c>
      <c r="Y2032" s="120">
        <v>0</v>
      </c>
      <c r="Z2032" s="120">
        <v>0</v>
      </c>
      <c r="AA2032" s="17">
        <v>0</v>
      </c>
      <c r="AB2032" s="17">
        <v>0</v>
      </c>
      <c r="AC2032" s="17">
        <v>0</v>
      </c>
      <c r="AD2032" s="17">
        <v>0</v>
      </c>
      <c r="AE2032" s="17">
        <v>0</v>
      </c>
      <c r="AF2032" s="17">
        <v>0</v>
      </c>
      <c r="AG2032" s="17">
        <v>0</v>
      </c>
      <c r="AH2032" s="17">
        <v>0</v>
      </c>
      <c r="AI2032" s="17">
        <v>0</v>
      </c>
      <c r="AJ2032" s="17">
        <v>0</v>
      </c>
      <c r="AK2032" s="17">
        <v>0</v>
      </c>
      <c r="AL2032" s="32">
        <v>0</v>
      </c>
      <c r="AM2032" s="172">
        <v>37</v>
      </c>
      <c r="AN2032" s="171">
        <v>80</v>
      </c>
      <c r="AO2032" s="89"/>
      <c r="AP2032" s="783">
        <v>28</v>
      </c>
      <c r="AQ2032" s="17" t="s">
        <v>3403</v>
      </c>
      <c r="AR2032" s="174">
        <v>100</v>
      </c>
      <c r="AS2032" s="171" t="s">
        <v>246</v>
      </c>
      <c r="AT2032" s="171">
        <v>200</v>
      </c>
      <c r="AU2032" s="171">
        <v>25</v>
      </c>
      <c r="AV2032" s="57"/>
      <c r="AW2032" s="171">
        <v>28</v>
      </c>
      <c r="AX2032" s="89"/>
      <c r="AY2032" s="171">
        <v>23</v>
      </c>
      <c r="AZ2032" s="89"/>
      <c r="BA2032" s="175">
        <v>60</v>
      </c>
      <c r="BB2032" s="259"/>
      <c r="BC2032" s="176"/>
      <c r="BD2032" s="177"/>
      <c r="BE2032" s="177"/>
      <c r="BF2032" s="190" t="s">
        <v>3329</v>
      </c>
    </row>
    <row r="2033" spans="1:58">
      <c r="A2033" s="111">
        <v>2032</v>
      </c>
      <c r="B2033" s="211" t="s">
        <v>3129</v>
      </c>
      <c r="C2033" s="191" t="s">
        <v>425</v>
      </c>
      <c r="D2033" s="171" t="s">
        <v>3290</v>
      </c>
      <c r="E2033" s="732" t="s">
        <v>3379</v>
      </c>
      <c r="F2033" s="171">
        <v>1993</v>
      </c>
      <c r="G2033" s="171">
        <v>9</v>
      </c>
      <c r="H2033" s="172" t="s">
        <v>1738</v>
      </c>
      <c r="I2033" s="173" t="s">
        <v>1751</v>
      </c>
      <c r="J2033" s="242">
        <v>0.42553191489361702</v>
      </c>
      <c r="K2033" s="213">
        <v>3.6510638297872342</v>
      </c>
      <c r="L2033" s="38">
        <v>200</v>
      </c>
      <c r="M2033" s="171">
        <v>470</v>
      </c>
      <c r="N2033" s="171">
        <v>1090</v>
      </c>
      <c r="O2033" s="162"/>
      <c r="P2033" s="89"/>
      <c r="Q2033" s="221" t="s">
        <v>1754</v>
      </c>
      <c r="R2033" s="171" t="s">
        <v>3349</v>
      </c>
      <c r="S2033" s="171" t="s">
        <v>2320</v>
      </c>
      <c r="T2033" s="89"/>
      <c r="U2033" s="89" t="s">
        <v>3349</v>
      </c>
      <c r="V2033" s="102">
        <v>0</v>
      </c>
      <c r="W2033" s="120">
        <v>0</v>
      </c>
      <c r="X2033" s="120">
        <v>0</v>
      </c>
      <c r="Y2033" s="120">
        <v>0</v>
      </c>
      <c r="Z2033" s="120">
        <v>0</v>
      </c>
      <c r="AA2033" s="17">
        <v>0</v>
      </c>
      <c r="AB2033" s="17">
        <v>0</v>
      </c>
      <c r="AC2033" s="17">
        <v>0</v>
      </c>
      <c r="AD2033" s="17">
        <v>0</v>
      </c>
      <c r="AE2033" s="17">
        <v>0</v>
      </c>
      <c r="AF2033" s="17">
        <v>0</v>
      </c>
      <c r="AG2033" s="17">
        <v>0</v>
      </c>
      <c r="AH2033" s="17">
        <v>0</v>
      </c>
      <c r="AI2033" s="17">
        <v>0</v>
      </c>
      <c r="AJ2033" s="17">
        <v>0</v>
      </c>
      <c r="AK2033" s="17">
        <v>0</v>
      </c>
      <c r="AL2033" s="32">
        <v>0</v>
      </c>
      <c r="AM2033" s="172">
        <v>63</v>
      </c>
      <c r="AN2033" s="171">
        <v>50</v>
      </c>
      <c r="AO2033" s="89"/>
      <c r="AP2033" s="783">
        <v>32.5</v>
      </c>
      <c r="AQ2033" s="17" t="s">
        <v>3403</v>
      </c>
      <c r="AR2033" s="174">
        <v>100</v>
      </c>
      <c r="AS2033" s="171" t="s">
        <v>246</v>
      </c>
      <c r="AT2033" s="171">
        <v>200</v>
      </c>
      <c r="AU2033" s="171">
        <v>25</v>
      </c>
      <c r="AV2033" s="57"/>
      <c r="AW2033" s="171">
        <v>28</v>
      </c>
      <c r="AX2033" s="89"/>
      <c r="AY2033" s="171">
        <v>23</v>
      </c>
      <c r="AZ2033" s="89"/>
      <c r="BA2033" s="175">
        <v>60</v>
      </c>
      <c r="BB2033" s="259"/>
      <c r="BC2033" s="176"/>
      <c r="BD2033" s="177"/>
      <c r="BE2033" s="177"/>
      <c r="BF2033" s="190" t="s">
        <v>3329</v>
      </c>
    </row>
    <row r="2034" spans="1:58">
      <c r="A2034" s="111">
        <v>2033</v>
      </c>
      <c r="B2034" s="211" t="s">
        <v>3130</v>
      </c>
      <c r="C2034" s="191" t="s">
        <v>425</v>
      </c>
      <c r="D2034" s="171" t="s">
        <v>3290</v>
      </c>
      <c r="E2034" s="732" t="s">
        <v>3379</v>
      </c>
      <c r="F2034" s="171">
        <v>1993</v>
      </c>
      <c r="G2034" s="171">
        <v>9</v>
      </c>
      <c r="H2034" s="172" t="s">
        <v>1738</v>
      </c>
      <c r="I2034" s="173" t="s">
        <v>1751</v>
      </c>
      <c r="J2034" s="242">
        <v>0.60559006211180122</v>
      </c>
      <c r="K2034" s="213">
        <v>5.9192546583850936</v>
      </c>
      <c r="L2034" s="38">
        <v>195</v>
      </c>
      <c r="M2034" s="171">
        <v>322</v>
      </c>
      <c r="N2034" s="171">
        <v>1050</v>
      </c>
      <c r="O2034" s="162"/>
      <c r="P2034" s="89"/>
      <c r="Q2034" s="221" t="s">
        <v>1754</v>
      </c>
      <c r="R2034" s="171" t="s">
        <v>3342</v>
      </c>
      <c r="S2034" s="171" t="s">
        <v>3342</v>
      </c>
      <c r="T2034" s="89"/>
      <c r="U2034" s="89" t="s">
        <v>3342</v>
      </c>
      <c r="V2034" s="102">
        <v>0</v>
      </c>
      <c r="W2034" s="120">
        <v>0</v>
      </c>
      <c r="X2034" s="120">
        <v>0</v>
      </c>
      <c r="Y2034" s="120">
        <v>0</v>
      </c>
      <c r="Z2034" s="120">
        <v>0</v>
      </c>
      <c r="AA2034" s="17">
        <v>0</v>
      </c>
      <c r="AB2034" s="17">
        <v>0</v>
      </c>
      <c r="AC2034" s="17">
        <v>0</v>
      </c>
      <c r="AD2034" s="17">
        <v>0</v>
      </c>
      <c r="AE2034" s="17">
        <v>0</v>
      </c>
      <c r="AF2034" s="17">
        <v>0</v>
      </c>
      <c r="AG2034" s="17">
        <v>0</v>
      </c>
      <c r="AH2034" s="17">
        <v>0</v>
      </c>
      <c r="AI2034" s="17">
        <v>0</v>
      </c>
      <c r="AJ2034" s="17">
        <v>0</v>
      </c>
      <c r="AK2034" s="17">
        <v>0</v>
      </c>
      <c r="AL2034" s="32">
        <v>0</v>
      </c>
      <c r="AM2034" s="172">
        <v>27.5</v>
      </c>
      <c r="AN2034" s="171">
        <v>75</v>
      </c>
      <c r="AO2034" s="89"/>
      <c r="AP2034" s="783">
        <v>28</v>
      </c>
      <c r="AQ2034" s="17" t="s">
        <v>3403</v>
      </c>
      <c r="AR2034" s="174">
        <v>100</v>
      </c>
      <c r="AS2034" s="171" t="s">
        <v>246</v>
      </c>
      <c r="AT2034" s="171">
        <v>200</v>
      </c>
      <c r="AU2034" s="171">
        <v>25</v>
      </c>
      <c r="AV2034" s="57"/>
      <c r="AW2034" s="171">
        <v>28</v>
      </c>
      <c r="AX2034" s="89"/>
      <c r="AY2034" s="171">
        <v>23</v>
      </c>
      <c r="AZ2034" s="89"/>
      <c r="BA2034" s="175">
        <v>60</v>
      </c>
      <c r="BB2034" s="259"/>
      <c r="BC2034" s="176"/>
      <c r="BD2034" s="177"/>
      <c r="BE2034" s="177"/>
      <c r="BF2034" s="190" t="s">
        <v>3329</v>
      </c>
    </row>
    <row r="2035" spans="1:58">
      <c r="A2035" s="111">
        <v>2034</v>
      </c>
      <c r="B2035" s="211" t="s">
        <v>3131</v>
      </c>
      <c r="C2035" s="191" t="s">
        <v>425</v>
      </c>
      <c r="D2035" s="171" t="s">
        <v>3290</v>
      </c>
      <c r="E2035" s="732" t="s">
        <v>3379</v>
      </c>
      <c r="F2035" s="171">
        <v>1993</v>
      </c>
      <c r="G2035" s="171">
        <v>9</v>
      </c>
      <c r="H2035" s="172" t="s">
        <v>1738</v>
      </c>
      <c r="I2035" s="173" t="s">
        <v>1751</v>
      </c>
      <c r="J2035" s="242">
        <v>0.42553191489361702</v>
      </c>
      <c r="K2035" s="213">
        <v>3.7489361702127662</v>
      </c>
      <c r="L2035" s="38">
        <v>200</v>
      </c>
      <c r="M2035" s="171">
        <v>470</v>
      </c>
      <c r="N2035" s="171">
        <v>1120</v>
      </c>
      <c r="O2035" s="162"/>
      <c r="P2035" s="89"/>
      <c r="Q2035" s="221" t="s">
        <v>1754</v>
      </c>
      <c r="R2035" s="171" t="s">
        <v>3342</v>
      </c>
      <c r="S2035" s="171" t="s">
        <v>3342</v>
      </c>
      <c r="T2035" s="89"/>
      <c r="U2035" s="89" t="s">
        <v>3342</v>
      </c>
      <c r="V2035" s="102">
        <v>0</v>
      </c>
      <c r="W2035" s="120">
        <v>0</v>
      </c>
      <c r="X2035" s="120">
        <v>0</v>
      </c>
      <c r="Y2035" s="120">
        <v>0</v>
      </c>
      <c r="Z2035" s="120">
        <v>0</v>
      </c>
      <c r="AA2035" s="17">
        <v>0</v>
      </c>
      <c r="AB2035" s="17">
        <v>0</v>
      </c>
      <c r="AC2035" s="17">
        <v>0</v>
      </c>
      <c r="AD2035" s="17">
        <v>0</v>
      </c>
      <c r="AE2035" s="17">
        <v>0</v>
      </c>
      <c r="AF2035" s="17">
        <v>0</v>
      </c>
      <c r="AG2035" s="17">
        <v>0</v>
      </c>
      <c r="AH2035" s="17">
        <v>0</v>
      </c>
      <c r="AI2035" s="17">
        <v>0</v>
      </c>
      <c r="AJ2035" s="17">
        <v>0</v>
      </c>
      <c r="AK2035" s="17">
        <v>0</v>
      </c>
      <c r="AL2035" s="32">
        <v>0</v>
      </c>
      <c r="AM2035" s="172">
        <v>53</v>
      </c>
      <c r="AN2035" s="171">
        <v>80</v>
      </c>
      <c r="AO2035" s="89"/>
      <c r="AP2035" s="783">
        <v>31.5</v>
      </c>
      <c r="AQ2035" s="17" t="s">
        <v>3403</v>
      </c>
      <c r="AR2035" s="174">
        <v>100</v>
      </c>
      <c r="AS2035" s="171" t="s">
        <v>246</v>
      </c>
      <c r="AT2035" s="171">
        <v>200</v>
      </c>
      <c r="AU2035" s="171">
        <v>25</v>
      </c>
      <c r="AV2035" s="57"/>
      <c r="AW2035" s="171">
        <v>28</v>
      </c>
      <c r="AX2035" s="89"/>
      <c r="AY2035" s="171">
        <v>23</v>
      </c>
      <c r="AZ2035" s="89"/>
      <c r="BA2035" s="175">
        <v>60</v>
      </c>
      <c r="BB2035" s="259"/>
      <c r="BC2035" s="176"/>
      <c r="BD2035" s="177"/>
      <c r="BE2035" s="177"/>
      <c r="BF2035" s="190" t="s">
        <v>3329</v>
      </c>
    </row>
    <row r="2036" spans="1:58">
      <c r="A2036" s="111">
        <v>2035</v>
      </c>
      <c r="B2036" s="211" t="s">
        <v>3132</v>
      </c>
      <c r="C2036" s="191" t="s">
        <v>425</v>
      </c>
      <c r="D2036" s="171" t="s">
        <v>3290</v>
      </c>
      <c r="E2036" s="732" t="s">
        <v>3379</v>
      </c>
      <c r="F2036" s="171">
        <v>1993</v>
      </c>
      <c r="G2036" s="171">
        <v>9</v>
      </c>
      <c r="H2036" s="172" t="s">
        <v>1738</v>
      </c>
      <c r="I2036" s="173" t="s">
        <v>1751</v>
      </c>
      <c r="J2036" s="242">
        <v>0.4258064516129032</v>
      </c>
      <c r="K2036" s="213">
        <v>3.8516129032258064</v>
      </c>
      <c r="L2036" s="38">
        <v>198</v>
      </c>
      <c r="M2036" s="171">
        <v>465</v>
      </c>
      <c r="N2036" s="171">
        <v>1147</v>
      </c>
      <c r="O2036" s="162"/>
      <c r="P2036" s="89"/>
      <c r="Q2036" s="221" t="s">
        <v>1754</v>
      </c>
      <c r="R2036" s="171" t="s">
        <v>3342</v>
      </c>
      <c r="S2036" s="171" t="s">
        <v>3342</v>
      </c>
      <c r="T2036" s="89"/>
      <c r="U2036" s="89" t="s">
        <v>3342</v>
      </c>
      <c r="V2036" s="102">
        <v>0</v>
      </c>
      <c r="W2036" s="120">
        <v>0</v>
      </c>
      <c r="X2036" s="120">
        <v>0</v>
      </c>
      <c r="Y2036" s="120">
        <v>0</v>
      </c>
      <c r="Z2036" s="120">
        <v>0</v>
      </c>
      <c r="AA2036" s="17">
        <v>0</v>
      </c>
      <c r="AB2036" s="17">
        <v>0</v>
      </c>
      <c r="AC2036" s="17">
        <v>0</v>
      </c>
      <c r="AD2036" s="17">
        <v>0</v>
      </c>
      <c r="AE2036" s="17">
        <v>0</v>
      </c>
      <c r="AF2036" s="17">
        <v>0</v>
      </c>
      <c r="AG2036" s="17">
        <v>0</v>
      </c>
      <c r="AH2036" s="17">
        <v>0</v>
      </c>
      <c r="AI2036" s="17">
        <v>0</v>
      </c>
      <c r="AJ2036" s="17">
        <v>0</v>
      </c>
      <c r="AK2036" s="17">
        <v>0</v>
      </c>
      <c r="AL2036" s="32">
        <v>0</v>
      </c>
      <c r="AM2036" s="172">
        <v>49</v>
      </c>
      <c r="AN2036" s="171">
        <v>50</v>
      </c>
      <c r="AO2036" s="89"/>
      <c r="AP2036" s="783">
        <v>30.5</v>
      </c>
      <c r="AQ2036" s="17" t="s">
        <v>3403</v>
      </c>
      <c r="AR2036" s="174">
        <v>100</v>
      </c>
      <c r="AS2036" s="171" t="s">
        <v>246</v>
      </c>
      <c r="AT2036" s="171">
        <v>200</v>
      </c>
      <c r="AU2036" s="171">
        <v>25</v>
      </c>
      <c r="AV2036" s="57"/>
      <c r="AW2036" s="171">
        <v>28</v>
      </c>
      <c r="AX2036" s="89"/>
      <c r="AY2036" s="171">
        <v>23</v>
      </c>
      <c r="AZ2036" s="89"/>
      <c r="BA2036" s="175">
        <v>60</v>
      </c>
      <c r="BB2036" s="259"/>
      <c r="BC2036" s="176"/>
      <c r="BD2036" s="177"/>
      <c r="BE2036" s="177"/>
      <c r="BF2036" s="190" t="s">
        <v>3329</v>
      </c>
    </row>
    <row r="2037" spans="1:58">
      <c r="A2037" s="111">
        <v>2036</v>
      </c>
      <c r="B2037" s="211" t="s">
        <v>3133</v>
      </c>
      <c r="C2037" s="191" t="s">
        <v>425</v>
      </c>
      <c r="D2037" s="171" t="s">
        <v>3290</v>
      </c>
      <c r="E2037" s="732" t="s">
        <v>3379</v>
      </c>
      <c r="F2037" s="171">
        <v>1993</v>
      </c>
      <c r="G2037" s="171">
        <v>9</v>
      </c>
      <c r="H2037" s="172" t="s">
        <v>1738</v>
      </c>
      <c r="I2037" s="173" t="s">
        <v>1751</v>
      </c>
      <c r="J2037" s="242">
        <v>0.60559006211180122</v>
      </c>
      <c r="K2037" s="213">
        <v>5.9813664596273295</v>
      </c>
      <c r="L2037" s="38">
        <v>195</v>
      </c>
      <c r="M2037" s="171">
        <v>322</v>
      </c>
      <c r="N2037" s="171">
        <v>1077</v>
      </c>
      <c r="O2037" s="162"/>
      <c r="P2037" s="89"/>
      <c r="Q2037" s="221" t="s">
        <v>1754</v>
      </c>
      <c r="R2037" s="171" t="s">
        <v>3342</v>
      </c>
      <c r="S2037" s="171" t="s">
        <v>3342</v>
      </c>
      <c r="T2037" s="89"/>
      <c r="U2037" s="89" t="s">
        <v>3342</v>
      </c>
      <c r="V2037" s="102">
        <v>0</v>
      </c>
      <c r="W2037" s="120">
        <v>0</v>
      </c>
      <c r="X2037" s="120">
        <v>0</v>
      </c>
      <c r="Y2037" s="120">
        <v>0</v>
      </c>
      <c r="Z2037" s="120">
        <v>0</v>
      </c>
      <c r="AA2037" s="17">
        <v>0</v>
      </c>
      <c r="AB2037" s="17">
        <v>0</v>
      </c>
      <c r="AC2037" s="17">
        <v>0</v>
      </c>
      <c r="AD2037" s="17">
        <v>0</v>
      </c>
      <c r="AE2037" s="17">
        <v>0</v>
      </c>
      <c r="AF2037" s="17">
        <v>0</v>
      </c>
      <c r="AG2037" s="17">
        <v>0</v>
      </c>
      <c r="AH2037" s="17">
        <v>0</v>
      </c>
      <c r="AI2037" s="17">
        <v>0</v>
      </c>
      <c r="AJ2037" s="17">
        <v>0</v>
      </c>
      <c r="AK2037" s="17">
        <v>0</v>
      </c>
      <c r="AL2037" s="32">
        <v>0</v>
      </c>
      <c r="AM2037" s="172">
        <v>28.5</v>
      </c>
      <c r="AN2037" s="171"/>
      <c r="AO2037" s="89"/>
      <c r="AP2037" s="783">
        <v>29</v>
      </c>
      <c r="AQ2037" s="17" t="s">
        <v>3403</v>
      </c>
      <c r="AR2037" s="174">
        <v>100</v>
      </c>
      <c r="AS2037" s="171" t="s">
        <v>246</v>
      </c>
      <c r="AT2037" s="171">
        <v>200</v>
      </c>
      <c r="AU2037" s="171">
        <v>25</v>
      </c>
      <c r="AV2037" s="57"/>
      <c r="AW2037" s="171">
        <v>28</v>
      </c>
      <c r="AX2037" s="89"/>
      <c r="AY2037" s="171">
        <v>23</v>
      </c>
      <c r="AZ2037" s="89"/>
      <c r="BA2037" s="175">
        <v>60</v>
      </c>
      <c r="BB2037" s="259"/>
      <c r="BC2037" s="176"/>
      <c r="BD2037" s="177"/>
      <c r="BE2037" s="177"/>
      <c r="BF2037" s="190" t="s">
        <v>3329</v>
      </c>
    </row>
    <row r="2038" spans="1:58">
      <c r="A2038" s="111">
        <v>2037</v>
      </c>
      <c r="B2038" s="211" t="s">
        <v>3134</v>
      </c>
      <c r="C2038" s="191" t="s">
        <v>425</v>
      </c>
      <c r="D2038" s="171" t="s">
        <v>3290</v>
      </c>
      <c r="E2038" s="732" t="s">
        <v>3379</v>
      </c>
      <c r="F2038" s="171">
        <v>1993</v>
      </c>
      <c r="G2038" s="171">
        <v>9</v>
      </c>
      <c r="H2038" s="172" t="s">
        <v>1738</v>
      </c>
      <c r="I2038" s="173" t="s">
        <v>1751</v>
      </c>
      <c r="J2038" s="242">
        <v>0.4258064516129032</v>
      </c>
      <c r="K2038" s="213">
        <v>3.8516129032258064</v>
      </c>
      <c r="L2038" s="38">
        <v>198</v>
      </c>
      <c r="M2038" s="171">
        <v>465</v>
      </c>
      <c r="N2038" s="171">
        <v>1147</v>
      </c>
      <c r="O2038" s="162"/>
      <c r="P2038" s="89"/>
      <c r="Q2038" s="221" t="s">
        <v>1754</v>
      </c>
      <c r="R2038" s="171" t="s">
        <v>3342</v>
      </c>
      <c r="S2038" s="171" t="s">
        <v>3342</v>
      </c>
      <c r="T2038" s="89"/>
      <c r="U2038" s="89" t="s">
        <v>3342</v>
      </c>
      <c r="V2038" s="102">
        <v>0</v>
      </c>
      <c r="W2038" s="120">
        <v>0</v>
      </c>
      <c r="X2038" s="120">
        <v>0</v>
      </c>
      <c r="Y2038" s="120">
        <v>0</v>
      </c>
      <c r="Z2038" s="120">
        <v>0</v>
      </c>
      <c r="AA2038" s="17">
        <v>0</v>
      </c>
      <c r="AB2038" s="17">
        <v>0</v>
      </c>
      <c r="AC2038" s="17">
        <v>0</v>
      </c>
      <c r="AD2038" s="17">
        <v>0</v>
      </c>
      <c r="AE2038" s="17">
        <v>0</v>
      </c>
      <c r="AF2038" s="17">
        <v>0</v>
      </c>
      <c r="AG2038" s="17">
        <v>0</v>
      </c>
      <c r="AH2038" s="17">
        <v>0</v>
      </c>
      <c r="AI2038" s="17">
        <v>0</v>
      </c>
      <c r="AJ2038" s="17">
        <v>0</v>
      </c>
      <c r="AK2038" s="17">
        <v>0</v>
      </c>
      <c r="AL2038" s="32">
        <v>0</v>
      </c>
      <c r="AM2038" s="172">
        <v>54</v>
      </c>
      <c r="AN2038" s="171"/>
      <c r="AO2038" s="89"/>
      <c r="AP2038" s="783">
        <v>33.5</v>
      </c>
      <c r="AQ2038" s="17" t="s">
        <v>3403</v>
      </c>
      <c r="AR2038" s="174">
        <v>100</v>
      </c>
      <c r="AS2038" s="171" t="s">
        <v>246</v>
      </c>
      <c r="AT2038" s="171">
        <v>200</v>
      </c>
      <c r="AU2038" s="171">
        <v>25</v>
      </c>
      <c r="AV2038" s="57"/>
      <c r="AW2038" s="171">
        <v>28</v>
      </c>
      <c r="AX2038" s="89"/>
      <c r="AY2038" s="171">
        <v>23</v>
      </c>
      <c r="AZ2038" s="89"/>
      <c r="BA2038" s="175">
        <v>60</v>
      </c>
      <c r="BB2038" s="259"/>
      <c r="BC2038" s="176"/>
      <c r="BD2038" s="177"/>
      <c r="BE2038" s="177"/>
      <c r="BF2038" s="190" t="s">
        <v>3329</v>
      </c>
    </row>
    <row r="2039" spans="1:58">
      <c r="A2039" s="111">
        <v>2038</v>
      </c>
      <c r="B2039" s="211" t="s">
        <v>3135</v>
      </c>
      <c r="C2039" s="191" t="s">
        <v>425</v>
      </c>
      <c r="D2039" s="171" t="s">
        <v>3290</v>
      </c>
      <c r="E2039" s="732" t="s">
        <v>3379</v>
      </c>
      <c r="F2039" s="171">
        <v>1993</v>
      </c>
      <c r="G2039" s="171">
        <v>9</v>
      </c>
      <c r="H2039" s="172" t="s">
        <v>1738</v>
      </c>
      <c r="I2039" s="173" t="s">
        <v>1751</v>
      </c>
      <c r="J2039" s="242">
        <v>0.60606060606060608</v>
      </c>
      <c r="K2039" s="213">
        <v>6.5420875420875424</v>
      </c>
      <c r="L2039" s="38">
        <v>180</v>
      </c>
      <c r="M2039" s="171">
        <v>297</v>
      </c>
      <c r="N2039" s="171">
        <v>1030</v>
      </c>
      <c r="O2039" s="162"/>
      <c r="P2039" s="89"/>
      <c r="Q2039" s="221" t="s">
        <v>1754</v>
      </c>
      <c r="R2039" s="171" t="s">
        <v>3350</v>
      </c>
      <c r="S2039" s="171" t="s">
        <v>3357</v>
      </c>
      <c r="T2039" s="89"/>
      <c r="U2039" s="89" t="s">
        <v>3350</v>
      </c>
      <c r="V2039" s="102">
        <v>0</v>
      </c>
      <c r="W2039" s="120">
        <v>0</v>
      </c>
      <c r="X2039" s="120">
        <v>0</v>
      </c>
      <c r="Y2039" s="120">
        <v>0</v>
      </c>
      <c r="Z2039" s="120">
        <v>0</v>
      </c>
      <c r="AA2039" s="17">
        <v>0</v>
      </c>
      <c r="AB2039" s="17">
        <v>0</v>
      </c>
      <c r="AC2039" s="17">
        <v>0</v>
      </c>
      <c r="AD2039" s="17">
        <v>0</v>
      </c>
      <c r="AE2039" s="17">
        <v>0</v>
      </c>
      <c r="AF2039" s="17">
        <v>0</v>
      </c>
      <c r="AG2039" s="17">
        <v>0</v>
      </c>
      <c r="AH2039" s="17">
        <v>0</v>
      </c>
      <c r="AI2039" s="17">
        <v>0</v>
      </c>
      <c r="AJ2039" s="17">
        <v>0</v>
      </c>
      <c r="AK2039" s="17">
        <v>0</v>
      </c>
      <c r="AL2039" s="32">
        <v>0</v>
      </c>
      <c r="AM2039" s="172">
        <v>30</v>
      </c>
      <c r="AN2039" s="171">
        <v>58</v>
      </c>
      <c r="AO2039" s="89"/>
      <c r="AP2039" s="783">
        <v>32.5</v>
      </c>
      <c r="AQ2039" s="17" t="s">
        <v>3403</v>
      </c>
      <c r="AR2039" s="174">
        <v>100</v>
      </c>
      <c r="AS2039" s="171" t="s">
        <v>246</v>
      </c>
      <c r="AT2039" s="171">
        <v>200</v>
      </c>
      <c r="AU2039" s="171">
        <v>25</v>
      </c>
      <c r="AV2039" s="57"/>
      <c r="AW2039" s="171">
        <v>28</v>
      </c>
      <c r="AX2039" s="89"/>
      <c r="AY2039" s="171">
        <v>23</v>
      </c>
      <c r="AZ2039" s="89"/>
      <c r="BA2039" s="175">
        <v>60</v>
      </c>
      <c r="BB2039" s="259"/>
      <c r="BC2039" s="176"/>
      <c r="BD2039" s="177"/>
      <c r="BE2039" s="177"/>
      <c r="BF2039" s="190" t="s">
        <v>3329</v>
      </c>
    </row>
    <row r="2040" spans="1:58">
      <c r="A2040" s="111">
        <v>2039</v>
      </c>
      <c r="B2040" s="211" t="s">
        <v>3136</v>
      </c>
      <c r="C2040" s="191" t="s">
        <v>425</v>
      </c>
      <c r="D2040" s="171" t="s">
        <v>3290</v>
      </c>
      <c r="E2040" s="732" t="s">
        <v>3379</v>
      </c>
      <c r="F2040" s="171">
        <v>1993</v>
      </c>
      <c r="G2040" s="171">
        <v>9</v>
      </c>
      <c r="H2040" s="172" t="s">
        <v>1738</v>
      </c>
      <c r="I2040" s="173" t="s">
        <v>1751</v>
      </c>
      <c r="J2040" s="242">
        <v>0.42528735632183906</v>
      </c>
      <c r="K2040" s="213">
        <v>4.1839080459770113</v>
      </c>
      <c r="L2040" s="38">
        <v>185</v>
      </c>
      <c r="M2040" s="171">
        <v>435</v>
      </c>
      <c r="N2040" s="171">
        <v>1100</v>
      </c>
      <c r="O2040" s="162"/>
      <c r="P2040" s="89"/>
      <c r="Q2040" s="221" t="s">
        <v>1754</v>
      </c>
      <c r="R2040" s="171" t="s">
        <v>3350</v>
      </c>
      <c r="S2040" s="171" t="s">
        <v>3357</v>
      </c>
      <c r="T2040" s="89"/>
      <c r="U2040" s="89" t="s">
        <v>3350</v>
      </c>
      <c r="V2040" s="102">
        <v>0</v>
      </c>
      <c r="W2040" s="120">
        <v>0</v>
      </c>
      <c r="X2040" s="120">
        <v>0</v>
      </c>
      <c r="Y2040" s="120">
        <v>0</v>
      </c>
      <c r="Z2040" s="120">
        <v>0</v>
      </c>
      <c r="AA2040" s="17">
        <v>0</v>
      </c>
      <c r="AB2040" s="17">
        <v>0</v>
      </c>
      <c r="AC2040" s="17">
        <v>0</v>
      </c>
      <c r="AD2040" s="17">
        <v>0</v>
      </c>
      <c r="AE2040" s="17">
        <v>0</v>
      </c>
      <c r="AF2040" s="17">
        <v>0</v>
      </c>
      <c r="AG2040" s="17">
        <v>0</v>
      </c>
      <c r="AH2040" s="17">
        <v>0</v>
      </c>
      <c r="AI2040" s="17">
        <v>0</v>
      </c>
      <c r="AJ2040" s="17">
        <v>0</v>
      </c>
      <c r="AK2040" s="17">
        <v>0</v>
      </c>
      <c r="AL2040" s="32">
        <v>0</v>
      </c>
      <c r="AM2040" s="172">
        <v>55</v>
      </c>
      <c r="AN2040" s="171">
        <v>55</v>
      </c>
      <c r="AO2040" s="89"/>
      <c r="AP2040" s="783">
        <v>39</v>
      </c>
      <c r="AQ2040" s="17" t="s">
        <v>3403</v>
      </c>
      <c r="AR2040" s="174">
        <v>100</v>
      </c>
      <c r="AS2040" s="171" t="s">
        <v>246</v>
      </c>
      <c r="AT2040" s="171">
        <v>200</v>
      </c>
      <c r="AU2040" s="171">
        <v>25</v>
      </c>
      <c r="AV2040" s="57"/>
      <c r="AW2040" s="171">
        <v>28</v>
      </c>
      <c r="AX2040" s="89"/>
      <c r="AY2040" s="171">
        <v>23</v>
      </c>
      <c r="AZ2040" s="89"/>
      <c r="BA2040" s="175">
        <v>60</v>
      </c>
      <c r="BB2040" s="259"/>
      <c r="BC2040" s="176"/>
      <c r="BD2040" s="177"/>
      <c r="BE2040" s="177"/>
      <c r="BF2040" s="190" t="s">
        <v>3329</v>
      </c>
    </row>
    <row r="2041" spans="1:58">
      <c r="A2041" s="111">
        <v>2040</v>
      </c>
      <c r="B2041" s="211" t="s">
        <v>3137</v>
      </c>
      <c r="C2041" s="191" t="s">
        <v>3299</v>
      </c>
      <c r="D2041" s="171" t="s">
        <v>3290</v>
      </c>
      <c r="E2041" s="732" t="s">
        <v>3379</v>
      </c>
      <c r="F2041" s="171">
        <v>2000</v>
      </c>
      <c r="G2041" s="171">
        <v>10</v>
      </c>
      <c r="H2041" s="172" t="s">
        <v>1738</v>
      </c>
      <c r="I2041" s="173" t="s">
        <v>1751</v>
      </c>
      <c r="J2041" s="242">
        <v>0.3</v>
      </c>
      <c r="K2041" s="213">
        <v>2.1842857142857142</v>
      </c>
      <c r="L2041" s="38">
        <v>210</v>
      </c>
      <c r="M2041" s="171">
        <v>700</v>
      </c>
      <c r="N2041" s="171">
        <v>1175</v>
      </c>
      <c r="O2041" s="162"/>
      <c r="P2041" s="89"/>
      <c r="Q2041" s="221" t="s">
        <v>1754</v>
      </c>
      <c r="R2041" s="89"/>
      <c r="S2041" s="89"/>
      <c r="T2041" s="89"/>
      <c r="U2041" s="89"/>
      <c r="V2041" s="102">
        <v>0</v>
      </c>
      <c r="W2041" s="120">
        <v>0</v>
      </c>
      <c r="X2041" s="120">
        <v>0</v>
      </c>
      <c r="Y2041" s="120">
        <v>0</v>
      </c>
      <c r="Z2041" s="120">
        <v>0</v>
      </c>
      <c r="AA2041" s="17">
        <v>0</v>
      </c>
      <c r="AB2041" s="17">
        <v>0</v>
      </c>
      <c r="AC2041" s="17">
        <v>0</v>
      </c>
      <c r="AD2041" s="17">
        <v>0</v>
      </c>
      <c r="AE2041" s="17">
        <v>0</v>
      </c>
      <c r="AF2041" s="33">
        <v>5.7110222729868647E-2</v>
      </c>
      <c r="AG2041" s="17">
        <v>0</v>
      </c>
      <c r="AH2041" s="17">
        <v>0</v>
      </c>
      <c r="AI2041" s="17">
        <v>0</v>
      </c>
      <c r="AJ2041" s="17">
        <v>0</v>
      </c>
      <c r="AK2041" s="17">
        <v>0</v>
      </c>
      <c r="AL2041" s="32">
        <v>0</v>
      </c>
      <c r="AM2041" s="172">
        <v>60.9</v>
      </c>
      <c r="AN2041" s="171">
        <v>35</v>
      </c>
      <c r="AO2041" s="89"/>
      <c r="AP2041" s="88"/>
      <c r="AQ2041" s="17" t="s">
        <v>3403</v>
      </c>
      <c r="AR2041" s="174">
        <v>100</v>
      </c>
      <c r="AS2041" s="171" t="s">
        <v>246</v>
      </c>
      <c r="AT2041" s="171">
        <v>200</v>
      </c>
      <c r="AU2041" s="171">
        <v>20</v>
      </c>
      <c r="AV2041" s="57"/>
      <c r="AW2041" s="171">
        <v>14</v>
      </c>
      <c r="AX2041" s="89"/>
      <c r="AY2041" s="171">
        <v>22</v>
      </c>
      <c r="AZ2041" s="89"/>
      <c r="BA2041" s="175">
        <v>50</v>
      </c>
      <c r="BB2041" s="259"/>
      <c r="BC2041" s="176"/>
      <c r="BD2041" s="177"/>
      <c r="BE2041" s="177"/>
      <c r="BF2041" s="190" t="s">
        <v>3395</v>
      </c>
    </row>
    <row r="2042" spans="1:58">
      <c r="A2042" s="111">
        <v>2041</v>
      </c>
      <c r="B2042" s="211" t="s">
        <v>3138</v>
      </c>
      <c r="C2042" s="191" t="s">
        <v>3299</v>
      </c>
      <c r="D2042" s="171" t="s">
        <v>3290</v>
      </c>
      <c r="E2042" s="732" t="s">
        <v>3379</v>
      </c>
      <c r="F2042" s="171">
        <v>2000</v>
      </c>
      <c r="G2042" s="171">
        <v>10</v>
      </c>
      <c r="H2042" s="172" t="s">
        <v>1738</v>
      </c>
      <c r="I2042" s="173" t="s">
        <v>1751</v>
      </c>
      <c r="J2042" s="242">
        <v>0.5</v>
      </c>
      <c r="K2042" s="213">
        <v>4.6846153846153848</v>
      </c>
      <c r="L2042" s="38">
        <v>195</v>
      </c>
      <c r="M2042" s="171">
        <v>390</v>
      </c>
      <c r="N2042" s="171">
        <v>1175</v>
      </c>
      <c r="O2042" s="162"/>
      <c r="P2042" s="89"/>
      <c r="Q2042" s="221" t="s">
        <v>1754</v>
      </c>
      <c r="R2042" s="89"/>
      <c r="S2042" s="89"/>
      <c r="T2042" s="89"/>
      <c r="U2042" s="89"/>
      <c r="V2042" s="102">
        <v>0</v>
      </c>
      <c r="W2042" s="120">
        <v>0</v>
      </c>
      <c r="X2042" s="120">
        <v>0</v>
      </c>
      <c r="Y2042" s="120">
        <v>0</v>
      </c>
      <c r="Z2042" s="120">
        <v>0</v>
      </c>
      <c r="AA2042" s="17">
        <v>0</v>
      </c>
      <c r="AB2042" s="17">
        <v>0</v>
      </c>
      <c r="AC2042" s="17">
        <v>0</v>
      </c>
      <c r="AD2042" s="17">
        <v>0</v>
      </c>
      <c r="AE2042" s="17">
        <v>0</v>
      </c>
      <c r="AF2042" s="17">
        <v>0</v>
      </c>
      <c r="AG2042" s="17">
        <v>0</v>
      </c>
      <c r="AH2042" s="17">
        <v>0</v>
      </c>
      <c r="AI2042" s="17">
        <v>0</v>
      </c>
      <c r="AJ2042" s="17">
        <v>0</v>
      </c>
      <c r="AK2042" s="17">
        <v>0</v>
      </c>
      <c r="AL2042" s="32">
        <v>0</v>
      </c>
      <c r="AM2042" s="172">
        <v>36.6</v>
      </c>
      <c r="AN2042" s="171">
        <v>45</v>
      </c>
      <c r="AO2042" s="89"/>
      <c r="AP2042" s="88"/>
      <c r="AQ2042" s="17" t="s">
        <v>3403</v>
      </c>
      <c r="AR2042" s="174">
        <v>100</v>
      </c>
      <c r="AS2042" s="171" t="s">
        <v>246</v>
      </c>
      <c r="AT2042" s="171">
        <v>200</v>
      </c>
      <c r="AU2042" s="171">
        <v>20</v>
      </c>
      <c r="AV2042" s="57"/>
      <c r="AW2042" s="171">
        <v>14</v>
      </c>
      <c r="AX2042" s="89"/>
      <c r="AY2042" s="171">
        <v>22</v>
      </c>
      <c r="AZ2042" s="89"/>
      <c r="BA2042" s="175">
        <v>50</v>
      </c>
      <c r="BB2042" s="259"/>
      <c r="BC2042" s="176"/>
      <c r="BD2042" s="177"/>
      <c r="BE2042" s="177"/>
      <c r="BF2042" s="190" t="s">
        <v>273</v>
      </c>
    </row>
    <row r="2043" spans="1:58">
      <c r="A2043" s="111">
        <v>2042</v>
      </c>
      <c r="B2043" s="211" t="s">
        <v>3139</v>
      </c>
      <c r="C2043" s="191" t="s">
        <v>3299</v>
      </c>
      <c r="D2043" s="171" t="s">
        <v>3290</v>
      </c>
      <c r="E2043" s="732" t="s">
        <v>3379</v>
      </c>
      <c r="F2043" s="171">
        <v>2000</v>
      </c>
      <c r="G2043" s="171">
        <v>10</v>
      </c>
      <c r="H2043" s="172" t="s">
        <v>1738</v>
      </c>
      <c r="I2043" s="173" t="s">
        <v>1751</v>
      </c>
      <c r="J2043" s="242">
        <v>0.2999985000075</v>
      </c>
      <c r="K2043" s="213">
        <v>2.336988315058425</v>
      </c>
      <c r="L2043" s="38">
        <v>200</v>
      </c>
      <c r="M2043" s="171">
        <v>600</v>
      </c>
      <c r="N2043" s="171">
        <v>1175</v>
      </c>
      <c r="O2043" s="162"/>
      <c r="P2043" s="89"/>
      <c r="Q2043" s="221" t="s">
        <v>1754</v>
      </c>
      <c r="R2043" s="89"/>
      <c r="S2043" s="89"/>
      <c r="T2043" s="89"/>
      <c r="U2043" s="89"/>
      <c r="V2043" s="119">
        <v>10</v>
      </c>
      <c r="W2043" s="120">
        <v>0</v>
      </c>
      <c r="X2043" s="120">
        <v>0</v>
      </c>
      <c r="Y2043" s="120">
        <v>0</v>
      </c>
      <c r="Z2043" s="120">
        <v>0</v>
      </c>
      <c r="AA2043" s="17">
        <v>0</v>
      </c>
      <c r="AB2043" s="17">
        <v>0</v>
      </c>
      <c r="AC2043" s="17">
        <v>0</v>
      </c>
      <c r="AD2043" s="17">
        <v>0</v>
      </c>
      <c r="AE2043" s="17">
        <v>0</v>
      </c>
      <c r="AF2043" s="17">
        <v>5.9963721948221332E-2</v>
      </c>
      <c r="AG2043" s="17">
        <v>0</v>
      </c>
      <c r="AH2043" s="17">
        <v>0</v>
      </c>
      <c r="AI2043" s="17">
        <v>0</v>
      </c>
      <c r="AJ2043" s="17">
        <v>0</v>
      </c>
      <c r="AK2043" s="17">
        <v>0</v>
      </c>
      <c r="AL2043" s="32">
        <v>0</v>
      </c>
      <c r="AM2043" s="172">
        <v>63.4</v>
      </c>
      <c r="AN2043" s="171">
        <v>40</v>
      </c>
      <c r="AO2043" s="89"/>
      <c r="AP2043" s="88"/>
      <c r="AQ2043" s="17" t="s">
        <v>3403</v>
      </c>
      <c r="AR2043" s="174">
        <v>100</v>
      </c>
      <c r="AS2043" s="171" t="s">
        <v>246</v>
      </c>
      <c r="AT2043" s="171">
        <v>200</v>
      </c>
      <c r="AU2043" s="171">
        <v>20</v>
      </c>
      <c r="AV2043" s="57"/>
      <c r="AW2043" s="171">
        <v>14</v>
      </c>
      <c r="AX2043" s="89"/>
      <c r="AY2043" s="171">
        <v>22</v>
      </c>
      <c r="AZ2043" s="89"/>
      <c r="BA2043" s="175">
        <v>50</v>
      </c>
      <c r="BB2043" s="259"/>
      <c r="BC2043" s="176"/>
      <c r="BD2043" s="177"/>
      <c r="BE2043" s="177"/>
      <c r="BF2043" s="190" t="s">
        <v>3395</v>
      </c>
    </row>
    <row r="2044" spans="1:58">
      <c r="A2044" s="111">
        <v>2043</v>
      </c>
      <c r="B2044" s="211" t="s">
        <v>3140</v>
      </c>
      <c r="C2044" s="191" t="s">
        <v>3299</v>
      </c>
      <c r="D2044" s="171" t="s">
        <v>3290</v>
      </c>
      <c r="E2044" s="732" t="s">
        <v>3379</v>
      </c>
      <c r="F2044" s="171">
        <v>2000</v>
      </c>
      <c r="G2044" s="171">
        <v>10</v>
      </c>
      <c r="H2044" s="172" t="s">
        <v>1738</v>
      </c>
      <c r="I2044" s="173" t="s">
        <v>1751</v>
      </c>
      <c r="J2044" s="242">
        <v>0.3</v>
      </c>
      <c r="K2044" s="213">
        <v>2.14</v>
      </c>
      <c r="L2044" s="38">
        <v>210</v>
      </c>
      <c r="M2044" s="171">
        <v>350</v>
      </c>
      <c r="N2044" s="171">
        <v>1175</v>
      </c>
      <c r="O2044" s="162"/>
      <c r="P2044" s="89"/>
      <c r="Q2044" s="221" t="s">
        <v>1754</v>
      </c>
      <c r="R2044" s="89"/>
      <c r="S2044" s="89"/>
      <c r="T2044" s="89"/>
      <c r="U2044" s="89"/>
      <c r="V2044" s="102">
        <v>0</v>
      </c>
      <c r="W2044" s="120">
        <v>0</v>
      </c>
      <c r="X2044" s="120">
        <v>0</v>
      </c>
      <c r="Y2044" s="120">
        <v>50</v>
      </c>
      <c r="Z2044" s="120">
        <v>0</v>
      </c>
      <c r="AA2044" s="17">
        <v>0</v>
      </c>
      <c r="AB2044" s="17">
        <v>0</v>
      </c>
      <c r="AC2044" s="17">
        <v>0</v>
      </c>
      <c r="AD2044" s="17">
        <v>0</v>
      </c>
      <c r="AE2044" s="17">
        <v>0</v>
      </c>
      <c r="AF2044" s="17">
        <v>0</v>
      </c>
      <c r="AG2044" s="17">
        <v>0</v>
      </c>
      <c r="AH2044" s="17">
        <v>0</v>
      </c>
      <c r="AI2044" s="17">
        <v>0</v>
      </c>
      <c r="AJ2044" s="17">
        <v>0</v>
      </c>
      <c r="AK2044" s="17">
        <v>0</v>
      </c>
      <c r="AL2044" s="32">
        <v>0</v>
      </c>
      <c r="AM2044" s="172">
        <v>65.7</v>
      </c>
      <c r="AN2044" s="171">
        <v>40</v>
      </c>
      <c r="AO2044" s="89"/>
      <c r="AP2044" s="88"/>
      <c r="AQ2044" s="17" t="s">
        <v>3403</v>
      </c>
      <c r="AR2044" s="174">
        <v>100</v>
      </c>
      <c r="AS2044" s="171" t="s">
        <v>246</v>
      </c>
      <c r="AT2044" s="171">
        <v>200</v>
      </c>
      <c r="AU2044" s="171">
        <v>20</v>
      </c>
      <c r="AV2044" s="57"/>
      <c r="AW2044" s="171">
        <v>14</v>
      </c>
      <c r="AX2044" s="89"/>
      <c r="AY2044" s="171">
        <v>22</v>
      </c>
      <c r="AZ2044" s="89"/>
      <c r="BA2044" s="175">
        <v>50</v>
      </c>
      <c r="BB2044" s="259"/>
      <c r="BC2044" s="176"/>
      <c r="BD2044" s="177"/>
      <c r="BE2044" s="177"/>
      <c r="BF2044" s="190" t="s">
        <v>273</v>
      </c>
    </row>
    <row r="2045" spans="1:58">
      <c r="A2045" s="111">
        <v>2044</v>
      </c>
      <c r="B2045" s="211" t="s">
        <v>3141</v>
      </c>
      <c r="C2045" s="191" t="s">
        <v>3293</v>
      </c>
      <c r="D2045" s="171" t="s">
        <v>3290</v>
      </c>
      <c r="E2045" s="732" t="s">
        <v>3379</v>
      </c>
      <c r="F2045" s="171">
        <v>1999</v>
      </c>
      <c r="G2045" s="171">
        <v>11</v>
      </c>
      <c r="H2045" s="172" t="s">
        <v>1738</v>
      </c>
      <c r="I2045" s="173" t="s">
        <v>1751</v>
      </c>
      <c r="J2045" s="242">
        <v>0.60006000600060005</v>
      </c>
      <c r="K2045" s="213">
        <v>5.6624662466246622</v>
      </c>
      <c r="L2045" s="38">
        <v>200</v>
      </c>
      <c r="M2045" s="171">
        <v>333.3</v>
      </c>
      <c r="N2045" s="171">
        <v>1100</v>
      </c>
      <c r="O2045" s="162"/>
      <c r="P2045" s="71">
        <v>42.5</v>
      </c>
      <c r="Q2045" s="221" t="s">
        <v>1754</v>
      </c>
      <c r="R2045" s="171" t="s">
        <v>2312</v>
      </c>
      <c r="S2045" s="171" t="s">
        <v>3358</v>
      </c>
      <c r="T2045" s="89"/>
      <c r="U2045" s="89" t="s">
        <v>2312</v>
      </c>
      <c r="V2045" s="102">
        <v>0</v>
      </c>
      <c r="W2045" s="120">
        <v>0</v>
      </c>
      <c r="X2045" s="120">
        <v>0</v>
      </c>
      <c r="Y2045" s="120">
        <v>0</v>
      </c>
      <c r="Z2045" s="120">
        <v>0</v>
      </c>
      <c r="AA2045" s="17">
        <v>0</v>
      </c>
      <c r="AB2045" s="17">
        <v>0</v>
      </c>
      <c r="AC2045" s="17">
        <v>0</v>
      </c>
      <c r="AD2045" s="17">
        <v>0</v>
      </c>
      <c r="AE2045" s="17">
        <v>0</v>
      </c>
      <c r="AF2045" s="17">
        <v>0</v>
      </c>
      <c r="AG2045" s="17">
        <v>0</v>
      </c>
      <c r="AH2045" s="17">
        <v>0</v>
      </c>
      <c r="AI2045" s="17">
        <v>0</v>
      </c>
      <c r="AJ2045" s="17">
        <v>0</v>
      </c>
      <c r="AK2045" s="17">
        <v>0</v>
      </c>
      <c r="AL2045" s="32">
        <v>0</v>
      </c>
      <c r="AM2045" s="172">
        <v>41</v>
      </c>
      <c r="AN2045" s="89"/>
      <c r="AO2045" s="89"/>
      <c r="AP2045" s="88"/>
      <c r="AQ2045" s="17" t="s">
        <v>3403</v>
      </c>
      <c r="AR2045" s="174">
        <v>100</v>
      </c>
      <c r="AS2045" s="171" t="s">
        <v>246</v>
      </c>
      <c r="AT2045" s="171">
        <v>200</v>
      </c>
      <c r="AU2045" s="171">
        <v>20</v>
      </c>
      <c r="AV2045" s="57"/>
      <c r="AW2045" s="171">
        <v>14</v>
      </c>
      <c r="AX2045" s="89"/>
      <c r="AY2045" s="171">
        <v>23</v>
      </c>
      <c r="AZ2045" s="89"/>
      <c r="BA2045" s="175">
        <v>60</v>
      </c>
      <c r="BB2045" s="259"/>
      <c r="BC2045" s="176"/>
      <c r="BD2045" s="177"/>
      <c r="BE2045" s="177"/>
      <c r="BF2045" s="190" t="s">
        <v>3396</v>
      </c>
    </row>
    <row r="2046" spans="1:58">
      <c r="A2046" s="111">
        <v>2045</v>
      </c>
      <c r="B2046" s="211" t="s">
        <v>3142</v>
      </c>
      <c r="C2046" s="191" t="s">
        <v>3293</v>
      </c>
      <c r="D2046" s="171" t="s">
        <v>3290</v>
      </c>
      <c r="E2046" s="732" t="s">
        <v>3379</v>
      </c>
      <c r="F2046" s="171">
        <v>1999</v>
      </c>
      <c r="G2046" s="171">
        <v>11</v>
      </c>
      <c r="H2046" s="172" t="s">
        <v>1738</v>
      </c>
      <c r="I2046" s="173" t="s">
        <v>1751</v>
      </c>
      <c r="J2046" s="242">
        <v>0.60006000600060005</v>
      </c>
      <c r="K2046" s="213">
        <v>5.6624662466246622</v>
      </c>
      <c r="L2046" s="38">
        <v>200</v>
      </c>
      <c r="M2046" s="171">
        <v>333.3</v>
      </c>
      <c r="N2046" s="171">
        <v>1100</v>
      </c>
      <c r="O2046" s="162"/>
      <c r="P2046" s="71">
        <v>42.5</v>
      </c>
      <c r="Q2046" s="221" t="s">
        <v>1754</v>
      </c>
      <c r="R2046" s="171" t="s">
        <v>3347</v>
      </c>
      <c r="S2046" s="171" t="s">
        <v>3358</v>
      </c>
      <c r="T2046" s="89"/>
      <c r="U2046" s="89" t="s">
        <v>3347</v>
      </c>
      <c r="V2046" s="102">
        <v>0</v>
      </c>
      <c r="W2046" s="120">
        <v>0</v>
      </c>
      <c r="X2046" s="120">
        <v>0</v>
      </c>
      <c r="Y2046" s="120">
        <v>0</v>
      </c>
      <c r="Z2046" s="120">
        <v>0</v>
      </c>
      <c r="AA2046" s="17">
        <v>0</v>
      </c>
      <c r="AB2046" s="17">
        <v>0</v>
      </c>
      <c r="AC2046" s="17">
        <v>0</v>
      </c>
      <c r="AD2046" s="17">
        <v>0</v>
      </c>
      <c r="AE2046" s="17">
        <v>0</v>
      </c>
      <c r="AF2046" s="17">
        <v>0</v>
      </c>
      <c r="AG2046" s="17">
        <v>0</v>
      </c>
      <c r="AH2046" s="17">
        <v>0</v>
      </c>
      <c r="AI2046" s="17">
        <v>0</v>
      </c>
      <c r="AJ2046" s="17">
        <v>0</v>
      </c>
      <c r="AK2046" s="17">
        <v>0</v>
      </c>
      <c r="AL2046" s="32">
        <v>0</v>
      </c>
      <c r="AM2046" s="172">
        <v>39.299999999999997</v>
      </c>
      <c r="AN2046" s="89"/>
      <c r="AO2046" s="89"/>
      <c r="AP2046" s="88"/>
      <c r="AQ2046" s="17" t="s">
        <v>3403</v>
      </c>
      <c r="AR2046" s="174">
        <v>100</v>
      </c>
      <c r="AS2046" s="171" t="s">
        <v>246</v>
      </c>
      <c r="AT2046" s="171">
        <v>200</v>
      </c>
      <c r="AU2046" s="171">
        <v>20</v>
      </c>
      <c r="AV2046" s="57"/>
      <c r="AW2046" s="171">
        <v>14</v>
      </c>
      <c r="AX2046" s="89"/>
      <c r="AY2046" s="171">
        <v>23</v>
      </c>
      <c r="AZ2046" s="89"/>
      <c r="BA2046" s="175">
        <v>60</v>
      </c>
      <c r="BB2046" s="259"/>
      <c r="BC2046" s="176"/>
      <c r="BD2046" s="177"/>
      <c r="BE2046" s="177"/>
      <c r="BF2046" s="190" t="s">
        <v>3396</v>
      </c>
    </row>
    <row r="2047" spans="1:58">
      <c r="A2047" s="111">
        <v>2046</v>
      </c>
      <c r="B2047" s="211" t="s">
        <v>3143</v>
      </c>
      <c r="C2047" s="191" t="s">
        <v>3293</v>
      </c>
      <c r="D2047" s="171" t="s">
        <v>3290</v>
      </c>
      <c r="E2047" s="732" t="s">
        <v>3379</v>
      </c>
      <c r="F2047" s="171">
        <v>1999</v>
      </c>
      <c r="G2047" s="171">
        <v>11</v>
      </c>
      <c r="H2047" s="172" t="s">
        <v>1738</v>
      </c>
      <c r="I2047" s="173" t="s">
        <v>1751</v>
      </c>
      <c r="J2047" s="242">
        <v>0.60006000600060005</v>
      </c>
      <c r="K2047" s="213">
        <v>5.6624662466246622</v>
      </c>
      <c r="L2047" s="38">
        <v>200</v>
      </c>
      <c r="M2047" s="171">
        <v>333.3</v>
      </c>
      <c r="N2047" s="171">
        <v>1100</v>
      </c>
      <c r="O2047" s="162"/>
      <c r="P2047" s="71">
        <v>42.5</v>
      </c>
      <c r="Q2047" s="221" t="s">
        <v>1754</v>
      </c>
      <c r="R2047" s="171" t="s">
        <v>2310</v>
      </c>
      <c r="S2047" s="171" t="s">
        <v>3358</v>
      </c>
      <c r="T2047" s="89"/>
      <c r="U2047" s="89" t="s">
        <v>2310</v>
      </c>
      <c r="V2047" s="102">
        <v>0</v>
      </c>
      <c r="W2047" s="120">
        <v>0</v>
      </c>
      <c r="X2047" s="120">
        <v>0</v>
      </c>
      <c r="Y2047" s="120">
        <v>0</v>
      </c>
      <c r="Z2047" s="120">
        <v>0</v>
      </c>
      <c r="AA2047" s="17">
        <v>0</v>
      </c>
      <c r="AB2047" s="17">
        <v>0</v>
      </c>
      <c r="AC2047" s="17">
        <v>0</v>
      </c>
      <c r="AD2047" s="17">
        <v>0</v>
      </c>
      <c r="AE2047" s="17">
        <v>0</v>
      </c>
      <c r="AF2047" s="17">
        <v>0</v>
      </c>
      <c r="AG2047" s="17">
        <v>0</v>
      </c>
      <c r="AH2047" s="17">
        <v>0</v>
      </c>
      <c r="AI2047" s="17">
        <v>0</v>
      </c>
      <c r="AJ2047" s="17">
        <v>0</v>
      </c>
      <c r="AK2047" s="17">
        <v>0</v>
      </c>
      <c r="AL2047" s="32">
        <v>0</v>
      </c>
      <c r="AM2047" s="172">
        <v>38.200000000000003</v>
      </c>
      <c r="AN2047" s="89"/>
      <c r="AO2047" s="89"/>
      <c r="AP2047" s="88"/>
      <c r="AQ2047" s="17" t="s">
        <v>3403</v>
      </c>
      <c r="AR2047" s="174">
        <v>100</v>
      </c>
      <c r="AS2047" s="171" t="s">
        <v>246</v>
      </c>
      <c r="AT2047" s="171">
        <v>200</v>
      </c>
      <c r="AU2047" s="171">
        <v>20</v>
      </c>
      <c r="AV2047" s="57"/>
      <c r="AW2047" s="171">
        <v>14</v>
      </c>
      <c r="AX2047" s="89"/>
      <c r="AY2047" s="171">
        <v>23</v>
      </c>
      <c r="AZ2047" s="89"/>
      <c r="BA2047" s="175">
        <v>60</v>
      </c>
      <c r="BB2047" s="259"/>
      <c r="BC2047" s="176"/>
      <c r="BD2047" s="177"/>
      <c r="BE2047" s="177"/>
      <c r="BF2047" s="190" t="s">
        <v>3396</v>
      </c>
    </row>
    <row r="2048" spans="1:58">
      <c r="A2048" s="111">
        <v>2047</v>
      </c>
      <c r="B2048" s="211" t="s">
        <v>3144</v>
      </c>
      <c r="C2048" s="191" t="s">
        <v>3293</v>
      </c>
      <c r="D2048" s="171" t="s">
        <v>3290</v>
      </c>
      <c r="E2048" s="732" t="s">
        <v>3379</v>
      </c>
      <c r="F2048" s="171">
        <v>1999</v>
      </c>
      <c r="G2048" s="171">
        <v>11</v>
      </c>
      <c r="H2048" s="172" t="s">
        <v>1738</v>
      </c>
      <c r="I2048" s="173" t="s">
        <v>1751</v>
      </c>
      <c r="J2048" s="242">
        <v>0.60006000600060005</v>
      </c>
      <c r="K2048" s="213">
        <v>5.6624662466246622</v>
      </c>
      <c r="L2048" s="38">
        <v>200</v>
      </c>
      <c r="M2048" s="171">
        <v>333.3</v>
      </c>
      <c r="N2048" s="171">
        <v>1100</v>
      </c>
      <c r="O2048" s="162"/>
      <c r="P2048" s="71">
        <v>42.5</v>
      </c>
      <c r="Q2048" s="221" t="s">
        <v>1754</v>
      </c>
      <c r="R2048" s="171" t="s">
        <v>2310</v>
      </c>
      <c r="S2048" s="171" t="s">
        <v>3358</v>
      </c>
      <c r="T2048" s="89"/>
      <c r="U2048" s="89" t="s">
        <v>2310</v>
      </c>
      <c r="V2048" s="102">
        <v>0</v>
      </c>
      <c r="W2048" s="120">
        <v>0</v>
      </c>
      <c r="X2048" s="120">
        <v>0</v>
      </c>
      <c r="Y2048" s="120">
        <v>0</v>
      </c>
      <c r="Z2048" s="120">
        <v>0</v>
      </c>
      <c r="AA2048" s="17">
        <v>0</v>
      </c>
      <c r="AB2048" s="17">
        <v>0</v>
      </c>
      <c r="AC2048" s="17">
        <v>0</v>
      </c>
      <c r="AD2048" s="17">
        <v>0</v>
      </c>
      <c r="AE2048" s="17">
        <v>0</v>
      </c>
      <c r="AF2048" s="17">
        <v>0</v>
      </c>
      <c r="AG2048" s="17">
        <v>0</v>
      </c>
      <c r="AH2048" s="17">
        <v>0</v>
      </c>
      <c r="AI2048" s="17">
        <v>0</v>
      </c>
      <c r="AJ2048" s="17">
        <v>0</v>
      </c>
      <c r="AK2048" s="17">
        <v>0</v>
      </c>
      <c r="AL2048" s="32">
        <v>0</v>
      </c>
      <c r="AM2048" s="172">
        <v>39.9</v>
      </c>
      <c r="AN2048" s="89"/>
      <c r="AO2048" s="89"/>
      <c r="AP2048" s="88"/>
      <c r="AQ2048" s="17" t="s">
        <v>3403</v>
      </c>
      <c r="AR2048" s="174">
        <v>100</v>
      </c>
      <c r="AS2048" s="171" t="s">
        <v>246</v>
      </c>
      <c r="AT2048" s="171">
        <v>200</v>
      </c>
      <c r="AU2048" s="171">
        <v>20</v>
      </c>
      <c r="AV2048" s="57"/>
      <c r="AW2048" s="171">
        <v>14</v>
      </c>
      <c r="AX2048" s="89"/>
      <c r="AY2048" s="171">
        <v>23</v>
      </c>
      <c r="AZ2048" s="89"/>
      <c r="BA2048" s="175">
        <v>60</v>
      </c>
      <c r="BB2048" s="259"/>
      <c r="BC2048" s="176"/>
      <c r="BD2048" s="177"/>
      <c r="BE2048" s="177"/>
      <c r="BF2048" s="190" t="s">
        <v>3396</v>
      </c>
    </row>
    <row r="2049" spans="1:58">
      <c r="A2049" s="111">
        <v>2048</v>
      </c>
      <c r="B2049" s="211" t="s">
        <v>3145</v>
      </c>
      <c r="C2049" s="191" t="s">
        <v>425</v>
      </c>
      <c r="D2049" s="171" t="s">
        <v>3290</v>
      </c>
      <c r="E2049" s="732" t="s">
        <v>3379</v>
      </c>
      <c r="F2049" s="171">
        <v>1990</v>
      </c>
      <c r="G2049" s="171">
        <v>12</v>
      </c>
      <c r="H2049" s="172" t="s">
        <v>1738</v>
      </c>
      <c r="I2049" s="173" t="s">
        <v>1751</v>
      </c>
      <c r="J2049" s="242">
        <v>0.68401486988847582</v>
      </c>
      <c r="K2049" s="213">
        <v>7.8959107806691451</v>
      </c>
      <c r="L2049" s="38">
        <v>184</v>
      </c>
      <c r="M2049" s="171">
        <v>269</v>
      </c>
      <c r="N2049" s="171">
        <v>1154</v>
      </c>
      <c r="O2049" s="162"/>
      <c r="P2049" s="89"/>
      <c r="Q2049" s="221" t="s">
        <v>1754</v>
      </c>
      <c r="R2049" s="171" t="s">
        <v>3346</v>
      </c>
      <c r="S2049" s="171" t="s">
        <v>3346</v>
      </c>
      <c r="T2049" s="89"/>
      <c r="U2049" s="89" t="s">
        <v>3346</v>
      </c>
      <c r="V2049" s="102">
        <v>0</v>
      </c>
      <c r="W2049" s="120">
        <v>0</v>
      </c>
      <c r="X2049" s="120">
        <v>0</v>
      </c>
      <c r="Y2049" s="120">
        <v>0</v>
      </c>
      <c r="Z2049" s="120">
        <v>0</v>
      </c>
      <c r="AA2049" s="17">
        <v>0</v>
      </c>
      <c r="AB2049" s="17">
        <v>0</v>
      </c>
      <c r="AC2049" s="17">
        <v>0</v>
      </c>
      <c r="AD2049" s="17">
        <v>0</v>
      </c>
      <c r="AE2049" s="17">
        <v>0</v>
      </c>
      <c r="AF2049" s="17">
        <v>0</v>
      </c>
      <c r="AG2049" s="17">
        <v>0</v>
      </c>
      <c r="AH2049" s="17">
        <v>0</v>
      </c>
      <c r="AI2049" s="17">
        <v>0</v>
      </c>
      <c r="AJ2049" s="17">
        <v>0</v>
      </c>
      <c r="AK2049" s="17">
        <v>0</v>
      </c>
      <c r="AL2049" s="32">
        <v>0</v>
      </c>
      <c r="AM2049" s="172">
        <v>41</v>
      </c>
      <c r="AN2049" s="171">
        <v>45</v>
      </c>
      <c r="AO2049" s="89"/>
      <c r="AP2049" s="783">
        <v>39</v>
      </c>
      <c r="AQ2049" s="17" t="s">
        <v>3403</v>
      </c>
      <c r="AR2049" s="174">
        <v>100</v>
      </c>
      <c r="AS2049" s="171" t="s">
        <v>246</v>
      </c>
      <c r="AT2049" s="171">
        <v>200</v>
      </c>
      <c r="AU2049" s="171">
        <v>25</v>
      </c>
      <c r="AV2049" s="57"/>
      <c r="AW2049" s="171">
        <v>28</v>
      </c>
      <c r="AX2049" s="89"/>
      <c r="AY2049" s="171">
        <v>23</v>
      </c>
      <c r="AZ2049" s="89"/>
      <c r="BA2049" s="175">
        <v>60</v>
      </c>
      <c r="BB2049" s="259"/>
      <c r="BC2049" s="176"/>
      <c r="BD2049" s="177"/>
      <c r="BE2049" s="177"/>
      <c r="BF2049" s="190" t="s">
        <v>3329</v>
      </c>
    </row>
    <row r="2050" spans="1:58">
      <c r="A2050" s="111">
        <v>2049</v>
      </c>
      <c r="B2050" s="211" t="s">
        <v>3146</v>
      </c>
      <c r="C2050" s="191" t="s">
        <v>425</v>
      </c>
      <c r="D2050" s="171" t="s">
        <v>3290</v>
      </c>
      <c r="E2050" s="732" t="s">
        <v>3379</v>
      </c>
      <c r="F2050" s="171">
        <v>1990</v>
      </c>
      <c r="G2050" s="171">
        <v>12</v>
      </c>
      <c r="H2050" s="172" t="s">
        <v>1738</v>
      </c>
      <c r="I2050" s="173" t="s">
        <v>1751</v>
      </c>
      <c r="J2050" s="242">
        <v>0.43429844097995546</v>
      </c>
      <c r="K2050" s="213">
        <v>4.291759465478842</v>
      </c>
      <c r="L2050" s="38">
        <v>195</v>
      </c>
      <c r="M2050" s="171">
        <v>449</v>
      </c>
      <c r="N2050" s="171">
        <v>1240</v>
      </c>
      <c r="O2050" s="162"/>
      <c r="P2050" s="89"/>
      <c r="Q2050" s="221" t="s">
        <v>1754</v>
      </c>
      <c r="R2050" s="171" t="s">
        <v>3346</v>
      </c>
      <c r="S2050" s="171" t="s">
        <v>3346</v>
      </c>
      <c r="T2050" s="89"/>
      <c r="U2050" s="89" t="s">
        <v>3346</v>
      </c>
      <c r="V2050" s="102">
        <v>0</v>
      </c>
      <c r="W2050" s="120">
        <v>0</v>
      </c>
      <c r="X2050" s="120">
        <v>0</v>
      </c>
      <c r="Y2050" s="120">
        <v>0</v>
      </c>
      <c r="Z2050" s="120">
        <v>0</v>
      </c>
      <c r="AA2050" s="17">
        <v>0</v>
      </c>
      <c r="AB2050" s="17">
        <v>0</v>
      </c>
      <c r="AC2050" s="17">
        <v>0</v>
      </c>
      <c r="AD2050" s="17">
        <v>0</v>
      </c>
      <c r="AE2050" s="17">
        <v>0</v>
      </c>
      <c r="AF2050" s="17">
        <v>0</v>
      </c>
      <c r="AG2050" s="17">
        <v>0</v>
      </c>
      <c r="AH2050" s="17">
        <v>0</v>
      </c>
      <c r="AI2050" s="17">
        <v>0</v>
      </c>
      <c r="AJ2050" s="17">
        <v>0</v>
      </c>
      <c r="AK2050" s="17">
        <v>0</v>
      </c>
      <c r="AL2050" s="32">
        <v>0</v>
      </c>
      <c r="AM2050" s="172">
        <v>68</v>
      </c>
      <c r="AN2050" s="171">
        <v>70</v>
      </c>
      <c r="AO2050" s="89"/>
      <c r="AP2050" s="783">
        <v>45</v>
      </c>
      <c r="AQ2050" s="17" t="s">
        <v>3403</v>
      </c>
      <c r="AR2050" s="174">
        <v>100</v>
      </c>
      <c r="AS2050" s="171" t="s">
        <v>246</v>
      </c>
      <c r="AT2050" s="171">
        <v>200</v>
      </c>
      <c r="AU2050" s="171">
        <v>25</v>
      </c>
      <c r="AV2050" s="57"/>
      <c r="AW2050" s="171">
        <v>28</v>
      </c>
      <c r="AX2050" s="89"/>
      <c r="AY2050" s="171">
        <v>23</v>
      </c>
      <c r="AZ2050" s="89"/>
      <c r="BA2050" s="175">
        <v>60</v>
      </c>
      <c r="BB2050" s="259"/>
      <c r="BC2050" s="176"/>
      <c r="BD2050" s="177"/>
      <c r="BE2050" s="177"/>
      <c r="BF2050" s="190" t="s">
        <v>3329</v>
      </c>
    </row>
    <row r="2051" spans="1:58">
      <c r="A2051" s="111">
        <v>2050</v>
      </c>
      <c r="B2051" s="211" t="s">
        <v>3147</v>
      </c>
      <c r="C2051" s="191" t="s">
        <v>425</v>
      </c>
      <c r="D2051" s="171" t="s">
        <v>3290</v>
      </c>
      <c r="E2051" s="732" t="s">
        <v>3379</v>
      </c>
      <c r="F2051" s="171">
        <v>1990</v>
      </c>
      <c r="G2051" s="171">
        <v>12</v>
      </c>
      <c r="H2051" s="172" t="s">
        <v>1738</v>
      </c>
      <c r="I2051" s="173" t="s">
        <v>1751</v>
      </c>
      <c r="J2051" s="242">
        <v>0.66559485530546625</v>
      </c>
      <c r="K2051" s="213">
        <v>6.405144694533762</v>
      </c>
      <c r="L2051" s="38">
        <v>207</v>
      </c>
      <c r="M2051" s="171">
        <v>311</v>
      </c>
      <c r="N2051" s="171">
        <v>1239</v>
      </c>
      <c r="O2051" s="162"/>
      <c r="P2051" s="89"/>
      <c r="Q2051" s="221" t="s">
        <v>1754</v>
      </c>
      <c r="R2051" s="171" t="s">
        <v>3345</v>
      </c>
      <c r="S2051" s="171" t="s">
        <v>3359</v>
      </c>
      <c r="T2051" s="89"/>
      <c r="U2051" s="89" t="s">
        <v>3345</v>
      </c>
      <c r="V2051" s="102">
        <v>0</v>
      </c>
      <c r="W2051" s="120">
        <v>0</v>
      </c>
      <c r="X2051" s="120">
        <v>0</v>
      </c>
      <c r="Y2051" s="120">
        <v>0</v>
      </c>
      <c r="Z2051" s="120">
        <v>0</v>
      </c>
      <c r="AA2051" s="17">
        <v>0</v>
      </c>
      <c r="AB2051" s="17">
        <v>0</v>
      </c>
      <c r="AC2051" s="17">
        <v>0</v>
      </c>
      <c r="AD2051" s="17">
        <v>0</v>
      </c>
      <c r="AE2051" s="17">
        <v>0</v>
      </c>
      <c r="AF2051" s="17">
        <v>0</v>
      </c>
      <c r="AG2051" s="17">
        <v>0</v>
      </c>
      <c r="AH2051" s="17">
        <v>0</v>
      </c>
      <c r="AI2051" s="17">
        <v>0</v>
      </c>
      <c r="AJ2051" s="17">
        <v>0</v>
      </c>
      <c r="AK2051" s="17">
        <v>0</v>
      </c>
      <c r="AL2051" s="32">
        <v>0</v>
      </c>
      <c r="AM2051" s="172">
        <v>36</v>
      </c>
      <c r="AN2051" s="171">
        <v>30</v>
      </c>
      <c r="AO2051" s="89"/>
      <c r="AP2051" s="783">
        <v>30</v>
      </c>
      <c r="AQ2051" s="17" t="s">
        <v>3403</v>
      </c>
      <c r="AR2051" s="174">
        <v>100</v>
      </c>
      <c r="AS2051" s="171" t="s">
        <v>246</v>
      </c>
      <c r="AT2051" s="171">
        <v>200</v>
      </c>
      <c r="AU2051" s="171">
        <v>25</v>
      </c>
      <c r="AV2051" s="57"/>
      <c r="AW2051" s="171">
        <v>28</v>
      </c>
      <c r="AX2051" s="89"/>
      <c r="AY2051" s="171">
        <v>23</v>
      </c>
      <c r="AZ2051" s="89"/>
      <c r="BA2051" s="175">
        <v>60</v>
      </c>
      <c r="BB2051" s="259"/>
      <c r="BC2051" s="176"/>
      <c r="BD2051" s="177"/>
      <c r="BE2051" s="177"/>
      <c r="BF2051" s="190" t="s">
        <v>3329</v>
      </c>
    </row>
    <row r="2052" spans="1:58">
      <c r="A2052" s="111">
        <v>2051</v>
      </c>
      <c r="B2052" s="211" t="s">
        <v>3148</v>
      </c>
      <c r="C2052" s="191" t="s">
        <v>425</v>
      </c>
      <c r="D2052" s="171" t="s">
        <v>3290</v>
      </c>
      <c r="E2052" s="732" t="s">
        <v>3379</v>
      </c>
      <c r="F2052" s="171">
        <v>1990</v>
      </c>
      <c r="G2052" s="171">
        <v>12</v>
      </c>
      <c r="H2052" s="172" t="s">
        <v>1738</v>
      </c>
      <c r="I2052" s="173" t="s">
        <v>1751</v>
      </c>
      <c r="J2052" s="242">
        <v>0.43487394957983194</v>
      </c>
      <c r="K2052" s="213">
        <v>3.8991596638655461</v>
      </c>
      <c r="L2052" s="38">
        <v>207</v>
      </c>
      <c r="M2052" s="171">
        <v>476</v>
      </c>
      <c r="N2052" s="171">
        <v>1285</v>
      </c>
      <c r="O2052" s="162"/>
      <c r="P2052" s="89"/>
      <c r="Q2052" s="221" t="s">
        <v>1754</v>
      </c>
      <c r="R2052" s="171" t="s">
        <v>3345</v>
      </c>
      <c r="S2052" s="171" t="s">
        <v>3359</v>
      </c>
      <c r="T2052" s="89"/>
      <c r="U2052" s="89" t="s">
        <v>3345</v>
      </c>
      <c r="V2052" s="102">
        <v>0</v>
      </c>
      <c r="W2052" s="120">
        <v>0</v>
      </c>
      <c r="X2052" s="120">
        <v>0</v>
      </c>
      <c r="Y2052" s="120">
        <v>0</v>
      </c>
      <c r="Z2052" s="120">
        <v>0</v>
      </c>
      <c r="AA2052" s="17">
        <v>0</v>
      </c>
      <c r="AB2052" s="17">
        <v>0</v>
      </c>
      <c r="AC2052" s="17">
        <v>0</v>
      </c>
      <c r="AD2052" s="17">
        <v>0</v>
      </c>
      <c r="AE2052" s="17">
        <v>0</v>
      </c>
      <c r="AF2052" s="17">
        <v>0</v>
      </c>
      <c r="AG2052" s="17">
        <v>0</v>
      </c>
      <c r="AH2052" s="17">
        <v>0</v>
      </c>
      <c r="AI2052" s="17">
        <v>0</v>
      </c>
      <c r="AJ2052" s="17">
        <v>0</v>
      </c>
      <c r="AK2052" s="17">
        <v>0</v>
      </c>
      <c r="AL2052" s="32">
        <v>0</v>
      </c>
      <c r="AM2052" s="172">
        <v>63</v>
      </c>
      <c r="AN2052" s="171">
        <v>30</v>
      </c>
      <c r="AO2052" s="89"/>
      <c r="AP2052" s="783">
        <v>36.5</v>
      </c>
      <c r="AQ2052" s="17" t="s">
        <v>3403</v>
      </c>
      <c r="AR2052" s="174">
        <v>100</v>
      </c>
      <c r="AS2052" s="171" t="s">
        <v>246</v>
      </c>
      <c r="AT2052" s="171">
        <v>200</v>
      </c>
      <c r="AU2052" s="171">
        <v>25</v>
      </c>
      <c r="AV2052" s="57"/>
      <c r="AW2052" s="171">
        <v>28</v>
      </c>
      <c r="AX2052" s="89"/>
      <c r="AY2052" s="171">
        <v>23</v>
      </c>
      <c r="AZ2052" s="89"/>
      <c r="BA2052" s="175">
        <v>60</v>
      </c>
      <c r="BB2052" s="259"/>
      <c r="BC2052" s="176"/>
      <c r="BD2052" s="177"/>
      <c r="BE2052" s="177"/>
      <c r="BF2052" s="190" t="s">
        <v>3329</v>
      </c>
    </row>
    <row r="2053" spans="1:58">
      <c r="A2053" s="111">
        <v>2052</v>
      </c>
      <c r="B2053" s="211" t="s">
        <v>3149</v>
      </c>
      <c r="C2053" s="191" t="s">
        <v>425</v>
      </c>
      <c r="D2053" s="171" t="s">
        <v>3290</v>
      </c>
      <c r="E2053" s="732" t="s">
        <v>3379</v>
      </c>
      <c r="F2053" s="171">
        <v>1990</v>
      </c>
      <c r="G2053" s="171">
        <v>12</v>
      </c>
      <c r="H2053" s="172" t="s">
        <v>1738</v>
      </c>
      <c r="I2053" s="173" t="s">
        <v>1751</v>
      </c>
      <c r="J2053" s="242">
        <v>0.66666666666666663</v>
      </c>
      <c r="K2053" s="213">
        <v>8.5176470588235293</v>
      </c>
      <c r="L2053" s="38">
        <v>170</v>
      </c>
      <c r="M2053" s="171">
        <v>255</v>
      </c>
      <c r="N2053" s="171">
        <v>1175</v>
      </c>
      <c r="O2053" s="162"/>
      <c r="P2053" s="89"/>
      <c r="Q2053" s="221" t="s">
        <v>1754</v>
      </c>
      <c r="R2053" s="171" t="s">
        <v>3345</v>
      </c>
      <c r="S2053" s="171" t="s">
        <v>3360</v>
      </c>
      <c r="T2053" s="89"/>
      <c r="U2053" s="89" t="s">
        <v>3345</v>
      </c>
      <c r="V2053" s="102">
        <v>0</v>
      </c>
      <c r="W2053" s="120">
        <v>0</v>
      </c>
      <c r="X2053" s="120">
        <v>0</v>
      </c>
      <c r="Y2053" s="120">
        <v>0</v>
      </c>
      <c r="Z2053" s="120">
        <v>0</v>
      </c>
      <c r="AA2053" s="17">
        <v>0</v>
      </c>
      <c r="AB2053" s="17">
        <v>0</v>
      </c>
      <c r="AC2053" s="17">
        <v>0</v>
      </c>
      <c r="AD2053" s="17">
        <v>0</v>
      </c>
      <c r="AE2053" s="17">
        <v>0</v>
      </c>
      <c r="AF2053" s="17">
        <v>0</v>
      </c>
      <c r="AG2053" s="17">
        <v>0</v>
      </c>
      <c r="AH2053" s="17">
        <v>0</v>
      </c>
      <c r="AI2053" s="17">
        <v>0</v>
      </c>
      <c r="AJ2053" s="17">
        <v>0</v>
      </c>
      <c r="AK2053" s="17">
        <v>0</v>
      </c>
      <c r="AL2053" s="32">
        <v>0</v>
      </c>
      <c r="AM2053" s="172">
        <v>41.5</v>
      </c>
      <c r="AN2053" s="171">
        <v>30</v>
      </c>
      <c r="AO2053" s="89"/>
      <c r="AP2053" s="783">
        <v>40.5</v>
      </c>
      <c r="AQ2053" s="17" t="s">
        <v>3403</v>
      </c>
      <c r="AR2053" s="174">
        <v>100</v>
      </c>
      <c r="AS2053" s="171" t="s">
        <v>246</v>
      </c>
      <c r="AT2053" s="171">
        <v>200</v>
      </c>
      <c r="AU2053" s="171">
        <v>25</v>
      </c>
      <c r="AV2053" s="57"/>
      <c r="AW2053" s="171">
        <v>28</v>
      </c>
      <c r="AX2053" s="89"/>
      <c r="AY2053" s="171">
        <v>23</v>
      </c>
      <c r="AZ2053" s="89"/>
      <c r="BA2053" s="175">
        <v>60</v>
      </c>
      <c r="BB2053" s="259"/>
      <c r="BC2053" s="176"/>
      <c r="BD2053" s="177"/>
      <c r="BE2053" s="177"/>
      <c r="BF2053" s="190" t="s">
        <v>3329</v>
      </c>
    </row>
    <row r="2054" spans="1:58">
      <c r="A2054" s="111">
        <v>2053</v>
      </c>
      <c r="B2054" s="211" t="s">
        <v>3150</v>
      </c>
      <c r="C2054" s="191" t="s">
        <v>425</v>
      </c>
      <c r="D2054" s="171" t="s">
        <v>3290</v>
      </c>
      <c r="E2054" s="732" t="s">
        <v>3379</v>
      </c>
      <c r="F2054" s="171">
        <v>1990</v>
      </c>
      <c r="G2054" s="171">
        <v>12</v>
      </c>
      <c r="H2054" s="172" t="s">
        <v>1738</v>
      </c>
      <c r="I2054" s="173" t="s">
        <v>1751</v>
      </c>
      <c r="J2054" s="242">
        <v>0.44387755102040816</v>
      </c>
      <c r="K2054" s="213">
        <v>5.204081632653061</v>
      </c>
      <c r="L2054" s="38">
        <v>174</v>
      </c>
      <c r="M2054" s="171">
        <v>392</v>
      </c>
      <c r="N2054" s="171">
        <v>1250</v>
      </c>
      <c r="O2054" s="162"/>
      <c r="P2054" s="89"/>
      <c r="Q2054" s="221" t="s">
        <v>1754</v>
      </c>
      <c r="R2054" s="171" t="s">
        <v>3345</v>
      </c>
      <c r="S2054" s="171" t="s">
        <v>3360</v>
      </c>
      <c r="T2054" s="89"/>
      <c r="U2054" s="89" t="s">
        <v>3345</v>
      </c>
      <c r="V2054" s="102">
        <v>0</v>
      </c>
      <c r="W2054" s="120">
        <v>0</v>
      </c>
      <c r="X2054" s="120">
        <v>0</v>
      </c>
      <c r="Y2054" s="120">
        <v>0</v>
      </c>
      <c r="Z2054" s="120">
        <v>0</v>
      </c>
      <c r="AA2054" s="17">
        <v>0</v>
      </c>
      <c r="AB2054" s="17">
        <v>0</v>
      </c>
      <c r="AC2054" s="17">
        <v>0</v>
      </c>
      <c r="AD2054" s="17">
        <v>0</v>
      </c>
      <c r="AE2054" s="17">
        <v>0</v>
      </c>
      <c r="AF2054" s="17">
        <v>0</v>
      </c>
      <c r="AG2054" s="17">
        <v>0</v>
      </c>
      <c r="AH2054" s="17">
        <v>0</v>
      </c>
      <c r="AI2054" s="17">
        <v>0</v>
      </c>
      <c r="AJ2054" s="17">
        <v>0</v>
      </c>
      <c r="AK2054" s="17">
        <v>0</v>
      </c>
      <c r="AL2054" s="32">
        <v>0</v>
      </c>
      <c r="AM2054" s="172">
        <v>68</v>
      </c>
      <c r="AN2054" s="89"/>
      <c r="AO2054" s="89"/>
      <c r="AP2054" s="783">
        <v>45.5</v>
      </c>
      <c r="AQ2054" s="17" t="s">
        <v>3403</v>
      </c>
      <c r="AR2054" s="174">
        <v>100</v>
      </c>
      <c r="AS2054" s="171" t="s">
        <v>246</v>
      </c>
      <c r="AT2054" s="171">
        <v>200</v>
      </c>
      <c r="AU2054" s="171">
        <v>25</v>
      </c>
      <c r="AV2054" s="57"/>
      <c r="AW2054" s="171">
        <v>28</v>
      </c>
      <c r="AX2054" s="89"/>
      <c r="AY2054" s="171">
        <v>23</v>
      </c>
      <c r="AZ2054" s="89"/>
      <c r="BA2054" s="175">
        <v>60</v>
      </c>
      <c r="BB2054" s="259"/>
      <c r="BC2054" s="176"/>
      <c r="BD2054" s="177"/>
      <c r="BE2054" s="177"/>
      <c r="BF2054" s="190" t="s">
        <v>3329</v>
      </c>
    </row>
    <row r="2055" spans="1:58">
      <c r="A2055" s="111">
        <v>2054</v>
      </c>
      <c r="B2055" s="211" t="s">
        <v>3151</v>
      </c>
      <c r="C2055" s="191" t="s">
        <v>425</v>
      </c>
      <c r="D2055" s="171" t="s">
        <v>3290</v>
      </c>
      <c r="E2055" s="732" t="s">
        <v>3379</v>
      </c>
      <c r="F2055" s="171">
        <v>1990</v>
      </c>
      <c r="G2055" s="171">
        <v>12</v>
      </c>
      <c r="H2055" s="172" t="s">
        <v>1738</v>
      </c>
      <c r="I2055" s="173" t="s">
        <v>1751</v>
      </c>
      <c r="J2055" s="242">
        <v>0.63468634686346859</v>
      </c>
      <c r="K2055" s="213">
        <v>7.8118081180811805</v>
      </c>
      <c r="L2055" s="38">
        <v>172</v>
      </c>
      <c r="M2055" s="171">
        <v>271</v>
      </c>
      <c r="N2055" s="171">
        <v>1100</v>
      </c>
      <c r="O2055" s="162"/>
      <c r="P2055" s="89"/>
      <c r="Q2055" s="221" t="s">
        <v>1754</v>
      </c>
      <c r="R2055" s="171" t="s">
        <v>2315</v>
      </c>
      <c r="S2055" s="171" t="s">
        <v>2315</v>
      </c>
      <c r="T2055" s="89"/>
      <c r="U2055" s="89" t="s">
        <v>2315</v>
      </c>
      <c r="V2055" s="102">
        <v>0</v>
      </c>
      <c r="W2055" s="120">
        <v>0</v>
      </c>
      <c r="X2055" s="120">
        <v>0</v>
      </c>
      <c r="Y2055" s="120">
        <v>0</v>
      </c>
      <c r="Z2055" s="120">
        <v>0</v>
      </c>
      <c r="AA2055" s="17">
        <v>0</v>
      </c>
      <c r="AB2055" s="17">
        <v>0</v>
      </c>
      <c r="AC2055" s="17">
        <v>0</v>
      </c>
      <c r="AD2055" s="17">
        <v>0</v>
      </c>
      <c r="AE2055" s="17">
        <v>0</v>
      </c>
      <c r="AF2055" s="17">
        <v>0</v>
      </c>
      <c r="AG2055" s="17">
        <v>0</v>
      </c>
      <c r="AH2055" s="17">
        <v>0</v>
      </c>
      <c r="AI2055" s="17">
        <v>0</v>
      </c>
      <c r="AJ2055" s="17">
        <v>0</v>
      </c>
      <c r="AK2055" s="17">
        <v>0</v>
      </c>
      <c r="AL2055" s="32">
        <v>0</v>
      </c>
      <c r="AM2055" s="172">
        <v>30.5</v>
      </c>
      <c r="AN2055" s="171">
        <v>50</v>
      </c>
      <c r="AO2055" s="89"/>
      <c r="AP2055" s="783">
        <v>38.5</v>
      </c>
      <c r="AQ2055" s="17" t="s">
        <v>3403</v>
      </c>
      <c r="AR2055" s="174">
        <v>100</v>
      </c>
      <c r="AS2055" s="171" t="s">
        <v>246</v>
      </c>
      <c r="AT2055" s="171">
        <v>200</v>
      </c>
      <c r="AU2055" s="171">
        <v>25</v>
      </c>
      <c r="AV2055" s="57"/>
      <c r="AW2055" s="171">
        <v>28</v>
      </c>
      <c r="AX2055" s="89"/>
      <c r="AY2055" s="171">
        <v>23</v>
      </c>
      <c r="AZ2055" s="89"/>
      <c r="BA2055" s="175">
        <v>60</v>
      </c>
      <c r="BB2055" s="259"/>
      <c r="BC2055" s="176"/>
      <c r="BD2055" s="177"/>
      <c r="BE2055" s="177"/>
      <c r="BF2055" s="190" t="s">
        <v>3329</v>
      </c>
    </row>
    <row r="2056" spans="1:58">
      <c r="A2056" s="111">
        <v>2055</v>
      </c>
      <c r="B2056" s="211" t="s">
        <v>3152</v>
      </c>
      <c r="C2056" s="191" t="s">
        <v>425</v>
      </c>
      <c r="D2056" s="171" t="s">
        <v>3290</v>
      </c>
      <c r="E2056" s="732" t="s">
        <v>3379</v>
      </c>
      <c r="F2056" s="171">
        <v>1990</v>
      </c>
      <c r="G2056" s="171">
        <v>12</v>
      </c>
      <c r="H2056" s="172" t="s">
        <v>1738</v>
      </c>
      <c r="I2056" s="173" t="s">
        <v>1751</v>
      </c>
      <c r="J2056" s="242">
        <v>0.42553191489361702</v>
      </c>
      <c r="K2056" s="213">
        <v>4.6335697399527183</v>
      </c>
      <c r="L2056" s="38">
        <v>180</v>
      </c>
      <c r="M2056" s="171">
        <v>423</v>
      </c>
      <c r="N2056" s="171">
        <v>1060</v>
      </c>
      <c r="O2056" s="162"/>
      <c r="P2056" s="89"/>
      <c r="Q2056" s="221" t="s">
        <v>1754</v>
      </c>
      <c r="R2056" s="171" t="s">
        <v>2315</v>
      </c>
      <c r="S2056" s="171" t="s">
        <v>2315</v>
      </c>
      <c r="T2056" s="89"/>
      <c r="U2056" s="89" t="s">
        <v>2315</v>
      </c>
      <c r="V2056" s="102">
        <v>0</v>
      </c>
      <c r="W2056" s="120">
        <v>0</v>
      </c>
      <c r="X2056" s="120">
        <v>0</v>
      </c>
      <c r="Y2056" s="120">
        <v>0</v>
      </c>
      <c r="Z2056" s="120">
        <v>0</v>
      </c>
      <c r="AA2056" s="17">
        <v>0</v>
      </c>
      <c r="AB2056" s="17">
        <v>0</v>
      </c>
      <c r="AC2056" s="17">
        <v>0</v>
      </c>
      <c r="AD2056" s="17">
        <v>0</v>
      </c>
      <c r="AE2056" s="17">
        <v>0</v>
      </c>
      <c r="AF2056" s="17">
        <v>0</v>
      </c>
      <c r="AG2056" s="17">
        <v>0</v>
      </c>
      <c r="AH2056" s="17">
        <v>0</v>
      </c>
      <c r="AI2056" s="17">
        <v>0</v>
      </c>
      <c r="AJ2056" s="17">
        <v>0</v>
      </c>
      <c r="AK2056" s="17">
        <v>0</v>
      </c>
      <c r="AL2056" s="32">
        <v>0</v>
      </c>
      <c r="AM2056" s="172">
        <v>61.5</v>
      </c>
      <c r="AN2056" s="171">
        <v>50</v>
      </c>
      <c r="AO2056" s="89"/>
      <c r="AP2056" s="783">
        <v>51</v>
      </c>
      <c r="AQ2056" s="17" t="s">
        <v>3403</v>
      </c>
      <c r="AR2056" s="174">
        <v>100</v>
      </c>
      <c r="AS2056" s="171" t="s">
        <v>246</v>
      </c>
      <c r="AT2056" s="171">
        <v>200</v>
      </c>
      <c r="AU2056" s="171">
        <v>25</v>
      </c>
      <c r="AV2056" s="57"/>
      <c r="AW2056" s="171">
        <v>28</v>
      </c>
      <c r="AX2056" s="89"/>
      <c r="AY2056" s="171">
        <v>23</v>
      </c>
      <c r="AZ2056" s="89"/>
      <c r="BA2056" s="175">
        <v>60</v>
      </c>
      <c r="BB2056" s="259"/>
      <c r="BC2056" s="176"/>
      <c r="BD2056" s="177"/>
      <c r="BE2056" s="177"/>
      <c r="BF2056" s="190" t="s">
        <v>3329</v>
      </c>
    </row>
    <row r="2057" spans="1:58">
      <c r="A2057" s="111">
        <v>2056</v>
      </c>
      <c r="B2057" s="211" t="s">
        <v>3153</v>
      </c>
      <c r="C2057" s="191" t="s">
        <v>425</v>
      </c>
      <c r="D2057" s="171" t="s">
        <v>3290</v>
      </c>
      <c r="E2057" s="732" t="s">
        <v>3379</v>
      </c>
      <c r="F2057" s="171">
        <v>1990</v>
      </c>
      <c r="G2057" s="171">
        <v>12</v>
      </c>
      <c r="H2057" s="172" t="s">
        <v>1738</v>
      </c>
      <c r="I2057" s="173" t="s">
        <v>1751</v>
      </c>
      <c r="J2057" s="242">
        <v>0.66666666666666663</v>
      </c>
      <c r="K2057" s="213">
        <v>7.2037037037037033</v>
      </c>
      <c r="L2057" s="38">
        <v>180</v>
      </c>
      <c r="M2057" s="171">
        <v>270</v>
      </c>
      <c r="N2057" s="171">
        <v>1075</v>
      </c>
      <c r="O2057" s="162"/>
      <c r="P2057" s="89"/>
      <c r="Q2057" s="221" t="s">
        <v>1754</v>
      </c>
      <c r="R2057" s="171" t="s">
        <v>3348</v>
      </c>
      <c r="S2057" s="171" t="s">
        <v>3361</v>
      </c>
      <c r="T2057" s="89"/>
      <c r="U2057" s="89" t="s">
        <v>3348</v>
      </c>
      <c r="V2057" s="102">
        <v>0</v>
      </c>
      <c r="W2057" s="120">
        <v>0</v>
      </c>
      <c r="X2057" s="120">
        <v>0</v>
      </c>
      <c r="Y2057" s="120">
        <v>0</v>
      </c>
      <c r="Z2057" s="120">
        <v>0</v>
      </c>
      <c r="AA2057" s="17">
        <v>0</v>
      </c>
      <c r="AB2057" s="17">
        <v>0</v>
      </c>
      <c r="AC2057" s="17">
        <v>0</v>
      </c>
      <c r="AD2057" s="17">
        <v>0</v>
      </c>
      <c r="AE2057" s="17">
        <v>0</v>
      </c>
      <c r="AF2057" s="17">
        <v>0</v>
      </c>
      <c r="AG2057" s="17">
        <v>0</v>
      </c>
      <c r="AH2057" s="17">
        <v>0</v>
      </c>
      <c r="AI2057" s="17">
        <v>0</v>
      </c>
      <c r="AJ2057" s="17">
        <v>0</v>
      </c>
      <c r="AK2057" s="17">
        <v>0</v>
      </c>
      <c r="AL2057" s="32">
        <v>0</v>
      </c>
      <c r="AM2057" s="172">
        <v>39</v>
      </c>
      <c r="AN2057" s="171">
        <v>45</v>
      </c>
      <c r="AO2057" s="89"/>
      <c r="AP2057" s="783">
        <v>36</v>
      </c>
      <c r="AQ2057" s="17" t="s">
        <v>3403</v>
      </c>
      <c r="AR2057" s="174">
        <v>100</v>
      </c>
      <c r="AS2057" s="171" t="s">
        <v>246</v>
      </c>
      <c r="AT2057" s="171">
        <v>200</v>
      </c>
      <c r="AU2057" s="171">
        <v>25</v>
      </c>
      <c r="AV2057" s="57"/>
      <c r="AW2057" s="171">
        <v>28</v>
      </c>
      <c r="AX2057" s="89"/>
      <c r="AY2057" s="171">
        <v>23</v>
      </c>
      <c r="AZ2057" s="89"/>
      <c r="BA2057" s="175">
        <v>60</v>
      </c>
      <c r="BB2057" s="259"/>
      <c r="BC2057" s="176"/>
      <c r="BD2057" s="177"/>
      <c r="BE2057" s="177"/>
      <c r="BF2057" s="190" t="s">
        <v>3329</v>
      </c>
    </row>
    <row r="2058" spans="1:58">
      <c r="A2058" s="111">
        <v>2057</v>
      </c>
      <c r="B2058" s="211" t="s">
        <v>3154</v>
      </c>
      <c r="C2058" s="191" t="s">
        <v>425</v>
      </c>
      <c r="D2058" s="171" t="s">
        <v>3290</v>
      </c>
      <c r="E2058" s="732" t="s">
        <v>3379</v>
      </c>
      <c r="F2058" s="171">
        <v>1990</v>
      </c>
      <c r="G2058" s="171">
        <v>12</v>
      </c>
      <c r="H2058" s="172" t="s">
        <v>1738</v>
      </c>
      <c r="I2058" s="173" t="s">
        <v>1751</v>
      </c>
      <c r="J2058" s="242">
        <v>0.45454545454545453</v>
      </c>
      <c r="K2058" s="213">
        <v>4.4545454545454541</v>
      </c>
      <c r="L2058" s="38">
        <v>185</v>
      </c>
      <c r="M2058" s="171">
        <v>407</v>
      </c>
      <c r="N2058" s="171">
        <v>1140</v>
      </c>
      <c r="O2058" s="162"/>
      <c r="P2058" s="89"/>
      <c r="Q2058" s="221" t="s">
        <v>1754</v>
      </c>
      <c r="R2058" s="171" t="s">
        <v>3348</v>
      </c>
      <c r="S2058" s="171" t="s">
        <v>3361</v>
      </c>
      <c r="T2058" s="89"/>
      <c r="U2058" s="89" t="s">
        <v>3348</v>
      </c>
      <c r="V2058" s="102">
        <v>0</v>
      </c>
      <c r="W2058" s="120">
        <v>0</v>
      </c>
      <c r="X2058" s="120">
        <v>0</v>
      </c>
      <c r="Y2058" s="120">
        <v>0</v>
      </c>
      <c r="Z2058" s="120">
        <v>0</v>
      </c>
      <c r="AA2058" s="17">
        <v>0</v>
      </c>
      <c r="AB2058" s="17">
        <v>0</v>
      </c>
      <c r="AC2058" s="17">
        <v>0</v>
      </c>
      <c r="AD2058" s="17">
        <v>0</v>
      </c>
      <c r="AE2058" s="17">
        <v>0</v>
      </c>
      <c r="AF2058" s="17">
        <v>0</v>
      </c>
      <c r="AG2058" s="17">
        <v>0</v>
      </c>
      <c r="AH2058" s="17">
        <v>0</v>
      </c>
      <c r="AI2058" s="17">
        <v>0</v>
      </c>
      <c r="AJ2058" s="17">
        <v>0</v>
      </c>
      <c r="AK2058" s="17">
        <v>0</v>
      </c>
      <c r="AL2058" s="32">
        <v>0</v>
      </c>
      <c r="AM2058" s="172">
        <v>63</v>
      </c>
      <c r="AN2058" s="171">
        <v>60</v>
      </c>
      <c r="AO2058" s="89"/>
      <c r="AP2058" s="783">
        <v>42</v>
      </c>
      <c r="AQ2058" s="17" t="s">
        <v>3403</v>
      </c>
      <c r="AR2058" s="174">
        <v>100</v>
      </c>
      <c r="AS2058" s="171" t="s">
        <v>246</v>
      </c>
      <c r="AT2058" s="171">
        <v>200</v>
      </c>
      <c r="AU2058" s="171">
        <v>25</v>
      </c>
      <c r="AV2058" s="57"/>
      <c r="AW2058" s="171">
        <v>28</v>
      </c>
      <c r="AX2058" s="89"/>
      <c r="AY2058" s="171">
        <v>23</v>
      </c>
      <c r="AZ2058" s="89"/>
      <c r="BA2058" s="175">
        <v>60</v>
      </c>
      <c r="BB2058" s="259"/>
      <c r="BC2058" s="176"/>
      <c r="BD2058" s="177"/>
      <c r="BE2058" s="177"/>
      <c r="BF2058" s="190" t="s">
        <v>3329</v>
      </c>
    </row>
    <row r="2059" spans="1:58">
      <c r="A2059" s="111">
        <v>2058</v>
      </c>
      <c r="B2059" s="211" t="s">
        <v>3155</v>
      </c>
      <c r="C2059" s="191" t="s">
        <v>425</v>
      </c>
      <c r="D2059" s="171" t="s">
        <v>3290</v>
      </c>
      <c r="E2059" s="732" t="s">
        <v>3379</v>
      </c>
      <c r="F2059" s="171">
        <v>1990</v>
      </c>
      <c r="G2059" s="171">
        <v>12</v>
      </c>
      <c r="H2059" s="172" t="s">
        <v>1738</v>
      </c>
      <c r="I2059" s="173" t="s">
        <v>1751</v>
      </c>
      <c r="J2059" s="242">
        <v>0.59546925566343045</v>
      </c>
      <c r="K2059" s="213">
        <v>6.1553398058252426</v>
      </c>
      <c r="L2059" s="38">
        <v>184</v>
      </c>
      <c r="M2059" s="171">
        <v>309</v>
      </c>
      <c r="N2059" s="171">
        <v>1076</v>
      </c>
      <c r="O2059" s="162"/>
      <c r="P2059" s="89"/>
      <c r="Q2059" s="221" t="s">
        <v>1754</v>
      </c>
      <c r="R2059" s="171" t="s">
        <v>2312</v>
      </c>
      <c r="S2059" s="171" t="s">
        <v>2312</v>
      </c>
      <c r="T2059" s="89"/>
      <c r="U2059" s="89" t="s">
        <v>2312</v>
      </c>
      <c r="V2059" s="102">
        <v>0</v>
      </c>
      <c r="W2059" s="120">
        <v>0</v>
      </c>
      <c r="X2059" s="120">
        <v>0</v>
      </c>
      <c r="Y2059" s="120">
        <v>0</v>
      </c>
      <c r="Z2059" s="120">
        <v>0</v>
      </c>
      <c r="AA2059" s="17">
        <v>0</v>
      </c>
      <c r="AB2059" s="17">
        <v>0</v>
      </c>
      <c r="AC2059" s="17">
        <v>0</v>
      </c>
      <c r="AD2059" s="17">
        <v>0</v>
      </c>
      <c r="AE2059" s="17">
        <v>0</v>
      </c>
      <c r="AF2059" s="17">
        <v>0</v>
      </c>
      <c r="AG2059" s="17">
        <v>0</v>
      </c>
      <c r="AH2059" s="17">
        <v>0</v>
      </c>
      <c r="AI2059" s="17">
        <v>0</v>
      </c>
      <c r="AJ2059" s="17">
        <v>0</v>
      </c>
      <c r="AK2059" s="17">
        <v>0</v>
      </c>
      <c r="AL2059" s="32">
        <v>0</v>
      </c>
      <c r="AM2059" s="172">
        <v>36.5</v>
      </c>
      <c r="AN2059" s="171">
        <v>65</v>
      </c>
      <c r="AO2059" s="89"/>
      <c r="AP2059" s="783">
        <v>30</v>
      </c>
      <c r="AQ2059" s="17" t="s">
        <v>3403</v>
      </c>
      <c r="AR2059" s="174">
        <v>100</v>
      </c>
      <c r="AS2059" s="171" t="s">
        <v>246</v>
      </c>
      <c r="AT2059" s="171">
        <v>200</v>
      </c>
      <c r="AU2059" s="171">
        <v>25</v>
      </c>
      <c r="AV2059" s="57"/>
      <c r="AW2059" s="171">
        <v>28</v>
      </c>
      <c r="AX2059" s="89"/>
      <c r="AY2059" s="171">
        <v>23</v>
      </c>
      <c r="AZ2059" s="89"/>
      <c r="BA2059" s="175">
        <v>60</v>
      </c>
      <c r="BB2059" s="259"/>
      <c r="BC2059" s="176"/>
      <c r="BD2059" s="177"/>
      <c r="BE2059" s="177"/>
      <c r="BF2059" s="190" t="s">
        <v>3329</v>
      </c>
    </row>
    <row r="2060" spans="1:58">
      <c r="A2060" s="111">
        <v>2059</v>
      </c>
      <c r="B2060" s="211" t="s">
        <v>3156</v>
      </c>
      <c r="C2060" s="191" t="s">
        <v>425</v>
      </c>
      <c r="D2060" s="171" t="s">
        <v>3290</v>
      </c>
      <c r="E2060" s="732" t="s">
        <v>3379</v>
      </c>
      <c r="F2060" s="171">
        <v>1990</v>
      </c>
      <c r="G2060" s="171">
        <v>12</v>
      </c>
      <c r="H2060" s="172" t="s">
        <v>1738</v>
      </c>
      <c r="I2060" s="173" t="s">
        <v>1751</v>
      </c>
      <c r="J2060" s="242">
        <v>0.38476190476190475</v>
      </c>
      <c r="K2060" s="213">
        <v>3.1828571428571428</v>
      </c>
      <c r="L2060" s="38">
        <v>202</v>
      </c>
      <c r="M2060" s="171">
        <v>525</v>
      </c>
      <c r="N2060" s="171">
        <v>1160</v>
      </c>
      <c r="O2060" s="162"/>
      <c r="P2060" s="89"/>
      <c r="Q2060" s="221" t="s">
        <v>1754</v>
      </c>
      <c r="R2060" s="171" t="s">
        <v>2312</v>
      </c>
      <c r="S2060" s="171" t="s">
        <v>2312</v>
      </c>
      <c r="T2060" s="89"/>
      <c r="U2060" s="89" t="s">
        <v>2312</v>
      </c>
      <c r="V2060" s="102">
        <v>0</v>
      </c>
      <c r="W2060" s="120">
        <v>0</v>
      </c>
      <c r="X2060" s="120">
        <v>0</v>
      </c>
      <c r="Y2060" s="120">
        <v>0</v>
      </c>
      <c r="Z2060" s="120">
        <v>0</v>
      </c>
      <c r="AA2060" s="17">
        <v>0</v>
      </c>
      <c r="AB2060" s="17">
        <v>0</v>
      </c>
      <c r="AC2060" s="17">
        <v>0</v>
      </c>
      <c r="AD2060" s="17">
        <v>0</v>
      </c>
      <c r="AE2060" s="17">
        <v>0</v>
      </c>
      <c r="AF2060" s="17">
        <v>0</v>
      </c>
      <c r="AG2060" s="17">
        <v>0</v>
      </c>
      <c r="AH2060" s="17">
        <v>0</v>
      </c>
      <c r="AI2060" s="17">
        <v>0</v>
      </c>
      <c r="AJ2060" s="17">
        <v>0</v>
      </c>
      <c r="AK2060" s="17">
        <v>0</v>
      </c>
      <c r="AL2060" s="32">
        <v>0</v>
      </c>
      <c r="AM2060" s="172">
        <v>65.5</v>
      </c>
      <c r="AN2060" s="171">
        <v>85</v>
      </c>
      <c r="AO2060" s="89"/>
      <c r="AP2060" s="783">
        <v>32.5</v>
      </c>
      <c r="AQ2060" s="17" t="s">
        <v>3403</v>
      </c>
      <c r="AR2060" s="174">
        <v>100</v>
      </c>
      <c r="AS2060" s="171" t="s">
        <v>246</v>
      </c>
      <c r="AT2060" s="171">
        <v>200</v>
      </c>
      <c r="AU2060" s="171">
        <v>25</v>
      </c>
      <c r="AV2060" s="57"/>
      <c r="AW2060" s="171">
        <v>28</v>
      </c>
      <c r="AX2060" s="89"/>
      <c r="AY2060" s="171">
        <v>23</v>
      </c>
      <c r="AZ2060" s="89"/>
      <c r="BA2060" s="175">
        <v>60</v>
      </c>
      <c r="BB2060" s="259"/>
      <c r="BC2060" s="176"/>
      <c r="BD2060" s="177"/>
      <c r="BE2060" s="177"/>
      <c r="BF2060" s="190" t="s">
        <v>3329</v>
      </c>
    </row>
    <row r="2061" spans="1:58">
      <c r="A2061" s="111">
        <v>2060</v>
      </c>
      <c r="B2061" s="211" t="s">
        <v>3157</v>
      </c>
      <c r="C2061" s="191" t="s">
        <v>425</v>
      </c>
      <c r="D2061" s="171" t="s">
        <v>3290</v>
      </c>
      <c r="E2061" s="732" t="s">
        <v>3379</v>
      </c>
      <c r="F2061" s="171">
        <v>1990</v>
      </c>
      <c r="G2061" s="171">
        <v>12</v>
      </c>
      <c r="H2061" s="172" t="s">
        <v>1738</v>
      </c>
      <c r="I2061" s="173" t="s">
        <v>1751</v>
      </c>
      <c r="J2061" s="242">
        <v>0.66666666666666663</v>
      </c>
      <c r="K2061" s="213">
        <v>8.4041666666666668</v>
      </c>
      <c r="L2061" s="38">
        <v>160</v>
      </c>
      <c r="M2061" s="171">
        <v>240</v>
      </c>
      <c r="N2061" s="171">
        <v>1150</v>
      </c>
      <c r="O2061" s="162"/>
      <c r="P2061" s="89"/>
      <c r="Q2061" s="221" t="s">
        <v>1754</v>
      </c>
      <c r="R2061" s="171" t="s">
        <v>2312</v>
      </c>
      <c r="S2061" s="171" t="s">
        <v>3354</v>
      </c>
      <c r="T2061" s="89"/>
      <c r="U2061" s="89" t="s">
        <v>2312</v>
      </c>
      <c r="V2061" s="102">
        <v>0</v>
      </c>
      <c r="W2061" s="120">
        <v>0</v>
      </c>
      <c r="X2061" s="120">
        <v>0</v>
      </c>
      <c r="Y2061" s="120">
        <v>0</v>
      </c>
      <c r="Z2061" s="120">
        <v>0</v>
      </c>
      <c r="AA2061" s="17">
        <v>0</v>
      </c>
      <c r="AB2061" s="17">
        <v>0</v>
      </c>
      <c r="AC2061" s="17">
        <v>0</v>
      </c>
      <c r="AD2061" s="17">
        <v>0</v>
      </c>
      <c r="AE2061" s="17">
        <v>0</v>
      </c>
      <c r="AF2061" s="17">
        <v>0</v>
      </c>
      <c r="AG2061" s="17">
        <v>0</v>
      </c>
      <c r="AH2061" s="17">
        <v>0</v>
      </c>
      <c r="AI2061" s="17">
        <v>0</v>
      </c>
      <c r="AJ2061" s="17">
        <v>0</v>
      </c>
      <c r="AK2061" s="17">
        <v>0</v>
      </c>
      <c r="AL2061" s="32">
        <v>0</v>
      </c>
      <c r="AM2061" s="172">
        <v>35</v>
      </c>
      <c r="AN2061" s="171">
        <v>40</v>
      </c>
      <c r="AO2061" s="89"/>
      <c r="AP2061" s="783">
        <v>32</v>
      </c>
      <c r="AQ2061" s="17" t="s">
        <v>3403</v>
      </c>
      <c r="AR2061" s="174">
        <v>100</v>
      </c>
      <c r="AS2061" s="171" t="s">
        <v>246</v>
      </c>
      <c r="AT2061" s="171">
        <v>200</v>
      </c>
      <c r="AU2061" s="171">
        <v>25</v>
      </c>
      <c r="AV2061" s="57"/>
      <c r="AW2061" s="171">
        <v>28</v>
      </c>
      <c r="AX2061" s="89"/>
      <c r="AY2061" s="171">
        <v>23</v>
      </c>
      <c r="AZ2061" s="89"/>
      <c r="BA2061" s="175">
        <v>60</v>
      </c>
      <c r="BB2061" s="259"/>
      <c r="BC2061" s="176"/>
      <c r="BD2061" s="177"/>
      <c r="BE2061" s="177"/>
      <c r="BF2061" s="190" t="s">
        <v>3329</v>
      </c>
    </row>
    <row r="2062" spans="1:58">
      <c r="A2062" s="111">
        <v>2061</v>
      </c>
      <c r="B2062" s="211" t="s">
        <v>3158</v>
      </c>
      <c r="C2062" s="191" t="s">
        <v>425</v>
      </c>
      <c r="D2062" s="171" t="s">
        <v>3290</v>
      </c>
      <c r="E2062" s="732" t="s">
        <v>3379</v>
      </c>
      <c r="F2062" s="171">
        <v>1990</v>
      </c>
      <c r="G2062" s="171">
        <v>12</v>
      </c>
      <c r="H2062" s="172" t="s">
        <v>1738</v>
      </c>
      <c r="I2062" s="173" t="s">
        <v>1751</v>
      </c>
      <c r="J2062" s="242">
        <v>0.38349514563106796</v>
      </c>
      <c r="K2062" s="213">
        <v>4.5509708737864081</v>
      </c>
      <c r="L2062" s="38">
        <v>158</v>
      </c>
      <c r="M2062" s="171">
        <v>412</v>
      </c>
      <c r="N2062" s="171">
        <v>1260</v>
      </c>
      <c r="O2062" s="162"/>
      <c r="P2062" s="89"/>
      <c r="Q2062" s="221" t="s">
        <v>1754</v>
      </c>
      <c r="R2062" s="171" t="s">
        <v>2312</v>
      </c>
      <c r="S2062" s="171" t="s">
        <v>3354</v>
      </c>
      <c r="T2062" s="89"/>
      <c r="U2062" s="89" t="s">
        <v>2312</v>
      </c>
      <c r="V2062" s="102">
        <v>0</v>
      </c>
      <c r="W2062" s="120">
        <v>0</v>
      </c>
      <c r="X2062" s="120">
        <v>0</v>
      </c>
      <c r="Y2062" s="120">
        <v>0</v>
      </c>
      <c r="Z2062" s="120">
        <v>0</v>
      </c>
      <c r="AA2062" s="17">
        <v>0</v>
      </c>
      <c r="AB2062" s="17">
        <v>0</v>
      </c>
      <c r="AC2062" s="17">
        <v>0</v>
      </c>
      <c r="AD2062" s="17">
        <v>0</v>
      </c>
      <c r="AE2062" s="17">
        <v>0</v>
      </c>
      <c r="AF2062" s="17">
        <v>0</v>
      </c>
      <c r="AG2062" s="17">
        <v>0</v>
      </c>
      <c r="AH2062" s="17">
        <v>0</v>
      </c>
      <c r="AI2062" s="17">
        <v>0</v>
      </c>
      <c r="AJ2062" s="17">
        <v>0</v>
      </c>
      <c r="AK2062" s="17">
        <v>0</v>
      </c>
      <c r="AL2062" s="32">
        <v>0</v>
      </c>
      <c r="AM2062" s="172">
        <v>60.5</v>
      </c>
      <c r="AN2062" s="171">
        <v>75</v>
      </c>
      <c r="AO2062" s="89"/>
      <c r="AP2062" s="783">
        <v>36</v>
      </c>
      <c r="AQ2062" s="17" t="s">
        <v>3403</v>
      </c>
      <c r="AR2062" s="174">
        <v>100</v>
      </c>
      <c r="AS2062" s="171" t="s">
        <v>246</v>
      </c>
      <c r="AT2062" s="171">
        <v>200</v>
      </c>
      <c r="AU2062" s="171">
        <v>25</v>
      </c>
      <c r="AV2062" s="57"/>
      <c r="AW2062" s="171">
        <v>28</v>
      </c>
      <c r="AX2062" s="89"/>
      <c r="AY2062" s="171">
        <v>23</v>
      </c>
      <c r="AZ2062" s="89"/>
      <c r="BA2062" s="175">
        <v>60</v>
      </c>
      <c r="BB2062" s="259"/>
      <c r="BC2062" s="176"/>
      <c r="BD2062" s="177"/>
      <c r="BE2062" s="177"/>
      <c r="BF2062" s="190" t="s">
        <v>3329</v>
      </c>
    </row>
    <row r="2063" spans="1:58">
      <c r="A2063" s="111">
        <v>2062</v>
      </c>
      <c r="B2063" s="211" t="s">
        <v>3159</v>
      </c>
      <c r="C2063" s="191" t="s">
        <v>425</v>
      </c>
      <c r="D2063" s="171" t="s">
        <v>3290</v>
      </c>
      <c r="E2063" s="732" t="s">
        <v>3379</v>
      </c>
      <c r="F2063" s="171">
        <v>1990</v>
      </c>
      <c r="G2063" s="171">
        <v>12</v>
      </c>
      <c r="H2063" s="172" t="s">
        <v>1738</v>
      </c>
      <c r="I2063" s="173" t="s">
        <v>1751</v>
      </c>
      <c r="J2063" s="242">
        <v>0.66666666666666663</v>
      </c>
      <c r="K2063" s="213">
        <v>7.882352941176471</v>
      </c>
      <c r="L2063" s="38">
        <v>170</v>
      </c>
      <c r="M2063" s="171">
        <v>255</v>
      </c>
      <c r="N2063" s="171">
        <v>1160</v>
      </c>
      <c r="O2063" s="162"/>
      <c r="P2063" s="89"/>
      <c r="Q2063" s="221" t="s">
        <v>1754</v>
      </c>
      <c r="R2063" s="171" t="s">
        <v>3347</v>
      </c>
      <c r="S2063" s="171" t="s">
        <v>3362</v>
      </c>
      <c r="T2063" s="89"/>
      <c r="U2063" s="89" t="s">
        <v>3347</v>
      </c>
      <c r="V2063" s="102">
        <v>0</v>
      </c>
      <c r="W2063" s="120">
        <v>0</v>
      </c>
      <c r="X2063" s="120">
        <v>0</v>
      </c>
      <c r="Y2063" s="120">
        <v>0</v>
      </c>
      <c r="Z2063" s="120">
        <v>0</v>
      </c>
      <c r="AA2063" s="17">
        <v>0</v>
      </c>
      <c r="AB2063" s="17">
        <v>0</v>
      </c>
      <c r="AC2063" s="17">
        <v>0</v>
      </c>
      <c r="AD2063" s="17">
        <v>0</v>
      </c>
      <c r="AE2063" s="17">
        <v>0</v>
      </c>
      <c r="AF2063" s="17">
        <v>0</v>
      </c>
      <c r="AG2063" s="17">
        <v>0</v>
      </c>
      <c r="AH2063" s="17">
        <v>0</v>
      </c>
      <c r="AI2063" s="17">
        <v>0</v>
      </c>
      <c r="AJ2063" s="17">
        <v>0</v>
      </c>
      <c r="AK2063" s="17">
        <v>0</v>
      </c>
      <c r="AL2063" s="32">
        <v>0</v>
      </c>
      <c r="AM2063" s="172">
        <v>31</v>
      </c>
      <c r="AN2063" s="171">
        <v>85</v>
      </c>
      <c r="AO2063" s="89"/>
      <c r="AP2063" s="783">
        <v>31.5</v>
      </c>
      <c r="AQ2063" s="17" t="s">
        <v>3403</v>
      </c>
      <c r="AR2063" s="174">
        <v>100</v>
      </c>
      <c r="AS2063" s="171" t="s">
        <v>246</v>
      </c>
      <c r="AT2063" s="171">
        <v>200</v>
      </c>
      <c r="AU2063" s="171">
        <v>25</v>
      </c>
      <c r="AV2063" s="57"/>
      <c r="AW2063" s="171">
        <v>28</v>
      </c>
      <c r="AX2063" s="89"/>
      <c r="AY2063" s="171">
        <v>23</v>
      </c>
      <c r="AZ2063" s="89"/>
      <c r="BA2063" s="175">
        <v>60</v>
      </c>
      <c r="BB2063" s="259"/>
      <c r="BC2063" s="176"/>
      <c r="BD2063" s="177"/>
      <c r="BE2063" s="177"/>
      <c r="BF2063" s="190" t="s">
        <v>3329</v>
      </c>
    </row>
    <row r="2064" spans="1:58">
      <c r="A2064" s="111">
        <v>2063</v>
      </c>
      <c r="B2064" s="211" t="s">
        <v>3160</v>
      </c>
      <c r="C2064" s="191" t="s">
        <v>425</v>
      </c>
      <c r="D2064" s="171" t="s">
        <v>3290</v>
      </c>
      <c r="E2064" s="732" t="s">
        <v>3379</v>
      </c>
      <c r="F2064" s="171">
        <v>1990</v>
      </c>
      <c r="G2064" s="171">
        <v>12</v>
      </c>
      <c r="H2064" s="172" t="s">
        <v>1738</v>
      </c>
      <c r="I2064" s="173" t="s">
        <v>1751</v>
      </c>
      <c r="J2064" s="242">
        <v>0.42499999999999999</v>
      </c>
      <c r="K2064" s="213">
        <v>4.7324999999999999</v>
      </c>
      <c r="L2064" s="38">
        <v>170</v>
      </c>
      <c r="M2064" s="171">
        <v>400</v>
      </c>
      <c r="N2064" s="171">
        <v>1245</v>
      </c>
      <c r="O2064" s="162"/>
      <c r="P2064" s="89"/>
      <c r="Q2064" s="221" t="s">
        <v>1754</v>
      </c>
      <c r="R2064" s="171" t="s">
        <v>3347</v>
      </c>
      <c r="S2064" s="171" t="s">
        <v>3362</v>
      </c>
      <c r="T2064" s="89"/>
      <c r="U2064" s="89" t="s">
        <v>3347</v>
      </c>
      <c r="V2064" s="102">
        <v>0</v>
      </c>
      <c r="W2064" s="120">
        <v>0</v>
      </c>
      <c r="X2064" s="120">
        <v>0</v>
      </c>
      <c r="Y2064" s="120">
        <v>0</v>
      </c>
      <c r="Z2064" s="120">
        <v>0</v>
      </c>
      <c r="AA2064" s="17">
        <v>0</v>
      </c>
      <c r="AB2064" s="17">
        <v>0</v>
      </c>
      <c r="AC2064" s="17">
        <v>0</v>
      </c>
      <c r="AD2064" s="17">
        <v>0</v>
      </c>
      <c r="AE2064" s="17">
        <v>0</v>
      </c>
      <c r="AF2064" s="17">
        <v>0</v>
      </c>
      <c r="AG2064" s="17">
        <v>0</v>
      </c>
      <c r="AH2064" s="17">
        <v>0</v>
      </c>
      <c r="AI2064" s="17">
        <v>0</v>
      </c>
      <c r="AJ2064" s="17">
        <v>0</v>
      </c>
      <c r="AK2064" s="17">
        <v>0</v>
      </c>
      <c r="AL2064" s="32">
        <v>0</v>
      </c>
      <c r="AM2064" s="172">
        <v>65.5</v>
      </c>
      <c r="AN2064" s="171">
        <v>70</v>
      </c>
      <c r="AO2064" s="89"/>
      <c r="AP2064" s="783">
        <v>40.5</v>
      </c>
      <c r="AQ2064" s="17" t="s">
        <v>3403</v>
      </c>
      <c r="AR2064" s="174">
        <v>100</v>
      </c>
      <c r="AS2064" s="171" t="s">
        <v>246</v>
      </c>
      <c r="AT2064" s="171">
        <v>200</v>
      </c>
      <c r="AU2064" s="171">
        <v>25</v>
      </c>
      <c r="AV2064" s="57"/>
      <c r="AW2064" s="171">
        <v>28</v>
      </c>
      <c r="AX2064" s="89"/>
      <c r="AY2064" s="171">
        <v>23</v>
      </c>
      <c r="AZ2064" s="89"/>
      <c r="BA2064" s="175">
        <v>60</v>
      </c>
      <c r="BB2064" s="259"/>
      <c r="BC2064" s="176"/>
      <c r="BD2064" s="177"/>
      <c r="BE2064" s="177"/>
      <c r="BF2064" s="190" t="s">
        <v>3329</v>
      </c>
    </row>
    <row r="2065" spans="1:58">
      <c r="A2065" s="111">
        <v>2064</v>
      </c>
      <c r="B2065" s="211" t="s">
        <v>3161</v>
      </c>
      <c r="C2065" s="191" t="s">
        <v>425</v>
      </c>
      <c r="D2065" s="171" t="s">
        <v>3290</v>
      </c>
      <c r="E2065" s="732" t="s">
        <v>3379</v>
      </c>
      <c r="F2065" s="171">
        <v>1990</v>
      </c>
      <c r="G2065" s="171">
        <v>12</v>
      </c>
      <c r="H2065" s="172" t="s">
        <v>1738</v>
      </c>
      <c r="I2065" s="173" t="s">
        <v>1751</v>
      </c>
      <c r="J2065" s="242">
        <v>0.60509554140127386</v>
      </c>
      <c r="K2065" s="213">
        <v>6.1942675159235669</v>
      </c>
      <c r="L2065" s="38">
        <v>190</v>
      </c>
      <c r="M2065" s="171">
        <v>314</v>
      </c>
      <c r="N2065" s="171">
        <v>1073</v>
      </c>
      <c r="O2065" s="162"/>
      <c r="P2065" s="89"/>
      <c r="Q2065" s="221" t="s">
        <v>1754</v>
      </c>
      <c r="R2065" s="171" t="s">
        <v>3342</v>
      </c>
      <c r="S2065" s="171" t="s">
        <v>3342</v>
      </c>
      <c r="T2065" s="89"/>
      <c r="U2065" s="89" t="s">
        <v>3342</v>
      </c>
      <c r="V2065" s="102">
        <v>0</v>
      </c>
      <c r="W2065" s="120">
        <v>0</v>
      </c>
      <c r="X2065" s="120">
        <v>0</v>
      </c>
      <c r="Y2065" s="120">
        <v>0</v>
      </c>
      <c r="Z2065" s="120">
        <v>0</v>
      </c>
      <c r="AA2065" s="17">
        <v>0</v>
      </c>
      <c r="AB2065" s="17">
        <v>0</v>
      </c>
      <c r="AC2065" s="17">
        <v>0</v>
      </c>
      <c r="AD2065" s="17">
        <v>0</v>
      </c>
      <c r="AE2065" s="17">
        <v>0</v>
      </c>
      <c r="AF2065" s="17">
        <v>0</v>
      </c>
      <c r="AG2065" s="17">
        <v>0</v>
      </c>
      <c r="AH2065" s="17">
        <v>0</v>
      </c>
      <c r="AI2065" s="17">
        <v>0</v>
      </c>
      <c r="AJ2065" s="17">
        <v>0</v>
      </c>
      <c r="AK2065" s="17">
        <v>0</v>
      </c>
      <c r="AL2065" s="32">
        <v>0</v>
      </c>
      <c r="AM2065" s="172">
        <v>37</v>
      </c>
      <c r="AN2065" s="171">
        <v>55</v>
      </c>
      <c r="AO2065" s="89"/>
      <c r="AP2065" s="783">
        <v>32.5</v>
      </c>
      <c r="AQ2065" s="17" t="s">
        <v>3403</v>
      </c>
      <c r="AR2065" s="174">
        <v>100</v>
      </c>
      <c r="AS2065" s="171" t="s">
        <v>246</v>
      </c>
      <c r="AT2065" s="171">
        <v>200</v>
      </c>
      <c r="AU2065" s="171">
        <v>25</v>
      </c>
      <c r="AV2065" s="57"/>
      <c r="AW2065" s="171">
        <v>28</v>
      </c>
      <c r="AX2065" s="89"/>
      <c r="AY2065" s="171">
        <v>23</v>
      </c>
      <c r="AZ2065" s="89"/>
      <c r="BA2065" s="175">
        <v>60</v>
      </c>
      <c r="BB2065" s="259"/>
      <c r="BC2065" s="176"/>
      <c r="BD2065" s="177"/>
      <c r="BE2065" s="177"/>
      <c r="BF2065" s="190" t="s">
        <v>3329</v>
      </c>
    </row>
    <row r="2066" spans="1:58">
      <c r="A2066" s="111">
        <v>2065</v>
      </c>
      <c r="B2066" s="211" t="s">
        <v>3162</v>
      </c>
      <c r="C2066" s="191" t="s">
        <v>425</v>
      </c>
      <c r="D2066" s="171" t="s">
        <v>3290</v>
      </c>
      <c r="E2066" s="732" t="s">
        <v>3379</v>
      </c>
      <c r="F2066" s="171">
        <v>1990</v>
      </c>
      <c r="G2066" s="171">
        <v>12</v>
      </c>
      <c r="H2066" s="172" t="s">
        <v>1738</v>
      </c>
      <c r="I2066" s="173" t="s">
        <v>1751</v>
      </c>
      <c r="J2066" s="242">
        <v>0.35714285714285715</v>
      </c>
      <c r="K2066" s="213">
        <v>3.0410714285714286</v>
      </c>
      <c r="L2066" s="38">
        <v>200</v>
      </c>
      <c r="M2066" s="171">
        <v>560</v>
      </c>
      <c r="N2066" s="171">
        <v>1180</v>
      </c>
      <c r="O2066" s="162"/>
      <c r="P2066" s="89"/>
      <c r="Q2066" s="221" t="s">
        <v>1754</v>
      </c>
      <c r="R2066" s="171" t="s">
        <v>3342</v>
      </c>
      <c r="S2066" s="171" t="s">
        <v>3342</v>
      </c>
      <c r="T2066" s="89"/>
      <c r="U2066" s="89" t="s">
        <v>3342</v>
      </c>
      <c r="V2066" s="102">
        <v>0</v>
      </c>
      <c r="W2066" s="120">
        <v>0</v>
      </c>
      <c r="X2066" s="120">
        <v>0</v>
      </c>
      <c r="Y2066" s="120">
        <v>0</v>
      </c>
      <c r="Z2066" s="120">
        <v>0</v>
      </c>
      <c r="AA2066" s="17">
        <v>0</v>
      </c>
      <c r="AB2066" s="17">
        <v>0</v>
      </c>
      <c r="AC2066" s="17">
        <v>0</v>
      </c>
      <c r="AD2066" s="17">
        <v>0</v>
      </c>
      <c r="AE2066" s="17">
        <v>0</v>
      </c>
      <c r="AF2066" s="17">
        <v>0</v>
      </c>
      <c r="AG2066" s="17">
        <v>0</v>
      </c>
      <c r="AH2066" s="17">
        <v>0</v>
      </c>
      <c r="AI2066" s="17">
        <v>0</v>
      </c>
      <c r="AJ2066" s="17">
        <v>0</v>
      </c>
      <c r="AK2066" s="17">
        <v>0</v>
      </c>
      <c r="AL2066" s="32">
        <v>0</v>
      </c>
      <c r="AM2066" s="172">
        <v>66</v>
      </c>
      <c r="AN2066" s="171">
        <v>60</v>
      </c>
      <c r="AO2066" s="89"/>
      <c r="AP2066" s="783">
        <v>37</v>
      </c>
      <c r="AQ2066" s="17" t="s">
        <v>3403</v>
      </c>
      <c r="AR2066" s="174">
        <v>100</v>
      </c>
      <c r="AS2066" s="171" t="s">
        <v>246</v>
      </c>
      <c r="AT2066" s="171">
        <v>200</v>
      </c>
      <c r="AU2066" s="171">
        <v>25</v>
      </c>
      <c r="AV2066" s="57"/>
      <c r="AW2066" s="171">
        <v>28</v>
      </c>
      <c r="AX2066" s="89"/>
      <c r="AY2066" s="171">
        <v>23</v>
      </c>
      <c r="AZ2066" s="89"/>
      <c r="BA2066" s="175">
        <v>60</v>
      </c>
      <c r="BB2066" s="259"/>
      <c r="BC2066" s="176"/>
      <c r="BD2066" s="177"/>
      <c r="BE2066" s="177"/>
      <c r="BF2066" s="190" t="s">
        <v>3329</v>
      </c>
    </row>
    <row r="2067" spans="1:58">
      <c r="A2067" s="111">
        <v>2066</v>
      </c>
      <c r="B2067" s="211" t="s">
        <v>3163</v>
      </c>
      <c r="C2067" s="191" t="s">
        <v>425</v>
      </c>
      <c r="D2067" s="171" t="s">
        <v>3290</v>
      </c>
      <c r="E2067" s="732" t="s">
        <v>3379</v>
      </c>
      <c r="F2067" s="171">
        <v>1990</v>
      </c>
      <c r="G2067" s="171">
        <v>12</v>
      </c>
      <c r="H2067" s="172" t="s">
        <v>1738</v>
      </c>
      <c r="I2067" s="173" t="s">
        <v>1751</v>
      </c>
      <c r="J2067" s="242">
        <v>0.65579710144927539</v>
      </c>
      <c r="K2067" s="213">
        <v>7.083333333333333</v>
      </c>
      <c r="L2067" s="38">
        <v>181</v>
      </c>
      <c r="M2067" s="171">
        <v>276</v>
      </c>
      <c r="N2067" s="171">
        <v>1111</v>
      </c>
      <c r="O2067" s="162"/>
      <c r="P2067" s="89"/>
      <c r="Q2067" s="221" t="s">
        <v>1754</v>
      </c>
      <c r="R2067" s="171" t="s">
        <v>2320</v>
      </c>
      <c r="S2067" s="171" t="s">
        <v>3363</v>
      </c>
      <c r="T2067" s="89"/>
      <c r="U2067" s="89" t="s">
        <v>2320</v>
      </c>
      <c r="V2067" s="102">
        <v>0</v>
      </c>
      <c r="W2067" s="120">
        <v>0</v>
      </c>
      <c r="X2067" s="120">
        <v>0</v>
      </c>
      <c r="Y2067" s="120">
        <v>0</v>
      </c>
      <c r="Z2067" s="120">
        <v>0</v>
      </c>
      <c r="AA2067" s="17">
        <v>0</v>
      </c>
      <c r="AB2067" s="17">
        <v>0</v>
      </c>
      <c r="AC2067" s="17">
        <v>0</v>
      </c>
      <c r="AD2067" s="17">
        <v>0</v>
      </c>
      <c r="AE2067" s="17">
        <v>0</v>
      </c>
      <c r="AF2067" s="17">
        <v>0</v>
      </c>
      <c r="AG2067" s="17">
        <v>0</v>
      </c>
      <c r="AH2067" s="17">
        <v>0</v>
      </c>
      <c r="AI2067" s="17">
        <v>0</v>
      </c>
      <c r="AJ2067" s="17">
        <v>0</v>
      </c>
      <c r="AK2067" s="17">
        <v>0</v>
      </c>
      <c r="AL2067" s="32">
        <v>0</v>
      </c>
      <c r="AM2067" s="172">
        <v>34.5</v>
      </c>
      <c r="AN2067" s="171">
        <v>35</v>
      </c>
      <c r="AO2067" s="89"/>
      <c r="AP2067" s="783">
        <v>28.5</v>
      </c>
      <c r="AQ2067" s="17" t="s">
        <v>3403</v>
      </c>
      <c r="AR2067" s="174">
        <v>100</v>
      </c>
      <c r="AS2067" s="171" t="s">
        <v>246</v>
      </c>
      <c r="AT2067" s="171">
        <v>200</v>
      </c>
      <c r="AU2067" s="171">
        <v>25</v>
      </c>
      <c r="AV2067" s="57"/>
      <c r="AW2067" s="171">
        <v>28</v>
      </c>
      <c r="AX2067" s="89"/>
      <c r="AY2067" s="171">
        <v>23</v>
      </c>
      <c r="AZ2067" s="89"/>
      <c r="BA2067" s="175">
        <v>60</v>
      </c>
      <c r="BB2067" s="259"/>
      <c r="BC2067" s="176"/>
      <c r="BD2067" s="177"/>
      <c r="BE2067" s="177"/>
      <c r="BF2067" s="190" t="s">
        <v>3329</v>
      </c>
    </row>
    <row r="2068" spans="1:58">
      <c r="A2068" s="111">
        <v>2067</v>
      </c>
      <c r="B2068" s="211" t="s">
        <v>3164</v>
      </c>
      <c r="C2068" s="191" t="s">
        <v>425</v>
      </c>
      <c r="D2068" s="171" t="s">
        <v>3290</v>
      </c>
      <c r="E2068" s="732" t="s">
        <v>3379</v>
      </c>
      <c r="F2068" s="171">
        <v>1990</v>
      </c>
      <c r="G2068" s="171">
        <v>12</v>
      </c>
      <c r="H2068" s="172" t="s">
        <v>1738</v>
      </c>
      <c r="I2068" s="173" t="s">
        <v>1751</v>
      </c>
      <c r="J2068" s="242">
        <v>0.41686182669789229</v>
      </c>
      <c r="K2068" s="213">
        <v>4.2997658079625296</v>
      </c>
      <c r="L2068" s="38">
        <v>178</v>
      </c>
      <c r="M2068" s="171">
        <v>427</v>
      </c>
      <c r="N2068" s="171">
        <v>1200</v>
      </c>
      <c r="O2068" s="162"/>
      <c r="P2068" s="89"/>
      <c r="Q2068" s="221" t="s">
        <v>1754</v>
      </c>
      <c r="R2068" s="171" t="s">
        <v>2320</v>
      </c>
      <c r="S2068" s="171" t="s">
        <v>3363</v>
      </c>
      <c r="T2068" s="89"/>
      <c r="U2068" s="89" t="s">
        <v>2320</v>
      </c>
      <c r="V2068" s="102">
        <v>0</v>
      </c>
      <c r="W2068" s="120">
        <v>0</v>
      </c>
      <c r="X2068" s="120">
        <v>0</v>
      </c>
      <c r="Y2068" s="120">
        <v>0</v>
      </c>
      <c r="Z2068" s="120">
        <v>0</v>
      </c>
      <c r="AA2068" s="17">
        <v>0</v>
      </c>
      <c r="AB2068" s="17">
        <v>0</v>
      </c>
      <c r="AC2068" s="17">
        <v>0</v>
      </c>
      <c r="AD2068" s="17">
        <v>0</v>
      </c>
      <c r="AE2068" s="17">
        <v>0</v>
      </c>
      <c r="AF2068" s="17">
        <v>0</v>
      </c>
      <c r="AG2068" s="17">
        <v>0</v>
      </c>
      <c r="AH2068" s="17">
        <v>0</v>
      </c>
      <c r="AI2068" s="17">
        <v>0</v>
      </c>
      <c r="AJ2068" s="17">
        <v>0</v>
      </c>
      <c r="AK2068" s="17">
        <v>0</v>
      </c>
      <c r="AL2068" s="32">
        <v>0</v>
      </c>
      <c r="AM2068" s="172">
        <v>68.5</v>
      </c>
      <c r="AN2068" s="171">
        <v>65</v>
      </c>
      <c r="AO2068" s="89"/>
      <c r="AP2068" s="783">
        <v>40</v>
      </c>
      <c r="AQ2068" s="17" t="s">
        <v>3403</v>
      </c>
      <c r="AR2068" s="174">
        <v>100</v>
      </c>
      <c r="AS2068" s="171" t="s">
        <v>246</v>
      </c>
      <c r="AT2068" s="171">
        <v>200</v>
      </c>
      <c r="AU2068" s="171">
        <v>25</v>
      </c>
      <c r="AV2068" s="57"/>
      <c r="AW2068" s="171">
        <v>28</v>
      </c>
      <c r="AX2068" s="89"/>
      <c r="AY2068" s="171">
        <v>23</v>
      </c>
      <c r="AZ2068" s="89"/>
      <c r="BA2068" s="175">
        <v>60</v>
      </c>
      <c r="BB2068" s="259"/>
      <c r="BC2068" s="176"/>
      <c r="BD2068" s="177"/>
      <c r="BE2068" s="177"/>
      <c r="BF2068" s="190" t="s">
        <v>3329</v>
      </c>
    </row>
    <row r="2069" spans="1:58">
      <c r="A2069" s="111">
        <v>2068</v>
      </c>
      <c r="B2069" s="211" t="s">
        <v>3165</v>
      </c>
      <c r="C2069" s="191" t="s">
        <v>425</v>
      </c>
      <c r="D2069" s="171" t="s">
        <v>3290</v>
      </c>
      <c r="E2069" s="732" t="s">
        <v>3379</v>
      </c>
      <c r="F2069" s="171">
        <v>1990</v>
      </c>
      <c r="G2069" s="171">
        <v>12</v>
      </c>
      <c r="H2069" s="172" t="s">
        <v>1738</v>
      </c>
      <c r="I2069" s="173" t="s">
        <v>1751</v>
      </c>
      <c r="J2069" s="242">
        <v>0.68503937007874016</v>
      </c>
      <c r="K2069" s="213">
        <v>7.78740157480315</v>
      </c>
      <c r="L2069" s="38">
        <v>174</v>
      </c>
      <c r="M2069" s="171">
        <v>254</v>
      </c>
      <c r="N2069" s="171">
        <v>1080</v>
      </c>
      <c r="O2069" s="162"/>
      <c r="P2069" s="89"/>
      <c r="Q2069" s="221" t="s">
        <v>1754</v>
      </c>
      <c r="R2069" s="171" t="s">
        <v>2320</v>
      </c>
      <c r="S2069" s="171" t="s">
        <v>3364</v>
      </c>
      <c r="T2069" s="89"/>
      <c r="U2069" s="89" t="s">
        <v>2320</v>
      </c>
      <c r="V2069" s="102">
        <v>0</v>
      </c>
      <c r="W2069" s="120">
        <v>0</v>
      </c>
      <c r="X2069" s="120">
        <v>0</v>
      </c>
      <c r="Y2069" s="120">
        <v>0</v>
      </c>
      <c r="Z2069" s="120">
        <v>0</v>
      </c>
      <c r="AA2069" s="17">
        <v>0</v>
      </c>
      <c r="AB2069" s="17">
        <v>0</v>
      </c>
      <c r="AC2069" s="17">
        <v>0</v>
      </c>
      <c r="AD2069" s="17">
        <v>0</v>
      </c>
      <c r="AE2069" s="17">
        <v>0</v>
      </c>
      <c r="AF2069" s="17">
        <v>0</v>
      </c>
      <c r="AG2069" s="17">
        <v>0</v>
      </c>
      <c r="AH2069" s="17">
        <v>0</v>
      </c>
      <c r="AI2069" s="17">
        <v>0</v>
      </c>
      <c r="AJ2069" s="17">
        <v>0</v>
      </c>
      <c r="AK2069" s="17">
        <v>0</v>
      </c>
      <c r="AL2069" s="32">
        <v>0</v>
      </c>
      <c r="AM2069" s="172">
        <v>42</v>
      </c>
      <c r="AN2069" s="89"/>
      <c r="AO2069" s="89"/>
      <c r="AP2069" s="783">
        <v>35.5</v>
      </c>
      <c r="AQ2069" s="17" t="s">
        <v>3403</v>
      </c>
      <c r="AR2069" s="174">
        <v>100</v>
      </c>
      <c r="AS2069" s="171" t="s">
        <v>246</v>
      </c>
      <c r="AT2069" s="171">
        <v>200</v>
      </c>
      <c r="AU2069" s="171">
        <v>25</v>
      </c>
      <c r="AV2069" s="57"/>
      <c r="AW2069" s="171">
        <v>28</v>
      </c>
      <c r="AX2069" s="89"/>
      <c r="AY2069" s="171">
        <v>23</v>
      </c>
      <c r="AZ2069" s="89"/>
      <c r="BA2069" s="175">
        <v>60</v>
      </c>
      <c r="BB2069" s="259"/>
      <c r="BC2069" s="176"/>
      <c r="BD2069" s="177"/>
      <c r="BE2069" s="177"/>
      <c r="BF2069" s="190" t="s">
        <v>3329</v>
      </c>
    </row>
    <row r="2070" spans="1:58">
      <c r="A2070" s="111">
        <v>2069</v>
      </c>
      <c r="B2070" s="211" t="s">
        <v>3166</v>
      </c>
      <c r="C2070" s="191" t="s">
        <v>425</v>
      </c>
      <c r="D2070" s="171" t="s">
        <v>3290</v>
      </c>
      <c r="E2070" s="732" t="s">
        <v>3379</v>
      </c>
      <c r="F2070" s="171">
        <v>1990</v>
      </c>
      <c r="G2070" s="171">
        <v>12</v>
      </c>
      <c r="H2070" s="172" t="s">
        <v>1738</v>
      </c>
      <c r="I2070" s="173" t="s">
        <v>1751</v>
      </c>
      <c r="J2070" s="242">
        <v>0.44416243654822335</v>
      </c>
      <c r="K2070" s="213">
        <v>4.7055837563451774</v>
      </c>
      <c r="L2070" s="38">
        <v>175</v>
      </c>
      <c r="M2070" s="171">
        <v>394</v>
      </c>
      <c r="N2070" s="171">
        <v>1160</v>
      </c>
      <c r="O2070" s="162"/>
      <c r="P2070" s="89"/>
      <c r="Q2070" s="221" t="s">
        <v>1754</v>
      </c>
      <c r="R2070" s="171" t="s">
        <v>2320</v>
      </c>
      <c r="S2070" s="171" t="s">
        <v>3364</v>
      </c>
      <c r="T2070" s="89"/>
      <c r="U2070" s="89" t="s">
        <v>2320</v>
      </c>
      <c r="V2070" s="102">
        <v>0</v>
      </c>
      <c r="W2070" s="120">
        <v>0</v>
      </c>
      <c r="X2070" s="120">
        <v>0</v>
      </c>
      <c r="Y2070" s="120">
        <v>0</v>
      </c>
      <c r="Z2070" s="120">
        <v>0</v>
      </c>
      <c r="AA2070" s="17">
        <v>0</v>
      </c>
      <c r="AB2070" s="17">
        <v>0</v>
      </c>
      <c r="AC2070" s="17">
        <v>0</v>
      </c>
      <c r="AD2070" s="17">
        <v>0</v>
      </c>
      <c r="AE2070" s="17">
        <v>0</v>
      </c>
      <c r="AF2070" s="17">
        <v>0</v>
      </c>
      <c r="AG2070" s="17">
        <v>0</v>
      </c>
      <c r="AH2070" s="17">
        <v>0</v>
      </c>
      <c r="AI2070" s="17">
        <v>0</v>
      </c>
      <c r="AJ2070" s="17">
        <v>0</v>
      </c>
      <c r="AK2070" s="17">
        <v>0</v>
      </c>
      <c r="AL2070" s="32">
        <v>0</v>
      </c>
      <c r="AM2070" s="172">
        <v>69.5</v>
      </c>
      <c r="AN2070" s="89"/>
      <c r="AO2070" s="89"/>
      <c r="AP2070" s="783">
        <v>40</v>
      </c>
      <c r="AQ2070" s="17" t="s">
        <v>3403</v>
      </c>
      <c r="AR2070" s="174">
        <v>100</v>
      </c>
      <c r="AS2070" s="171" t="s">
        <v>246</v>
      </c>
      <c r="AT2070" s="171">
        <v>200</v>
      </c>
      <c r="AU2070" s="171">
        <v>25</v>
      </c>
      <c r="AV2070" s="57"/>
      <c r="AW2070" s="171">
        <v>28</v>
      </c>
      <c r="AX2070" s="89"/>
      <c r="AY2070" s="171">
        <v>23</v>
      </c>
      <c r="AZ2070" s="89"/>
      <c r="BA2070" s="175">
        <v>60</v>
      </c>
      <c r="BB2070" s="259"/>
      <c r="BC2070" s="176"/>
      <c r="BD2070" s="177"/>
      <c r="BE2070" s="177"/>
      <c r="BF2070" s="190" t="s">
        <v>3329</v>
      </c>
    </row>
    <row r="2071" spans="1:58">
      <c r="A2071" s="111">
        <v>2070</v>
      </c>
      <c r="B2071" s="211" t="s">
        <v>3167</v>
      </c>
      <c r="C2071" s="191" t="s">
        <v>425</v>
      </c>
      <c r="D2071" s="171" t="s">
        <v>3290</v>
      </c>
      <c r="E2071" s="732" t="s">
        <v>3379</v>
      </c>
      <c r="F2071" s="171">
        <v>1990</v>
      </c>
      <c r="G2071" s="171">
        <v>12</v>
      </c>
      <c r="H2071" s="172" t="s">
        <v>1738</v>
      </c>
      <c r="I2071" s="173" t="s">
        <v>1751</v>
      </c>
      <c r="J2071" s="242">
        <v>0.59272727272727277</v>
      </c>
      <c r="K2071" s="213">
        <v>7.1854545454545455</v>
      </c>
      <c r="L2071" s="38">
        <v>163</v>
      </c>
      <c r="M2071" s="171">
        <v>275</v>
      </c>
      <c r="N2071" s="171">
        <v>1165</v>
      </c>
      <c r="O2071" s="162"/>
      <c r="P2071" s="89"/>
      <c r="Q2071" s="221" t="s">
        <v>1754</v>
      </c>
      <c r="R2071" s="171" t="s">
        <v>3351</v>
      </c>
      <c r="S2071" s="171" t="s">
        <v>3351</v>
      </c>
      <c r="T2071" s="89"/>
      <c r="U2071" s="89" t="s">
        <v>3351</v>
      </c>
      <c r="V2071" s="102">
        <v>0</v>
      </c>
      <c r="W2071" s="120">
        <v>0</v>
      </c>
      <c r="X2071" s="120">
        <v>0</v>
      </c>
      <c r="Y2071" s="120">
        <v>0</v>
      </c>
      <c r="Z2071" s="120">
        <v>0</v>
      </c>
      <c r="AA2071" s="17">
        <v>0</v>
      </c>
      <c r="AB2071" s="17">
        <v>0</v>
      </c>
      <c r="AC2071" s="17">
        <v>0</v>
      </c>
      <c r="AD2071" s="17">
        <v>0</v>
      </c>
      <c r="AE2071" s="17">
        <v>0</v>
      </c>
      <c r="AF2071" s="17">
        <v>0</v>
      </c>
      <c r="AG2071" s="17">
        <v>0</v>
      </c>
      <c r="AH2071" s="17">
        <v>0</v>
      </c>
      <c r="AI2071" s="17">
        <v>0</v>
      </c>
      <c r="AJ2071" s="17">
        <v>0</v>
      </c>
      <c r="AK2071" s="17">
        <v>0</v>
      </c>
      <c r="AL2071" s="32">
        <v>0</v>
      </c>
      <c r="AM2071" s="172">
        <v>39</v>
      </c>
      <c r="AN2071" s="171">
        <v>55</v>
      </c>
      <c r="AO2071" s="89"/>
      <c r="AP2071" s="783">
        <v>35.5</v>
      </c>
      <c r="AQ2071" s="17" t="s">
        <v>3403</v>
      </c>
      <c r="AR2071" s="174">
        <v>100</v>
      </c>
      <c r="AS2071" s="171" t="s">
        <v>246</v>
      </c>
      <c r="AT2071" s="171">
        <v>200</v>
      </c>
      <c r="AU2071" s="171">
        <v>25</v>
      </c>
      <c r="AV2071" s="57"/>
      <c r="AW2071" s="171">
        <v>28</v>
      </c>
      <c r="AX2071" s="89"/>
      <c r="AY2071" s="171">
        <v>23</v>
      </c>
      <c r="AZ2071" s="89"/>
      <c r="BA2071" s="175">
        <v>60</v>
      </c>
      <c r="BB2071" s="259"/>
      <c r="BC2071" s="176"/>
      <c r="BD2071" s="177"/>
      <c r="BE2071" s="177"/>
      <c r="BF2071" s="190" t="s">
        <v>3329</v>
      </c>
    </row>
    <row r="2072" spans="1:58">
      <c r="A2072" s="111">
        <v>2071</v>
      </c>
      <c r="B2072" s="211" t="s">
        <v>3168</v>
      </c>
      <c r="C2072" s="191" t="s">
        <v>425</v>
      </c>
      <c r="D2072" s="171" t="s">
        <v>3290</v>
      </c>
      <c r="E2072" s="732" t="s">
        <v>3379</v>
      </c>
      <c r="F2072" s="171">
        <v>1990</v>
      </c>
      <c r="G2072" s="171">
        <v>12</v>
      </c>
      <c r="H2072" s="172" t="s">
        <v>1738</v>
      </c>
      <c r="I2072" s="173" t="s">
        <v>1751</v>
      </c>
      <c r="J2072" s="242">
        <v>0.41491841491841491</v>
      </c>
      <c r="K2072" s="213">
        <v>4.2144522144522147</v>
      </c>
      <c r="L2072" s="38">
        <v>178</v>
      </c>
      <c r="M2072" s="171">
        <v>429</v>
      </c>
      <c r="N2072" s="171">
        <v>1230</v>
      </c>
      <c r="O2072" s="162"/>
      <c r="P2072" s="89"/>
      <c r="Q2072" s="221" t="s">
        <v>1754</v>
      </c>
      <c r="R2072" s="171" t="s">
        <v>3351</v>
      </c>
      <c r="S2072" s="171" t="s">
        <v>3351</v>
      </c>
      <c r="T2072" s="89"/>
      <c r="U2072" s="89" t="s">
        <v>3351</v>
      </c>
      <c r="V2072" s="102">
        <v>0</v>
      </c>
      <c r="W2072" s="120">
        <v>0</v>
      </c>
      <c r="X2072" s="120">
        <v>0</v>
      </c>
      <c r="Y2072" s="120">
        <v>0</v>
      </c>
      <c r="Z2072" s="120">
        <v>0</v>
      </c>
      <c r="AA2072" s="17">
        <v>0</v>
      </c>
      <c r="AB2072" s="17">
        <v>0</v>
      </c>
      <c r="AC2072" s="17">
        <v>0</v>
      </c>
      <c r="AD2072" s="17">
        <v>0</v>
      </c>
      <c r="AE2072" s="17">
        <v>0</v>
      </c>
      <c r="AF2072" s="17">
        <v>0</v>
      </c>
      <c r="AG2072" s="17">
        <v>0</v>
      </c>
      <c r="AH2072" s="17">
        <v>0</v>
      </c>
      <c r="AI2072" s="17">
        <v>0</v>
      </c>
      <c r="AJ2072" s="17">
        <v>0</v>
      </c>
      <c r="AK2072" s="17">
        <v>0</v>
      </c>
      <c r="AL2072" s="32">
        <v>0</v>
      </c>
      <c r="AM2072" s="172">
        <v>57</v>
      </c>
      <c r="AN2072" s="171">
        <v>85</v>
      </c>
      <c r="AO2072" s="89"/>
      <c r="AP2072" s="783">
        <v>39</v>
      </c>
      <c r="AQ2072" s="17" t="s">
        <v>3403</v>
      </c>
      <c r="AR2072" s="174">
        <v>100</v>
      </c>
      <c r="AS2072" s="171" t="s">
        <v>246</v>
      </c>
      <c r="AT2072" s="171">
        <v>200</v>
      </c>
      <c r="AU2072" s="171">
        <v>25</v>
      </c>
      <c r="AV2072" s="57"/>
      <c r="AW2072" s="171">
        <v>28</v>
      </c>
      <c r="AX2072" s="89"/>
      <c r="AY2072" s="171">
        <v>23</v>
      </c>
      <c r="AZ2072" s="89"/>
      <c r="BA2072" s="175">
        <v>60</v>
      </c>
      <c r="BB2072" s="259"/>
      <c r="BC2072" s="176"/>
      <c r="BD2072" s="177"/>
      <c r="BE2072" s="177"/>
      <c r="BF2072" s="190" t="s">
        <v>3329</v>
      </c>
    </row>
    <row r="2073" spans="1:58">
      <c r="A2073" s="111">
        <v>2072</v>
      </c>
      <c r="B2073" s="211" t="s">
        <v>3169</v>
      </c>
      <c r="C2073" s="191" t="s">
        <v>425</v>
      </c>
      <c r="D2073" s="171" t="s">
        <v>3290</v>
      </c>
      <c r="E2073" s="732" t="s">
        <v>3379</v>
      </c>
      <c r="F2073" s="171">
        <v>1990</v>
      </c>
      <c r="G2073" s="171">
        <v>12</v>
      </c>
      <c r="H2073" s="172" t="s">
        <v>1738</v>
      </c>
      <c r="I2073" s="173" t="s">
        <v>1751</v>
      </c>
      <c r="J2073" s="242">
        <v>0.64900662251655628</v>
      </c>
      <c r="K2073" s="213">
        <v>6.2119205298013247</v>
      </c>
      <c r="L2073" s="38">
        <v>196</v>
      </c>
      <c r="M2073" s="171">
        <v>302</v>
      </c>
      <c r="N2073" s="171">
        <v>1030</v>
      </c>
      <c r="O2073" s="162"/>
      <c r="P2073" s="89"/>
      <c r="Q2073" s="221" t="s">
        <v>1754</v>
      </c>
      <c r="R2073" s="171" t="s">
        <v>3352</v>
      </c>
      <c r="S2073" s="171" t="s">
        <v>3365</v>
      </c>
      <c r="T2073" s="89"/>
      <c r="U2073" s="89" t="s">
        <v>3352</v>
      </c>
      <c r="V2073" s="102">
        <v>0</v>
      </c>
      <c r="W2073" s="120">
        <v>0</v>
      </c>
      <c r="X2073" s="120">
        <v>0</v>
      </c>
      <c r="Y2073" s="120">
        <v>0</v>
      </c>
      <c r="Z2073" s="120">
        <v>0</v>
      </c>
      <c r="AA2073" s="17">
        <v>0</v>
      </c>
      <c r="AB2073" s="17">
        <v>0</v>
      </c>
      <c r="AC2073" s="17">
        <v>0</v>
      </c>
      <c r="AD2073" s="17">
        <v>0</v>
      </c>
      <c r="AE2073" s="17">
        <v>0</v>
      </c>
      <c r="AF2073" s="17">
        <v>0</v>
      </c>
      <c r="AG2073" s="17">
        <v>0</v>
      </c>
      <c r="AH2073" s="17">
        <v>0</v>
      </c>
      <c r="AI2073" s="17">
        <v>0</v>
      </c>
      <c r="AJ2073" s="17">
        <v>0</v>
      </c>
      <c r="AK2073" s="17">
        <v>0</v>
      </c>
      <c r="AL2073" s="32">
        <v>0</v>
      </c>
      <c r="AM2073" s="172">
        <v>42.5</v>
      </c>
      <c r="AN2073" s="171">
        <v>70</v>
      </c>
      <c r="AO2073" s="89"/>
      <c r="AP2073" s="783">
        <v>28</v>
      </c>
      <c r="AQ2073" s="17" t="s">
        <v>3403</v>
      </c>
      <c r="AR2073" s="174">
        <v>100</v>
      </c>
      <c r="AS2073" s="171" t="s">
        <v>246</v>
      </c>
      <c r="AT2073" s="171">
        <v>200</v>
      </c>
      <c r="AU2073" s="171">
        <v>25</v>
      </c>
      <c r="AV2073" s="57"/>
      <c r="AW2073" s="171">
        <v>28</v>
      </c>
      <c r="AX2073" s="89"/>
      <c r="AY2073" s="171">
        <v>23</v>
      </c>
      <c r="AZ2073" s="89"/>
      <c r="BA2073" s="175">
        <v>60</v>
      </c>
      <c r="BB2073" s="259"/>
      <c r="BC2073" s="176"/>
      <c r="BD2073" s="177"/>
      <c r="BE2073" s="177"/>
      <c r="BF2073" s="190" t="s">
        <v>3329</v>
      </c>
    </row>
    <row r="2074" spans="1:58">
      <c r="A2074" s="111">
        <v>2073</v>
      </c>
      <c r="B2074" s="211" t="s">
        <v>3170</v>
      </c>
      <c r="C2074" s="191" t="s">
        <v>425</v>
      </c>
      <c r="D2074" s="171" t="s">
        <v>3290</v>
      </c>
      <c r="E2074" s="732" t="s">
        <v>3379</v>
      </c>
      <c r="F2074" s="171">
        <v>1990</v>
      </c>
      <c r="G2074" s="171">
        <v>12</v>
      </c>
      <c r="H2074" s="172" t="s">
        <v>1738</v>
      </c>
      <c r="I2074" s="173" t="s">
        <v>1751</v>
      </c>
      <c r="J2074" s="242">
        <v>0.42274678111587982</v>
      </c>
      <c r="K2074" s="213">
        <v>3.6952789699570814</v>
      </c>
      <c r="L2074" s="38">
        <v>197</v>
      </c>
      <c r="M2074" s="171">
        <v>466</v>
      </c>
      <c r="N2074" s="171">
        <v>1111</v>
      </c>
      <c r="O2074" s="162"/>
      <c r="P2074" s="89"/>
      <c r="Q2074" s="221" t="s">
        <v>1754</v>
      </c>
      <c r="R2074" s="171" t="s">
        <v>3352</v>
      </c>
      <c r="S2074" s="171" t="s">
        <v>3365</v>
      </c>
      <c r="T2074" s="89"/>
      <c r="U2074" s="89" t="s">
        <v>3352</v>
      </c>
      <c r="V2074" s="102">
        <v>0</v>
      </c>
      <c r="W2074" s="120">
        <v>0</v>
      </c>
      <c r="X2074" s="120">
        <v>0</v>
      </c>
      <c r="Y2074" s="120">
        <v>0</v>
      </c>
      <c r="Z2074" s="120">
        <v>0</v>
      </c>
      <c r="AA2074" s="17">
        <v>0</v>
      </c>
      <c r="AB2074" s="17">
        <v>0</v>
      </c>
      <c r="AC2074" s="17">
        <v>0</v>
      </c>
      <c r="AD2074" s="17">
        <v>0</v>
      </c>
      <c r="AE2074" s="17">
        <v>0</v>
      </c>
      <c r="AF2074" s="17">
        <v>0</v>
      </c>
      <c r="AG2074" s="17">
        <v>0</v>
      </c>
      <c r="AH2074" s="17">
        <v>0</v>
      </c>
      <c r="AI2074" s="17">
        <v>0</v>
      </c>
      <c r="AJ2074" s="17">
        <v>0</v>
      </c>
      <c r="AK2074" s="17">
        <v>0</v>
      </c>
      <c r="AL2074" s="32">
        <v>0</v>
      </c>
      <c r="AM2074" s="172">
        <v>66.5</v>
      </c>
      <c r="AN2074" s="171">
        <v>65</v>
      </c>
      <c r="AO2074" s="89"/>
      <c r="AP2074" s="783">
        <v>29.5</v>
      </c>
      <c r="AQ2074" s="17" t="s">
        <v>3403</v>
      </c>
      <c r="AR2074" s="174">
        <v>100</v>
      </c>
      <c r="AS2074" s="171" t="s">
        <v>246</v>
      </c>
      <c r="AT2074" s="171">
        <v>200</v>
      </c>
      <c r="AU2074" s="171">
        <v>25</v>
      </c>
      <c r="AV2074" s="57"/>
      <c r="AW2074" s="171">
        <v>28</v>
      </c>
      <c r="AX2074" s="89"/>
      <c r="AY2074" s="171">
        <v>23</v>
      </c>
      <c r="AZ2074" s="89"/>
      <c r="BA2074" s="175">
        <v>60</v>
      </c>
      <c r="BB2074" s="259"/>
      <c r="BC2074" s="176"/>
      <c r="BD2074" s="177"/>
      <c r="BE2074" s="177"/>
      <c r="BF2074" s="190" t="s">
        <v>3329</v>
      </c>
    </row>
    <row r="2075" spans="1:58">
      <c r="A2075" s="111">
        <v>2074</v>
      </c>
      <c r="B2075" s="211" t="s">
        <v>3171</v>
      </c>
      <c r="C2075" s="191" t="s">
        <v>3300</v>
      </c>
      <c r="D2075" s="171" t="s">
        <v>3290</v>
      </c>
      <c r="E2075" s="732" t="s">
        <v>3379</v>
      </c>
      <c r="F2075" s="171" t="s">
        <v>3297</v>
      </c>
      <c r="G2075" s="171">
        <v>13</v>
      </c>
      <c r="H2075" s="172" t="s">
        <v>1738</v>
      </c>
      <c r="I2075" s="173" t="s">
        <v>1751</v>
      </c>
      <c r="J2075" s="242">
        <v>0.449438202247191</v>
      </c>
      <c r="K2075" s="213">
        <v>4.0337078651685392</v>
      </c>
      <c r="L2075" s="38">
        <v>200</v>
      </c>
      <c r="M2075" s="171">
        <v>445</v>
      </c>
      <c r="N2075" s="171">
        <v>1280</v>
      </c>
      <c r="O2075" s="162"/>
      <c r="P2075" s="89"/>
      <c r="Q2075" s="221" t="s">
        <v>1754</v>
      </c>
      <c r="R2075" s="171" t="s">
        <v>3353</v>
      </c>
      <c r="S2075" s="171" t="s">
        <v>3366</v>
      </c>
      <c r="T2075" s="89"/>
      <c r="U2075" s="89" t="s">
        <v>3353</v>
      </c>
      <c r="V2075" s="102">
        <v>0</v>
      </c>
      <c r="W2075" s="120">
        <v>0</v>
      </c>
      <c r="X2075" s="120">
        <v>0</v>
      </c>
      <c r="Y2075" s="120">
        <v>0</v>
      </c>
      <c r="Z2075" s="120">
        <v>0</v>
      </c>
      <c r="AA2075" s="17">
        <v>0</v>
      </c>
      <c r="AB2075" s="17">
        <v>0</v>
      </c>
      <c r="AC2075" s="17">
        <v>0</v>
      </c>
      <c r="AD2075" s="17">
        <v>0</v>
      </c>
      <c r="AE2075" s="17">
        <v>0</v>
      </c>
      <c r="AF2075" s="17">
        <v>0</v>
      </c>
      <c r="AG2075" s="17">
        <v>0</v>
      </c>
      <c r="AH2075" s="17">
        <v>0</v>
      </c>
      <c r="AI2075" s="33">
        <v>8.9806915132465207E-2</v>
      </c>
      <c r="AJ2075" s="17">
        <v>0</v>
      </c>
      <c r="AK2075" s="17">
        <v>0</v>
      </c>
      <c r="AL2075" s="32">
        <v>0</v>
      </c>
      <c r="AM2075" s="172">
        <v>49.066666666666663</v>
      </c>
      <c r="AN2075" s="171">
        <v>55</v>
      </c>
      <c r="AO2075" s="89"/>
      <c r="AP2075" s="783">
        <v>31.35</v>
      </c>
      <c r="AQ2075" s="17" t="s">
        <v>3408</v>
      </c>
      <c r="AR2075" s="213">
        <v>52.25</v>
      </c>
      <c r="AS2075" s="171" t="s">
        <v>246</v>
      </c>
      <c r="AT2075" s="171">
        <v>304.8</v>
      </c>
      <c r="AU2075" s="213">
        <v>22.301918498809691</v>
      </c>
      <c r="AV2075" s="57"/>
      <c r="AW2075" s="171">
        <v>7</v>
      </c>
      <c r="AX2075" s="89"/>
      <c r="AY2075" s="171">
        <v>23</v>
      </c>
      <c r="AZ2075" s="89"/>
      <c r="BA2075" s="175">
        <v>50</v>
      </c>
      <c r="BB2075" s="259"/>
      <c r="BC2075" s="176"/>
      <c r="BD2075" s="177"/>
      <c r="BE2075" s="177"/>
      <c r="BF2075" s="190" t="s">
        <v>3397</v>
      </c>
    </row>
    <row r="2076" spans="1:58">
      <c r="A2076" s="111">
        <v>2075</v>
      </c>
      <c r="B2076" s="211" t="s">
        <v>3172</v>
      </c>
      <c r="C2076" s="191" t="s">
        <v>3301</v>
      </c>
      <c r="D2076" s="171" t="s">
        <v>3290</v>
      </c>
      <c r="E2076" s="732" t="s">
        <v>3379</v>
      </c>
      <c r="F2076" s="171">
        <v>1979</v>
      </c>
      <c r="G2076" s="171">
        <v>14</v>
      </c>
      <c r="H2076" s="172" t="s">
        <v>1738</v>
      </c>
      <c r="I2076" s="173" t="s">
        <v>1751</v>
      </c>
      <c r="J2076" s="242">
        <v>0.64666666666666661</v>
      </c>
      <c r="K2076" s="213">
        <v>6.2</v>
      </c>
      <c r="L2076" s="38">
        <v>194</v>
      </c>
      <c r="M2076" s="171">
        <v>300</v>
      </c>
      <c r="N2076" s="171">
        <v>1100</v>
      </c>
      <c r="O2076" s="162"/>
      <c r="P2076" s="89"/>
      <c r="Q2076" s="221" t="s">
        <v>1754</v>
      </c>
      <c r="R2076" s="171" t="s">
        <v>3347</v>
      </c>
      <c r="S2076" s="171" t="s">
        <v>3358</v>
      </c>
      <c r="T2076" s="89"/>
      <c r="U2076" s="89" t="s">
        <v>3347</v>
      </c>
      <c r="V2076" s="102">
        <v>0</v>
      </c>
      <c r="W2076" s="120">
        <v>0</v>
      </c>
      <c r="X2076" s="120">
        <v>0</v>
      </c>
      <c r="Y2076" s="120">
        <v>0</v>
      </c>
      <c r="Z2076" s="120">
        <v>0</v>
      </c>
      <c r="AA2076" s="17">
        <v>0</v>
      </c>
      <c r="AB2076" s="17">
        <v>0</v>
      </c>
      <c r="AC2076" s="17">
        <v>0</v>
      </c>
      <c r="AD2076" s="17">
        <v>0</v>
      </c>
      <c r="AE2076" s="17">
        <v>0</v>
      </c>
      <c r="AF2076" s="17">
        <v>0</v>
      </c>
      <c r="AG2076" s="17">
        <v>0</v>
      </c>
      <c r="AH2076" s="17">
        <v>0</v>
      </c>
      <c r="AI2076" s="17">
        <v>0</v>
      </c>
      <c r="AJ2076" s="17">
        <v>0</v>
      </c>
      <c r="AK2076" s="17">
        <v>0</v>
      </c>
      <c r="AL2076" s="32">
        <v>0</v>
      </c>
      <c r="AM2076" s="172">
        <v>36.119999999999997</v>
      </c>
      <c r="AN2076" s="171">
        <v>85</v>
      </c>
      <c r="AO2076" s="89"/>
      <c r="AP2076" s="88"/>
      <c r="AQ2076" s="17" t="s">
        <v>3409</v>
      </c>
      <c r="AR2076" s="174">
        <v>51</v>
      </c>
      <c r="AS2076" s="171" t="s">
        <v>246</v>
      </c>
      <c r="AT2076" s="171">
        <v>300</v>
      </c>
      <c r="AU2076" s="213">
        <v>23.041474654377879</v>
      </c>
      <c r="AV2076" s="57"/>
      <c r="AW2076" s="171">
        <v>7</v>
      </c>
      <c r="AX2076" s="89"/>
      <c r="AY2076" s="171">
        <v>23</v>
      </c>
      <c r="AZ2076" s="89"/>
      <c r="BA2076" s="175">
        <v>50</v>
      </c>
      <c r="BB2076" s="259"/>
      <c r="BC2076" s="176"/>
      <c r="BD2076" s="177"/>
      <c r="BE2076" s="177"/>
      <c r="BF2076" s="190" t="s">
        <v>273</v>
      </c>
    </row>
    <row r="2077" spans="1:58">
      <c r="A2077" s="111">
        <v>2076</v>
      </c>
      <c r="B2077" s="211" t="s">
        <v>3173</v>
      </c>
      <c r="C2077" s="191" t="s">
        <v>3301</v>
      </c>
      <c r="D2077" s="171" t="s">
        <v>3290</v>
      </c>
      <c r="E2077" s="732" t="s">
        <v>3379</v>
      </c>
      <c r="F2077" s="171">
        <v>1979</v>
      </c>
      <c r="G2077" s="171">
        <v>14</v>
      </c>
      <c r="H2077" s="172" t="s">
        <v>1738</v>
      </c>
      <c r="I2077" s="173" t="s">
        <v>1751</v>
      </c>
      <c r="J2077" s="242">
        <v>0.57460317460317456</v>
      </c>
      <c r="K2077" s="213">
        <v>5.8952380952380956</v>
      </c>
      <c r="L2077" s="38">
        <v>181</v>
      </c>
      <c r="M2077" s="171">
        <v>236.25</v>
      </c>
      <c r="N2077" s="171">
        <v>1100</v>
      </c>
      <c r="O2077" s="162"/>
      <c r="P2077" s="89"/>
      <c r="Q2077" s="221" t="s">
        <v>1754</v>
      </c>
      <c r="R2077" s="171" t="s">
        <v>3347</v>
      </c>
      <c r="S2077" s="171" t="s">
        <v>3358</v>
      </c>
      <c r="T2077" s="89"/>
      <c r="U2077" s="89" t="s">
        <v>3347</v>
      </c>
      <c r="V2077" s="102">
        <v>0</v>
      </c>
      <c r="W2077" s="120">
        <v>25</v>
      </c>
      <c r="X2077" s="120">
        <v>0</v>
      </c>
      <c r="Y2077" s="120">
        <v>0</v>
      </c>
      <c r="Z2077" s="120">
        <v>0</v>
      </c>
      <c r="AA2077" s="17">
        <v>0</v>
      </c>
      <c r="AB2077" s="17">
        <v>0</v>
      </c>
      <c r="AC2077" s="17">
        <v>0</v>
      </c>
      <c r="AD2077" s="17">
        <v>0</v>
      </c>
      <c r="AE2077" s="17">
        <v>0</v>
      </c>
      <c r="AF2077" s="17">
        <v>0</v>
      </c>
      <c r="AG2077" s="17">
        <v>0</v>
      </c>
      <c r="AH2077" s="17">
        <v>0</v>
      </c>
      <c r="AI2077" s="17">
        <v>0</v>
      </c>
      <c r="AJ2077" s="17">
        <v>0</v>
      </c>
      <c r="AK2077" s="17">
        <v>0</v>
      </c>
      <c r="AL2077" s="32">
        <v>0</v>
      </c>
      <c r="AM2077" s="172">
        <v>46.4</v>
      </c>
      <c r="AN2077" s="171">
        <v>80</v>
      </c>
      <c r="AO2077" s="89"/>
      <c r="AP2077" s="88"/>
      <c r="AQ2077" s="17" t="s">
        <v>3409</v>
      </c>
      <c r="AR2077" s="174">
        <v>51</v>
      </c>
      <c r="AS2077" s="171" t="s">
        <v>246</v>
      </c>
      <c r="AT2077" s="171">
        <v>300</v>
      </c>
      <c r="AU2077" s="213">
        <v>23.041474654377879</v>
      </c>
      <c r="AV2077" s="57"/>
      <c r="AW2077" s="171">
        <v>7</v>
      </c>
      <c r="AX2077" s="89"/>
      <c r="AY2077" s="171">
        <v>23</v>
      </c>
      <c r="AZ2077" s="89"/>
      <c r="BA2077" s="175">
        <v>50</v>
      </c>
      <c r="BB2077" s="259"/>
      <c r="BC2077" s="176"/>
      <c r="BD2077" s="177"/>
      <c r="BE2077" s="177"/>
      <c r="BF2077" s="190" t="s">
        <v>273</v>
      </c>
    </row>
    <row r="2078" spans="1:58">
      <c r="A2078" s="111">
        <v>2077</v>
      </c>
      <c r="B2078" s="211" t="s">
        <v>3174</v>
      </c>
      <c r="C2078" s="191" t="s">
        <v>3301</v>
      </c>
      <c r="D2078" s="171" t="s">
        <v>3290</v>
      </c>
      <c r="E2078" s="732" t="s">
        <v>3379</v>
      </c>
      <c r="F2078" s="171">
        <v>1979</v>
      </c>
      <c r="G2078" s="171">
        <v>14</v>
      </c>
      <c r="H2078" s="172" t="s">
        <v>1738</v>
      </c>
      <c r="I2078" s="173" t="s">
        <v>1751</v>
      </c>
      <c r="J2078" s="242">
        <v>0.63666666666666671</v>
      </c>
      <c r="K2078" s="213">
        <v>6.2266666666666666</v>
      </c>
      <c r="L2078" s="38">
        <v>191</v>
      </c>
      <c r="M2078" s="171">
        <v>300</v>
      </c>
      <c r="N2078" s="171">
        <v>1100</v>
      </c>
      <c r="O2078" s="162"/>
      <c r="P2078" s="89"/>
      <c r="Q2078" s="221" t="s">
        <v>1754</v>
      </c>
      <c r="R2078" s="171" t="s">
        <v>3347</v>
      </c>
      <c r="S2078" s="171" t="s">
        <v>3358</v>
      </c>
      <c r="T2078" s="89"/>
      <c r="U2078" s="89" t="s">
        <v>3347</v>
      </c>
      <c r="V2078" s="102">
        <v>0</v>
      </c>
      <c r="W2078" s="120">
        <v>0</v>
      </c>
      <c r="X2078" s="120">
        <v>0</v>
      </c>
      <c r="Y2078" s="120">
        <v>0</v>
      </c>
      <c r="Z2078" s="120">
        <v>0</v>
      </c>
      <c r="AA2078" s="17">
        <v>0</v>
      </c>
      <c r="AB2078" s="17">
        <v>0</v>
      </c>
      <c r="AC2078" s="17">
        <v>0</v>
      </c>
      <c r="AD2078" s="17">
        <v>0</v>
      </c>
      <c r="AE2078" s="17">
        <v>0</v>
      </c>
      <c r="AF2078" s="17">
        <v>0</v>
      </c>
      <c r="AG2078" s="17">
        <v>0</v>
      </c>
      <c r="AH2078" s="17">
        <v>0</v>
      </c>
      <c r="AI2078" s="17">
        <v>0</v>
      </c>
      <c r="AJ2078" s="17">
        <v>0</v>
      </c>
      <c r="AK2078" s="17">
        <v>0</v>
      </c>
      <c r="AL2078" s="32">
        <v>0</v>
      </c>
      <c r="AM2078" s="172">
        <v>35.93</v>
      </c>
      <c r="AN2078" s="171">
        <v>70</v>
      </c>
      <c r="AO2078" s="89"/>
      <c r="AP2078" s="783">
        <v>32.799999999999997</v>
      </c>
      <c r="AQ2078" s="17" t="s">
        <v>3409</v>
      </c>
      <c r="AR2078" s="174">
        <v>51</v>
      </c>
      <c r="AS2078" s="171" t="s">
        <v>246</v>
      </c>
      <c r="AT2078" s="171">
        <v>300</v>
      </c>
      <c r="AU2078" s="213">
        <v>23.041474654377879</v>
      </c>
      <c r="AV2078" s="57"/>
      <c r="AW2078" s="171">
        <v>7</v>
      </c>
      <c r="AX2078" s="89"/>
      <c r="AY2078" s="171">
        <v>23</v>
      </c>
      <c r="AZ2078" s="89"/>
      <c r="BA2078" s="175">
        <v>50</v>
      </c>
      <c r="BB2078" s="259"/>
      <c r="BC2078" s="176"/>
      <c r="BD2078" s="177"/>
      <c r="BE2078" s="177"/>
      <c r="BF2078" s="190" t="s">
        <v>273</v>
      </c>
    </row>
    <row r="2079" spans="1:58">
      <c r="A2079" s="111">
        <v>2078</v>
      </c>
      <c r="B2079" s="211" t="s">
        <v>3175</v>
      </c>
      <c r="C2079" s="191" t="s">
        <v>3301</v>
      </c>
      <c r="D2079" s="171" t="s">
        <v>3290</v>
      </c>
      <c r="E2079" s="732" t="s">
        <v>3379</v>
      </c>
      <c r="F2079" s="171">
        <v>1979</v>
      </c>
      <c r="G2079" s="171">
        <v>14</v>
      </c>
      <c r="H2079" s="172" t="s">
        <v>1738</v>
      </c>
      <c r="I2079" s="173" t="s">
        <v>1751</v>
      </c>
      <c r="J2079" s="242">
        <v>0.60666666666666669</v>
      </c>
      <c r="K2079" s="213">
        <v>6.2433333333333332</v>
      </c>
      <c r="L2079" s="38">
        <v>182</v>
      </c>
      <c r="M2079" s="171">
        <v>300</v>
      </c>
      <c r="N2079" s="171">
        <v>1100</v>
      </c>
      <c r="O2079" s="162"/>
      <c r="P2079" s="89"/>
      <c r="Q2079" s="221" t="s">
        <v>1754</v>
      </c>
      <c r="R2079" s="171" t="s">
        <v>3347</v>
      </c>
      <c r="S2079" s="171" t="s">
        <v>3358</v>
      </c>
      <c r="T2079" s="89"/>
      <c r="U2079" s="89" t="s">
        <v>3347</v>
      </c>
      <c r="V2079" s="102">
        <v>0</v>
      </c>
      <c r="W2079" s="120">
        <v>0</v>
      </c>
      <c r="X2079" s="120">
        <v>0</v>
      </c>
      <c r="Y2079" s="120">
        <v>0</v>
      </c>
      <c r="Z2079" s="120">
        <v>0</v>
      </c>
      <c r="AA2079" s="17">
        <v>0</v>
      </c>
      <c r="AB2079" s="17">
        <v>0</v>
      </c>
      <c r="AC2079" s="17">
        <v>0</v>
      </c>
      <c r="AD2079" s="17">
        <v>0</v>
      </c>
      <c r="AE2079" s="17">
        <v>0</v>
      </c>
      <c r="AF2079" s="17">
        <v>0</v>
      </c>
      <c r="AG2079" s="33">
        <v>0.17967658215212617</v>
      </c>
      <c r="AH2079" s="17">
        <v>0</v>
      </c>
      <c r="AI2079" s="17">
        <v>0</v>
      </c>
      <c r="AJ2079" s="17">
        <v>0</v>
      </c>
      <c r="AK2079" s="17">
        <v>0</v>
      </c>
      <c r="AL2079" s="32">
        <v>0</v>
      </c>
      <c r="AM2079" s="172">
        <v>32.76</v>
      </c>
      <c r="AN2079" s="171">
        <v>75</v>
      </c>
      <c r="AO2079" s="89"/>
      <c r="AP2079" s="783">
        <v>33.4</v>
      </c>
      <c r="AQ2079" s="17" t="s">
        <v>3409</v>
      </c>
      <c r="AR2079" s="174">
        <v>51</v>
      </c>
      <c r="AS2079" s="171" t="s">
        <v>246</v>
      </c>
      <c r="AT2079" s="171">
        <v>300</v>
      </c>
      <c r="AU2079" s="213">
        <v>23.041474654377879</v>
      </c>
      <c r="AV2079" s="57"/>
      <c r="AW2079" s="171">
        <v>7</v>
      </c>
      <c r="AX2079" s="89"/>
      <c r="AY2079" s="171">
        <v>23</v>
      </c>
      <c r="AZ2079" s="89"/>
      <c r="BA2079" s="175">
        <v>50</v>
      </c>
      <c r="BB2079" s="259"/>
      <c r="BC2079" s="176"/>
      <c r="BD2079" s="177"/>
      <c r="BE2079" s="177"/>
      <c r="BF2079" s="190" t="s">
        <v>3398</v>
      </c>
    </row>
    <row r="2080" spans="1:58">
      <c r="A2080" s="111">
        <v>2079</v>
      </c>
      <c r="B2080" s="211" t="s">
        <v>3176</v>
      </c>
      <c r="C2080" s="191" t="s">
        <v>3301</v>
      </c>
      <c r="D2080" s="171" t="s">
        <v>3290</v>
      </c>
      <c r="E2080" s="732" t="s">
        <v>3379</v>
      </c>
      <c r="F2080" s="171">
        <v>1979</v>
      </c>
      <c r="G2080" s="171">
        <v>14</v>
      </c>
      <c r="H2080" s="172" t="s">
        <v>1738</v>
      </c>
      <c r="I2080" s="173" t="s">
        <v>1751</v>
      </c>
      <c r="J2080" s="242">
        <v>0.64893617021276595</v>
      </c>
      <c r="K2080" s="213">
        <v>6.75177304964539</v>
      </c>
      <c r="L2080" s="38">
        <v>183</v>
      </c>
      <c r="M2080" s="171">
        <v>240</v>
      </c>
      <c r="N2080" s="171">
        <v>1150</v>
      </c>
      <c r="O2080" s="162"/>
      <c r="P2080" s="89"/>
      <c r="Q2080" s="221" t="s">
        <v>1754</v>
      </c>
      <c r="R2080" s="171" t="s">
        <v>3347</v>
      </c>
      <c r="S2080" s="171" t="s">
        <v>3358</v>
      </c>
      <c r="T2080" s="89"/>
      <c r="U2080" s="89" t="s">
        <v>3347</v>
      </c>
      <c r="V2080" s="102">
        <v>0</v>
      </c>
      <c r="W2080" s="120">
        <v>15</v>
      </c>
      <c r="X2080" s="120">
        <v>0</v>
      </c>
      <c r="Y2080" s="120">
        <v>0</v>
      </c>
      <c r="Z2080" s="120">
        <v>0</v>
      </c>
      <c r="AA2080" s="17">
        <v>0</v>
      </c>
      <c r="AB2080" s="17">
        <v>0</v>
      </c>
      <c r="AC2080" s="17">
        <v>0</v>
      </c>
      <c r="AD2080" s="17">
        <v>0</v>
      </c>
      <c r="AE2080" s="17">
        <v>0</v>
      </c>
      <c r="AF2080" s="17">
        <v>0</v>
      </c>
      <c r="AG2080" s="17">
        <v>0</v>
      </c>
      <c r="AH2080" s="17">
        <v>0</v>
      </c>
      <c r="AI2080" s="17">
        <v>0</v>
      </c>
      <c r="AJ2080" s="17">
        <v>0</v>
      </c>
      <c r="AK2080" s="17">
        <v>0</v>
      </c>
      <c r="AL2080" s="32">
        <v>0</v>
      </c>
      <c r="AM2080" s="172">
        <v>34.933333333333337</v>
      </c>
      <c r="AN2080" s="171">
        <v>75</v>
      </c>
      <c r="AO2080" s="89"/>
      <c r="AP2080" s="783">
        <v>35.4</v>
      </c>
      <c r="AQ2080" s="17" t="s">
        <v>3409</v>
      </c>
      <c r="AR2080" s="174">
        <v>51</v>
      </c>
      <c r="AS2080" s="171" t="s">
        <v>246</v>
      </c>
      <c r="AT2080" s="171">
        <v>300</v>
      </c>
      <c r="AU2080" s="213">
        <v>23.041474654377879</v>
      </c>
      <c r="AV2080" s="57"/>
      <c r="AW2080" s="171">
        <v>7</v>
      </c>
      <c r="AX2080" s="89"/>
      <c r="AY2080" s="171">
        <v>23</v>
      </c>
      <c r="AZ2080" s="89"/>
      <c r="BA2080" s="175">
        <v>50</v>
      </c>
      <c r="BB2080" s="259"/>
      <c r="BC2080" s="176"/>
      <c r="BD2080" s="177"/>
      <c r="BE2080" s="177"/>
      <c r="BF2080" s="190" t="s">
        <v>273</v>
      </c>
    </row>
    <row r="2081" spans="1:58">
      <c r="A2081" s="111">
        <v>2080</v>
      </c>
      <c r="B2081" s="211" t="s">
        <v>3177</v>
      </c>
      <c r="C2081" s="191" t="s">
        <v>3301</v>
      </c>
      <c r="D2081" s="171" t="s">
        <v>3290</v>
      </c>
      <c r="E2081" s="732" t="s">
        <v>3379</v>
      </c>
      <c r="F2081" s="171">
        <v>1979</v>
      </c>
      <c r="G2081" s="171">
        <v>14</v>
      </c>
      <c r="H2081" s="172" t="s">
        <v>1738</v>
      </c>
      <c r="I2081" s="173" t="s">
        <v>1751</v>
      </c>
      <c r="J2081" s="242">
        <v>0.64444444444444449</v>
      </c>
      <c r="K2081" s="213">
        <v>7.1407407407407408</v>
      </c>
      <c r="L2081" s="38">
        <v>174</v>
      </c>
      <c r="M2081" s="171">
        <v>230</v>
      </c>
      <c r="N2081" s="171">
        <v>1150</v>
      </c>
      <c r="O2081" s="162"/>
      <c r="P2081" s="89"/>
      <c r="Q2081" s="221" t="s">
        <v>1754</v>
      </c>
      <c r="R2081" s="171" t="s">
        <v>3347</v>
      </c>
      <c r="S2081" s="171" t="s">
        <v>3358</v>
      </c>
      <c r="T2081" s="89"/>
      <c r="U2081" s="89" t="s">
        <v>3347</v>
      </c>
      <c r="V2081" s="102">
        <v>0</v>
      </c>
      <c r="W2081" s="120">
        <v>15</v>
      </c>
      <c r="X2081" s="120">
        <v>0</v>
      </c>
      <c r="Y2081" s="120">
        <v>0</v>
      </c>
      <c r="Z2081" s="120">
        <v>0</v>
      </c>
      <c r="AA2081" s="17">
        <v>0</v>
      </c>
      <c r="AB2081" s="17">
        <v>0</v>
      </c>
      <c r="AC2081" s="17">
        <v>0</v>
      </c>
      <c r="AD2081" s="17">
        <v>0</v>
      </c>
      <c r="AE2081" s="17">
        <v>0</v>
      </c>
      <c r="AF2081" s="17">
        <v>0</v>
      </c>
      <c r="AG2081" s="33">
        <v>0.17008060341640172</v>
      </c>
      <c r="AH2081" s="17">
        <v>0</v>
      </c>
      <c r="AI2081" s="17">
        <v>0</v>
      </c>
      <c r="AJ2081" s="17">
        <v>0</v>
      </c>
      <c r="AK2081" s="17">
        <v>0</v>
      </c>
      <c r="AL2081" s="32">
        <v>0</v>
      </c>
      <c r="AM2081" s="172">
        <v>37.200000000000003</v>
      </c>
      <c r="AN2081" s="171">
        <v>70</v>
      </c>
      <c r="AO2081" s="89"/>
      <c r="AP2081" s="783">
        <v>35.299999999999997</v>
      </c>
      <c r="AQ2081" s="17" t="s">
        <v>3409</v>
      </c>
      <c r="AR2081" s="174">
        <v>51</v>
      </c>
      <c r="AS2081" s="171" t="s">
        <v>246</v>
      </c>
      <c r="AT2081" s="171">
        <v>300</v>
      </c>
      <c r="AU2081" s="213">
        <v>23.041474654377879</v>
      </c>
      <c r="AV2081" s="57"/>
      <c r="AW2081" s="171">
        <v>7</v>
      </c>
      <c r="AX2081" s="89"/>
      <c r="AY2081" s="171">
        <v>23</v>
      </c>
      <c r="AZ2081" s="89"/>
      <c r="BA2081" s="175">
        <v>50</v>
      </c>
      <c r="BB2081" s="259"/>
      <c r="BC2081" s="176"/>
      <c r="BD2081" s="177"/>
      <c r="BE2081" s="177"/>
      <c r="BF2081" s="190" t="s">
        <v>3398</v>
      </c>
    </row>
    <row r="2082" spans="1:58">
      <c r="A2082" s="111">
        <v>2081</v>
      </c>
      <c r="B2082" s="211" t="s">
        <v>3178</v>
      </c>
      <c r="C2082" s="191" t="s">
        <v>3301</v>
      </c>
      <c r="D2082" s="171" t="s">
        <v>3290</v>
      </c>
      <c r="E2082" s="732" t="s">
        <v>3379</v>
      </c>
      <c r="F2082" s="171">
        <v>1979</v>
      </c>
      <c r="G2082" s="171">
        <v>14</v>
      </c>
      <c r="H2082" s="172" t="s">
        <v>1738</v>
      </c>
      <c r="I2082" s="173" t="s">
        <v>1751</v>
      </c>
      <c r="J2082" s="242">
        <v>0.62827225130890052</v>
      </c>
      <c r="K2082" s="213">
        <v>6.6247818499127398</v>
      </c>
      <c r="L2082" s="38">
        <v>180</v>
      </c>
      <c r="M2082" s="171">
        <v>215</v>
      </c>
      <c r="N2082" s="171">
        <v>1150</v>
      </c>
      <c r="O2082" s="162"/>
      <c r="P2082" s="89"/>
      <c r="Q2082" s="221" t="s">
        <v>1754</v>
      </c>
      <c r="R2082" s="171" t="s">
        <v>3347</v>
      </c>
      <c r="S2082" s="171" t="s">
        <v>3358</v>
      </c>
      <c r="T2082" s="89"/>
      <c r="U2082" s="89" t="s">
        <v>3347</v>
      </c>
      <c r="V2082" s="102">
        <v>0</v>
      </c>
      <c r="W2082" s="120">
        <v>25</v>
      </c>
      <c r="X2082" s="120">
        <v>0</v>
      </c>
      <c r="Y2082" s="120">
        <v>0</v>
      </c>
      <c r="Z2082" s="120">
        <v>0</v>
      </c>
      <c r="AA2082" s="17">
        <v>0</v>
      </c>
      <c r="AB2082" s="17">
        <v>0</v>
      </c>
      <c r="AC2082" s="17">
        <v>0</v>
      </c>
      <c r="AD2082" s="17">
        <v>0</v>
      </c>
      <c r="AE2082" s="17">
        <v>0</v>
      </c>
      <c r="AF2082" s="17">
        <v>0</v>
      </c>
      <c r="AG2082" s="17">
        <v>0</v>
      </c>
      <c r="AH2082" s="17">
        <v>0</v>
      </c>
      <c r="AI2082" s="17">
        <v>0</v>
      </c>
      <c r="AJ2082" s="17">
        <v>0</v>
      </c>
      <c r="AK2082" s="17">
        <v>0</v>
      </c>
      <c r="AL2082" s="32">
        <v>0</v>
      </c>
      <c r="AM2082" s="172">
        <v>35</v>
      </c>
      <c r="AN2082" s="171">
        <v>80</v>
      </c>
      <c r="AO2082" s="89"/>
      <c r="AP2082" s="783">
        <v>32.9</v>
      </c>
      <c r="AQ2082" s="17" t="s">
        <v>3409</v>
      </c>
      <c r="AR2082" s="174">
        <v>51</v>
      </c>
      <c r="AS2082" s="171" t="s">
        <v>246</v>
      </c>
      <c r="AT2082" s="171">
        <v>300</v>
      </c>
      <c r="AU2082" s="213">
        <v>23.041474654377879</v>
      </c>
      <c r="AV2082" s="57"/>
      <c r="AW2082" s="171">
        <v>7</v>
      </c>
      <c r="AX2082" s="89"/>
      <c r="AY2082" s="171">
        <v>23</v>
      </c>
      <c r="AZ2082" s="89"/>
      <c r="BA2082" s="175">
        <v>50</v>
      </c>
      <c r="BB2082" s="259"/>
      <c r="BC2082" s="176"/>
      <c r="BD2082" s="177"/>
      <c r="BE2082" s="177"/>
      <c r="BF2082" s="190" t="s">
        <v>273</v>
      </c>
    </row>
    <row r="2083" spans="1:58">
      <c r="A2083" s="111">
        <v>2082</v>
      </c>
      <c r="B2083" s="211" t="s">
        <v>3179</v>
      </c>
      <c r="C2083" s="191" t="s">
        <v>3301</v>
      </c>
      <c r="D2083" s="171" t="s">
        <v>3290</v>
      </c>
      <c r="E2083" s="732" t="s">
        <v>3379</v>
      </c>
      <c r="F2083" s="171">
        <v>1979</v>
      </c>
      <c r="G2083" s="171">
        <v>14</v>
      </c>
      <c r="H2083" s="172" t="s">
        <v>1738</v>
      </c>
      <c r="I2083" s="173" t="s">
        <v>1751</v>
      </c>
      <c r="J2083" s="242">
        <v>0.62773722627737227</v>
      </c>
      <c r="K2083" s="213">
        <v>7.0401459854014599</v>
      </c>
      <c r="L2083" s="38">
        <v>172</v>
      </c>
      <c r="M2083" s="171">
        <v>205</v>
      </c>
      <c r="N2083" s="171">
        <v>1160</v>
      </c>
      <c r="O2083" s="162"/>
      <c r="P2083" s="89"/>
      <c r="Q2083" s="221" t="s">
        <v>1754</v>
      </c>
      <c r="R2083" s="171" t="s">
        <v>3347</v>
      </c>
      <c r="S2083" s="171" t="s">
        <v>3358</v>
      </c>
      <c r="T2083" s="89"/>
      <c r="U2083" s="89" t="s">
        <v>3347</v>
      </c>
      <c r="V2083" s="102">
        <v>0</v>
      </c>
      <c r="W2083" s="120">
        <v>25</v>
      </c>
      <c r="X2083" s="120">
        <v>0</v>
      </c>
      <c r="Y2083" s="120">
        <v>0</v>
      </c>
      <c r="Z2083" s="120">
        <v>0</v>
      </c>
      <c r="AA2083" s="17">
        <v>0</v>
      </c>
      <c r="AB2083" s="17">
        <v>0</v>
      </c>
      <c r="AC2083" s="17">
        <v>0</v>
      </c>
      <c r="AD2083" s="17">
        <v>0</v>
      </c>
      <c r="AE2083" s="17">
        <v>0</v>
      </c>
      <c r="AF2083" s="17">
        <v>0</v>
      </c>
      <c r="AG2083" s="33">
        <v>0.14941146459677124</v>
      </c>
      <c r="AH2083" s="17">
        <v>0</v>
      </c>
      <c r="AI2083" s="17">
        <v>0</v>
      </c>
      <c r="AJ2083" s="17">
        <v>0</v>
      </c>
      <c r="AK2083" s="17">
        <v>0</v>
      </c>
      <c r="AL2083" s="32">
        <v>0</v>
      </c>
      <c r="AM2083" s="172">
        <v>37.620000000000005</v>
      </c>
      <c r="AN2083" s="171">
        <v>75</v>
      </c>
      <c r="AO2083" s="89"/>
      <c r="AP2083" s="783">
        <v>35.799999999999997</v>
      </c>
      <c r="AQ2083" s="17" t="s">
        <v>3409</v>
      </c>
      <c r="AR2083" s="174">
        <v>51</v>
      </c>
      <c r="AS2083" s="171" t="s">
        <v>246</v>
      </c>
      <c r="AT2083" s="171">
        <v>300</v>
      </c>
      <c r="AU2083" s="213">
        <v>23.041474654377879</v>
      </c>
      <c r="AV2083" s="57"/>
      <c r="AW2083" s="171">
        <v>7</v>
      </c>
      <c r="AX2083" s="89"/>
      <c r="AY2083" s="171">
        <v>23</v>
      </c>
      <c r="AZ2083" s="89"/>
      <c r="BA2083" s="175">
        <v>50</v>
      </c>
      <c r="BB2083" s="259"/>
      <c r="BC2083" s="176"/>
      <c r="BD2083" s="177"/>
      <c r="BE2083" s="177"/>
      <c r="BF2083" s="190" t="s">
        <v>3398</v>
      </c>
    </row>
    <row r="2084" spans="1:58">
      <c r="A2084" s="111">
        <v>2083</v>
      </c>
      <c r="B2084" s="211" t="s">
        <v>3180</v>
      </c>
      <c r="C2084" s="191" t="s">
        <v>3302</v>
      </c>
      <c r="D2084" s="171" t="s">
        <v>3290</v>
      </c>
      <c r="E2084" s="732" t="s">
        <v>3379</v>
      </c>
      <c r="F2084" s="171">
        <v>1990</v>
      </c>
      <c r="G2084" s="171">
        <v>15</v>
      </c>
      <c r="H2084" s="172" t="s">
        <v>1738</v>
      </c>
      <c r="I2084" s="173" t="s">
        <v>1751</v>
      </c>
      <c r="J2084" s="242">
        <v>0.66558441558441561</v>
      </c>
      <c r="K2084" s="213">
        <v>6.4090909090909092</v>
      </c>
      <c r="L2084" s="38">
        <v>205</v>
      </c>
      <c r="M2084" s="171">
        <v>308</v>
      </c>
      <c r="N2084" s="171">
        <v>1090</v>
      </c>
      <c r="O2084" s="162"/>
      <c r="P2084" s="89"/>
      <c r="Q2084" s="221" t="s">
        <v>1754</v>
      </c>
      <c r="R2084" s="171" t="s">
        <v>3345</v>
      </c>
      <c r="S2084" s="171" t="s">
        <v>3367</v>
      </c>
      <c r="T2084" s="89"/>
      <c r="U2084" s="89" t="s">
        <v>3345</v>
      </c>
      <c r="V2084" s="102">
        <v>0</v>
      </c>
      <c r="W2084" s="120">
        <v>0</v>
      </c>
      <c r="X2084" s="120">
        <v>0</v>
      </c>
      <c r="Y2084" s="120">
        <v>0</v>
      </c>
      <c r="Z2084" s="120">
        <v>0</v>
      </c>
      <c r="AA2084" s="17">
        <v>0</v>
      </c>
      <c r="AB2084" s="17">
        <v>0</v>
      </c>
      <c r="AC2084" s="17">
        <v>0</v>
      </c>
      <c r="AD2084" s="17">
        <v>0</v>
      </c>
      <c r="AE2084" s="17">
        <v>0</v>
      </c>
      <c r="AF2084" s="17">
        <v>0</v>
      </c>
      <c r="AG2084" s="17">
        <v>0</v>
      </c>
      <c r="AH2084" s="17">
        <v>0</v>
      </c>
      <c r="AI2084" s="17">
        <v>0</v>
      </c>
      <c r="AJ2084" s="17">
        <v>0</v>
      </c>
      <c r="AK2084" s="17">
        <v>0</v>
      </c>
      <c r="AL2084" s="32">
        <v>0</v>
      </c>
      <c r="AM2084" s="172">
        <v>28.5</v>
      </c>
      <c r="AN2084" s="89"/>
      <c r="AO2084" s="89"/>
      <c r="AP2084" s="783">
        <v>33.700000000000003</v>
      </c>
      <c r="AQ2084" s="17" t="s">
        <v>3410</v>
      </c>
      <c r="AR2084" s="174">
        <v>75</v>
      </c>
      <c r="AS2084" s="171" t="s">
        <v>246</v>
      </c>
      <c r="AT2084" s="171"/>
      <c r="AU2084" s="171">
        <v>37.5</v>
      </c>
      <c r="AV2084" s="57"/>
      <c r="AW2084" s="171">
        <v>28</v>
      </c>
      <c r="AX2084" s="89"/>
      <c r="AY2084" s="171">
        <v>23.5</v>
      </c>
      <c r="AZ2084" s="89"/>
      <c r="BA2084" s="175">
        <v>60</v>
      </c>
      <c r="BB2084" s="259"/>
      <c r="BC2084" s="176"/>
      <c r="BD2084" s="177"/>
      <c r="BE2084" s="177"/>
      <c r="BF2084" s="190" t="s">
        <v>3330</v>
      </c>
    </row>
    <row r="2085" spans="1:58">
      <c r="A2085" s="111">
        <v>2084</v>
      </c>
      <c r="B2085" s="211" t="s">
        <v>3181</v>
      </c>
      <c r="C2085" s="191" t="s">
        <v>3302</v>
      </c>
      <c r="D2085" s="171" t="s">
        <v>3290</v>
      </c>
      <c r="E2085" s="732" t="s">
        <v>3379</v>
      </c>
      <c r="F2085" s="171">
        <v>1990</v>
      </c>
      <c r="G2085" s="171">
        <v>15</v>
      </c>
      <c r="H2085" s="172" t="s">
        <v>1738</v>
      </c>
      <c r="I2085" s="173" t="s">
        <v>1751</v>
      </c>
      <c r="J2085" s="242">
        <v>0.66326530612244894</v>
      </c>
      <c r="K2085" s="213">
        <v>6.8809523809523814</v>
      </c>
      <c r="L2085" s="38">
        <v>195</v>
      </c>
      <c r="M2085" s="171">
        <v>294</v>
      </c>
      <c r="N2085" s="171">
        <v>1180</v>
      </c>
      <c r="O2085" s="162"/>
      <c r="P2085" s="89"/>
      <c r="Q2085" s="221" t="s">
        <v>1754</v>
      </c>
      <c r="R2085" s="171" t="s">
        <v>3345</v>
      </c>
      <c r="S2085" s="171" t="s">
        <v>3367</v>
      </c>
      <c r="T2085" s="89"/>
      <c r="U2085" s="89" t="s">
        <v>3345</v>
      </c>
      <c r="V2085" s="102">
        <v>0</v>
      </c>
      <c r="W2085" s="120">
        <v>0</v>
      </c>
      <c r="X2085" s="120">
        <v>0</v>
      </c>
      <c r="Y2085" s="120">
        <v>0</v>
      </c>
      <c r="Z2085" s="120">
        <v>0</v>
      </c>
      <c r="AA2085" s="17">
        <v>0</v>
      </c>
      <c r="AB2085" s="17">
        <v>0</v>
      </c>
      <c r="AC2085" s="17">
        <v>0</v>
      </c>
      <c r="AD2085" s="17">
        <v>0</v>
      </c>
      <c r="AE2085" s="17">
        <v>0</v>
      </c>
      <c r="AF2085" s="17">
        <v>0</v>
      </c>
      <c r="AG2085" s="17">
        <v>0</v>
      </c>
      <c r="AH2085" s="17">
        <v>0</v>
      </c>
      <c r="AI2085" s="17">
        <v>0</v>
      </c>
      <c r="AJ2085" s="17">
        <v>0</v>
      </c>
      <c r="AK2085" s="17">
        <v>0</v>
      </c>
      <c r="AL2085" s="32">
        <v>0</v>
      </c>
      <c r="AM2085" s="172">
        <v>29</v>
      </c>
      <c r="AN2085" s="89"/>
      <c r="AO2085" s="89"/>
      <c r="AP2085" s="783">
        <v>35.42</v>
      </c>
      <c r="AQ2085" s="17" t="s">
        <v>3410</v>
      </c>
      <c r="AR2085" s="174">
        <v>75</v>
      </c>
      <c r="AS2085" s="171" t="s">
        <v>246</v>
      </c>
      <c r="AT2085" s="171"/>
      <c r="AU2085" s="171">
        <v>37.5</v>
      </c>
      <c r="AV2085" s="57"/>
      <c r="AW2085" s="171">
        <v>28</v>
      </c>
      <c r="AX2085" s="89"/>
      <c r="AY2085" s="171">
        <v>23.5</v>
      </c>
      <c r="AZ2085" s="89"/>
      <c r="BA2085" s="175">
        <v>60</v>
      </c>
      <c r="BB2085" s="259"/>
      <c r="BC2085" s="176"/>
      <c r="BD2085" s="177"/>
      <c r="BE2085" s="177"/>
      <c r="BF2085" s="190" t="s">
        <v>3330</v>
      </c>
    </row>
    <row r="2086" spans="1:58">
      <c r="A2086" s="111">
        <v>2085</v>
      </c>
      <c r="B2086" s="211" t="s">
        <v>3182</v>
      </c>
      <c r="C2086" s="191" t="s">
        <v>3302</v>
      </c>
      <c r="D2086" s="171" t="s">
        <v>3290</v>
      </c>
      <c r="E2086" s="732" t="s">
        <v>3379</v>
      </c>
      <c r="F2086" s="171">
        <v>1990</v>
      </c>
      <c r="G2086" s="171">
        <v>15</v>
      </c>
      <c r="H2086" s="172" t="s">
        <v>1738</v>
      </c>
      <c r="I2086" s="173" t="s">
        <v>1751</v>
      </c>
      <c r="J2086" s="242">
        <v>0.76951672862453535</v>
      </c>
      <c r="K2086" s="213">
        <v>7.4386617100371746</v>
      </c>
      <c r="L2086" s="38">
        <v>207</v>
      </c>
      <c r="M2086" s="171">
        <v>269</v>
      </c>
      <c r="N2086" s="171">
        <v>1080</v>
      </c>
      <c r="O2086" s="162"/>
      <c r="P2086" s="89"/>
      <c r="Q2086" s="221" t="s">
        <v>1754</v>
      </c>
      <c r="R2086" s="171" t="s">
        <v>3345</v>
      </c>
      <c r="S2086" s="171" t="s">
        <v>3367</v>
      </c>
      <c r="T2086" s="89"/>
      <c r="U2086" s="89" t="s">
        <v>3345</v>
      </c>
      <c r="V2086" s="102">
        <v>0</v>
      </c>
      <c r="W2086" s="120">
        <v>0</v>
      </c>
      <c r="X2086" s="120">
        <v>0</v>
      </c>
      <c r="Y2086" s="120">
        <v>0</v>
      </c>
      <c r="Z2086" s="120">
        <v>0</v>
      </c>
      <c r="AA2086" s="17">
        <v>0</v>
      </c>
      <c r="AB2086" s="17">
        <v>0</v>
      </c>
      <c r="AC2086" s="17">
        <v>0</v>
      </c>
      <c r="AD2086" s="17">
        <v>0</v>
      </c>
      <c r="AE2086" s="17">
        <v>0</v>
      </c>
      <c r="AF2086" s="17">
        <v>0</v>
      </c>
      <c r="AG2086" s="17">
        <v>0</v>
      </c>
      <c r="AH2086" s="17">
        <v>0</v>
      </c>
      <c r="AI2086" s="17">
        <v>0</v>
      </c>
      <c r="AJ2086" s="17">
        <v>0</v>
      </c>
      <c r="AK2086" s="17">
        <v>0</v>
      </c>
      <c r="AL2086" s="32">
        <v>0</v>
      </c>
      <c r="AM2086" s="172">
        <v>30</v>
      </c>
      <c r="AN2086" s="89"/>
      <c r="AO2086" s="89"/>
      <c r="AP2086" s="783">
        <v>33.700000000000003</v>
      </c>
      <c r="AQ2086" s="17" t="s">
        <v>3410</v>
      </c>
      <c r="AR2086" s="174">
        <v>75</v>
      </c>
      <c r="AS2086" s="171" t="s">
        <v>246</v>
      </c>
      <c r="AT2086" s="171"/>
      <c r="AU2086" s="171">
        <v>37.5</v>
      </c>
      <c r="AV2086" s="57"/>
      <c r="AW2086" s="171">
        <v>28</v>
      </c>
      <c r="AX2086" s="89"/>
      <c r="AY2086" s="171">
        <v>23.5</v>
      </c>
      <c r="AZ2086" s="89"/>
      <c r="BA2086" s="175">
        <v>60</v>
      </c>
      <c r="BB2086" s="259"/>
      <c r="BC2086" s="176"/>
      <c r="BD2086" s="177"/>
      <c r="BE2086" s="177"/>
      <c r="BF2086" s="190" t="s">
        <v>3331</v>
      </c>
    </row>
    <row r="2087" spans="1:58">
      <c r="A2087" s="111">
        <v>2086</v>
      </c>
      <c r="B2087" s="211" t="s">
        <v>3183</v>
      </c>
      <c r="C2087" s="191" t="s">
        <v>3302</v>
      </c>
      <c r="D2087" s="171" t="s">
        <v>3290</v>
      </c>
      <c r="E2087" s="732" t="s">
        <v>3379</v>
      </c>
      <c r="F2087" s="171">
        <v>1990</v>
      </c>
      <c r="G2087" s="171">
        <v>15</v>
      </c>
      <c r="H2087" s="172" t="s">
        <v>1738</v>
      </c>
      <c r="I2087" s="173" t="s">
        <v>1751</v>
      </c>
      <c r="J2087" s="242">
        <v>0.6253968253968254</v>
      </c>
      <c r="K2087" s="213">
        <v>6.2793650793650793</v>
      </c>
      <c r="L2087" s="38">
        <v>197</v>
      </c>
      <c r="M2087" s="171">
        <v>268</v>
      </c>
      <c r="N2087" s="171">
        <v>1100</v>
      </c>
      <c r="O2087" s="162"/>
      <c r="P2087" s="89"/>
      <c r="Q2087" s="221" t="s">
        <v>1754</v>
      </c>
      <c r="R2087" s="171" t="s">
        <v>3345</v>
      </c>
      <c r="S2087" s="171" t="s">
        <v>3367</v>
      </c>
      <c r="T2087" s="89"/>
      <c r="U2087" s="89" t="s">
        <v>3345</v>
      </c>
      <c r="V2087" s="102">
        <v>0</v>
      </c>
      <c r="W2087" s="120">
        <v>15</v>
      </c>
      <c r="X2087" s="120">
        <v>0</v>
      </c>
      <c r="Y2087" s="120">
        <v>0</v>
      </c>
      <c r="Z2087" s="120">
        <v>0</v>
      </c>
      <c r="AA2087" s="17">
        <v>0</v>
      </c>
      <c r="AB2087" s="17">
        <v>0</v>
      </c>
      <c r="AC2087" s="17">
        <v>0</v>
      </c>
      <c r="AD2087" s="17">
        <v>0</v>
      </c>
      <c r="AE2087" s="17">
        <v>0</v>
      </c>
      <c r="AF2087" s="17">
        <v>0</v>
      </c>
      <c r="AG2087" s="17">
        <v>0</v>
      </c>
      <c r="AH2087" s="17">
        <v>0</v>
      </c>
      <c r="AI2087" s="17">
        <v>0</v>
      </c>
      <c r="AJ2087" s="17">
        <v>0</v>
      </c>
      <c r="AK2087" s="17">
        <v>0</v>
      </c>
      <c r="AL2087" s="32">
        <v>0</v>
      </c>
      <c r="AM2087" s="172">
        <v>31</v>
      </c>
      <c r="AN2087" s="89"/>
      <c r="AO2087" s="89"/>
      <c r="AP2087" s="783">
        <v>32.85</v>
      </c>
      <c r="AQ2087" s="17" t="s">
        <v>3410</v>
      </c>
      <c r="AR2087" s="174">
        <v>75</v>
      </c>
      <c r="AS2087" s="171" t="s">
        <v>246</v>
      </c>
      <c r="AT2087" s="171"/>
      <c r="AU2087" s="171">
        <v>37.5</v>
      </c>
      <c r="AV2087" s="57"/>
      <c r="AW2087" s="171">
        <v>28</v>
      </c>
      <c r="AX2087" s="89"/>
      <c r="AY2087" s="171">
        <v>23.5</v>
      </c>
      <c r="AZ2087" s="89"/>
      <c r="BA2087" s="175">
        <v>60</v>
      </c>
      <c r="BB2087" s="259"/>
      <c r="BC2087" s="176"/>
      <c r="BD2087" s="177"/>
      <c r="BE2087" s="177"/>
      <c r="BF2087" s="190" t="s">
        <v>3330</v>
      </c>
    </row>
    <row r="2088" spans="1:58">
      <c r="A2088" s="111">
        <v>2087</v>
      </c>
      <c r="B2088" s="211" t="s">
        <v>3184</v>
      </c>
      <c r="C2088" s="191" t="s">
        <v>3302</v>
      </c>
      <c r="D2088" s="171" t="s">
        <v>3290</v>
      </c>
      <c r="E2088" s="732" t="s">
        <v>3379</v>
      </c>
      <c r="F2088" s="171">
        <v>1990</v>
      </c>
      <c r="G2088" s="171">
        <v>15</v>
      </c>
      <c r="H2088" s="172" t="s">
        <v>1738</v>
      </c>
      <c r="I2088" s="173" t="s">
        <v>1751</v>
      </c>
      <c r="J2088" s="242">
        <v>0.71223021582733814</v>
      </c>
      <c r="K2088" s="213">
        <v>7.043165467625899</v>
      </c>
      <c r="L2088" s="38">
        <v>198</v>
      </c>
      <c r="M2088" s="171">
        <v>236</v>
      </c>
      <c r="N2088" s="171">
        <v>1090</v>
      </c>
      <c r="O2088" s="162"/>
      <c r="P2088" s="89"/>
      <c r="Q2088" s="221" t="s">
        <v>1754</v>
      </c>
      <c r="R2088" s="171" t="s">
        <v>3345</v>
      </c>
      <c r="S2088" s="171" t="s">
        <v>3367</v>
      </c>
      <c r="T2088" s="89"/>
      <c r="U2088" s="89" t="s">
        <v>3345</v>
      </c>
      <c r="V2088" s="102">
        <v>0</v>
      </c>
      <c r="W2088" s="120">
        <v>15</v>
      </c>
      <c r="X2088" s="120">
        <v>0</v>
      </c>
      <c r="Y2088" s="120">
        <v>0</v>
      </c>
      <c r="Z2088" s="120">
        <v>0</v>
      </c>
      <c r="AA2088" s="17">
        <v>0</v>
      </c>
      <c r="AB2088" s="17">
        <v>0</v>
      </c>
      <c r="AC2088" s="17">
        <v>0</v>
      </c>
      <c r="AD2088" s="17">
        <v>0</v>
      </c>
      <c r="AE2088" s="17">
        <v>0</v>
      </c>
      <c r="AF2088" s="17">
        <v>0</v>
      </c>
      <c r="AG2088" s="17">
        <v>0</v>
      </c>
      <c r="AH2088" s="17">
        <v>0</v>
      </c>
      <c r="AI2088" s="17">
        <v>0</v>
      </c>
      <c r="AJ2088" s="17">
        <v>0</v>
      </c>
      <c r="AK2088" s="17">
        <v>0</v>
      </c>
      <c r="AL2088" s="32">
        <v>0</v>
      </c>
      <c r="AM2088" s="172">
        <v>31</v>
      </c>
      <c r="AN2088" s="89"/>
      <c r="AO2088" s="89"/>
      <c r="AP2088" s="783">
        <v>35.119999999999997</v>
      </c>
      <c r="AQ2088" s="17" t="s">
        <v>3410</v>
      </c>
      <c r="AR2088" s="174">
        <v>75</v>
      </c>
      <c r="AS2088" s="171" t="s">
        <v>246</v>
      </c>
      <c r="AT2088" s="171"/>
      <c r="AU2088" s="171">
        <v>37.5</v>
      </c>
      <c r="AV2088" s="57"/>
      <c r="AW2088" s="171">
        <v>28</v>
      </c>
      <c r="AX2088" s="89"/>
      <c r="AY2088" s="171">
        <v>23.5</v>
      </c>
      <c r="AZ2088" s="89"/>
      <c r="BA2088" s="175">
        <v>60</v>
      </c>
      <c r="BB2088" s="259"/>
      <c r="BC2088" s="176"/>
      <c r="BD2088" s="177"/>
      <c r="BE2088" s="177"/>
      <c r="BF2088" s="190" t="s">
        <v>3331</v>
      </c>
    </row>
    <row r="2089" spans="1:58">
      <c r="A2089" s="111">
        <v>2088</v>
      </c>
      <c r="B2089" s="211" t="s">
        <v>3185</v>
      </c>
      <c r="C2089" s="191" t="s">
        <v>3302</v>
      </c>
      <c r="D2089" s="171" t="s">
        <v>3290</v>
      </c>
      <c r="E2089" s="732" t="s">
        <v>3379</v>
      </c>
      <c r="F2089" s="171">
        <v>1990</v>
      </c>
      <c r="G2089" s="171">
        <v>15</v>
      </c>
      <c r="H2089" s="172" t="s">
        <v>1738</v>
      </c>
      <c r="I2089" s="173" t="s">
        <v>1751</v>
      </c>
      <c r="J2089" s="242">
        <v>0.58878504672897192</v>
      </c>
      <c r="K2089" s="213">
        <v>6.3302180685358254</v>
      </c>
      <c r="L2089" s="38">
        <v>189</v>
      </c>
      <c r="M2089" s="171">
        <v>225</v>
      </c>
      <c r="N2089" s="171">
        <v>1115</v>
      </c>
      <c r="O2089" s="162"/>
      <c r="P2089" s="89"/>
      <c r="Q2089" s="221" t="s">
        <v>1754</v>
      </c>
      <c r="R2089" s="171" t="s">
        <v>3345</v>
      </c>
      <c r="S2089" s="171" t="s">
        <v>3367</v>
      </c>
      <c r="T2089" s="89"/>
      <c r="U2089" s="89" t="s">
        <v>3345</v>
      </c>
      <c r="V2089" s="102">
        <v>0</v>
      </c>
      <c r="W2089" s="120">
        <v>30</v>
      </c>
      <c r="X2089" s="120">
        <v>0</v>
      </c>
      <c r="Y2089" s="120">
        <v>0</v>
      </c>
      <c r="Z2089" s="120">
        <v>0</v>
      </c>
      <c r="AA2089" s="17">
        <v>0</v>
      </c>
      <c r="AB2089" s="17">
        <v>0</v>
      </c>
      <c r="AC2089" s="17">
        <v>0</v>
      </c>
      <c r="AD2089" s="17">
        <v>0</v>
      </c>
      <c r="AE2089" s="17">
        <v>0</v>
      </c>
      <c r="AF2089" s="17">
        <v>0</v>
      </c>
      <c r="AG2089" s="17">
        <v>0</v>
      </c>
      <c r="AH2089" s="17">
        <v>0</v>
      </c>
      <c r="AI2089" s="17">
        <v>0</v>
      </c>
      <c r="AJ2089" s="17">
        <v>0</v>
      </c>
      <c r="AK2089" s="17">
        <v>0</v>
      </c>
      <c r="AL2089" s="32">
        <v>0</v>
      </c>
      <c r="AM2089" s="172">
        <v>27.5</v>
      </c>
      <c r="AN2089" s="89"/>
      <c r="AO2089" s="89"/>
      <c r="AP2089" s="783">
        <v>36.43</v>
      </c>
      <c r="AQ2089" s="17" t="s">
        <v>3410</v>
      </c>
      <c r="AR2089" s="174">
        <v>75</v>
      </c>
      <c r="AS2089" s="171" t="s">
        <v>246</v>
      </c>
      <c r="AT2089" s="171"/>
      <c r="AU2089" s="171">
        <v>37.5</v>
      </c>
      <c r="AV2089" s="57"/>
      <c r="AW2089" s="171">
        <v>28</v>
      </c>
      <c r="AX2089" s="89"/>
      <c r="AY2089" s="171">
        <v>23.5</v>
      </c>
      <c r="AZ2089" s="89"/>
      <c r="BA2089" s="175">
        <v>60</v>
      </c>
      <c r="BB2089" s="259"/>
      <c r="BC2089" s="176"/>
      <c r="BD2089" s="177"/>
      <c r="BE2089" s="177"/>
      <c r="BF2089" s="190" t="s">
        <v>3330</v>
      </c>
    </row>
    <row r="2090" spans="1:58">
      <c r="A2090" s="111">
        <v>2089</v>
      </c>
      <c r="B2090" s="211" t="s">
        <v>3186</v>
      </c>
      <c r="C2090" s="191" t="s">
        <v>3303</v>
      </c>
      <c r="D2090" s="171" t="s">
        <v>3290</v>
      </c>
      <c r="E2090" s="732" t="s">
        <v>3379</v>
      </c>
      <c r="F2090" s="171">
        <v>2003</v>
      </c>
      <c r="G2090" s="171">
        <v>16</v>
      </c>
      <c r="H2090" s="172" t="s">
        <v>1738</v>
      </c>
      <c r="I2090" s="173" t="s">
        <v>1751</v>
      </c>
      <c r="J2090" s="242">
        <v>0.55015197568389063</v>
      </c>
      <c r="K2090" s="213">
        <v>5.8024316109422491</v>
      </c>
      <c r="L2090" s="38">
        <v>181</v>
      </c>
      <c r="M2090" s="171">
        <v>329</v>
      </c>
      <c r="N2090" s="171">
        <v>1050</v>
      </c>
      <c r="O2090" s="162"/>
      <c r="P2090" s="71">
        <v>42.5</v>
      </c>
      <c r="Q2090" s="221" t="s">
        <v>1754</v>
      </c>
      <c r="R2090" s="171" t="s">
        <v>2315</v>
      </c>
      <c r="S2090" s="171" t="s">
        <v>3368</v>
      </c>
      <c r="T2090" s="89"/>
      <c r="U2090" s="89" t="s">
        <v>2315</v>
      </c>
      <c r="V2090" s="102">
        <v>0</v>
      </c>
      <c r="W2090" s="120">
        <v>0</v>
      </c>
      <c r="X2090" s="120">
        <v>0</v>
      </c>
      <c r="Y2090" s="120">
        <v>0</v>
      </c>
      <c r="Z2090" s="120">
        <v>0</v>
      </c>
      <c r="AA2090" s="17">
        <v>0</v>
      </c>
      <c r="AB2090" s="17">
        <v>0</v>
      </c>
      <c r="AC2090" s="17">
        <v>0</v>
      </c>
      <c r="AD2090" s="17">
        <v>0</v>
      </c>
      <c r="AE2090" s="17">
        <v>0</v>
      </c>
      <c r="AF2090" s="17">
        <v>0</v>
      </c>
      <c r="AG2090" s="33">
        <v>0.34877927254608865</v>
      </c>
      <c r="AH2090" s="17">
        <v>0</v>
      </c>
      <c r="AI2090" s="17">
        <v>0</v>
      </c>
      <c r="AJ2090" s="17">
        <v>0</v>
      </c>
      <c r="AK2090" s="17">
        <v>0</v>
      </c>
      <c r="AL2090" s="32">
        <v>0</v>
      </c>
      <c r="AM2090" s="57"/>
      <c r="AN2090" s="171">
        <v>85</v>
      </c>
      <c r="AO2090" s="89"/>
      <c r="AP2090" s="88"/>
      <c r="AQ2090" s="17" t="s">
        <v>3411</v>
      </c>
      <c r="AR2090" s="174">
        <v>100</v>
      </c>
      <c r="AS2090" s="171" t="s">
        <v>246</v>
      </c>
      <c r="AT2090" s="171">
        <v>300</v>
      </c>
      <c r="AU2090" s="213">
        <v>21.428571428571427</v>
      </c>
      <c r="AV2090" s="57"/>
      <c r="AW2090" s="171">
        <v>28</v>
      </c>
      <c r="AX2090" s="89"/>
      <c r="AY2090" s="171">
        <v>22</v>
      </c>
      <c r="AZ2090" s="89"/>
      <c r="BA2090" s="175">
        <v>65</v>
      </c>
      <c r="BB2090" s="259"/>
      <c r="BC2090" s="176"/>
      <c r="BD2090" s="177"/>
      <c r="BE2090" s="177"/>
      <c r="BF2090" s="190" t="s">
        <v>3399</v>
      </c>
    </row>
    <row r="2091" spans="1:58">
      <c r="A2091" s="111">
        <v>2090</v>
      </c>
      <c r="B2091" s="211" t="s">
        <v>3187</v>
      </c>
      <c r="C2091" s="191" t="s">
        <v>3303</v>
      </c>
      <c r="D2091" s="171" t="s">
        <v>3290</v>
      </c>
      <c r="E2091" s="732" t="s">
        <v>3379</v>
      </c>
      <c r="F2091" s="171">
        <v>2003</v>
      </c>
      <c r="G2091" s="171">
        <v>16</v>
      </c>
      <c r="H2091" s="172" t="s">
        <v>1738</v>
      </c>
      <c r="I2091" s="173" t="s">
        <v>1751</v>
      </c>
      <c r="J2091" s="242">
        <v>0.69918699186991873</v>
      </c>
      <c r="K2091" s="213">
        <v>8.5528455284552845</v>
      </c>
      <c r="L2091" s="38">
        <v>172</v>
      </c>
      <c r="M2091" s="171">
        <v>246</v>
      </c>
      <c r="N2091" s="171">
        <v>1052</v>
      </c>
      <c r="O2091" s="162"/>
      <c r="P2091" s="71">
        <v>42.5</v>
      </c>
      <c r="Q2091" s="221" t="s">
        <v>1754</v>
      </c>
      <c r="R2091" s="171" t="s">
        <v>2315</v>
      </c>
      <c r="S2091" s="171" t="s">
        <v>3368</v>
      </c>
      <c r="T2091" s="89"/>
      <c r="U2091" s="89" t="s">
        <v>2315</v>
      </c>
      <c r="V2091" s="102">
        <v>0</v>
      </c>
      <c r="W2091" s="120">
        <v>0</v>
      </c>
      <c r="X2091" s="120">
        <v>0</v>
      </c>
      <c r="Y2091" s="120">
        <v>0</v>
      </c>
      <c r="Z2091" s="120">
        <v>0</v>
      </c>
      <c r="AA2091" s="17">
        <v>0</v>
      </c>
      <c r="AB2091" s="17">
        <v>0</v>
      </c>
      <c r="AC2091" s="17">
        <v>0</v>
      </c>
      <c r="AD2091" s="17">
        <v>0</v>
      </c>
      <c r="AE2091" s="17">
        <v>0</v>
      </c>
      <c r="AF2091" s="17">
        <v>0</v>
      </c>
      <c r="AG2091" s="33">
        <v>0.3487792725460887</v>
      </c>
      <c r="AH2091" s="17">
        <v>0</v>
      </c>
      <c r="AI2091" s="17">
        <v>0</v>
      </c>
      <c r="AJ2091" s="17">
        <v>0</v>
      </c>
      <c r="AK2091" s="17">
        <v>0</v>
      </c>
      <c r="AL2091" s="32">
        <v>0</v>
      </c>
      <c r="AM2091" s="57"/>
      <c r="AN2091" s="171">
        <v>70</v>
      </c>
      <c r="AO2091" s="89"/>
      <c r="AP2091" s="88"/>
      <c r="AQ2091" s="17" t="s">
        <v>3411</v>
      </c>
      <c r="AR2091" s="174">
        <v>100</v>
      </c>
      <c r="AS2091" s="171" t="s">
        <v>246</v>
      </c>
      <c r="AT2091" s="171">
        <v>300</v>
      </c>
      <c r="AU2091" s="213">
        <v>21.428571428571427</v>
      </c>
      <c r="AV2091" s="57"/>
      <c r="AW2091" s="171">
        <v>28</v>
      </c>
      <c r="AX2091" s="89"/>
      <c r="AY2091" s="171">
        <v>22</v>
      </c>
      <c r="AZ2091" s="89"/>
      <c r="BA2091" s="175">
        <v>65</v>
      </c>
      <c r="BB2091" s="259"/>
      <c r="BC2091" s="176"/>
      <c r="BD2091" s="177"/>
      <c r="BE2091" s="177"/>
      <c r="BF2091" s="190" t="s">
        <v>3399</v>
      </c>
    </row>
    <row r="2092" spans="1:58">
      <c r="A2092" s="111">
        <v>2091</v>
      </c>
      <c r="B2092" s="211" t="s">
        <v>3188</v>
      </c>
      <c r="C2092" s="191" t="s">
        <v>3303</v>
      </c>
      <c r="D2092" s="171" t="s">
        <v>3290</v>
      </c>
      <c r="E2092" s="732" t="s">
        <v>3379</v>
      </c>
      <c r="F2092" s="171">
        <v>2003</v>
      </c>
      <c r="G2092" s="171">
        <v>16</v>
      </c>
      <c r="H2092" s="172" t="s">
        <v>1738</v>
      </c>
      <c r="I2092" s="173" t="s">
        <v>1751</v>
      </c>
      <c r="J2092" s="242">
        <v>0.54984894259818728</v>
      </c>
      <c r="K2092" s="213">
        <v>5.3111782477341389</v>
      </c>
      <c r="L2092" s="38">
        <v>182</v>
      </c>
      <c r="M2092" s="171">
        <v>331</v>
      </c>
      <c r="N2092" s="171">
        <v>1050</v>
      </c>
      <c r="O2092" s="162"/>
      <c r="P2092" s="71">
        <v>42.5</v>
      </c>
      <c r="Q2092" s="221" t="s">
        <v>1754</v>
      </c>
      <c r="R2092" s="171" t="s">
        <v>3342</v>
      </c>
      <c r="S2092" s="171" t="s">
        <v>3369</v>
      </c>
      <c r="T2092" s="89"/>
      <c r="U2092" s="89" t="s">
        <v>3342</v>
      </c>
      <c r="V2092" s="102">
        <v>0</v>
      </c>
      <c r="W2092" s="120">
        <v>0</v>
      </c>
      <c r="X2092" s="120">
        <v>0</v>
      </c>
      <c r="Y2092" s="120">
        <v>0</v>
      </c>
      <c r="Z2092" s="120">
        <v>0</v>
      </c>
      <c r="AA2092" s="17">
        <v>0</v>
      </c>
      <c r="AB2092" s="17">
        <v>0</v>
      </c>
      <c r="AC2092" s="17">
        <v>0</v>
      </c>
      <c r="AD2092" s="17">
        <v>0</v>
      </c>
      <c r="AE2092" s="17">
        <v>0</v>
      </c>
      <c r="AF2092" s="17">
        <v>0</v>
      </c>
      <c r="AG2092" s="33">
        <v>0.3487792725460887</v>
      </c>
      <c r="AH2092" s="17">
        <v>0</v>
      </c>
      <c r="AI2092" s="17">
        <v>0</v>
      </c>
      <c r="AJ2092" s="17">
        <v>0</v>
      </c>
      <c r="AK2092" s="17">
        <v>0</v>
      </c>
      <c r="AL2092" s="32">
        <v>0</v>
      </c>
      <c r="AM2092" s="57"/>
      <c r="AN2092" s="171">
        <v>70</v>
      </c>
      <c r="AO2092" s="89"/>
      <c r="AP2092" s="88"/>
      <c r="AQ2092" s="17" t="s">
        <v>3411</v>
      </c>
      <c r="AR2092" s="174">
        <v>100</v>
      </c>
      <c r="AS2092" s="171" t="s">
        <v>246</v>
      </c>
      <c r="AT2092" s="171">
        <v>300</v>
      </c>
      <c r="AU2092" s="213">
        <v>21.428571428571427</v>
      </c>
      <c r="AV2092" s="57"/>
      <c r="AW2092" s="171">
        <v>28</v>
      </c>
      <c r="AX2092" s="89"/>
      <c r="AY2092" s="171">
        <v>22</v>
      </c>
      <c r="AZ2092" s="89"/>
      <c r="BA2092" s="175">
        <v>65</v>
      </c>
      <c r="BB2092" s="259"/>
      <c r="BC2092" s="176"/>
      <c r="BD2092" s="177"/>
      <c r="BE2092" s="177"/>
      <c r="BF2092" s="190" t="s">
        <v>3399</v>
      </c>
    </row>
    <row r="2093" spans="1:58">
      <c r="A2093" s="111">
        <v>2092</v>
      </c>
      <c r="B2093" s="211" t="s">
        <v>3189</v>
      </c>
      <c r="C2093" s="191" t="s">
        <v>3303</v>
      </c>
      <c r="D2093" s="171" t="s">
        <v>3290</v>
      </c>
      <c r="E2093" s="732" t="s">
        <v>3379</v>
      </c>
      <c r="F2093" s="171">
        <v>2003</v>
      </c>
      <c r="G2093" s="171">
        <v>16</v>
      </c>
      <c r="H2093" s="172" t="s">
        <v>1738</v>
      </c>
      <c r="I2093" s="173" t="s">
        <v>1751</v>
      </c>
      <c r="J2093" s="242">
        <v>0.7007575757575758</v>
      </c>
      <c r="K2093" s="213">
        <v>7.4242424242424239</v>
      </c>
      <c r="L2093" s="38">
        <v>185</v>
      </c>
      <c r="M2093" s="171">
        <v>264</v>
      </c>
      <c r="N2093" s="171">
        <v>1050</v>
      </c>
      <c r="O2093" s="162"/>
      <c r="P2093" s="71">
        <v>42.5</v>
      </c>
      <c r="Q2093" s="221" t="s">
        <v>1754</v>
      </c>
      <c r="R2093" s="171" t="s">
        <v>3342</v>
      </c>
      <c r="S2093" s="171" t="s">
        <v>3369</v>
      </c>
      <c r="T2093" s="89"/>
      <c r="U2093" s="89" t="s">
        <v>3342</v>
      </c>
      <c r="V2093" s="102">
        <v>0</v>
      </c>
      <c r="W2093" s="120">
        <v>0</v>
      </c>
      <c r="X2093" s="120">
        <v>0</v>
      </c>
      <c r="Y2093" s="120">
        <v>0</v>
      </c>
      <c r="Z2093" s="120">
        <v>0</v>
      </c>
      <c r="AA2093" s="17">
        <v>0</v>
      </c>
      <c r="AB2093" s="17">
        <v>0</v>
      </c>
      <c r="AC2093" s="17">
        <v>0</v>
      </c>
      <c r="AD2093" s="17">
        <v>0</v>
      </c>
      <c r="AE2093" s="17">
        <v>0</v>
      </c>
      <c r="AF2093" s="17">
        <v>0</v>
      </c>
      <c r="AG2093" s="33">
        <v>0.34877927254608876</v>
      </c>
      <c r="AH2093" s="17">
        <v>0</v>
      </c>
      <c r="AI2093" s="17">
        <v>0</v>
      </c>
      <c r="AJ2093" s="17">
        <v>0</v>
      </c>
      <c r="AK2093" s="17">
        <v>0</v>
      </c>
      <c r="AL2093" s="32">
        <v>0</v>
      </c>
      <c r="AM2093" s="57"/>
      <c r="AN2093" s="171">
        <v>85</v>
      </c>
      <c r="AO2093" s="89"/>
      <c r="AP2093" s="88"/>
      <c r="AQ2093" s="17" t="s">
        <v>3411</v>
      </c>
      <c r="AR2093" s="174">
        <v>100</v>
      </c>
      <c r="AS2093" s="171" t="s">
        <v>246</v>
      </c>
      <c r="AT2093" s="171">
        <v>300</v>
      </c>
      <c r="AU2093" s="213">
        <v>21.428571428571427</v>
      </c>
      <c r="AV2093" s="57"/>
      <c r="AW2093" s="171">
        <v>28</v>
      </c>
      <c r="AX2093" s="89"/>
      <c r="AY2093" s="171">
        <v>22</v>
      </c>
      <c r="AZ2093" s="89"/>
      <c r="BA2093" s="175">
        <v>65</v>
      </c>
      <c r="BB2093" s="259"/>
      <c r="BC2093" s="176"/>
      <c r="BD2093" s="177"/>
      <c r="BE2093" s="177"/>
      <c r="BF2093" s="190" t="s">
        <v>3399</v>
      </c>
    </row>
    <row r="2094" spans="1:58">
      <c r="A2094" s="111">
        <v>2093</v>
      </c>
      <c r="B2094" s="211" t="s">
        <v>3190</v>
      </c>
      <c r="C2094" s="191" t="s">
        <v>3303</v>
      </c>
      <c r="D2094" s="171" t="s">
        <v>3290</v>
      </c>
      <c r="E2094" s="732" t="s">
        <v>3379</v>
      </c>
      <c r="F2094" s="171">
        <v>2003</v>
      </c>
      <c r="G2094" s="171">
        <v>16</v>
      </c>
      <c r="H2094" s="172" t="s">
        <v>1738</v>
      </c>
      <c r="I2094" s="173" t="s">
        <v>1751</v>
      </c>
      <c r="J2094" s="242">
        <v>0.54970760233918126</v>
      </c>
      <c r="K2094" s="213">
        <v>5.4502923976608191</v>
      </c>
      <c r="L2094" s="38">
        <v>188</v>
      </c>
      <c r="M2094" s="171">
        <v>342</v>
      </c>
      <c r="N2094" s="171">
        <v>1050</v>
      </c>
      <c r="O2094" s="162"/>
      <c r="P2094" s="71">
        <v>42.5</v>
      </c>
      <c r="Q2094" s="221" t="s">
        <v>1754</v>
      </c>
      <c r="R2094" s="171" t="s">
        <v>2312</v>
      </c>
      <c r="S2094" s="171" t="s">
        <v>3370</v>
      </c>
      <c r="T2094" s="89"/>
      <c r="U2094" s="89" t="s">
        <v>2312</v>
      </c>
      <c r="V2094" s="102">
        <v>0</v>
      </c>
      <c r="W2094" s="120">
        <v>0</v>
      </c>
      <c r="X2094" s="120">
        <v>0</v>
      </c>
      <c r="Y2094" s="120">
        <v>0</v>
      </c>
      <c r="Z2094" s="120">
        <v>0</v>
      </c>
      <c r="AA2094" s="17">
        <v>0</v>
      </c>
      <c r="AB2094" s="17">
        <v>0</v>
      </c>
      <c r="AC2094" s="17">
        <v>0</v>
      </c>
      <c r="AD2094" s="17">
        <v>0</v>
      </c>
      <c r="AE2094" s="17">
        <v>0</v>
      </c>
      <c r="AF2094" s="17">
        <v>0</v>
      </c>
      <c r="AG2094" s="33">
        <v>0.3487792725460887</v>
      </c>
      <c r="AH2094" s="17">
        <v>0</v>
      </c>
      <c r="AI2094" s="17">
        <v>0</v>
      </c>
      <c r="AJ2094" s="17">
        <v>0</v>
      </c>
      <c r="AK2094" s="17">
        <v>0</v>
      </c>
      <c r="AL2094" s="32">
        <v>0</v>
      </c>
      <c r="AM2094" s="57"/>
      <c r="AN2094" s="171">
        <v>85</v>
      </c>
      <c r="AO2094" s="89"/>
      <c r="AP2094" s="88"/>
      <c r="AQ2094" s="17" t="s">
        <v>3411</v>
      </c>
      <c r="AR2094" s="174">
        <v>100</v>
      </c>
      <c r="AS2094" s="171" t="s">
        <v>246</v>
      </c>
      <c r="AT2094" s="171">
        <v>300</v>
      </c>
      <c r="AU2094" s="213">
        <v>21.428571428571427</v>
      </c>
      <c r="AV2094" s="57"/>
      <c r="AW2094" s="171">
        <v>28</v>
      </c>
      <c r="AX2094" s="89"/>
      <c r="AY2094" s="171">
        <v>22</v>
      </c>
      <c r="AZ2094" s="89"/>
      <c r="BA2094" s="175">
        <v>65</v>
      </c>
      <c r="BB2094" s="259"/>
      <c r="BC2094" s="176"/>
      <c r="BD2094" s="177"/>
      <c r="BE2094" s="177"/>
      <c r="BF2094" s="190" t="s">
        <v>3399</v>
      </c>
    </row>
    <row r="2095" spans="1:58">
      <c r="A2095" s="111">
        <v>2094</v>
      </c>
      <c r="B2095" s="211" t="s">
        <v>3191</v>
      </c>
      <c r="C2095" s="191" t="s">
        <v>3303</v>
      </c>
      <c r="D2095" s="171" t="s">
        <v>3290</v>
      </c>
      <c r="E2095" s="732" t="s">
        <v>3379</v>
      </c>
      <c r="F2095" s="171">
        <v>2003</v>
      </c>
      <c r="G2095" s="171">
        <v>16</v>
      </c>
      <c r="H2095" s="172" t="s">
        <v>1738</v>
      </c>
      <c r="I2095" s="173" t="s">
        <v>1751</v>
      </c>
      <c r="J2095" s="242">
        <v>0.6988847583643123</v>
      </c>
      <c r="K2095" s="213">
        <v>7.1710037174721188</v>
      </c>
      <c r="L2095" s="38">
        <v>188</v>
      </c>
      <c r="M2095" s="171">
        <v>269</v>
      </c>
      <c r="N2095" s="171">
        <v>1050</v>
      </c>
      <c r="O2095" s="162"/>
      <c r="P2095" s="71">
        <v>42.5</v>
      </c>
      <c r="Q2095" s="221" t="s">
        <v>1754</v>
      </c>
      <c r="R2095" s="171" t="s">
        <v>2312</v>
      </c>
      <c r="S2095" s="171" t="s">
        <v>3370</v>
      </c>
      <c r="T2095" s="89"/>
      <c r="U2095" s="89" t="s">
        <v>2312</v>
      </c>
      <c r="V2095" s="102">
        <v>0</v>
      </c>
      <c r="W2095" s="120">
        <v>0</v>
      </c>
      <c r="X2095" s="120">
        <v>0</v>
      </c>
      <c r="Y2095" s="120">
        <v>0</v>
      </c>
      <c r="Z2095" s="120">
        <v>0</v>
      </c>
      <c r="AA2095" s="17">
        <v>0</v>
      </c>
      <c r="AB2095" s="17">
        <v>0</v>
      </c>
      <c r="AC2095" s="17">
        <v>0</v>
      </c>
      <c r="AD2095" s="17">
        <v>0</v>
      </c>
      <c r="AE2095" s="17">
        <v>0</v>
      </c>
      <c r="AF2095" s="17">
        <v>0</v>
      </c>
      <c r="AG2095" s="33">
        <v>0.34877927254608865</v>
      </c>
      <c r="AH2095" s="17">
        <v>0</v>
      </c>
      <c r="AI2095" s="17">
        <v>0</v>
      </c>
      <c r="AJ2095" s="17">
        <v>0</v>
      </c>
      <c r="AK2095" s="17">
        <v>0</v>
      </c>
      <c r="AL2095" s="32">
        <v>0</v>
      </c>
      <c r="AM2095" s="57"/>
      <c r="AN2095" s="171">
        <v>85</v>
      </c>
      <c r="AO2095" s="89"/>
      <c r="AP2095" s="88"/>
      <c r="AQ2095" s="17" t="s">
        <v>3411</v>
      </c>
      <c r="AR2095" s="174">
        <v>100</v>
      </c>
      <c r="AS2095" s="171" t="s">
        <v>246</v>
      </c>
      <c r="AT2095" s="171">
        <v>300</v>
      </c>
      <c r="AU2095" s="213">
        <v>21.428571428571427</v>
      </c>
      <c r="AV2095" s="57"/>
      <c r="AW2095" s="171">
        <v>28</v>
      </c>
      <c r="AX2095" s="89"/>
      <c r="AY2095" s="171">
        <v>22</v>
      </c>
      <c r="AZ2095" s="89"/>
      <c r="BA2095" s="175">
        <v>65</v>
      </c>
      <c r="BB2095" s="259"/>
      <c r="BC2095" s="176"/>
      <c r="BD2095" s="177"/>
      <c r="BE2095" s="177"/>
      <c r="BF2095" s="190" t="s">
        <v>3399</v>
      </c>
    </row>
    <row r="2096" spans="1:58">
      <c r="A2096" s="111">
        <v>2095</v>
      </c>
      <c r="B2096" s="211" t="s">
        <v>3192</v>
      </c>
      <c r="C2096" s="191" t="s">
        <v>3303</v>
      </c>
      <c r="D2096" s="171" t="s">
        <v>3290</v>
      </c>
      <c r="E2096" s="732" t="s">
        <v>3379</v>
      </c>
      <c r="F2096" s="171">
        <v>2003</v>
      </c>
      <c r="G2096" s="171">
        <v>16</v>
      </c>
      <c r="H2096" s="172" t="s">
        <v>1738</v>
      </c>
      <c r="I2096" s="173" t="s">
        <v>1751</v>
      </c>
      <c r="J2096" s="242">
        <v>0.55072463768115942</v>
      </c>
      <c r="K2096" s="213">
        <v>5.5420289855072467</v>
      </c>
      <c r="L2096" s="38">
        <v>190</v>
      </c>
      <c r="M2096" s="171">
        <v>345</v>
      </c>
      <c r="N2096" s="171">
        <v>1050</v>
      </c>
      <c r="O2096" s="162"/>
      <c r="P2096" s="71">
        <v>42.5</v>
      </c>
      <c r="Q2096" s="221" t="s">
        <v>1754</v>
      </c>
      <c r="R2096" s="171" t="s">
        <v>3346</v>
      </c>
      <c r="S2096" s="171" t="s">
        <v>3371</v>
      </c>
      <c r="T2096" s="89"/>
      <c r="U2096" s="89" t="s">
        <v>3346</v>
      </c>
      <c r="V2096" s="102">
        <v>0</v>
      </c>
      <c r="W2096" s="120">
        <v>0</v>
      </c>
      <c r="X2096" s="120">
        <v>0</v>
      </c>
      <c r="Y2096" s="120">
        <v>0</v>
      </c>
      <c r="Z2096" s="120">
        <v>0</v>
      </c>
      <c r="AA2096" s="17">
        <v>0</v>
      </c>
      <c r="AB2096" s="17">
        <v>0</v>
      </c>
      <c r="AC2096" s="17">
        <v>0</v>
      </c>
      <c r="AD2096" s="17">
        <v>0</v>
      </c>
      <c r="AE2096" s="17">
        <v>0</v>
      </c>
      <c r="AF2096" s="17">
        <v>0</v>
      </c>
      <c r="AG2096" s="33">
        <v>0.3487792725460887</v>
      </c>
      <c r="AH2096" s="17">
        <v>0</v>
      </c>
      <c r="AI2096" s="17">
        <v>0</v>
      </c>
      <c r="AJ2096" s="17">
        <v>0</v>
      </c>
      <c r="AK2096" s="17">
        <v>0</v>
      </c>
      <c r="AL2096" s="32">
        <v>0</v>
      </c>
      <c r="AM2096" s="57"/>
      <c r="AN2096" s="171">
        <v>85</v>
      </c>
      <c r="AO2096" s="89"/>
      <c r="AP2096" s="88"/>
      <c r="AQ2096" s="17" t="s">
        <v>3411</v>
      </c>
      <c r="AR2096" s="174">
        <v>100</v>
      </c>
      <c r="AS2096" s="171" t="s">
        <v>246</v>
      </c>
      <c r="AT2096" s="171">
        <v>300</v>
      </c>
      <c r="AU2096" s="213">
        <v>21.428571428571427</v>
      </c>
      <c r="AV2096" s="57"/>
      <c r="AW2096" s="171">
        <v>28</v>
      </c>
      <c r="AX2096" s="89"/>
      <c r="AY2096" s="171">
        <v>22</v>
      </c>
      <c r="AZ2096" s="89"/>
      <c r="BA2096" s="175">
        <v>65</v>
      </c>
      <c r="BB2096" s="259"/>
      <c r="BC2096" s="176"/>
      <c r="BD2096" s="177"/>
      <c r="BE2096" s="177"/>
      <c r="BF2096" s="190" t="s">
        <v>3399</v>
      </c>
    </row>
    <row r="2097" spans="1:58">
      <c r="A2097" s="111">
        <v>2096</v>
      </c>
      <c r="B2097" s="211" t="s">
        <v>3193</v>
      </c>
      <c r="C2097" s="191" t="s">
        <v>3303</v>
      </c>
      <c r="D2097" s="171" t="s">
        <v>3290</v>
      </c>
      <c r="E2097" s="732" t="s">
        <v>3379</v>
      </c>
      <c r="F2097" s="171">
        <v>2003</v>
      </c>
      <c r="G2097" s="171">
        <v>16</v>
      </c>
      <c r="H2097" s="172" t="s">
        <v>1738</v>
      </c>
      <c r="I2097" s="173" t="s">
        <v>1751</v>
      </c>
      <c r="J2097" s="242">
        <v>0.70110701107011075</v>
      </c>
      <c r="K2097" s="213">
        <v>7.6789667896678964</v>
      </c>
      <c r="L2097" s="38">
        <v>190</v>
      </c>
      <c r="M2097" s="171">
        <v>271</v>
      </c>
      <c r="N2097" s="171">
        <v>1050</v>
      </c>
      <c r="O2097" s="162"/>
      <c r="P2097" s="71">
        <v>42.5</v>
      </c>
      <c r="Q2097" s="221" t="s">
        <v>1754</v>
      </c>
      <c r="R2097" s="171" t="s">
        <v>3346</v>
      </c>
      <c r="S2097" s="171" t="s">
        <v>3371</v>
      </c>
      <c r="T2097" s="89"/>
      <c r="U2097" s="89" t="s">
        <v>3346</v>
      </c>
      <c r="V2097" s="102">
        <v>0</v>
      </c>
      <c r="W2097" s="120">
        <v>0</v>
      </c>
      <c r="X2097" s="120">
        <v>0</v>
      </c>
      <c r="Y2097" s="120">
        <v>0</v>
      </c>
      <c r="Z2097" s="120">
        <v>0</v>
      </c>
      <c r="AA2097" s="17">
        <v>0</v>
      </c>
      <c r="AB2097" s="17">
        <v>0</v>
      </c>
      <c r="AC2097" s="17">
        <v>0</v>
      </c>
      <c r="AD2097" s="17">
        <v>0</v>
      </c>
      <c r="AE2097" s="17">
        <v>0</v>
      </c>
      <c r="AF2097" s="17">
        <v>0</v>
      </c>
      <c r="AG2097" s="33">
        <v>0.34877927254608865</v>
      </c>
      <c r="AH2097" s="17">
        <v>0</v>
      </c>
      <c r="AI2097" s="17">
        <v>0</v>
      </c>
      <c r="AJ2097" s="17">
        <v>0</v>
      </c>
      <c r="AK2097" s="17">
        <v>0</v>
      </c>
      <c r="AL2097" s="32">
        <v>0</v>
      </c>
      <c r="AM2097" s="57"/>
      <c r="AN2097" s="171">
        <v>80</v>
      </c>
      <c r="AO2097" s="89"/>
      <c r="AP2097" s="88"/>
      <c r="AQ2097" s="17" t="s">
        <v>3411</v>
      </c>
      <c r="AR2097" s="174">
        <v>100</v>
      </c>
      <c r="AS2097" s="171" t="s">
        <v>246</v>
      </c>
      <c r="AT2097" s="171">
        <v>300</v>
      </c>
      <c r="AU2097" s="213">
        <v>21.428571428571427</v>
      </c>
      <c r="AV2097" s="57"/>
      <c r="AW2097" s="171">
        <v>28</v>
      </c>
      <c r="AX2097" s="89"/>
      <c r="AY2097" s="171">
        <v>22</v>
      </c>
      <c r="AZ2097" s="89"/>
      <c r="BA2097" s="175">
        <v>65</v>
      </c>
      <c r="BB2097" s="259"/>
      <c r="BC2097" s="176"/>
      <c r="BD2097" s="177"/>
      <c r="BE2097" s="177"/>
      <c r="BF2097" s="190" t="s">
        <v>3399</v>
      </c>
    </row>
    <row r="2098" spans="1:58">
      <c r="A2098" s="111">
        <v>2097</v>
      </c>
      <c r="B2098" s="211" t="s">
        <v>3194</v>
      </c>
      <c r="C2098" s="191" t="s">
        <v>3303</v>
      </c>
      <c r="D2098" s="171" t="s">
        <v>3290</v>
      </c>
      <c r="E2098" s="732" t="s">
        <v>3379</v>
      </c>
      <c r="F2098" s="171">
        <v>2003</v>
      </c>
      <c r="G2098" s="171">
        <v>16</v>
      </c>
      <c r="H2098" s="172" t="s">
        <v>1738</v>
      </c>
      <c r="I2098" s="173" t="s">
        <v>1751</v>
      </c>
      <c r="J2098" s="242">
        <v>0.55000000000000004</v>
      </c>
      <c r="K2098" s="213">
        <v>5.4558823529411766</v>
      </c>
      <c r="L2098" s="38">
        <v>187</v>
      </c>
      <c r="M2098" s="171">
        <v>340</v>
      </c>
      <c r="N2098" s="171">
        <v>1050</v>
      </c>
      <c r="O2098" s="162"/>
      <c r="P2098" s="71">
        <v>42.5</v>
      </c>
      <c r="Q2098" s="221" t="s">
        <v>1754</v>
      </c>
      <c r="R2098" s="171" t="s">
        <v>3351</v>
      </c>
      <c r="S2098" s="171" t="s">
        <v>3372</v>
      </c>
      <c r="T2098" s="89"/>
      <c r="U2098" s="89" t="s">
        <v>3351</v>
      </c>
      <c r="V2098" s="102">
        <v>0</v>
      </c>
      <c r="W2098" s="120">
        <v>0</v>
      </c>
      <c r="X2098" s="120">
        <v>0</v>
      </c>
      <c r="Y2098" s="120">
        <v>0</v>
      </c>
      <c r="Z2098" s="120">
        <v>0</v>
      </c>
      <c r="AA2098" s="17">
        <v>0</v>
      </c>
      <c r="AB2098" s="17">
        <v>0</v>
      </c>
      <c r="AC2098" s="17">
        <v>0</v>
      </c>
      <c r="AD2098" s="17">
        <v>0</v>
      </c>
      <c r="AE2098" s="17">
        <v>0</v>
      </c>
      <c r="AF2098" s="17">
        <v>0</v>
      </c>
      <c r="AG2098" s="33">
        <v>0.34877927254608865</v>
      </c>
      <c r="AH2098" s="17">
        <v>0</v>
      </c>
      <c r="AI2098" s="17">
        <v>0</v>
      </c>
      <c r="AJ2098" s="17">
        <v>0</v>
      </c>
      <c r="AK2098" s="17">
        <v>0</v>
      </c>
      <c r="AL2098" s="32">
        <v>0</v>
      </c>
      <c r="AM2098" s="57"/>
      <c r="AN2098" s="171">
        <v>75</v>
      </c>
      <c r="AO2098" s="89"/>
      <c r="AP2098" s="88"/>
      <c r="AQ2098" s="17" t="s">
        <v>3411</v>
      </c>
      <c r="AR2098" s="174">
        <v>100</v>
      </c>
      <c r="AS2098" s="171" t="s">
        <v>246</v>
      </c>
      <c r="AT2098" s="171">
        <v>300</v>
      </c>
      <c r="AU2098" s="213">
        <v>21.428571428571427</v>
      </c>
      <c r="AV2098" s="57"/>
      <c r="AW2098" s="171">
        <v>28</v>
      </c>
      <c r="AX2098" s="89"/>
      <c r="AY2098" s="171">
        <v>22</v>
      </c>
      <c r="AZ2098" s="89"/>
      <c r="BA2098" s="175">
        <v>65</v>
      </c>
      <c r="BB2098" s="259"/>
      <c r="BC2098" s="176"/>
      <c r="BD2098" s="177"/>
      <c r="BE2098" s="177"/>
      <c r="BF2098" s="190" t="s">
        <v>3399</v>
      </c>
    </row>
    <row r="2099" spans="1:58">
      <c r="A2099" s="111">
        <v>2098</v>
      </c>
      <c r="B2099" s="211" t="s">
        <v>3195</v>
      </c>
      <c r="C2099" s="191" t="s">
        <v>3303</v>
      </c>
      <c r="D2099" s="171" t="s">
        <v>3290</v>
      </c>
      <c r="E2099" s="732" t="s">
        <v>3379</v>
      </c>
      <c r="F2099" s="171">
        <v>2003</v>
      </c>
      <c r="G2099" s="171">
        <v>16</v>
      </c>
      <c r="H2099" s="172" t="s">
        <v>1738</v>
      </c>
      <c r="I2099" s="173" t="s">
        <v>1751</v>
      </c>
      <c r="J2099" s="242">
        <v>0.7007575757575758</v>
      </c>
      <c r="K2099" s="213">
        <v>6.9204545454545459</v>
      </c>
      <c r="L2099" s="38">
        <v>185</v>
      </c>
      <c r="M2099" s="171">
        <v>264</v>
      </c>
      <c r="N2099" s="171">
        <v>1050</v>
      </c>
      <c r="O2099" s="162"/>
      <c r="P2099" s="71">
        <v>42.5</v>
      </c>
      <c r="Q2099" s="221" t="s">
        <v>1754</v>
      </c>
      <c r="R2099" s="171" t="s">
        <v>3351</v>
      </c>
      <c r="S2099" s="171" t="s">
        <v>3372</v>
      </c>
      <c r="T2099" s="89"/>
      <c r="U2099" s="89" t="s">
        <v>3351</v>
      </c>
      <c r="V2099" s="102">
        <v>0</v>
      </c>
      <c r="W2099" s="120">
        <v>0</v>
      </c>
      <c r="X2099" s="120">
        <v>0</v>
      </c>
      <c r="Y2099" s="120">
        <v>0</v>
      </c>
      <c r="Z2099" s="120">
        <v>0</v>
      </c>
      <c r="AA2099" s="17">
        <v>0</v>
      </c>
      <c r="AB2099" s="17">
        <v>0</v>
      </c>
      <c r="AC2099" s="17">
        <v>0</v>
      </c>
      <c r="AD2099" s="17">
        <v>0</v>
      </c>
      <c r="AE2099" s="17">
        <v>0</v>
      </c>
      <c r="AF2099" s="17">
        <v>0</v>
      </c>
      <c r="AG2099" s="33">
        <v>0.34877927254608876</v>
      </c>
      <c r="AH2099" s="17">
        <v>0</v>
      </c>
      <c r="AI2099" s="17">
        <v>0</v>
      </c>
      <c r="AJ2099" s="17">
        <v>0</v>
      </c>
      <c r="AK2099" s="17">
        <v>0</v>
      </c>
      <c r="AL2099" s="32">
        <v>0</v>
      </c>
      <c r="AM2099" s="57"/>
      <c r="AN2099" s="171">
        <v>80</v>
      </c>
      <c r="AO2099" s="89"/>
      <c r="AP2099" s="88"/>
      <c r="AQ2099" s="17" t="s">
        <v>3411</v>
      </c>
      <c r="AR2099" s="174">
        <v>100</v>
      </c>
      <c r="AS2099" s="171" t="s">
        <v>246</v>
      </c>
      <c r="AT2099" s="171">
        <v>300</v>
      </c>
      <c r="AU2099" s="213">
        <v>21.428571428571427</v>
      </c>
      <c r="AV2099" s="57"/>
      <c r="AW2099" s="171">
        <v>28</v>
      </c>
      <c r="AX2099" s="89"/>
      <c r="AY2099" s="171">
        <v>22</v>
      </c>
      <c r="AZ2099" s="89"/>
      <c r="BA2099" s="175">
        <v>65</v>
      </c>
      <c r="BB2099" s="259"/>
      <c r="BC2099" s="176"/>
      <c r="BD2099" s="177"/>
      <c r="BE2099" s="177"/>
      <c r="BF2099" s="190" t="s">
        <v>3399</v>
      </c>
    </row>
    <row r="2100" spans="1:58">
      <c r="A2100" s="111">
        <v>2099</v>
      </c>
      <c r="B2100" s="211" t="s">
        <v>3196</v>
      </c>
      <c r="C2100" s="191" t="s">
        <v>3303</v>
      </c>
      <c r="D2100" s="171" t="s">
        <v>3290</v>
      </c>
      <c r="E2100" s="732" t="s">
        <v>3379</v>
      </c>
      <c r="F2100" s="171">
        <v>2003</v>
      </c>
      <c r="G2100" s="171">
        <v>16</v>
      </c>
      <c r="H2100" s="172" t="s">
        <v>1738</v>
      </c>
      <c r="I2100" s="173" t="s">
        <v>1751</v>
      </c>
      <c r="J2100" s="242">
        <v>0.54929577464788737</v>
      </c>
      <c r="K2100" s="213">
        <v>5.1295774647887322</v>
      </c>
      <c r="L2100" s="38">
        <v>195</v>
      </c>
      <c r="M2100" s="171">
        <v>355</v>
      </c>
      <c r="N2100" s="171">
        <v>1050</v>
      </c>
      <c r="O2100" s="162"/>
      <c r="P2100" s="71">
        <v>42.5</v>
      </c>
      <c r="Q2100" s="221" t="s">
        <v>1754</v>
      </c>
      <c r="R2100" s="171" t="s">
        <v>3350</v>
      </c>
      <c r="S2100" s="171" t="s">
        <v>3373</v>
      </c>
      <c r="T2100" s="89"/>
      <c r="U2100" s="89" t="s">
        <v>3350</v>
      </c>
      <c r="V2100" s="102">
        <v>0</v>
      </c>
      <c r="W2100" s="120">
        <v>0</v>
      </c>
      <c r="X2100" s="120">
        <v>0</v>
      </c>
      <c r="Y2100" s="120">
        <v>0</v>
      </c>
      <c r="Z2100" s="120">
        <v>0</v>
      </c>
      <c r="AA2100" s="17">
        <v>0</v>
      </c>
      <c r="AB2100" s="17">
        <v>0</v>
      </c>
      <c r="AC2100" s="17">
        <v>0</v>
      </c>
      <c r="AD2100" s="17">
        <v>0</v>
      </c>
      <c r="AE2100" s="17">
        <v>0</v>
      </c>
      <c r="AF2100" s="17">
        <v>0</v>
      </c>
      <c r="AG2100" s="33">
        <v>0.34877927254608865</v>
      </c>
      <c r="AH2100" s="17">
        <v>0</v>
      </c>
      <c r="AI2100" s="17">
        <v>0</v>
      </c>
      <c r="AJ2100" s="17">
        <v>0</v>
      </c>
      <c r="AK2100" s="17">
        <v>0</v>
      </c>
      <c r="AL2100" s="32">
        <v>0</v>
      </c>
      <c r="AM2100" s="57"/>
      <c r="AN2100" s="171">
        <v>85</v>
      </c>
      <c r="AO2100" s="89"/>
      <c r="AP2100" s="88"/>
      <c r="AQ2100" s="17" t="s">
        <v>3411</v>
      </c>
      <c r="AR2100" s="174">
        <v>100</v>
      </c>
      <c r="AS2100" s="171" t="s">
        <v>246</v>
      </c>
      <c r="AT2100" s="171">
        <v>300</v>
      </c>
      <c r="AU2100" s="213">
        <v>21.428571428571427</v>
      </c>
      <c r="AV2100" s="57"/>
      <c r="AW2100" s="171">
        <v>28</v>
      </c>
      <c r="AX2100" s="89"/>
      <c r="AY2100" s="171">
        <v>22</v>
      </c>
      <c r="AZ2100" s="89"/>
      <c r="BA2100" s="175">
        <v>65</v>
      </c>
      <c r="BB2100" s="259"/>
      <c r="BC2100" s="176"/>
      <c r="BD2100" s="177"/>
      <c r="BE2100" s="177"/>
      <c r="BF2100" s="190" t="s">
        <v>3399</v>
      </c>
    </row>
    <row r="2101" spans="1:58">
      <c r="A2101" s="111">
        <v>2100</v>
      </c>
      <c r="B2101" s="211" t="s">
        <v>3197</v>
      </c>
      <c r="C2101" s="191" t="s">
        <v>3303</v>
      </c>
      <c r="D2101" s="171" t="s">
        <v>3290</v>
      </c>
      <c r="E2101" s="732" t="s">
        <v>3379</v>
      </c>
      <c r="F2101" s="171">
        <v>2003</v>
      </c>
      <c r="G2101" s="171">
        <v>16</v>
      </c>
      <c r="H2101" s="172" t="s">
        <v>1738</v>
      </c>
      <c r="I2101" s="173" t="s">
        <v>1751</v>
      </c>
      <c r="J2101" s="242">
        <v>0.70143884892086328</v>
      </c>
      <c r="K2101" s="213">
        <v>6.7913669064748206</v>
      </c>
      <c r="L2101" s="38">
        <v>195</v>
      </c>
      <c r="M2101" s="171">
        <v>278</v>
      </c>
      <c r="N2101" s="171">
        <v>1050</v>
      </c>
      <c r="O2101" s="162"/>
      <c r="P2101" s="71">
        <v>42.5</v>
      </c>
      <c r="Q2101" s="221" t="s">
        <v>1754</v>
      </c>
      <c r="R2101" s="171" t="s">
        <v>3350</v>
      </c>
      <c r="S2101" s="171" t="s">
        <v>3373</v>
      </c>
      <c r="T2101" s="89"/>
      <c r="U2101" s="89" t="s">
        <v>3350</v>
      </c>
      <c r="V2101" s="102">
        <v>0</v>
      </c>
      <c r="W2101" s="120">
        <v>0</v>
      </c>
      <c r="X2101" s="120">
        <v>0</v>
      </c>
      <c r="Y2101" s="120">
        <v>0</v>
      </c>
      <c r="Z2101" s="120">
        <v>0</v>
      </c>
      <c r="AA2101" s="17">
        <v>0</v>
      </c>
      <c r="AB2101" s="17">
        <v>0</v>
      </c>
      <c r="AC2101" s="17">
        <v>0</v>
      </c>
      <c r="AD2101" s="17">
        <v>0</v>
      </c>
      <c r="AE2101" s="17">
        <v>0</v>
      </c>
      <c r="AF2101" s="17">
        <v>0</v>
      </c>
      <c r="AG2101" s="33">
        <v>0.34877927254608865</v>
      </c>
      <c r="AH2101" s="17">
        <v>0</v>
      </c>
      <c r="AI2101" s="17">
        <v>0</v>
      </c>
      <c r="AJ2101" s="17">
        <v>0</v>
      </c>
      <c r="AK2101" s="17">
        <v>0</v>
      </c>
      <c r="AL2101" s="32">
        <v>0</v>
      </c>
      <c r="AM2101" s="57"/>
      <c r="AN2101" s="171">
        <v>90</v>
      </c>
      <c r="AO2101" s="89"/>
      <c r="AP2101" s="88"/>
      <c r="AQ2101" s="17" t="s">
        <v>3411</v>
      </c>
      <c r="AR2101" s="174">
        <v>100</v>
      </c>
      <c r="AS2101" s="171" t="s">
        <v>246</v>
      </c>
      <c r="AT2101" s="171">
        <v>300</v>
      </c>
      <c r="AU2101" s="213">
        <v>21.428571428571427</v>
      </c>
      <c r="AV2101" s="57"/>
      <c r="AW2101" s="171">
        <v>28</v>
      </c>
      <c r="AX2101" s="89"/>
      <c r="AY2101" s="171">
        <v>22</v>
      </c>
      <c r="AZ2101" s="89"/>
      <c r="BA2101" s="175">
        <v>65</v>
      </c>
      <c r="BB2101" s="259"/>
      <c r="BC2101" s="176"/>
      <c r="BD2101" s="177"/>
      <c r="BE2101" s="177"/>
      <c r="BF2101" s="190" t="s">
        <v>3399</v>
      </c>
    </row>
    <row r="2102" spans="1:58">
      <c r="A2102" s="111">
        <v>2101</v>
      </c>
      <c r="B2102" s="211" t="s">
        <v>3198</v>
      </c>
      <c r="C2102" s="191" t="s">
        <v>3303</v>
      </c>
      <c r="D2102" s="171" t="s">
        <v>3290</v>
      </c>
      <c r="E2102" s="732" t="s">
        <v>3379</v>
      </c>
      <c r="F2102" s="171">
        <v>2003</v>
      </c>
      <c r="G2102" s="171">
        <v>16</v>
      </c>
      <c r="H2102" s="172" t="s">
        <v>1738</v>
      </c>
      <c r="I2102" s="173" t="s">
        <v>1751</v>
      </c>
      <c r="J2102" s="242">
        <v>0.54973821989528793</v>
      </c>
      <c r="K2102" s="213">
        <v>4.5994764397905756</v>
      </c>
      <c r="L2102" s="38">
        <v>210</v>
      </c>
      <c r="M2102" s="171">
        <v>382</v>
      </c>
      <c r="N2102" s="171">
        <v>1050</v>
      </c>
      <c r="O2102" s="162"/>
      <c r="P2102" s="71">
        <v>42.5</v>
      </c>
      <c r="Q2102" s="221" t="s">
        <v>1754</v>
      </c>
      <c r="R2102" s="171" t="s">
        <v>2320</v>
      </c>
      <c r="S2102" s="171" t="s">
        <v>3374</v>
      </c>
      <c r="T2102" s="89"/>
      <c r="U2102" s="89" t="s">
        <v>2320</v>
      </c>
      <c r="V2102" s="102">
        <v>0</v>
      </c>
      <c r="W2102" s="120">
        <v>0</v>
      </c>
      <c r="X2102" s="120">
        <v>0</v>
      </c>
      <c r="Y2102" s="120">
        <v>0</v>
      </c>
      <c r="Z2102" s="120">
        <v>0</v>
      </c>
      <c r="AA2102" s="17">
        <v>0</v>
      </c>
      <c r="AB2102" s="17">
        <v>0</v>
      </c>
      <c r="AC2102" s="17">
        <v>0</v>
      </c>
      <c r="AD2102" s="17">
        <v>0</v>
      </c>
      <c r="AE2102" s="17">
        <v>0</v>
      </c>
      <c r="AF2102" s="17">
        <v>0</v>
      </c>
      <c r="AG2102" s="33">
        <v>0.3487792725460887</v>
      </c>
      <c r="AH2102" s="17">
        <v>0</v>
      </c>
      <c r="AI2102" s="17">
        <v>0</v>
      </c>
      <c r="AJ2102" s="17">
        <v>0</v>
      </c>
      <c r="AK2102" s="17">
        <v>0</v>
      </c>
      <c r="AL2102" s="32">
        <v>0</v>
      </c>
      <c r="AM2102" s="57"/>
      <c r="AN2102" s="171">
        <v>50</v>
      </c>
      <c r="AO2102" s="89"/>
      <c r="AP2102" s="88"/>
      <c r="AQ2102" s="17" t="s">
        <v>3411</v>
      </c>
      <c r="AR2102" s="174">
        <v>100</v>
      </c>
      <c r="AS2102" s="171" t="s">
        <v>246</v>
      </c>
      <c r="AT2102" s="171">
        <v>300</v>
      </c>
      <c r="AU2102" s="213">
        <v>21.428571428571427</v>
      </c>
      <c r="AV2102" s="57"/>
      <c r="AW2102" s="171">
        <v>28</v>
      </c>
      <c r="AX2102" s="89"/>
      <c r="AY2102" s="171">
        <v>22</v>
      </c>
      <c r="AZ2102" s="89"/>
      <c r="BA2102" s="175">
        <v>65</v>
      </c>
      <c r="BB2102" s="259"/>
      <c r="BC2102" s="176"/>
      <c r="BD2102" s="177"/>
      <c r="BE2102" s="177"/>
      <c r="BF2102" s="190" t="s">
        <v>3399</v>
      </c>
    </row>
    <row r="2103" spans="1:58">
      <c r="A2103" s="111">
        <v>2102</v>
      </c>
      <c r="B2103" s="211" t="s">
        <v>3199</v>
      </c>
      <c r="C2103" s="191" t="s">
        <v>3303</v>
      </c>
      <c r="D2103" s="171" t="s">
        <v>3290</v>
      </c>
      <c r="E2103" s="732" t="s">
        <v>3379</v>
      </c>
      <c r="F2103" s="171">
        <v>2003</v>
      </c>
      <c r="G2103" s="171">
        <v>16</v>
      </c>
      <c r="H2103" s="172" t="s">
        <v>1738</v>
      </c>
      <c r="I2103" s="173" t="s">
        <v>1751</v>
      </c>
      <c r="J2103" s="242">
        <v>0.7</v>
      </c>
      <c r="K2103" s="213">
        <v>6.1</v>
      </c>
      <c r="L2103" s="38">
        <v>210</v>
      </c>
      <c r="M2103" s="171">
        <v>300</v>
      </c>
      <c r="N2103" s="171">
        <v>1050</v>
      </c>
      <c r="O2103" s="162"/>
      <c r="P2103" s="71">
        <v>42.5</v>
      </c>
      <c r="Q2103" s="221" t="s">
        <v>1754</v>
      </c>
      <c r="R2103" s="171" t="s">
        <v>2320</v>
      </c>
      <c r="S2103" s="171" t="s">
        <v>3374</v>
      </c>
      <c r="T2103" s="89"/>
      <c r="U2103" s="89" t="s">
        <v>2320</v>
      </c>
      <c r="V2103" s="102">
        <v>0</v>
      </c>
      <c r="W2103" s="120">
        <v>0</v>
      </c>
      <c r="X2103" s="120">
        <v>0</v>
      </c>
      <c r="Y2103" s="120">
        <v>0</v>
      </c>
      <c r="Z2103" s="120">
        <v>0</v>
      </c>
      <c r="AA2103" s="17">
        <v>0</v>
      </c>
      <c r="AB2103" s="17">
        <v>0</v>
      </c>
      <c r="AC2103" s="17">
        <v>0</v>
      </c>
      <c r="AD2103" s="17">
        <v>0</v>
      </c>
      <c r="AE2103" s="17">
        <v>0</v>
      </c>
      <c r="AF2103" s="17">
        <v>0</v>
      </c>
      <c r="AG2103" s="33">
        <v>0.3487792725460887</v>
      </c>
      <c r="AH2103" s="17">
        <v>0</v>
      </c>
      <c r="AI2103" s="17">
        <v>0</v>
      </c>
      <c r="AJ2103" s="17">
        <v>0</v>
      </c>
      <c r="AK2103" s="17">
        <v>0</v>
      </c>
      <c r="AL2103" s="32">
        <v>0</v>
      </c>
      <c r="AM2103" s="57"/>
      <c r="AN2103" s="171">
        <v>50</v>
      </c>
      <c r="AO2103" s="89"/>
      <c r="AP2103" s="88"/>
      <c r="AQ2103" s="17" t="s">
        <v>3411</v>
      </c>
      <c r="AR2103" s="174">
        <v>100</v>
      </c>
      <c r="AS2103" s="171" t="s">
        <v>246</v>
      </c>
      <c r="AT2103" s="171">
        <v>300</v>
      </c>
      <c r="AU2103" s="213">
        <v>21.428571428571427</v>
      </c>
      <c r="AV2103" s="57"/>
      <c r="AW2103" s="171">
        <v>28</v>
      </c>
      <c r="AX2103" s="89"/>
      <c r="AY2103" s="171">
        <v>22</v>
      </c>
      <c r="AZ2103" s="89"/>
      <c r="BA2103" s="175">
        <v>65</v>
      </c>
      <c r="BB2103" s="259"/>
      <c r="BC2103" s="176"/>
      <c r="BD2103" s="177"/>
      <c r="BE2103" s="177"/>
      <c r="BF2103" s="190" t="s">
        <v>3399</v>
      </c>
    </row>
    <row r="2104" spans="1:58">
      <c r="A2104" s="111">
        <v>2103</v>
      </c>
      <c r="B2104" s="211" t="s">
        <v>3200</v>
      </c>
      <c r="C2104" s="191" t="s">
        <v>3303</v>
      </c>
      <c r="D2104" s="171" t="s">
        <v>3290</v>
      </c>
      <c r="E2104" s="732" t="s">
        <v>3379</v>
      </c>
      <c r="F2104" s="171">
        <v>2003</v>
      </c>
      <c r="G2104" s="171">
        <v>16</v>
      </c>
      <c r="H2104" s="172" t="s">
        <v>1738</v>
      </c>
      <c r="I2104" s="173" t="s">
        <v>1751</v>
      </c>
      <c r="J2104" s="242">
        <v>0.55045871559633031</v>
      </c>
      <c r="K2104" s="213">
        <v>5.5412844036697244</v>
      </c>
      <c r="L2104" s="38">
        <v>180</v>
      </c>
      <c r="M2104" s="171">
        <v>327</v>
      </c>
      <c r="N2104" s="171">
        <v>1050</v>
      </c>
      <c r="O2104" s="162"/>
      <c r="P2104" s="71">
        <v>42.5</v>
      </c>
      <c r="Q2104" s="221" t="s">
        <v>1754</v>
      </c>
      <c r="R2104" s="171" t="s">
        <v>3347</v>
      </c>
      <c r="S2104" s="171" t="s">
        <v>3375</v>
      </c>
      <c r="T2104" s="89"/>
      <c r="U2104" s="89" t="s">
        <v>3347</v>
      </c>
      <c r="V2104" s="102">
        <v>0</v>
      </c>
      <c r="W2104" s="120">
        <v>0</v>
      </c>
      <c r="X2104" s="120">
        <v>0</v>
      </c>
      <c r="Y2104" s="120">
        <v>0</v>
      </c>
      <c r="Z2104" s="120">
        <v>0</v>
      </c>
      <c r="AA2104" s="17">
        <v>0</v>
      </c>
      <c r="AB2104" s="17">
        <v>0</v>
      </c>
      <c r="AC2104" s="17">
        <v>0</v>
      </c>
      <c r="AD2104" s="17">
        <v>0</v>
      </c>
      <c r="AE2104" s="17">
        <v>0</v>
      </c>
      <c r="AF2104" s="17">
        <v>0</v>
      </c>
      <c r="AG2104" s="33">
        <v>0.3487792725460887</v>
      </c>
      <c r="AH2104" s="17">
        <v>0</v>
      </c>
      <c r="AI2104" s="17">
        <v>0</v>
      </c>
      <c r="AJ2104" s="17">
        <v>0</v>
      </c>
      <c r="AK2104" s="17">
        <v>0</v>
      </c>
      <c r="AL2104" s="32">
        <v>0</v>
      </c>
      <c r="AM2104" s="57"/>
      <c r="AN2104" s="171">
        <v>75</v>
      </c>
      <c r="AO2104" s="89"/>
      <c r="AP2104" s="88"/>
      <c r="AQ2104" s="17" t="s">
        <v>3411</v>
      </c>
      <c r="AR2104" s="174">
        <v>100</v>
      </c>
      <c r="AS2104" s="171" t="s">
        <v>246</v>
      </c>
      <c r="AT2104" s="171">
        <v>300</v>
      </c>
      <c r="AU2104" s="213">
        <v>21.428571428571427</v>
      </c>
      <c r="AV2104" s="57"/>
      <c r="AW2104" s="171">
        <v>28</v>
      </c>
      <c r="AX2104" s="89"/>
      <c r="AY2104" s="171">
        <v>22</v>
      </c>
      <c r="AZ2104" s="89"/>
      <c r="BA2104" s="175">
        <v>65</v>
      </c>
      <c r="BB2104" s="259"/>
      <c r="BC2104" s="176"/>
      <c r="BD2104" s="177"/>
      <c r="BE2104" s="177"/>
      <c r="BF2104" s="190" t="s">
        <v>3399</v>
      </c>
    </row>
    <row r="2105" spans="1:58">
      <c r="A2105" s="111">
        <v>2104</v>
      </c>
      <c r="B2105" s="211" t="s">
        <v>3201</v>
      </c>
      <c r="C2105" s="191" t="s">
        <v>3303</v>
      </c>
      <c r="D2105" s="171" t="s">
        <v>3290</v>
      </c>
      <c r="E2105" s="732" t="s">
        <v>3379</v>
      </c>
      <c r="F2105" s="171">
        <v>2003</v>
      </c>
      <c r="G2105" s="171">
        <v>16</v>
      </c>
      <c r="H2105" s="172" t="s">
        <v>1738</v>
      </c>
      <c r="I2105" s="173" t="s">
        <v>1751</v>
      </c>
      <c r="J2105" s="242">
        <v>0.70038910505836571</v>
      </c>
      <c r="K2105" s="213">
        <v>6.9610894941634243</v>
      </c>
      <c r="L2105" s="38">
        <v>180</v>
      </c>
      <c r="M2105" s="171">
        <v>257</v>
      </c>
      <c r="N2105" s="171">
        <v>1050</v>
      </c>
      <c r="O2105" s="162"/>
      <c r="P2105" s="71">
        <v>42.5</v>
      </c>
      <c r="Q2105" s="221" t="s">
        <v>1754</v>
      </c>
      <c r="R2105" s="171" t="s">
        <v>3347</v>
      </c>
      <c r="S2105" s="171" t="s">
        <v>3375</v>
      </c>
      <c r="T2105" s="89"/>
      <c r="U2105" s="89" t="s">
        <v>3347</v>
      </c>
      <c r="V2105" s="102">
        <v>0</v>
      </c>
      <c r="W2105" s="120">
        <v>0</v>
      </c>
      <c r="X2105" s="120">
        <v>0</v>
      </c>
      <c r="Y2105" s="120">
        <v>0</v>
      </c>
      <c r="Z2105" s="120">
        <v>0</v>
      </c>
      <c r="AA2105" s="17">
        <v>0</v>
      </c>
      <c r="AB2105" s="17">
        <v>0</v>
      </c>
      <c r="AC2105" s="17">
        <v>0</v>
      </c>
      <c r="AD2105" s="17">
        <v>0</v>
      </c>
      <c r="AE2105" s="17">
        <v>0</v>
      </c>
      <c r="AF2105" s="17">
        <v>0</v>
      </c>
      <c r="AG2105" s="33">
        <v>0.3487792725460887</v>
      </c>
      <c r="AH2105" s="17">
        <v>0</v>
      </c>
      <c r="AI2105" s="17">
        <v>0</v>
      </c>
      <c r="AJ2105" s="17">
        <v>0</v>
      </c>
      <c r="AK2105" s="17">
        <v>0</v>
      </c>
      <c r="AL2105" s="32">
        <v>0</v>
      </c>
      <c r="AM2105" s="57"/>
      <c r="AN2105" s="171">
        <v>95</v>
      </c>
      <c r="AO2105" s="89"/>
      <c r="AP2105" s="88"/>
      <c r="AQ2105" s="17" t="s">
        <v>3411</v>
      </c>
      <c r="AR2105" s="174">
        <v>100</v>
      </c>
      <c r="AS2105" s="171" t="s">
        <v>246</v>
      </c>
      <c r="AT2105" s="171">
        <v>300</v>
      </c>
      <c r="AU2105" s="213">
        <v>21.428571428571427</v>
      </c>
      <c r="AV2105" s="57"/>
      <c r="AW2105" s="171">
        <v>28</v>
      </c>
      <c r="AX2105" s="89"/>
      <c r="AY2105" s="171">
        <v>22</v>
      </c>
      <c r="AZ2105" s="89"/>
      <c r="BA2105" s="175">
        <v>65</v>
      </c>
      <c r="BB2105" s="259"/>
      <c r="BC2105" s="176"/>
      <c r="BD2105" s="177"/>
      <c r="BE2105" s="177"/>
      <c r="BF2105" s="190" t="s">
        <v>3399</v>
      </c>
    </row>
    <row r="2106" spans="1:58">
      <c r="A2106" s="111">
        <v>2105</v>
      </c>
      <c r="B2106" s="211" t="s">
        <v>3202</v>
      </c>
      <c r="C2106" s="191" t="s">
        <v>3303</v>
      </c>
      <c r="D2106" s="171" t="s">
        <v>3290</v>
      </c>
      <c r="E2106" s="732" t="s">
        <v>3379</v>
      </c>
      <c r="F2106" s="171">
        <v>2003</v>
      </c>
      <c r="G2106" s="171">
        <v>16</v>
      </c>
      <c r="H2106" s="172" t="s">
        <v>1738</v>
      </c>
      <c r="I2106" s="173" t="s">
        <v>1751</v>
      </c>
      <c r="J2106" s="242">
        <v>0.59934853420195444</v>
      </c>
      <c r="K2106" s="213">
        <v>6.6221498371335503</v>
      </c>
      <c r="L2106" s="38">
        <v>184</v>
      </c>
      <c r="M2106" s="171">
        <v>307</v>
      </c>
      <c r="N2106" s="171">
        <v>1050</v>
      </c>
      <c r="O2106" s="162"/>
      <c r="P2106" s="71">
        <v>42.5</v>
      </c>
      <c r="Q2106" s="221" t="s">
        <v>1754</v>
      </c>
      <c r="R2106" s="171" t="s">
        <v>2315</v>
      </c>
      <c r="S2106" s="171" t="s">
        <v>3368</v>
      </c>
      <c r="T2106" s="89"/>
      <c r="U2106" s="89" t="s">
        <v>2315</v>
      </c>
      <c r="V2106" s="102">
        <v>0</v>
      </c>
      <c r="W2106" s="120">
        <v>0</v>
      </c>
      <c r="X2106" s="120">
        <v>0</v>
      </c>
      <c r="Y2106" s="120">
        <v>0</v>
      </c>
      <c r="Z2106" s="120">
        <v>0</v>
      </c>
      <c r="AA2106" s="17">
        <v>0</v>
      </c>
      <c r="AB2106" s="17">
        <v>0</v>
      </c>
      <c r="AC2106" s="17">
        <v>0</v>
      </c>
      <c r="AD2106" s="17">
        <v>0</v>
      </c>
      <c r="AE2106" s="17">
        <v>0</v>
      </c>
      <c r="AF2106" s="17">
        <v>0</v>
      </c>
      <c r="AG2106" s="33">
        <v>0.3487792725460887</v>
      </c>
      <c r="AH2106" s="17">
        <v>0</v>
      </c>
      <c r="AI2106" s="17">
        <v>0</v>
      </c>
      <c r="AJ2106" s="17">
        <v>0</v>
      </c>
      <c r="AK2106" s="17">
        <v>0</v>
      </c>
      <c r="AL2106" s="32">
        <v>0</v>
      </c>
      <c r="AM2106" s="57"/>
      <c r="AN2106" s="171">
        <v>65</v>
      </c>
      <c r="AO2106" s="89"/>
      <c r="AP2106" s="88"/>
      <c r="AQ2106" s="17" t="s">
        <v>3411</v>
      </c>
      <c r="AR2106" s="174">
        <v>100</v>
      </c>
      <c r="AS2106" s="171" t="s">
        <v>246</v>
      </c>
      <c r="AT2106" s="171">
        <v>300</v>
      </c>
      <c r="AU2106" s="213">
        <v>21.428571428571427</v>
      </c>
      <c r="AV2106" s="57"/>
      <c r="AW2106" s="171">
        <v>28</v>
      </c>
      <c r="AX2106" s="89"/>
      <c r="AY2106" s="171">
        <v>22</v>
      </c>
      <c r="AZ2106" s="89"/>
      <c r="BA2106" s="175">
        <v>65</v>
      </c>
      <c r="BB2106" s="259"/>
      <c r="BC2106" s="176"/>
      <c r="BD2106" s="177"/>
      <c r="BE2106" s="177"/>
      <c r="BF2106" s="190" t="s">
        <v>3399</v>
      </c>
    </row>
    <row r="2107" spans="1:58">
      <c r="A2107" s="111">
        <v>2106</v>
      </c>
      <c r="B2107" s="211" t="s">
        <v>3203</v>
      </c>
      <c r="C2107" s="191" t="s">
        <v>3303</v>
      </c>
      <c r="D2107" s="171" t="s">
        <v>3290</v>
      </c>
      <c r="E2107" s="732" t="s">
        <v>3379</v>
      </c>
      <c r="F2107" s="171">
        <v>2003</v>
      </c>
      <c r="G2107" s="171">
        <v>16</v>
      </c>
      <c r="H2107" s="172" t="s">
        <v>1738</v>
      </c>
      <c r="I2107" s="173" t="s">
        <v>1751</v>
      </c>
      <c r="J2107" s="242">
        <v>0.60130718954248363</v>
      </c>
      <c r="K2107" s="213">
        <v>6.643790849673203</v>
      </c>
      <c r="L2107" s="38">
        <v>184</v>
      </c>
      <c r="M2107" s="171">
        <v>241.74</v>
      </c>
      <c r="N2107" s="171">
        <v>1050</v>
      </c>
      <c r="O2107" s="162"/>
      <c r="P2107" s="71">
        <v>42.5</v>
      </c>
      <c r="Q2107" s="221" t="s">
        <v>1754</v>
      </c>
      <c r="R2107" s="171" t="s">
        <v>2315</v>
      </c>
      <c r="S2107" s="171" t="s">
        <v>3368</v>
      </c>
      <c r="T2107" s="89"/>
      <c r="U2107" s="89" t="s">
        <v>2315</v>
      </c>
      <c r="V2107" s="102">
        <v>0</v>
      </c>
      <c r="W2107" s="120">
        <v>0</v>
      </c>
      <c r="X2107" s="120">
        <v>21</v>
      </c>
      <c r="Y2107" s="120">
        <v>0</v>
      </c>
      <c r="Z2107" s="120">
        <v>0</v>
      </c>
      <c r="AA2107" s="17">
        <v>0</v>
      </c>
      <c r="AB2107" s="17">
        <v>0</v>
      </c>
      <c r="AC2107" s="17">
        <v>0</v>
      </c>
      <c r="AD2107" s="17">
        <v>0</v>
      </c>
      <c r="AE2107" s="17">
        <v>0</v>
      </c>
      <c r="AF2107" s="17">
        <v>0</v>
      </c>
      <c r="AG2107" s="33">
        <v>0.34877927254608865</v>
      </c>
      <c r="AH2107" s="17">
        <v>0</v>
      </c>
      <c r="AI2107" s="17">
        <v>0</v>
      </c>
      <c r="AJ2107" s="17">
        <v>0</v>
      </c>
      <c r="AK2107" s="17">
        <v>0</v>
      </c>
      <c r="AL2107" s="32">
        <v>0</v>
      </c>
      <c r="AM2107" s="57"/>
      <c r="AN2107" s="171">
        <v>70</v>
      </c>
      <c r="AO2107" s="89"/>
      <c r="AP2107" s="88"/>
      <c r="AQ2107" s="17" t="s">
        <v>3411</v>
      </c>
      <c r="AR2107" s="174">
        <v>100</v>
      </c>
      <c r="AS2107" s="171" t="s">
        <v>246</v>
      </c>
      <c r="AT2107" s="171">
        <v>300</v>
      </c>
      <c r="AU2107" s="213">
        <v>21.428571428571427</v>
      </c>
      <c r="AV2107" s="57"/>
      <c r="AW2107" s="171">
        <v>28</v>
      </c>
      <c r="AX2107" s="89"/>
      <c r="AY2107" s="171">
        <v>22</v>
      </c>
      <c r="AZ2107" s="89"/>
      <c r="BA2107" s="175">
        <v>65</v>
      </c>
      <c r="BB2107" s="259"/>
      <c r="BC2107" s="176"/>
      <c r="BD2107" s="177"/>
      <c r="BE2107" s="177"/>
      <c r="BF2107" s="190" t="s">
        <v>3399</v>
      </c>
    </row>
    <row r="2108" spans="1:58">
      <c r="A2108" s="111">
        <v>2107</v>
      </c>
      <c r="B2108" s="211" t="s">
        <v>3204</v>
      </c>
      <c r="C2108" s="191" t="s">
        <v>3303</v>
      </c>
      <c r="D2108" s="171" t="s">
        <v>3290</v>
      </c>
      <c r="E2108" s="732" t="s">
        <v>3379</v>
      </c>
      <c r="F2108" s="171">
        <v>2003</v>
      </c>
      <c r="G2108" s="171">
        <v>16</v>
      </c>
      <c r="H2108" s="172" t="s">
        <v>1738</v>
      </c>
      <c r="I2108" s="173" t="s">
        <v>1751</v>
      </c>
      <c r="J2108" s="242">
        <v>0.60130718954248363</v>
      </c>
      <c r="K2108" s="213">
        <v>6.643790849673203</v>
      </c>
      <c r="L2108" s="38">
        <v>184</v>
      </c>
      <c r="M2108" s="171">
        <v>153</v>
      </c>
      <c r="N2108" s="171">
        <v>1050</v>
      </c>
      <c r="O2108" s="162"/>
      <c r="P2108" s="71">
        <v>42.5</v>
      </c>
      <c r="Q2108" s="221" t="s">
        <v>1754</v>
      </c>
      <c r="R2108" s="171" t="s">
        <v>2315</v>
      </c>
      <c r="S2108" s="171" t="s">
        <v>3368</v>
      </c>
      <c r="T2108" s="89"/>
      <c r="U2108" s="89" t="s">
        <v>2315</v>
      </c>
      <c r="V2108" s="102">
        <v>0</v>
      </c>
      <c r="W2108" s="120">
        <v>0</v>
      </c>
      <c r="X2108" s="120">
        <v>50</v>
      </c>
      <c r="Y2108" s="120">
        <v>0</v>
      </c>
      <c r="Z2108" s="120">
        <v>0</v>
      </c>
      <c r="AA2108" s="17">
        <v>0</v>
      </c>
      <c r="AB2108" s="17">
        <v>0</v>
      </c>
      <c r="AC2108" s="17">
        <v>0</v>
      </c>
      <c r="AD2108" s="17">
        <v>0</v>
      </c>
      <c r="AE2108" s="17">
        <v>0</v>
      </c>
      <c r="AF2108" s="17">
        <v>0</v>
      </c>
      <c r="AG2108" s="33">
        <v>0.34877927254608865</v>
      </c>
      <c r="AH2108" s="17">
        <v>0</v>
      </c>
      <c r="AI2108" s="17">
        <v>0</v>
      </c>
      <c r="AJ2108" s="17">
        <v>0</v>
      </c>
      <c r="AK2108" s="17">
        <v>0</v>
      </c>
      <c r="AL2108" s="32">
        <v>0</v>
      </c>
      <c r="AM2108" s="57"/>
      <c r="AN2108" s="171">
        <v>70</v>
      </c>
      <c r="AO2108" s="89"/>
      <c r="AP2108" s="88"/>
      <c r="AQ2108" s="17" t="s">
        <v>3411</v>
      </c>
      <c r="AR2108" s="174">
        <v>100</v>
      </c>
      <c r="AS2108" s="171" t="s">
        <v>246</v>
      </c>
      <c r="AT2108" s="171">
        <v>300</v>
      </c>
      <c r="AU2108" s="213">
        <v>21.428571428571427</v>
      </c>
      <c r="AV2108" s="57"/>
      <c r="AW2108" s="171">
        <v>28</v>
      </c>
      <c r="AX2108" s="89"/>
      <c r="AY2108" s="171">
        <v>22</v>
      </c>
      <c r="AZ2108" s="89"/>
      <c r="BA2108" s="175">
        <v>65</v>
      </c>
      <c r="BB2108" s="259"/>
      <c r="BC2108" s="176"/>
      <c r="BD2108" s="177"/>
      <c r="BE2108" s="177"/>
      <c r="BF2108" s="190" t="s">
        <v>3399</v>
      </c>
    </row>
    <row r="2109" spans="1:58">
      <c r="A2109" s="111">
        <v>2108</v>
      </c>
      <c r="B2109" s="211" t="s">
        <v>3205</v>
      </c>
      <c r="C2109" s="191" t="s">
        <v>3303</v>
      </c>
      <c r="D2109" s="171" t="s">
        <v>3290</v>
      </c>
      <c r="E2109" s="732" t="s">
        <v>3379</v>
      </c>
      <c r="F2109" s="171">
        <v>2003</v>
      </c>
      <c r="G2109" s="171">
        <v>16</v>
      </c>
      <c r="H2109" s="172" t="s">
        <v>1738</v>
      </c>
      <c r="I2109" s="173" t="s">
        <v>1751</v>
      </c>
      <c r="J2109" s="242">
        <v>0.60068259385665534</v>
      </c>
      <c r="K2109" s="213">
        <v>6.9590443686006829</v>
      </c>
      <c r="L2109" s="38">
        <v>176</v>
      </c>
      <c r="M2109" s="171">
        <v>205.1</v>
      </c>
      <c r="N2109" s="171">
        <v>1050</v>
      </c>
      <c r="O2109" s="162"/>
      <c r="P2109" s="71">
        <v>42.5</v>
      </c>
      <c r="Q2109" s="221" t="s">
        <v>1754</v>
      </c>
      <c r="R2109" s="171" t="s">
        <v>2315</v>
      </c>
      <c r="S2109" s="171" t="s">
        <v>3368</v>
      </c>
      <c r="T2109" s="89"/>
      <c r="U2109" s="89" t="s">
        <v>2315</v>
      </c>
      <c r="V2109" s="102">
        <v>0</v>
      </c>
      <c r="W2109" s="120">
        <v>30</v>
      </c>
      <c r="X2109" s="120">
        <v>0</v>
      </c>
      <c r="Y2109" s="120">
        <v>0</v>
      </c>
      <c r="Z2109" s="120">
        <v>0</v>
      </c>
      <c r="AA2109" s="17">
        <v>0</v>
      </c>
      <c r="AB2109" s="17">
        <v>0</v>
      </c>
      <c r="AC2109" s="17">
        <v>0</v>
      </c>
      <c r="AD2109" s="17">
        <v>0</v>
      </c>
      <c r="AE2109" s="17">
        <v>0</v>
      </c>
      <c r="AF2109" s="17">
        <v>0</v>
      </c>
      <c r="AG2109" s="33">
        <v>0.3487792725460887</v>
      </c>
      <c r="AH2109" s="17">
        <v>0</v>
      </c>
      <c r="AI2109" s="17">
        <v>0</v>
      </c>
      <c r="AJ2109" s="17">
        <v>0</v>
      </c>
      <c r="AK2109" s="17">
        <v>0</v>
      </c>
      <c r="AL2109" s="32">
        <v>0</v>
      </c>
      <c r="AM2109" s="57"/>
      <c r="AN2109" s="171">
        <v>90</v>
      </c>
      <c r="AO2109" s="89"/>
      <c r="AP2109" s="88"/>
      <c r="AQ2109" s="17" t="s">
        <v>3411</v>
      </c>
      <c r="AR2109" s="174">
        <v>100</v>
      </c>
      <c r="AS2109" s="171" t="s">
        <v>246</v>
      </c>
      <c r="AT2109" s="171">
        <v>300</v>
      </c>
      <c r="AU2109" s="213">
        <v>21.428571428571427</v>
      </c>
      <c r="AV2109" s="57"/>
      <c r="AW2109" s="171">
        <v>28</v>
      </c>
      <c r="AX2109" s="89"/>
      <c r="AY2109" s="171">
        <v>22</v>
      </c>
      <c r="AZ2109" s="89"/>
      <c r="BA2109" s="175">
        <v>65</v>
      </c>
      <c r="BB2109" s="259"/>
      <c r="BC2109" s="176"/>
      <c r="BD2109" s="177"/>
      <c r="BE2109" s="177"/>
      <c r="BF2109" s="190" t="s">
        <v>3399</v>
      </c>
    </row>
    <row r="2110" spans="1:58">
      <c r="A2110" s="111">
        <v>2109</v>
      </c>
      <c r="B2110" s="211" t="s">
        <v>3206</v>
      </c>
      <c r="C2110" s="191" t="s">
        <v>3303</v>
      </c>
      <c r="D2110" s="171" t="s">
        <v>3290</v>
      </c>
      <c r="E2110" s="732" t="s">
        <v>3379</v>
      </c>
      <c r="F2110" s="171">
        <v>2003</v>
      </c>
      <c r="G2110" s="171">
        <v>16</v>
      </c>
      <c r="H2110" s="172" t="s">
        <v>1738</v>
      </c>
      <c r="I2110" s="173" t="s">
        <v>1751</v>
      </c>
      <c r="J2110" s="242">
        <v>0.60063897763578278</v>
      </c>
      <c r="K2110" s="213">
        <v>6.0702875399361025</v>
      </c>
      <c r="L2110" s="38">
        <v>188</v>
      </c>
      <c r="M2110" s="171">
        <v>313</v>
      </c>
      <c r="N2110" s="171">
        <v>1050</v>
      </c>
      <c r="O2110" s="162"/>
      <c r="P2110" s="71">
        <v>42.5</v>
      </c>
      <c r="Q2110" s="221" t="s">
        <v>1754</v>
      </c>
      <c r="R2110" s="171" t="s">
        <v>2312</v>
      </c>
      <c r="S2110" s="171" t="s">
        <v>3370</v>
      </c>
      <c r="T2110" s="89"/>
      <c r="U2110" s="89" t="s">
        <v>2312</v>
      </c>
      <c r="V2110" s="102">
        <v>0</v>
      </c>
      <c r="W2110" s="120">
        <v>0</v>
      </c>
      <c r="X2110" s="120">
        <v>0</v>
      </c>
      <c r="Y2110" s="120">
        <v>0</v>
      </c>
      <c r="Z2110" s="120">
        <v>0</v>
      </c>
      <c r="AA2110" s="17">
        <v>0</v>
      </c>
      <c r="AB2110" s="17">
        <v>0</v>
      </c>
      <c r="AC2110" s="17">
        <v>0</v>
      </c>
      <c r="AD2110" s="17">
        <v>0</v>
      </c>
      <c r="AE2110" s="17">
        <v>0</v>
      </c>
      <c r="AF2110" s="17">
        <v>0</v>
      </c>
      <c r="AG2110" s="33">
        <v>0.34877927254608865</v>
      </c>
      <c r="AH2110" s="17">
        <v>0</v>
      </c>
      <c r="AI2110" s="17">
        <v>0</v>
      </c>
      <c r="AJ2110" s="17">
        <v>0</v>
      </c>
      <c r="AK2110" s="17">
        <v>0</v>
      </c>
      <c r="AL2110" s="32">
        <v>0</v>
      </c>
      <c r="AM2110" s="57"/>
      <c r="AN2110" s="171">
        <v>65</v>
      </c>
      <c r="AO2110" s="89"/>
      <c r="AP2110" s="88"/>
      <c r="AQ2110" s="17" t="s">
        <v>3411</v>
      </c>
      <c r="AR2110" s="174">
        <v>100</v>
      </c>
      <c r="AS2110" s="171" t="s">
        <v>246</v>
      </c>
      <c r="AT2110" s="171">
        <v>300</v>
      </c>
      <c r="AU2110" s="213">
        <v>21.428571428571427</v>
      </c>
      <c r="AV2110" s="57"/>
      <c r="AW2110" s="171">
        <v>28</v>
      </c>
      <c r="AX2110" s="89"/>
      <c r="AY2110" s="171">
        <v>22</v>
      </c>
      <c r="AZ2110" s="89"/>
      <c r="BA2110" s="175">
        <v>65</v>
      </c>
      <c r="BB2110" s="259"/>
      <c r="BC2110" s="176"/>
      <c r="BD2110" s="177"/>
      <c r="BE2110" s="177"/>
      <c r="BF2110" s="190" t="s">
        <v>3399</v>
      </c>
    </row>
    <row r="2111" spans="1:58">
      <c r="A2111" s="111">
        <v>2110</v>
      </c>
      <c r="B2111" s="211" t="s">
        <v>3207</v>
      </c>
      <c r="C2111" s="191" t="s">
        <v>3303</v>
      </c>
      <c r="D2111" s="171" t="s">
        <v>3290</v>
      </c>
      <c r="E2111" s="732" t="s">
        <v>3379</v>
      </c>
      <c r="F2111" s="171">
        <v>2003</v>
      </c>
      <c r="G2111" s="171">
        <v>16</v>
      </c>
      <c r="H2111" s="172" t="s">
        <v>1738</v>
      </c>
      <c r="I2111" s="173" t="s">
        <v>1751</v>
      </c>
      <c r="J2111" s="242">
        <v>0.60061919504643968</v>
      </c>
      <c r="K2111" s="213">
        <v>5.7925696594427247</v>
      </c>
      <c r="L2111" s="38">
        <v>194</v>
      </c>
      <c r="M2111" s="171">
        <v>255.17000000000002</v>
      </c>
      <c r="N2111" s="171">
        <v>1050</v>
      </c>
      <c r="O2111" s="162"/>
      <c r="P2111" s="71">
        <v>42.5</v>
      </c>
      <c r="Q2111" s="221" t="s">
        <v>1754</v>
      </c>
      <c r="R2111" s="171" t="s">
        <v>2312</v>
      </c>
      <c r="S2111" s="171" t="s">
        <v>3370</v>
      </c>
      <c r="T2111" s="89"/>
      <c r="U2111" s="89" t="s">
        <v>2312</v>
      </c>
      <c r="V2111" s="102">
        <v>0</v>
      </c>
      <c r="W2111" s="120">
        <v>0</v>
      </c>
      <c r="X2111" s="120">
        <v>21</v>
      </c>
      <c r="Y2111" s="120">
        <v>0</v>
      </c>
      <c r="Z2111" s="120">
        <v>0</v>
      </c>
      <c r="AA2111" s="17">
        <v>0</v>
      </c>
      <c r="AB2111" s="17">
        <v>0</v>
      </c>
      <c r="AC2111" s="17">
        <v>0</v>
      </c>
      <c r="AD2111" s="17">
        <v>0</v>
      </c>
      <c r="AE2111" s="17">
        <v>0</v>
      </c>
      <c r="AF2111" s="17">
        <v>0</v>
      </c>
      <c r="AG2111" s="33">
        <v>0.3487792725460887</v>
      </c>
      <c r="AH2111" s="17">
        <v>0</v>
      </c>
      <c r="AI2111" s="17">
        <v>0</v>
      </c>
      <c r="AJ2111" s="17">
        <v>0</v>
      </c>
      <c r="AK2111" s="17">
        <v>0</v>
      </c>
      <c r="AL2111" s="32">
        <v>0</v>
      </c>
      <c r="AM2111" s="57"/>
      <c r="AN2111" s="171">
        <v>50</v>
      </c>
      <c r="AO2111" s="89"/>
      <c r="AP2111" s="88"/>
      <c r="AQ2111" s="17" t="s">
        <v>3411</v>
      </c>
      <c r="AR2111" s="174">
        <v>100</v>
      </c>
      <c r="AS2111" s="171" t="s">
        <v>246</v>
      </c>
      <c r="AT2111" s="171">
        <v>300</v>
      </c>
      <c r="AU2111" s="213">
        <v>21.428571428571427</v>
      </c>
      <c r="AV2111" s="57"/>
      <c r="AW2111" s="171">
        <v>28</v>
      </c>
      <c r="AX2111" s="89"/>
      <c r="AY2111" s="171">
        <v>22</v>
      </c>
      <c r="AZ2111" s="89"/>
      <c r="BA2111" s="175">
        <v>65</v>
      </c>
      <c r="BB2111" s="259"/>
      <c r="BC2111" s="176"/>
      <c r="BD2111" s="177"/>
      <c r="BE2111" s="177"/>
      <c r="BF2111" s="190" t="s">
        <v>3399</v>
      </c>
    </row>
    <row r="2112" spans="1:58">
      <c r="A2112" s="111">
        <v>2111</v>
      </c>
      <c r="B2112" s="211" t="s">
        <v>3208</v>
      </c>
      <c r="C2112" s="191" t="s">
        <v>3303</v>
      </c>
      <c r="D2112" s="171" t="s">
        <v>3290</v>
      </c>
      <c r="E2112" s="732" t="s">
        <v>3379</v>
      </c>
      <c r="F2112" s="171">
        <v>2003</v>
      </c>
      <c r="G2112" s="171">
        <v>16</v>
      </c>
      <c r="H2112" s="172" t="s">
        <v>1738</v>
      </c>
      <c r="I2112" s="173" t="s">
        <v>1751</v>
      </c>
      <c r="J2112" s="242">
        <v>0.60061919504643968</v>
      </c>
      <c r="K2112" s="213">
        <v>5.7925696594427247</v>
      </c>
      <c r="L2112" s="38">
        <v>194</v>
      </c>
      <c r="M2112" s="171">
        <v>161.5</v>
      </c>
      <c r="N2112" s="171">
        <v>1050</v>
      </c>
      <c r="O2112" s="162"/>
      <c r="P2112" s="71">
        <v>42.5</v>
      </c>
      <c r="Q2112" s="221" t="s">
        <v>1754</v>
      </c>
      <c r="R2112" s="171" t="s">
        <v>2312</v>
      </c>
      <c r="S2112" s="171" t="s">
        <v>3370</v>
      </c>
      <c r="T2112" s="89"/>
      <c r="U2112" s="89" t="s">
        <v>2312</v>
      </c>
      <c r="V2112" s="102">
        <v>0</v>
      </c>
      <c r="W2112" s="120">
        <v>0</v>
      </c>
      <c r="X2112" s="120">
        <v>50</v>
      </c>
      <c r="Y2112" s="120">
        <v>0</v>
      </c>
      <c r="Z2112" s="120">
        <v>0</v>
      </c>
      <c r="AA2112" s="17">
        <v>0</v>
      </c>
      <c r="AB2112" s="17">
        <v>0</v>
      </c>
      <c r="AC2112" s="17">
        <v>0</v>
      </c>
      <c r="AD2112" s="17">
        <v>0</v>
      </c>
      <c r="AE2112" s="17">
        <v>0</v>
      </c>
      <c r="AF2112" s="17">
        <v>0</v>
      </c>
      <c r="AG2112" s="33">
        <v>0.3487792725460887</v>
      </c>
      <c r="AH2112" s="17">
        <v>0</v>
      </c>
      <c r="AI2112" s="17">
        <v>0</v>
      </c>
      <c r="AJ2112" s="17">
        <v>0</v>
      </c>
      <c r="AK2112" s="17">
        <v>0</v>
      </c>
      <c r="AL2112" s="32">
        <v>0</v>
      </c>
      <c r="AM2112" s="57"/>
      <c r="AN2112" s="171">
        <v>60</v>
      </c>
      <c r="AO2112" s="89"/>
      <c r="AP2112" s="88"/>
      <c r="AQ2112" s="17" t="s">
        <v>3411</v>
      </c>
      <c r="AR2112" s="174">
        <v>100</v>
      </c>
      <c r="AS2112" s="171" t="s">
        <v>246</v>
      </c>
      <c r="AT2112" s="171">
        <v>300</v>
      </c>
      <c r="AU2112" s="213">
        <v>21.428571428571427</v>
      </c>
      <c r="AV2112" s="57"/>
      <c r="AW2112" s="171">
        <v>28</v>
      </c>
      <c r="AX2112" s="89"/>
      <c r="AY2112" s="171">
        <v>22</v>
      </c>
      <c r="AZ2112" s="89"/>
      <c r="BA2112" s="175">
        <v>65</v>
      </c>
      <c r="BB2112" s="259"/>
      <c r="BC2112" s="176"/>
      <c r="BD2112" s="177"/>
      <c r="BE2112" s="177"/>
      <c r="BF2112" s="190" t="s">
        <v>3399</v>
      </c>
    </row>
    <row r="2113" spans="1:58">
      <c r="A2113" s="111">
        <v>2112</v>
      </c>
      <c r="B2113" s="211" t="s">
        <v>3209</v>
      </c>
      <c r="C2113" s="191" t="s">
        <v>3303</v>
      </c>
      <c r="D2113" s="171" t="s">
        <v>3290</v>
      </c>
      <c r="E2113" s="732" t="s">
        <v>3379</v>
      </c>
      <c r="F2113" s="171">
        <v>2003</v>
      </c>
      <c r="G2113" s="171">
        <v>16</v>
      </c>
      <c r="H2113" s="172" t="s">
        <v>1738</v>
      </c>
      <c r="I2113" s="173" t="s">
        <v>1751</v>
      </c>
      <c r="J2113" s="242">
        <v>0.6</v>
      </c>
      <c r="K2113" s="213">
        <v>6.064516129032258</v>
      </c>
      <c r="L2113" s="38">
        <v>186</v>
      </c>
      <c r="M2113" s="171">
        <v>217</v>
      </c>
      <c r="N2113" s="171">
        <v>1050</v>
      </c>
      <c r="O2113" s="162"/>
      <c r="P2113" s="71">
        <v>42.5</v>
      </c>
      <c r="Q2113" s="221" t="s">
        <v>1754</v>
      </c>
      <c r="R2113" s="171" t="s">
        <v>2312</v>
      </c>
      <c r="S2113" s="171" t="s">
        <v>3370</v>
      </c>
      <c r="T2113" s="89"/>
      <c r="U2113" s="89" t="s">
        <v>2312</v>
      </c>
      <c r="V2113" s="102">
        <v>0</v>
      </c>
      <c r="W2113" s="120">
        <v>30</v>
      </c>
      <c r="X2113" s="120">
        <v>0</v>
      </c>
      <c r="Y2113" s="120">
        <v>0</v>
      </c>
      <c r="Z2113" s="120">
        <v>0</v>
      </c>
      <c r="AA2113" s="17">
        <v>0</v>
      </c>
      <c r="AB2113" s="17">
        <v>0</v>
      </c>
      <c r="AC2113" s="17">
        <v>0</v>
      </c>
      <c r="AD2113" s="17">
        <v>0</v>
      </c>
      <c r="AE2113" s="17">
        <v>0</v>
      </c>
      <c r="AF2113" s="17">
        <v>0</v>
      </c>
      <c r="AG2113" s="33">
        <v>0.3487792725460887</v>
      </c>
      <c r="AH2113" s="17">
        <v>0</v>
      </c>
      <c r="AI2113" s="17">
        <v>0</v>
      </c>
      <c r="AJ2113" s="17">
        <v>0</v>
      </c>
      <c r="AK2113" s="17">
        <v>0</v>
      </c>
      <c r="AL2113" s="32">
        <v>0</v>
      </c>
      <c r="AM2113" s="57"/>
      <c r="AN2113" s="171">
        <v>65</v>
      </c>
      <c r="AO2113" s="89"/>
      <c r="AP2113" s="88"/>
      <c r="AQ2113" s="17" t="s">
        <v>3411</v>
      </c>
      <c r="AR2113" s="174">
        <v>100</v>
      </c>
      <c r="AS2113" s="171" t="s">
        <v>246</v>
      </c>
      <c r="AT2113" s="171">
        <v>300</v>
      </c>
      <c r="AU2113" s="213">
        <v>21.428571428571427</v>
      </c>
      <c r="AV2113" s="57"/>
      <c r="AW2113" s="171">
        <v>28</v>
      </c>
      <c r="AX2113" s="89"/>
      <c r="AY2113" s="171">
        <v>22</v>
      </c>
      <c r="AZ2113" s="89"/>
      <c r="BA2113" s="175">
        <v>65</v>
      </c>
      <c r="BB2113" s="259"/>
      <c r="BC2113" s="176"/>
      <c r="BD2113" s="177"/>
      <c r="BE2113" s="177"/>
      <c r="BF2113" s="190" t="s">
        <v>3399</v>
      </c>
    </row>
    <row r="2114" spans="1:58">
      <c r="A2114" s="111">
        <v>2113</v>
      </c>
      <c r="B2114" s="211" t="s">
        <v>3210</v>
      </c>
      <c r="C2114" s="191" t="s">
        <v>3303</v>
      </c>
      <c r="D2114" s="171" t="s">
        <v>3290</v>
      </c>
      <c r="E2114" s="732" t="s">
        <v>3379</v>
      </c>
      <c r="F2114" s="171">
        <v>2003</v>
      </c>
      <c r="G2114" s="171">
        <v>16</v>
      </c>
      <c r="H2114" s="172" t="s">
        <v>1738</v>
      </c>
      <c r="I2114" s="173" t="s">
        <v>1751</v>
      </c>
      <c r="J2114" s="242">
        <v>0.6</v>
      </c>
      <c r="K2114" s="213">
        <v>5.137142857142857</v>
      </c>
      <c r="L2114" s="38">
        <v>210</v>
      </c>
      <c r="M2114" s="171">
        <v>350</v>
      </c>
      <c r="N2114" s="171">
        <v>1050</v>
      </c>
      <c r="O2114" s="162"/>
      <c r="P2114" s="71">
        <v>42.5</v>
      </c>
      <c r="Q2114" s="221" t="s">
        <v>1754</v>
      </c>
      <c r="R2114" s="171" t="s">
        <v>3350</v>
      </c>
      <c r="S2114" s="171" t="s">
        <v>3373</v>
      </c>
      <c r="T2114" s="89"/>
      <c r="U2114" s="89" t="s">
        <v>3350</v>
      </c>
      <c r="V2114" s="102">
        <v>0</v>
      </c>
      <c r="W2114" s="120">
        <v>0</v>
      </c>
      <c r="X2114" s="120">
        <v>0</v>
      </c>
      <c r="Y2114" s="120">
        <v>0</v>
      </c>
      <c r="Z2114" s="120">
        <v>0</v>
      </c>
      <c r="AA2114" s="17">
        <v>0</v>
      </c>
      <c r="AB2114" s="17">
        <v>0</v>
      </c>
      <c r="AC2114" s="17">
        <v>0</v>
      </c>
      <c r="AD2114" s="17">
        <v>0</v>
      </c>
      <c r="AE2114" s="17">
        <v>0</v>
      </c>
      <c r="AF2114" s="17">
        <v>0</v>
      </c>
      <c r="AG2114" s="33">
        <v>0.3487792725460887</v>
      </c>
      <c r="AH2114" s="17">
        <v>0</v>
      </c>
      <c r="AI2114" s="17">
        <v>0</v>
      </c>
      <c r="AJ2114" s="17">
        <v>0</v>
      </c>
      <c r="AK2114" s="17">
        <v>0</v>
      </c>
      <c r="AL2114" s="32">
        <v>0</v>
      </c>
      <c r="AM2114" s="57"/>
      <c r="AN2114" s="171">
        <v>80</v>
      </c>
      <c r="AO2114" s="89"/>
      <c r="AP2114" s="88"/>
      <c r="AQ2114" s="17" t="s">
        <v>3411</v>
      </c>
      <c r="AR2114" s="174">
        <v>100</v>
      </c>
      <c r="AS2114" s="171" t="s">
        <v>246</v>
      </c>
      <c r="AT2114" s="171">
        <v>300</v>
      </c>
      <c r="AU2114" s="213">
        <v>21.428571428571427</v>
      </c>
      <c r="AV2114" s="57"/>
      <c r="AW2114" s="171">
        <v>28</v>
      </c>
      <c r="AX2114" s="89"/>
      <c r="AY2114" s="171">
        <v>22</v>
      </c>
      <c r="AZ2114" s="89"/>
      <c r="BA2114" s="175">
        <v>65</v>
      </c>
      <c r="BB2114" s="259"/>
      <c r="BC2114" s="176"/>
      <c r="BD2114" s="177"/>
      <c r="BE2114" s="177"/>
      <c r="BF2114" s="190" t="s">
        <v>3399</v>
      </c>
    </row>
    <row r="2115" spans="1:58">
      <c r="A2115" s="111">
        <v>2114</v>
      </c>
      <c r="B2115" s="211" t="s">
        <v>3211</v>
      </c>
      <c r="C2115" s="191" t="s">
        <v>3303</v>
      </c>
      <c r="D2115" s="171" t="s">
        <v>3290</v>
      </c>
      <c r="E2115" s="732" t="s">
        <v>3379</v>
      </c>
      <c r="F2115" s="171">
        <v>2003</v>
      </c>
      <c r="G2115" s="171">
        <v>16</v>
      </c>
      <c r="H2115" s="172" t="s">
        <v>1738</v>
      </c>
      <c r="I2115" s="173" t="s">
        <v>1751</v>
      </c>
      <c r="J2115" s="242">
        <v>0.6</v>
      </c>
      <c r="K2115" s="213">
        <v>5.137142857142857</v>
      </c>
      <c r="L2115" s="38">
        <v>210</v>
      </c>
      <c r="M2115" s="171">
        <v>276.5</v>
      </c>
      <c r="N2115" s="171">
        <v>1050</v>
      </c>
      <c r="O2115" s="162"/>
      <c r="P2115" s="71">
        <v>42.5</v>
      </c>
      <c r="Q2115" s="221" t="s">
        <v>1754</v>
      </c>
      <c r="R2115" s="171" t="s">
        <v>3350</v>
      </c>
      <c r="S2115" s="171" t="s">
        <v>3373</v>
      </c>
      <c r="T2115" s="89"/>
      <c r="U2115" s="89" t="s">
        <v>3350</v>
      </c>
      <c r="V2115" s="102">
        <v>0</v>
      </c>
      <c r="W2115" s="120">
        <v>0</v>
      </c>
      <c r="X2115" s="120">
        <v>21</v>
      </c>
      <c r="Y2115" s="120">
        <v>0</v>
      </c>
      <c r="Z2115" s="120">
        <v>0</v>
      </c>
      <c r="AA2115" s="17">
        <v>0</v>
      </c>
      <c r="AB2115" s="17">
        <v>0</v>
      </c>
      <c r="AC2115" s="17">
        <v>0</v>
      </c>
      <c r="AD2115" s="17">
        <v>0</v>
      </c>
      <c r="AE2115" s="17">
        <v>0</v>
      </c>
      <c r="AF2115" s="17">
        <v>0</v>
      </c>
      <c r="AG2115" s="33">
        <v>0.3487792725460887</v>
      </c>
      <c r="AH2115" s="17">
        <v>0</v>
      </c>
      <c r="AI2115" s="17">
        <v>0</v>
      </c>
      <c r="AJ2115" s="17">
        <v>0</v>
      </c>
      <c r="AK2115" s="17">
        <v>0</v>
      </c>
      <c r="AL2115" s="32">
        <v>0</v>
      </c>
      <c r="AM2115" s="57"/>
      <c r="AN2115" s="171">
        <v>80</v>
      </c>
      <c r="AO2115" s="89"/>
      <c r="AP2115" s="88"/>
      <c r="AQ2115" s="17" t="s">
        <v>3411</v>
      </c>
      <c r="AR2115" s="174">
        <v>100</v>
      </c>
      <c r="AS2115" s="171" t="s">
        <v>246</v>
      </c>
      <c r="AT2115" s="171">
        <v>300</v>
      </c>
      <c r="AU2115" s="213">
        <v>21.428571428571427</v>
      </c>
      <c r="AV2115" s="57"/>
      <c r="AW2115" s="171">
        <v>28</v>
      </c>
      <c r="AX2115" s="89"/>
      <c r="AY2115" s="171">
        <v>22</v>
      </c>
      <c r="AZ2115" s="89"/>
      <c r="BA2115" s="175">
        <v>65</v>
      </c>
      <c r="BB2115" s="259"/>
      <c r="BC2115" s="176"/>
      <c r="BD2115" s="177"/>
      <c r="BE2115" s="177"/>
      <c r="BF2115" s="190" t="s">
        <v>3399</v>
      </c>
    </row>
    <row r="2116" spans="1:58">
      <c r="A2116" s="111">
        <v>2115</v>
      </c>
      <c r="B2116" s="211" t="s">
        <v>3212</v>
      </c>
      <c r="C2116" s="191" t="s">
        <v>3303</v>
      </c>
      <c r="D2116" s="171" t="s">
        <v>3290</v>
      </c>
      <c r="E2116" s="732" t="s">
        <v>3379</v>
      </c>
      <c r="F2116" s="171">
        <v>2003</v>
      </c>
      <c r="G2116" s="171">
        <v>16</v>
      </c>
      <c r="H2116" s="172" t="s">
        <v>1738</v>
      </c>
      <c r="I2116" s="173" t="s">
        <v>1751</v>
      </c>
      <c r="J2116" s="242">
        <v>0.59880239520958078</v>
      </c>
      <c r="K2116" s="213">
        <v>5.4700598802395213</v>
      </c>
      <c r="L2116" s="38">
        <v>200</v>
      </c>
      <c r="M2116" s="171">
        <v>167</v>
      </c>
      <c r="N2116" s="171">
        <v>1050</v>
      </c>
      <c r="O2116" s="162"/>
      <c r="P2116" s="71">
        <v>42.5</v>
      </c>
      <c r="Q2116" s="221" t="s">
        <v>1754</v>
      </c>
      <c r="R2116" s="171" t="s">
        <v>3350</v>
      </c>
      <c r="S2116" s="171" t="s">
        <v>3373</v>
      </c>
      <c r="T2116" s="89"/>
      <c r="U2116" s="89" t="s">
        <v>3350</v>
      </c>
      <c r="V2116" s="102">
        <v>0</v>
      </c>
      <c r="W2116" s="120">
        <v>0</v>
      </c>
      <c r="X2116" s="120">
        <v>50</v>
      </c>
      <c r="Y2116" s="120">
        <v>0</v>
      </c>
      <c r="Z2116" s="120">
        <v>0</v>
      </c>
      <c r="AA2116" s="17">
        <v>0</v>
      </c>
      <c r="AB2116" s="17">
        <v>0</v>
      </c>
      <c r="AC2116" s="17">
        <v>0</v>
      </c>
      <c r="AD2116" s="17">
        <v>0</v>
      </c>
      <c r="AE2116" s="17">
        <v>0</v>
      </c>
      <c r="AF2116" s="17">
        <v>0</v>
      </c>
      <c r="AG2116" s="33">
        <v>0.3487792725460887</v>
      </c>
      <c r="AH2116" s="17">
        <v>0</v>
      </c>
      <c r="AI2116" s="17">
        <v>0</v>
      </c>
      <c r="AJ2116" s="17">
        <v>0</v>
      </c>
      <c r="AK2116" s="17">
        <v>0</v>
      </c>
      <c r="AL2116" s="32">
        <v>0</v>
      </c>
      <c r="AM2116" s="57"/>
      <c r="AN2116" s="171">
        <v>75</v>
      </c>
      <c r="AO2116" s="89"/>
      <c r="AP2116" s="88"/>
      <c r="AQ2116" s="17" t="s">
        <v>3411</v>
      </c>
      <c r="AR2116" s="174">
        <v>100</v>
      </c>
      <c r="AS2116" s="171" t="s">
        <v>246</v>
      </c>
      <c r="AT2116" s="171">
        <v>300</v>
      </c>
      <c r="AU2116" s="213">
        <v>21.428571428571427</v>
      </c>
      <c r="AV2116" s="57"/>
      <c r="AW2116" s="171">
        <v>28</v>
      </c>
      <c r="AX2116" s="89"/>
      <c r="AY2116" s="171">
        <v>22</v>
      </c>
      <c r="AZ2116" s="89"/>
      <c r="BA2116" s="175">
        <v>65</v>
      </c>
      <c r="BB2116" s="259"/>
      <c r="BC2116" s="176"/>
      <c r="BD2116" s="177"/>
      <c r="BE2116" s="177"/>
      <c r="BF2116" s="190" t="s">
        <v>3399</v>
      </c>
    </row>
    <row r="2117" spans="1:58">
      <c r="A2117" s="111">
        <v>2116</v>
      </c>
      <c r="B2117" s="211" t="s">
        <v>3213</v>
      </c>
      <c r="C2117" s="191" t="s">
        <v>3303</v>
      </c>
      <c r="D2117" s="171" t="s">
        <v>3290</v>
      </c>
      <c r="E2117" s="732" t="s">
        <v>3379</v>
      </c>
      <c r="F2117" s="171">
        <v>2003</v>
      </c>
      <c r="G2117" s="171">
        <v>16</v>
      </c>
      <c r="H2117" s="172" t="s">
        <v>1738</v>
      </c>
      <c r="I2117" s="173" t="s">
        <v>1751</v>
      </c>
      <c r="J2117" s="242">
        <v>0.59937888198757761</v>
      </c>
      <c r="K2117" s="213">
        <v>5.7049689440993792</v>
      </c>
      <c r="L2117" s="38">
        <v>193</v>
      </c>
      <c r="M2117" s="171">
        <v>225.39999999999998</v>
      </c>
      <c r="N2117" s="171">
        <v>1050</v>
      </c>
      <c r="O2117" s="162"/>
      <c r="P2117" s="71">
        <v>42.5</v>
      </c>
      <c r="Q2117" s="221" t="s">
        <v>1754</v>
      </c>
      <c r="R2117" s="171" t="s">
        <v>3350</v>
      </c>
      <c r="S2117" s="171" t="s">
        <v>3373</v>
      </c>
      <c r="T2117" s="89"/>
      <c r="U2117" s="89" t="s">
        <v>3350</v>
      </c>
      <c r="V2117" s="102">
        <v>0</v>
      </c>
      <c r="W2117" s="120">
        <v>30</v>
      </c>
      <c r="X2117" s="120">
        <v>0</v>
      </c>
      <c r="Y2117" s="120">
        <v>0</v>
      </c>
      <c r="Z2117" s="120">
        <v>0</v>
      </c>
      <c r="AA2117" s="17">
        <v>0</v>
      </c>
      <c r="AB2117" s="17">
        <v>0</v>
      </c>
      <c r="AC2117" s="17">
        <v>0</v>
      </c>
      <c r="AD2117" s="17">
        <v>0</v>
      </c>
      <c r="AE2117" s="17">
        <v>0</v>
      </c>
      <c r="AF2117" s="17">
        <v>0</v>
      </c>
      <c r="AG2117" s="33">
        <v>0.34877927254608865</v>
      </c>
      <c r="AH2117" s="17">
        <v>0</v>
      </c>
      <c r="AI2117" s="17">
        <v>0</v>
      </c>
      <c r="AJ2117" s="17">
        <v>0</v>
      </c>
      <c r="AK2117" s="17">
        <v>0</v>
      </c>
      <c r="AL2117" s="32">
        <v>0</v>
      </c>
      <c r="AM2117" s="57"/>
      <c r="AN2117" s="171">
        <v>80</v>
      </c>
      <c r="AO2117" s="89"/>
      <c r="AP2117" s="88"/>
      <c r="AQ2117" s="17" t="s">
        <v>3411</v>
      </c>
      <c r="AR2117" s="174">
        <v>100</v>
      </c>
      <c r="AS2117" s="171" t="s">
        <v>246</v>
      </c>
      <c r="AT2117" s="171">
        <v>300</v>
      </c>
      <c r="AU2117" s="213">
        <v>21.428571428571427</v>
      </c>
      <c r="AV2117" s="57"/>
      <c r="AW2117" s="171">
        <v>28</v>
      </c>
      <c r="AX2117" s="89"/>
      <c r="AY2117" s="171">
        <v>22</v>
      </c>
      <c r="AZ2117" s="89"/>
      <c r="BA2117" s="175">
        <v>65</v>
      </c>
      <c r="BB2117" s="259"/>
      <c r="BC2117" s="176"/>
      <c r="BD2117" s="177"/>
      <c r="BE2117" s="177"/>
      <c r="BF2117" s="190" t="s">
        <v>3399</v>
      </c>
    </row>
    <row r="2118" spans="1:58">
      <c r="A2118" s="111">
        <v>2117</v>
      </c>
      <c r="B2118" s="211" t="s">
        <v>3214</v>
      </c>
      <c r="C2118" s="191" t="s">
        <v>3304</v>
      </c>
      <c r="D2118" s="171" t="s">
        <v>3290</v>
      </c>
      <c r="E2118" s="732" t="s">
        <v>3379</v>
      </c>
      <c r="F2118" s="171">
        <v>1998</v>
      </c>
      <c r="G2118" s="171">
        <v>17</v>
      </c>
      <c r="H2118" s="172" t="s">
        <v>1738</v>
      </c>
      <c r="I2118" s="173" t="s">
        <v>1751</v>
      </c>
      <c r="J2118" s="242">
        <v>0.56034482758620685</v>
      </c>
      <c r="K2118" s="213">
        <v>5.2442528735632186</v>
      </c>
      <c r="L2118" s="38">
        <v>195</v>
      </c>
      <c r="M2118" s="171">
        <v>348</v>
      </c>
      <c r="N2118" s="171">
        <v>1015</v>
      </c>
      <c r="O2118" s="162"/>
      <c r="P2118" s="71">
        <v>42.5</v>
      </c>
      <c r="Q2118" s="221" t="s">
        <v>1754</v>
      </c>
      <c r="R2118" s="171" t="s">
        <v>3351</v>
      </c>
      <c r="S2118" s="171" t="s">
        <v>3351</v>
      </c>
      <c r="T2118" s="89"/>
      <c r="U2118" s="89" t="s">
        <v>3351</v>
      </c>
      <c r="V2118" s="102">
        <v>0</v>
      </c>
      <c r="W2118" s="120">
        <v>0</v>
      </c>
      <c r="X2118" s="120">
        <v>0</v>
      </c>
      <c r="Y2118" s="120">
        <v>0</v>
      </c>
      <c r="Z2118" s="120">
        <v>0</v>
      </c>
      <c r="AA2118" s="17">
        <v>0</v>
      </c>
      <c r="AB2118" s="17">
        <v>0</v>
      </c>
      <c r="AC2118" s="17">
        <v>0</v>
      </c>
      <c r="AD2118" s="17">
        <v>0</v>
      </c>
      <c r="AE2118" s="17">
        <v>0</v>
      </c>
      <c r="AF2118" s="17">
        <v>0</v>
      </c>
      <c r="AG2118" s="17">
        <v>0</v>
      </c>
      <c r="AH2118" s="17">
        <v>0</v>
      </c>
      <c r="AI2118" s="17">
        <v>0</v>
      </c>
      <c r="AJ2118" s="17">
        <v>0</v>
      </c>
      <c r="AK2118" s="17">
        <v>0</v>
      </c>
      <c r="AL2118" s="32">
        <v>0</v>
      </c>
      <c r="AM2118" s="172">
        <v>37</v>
      </c>
      <c r="AN2118" s="171">
        <v>90</v>
      </c>
      <c r="AO2118" s="89"/>
      <c r="AP2118" s="783">
        <v>25.923999999999999</v>
      </c>
      <c r="AQ2118" s="17" t="s">
        <v>3412</v>
      </c>
      <c r="AR2118" s="213">
        <v>101.6</v>
      </c>
      <c r="AS2118" s="171" t="s">
        <v>246</v>
      </c>
      <c r="AT2118" s="171">
        <v>200</v>
      </c>
      <c r="AU2118" s="171">
        <v>25.4</v>
      </c>
      <c r="AV2118" s="57"/>
      <c r="AW2118" s="171">
        <v>28</v>
      </c>
      <c r="AX2118" s="89"/>
      <c r="AY2118" s="171">
        <v>23</v>
      </c>
      <c r="AZ2118" s="89"/>
      <c r="BA2118" s="175">
        <v>67</v>
      </c>
      <c r="BB2118" s="259"/>
      <c r="BC2118" s="176"/>
      <c r="BD2118" s="177"/>
      <c r="BE2118" s="177"/>
      <c r="BF2118" s="190" t="s">
        <v>3332</v>
      </c>
    </row>
    <row r="2119" spans="1:58">
      <c r="A2119" s="111">
        <v>2118</v>
      </c>
      <c r="B2119" s="211" t="s">
        <v>3215</v>
      </c>
      <c r="C2119" s="191" t="s">
        <v>3304</v>
      </c>
      <c r="D2119" s="171" t="s">
        <v>3290</v>
      </c>
      <c r="E2119" s="732" t="s">
        <v>3379</v>
      </c>
      <c r="F2119" s="171">
        <v>1998</v>
      </c>
      <c r="G2119" s="171">
        <v>17</v>
      </c>
      <c r="H2119" s="172" t="s">
        <v>1738</v>
      </c>
      <c r="I2119" s="173" t="s">
        <v>1751</v>
      </c>
      <c r="J2119" s="242">
        <v>0.39959016393442626</v>
      </c>
      <c r="K2119" s="213">
        <v>3.5040983606557377</v>
      </c>
      <c r="L2119" s="38">
        <v>195</v>
      </c>
      <c r="M2119" s="171">
        <v>488</v>
      </c>
      <c r="N2119" s="171">
        <v>1015</v>
      </c>
      <c r="O2119" s="162"/>
      <c r="P2119" s="71">
        <v>42.5</v>
      </c>
      <c r="Q2119" s="221" t="s">
        <v>1754</v>
      </c>
      <c r="R2119" s="171" t="s">
        <v>3351</v>
      </c>
      <c r="S2119" s="171" t="s">
        <v>3351</v>
      </c>
      <c r="T2119" s="89"/>
      <c r="U2119" s="89" t="s">
        <v>3351</v>
      </c>
      <c r="V2119" s="102">
        <v>0</v>
      </c>
      <c r="W2119" s="120">
        <v>0</v>
      </c>
      <c r="X2119" s="120">
        <v>0</v>
      </c>
      <c r="Y2119" s="120">
        <v>0</v>
      </c>
      <c r="Z2119" s="120">
        <v>0</v>
      </c>
      <c r="AA2119" s="17">
        <v>0</v>
      </c>
      <c r="AB2119" s="17">
        <v>0</v>
      </c>
      <c r="AC2119" s="17">
        <v>0</v>
      </c>
      <c r="AD2119" s="17">
        <v>0</v>
      </c>
      <c r="AE2119" s="17">
        <v>0</v>
      </c>
      <c r="AF2119" s="17">
        <v>0</v>
      </c>
      <c r="AG2119" s="17">
        <v>0</v>
      </c>
      <c r="AH2119" s="17">
        <v>0</v>
      </c>
      <c r="AI2119" s="17">
        <v>0</v>
      </c>
      <c r="AJ2119" s="17">
        <v>0</v>
      </c>
      <c r="AK2119" s="17">
        <v>0</v>
      </c>
      <c r="AL2119" s="32">
        <v>0</v>
      </c>
      <c r="AM2119" s="172">
        <v>65.3</v>
      </c>
      <c r="AN2119" s="171">
        <v>50</v>
      </c>
      <c r="AO2119" s="89"/>
      <c r="AP2119" s="783">
        <v>35.100999999999999</v>
      </c>
      <c r="AQ2119" s="17" t="s">
        <v>3412</v>
      </c>
      <c r="AR2119" s="213">
        <v>101.6</v>
      </c>
      <c r="AS2119" s="171" t="s">
        <v>246</v>
      </c>
      <c r="AT2119" s="171">
        <v>200</v>
      </c>
      <c r="AU2119" s="171">
        <v>25.4</v>
      </c>
      <c r="AV2119" s="57"/>
      <c r="AW2119" s="171">
        <v>28</v>
      </c>
      <c r="AX2119" s="89"/>
      <c r="AY2119" s="171">
        <v>23</v>
      </c>
      <c r="AZ2119" s="89"/>
      <c r="BA2119" s="175">
        <v>67</v>
      </c>
      <c r="BB2119" s="259"/>
      <c r="BC2119" s="176"/>
      <c r="BD2119" s="177"/>
      <c r="BE2119" s="177"/>
      <c r="BF2119" s="190" t="s">
        <v>3332</v>
      </c>
    </row>
    <row r="2120" spans="1:58">
      <c r="A2120" s="111">
        <v>2119</v>
      </c>
      <c r="B2120" s="211" t="s">
        <v>3216</v>
      </c>
      <c r="C2120" s="191" t="s">
        <v>3304</v>
      </c>
      <c r="D2120" s="171" t="s">
        <v>3290</v>
      </c>
      <c r="E2120" s="732" t="s">
        <v>3379</v>
      </c>
      <c r="F2120" s="171">
        <v>1998</v>
      </c>
      <c r="G2120" s="171">
        <v>17</v>
      </c>
      <c r="H2120" s="172" t="s">
        <v>1738</v>
      </c>
      <c r="I2120" s="173" t="s">
        <v>1751</v>
      </c>
      <c r="J2120" s="242">
        <v>0.56034482758620685</v>
      </c>
      <c r="K2120" s="213">
        <v>5.3017241379310347</v>
      </c>
      <c r="L2120" s="38">
        <v>195</v>
      </c>
      <c r="M2120" s="171">
        <v>348</v>
      </c>
      <c r="N2120" s="171">
        <v>965</v>
      </c>
      <c r="O2120" s="162"/>
      <c r="P2120" s="71">
        <v>42.5</v>
      </c>
      <c r="Q2120" s="221" t="s">
        <v>1754</v>
      </c>
      <c r="R2120" s="171" t="s">
        <v>2312</v>
      </c>
      <c r="S2120" s="171" t="s">
        <v>2312</v>
      </c>
      <c r="T2120" s="89"/>
      <c r="U2120" s="89" t="s">
        <v>2312</v>
      </c>
      <c r="V2120" s="102">
        <v>0</v>
      </c>
      <c r="W2120" s="120">
        <v>0</v>
      </c>
      <c r="X2120" s="120">
        <v>0</v>
      </c>
      <c r="Y2120" s="120">
        <v>0</v>
      </c>
      <c r="Z2120" s="120">
        <v>0</v>
      </c>
      <c r="AA2120" s="17">
        <v>0</v>
      </c>
      <c r="AB2120" s="17">
        <v>0</v>
      </c>
      <c r="AC2120" s="17">
        <v>0</v>
      </c>
      <c r="AD2120" s="17">
        <v>0</v>
      </c>
      <c r="AE2120" s="17">
        <v>0</v>
      </c>
      <c r="AF2120" s="17">
        <v>0</v>
      </c>
      <c r="AG2120" s="17">
        <v>0</v>
      </c>
      <c r="AH2120" s="17">
        <v>0</v>
      </c>
      <c r="AI2120" s="17">
        <v>0</v>
      </c>
      <c r="AJ2120" s="17">
        <v>0</v>
      </c>
      <c r="AK2120" s="17">
        <v>0</v>
      </c>
      <c r="AL2120" s="32">
        <v>0</v>
      </c>
      <c r="AM2120" s="172">
        <v>37.700000000000003</v>
      </c>
      <c r="AN2120" s="171">
        <v>115</v>
      </c>
      <c r="AO2120" s="89"/>
      <c r="AP2120" s="783">
        <v>26.352</v>
      </c>
      <c r="AQ2120" s="17" t="s">
        <v>3412</v>
      </c>
      <c r="AR2120" s="213">
        <v>101.6</v>
      </c>
      <c r="AS2120" s="171" t="s">
        <v>246</v>
      </c>
      <c r="AT2120" s="171">
        <v>200</v>
      </c>
      <c r="AU2120" s="171">
        <v>25.4</v>
      </c>
      <c r="AV2120" s="57"/>
      <c r="AW2120" s="171">
        <v>28</v>
      </c>
      <c r="AX2120" s="89"/>
      <c r="AY2120" s="171">
        <v>22</v>
      </c>
      <c r="AZ2120" s="89"/>
      <c r="BA2120" s="175">
        <v>72</v>
      </c>
      <c r="BB2120" s="259"/>
      <c r="BC2120" s="176"/>
      <c r="BD2120" s="177"/>
      <c r="BE2120" s="177"/>
      <c r="BF2120" s="190" t="s">
        <v>3332</v>
      </c>
    </row>
    <row r="2121" spans="1:58">
      <c r="A2121" s="111">
        <v>2120</v>
      </c>
      <c r="B2121" s="211" t="s">
        <v>3217</v>
      </c>
      <c r="C2121" s="191" t="s">
        <v>3304</v>
      </c>
      <c r="D2121" s="171" t="s">
        <v>3290</v>
      </c>
      <c r="E2121" s="732" t="s">
        <v>3379</v>
      </c>
      <c r="F2121" s="171">
        <v>1998</v>
      </c>
      <c r="G2121" s="171">
        <v>17</v>
      </c>
      <c r="H2121" s="172" t="s">
        <v>1738</v>
      </c>
      <c r="I2121" s="173" t="s">
        <v>1751</v>
      </c>
      <c r="J2121" s="242">
        <v>0.39959016393442626</v>
      </c>
      <c r="K2121" s="213">
        <v>3.5450819672131146</v>
      </c>
      <c r="L2121" s="38">
        <v>195</v>
      </c>
      <c r="M2121" s="171">
        <v>488</v>
      </c>
      <c r="N2121" s="171">
        <v>965</v>
      </c>
      <c r="O2121" s="162"/>
      <c r="P2121" s="71">
        <v>42.5</v>
      </c>
      <c r="Q2121" s="221" t="s">
        <v>1754</v>
      </c>
      <c r="R2121" s="171" t="s">
        <v>2312</v>
      </c>
      <c r="S2121" s="171" t="s">
        <v>2312</v>
      </c>
      <c r="T2121" s="89"/>
      <c r="U2121" s="89" t="s">
        <v>2312</v>
      </c>
      <c r="V2121" s="102">
        <v>0</v>
      </c>
      <c r="W2121" s="120">
        <v>0</v>
      </c>
      <c r="X2121" s="120">
        <v>0</v>
      </c>
      <c r="Y2121" s="120">
        <v>0</v>
      </c>
      <c r="Z2121" s="120">
        <v>0</v>
      </c>
      <c r="AA2121" s="17">
        <v>0</v>
      </c>
      <c r="AB2121" s="17">
        <v>0</v>
      </c>
      <c r="AC2121" s="17">
        <v>0</v>
      </c>
      <c r="AD2121" s="17">
        <v>0</v>
      </c>
      <c r="AE2121" s="17">
        <v>0</v>
      </c>
      <c r="AF2121" s="17">
        <v>0</v>
      </c>
      <c r="AG2121" s="17">
        <v>0</v>
      </c>
      <c r="AH2121" s="17">
        <v>0</v>
      </c>
      <c r="AI2121" s="17">
        <v>0</v>
      </c>
      <c r="AJ2121" s="17">
        <v>0</v>
      </c>
      <c r="AK2121" s="17">
        <v>0</v>
      </c>
      <c r="AL2121" s="32">
        <v>0</v>
      </c>
      <c r="AM2121" s="172">
        <v>65.2</v>
      </c>
      <c r="AN2121" s="171">
        <v>70</v>
      </c>
      <c r="AO2121" s="89"/>
      <c r="AP2121" s="783">
        <v>35.100999999999999</v>
      </c>
      <c r="AQ2121" s="17" t="s">
        <v>3412</v>
      </c>
      <c r="AR2121" s="213">
        <v>101.6</v>
      </c>
      <c r="AS2121" s="171" t="s">
        <v>246</v>
      </c>
      <c r="AT2121" s="171">
        <v>200</v>
      </c>
      <c r="AU2121" s="171">
        <v>25.4</v>
      </c>
      <c r="AV2121" s="57"/>
      <c r="AW2121" s="171">
        <v>28</v>
      </c>
      <c r="AX2121" s="89"/>
      <c r="AY2121" s="171">
        <v>22</v>
      </c>
      <c r="AZ2121" s="89"/>
      <c r="BA2121" s="175">
        <v>72</v>
      </c>
      <c r="BB2121" s="259"/>
      <c r="BC2121" s="176"/>
      <c r="BD2121" s="177"/>
      <c r="BE2121" s="177"/>
      <c r="BF2121" s="190" t="s">
        <v>3332</v>
      </c>
    </row>
    <row r="2122" spans="1:58">
      <c r="A2122" s="111">
        <v>2121</v>
      </c>
      <c r="B2122" s="211" t="s">
        <v>3218</v>
      </c>
      <c r="C2122" s="191" t="s">
        <v>3304</v>
      </c>
      <c r="D2122" s="171" t="s">
        <v>3290</v>
      </c>
      <c r="E2122" s="732" t="s">
        <v>3379</v>
      </c>
      <c r="F2122" s="171">
        <v>1998</v>
      </c>
      <c r="G2122" s="171">
        <v>17</v>
      </c>
      <c r="H2122" s="172" t="s">
        <v>1738</v>
      </c>
      <c r="I2122" s="173" t="s">
        <v>1751</v>
      </c>
      <c r="J2122" s="242">
        <v>0.56034482758620685</v>
      </c>
      <c r="K2122" s="213">
        <v>5.7327586206896548</v>
      </c>
      <c r="L2122" s="38">
        <v>195</v>
      </c>
      <c r="M2122" s="171">
        <v>348</v>
      </c>
      <c r="N2122" s="171">
        <v>1135</v>
      </c>
      <c r="O2122" s="162"/>
      <c r="P2122" s="71">
        <v>42.5</v>
      </c>
      <c r="Q2122" s="221" t="s">
        <v>1754</v>
      </c>
      <c r="R2122" s="171" t="s">
        <v>3346</v>
      </c>
      <c r="S2122" s="171" t="s">
        <v>3346</v>
      </c>
      <c r="T2122" s="89"/>
      <c r="U2122" s="89" t="s">
        <v>3346</v>
      </c>
      <c r="V2122" s="102">
        <v>0</v>
      </c>
      <c r="W2122" s="120">
        <v>0</v>
      </c>
      <c r="X2122" s="120">
        <v>0</v>
      </c>
      <c r="Y2122" s="120">
        <v>0</v>
      </c>
      <c r="Z2122" s="120">
        <v>0</v>
      </c>
      <c r="AA2122" s="17">
        <v>0</v>
      </c>
      <c r="AB2122" s="17">
        <v>0</v>
      </c>
      <c r="AC2122" s="17">
        <v>0</v>
      </c>
      <c r="AD2122" s="17">
        <v>0</v>
      </c>
      <c r="AE2122" s="17">
        <v>0</v>
      </c>
      <c r="AF2122" s="17">
        <v>0</v>
      </c>
      <c r="AG2122" s="17">
        <v>0</v>
      </c>
      <c r="AH2122" s="17">
        <v>0</v>
      </c>
      <c r="AI2122" s="17">
        <v>0</v>
      </c>
      <c r="AJ2122" s="17">
        <v>0</v>
      </c>
      <c r="AK2122" s="17">
        <v>0</v>
      </c>
      <c r="AL2122" s="32">
        <v>0</v>
      </c>
      <c r="AM2122" s="172">
        <v>48.1</v>
      </c>
      <c r="AN2122" s="171">
        <v>95</v>
      </c>
      <c r="AO2122" s="89"/>
      <c r="AP2122" s="783">
        <v>29.367000000000001</v>
      </c>
      <c r="AQ2122" s="17" t="s">
        <v>3412</v>
      </c>
      <c r="AR2122" s="213">
        <v>101.6</v>
      </c>
      <c r="AS2122" s="171" t="s">
        <v>246</v>
      </c>
      <c r="AT2122" s="171">
        <v>200</v>
      </c>
      <c r="AU2122" s="171">
        <v>25.4</v>
      </c>
      <c r="AV2122" s="57"/>
      <c r="AW2122" s="171">
        <v>28</v>
      </c>
      <c r="AX2122" s="89"/>
      <c r="AY2122" s="171">
        <v>22</v>
      </c>
      <c r="AZ2122" s="89"/>
      <c r="BA2122" s="175">
        <v>71</v>
      </c>
      <c r="BB2122" s="259"/>
      <c r="BC2122" s="176"/>
      <c r="BD2122" s="177"/>
      <c r="BE2122" s="177"/>
      <c r="BF2122" s="190" t="s">
        <v>3332</v>
      </c>
    </row>
    <row r="2123" spans="1:58">
      <c r="A2123" s="111">
        <v>2122</v>
      </c>
      <c r="B2123" s="211" t="s">
        <v>3219</v>
      </c>
      <c r="C2123" s="191" t="s">
        <v>3304</v>
      </c>
      <c r="D2123" s="171" t="s">
        <v>3290</v>
      </c>
      <c r="E2123" s="732" t="s">
        <v>3379</v>
      </c>
      <c r="F2123" s="171">
        <v>1998</v>
      </c>
      <c r="G2123" s="171">
        <v>17</v>
      </c>
      <c r="H2123" s="172" t="s">
        <v>1738</v>
      </c>
      <c r="I2123" s="173" t="s">
        <v>1751</v>
      </c>
      <c r="J2123" s="242">
        <v>0.39959016393442626</v>
      </c>
      <c r="K2123" s="213">
        <v>3.8258196721311477</v>
      </c>
      <c r="L2123" s="38">
        <v>195</v>
      </c>
      <c r="M2123" s="171">
        <v>488</v>
      </c>
      <c r="N2123" s="171">
        <v>1135</v>
      </c>
      <c r="O2123" s="162"/>
      <c r="P2123" s="71">
        <v>42.5</v>
      </c>
      <c r="Q2123" s="221" t="s">
        <v>1754</v>
      </c>
      <c r="R2123" s="171" t="s">
        <v>3346</v>
      </c>
      <c r="S2123" s="171" t="s">
        <v>3346</v>
      </c>
      <c r="T2123" s="89"/>
      <c r="U2123" s="89" t="s">
        <v>3346</v>
      </c>
      <c r="V2123" s="102">
        <v>0</v>
      </c>
      <c r="W2123" s="120">
        <v>0</v>
      </c>
      <c r="X2123" s="120">
        <v>0</v>
      </c>
      <c r="Y2123" s="120">
        <v>0</v>
      </c>
      <c r="Z2123" s="120">
        <v>0</v>
      </c>
      <c r="AA2123" s="17">
        <v>0</v>
      </c>
      <c r="AB2123" s="17">
        <v>0</v>
      </c>
      <c r="AC2123" s="17">
        <v>0</v>
      </c>
      <c r="AD2123" s="17">
        <v>0</v>
      </c>
      <c r="AE2123" s="17">
        <v>0</v>
      </c>
      <c r="AF2123" s="17">
        <v>0</v>
      </c>
      <c r="AG2123" s="17">
        <v>0</v>
      </c>
      <c r="AH2123" s="17">
        <v>0</v>
      </c>
      <c r="AI2123" s="17">
        <v>0</v>
      </c>
      <c r="AJ2123" s="17">
        <v>0</v>
      </c>
      <c r="AK2123" s="17">
        <v>0</v>
      </c>
      <c r="AL2123" s="32">
        <v>0</v>
      </c>
      <c r="AM2123" s="172">
        <v>73.900000000000006</v>
      </c>
      <c r="AN2123" s="171">
        <v>55</v>
      </c>
      <c r="AO2123" s="89"/>
      <c r="AP2123" s="783">
        <v>37.476999999999997</v>
      </c>
      <c r="AQ2123" s="17" t="s">
        <v>3412</v>
      </c>
      <c r="AR2123" s="213">
        <v>101.6</v>
      </c>
      <c r="AS2123" s="171" t="s">
        <v>246</v>
      </c>
      <c r="AT2123" s="171">
        <v>200</v>
      </c>
      <c r="AU2123" s="171">
        <v>25.4</v>
      </c>
      <c r="AV2123" s="57"/>
      <c r="AW2123" s="171">
        <v>28</v>
      </c>
      <c r="AX2123" s="89"/>
      <c r="AY2123" s="171">
        <v>22</v>
      </c>
      <c r="AZ2123" s="89"/>
      <c r="BA2123" s="175">
        <v>71</v>
      </c>
      <c r="BB2123" s="259"/>
      <c r="BC2123" s="176"/>
      <c r="BD2123" s="177"/>
      <c r="BE2123" s="177"/>
      <c r="BF2123" s="190" t="s">
        <v>3332</v>
      </c>
    </row>
    <row r="2124" spans="1:58">
      <c r="A2124" s="111">
        <v>2123</v>
      </c>
      <c r="B2124" s="211" t="s">
        <v>3220</v>
      </c>
      <c r="C2124" s="191" t="s">
        <v>3305</v>
      </c>
      <c r="D2124" s="171" t="s">
        <v>3290</v>
      </c>
      <c r="E2124" s="732" t="s">
        <v>3379</v>
      </c>
      <c r="F2124" s="171">
        <v>2000</v>
      </c>
      <c r="G2124" s="171">
        <v>18</v>
      </c>
      <c r="H2124" s="172" t="s">
        <v>1738</v>
      </c>
      <c r="I2124" s="173" t="s">
        <v>1751</v>
      </c>
      <c r="J2124" s="242">
        <v>0.60060060060060061</v>
      </c>
      <c r="K2124" s="213">
        <v>5.666666666666667</v>
      </c>
      <c r="L2124" s="38">
        <v>200</v>
      </c>
      <c r="M2124" s="171">
        <v>333</v>
      </c>
      <c r="N2124" s="171">
        <v>1100</v>
      </c>
      <c r="O2124" s="162"/>
      <c r="P2124" s="116"/>
      <c r="Q2124" s="221" t="s">
        <v>1754</v>
      </c>
      <c r="R2124" s="171" t="s">
        <v>3347</v>
      </c>
      <c r="S2124" s="171" t="s">
        <v>3358</v>
      </c>
      <c r="T2124" s="89"/>
      <c r="U2124" s="89" t="s">
        <v>3347</v>
      </c>
      <c r="V2124" s="102">
        <v>0</v>
      </c>
      <c r="W2124" s="120">
        <v>0</v>
      </c>
      <c r="X2124" s="120">
        <v>0</v>
      </c>
      <c r="Y2124" s="120">
        <v>0</v>
      </c>
      <c r="Z2124" s="120">
        <v>0</v>
      </c>
      <c r="AA2124" s="17">
        <v>0</v>
      </c>
      <c r="AB2124" s="17">
        <v>0</v>
      </c>
      <c r="AC2124" s="17">
        <v>0</v>
      </c>
      <c r="AD2124" s="17">
        <v>0</v>
      </c>
      <c r="AE2124" s="17">
        <v>0</v>
      </c>
      <c r="AF2124" s="17">
        <v>0</v>
      </c>
      <c r="AG2124" s="17">
        <v>0</v>
      </c>
      <c r="AH2124" s="17">
        <v>0</v>
      </c>
      <c r="AI2124" s="17">
        <v>0</v>
      </c>
      <c r="AJ2124" s="17">
        <v>0</v>
      </c>
      <c r="AK2124" s="17">
        <v>0</v>
      </c>
      <c r="AL2124" s="32">
        <v>0</v>
      </c>
      <c r="AM2124" s="172">
        <v>35.799999999999997</v>
      </c>
      <c r="AN2124" s="171">
        <v>70</v>
      </c>
      <c r="AO2124" s="89"/>
      <c r="AP2124" s="783">
        <v>39.6</v>
      </c>
      <c r="AQ2124" s="17" t="s">
        <v>3403</v>
      </c>
      <c r="AR2124" s="174">
        <v>100</v>
      </c>
      <c r="AS2124" s="171" t="s">
        <v>246</v>
      </c>
      <c r="AT2124" s="171">
        <v>200</v>
      </c>
      <c r="AU2124" s="171">
        <v>20</v>
      </c>
      <c r="AV2124" s="57"/>
      <c r="AW2124" s="171">
        <v>14</v>
      </c>
      <c r="AX2124" s="89"/>
      <c r="AY2124" s="171">
        <v>22.5</v>
      </c>
      <c r="AZ2124" s="89"/>
      <c r="BA2124" s="175">
        <v>55</v>
      </c>
      <c r="BB2124" s="259"/>
      <c r="BC2124" s="176"/>
      <c r="BD2124" s="177"/>
      <c r="BE2124" s="177"/>
      <c r="BF2124" s="190" t="s">
        <v>3333</v>
      </c>
    </row>
    <row r="2125" spans="1:58">
      <c r="A2125" s="111">
        <v>2124</v>
      </c>
      <c r="B2125" s="211" t="s">
        <v>3221</v>
      </c>
      <c r="C2125" s="191" t="s">
        <v>3305</v>
      </c>
      <c r="D2125" s="171" t="s">
        <v>3290</v>
      </c>
      <c r="E2125" s="732" t="s">
        <v>3379</v>
      </c>
      <c r="F2125" s="171">
        <v>2000</v>
      </c>
      <c r="G2125" s="171">
        <v>18</v>
      </c>
      <c r="H2125" s="172" t="s">
        <v>1738</v>
      </c>
      <c r="I2125" s="173" t="s">
        <v>1751</v>
      </c>
      <c r="J2125" s="242">
        <v>0.60060060060060061</v>
      </c>
      <c r="K2125" s="213">
        <v>5.666666666666667</v>
      </c>
      <c r="L2125" s="38">
        <v>200</v>
      </c>
      <c r="M2125" s="171">
        <v>333</v>
      </c>
      <c r="N2125" s="171">
        <v>1100</v>
      </c>
      <c r="O2125" s="162"/>
      <c r="P2125" s="116"/>
      <c r="Q2125" s="221" t="s">
        <v>1754</v>
      </c>
      <c r="R2125" s="171" t="s">
        <v>2310</v>
      </c>
      <c r="S2125" s="171" t="s">
        <v>3358</v>
      </c>
      <c r="T2125" s="89"/>
      <c r="U2125" s="89" t="s">
        <v>2310</v>
      </c>
      <c r="V2125" s="102">
        <v>0</v>
      </c>
      <c r="W2125" s="120">
        <v>0</v>
      </c>
      <c r="X2125" s="120">
        <v>0</v>
      </c>
      <c r="Y2125" s="120">
        <v>0</v>
      </c>
      <c r="Z2125" s="120">
        <v>0</v>
      </c>
      <c r="AA2125" s="17">
        <v>0</v>
      </c>
      <c r="AB2125" s="17">
        <v>0</v>
      </c>
      <c r="AC2125" s="17">
        <v>0</v>
      </c>
      <c r="AD2125" s="17">
        <v>0</v>
      </c>
      <c r="AE2125" s="17">
        <v>0</v>
      </c>
      <c r="AF2125" s="17">
        <v>0</v>
      </c>
      <c r="AG2125" s="17">
        <v>0</v>
      </c>
      <c r="AH2125" s="17">
        <v>0</v>
      </c>
      <c r="AI2125" s="17">
        <v>0</v>
      </c>
      <c r="AJ2125" s="17">
        <v>0</v>
      </c>
      <c r="AK2125" s="17">
        <v>0</v>
      </c>
      <c r="AL2125" s="32">
        <v>0</v>
      </c>
      <c r="AM2125" s="172">
        <v>33.5</v>
      </c>
      <c r="AN2125" s="171">
        <v>50</v>
      </c>
      <c r="AO2125" s="89"/>
      <c r="AP2125" s="783">
        <v>20.5</v>
      </c>
      <c r="AQ2125" s="17" t="s">
        <v>3403</v>
      </c>
      <c r="AR2125" s="174">
        <v>100</v>
      </c>
      <c r="AS2125" s="171" t="s">
        <v>246</v>
      </c>
      <c r="AT2125" s="171">
        <v>200</v>
      </c>
      <c r="AU2125" s="171">
        <v>20</v>
      </c>
      <c r="AV2125" s="57"/>
      <c r="AW2125" s="171">
        <v>14</v>
      </c>
      <c r="AX2125" s="89"/>
      <c r="AY2125" s="171">
        <v>23</v>
      </c>
      <c r="AZ2125" s="89"/>
      <c r="BA2125" s="175">
        <v>55</v>
      </c>
      <c r="BB2125" s="259"/>
      <c r="BC2125" s="176"/>
      <c r="BD2125" s="177"/>
      <c r="BE2125" s="177"/>
      <c r="BF2125" s="190" t="s">
        <v>3333</v>
      </c>
    </row>
    <row r="2126" spans="1:58">
      <c r="A2126" s="111">
        <v>2125</v>
      </c>
      <c r="B2126" s="211" t="s">
        <v>3222</v>
      </c>
      <c r="C2126" s="191" t="s">
        <v>3305</v>
      </c>
      <c r="D2126" s="171" t="s">
        <v>3290</v>
      </c>
      <c r="E2126" s="732" t="s">
        <v>3379</v>
      </c>
      <c r="F2126" s="171">
        <v>2000</v>
      </c>
      <c r="G2126" s="171">
        <v>18</v>
      </c>
      <c r="H2126" s="172" t="s">
        <v>1738</v>
      </c>
      <c r="I2126" s="173" t="s">
        <v>1751</v>
      </c>
      <c r="J2126" s="242">
        <v>0.60060060060060061</v>
      </c>
      <c r="K2126" s="213">
        <v>5.666666666666667</v>
      </c>
      <c r="L2126" s="38">
        <v>200</v>
      </c>
      <c r="M2126" s="171">
        <v>333</v>
      </c>
      <c r="N2126" s="171">
        <v>1100</v>
      </c>
      <c r="O2126" s="162"/>
      <c r="P2126" s="116"/>
      <c r="Q2126" s="221" t="s">
        <v>1754</v>
      </c>
      <c r="R2126" s="171" t="s">
        <v>2310</v>
      </c>
      <c r="S2126" s="171" t="s">
        <v>3358</v>
      </c>
      <c r="T2126" s="89"/>
      <c r="U2126" s="89" t="s">
        <v>2310</v>
      </c>
      <c r="V2126" s="102">
        <v>0</v>
      </c>
      <c r="W2126" s="120">
        <v>0</v>
      </c>
      <c r="X2126" s="120">
        <v>0</v>
      </c>
      <c r="Y2126" s="120">
        <v>0</v>
      </c>
      <c r="Z2126" s="120">
        <v>0</v>
      </c>
      <c r="AA2126" s="17">
        <v>0</v>
      </c>
      <c r="AB2126" s="17">
        <v>0</v>
      </c>
      <c r="AC2126" s="17">
        <v>0</v>
      </c>
      <c r="AD2126" s="17">
        <v>0</v>
      </c>
      <c r="AE2126" s="17">
        <v>0</v>
      </c>
      <c r="AF2126" s="17">
        <v>0</v>
      </c>
      <c r="AG2126" s="17">
        <v>0</v>
      </c>
      <c r="AH2126" s="17">
        <v>0</v>
      </c>
      <c r="AI2126" s="17">
        <v>0</v>
      </c>
      <c r="AJ2126" s="17">
        <v>0</v>
      </c>
      <c r="AK2126" s="17">
        <v>0</v>
      </c>
      <c r="AL2126" s="32">
        <v>0</v>
      </c>
      <c r="AM2126" s="172">
        <v>33.799999999999997</v>
      </c>
      <c r="AN2126" s="171">
        <v>50</v>
      </c>
      <c r="AO2126" s="89"/>
      <c r="AP2126" s="783">
        <v>20.9</v>
      </c>
      <c r="AQ2126" s="17" t="s">
        <v>3403</v>
      </c>
      <c r="AR2126" s="174">
        <v>100</v>
      </c>
      <c r="AS2126" s="171" t="s">
        <v>246</v>
      </c>
      <c r="AT2126" s="171">
        <v>200</v>
      </c>
      <c r="AU2126" s="171">
        <v>20</v>
      </c>
      <c r="AV2126" s="57"/>
      <c r="AW2126" s="171">
        <v>14</v>
      </c>
      <c r="AX2126" s="89"/>
      <c r="AY2126" s="171">
        <v>23</v>
      </c>
      <c r="AZ2126" s="89"/>
      <c r="BA2126" s="175">
        <v>55</v>
      </c>
      <c r="BB2126" s="259"/>
      <c r="BC2126" s="176"/>
      <c r="BD2126" s="177"/>
      <c r="BE2126" s="177"/>
      <c r="BF2126" s="190" t="s">
        <v>3333</v>
      </c>
    </row>
    <row r="2127" spans="1:58">
      <c r="A2127" s="111">
        <v>2126</v>
      </c>
      <c r="B2127" s="211" t="s">
        <v>3223</v>
      </c>
      <c r="C2127" s="191" t="s">
        <v>3306</v>
      </c>
      <c r="D2127" s="171" t="s">
        <v>3290</v>
      </c>
      <c r="E2127" s="732" t="s">
        <v>3379</v>
      </c>
      <c r="F2127" s="171">
        <v>2007</v>
      </c>
      <c r="G2127" s="171">
        <v>19</v>
      </c>
      <c r="H2127" s="172" t="s">
        <v>1738</v>
      </c>
      <c r="I2127" s="173" t="s">
        <v>1751</v>
      </c>
      <c r="J2127" s="242">
        <v>0.39959016393442626</v>
      </c>
      <c r="K2127" s="213">
        <v>3.5245901639344264</v>
      </c>
      <c r="L2127" s="38">
        <v>195</v>
      </c>
      <c r="M2127" s="171">
        <v>488</v>
      </c>
      <c r="N2127" s="171">
        <v>1104</v>
      </c>
      <c r="O2127" s="114"/>
      <c r="P2127" s="71" t="s">
        <v>3446</v>
      </c>
      <c r="Q2127" s="221" t="s">
        <v>1754</v>
      </c>
      <c r="R2127" s="171" t="s">
        <v>3346</v>
      </c>
      <c r="S2127" s="171" t="s">
        <v>3359</v>
      </c>
      <c r="T2127" s="89"/>
      <c r="U2127" s="89" t="s">
        <v>3346</v>
      </c>
      <c r="V2127" s="102">
        <v>0</v>
      </c>
      <c r="W2127" s="120">
        <v>0</v>
      </c>
      <c r="X2127" s="120">
        <v>0</v>
      </c>
      <c r="Y2127" s="120">
        <v>0</v>
      </c>
      <c r="Z2127" s="120">
        <v>0</v>
      </c>
      <c r="AA2127" s="17">
        <v>0</v>
      </c>
      <c r="AB2127" s="17">
        <v>0</v>
      </c>
      <c r="AC2127" s="17">
        <v>0</v>
      </c>
      <c r="AD2127" s="17">
        <v>0</v>
      </c>
      <c r="AE2127" s="17">
        <v>0</v>
      </c>
      <c r="AF2127" s="17">
        <v>0</v>
      </c>
      <c r="AG2127" s="17">
        <v>0</v>
      </c>
      <c r="AH2127" s="17">
        <v>0</v>
      </c>
      <c r="AI2127" s="17">
        <v>0</v>
      </c>
      <c r="AJ2127" s="17">
        <v>0</v>
      </c>
      <c r="AK2127" s="17">
        <v>0</v>
      </c>
      <c r="AL2127" s="32">
        <v>0</v>
      </c>
      <c r="AM2127" s="172">
        <v>68</v>
      </c>
      <c r="AN2127" s="171">
        <v>70</v>
      </c>
      <c r="AO2127" s="89"/>
      <c r="AP2127" s="783">
        <v>41.2</v>
      </c>
      <c r="AQ2127" s="17" t="s">
        <v>2986</v>
      </c>
      <c r="AR2127" s="174">
        <v>50</v>
      </c>
      <c r="AS2127" s="171" t="s">
        <v>246</v>
      </c>
      <c r="AT2127" s="171">
        <v>200</v>
      </c>
      <c r="AU2127" s="171">
        <v>20</v>
      </c>
      <c r="AV2127" s="57"/>
      <c r="AW2127" s="171">
        <v>28</v>
      </c>
      <c r="AX2127" s="89"/>
      <c r="AY2127" s="171">
        <v>24</v>
      </c>
      <c r="AZ2127" s="89"/>
      <c r="BA2127" s="175">
        <v>50</v>
      </c>
      <c r="BB2127" s="259"/>
      <c r="BC2127" s="176"/>
      <c r="BD2127" s="177"/>
      <c r="BE2127" s="177"/>
      <c r="BF2127" s="190" t="s">
        <v>3334</v>
      </c>
    </row>
    <row r="2128" spans="1:58">
      <c r="A2128" s="111">
        <v>2127</v>
      </c>
      <c r="B2128" s="211" t="s">
        <v>3224</v>
      </c>
      <c r="C2128" s="191" t="s">
        <v>3306</v>
      </c>
      <c r="D2128" s="171" t="s">
        <v>3290</v>
      </c>
      <c r="E2128" s="732" t="s">
        <v>3379</v>
      </c>
      <c r="F2128" s="171">
        <v>2007</v>
      </c>
      <c r="G2128" s="171">
        <v>19</v>
      </c>
      <c r="H2128" s="172" t="s">
        <v>1738</v>
      </c>
      <c r="I2128" s="173" t="s">
        <v>1751</v>
      </c>
      <c r="J2128" s="242">
        <v>0.6</v>
      </c>
      <c r="K2128" s="213">
        <v>6.3566666666666665</v>
      </c>
      <c r="L2128" s="38">
        <v>180</v>
      </c>
      <c r="M2128" s="171">
        <v>300</v>
      </c>
      <c r="N2128" s="171">
        <v>1104</v>
      </c>
      <c r="O2128" s="114"/>
      <c r="P2128" s="71" t="s">
        <v>3446</v>
      </c>
      <c r="Q2128" s="221" t="s">
        <v>1754</v>
      </c>
      <c r="R2128" s="171" t="s">
        <v>3346</v>
      </c>
      <c r="S2128" s="171" t="s">
        <v>3359</v>
      </c>
      <c r="T2128" s="89"/>
      <c r="U2128" s="89" t="s">
        <v>3346</v>
      </c>
      <c r="V2128" s="102">
        <v>0</v>
      </c>
      <c r="W2128" s="120">
        <v>0</v>
      </c>
      <c r="X2128" s="120">
        <v>0</v>
      </c>
      <c r="Y2128" s="120">
        <v>0</v>
      </c>
      <c r="Z2128" s="120">
        <v>0</v>
      </c>
      <c r="AA2128" s="17">
        <v>0</v>
      </c>
      <c r="AB2128" s="17">
        <v>0</v>
      </c>
      <c r="AC2128" s="17">
        <v>0</v>
      </c>
      <c r="AD2128" s="17">
        <v>0</v>
      </c>
      <c r="AE2128" s="17">
        <v>0</v>
      </c>
      <c r="AF2128" s="17">
        <v>0</v>
      </c>
      <c r="AG2128" s="17">
        <v>0</v>
      </c>
      <c r="AH2128" s="17">
        <v>0</v>
      </c>
      <c r="AI2128" s="17">
        <v>0</v>
      </c>
      <c r="AJ2128" s="17">
        <v>0</v>
      </c>
      <c r="AK2128" s="17">
        <v>0</v>
      </c>
      <c r="AL2128" s="32">
        <v>0</v>
      </c>
      <c r="AM2128" s="172">
        <v>40</v>
      </c>
      <c r="AN2128" s="171">
        <v>80</v>
      </c>
      <c r="AO2128" s="89"/>
      <c r="AP2128" s="783">
        <v>34.1</v>
      </c>
      <c r="AQ2128" s="17" t="s">
        <v>2986</v>
      </c>
      <c r="AR2128" s="174">
        <v>50</v>
      </c>
      <c r="AS2128" s="171" t="s">
        <v>246</v>
      </c>
      <c r="AT2128" s="171">
        <v>200</v>
      </c>
      <c r="AU2128" s="171">
        <v>20</v>
      </c>
      <c r="AV2128" s="57"/>
      <c r="AW2128" s="171">
        <v>28</v>
      </c>
      <c r="AX2128" s="89"/>
      <c r="AY2128" s="171">
        <v>24</v>
      </c>
      <c r="AZ2128" s="89"/>
      <c r="BA2128" s="175">
        <v>50</v>
      </c>
      <c r="BB2128" s="259"/>
      <c r="BC2128" s="176"/>
      <c r="BD2128" s="177"/>
      <c r="BE2128" s="177"/>
      <c r="BF2128" s="190" t="s">
        <v>3334</v>
      </c>
    </row>
    <row r="2129" spans="1:58">
      <c r="A2129" s="111">
        <v>2128</v>
      </c>
      <c r="B2129" s="211" t="s">
        <v>3225</v>
      </c>
      <c r="C2129" s="191" t="s">
        <v>3306</v>
      </c>
      <c r="D2129" s="171" t="s">
        <v>3290</v>
      </c>
      <c r="E2129" s="732" t="s">
        <v>3379</v>
      </c>
      <c r="F2129" s="171">
        <v>2007</v>
      </c>
      <c r="G2129" s="171">
        <v>19</v>
      </c>
      <c r="H2129" s="172" t="s">
        <v>1738</v>
      </c>
      <c r="I2129" s="173" t="s">
        <v>1751</v>
      </c>
      <c r="J2129" s="242">
        <v>0.8</v>
      </c>
      <c r="K2129" s="213">
        <v>8.7422222222222228</v>
      </c>
      <c r="L2129" s="38">
        <v>180</v>
      </c>
      <c r="M2129" s="171">
        <v>225</v>
      </c>
      <c r="N2129" s="171">
        <v>1104</v>
      </c>
      <c r="O2129" s="114"/>
      <c r="P2129" s="71" t="s">
        <v>3446</v>
      </c>
      <c r="Q2129" s="221" t="s">
        <v>1754</v>
      </c>
      <c r="R2129" s="171" t="s">
        <v>3346</v>
      </c>
      <c r="S2129" s="171" t="s">
        <v>3359</v>
      </c>
      <c r="T2129" s="89"/>
      <c r="U2129" s="89" t="s">
        <v>3346</v>
      </c>
      <c r="V2129" s="102">
        <v>0</v>
      </c>
      <c r="W2129" s="120">
        <v>0</v>
      </c>
      <c r="X2129" s="120">
        <v>0</v>
      </c>
      <c r="Y2129" s="120">
        <v>0</v>
      </c>
      <c r="Z2129" s="120">
        <v>0</v>
      </c>
      <c r="AA2129" s="17">
        <v>0</v>
      </c>
      <c r="AB2129" s="17">
        <v>0</v>
      </c>
      <c r="AC2129" s="17">
        <v>0</v>
      </c>
      <c r="AD2129" s="17">
        <v>0</v>
      </c>
      <c r="AE2129" s="17">
        <v>0</v>
      </c>
      <c r="AF2129" s="17">
        <v>0</v>
      </c>
      <c r="AG2129" s="17">
        <v>0</v>
      </c>
      <c r="AH2129" s="17">
        <v>0</v>
      </c>
      <c r="AI2129" s="17">
        <v>0</v>
      </c>
      <c r="AJ2129" s="17">
        <v>0</v>
      </c>
      <c r="AK2129" s="17">
        <v>0</v>
      </c>
      <c r="AL2129" s="32">
        <v>0</v>
      </c>
      <c r="AM2129" s="172">
        <v>26.5</v>
      </c>
      <c r="AN2129" s="171">
        <v>70</v>
      </c>
      <c r="AO2129" s="89"/>
      <c r="AP2129" s="783">
        <v>24.1</v>
      </c>
      <c r="AQ2129" s="17" t="s">
        <v>2986</v>
      </c>
      <c r="AR2129" s="174">
        <v>50</v>
      </c>
      <c r="AS2129" s="171" t="s">
        <v>246</v>
      </c>
      <c r="AT2129" s="171">
        <v>200</v>
      </c>
      <c r="AU2129" s="171">
        <v>20</v>
      </c>
      <c r="AV2129" s="57"/>
      <c r="AW2129" s="171">
        <v>28</v>
      </c>
      <c r="AX2129" s="89"/>
      <c r="AY2129" s="171">
        <v>24</v>
      </c>
      <c r="AZ2129" s="89"/>
      <c r="BA2129" s="175">
        <v>50</v>
      </c>
      <c r="BB2129" s="259"/>
      <c r="BC2129" s="176"/>
      <c r="BD2129" s="177"/>
      <c r="BE2129" s="177"/>
      <c r="BF2129" s="190" t="s">
        <v>3334</v>
      </c>
    </row>
    <row r="2130" spans="1:58">
      <c r="A2130" s="111">
        <v>2129</v>
      </c>
      <c r="B2130" s="211" t="s">
        <v>3226</v>
      </c>
      <c r="C2130" s="191" t="s">
        <v>3306</v>
      </c>
      <c r="D2130" s="171" t="s">
        <v>3290</v>
      </c>
      <c r="E2130" s="732" t="s">
        <v>3379</v>
      </c>
      <c r="F2130" s="171">
        <v>2007</v>
      </c>
      <c r="G2130" s="171">
        <v>19</v>
      </c>
      <c r="H2130" s="172" t="s">
        <v>1738</v>
      </c>
      <c r="I2130" s="173" t="s">
        <v>1751</v>
      </c>
      <c r="J2130" s="242">
        <v>0.3995901639344262</v>
      </c>
      <c r="K2130" s="213">
        <v>3.5245901639344259</v>
      </c>
      <c r="L2130" s="38">
        <v>195</v>
      </c>
      <c r="M2130" s="171">
        <v>390.40000000000003</v>
      </c>
      <c r="N2130" s="171">
        <v>1104</v>
      </c>
      <c r="O2130" s="114"/>
      <c r="P2130" s="71" t="s">
        <v>3446</v>
      </c>
      <c r="Q2130" s="221" t="s">
        <v>1754</v>
      </c>
      <c r="R2130" s="171" t="s">
        <v>3346</v>
      </c>
      <c r="S2130" s="171" t="s">
        <v>3359</v>
      </c>
      <c r="T2130" s="89"/>
      <c r="U2130" s="89" t="s">
        <v>3346</v>
      </c>
      <c r="V2130" s="102">
        <v>0</v>
      </c>
      <c r="W2130" s="120">
        <v>0</v>
      </c>
      <c r="X2130" s="120">
        <v>0</v>
      </c>
      <c r="Y2130" s="120">
        <v>20</v>
      </c>
      <c r="Z2130" s="120">
        <v>0</v>
      </c>
      <c r="AA2130" s="17">
        <v>0</v>
      </c>
      <c r="AB2130" s="17">
        <v>0</v>
      </c>
      <c r="AC2130" s="17">
        <v>0</v>
      </c>
      <c r="AD2130" s="17">
        <v>0</v>
      </c>
      <c r="AE2130" s="17">
        <v>0</v>
      </c>
      <c r="AF2130" s="17">
        <v>0</v>
      </c>
      <c r="AG2130" s="17">
        <v>0</v>
      </c>
      <c r="AH2130" s="17">
        <v>0</v>
      </c>
      <c r="AI2130" s="17">
        <v>0</v>
      </c>
      <c r="AJ2130" s="17">
        <v>0</v>
      </c>
      <c r="AK2130" s="17">
        <v>0</v>
      </c>
      <c r="AL2130" s="32">
        <v>0</v>
      </c>
      <c r="AM2130" s="172">
        <v>71</v>
      </c>
      <c r="AN2130" s="171">
        <v>70</v>
      </c>
      <c r="AO2130" s="89"/>
      <c r="AP2130" s="783">
        <v>39.299999999999997</v>
      </c>
      <c r="AQ2130" s="17" t="s">
        <v>2986</v>
      </c>
      <c r="AR2130" s="174">
        <v>50</v>
      </c>
      <c r="AS2130" s="171" t="s">
        <v>246</v>
      </c>
      <c r="AT2130" s="171">
        <v>200</v>
      </c>
      <c r="AU2130" s="171">
        <v>20</v>
      </c>
      <c r="AV2130" s="57"/>
      <c r="AW2130" s="171">
        <v>28</v>
      </c>
      <c r="AX2130" s="89"/>
      <c r="AY2130" s="171">
        <v>24</v>
      </c>
      <c r="AZ2130" s="89"/>
      <c r="BA2130" s="175">
        <v>50</v>
      </c>
      <c r="BB2130" s="259"/>
      <c r="BC2130" s="176"/>
      <c r="BD2130" s="177"/>
      <c r="BE2130" s="177"/>
      <c r="BF2130" s="190" t="s">
        <v>3334</v>
      </c>
    </row>
    <row r="2131" spans="1:58">
      <c r="A2131" s="111">
        <v>2130</v>
      </c>
      <c r="B2131" s="211" t="s">
        <v>3227</v>
      </c>
      <c r="C2131" s="191" t="s">
        <v>3306</v>
      </c>
      <c r="D2131" s="171" t="s">
        <v>3290</v>
      </c>
      <c r="E2131" s="732" t="s">
        <v>3379</v>
      </c>
      <c r="F2131" s="171">
        <v>2007</v>
      </c>
      <c r="G2131" s="171">
        <v>19</v>
      </c>
      <c r="H2131" s="172" t="s">
        <v>1738</v>
      </c>
      <c r="I2131" s="173" t="s">
        <v>1751</v>
      </c>
      <c r="J2131" s="242">
        <v>0.6</v>
      </c>
      <c r="K2131" s="213">
        <v>6.3566666666666665</v>
      </c>
      <c r="L2131" s="38">
        <v>180</v>
      </c>
      <c r="M2131" s="171">
        <v>240</v>
      </c>
      <c r="N2131" s="171">
        <v>1104</v>
      </c>
      <c r="O2131" s="114"/>
      <c r="P2131" s="71" t="s">
        <v>3446</v>
      </c>
      <c r="Q2131" s="221" t="s">
        <v>1754</v>
      </c>
      <c r="R2131" s="171" t="s">
        <v>3346</v>
      </c>
      <c r="S2131" s="171" t="s">
        <v>3359</v>
      </c>
      <c r="T2131" s="89"/>
      <c r="U2131" s="89" t="s">
        <v>3346</v>
      </c>
      <c r="V2131" s="102">
        <v>0</v>
      </c>
      <c r="W2131" s="120">
        <v>0</v>
      </c>
      <c r="X2131" s="120">
        <v>0</v>
      </c>
      <c r="Y2131" s="120">
        <v>20</v>
      </c>
      <c r="Z2131" s="120">
        <v>0</v>
      </c>
      <c r="AA2131" s="17">
        <v>0</v>
      </c>
      <c r="AB2131" s="17">
        <v>0</v>
      </c>
      <c r="AC2131" s="17">
        <v>0</v>
      </c>
      <c r="AD2131" s="17">
        <v>0</v>
      </c>
      <c r="AE2131" s="17">
        <v>0</v>
      </c>
      <c r="AF2131" s="17">
        <v>0</v>
      </c>
      <c r="AG2131" s="17">
        <v>0</v>
      </c>
      <c r="AH2131" s="17">
        <v>0</v>
      </c>
      <c r="AI2131" s="17">
        <v>0</v>
      </c>
      <c r="AJ2131" s="17">
        <v>0</v>
      </c>
      <c r="AK2131" s="17">
        <v>0</v>
      </c>
      <c r="AL2131" s="32">
        <v>0</v>
      </c>
      <c r="AM2131" s="172">
        <v>46</v>
      </c>
      <c r="AN2131" s="171">
        <v>90</v>
      </c>
      <c r="AO2131" s="89"/>
      <c r="AP2131" s="783">
        <v>35</v>
      </c>
      <c r="AQ2131" s="17" t="s">
        <v>2986</v>
      </c>
      <c r="AR2131" s="174">
        <v>50</v>
      </c>
      <c r="AS2131" s="171" t="s">
        <v>246</v>
      </c>
      <c r="AT2131" s="171">
        <v>200</v>
      </c>
      <c r="AU2131" s="171">
        <v>20</v>
      </c>
      <c r="AV2131" s="57"/>
      <c r="AW2131" s="171">
        <v>28</v>
      </c>
      <c r="AX2131" s="89"/>
      <c r="AY2131" s="171">
        <v>24</v>
      </c>
      <c r="AZ2131" s="89"/>
      <c r="BA2131" s="175">
        <v>50</v>
      </c>
      <c r="BB2131" s="259"/>
      <c r="BC2131" s="176"/>
      <c r="BD2131" s="177"/>
      <c r="BE2131" s="177"/>
      <c r="BF2131" s="190" t="s">
        <v>3334</v>
      </c>
    </row>
    <row r="2132" spans="1:58">
      <c r="A2132" s="111">
        <v>2131</v>
      </c>
      <c r="B2132" s="211" t="s">
        <v>3228</v>
      </c>
      <c r="C2132" s="191" t="s">
        <v>3306</v>
      </c>
      <c r="D2132" s="171" t="s">
        <v>3290</v>
      </c>
      <c r="E2132" s="732" t="s">
        <v>3379</v>
      </c>
      <c r="F2132" s="171">
        <v>2007</v>
      </c>
      <c r="G2132" s="171">
        <v>19</v>
      </c>
      <c r="H2132" s="172" t="s">
        <v>1738</v>
      </c>
      <c r="I2132" s="173" t="s">
        <v>1751</v>
      </c>
      <c r="J2132" s="242">
        <v>0.8</v>
      </c>
      <c r="K2132" s="213">
        <v>8.7422222222222228</v>
      </c>
      <c r="L2132" s="38">
        <v>180</v>
      </c>
      <c r="M2132" s="171">
        <v>180</v>
      </c>
      <c r="N2132" s="171">
        <v>1104</v>
      </c>
      <c r="O2132" s="114"/>
      <c r="P2132" s="71" t="s">
        <v>3446</v>
      </c>
      <c r="Q2132" s="221" t="s">
        <v>1754</v>
      </c>
      <c r="R2132" s="171" t="s">
        <v>3346</v>
      </c>
      <c r="S2132" s="171" t="s">
        <v>3359</v>
      </c>
      <c r="T2132" s="89"/>
      <c r="U2132" s="89" t="s">
        <v>3346</v>
      </c>
      <c r="V2132" s="102">
        <v>0</v>
      </c>
      <c r="W2132" s="120">
        <v>0</v>
      </c>
      <c r="X2132" s="120">
        <v>0</v>
      </c>
      <c r="Y2132" s="120">
        <v>20</v>
      </c>
      <c r="Z2132" s="120">
        <v>0</v>
      </c>
      <c r="AA2132" s="17">
        <v>0</v>
      </c>
      <c r="AB2132" s="17">
        <v>0</v>
      </c>
      <c r="AC2132" s="17">
        <v>0</v>
      </c>
      <c r="AD2132" s="17">
        <v>0</v>
      </c>
      <c r="AE2132" s="17">
        <v>0</v>
      </c>
      <c r="AF2132" s="17">
        <v>0</v>
      </c>
      <c r="AG2132" s="17">
        <v>0</v>
      </c>
      <c r="AH2132" s="17">
        <v>0</v>
      </c>
      <c r="AI2132" s="17">
        <v>0</v>
      </c>
      <c r="AJ2132" s="17">
        <v>0</v>
      </c>
      <c r="AK2132" s="17">
        <v>0</v>
      </c>
      <c r="AL2132" s="32">
        <v>0</v>
      </c>
      <c r="AM2132" s="172">
        <v>31.5</v>
      </c>
      <c r="AN2132" s="171">
        <v>80</v>
      </c>
      <c r="AO2132" s="89"/>
      <c r="AP2132" s="783">
        <v>28.9</v>
      </c>
      <c r="AQ2132" s="17" t="s">
        <v>2986</v>
      </c>
      <c r="AR2132" s="174">
        <v>50</v>
      </c>
      <c r="AS2132" s="171" t="s">
        <v>246</v>
      </c>
      <c r="AT2132" s="171">
        <v>200</v>
      </c>
      <c r="AU2132" s="171">
        <v>20</v>
      </c>
      <c r="AV2132" s="57"/>
      <c r="AW2132" s="171">
        <v>28</v>
      </c>
      <c r="AX2132" s="89"/>
      <c r="AY2132" s="171">
        <v>24</v>
      </c>
      <c r="AZ2132" s="89"/>
      <c r="BA2132" s="175">
        <v>50</v>
      </c>
      <c r="BB2132" s="259"/>
      <c r="BC2132" s="176"/>
      <c r="BD2132" s="177"/>
      <c r="BE2132" s="177"/>
      <c r="BF2132" s="190" t="s">
        <v>3334</v>
      </c>
    </row>
    <row r="2133" spans="1:58">
      <c r="A2133" s="111">
        <v>2132</v>
      </c>
      <c r="B2133" s="211" t="s">
        <v>3229</v>
      </c>
      <c r="C2133" s="191" t="s">
        <v>3306</v>
      </c>
      <c r="D2133" s="171" t="s">
        <v>3290</v>
      </c>
      <c r="E2133" s="732" t="s">
        <v>3379</v>
      </c>
      <c r="F2133" s="171">
        <v>2007</v>
      </c>
      <c r="G2133" s="171">
        <v>19</v>
      </c>
      <c r="H2133" s="172" t="s">
        <v>1738</v>
      </c>
      <c r="I2133" s="173" t="s">
        <v>1751</v>
      </c>
      <c r="J2133" s="242">
        <v>0.39959016393442626</v>
      </c>
      <c r="K2133" s="213">
        <v>3.5245901639344264</v>
      </c>
      <c r="L2133" s="38">
        <v>195</v>
      </c>
      <c r="M2133" s="171">
        <v>317.2</v>
      </c>
      <c r="N2133" s="171">
        <v>1104</v>
      </c>
      <c r="O2133" s="114"/>
      <c r="P2133" s="71" t="s">
        <v>3446</v>
      </c>
      <c r="Q2133" s="221" t="s">
        <v>1754</v>
      </c>
      <c r="R2133" s="171" t="s">
        <v>3346</v>
      </c>
      <c r="S2133" s="171" t="s">
        <v>3359</v>
      </c>
      <c r="T2133" s="89"/>
      <c r="U2133" s="89" t="s">
        <v>3346</v>
      </c>
      <c r="V2133" s="102">
        <v>0</v>
      </c>
      <c r="W2133" s="120">
        <v>0</v>
      </c>
      <c r="X2133" s="120">
        <v>0</v>
      </c>
      <c r="Y2133" s="120">
        <v>35</v>
      </c>
      <c r="Z2133" s="120">
        <v>0</v>
      </c>
      <c r="AA2133" s="17">
        <v>0</v>
      </c>
      <c r="AB2133" s="17">
        <v>0</v>
      </c>
      <c r="AC2133" s="17">
        <v>0</v>
      </c>
      <c r="AD2133" s="17">
        <v>0</v>
      </c>
      <c r="AE2133" s="17">
        <v>0</v>
      </c>
      <c r="AF2133" s="17">
        <v>0</v>
      </c>
      <c r="AG2133" s="17">
        <v>0</v>
      </c>
      <c r="AH2133" s="17">
        <v>0</v>
      </c>
      <c r="AI2133" s="17">
        <v>0</v>
      </c>
      <c r="AJ2133" s="17">
        <v>0</v>
      </c>
      <c r="AK2133" s="17">
        <v>0</v>
      </c>
      <c r="AL2133" s="32">
        <v>0</v>
      </c>
      <c r="AM2133" s="172">
        <v>75</v>
      </c>
      <c r="AN2133" s="171">
        <v>80</v>
      </c>
      <c r="AO2133" s="89"/>
      <c r="AP2133" s="783">
        <v>42.9</v>
      </c>
      <c r="AQ2133" s="17" t="s">
        <v>2986</v>
      </c>
      <c r="AR2133" s="174">
        <v>50</v>
      </c>
      <c r="AS2133" s="171" t="s">
        <v>246</v>
      </c>
      <c r="AT2133" s="171">
        <v>200</v>
      </c>
      <c r="AU2133" s="171">
        <v>20</v>
      </c>
      <c r="AV2133" s="57"/>
      <c r="AW2133" s="171">
        <v>28</v>
      </c>
      <c r="AX2133" s="89"/>
      <c r="AY2133" s="171">
        <v>24</v>
      </c>
      <c r="AZ2133" s="89"/>
      <c r="BA2133" s="175">
        <v>50</v>
      </c>
      <c r="BB2133" s="259"/>
      <c r="BC2133" s="176"/>
      <c r="BD2133" s="177"/>
      <c r="BE2133" s="177"/>
      <c r="BF2133" s="190" t="s">
        <v>3334</v>
      </c>
    </row>
    <row r="2134" spans="1:58">
      <c r="A2134" s="111">
        <v>2133</v>
      </c>
      <c r="B2134" s="211" t="s">
        <v>3230</v>
      </c>
      <c r="C2134" s="191" t="s">
        <v>3306</v>
      </c>
      <c r="D2134" s="171" t="s">
        <v>3290</v>
      </c>
      <c r="E2134" s="732" t="s">
        <v>3379</v>
      </c>
      <c r="F2134" s="171">
        <v>2007</v>
      </c>
      <c r="G2134" s="171">
        <v>19</v>
      </c>
      <c r="H2134" s="172" t="s">
        <v>1738</v>
      </c>
      <c r="I2134" s="173" t="s">
        <v>1751</v>
      </c>
      <c r="J2134" s="242">
        <v>0.6</v>
      </c>
      <c r="K2134" s="213">
        <v>6.3566666666666665</v>
      </c>
      <c r="L2134" s="38">
        <v>180</v>
      </c>
      <c r="M2134" s="171">
        <v>195</v>
      </c>
      <c r="N2134" s="171">
        <v>1104</v>
      </c>
      <c r="O2134" s="114"/>
      <c r="P2134" s="71" t="s">
        <v>3446</v>
      </c>
      <c r="Q2134" s="221" t="s">
        <v>1754</v>
      </c>
      <c r="R2134" s="171" t="s">
        <v>3346</v>
      </c>
      <c r="S2134" s="171" t="s">
        <v>3359</v>
      </c>
      <c r="T2134" s="89"/>
      <c r="U2134" s="89" t="s">
        <v>3346</v>
      </c>
      <c r="V2134" s="102">
        <v>0</v>
      </c>
      <c r="W2134" s="120">
        <v>0</v>
      </c>
      <c r="X2134" s="120">
        <v>0</v>
      </c>
      <c r="Y2134" s="120">
        <v>35</v>
      </c>
      <c r="Z2134" s="120">
        <v>0</v>
      </c>
      <c r="AA2134" s="17">
        <v>0</v>
      </c>
      <c r="AB2134" s="17">
        <v>0</v>
      </c>
      <c r="AC2134" s="17">
        <v>0</v>
      </c>
      <c r="AD2134" s="17">
        <v>0</v>
      </c>
      <c r="AE2134" s="17">
        <v>0</v>
      </c>
      <c r="AF2134" s="17">
        <v>0</v>
      </c>
      <c r="AG2134" s="17">
        <v>0</v>
      </c>
      <c r="AH2134" s="17">
        <v>0</v>
      </c>
      <c r="AI2134" s="17">
        <v>0</v>
      </c>
      <c r="AJ2134" s="17">
        <v>0</v>
      </c>
      <c r="AK2134" s="17">
        <v>0</v>
      </c>
      <c r="AL2134" s="32">
        <v>0</v>
      </c>
      <c r="AM2134" s="172">
        <v>48.5</v>
      </c>
      <c r="AN2134" s="171">
        <v>80</v>
      </c>
      <c r="AO2134" s="89"/>
      <c r="AP2134" s="783">
        <v>35</v>
      </c>
      <c r="AQ2134" s="17" t="s">
        <v>2986</v>
      </c>
      <c r="AR2134" s="174">
        <v>50</v>
      </c>
      <c r="AS2134" s="171" t="s">
        <v>246</v>
      </c>
      <c r="AT2134" s="171">
        <v>200</v>
      </c>
      <c r="AU2134" s="171">
        <v>20</v>
      </c>
      <c r="AV2134" s="57"/>
      <c r="AW2134" s="171">
        <v>28</v>
      </c>
      <c r="AX2134" s="89"/>
      <c r="AY2134" s="171">
        <v>24</v>
      </c>
      <c r="AZ2134" s="89"/>
      <c r="BA2134" s="175">
        <v>50</v>
      </c>
      <c r="BB2134" s="259"/>
      <c r="BC2134" s="176"/>
      <c r="BD2134" s="177"/>
      <c r="BE2134" s="177"/>
      <c r="BF2134" s="190" t="s">
        <v>3334</v>
      </c>
    </row>
    <row r="2135" spans="1:58">
      <c r="A2135" s="111">
        <v>2134</v>
      </c>
      <c r="B2135" s="211" t="s">
        <v>3231</v>
      </c>
      <c r="C2135" s="191" t="s">
        <v>3306</v>
      </c>
      <c r="D2135" s="171" t="s">
        <v>3290</v>
      </c>
      <c r="E2135" s="732" t="s">
        <v>3379</v>
      </c>
      <c r="F2135" s="171">
        <v>2007</v>
      </c>
      <c r="G2135" s="171">
        <v>19</v>
      </c>
      <c r="H2135" s="172" t="s">
        <v>1738</v>
      </c>
      <c r="I2135" s="173" t="s">
        <v>1751</v>
      </c>
      <c r="J2135" s="242">
        <v>0.8</v>
      </c>
      <c r="K2135" s="213">
        <v>8.7422222222222228</v>
      </c>
      <c r="L2135" s="38">
        <v>180</v>
      </c>
      <c r="M2135" s="171">
        <v>146.25</v>
      </c>
      <c r="N2135" s="171">
        <v>1104</v>
      </c>
      <c r="O2135" s="114"/>
      <c r="P2135" s="71" t="s">
        <v>3446</v>
      </c>
      <c r="Q2135" s="221" t="s">
        <v>1754</v>
      </c>
      <c r="R2135" s="171" t="s">
        <v>3346</v>
      </c>
      <c r="S2135" s="171" t="s">
        <v>3359</v>
      </c>
      <c r="T2135" s="89"/>
      <c r="U2135" s="89" t="s">
        <v>3346</v>
      </c>
      <c r="V2135" s="102">
        <v>0</v>
      </c>
      <c r="W2135" s="120">
        <v>0</v>
      </c>
      <c r="X2135" s="120">
        <v>0</v>
      </c>
      <c r="Y2135" s="120">
        <v>35</v>
      </c>
      <c r="Z2135" s="120">
        <v>0</v>
      </c>
      <c r="AA2135" s="17">
        <v>0</v>
      </c>
      <c r="AB2135" s="17">
        <v>0</v>
      </c>
      <c r="AC2135" s="17">
        <v>0</v>
      </c>
      <c r="AD2135" s="17">
        <v>0</v>
      </c>
      <c r="AE2135" s="17">
        <v>0</v>
      </c>
      <c r="AF2135" s="17">
        <v>0</v>
      </c>
      <c r="AG2135" s="17">
        <v>0</v>
      </c>
      <c r="AH2135" s="17">
        <v>0</v>
      </c>
      <c r="AI2135" s="17">
        <v>0</v>
      </c>
      <c r="AJ2135" s="17">
        <v>0</v>
      </c>
      <c r="AK2135" s="17">
        <v>0</v>
      </c>
      <c r="AL2135" s="32">
        <v>0</v>
      </c>
      <c r="AM2135" s="172">
        <v>33.5</v>
      </c>
      <c r="AN2135" s="171">
        <v>80</v>
      </c>
      <c r="AO2135" s="89"/>
      <c r="AP2135" s="783">
        <v>28.4</v>
      </c>
      <c r="AQ2135" s="17" t="s">
        <v>2986</v>
      </c>
      <c r="AR2135" s="174">
        <v>50</v>
      </c>
      <c r="AS2135" s="171" t="s">
        <v>246</v>
      </c>
      <c r="AT2135" s="171">
        <v>200</v>
      </c>
      <c r="AU2135" s="171">
        <v>20</v>
      </c>
      <c r="AV2135" s="57"/>
      <c r="AW2135" s="171">
        <v>28</v>
      </c>
      <c r="AX2135" s="89"/>
      <c r="AY2135" s="171">
        <v>24</v>
      </c>
      <c r="AZ2135" s="89"/>
      <c r="BA2135" s="175">
        <v>50</v>
      </c>
      <c r="BB2135" s="259"/>
      <c r="BC2135" s="176"/>
      <c r="BD2135" s="177"/>
      <c r="BE2135" s="177"/>
      <c r="BF2135" s="190" t="s">
        <v>3334</v>
      </c>
    </row>
    <row r="2136" spans="1:58">
      <c r="A2136" s="111">
        <v>2135</v>
      </c>
      <c r="B2136" s="211" t="s">
        <v>3232</v>
      </c>
      <c r="C2136" s="191" t="s">
        <v>3306</v>
      </c>
      <c r="D2136" s="171" t="s">
        <v>3290</v>
      </c>
      <c r="E2136" s="732" t="s">
        <v>3379</v>
      </c>
      <c r="F2136" s="171">
        <v>2007</v>
      </c>
      <c r="G2136" s="171">
        <v>19</v>
      </c>
      <c r="H2136" s="172" t="s">
        <v>1738</v>
      </c>
      <c r="I2136" s="173" t="s">
        <v>1751</v>
      </c>
      <c r="J2136" s="242">
        <v>0.39959016393442626</v>
      </c>
      <c r="K2136" s="213">
        <v>3.5245901639344264</v>
      </c>
      <c r="L2136" s="38">
        <v>195</v>
      </c>
      <c r="M2136" s="171">
        <v>244</v>
      </c>
      <c r="N2136" s="171">
        <v>1104</v>
      </c>
      <c r="O2136" s="114"/>
      <c r="P2136" s="71" t="s">
        <v>3446</v>
      </c>
      <c r="Q2136" s="221" t="s">
        <v>1754</v>
      </c>
      <c r="R2136" s="171" t="s">
        <v>3346</v>
      </c>
      <c r="S2136" s="171" t="s">
        <v>3359</v>
      </c>
      <c r="T2136" s="89"/>
      <c r="U2136" s="89" t="s">
        <v>3346</v>
      </c>
      <c r="V2136" s="102">
        <v>0</v>
      </c>
      <c r="W2136" s="120">
        <v>0</v>
      </c>
      <c r="X2136" s="120">
        <v>0</v>
      </c>
      <c r="Y2136" s="120">
        <v>50</v>
      </c>
      <c r="Z2136" s="120">
        <v>0</v>
      </c>
      <c r="AA2136" s="17">
        <v>0</v>
      </c>
      <c r="AB2136" s="17">
        <v>0</v>
      </c>
      <c r="AC2136" s="17">
        <v>0</v>
      </c>
      <c r="AD2136" s="17">
        <v>0</v>
      </c>
      <c r="AE2136" s="17">
        <v>0</v>
      </c>
      <c r="AF2136" s="17">
        <v>0</v>
      </c>
      <c r="AG2136" s="17">
        <v>0</v>
      </c>
      <c r="AH2136" s="17">
        <v>0</v>
      </c>
      <c r="AI2136" s="17">
        <v>0</v>
      </c>
      <c r="AJ2136" s="17">
        <v>0</v>
      </c>
      <c r="AK2136" s="17">
        <v>0</v>
      </c>
      <c r="AL2136" s="32">
        <v>0</v>
      </c>
      <c r="AM2136" s="172">
        <v>72</v>
      </c>
      <c r="AN2136" s="171">
        <v>70</v>
      </c>
      <c r="AO2136" s="89"/>
      <c r="AP2136" s="783">
        <v>40.799999999999997</v>
      </c>
      <c r="AQ2136" s="17" t="s">
        <v>2986</v>
      </c>
      <c r="AR2136" s="174">
        <v>50</v>
      </c>
      <c r="AS2136" s="171" t="s">
        <v>246</v>
      </c>
      <c r="AT2136" s="171">
        <v>200</v>
      </c>
      <c r="AU2136" s="171">
        <v>20</v>
      </c>
      <c r="AV2136" s="57"/>
      <c r="AW2136" s="171">
        <v>28</v>
      </c>
      <c r="AX2136" s="89"/>
      <c r="AY2136" s="171">
        <v>24</v>
      </c>
      <c r="AZ2136" s="89"/>
      <c r="BA2136" s="175">
        <v>50</v>
      </c>
      <c r="BB2136" s="259"/>
      <c r="BC2136" s="176"/>
      <c r="BD2136" s="177"/>
      <c r="BE2136" s="177"/>
      <c r="BF2136" s="190" t="s">
        <v>3334</v>
      </c>
    </row>
    <row r="2137" spans="1:58">
      <c r="A2137" s="111">
        <v>2136</v>
      </c>
      <c r="B2137" s="211" t="s">
        <v>3233</v>
      </c>
      <c r="C2137" s="191" t="s">
        <v>3306</v>
      </c>
      <c r="D2137" s="171" t="s">
        <v>3290</v>
      </c>
      <c r="E2137" s="732" t="s">
        <v>3379</v>
      </c>
      <c r="F2137" s="171">
        <v>2007</v>
      </c>
      <c r="G2137" s="171">
        <v>19</v>
      </c>
      <c r="H2137" s="172" t="s">
        <v>1738</v>
      </c>
      <c r="I2137" s="173" t="s">
        <v>1751</v>
      </c>
      <c r="J2137" s="242">
        <v>0.6</v>
      </c>
      <c r="K2137" s="213">
        <v>6.3566666666666665</v>
      </c>
      <c r="L2137" s="38">
        <v>180</v>
      </c>
      <c r="M2137" s="171">
        <v>150</v>
      </c>
      <c r="N2137" s="171">
        <v>1104</v>
      </c>
      <c r="O2137" s="114"/>
      <c r="P2137" s="71" t="s">
        <v>3446</v>
      </c>
      <c r="Q2137" s="221" t="s">
        <v>1754</v>
      </c>
      <c r="R2137" s="171" t="s">
        <v>3346</v>
      </c>
      <c r="S2137" s="171" t="s">
        <v>3359</v>
      </c>
      <c r="T2137" s="89"/>
      <c r="U2137" s="89" t="s">
        <v>3346</v>
      </c>
      <c r="V2137" s="102">
        <v>0</v>
      </c>
      <c r="W2137" s="120">
        <v>0</v>
      </c>
      <c r="X2137" s="120">
        <v>0</v>
      </c>
      <c r="Y2137" s="120">
        <v>50</v>
      </c>
      <c r="Z2137" s="120">
        <v>0</v>
      </c>
      <c r="AA2137" s="17">
        <v>0</v>
      </c>
      <c r="AB2137" s="17">
        <v>0</v>
      </c>
      <c r="AC2137" s="17">
        <v>0</v>
      </c>
      <c r="AD2137" s="17">
        <v>0</v>
      </c>
      <c r="AE2137" s="17">
        <v>0</v>
      </c>
      <c r="AF2137" s="17">
        <v>0</v>
      </c>
      <c r="AG2137" s="17">
        <v>0</v>
      </c>
      <c r="AH2137" s="17">
        <v>0</v>
      </c>
      <c r="AI2137" s="17">
        <v>0</v>
      </c>
      <c r="AJ2137" s="17">
        <v>0</v>
      </c>
      <c r="AK2137" s="17">
        <v>0</v>
      </c>
      <c r="AL2137" s="32">
        <v>0</v>
      </c>
      <c r="AM2137" s="172">
        <v>49</v>
      </c>
      <c r="AN2137" s="171">
        <v>90</v>
      </c>
      <c r="AO2137" s="89"/>
      <c r="AP2137" s="783">
        <v>32.200000000000003</v>
      </c>
      <c r="AQ2137" s="17" t="s">
        <v>2986</v>
      </c>
      <c r="AR2137" s="174">
        <v>50</v>
      </c>
      <c r="AS2137" s="171" t="s">
        <v>246</v>
      </c>
      <c r="AT2137" s="171">
        <v>200</v>
      </c>
      <c r="AU2137" s="171">
        <v>20</v>
      </c>
      <c r="AV2137" s="57"/>
      <c r="AW2137" s="171">
        <v>28</v>
      </c>
      <c r="AX2137" s="89"/>
      <c r="AY2137" s="171">
        <v>24</v>
      </c>
      <c r="AZ2137" s="89"/>
      <c r="BA2137" s="175">
        <v>50</v>
      </c>
      <c r="BB2137" s="259"/>
      <c r="BC2137" s="176"/>
      <c r="BD2137" s="177"/>
      <c r="BE2137" s="177"/>
      <c r="BF2137" s="190" t="s">
        <v>3334</v>
      </c>
    </row>
    <row r="2138" spans="1:58">
      <c r="A2138" s="111">
        <v>2137</v>
      </c>
      <c r="B2138" s="211" t="s">
        <v>3234</v>
      </c>
      <c r="C2138" s="191" t="s">
        <v>3306</v>
      </c>
      <c r="D2138" s="171" t="s">
        <v>3290</v>
      </c>
      <c r="E2138" s="732" t="s">
        <v>3379</v>
      </c>
      <c r="F2138" s="171">
        <v>2007</v>
      </c>
      <c r="G2138" s="171">
        <v>19</v>
      </c>
      <c r="H2138" s="172" t="s">
        <v>1738</v>
      </c>
      <c r="I2138" s="173" t="s">
        <v>1751</v>
      </c>
      <c r="J2138" s="242">
        <v>0.8</v>
      </c>
      <c r="K2138" s="213">
        <v>8.7422222222222228</v>
      </c>
      <c r="L2138" s="38">
        <v>180</v>
      </c>
      <c r="M2138" s="171">
        <v>112.5</v>
      </c>
      <c r="N2138" s="171">
        <v>1104</v>
      </c>
      <c r="O2138" s="114"/>
      <c r="P2138" s="71" t="s">
        <v>3446</v>
      </c>
      <c r="Q2138" s="221" t="s">
        <v>1754</v>
      </c>
      <c r="R2138" s="171" t="s">
        <v>3346</v>
      </c>
      <c r="S2138" s="171" t="s">
        <v>3359</v>
      </c>
      <c r="T2138" s="89"/>
      <c r="U2138" s="89" t="s">
        <v>3346</v>
      </c>
      <c r="V2138" s="102">
        <v>0</v>
      </c>
      <c r="W2138" s="120">
        <v>0</v>
      </c>
      <c r="X2138" s="120">
        <v>0</v>
      </c>
      <c r="Y2138" s="120">
        <v>50</v>
      </c>
      <c r="Z2138" s="120">
        <v>0</v>
      </c>
      <c r="AA2138" s="17">
        <v>0</v>
      </c>
      <c r="AB2138" s="17">
        <v>0</v>
      </c>
      <c r="AC2138" s="17">
        <v>0</v>
      </c>
      <c r="AD2138" s="17">
        <v>0</v>
      </c>
      <c r="AE2138" s="17">
        <v>0</v>
      </c>
      <c r="AF2138" s="17">
        <v>0</v>
      </c>
      <c r="AG2138" s="17">
        <v>0</v>
      </c>
      <c r="AH2138" s="17">
        <v>0</v>
      </c>
      <c r="AI2138" s="17">
        <v>0</v>
      </c>
      <c r="AJ2138" s="17">
        <v>0</v>
      </c>
      <c r="AK2138" s="17">
        <v>0</v>
      </c>
      <c r="AL2138" s="32">
        <v>0</v>
      </c>
      <c r="AM2138" s="172">
        <v>35.5</v>
      </c>
      <c r="AN2138" s="171">
        <v>85</v>
      </c>
      <c r="AO2138" s="89"/>
      <c r="AP2138" s="783">
        <v>29.1</v>
      </c>
      <c r="AQ2138" s="17" t="s">
        <v>2986</v>
      </c>
      <c r="AR2138" s="174">
        <v>50</v>
      </c>
      <c r="AS2138" s="171" t="s">
        <v>246</v>
      </c>
      <c r="AT2138" s="171">
        <v>200</v>
      </c>
      <c r="AU2138" s="171">
        <v>20</v>
      </c>
      <c r="AV2138" s="57"/>
      <c r="AW2138" s="171">
        <v>28</v>
      </c>
      <c r="AX2138" s="89"/>
      <c r="AY2138" s="171">
        <v>24</v>
      </c>
      <c r="AZ2138" s="89"/>
      <c r="BA2138" s="175">
        <v>50</v>
      </c>
      <c r="BB2138" s="259"/>
      <c r="BC2138" s="176"/>
      <c r="BD2138" s="177"/>
      <c r="BE2138" s="177"/>
      <c r="BF2138" s="190" t="s">
        <v>3334</v>
      </c>
    </row>
    <row r="2139" spans="1:58" s="159" customFormat="1">
      <c r="A2139" s="111">
        <v>2138</v>
      </c>
      <c r="B2139" s="211" t="s">
        <v>3235</v>
      </c>
      <c r="C2139" s="191" t="s">
        <v>3306</v>
      </c>
      <c r="D2139" s="171" t="s">
        <v>3290</v>
      </c>
      <c r="E2139" s="732" t="s">
        <v>3379</v>
      </c>
      <c r="F2139" s="171">
        <v>2007</v>
      </c>
      <c r="G2139" s="171">
        <v>19</v>
      </c>
      <c r="H2139" s="172" t="s">
        <v>1738</v>
      </c>
      <c r="I2139" s="173" t="s">
        <v>1751</v>
      </c>
      <c r="J2139" s="242">
        <v>0.3995901639344262</v>
      </c>
      <c r="K2139" s="213">
        <v>3.5245901639344259</v>
      </c>
      <c r="L2139" s="38">
        <v>195</v>
      </c>
      <c r="M2139" s="171">
        <v>390.40000000000003</v>
      </c>
      <c r="N2139" s="171">
        <v>1104</v>
      </c>
      <c r="O2139" s="114"/>
      <c r="P2139" s="71" t="s">
        <v>3446</v>
      </c>
      <c r="Q2139" s="221" t="s">
        <v>1754</v>
      </c>
      <c r="R2139" s="171" t="s">
        <v>3346</v>
      </c>
      <c r="S2139" s="171" t="s">
        <v>3359</v>
      </c>
      <c r="T2139" s="89"/>
      <c r="U2139" s="89" t="s">
        <v>3346</v>
      </c>
      <c r="V2139" s="102">
        <v>0</v>
      </c>
      <c r="W2139" s="120">
        <v>0</v>
      </c>
      <c r="X2139" s="120">
        <v>20</v>
      </c>
      <c r="Y2139" s="120">
        <v>0</v>
      </c>
      <c r="Z2139" s="120">
        <v>0</v>
      </c>
      <c r="AA2139" s="17">
        <v>0</v>
      </c>
      <c r="AB2139" s="17">
        <v>0</v>
      </c>
      <c r="AC2139" s="17">
        <v>0</v>
      </c>
      <c r="AD2139" s="17">
        <v>0</v>
      </c>
      <c r="AE2139" s="17">
        <v>0</v>
      </c>
      <c r="AF2139" s="17">
        <v>0</v>
      </c>
      <c r="AG2139" s="17">
        <v>0</v>
      </c>
      <c r="AH2139" s="17">
        <v>0</v>
      </c>
      <c r="AI2139" s="17">
        <v>0</v>
      </c>
      <c r="AJ2139" s="17">
        <v>0</v>
      </c>
      <c r="AK2139" s="17">
        <v>0</v>
      </c>
      <c r="AL2139" s="32">
        <v>0</v>
      </c>
      <c r="AM2139" s="172">
        <v>63</v>
      </c>
      <c r="AN2139" s="171">
        <v>80</v>
      </c>
      <c r="AO2139" s="89"/>
      <c r="AP2139" s="783">
        <v>40</v>
      </c>
      <c r="AQ2139" s="17" t="s">
        <v>2986</v>
      </c>
      <c r="AR2139" s="174">
        <v>50</v>
      </c>
      <c r="AS2139" s="171" t="s">
        <v>246</v>
      </c>
      <c r="AT2139" s="171">
        <v>200</v>
      </c>
      <c r="AU2139" s="171">
        <v>20</v>
      </c>
      <c r="AV2139" s="57"/>
      <c r="AW2139" s="171">
        <v>28</v>
      </c>
      <c r="AX2139" s="89"/>
      <c r="AY2139" s="171">
        <v>24</v>
      </c>
      <c r="AZ2139" s="89"/>
      <c r="BA2139" s="175">
        <v>50</v>
      </c>
      <c r="BB2139" s="259"/>
      <c r="BC2139" s="176"/>
      <c r="BD2139" s="177"/>
      <c r="BE2139" s="177"/>
      <c r="BF2139" s="190" t="s">
        <v>3334</v>
      </c>
    </row>
    <row r="2140" spans="1:58" s="159" customFormat="1">
      <c r="A2140" s="111">
        <v>2139</v>
      </c>
      <c r="B2140" s="211" t="s">
        <v>3236</v>
      </c>
      <c r="C2140" s="191" t="s">
        <v>3306</v>
      </c>
      <c r="D2140" s="171" t="s">
        <v>3290</v>
      </c>
      <c r="E2140" s="732" t="s">
        <v>3379</v>
      </c>
      <c r="F2140" s="171">
        <v>2007</v>
      </c>
      <c r="G2140" s="171">
        <v>19</v>
      </c>
      <c r="H2140" s="172" t="s">
        <v>1738</v>
      </c>
      <c r="I2140" s="173" t="s">
        <v>1751</v>
      </c>
      <c r="J2140" s="242">
        <v>0.6</v>
      </c>
      <c r="K2140" s="213">
        <v>6.3566666666666665</v>
      </c>
      <c r="L2140" s="38">
        <v>180</v>
      </c>
      <c r="M2140" s="171">
        <v>240</v>
      </c>
      <c r="N2140" s="171">
        <v>1104</v>
      </c>
      <c r="O2140" s="114"/>
      <c r="P2140" s="71" t="s">
        <v>3446</v>
      </c>
      <c r="Q2140" s="221" t="s">
        <v>1754</v>
      </c>
      <c r="R2140" s="171" t="s">
        <v>3346</v>
      </c>
      <c r="S2140" s="171" t="s">
        <v>3359</v>
      </c>
      <c r="T2140" s="89"/>
      <c r="U2140" s="89" t="s">
        <v>3346</v>
      </c>
      <c r="V2140" s="102">
        <v>0</v>
      </c>
      <c r="W2140" s="120">
        <v>0</v>
      </c>
      <c r="X2140" s="120">
        <v>20</v>
      </c>
      <c r="Y2140" s="120">
        <v>0</v>
      </c>
      <c r="Z2140" s="120">
        <v>0</v>
      </c>
      <c r="AA2140" s="17">
        <v>0</v>
      </c>
      <c r="AB2140" s="17">
        <v>0</v>
      </c>
      <c r="AC2140" s="17">
        <v>0</v>
      </c>
      <c r="AD2140" s="17">
        <v>0</v>
      </c>
      <c r="AE2140" s="17">
        <v>0</v>
      </c>
      <c r="AF2140" s="17">
        <v>0</v>
      </c>
      <c r="AG2140" s="17">
        <v>0</v>
      </c>
      <c r="AH2140" s="17">
        <v>0</v>
      </c>
      <c r="AI2140" s="17">
        <v>0</v>
      </c>
      <c r="AJ2140" s="17">
        <v>0</v>
      </c>
      <c r="AK2140" s="17">
        <v>0</v>
      </c>
      <c r="AL2140" s="32">
        <v>0</v>
      </c>
      <c r="AM2140" s="172">
        <v>41.5</v>
      </c>
      <c r="AN2140" s="171">
        <v>85</v>
      </c>
      <c r="AO2140" s="89"/>
      <c r="AP2140" s="783">
        <v>30.3</v>
      </c>
      <c r="AQ2140" s="17" t="s">
        <v>2986</v>
      </c>
      <c r="AR2140" s="174">
        <v>50</v>
      </c>
      <c r="AS2140" s="171" t="s">
        <v>246</v>
      </c>
      <c r="AT2140" s="171">
        <v>200</v>
      </c>
      <c r="AU2140" s="171">
        <v>20</v>
      </c>
      <c r="AV2140" s="57"/>
      <c r="AW2140" s="171">
        <v>28</v>
      </c>
      <c r="AX2140" s="89"/>
      <c r="AY2140" s="171">
        <v>24</v>
      </c>
      <c r="AZ2140" s="89"/>
      <c r="BA2140" s="175">
        <v>50</v>
      </c>
      <c r="BB2140" s="259"/>
      <c r="BC2140" s="176"/>
      <c r="BD2140" s="177"/>
      <c r="BE2140" s="177"/>
      <c r="BF2140" s="190" t="s">
        <v>3334</v>
      </c>
    </row>
    <row r="2141" spans="1:58" s="159" customFormat="1">
      <c r="A2141" s="111">
        <v>2140</v>
      </c>
      <c r="B2141" s="211" t="s">
        <v>3237</v>
      </c>
      <c r="C2141" s="191" t="s">
        <v>3306</v>
      </c>
      <c r="D2141" s="171" t="s">
        <v>3290</v>
      </c>
      <c r="E2141" s="732" t="s">
        <v>3379</v>
      </c>
      <c r="F2141" s="171">
        <v>2007</v>
      </c>
      <c r="G2141" s="171">
        <v>19</v>
      </c>
      <c r="H2141" s="172" t="s">
        <v>1738</v>
      </c>
      <c r="I2141" s="173" t="s">
        <v>1751</v>
      </c>
      <c r="J2141" s="242">
        <v>0.8</v>
      </c>
      <c r="K2141" s="213">
        <v>8.7422222222222228</v>
      </c>
      <c r="L2141" s="38">
        <v>180</v>
      </c>
      <c r="M2141" s="171">
        <v>180</v>
      </c>
      <c r="N2141" s="171">
        <v>1104</v>
      </c>
      <c r="O2141" s="114"/>
      <c r="P2141" s="71" t="s">
        <v>3446</v>
      </c>
      <c r="Q2141" s="221" t="s">
        <v>1754</v>
      </c>
      <c r="R2141" s="171" t="s">
        <v>3346</v>
      </c>
      <c r="S2141" s="171" t="s">
        <v>3359</v>
      </c>
      <c r="T2141" s="89"/>
      <c r="U2141" s="89" t="s">
        <v>3346</v>
      </c>
      <c r="V2141" s="102">
        <v>0</v>
      </c>
      <c r="W2141" s="120">
        <v>0</v>
      </c>
      <c r="X2141" s="120">
        <v>20</v>
      </c>
      <c r="Y2141" s="120">
        <v>0</v>
      </c>
      <c r="Z2141" s="120">
        <v>0</v>
      </c>
      <c r="AA2141" s="17">
        <v>0</v>
      </c>
      <c r="AB2141" s="17">
        <v>0</v>
      </c>
      <c r="AC2141" s="17">
        <v>0</v>
      </c>
      <c r="AD2141" s="17">
        <v>0</v>
      </c>
      <c r="AE2141" s="17">
        <v>0</v>
      </c>
      <c r="AF2141" s="17">
        <v>0</v>
      </c>
      <c r="AG2141" s="17">
        <v>0</v>
      </c>
      <c r="AH2141" s="17">
        <v>0</v>
      </c>
      <c r="AI2141" s="17">
        <v>0</v>
      </c>
      <c r="AJ2141" s="17">
        <v>0</v>
      </c>
      <c r="AK2141" s="17">
        <v>0</v>
      </c>
      <c r="AL2141" s="32">
        <v>0</v>
      </c>
      <c r="AM2141" s="57"/>
      <c r="AN2141" s="171">
        <v>90</v>
      </c>
      <c r="AO2141" s="89"/>
      <c r="AP2141" s="783">
        <v>25.7</v>
      </c>
      <c r="AQ2141" s="17" t="s">
        <v>2986</v>
      </c>
      <c r="AR2141" s="174">
        <v>50</v>
      </c>
      <c r="AS2141" s="171" t="s">
        <v>246</v>
      </c>
      <c r="AT2141" s="171">
        <v>200</v>
      </c>
      <c r="AU2141" s="171">
        <v>20</v>
      </c>
      <c r="AV2141" s="57"/>
      <c r="AW2141" s="171">
        <v>28</v>
      </c>
      <c r="AX2141" s="89"/>
      <c r="AY2141" s="171">
        <v>24</v>
      </c>
      <c r="AZ2141" s="89"/>
      <c r="BA2141" s="175">
        <v>50</v>
      </c>
      <c r="BB2141" s="259"/>
      <c r="BC2141" s="176"/>
      <c r="BD2141" s="177"/>
      <c r="BE2141" s="177"/>
      <c r="BF2141" s="190" t="s">
        <v>3334</v>
      </c>
    </row>
    <row r="2142" spans="1:58">
      <c r="A2142" s="111">
        <v>2141</v>
      </c>
      <c r="B2142" s="211" t="s">
        <v>3238</v>
      </c>
      <c r="C2142" s="191" t="s">
        <v>3306</v>
      </c>
      <c r="D2142" s="171" t="s">
        <v>3290</v>
      </c>
      <c r="E2142" s="732" t="s">
        <v>3379</v>
      </c>
      <c r="F2142" s="171">
        <v>2007</v>
      </c>
      <c r="G2142" s="171">
        <v>19</v>
      </c>
      <c r="H2142" s="172" t="s">
        <v>1738</v>
      </c>
      <c r="I2142" s="173" t="s">
        <v>1751</v>
      </c>
      <c r="J2142" s="242">
        <v>0.39959016393442626</v>
      </c>
      <c r="K2142" s="213">
        <v>3.5245901639344264</v>
      </c>
      <c r="L2142" s="38">
        <v>195</v>
      </c>
      <c r="M2142" s="171">
        <v>317.2</v>
      </c>
      <c r="N2142" s="171">
        <v>1104</v>
      </c>
      <c r="O2142" s="114"/>
      <c r="P2142" s="71" t="s">
        <v>3446</v>
      </c>
      <c r="Q2142" s="221" t="s">
        <v>1754</v>
      </c>
      <c r="R2142" s="171" t="s">
        <v>3346</v>
      </c>
      <c r="S2142" s="171" t="s">
        <v>3359</v>
      </c>
      <c r="T2142" s="89"/>
      <c r="U2142" s="89" t="s">
        <v>3346</v>
      </c>
      <c r="V2142" s="102">
        <v>0</v>
      </c>
      <c r="W2142" s="120">
        <v>0</v>
      </c>
      <c r="X2142" s="120">
        <v>35</v>
      </c>
      <c r="Y2142" s="120">
        <v>0</v>
      </c>
      <c r="Z2142" s="120">
        <v>0</v>
      </c>
      <c r="AA2142" s="17">
        <v>0</v>
      </c>
      <c r="AB2142" s="17">
        <v>0</v>
      </c>
      <c r="AC2142" s="17">
        <v>0</v>
      </c>
      <c r="AD2142" s="17">
        <v>0</v>
      </c>
      <c r="AE2142" s="17">
        <v>0</v>
      </c>
      <c r="AF2142" s="17">
        <v>0</v>
      </c>
      <c r="AG2142" s="17">
        <v>0</v>
      </c>
      <c r="AH2142" s="17">
        <v>0</v>
      </c>
      <c r="AI2142" s="17">
        <v>0</v>
      </c>
      <c r="AJ2142" s="17">
        <v>0</v>
      </c>
      <c r="AK2142" s="17">
        <v>0</v>
      </c>
      <c r="AL2142" s="32">
        <v>0</v>
      </c>
      <c r="AM2142" s="172">
        <v>60.5</v>
      </c>
      <c r="AN2142" s="171">
        <v>70</v>
      </c>
      <c r="AO2142" s="89"/>
      <c r="AP2142" s="783">
        <v>39.1</v>
      </c>
      <c r="AQ2142" s="17" t="s">
        <v>2986</v>
      </c>
      <c r="AR2142" s="174">
        <v>50</v>
      </c>
      <c r="AS2142" s="171" t="s">
        <v>246</v>
      </c>
      <c r="AT2142" s="171">
        <v>200</v>
      </c>
      <c r="AU2142" s="171">
        <v>20</v>
      </c>
      <c r="AV2142" s="57"/>
      <c r="AW2142" s="171">
        <v>28</v>
      </c>
      <c r="AX2142" s="89"/>
      <c r="AY2142" s="171">
        <v>24</v>
      </c>
      <c r="AZ2142" s="89"/>
      <c r="BA2142" s="175">
        <v>50</v>
      </c>
      <c r="BB2142" s="259"/>
      <c r="BC2142" s="176"/>
      <c r="BD2142" s="177"/>
      <c r="BE2142" s="177"/>
      <c r="BF2142" s="190" t="s">
        <v>3334</v>
      </c>
    </row>
    <row r="2143" spans="1:58">
      <c r="A2143" s="111">
        <v>2142</v>
      </c>
      <c r="B2143" s="211" t="s">
        <v>3239</v>
      </c>
      <c r="C2143" s="191" t="s">
        <v>3306</v>
      </c>
      <c r="D2143" s="171" t="s">
        <v>3290</v>
      </c>
      <c r="E2143" s="732" t="s">
        <v>3379</v>
      </c>
      <c r="F2143" s="171">
        <v>2007</v>
      </c>
      <c r="G2143" s="171">
        <v>19</v>
      </c>
      <c r="H2143" s="172" t="s">
        <v>1738</v>
      </c>
      <c r="I2143" s="173" t="s">
        <v>1751</v>
      </c>
      <c r="J2143" s="242">
        <v>0.6</v>
      </c>
      <c r="K2143" s="213">
        <v>6.3566666666666665</v>
      </c>
      <c r="L2143" s="38">
        <v>180</v>
      </c>
      <c r="M2143" s="171">
        <v>195</v>
      </c>
      <c r="N2143" s="171">
        <v>1104</v>
      </c>
      <c r="O2143" s="114"/>
      <c r="P2143" s="71" t="s">
        <v>3446</v>
      </c>
      <c r="Q2143" s="221" t="s">
        <v>1754</v>
      </c>
      <c r="R2143" s="171" t="s">
        <v>3346</v>
      </c>
      <c r="S2143" s="171" t="s">
        <v>3359</v>
      </c>
      <c r="T2143" s="89"/>
      <c r="U2143" s="89" t="s">
        <v>3346</v>
      </c>
      <c r="V2143" s="102">
        <v>0</v>
      </c>
      <c r="W2143" s="120">
        <v>0</v>
      </c>
      <c r="X2143" s="120">
        <v>35</v>
      </c>
      <c r="Y2143" s="120">
        <v>0</v>
      </c>
      <c r="Z2143" s="120">
        <v>0</v>
      </c>
      <c r="AA2143" s="17">
        <v>0</v>
      </c>
      <c r="AB2143" s="17">
        <v>0</v>
      </c>
      <c r="AC2143" s="17">
        <v>0</v>
      </c>
      <c r="AD2143" s="17">
        <v>0</v>
      </c>
      <c r="AE2143" s="17">
        <v>0</v>
      </c>
      <c r="AF2143" s="17">
        <v>0</v>
      </c>
      <c r="AG2143" s="17">
        <v>0</v>
      </c>
      <c r="AH2143" s="17">
        <v>0</v>
      </c>
      <c r="AI2143" s="17">
        <v>0</v>
      </c>
      <c r="AJ2143" s="17">
        <v>0</v>
      </c>
      <c r="AK2143" s="17">
        <v>0</v>
      </c>
      <c r="AL2143" s="32">
        <v>0</v>
      </c>
      <c r="AM2143" s="172">
        <v>39</v>
      </c>
      <c r="AN2143" s="171">
        <v>90</v>
      </c>
      <c r="AO2143" s="89"/>
      <c r="AP2143" s="783">
        <v>28.7</v>
      </c>
      <c r="AQ2143" s="17" t="s">
        <v>2986</v>
      </c>
      <c r="AR2143" s="174">
        <v>50</v>
      </c>
      <c r="AS2143" s="171" t="s">
        <v>246</v>
      </c>
      <c r="AT2143" s="171">
        <v>200</v>
      </c>
      <c r="AU2143" s="171">
        <v>20</v>
      </c>
      <c r="AV2143" s="57"/>
      <c r="AW2143" s="171">
        <v>28</v>
      </c>
      <c r="AX2143" s="89"/>
      <c r="AY2143" s="171">
        <v>24</v>
      </c>
      <c r="AZ2143" s="89"/>
      <c r="BA2143" s="175">
        <v>50</v>
      </c>
      <c r="BB2143" s="259"/>
      <c r="BC2143" s="176"/>
      <c r="BD2143" s="177"/>
      <c r="BE2143" s="177"/>
      <c r="BF2143" s="190" t="s">
        <v>3334</v>
      </c>
    </row>
    <row r="2144" spans="1:58">
      <c r="A2144" s="111">
        <v>2143</v>
      </c>
      <c r="B2144" s="211" t="s">
        <v>3240</v>
      </c>
      <c r="C2144" s="191" t="s">
        <v>3306</v>
      </c>
      <c r="D2144" s="171" t="s">
        <v>3290</v>
      </c>
      <c r="E2144" s="732" t="s">
        <v>3379</v>
      </c>
      <c r="F2144" s="171">
        <v>2007</v>
      </c>
      <c r="G2144" s="171">
        <v>19</v>
      </c>
      <c r="H2144" s="172" t="s">
        <v>1738</v>
      </c>
      <c r="I2144" s="173" t="s">
        <v>1751</v>
      </c>
      <c r="J2144" s="242">
        <v>0.8</v>
      </c>
      <c r="K2144" s="213">
        <v>8.7422222222222228</v>
      </c>
      <c r="L2144" s="38">
        <v>180</v>
      </c>
      <c r="M2144" s="171">
        <v>146.25</v>
      </c>
      <c r="N2144" s="171">
        <v>1104</v>
      </c>
      <c r="O2144" s="114"/>
      <c r="P2144" s="71" t="s">
        <v>3446</v>
      </c>
      <c r="Q2144" s="221" t="s">
        <v>1754</v>
      </c>
      <c r="R2144" s="171" t="s">
        <v>3346</v>
      </c>
      <c r="S2144" s="171" t="s">
        <v>3359</v>
      </c>
      <c r="T2144" s="89"/>
      <c r="U2144" s="89" t="s">
        <v>3346</v>
      </c>
      <c r="V2144" s="102">
        <v>0</v>
      </c>
      <c r="W2144" s="120">
        <v>0</v>
      </c>
      <c r="X2144" s="120">
        <v>35</v>
      </c>
      <c r="Y2144" s="120">
        <v>0</v>
      </c>
      <c r="Z2144" s="120">
        <v>0</v>
      </c>
      <c r="AA2144" s="17">
        <v>0</v>
      </c>
      <c r="AB2144" s="17">
        <v>0</v>
      </c>
      <c r="AC2144" s="17">
        <v>0</v>
      </c>
      <c r="AD2144" s="17">
        <v>0</v>
      </c>
      <c r="AE2144" s="17">
        <v>0</v>
      </c>
      <c r="AF2144" s="17">
        <v>0</v>
      </c>
      <c r="AG2144" s="17">
        <v>0</v>
      </c>
      <c r="AH2144" s="17">
        <v>0</v>
      </c>
      <c r="AI2144" s="17">
        <v>0</v>
      </c>
      <c r="AJ2144" s="17">
        <v>0</v>
      </c>
      <c r="AK2144" s="17">
        <v>0</v>
      </c>
      <c r="AL2144" s="32">
        <v>0</v>
      </c>
      <c r="AM2144" s="57"/>
      <c r="AN2144" s="171">
        <v>90</v>
      </c>
      <c r="AO2144" s="89"/>
      <c r="AP2144" s="783">
        <v>15.7</v>
      </c>
      <c r="AQ2144" s="17" t="s">
        <v>2986</v>
      </c>
      <c r="AR2144" s="174">
        <v>50</v>
      </c>
      <c r="AS2144" s="171" t="s">
        <v>246</v>
      </c>
      <c r="AT2144" s="171">
        <v>200</v>
      </c>
      <c r="AU2144" s="171">
        <v>20</v>
      </c>
      <c r="AV2144" s="57"/>
      <c r="AW2144" s="171">
        <v>28</v>
      </c>
      <c r="AX2144" s="89"/>
      <c r="AY2144" s="171">
        <v>24</v>
      </c>
      <c r="AZ2144" s="89"/>
      <c r="BA2144" s="175">
        <v>50</v>
      </c>
      <c r="BB2144" s="259"/>
      <c r="BC2144" s="176"/>
      <c r="BD2144" s="177"/>
      <c r="BE2144" s="177"/>
      <c r="BF2144" s="190" t="s">
        <v>3334</v>
      </c>
    </row>
    <row r="2145" spans="1:58">
      <c r="A2145" s="111">
        <v>2144</v>
      </c>
      <c r="B2145" s="211" t="s">
        <v>3241</v>
      </c>
      <c r="C2145" s="191" t="s">
        <v>3306</v>
      </c>
      <c r="D2145" s="171" t="s">
        <v>3290</v>
      </c>
      <c r="E2145" s="732" t="s">
        <v>3379</v>
      </c>
      <c r="F2145" s="171">
        <v>2007</v>
      </c>
      <c r="G2145" s="171">
        <v>19</v>
      </c>
      <c r="H2145" s="172" t="s">
        <v>1738</v>
      </c>
      <c r="I2145" s="173" t="s">
        <v>1751</v>
      </c>
      <c r="J2145" s="242">
        <v>0.39959016393442626</v>
      </c>
      <c r="K2145" s="213">
        <v>3.5245901639344264</v>
      </c>
      <c r="L2145" s="38">
        <v>195</v>
      </c>
      <c r="M2145" s="171">
        <v>244</v>
      </c>
      <c r="N2145" s="171">
        <v>1104</v>
      </c>
      <c r="O2145" s="114"/>
      <c r="P2145" s="71" t="s">
        <v>3446</v>
      </c>
      <c r="Q2145" s="221" t="s">
        <v>1754</v>
      </c>
      <c r="R2145" s="171" t="s">
        <v>3346</v>
      </c>
      <c r="S2145" s="171" t="s">
        <v>3359</v>
      </c>
      <c r="T2145" s="89"/>
      <c r="U2145" s="89" t="s">
        <v>3346</v>
      </c>
      <c r="V2145" s="102">
        <v>0</v>
      </c>
      <c r="W2145" s="120">
        <v>0</v>
      </c>
      <c r="X2145" s="120">
        <v>50</v>
      </c>
      <c r="Y2145" s="120">
        <v>0</v>
      </c>
      <c r="Z2145" s="120">
        <v>0</v>
      </c>
      <c r="AA2145" s="17">
        <v>0</v>
      </c>
      <c r="AB2145" s="17">
        <v>0</v>
      </c>
      <c r="AC2145" s="17">
        <v>0</v>
      </c>
      <c r="AD2145" s="17">
        <v>0</v>
      </c>
      <c r="AE2145" s="17">
        <v>0</v>
      </c>
      <c r="AF2145" s="17">
        <v>0</v>
      </c>
      <c r="AG2145" s="17">
        <v>0</v>
      </c>
      <c r="AH2145" s="17">
        <v>0</v>
      </c>
      <c r="AI2145" s="17">
        <v>0</v>
      </c>
      <c r="AJ2145" s="17">
        <v>0</v>
      </c>
      <c r="AK2145" s="17">
        <v>0</v>
      </c>
      <c r="AL2145" s="32">
        <v>0</v>
      </c>
      <c r="AM2145" s="172">
        <v>55.5</v>
      </c>
      <c r="AN2145" s="171">
        <v>80</v>
      </c>
      <c r="AO2145" s="89"/>
      <c r="AP2145" s="783">
        <v>37.700000000000003</v>
      </c>
      <c r="AQ2145" s="17" t="s">
        <v>2986</v>
      </c>
      <c r="AR2145" s="174">
        <v>50</v>
      </c>
      <c r="AS2145" s="171" t="s">
        <v>246</v>
      </c>
      <c r="AT2145" s="171">
        <v>200</v>
      </c>
      <c r="AU2145" s="171">
        <v>20</v>
      </c>
      <c r="AV2145" s="57"/>
      <c r="AW2145" s="171">
        <v>28</v>
      </c>
      <c r="AX2145" s="89"/>
      <c r="AY2145" s="171">
        <v>24</v>
      </c>
      <c r="AZ2145" s="89"/>
      <c r="BA2145" s="175">
        <v>50</v>
      </c>
      <c r="BB2145" s="259"/>
      <c r="BC2145" s="176"/>
      <c r="BD2145" s="177"/>
      <c r="BE2145" s="177"/>
      <c r="BF2145" s="190" t="s">
        <v>3334</v>
      </c>
    </row>
    <row r="2146" spans="1:58">
      <c r="A2146" s="111">
        <v>2145</v>
      </c>
      <c r="B2146" s="211" t="s">
        <v>3242</v>
      </c>
      <c r="C2146" s="191" t="s">
        <v>3306</v>
      </c>
      <c r="D2146" s="171" t="s">
        <v>3290</v>
      </c>
      <c r="E2146" s="732" t="s">
        <v>3379</v>
      </c>
      <c r="F2146" s="171">
        <v>2007</v>
      </c>
      <c r="G2146" s="171">
        <v>19</v>
      </c>
      <c r="H2146" s="172" t="s">
        <v>1738</v>
      </c>
      <c r="I2146" s="173" t="s">
        <v>1751</v>
      </c>
      <c r="J2146" s="242">
        <v>0.6</v>
      </c>
      <c r="K2146" s="213">
        <v>6.3566666666666665</v>
      </c>
      <c r="L2146" s="38">
        <v>180</v>
      </c>
      <c r="M2146" s="171">
        <v>150</v>
      </c>
      <c r="N2146" s="171">
        <v>1104</v>
      </c>
      <c r="O2146" s="114"/>
      <c r="P2146" s="71" t="s">
        <v>3446</v>
      </c>
      <c r="Q2146" s="221" t="s">
        <v>1754</v>
      </c>
      <c r="R2146" s="171" t="s">
        <v>3346</v>
      </c>
      <c r="S2146" s="171" t="s">
        <v>3359</v>
      </c>
      <c r="T2146" s="89"/>
      <c r="U2146" s="89" t="s">
        <v>3346</v>
      </c>
      <c r="V2146" s="102">
        <v>0</v>
      </c>
      <c r="W2146" s="120">
        <v>0</v>
      </c>
      <c r="X2146" s="120">
        <v>50</v>
      </c>
      <c r="Y2146" s="120">
        <v>0</v>
      </c>
      <c r="Z2146" s="120">
        <v>0</v>
      </c>
      <c r="AA2146" s="17">
        <v>0</v>
      </c>
      <c r="AB2146" s="17">
        <v>0</v>
      </c>
      <c r="AC2146" s="17">
        <v>0</v>
      </c>
      <c r="AD2146" s="17">
        <v>0</v>
      </c>
      <c r="AE2146" s="17">
        <v>0</v>
      </c>
      <c r="AF2146" s="17">
        <v>0</v>
      </c>
      <c r="AG2146" s="17">
        <v>0</v>
      </c>
      <c r="AH2146" s="17">
        <v>0</v>
      </c>
      <c r="AI2146" s="17">
        <v>0</v>
      </c>
      <c r="AJ2146" s="17">
        <v>0</v>
      </c>
      <c r="AK2146" s="17">
        <v>0</v>
      </c>
      <c r="AL2146" s="32">
        <v>0</v>
      </c>
      <c r="AM2146" s="172">
        <v>34</v>
      </c>
      <c r="AN2146" s="171">
        <v>100</v>
      </c>
      <c r="AO2146" s="89"/>
      <c r="AP2146" s="783">
        <v>26.6</v>
      </c>
      <c r="AQ2146" s="17" t="s">
        <v>2986</v>
      </c>
      <c r="AR2146" s="174">
        <v>50</v>
      </c>
      <c r="AS2146" s="171" t="s">
        <v>246</v>
      </c>
      <c r="AT2146" s="171">
        <v>200</v>
      </c>
      <c r="AU2146" s="171">
        <v>20</v>
      </c>
      <c r="AV2146" s="57"/>
      <c r="AW2146" s="171">
        <v>28</v>
      </c>
      <c r="AX2146" s="89"/>
      <c r="AY2146" s="171">
        <v>24</v>
      </c>
      <c r="AZ2146" s="89"/>
      <c r="BA2146" s="175">
        <v>50</v>
      </c>
      <c r="BB2146" s="259"/>
      <c r="BC2146" s="176"/>
      <c r="BD2146" s="177"/>
      <c r="BE2146" s="177"/>
      <c r="BF2146" s="190" t="s">
        <v>3334</v>
      </c>
    </row>
    <row r="2147" spans="1:58">
      <c r="A2147" s="111">
        <v>2146</v>
      </c>
      <c r="B2147" s="211" t="s">
        <v>3243</v>
      </c>
      <c r="C2147" s="191" t="s">
        <v>3306</v>
      </c>
      <c r="D2147" s="171" t="s">
        <v>3290</v>
      </c>
      <c r="E2147" s="732" t="s">
        <v>3379</v>
      </c>
      <c r="F2147" s="171">
        <v>2007</v>
      </c>
      <c r="G2147" s="171">
        <v>19</v>
      </c>
      <c r="H2147" s="172" t="s">
        <v>1738</v>
      </c>
      <c r="I2147" s="173" t="s">
        <v>1751</v>
      </c>
      <c r="J2147" s="242">
        <v>0.8</v>
      </c>
      <c r="K2147" s="213">
        <v>8.7422222222222228</v>
      </c>
      <c r="L2147" s="38">
        <v>180</v>
      </c>
      <c r="M2147" s="171">
        <v>112.5</v>
      </c>
      <c r="N2147" s="171">
        <v>1104</v>
      </c>
      <c r="O2147" s="114"/>
      <c r="P2147" s="71" t="s">
        <v>3446</v>
      </c>
      <c r="Q2147" s="221" t="s">
        <v>1754</v>
      </c>
      <c r="R2147" s="171" t="s">
        <v>3346</v>
      </c>
      <c r="S2147" s="171" t="s">
        <v>3359</v>
      </c>
      <c r="T2147" s="89"/>
      <c r="U2147" s="89" t="s">
        <v>3346</v>
      </c>
      <c r="V2147" s="102">
        <v>0</v>
      </c>
      <c r="W2147" s="120">
        <v>0</v>
      </c>
      <c r="X2147" s="120">
        <v>50</v>
      </c>
      <c r="Y2147" s="120">
        <v>0</v>
      </c>
      <c r="Z2147" s="120">
        <v>0</v>
      </c>
      <c r="AA2147" s="17">
        <v>0</v>
      </c>
      <c r="AB2147" s="17">
        <v>0</v>
      </c>
      <c r="AC2147" s="17">
        <v>0</v>
      </c>
      <c r="AD2147" s="17">
        <v>0</v>
      </c>
      <c r="AE2147" s="17">
        <v>0</v>
      </c>
      <c r="AF2147" s="17">
        <v>0</v>
      </c>
      <c r="AG2147" s="17">
        <v>0</v>
      </c>
      <c r="AH2147" s="17">
        <v>0</v>
      </c>
      <c r="AI2147" s="17">
        <v>0</v>
      </c>
      <c r="AJ2147" s="17">
        <v>0</v>
      </c>
      <c r="AK2147" s="17">
        <v>0</v>
      </c>
      <c r="AL2147" s="32">
        <v>0</v>
      </c>
      <c r="AM2147" s="57"/>
      <c r="AN2147" s="171">
        <v>100</v>
      </c>
      <c r="AO2147" s="89"/>
      <c r="AP2147" s="783">
        <v>15.3</v>
      </c>
      <c r="AQ2147" s="17" t="s">
        <v>2986</v>
      </c>
      <c r="AR2147" s="174">
        <v>50</v>
      </c>
      <c r="AS2147" s="171" t="s">
        <v>246</v>
      </c>
      <c r="AT2147" s="171">
        <v>200</v>
      </c>
      <c r="AU2147" s="171">
        <v>20</v>
      </c>
      <c r="AV2147" s="57"/>
      <c r="AW2147" s="171">
        <v>28</v>
      </c>
      <c r="AX2147" s="89"/>
      <c r="AY2147" s="171">
        <v>24</v>
      </c>
      <c r="AZ2147" s="89"/>
      <c r="BA2147" s="175">
        <v>50</v>
      </c>
      <c r="BB2147" s="259"/>
      <c r="BC2147" s="176"/>
      <c r="BD2147" s="177"/>
      <c r="BE2147" s="177"/>
      <c r="BF2147" s="190" t="s">
        <v>3334</v>
      </c>
    </row>
    <row r="2148" spans="1:58">
      <c r="A2148" s="111">
        <v>2147</v>
      </c>
      <c r="B2148" s="211" t="s">
        <v>3244</v>
      </c>
      <c r="C2148" s="191" t="s">
        <v>3306</v>
      </c>
      <c r="D2148" s="171" t="s">
        <v>3290</v>
      </c>
      <c r="E2148" s="732" t="s">
        <v>3379</v>
      </c>
      <c r="F2148" s="171">
        <v>2007</v>
      </c>
      <c r="G2148" s="171">
        <v>19</v>
      </c>
      <c r="H2148" s="172" t="s">
        <v>1738</v>
      </c>
      <c r="I2148" s="173" t="s">
        <v>1751</v>
      </c>
      <c r="J2148" s="242">
        <v>0.3995901639344262</v>
      </c>
      <c r="K2148" s="213">
        <v>3.5245901639344259</v>
      </c>
      <c r="L2148" s="38">
        <v>195</v>
      </c>
      <c r="M2148" s="171">
        <v>390.40000000000003</v>
      </c>
      <c r="N2148" s="171">
        <v>1104</v>
      </c>
      <c r="O2148" s="114"/>
      <c r="P2148" s="71" t="s">
        <v>3446</v>
      </c>
      <c r="Q2148" s="221" t="s">
        <v>1754</v>
      </c>
      <c r="R2148" s="171" t="s">
        <v>3346</v>
      </c>
      <c r="S2148" s="171" t="s">
        <v>3359</v>
      </c>
      <c r="T2148" s="89"/>
      <c r="U2148" s="89" t="s">
        <v>3346</v>
      </c>
      <c r="V2148" s="102">
        <v>0</v>
      </c>
      <c r="W2148" s="120">
        <v>0</v>
      </c>
      <c r="X2148" s="120">
        <v>0</v>
      </c>
      <c r="Y2148" s="120">
        <v>0</v>
      </c>
      <c r="Z2148" s="120">
        <v>20</v>
      </c>
      <c r="AA2148" s="17">
        <v>0</v>
      </c>
      <c r="AB2148" s="17">
        <v>0</v>
      </c>
      <c r="AC2148" s="17">
        <v>0</v>
      </c>
      <c r="AD2148" s="17">
        <v>0</v>
      </c>
      <c r="AE2148" s="17">
        <v>0</v>
      </c>
      <c r="AF2148" s="17">
        <v>0</v>
      </c>
      <c r="AG2148" s="17">
        <v>0</v>
      </c>
      <c r="AH2148" s="17">
        <v>0</v>
      </c>
      <c r="AI2148" s="17">
        <v>0</v>
      </c>
      <c r="AJ2148" s="17">
        <v>0</v>
      </c>
      <c r="AK2148" s="17">
        <v>0</v>
      </c>
      <c r="AL2148" s="32">
        <v>0</v>
      </c>
      <c r="AM2148" s="172">
        <v>68</v>
      </c>
      <c r="AN2148" s="171">
        <v>85</v>
      </c>
      <c r="AO2148" s="89"/>
      <c r="AP2148" s="783">
        <v>47.6</v>
      </c>
      <c r="AQ2148" s="17" t="s">
        <v>2986</v>
      </c>
      <c r="AR2148" s="174">
        <v>50</v>
      </c>
      <c r="AS2148" s="171" t="s">
        <v>246</v>
      </c>
      <c r="AT2148" s="171">
        <v>200</v>
      </c>
      <c r="AU2148" s="171">
        <v>20</v>
      </c>
      <c r="AV2148" s="57"/>
      <c r="AW2148" s="171">
        <v>28</v>
      </c>
      <c r="AX2148" s="89"/>
      <c r="AY2148" s="171">
        <v>24</v>
      </c>
      <c r="AZ2148" s="89"/>
      <c r="BA2148" s="175">
        <v>50</v>
      </c>
      <c r="BB2148" s="259"/>
      <c r="BC2148" s="176"/>
      <c r="BD2148" s="177"/>
      <c r="BE2148" s="177"/>
      <c r="BF2148" s="190" t="s">
        <v>3334</v>
      </c>
    </row>
    <row r="2149" spans="1:58">
      <c r="A2149" s="111">
        <v>2148</v>
      </c>
      <c r="B2149" s="211" t="s">
        <v>3245</v>
      </c>
      <c r="C2149" s="191" t="s">
        <v>3306</v>
      </c>
      <c r="D2149" s="171" t="s">
        <v>3290</v>
      </c>
      <c r="E2149" s="732" t="s">
        <v>3379</v>
      </c>
      <c r="F2149" s="171">
        <v>2007</v>
      </c>
      <c r="G2149" s="171">
        <v>19</v>
      </c>
      <c r="H2149" s="172" t="s">
        <v>1738</v>
      </c>
      <c r="I2149" s="173" t="s">
        <v>1751</v>
      </c>
      <c r="J2149" s="242">
        <v>0.6</v>
      </c>
      <c r="K2149" s="213">
        <v>6.3566666666666665</v>
      </c>
      <c r="L2149" s="38">
        <v>180</v>
      </c>
      <c r="M2149" s="171">
        <v>240</v>
      </c>
      <c r="N2149" s="171">
        <v>1104</v>
      </c>
      <c r="O2149" s="114"/>
      <c r="P2149" s="71" t="s">
        <v>3446</v>
      </c>
      <c r="Q2149" s="221" t="s">
        <v>1754</v>
      </c>
      <c r="R2149" s="171" t="s">
        <v>3346</v>
      </c>
      <c r="S2149" s="171" t="s">
        <v>3359</v>
      </c>
      <c r="T2149" s="89"/>
      <c r="U2149" s="89" t="s">
        <v>3346</v>
      </c>
      <c r="V2149" s="102">
        <v>0</v>
      </c>
      <c r="W2149" s="120">
        <v>0</v>
      </c>
      <c r="X2149" s="120">
        <v>0</v>
      </c>
      <c r="Y2149" s="120">
        <v>0</v>
      </c>
      <c r="Z2149" s="120">
        <v>20</v>
      </c>
      <c r="AA2149" s="17">
        <v>0</v>
      </c>
      <c r="AB2149" s="17">
        <v>0</v>
      </c>
      <c r="AC2149" s="17">
        <v>0</v>
      </c>
      <c r="AD2149" s="17">
        <v>0</v>
      </c>
      <c r="AE2149" s="17">
        <v>0</v>
      </c>
      <c r="AF2149" s="17">
        <v>0</v>
      </c>
      <c r="AG2149" s="17">
        <v>0</v>
      </c>
      <c r="AH2149" s="17">
        <v>0</v>
      </c>
      <c r="AI2149" s="17">
        <v>0</v>
      </c>
      <c r="AJ2149" s="17">
        <v>0</v>
      </c>
      <c r="AK2149" s="17">
        <v>0</v>
      </c>
      <c r="AL2149" s="32">
        <v>0</v>
      </c>
      <c r="AM2149" s="172">
        <v>42</v>
      </c>
      <c r="AN2149" s="171">
        <v>80</v>
      </c>
      <c r="AO2149" s="89"/>
      <c r="AP2149" s="783">
        <v>30.6</v>
      </c>
      <c r="AQ2149" s="17" t="s">
        <v>2986</v>
      </c>
      <c r="AR2149" s="174">
        <v>50</v>
      </c>
      <c r="AS2149" s="171" t="s">
        <v>246</v>
      </c>
      <c r="AT2149" s="171">
        <v>200</v>
      </c>
      <c r="AU2149" s="171">
        <v>20</v>
      </c>
      <c r="AV2149" s="57"/>
      <c r="AW2149" s="171">
        <v>28</v>
      </c>
      <c r="AX2149" s="89"/>
      <c r="AY2149" s="171">
        <v>24</v>
      </c>
      <c r="AZ2149" s="89"/>
      <c r="BA2149" s="175">
        <v>50</v>
      </c>
      <c r="BB2149" s="259"/>
      <c r="BC2149" s="176"/>
      <c r="BD2149" s="177"/>
      <c r="BE2149" s="177"/>
      <c r="BF2149" s="190" t="s">
        <v>3334</v>
      </c>
    </row>
    <row r="2150" spans="1:58">
      <c r="A2150" s="111">
        <v>2149</v>
      </c>
      <c r="B2150" s="211" t="s">
        <v>3246</v>
      </c>
      <c r="C2150" s="191" t="s">
        <v>3306</v>
      </c>
      <c r="D2150" s="171" t="s">
        <v>3290</v>
      </c>
      <c r="E2150" s="732" t="s">
        <v>3379</v>
      </c>
      <c r="F2150" s="171">
        <v>2007</v>
      </c>
      <c r="G2150" s="171">
        <v>19</v>
      </c>
      <c r="H2150" s="172" t="s">
        <v>1738</v>
      </c>
      <c r="I2150" s="173" t="s">
        <v>1751</v>
      </c>
      <c r="J2150" s="242">
        <v>0.8</v>
      </c>
      <c r="K2150" s="213">
        <v>8.7422222222222228</v>
      </c>
      <c r="L2150" s="38">
        <v>180</v>
      </c>
      <c r="M2150" s="171">
        <v>180</v>
      </c>
      <c r="N2150" s="171">
        <v>1104</v>
      </c>
      <c r="O2150" s="114"/>
      <c r="P2150" s="71" t="s">
        <v>3446</v>
      </c>
      <c r="Q2150" s="221" t="s">
        <v>1754</v>
      </c>
      <c r="R2150" s="171" t="s">
        <v>3346</v>
      </c>
      <c r="S2150" s="171" t="s">
        <v>3359</v>
      </c>
      <c r="T2150" s="89"/>
      <c r="U2150" s="89" t="s">
        <v>3346</v>
      </c>
      <c r="V2150" s="102">
        <v>0</v>
      </c>
      <c r="W2150" s="120">
        <v>0</v>
      </c>
      <c r="X2150" s="120">
        <v>0</v>
      </c>
      <c r="Y2150" s="120">
        <v>0</v>
      </c>
      <c r="Z2150" s="120">
        <v>20</v>
      </c>
      <c r="AA2150" s="17">
        <v>0</v>
      </c>
      <c r="AB2150" s="17">
        <v>0</v>
      </c>
      <c r="AC2150" s="17">
        <v>0</v>
      </c>
      <c r="AD2150" s="17">
        <v>0</v>
      </c>
      <c r="AE2150" s="17">
        <v>0</v>
      </c>
      <c r="AF2150" s="17">
        <v>0</v>
      </c>
      <c r="AG2150" s="17">
        <v>0</v>
      </c>
      <c r="AH2150" s="17">
        <v>0</v>
      </c>
      <c r="AI2150" s="17">
        <v>0</v>
      </c>
      <c r="AJ2150" s="17">
        <v>0</v>
      </c>
      <c r="AK2150" s="17">
        <v>0</v>
      </c>
      <c r="AL2150" s="32">
        <v>0</v>
      </c>
      <c r="AM2150" s="172">
        <v>28</v>
      </c>
      <c r="AN2150" s="171">
        <v>90</v>
      </c>
      <c r="AO2150" s="89"/>
      <c r="AP2150" s="783">
        <v>21.8</v>
      </c>
      <c r="AQ2150" s="17" t="s">
        <v>2986</v>
      </c>
      <c r="AR2150" s="174">
        <v>50</v>
      </c>
      <c r="AS2150" s="171" t="s">
        <v>246</v>
      </c>
      <c r="AT2150" s="171">
        <v>200</v>
      </c>
      <c r="AU2150" s="171">
        <v>20</v>
      </c>
      <c r="AV2150" s="57"/>
      <c r="AW2150" s="171">
        <v>28</v>
      </c>
      <c r="AX2150" s="89"/>
      <c r="AY2150" s="171">
        <v>24</v>
      </c>
      <c r="AZ2150" s="89"/>
      <c r="BA2150" s="175">
        <v>50</v>
      </c>
      <c r="BB2150" s="259"/>
      <c r="BC2150" s="176"/>
      <c r="BD2150" s="177"/>
      <c r="BE2150" s="177"/>
      <c r="BF2150" s="190" t="s">
        <v>3334</v>
      </c>
    </row>
    <row r="2151" spans="1:58">
      <c r="A2151" s="111">
        <v>2150</v>
      </c>
      <c r="B2151" s="211" t="s">
        <v>3247</v>
      </c>
      <c r="C2151" s="191" t="s">
        <v>3306</v>
      </c>
      <c r="D2151" s="171" t="s">
        <v>3290</v>
      </c>
      <c r="E2151" s="732" t="s">
        <v>3379</v>
      </c>
      <c r="F2151" s="171">
        <v>2007</v>
      </c>
      <c r="G2151" s="171">
        <v>19</v>
      </c>
      <c r="H2151" s="172" t="s">
        <v>1738</v>
      </c>
      <c r="I2151" s="173" t="s">
        <v>1751</v>
      </c>
      <c r="J2151" s="242">
        <v>0.39959016393442626</v>
      </c>
      <c r="K2151" s="213">
        <v>3.5245901639344264</v>
      </c>
      <c r="L2151" s="38">
        <v>195</v>
      </c>
      <c r="M2151" s="171">
        <v>317.2</v>
      </c>
      <c r="N2151" s="171">
        <v>1104</v>
      </c>
      <c r="O2151" s="114"/>
      <c r="P2151" s="71" t="s">
        <v>3446</v>
      </c>
      <c r="Q2151" s="221" t="s">
        <v>1754</v>
      </c>
      <c r="R2151" s="171" t="s">
        <v>3346</v>
      </c>
      <c r="S2151" s="171" t="s">
        <v>3359</v>
      </c>
      <c r="T2151" s="89"/>
      <c r="U2151" s="89" t="s">
        <v>3346</v>
      </c>
      <c r="V2151" s="102">
        <v>0</v>
      </c>
      <c r="W2151" s="120">
        <v>0</v>
      </c>
      <c r="X2151" s="120">
        <v>0</v>
      </c>
      <c r="Y2151" s="120">
        <v>0</v>
      </c>
      <c r="Z2151" s="120">
        <v>35</v>
      </c>
      <c r="AA2151" s="17">
        <v>0</v>
      </c>
      <c r="AB2151" s="17">
        <v>0</v>
      </c>
      <c r="AC2151" s="17">
        <v>0</v>
      </c>
      <c r="AD2151" s="17">
        <v>0</v>
      </c>
      <c r="AE2151" s="17">
        <v>0</v>
      </c>
      <c r="AF2151" s="17">
        <v>0</v>
      </c>
      <c r="AG2151" s="17">
        <v>0</v>
      </c>
      <c r="AH2151" s="17">
        <v>0</v>
      </c>
      <c r="AI2151" s="17">
        <v>0</v>
      </c>
      <c r="AJ2151" s="17">
        <v>0</v>
      </c>
      <c r="AK2151" s="17">
        <v>0</v>
      </c>
      <c r="AL2151" s="32">
        <v>0</v>
      </c>
      <c r="AM2151" s="172">
        <v>65</v>
      </c>
      <c r="AN2151" s="171">
        <v>80</v>
      </c>
      <c r="AO2151" s="89"/>
      <c r="AP2151" s="783">
        <v>37.299999999999997</v>
      </c>
      <c r="AQ2151" s="17" t="s">
        <v>2986</v>
      </c>
      <c r="AR2151" s="174">
        <v>50</v>
      </c>
      <c r="AS2151" s="171" t="s">
        <v>246</v>
      </c>
      <c r="AT2151" s="171">
        <v>200</v>
      </c>
      <c r="AU2151" s="171">
        <v>20</v>
      </c>
      <c r="AV2151" s="57"/>
      <c r="AW2151" s="171">
        <v>28</v>
      </c>
      <c r="AX2151" s="89"/>
      <c r="AY2151" s="171">
        <v>24</v>
      </c>
      <c r="AZ2151" s="89"/>
      <c r="BA2151" s="175">
        <v>50</v>
      </c>
      <c r="BB2151" s="259"/>
      <c r="BC2151" s="176"/>
      <c r="BD2151" s="177"/>
      <c r="BE2151" s="177"/>
      <c r="BF2151" s="190" t="s">
        <v>3334</v>
      </c>
    </row>
    <row r="2152" spans="1:58">
      <c r="A2152" s="111">
        <v>2151</v>
      </c>
      <c r="B2152" s="211" t="s">
        <v>3248</v>
      </c>
      <c r="C2152" s="191" t="s">
        <v>3306</v>
      </c>
      <c r="D2152" s="171" t="s">
        <v>3290</v>
      </c>
      <c r="E2152" s="732" t="s">
        <v>3379</v>
      </c>
      <c r="F2152" s="171">
        <v>2007</v>
      </c>
      <c r="G2152" s="171">
        <v>19</v>
      </c>
      <c r="H2152" s="172" t="s">
        <v>1738</v>
      </c>
      <c r="I2152" s="173" t="s">
        <v>1751</v>
      </c>
      <c r="J2152" s="242">
        <v>0.6</v>
      </c>
      <c r="K2152" s="213">
        <v>6.3566666666666665</v>
      </c>
      <c r="L2152" s="38">
        <v>180</v>
      </c>
      <c r="M2152" s="171">
        <v>195</v>
      </c>
      <c r="N2152" s="171">
        <v>1104</v>
      </c>
      <c r="O2152" s="114"/>
      <c r="P2152" s="71" t="s">
        <v>3446</v>
      </c>
      <c r="Q2152" s="221" t="s">
        <v>1754</v>
      </c>
      <c r="R2152" s="171" t="s">
        <v>3346</v>
      </c>
      <c r="S2152" s="171" t="s">
        <v>3359</v>
      </c>
      <c r="T2152" s="89"/>
      <c r="U2152" s="89" t="s">
        <v>3346</v>
      </c>
      <c r="V2152" s="102">
        <v>0</v>
      </c>
      <c r="W2152" s="120">
        <v>0</v>
      </c>
      <c r="X2152" s="120">
        <v>0</v>
      </c>
      <c r="Y2152" s="120">
        <v>0</v>
      </c>
      <c r="Z2152" s="120">
        <v>35</v>
      </c>
      <c r="AA2152" s="17">
        <v>0</v>
      </c>
      <c r="AB2152" s="17">
        <v>0</v>
      </c>
      <c r="AC2152" s="17">
        <v>0</v>
      </c>
      <c r="AD2152" s="17">
        <v>0</v>
      </c>
      <c r="AE2152" s="17">
        <v>0</v>
      </c>
      <c r="AF2152" s="17">
        <v>0</v>
      </c>
      <c r="AG2152" s="17">
        <v>0</v>
      </c>
      <c r="AH2152" s="17">
        <v>0</v>
      </c>
      <c r="AI2152" s="17">
        <v>0</v>
      </c>
      <c r="AJ2152" s="17">
        <v>0</v>
      </c>
      <c r="AK2152" s="17">
        <v>0</v>
      </c>
      <c r="AL2152" s="32">
        <v>0</v>
      </c>
      <c r="AM2152" s="172">
        <v>40</v>
      </c>
      <c r="AN2152" s="171">
        <v>100</v>
      </c>
      <c r="AO2152" s="89"/>
      <c r="AP2152" s="783">
        <v>27.8</v>
      </c>
      <c r="AQ2152" s="17" t="s">
        <v>2986</v>
      </c>
      <c r="AR2152" s="174">
        <v>50</v>
      </c>
      <c r="AS2152" s="171" t="s">
        <v>246</v>
      </c>
      <c r="AT2152" s="171">
        <v>200</v>
      </c>
      <c r="AU2152" s="171">
        <v>20</v>
      </c>
      <c r="AV2152" s="57"/>
      <c r="AW2152" s="171">
        <v>28</v>
      </c>
      <c r="AX2152" s="89"/>
      <c r="AY2152" s="171">
        <v>24</v>
      </c>
      <c r="AZ2152" s="89"/>
      <c r="BA2152" s="175">
        <v>50</v>
      </c>
      <c r="BB2152" s="259"/>
      <c r="BC2152" s="176"/>
      <c r="BD2152" s="177"/>
      <c r="BE2152" s="177"/>
      <c r="BF2152" s="190" t="s">
        <v>3334</v>
      </c>
    </row>
    <row r="2153" spans="1:58">
      <c r="A2153" s="111">
        <v>2152</v>
      </c>
      <c r="B2153" s="211" t="s">
        <v>3249</v>
      </c>
      <c r="C2153" s="191" t="s">
        <v>3306</v>
      </c>
      <c r="D2153" s="171" t="s">
        <v>3290</v>
      </c>
      <c r="E2153" s="732" t="s">
        <v>3379</v>
      </c>
      <c r="F2153" s="171">
        <v>2007</v>
      </c>
      <c r="G2153" s="171">
        <v>19</v>
      </c>
      <c r="H2153" s="172" t="s">
        <v>1738</v>
      </c>
      <c r="I2153" s="173" t="s">
        <v>1751</v>
      </c>
      <c r="J2153" s="242">
        <v>0.8</v>
      </c>
      <c r="K2153" s="213">
        <v>8.7422222222222228</v>
      </c>
      <c r="L2153" s="38">
        <v>180</v>
      </c>
      <c r="M2153" s="171">
        <v>146.25</v>
      </c>
      <c r="N2153" s="171">
        <v>1104</v>
      </c>
      <c r="O2153" s="114"/>
      <c r="P2153" s="71" t="s">
        <v>3446</v>
      </c>
      <c r="Q2153" s="221" t="s">
        <v>1754</v>
      </c>
      <c r="R2153" s="171" t="s">
        <v>3346</v>
      </c>
      <c r="S2153" s="171" t="s">
        <v>3359</v>
      </c>
      <c r="T2153" s="89"/>
      <c r="U2153" s="89" t="s">
        <v>3346</v>
      </c>
      <c r="V2153" s="102">
        <v>0</v>
      </c>
      <c r="W2153" s="120">
        <v>0</v>
      </c>
      <c r="X2153" s="120">
        <v>0</v>
      </c>
      <c r="Y2153" s="120">
        <v>0</v>
      </c>
      <c r="Z2153" s="120">
        <v>35</v>
      </c>
      <c r="AA2153" s="17">
        <v>0</v>
      </c>
      <c r="AB2153" s="17">
        <v>0</v>
      </c>
      <c r="AC2153" s="17">
        <v>0</v>
      </c>
      <c r="AD2153" s="17">
        <v>0</v>
      </c>
      <c r="AE2153" s="17">
        <v>0</v>
      </c>
      <c r="AF2153" s="17">
        <v>0</v>
      </c>
      <c r="AG2153" s="17">
        <v>0</v>
      </c>
      <c r="AH2153" s="17">
        <v>0</v>
      </c>
      <c r="AI2153" s="17">
        <v>0</v>
      </c>
      <c r="AJ2153" s="17">
        <v>0</v>
      </c>
      <c r="AK2153" s="17">
        <v>0</v>
      </c>
      <c r="AL2153" s="32">
        <v>0</v>
      </c>
      <c r="AM2153" s="172">
        <v>27.5</v>
      </c>
      <c r="AN2153" s="171">
        <v>100</v>
      </c>
      <c r="AO2153" s="89"/>
      <c r="AP2153" s="783">
        <v>20.7</v>
      </c>
      <c r="AQ2153" s="17" t="s">
        <v>2986</v>
      </c>
      <c r="AR2153" s="174">
        <v>50</v>
      </c>
      <c r="AS2153" s="171" t="s">
        <v>246</v>
      </c>
      <c r="AT2153" s="171">
        <v>200</v>
      </c>
      <c r="AU2153" s="171">
        <v>20</v>
      </c>
      <c r="AV2153" s="57"/>
      <c r="AW2153" s="171">
        <v>28</v>
      </c>
      <c r="AX2153" s="89"/>
      <c r="AY2153" s="171">
        <v>24</v>
      </c>
      <c r="AZ2153" s="89"/>
      <c r="BA2153" s="175">
        <v>50</v>
      </c>
      <c r="BB2153" s="259"/>
      <c r="BC2153" s="176"/>
      <c r="BD2153" s="177"/>
      <c r="BE2153" s="177"/>
      <c r="BF2153" s="190" t="s">
        <v>3334</v>
      </c>
    </row>
    <row r="2154" spans="1:58">
      <c r="A2154" s="111">
        <v>2153</v>
      </c>
      <c r="B2154" s="211" t="s">
        <v>3250</v>
      </c>
      <c r="C2154" s="191" t="s">
        <v>3306</v>
      </c>
      <c r="D2154" s="171" t="s">
        <v>3290</v>
      </c>
      <c r="E2154" s="732" t="s">
        <v>3379</v>
      </c>
      <c r="F2154" s="171">
        <v>2007</v>
      </c>
      <c r="G2154" s="171">
        <v>19</v>
      </c>
      <c r="H2154" s="172" t="s">
        <v>1738</v>
      </c>
      <c r="I2154" s="173" t="s">
        <v>1751</v>
      </c>
      <c r="J2154" s="242">
        <v>0.39959016393442626</v>
      </c>
      <c r="K2154" s="213">
        <v>3.5245901639344264</v>
      </c>
      <c r="L2154" s="38">
        <v>195</v>
      </c>
      <c r="M2154" s="171">
        <v>244</v>
      </c>
      <c r="N2154" s="171">
        <v>1104</v>
      </c>
      <c r="O2154" s="114"/>
      <c r="P2154" s="71" t="s">
        <v>3446</v>
      </c>
      <c r="Q2154" s="221" t="s">
        <v>1754</v>
      </c>
      <c r="R2154" s="171" t="s">
        <v>3346</v>
      </c>
      <c r="S2154" s="171" t="s">
        <v>3359</v>
      </c>
      <c r="T2154" s="89"/>
      <c r="U2154" s="89" t="s">
        <v>3346</v>
      </c>
      <c r="V2154" s="102">
        <v>0</v>
      </c>
      <c r="W2154" s="120">
        <v>0</v>
      </c>
      <c r="X2154" s="120">
        <v>0</v>
      </c>
      <c r="Y2154" s="120">
        <v>0</v>
      </c>
      <c r="Z2154" s="120">
        <v>50</v>
      </c>
      <c r="AA2154" s="17">
        <v>0</v>
      </c>
      <c r="AB2154" s="17">
        <v>0</v>
      </c>
      <c r="AC2154" s="17">
        <v>0</v>
      </c>
      <c r="AD2154" s="17">
        <v>0</v>
      </c>
      <c r="AE2154" s="17">
        <v>0</v>
      </c>
      <c r="AF2154" s="17">
        <v>0</v>
      </c>
      <c r="AG2154" s="17">
        <v>0</v>
      </c>
      <c r="AH2154" s="17">
        <v>0</v>
      </c>
      <c r="AI2154" s="17">
        <v>0</v>
      </c>
      <c r="AJ2154" s="17">
        <v>0</v>
      </c>
      <c r="AK2154" s="17">
        <v>0</v>
      </c>
      <c r="AL2154" s="32">
        <v>0</v>
      </c>
      <c r="AM2154" s="172">
        <v>62.5</v>
      </c>
      <c r="AN2154" s="171">
        <v>80</v>
      </c>
      <c r="AO2154" s="89"/>
      <c r="AP2154" s="783">
        <v>36.9</v>
      </c>
      <c r="AQ2154" s="17" t="s">
        <v>2986</v>
      </c>
      <c r="AR2154" s="174">
        <v>50</v>
      </c>
      <c r="AS2154" s="171" t="s">
        <v>246</v>
      </c>
      <c r="AT2154" s="171">
        <v>200</v>
      </c>
      <c r="AU2154" s="171">
        <v>20</v>
      </c>
      <c r="AV2154" s="57"/>
      <c r="AW2154" s="171">
        <v>28</v>
      </c>
      <c r="AX2154" s="89"/>
      <c r="AY2154" s="171">
        <v>24</v>
      </c>
      <c r="AZ2154" s="89"/>
      <c r="BA2154" s="175">
        <v>50</v>
      </c>
      <c r="BB2154" s="259"/>
      <c r="BC2154" s="176"/>
      <c r="BD2154" s="177"/>
      <c r="BE2154" s="177"/>
      <c r="BF2154" s="190" t="s">
        <v>3334</v>
      </c>
    </row>
    <row r="2155" spans="1:58">
      <c r="A2155" s="111">
        <v>2154</v>
      </c>
      <c r="B2155" s="211" t="s">
        <v>3251</v>
      </c>
      <c r="C2155" s="191" t="s">
        <v>3306</v>
      </c>
      <c r="D2155" s="171" t="s">
        <v>3290</v>
      </c>
      <c r="E2155" s="732" t="s">
        <v>3379</v>
      </c>
      <c r="F2155" s="171">
        <v>2007</v>
      </c>
      <c r="G2155" s="171">
        <v>19</v>
      </c>
      <c r="H2155" s="172" t="s">
        <v>1738</v>
      </c>
      <c r="I2155" s="173" t="s">
        <v>1751</v>
      </c>
      <c r="J2155" s="242">
        <v>0.6</v>
      </c>
      <c r="K2155" s="213">
        <v>6.3566666666666665</v>
      </c>
      <c r="L2155" s="38">
        <v>180</v>
      </c>
      <c r="M2155" s="171">
        <v>150</v>
      </c>
      <c r="N2155" s="171">
        <v>1104</v>
      </c>
      <c r="O2155" s="114"/>
      <c r="P2155" s="71" t="s">
        <v>3446</v>
      </c>
      <c r="Q2155" s="221" t="s">
        <v>1754</v>
      </c>
      <c r="R2155" s="171" t="s">
        <v>3346</v>
      </c>
      <c r="S2155" s="171" t="s">
        <v>3359</v>
      </c>
      <c r="T2155" s="89"/>
      <c r="U2155" s="89" t="s">
        <v>3346</v>
      </c>
      <c r="V2155" s="102">
        <v>0</v>
      </c>
      <c r="W2155" s="120">
        <v>0</v>
      </c>
      <c r="X2155" s="120">
        <v>0</v>
      </c>
      <c r="Y2155" s="120">
        <v>0</v>
      </c>
      <c r="Z2155" s="120">
        <v>50</v>
      </c>
      <c r="AA2155" s="17">
        <v>0</v>
      </c>
      <c r="AB2155" s="17">
        <v>0</v>
      </c>
      <c r="AC2155" s="17">
        <v>0</v>
      </c>
      <c r="AD2155" s="17">
        <v>0</v>
      </c>
      <c r="AE2155" s="17">
        <v>0</v>
      </c>
      <c r="AF2155" s="17">
        <v>0</v>
      </c>
      <c r="AG2155" s="17">
        <v>0</v>
      </c>
      <c r="AH2155" s="17">
        <v>0</v>
      </c>
      <c r="AI2155" s="17">
        <v>0</v>
      </c>
      <c r="AJ2155" s="17">
        <v>0</v>
      </c>
      <c r="AK2155" s="17">
        <v>0</v>
      </c>
      <c r="AL2155" s="32">
        <v>0</v>
      </c>
      <c r="AM2155" s="172">
        <v>36.5</v>
      </c>
      <c r="AN2155" s="171">
        <v>95</v>
      </c>
      <c r="AO2155" s="89"/>
      <c r="AP2155" s="783">
        <v>26.2</v>
      </c>
      <c r="AQ2155" s="17" t="s">
        <v>2986</v>
      </c>
      <c r="AR2155" s="174">
        <v>50</v>
      </c>
      <c r="AS2155" s="171" t="s">
        <v>246</v>
      </c>
      <c r="AT2155" s="171">
        <v>200</v>
      </c>
      <c r="AU2155" s="171">
        <v>20</v>
      </c>
      <c r="AV2155" s="57"/>
      <c r="AW2155" s="171">
        <v>28</v>
      </c>
      <c r="AX2155" s="89"/>
      <c r="AY2155" s="171">
        <v>24</v>
      </c>
      <c r="AZ2155" s="89"/>
      <c r="BA2155" s="175">
        <v>50</v>
      </c>
      <c r="BB2155" s="259"/>
      <c r="BC2155" s="176"/>
      <c r="BD2155" s="177"/>
      <c r="BE2155" s="177"/>
      <c r="BF2155" s="190" t="s">
        <v>3334</v>
      </c>
    </row>
    <row r="2156" spans="1:58">
      <c r="A2156" s="111">
        <v>2155</v>
      </c>
      <c r="B2156" s="211" t="s">
        <v>3252</v>
      </c>
      <c r="C2156" s="191" t="s">
        <v>3306</v>
      </c>
      <c r="D2156" s="171" t="s">
        <v>3290</v>
      </c>
      <c r="E2156" s="732" t="s">
        <v>3379</v>
      </c>
      <c r="F2156" s="171">
        <v>2007</v>
      </c>
      <c r="G2156" s="171">
        <v>19</v>
      </c>
      <c r="H2156" s="172" t="s">
        <v>1738</v>
      </c>
      <c r="I2156" s="173" t="s">
        <v>1751</v>
      </c>
      <c r="J2156" s="242">
        <v>0.8</v>
      </c>
      <c r="K2156" s="213">
        <v>8.7422222222222228</v>
      </c>
      <c r="L2156" s="38">
        <v>180</v>
      </c>
      <c r="M2156" s="171">
        <v>112.5</v>
      </c>
      <c r="N2156" s="171">
        <v>1104</v>
      </c>
      <c r="O2156" s="114"/>
      <c r="P2156" s="71" t="s">
        <v>3446</v>
      </c>
      <c r="Q2156" s="221" t="s">
        <v>1754</v>
      </c>
      <c r="R2156" s="171" t="s">
        <v>3346</v>
      </c>
      <c r="S2156" s="171" t="s">
        <v>3359</v>
      </c>
      <c r="T2156" s="89"/>
      <c r="U2156" s="89" t="s">
        <v>3346</v>
      </c>
      <c r="V2156" s="102">
        <v>0</v>
      </c>
      <c r="W2156" s="120">
        <v>0</v>
      </c>
      <c r="X2156" s="120">
        <v>0</v>
      </c>
      <c r="Y2156" s="120">
        <v>0</v>
      </c>
      <c r="Z2156" s="120">
        <v>50</v>
      </c>
      <c r="AA2156" s="17">
        <v>0</v>
      </c>
      <c r="AB2156" s="17">
        <v>0</v>
      </c>
      <c r="AC2156" s="17">
        <v>0</v>
      </c>
      <c r="AD2156" s="17">
        <v>0</v>
      </c>
      <c r="AE2156" s="17">
        <v>0</v>
      </c>
      <c r="AF2156" s="17">
        <v>0</v>
      </c>
      <c r="AG2156" s="17">
        <v>0</v>
      </c>
      <c r="AH2156" s="17">
        <v>0</v>
      </c>
      <c r="AI2156" s="17">
        <v>0</v>
      </c>
      <c r="AJ2156" s="17">
        <v>0</v>
      </c>
      <c r="AK2156" s="17">
        <v>0</v>
      </c>
      <c r="AL2156" s="32">
        <v>0</v>
      </c>
      <c r="AM2156" s="172">
        <v>25.5</v>
      </c>
      <c r="AN2156" s="171">
        <v>90</v>
      </c>
      <c r="AO2156" s="89"/>
      <c r="AP2156" s="783">
        <v>18.399999999999999</v>
      </c>
      <c r="AQ2156" s="17" t="s">
        <v>2986</v>
      </c>
      <c r="AR2156" s="174">
        <v>50</v>
      </c>
      <c r="AS2156" s="171" t="s">
        <v>246</v>
      </c>
      <c r="AT2156" s="171">
        <v>200</v>
      </c>
      <c r="AU2156" s="171">
        <v>20</v>
      </c>
      <c r="AV2156" s="57"/>
      <c r="AW2156" s="171">
        <v>28</v>
      </c>
      <c r="AX2156" s="89"/>
      <c r="AY2156" s="171">
        <v>24</v>
      </c>
      <c r="AZ2156" s="89"/>
      <c r="BA2156" s="175">
        <v>50</v>
      </c>
      <c r="BB2156" s="259"/>
      <c r="BC2156" s="176"/>
      <c r="BD2156" s="177"/>
      <c r="BE2156" s="177"/>
      <c r="BF2156" s="190" t="s">
        <v>3334</v>
      </c>
    </row>
    <row r="2157" spans="1:58">
      <c r="A2157" s="111">
        <v>2156</v>
      </c>
      <c r="B2157" s="211" t="s">
        <v>3253</v>
      </c>
      <c r="C2157" s="191" t="s">
        <v>3307</v>
      </c>
      <c r="D2157" s="171" t="s">
        <v>3290</v>
      </c>
      <c r="E2157" s="732" t="s">
        <v>3379</v>
      </c>
      <c r="F2157" s="171">
        <v>2007</v>
      </c>
      <c r="G2157" s="171">
        <v>20</v>
      </c>
      <c r="H2157" s="172" t="s">
        <v>1738</v>
      </c>
      <c r="I2157" s="173" t="s">
        <v>1751</v>
      </c>
      <c r="J2157" s="242">
        <v>0.4</v>
      </c>
      <c r="K2157" s="213">
        <v>4.8101273885350322</v>
      </c>
      <c r="L2157" s="38">
        <v>160</v>
      </c>
      <c r="M2157" s="171">
        <v>400</v>
      </c>
      <c r="N2157" s="171">
        <v>900</v>
      </c>
      <c r="O2157" s="114"/>
      <c r="P2157" s="71" t="s">
        <v>3446</v>
      </c>
      <c r="Q2157" s="221" t="s">
        <v>1754</v>
      </c>
      <c r="R2157" s="171" t="s">
        <v>3347</v>
      </c>
      <c r="S2157" s="171" t="s">
        <v>3354</v>
      </c>
      <c r="T2157" s="89"/>
      <c r="U2157" s="89" t="s">
        <v>3347</v>
      </c>
      <c r="V2157" s="102">
        <v>0</v>
      </c>
      <c r="W2157" s="120">
        <v>0</v>
      </c>
      <c r="X2157" s="120">
        <v>0</v>
      </c>
      <c r="Y2157" s="120">
        <v>0</v>
      </c>
      <c r="Z2157" s="120">
        <v>0</v>
      </c>
      <c r="AA2157" s="17">
        <v>0</v>
      </c>
      <c r="AB2157" s="17">
        <v>0</v>
      </c>
      <c r="AC2157" s="17">
        <v>0</v>
      </c>
      <c r="AD2157" s="17">
        <v>0</v>
      </c>
      <c r="AE2157" s="17">
        <v>0</v>
      </c>
      <c r="AF2157" s="33">
        <v>0.82644628099173556</v>
      </c>
      <c r="AG2157" s="17">
        <v>0</v>
      </c>
      <c r="AH2157" s="17">
        <v>0</v>
      </c>
      <c r="AI2157" s="17">
        <v>0</v>
      </c>
      <c r="AJ2157" s="17">
        <v>0</v>
      </c>
      <c r="AK2157" s="17">
        <v>0</v>
      </c>
      <c r="AL2157" s="32">
        <v>0</v>
      </c>
      <c r="AM2157" s="172">
        <v>67.3</v>
      </c>
      <c r="AN2157" s="171">
        <v>20</v>
      </c>
      <c r="AO2157" s="89"/>
      <c r="AP2157" s="88"/>
      <c r="AQ2157" s="17" t="s">
        <v>3413</v>
      </c>
      <c r="AR2157" s="174">
        <v>75</v>
      </c>
      <c r="AS2157" s="171" t="s">
        <v>246</v>
      </c>
      <c r="AT2157" s="171">
        <v>285</v>
      </c>
      <c r="AU2157" s="746">
        <v>16.569767441860463</v>
      </c>
      <c r="AV2157" s="57"/>
      <c r="AW2157" s="171">
        <v>7</v>
      </c>
      <c r="AX2157" s="89"/>
      <c r="AY2157" s="171">
        <v>25</v>
      </c>
      <c r="AZ2157" s="89"/>
      <c r="BA2157" s="175">
        <v>50</v>
      </c>
      <c r="BB2157" s="259"/>
      <c r="BC2157" s="176"/>
      <c r="BD2157" s="177"/>
      <c r="BE2157" s="177"/>
      <c r="BF2157" s="190" t="s">
        <v>3400</v>
      </c>
    </row>
    <row r="2158" spans="1:58">
      <c r="A2158" s="111">
        <v>2157</v>
      </c>
      <c r="B2158" s="211" t="s">
        <v>3254</v>
      </c>
      <c r="C2158" s="191" t="s">
        <v>3307</v>
      </c>
      <c r="D2158" s="171" t="s">
        <v>3290</v>
      </c>
      <c r="E2158" s="732" t="s">
        <v>3379</v>
      </c>
      <c r="F2158" s="171">
        <v>2007</v>
      </c>
      <c r="G2158" s="171">
        <v>20</v>
      </c>
      <c r="H2158" s="172" t="s">
        <v>1738</v>
      </c>
      <c r="I2158" s="173" t="s">
        <v>1751</v>
      </c>
      <c r="J2158" s="242">
        <v>0.5</v>
      </c>
      <c r="K2158" s="213">
        <v>6.2276273885350317</v>
      </c>
      <c r="L2158" s="38">
        <v>160</v>
      </c>
      <c r="M2158" s="171">
        <v>320</v>
      </c>
      <c r="N2158" s="171">
        <v>1000</v>
      </c>
      <c r="O2158" s="114"/>
      <c r="P2158" s="71" t="s">
        <v>3446</v>
      </c>
      <c r="Q2158" s="221" t="s">
        <v>1754</v>
      </c>
      <c r="R2158" s="171" t="s">
        <v>3347</v>
      </c>
      <c r="S2158" s="171" t="s">
        <v>3354</v>
      </c>
      <c r="T2158" s="89"/>
      <c r="U2158" s="89" t="s">
        <v>3347</v>
      </c>
      <c r="V2158" s="102">
        <v>0</v>
      </c>
      <c r="W2158" s="120">
        <v>0</v>
      </c>
      <c r="X2158" s="120">
        <v>0</v>
      </c>
      <c r="Y2158" s="120">
        <v>0</v>
      </c>
      <c r="Z2158" s="120">
        <v>0</v>
      </c>
      <c r="AA2158" s="17">
        <v>0</v>
      </c>
      <c r="AB2158" s="17">
        <v>0</v>
      </c>
      <c r="AC2158" s="17">
        <v>0</v>
      </c>
      <c r="AD2158" s="17">
        <v>0</v>
      </c>
      <c r="AE2158" s="17">
        <v>0</v>
      </c>
      <c r="AF2158" s="33">
        <v>0.6211180124223602</v>
      </c>
      <c r="AG2158" s="17">
        <v>0</v>
      </c>
      <c r="AH2158" s="17">
        <v>0</v>
      </c>
      <c r="AI2158" s="17">
        <v>0</v>
      </c>
      <c r="AJ2158" s="17">
        <v>0</v>
      </c>
      <c r="AK2158" s="17">
        <v>0</v>
      </c>
      <c r="AL2158" s="32">
        <v>0</v>
      </c>
      <c r="AM2158" s="172">
        <v>55.5</v>
      </c>
      <c r="AN2158" s="171">
        <v>50</v>
      </c>
      <c r="AO2158" s="89"/>
      <c r="AP2158" s="88"/>
      <c r="AQ2158" s="17" t="s">
        <v>3413</v>
      </c>
      <c r="AR2158" s="174">
        <v>75</v>
      </c>
      <c r="AS2158" s="171" t="s">
        <v>246</v>
      </c>
      <c r="AT2158" s="171">
        <v>285</v>
      </c>
      <c r="AU2158" s="746">
        <v>16.569767441860463</v>
      </c>
      <c r="AV2158" s="57"/>
      <c r="AW2158" s="171">
        <v>7</v>
      </c>
      <c r="AX2158" s="89"/>
      <c r="AY2158" s="171">
        <v>25</v>
      </c>
      <c r="AZ2158" s="89"/>
      <c r="BA2158" s="175">
        <v>50</v>
      </c>
      <c r="BB2158" s="259"/>
      <c r="BC2158" s="176"/>
      <c r="BD2158" s="177"/>
      <c r="BE2158" s="177"/>
      <c r="BF2158" s="190" t="s">
        <v>3400</v>
      </c>
    </row>
    <row r="2159" spans="1:58">
      <c r="A2159" s="111">
        <v>2158</v>
      </c>
      <c r="B2159" s="211" t="s">
        <v>3255</v>
      </c>
      <c r="C2159" s="191" t="s">
        <v>3307</v>
      </c>
      <c r="D2159" s="171" t="s">
        <v>3290</v>
      </c>
      <c r="E2159" s="732" t="s">
        <v>3379</v>
      </c>
      <c r="F2159" s="171">
        <v>2007</v>
      </c>
      <c r="G2159" s="171">
        <v>20</v>
      </c>
      <c r="H2159" s="172" t="s">
        <v>1738</v>
      </c>
      <c r="I2159" s="173" t="s">
        <v>1751</v>
      </c>
      <c r="J2159" s="242">
        <v>0.6</v>
      </c>
      <c r="K2159" s="213">
        <v>7.6451273885350304</v>
      </c>
      <c r="L2159" s="38">
        <v>160</v>
      </c>
      <c r="M2159" s="213">
        <v>266.66666666666669</v>
      </c>
      <c r="N2159" s="213">
        <v>1100</v>
      </c>
      <c r="O2159" s="114"/>
      <c r="P2159" s="71" t="s">
        <v>3446</v>
      </c>
      <c r="Q2159" s="221" t="s">
        <v>1754</v>
      </c>
      <c r="R2159" s="171" t="s">
        <v>3347</v>
      </c>
      <c r="S2159" s="171" t="s">
        <v>3354</v>
      </c>
      <c r="T2159" s="89"/>
      <c r="U2159" s="89" t="s">
        <v>3347</v>
      </c>
      <c r="V2159" s="102">
        <v>0</v>
      </c>
      <c r="W2159" s="120">
        <v>0</v>
      </c>
      <c r="X2159" s="120">
        <v>0</v>
      </c>
      <c r="Y2159" s="120">
        <v>0</v>
      </c>
      <c r="Z2159" s="120">
        <v>0</v>
      </c>
      <c r="AA2159" s="17">
        <v>0</v>
      </c>
      <c r="AB2159" s="17">
        <v>0</v>
      </c>
      <c r="AC2159" s="17">
        <v>0</v>
      </c>
      <c r="AD2159" s="17">
        <v>0</v>
      </c>
      <c r="AE2159" s="17">
        <v>0</v>
      </c>
      <c r="AF2159" s="33">
        <v>0.37359900373599003</v>
      </c>
      <c r="AG2159" s="17">
        <v>0</v>
      </c>
      <c r="AH2159" s="17">
        <v>0</v>
      </c>
      <c r="AI2159" s="17">
        <v>0</v>
      </c>
      <c r="AJ2159" s="17">
        <v>0</v>
      </c>
      <c r="AK2159" s="17">
        <v>0</v>
      </c>
      <c r="AL2159" s="32">
        <v>0</v>
      </c>
      <c r="AM2159" s="172">
        <v>44.2</v>
      </c>
      <c r="AN2159" s="171">
        <v>40</v>
      </c>
      <c r="AO2159" s="89"/>
      <c r="AP2159" s="88"/>
      <c r="AQ2159" s="17" t="s">
        <v>3413</v>
      </c>
      <c r="AR2159" s="174">
        <v>75</v>
      </c>
      <c r="AS2159" s="171" t="s">
        <v>246</v>
      </c>
      <c r="AT2159" s="171">
        <v>285</v>
      </c>
      <c r="AU2159" s="746">
        <v>16.569767441860463</v>
      </c>
      <c r="AV2159" s="57"/>
      <c r="AW2159" s="171">
        <v>7</v>
      </c>
      <c r="AX2159" s="89"/>
      <c r="AY2159" s="171">
        <v>25</v>
      </c>
      <c r="AZ2159" s="89"/>
      <c r="BA2159" s="175">
        <v>50</v>
      </c>
      <c r="BB2159" s="259"/>
      <c r="BC2159" s="176"/>
      <c r="BD2159" s="177"/>
      <c r="BE2159" s="177"/>
      <c r="BF2159" s="190" t="s">
        <v>3400</v>
      </c>
    </row>
    <row r="2160" spans="1:58">
      <c r="A2160" s="111">
        <v>2159</v>
      </c>
      <c r="B2160" s="211" t="s">
        <v>3256</v>
      </c>
      <c r="C2160" s="191" t="s">
        <v>3307</v>
      </c>
      <c r="D2160" s="171" t="s">
        <v>3290</v>
      </c>
      <c r="E2160" s="732" t="s">
        <v>3379</v>
      </c>
      <c r="F2160" s="171">
        <v>2007</v>
      </c>
      <c r="G2160" s="171">
        <v>20</v>
      </c>
      <c r="H2160" s="172" t="s">
        <v>1738</v>
      </c>
      <c r="I2160" s="173" t="s">
        <v>1751</v>
      </c>
      <c r="J2160" s="242">
        <v>0.4</v>
      </c>
      <c r="K2160" s="213">
        <v>4.4130685650056201</v>
      </c>
      <c r="L2160" s="38">
        <v>170</v>
      </c>
      <c r="M2160" s="171">
        <v>425</v>
      </c>
      <c r="N2160" s="171">
        <v>1200</v>
      </c>
      <c r="O2160" s="114"/>
      <c r="P2160" s="71" t="s">
        <v>3446</v>
      </c>
      <c r="Q2160" s="221" t="s">
        <v>1754</v>
      </c>
      <c r="R2160" s="171" t="s">
        <v>3347</v>
      </c>
      <c r="S2160" s="171" t="s">
        <v>3354</v>
      </c>
      <c r="T2160" s="89"/>
      <c r="U2160" s="89" t="s">
        <v>3347</v>
      </c>
      <c r="V2160" s="102">
        <v>0</v>
      </c>
      <c r="W2160" s="120">
        <v>0</v>
      </c>
      <c r="X2160" s="120">
        <v>0</v>
      </c>
      <c r="Y2160" s="120">
        <v>0</v>
      </c>
      <c r="Z2160" s="120">
        <v>0</v>
      </c>
      <c r="AA2160" s="17">
        <v>0</v>
      </c>
      <c r="AB2160" s="17">
        <v>0</v>
      </c>
      <c r="AC2160" s="17">
        <v>0</v>
      </c>
      <c r="AD2160" s="17">
        <v>0</v>
      </c>
      <c r="AE2160" s="17">
        <v>0</v>
      </c>
      <c r="AF2160" s="33">
        <v>0.15661707126076743</v>
      </c>
      <c r="AG2160" s="17">
        <v>0</v>
      </c>
      <c r="AH2160" s="17">
        <v>0</v>
      </c>
      <c r="AI2160" s="17">
        <v>0</v>
      </c>
      <c r="AJ2160" s="17">
        <v>0</v>
      </c>
      <c r="AK2160" s="17">
        <v>0</v>
      </c>
      <c r="AL2160" s="32">
        <v>0</v>
      </c>
      <c r="AM2160" s="172">
        <v>62.9</v>
      </c>
      <c r="AN2160" s="171">
        <v>45</v>
      </c>
      <c r="AO2160" s="89"/>
      <c r="AP2160" s="88"/>
      <c r="AQ2160" s="17" t="s">
        <v>3413</v>
      </c>
      <c r="AR2160" s="174">
        <v>75</v>
      </c>
      <c r="AS2160" s="171" t="s">
        <v>246</v>
      </c>
      <c r="AT2160" s="171">
        <v>285</v>
      </c>
      <c r="AU2160" s="746">
        <v>16.569767441860463</v>
      </c>
      <c r="AV2160" s="57"/>
      <c r="AW2160" s="171">
        <v>7</v>
      </c>
      <c r="AX2160" s="89"/>
      <c r="AY2160" s="171">
        <v>25</v>
      </c>
      <c r="AZ2160" s="89"/>
      <c r="BA2160" s="175">
        <v>50</v>
      </c>
      <c r="BB2160" s="259"/>
      <c r="BC2160" s="176"/>
      <c r="BD2160" s="177"/>
      <c r="BE2160" s="177"/>
      <c r="BF2160" s="190" t="s">
        <v>3400</v>
      </c>
    </row>
    <row r="2161" spans="1:58">
      <c r="A2161" s="111">
        <v>2160</v>
      </c>
      <c r="B2161" s="211" t="s">
        <v>3257</v>
      </c>
      <c r="C2161" s="191" t="s">
        <v>3307</v>
      </c>
      <c r="D2161" s="171" t="s">
        <v>3290</v>
      </c>
      <c r="E2161" s="732" t="s">
        <v>3379</v>
      </c>
      <c r="F2161" s="171">
        <v>2007</v>
      </c>
      <c r="G2161" s="171">
        <v>20</v>
      </c>
      <c r="H2161" s="172" t="s">
        <v>1738</v>
      </c>
      <c r="I2161" s="173" t="s">
        <v>1751</v>
      </c>
      <c r="J2161" s="242">
        <v>0.5</v>
      </c>
      <c r="K2161" s="213">
        <v>5.7313038591232672</v>
      </c>
      <c r="L2161" s="38">
        <v>170</v>
      </c>
      <c r="M2161" s="171">
        <v>340</v>
      </c>
      <c r="N2161" s="171">
        <v>1300</v>
      </c>
      <c r="O2161" s="114"/>
      <c r="P2161" s="71" t="s">
        <v>3446</v>
      </c>
      <c r="Q2161" s="221" t="s">
        <v>1754</v>
      </c>
      <c r="R2161" s="171" t="s">
        <v>3347</v>
      </c>
      <c r="S2161" s="171" t="s">
        <v>3354</v>
      </c>
      <c r="T2161" s="89"/>
      <c r="U2161" s="89" t="s">
        <v>3347</v>
      </c>
      <c r="V2161" s="102">
        <v>0</v>
      </c>
      <c r="W2161" s="120">
        <v>0</v>
      </c>
      <c r="X2161" s="120">
        <v>0</v>
      </c>
      <c r="Y2161" s="120">
        <v>0</v>
      </c>
      <c r="Z2161" s="120">
        <v>0</v>
      </c>
      <c r="AA2161" s="17">
        <v>0</v>
      </c>
      <c r="AB2161" s="17">
        <v>0</v>
      </c>
      <c r="AC2161" s="17">
        <v>0</v>
      </c>
      <c r="AD2161" s="17">
        <v>0</v>
      </c>
      <c r="AE2161" s="17">
        <v>0</v>
      </c>
      <c r="AF2161" s="33">
        <v>0.21522207004500093</v>
      </c>
      <c r="AG2161" s="17">
        <v>0</v>
      </c>
      <c r="AH2161" s="17">
        <v>0</v>
      </c>
      <c r="AI2161" s="17">
        <v>0</v>
      </c>
      <c r="AJ2161" s="17">
        <v>0</v>
      </c>
      <c r="AK2161" s="17">
        <v>0</v>
      </c>
      <c r="AL2161" s="32">
        <v>0</v>
      </c>
      <c r="AM2161" s="172">
        <v>45.2</v>
      </c>
      <c r="AN2161" s="171">
        <v>25</v>
      </c>
      <c r="AO2161" s="89"/>
      <c r="AP2161" s="88"/>
      <c r="AQ2161" s="17" t="s">
        <v>3413</v>
      </c>
      <c r="AR2161" s="174">
        <v>75</v>
      </c>
      <c r="AS2161" s="171" t="s">
        <v>246</v>
      </c>
      <c r="AT2161" s="171">
        <v>285</v>
      </c>
      <c r="AU2161" s="746">
        <v>16.569767441860463</v>
      </c>
      <c r="AV2161" s="57"/>
      <c r="AW2161" s="171">
        <v>7</v>
      </c>
      <c r="AX2161" s="89"/>
      <c r="AY2161" s="171">
        <v>25</v>
      </c>
      <c r="AZ2161" s="89"/>
      <c r="BA2161" s="175">
        <v>50</v>
      </c>
      <c r="BB2161" s="259"/>
      <c r="BC2161" s="176"/>
      <c r="BD2161" s="177"/>
      <c r="BE2161" s="177"/>
      <c r="BF2161" s="190" t="s">
        <v>3400</v>
      </c>
    </row>
    <row r="2162" spans="1:58">
      <c r="A2162" s="111">
        <v>2161</v>
      </c>
      <c r="B2162" s="211" t="s">
        <v>3258</v>
      </c>
      <c r="C2162" s="191" t="s">
        <v>3307</v>
      </c>
      <c r="D2162" s="171" t="s">
        <v>3290</v>
      </c>
      <c r="E2162" s="732" t="s">
        <v>3379</v>
      </c>
      <c r="F2162" s="171">
        <v>2007</v>
      </c>
      <c r="G2162" s="171">
        <v>20</v>
      </c>
      <c r="H2162" s="172" t="s">
        <v>1738</v>
      </c>
      <c r="I2162" s="173" t="s">
        <v>1751</v>
      </c>
      <c r="J2162" s="242">
        <v>0.59999999999999987</v>
      </c>
      <c r="K2162" s="213">
        <v>7.5294117647058822</v>
      </c>
      <c r="L2162" s="38">
        <v>170</v>
      </c>
      <c r="M2162" s="213">
        <v>283.33333333333337</v>
      </c>
      <c r="N2162" s="213">
        <v>1400</v>
      </c>
      <c r="O2162" s="114"/>
      <c r="P2162" s="71" t="s">
        <v>3446</v>
      </c>
      <c r="Q2162" s="221" t="s">
        <v>1754</v>
      </c>
      <c r="R2162" s="171" t="s">
        <v>3347</v>
      </c>
      <c r="S2162" s="171" t="s">
        <v>3354</v>
      </c>
      <c r="T2162" s="89"/>
      <c r="U2162" s="89" t="s">
        <v>3347</v>
      </c>
      <c r="V2162" s="102">
        <v>0</v>
      </c>
      <c r="W2162" s="120">
        <v>0</v>
      </c>
      <c r="X2162" s="120">
        <v>0</v>
      </c>
      <c r="Y2162" s="120">
        <v>0</v>
      </c>
      <c r="Z2162" s="120">
        <v>0</v>
      </c>
      <c r="AA2162" s="17">
        <v>0</v>
      </c>
      <c r="AB2162" s="17">
        <v>0</v>
      </c>
      <c r="AC2162" s="17">
        <v>0</v>
      </c>
      <c r="AD2162" s="17">
        <v>0</v>
      </c>
      <c r="AE2162" s="17">
        <v>0</v>
      </c>
      <c r="AF2162" s="33">
        <v>0.11750881316098707</v>
      </c>
      <c r="AG2162" s="17">
        <v>0</v>
      </c>
      <c r="AH2162" s="17">
        <v>0</v>
      </c>
      <c r="AI2162" s="17">
        <v>0</v>
      </c>
      <c r="AJ2162" s="17">
        <v>0</v>
      </c>
      <c r="AK2162" s="17">
        <v>0</v>
      </c>
      <c r="AL2162" s="32">
        <v>0</v>
      </c>
      <c r="AM2162" s="172">
        <v>45.7</v>
      </c>
      <c r="AN2162" s="171">
        <v>20</v>
      </c>
      <c r="AO2162" s="89"/>
      <c r="AP2162" s="88"/>
      <c r="AQ2162" s="17" t="s">
        <v>3413</v>
      </c>
      <c r="AR2162" s="174">
        <v>75</v>
      </c>
      <c r="AS2162" s="171" t="s">
        <v>246</v>
      </c>
      <c r="AT2162" s="171">
        <v>285</v>
      </c>
      <c r="AU2162" s="746">
        <v>16.569767441860463</v>
      </c>
      <c r="AV2162" s="57"/>
      <c r="AW2162" s="171">
        <v>7</v>
      </c>
      <c r="AX2162" s="89"/>
      <c r="AY2162" s="171">
        <v>25</v>
      </c>
      <c r="AZ2162" s="89"/>
      <c r="BA2162" s="175">
        <v>50</v>
      </c>
      <c r="BB2162" s="259"/>
      <c r="BC2162" s="176"/>
      <c r="BD2162" s="177"/>
      <c r="BE2162" s="177"/>
      <c r="BF2162" s="190" t="s">
        <v>3400</v>
      </c>
    </row>
    <row r="2163" spans="1:58">
      <c r="A2163" s="111">
        <v>2162</v>
      </c>
      <c r="B2163" s="211" t="s">
        <v>3259</v>
      </c>
      <c r="C2163" s="191" t="s">
        <v>3307</v>
      </c>
      <c r="D2163" s="171" t="s">
        <v>3290</v>
      </c>
      <c r="E2163" s="732" t="s">
        <v>3379</v>
      </c>
      <c r="F2163" s="171">
        <v>2007</v>
      </c>
      <c r="G2163" s="171">
        <v>20</v>
      </c>
      <c r="H2163" s="172" t="s">
        <v>1738</v>
      </c>
      <c r="I2163" s="173" t="s">
        <v>1751</v>
      </c>
      <c r="J2163" s="242">
        <v>0.4</v>
      </c>
      <c r="K2163" s="213">
        <v>4.0601273885350322</v>
      </c>
      <c r="L2163" s="38">
        <v>180</v>
      </c>
      <c r="M2163" s="171">
        <v>450</v>
      </c>
      <c r="N2163" s="171">
        <v>1000</v>
      </c>
      <c r="O2163" s="114"/>
      <c r="P2163" s="71" t="s">
        <v>3446</v>
      </c>
      <c r="Q2163" s="221" t="s">
        <v>1754</v>
      </c>
      <c r="R2163" s="171" t="s">
        <v>3347</v>
      </c>
      <c r="S2163" s="171" t="s">
        <v>3354</v>
      </c>
      <c r="T2163" s="89"/>
      <c r="U2163" s="89" t="s">
        <v>3347</v>
      </c>
      <c r="V2163" s="102">
        <v>0</v>
      </c>
      <c r="W2163" s="120">
        <v>0</v>
      </c>
      <c r="X2163" s="120">
        <v>0</v>
      </c>
      <c r="Y2163" s="120">
        <v>0</v>
      </c>
      <c r="Z2163" s="120">
        <v>0</v>
      </c>
      <c r="AA2163" s="17">
        <v>0</v>
      </c>
      <c r="AB2163" s="17">
        <v>0</v>
      </c>
      <c r="AC2163" s="17">
        <v>0</v>
      </c>
      <c r="AD2163" s="17">
        <v>0</v>
      </c>
      <c r="AE2163" s="17">
        <v>0</v>
      </c>
      <c r="AF2163" s="17">
        <v>0</v>
      </c>
      <c r="AG2163" s="17">
        <v>0</v>
      </c>
      <c r="AH2163" s="17">
        <v>0</v>
      </c>
      <c r="AI2163" s="17">
        <v>0</v>
      </c>
      <c r="AJ2163" s="17">
        <v>0</v>
      </c>
      <c r="AK2163" s="17">
        <v>0</v>
      </c>
      <c r="AL2163" s="32">
        <v>0</v>
      </c>
      <c r="AM2163" s="172">
        <v>65.5</v>
      </c>
      <c r="AN2163" s="171">
        <v>40</v>
      </c>
      <c r="AO2163" s="89"/>
      <c r="AP2163" s="88"/>
      <c r="AQ2163" s="17" t="s">
        <v>3413</v>
      </c>
      <c r="AR2163" s="174">
        <v>75</v>
      </c>
      <c r="AS2163" s="171" t="s">
        <v>246</v>
      </c>
      <c r="AT2163" s="171">
        <v>285</v>
      </c>
      <c r="AU2163" s="746">
        <v>16.569767441860463</v>
      </c>
      <c r="AV2163" s="57"/>
      <c r="AW2163" s="171">
        <v>7</v>
      </c>
      <c r="AX2163" s="89"/>
      <c r="AY2163" s="171">
        <v>25</v>
      </c>
      <c r="AZ2163" s="89"/>
      <c r="BA2163" s="175">
        <v>50</v>
      </c>
      <c r="BB2163" s="259"/>
      <c r="BC2163" s="176"/>
      <c r="BD2163" s="177"/>
      <c r="BE2163" s="177"/>
      <c r="BF2163" s="190" t="s">
        <v>3335</v>
      </c>
    </row>
    <row r="2164" spans="1:58">
      <c r="A2164" s="111">
        <v>2163</v>
      </c>
      <c r="B2164" s="211" t="s">
        <v>3260</v>
      </c>
      <c r="C2164" s="191" t="s">
        <v>3307</v>
      </c>
      <c r="D2164" s="171" t="s">
        <v>3290</v>
      </c>
      <c r="E2164" s="732" t="s">
        <v>3379</v>
      </c>
      <c r="F2164" s="171">
        <v>2007</v>
      </c>
      <c r="G2164" s="171">
        <v>20</v>
      </c>
      <c r="H2164" s="172" t="s">
        <v>1738</v>
      </c>
      <c r="I2164" s="173" t="s">
        <v>1751</v>
      </c>
      <c r="J2164" s="242">
        <v>0.5</v>
      </c>
      <c r="K2164" s="213">
        <v>5.2901273885350326</v>
      </c>
      <c r="L2164" s="38">
        <v>180</v>
      </c>
      <c r="M2164" s="171">
        <v>360</v>
      </c>
      <c r="N2164" s="171">
        <v>1100</v>
      </c>
      <c r="O2164" s="114"/>
      <c r="P2164" s="71" t="s">
        <v>3446</v>
      </c>
      <c r="Q2164" s="221" t="s">
        <v>1754</v>
      </c>
      <c r="R2164" s="171" t="s">
        <v>3347</v>
      </c>
      <c r="S2164" s="171" t="s">
        <v>3354</v>
      </c>
      <c r="T2164" s="89"/>
      <c r="U2164" s="89" t="s">
        <v>3347</v>
      </c>
      <c r="V2164" s="102">
        <v>0</v>
      </c>
      <c r="W2164" s="120">
        <v>0</v>
      </c>
      <c r="X2164" s="120">
        <v>0</v>
      </c>
      <c r="Y2164" s="120">
        <v>0</v>
      </c>
      <c r="Z2164" s="120">
        <v>0</v>
      </c>
      <c r="AA2164" s="17">
        <v>0</v>
      </c>
      <c r="AB2164" s="17">
        <v>0</v>
      </c>
      <c r="AC2164" s="17">
        <v>0</v>
      </c>
      <c r="AD2164" s="17">
        <v>0</v>
      </c>
      <c r="AE2164" s="17">
        <v>0</v>
      </c>
      <c r="AF2164" s="17">
        <v>0</v>
      </c>
      <c r="AG2164" s="17">
        <v>0</v>
      </c>
      <c r="AH2164" s="17">
        <v>0</v>
      </c>
      <c r="AI2164" s="17">
        <v>0</v>
      </c>
      <c r="AJ2164" s="17">
        <v>0</v>
      </c>
      <c r="AK2164" s="17">
        <v>0</v>
      </c>
      <c r="AL2164" s="32">
        <v>0</v>
      </c>
      <c r="AM2164" s="172">
        <v>52.4</v>
      </c>
      <c r="AN2164" s="171">
        <v>55</v>
      </c>
      <c r="AO2164" s="89"/>
      <c r="AP2164" s="88"/>
      <c r="AQ2164" s="17" t="s">
        <v>3413</v>
      </c>
      <c r="AR2164" s="174">
        <v>75</v>
      </c>
      <c r="AS2164" s="171" t="s">
        <v>246</v>
      </c>
      <c r="AT2164" s="171">
        <v>285</v>
      </c>
      <c r="AU2164" s="746">
        <v>16.569767441860463</v>
      </c>
      <c r="AV2164" s="57"/>
      <c r="AW2164" s="171">
        <v>7</v>
      </c>
      <c r="AX2164" s="89"/>
      <c r="AY2164" s="171">
        <v>25</v>
      </c>
      <c r="AZ2164" s="89"/>
      <c r="BA2164" s="175">
        <v>50</v>
      </c>
      <c r="BB2164" s="259"/>
      <c r="BC2164" s="176"/>
      <c r="BD2164" s="177"/>
      <c r="BE2164" s="177"/>
      <c r="BF2164" s="190" t="s">
        <v>3335</v>
      </c>
    </row>
    <row r="2165" spans="1:58">
      <c r="A2165" s="111">
        <v>2164</v>
      </c>
      <c r="B2165" s="211" t="s">
        <v>3261</v>
      </c>
      <c r="C2165" s="191" t="s">
        <v>3307</v>
      </c>
      <c r="D2165" s="171" t="s">
        <v>3290</v>
      </c>
      <c r="E2165" s="732" t="s">
        <v>3379</v>
      </c>
      <c r="F2165" s="171">
        <v>2007</v>
      </c>
      <c r="G2165" s="171">
        <v>20</v>
      </c>
      <c r="H2165" s="172" t="s">
        <v>1738</v>
      </c>
      <c r="I2165" s="173" t="s">
        <v>1751</v>
      </c>
      <c r="J2165" s="242">
        <v>0.6</v>
      </c>
      <c r="K2165" s="213">
        <v>6.9645718329794768</v>
      </c>
      <c r="L2165" s="38">
        <v>180</v>
      </c>
      <c r="M2165" s="171">
        <v>300</v>
      </c>
      <c r="N2165" s="171">
        <v>1200</v>
      </c>
      <c r="O2165" s="114"/>
      <c r="P2165" s="71" t="s">
        <v>3446</v>
      </c>
      <c r="Q2165" s="221" t="s">
        <v>1754</v>
      </c>
      <c r="R2165" s="171" t="s">
        <v>3347</v>
      </c>
      <c r="S2165" s="171" t="s">
        <v>3354</v>
      </c>
      <c r="T2165" s="89"/>
      <c r="U2165" s="89" t="s">
        <v>3347</v>
      </c>
      <c r="V2165" s="102">
        <v>0</v>
      </c>
      <c r="W2165" s="120">
        <v>0</v>
      </c>
      <c r="X2165" s="120">
        <v>0</v>
      </c>
      <c r="Y2165" s="120">
        <v>0</v>
      </c>
      <c r="Z2165" s="120">
        <v>0</v>
      </c>
      <c r="AA2165" s="17">
        <v>0</v>
      </c>
      <c r="AB2165" s="17">
        <v>0</v>
      </c>
      <c r="AC2165" s="17">
        <v>0</v>
      </c>
      <c r="AD2165" s="17">
        <v>0</v>
      </c>
      <c r="AE2165" s="17">
        <v>0</v>
      </c>
      <c r="AF2165" s="17">
        <v>0</v>
      </c>
      <c r="AG2165" s="17">
        <v>0</v>
      </c>
      <c r="AH2165" s="17">
        <v>0</v>
      </c>
      <c r="AI2165" s="17">
        <v>0</v>
      </c>
      <c r="AJ2165" s="17">
        <v>0</v>
      </c>
      <c r="AK2165" s="17">
        <v>0</v>
      </c>
      <c r="AL2165" s="32">
        <v>0</v>
      </c>
      <c r="AM2165" s="172">
        <v>44.8</v>
      </c>
      <c r="AN2165" s="171">
        <v>85</v>
      </c>
      <c r="AO2165" s="89"/>
      <c r="AP2165" s="88"/>
      <c r="AQ2165" s="17" t="s">
        <v>3413</v>
      </c>
      <c r="AR2165" s="174">
        <v>75</v>
      </c>
      <c r="AS2165" s="171" t="s">
        <v>246</v>
      </c>
      <c r="AT2165" s="171">
        <v>285</v>
      </c>
      <c r="AU2165" s="746">
        <v>16.569767441860463</v>
      </c>
      <c r="AV2165" s="57"/>
      <c r="AW2165" s="171">
        <v>7</v>
      </c>
      <c r="AX2165" s="89"/>
      <c r="AY2165" s="171">
        <v>25</v>
      </c>
      <c r="AZ2165" s="89"/>
      <c r="BA2165" s="175">
        <v>50</v>
      </c>
      <c r="BB2165" s="259"/>
      <c r="BC2165" s="176"/>
      <c r="BD2165" s="177"/>
      <c r="BE2165" s="177"/>
      <c r="BF2165" s="190" t="s">
        <v>3335</v>
      </c>
    </row>
    <row r="2166" spans="1:58">
      <c r="A2166" s="111">
        <v>2165</v>
      </c>
      <c r="B2166" s="211" t="s">
        <v>3262</v>
      </c>
      <c r="C2166" s="191" t="s">
        <v>3307</v>
      </c>
      <c r="D2166" s="171" t="s">
        <v>3290</v>
      </c>
      <c r="E2166" s="732" t="s">
        <v>3379</v>
      </c>
      <c r="F2166" s="171">
        <v>2007</v>
      </c>
      <c r="G2166" s="171">
        <v>20</v>
      </c>
      <c r="H2166" s="172" t="s">
        <v>1738</v>
      </c>
      <c r="I2166" s="173" t="s">
        <v>1751</v>
      </c>
      <c r="J2166" s="242">
        <v>0.4</v>
      </c>
      <c r="K2166" s="213">
        <v>4.1022326516929271</v>
      </c>
      <c r="L2166" s="38">
        <v>190</v>
      </c>
      <c r="M2166" s="171">
        <v>475</v>
      </c>
      <c r="N2166" s="171">
        <v>1300</v>
      </c>
      <c r="O2166" s="114"/>
      <c r="P2166" s="71" t="s">
        <v>3446</v>
      </c>
      <c r="Q2166" s="221" t="s">
        <v>1754</v>
      </c>
      <c r="R2166" s="171" t="s">
        <v>3347</v>
      </c>
      <c r="S2166" s="171" t="s">
        <v>3354</v>
      </c>
      <c r="T2166" s="89"/>
      <c r="U2166" s="89" t="s">
        <v>3347</v>
      </c>
      <c r="V2166" s="102">
        <v>0</v>
      </c>
      <c r="W2166" s="120">
        <v>0</v>
      </c>
      <c r="X2166" s="120">
        <v>0</v>
      </c>
      <c r="Y2166" s="120">
        <v>0</v>
      </c>
      <c r="Z2166" s="120">
        <v>0</v>
      </c>
      <c r="AA2166" s="17">
        <v>0</v>
      </c>
      <c r="AB2166" s="17">
        <v>0</v>
      </c>
      <c r="AC2166" s="17">
        <v>0</v>
      </c>
      <c r="AD2166" s="17">
        <v>0</v>
      </c>
      <c r="AE2166" s="17">
        <v>0</v>
      </c>
      <c r="AF2166" s="17">
        <v>0</v>
      </c>
      <c r="AG2166" s="17">
        <v>0</v>
      </c>
      <c r="AH2166" s="17">
        <v>0</v>
      </c>
      <c r="AI2166" s="17">
        <v>0</v>
      </c>
      <c r="AJ2166" s="17">
        <v>0</v>
      </c>
      <c r="AK2166" s="17">
        <v>0</v>
      </c>
      <c r="AL2166" s="32">
        <v>0</v>
      </c>
      <c r="AM2166" s="172">
        <v>62.5</v>
      </c>
      <c r="AN2166" s="171">
        <v>55</v>
      </c>
      <c r="AO2166" s="89"/>
      <c r="AP2166" s="88"/>
      <c r="AQ2166" s="17" t="s">
        <v>3413</v>
      </c>
      <c r="AR2166" s="174">
        <v>75</v>
      </c>
      <c r="AS2166" s="171" t="s">
        <v>246</v>
      </c>
      <c r="AT2166" s="171">
        <v>285</v>
      </c>
      <c r="AU2166" s="746">
        <v>16.569767441860463</v>
      </c>
      <c r="AV2166" s="57"/>
      <c r="AW2166" s="171">
        <v>7</v>
      </c>
      <c r="AX2166" s="89"/>
      <c r="AY2166" s="171">
        <v>25</v>
      </c>
      <c r="AZ2166" s="89"/>
      <c r="BA2166" s="175">
        <v>50</v>
      </c>
      <c r="BB2166" s="259"/>
      <c r="BC2166" s="176"/>
      <c r="BD2166" s="177"/>
      <c r="BE2166" s="177"/>
      <c r="BF2166" s="190" t="s">
        <v>3335</v>
      </c>
    </row>
    <row r="2167" spans="1:58">
      <c r="A2167" s="111">
        <v>2166</v>
      </c>
      <c r="B2167" s="211" t="s">
        <v>3263</v>
      </c>
      <c r="C2167" s="191" t="s">
        <v>3307</v>
      </c>
      <c r="D2167" s="171" t="s">
        <v>3290</v>
      </c>
      <c r="E2167" s="732" t="s">
        <v>3379</v>
      </c>
      <c r="F2167" s="171">
        <v>2007</v>
      </c>
      <c r="G2167" s="171">
        <v>20</v>
      </c>
      <c r="H2167" s="172" t="s">
        <v>1738</v>
      </c>
      <c r="I2167" s="173" t="s">
        <v>1751</v>
      </c>
      <c r="J2167" s="242">
        <v>0.5</v>
      </c>
      <c r="K2167" s="213">
        <v>5.618197563973629</v>
      </c>
      <c r="L2167" s="38">
        <v>190</v>
      </c>
      <c r="M2167" s="171">
        <v>380</v>
      </c>
      <c r="N2167" s="171">
        <v>1400</v>
      </c>
      <c r="O2167" s="114"/>
      <c r="P2167" s="71" t="s">
        <v>3446</v>
      </c>
      <c r="Q2167" s="221" t="s">
        <v>1754</v>
      </c>
      <c r="R2167" s="171" t="s">
        <v>3347</v>
      </c>
      <c r="S2167" s="171" t="s">
        <v>3354</v>
      </c>
      <c r="T2167" s="89"/>
      <c r="U2167" s="89" t="s">
        <v>3347</v>
      </c>
      <c r="V2167" s="102">
        <v>0</v>
      </c>
      <c r="W2167" s="120">
        <v>0</v>
      </c>
      <c r="X2167" s="120">
        <v>0</v>
      </c>
      <c r="Y2167" s="120">
        <v>0</v>
      </c>
      <c r="Z2167" s="120">
        <v>0</v>
      </c>
      <c r="AA2167" s="17">
        <v>0</v>
      </c>
      <c r="AB2167" s="17">
        <v>0</v>
      </c>
      <c r="AC2167" s="17">
        <v>0</v>
      </c>
      <c r="AD2167" s="17">
        <v>0</v>
      </c>
      <c r="AE2167" s="17">
        <v>0</v>
      </c>
      <c r="AF2167" s="17">
        <v>0</v>
      </c>
      <c r="AG2167" s="17">
        <v>0</v>
      </c>
      <c r="AH2167" s="17">
        <v>0</v>
      </c>
      <c r="AI2167" s="17">
        <v>0</v>
      </c>
      <c r="AJ2167" s="17">
        <v>0</v>
      </c>
      <c r="AK2167" s="17">
        <v>0</v>
      </c>
      <c r="AL2167" s="32">
        <v>0</v>
      </c>
      <c r="AM2167" s="172">
        <v>50.5</v>
      </c>
      <c r="AN2167" s="171">
        <v>55</v>
      </c>
      <c r="AO2167" s="89"/>
      <c r="AP2167" s="88"/>
      <c r="AQ2167" s="17" t="s">
        <v>3413</v>
      </c>
      <c r="AR2167" s="174">
        <v>75</v>
      </c>
      <c r="AS2167" s="171" t="s">
        <v>246</v>
      </c>
      <c r="AT2167" s="171">
        <v>285</v>
      </c>
      <c r="AU2167" s="746">
        <v>16.569767441860463</v>
      </c>
      <c r="AV2167" s="57"/>
      <c r="AW2167" s="171">
        <v>7</v>
      </c>
      <c r="AX2167" s="89"/>
      <c r="AY2167" s="171">
        <v>25</v>
      </c>
      <c r="AZ2167" s="89"/>
      <c r="BA2167" s="175">
        <v>50</v>
      </c>
      <c r="BB2167" s="259"/>
      <c r="BC2167" s="176"/>
      <c r="BD2167" s="177"/>
      <c r="BE2167" s="177"/>
      <c r="BF2167" s="190" t="s">
        <v>3335</v>
      </c>
    </row>
    <row r="2168" spans="1:58">
      <c r="A2168" s="111">
        <v>2167</v>
      </c>
      <c r="B2168" s="211" t="s">
        <v>3264</v>
      </c>
      <c r="C2168" s="191" t="s">
        <v>3307</v>
      </c>
      <c r="D2168" s="171" t="s">
        <v>3290</v>
      </c>
      <c r="E2168" s="732" t="s">
        <v>3379</v>
      </c>
      <c r="F2168" s="171">
        <v>2007</v>
      </c>
      <c r="G2168" s="171">
        <v>20</v>
      </c>
      <c r="H2168" s="172" t="s">
        <v>1738</v>
      </c>
      <c r="I2168" s="173" t="s">
        <v>1751</v>
      </c>
      <c r="J2168" s="242">
        <v>0.6</v>
      </c>
      <c r="K2168" s="213">
        <v>6.2211800201139793</v>
      </c>
      <c r="L2168" s="38">
        <v>190</v>
      </c>
      <c r="M2168" s="213">
        <v>316.66666666666669</v>
      </c>
      <c r="N2168" s="213">
        <v>900</v>
      </c>
      <c r="O2168" s="114"/>
      <c r="P2168" s="71" t="s">
        <v>3446</v>
      </c>
      <c r="Q2168" s="221" t="s">
        <v>1754</v>
      </c>
      <c r="R2168" s="171" t="s">
        <v>3347</v>
      </c>
      <c r="S2168" s="171" t="s">
        <v>3354</v>
      </c>
      <c r="T2168" s="89"/>
      <c r="U2168" s="89" t="s">
        <v>3347</v>
      </c>
      <c r="V2168" s="102">
        <v>0</v>
      </c>
      <c r="W2168" s="120">
        <v>0</v>
      </c>
      <c r="X2168" s="120">
        <v>0</v>
      </c>
      <c r="Y2168" s="120">
        <v>0</v>
      </c>
      <c r="Z2168" s="120">
        <v>0</v>
      </c>
      <c r="AA2168" s="17">
        <v>0</v>
      </c>
      <c r="AB2168" s="17">
        <v>0</v>
      </c>
      <c r="AC2168" s="17">
        <v>0</v>
      </c>
      <c r="AD2168" s="17">
        <v>0</v>
      </c>
      <c r="AE2168" s="17">
        <v>0</v>
      </c>
      <c r="AF2168" s="17">
        <v>0</v>
      </c>
      <c r="AG2168" s="17">
        <v>0</v>
      </c>
      <c r="AH2168" s="17">
        <v>0</v>
      </c>
      <c r="AI2168" s="17">
        <v>0</v>
      </c>
      <c r="AJ2168" s="17">
        <v>0</v>
      </c>
      <c r="AK2168" s="17">
        <v>0</v>
      </c>
      <c r="AL2168" s="32">
        <v>0</v>
      </c>
      <c r="AM2168" s="172">
        <v>38.1</v>
      </c>
      <c r="AN2168" s="171">
        <v>80</v>
      </c>
      <c r="AO2168" s="89"/>
      <c r="AP2168" s="88"/>
      <c r="AQ2168" s="17" t="s">
        <v>3413</v>
      </c>
      <c r="AR2168" s="174">
        <v>75</v>
      </c>
      <c r="AS2168" s="171" t="s">
        <v>246</v>
      </c>
      <c r="AT2168" s="171">
        <v>285</v>
      </c>
      <c r="AU2168" s="746">
        <v>16.569767441860463</v>
      </c>
      <c r="AV2168" s="57"/>
      <c r="AW2168" s="171">
        <v>7</v>
      </c>
      <c r="AX2168" s="89"/>
      <c r="AY2168" s="171">
        <v>25</v>
      </c>
      <c r="AZ2168" s="89"/>
      <c r="BA2168" s="175">
        <v>50</v>
      </c>
      <c r="BB2168" s="259"/>
      <c r="BC2168" s="176"/>
      <c r="BD2168" s="177"/>
      <c r="BE2168" s="177"/>
      <c r="BF2168" s="190" t="s">
        <v>3335</v>
      </c>
    </row>
    <row r="2169" spans="1:58">
      <c r="A2169" s="111">
        <v>2168</v>
      </c>
      <c r="B2169" s="211" t="s">
        <v>3265</v>
      </c>
      <c r="C2169" s="191" t="s">
        <v>3307</v>
      </c>
      <c r="D2169" s="171" t="s">
        <v>3290</v>
      </c>
      <c r="E2169" s="732" t="s">
        <v>3379</v>
      </c>
      <c r="F2169" s="171">
        <v>2007</v>
      </c>
      <c r="G2169" s="171">
        <v>20</v>
      </c>
      <c r="H2169" s="172" t="s">
        <v>1738</v>
      </c>
      <c r="I2169" s="173" t="s">
        <v>1751</v>
      </c>
      <c r="J2169" s="242">
        <v>0.4</v>
      </c>
      <c r="K2169" s="213">
        <v>3.4601273885350321</v>
      </c>
      <c r="L2169" s="38">
        <v>200</v>
      </c>
      <c r="M2169" s="171">
        <v>500</v>
      </c>
      <c r="N2169" s="171">
        <v>1100</v>
      </c>
      <c r="O2169" s="114"/>
      <c r="P2169" s="71" t="s">
        <v>3446</v>
      </c>
      <c r="Q2169" s="221" t="s">
        <v>1754</v>
      </c>
      <c r="R2169" s="171" t="s">
        <v>3347</v>
      </c>
      <c r="S2169" s="171" t="s">
        <v>3354</v>
      </c>
      <c r="T2169" s="89"/>
      <c r="U2169" s="89" t="s">
        <v>3347</v>
      </c>
      <c r="V2169" s="102">
        <v>0</v>
      </c>
      <c r="W2169" s="120">
        <v>0</v>
      </c>
      <c r="X2169" s="120">
        <v>0</v>
      </c>
      <c r="Y2169" s="120">
        <v>0</v>
      </c>
      <c r="Z2169" s="120">
        <v>0</v>
      </c>
      <c r="AA2169" s="17">
        <v>0</v>
      </c>
      <c r="AB2169" s="17">
        <v>0</v>
      </c>
      <c r="AC2169" s="17">
        <v>0</v>
      </c>
      <c r="AD2169" s="17">
        <v>0</v>
      </c>
      <c r="AE2169" s="17">
        <v>0</v>
      </c>
      <c r="AF2169" s="17">
        <v>0</v>
      </c>
      <c r="AG2169" s="17">
        <v>0</v>
      </c>
      <c r="AH2169" s="17">
        <v>0</v>
      </c>
      <c r="AI2169" s="17">
        <v>0</v>
      </c>
      <c r="AJ2169" s="17">
        <v>0</v>
      </c>
      <c r="AK2169" s="17">
        <v>0</v>
      </c>
      <c r="AL2169" s="32">
        <v>0</v>
      </c>
      <c r="AM2169" s="172">
        <v>57.3</v>
      </c>
      <c r="AN2169" s="171">
        <v>60</v>
      </c>
      <c r="AO2169" s="89"/>
      <c r="AP2169" s="88"/>
      <c r="AQ2169" s="17" t="s">
        <v>3413</v>
      </c>
      <c r="AR2169" s="174">
        <v>75</v>
      </c>
      <c r="AS2169" s="171" t="s">
        <v>246</v>
      </c>
      <c r="AT2169" s="171">
        <v>285</v>
      </c>
      <c r="AU2169" s="746">
        <v>16.569767441860463</v>
      </c>
      <c r="AV2169" s="57"/>
      <c r="AW2169" s="171">
        <v>7</v>
      </c>
      <c r="AX2169" s="89"/>
      <c r="AY2169" s="171">
        <v>25</v>
      </c>
      <c r="AZ2169" s="89"/>
      <c r="BA2169" s="175">
        <v>50</v>
      </c>
      <c r="BB2169" s="259"/>
      <c r="BC2169" s="176"/>
      <c r="BD2169" s="177"/>
      <c r="BE2169" s="177"/>
      <c r="BF2169" s="190" t="s">
        <v>3335</v>
      </c>
    </row>
    <row r="2170" spans="1:58">
      <c r="A2170" s="111">
        <v>2169</v>
      </c>
      <c r="B2170" s="211" t="s">
        <v>3266</v>
      </c>
      <c r="C2170" s="191" t="s">
        <v>3307</v>
      </c>
      <c r="D2170" s="171" t="s">
        <v>3290</v>
      </c>
      <c r="E2170" s="732" t="s">
        <v>3379</v>
      </c>
      <c r="F2170" s="171">
        <v>2007</v>
      </c>
      <c r="G2170" s="171">
        <v>20</v>
      </c>
      <c r="H2170" s="172" t="s">
        <v>1738</v>
      </c>
      <c r="I2170" s="173" t="s">
        <v>1751</v>
      </c>
      <c r="J2170" s="242">
        <v>0.5</v>
      </c>
      <c r="K2170" s="213">
        <v>5.169294055201699</v>
      </c>
      <c r="L2170" s="38">
        <v>200</v>
      </c>
      <c r="M2170" s="171">
        <v>400</v>
      </c>
      <c r="N2170" s="171">
        <v>1200</v>
      </c>
      <c r="O2170" s="114"/>
      <c r="P2170" s="71" t="s">
        <v>3446</v>
      </c>
      <c r="Q2170" s="221" t="s">
        <v>1754</v>
      </c>
      <c r="R2170" s="171" t="s">
        <v>3347</v>
      </c>
      <c r="S2170" s="171" t="s">
        <v>3354</v>
      </c>
      <c r="T2170" s="89"/>
      <c r="U2170" s="89" t="s">
        <v>3347</v>
      </c>
      <c r="V2170" s="102">
        <v>0</v>
      </c>
      <c r="W2170" s="120">
        <v>0</v>
      </c>
      <c r="X2170" s="120">
        <v>0</v>
      </c>
      <c r="Y2170" s="120">
        <v>0</v>
      </c>
      <c r="Z2170" s="120">
        <v>0</v>
      </c>
      <c r="AA2170" s="17">
        <v>0</v>
      </c>
      <c r="AB2170" s="17">
        <v>0</v>
      </c>
      <c r="AC2170" s="17">
        <v>0</v>
      </c>
      <c r="AD2170" s="17">
        <v>0</v>
      </c>
      <c r="AE2170" s="17">
        <v>0</v>
      </c>
      <c r="AF2170" s="17">
        <v>0</v>
      </c>
      <c r="AG2170" s="17">
        <v>0</v>
      </c>
      <c r="AH2170" s="17">
        <v>0</v>
      </c>
      <c r="AI2170" s="17">
        <v>0</v>
      </c>
      <c r="AJ2170" s="17">
        <v>0</v>
      </c>
      <c r="AK2170" s="17">
        <v>0</v>
      </c>
      <c r="AL2170" s="32">
        <v>0</v>
      </c>
      <c r="AM2170" s="172">
        <v>48.1</v>
      </c>
      <c r="AN2170" s="171">
        <v>65</v>
      </c>
      <c r="AO2170" s="89"/>
      <c r="AP2170" s="88"/>
      <c r="AQ2170" s="17" t="s">
        <v>3413</v>
      </c>
      <c r="AR2170" s="174">
        <v>75</v>
      </c>
      <c r="AS2170" s="171" t="s">
        <v>246</v>
      </c>
      <c r="AT2170" s="171">
        <v>285</v>
      </c>
      <c r="AU2170" s="746">
        <v>16.569767441860463</v>
      </c>
      <c r="AV2170" s="57"/>
      <c r="AW2170" s="171">
        <v>7</v>
      </c>
      <c r="AX2170" s="89"/>
      <c r="AY2170" s="171">
        <v>25</v>
      </c>
      <c r="AZ2170" s="89"/>
      <c r="BA2170" s="175">
        <v>50</v>
      </c>
      <c r="BB2170" s="259"/>
      <c r="BC2170" s="176"/>
      <c r="BD2170" s="177"/>
      <c r="BE2170" s="177"/>
      <c r="BF2170" s="190" t="s">
        <v>3335</v>
      </c>
    </row>
    <row r="2171" spans="1:58">
      <c r="A2171" s="111">
        <v>2170</v>
      </c>
      <c r="B2171" s="211" t="s">
        <v>3267</v>
      </c>
      <c r="C2171" s="191" t="s">
        <v>3307</v>
      </c>
      <c r="D2171" s="171" t="s">
        <v>3290</v>
      </c>
      <c r="E2171" s="732" t="s">
        <v>3379</v>
      </c>
      <c r="F2171" s="171">
        <v>2007</v>
      </c>
      <c r="G2171" s="171">
        <v>20</v>
      </c>
      <c r="H2171" s="172" t="s">
        <v>1738</v>
      </c>
      <c r="I2171" s="173" t="s">
        <v>1751</v>
      </c>
      <c r="J2171" s="242">
        <v>0.59999999999999987</v>
      </c>
      <c r="K2171" s="213">
        <v>5.9541273885350305</v>
      </c>
      <c r="L2171" s="38">
        <v>200</v>
      </c>
      <c r="M2171" s="213">
        <v>333.33333333333343</v>
      </c>
      <c r="N2171" s="213">
        <v>1300</v>
      </c>
      <c r="O2171" s="114"/>
      <c r="P2171" s="71" t="s">
        <v>3446</v>
      </c>
      <c r="Q2171" s="221" t="s">
        <v>1754</v>
      </c>
      <c r="R2171" s="171" t="s">
        <v>3347</v>
      </c>
      <c r="S2171" s="171" t="s">
        <v>3354</v>
      </c>
      <c r="T2171" s="89"/>
      <c r="U2171" s="89" t="s">
        <v>3347</v>
      </c>
      <c r="V2171" s="102">
        <v>0</v>
      </c>
      <c r="W2171" s="120">
        <v>0</v>
      </c>
      <c r="X2171" s="120">
        <v>0</v>
      </c>
      <c r="Y2171" s="120">
        <v>0</v>
      </c>
      <c r="Z2171" s="120">
        <v>0</v>
      </c>
      <c r="AA2171" s="17">
        <v>0</v>
      </c>
      <c r="AB2171" s="17">
        <v>0</v>
      </c>
      <c r="AC2171" s="17">
        <v>0</v>
      </c>
      <c r="AD2171" s="17">
        <v>0</v>
      </c>
      <c r="AE2171" s="17">
        <v>0</v>
      </c>
      <c r="AF2171" s="17">
        <v>0</v>
      </c>
      <c r="AG2171" s="17">
        <v>0</v>
      </c>
      <c r="AH2171" s="17">
        <v>0</v>
      </c>
      <c r="AI2171" s="17">
        <v>0</v>
      </c>
      <c r="AJ2171" s="17">
        <v>0</v>
      </c>
      <c r="AK2171" s="17">
        <v>0</v>
      </c>
      <c r="AL2171" s="32">
        <v>0</v>
      </c>
      <c r="AM2171" s="172">
        <v>49.1</v>
      </c>
      <c r="AN2171" s="171">
        <v>75</v>
      </c>
      <c r="AO2171" s="89"/>
      <c r="AP2171" s="88"/>
      <c r="AQ2171" s="17" t="s">
        <v>3413</v>
      </c>
      <c r="AR2171" s="174">
        <v>75</v>
      </c>
      <c r="AS2171" s="171" t="s">
        <v>246</v>
      </c>
      <c r="AT2171" s="171">
        <v>285</v>
      </c>
      <c r="AU2171" s="746">
        <v>16.569767441860463</v>
      </c>
      <c r="AV2171" s="57"/>
      <c r="AW2171" s="171">
        <v>7</v>
      </c>
      <c r="AX2171" s="89"/>
      <c r="AY2171" s="171">
        <v>25</v>
      </c>
      <c r="AZ2171" s="89"/>
      <c r="BA2171" s="175">
        <v>50</v>
      </c>
      <c r="BB2171" s="259"/>
      <c r="BC2171" s="176"/>
      <c r="BD2171" s="177"/>
      <c r="BE2171" s="177"/>
      <c r="BF2171" s="190" t="s">
        <v>3335</v>
      </c>
    </row>
    <row r="2172" spans="1:58">
      <c r="A2172" s="111">
        <v>2171</v>
      </c>
      <c r="B2172" s="211" t="s">
        <v>3268</v>
      </c>
      <c r="C2172" s="191" t="s">
        <v>3307</v>
      </c>
      <c r="D2172" s="171" t="s">
        <v>3290</v>
      </c>
      <c r="E2172" s="732" t="s">
        <v>3379</v>
      </c>
      <c r="F2172" s="171">
        <v>2007</v>
      </c>
      <c r="G2172" s="171">
        <v>20</v>
      </c>
      <c r="H2172" s="172" t="s">
        <v>1738</v>
      </c>
      <c r="I2172" s="173" t="s">
        <v>1751</v>
      </c>
      <c r="J2172" s="242">
        <v>0.4</v>
      </c>
      <c r="K2172" s="213">
        <v>4.1428571428571432</v>
      </c>
      <c r="L2172" s="38">
        <v>210</v>
      </c>
      <c r="M2172" s="171">
        <v>525</v>
      </c>
      <c r="N2172" s="171">
        <v>1400</v>
      </c>
      <c r="O2172" s="114"/>
      <c r="P2172" s="71" t="s">
        <v>3446</v>
      </c>
      <c r="Q2172" s="221" t="s">
        <v>1754</v>
      </c>
      <c r="R2172" s="171" t="s">
        <v>3347</v>
      </c>
      <c r="S2172" s="171" t="s">
        <v>3354</v>
      </c>
      <c r="T2172" s="89"/>
      <c r="U2172" s="89" t="s">
        <v>3347</v>
      </c>
      <c r="V2172" s="102">
        <v>0</v>
      </c>
      <c r="W2172" s="120">
        <v>0</v>
      </c>
      <c r="X2172" s="120">
        <v>0</v>
      </c>
      <c r="Y2172" s="120">
        <v>0</v>
      </c>
      <c r="Z2172" s="120">
        <v>0</v>
      </c>
      <c r="AA2172" s="17">
        <v>0</v>
      </c>
      <c r="AB2172" s="17">
        <v>0</v>
      </c>
      <c r="AC2172" s="17">
        <v>0</v>
      </c>
      <c r="AD2172" s="17">
        <v>0</v>
      </c>
      <c r="AE2172" s="17">
        <v>0</v>
      </c>
      <c r="AF2172" s="17">
        <v>0</v>
      </c>
      <c r="AG2172" s="17">
        <v>0</v>
      </c>
      <c r="AH2172" s="17">
        <v>0</v>
      </c>
      <c r="AI2172" s="17">
        <v>0</v>
      </c>
      <c r="AJ2172" s="17">
        <v>0</v>
      </c>
      <c r="AK2172" s="17">
        <v>0</v>
      </c>
      <c r="AL2172" s="32">
        <v>0</v>
      </c>
      <c r="AM2172" s="172">
        <v>59.3</v>
      </c>
      <c r="AN2172" s="171">
        <v>65</v>
      </c>
      <c r="AO2172" s="89"/>
      <c r="AP2172" s="88"/>
      <c r="AQ2172" s="17" t="s">
        <v>3413</v>
      </c>
      <c r="AR2172" s="174">
        <v>75</v>
      </c>
      <c r="AS2172" s="171" t="s">
        <v>246</v>
      </c>
      <c r="AT2172" s="171">
        <v>285</v>
      </c>
      <c r="AU2172" s="746">
        <v>16.569767441860463</v>
      </c>
      <c r="AV2172" s="57"/>
      <c r="AW2172" s="171">
        <v>7</v>
      </c>
      <c r="AX2172" s="89"/>
      <c r="AY2172" s="171">
        <v>25</v>
      </c>
      <c r="AZ2172" s="89"/>
      <c r="BA2172" s="175">
        <v>50</v>
      </c>
      <c r="BB2172" s="259"/>
      <c r="BC2172" s="176"/>
      <c r="BD2172" s="177"/>
      <c r="BE2172" s="177"/>
      <c r="BF2172" s="190" t="s">
        <v>3335</v>
      </c>
    </row>
    <row r="2173" spans="1:58">
      <c r="A2173" s="111">
        <v>2172</v>
      </c>
      <c r="B2173" s="211" t="s">
        <v>3269</v>
      </c>
      <c r="C2173" s="191" t="s">
        <v>3307</v>
      </c>
      <c r="D2173" s="171" t="s">
        <v>3290</v>
      </c>
      <c r="E2173" s="732" t="s">
        <v>3379</v>
      </c>
      <c r="F2173" s="171">
        <v>2007</v>
      </c>
      <c r="G2173" s="171">
        <v>20</v>
      </c>
      <c r="H2173" s="172" t="s">
        <v>1738</v>
      </c>
      <c r="I2173" s="173" t="s">
        <v>1751</v>
      </c>
      <c r="J2173" s="242">
        <v>0.5</v>
      </c>
      <c r="K2173" s="213">
        <v>4.6155242139318577</v>
      </c>
      <c r="L2173" s="38">
        <v>210</v>
      </c>
      <c r="M2173" s="171">
        <v>420</v>
      </c>
      <c r="N2173" s="171">
        <v>900</v>
      </c>
      <c r="O2173" s="114"/>
      <c r="P2173" s="71" t="s">
        <v>3446</v>
      </c>
      <c r="Q2173" s="221" t="s">
        <v>1754</v>
      </c>
      <c r="R2173" s="171" t="s">
        <v>3347</v>
      </c>
      <c r="S2173" s="171" t="s">
        <v>3354</v>
      </c>
      <c r="T2173" s="89"/>
      <c r="U2173" s="89" t="s">
        <v>3347</v>
      </c>
      <c r="V2173" s="102">
        <v>0</v>
      </c>
      <c r="W2173" s="120">
        <v>0</v>
      </c>
      <c r="X2173" s="120">
        <v>0</v>
      </c>
      <c r="Y2173" s="120">
        <v>0</v>
      </c>
      <c r="Z2173" s="120">
        <v>0</v>
      </c>
      <c r="AA2173" s="17">
        <v>0</v>
      </c>
      <c r="AB2173" s="17">
        <v>0</v>
      </c>
      <c r="AC2173" s="17">
        <v>0</v>
      </c>
      <c r="AD2173" s="17">
        <v>0</v>
      </c>
      <c r="AE2173" s="17">
        <v>0</v>
      </c>
      <c r="AF2173" s="17">
        <v>0</v>
      </c>
      <c r="AG2173" s="17">
        <v>0</v>
      </c>
      <c r="AH2173" s="17">
        <v>0</v>
      </c>
      <c r="AI2173" s="17">
        <v>0</v>
      </c>
      <c r="AJ2173" s="17">
        <v>0</v>
      </c>
      <c r="AK2173" s="17">
        <v>0</v>
      </c>
      <c r="AL2173" s="32">
        <v>0</v>
      </c>
      <c r="AM2173" s="172">
        <v>47.9</v>
      </c>
      <c r="AN2173" s="171">
        <v>60</v>
      </c>
      <c r="AO2173" s="89"/>
      <c r="AP2173" s="88"/>
      <c r="AQ2173" s="17" t="s">
        <v>3413</v>
      </c>
      <c r="AR2173" s="174">
        <v>75</v>
      </c>
      <c r="AS2173" s="171" t="s">
        <v>246</v>
      </c>
      <c r="AT2173" s="171">
        <v>285</v>
      </c>
      <c r="AU2173" s="746">
        <v>16.569767441860463</v>
      </c>
      <c r="AV2173" s="57"/>
      <c r="AW2173" s="171">
        <v>7</v>
      </c>
      <c r="AX2173" s="89"/>
      <c r="AY2173" s="171">
        <v>25</v>
      </c>
      <c r="AZ2173" s="89"/>
      <c r="BA2173" s="175">
        <v>50</v>
      </c>
      <c r="BB2173" s="259"/>
      <c r="BC2173" s="176"/>
      <c r="BD2173" s="177"/>
      <c r="BE2173" s="177"/>
      <c r="BF2173" s="190" t="s">
        <v>3335</v>
      </c>
    </row>
    <row r="2174" spans="1:58">
      <c r="A2174" s="111">
        <v>2173</v>
      </c>
      <c r="B2174" s="211" t="s">
        <v>3270</v>
      </c>
      <c r="C2174" s="191" t="s">
        <v>3307</v>
      </c>
      <c r="D2174" s="171" t="s">
        <v>3290</v>
      </c>
      <c r="E2174" s="732" t="s">
        <v>3379</v>
      </c>
      <c r="F2174" s="171">
        <v>2007</v>
      </c>
      <c r="G2174" s="171">
        <v>20</v>
      </c>
      <c r="H2174" s="172" t="s">
        <v>1738</v>
      </c>
      <c r="I2174" s="173" t="s">
        <v>1751</v>
      </c>
      <c r="J2174" s="242">
        <v>0.6</v>
      </c>
      <c r="K2174" s="213">
        <v>6.4248892932969373</v>
      </c>
      <c r="L2174" s="38">
        <v>210</v>
      </c>
      <c r="M2174" s="171">
        <v>350</v>
      </c>
      <c r="N2174" s="171">
        <v>1000</v>
      </c>
      <c r="O2174" s="114"/>
      <c r="P2174" s="71" t="s">
        <v>3446</v>
      </c>
      <c r="Q2174" s="221" t="s">
        <v>1754</v>
      </c>
      <c r="R2174" s="171" t="s">
        <v>3347</v>
      </c>
      <c r="S2174" s="171" t="s">
        <v>3354</v>
      </c>
      <c r="T2174" s="89"/>
      <c r="U2174" s="89" t="s">
        <v>3347</v>
      </c>
      <c r="V2174" s="102">
        <v>0</v>
      </c>
      <c r="W2174" s="120">
        <v>0</v>
      </c>
      <c r="X2174" s="120">
        <v>0</v>
      </c>
      <c r="Y2174" s="120">
        <v>0</v>
      </c>
      <c r="Z2174" s="120">
        <v>0</v>
      </c>
      <c r="AA2174" s="17">
        <v>0</v>
      </c>
      <c r="AB2174" s="17">
        <v>0</v>
      </c>
      <c r="AC2174" s="17">
        <v>0</v>
      </c>
      <c r="AD2174" s="17">
        <v>0</v>
      </c>
      <c r="AE2174" s="17">
        <v>0</v>
      </c>
      <c r="AF2174" s="17">
        <v>0</v>
      </c>
      <c r="AG2174" s="17">
        <v>0</v>
      </c>
      <c r="AH2174" s="17">
        <v>0</v>
      </c>
      <c r="AI2174" s="17">
        <v>0</v>
      </c>
      <c r="AJ2174" s="17">
        <v>0</v>
      </c>
      <c r="AK2174" s="17">
        <v>0</v>
      </c>
      <c r="AL2174" s="32">
        <v>0</v>
      </c>
      <c r="AM2174" s="172">
        <v>38.1</v>
      </c>
      <c r="AN2174" s="171">
        <v>70</v>
      </c>
      <c r="AO2174" s="89"/>
      <c r="AP2174" s="88"/>
      <c r="AQ2174" s="17" t="s">
        <v>3413</v>
      </c>
      <c r="AR2174" s="174">
        <v>75</v>
      </c>
      <c r="AS2174" s="171" t="s">
        <v>246</v>
      </c>
      <c r="AT2174" s="171">
        <v>285</v>
      </c>
      <c r="AU2174" s="746">
        <v>16.569767441860463</v>
      </c>
      <c r="AV2174" s="57"/>
      <c r="AW2174" s="171">
        <v>7</v>
      </c>
      <c r="AX2174" s="89"/>
      <c r="AY2174" s="171">
        <v>25</v>
      </c>
      <c r="AZ2174" s="89"/>
      <c r="BA2174" s="175">
        <v>50</v>
      </c>
      <c r="BB2174" s="259"/>
      <c r="BC2174" s="176"/>
      <c r="BD2174" s="177"/>
      <c r="BE2174" s="177"/>
      <c r="BF2174" s="190" t="s">
        <v>3335</v>
      </c>
    </row>
    <row r="2175" spans="1:58">
      <c r="A2175" s="111">
        <v>2174</v>
      </c>
      <c r="B2175" s="211" t="s">
        <v>3271</v>
      </c>
      <c r="C2175" s="191" t="s">
        <v>3308</v>
      </c>
      <c r="D2175" s="171" t="s">
        <v>3290</v>
      </c>
      <c r="E2175" s="732" t="s">
        <v>3379</v>
      </c>
      <c r="F2175" s="171">
        <v>2004</v>
      </c>
      <c r="G2175" s="171">
        <v>21</v>
      </c>
      <c r="H2175" s="172" t="s">
        <v>1738</v>
      </c>
      <c r="I2175" s="173" t="s">
        <v>1751</v>
      </c>
      <c r="J2175" s="242">
        <v>0.6</v>
      </c>
      <c r="K2175" s="213">
        <v>6.3666666666666663</v>
      </c>
      <c r="L2175" s="38">
        <v>180</v>
      </c>
      <c r="M2175" s="171">
        <v>150</v>
      </c>
      <c r="N2175" s="171">
        <v>1100</v>
      </c>
      <c r="O2175" s="162"/>
      <c r="P2175" s="71">
        <v>42.5</v>
      </c>
      <c r="Q2175" s="221" t="s">
        <v>1754</v>
      </c>
      <c r="R2175" s="171" t="s">
        <v>3347</v>
      </c>
      <c r="S2175" s="171" t="s">
        <v>3354</v>
      </c>
      <c r="T2175" s="89"/>
      <c r="U2175" s="89" t="s">
        <v>3347</v>
      </c>
      <c r="V2175" s="102">
        <v>0</v>
      </c>
      <c r="W2175" s="120">
        <v>0</v>
      </c>
      <c r="X2175" s="120">
        <v>0</v>
      </c>
      <c r="Y2175" s="120">
        <v>50</v>
      </c>
      <c r="Z2175" s="120">
        <v>0</v>
      </c>
      <c r="AA2175" s="17">
        <v>0</v>
      </c>
      <c r="AB2175" s="17">
        <v>0</v>
      </c>
      <c r="AC2175" s="17">
        <v>0</v>
      </c>
      <c r="AD2175" s="17">
        <v>0</v>
      </c>
      <c r="AE2175" s="17">
        <v>0</v>
      </c>
      <c r="AF2175" s="17">
        <v>0</v>
      </c>
      <c r="AG2175" s="17">
        <v>0</v>
      </c>
      <c r="AH2175" s="17">
        <v>0</v>
      </c>
      <c r="AI2175" s="17">
        <v>0</v>
      </c>
      <c r="AJ2175" s="17">
        <v>0</v>
      </c>
      <c r="AK2175" s="17">
        <v>0</v>
      </c>
      <c r="AL2175" s="32">
        <v>0</v>
      </c>
      <c r="AM2175" s="172">
        <v>28.8</v>
      </c>
      <c r="AN2175" s="171">
        <v>90</v>
      </c>
      <c r="AO2175" s="89"/>
      <c r="AP2175" s="783">
        <v>27.15</v>
      </c>
      <c r="AQ2175" s="17" t="s">
        <v>3414</v>
      </c>
      <c r="AR2175" s="174">
        <v>50</v>
      </c>
      <c r="AS2175" s="171" t="s">
        <v>246</v>
      </c>
      <c r="AT2175" s="171">
        <v>300</v>
      </c>
      <c r="AU2175" s="171">
        <v>25</v>
      </c>
      <c r="AV2175" s="57"/>
      <c r="AW2175" s="171">
        <v>28</v>
      </c>
      <c r="AX2175" s="89"/>
      <c r="AY2175" s="171">
        <v>23</v>
      </c>
      <c r="AZ2175" s="89"/>
      <c r="BA2175" s="175">
        <v>55</v>
      </c>
      <c r="BB2175" s="259"/>
      <c r="BC2175" s="176"/>
      <c r="BD2175" s="177"/>
      <c r="BE2175" s="177"/>
      <c r="BF2175" s="190" t="s">
        <v>3328</v>
      </c>
    </row>
    <row r="2176" spans="1:58">
      <c r="A2176" s="111">
        <v>2175</v>
      </c>
      <c r="B2176" s="211" t="s">
        <v>3272</v>
      </c>
      <c r="C2176" s="191" t="s">
        <v>3308</v>
      </c>
      <c r="D2176" s="171" t="s">
        <v>3290</v>
      </c>
      <c r="E2176" s="732" t="s">
        <v>3379</v>
      </c>
      <c r="F2176" s="171">
        <v>2004</v>
      </c>
      <c r="G2176" s="171">
        <v>21</v>
      </c>
      <c r="H2176" s="172" t="s">
        <v>1738</v>
      </c>
      <c r="I2176" s="173" t="s">
        <v>1751</v>
      </c>
      <c r="J2176" s="242">
        <v>0.6</v>
      </c>
      <c r="K2176" s="213">
        <v>6.4</v>
      </c>
      <c r="L2176" s="38">
        <v>180</v>
      </c>
      <c r="M2176" s="171">
        <v>300</v>
      </c>
      <c r="N2176" s="171">
        <v>1100</v>
      </c>
      <c r="O2176" s="162"/>
      <c r="P2176" s="71">
        <v>42.5</v>
      </c>
      <c r="Q2176" s="221" t="s">
        <v>1754</v>
      </c>
      <c r="R2176" s="171" t="s">
        <v>3347</v>
      </c>
      <c r="S2176" s="171" t="s">
        <v>3354</v>
      </c>
      <c r="T2176" s="89"/>
      <c r="U2176" s="89" t="s">
        <v>3347</v>
      </c>
      <c r="V2176" s="102">
        <v>0</v>
      </c>
      <c r="W2176" s="120">
        <v>0</v>
      </c>
      <c r="X2176" s="120">
        <v>0</v>
      </c>
      <c r="Y2176" s="120">
        <v>0</v>
      </c>
      <c r="Z2176" s="120">
        <v>0</v>
      </c>
      <c r="AA2176" s="17">
        <v>0</v>
      </c>
      <c r="AB2176" s="17">
        <v>0</v>
      </c>
      <c r="AC2176" s="17">
        <v>0</v>
      </c>
      <c r="AD2176" s="17">
        <v>0</v>
      </c>
      <c r="AE2176" s="17">
        <v>0</v>
      </c>
      <c r="AF2176" s="17">
        <v>0</v>
      </c>
      <c r="AG2176" s="17">
        <v>0</v>
      </c>
      <c r="AH2176" s="17">
        <v>0</v>
      </c>
      <c r="AI2176" s="17">
        <v>0</v>
      </c>
      <c r="AJ2176" s="17">
        <v>0</v>
      </c>
      <c r="AK2176" s="17">
        <v>0</v>
      </c>
      <c r="AL2176" s="32">
        <v>0</v>
      </c>
      <c r="AM2176" s="172">
        <v>33.6</v>
      </c>
      <c r="AN2176" s="171">
        <v>85</v>
      </c>
      <c r="AO2176" s="89"/>
      <c r="AP2176" s="783">
        <v>26.67</v>
      </c>
      <c r="AQ2176" s="17" t="s">
        <v>3414</v>
      </c>
      <c r="AR2176" s="174">
        <v>50</v>
      </c>
      <c r="AS2176" s="171" t="s">
        <v>246</v>
      </c>
      <c r="AT2176" s="171">
        <v>300</v>
      </c>
      <c r="AU2176" s="171">
        <v>25</v>
      </c>
      <c r="AV2176" s="57"/>
      <c r="AW2176" s="171">
        <v>28</v>
      </c>
      <c r="AX2176" s="89"/>
      <c r="AY2176" s="171">
        <v>23</v>
      </c>
      <c r="AZ2176" s="89"/>
      <c r="BA2176" s="175">
        <v>55</v>
      </c>
      <c r="BB2176" s="259"/>
      <c r="BC2176" s="176"/>
      <c r="BD2176" s="177"/>
      <c r="BE2176" s="177"/>
      <c r="BF2176" s="190" t="s">
        <v>3328</v>
      </c>
    </row>
    <row r="2177" spans="1:58">
      <c r="A2177" s="111">
        <v>2176</v>
      </c>
      <c r="B2177" s="211" t="s">
        <v>3273</v>
      </c>
      <c r="C2177" s="191" t="s">
        <v>425</v>
      </c>
      <c r="D2177" s="171" t="s">
        <v>3290</v>
      </c>
      <c r="E2177" s="732" t="s">
        <v>3379</v>
      </c>
      <c r="F2177" s="171">
        <v>1994</v>
      </c>
      <c r="G2177" s="171">
        <v>22</v>
      </c>
      <c r="H2177" s="172" t="s">
        <v>1738</v>
      </c>
      <c r="I2177" s="173" t="s">
        <v>1751</v>
      </c>
      <c r="J2177" s="242">
        <v>0.54166666666666663</v>
      </c>
      <c r="K2177" s="213">
        <v>5.25</v>
      </c>
      <c r="L2177" s="38">
        <v>195</v>
      </c>
      <c r="M2177" s="171">
        <v>360</v>
      </c>
      <c r="N2177" s="171">
        <v>1150</v>
      </c>
      <c r="O2177" s="114"/>
      <c r="P2177" s="71" t="s">
        <v>126</v>
      </c>
      <c r="Q2177" s="221" t="s">
        <v>1754</v>
      </c>
      <c r="R2177" s="171" t="s">
        <v>3342</v>
      </c>
      <c r="S2177" s="171" t="s">
        <v>3376</v>
      </c>
      <c r="T2177" s="89"/>
      <c r="U2177" s="89" t="s">
        <v>3342</v>
      </c>
      <c r="V2177" s="102">
        <v>0</v>
      </c>
      <c r="W2177" s="120">
        <v>0</v>
      </c>
      <c r="X2177" s="120">
        <v>0</v>
      </c>
      <c r="Y2177" s="120">
        <v>0</v>
      </c>
      <c r="Z2177" s="120">
        <v>0</v>
      </c>
      <c r="AA2177" s="17">
        <v>0</v>
      </c>
      <c r="AB2177" s="17">
        <v>0</v>
      </c>
      <c r="AC2177" s="17">
        <v>0</v>
      </c>
      <c r="AD2177" s="17">
        <v>0</v>
      </c>
      <c r="AE2177" s="17">
        <v>0</v>
      </c>
      <c r="AF2177" s="17">
        <v>0</v>
      </c>
      <c r="AG2177" s="17">
        <v>0</v>
      </c>
      <c r="AH2177" s="17">
        <v>0</v>
      </c>
      <c r="AI2177" s="17">
        <v>0</v>
      </c>
      <c r="AJ2177" s="17">
        <v>0</v>
      </c>
      <c r="AK2177" s="17">
        <v>0</v>
      </c>
      <c r="AL2177" s="32">
        <v>0</v>
      </c>
      <c r="AM2177" s="172">
        <v>40</v>
      </c>
      <c r="AN2177" s="171">
        <v>35</v>
      </c>
      <c r="AO2177" s="89"/>
      <c r="AP2177" s="783">
        <v>35.4</v>
      </c>
      <c r="AQ2177" s="17" t="s">
        <v>3403</v>
      </c>
      <c r="AR2177" s="174">
        <v>100</v>
      </c>
      <c r="AS2177" s="171" t="s">
        <v>246</v>
      </c>
      <c r="AT2177" s="171">
        <v>200</v>
      </c>
      <c r="AU2177" s="171">
        <v>20</v>
      </c>
      <c r="AV2177" s="57"/>
      <c r="AW2177" s="171">
        <v>28</v>
      </c>
      <c r="AX2177" s="89"/>
      <c r="AY2177" s="171">
        <v>23</v>
      </c>
      <c r="AZ2177" s="89"/>
      <c r="BA2177" s="175">
        <v>60</v>
      </c>
      <c r="BB2177" s="259"/>
      <c r="BC2177" s="176"/>
      <c r="BD2177" s="177"/>
      <c r="BE2177" s="177"/>
      <c r="BF2177" s="190" t="s">
        <v>3336</v>
      </c>
    </row>
    <row r="2178" spans="1:58">
      <c r="A2178" s="111">
        <v>2177</v>
      </c>
      <c r="B2178" s="211" t="s">
        <v>3274</v>
      </c>
      <c r="C2178" s="191" t="s">
        <v>425</v>
      </c>
      <c r="D2178" s="171" t="s">
        <v>3290</v>
      </c>
      <c r="E2178" s="732" t="s">
        <v>3379</v>
      </c>
      <c r="F2178" s="171">
        <v>1994</v>
      </c>
      <c r="G2178" s="171">
        <v>22</v>
      </c>
      <c r="H2178" s="172" t="s">
        <v>1738</v>
      </c>
      <c r="I2178" s="173" t="s">
        <v>1751</v>
      </c>
      <c r="J2178" s="242">
        <v>0.5757575757575758</v>
      </c>
      <c r="K2178" s="213">
        <v>5.8484848484848486</v>
      </c>
      <c r="L2178" s="38">
        <v>190</v>
      </c>
      <c r="M2178" s="171">
        <v>330</v>
      </c>
      <c r="N2178" s="171">
        <v>1150</v>
      </c>
      <c r="O2178" s="114"/>
      <c r="P2178" s="71" t="s">
        <v>12</v>
      </c>
      <c r="Q2178" s="221" t="s">
        <v>1754</v>
      </c>
      <c r="R2178" s="171" t="s">
        <v>3342</v>
      </c>
      <c r="S2178" s="171" t="s">
        <v>3376</v>
      </c>
      <c r="T2178" s="89"/>
      <c r="U2178" s="89" t="s">
        <v>3342</v>
      </c>
      <c r="V2178" s="102">
        <v>0</v>
      </c>
      <c r="W2178" s="120">
        <v>0</v>
      </c>
      <c r="X2178" s="120">
        <v>0</v>
      </c>
      <c r="Y2178" s="120">
        <v>0</v>
      </c>
      <c r="Z2178" s="120">
        <v>0</v>
      </c>
      <c r="AA2178" s="17">
        <v>0</v>
      </c>
      <c r="AB2178" s="17">
        <v>0</v>
      </c>
      <c r="AC2178" s="17">
        <v>0</v>
      </c>
      <c r="AD2178" s="17">
        <v>0</v>
      </c>
      <c r="AE2178" s="17">
        <v>0</v>
      </c>
      <c r="AF2178" s="17">
        <v>0</v>
      </c>
      <c r="AG2178" s="17">
        <v>0</v>
      </c>
      <c r="AH2178" s="17">
        <v>0</v>
      </c>
      <c r="AI2178" s="17">
        <v>0</v>
      </c>
      <c r="AJ2178" s="17">
        <v>0</v>
      </c>
      <c r="AK2178" s="17">
        <v>0</v>
      </c>
      <c r="AL2178" s="32">
        <v>0</v>
      </c>
      <c r="AM2178" s="172">
        <v>46</v>
      </c>
      <c r="AN2178" s="171">
        <v>30</v>
      </c>
      <c r="AO2178" s="89"/>
      <c r="AP2178" s="783">
        <v>34.5</v>
      </c>
      <c r="AQ2178" s="17" t="s">
        <v>3403</v>
      </c>
      <c r="AR2178" s="174">
        <v>100</v>
      </c>
      <c r="AS2178" s="171" t="s">
        <v>246</v>
      </c>
      <c r="AT2178" s="171">
        <v>200</v>
      </c>
      <c r="AU2178" s="171">
        <v>20</v>
      </c>
      <c r="AV2178" s="57"/>
      <c r="AW2178" s="171">
        <v>28</v>
      </c>
      <c r="AX2178" s="89"/>
      <c r="AY2178" s="171">
        <v>23</v>
      </c>
      <c r="AZ2178" s="89"/>
      <c r="BA2178" s="175">
        <v>60</v>
      </c>
      <c r="BB2178" s="259"/>
      <c r="BC2178" s="176"/>
      <c r="BD2178" s="177"/>
      <c r="BE2178" s="177"/>
      <c r="BF2178" s="190" t="s">
        <v>3337</v>
      </c>
    </row>
    <row r="2179" spans="1:58">
      <c r="A2179" s="111">
        <v>2178</v>
      </c>
      <c r="B2179" s="211" t="s">
        <v>3275</v>
      </c>
      <c r="C2179" s="191" t="s">
        <v>425</v>
      </c>
      <c r="D2179" s="171" t="s">
        <v>3290</v>
      </c>
      <c r="E2179" s="732" t="s">
        <v>3379</v>
      </c>
      <c r="F2179" s="171">
        <v>1994</v>
      </c>
      <c r="G2179" s="171">
        <v>22</v>
      </c>
      <c r="H2179" s="172" t="s">
        <v>1738</v>
      </c>
      <c r="I2179" s="173" t="s">
        <v>1751</v>
      </c>
      <c r="J2179" s="242">
        <v>0.49</v>
      </c>
      <c r="K2179" s="213">
        <v>4.5875000000000004</v>
      </c>
      <c r="L2179" s="38">
        <v>196</v>
      </c>
      <c r="M2179" s="171">
        <v>200</v>
      </c>
      <c r="N2179" s="171">
        <v>1250</v>
      </c>
      <c r="O2179" s="114"/>
      <c r="P2179" s="71" t="s">
        <v>126</v>
      </c>
      <c r="Q2179" s="221" t="s">
        <v>1754</v>
      </c>
      <c r="R2179" s="171" t="s">
        <v>3342</v>
      </c>
      <c r="S2179" s="171" t="s">
        <v>3376</v>
      </c>
      <c r="T2179" s="89"/>
      <c r="U2179" s="89" t="s">
        <v>3342</v>
      </c>
      <c r="V2179" s="102">
        <v>0</v>
      </c>
      <c r="W2179" s="120">
        <v>0</v>
      </c>
      <c r="X2179" s="120">
        <v>50</v>
      </c>
      <c r="Y2179" s="120">
        <v>0</v>
      </c>
      <c r="Z2179" s="120">
        <v>0</v>
      </c>
      <c r="AA2179" s="17">
        <v>0</v>
      </c>
      <c r="AB2179" s="17">
        <v>0</v>
      </c>
      <c r="AC2179" s="17">
        <v>0</v>
      </c>
      <c r="AD2179" s="17">
        <v>0</v>
      </c>
      <c r="AE2179" s="17">
        <v>0</v>
      </c>
      <c r="AF2179" s="17">
        <v>0</v>
      </c>
      <c r="AG2179" s="17">
        <v>0</v>
      </c>
      <c r="AH2179" s="17">
        <v>0</v>
      </c>
      <c r="AI2179" s="17">
        <v>0</v>
      </c>
      <c r="AJ2179" s="17">
        <v>0</v>
      </c>
      <c r="AK2179" s="17">
        <v>0</v>
      </c>
      <c r="AL2179" s="32">
        <v>0</v>
      </c>
      <c r="AM2179" s="172">
        <v>39.5</v>
      </c>
      <c r="AN2179" s="171">
        <v>25</v>
      </c>
      <c r="AO2179" s="89"/>
      <c r="AP2179" s="783">
        <v>28.5</v>
      </c>
      <c r="AQ2179" s="17" t="s">
        <v>3403</v>
      </c>
      <c r="AR2179" s="174">
        <v>100</v>
      </c>
      <c r="AS2179" s="171" t="s">
        <v>246</v>
      </c>
      <c r="AT2179" s="171">
        <v>200</v>
      </c>
      <c r="AU2179" s="171">
        <v>20</v>
      </c>
      <c r="AV2179" s="57"/>
      <c r="AW2179" s="171">
        <v>28</v>
      </c>
      <c r="AX2179" s="89"/>
      <c r="AY2179" s="171">
        <v>23</v>
      </c>
      <c r="AZ2179" s="89"/>
      <c r="BA2179" s="175">
        <v>60</v>
      </c>
      <c r="BB2179" s="259"/>
      <c r="BC2179" s="176"/>
      <c r="BD2179" s="177"/>
      <c r="BE2179" s="177"/>
      <c r="BF2179" s="190" t="s">
        <v>3336</v>
      </c>
    </row>
    <row r="2180" spans="1:58">
      <c r="A2180" s="111">
        <v>2179</v>
      </c>
      <c r="B2180" s="211" t="s">
        <v>3276</v>
      </c>
      <c r="C2180" s="191" t="s">
        <v>425</v>
      </c>
      <c r="D2180" s="171" t="s">
        <v>3290</v>
      </c>
      <c r="E2180" s="732" t="s">
        <v>3379</v>
      </c>
      <c r="F2180" s="171">
        <v>1994</v>
      </c>
      <c r="G2180" s="171">
        <v>22</v>
      </c>
      <c r="H2180" s="172" t="s">
        <v>1738</v>
      </c>
      <c r="I2180" s="173" t="s">
        <v>1751</v>
      </c>
      <c r="J2180" s="242">
        <v>0.5485714285714286</v>
      </c>
      <c r="K2180" s="213">
        <v>5.4142857142857146</v>
      </c>
      <c r="L2180" s="38">
        <v>192</v>
      </c>
      <c r="M2180" s="171">
        <v>175</v>
      </c>
      <c r="N2180" s="171">
        <v>1250</v>
      </c>
      <c r="O2180" s="114"/>
      <c r="P2180" s="71" t="s">
        <v>12</v>
      </c>
      <c r="Q2180" s="221" t="s">
        <v>1754</v>
      </c>
      <c r="R2180" s="171" t="s">
        <v>3342</v>
      </c>
      <c r="S2180" s="171" t="s">
        <v>3376</v>
      </c>
      <c r="T2180" s="89"/>
      <c r="U2180" s="89" t="s">
        <v>3342</v>
      </c>
      <c r="V2180" s="102">
        <v>0</v>
      </c>
      <c r="W2180" s="120">
        <v>0</v>
      </c>
      <c r="X2180" s="120">
        <v>50</v>
      </c>
      <c r="Y2180" s="120">
        <v>0</v>
      </c>
      <c r="Z2180" s="120">
        <v>0</v>
      </c>
      <c r="AA2180" s="17">
        <v>0</v>
      </c>
      <c r="AB2180" s="17">
        <v>0</v>
      </c>
      <c r="AC2180" s="17">
        <v>0</v>
      </c>
      <c r="AD2180" s="17">
        <v>0</v>
      </c>
      <c r="AE2180" s="17">
        <v>0</v>
      </c>
      <c r="AF2180" s="17">
        <v>0</v>
      </c>
      <c r="AG2180" s="17">
        <v>0</v>
      </c>
      <c r="AH2180" s="17">
        <v>0</v>
      </c>
      <c r="AI2180" s="17">
        <v>0</v>
      </c>
      <c r="AJ2180" s="17">
        <v>0</v>
      </c>
      <c r="AK2180" s="17">
        <v>0</v>
      </c>
      <c r="AL2180" s="32">
        <v>0</v>
      </c>
      <c r="AM2180" s="172">
        <v>42.5</v>
      </c>
      <c r="AN2180" s="171">
        <v>32</v>
      </c>
      <c r="AO2180" s="89"/>
      <c r="AP2180" s="783">
        <v>29.5</v>
      </c>
      <c r="AQ2180" s="17" t="s">
        <v>3403</v>
      </c>
      <c r="AR2180" s="174">
        <v>100</v>
      </c>
      <c r="AS2180" s="171" t="s">
        <v>246</v>
      </c>
      <c r="AT2180" s="171">
        <v>200</v>
      </c>
      <c r="AU2180" s="171">
        <v>20</v>
      </c>
      <c r="AV2180" s="57"/>
      <c r="AW2180" s="171">
        <v>28</v>
      </c>
      <c r="AX2180" s="89"/>
      <c r="AY2180" s="171">
        <v>23</v>
      </c>
      <c r="AZ2180" s="89"/>
      <c r="BA2180" s="175">
        <v>60</v>
      </c>
      <c r="BB2180" s="259"/>
      <c r="BC2180" s="176"/>
      <c r="BD2180" s="177"/>
      <c r="BE2180" s="177"/>
      <c r="BF2180" s="190" t="s">
        <v>3337</v>
      </c>
    </row>
    <row r="2181" spans="1:58">
      <c r="A2181" s="111">
        <v>2180</v>
      </c>
      <c r="B2181" s="211" t="s">
        <v>3277</v>
      </c>
      <c r="C2181" s="191" t="s">
        <v>425</v>
      </c>
      <c r="D2181" s="171" t="s">
        <v>3290</v>
      </c>
      <c r="E2181" s="732" t="s">
        <v>3379</v>
      </c>
      <c r="F2181" s="171">
        <v>1994</v>
      </c>
      <c r="G2181" s="171">
        <v>22</v>
      </c>
      <c r="H2181" s="172" t="s">
        <v>1738</v>
      </c>
      <c r="I2181" s="173" t="s">
        <v>1751</v>
      </c>
      <c r="J2181" s="242">
        <v>0.51351351351351349</v>
      </c>
      <c r="K2181" s="213">
        <v>5.1216216216216219</v>
      </c>
      <c r="L2181" s="38">
        <v>190</v>
      </c>
      <c r="M2181" s="171">
        <v>370</v>
      </c>
      <c r="N2181" s="171">
        <v>1150</v>
      </c>
      <c r="O2181" s="114"/>
      <c r="P2181" s="71" t="s">
        <v>126</v>
      </c>
      <c r="Q2181" s="221" t="s">
        <v>1754</v>
      </c>
      <c r="R2181" s="171" t="s">
        <v>3342</v>
      </c>
      <c r="S2181" s="171" t="s">
        <v>3376</v>
      </c>
      <c r="T2181" s="89"/>
      <c r="U2181" s="89" t="s">
        <v>3342</v>
      </c>
      <c r="V2181" s="102">
        <v>0</v>
      </c>
      <c r="W2181" s="120">
        <v>0</v>
      </c>
      <c r="X2181" s="120">
        <v>0</v>
      </c>
      <c r="Y2181" s="120">
        <v>0</v>
      </c>
      <c r="Z2181" s="120">
        <v>0</v>
      </c>
      <c r="AA2181" s="17">
        <v>0</v>
      </c>
      <c r="AB2181" s="17">
        <v>0</v>
      </c>
      <c r="AC2181" s="17">
        <v>0</v>
      </c>
      <c r="AD2181" s="17">
        <v>0</v>
      </c>
      <c r="AE2181" s="17">
        <v>0</v>
      </c>
      <c r="AF2181" s="17">
        <v>0</v>
      </c>
      <c r="AG2181" s="17">
        <v>0</v>
      </c>
      <c r="AH2181" s="17">
        <v>0</v>
      </c>
      <c r="AI2181" s="17">
        <v>0</v>
      </c>
      <c r="AJ2181" s="17">
        <v>0</v>
      </c>
      <c r="AK2181" s="17">
        <v>0</v>
      </c>
      <c r="AL2181" s="32">
        <v>0</v>
      </c>
      <c r="AM2181" s="172">
        <v>43</v>
      </c>
      <c r="AN2181" s="171">
        <v>30</v>
      </c>
      <c r="AO2181" s="89"/>
      <c r="AP2181" s="88"/>
      <c r="AQ2181" s="17" t="s">
        <v>3403</v>
      </c>
      <c r="AR2181" s="174">
        <v>100</v>
      </c>
      <c r="AS2181" s="171" t="s">
        <v>246</v>
      </c>
      <c r="AT2181" s="171">
        <v>200</v>
      </c>
      <c r="AU2181" s="171">
        <v>20</v>
      </c>
      <c r="AV2181" s="57"/>
      <c r="AW2181" s="171">
        <v>28</v>
      </c>
      <c r="AX2181" s="89"/>
      <c r="AY2181" s="171">
        <v>23</v>
      </c>
      <c r="AZ2181" s="89"/>
      <c r="BA2181" s="175">
        <v>60</v>
      </c>
      <c r="BB2181" s="259"/>
      <c r="BC2181" s="176"/>
      <c r="BD2181" s="177"/>
      <c r="BE2181" s="177"/>
      <c r="BF2181" s="190" t="s">
        <v>3336</v>
      </c>
    </row>
    <row r="2182" spans="1:58">
      <c r="A2182" s="111">
        <v>2181</v>
      </c>
      <c r="B2182" s="211" t="s">
        <v>3278</v>
      </c>
      <c r="C2182" s="191" t="s">
        <v>425</v>
      </c>
      <c r="D2182" s="171" t="s">
        <v>3290</v>
      </c>
      <c r="E2182" s="732" t="s">
        <v>3379</v>
      </c>
      <c r="F2182" s="171">
        <v>1994</v>
      </c>
      <c r="G2182" s="171">
        <v>22</v>
      </c>
      <c r="H2182" s="172" t="s">
        <v>1738</v>
      </c>
      <c r="I2182" s="173" t="s">
        <v>1751</v>
      </c>
      <c r="J2182" s="242">
        <v>0.5757575757575758</v>
      </c>
      <c r="K2182" s="213">
        <v>5.8424242424242427</v>
      </c>
      <c r="L2182" s="38">
        <v>190</v>
      </c>
      <c r="M2182" s="171">
        <v>330</v>
      </c>
      <c r="N2182" s="171">
        <v>1150</v>
      </c>
      <c r="O2182" s="114"/>
      <c r="P2182" s="71" t="s">
        <v>12</v>
      </c>
      <c r="Q2182" s="221" t="s">
        <v>1754</v>
      </c>
      <c r="R2182" s="171" t="s">
        <v>3342</v>
      </c>
      <c r="S2182" s="171" t="s">
        <v>3376</v>
      </c>
      <c r="T2182" s="89"/>
      <c r="U2182" s="89" t="s">
        <v>3342</v>
      </c>
      <c r="V2182" s="102">
        <v>0</v>
      </c>
      <c r="W2182" s="120">
        <v>0</v>
      </c>
      <c r="X2182" s="120">
        <v>0</v>
      </c>
      <c r="Y2182" s="120">
        <v>0</v>
      </c>
      <c r="Z2182" s="120">
        <v>0</v>
      </c>
      <c r="AA2182" s="17">
        <v>0</v>
      </c>
      <c r="AB2182" s="17">
        <v>0</v>
      </c>
      <c r="AC2182" s="17">
        <v>0</v>
      </c>
      <c r="AD2182" s="17">
        <v>0</v>
      </c>
      <c r="AE2182" s="17">
        <v>0</v>
      </c>
      <c r="AF2182" s="17">
        <v>0</v>
      </c>
      <c r="AG2182" s="17">
        <v>0</v>
      </c>
      <c r="AH2182" s="17">
        <v>0</v>
      </c>
      <c r="AI2182" s="17">
        <v>0</v>
      </c>
      <c r="AJ2182" s="17">
        <v>0</v>
      </c>
      <c r="AK2182" s="17">
        <v>0</v>
      </c>
      <c r="AL2182" s="32">
        <v>0</v>
      </c>
      <c r="AM2182" s="172">
        <v>42.5</v>
      </c>
      <c r="AN2182" s="171">
        <v>40</v>
      </c>
      <c r="AO2182" s="89"/>
      <c r="AP2182" s="783">
        <v>32.799999999999997</v>
      </c>
      <c r="AQ2182" s="17" t="s">
        <v>3403</v>
      </c>
      <c r="AR2182" s="174">
        <v>100</v>
      </c>
      <c r="AS2182" s="171" t="s">
        <v>246</v>
      </c>
      <c r="AT2182" s="171">
        <v>200</v>
      </c>
      <c r="AU2182" s="171">
        <v>20</v>
      </c>
      <c r="AV2182" s="57"/>
      <c r="AW2182" s="171">
        <v>28</v>
      </c>
      <c r="AX2182" s="89"/>
      <c r="AY2182" s="171">
        <v>23</v>
      </c>
      <c r="AZ2182" s="89"/>
      <c r="BA2182" s="175">
        <v>60</v>
      </c>
      <c r="BB2182" s="259"/>
      <c r="BC2182" s="176"/>
      <c r="BD2182" s="177"/>
      <c r="BE2182" s="177"/>
      <c r="BF2182" s="190" t="s">
        <v>3338</v>
      </c>
    </row>
    <row r="2183" spans="1:58">
      <c r="A2183" s="111">
        <v>2182</v>
      </c>
      <c r="B2183" s="211" t="s">
        <v>3279</v>
      </c>
      <c r="C2183" s="191" t="s">
        <v>425</v>
      </c>
      <c r="D2183" s="171" t="s">
        <v>3290</v>
      </c>
      <c r="E2183" s="732" t="s">
        <v>3379</v>
      </c>
      <c r="F2183" s="171">
        <v>1994</v>
      </c>
      <c r="G2183" s="171">
        <v>22</v>
      </c>
      <c r="H2183" s="172" t="s">
        <v>1738</v>
      </c>
      <c r="I2183" s="173" t="s">
        <v>1751</v>
      </c>
      <c r="J2183" s="242">
        <v>0.50256410256410255</v>
      </c>
      <c r="K2183" s="213">
        <v>4.7358974358974359</v>
      </c>
      <c r="L2183" s="38">
        <v>196</v>
      </c>
      <c r="M2183" s="171">
        <v>195</v>
      </c>
      <c r="N2183" s="171">
        <v>1250</v>
      </c>
      <c r="O2183" s="114"/>
      <c r="P2183" s="71" t="s">
        <v>126</v>
      </c>
      <c r="Q2183" s="221" t="s">
        <v>1754</v>
      </c>
      <c r="R2183" s="171" t="s">
        <v>3342</v>
      </c>
      <c r="S2183" s="171" t="s">
        <v>3376</v>
      </c>
      <c r="T2183" s="89"/>
      <c r="U2183" s="89" t="s">
        <v>3342</v>
      </c>
      <c r="V2183" s="102">
        <v>0</v>
      </c>
      <c r="W2183" s="120">
        <v>0</v>
      </c>
      <c r="X2183" s="120">
        <v>50</v>
      </c>
      <c r="Y2183" s="120">
        <v>0</v>
      </c>
      <c r="Z2183" s="120">
        <v>0</v>
      </c>
      <c r="AA2183" s="17">
        <v>0</v>
      </c>
      <c r="AB2183" s="17">
        <v>0</v>
      </c>
      <c r="AC2183" s="17">
        <v>0</v>
      </c>
      <c r="AD2183" s="17">
        <v>0</v>
      </c>
      <c r="AE2183" s="17">
        <v>0</v>
      </c>
      <c r="AF2183" s="17">
        <v>0</v>
      </c>
      <c r="AG2183" s="17">
        <v>0</v>
      </c>
      <c r="AH2183" s="17">
        <v>0</v>
      </c>
      <c r="AI2183" s="17">
        <v>0</v>
      </c>
      <c r="AJ2183" s="17">
        <v>0</v>
      </c>
      <c r="AK2183" s="17">
        <v>0</v>
      </c>
      <c r="AL2183" s="32">
        <v>0</v>
      </c>
      <c r="AM2183" s="172">
        <v>38.5</v>
      </c>
      <c r="AN2183" s="171">
        <v>40</v>
      </c>
      <c r="AO2183" s="89"/>
      <c r="AP2183" s="88"/>
      <c r="AQ2183" s="17" t="s">
        <v>3403</v>
      </c>
      <c r="AR2183" s="174">
        <v>100</v>
      </c>
      <c r="AS2183" s="171" t="s">
        <v>246</v>
      </c>
      <c r="AT2183" s="171">
        <v>200</v>
      </c>
      <c r="AU2183" s="171">
        <v>20</v>
      </c>
      <c r="AV2183" s="57"/>
      <c r="AW2183" s="171">
        <v>28</v>
      </c>
      <c r="AX2183" s="89"/>
      <c r="AY2183" s="171">
        <v>23</v>
      </c>
      <c r="AZ2183" s="89"/>
      <c r="BA2183" s="175">
        <v>60</v>
      </c>
      <c r="BB2183" s="259"/>
      <c r="BC2183" s="176"/>
      <c r="BD2183" s="177"/>
      <c r="BE2183" s="177"/>
      <c r="BF2183" s="190" t="s">
        <v>3336</v>
      </c>
    </row>
    <row r="2184" spans="1:58">
      <c r="A2184" s="111">
        <v>2183</v>
      </c>
      <c r="B2184" s="211" t="s">
        <v>3280</v>
      </c>
      <c r="C2184" s="191" t="s">
        <v>425</v>
      </c>
      <c r="D2184" s="171" t="s">
        <v>3290</v>
      </c>
      <c r="E2184" s="732" t="s">
        <v>3379</v>
      </c>
      <c r="F2184" s="171">
        <v>1994</v>
      </c>
      <c r="G2184" s="171">
        <v>22</v>
      </c>
      <c r="H2184" s="172" t="s">
        <v>1738</v>
      </c>
      <c r="I2184" s="173" t="s">
        <v>1751</v>
      </c>
      <c r="J2184" s="242">
        <v>0.55813953488372092</v>
      </c>
      <c r="K2184" s="213">
        <v>5.5203488372093021</v>
      </c>
      <c r="L2184" s="38">
        <v>192</v>
      </c>
      <c r="M2184" s="171">
        <v>172</v>
      </c>
      <c r="N2184" s="171">
        <v>1250</v>
      </c>
      <c r="O2184" s="114"/>
      <c r="P2184" s="71" t="s">
        <v>12</v>
      </c>
      <c r="Q2184" s="221" t="s">
        <v>1754</v>
      </c>
      <c r="R2184" s="171" t="s">
        <v>3342</v>
      </c>
      <c r="S2184" s="171" t="s">
        <v>3376</v>
      </c>
      <c r="T2184" s="89"/>
      <c r="U2184" s="89" t="s">
        <v>3342</v>
      </c>
      <c r="V2184" s="102">
        <v>0</v>
      </c>
      <c r="W2184" s="120">
        <v>0</v>
      </c>
      <c r="X2184" s="120">
        <v>50</v>
      </c>
      <c r="Y2184" s="120">
        <v>0</v>
      </c>
      <c r="Z2184" s="120">
        <v>0</v>
      </c>
      <c r="AA2184" s="17">
        <v>0</v>
      </c>
      <c r="AB2184" s="17">
        <v>0</v>
      </c>
      <c r="AC2184" s="17">
        <v>0</v>
      </c>
      <c r="AD2184" s="17">
        <v>0</v>
      </c>
      <c r="AE2184" s="17">
        <v>0</v>
      </c>
      <c r="AF2184" s="17">
        <v>0</v>
      </c>
      <c r="AG2184" s="17">
        <v>0</v>
      </c>
      <c r="AH2184" s="17">
        <v>0</v>
      </c>
      <c r="AI2184" s="17">
        <v>0</v>
      </c>
      <c r="AJ2184" s="17">
        <v>0</v>
      </c>
      <c r="AK2184" s="17">
        <v>0</v>
      </c>
      <c r="AL2184" s="32">
        <v>0</v>
      </c>
      <c r="AM2184" s="172">
        <v>38.5</v>
      </c>
      <c r="AN2184" s="171">
        <v>35</v>
      </c>
      <c r="AO2184" s="89"/>
      <c r="AP2184" s="88"/>
      <c r="AQ2184" s="17" t="s">
        <v>3403</v>
      </c>
      <c r="AR2184" s="174">
        <v>100</v>
      </c>
      <c r="AS2184" s="171" t="s">
        <v>246</v>
      </c>
      <c r="AT2184" s="171">
        <v>200</v>
      </c>
      <c r="AU2184" s="171">
        <v>20</v>
      </c>
      <c r="AV2184" s="57"/>
      <c r="AW2184" s="171">
        <v>28</v>
      </c>
      <c r="AX2184" s="89"/>
      <c r="AY2184" s="171">
        <v>23</v>
      </c>
      <c r="AZ2184" s="89"/>
      <c r="BA2184" s="175">
        <v>60</v>
      </c>
      <c r="BB2184" s="259"/>
      <c r="BC2184" s="176"/>
      <c r="BD2184" s="177"/>
      <c r="BE2184" s="177"/>
      <c r="BF2184" s="190" t="s">
        <v>3338</v>
      </c>
    </row>
    <row r="2185" spans="1:58">
      <c r="A2185" s="111">
        <v>2184</v>
      </c>
      <c r="B2185" s="211" t="s">
        <v>3281</v>
      </c>
      <c r="C2185" s="191" t="s">
        <v>425</v>
      </c>
      <c r="D2185" s="171" t="s">
        <v>3290</v>
      </c>
      <c r="E2185" s="732" t="s">
        <v>3379</v>
      </c>
      <c r="F2185" s="171">
        <v>1994</v>
      </c>
      <c r="G2185" s="171">
        <v>22</v>
      </c>
      <c r="H2185" s="172" t="s">
        <v>1738</v>
      </c>
      <c r="I2185" s="173" t="s">
        <v>1751</v>
      </c>
      <c r="J2185" s="242">
        <v>0.5757575757575758</v>
      </c>
      <c r="K2185" s="213">
        <v>5.8424242424242427</v>
      </c>
      <c r="L2185" s="38">
        <v>190</v>
      </c>
      <c r="M2185" s="171">
        <v>330</v>
      </c>
      <c r="N2185" s="171">
        <v>1150</v>
      </c>
      <c r="O2185" s="114"/>
      <c r="P2185" s="71" t="s">
        <v>12</v>
      </c>
      <c r="Q2185" s="221" t="s">
        <v>1754</v>
      </c>
      <c r="R2185" s="171" t="s">
        <v>3342</v>
      </c>
      <c r="S2185" s="171" t="s">
        <v>3376</v>
      </c>
      <c r="T2185" s="89"/>
      <c r="U2185" s="89" t="s">
        <v>3342</v>
      </c>
      <c r="V2185" s="102">
        <v>0</v>
      </c>
      <c r="W2185" s="120">
        <v>0</v>
      </c>
      <c r="X2185" s="120">
        <v>0</v>
      </c>
      <c r="Y2185" s="120">
        <v>0</v>
      </c>
      <c r="Z2185" s="120">
        <v>0</v>
      </c>
      <c r="AA2185" s="17">
        <v>0</v>
      </c>
      <c r="AB2185" s="17">
        <v>0</v>
      </c>
      <c r="AC2185" s="17">
        <v>0</v>
      </c>
      <c r="AD2185" s="17">
        <v>0</v>
      </c>
      <c r="AE2185" s="17">
        <v>0</v>
      </c>
      <c r="AF2185" s="17">
        <v>0</v>
      </c>
      <c r="AG2185" s="17">
        <v>0</v>
      </c>
      <c r="AH2185" s="17">
        <v>0</v>
      </c>
      <c r="AI2185" s="17">
        <v>0</v>
      </c>
      <c r="AJ2185" s="17">
        <v>0</v>
      </c>
      <c r="AK2185" s="17">
        <v>0</v>
      </c>
      <c r="AL2185" s="32">
        <v>0</v>
      </c>
      <c r="AM2185" s="172">
        <v>51</v>
      </c>
      <c r="AN2185" s="89"/>
      <c r="AO2185" s="89"/>
      <c r="AP2185" s="88"/>
      <c r="AQ2185" s="17" t="s">
        <v>3403</v>
      </c>
      <c r="AR2185" s="174">
        <v>100</v>
      </c>
      <c r="AS2185" s="171" t="s">
        <v>246</v>
      </c>
      <c r="AT2185" s="171">
        <v>200</v>
      </c>
      <c r="AU2185" s="171">
        <v>20</v>
      </c>
      <c r="AV2185" s="57"/>
      <c r="AW2185" s="171">
        <v>28</v>
      </c>
      <c r="AX2185" s="89"/>
      <c r="AY2185" s="171">
        <v>23</v>
      </c>
      <c r="AZ2185" s="89"/>
      <c r="BA2185" s="175">
        <v>60</v>
      </c>
      <c r="BB2185" s="259"/>
      <c r="BC2185" s="176"/>
      <c r="BD2185" s="177"/>
      <c r="BE2185" s="177"/>
      <c r="BF2185" s="190" t="s">
        <v>3337</v>
      </c>
    </row>
    <row r="2186" spans="1:58">
      <c r="A2186" s="111">
        <v>2185</v>
      </c>
      <c r="B2186" s="211" t="s">
        <v>3282</v>
      </c>
      <c r="C2186" s="191" t="s">
        <v>425</v>
      </c>
      <c r="D2186" s="171" t="s">
        <v>3290</v>
      </c>
      <c r="E2186" s="732" t="s">
        <v>3379</v>
      </c>
      <c r="F2186" s="171">
        <v>1994</v>
      </c>
      <c r="G2186" s="171">
        <v>22</v>
      </c>
      <c r="H2186" s="172" t="s">
        <v>1738</v>
      </c>
      <c r="I2186" s="173" t="s">
        <v>1751</v>
      </c>
      <c r="J2186" s="242">
        <v>0.55813953488372092</v>
      </c>
      <c r="K2186" s="213">
        <v>5.5203488372093021</v>
      </c>
      <c r="L2186" s="38">
        <v>192</v>
      </c>
      <c r="M2186" s="171">
        <v>172</v>
      </c>
      <c r="N2186" s="171">
        <v>1250</v>
      </c>
      <c r="O2186" s="114"/>
      <c r="P2186" s="71" t="s">
        <v>12</v>
      </c>
      <c r="Q2186" s="221" t="s">
        <v>1754</v>
      </c>
      <c r="R2186" s="171" t="s">
        <v>3342</v>
      </c>
      <c r="S2186" s="171" t="s">
        <v>3376</v>
      </c>
      <c r="T2186" s="89"/>
      <c r="U2186" s="89" t="s">
        <v>3342</v>
      </c>
      <c r="V2186" s="102">
        <v>0</v>
      </c>
      <c r="W2186" s="120">
        <v>0</v>
      </c>
      <c r="X2186" s="120">
        <v>50</v>
      </c>
      <c r="Y2186" s="120">
        <v>0</v>
      </c>
      <c r="Z2186" s="120">
        <v>0</v>
      </c>
      <c r="AA2186" s="17">
        <v>0</v>
      </c>
      <c r="AB2186" s="17">
        <v>0</v>
      </c>
      <c r="AC2186" s="17">
        <v>0</v>
      </c>
      <c r="AD2186" s="17">
        <v>0</v>
      </c>
      <c r="AE2186" s="17">
        <v>0</v>
      </c>
      <c r="AF2186" s="17">
        <v>0</v>
      </c>
      <c r="AG2186" s="17">
        <v>0</v>
      </c>
      <c r="AH2186" s="17">
        <v>0</v>
      </c>
      <c r="AI2186" s="17">
        <v>0</v>
      </c>
      <c r="AJ2186" s="17">
        <v>0</v>
      </c>
      <c r="AK2186" s="17">
        <v>0</v>
      </c>
      <c r="AL2186" s="32">
        <v>0</v>
      </c>
      <c r="AM2186" s="172">
        <v>41</v>
      </c>
      <c r="AN2186" s="89"/>
      <c r="AO2186" s="89"/>
      <c r="AP2186" s="783">
        <v>25.5</v>
      </c>
      <c r="AQ2186" s="17" t="s">
        <v>3403</v>
      </c>
      <c r="AR2186" s="174">
        <v>100</v>
      </c>
      <c r="AS2186" s="171" t="s">
        <v>246</v>
      </c>
      <c r="AT2186" s="171">
        <v>200</v>
      </c>
      <c r="AU2186" s="171">
        <v>20</v>
      </c>
      <c r="AV2186" s="57"/>
      <c r="AW2186" s="171">
        <v>28</v>
      </c>
      <c r="AX2186" s="89"/>
      <c r="AY2186" s="171">
        <v>23</v>
      </c>
      <c r="AZ2186" s="89"/>
      <c r="BA2186" s="175">
        <v>60</v>
      </c>
      <c r="BB2186" s="259"/>
      <c r="BC2186" s="176"/>
      <c r="BD2186" s="177"/>
      <c r="BE2186" s="177"/>
      <c r="BF2186" s="190" t="s">
        <v>3337</v>
      </c>
    </row>
    <row r="2187" spans="1:58">
      <c r="A2187" s="111">
        <v>2186</v>
      </c>
      <c r="B2187" s="211" t="s">
        <v>3283</v>
      </c>
      <c r="C2187" s="191" t="s">
        <v>425</v>
      </c>
      <c r="D2187" s="171" t="s">
        <v>3290</v>
      </c>
      <c r="E2187" s="732" t="s">
        <v>3379</v>
      </c>
      <c r="F2187" s="171">
        <v>1994</v>
      </c>
      <c r="G2187" s="171">
        <v>22</v>
      </c>
      <c r="H2187" s="172" t="s">
        <v>1738</v>
      </c>
      <c r="I2187" s="173" t="s">
        <v>1751</v>
      </c>
      <c r="J2187" s="242">
        <v>0.58333333333333337</v>
      </c>
      <c r="K2187" s="213">
        <v>5.6101190476190474</v>
      </c>
      <c r="L2187" s="38">
        <v>196</v>
      </c>
      <c r="M2187" s="171">
        <v>160</v>
      </c>
      <c r="N2187" s="171">
        <v>1250</v>
      </c>
      <c r="O2187" s="114"/>
      <c r="P2187" s="71" t="s">
        <v>126</v>
      </c>
      <c r="Q2187" s="221" t="s">
        <v>1754</v>
      </c>
      <c r="R2187" s="171" t="s">
        <v>3342</v>
      </c>
      <c r="S2187" s="171" t="s">
        <v>3376</v>
      </c>
      <c r="T2187" s="89"/>
      <c r="U2187" s="89" t="s">
        <v>3342</v>
      </c>
      <c r="V2187" s="119">
        <v>5</v>
      </c>
      <c r="W2187" s="120">
        <v>0</v>
      </c>
      <c r="X2187" s="120">
        <v>48</v>
      </c>
      <c r="Y2187" s="120">
        <v>0</v>
      </c>
      <c r="Z2187" s="120">
        <v>0</v>
      </c>
      <c r="AA2187" s="17">
        <v>0</v>
      </c>
      <c r="AB2187" s="17">
        <v>0</v>
      </c>
      <c r="AC2187" s="17">
        <v>0</v>
      </c>
      <c r="AD2187" s="17">
        <v>0</v>
      </c>
      <c r="AE2187" s="17">
        <v>0</v>
      </c>
      <c r="AF2187" s="17">
        <v>0</v>
      </c>
      <c r="AG2187" s="17">
        <v>0</v>
      </c>
      <c r="AH2187" s="17">
        <v>0</v>
      </c>
      <c r="AI2187" s="17">
        <v>0</v>
      </c>
      <c r="AJ2187" s="17">
        <v>0</v>
      </c>
      <c r="AK2187" s="17">
        <v>0</v>
      </c>
      <c r="AL2187" s="32">
        <v>0</v>
      </c>
      <c r="AM2187" s="172">
        <v>29.5</v>
      </c>
      <c r="AN2187" s="89"/>
      <c r="AO2187" s="89"/>
      <c r="AP2187" s="783">
        <v>21.1</v>
      </c>
      <c r="AQ2187" s="17" t="s">
        <v>3403</v>
      </c>
      <c r="AR2187" s="174">
        <v>100</v>
      </c>
      <c r="AS2187" s="171" t="s">
        <v>246</v>
      </c>
      <c r="AT2187" s="171">
        <v>200</v>
      </c>
      <c r="AU2187" s="171">
        <v>20</v>
      </c>
      <c r="AV2187" s="57"/>
      <c r="AW2187" s="171">
        <v>28</v>
      </c>
      <c r="AX2187" s="89"/>
      <c r="AY2187" s="171">
        <v>23</v>
      </c>
      <c r="AZ2187" s="89"/>
      <c r="BA2187" s="175">
        <v>60</v>
      </c>
      <c r="BB2187" s="259"/>
      <c r="BC2187" s="176"/>
      <c r="BD2187" s="177"/>
      <c r="BE2187" s="177"/>
      <c r="BF2187" s="190" t="s">
        <v>3336</v>
      </c>
    </row>
    <row r="2188" spans="1:58">
      <c r="A2188" s="111">
        <v>2187</v>
      </c>
      <c r="B2188" s="211" t="s">
        <v>3284</v>
      </c>
      <c r="C2188" s="191" t="s">
        <v>425</v>
      </c>
      <c r="D2188" s="171" t="s">
        <v>3290</v>
      </c>
      <c r="E2188" s="732" t="s">
        <v>3379</v>
      </c>
      <c r="F2188" s="171">
        <v>1994</v>
      </c>
      <c r="G2188" s="171">
        <v>22</v>
      </c>
      <c r="H2188" s="172" t="s">
        <v>1738</v>
      </c>
      <c r="I2188" s="173" t="s">
        <v>1751</v>
      </c>
      <c r="J2188" s="242">
        <v>0.676056338028169</v>
      </c>
      <c r="K2188" s="213">
        <v>6.848591549295775</v>
      </c>
      <c r="L2188" s="38">
        <v>192</v>
      </c>
      <c r="M2188" s="171">
        <v>135</v>
      </c>
      <c r="N2188" s="171">
        <v>1250</v>
      </c>
      <c r="O2188" s="114"/>
      <c r="P2188" s="71" t="s">
        <v>12</v>
      </c>
      <c r="Q2188" s="221" t="s">
        <v>1754</v>
      </c>
      <c r="R2188" s="171" t="s">
        <v>3342</v>
      </c>
      <c r="S2188" s="171" t="s">
        <v>3376</v>
      </c>
      <c r="T2188" s="89"/>
      <c r="U2188" s="89" t="s">
        <v>3342</v>
      </c>
      <c r="V2188" s="119">
        <v>5</v>
      </c>
      <c r="W2188" s="120">
        <v>0</v>
      </c>
      <c r="X2188" s="120">
        <v>48</v>
      </c>
      <c r="Y2188" s="120">
        <v>0</v>
      </c>
      <c r="Z2188" s="120">
        <v>0</v>
      </c>
      <c r="AA2188" s="17">
        <v>0</v>
      </c>
      <c r="AB2188" s="17">
        <v>0</v>
      </c>
      <c r="AC2188" s="17">
        <v>0</v>
      </c>
      <c r="AD2188" s="17">
        <v>0</v>
      </c>
      <c r="AE2188" s="17">
        <v>0</v>
      </c>
      <c r="AF2188" s="17">
        <v>0</v>
      </c>
      <c r="AG2188" s="17">
        <v>0</v>
      </c>
      <c r="AH2188" s="17">
        <v>0</v>
      </c>
      <c r="AI2188" s="17">
        <v>0</v>
      </c>
      <c r="AJ2188" s="17">
        <v>0</v>
      </c>
      <c r="AK2188" s="17">
        <v>0</v>
      </c>
      <c r="AL2188" s="32">
        <v>0</v>
      </c>
      <c r="AM2188" s="172">
        <v>34</v>
      </c>
      <c r="AN2188" s="89"/>
      <c r="AO2188" s="89"/>
      <c r="AP2188" s="783">
        <v>28.5</v>
      </c>
      <c r="AQ2188" s="17" t="s">
        <v>3403</v>
      </c>
      <c r="AR2188" s="174">
        <v>100</v>
      </c>
      <c r="AS2188" s="171" t="s">
        <v>246</v>
      </c>
      <c r="AT2188" s="171">
        <v>200</v>
      </c>
      <c r="AU2188" s="171">
        <v>20</v>
      </c>
      <c r="AV2188" s="57"/>
      <c r="AW2188" s="171">
        <v>28</v>
      </c>
      <c r="AX2188" s="89"/>
      <c r="AY2188" s="171">
        <v>23</v>
      </c>
      <c r="AZ2188" s="89"/>
      <c r="BA2188" s="175">
        <v>60</v>
      </c>
      <c r="BB2188" s="259"/>
      <c r="BC2188" s="176"/>
      <c r="BD2188" s="177"/>
      <c r="BE2188" s="177"/>
      <c r="BF2188" s="190" t="s">
        <v>3337</v>
      </c>
    </row>
    <row r="2189" spans="1:58">
      <c r="A2189" s="111">
        <v>2188</v>
      </c>
      <c r="B2189" s="211" t="s">
        <v>3285</v>
      </c>
      <c r="C2189" s="191" t="s">
        <v>3306</v>
      </c>
      <c r="D2189" s="171" t="s">
        <v>3290</v>
      </c>
      <c r="E2189" s="732" t="s">
        <v>3379</v>
      </c>
      <c r="F2189" s="171">
        <v>2009</v>
      </c>
      <c r="G2189" s="171">
        <v>23</v>
      </c>
      <c r="H2189" s="172" t="s">
        <v>1738</v>
      </c>
      <c r="I2189" s="173" t="s">
        <v>1751</v>
      </c>
      <c r="J2189" s="242">
        <v>0.51587301587301593</v>
      </c>
      <c r="K2189" s="213">
        <v>4.8809523809523814</v>
      </c>
      <c r="L2189" s="38">
        <v>195</v>
      </c>
      <c r="M2189" s="171">
        <v>378</v>
      </c>
      <c r="N2189" s="171">
        <v>1120</v>
      </c>
      <c r="O2189" s="162"/>
      <c r="P2189" s="71">
        <v>42.5</v>
      </c>
      <c r="Q2189" s="221" t="s">
        <v>1754</v>
      </c>
      <c r="R2189" s="171" t="s">
        <v>3347</v>
      </c>
      <c r="S2189" s="89"/>
      <c r="T2189" s="89"/>
      <c r="U2189" s="89" t="s">
        <v>3347</v>
      </c>
      <c r="V2189" s="102">
        <v>0</v>
      </c>
      <c r="W2189" s="120">
        <v>0</v>
      </c>
      <c r="X2189" s="120">
        <v>0</v>
      </c>
      <c r="Y2189" s="120">
        <v>0</v>
      </c>
      <c r="Z2189" s="120">
        <v>0</v>
      </c>
      <c r="AA2189" s="17">
        <v>0</v>
      </c>
      <c r="AB2189" s="17">
        <v>0</v>
      </c>
      <c r="AC2189" s="17">
        <v>0</v>
      </c>
      <c r="AD2189" s="17">
        <v>0</v>
      </c>
      <c r="AE2189" s="17">
        <v>0</v>
      </c>
      <c r="AF2189" s="17">
        <v>0</v>
      </c>
      <c r="AG2189" s="17">
        <v>0</v>
      </c>
      <c r="AH2189" s="17">
        <v>0</v>
      </c>
      <c r="AI2189" s="17">
        <v>0</v>
      </c>
      <c r="AJ2189" s="17">
        <v>0</v>
      </c>
      <c r="AK2189" s="17">
        <v>0</v>
      </c>
      <c r="AL2189" s="32">
        <v>0</v>
      </c>
      <c r="AM2189" s="57"/>
      <c r="AN2189" s="89"/>
      <c r="AO2189" s="89"/>
      <c r="AP2189" s="88"/>
      <c r="AQ2189" s="17" t="s">
        <v>2986</v>
      </c>
      <c r="AR2189" s="174">
        <v>50</v>
      </c>
      <c r="AS2189" s="171" t="s">
        <v>246</v>
      </c>
      <c r="AT2189" s="171">
        <v>200</v>
      </c>
      <c r="AU2189" s="171">
        <v>20</v>
      </c>
      <c r="AV2189" s="57"/>
      <c r="AW2189" s="171">
        <v>28</v>
      </c>
      <c r="AX2189" s="89"/>
      <c r="AY2189" s="171">
        <v>24</v>
      </c>
      <c r="AZ2189" s="89"/>
      <c r="BA2189" s="175">
        <v>50</v>
      </c>
      <c r="BB2189" s="259"/>
      <c r="BC2189" s="176"/>
      <c r="BD2189" s="177"/>
      <c r="BE2189" s="177"/>
      <c r="BF2189" s="190" t="s">
        <v>3339</v>
      </c>
    </row>
    <row r="2190" spans="1:58">
      <c r="A2190" s="111">
        <v>2189</v>
      </c>
      <c r="B2190" s="211" t="s">
        <v>3286</v>
      </c>
      <c r="C2190" s="191" t="s">
        <v>3306</v>
      </c>
      <c r="D2190" s="171" t="s">
        <v>3290</v>
      </c>
      <c r="E2190" s="732" t="s">
        <v>3379</v>
      </c>
      <c r="F2190" s="171">
        <v>2009</v>
      </c>
      <c r="G2190" s="171">
        <v>23</v>
      </c>
      <c r="H2190" s="172" t="s">
        <v>1738</v>
      </c>
      <c r="I2190" s="173" t="s">
        <v>1751</v>
      </c>
      <c r="J2190" s="242">
        <v>0.5</v>
      </c>
      <c r="K2190" s="213">
        <v>5.1054054054054054</v>
      </c>
      <c r="L2190" s="38">
        <v>185</v>
      </c>
      <c r="M2190" s="171">
        <v>370</v>
      </c>
      <c r="N2190" s="171">
        <v>1053</v>
      </c>
      <c r="O2190" s="162"/>
      <c r="P2190" s="71">
        <v>42.5</v>
      </c>
      <c r="Q2190" s="221" t="s">
        <v>1754</v>
      </c>
      <c r="R2190" s="171" t="s">
        <v>3347</v>
      </c>
      <c r="S2190" s="89"/>
      <c r="T2190" s="89"/>
      <c r="U2190" s="89" t="s">
        <v>3347</v>
      </c>
      <c r="V2190" s="102">
        <v>0</v>
      </c>
      <c r="W2190" s="120">
        <v>0</v>
      </c>
      <c r="X2190" s="120">
        <v>0</v>
      </c>
      <c r="Y2190" s="120">
        <v>0</v>
      </c>
      <c r="Z2190" s="120">
        <v>0</v>
      </c>
      <c r="AA2190" s="17">
        <v>0</v>
      </c>
      <c r="AB2190" s="17">
        <v>0</v>
      </c>
      <c r="AC2190" s="17">
        <v>0</v>
      </c>
      <c r="AD2190" s="17">
        <v>0</v>
      </c>
      <c r="AE2190" s="17">
        <v>0</v>
      </c>
      <c r="AF2190" s="17">
        <v>0</v>
      </c>
      <c r="AG2190" s="17">
        <v>0</v>
      </c>
      <c r="AH2190" s="17">
        <v>0</v>
      </c>
      <c r="AI2190" s="17">
        <v>0</v>
      </c>
      <c r="AJ2190" s="17">
        <v>0</v>
      </c>
      <c r="AK2190" s="17">
        <v>0</v>
      </c>
      <c r="AL2190" s="32">
        <v>0</v>
      </c>
      <c r="AM2190" s="57"/>
      <c r="AN2190" s="89"/>
      <c r="AO2190" s="89"/>
      <c r="AP2190" s="88"/>
      <c r="AQ2190" s="17" t="s">
        <v>2986</v>
      </c>
      <c r="AR2190" s="174">
        <v>50</v>
      </c>
      <c r="AS2190" s="171" t="s">
        <v>246</v>
      </c>
      <c r="AT2190" s="171">
        <v>200</v>
      </c>
      <c r="AU2190" s="171">
        <v>20</v>
      </c>
      <c r="AV2190" s="57"/>
      <c r="AW2190" s="171">
        <v>28</v>
      </c>
      <c r="AX2190" s="89"/>
      <c r="AY2190" s="171">
        <v>24</v>
      </c>
      <c r="AZ2190" s="89"/>
      <c r="BA2190" s="175">
        <v>50</v>
      </c>
      <c r="BB2190" s="259"/>
      <c r="BC2190" s="176"/>
      <c r="BD2190" s="177"/>
      <c r="BE2190" s="177"/>
      <c r="BF2190" s="190" t="s">
        <v>3339</v>
      </c>
    </row>
    <row r="2191" spans="1:58">
      <c r="A2191" s="111">
        <v>2190</v>
      </c>
      <c r="B2191" s="211" t="s">
        <v>3287</v>
      </c>
      <c r="C2191" s="191" t="s">
        <v>3306</v>
      </c>
      <c r="D2191" s="171" t="s">
        <v>3290</v>
      </c>
      <c r="E2191" s="732" t="s">
        <v>3379</v>
      </c>
      <c r="F2191" s="171">
        <v>2006</v>
      </c>
      <c r="G2191" s="171">
        <v>23</v>
      </c>
      <c r="H2191" s="172" t="s">
        <v>1738</v>
      </c>
      <c r="I2191" s="173" t="s">
        <v>1751</v>
      </c>
      <c r="J2191" s="242">
        <v>0.35011441647597252</v>
      </c>
      <c r="K2191" s="213">
        <v>4.1784897025171626</v>
      </c>
      <c r="L2191" s="38">
        <v>153</v>
      </c>
      <c r="M2191" s="171">
        <v>306</v>
      </c>
      <c r="N2191" s="171">
        <v>1050</v>
      </c>
      <c r="O2191" s="162"/>
      <c r="P2191" s="116"/>
      <c r="Q2191" s="221" t="s">
        <v>1754</v>
      </c>
      <c r="R2191" s="171" t="s">
        <v>3347</v>
      </c>
      <c r="S2191" s="89"/>
      <c r="T2191" s="89"/>
      <c r="U2191" s="89" t="s">
        <v>3347</v>
      </c>
      <c r="V2191" s="102">
        <v>0</v>
      </c>
      <c r="W2191" s="120">
        <v>0</v>
      </c>
      <c r="X2191" s="120">
        <v>0</v>
      </c>
      <c r="Y2191" s="120">
        <v>30</v>
      </c>
      <c r="Z2191" s="120">
        <v>0</v>
      </c>
      <c r="AA2191" s="17">
        <v>0</v>
      </c>
      <c r="AB2191" s="17">
        <v>0</v>
      </c>
      <c r="AC2191" s="17">
        <v>0</v>
      </c>
      <c r="AD2191" s="17">
        <v>0</v>
      </c>
      <c r="AE2191" s="17">
        <v>0</v>
      </c>
      <c r="AF2191" s="17">
        <v>0</v>
      </c>
      <c r="AG2191" s="33">
        <v>0.39886039886039887</v>
      </c>
      <c r="AH2191" s="17">
        <v>0</v>
      </c>
      <c r="AI2191" s="17">
        <v>0</v>
      </c>
      <c r="AJ2191" s="17">
        <v>0</v>
      </c>
      <c r="AK2191" s="17">
        <v>0</v>
      </c>
      <c r="AL2191" s="32">
        <v>0</v>
      </c>
      <c r="AM2191" s="172">
        <v>58.5</v>
      </c>
      <c r="AN2191" s="89"/>
      <c r="AO2191" s="89"/>
      <c r="AP2191" s="783">
        <v>38.700000000000003</v>
      </c>
      <c r="AQ2191" s="17" t="s">
        <v>2986</v>
      </c>
      <c r="AR2191" s="174">
        <v>50</v>
      </c>
      <c r="AS2191" s="171" t="s">
        <v>246</v>
      </c>
      <c r="AT2191" s="171">
        <v>200</v>
      </c>
      <c r="AU2191" s="171">
        <v>20</v>
      </c>
      <c r="AV2191" s="57"/>
      <c r="AW2191" s="171">
        <v>7</v>
      </c>
      <c r="AX2191" s="89"/>
      <c r="AY2191" s="171">
        <v>25</v>
      </c>
      <c r="AZ2191" s="89"/>
      <c r="BA2191" s="175">
        <v>65</v>
      </c>
      <c r="BB2191" s="259"/>
      <c r="BC2191" s="176"/>
      <c r="BD2191" s="177"/>
      <c r="BE2191" s="177"/>
      <c r="BF2191" s="190" t="s">
        <v>3401</v>
      </c>
    </row>
    <row r="2192" spans="1:58">
      <c r="A2192" s="111">
        <v>2191</v>
      </c>
      <c r="B2192" s="211" t="s">
        <v>3288</v>
      </c>
      <c r="C2192" s="191" t="s">
        <v>3306</v>
      </c>
      <c r="D2192" s="171" t="s">
        <v>3290</v>
      </c>
      <c r="E2192" s="732" t="s">
        <v>3379</v>
      </c>
      <c r="F2192" s="171">
        <v>2001</v>
      </c>
      <c r="G2192" s="171">
        <v>23</v>
      </c>
      <c r="H2192" s="172" t="s">
        <v>1738</v>
      </c>
      <c r="I2192" s="173" t="s">
        <v>1751</v>
      </c>
      <c r="J2192" s="242">
        <v>0.51470588235294112</v>
      </c>
      <c r="K2192" s="213">
        <v>5.3970588235294121</v>
      </c>
      <c r="L2192" s="38">
        <v>175</v>
      </c>
      <c r="M2192" s="171">
        <v>340</v>
      </c>
      <c r="N2192" s="171">
        <v>1140</v>
      </c>
      <c r="O2192" s="162"/>
      <c r="P2192" s="71">
        <v>42.5</v>
      </c>
      <c r="Q2192" s="221" t="s">
        <v>1754</v>
      </c>
      <c r="R2192" s="89"/>
      <c r="S2192" s="89"/>
      <c r="T2192" s="89"/>
      <c r="U2192" s="89"/>
      <c r="V2192" s="102">
        <v>0</v>
      </c>
      <c r="W2192" s="120">
        <v>0</v>
      </c>
      <c r="X2192" s="120">
        <v>0</v>
      </c>
      <c r="Y2192" s="120">
        <v>0</v>
      </c>
      <c r="Z2192" s="120">
        <v>0</v>
      </c>
      <c r="AA2192" s="17">
        <v>0</v>
      </c>
      <c r="AB2192" s="17">
        <v>0</v>
      </c>
      <c r="AC2192" s="17">
        <v>0</v>
      </c>
      <c r="AD2192" s="17">
        <v>0</v>
      </c>
      <c r="AE2192" s="17">
        <v>0</v>
      </c>
      <c r="AF2192" s="33">
        <v>0.17322880883173317</v>
      </c>
      <c r="AG2192" s="17">
        <v>0</v>
      </c>
      <c r="AH2192" s="17">
        <v>0</v>
      </c>
      <c r="AI2192" s="17">
        <v>0</v>
      </c>
      <c r="AJ2192" s="17">
        <v>0</v>
      </c>
      <c r="AK2192" s="17">
        <v>0</v>
      </c>
      <c r="AL2192" s="32">
        <v>0</v>
      </c>
      <c r="AM2192" s="172">
        <v>45.4</v>
      </c>
      <c r="AN2192" s="171">
        <v>75</v>
      </c>
      <c r="AO2192" s="89"/>
      <c r="AP2192" s="783">
        <v>34.4</v>
      </c>
      <c r="AQ2192" s="17" t="s">
        <v>3415</v>
      </c>
      <c r="AR2192" s="174">
        <v>50</v>
      </c>
      <c r="AS2192" s="171" t="s">
        <v>246</v>
      </c>
      <c r="AT2192" s="171">
        <v>300</v>
      </c>
      <c r="AU2192" s="213">
        <v>21.428571428571427</v>
      </c>
      <c r="AV2192" s="57"/>
      <c r="AW2192" s="171">
        <v>10</v>
      </c>
      <c r="AX2192" s="89"/>
      <c r="AY2192" s="171">
        <v>23</v>
      </c>
      <c r="AZ2192" s="89"/>
      <c r="BA2192" s="175">
        <v>65</v>
      </c>
      <c r="BB2192" s="259"/>
      <c r="BC2192" s="176"/>
      <c r="BD2192" s="177"/>
      <c r="BE2192" s="177"/>
      <c r="BF2192" s="190" t="s">
        <v>3402</v>
      </c>
    </row>
    <row r="2193" spans="1:58" ht="15.75" thickBot="1">
      <c r="A2193" s="731">
        <v>2192</v>
      </c>
      <c r="B2193" s="245" t="s">
        <v>3289</v>
      </c>
      <c r="C2193" s="246" t="s">
        <v>3306</v>
      </c>
      <c r="D2193" s="247" t="s">
        <v>3290</v>
      </c>
      <c r="E2193" s="733" t="s">
        <v>3379</v>
      </c>
      <c r="F2193" s="247">
        <v>2001</v>
      </c>
      <c r="G2193" s="247">
        <v>23</v>
      </c>
      <c r="H2193" s="248" t="s">
        <v>1738</v>
      </c>
      <c r="I2193" s="249" t="s">
        <v>1751</v>
      </c>
      <c r="J2193" s="734">
        <v>0.44871794871794873</v>
      </c>
      <c r="K2193" s="735">
        <v>4.6025641025641022</v>
      </c>
      <c r="L2193" s="736">
        <v>175</v>
      </c>
      <c r="M2193" s="247">
        <v>390</v>
      </c>
      <c r="N2193" s="171">
        <v>1140</v>
      </c>
      <c r="O2193" s="165"/>
      <c r="P2193" s="737">
        <v>42.5</v>
      </c>
      <c r="Q2193" s="738" t="s">
        <v>1754</v>
      </c>
      <c r="R2193" s="101"/>
      <c r="S2193" s="101"/>
      <c r="T2193" s="101"/>
      <c r="U2193" s="89"/>
      <c r="V2193" s="740">
        <v>0</v>
      </c>
      <c r="W2193" s="127">
        <v>0</v>
      </c>
      <c r="X2193" s="127">
        <v>0</v>
      </c>
      <c r="Y2193" s="127">
        <v>0</v>
      </c>
      <c r="Z2193" s="127">
        <v>0</v>
      </c>
      <c r="AA2193" s="105">
        <v>0</v>
      </c>
      <c r="AB2193" s="105">
        <v>0</v>
      </c>
      <c r="AC2193" s="105">
        <v>0</v>
      </c>
      <c r="AD2193" s="105">
        <v>0</v>
      </c>
      <c r="AE2193" s="105">
        <v>0</v>
      </c>
      <c r="AF2193" s="743">
        <v>0.17405549298658748</v>
      </c>
      <c r="AG2193" s="105">
        <v>0</v>
      </c>
      <c r="AH2193" s="105">
        <v>0</v>
      </c>
      <c r="AI2193" s="105">
        <v>0</v>
      </c>
      <c r="AJ2193" s="105">
        <v>0</v>
      </c>
      <c r="AK2193" s="105">
        <v>0</v>
      </c>
      <c r="AL2193" s="166">
        <v>0</v>
      </c>
      <c r="AM2193" s="248">
        <v>57</v>
      </c>
      <c r="AN2193" s="247">
        <v>90</v>
      </c>
      <c r="AO2193" s="101"/>
      <c r="AP2193" s="789">
        <v>38</v>
      </c>
      <c r="AQ2193" s="105" t="s">
        <v>3415</v>
      </c>
      <c r="AR2193" s="745">
        <v>50</v>
      </c>
      <c r="AS2193" s="247" t="s">
        <v>246</v>
      </c>
      <c r="AT2193" s="247">
        <v>300</v>
      </c>
      <c r="AU2193" s="735">
        <v>21.428571428571427</v>
      </c>
      <c r="AV2193" s="747"/>
      <c r="AW2193" s="247">
        <v>10</v>
      </c>
      <c r="AX2193" s="101"/>
      <c r="AY2193" s="247">
        <v>23</v>
      </c>
      <c r="AZ2193" s="101"/>
      <c r="BA2193" s="250">
        <v>65</v>
      </c>
      <c r="BB2193" s="753"/>
      <c r="BC2193" s="176"/>
      <c r="BD2193" s="177"/>
      <c r="BE2193" s="177"/>
      <c r="BF2193" s="190" t="s">
        <v>3402</v>
      </c>
    </row>
  </sheetData>
  <sortState ref="A2:BF2193">
    <sortCondition ref="A1"/>
  </sortState>
  <pageMargins left="0.7" right="0.7" top="0.75" bottom="0.75" header="0.3" footer="0.3"/>
  <pageSetup paperSize="9" orientation="portrait" horizontalDpi="4294967293"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563"/>
  <sheetViews>
    <sheetView zoomScale="86" zoomScaleNormal="86" zoomScalePageLayoutView="85" workbookViewId="0"/>
  </sheetViews>
  <sheetFormatPr defaultColWidth="9.140625" defaultRowHeight="15"/>
  <cols>
    <col min="1" max="1" width="6.28515625" style="359" customWidth="1"/>
    <col min="2" max="2" width="18.42578125" style="492" customWidth="1"/>
    <col min="3" max="3" width="10.140625" style="376" customWidth="1"/>
    <col min="4" max="4" width="9.7109375" style="376" customWidth="1"/>
    <col min="5" max="5" width="10.140625" style="376" customWidth="1"/>
    <col min="6" max="6" width="12.140625" style="307" customWidth="1"/>
    <col min="7" max="7" width="31" style="320" bestFit="1" customWidth="1"/>
    <col min="8" max="8" width="12.28515625" style="337" customWidth="1"/>
    <col min="9" max="9" width="14.140625" style="527" customWidth="1"/>
    <col min="10" max="10" width="6.5703125" style="339" customWidth="1"/>
    <col min="11" max="11" width="4.42578125" style="339" bestFit="1" customWidth="1"/>
    <col min="12" max="12" width="16.85546875" style="348" customWidth="1"/>
    <col min="13" max="13" width="18.28515625" style="348" customWidth="1"/>
    <col min="14" max="14" width="8.140625" style="307" customWidth="1"/>
    <col min="15" max="15" width="6.42578125" style="308" customWidth="1"/>
    <col min="16" max="16" width="9.28515625" style="308" bestFit="1" customWidth="1"/>
    <col min="17" max="17" width="11.42578125" style="307" bestFit="1" customWidth="1"/>
    <col min="18" max="19" width="8.140625" style="307" customWidth="1"/>
    <col min="20" max="21" width="9.140625" style="307" customWidth="1"/>
    <col min="22" max="23" width="12.7109375" style="307" customWidth="1"/>
    <col min="24" max="24" width="13" style="307" customWidth="1"/>
    <col min="25" max="25" width="12.85546875" style="307" customWidth="1"/>
    <col min="26" max="26" width="19.85546875" style="307" customWidth="1"/>
    <col min="27" max="27" width="19.140625" style="307" customWidth="1"/>
    <col min="28" max="28" width="27.5703125" style="348" bestFit="1" customWidth="1"/>
    <col min="29" max="29" width="30.42578125" style="348" customWidth="1"/>
    <col min="30" max="30" width="21.85546875" style="348" customWidth="1"/>
    <col min="31" max="31" width="19.85546875" style="348" bestFit="1" customWidth="1"/>
    <col min="32" max="32" width="24.140625" style="348" bestFit="1" customWidth="1"/>
    <col min="33" max="33" width="13.28515625" style="348" customWidth="1"/>
    <col min="34" max="34" width="8.7109375" style="311" bestFit="1" customWidth="1"/>
    <col min="35" max="35" width="12.85546875" style="346" customWidth="1"/>
    <col min="36" max="36" width="7.28515625" style="345" customWidth="1"/>
    <col min="37" max="37" width="8.28515625" style="345" customWidth="1"/>
    <col min="38" max="38" width="8" style="345" customWidth="1"/>
    <col min="39" max="39" width="7.85546875" style="345" customWidth="1"/>
    <col min="40" max="40" width="7.28515625" style="346" customWidth="1"/>
    <col min="41" max="41" width="7.7109375" style="346" customWidth="1"/>
    <col min="42" max="42" width="7.5703125" style="346" customWidth="1"/>
    <col min="43" max="43" width="7.140625" style="346" customWidth="1"/>
    <col min="44" max="44" width="15" style="346" bestFit="1" customWidth="1"/>
    <col min="45" max="45" width="9.42578125" style="346" customWidth="1"/>
    <col min="46" max="47" width="9.85546875" style="346" customWidth="1"/>
    <col min="48" max="48" width="8.42578125" style="346" customWidth="1"/>
    <col min="49" max="49" width="8" style="346" customWidth="1"/>
    <col min="50" max="50" width="12.42578125" style="346" customWidth="1"/>
    <col min="51" max="51" width="6.42578125" style="339" customWidth="1"/>
    <col min="52" max="52" width="6.42578125" style="356" customWidth="1"/>
    <col min="53" max="53" width="8" style="339" customWidth="1"/>
    <col min="54" max="54" width="8.140625" style="339" bestFit="1" customWidth="1"/>
    <col min="55" max="55" width="7.7109375" style="347" customWidth="1"/>
    <col min="56" max="56" width="32.7109375" style="346" bestFit="1" customWidth="1"/>
    <col min="57" max="57" width="33.7109375" style="347" bestFit="1" customWidth="1"/>
    <col min="58" max="58" width="20.7109375" style="348" bestFit="1" customWidth="1"/>
    <col min="59" max="59" width="9.140625" style="348" customWidth="1"/>
    <col min="60" max="60" width="11.42578125" style="348" customWidth="1"/>
    <col min="61" max="61" width="12.85546875" style="307" customWidth="1"/>
    <col min="62" max="62" width="7.28515625" style="307" customWidth="1"/>
    <col min="63" max="63" width="4.7109375" style="307" customWidth="1"/>
    <col min="64" max="64" width="6.28515625" style="307" customWidth="1"/>
    <col min="65" max="65" width="5.140625" style="307" customWidth="1"/>
    <col min="66" max="66" width="8.85546875" style="307" customWidth="1"/>
    <col min="67" max="67" width="48.140625" style="320" bestFit="1" customWidth="1"/>
    <col min="68" max="68" width="15.140625" style="321" customWidth="1"/>
    <col min="69" max="70" width="9.140625" style="322"/>
    <col min="71" max="71" width="9.140625" style="321"/>
    <col min="72" max="92" width="9.140625" style="322"/>
    <col min="93" max="16384" width="9.140625" style="367"/>
  </cols>
  <sheetData>
    <row r="1" spans="1:75" s="301" customFormat="1" ht="57.75" customHeight="1" thickBot="1">
      <c r="A1" s="284" t="s">
        <v>3431</v>
      </c>
      <c r="B1" s="493" t="s">
        <v>3586</v>
      </c>
      <c r="C1" s="467" t="s">
        <v>3587</v>
      </c>
      <c r="D1" s="467" t="s">
        <v>3588</v>
      </c>
      <c r="E1" s="468" t="s">
        <v>3589</v>
      </c>
      <c r="F1" s="285" t="s">
        <v>3432</v>
      </c>
      <c r="G1" s="286" t="s">
        <v>3433</v>
      </c>
      <c r="H1" s="285" t="s">
        <v>3434</v>
      </c>
      <c r="I1" s="287" t="s">
        <v>3435</v>
      </c>
      <c r="J1" s="287" t="s">
        <v>2</v>
      </c>
      <c r="K1" s="286" t="s">
        <v>3436</v>
      </c>
      <c r="L1" s="284" t="s">
        <v>3442</v>
      </c>
      <c r="M1" s="288" t="s">
        <v>3443</v>
      </c>
      <c r="N1" s="445" t="s">
        <v>3506</v>
      </c>
      <c r="O1" s="289" t="s">
        <v>2705</v>
      </c>
      <c r="P1" s="289" t="s">
        <v>2706</v>
      </c>
      <c r="Q1" s="289" t="s">
        <v>3507</v>
      </c>
      <c r="R1" s="287" t="s">
        <v>3508</v>
      </c>
      <c r="S1" s="290" t="s">
        <v>3509</v>
      </c>
      <c r="T1" s="290" t="s">
        <v>3510</v>
      </c>
      <c r="U1" s="290" t="s">
        <v>3803</v>
      </c>
      <c r="V1" s="290" t="s">
        <v>3511</v>
      </c>
      <c r="W1" s="290" t="s">
        <v>3512</v>
      </c>
      <c r="X1" s="291" t="s">
        <v>3808</v>
      </c>
      <c r="Y1" s="292" t="s">
        <v>3869</v>
      </c>
      <c r="Z1" s="293" t="s">
        <v>3617</v>
      </c>
      <c r="AA1" s="293" t="s">
        <v>3513</v>
      </c>
      <c r="AB1" s="444" t="s">
        <v>3437</v>
      </c>
      <c r="AC1" s="439" t="s">
        <v>3514</v>
      </c>
      <c r="AD1" s="293" t="s">
        <v>3515</v>
      </c>
      <c r="AE1" s="290" t="s">
        <v>3440</v>
      </c>
      <c r="AF1" s="294" t="s">
        <v>3472</v>
      </c>
      <c r="AG1" s="440" t="s">
        <v>3850</v>
      </c>
      <c r="AH1" s="413" t="s">
        <v>3849</v>
      </c>
      <c r="AI1" s="287" t="s">
        <v>3847</v>
      </c>
      <c r="AJ1" s="290" t="s">
        <v>3848</v>
      </c>
      <c r="AK1" s="290" t="s">
        <v>3846</v>
      </c>
      <c r="AL1" s="290" t="s">
        <v>3845</v>
      </c>
      <c r="AM1" s="290" t="s">
        <v>3844</v>
      </c>
      <c r="AN1" s="287" t="s">
        <v>3843</v>
      </c>
      <c r="AO1" s="287" t="s">
        <v>3842</v>
      </c>
      <c r="AP1" s="287" t="s">
        <v>3841</v>
      </c>
      <c r="AQ1" s="290" t="s">
        <v>3840</v>
      </c>
      <c r="AR1" s="287" t="s">
        <v>3839</v>
      </c>
      <c r="AS1" s="295" t="s">
        <v>3838</v>
      </c>
      <c r="AT1" s="290" t="s">
        <v>3837</v>
      </c>
      <c r="AU1" s="290" t="s">
        <v>3836</v>
      </c>
      <c r="AV1" s="287" t="s">
        <v>3835</v>
      </c>
      <c r="AW1" s="287" t="s">
        <v>3834</v>
      </c>
      <c r="AX1" s="286" t="s">
        <v>3833</v>
      </c>
      <c r="AY1" s="296" t="s">
        <v>3829</v>
      </c>
      <c r="AZ1" s="297" t="s">
        <v>3830</v>
      </c>
      <c r="BA1" s="297" t="s">
        <v>3828</v>
      </c>
      <c r="BB1" s="290" t="s">
        <v>3831</v>
      </c>
      <c r="BC1" s="424" t="s">
        <v>3832</v>
      </c>
      <c r="BD1" s="290" t="s">
        <v>3827</v>
      </c>
      <c r="BE1" s="298" t="s">
        <v>3826</v>
      </c>
      <c r="BF1" s="298" t="s">
        <v>3825</v>
      </c>
      <c r="BG1" s="298" t="s">
        <v>3824</v>
      </c>
      <c r="BH1" s="299" t="s">
        <v>3823</v>
      </c>
      <c r="BI1" s="413" t="s">
        <v>3822</v>
      </c>
      <c r="BJ1" s="290" t="s">
        <v>3821</v>
      </c>
      <c r="BK1" s="290" t="s">
        <v>3820</v>
      </c>
      <c r="BL1" s="290" t="s">
        <v>3819</v>
      </c>
      <c r="BM1" s="290" t="s">
        <v>3818</v>
      </c>
      <c r="BN1" s="290" t="s">
        <v>3817</v>
      </c>
      <c r="BO1" s="300" t="s">
        <v>3441</v>
      </c>
      <c r="BP1" s="300" t="s">
        <v>164</v>
      </c>
      <c r="BS1" s="302"/>
      <c r="BW1" s="537"/>
    </row>
    <row r="2" spans="1:75" s="322" customFormat="1" ht="15" customHeight="1">
      <c r="A2" s="457">
        <v>3</v>
      </c>
      <c r="B2" s="693" t="s">
        <v>3614</v>
      </c>
      <c r="C2" s="694" t="s">
        <v>3590</v>
      </c>
      <c r="D2" s="478"/>
      <c r="E2" s="479"/>
      <c r="F2" s="303" t="s">
        <v>1732</v>
      </c>
      <c r="G2" s="386" t="s">
        <v>2578</v>
      </c>
      <c r="H2" s="453" t="s">
        <v>119</v>
      </c>
      <c r="I2" s="338" t="s">
        <v>3377</v>
      </c>
      <c r="J2" s="363">
        <v>1958</v>
      </c>
      <c r="K2" s="341">
        <v>101</v>
      </c>
      <c r="L2" s="340" t="s">
        <v>1745</v>
      </c>
      <c r="M2" s="341" t="s">
        <v>1739</v>
      </c>
      <c r="N2" s="701">
        <f t="shared" ref="N2:N33" si="0">R2/T2</f>
        <v>0.59</v>
      </c>
      <c r="O2" s="530">
        <v>0.59</v>
      </c>
      <c r="P2" s="705">
        <v>5.6689999999999996</v>
      </c>
      <c r="Q2" s="706">
        <f t="shared" ref="Q2:Q33" si="1">U2/T2</f>
        <v>5.6689999999999996</v>
      </c>
      <c r="R2" s="531">
        <f t="shared" ref="R2:R33" si="2">O2*S2</f>
        <v>188.79999999999998</v>
      </c>
      <c r="S2" s="530">
        <v>320</v>
      </c>
      <c r="T2" s="531">
        <f t="shared" ref="T2:T33" si="3">(((SUM(AI2:AR2)/100)*(S2))+S2)</f>
        <v>320</v>
      </c>
      <c r="U2" s="531">
        <f t="shared" ref="U2:U33" si="4">P2*S2</f>
        <v>1814.08</v>
      </c>
      <c r="V2" s="710" t="s">
        <v>2985</v>
      </c>
      <c r="W2" s="710" t="s">
        <v>2985</v>
      </c>
      <c r="X2" s="303" t="s">
        <v>12</v>
      </c>
      <c r="Y2" s="307" t="s">
        <v>12</v>
      </c>
      <c r="Z2" s="317" t="s">
        <v>2985</v>
      </c>
      <c r="AA2" s="311" t="s">
        <v>1754</v>
      </c>
      <c r="AB2" s="304" t="s">
        <v>2636</v>
      </c>
      <c r="AC2" s="712" t="s">
        <v>2985</v>
      </c>
      <c r="AD2" s="713" t="s">
        <v>2985</v>
      </c>
      <c r="AE2" s="715" t="s">
        <v>2985</v>
      </c>
      <c r="AF2" s="716" t="s">
        <v>2312</v>
      </c>
      <c r="AG2" s="717" t="s">
        <v>2985</v>
      </c>
      <c r="AH2" s="351">
        <v>100</v>
      </c>
      <c r="AI2" s="348">
        <v>0</v>
      </c>
      <c r="AJ2" s="348">
        <v>0</v>
      </c>
      <c r="AK2" s="348">
        <v>0</v>
      </c>
      <c r="AL2" s="348">
        <v>0</v>
      </c>
      <c r="AM2" s="348">
        <v>0</v>
      </c>
      <c r="AN2" s="348">
        <v>0</v>
      </c>
      <c r="AO2" s="348">
        <v>0</v>
      </c>
      <c r="AP2" s="307">
        <v>0</v>
      </c>
      <c r="AQ2" s="348">
        <v>0</v>
      </c>
      <c r="AR2" s="348">
        <v>0</v>
      </c>
      <c r="AS2" s="365">
        <v>0</v>
      </c>
      <c r="AT2" s="365">
        <v>0</v>
      </c>
      <c r="AU2" s="365">
        <v>0</v>
      </c>
      <c r="AV2" s="365">
        <v>0</v>
      </c>
      <c r="AW2" s="348">
        <v>0</v>
      </c>
      <c r="AX2" s="341">
        <v>0</v>
      </c>
      <c r="AY2" s="340">
        <v>16.5</v>
      </c>
      <c r="AZ2" s="348"/>
      <c r="BA2" s="316" t="s">
        <v>2985</v>
      </c>
      <c r="BB2" s="316" t="s">
        <v>2985</v>
      </c>
      <c r="BC2" s="341">
        <v>20</v>
      </c>
      <c r="BD2" s="348" t="s">
        <v>3576</v>
      </c>
      <c r="BE2" s="348">
        <v>51</v>
      </c>
      <c r="BF2" s="348" t="s">
        <v>246</v>
      </c>
      <c r="BG2" s="353">
        <v>356</v>
      </c>
      <c r="BH2" s="427">
        <v>22.304668304668304</v>
      </c>
      <c r="BI2" s="303">
        <v>98</v>
      </c>
      <c r="BJ2" s="305">
        <v>28</v>
      </c>
      <c r="BK2" s="727">
        <v>21</v>
      </c>
      <c r="BL2" s="306">
        <v>21</v>
      </c>
      <c r="BM2" s="318" t="s">
        <v>2985</v>
      </c>
      <c r="BN2" s="307">
        <v>100</v>
      </c>
      <c r="BO2" s="319" t="s">
        <v>2983</v>
      </c>
      <c r="BP2" s="343" t="s">
        <v>2983</v>
      </c>
      <c r="BQ2" s="27"/>
      <c r="BR2" s="27"/>
      <c r="BS2" s="321"/>
    </row>
    <row r="3" spans="1:75" s="322" customFormat="1" ht="15" customHeight="1">
      <c r="A3" s="457">
        <v>4</v>
      </c>
      <c r="B3" s="533" t="s">
        <v>3614</v>
      </c>
      <c r="C3" s="466" t="s">
        <v>3590</v>
      </c>
      <c r="D3" s="383"/>
      <c r="E3" s="469"/>
      <c r="F3" s="303" t="s">
        <v>1731</v>
      </c>
      <c r="G3" s="386" t="s">
        <v>2578</v>
      </c>
      <c r="H3" s="454" t="s">
        <v>119</v>
      </c>
      <c r="I3" s="338" t="s">
        <v>3377</v>
      </c>
      <c r="J3" s="361">
        <v>1958</v>
      </c>
      <c r="K3" s="341">
        <v>101</v>
      </c>
      <c r="L3" s="340" t="s">
        <v>1745</v>
      </c>
      <c r="M3" s="341" t="s">
        <v>1739</v>
      </c>
      <c r="N3" s="446">
        <f t="shared" si="0"/>
        <v>0.59</v>
      </c>
      <c r="O3" s="307">
        <v>0.59</v>
      </c>
      <c r="P3" s="308">
        <v>5.6689999999999996</v>
      </c>
      <c r="Q3" s="310">
        <f t="shared" si="1"/>
        <v>5.6689999999999996</v>
      </c>
      <c r="R3" s="377">
        <f t="shared" si="2"/>
        <v>188.79999999999998</v>
      </c>
      <c r="S3" s="307">
        <v>320</v>
      </c>
      <c r="T3" s="377">
        <f t="shared" si="3"/>
        <v>320</v>
      </c>
      <c r="U3" s="377">
        <f t="shared" si="4"/>
        <v>1814.08</v>
      </c>
      <c r="V3" s="408" t="s">
        <v>2985</v>
      </c>
      <c r="W3" s="408" t="s">
        <v>2985</v>
      </c>
      <c r="X3" s="303" t="s">
        <v>12</v>
      </c>
      <c r="Y3" s="307" t="s">
        <v>12</v>
      </c>
      <c r="Z3" s="317" t="s">
        <v>2985</v>
      </c>
      <c r="AA3" s="311" t="s">
        <v>1754</v>
      </c>
      <c r="AB3" s="304" t="s">
        <v>2636</v>
      </c>
      <c r="AC3" s="441" t="s">
        <v>2985</v>
      </c>
      <c r="AD3" s="515" t="s">
        <v>2985</v>
      </c>
      <c r="AE3" s="316" t="s">
        <v>2985</v>
      </c>
      <c r="AF3" s="348" t="s">
        <v>2312</v>
      </c>
      <c r="AG3" s="262" t="s">
        <v>2985</v>
      </c>
      <c r="AH3" s="351">
        <v>100</v>
      </c>
      <c r="AI3" s="348">
        <v>0</v>
      </c>
      <c r="AJ3" s="348">
        <v>0</v>
      </c>
      <c r="AK3" s="348">
        <v>0</v>
      </c>
      <c r="AL3" s="348">
        <v>0</v>
      </c>
      <c r="AM3" s="348">
        <v>0</v>
      </c>
      <c r="AN3" s="348">
        <v>0</v>
      </c>
      <c r="AO3" s="348">
        <v>0</v>
      </c>
      <c r="AP3" s="307">
        <v>0</v>
      </c>
      <c r="AQ3" s="348">
        <v>0</v>
      </c>
      <c r="AR3" s="348">
        <v>0</v>
      </c>
      <c r="AS3" s="365">
        <v>0</v>
      </c>
      <c r="AT3" s="365">
        <v>0</v>
      </c>
      <c r="AU3" s="365">
        <v>0</v>
      </c>
      <c r="AV3" s="365">
        <v>0</v>
      </c>
      <c r="AW3" s="348">
        <v>0</v>
      </c>
      <c r="AX3" s="341">
        <v>0</v>
      </c>
      <c r="AY3" s="340">
        <v>16.5</v>
      </c>
      <c r="AZ3" s="348"/>
      <c r="BA3" s="316" t="s">
        <v>2985</v>
      </c>
      <c r="BB3" s="316" t="s">
        <v>2985</v>
      </c>
      <c r="BC3" s="341">
        <v>20</v>
      </c>
      <c r="BD3" s="348" t="s">
        <v>3576</v>
      </c>
      <c r="BE3" s="348">
        <v>51</v>
      </c>
      <c r="BF3" s="348" t="s">
        <v>246</v>
      </c>
      <c r="BG3" s="389">
        <v>356</v>
      </c>
      <c r="BH3" s="427">
        <v>22.304668304668304</v>
      </c>
      <c r="BI3" s="303">
        <v>98</v>
      </c>
      <c r="BJ3" s="323">
        <v>28</v>
      </c>
      <c r="BK3" s="484">
        <v>21</v>
      </c>
      <c r="BL3" s="324">
        <v>21</v>
      </c>
      <c r="BM3" s="318" t="s">
        <v>2985</v>
      </c>
      <c r="BN3" s="307">
        <v>99</v>
      </c>
      <c r="BO3" s="319" t="s">
        <v>2984</v>
      </c>
      <c r="BP3" s="343" t="s">
        <v>2984</v>
      </c>
      <c r="BQ3" s="27"/>
      <c r="BR3" s="27"/>
      <c r="BS3" s="321"/>
    </row>
    <row r="4" spans="1:75" s="322" customFormat="1" ht="15" customHeight="1">
      <c r="A4" s="457">
        <v>35</v>
      </c>
      <c r="B4" s="533" t="s">
        <v>3614</v>
      </c>
      <c r="C4" s="466"/>
      <c r="D4" s="466" t="s">
        <v>3590</v>
      </c>
      <c r="E4" s="469"/>
      <c r="F4" s="303" t="s">
        <v>1705</v>
      </c>
      <c r="G4" s="386" t="s">
        <v>128</v>
      </c>
      <c r="H4" s="454" t="s">
        <v>119</v>
      </c>
      <c r="I4" s="338" t="s">
        <v>3377</v>
      </c>
      <c r="J4" s="361">
        <v>1965</v>
      </c>
      <c r="K4" s="341">
        <v>59</v>
      </c>
      <c r="L4" s="340" t="s">
        <v>1745</v>
      </c>
      <c r="M4" s="341" t="s">
        <v>1739</v>
      </c>
      <c r="N4" s="446">
        <f t="shared" si="0"/>
        <v>0.45739999999999997</v>
      </c>
      <c r="O4" s="307">
        <v>0.45739999999999997</v>
      </c>
      <c r="P4" s="308">
        <v>3.7320000000000002</v>
      </c>
      <c r="Q4" s="310">
        <f t="shared" si="1"/>
        <v>3.7320000000000002</v>
      </c>
      <c r="R4" s="377">
        <f t="shared" si="2"/>
        <v>206.7448</v>
      </c>
      <c r="S4" s="307">
        <v>452</v>
      </c>
      <c r="T4" s="377">
        <f t="shared" si="3"/>
        <v>452</v>
      </c>
      <c r="U4" s="377">
        <f t="shared" si="4"/>
        <v>1686.864</v>
      </c>
      <c r="V4" s="408" t="s">
        <v>2985</v>
      </c>
      <c r="W4" s="408" t="s">
        <v>2985</v>
      </c>
      <c r="X4" s="303" t="s">
        <v>129</v>
      </c>
      <c r="Y4" s="307" t="s">
        <v>129</v>
      </c>
      <c r="Z4" s="317" t="s">
        <v>2985</v>
      </c>
      <c r="AA4" s="311" t="s">
        <v>1754</v>
      </c>
      <c r="AB4" s="304" t="s">
        <v>2985</v>
      </c>
      <c r="AC4" s="441" t="s">
        <v>2985</v>
      </c>
      <c r="AD4" s="515" t="s">
        <v>2985</v>
      </c>
      <c r="AE4" s="515" t="s">
        <v>2985</v>
      </c>
      <c r="AF4" s="348" t="s">
        <v>2308</v>
      </c>
      <c r="AG4" s="262" t="s">
        <v>2985</v>
      </c>
      <c r="AH4" s="351">
        <v>100</v>
      </c>
      <c r="AI4" s="348">
        <v>0</v>
      </c>
      <c r="AJ4" s="348">
        <v>0</v>
      </c>
      <c r="AK4" s="348">
        <v>0</v>
      </c>
      <c r="AL4" s="348">
        <v>0</v>
      </c>
      <c r="AM4" s="348">
        <v>0</v>
      </c>
      <c r="AN4" s="348">
        <v>0</v>
      </c>
      <c r="AO4" s="348">
        <v>0</v>
      </c>
      <c r="AP4" s="307">
        <v>0</v>
      </c>
      <c r="AQ4" s="348">
        <v>0</v>
      </c>
      <c r="AR4" s="348">
        <v>0</v>
      </c>
      <c r="AS4" s="365">
        <v>0</v>
      </c>
      <c r="AT4" s="365">
        <v>0</v>
      </c>
      <c r="AU4" s="365">
        <v>0</v>
      </c>
      <c r="AV4" s="365">
        <v>0</v>
      </c>
      <c r="AW4" s="348">
        <v>0</v>
      </c>
      <c r="AX4" s="341">
        <v>0</v>
      </c>
      <c r="AY4" s="340">
        <v>45.2</v>
      </c>
      <c r="AZ4" s="348"/>
      <c r="BA4" s="316" t="s">
        <v>2985</v>
      </c>
      <c r="BB4" s="348">
        <v>37</v>
      </c>
      <c r="BC4" s="341">
        <v>27.234000000000002</v>
      </c>
      <c r="BD4" s="348" t="s">
        <v>3577</v>
      </c>
      <c r="BE4" s="348">
        <v>38.1</v>
      </c>
      <c r="BF4" s="348" t="s">
        <v>246</v>
      </c>
      <c r="BG4" s="353">
        <v>228.6</v>
      </c>
      <c r="BH4" s="427">
        <v>16.328571428571429</v>
      </c>
      <c r="BI4" s="303">
        <v>100</v>
      </c>
      <c r="BJ4" s="323">
        <v>8</v>
      </c>
      <c r="BK4" s="729" t="s">
        <v>2985</v>
      </c>
      <c r="BL4" s="324">
        <v>23</v>
      </c>
      <c r="BM4" s="312">
        <v>0</v>
      </c>
      <c r="BN4" s="307">
        <v>100</v>
      </c>
      <c r="BO4" s="432" t="s">
        <v>2985</v>
      </c>
      <c r="BP4" s="343"/>
      <c r="BQ4" s="27"/>
      <c r="BR4" s="27"/>
      <c r="BS4" s="321"/>
    </row>
    <row r="5" spans="1:75" s="322" customFormat="1" ht="15" customHeight="1">
      <c r="A5" s="457">
        <v>36</v>
      </c>
      <c r="B5" s="533" t="s">
        <v>3614</v>
      </c>
      <c r="C5" s="466"/>
      <c r="D5" s="466" t="s">
        <v>3590</v>
      </c>
      <c r="E5" s="469"/>
      <c r="F5" s="303" t="s">
        <v>1704</v>
      </c>
      <c r="G5" s="386" t="s">
        <v>128</v>
      </c>
      <c r="H5" s="454" t="s">
        <v>119</v>
      </c>
      <c r="I5" s="338" t="s">
        <v>3377</v>
      </c>
      <c r="J5" s="361">
        <v>1965</v>
      </c>
      <c r="K5" s="341">
        <v>59</v>
      </c>
      <c r="L5" s="340" t="s">
        <v>1745</v>
      </c>
      <c r="M5" s="341" t="s">
        <v>1739</v>
      </c>
      <c r="N5" s="446">
        <f t="shared" si="0"/>
        <v>0.45739999999999997</v>
      </c>
      <c r="O5" s="307">
        <v>0.45739999999999997</v>
      </c>
      <c r="P5" s="308">
        <v>3.7320000000000002</v>
      </c>
      <c r="Q5" s="310">
        <f t="shared" si="1"/>
        <v>3.7320000000000002</v>
      </c>
      <c r="R5" s="377">
        <f t="shared" si="2"/>
        <v>206.7448</v>
      </c>
      <c r="S5" s="307">
        <v>452</v>
      </c>
      <c r="T5" s="377">
        <f t="shared" si="3"/>
        <v>452</v>
      </c>
      <c r="U5" s="377">
        <f t="shared" si="4"/>
        <v>1686.864</v>
      </c>
      <c r="V5" s="408" t="s">
        <v>2985</v>
      </c>
      <c r="W5" s="408" t="s">
        <v>2985</v>
      </c>
      <c r="X5" s="303" t="s">
        <v>129</v>
      </c>
      <c r="Y5" s="307" t="s">
        <v>129</v>
      </c>
      <c r="Z5" s="317" t="s">
        <v>2985</v>
      </c>
      <c r="AA5" s="311" t="s">
        <v>1754</v>
      </c>
      <c r="AB5" s="304" t="s">
        <v>2985</v>
      </c>
      <c r="AC5" s="441" t="s">
        <v>2985</v>
      </c>
      <c r="AD5" s="515" t="s">
        <v>2985</v>
      </c>
      <c r="AE5" s="515" t="s">
        <v>2985</v>
      </c>
      <c r="AF5" s="348" t="s">
        <v>2308</v>
      </c>
      <c r="AG5" s="262" t="s">
        <v>2985</v>
      </c>
      <c r="AH5" s="351">
        <v>100</v>
      </c>
      <c r="AI5" s="348">
        <v>0</v>
      </c>
      <c r="AJ5" s="348">
        <v>0</v>
      </c>
      <c r="AK5" s="348">
        <v>0</v>
      </c>
      <c r="AL5" s="348">
        <v>0</v>
      </c>
      <c r="AM5" s="348">
        <v>0</v>
      </c>
      <c r="AN5" s="348">
        <v>0</v>
      </c>
      <c r="AO5" s="348">
        <v>0</v>
      </c>
      <c r="AP5" s="307">
        <v>0</v>
      </c>
      <c r="AQ5" s="348">
        <v>0</v>
      </c>
      <c r="AR5" s="348">
        <v>0</v>
      </c>
      <c r="AS5" s="365">
        <v>0</v>
      </c>
      <c r="AT5" s="365">
        <v>0</v>
      </c>
      <c r="AU5" s="365">
        <v>0</v>
      </c>
      <c r="AV5" s="365">
        <v>0</v>
      </c>
      <c r="AW5" s="348">
        <v>0</v>
      </c>
      <c r="AX5" s="341">
        <v>0</v>
      </c>
      <c r="AY5" s="340">
        <v>45.2</v>
      </c>
      <c r="AZ5" s="348"/>
      <c r="BA5" s="316" t="s">
        <v>2985</v>
      </c>
      <c r="BB5" s="348">
        <v>37</v>
      </c>
      <c r="BC5" s="341">
        <v>27.234000000000002</v>
      </c>
      <c r="BD5" s="348" t="s">
        <v>3578</v>
      </c>
      <c r="BE5" s="348">
        <v>50.8</v>
      </c>
      <c r="BF5" s="348" t="s">
        <v>246</v>
      </c>
      <c r="BG5" s="353">
        <v>304.8</v>
      </c>
      <c r="BH5" s="427">
        <v>21.771428571428569</v>
      </c>
      <c r="BI5" s="303">
        <v>100</v>
      </c>
      <c r="BJ5" s="323">
        <v>8</v>
      </c>
      <c r="BK5" s="729" t="s">
        <v>2985</v>
      </c>
      <c r="BL5" s="324">
        <v>23</v>
      </c>
      <c r="BM5" s="312">
        <v>0</v>
      </c>
      <c r="BN5" s="307">
        <v>100</v>
      </c>
      <c r="BO5" s="432" t="s">
        <v>2985</v>
      </c>
      <c r="BP5" s="343"/>
      <c r="BQ5" s="27"/>
      <c r="BR5" s="27"/>
      <c r="BS5" s="321"/>
    </row>
    <row r="6" spans="1:75" s="322" customFormat="1" ht="15" customHeight="1">
      <c r="A6" s="457">
        <v>37</v>
      </c>
      <c r="B6" s="533" t="s">
        <v>3614</v>
      </c>
      <c r="C6" s="466"/>
      <c r="D6" s="466" t="s">
        <v>3590</v>
      </c>
      <c r="E6" s="469"/>
      <c r="F6" s="303" t="s">
        <v>1703</v>
      </c>
      <c r="G6" s="386" t="s">
        <v>128</v>
      </c>
      <c r="H6" s="454" t="s">
        <v>119</v>
      </c>
      <c r="I6" s="338" t="s">
        <v>3377</v>
      </c>
      <c r="J6" s="361">
        <v>1965</v>
      </c>
      <c r="K6" s="341">
        <v>59</v>
      </c>
      <c r="L6" s="340" t="s">
        <v>1745</v>
      </c>
      <c r="M6" s="341" t="s">
        <v>1739</v>
      </c>
      <c r="N6" s="446">
        <f t="shared" si="0"/>
        <v>0.45739999999999997</v>
      </c>
      <c r="O6" s="307">
        <v>0.45739999999999997</v>
      </c>
      <c r="P6" s="308">
        <v>3.7320000000000002</v>
      </c>
      <c r="Q6" s="310">
        <f t="shared" si="1"/>
        <v>3.7320000000000002</v>
      </c>
      <c r="R6" s="377">
        <f t="shared" si="2"/>
        <v>206.7448</v>
      </c>
      <c r="S6" s="307">
        <v>452</v>
      </c>
      <c r="T6" s="377">
        <f t="shared" si="3"/>
        <v>452</v>
      </c>
      <c r="U6" s="377">
        <f t="shared" si="4"/>
        <v>1686.864</v>
      </c>
      <c r="V6" s="408" t="s">
        <v>2985</v>
      </c>
      <c r="W6" s="408" t="s">
        <v>2985</v>
      </c>
      <c r="X6" s="303" t="s">
        <v>129</v>
      </c>
      <c r="Y6" s="307" t="s">
        <v>129</v>
      </c>
      <c r="Z6" s="317" t="s">
        <v>2985</v>
      </c>
      <c r="AA6" s="311" t="s">
        <v>1754</v>
      </c>
      <c r="AB6" s="304" t="s">
        <v>2985</v>
      </c>
      <c r="AC6" s="441" t="s">
        <v>2985</v>
      </c>
      <c r="AD6" s="515" t="s">
        <v>2985</v>
      </c>
      <c r="AE6" s="515" t="s">
        <v>2985</v>
      </c>
      <c r="AF6" s="348" t="s">
        <v>2308</v>
      </c>
      <c r="AG6" s="262" t="s">
        <v>2985</v>
      </c>
      <c r="AH6" s="351">
        <v>100</v>
      </c>
      <c r="AI6" s="348">
        <v>0</v>
      </c>
      <c r="AJ6" s="348">
        <v>0</v>
      </c>
      <c r="AK6" s="348">
        <v>0</v>
      </c>
      <c r="AL6" s="348">
        <v>0</v>
      </c>
      <c r="AM6" s="348">
        <v>0</v>
      </c>
      <c r="AN6" s="348">
        <v>0</v>
      </c>
      <c r="AO6" s="348">
        <v>0</v>
      </c>
      <c r="AP6" s="307">
        <v>0</v>
      </c>
      <c r="AQ6" s="348">
        <v>0</v>
      </c>
      <c r="AR6" s="348">
        <v>0</v>
      </c>
      <c r="AS6" s="365">
        <v>0</v>
      </c>
      <c r="AT6" s="365">
        <v>0</v>
      </c>
      <c r="AU6" s="365">
        <v>0</v>
      </c>
      <c r="AV6" s="365">
        <v>0</v>
      </c>
      <c r="AW6" s="348">
        <v>0</v>
      </c>
      <c r="AX6" s="341">
        <v>0</v>
      </c>
      <c r="AY6" s="340">
        <v>45.2</v>
      </c>
      <c r="AZ6" s="348"/>
      <c r="BA6" s="316" t="s">
        <v>2985</v>
      </c>
      <c r="BB6" s="348">
        <v>37</v>
      </c>
      <c r="BC6" s="341">
        <v>27.234000000000002</v>
      </c>
      <c r="BD6" s="348" t="s">
        <v>3579</v>
      </c>
      <c r="BE6" s="348">
        <v>76.2</v>
      </c>
      <c r="BF6" s="348" t="s">
        <v>246</v>
      </c>
      <c r="BG6" s="353">
        <v>457.2</v>
      </c>
      <c r="BH6" s="427">
        <v>32.657142857142858</v>
      </c>
      <c r="BI6" s="303">
        <v>100</v>
      </c>
      <c r="BJ6" s="323">
        <v>8</v>
      </c>
      <c r="BK6" s="729" t="s">
        <v>2985</v>
      </c>
      <c r="BL6" s="324">
        <v>23</v>
      </c>
      <c r="BM6" s="312">
        <v>0</v>
      </c>
      <c r="BN6" s="307">
        <v>100</v>
      </c>
      <c r="BO6" s="432" t="s">
        <v>2985</v>
      </c>
      <c r="BP6" s="343"/>
      <c r="BQ6" s="27"/>
      <c r="BR6" s="27"/>
      <c r="BS6" s="321"/>
    </row>
    <row r="7" spans="1:75" s="322" customFormat="1" ht="15" customHeight="1">
      <c r="A7" s="457">
        <v>41</v>
      </c>
      <c r="B7" s="533" t="s">
        <v>3614</v>
      </c>
      <c r="C7" s="466"/>
      <c r="D7" s="466" t="s">
        <v>3590</v>
      </c>
      <c r="E7" s="469"/>
      <c r="F7" s="303" t="s">
        <v>1699</v>
      </c>
      <c r="G7" s="386" t="s">
        <v>128</v>
      </c>
      <c r="H7" s="454" t="s">
        <v>119</v>
      </c>
      <c r="I7" s="338" t="s">
        <v>3377</v>
      </c>
      <c r="J7" s="361">
        <v>1965</v>
      </c>
      <c r="K7" s="341">
        <v>59</v>
      </c>
      <c r="L7" s="340" t="s">
        <v>1745</v>
      </c>
      <c r="M7" s="341" t="s">
        <v>1739</v>
      </c>
      <c r="N7" s="446">
        <f t="shared" si="0"/>
        <v>0.45739999999999997</v>
      </c>
      <c r="O7" s="307">
        <v>0.45739999999999997</v>
      </c>
      <c r="P7" s="308">
        <v>3.7320000000000002</v>
      </c>
      <c r="Q7" s="310">
        <f t="shared" si="1"/>
        <v>3.7320000000000002</v>
      </c>
      <c r="R7" s="377">
        <f t="shared" si="2"/>
        <v>206.7448</v>
      </c>
      <c r="S7" s="307">
        <v>452</v>
      </c>
      <c r="T7" s="377">
        <f t="shared" si="3"/>
        <v>452</v>
      </c>
      <c r="U7" s="377">
        <f t="shared" si="4"/>
        <v>1686.864</v>
      </c>
      <c r="V7" s="408" t="s">
        <v>2985</v>
      </c>
      <c r="W7" s="408" t="s">
        <v>2985</v>
      </c>
      <c r="X7" s="303" t="s">
        <v>129</v>
      </c>
      <c r="Y7" s="307" t="s">
        <v>129</v>
      </c>
      <c r="Z7" s="317" t="s">
        <v>2985</v>
      </c>
      <c r="AA7" s="311" t="s">
        <v>1754</v>
      </c>
      <c r="AB7" s="304" t="s">
        <v>2985</v>
      </c>
      <c r="AC7" s="441" t="s">
        <v>2985</v>
      </c>
      <c r="AD7" s="515" t="s">
        <v>2985</v>
      </c>
      <c r="AE7" s="515" t="s">
        <v>2985</v>
      </c>
      <c r="AF7" s="348" t="s">
        <v>2308</v>
      </c>
      <c r="AG7" s="262" t="s">
        <v>2985</v>
      </c>
      <c r="AH7" s="351">
        <v>100</v>
      </c>
      <c r="AI7" s="348">
        <v>0</v>
      </c>
      <c r="AJ7" s="348">
        <v>0</v>
      </c>
      <c r="AK7" s="348">
        <v>0</v>
      </c>
      <c r="AL7" s="348">
        <v>0</v>
      </c>
      <c r="AM7" s="348">
        <v>0</v>
      </c>
      <c r="AN7" s="348">
        <v>0</v>
      </c>
      <c r="AO7" s="348">
        <v>0</v>
      </c>
      <c r="AP7" s="307">
        <v>0</v>
      </c>
      <c r="AQ7" s="348">
        <v>0</v>
      </c>
      <c r="AR7" s="348">
        <v>0</v>
      </c>
      <c r="AS7" s="365">
        <v>0</v>
      </c>
      <c r="AT7" s="365">
        <v>0</v>
      </c>
      <c r="AU7" s="365">
        <v>0</v>
      </c>
      <c r="AV7" s="365">
        <v>0</v>
      </c>
      <c r="AW7" s="348">
        <v>0</v>
      </c>
      <c r="AX7" s="341">
        <v>0</v>
      </c>
      <c r="AY7" s="340">
        <v>45.2</v>
      </c>
      <c r="AZ7" s="348"/>
      <c r="BA7" s="316" t="s">
        <v>2985</v>
      </c>
      <c r="BB7" s="348">
        <v>37</v>
      </c>
      <c r="BC7" s="341">
        <v>27.234000000000002</v>
      </c>
      <c r="BD7" s="348" t="s">
        <v>3580</v>
      </c>
      <c r="BE7" s="348">
        <v>76.2</v>
      </c>
      <c r="BF7" s="348">
        <v>152.4</v>
      </c>
      <c r="BG7" s="353">
        <v>304.8</v>
      </c>
      <c r="BH7" s="427">
        <v>21.771428571428572</v>
      </c>
      <c r="BI7" s="303">
        <v>100</v>
      </c>
      <c r="BJ7" s="323">
        <v>8</v>
      </c>
      <c r="BK7" s="729" t="s">
        <v>2985</v>
      </c>
      <c r="BL7" s="324">
        <v>23</v>
      </c>
      <c r="BM7" s="312">
        <v>0</v>
      </c>
      <c r="BN7" s="307">
        <v>100</v>
      </c>
      <c r="BO7" s="432" t="s">
        <v>2985</v>
      </c>
      <c r="BP7" s="343" t="s">
        <v>2576</v>
      </c>
      <c r="BQ7" s="27"/>
      <c r="BR7" s="27"/>
      <c r="BS7" s="321"/>
    </row>
    <row r="8" spans="1:75" s="322" customFormat="1" ht="15" customHeight="1">
      <c r="A8" s="457">
        <v>107</v>
      </c>
      <c r="B8" s="533" t="s">
        <v>3614</v>
      </c>
      <c r="C8" s="383"/>
      <c r="D8" s="383"/>
      <c r="E8" s="469"/>
      <c r="F8" s="303" t="s">
        <v>1625</v>
      </c>
      <c r="G8" s="386" t="s">
        <v>137</v>
      </c>
      <c r="H8" s="454" t="s">
        <v>1471</v>
      </c>
      <c r="I8" s="338" t="s">
        <v>3377</v>
      </c>
      <c r="J8" s="361">
        <v>1967</v>
      </c>
      <c r="K8" s="341">
        <v>46</v>
      </c>
      <c r="L8" s="340" t="s">
        <v>1738</v>
      </c>
      <c r="M8" s="341" t="s">
        <v>1739</v>
      </c>
      <c r="N8" s="446">
        <f t="shared" si="0"/>
        <v>0.47</v>
      </c>
      <c r="O8" s="307">
        <v>0.47</v>
      </c>
      <c r="P8" s="308">
        <v>4.5</v>
      </c>
      <c r="Q8" s="310">
        <f t="shared" si="1"/>
        <v>4.5</v>
      </c>
      <c r="R8" s="377">
        <f t="shared" si="2"/>
        <v>180.95</v>
      </c>
      <c r="S8" s="307">
        <v>385</v>
      </c>
      <c r="T8" s="377">
        <f t="shared" si="3"/>
        <v>385</v>
      </c>
      <c r="U8" s="377">
        <f t="shared" si="4"/>
        <v>1732.5</v>
      </c>
      <c r="V8" s="408" t="s">
        <v>2985</v>
      </c>
      <c r="W8" s="408" t="s">
        <v>2985</v>
      </c>
      <c r="X8" s="303" t="s">
        <v>12</v>
      </c>
      <c r="Y8" s="307" t="s">
        <v>12</v>
      </c>
      <c r="Z8" s="317" t="s">
        <v>2985</v>
      </c>
      <c r="AA8" s="311" t="s">
        <v>1754</v>
      </c>
      <c r="AB8" s="304" t="s">
        <v>2985</v>
      </c>
      <c r="AC8" s="441" t="s">
        <v>2985</v>
      </c>
      <c r="AD8" s="515" t="s">
        <v>2985</v>
      </c>
      <c r="AE8" s="515" t="s">
        <v>2985</v>
      </c>
      <c r="AF8" s="348" t="s">
        <v>2307</v>
      </c>
      <c r="AG8" s="262" t="s">
        <v>2985</v>
      </c>
      <c r="AH8" s="351">
        <v>100</v>
      </c>
      <c r="AI8" s="348">
        <v>0</v>
      </c>
      <c r="AJ8" s="348">
        <v>0</v>
      </c>
      <c r="AK8" s="348">
        <v>0</v>
      </c>
      <c r="AL8" s="348">
        <v>0</v>
      </c>
      <c r="AM8" s="348">
        <v>0</v>
      </c>
      <c r="AN8" s="348">
        <v>0</v>
      </c>
      <c r="AO8" s="348">
        <v>0</v>
      </c>
      <c r="AP8" s="307">
        <v>0</v>
      </c>
      <c r="AQ8" s="348">
        <v>0</v>
      </c>
      <c r="AR8" s="348">
        <v>0</v>
      </c>
      <c r="AS8" s="365">
        <v>0</v>
      </c>
      <c r="AT8" s="365">
        <v>0</v>
      </c>
      <c r="AU8" s="356">
        <v>5.0000000000000001E-3</v>
      </c>
      <c r="AV8" s="365">
        <v>0</v>
      </c>
      <c r="AW8" s="348">
        <v>0</v>
      </c>
      <c r="AX8" s="341">
        <v>0</v>
      </c>
      <c r="AY8" s="340">
        <v>54.7</v>
      </c>
      <c r="AZ8" s="348"/>
      <c r="BA8" s="316" t="s">
        <v>2985</v>
      </c>
      <c r="BB8" s="316" t="s">
        <v>2985</v>
      </c>
      <c r="BC8" s="341">
        <v>46.3</v>
      </c>
      <c r="BD8" s="348" t="s">
        <v>3581</v>
      </c>
      <c r="BE8" s="348">
        <v>52.4</v>
      </c>
      <c r="BF8" s="348"/>
      <c r="BG8" s="353">
        <v>304.8</v>
      </c>
      <c r="BH8" s="427">
        <v>22.356550951847705</v>
      </c>
      <c r="BI8" s="303">
        <v>100</v>
      </c>
      <c r="BJ8" s="323">
        <v>180</v>
      </c>
      <c r="BK8" s="729" t="s">
        <v>2985</v>
      </c>
      <c r="BL8" s="324">
        <v>27</v>
      </c>
      <c r="BM8" s="318" t="s">
        <v>2985</v>
      </c>
      <c r="BN8" s="307">
        <v>99</v>
      </c>
      <c r="BO8" s="432" t="s">
        <v>2985</v>
      </c>
      <c r="BP8" s="343"/>
      <c r="BQ8" s="27"/>
      <c r="BR8" s="27"/>
      <c r="BS8" s="321"/>
    </row>
    <row r="9" spans="1:75" s="322" customFormat="1" ht="15" customHeight="1">
      <c r="A9" s="457">
        <v>108</v>
      </c>
      <c r="B9" s="533" t="s">
        <v>3614</v>
      </c>
      <c r="C9" s="383"/>
      <c r="D9" s="383"/>
      <c r="E9" s="469"/>
      <c r="F9" s="303" t="s">
        <v>1624</v>
      </c>
      <c r="G9" s="386" t="s">
        <v>137</v>
      </c>
      <c r="H9" s="454" t="s">
        <v>1471</v>
      </c>
      <c r="I9" s="338" t="s">
        <v>3377</v>
      </c>
      <c r="J9" s="361">
        <v>1967</v>
      </c>
      <c r="K9" s="341">
        <v>46</v>
      </c>
      <c r="L9" s="340" t="s">
        <v>1738</v>
      </c>
      <c r="M9" s="341" t="s">
        <v>1739</v>
      </c>
      <c r="N9" s="446">
        <f t="shared" si="0"/>
        <v>0.47</v>
      </c>
      <c r="O9" s="307">
        <v>0.47</v>
      </c>
      <c r="P9" s="308">
        <v>4.5</v>
      </c>
      <c r="Q9" s="310">
        <f t="shared" si="1"/>
        <v>4.5</v>
      </c>
      <c r="R9" s="377">
        <f t="shared" si="2"/>
        <v>180.95</v>
      </c>
      <c r="S9" s="307">
        <v>385</v>
      </c>
      <c r="T9" s="377">
        <f t="shared" si="3"/>
        <v>385</v>
      </c>
      <c r="U9" s="377">
        <f t="shared" si="4"/>
        <v>1732.5</v>
      </c>
      <c r="V9" s="408" t="s">
        <v>2985</v>
      </c>
      <c r="W9" s="408" t="s">
        <v>2985</v>
      </c>
      <c r="X9" s="303" t="s">
        <v>12</v>
      </c>
      <c r="Y9" s="307" t="s">
        <v>12</v>
      </c>
      <c r="Z9" s="317" t="s">
        <v>2985</v>
      </c>
      <c r="AA9" s="311" t="s">
        <v>1754</v>
      </c>
      <c r="AB9" s="304" t="s">
        <v>2985</v>
      </c>
      <c r="AC9" s="441" t="s">
        <v>2985</v>
      </c>
      <c r="AD9" s="515" t="s">
        <v>2985</v>
      </c>
      <c r="AE9" s="515" t="s">
        <v>2985</v>
      </c>
      <c r="AF9" s="348" t="s">
        <v>2307</v>
      </c>
      <c r="AG9" s="262" t="s">
        <v>2985</v>
      </c>
      <c r="AH9" s="351">
        <v>100</v>
      </c>
      <c r="AI9" s="348">
        <v>0</v>
      </c>
      <c r="AJ9" s="348">
        <v>0</v>
      </c>
      <c r="AK9" s="348">
        <v>0</v>
      </c>
      <c r="AL9" s="348">
        <v>0</v>
      </c>
      <c r="AM9" s="348">
        <v>0</v>
      </c>
      <c r="AN9" s="348">
        <v>0</v>
      </c>
      <c r="AO9" s="348">
        <v>0</v>
      </c>
      <c r="AP9" s="307">
        <v>0</v>
      </c>
      <c r="AQ9" s="348">
        <v>0</v>
      </c>
      <c r="AR9" s="348">
        <v>0</v>
      </c>
      <c r="AS9" s="365">
        <v>0</v>
      </c>
      <c r="AT9" s="365">
        <v>0</v>
      </c>
      <c r="AU9" s="356">
        <v>5.0000000000000001E-3</v>
      </c>
      <c r="AV9" s="365">
        <v>0</v>
      </c>
      <c r="AW9" s="348">
        <v>0</v>
      </c>
      <c r="AX9" s="341">
        <v>0</v>
      </c>
      <c r="AY9" s="340">
        <v>54.7</v>
      </c>
      <c r="AZ9" s="348"/>
      <c r="BA9" s="316" t="s">
        <v>2985</v>
      </c>
      <c r="BB9" s="316" t="s">
        <v>2985</v>
      </c>
      <c r="BC9" s="341">
        <v>32.5</v>
      </c>
      <c r="BD9" s="348" t="s">
        <v>3581</v>
      </c>
      <c r="BE9" s="348">
        <v>52.4</v>
      </c>
      <c r="BF9" s="348"/>
      <c r="BG9" s="353">
        <v>304.8</v>
      </c>
      <c r="BH9" s="427">
        <v>22.356550951847705</v>
      </c>
      <c r="BI9" s="303">
        <v>100</v>
      </c>
      <c r="BJ9" s="323">
        <v>180</v>
      </c>
      <c r="BK9" s="729" t="s">
        <v>2985</v>
      </c>
      <c r="BL9" s="324">
        <v>53</v>
      </c>
      <c r="BM9" s="318" t="s">
        <v>2985</v>
      </c>
      <c r="BN9" s="307">
        <v>99</v>
      </c>
      <c r="BO9" s="432" t="s">
        <v>2985</v>
      </c>
      <c r="BP9" s="343"/>
      <c r="BQ9" s="27"/>
      <c r="BR9" s="27"/>
      <c r="BS9" s="321"/>
    </row>
    <row r="10" spans="1:75" s="322" customFormat="1" ht="15" customHeight="1">
      <c r="A10" s="457">
        <v>109</v>
      </c>
      <c r="B10" s="533" t="s">
        <v>3614</v>
      </c>
      <c r="C10" s="383"/>
      <c r="D10" s="383"/>
      <c r="E10" s="469"/>
      <c r="F10" s="303" t="s">
        <v>1623</v>
      </c>
      <c r="G10" s="386" t="s">
        <v>137</v>
      </c>
      <c r="H10" s="454" t="s">
        <v>1471</v>
      </c>
      <c r="I10" s="338" t="s">
        <v>3377</v>
      </c>
      <c r="J10" s="361">
        <v>1967</v>
      </c>
      <c r="K10" s="341">
        <v>46</v>
      </c>
      <c r="L10" s="340" t="s">
        <v>1738</v>
      </c>
      <c r="M10" s="341" t="s">
        <v>1739</v>
      </c>
      <c r="N10" s="446">
        <f t="shared" si="0"/>
        <v>0.47</v>
      </c>
      <c r="O10" s="307">
        <v>0.47</v>
      </c>
      <c r="P10" s="308">
        <v>4.5</v>
      </c>
      <c r="Q10" s="310">
        <f t="shared" si="1"/>
        <v>4.5</v>
      </c>
      <c r="R10" s="377">
        <f t="shared" si="2"/>
        <v>180.95</v>
      </c>
      <c r="S10" s="307">
        <v>385</v>
      </c>
      <c r="T10" s="377">
        <f t="shared" si="3"/>
        <v>385</v>
      </c>
      <c r="U10" s="377">
        <f t="shared" si="4"/>
        <v>1732.5</v>
      </c>
      <c r="V10" s="408" t="s">
        <v>2985</v>
      </c>
      <c r="W10" s="408" t="s">
        <v>2985</v>
      </c>
      <c r="X10" s="303" t="s">
        <v>12</v>
      </c>
      <c r="Y10" s="307" t="s">
        <v>12</v>
      </c>
      <c r="Z10" s="317" t="s">
        <v>2985</v>
      </c>
      <c r="AA10" s="311" t="s">
        <v>1754</v>
      </c>
      <c r="AB10" s="304" t="s">
        <v>2985</v>
      </c>
      <c r="AC10" s="441" t="s">
        <v>2985</v>
      </c>
      <c r="AD10" s="515" t="s">
        <v>2985</v>
      </c>
      <c r="AE10" s="515" t="s">
        <v>2985</v>
      </c>
      <c r="AF10" s="348" t="s">
        <v>2307</v>
      </c>
      <c r="AG10" s="262" t="s">
        <v>2985</v>
      </c>
      <c r="AH10" s="351">
        <v>100</v>
      </c>
      <c r="AI10" s="348">
        <v>0</v>
      </c>
      <c r="AJ10" s="348">
        <v>0</v>
      </c>
      <c r="AK10" s="348">
        <v>0</v>
      </c>
      <c r="AL10" s="348">
        <v>0</v>
      </c>
      <c r="AM10" s="348">
        <v>0</v>
      </c>
      <c r="AN10" s="348">
        <v>0</v>
      </c>
      <c r="AO10" s="348">
        <v>0</v>
      </c>
      <c r="AP10" s="307">
        <v>0</v>
      </c>
      <c r="AQ10" s="348">
        <v>0</v>
      </c>
      <c r="AR10" s="348">
        <v>0</v>
      </c>
      <c r="AS10" s="365">
        <v>0</v>
      </c>
      <c r="AT10" s="365">
        <v>0</v>
      </c>
      <c r="AU10" s="356">
        <v>5.0000000000000001E-3</v>
      </c>
      <c r="AV10" s="365">
        <v>0</v>
      </c>
      <c r="AW10" s="348">
        <v>0</v>
      </c>
      <c r="AX10" s="341">
        <v>0</v>
      </c>
      <c r="AY10" s="340">
        <v>54.7</v>
      </c>
      <c r="AZ10" s="348"/>
      <c r="BA10" s="316" t="s">
        <v>2985</v>
      </c>
      <c r="BB10" s="316" t="s">
        <v>2985</v>
      </c>
      <c r="BC10" s="341">
        <v>22.5</v>
      </c>
      <c r="BD10" s="348" t="s">
        <v>3581</v>
      </c>
      <c r="BE10" s="348">
        <v>52.4</v>
      </c>
      <c r="BF10" s="348"/>
      <c r="BG10" s="353">
        <v>304.8</v>
      </c>
      <c r="BH10" s="427">
        <v>22.356550951847705</v>
      </c>
      <c r="BI10" s="303">
        <v>100</v>
      </c>
      <c r="BJ10" s="323">
        <v>180</v>
      </c>
      <c r="BK10" s="729" t="s">
        <v>2985</v>
      </c>
      <c r="BL10" s="324">
        <v>82</v>
      </c>
      <c r="BM10" s="318" t="s">
        <v>2985</v>
      </c>
      <c r="BN10" s="307">
        <v>99</v>
      </c>
      <c r="BO10" s="432" t="s">
        <v>2985</v>
      </c>
      <c r="BP10" s="343"/>
      <c r="BQ10" s="27"/>
      <c r="BR10" s="27"/>
      <c r="BS10" s="321"/>
    </row>
    <row r="11" spans="1:75" s="322" customFormat="1" ht="15" customHeight="1">
      <c r="A11" s="336">
        <v>239</v>
      </c>
      <c r="B11" s="533" t="s">
        <v>3614</v>
      </c>
      <c r="C11" s="383"/>
      <c r="D11" s="466" t="s">
        <v>3590</v>
      </c>
      <c r="E11" s="469"/>
      <c r="F11" s="509" t="s">
        <v>1506</v>
      </c>
      <c r="G11" s="73" t="s">
        <v>149</v>
      </c>
      <c r="H11" s="695" t="s">
        <v>1471</v>
      </c>
      <c r="I11" s="338" t="s">
        <v>3377</v>
      </c>
      <c r="J11" s="258">
        <v>1984</v>
      </c>
      <c r="K11" s="370">
        <v>24</v>
      </c>
      <c r="L11" s="369" t="s">
        <v>1745</v>
      </c>
      <c r="M11" s="370" t="s">
        <v>1751</v>
      </c>
      <c r="N11" s="446">
        <f t="shared" si="0"/>
        <v>0.8</v>
      </c>
      <c r="O11" s="508">
        <v>0.8</v>
      </c>
      <c r="P11" s="329">
        <v>4.75</v>
      </c>
      <c r="Q11" s="310">
        <f t="shared" si="1"/>
        <v>4.75</v>
      </c>
      <c r="R11" s="377">
        <f t="shared" si="2"/>
        <v>324</v>
      </c>
      <c r="S11" s="206">
        <v>405</v>
      </c>
      <c r="T11" s="377">
        <f t="shared" si="3"/>
        <v>405</v>
      </c>
      <c r="U11" s="377">
        <f t="shared" si="4"/>
        <v>1923.75</v>
      </c>
      <c r="V11" s="495">
        <v>1268.779</v>
      </c>
      <c r="W11" s="496">
        <f t="shared" ref="W11:W28" si="5">U11-V11</f>
        <v>654.971</v>
      </c>
      <c r="X11" s="313" t="s">
        <v>12</v>
      </c>
      <c r="Y11" s="506" t="s">
        <v>12</v>
      </c>
      <c r="Z11" s="506" t="s">
        <v>12</v>
      </c>
      <c r="AA11" s="311" t="s">
        <v>1754</v>
      </c>
      <c r="AB11" s="262" t="s">
        <v>1754</v>
      </c>
      <c r="AC11" s="162" t="s">
        <v>3376</v>
      </c>
      <c r="AD11" s="507" t="s">
        <v>2312</v>
      </c>
      <c r="AE11" s="507" t="s">
        <v>2985</v>
      </c>
      <c r="AF11" s="506" t="s">
        <v>2618</v>
      </c>
      <c r="AG11" s="262" t="s">
        <v>2985</v>
      </c>
      <c r="AH11" s="344">
        <v>100</v>
      </c>
      <c r="AI11" s="254">
        <v>0</v>
      </c>
      <c r="AJ11" s="268">
        <v>0</v>
      </c>
      <c r="AK11" s="315">
        <v>0</v>
      </c>
      <c r="AL11" s="315">
        <v>0</v>
      </c>
      <c r="AM11" s="315">
        <v>0</v>
      </c>
      <c r="AN11" s="254">
        <v>0</v>
      </c>
      <c r="AO11" s="312">
        <v>0</v>
      </c>
      <c r="AP11" s="307">
        <v>0</v>
      </c>
      <c r="AQ11" s="506">
        <v>0</v>
      </c>
      <c r="AR11" s="307">
        <v>0</v>
      </c>
      <c r="AS11" s="506">
        <v>0</v>
      </c>
      <c r="AT11" s="312">
        <v>0</v>
      </c>
      <c r="AU11" s="506">
        <v>0</v>
      </c>
      <c r="AV11" s="307">
        <v>0</v>
      </c>
      <c r="AW11" s="506">
        <v>0</v>
      </c>
      <c r="AX11" s="510">
        <v>0</v>
      </c>
      <c r="AY11" s="414">
        <v>16.695</v>
      </c>
      <c r="AZ11" s="503"/>
      <c r="BA11" s="317" t="s">
        <v>2985</v>
      </c>
      <c r="BB11" s="94" t="s">
        <v>2985</v>
      </c>
      <c r="BC11" s="262" t="s">
        <v>2985</v>
      </c>
      <c r="BD11" s="506" t="s">
        <v>3572</v>
      </c>
      <c r="BE11" s="371">
        <v>38</v>
      </c>
      <c r="BF11" s="372"/>
      <c r="BG11" s="373">
        <v>255</v>
      </c>
      <c r="BH11" s="390">
        <v>16.535836177474401</v>
      </c>
      <c r="BI11" s="509">
        <v>100</v>
      </c>
      <c r="BJ11" s="257">
        <v>14</v>
      </c>
      <c r="BK11" s="728" t="s">
        <v>2985</v>
      </c>
      <c r="BL11" s="258">
        <v>23</v>
      </c>
      <c r="BM11" s="374" t="s">
        <v>2985</v>
      </c>
      <c r="BN11" s="368">
        <v>60</v>
      </c>
      <c r="BO11" s="259" t="s">
        <v>2985</v>
      </c>
      <c r="BP11" s="375"/>
      <c r="BQ11" s="27"/>
      <c r="BR11" s="27"/>
      <c r="BS11" s="321"/>
    </row>
    <row r="12" spans="1:75" s="322" customFormat="1" ht="15" customHeight="1">
      <c r="A12" s="336">
        <v>240</v>
      </c>
      <c r="B12" s="533" t="s">
        <v>3614</v>
      </c>
      <c r="C12" s="383"/>
      <c r="D12" s="466" t="s">
        <v>3590</v>
      </c>
      <c r="E12" s="469"/>
      <c r="F12" s="509" t="s">
        <v>1505</v>
      </c>
      <c r="G12" s="73" t="s">
        <v>149</v>
      </c>
      <c r="H12" s="695" t="s">
        <v>1471</v>
      </c>
      <c r="I12" s="338" t="s">
        <v>3377</v>
      </c>
      <c r="J12" s="258">
        <v>1984</v>
      </c>
      <c r="K12" s="370">
        <v>24</v>
      </c>
      <c r="L12" s="369" t="s">
        <v>1745</v>
      </c>
      <c r="M12" s="370" t="s">
        <v>1751</v>
      </c>
      <c r="N12" s="446">
        <f t="shared" si="0"/>
        <v>0.67</v>
      </c>
      <c r="O12" s="508">
        <v>0.67</v>
      </c>
      <c r="P12" s="329">
        <v>4.75</v>
      </c>
      <c r="Q12" s="310">
        <f t="shared" si="1"/>
        <v>4.75</v>
      </c>
      <c r="R12" s="377">
        <f t="shared" si="2"/>
        <v>245.22000000000003</v>
      </c>
      <c r="S12" s="206">
        <v>366</v>
      </c>
      <c r="T12" s="377">
        <f t="shared" si="3"/>
        <v>366</v>
      </c>
      <c r="U12" s="377">
        <f t="shared" si="4"/>
        <v>1738.5</v>
      </c>
      <c r="V12" s="495">
        <v>1212.1389999999999</v>
      </c>
      <c r="W12" s="496">
        <f t="shared" si="5"/>
        <v>526.3610000000001</v>
      </c>
      <c r="X12" s="313" t="s">
        <v>12</v>
      </c>
      <c r="Y12" s="506" t="s">
        <v>12</v>
      </c>
      <c r="Z12" s="506" t="s">
        <v>12</v>
      </c>
      <c r="AA12" s="311" t="s">
        <v>1754</v>
      </c>
      <c r="AB12" s="262" t="s">
        <v>1754</v>
      </c>
      <c r="AC12" s="162" t="s">
        <v>3376</v>
      </c>
      <c r="AD12" s="507" t="s">
        <v>2312</v>
      </c>
      <c r="AE12" s="507" t="s">
        <v>2985</v>
      </c>
      <c r="AF12" s="506" t="s">
        <v>2618</v>
      </c>
      <c r="AG12" s="262" t="s">
        <v>2985</v>
      </c>
      <c r="AH12" s="344">
        <v>100</v>
      </c>
      <c r="AI12" s="254">
        <v>0</v>
      </c>
      <c r="AJ12" s="268">
        <v>0</v>
      </c>
      <c r="AK12" s="315">
        <v>0</v>
      </c>
      <c r="AL12" s="315">
        <v>0</v>
      </c>
      <c r="AM12" s="315">
        <v>0</v>
      </c>
      <c r="AN12" s="254">
        <v>0</v>
      </c>
      <c r="AO12" s="312">
        <v>0</v>
      </c>
      <c r="AP12" s="307">
        <v>0</v>
      </c>
      <c r="AQ12" s="506">
        <v>0</v>
      </c>
      <c r="AR12" s="307">
        <v>0</v>
      </c>
      <c r="AS12" s="506">
        <v>0</v>
      </c>
      <c r="AT12" s="312">
        <v>0</v>
      </c>
      <c r="AU12" s="506">
        <v>0</v>
      </c>
      <c r="AV12" s="307">
        <v>0</v>
      </c>
      <c r="AW12" s="506">
        <v>0</v>
      </c>
      <c r="AX12" s="510">
        <v>0</v>
      </c>
      <c r="AY12" s="414">
        <v>22.26</v>
      </c>
      <c r="AZ12" s="503"/>
      <c r="BA12" s="317" t="s">
        <v>2985</v>
      </c>
      <c r="BB12" s="94" t="s">
        <v>2985</v>
      </c>
      <c r="BC12" s="262" t="s">
        <v>2985</v>
      </c>
      <c r="BD12" s="506" t="s">
        <v>3572</v>
      </c>
      <c r="BE12" s="371">
        <v>38</v>
      </c>
      <c r="BF12" s="372"/>
      <c r="BG12" s="373">
        <v>255</v>
      </c>
      <c r="BH12" s="390">
        <v>16.535836177474401</v>
      </c>
      <c r="BI12" s="509">
        <v>100</v>
      </c>
      <c r="BJ12" s="257">
        <v>14</v>
      </c>
      <c r="BK12" s="728" t="s">
        <v>2985</v>
      </c>
      <c r="BL12" s="258">
        <v>23</v>
      </c>
      <c r="BM12" s="374" t="s">
        <v>2985</v>
      </c>
      <c r="BN12" s="368">
        <v>60</v>
      </c>
      <c r="BO12" s="259" t="s">
        <v>2985</v>
      </c>
      <c r="BP12" s="375"/>
      <c r="BQ12" s="27"/>
      <c r="BR12" s="27"/>
      <c r="BS12" s="321"/>
    </row>
    <row r="13" spans="1:75" s="322" customFormat="1" ht="15" customHeight="1">
      <c r="A13" s="336">
        <v>241</v>
      </c>
      <c r="B13" s="533" t="s">
        <v>3614</v>
      </c>
      <c r="C13" s="383"/>
      <c r="D13" s="466" t="s">
        <v>3590</v>
      </c>
      <c r="E13" s="469"/>
      <c r="F13" s="509" t="s">
        <v>1504</v>
      </c>
      <c r="G13" s="73" t="s">
        <v>149</v>
      </c>
      <c r="H13" s="695" t="s">
        <v>1471</v>
      </c>
      <c r="I13" s="338" t="s">
        <v>3377</v>
      </c>
      <c r="J13" s="258">
        <v>1984</v>
      </c>
      <c r="K13" s="370">
        <v>24</v>
      </c>
      <c r="L13" s="369" t="s">
        <v>1745</v>
      </c>
      <c r="M13" s="370" t="s">
        <v>1751</v>
      </c>
      <c r="N13" s="446">
        <f t="shared" si="0"/>
        <v>0.57999999999999996</v>
      </c>
      <c r="O13" s="508">
        <v>0.57999999999999996</v>
      </c>
      <c r="P13" s="329">
        <v>4.75</v>
      </c>
      <c r="Q13" s="310">
        <f t="shared" si="1"/>
        <v>4.75</v>
      </c>
      <c r="R13" s="377">
        <f t="shared" si="2"/>
        <v>195.45999999999998</v>
      </c>
      <c r="S13" s="206">
        <v>337</v>
      </c>
      <c r="T13" s="377">
        <f t="shared" si="3"/>
        <v>337</v>
      </c>
      <c r="U13" s="377">
        <f t="shared" si="4"/>
        <v>1600.75</v>
      </c>
      <c r="V13" s="495">
        <v>1172.9269999999999</v>
      </c>
      <c r="W13" s="496">
        <f t="shared" si="5"/>
        <v>427.82300000000009</v>
      </c>
      <c r="X13" s="313" t="s">
        <v>12</v>
      </c>
      <c r="Y13" s="506" t="s">
        <v>12</v>
      </c>
      <c r="Z13" s="506" t="s">
        <v>12</v>
      </c>
      <c r="AA13" s="311" t="s">
        <v>1754</v>
      </c>
      <c r="AB13" s="262" t="s">
        <v>1754</v>
      </c>
      <c r="AC13" s="162" t="s">
        <v>3376</v>
      </c>
      <c r="AD13" s="507" t="s">
        <v>2312</v>
      </c>
      <c r="AE13" s="507" t="s">
        <v>2985</v>
      </c>
      <c r="AF13" s="506" t="s">
        <v>2618</v>
      </c>
      <c r="AG13" s="262" t="s">
        <v>2985</v>
      </c>
      <c r="AH13" s="344">
        <v>100</v>
      </c>
      <c r="AI13" s="254">
        <v>0</v>
      </c>
      <c r="AJ13" s="268">
        <v>0</v>
      </c>
      <c r="AK13" s="315">
        <v>0</v>
      </c>
      <c r="AL13" s="315">
        <v>0</v>
      </c>
      <c r="AM13" s="315">
        <v>0</v>
      </c>
      <c r="AN13" s="254">
        <v>0</v>
      </c>
      <c r="AO13" s="312">
        <v>0</v>
      </c>
      <c r="AP13" s="307">
        <v>0</v>
      </c>
      <c r="AQ13" s="506">
        <v>0</v>
      </c>
      <c r="AR13" s="307">
        <v>0</v>
      </c>
      <c r="AS13" s="506">
        <v>0</v>
      </c>
      <c r="AT13" s="312">
        <v>0</v>
      </c>
      <c r="AU13" s="506">
        <v>0</v>
      </c>
      <c r="AV13" s="307">
        <v>0</v>
      </c>
      <c r="AW13" s="506">
        <v>0</v>
      </c>
      <c r="AX13" s="510">
        <v>0</v>
      </c>
      <c r="AY13" s="414">
        <v>35.093571428571423</v>
      </c>
      <c r="AZ13" s="503"/>
      <c r="BA13" s="317" t="s">
        <v>2985</v>
      </c>
      <c r="BB13" s="94" t="s">
        <v>2985</v>
      </c>
      <c r="BC13" s="262" t="s">
        <v>2985</v>
      </c>
      <c r="BD13" s="506" t="s">
        <v>3572</v>
      </c>
      <c r="BE13" s="371">
        <v>38</v>
      </c>
      <c r="BF13" s="372"/>
      <c r="BG13" s="373">
        <v>255</v>
      </c>
      <c r="BH13" s="390">
        <v>16.535836177474401</v>
      </c>
      <c r="BI13" s="509">
        <v>100</v>
      </c>
      <c r="BJ13" s="257">
        <v>14</v>
      </c>
      <c r="BK13" s="728" t="s">
        <v>2985</v>
      </c>
      <c r="BL13" s="258">
        <v>23</v>
      </c>
      <c r="BM13" s="374" t="s">
        <v>2985</v>
      </c>
      <c r="BN13" s="368">
        <v>60</v>
      </c>
      <c r="BO13" s="259" t="s">
        <v>2985</v>
      </c>
      <c r="BP13" s="375"/>
      <c r="BQ13" s="27"/>
      <c r="BR13" s="27"/>
      <c r="BS13" s="321"/>
    </row>
    <row r="14" spans="1:75" s="322" customFormat="1" ht="15" customHeight="1">
      <c r="A14" s="336">
        <v>242</v>
      </c>
      <c r="B14" s="533" t="s">
        <v>3614</v>
      </c>
      <c r="C14" s="383"/>
      <c r="D14" s="466" t="s">
        <v>3590</v>
      </c>
      <c r="E14" s="469"/>
      <c r="F14" s="509" t="s">
        <v>1503</v>
      </c>
      <c r="G14" s="73" t="s">
        <v>149</v>
      </c>
      <c r="H14" s="695" t="s">
        <v>1471</v>
      </c>
      <c r="I14" s="338" t="s">
        <v>3377</v>
      </c>
      <c r="J14" s="258">
        <v>1984</v>
      </c>
      <c r="K14" s="370">
        <v>24</v>
      </c>
      <c r="L14" s="369" t="s">
        <v>1745</v>
      </c>
      <c r="M14" s="370" t="s">
        <v>1751</v>
      </c>
      <c r="N14" s="446">
        <f t="shared" si="0"/>
        <v>0.54</v>
      </c>
      <c r="O14" s="508">
        <v>0.54</v>
      </c>
      <c r="P14" s="329">
        <v>4.75</v>
      </c>
      <c r="Q14" s="310">
        <f t="shared" si="1"/>
        <v>4.75</v>
      </c>
      <c r="R14" s="377">
        <f t="shared" si="2"/>
        <v>176.04000000000002</v>
      </c>
      <c r="S14" s="206">
        <v>326</v>
      </c>
      <c r="T14" s="377">
        <f t="shared" si="3"/>
        <v>326</v>
      </c>
      <c r="U14" s="377">
        <f t="shared" si="4"/>
        <v>1548.5</v>
      </c>
      <c r="V14" s="495">
        <v>1155.499</v>
      </c>
      <c r="W14" s="496">
        <f t="shared" si="5"/>
        <v>393.00099999999998</v>
      </c>
      <c r="X14" s="313" t="s">
        <v>12</v>
      </c>
      <c r="Y14" s="506" t="s">
        <v>12</v>
      </c>
      <c r="Z14" s="506" t="s">
        <v>12</v>
      </c>
      <c r="AA14" s="311" t="s">
        <v>1754</v>
      </c>
      <c r="AB14" s="262" t="s">
        <v>1754</v>
      </c>
      <c r="AC14" s="162" t="s">
        <v>3376</v>
      </c>
      <c r="AD14" s="507" t="s">
        <v>2312</v>
      </c>
      <c r="AE14" s="507" t="s">
        <v>2985</v>
      </c>
      <c r="AF14" s="506" t="s">
        <v>2618</v>
      </c>
      <c r="AG14" s="262" t="s">
        <v>2985</v>
      </c>
      <c r="AH14" s="344">
        <v>100</v>
      </c>
      <c r="AI14" s="254">
        <v>0</v>
      </c>
      <c r="AJ14" s="268">
        <v>0</v>
      </c>
      <c r="AK14" s="315">
        <v>0</v>
      </c>
      <c r="AL14" s="315">
        <v>0</v>
      </c>
      <c r="AM14" s="315">
        <v>0</v>
      </c>
      <c r="AN14" s="254">
        <v>0</v>
      </c>
      <c r="AO14" s="312">
        <v>0</v>
      </c>
      <c r="AP14" s="307">
        <v>0</v>
      </c>
      <c r="AQ14" s="506">
        <v>0</v>
      </c>
      <c r="AR14" s="307">
        <v>0</v>
      </c>
      <c r="AS14" s="506">
        <v>0</v>
      </c>
      <c r="AT14" s="312">
        <v>0</v>
      </c>
      <c r="AU14" s="506">
        <v>0</v>
      </c>
      <c r="AV14" s="307">
        <v>0</v>
      </c>
      <c r="AW14" s="506">
        <v>0</v>
      </c>
      <c r="AX14" s="510">
        <v>0</v>
      </c>
      <c r="AY14" s="414">
        <v>37.251428571428569</v>
      </c>
      <c r="AZ14" s="503"/>
      <c r="BA14" s="317" t="s">
        <v>2985</v>
      </c>
      <c r="BB14" s="94" t="s">
        <v>2985</v>
      </c>
      <c r="BC14" s="262" t="s">
        <v>2985</v>
      </c>
      <c r="BD14" s="506" t="s">
        <v>3572</v>
      </c>
      <c r="BE14" s="371">
        <v>38</v>
      </c>
      <c r="BF14" s="372"/>
      <c r="BG14" s="373">
        <v>255</v>
      </c>
      <c r="BH14" s="390">
        <v>16.535836177474401</v>
      </c>
      <c r="BI14" s="509">
        <v>100</v>
      </c>
      <c r="BJ14" s="257">
        <v>14</v>
      </c>
      <c r="BK14" s="728" t="s">
        <v>2985</v>
      </c>
      <c r="BL14" s="258">
        <v>23</v>
      </c>
      <c r="BM14" s="374" t="s">
        <v>2985</v>
      </c>
      <c r="BN14" s="368">
        <v>60</v>
      </c>
      <c r="BO14" s="259" t="s">
        <v>2985</v>
      </c>
      <c r="BP14" s="375"/>
      <c r="BQ14" s="326"/>
      <c r="BR14" s="326"/>
      <c r="BS14" s="321"/>
    </row>
    <row r="15" spans="1:75" s="322" customFormat="1" ht="15" customHeight="1">
      <c r="A15" s="336">
        <v>243</v>
      </c>
      <c r="B15" s="533" t="s">
        <v>3614</v>
      </c>
      <c r="C15" s="383"/>
      <c r="D15" s="466" t="s">
        <v>3590</v>
      </c>
      <c r="E15" s="469"/>
      <c r="F15" s="509" t="s">
        <v>1502</v>
      </c>
      <c r="G15" s="73" t="s">
        <v>149</v>
      </c>
      <c r="H15" s="695" t="s">
        <v>1471</v>
      </c>
      <c r="I15" s="338" t="s">
        <v>3377</v>
      </c>
      <c r="J15" s="258">
        <v>1984</v>
      </c>
      <c r="K15" s="370">
        <v>24</v>
      </c>
      <c r="L15" s="369" t="s">
        <v>1745</v>
      </c>
      <c r="M15" s="370" t="s">
        <v>1751</v>
      </c>
      <c r="N15" s="446">
        <f t="shared" si="0"/>
        <v>0.5</v>
      </c>
      <c r="O15" s="508">
        <v>0.5</v>
      </c>
      <c r="P15" s="329">
        <v>4.75</v>
      </c>
      <c r="Q15" s="310">
        <f t="shared" si="1"/>
        <v>4.75</v>
      </c>
      <c r="R15" s="377">
        <f t="shared" si="2"/>
        <v>155.5</v>
      </c>
      <c r="S15" s="206">
        <v>311</v>
      </c>
      <c r="T15" s="377">
        <f t="shared" si="3"/>
        <v>311</v>
      </c>
      <c r="U15" s="377">
        <f t="shared" si="4"/>
        <v>1477.25</v>
      </c>
      <c r="V15" s="495">
        <v>1138.0709999999999</v>
      </c>
      <c r="W15" s="496">
        <f t="shared" si="5"/>
        <v>339.17900000000009</v>
      </c>
      <c r="X15" s="313" t="s">
        <v>12</v>
      </c>
      <c r="Y15" s="506" t="s">
        <v>12</v>
      </c>
      <c r="Z15" s="506" t="s">
        <v>12</v>
      </c>
      <c r="AA15" s="311" t="s">
        <v>1754</v>
      </c>
      <c r="AB15" s="262" t="s">
        <v>1754</v>
      </c>
      <c r="AC15" s="162" t="s">
        <v>3376</v>
      </c>
      <c r="AD15" s="507" t="s">
        <v>2312</v>
      </c>
      <c r="AE15" s="507" t="s">
        <v>2985</v>
      </c>
      <c r="AF15" s="506" t="s">
        <v>2618</v>
      </c>
      <c r="AG15" s="262" t="s">
        <v>2985</v>
      </c>
      <c r="AH15" s="344">
        <v>100</v>
      </c>
      <c r="AI15" s="254">
        <v>0</v>
      </c>
      <c r="AJ15" s="268">
        <v>0</v>
      </c>
      <c r="AK15" s="315">
        <v>0</v>
      </c>
      <c r="AL15" s="315">
        <v>0</v>
      </c>
      <c r="AM15" s="315">
        <v>0</v>
      </c>
      <c r="AN15" s="254">
        <v>0</v>
      </c>
      <c r="AO15" s="312">
        <v>0</v>
      </c>
      <c r="AP15" s="307">
        <v>0</v>
      </c>
      <c r="AQ15" s="506">
        <v>0</v>
      </c>
      <c r="AR15" s="307">
        <v>0</v>
      </c>
      <c r="AS15" s="506">
        <v>0</v>
      </c>
      <c r="AT15" s="312">
        <v>0</v>
      </c>
      <c r="AU15" s="506">
        <v>0</v>
      </c>
      <c r="AV15" s="307">
        <v>0</v>
      </c>
      <c r="AW15" s="506">
        <v>0</v>
      </c>
      <c r="AX15" s="510">
        <v>0</v>
      </c>
      <c r="AY15" s="414">
        <v>41.794285714285706</v>
      </c>
      <c r="AZ15" s="503"/>
      <c r="BA15" s="317" t="s">
        <v>2985</v>
      </c>
      <c r="BB15" s="94" t="s">
        <v>2985</v>
      </c>
      <c r="BC15" s="262" t="s">
        <v>2985</v>
      </c>
      <c r="BD15" s="506" t="s">
        <v>3572</v>
      </c>
      <c r="BE15" s="371">
        <v>38</v>
      </c>
      <c r="BF15" s="372"/>
      <c r="BG15" s="373">
        <v>255</v>
      </c>
      <c r="BH15" s="390">
        <v>16.535836177474401</v>
      </c>
      <c r="BI15" s="509">
        <v>100</v>
      </c>
      <c r="BJ15" s="257">
        <v>14</v>
      </c>
      <c r="BK15" s="728" t="s">
        <v>2985</v>
      </c>
      <c r="BL15" s="258">
        <v>23</v>
      </c>
      <c r="BM15" s="374" t="s">
        <v>2985</v>
      </c>
      <c r="BN15" s="368">
        <v>60</v>
      </c>
      <c r="BO15" s="259" t="s">
        <v>2985</v>
      </c>
      <c r="BP15" s="375"/>
      <c r="BQ15" s="326"/>
      <c r="BR15" s="326"/>
      <c r="BS15" s="321"/>
    </row>
    <row r="16" spans="1:75" s="322" customFormat="1" ht="15" customHeight="1">
      <c r="A16" s="336">
        <v>244</v>
      </c>
      <c r="B16" s="533" t="s">
        <v>3614</v>
      </c>
      <c r="C16" s="383"/>
      <c r="D16" s="466" t="s">
        <v>3590</v>
      </c>
      <c r="E16" s="469"/>
      <c r="F16" s="509" t="s">
        <v>1501</v>
      </c>
      <c r="G16" s="73" t="s">
        <v>149</v>
      </c>
      <c r="H16" s="695" t="s">
        <v>1471</v>
      </c>
      <c r="I16" s="338" t="s">
        <v>3377</v>
      </c>
      <c r="J16" s="258">
        <v>1984</v>
      </c>
      <c r="K16" s="370">
        <v>24</v>
      </c>
      <c r="L16" s="369" t="s">
        <v>1745</v>
      </c>
      <c r="M16" s="370" t="s">
        <v>1751</v>
      </c>
      <c r="N16" s="446">
        <f t="shared" si="0"/>
        <v>0.80000000000000016</v>
      </c>
      <c r="O16" s="508">
        <v>0.8</v>
      </c>
      <c r="P16" s="329">
        <v>4.75</v>
      </c>
      <c r="Q16" s="310">
        <f t="shared" si="1"/>
        <v>4.75</v>
      </c>
      <c r="R16" s="377">
        <f t="shared" si="2"/>
        <v>311.20000000000005</v>
      </c>
      <c r="S16" s="206">
        <v>389</v>
      </c>
      <c r="T16" s="377">
        <f t="shared" si="3"/>
        <v>389</v>
      </c>
      <c r="U16" s="377">
        <f t="shared" si="4"/>
        <v>1847.75</v>
      </c>
      <c r="V16" s="495">
        <v>1268.779</v>
      </c>
      <c r="W16" s="496">
        <f t="shared" si="5"/>
        <v>578.971</v>
      </c>
      <c r="X16" s="313" t="s">
        <v>12</v>
      </c>
      <c r="Y16" s="506" t="s">
        <v>12</v>
      </c>
      <c r="Z16" s="506" t="s">
        <v>12</v>
      </c>
      <c r="AA16" s="311" t="s">
        <v>1754</v>
      </c>
      <c r="AB16" s="262" t="s">
        <v>1754</v>
      </c>
      <c r="AC16" s="162" t="s">
        <v>3376</v>
      </c>
      <c r="AD16" s="507" t="s">
        <v>2312</v>
      </c>
      <c r="AE16" s="507" t="s">
        <v>2985</v>
      </c>
      <c r="AF16" s="506" t="s">
        <v>2619</v>
      </c>
      <c r="AG16" s="262" t="s">
        <v>2985</v>
      </c>
      <c r="AH16" s="344">
        <v>100</v>
      </c>
      <c r="AI16" s="254">
        <v>0</v>
      </c>
      <c r="AJ16" s="268">
        <v>0</v>
      </c>
      <c r="AK16" s="315">
        <v>0</v>
      </c>
      <c r="AL16" s="315">
        <v>0</v>
      </c>
      <c r="AM16" s="315">
        <v>0</v>
      </c>
      <c r="AN16" s="254">
        <v>0</v>
      </c>
      <c r="AO16" s="312">
        <v>0</v>
      </c>
      <c r="AP16" s="307">
        <v>0</v>
      </c>
      <c r="AQ16" s="506">
        <v>0</v>
      </c>
      <c r="AR16" s="307">
        <v>0</v>
      </c>
      <c r="AS16" s="506">
        <v>0</v>
      </c>
      <c r="AT16" s="312">
        <v>0</v>
      </c>
      <c r="AU16" s="506">
        <v>0</v>
      </c>
      <c r="AV16" s="307">
        <v>0</v>
      </c>
      <c r="AW16" s="506">
        <v>0</v>
      </c>
      <c r="AX16" s="510">
        <v>0</v>
      </c>
      <c r="AY16" s="414">
        <v>16.581428571428571</v>
      </c>
      <c r="AZ16" s="503"/>
      <c r="BA16" s="317" t="s">
        <v>2985</v>
      </c>
      <c r="BB16" s="94" t="s">
        <v>2985</v>
      </c>
      <c r="BC16" s="262" t="s">
        <v>2985</v>
      </c>
      <c r="BD16" s="506" t="s">
        <v>3572</v>
      </c>
      <c r="BE16" s="371">
        <v>38</v>
      </c>
      <c r="BF16" s="372"/>
      <c r="BG16" s="373">
        <v>255</v>
      </c>
      <c r="BH16" s="390">
        <v>16.535836177474401</v>
      </c>
      <c r="BI16" s="509">
        <v>100</v>
      </c>
      <c r="BJ16" s="257">
        <v>14</v>
      </c>
      <c r="BK16" s="728" t="s">
        <v>2985</v>
      </c>
      <c r="BL16" s="258">
        <v>23</v>
      </c>
      <c r="BM16" s="374" t="s">
        <v>2985</v>
      </c>
      <c r="BN16" s="368">
        <v>60</v>
      </c>
      <c r="BO16" s="259" t="s">
        <v>2985</v>
      </c>
      <c r="BP16" s="375"/>
      <c r="BQ16" s="326"/>
      <c r="BR16" s="326"/>
      <c r="BS16" s="321"/>
    </row>
    <row r="17" spans="1:71" s="322" customFormat="1" ht="15" customHeight="1">
      <c r="A17" s="336">
        <v>245</v>
      </c>
      <c r="B17" s="533" t="s">
        <v>3614</v>
      </c>
      <c r="C17" s="383"/>
      <c r="D17" s="466" t="s">
        <v>3590</v>
      </c>
      <c r="E17" s="469"/>
      <c r="F17" s="509" t="s">
        <v>1500</v>
      </c>
      <c r="G17" s="73" t="s">
        <v>149</v>
      </c>
      <c r="H17" s="695" t="s">
        <v>1471</v>
      </c>
      <c r="I17" s="338" t="s">
        <v>3377</v>
      </c>
      <c r="J17" s="258">
        <v>1984</v>
      </c>
      <c r="K17" s="370">
        <v>24</v>
      </c>
      <c r="L17" s="369" t="s">
        <v>1745</v>
      </c>
      <c r="M17" s="370" t="s">
        <v>1751</v>
      </c>
      <c r="N17" s="446">
        <f t="shared" si="0"/>
        <v>0.67</v>
      </c>
      <c r="O17" s="508">
        <v>0.67</v>
      </c>
      <c r="P17" s="329">
        <v>4.75</v>
      </c>
      <c r="Q17" s="310">
        <f t="shared" si="1"/>
        <v>4.75</v>
      </c>
      <c r="R17" s="377">
        <f t="shared" si="2"/>
        <v>235.17000000000002</v>
      </c>
      <c r="S17" s="206">
        <v>351</v>
      </c>
      <c r="T17" s="377">
        <f t="shared" si="3"/>
        <v>351</v>
      </c>
      <c r="U17" s="377">
        <f t="shared" si="4"/>
        <v>1667.25</v>
      </c>
      <c r="V17" s="495">
        <v>1212.1389999999999</v>
      </c>
      <c r="W17" s="496">
        <f t="shared" si="5"/>
        <v>455.1110000000001</v>
      </c>
      <c r="X17" s="313" t="s">
        <v>12</v>
      </c>
      <c r="Y17" s="506" t="s">
        <v>12</v>
      </c>
      <c r="Z17" s="506" t="s">
        <v>12</v>
      </c>
      <c r="AA17" s="311" t="s">
        <v>1754</v>
      </c>
      <c r="AB17" s="262" t="s">
        <v>1754</v>
      </c>
      <c r="AC17" s="162" t="s">
        <v>3376</v>
      </c>
      <c r="AD17" s="507" t="s">
        <v>2312</v>
      </c>
      <c r="AE17" s="507" t="s">
        <v>2985</v>
      </c>
      <c r="AF17" s="506" t="s">
        <v>2619</v>
      </c>
      <c r="AG17" s="262" t="s">
        <v>2985</v>
      </c>
      <c r="AH17" s="344">
        <v>100</v>
      </c>
      <c r="AI17" s="254">
        <v>0</v>
      </c>
      <c r="AJ17" s="268">
        <v>0</v>
      </c>
      <c r="AK17" s="315">
        <v>0</v>
      </c>
      <c r="AL17" s="315">
        <v>0</v>
      </c>
      <c r="AM17" s="315">
        <v>0</v>
      </c>
      <c r="AN17" s="254">
        <v>0</v>
      </c>
      <c r="AO17" s="312">
        <v>0</v>
      </c>
      <c r="AP17" s="307">
        <v>0</v>
      </c>
      <c r="AQ17" s="506">
        <v>0</v>
      </c>
      <c r="AR17" s="307">
        <v>0</v>
      </c>
      <c r="AS17" s="506">
        <v>0</v>
      </c>
      <c r="AT17" s="312">
        <v>0</v>
      </c>
      <c r="AU17" s="506">
        <v>0</v>
      </c>
      <c r="AV17" s="307">
        <v>0</v>
      </c>
      <c r="AW17" s="506">
        <v>0</v>
      </c>
      <c r="AX17" s="510">
        <v>0</v>
      </c>
      <c r="AY17" s="414">
        <v>23.055</v>
      </c>
      <c r="AZ17" s="503"/>
      <c r="BA17" s="317" t="s">
        <v>2985</v>
      </c>
      <c r="BB17" s="94" t="s">
        <v>2985</v>
      </c>
      <c r="BC17" s="262" t="s">
        <v>2985</v>
      </c>
      <c r="BD17" s="506" t="s">
        <v>3572</v>
      </c>
      <c r="BE17" s="371">
        <v>38</v>
      </c>
      <c r="BF17" s="372"/>
      <c r="BG17" s="373">
        <v>255</v>
      </c>
      <c r="BH17" s="390">
        <v>16.535836177474401</v>
      </c>
      <c r="BI17" s="509">
        <v>100</v>
      </c>
      <c r="BJ17" s="257">
        <v>14</v>
      </c>
      <c r="BK17" s="728" t="s">
        <v>2985</v>
      </c>
      <c r="BL17" s="258">
        <v>23</v>
      </c>
      <c r="BM17" s="374" t="s">
        <v>2985</v>
      </c>
      <c r="BN17" s="368">
        <v>60</v>
      </c>
      <c r="BO17" s="259" t="s">
        <v>2985</v>
      </c>
      <c r="BP17" s="375"/>
      <c r="BQ17" s="27"/>
      <c r="BR17" s="27"/>
      <c r="BS17" s="321"/>
    </row>
    <row r="18" spans="1:71" s="322" customFormat="1" ht="15" customHeight="1">
      <c r="A18" s="336">
        <v>246</v>
      </c>
      <c r="B18" s="533" t="s">
        <v>3614</v>
      </c>
      <c r="C18" s="383"/>
      <c r="D18" s="466" t="s">
        <v>3590</v>
      </c>
      <c r="E18" s="469"/>
      <c r="F18" s="509" t="s">
        <v>1499</v>
      </c>
      <c r="G18" s="73" t="s">
        <v>149</v>
      </c>
      <c r="H18" s="695" t="s">
        <v>1471</v>
      </c>
      <c r="I18" s="338" t="s">
        <v>3377</v>
      </c>
      <c r="J18" s="258">
        <v>1984</v>
      </c>
      <c r="K18" s="370">
        <v>24</v>
      </c>
      <c r="L18" s="369" t="s">
        <v>1745</v>
      </c>
      <c r="M18" s="370" t="s">
        <v>1751</v>
      </c>
      <c r="N18" s="446">
        <f t="shared" si="0"/>
        <v>0.56000000000000005</v>
      </c>
      <c r="O18" s="508">
        <v>0.56000000000000005</v>
      </c>
      <c r="P18" s="329">
        <v>4.75</v>
      </c>
      <c r="Q18" s="310">
        <f t="shared" si="1"/>
        <v>4.75</v>
      </c>
      <c r="R18" s="377">
        <f t="shared" si="2"/>
        <v>177.52</v>
      </c>
      <c r="S18" s="206">
        <v>317</v>
      </c>
      <c r="T18" s="377">
        <f t="shared" si="3"/>
        <v>317</v>
      </c>
      <c r="U18" s="377">
        <f t="shared" si="4"/>
        <v>1505.75</v>
      </c>
      <c r="V18" s="495">
        <v>1164.213</v>
      </c>
      <c r="W18" s="496">
        <f t="shared" si="5"/>
        <v>341.53700000000003</v>
      </c>
      <c r="X18" s="313" t="s">
        <v>12</v>
      </c>
      <c r="Y18" s="506" t="s">
        <v>12</v>
      </c>
      <c r="Z18" s="506" t="s">
        <v>12</v>
      </c>
      <c r="AA18" s="311" t="s">
        <v>1754</v>
      </c>
      <c r="AB18" s="262" t="s">
        <v>1754</v>
      </c>
      <c r="AC18" s="162" t="s">
        <v>3376</v>
      </c>
      <c r="AD18" s="507" t="s">
        <v>2312</v>
      </c>
      <c r="AE18" s="507" t="s">
        <v>2985</v>
      </c>
      <c r="AF18" s="506" t="s">
        <v>2619</v>
      </c>
      <c r="AG18" s="262" t="s">
        <v>2985</v>
      </c>
      <c r="AH18" s="344">
        <v>100</v>
      </c>
      <c r="AI18" s="254">
        <v>0</v>
      </c>
      <c r="AJ18" s="268">
        <v>0</v>
      </c>
      <c r="AK18" s="315">
        <v>0</v>
      </c>
      <c r="AL18" s="315">
        <v>0</v>
      </c>
      <c r="AM18" s="315">
        <v>0</v>
      </c>
      <c r="AN18" s="254">
        <v>0</v>
      </c>
      <c r="AO18" s="312">
        <v>0</v>
      </c>
      <c r="AP18" s="307">
        <v>0</v>
      </c>
      <c r="AQ18" s="506">
        <v>0</v>
      </c>
      <c r="AR18" s="307">
        <v>0</v>
      </c>
      <c r="AS18" s="506">
        <v>0</v>
      </c>
      <c r="AT18" s="312">
        <v>0</v>
      </c>
      <c r="AU18" s="506">
        <v>0</v>
      </c>
      <c r="AV18" s="307">
        <v>0</v>
      </c>
      <c r="AW18" s="506">
        <v>0</v>
      </c>
      <c r="AX18" s="510">
        <v>0</v>
      </c>
      <c r="AY18" s="414">
        <v>31.459285714285713</v>
      </c>
      <c r="AZ18" s="503"/>
      <c r="BA18" s="317" t="s">
        <v>2985</v>
      </c>
      <c r="BB18" s="94" t="s">
        <v>2985</v>
      </c>
      <c r="BC18" s="262" t="s">
        <v>2985</v>
      </c>
      <c r="BD18" s="506" t="s">
        <v>3572</v>
      </c>
      <c r="BE18" s="371">
        <v>38</v>
      </c>
      <c r="BF18" s="372"/>
      <c r="BG18" s="373">
        <v>255</v>
      </c>
      <c r="BH18" s="390">
        <v>16.535836177474401</v>
      </c>
      <c r="BI18" s="509">
        <v>100</v>
      </c>
      <c r="BJ18" s="257">
        <v>14</v>
      </c>
      <c r="BK18" s="728" t="s">
        <v>2985</v>
      </c>
      <c r="BL18" s="258">
        <v>23</v>
      </c>
      <c r="BM18" s="374" t="s">
        <v>2985</v>
      </c>
      <c r="BN18" s="368">
        <v>60</v>
      </c>
      <c r="BO18" s="259" t="s">
        <v>2985</v>
      </c>
      <c r="BP18" s="375"/>
      <c r="BQ18" s="27"/>
      <c r="BR18" s="27"/>
      <c r="BS18" s="321"/>
    </row>
    <row r="19" spans="1:71" s="322" customFormat="1" ht="15" customHeight="1">
      <c r="A19" s="336">
        <v>247</v>
      </c>
      <c r="B19" s="533" t="s">
        <v>3614</v>
      </c>
      <c r="C19" s="383"/>
      <c r="D19" s="466" t="s">
        <v>3590</v>
      </c>
      <c r="E19" s="469"/>
      <c r="F19" s="509" t="s">
        <v>1498</v>
      </c>
      <c r="G19" s="73" t="s">
        <v>149</v>
      </c>
      <c r="H19" s="695" t="s">
        <v>1471</v>
      </c>
      <c r="I19" s="338" t="s">
        <v>3377</v>
      </c>
      <c r="J19" s="258">
        <v>1984</v>
      </c>
      <c r="K19" s="370">
        <v>24</v>
      </c>
      <c r="L19" s="369" t="s">
        <v>1745</v>
      </c>
      <c r="M19" s="370" t="s">
        <v>1751</v>
      </c>
      <c r="N19" s="446">
        <f t="shared" si="0"/>
        <v>0.48</v>
      </c>
      <c r="O19" s="508">
        <v>0.48</v>
      </c>
      <c r="P19" s="329">
        <v>4.75</v>
      </c>
      <c r="Q19" s="310">
        <f t="shared" si="1"/>
        <v>4.75</v>
      </c>
      <c r="R19" s="377">
        <f t="shared" si="2"/>
        <v>140.16</v>
      </c>
      <c r="S19" s="206">
        <v>292</v>
      </c>
      <c r="T19" s="377">
        <f t="shared" si="3"/>
        <v>292</v>
      </c>
      <c r="U19" s="377">
        <f t="shared" si="4"/>
        <v>1387</v>
      </c>
      <c r="V19" s="495">
        <v>1129.3579999999999</v>
      </c>
      <c r="W19" s="496">
        <f t="shared" si="5"/>
        <v>257.64200000000005</v>
      </c>
      <c r="X19" s="313" t="s">
        <v>12</v>
      </c>
      <c r="Y19" s="506" t="s">
        <v>12</v>
      </c>
      <c r="Z19" s="506" t="s">
        <v>12</v>
      </c>
      <c r="AA19" s="311" t="s">
        <v>1754</v>
      </c>
      <c r="AB19" s="262" t="s">
        <v>1754</v>
      </c>
      <c r="AC19" s="162" t="s">
        <v>3376</v>
      </c>
      <c r="AD19" s="507" t="s">
        <v>2312</v>
      </c>
      <c r="AE19" s="507" t="s">
        <v>2985</v>
      </c>
      <c r="AF19" s="506" t="s">
        <v>2619</v>
      </c>
      <c r="AG19" s="262" t="s">
        <v>2985</v>
      </c>
      <c r="AH19" s="344">
        <v>100</v>
      </c>
      <c r="AI19" s="254">
        <v>0</v>
      </c>
      <c r="AJ19" s="268">
        <v>0</v>
      </c>
      <c r="AK19" s="315">
        <v>0</v>
      </c>
      <c r="AL19" s="315">
        <v>0</v>
      </c>
      <c r="AM19" s="315">
        <v>0</v>
      </c>
      <c r="AN19" s="254">
        <v>0</v>
      </c>
      <c r="AO19" s="312">
        <v>0</v>
      </c>
      <c r="AP19" s="307">
        <v>0</v>
      </c>
      <c r="AQ19" s="506">
        <v>0</v>
      </c>
      <c r="AR19" s="307">
        <v>0</v>
      </c>
      <c r="AS19" s="506">
        <v>0</v>
      </c>
      <c r="AT19" s="312">
        <v>0</v>
      </c>
      <c r="AU19" s="506">
        <v>0</v>
      </c>
      <c r="AV19" s="307">
        <v>0</v>
      </c>
      <c r="AW19" s="506">
        <v>0</v>
      </c>
      <c r="AX19" s="510">
        <v>0</v>
      </c>
      <c r="AY19" s="414">
        <v>33.957857142857144</v>
      </c>
      <c r="AZ19" s="503"/>
      <c r="BA19" s="317" t="s">
        <v>2985</v>
      </c>
      <c r="BB19" s="94" t="s">
        <v>2985</v>
      </c>
      <c r="BC19" s="262" t="s">
        <v>2985</v>
      </c>
      <c r="BD19" s="506" t="s">
        <v>3572</v>
      </c>
      <c r="BE19" s="371">
        <v>38</v>
      </c>
      <c r="BF19" s="372"/>
      <c r="BG19" s="373">
        <v>255</v>
      </c>
      <c r="BH19" s="390">
        <v>16.535836177474401</v>
      </c>
      <c r="BI19" s="509">
        <v>100</v>
      </c>
      <c r="BJ19" s="257">
        <v>14</v>
      </c>
      <c r="BK19" s="728" t="s">
        <v>2985</v>
      </c>
      <c r="BL19" s="258">
        <v>23</v>
      </c>
      <c r="BM19" s="374" t="s">
        <v>2985</v>
      </c>
      <c r="BN19" s="368">
        <v>60</v>
      </c>
      <c r="BO19" s="259" t="s">
        <v>2985</v>
      </c>
      <c r="BP19" s="375"/>
      <c r="BQ19" s="27"/>
      <c r="BR19" s="27"/>
      <c r="BS19" s="321"/>
    </row>
    <row r="20" spans="1:71" s="322" customFormat="1" ht="15" customHeight="1">
      <c r="A20" s="336">
        <v>248</v>
      </c>
      <c r="B20" s="533" t="s">
        <v>3634</v>
      </c>
      <c r="C20" s="383"/>
      <c r="D20" s="466" t="s">
        <v>3590</v>
      </c>
      <c r="E20" s="469"/>
      <c r="F20" s="509" t="s">
        <v>1497</v>
      </c>
      <c r="G20" s="73" t="s">
        <v>149</v>
      </c>
      <c r="H20" s="695" t="s">
        <v>1471</v>
      </c>
      <c r="I20" s="338" t="s">
        <v>3377</v>
      </c>
      <c r="J20" s="258">
        <v>1984</v>
      </c>
      <c r="K20" s="370">
        <v>24</v>
      </c>
      <c r="L20" s="369" t="s">
        <v>1745</v>
      </c>
      <c r="M20" s="370" t="s">
        <v>1751</v>
      </c>
      <c r="N20" s="446">
        <f t="shared" si="0"/>
        <v>0.4</v>
      </c>
      <c r="O20" s="508">
        <v>0.4</v>
      </c>
      <c r="P20" s="329">
        <v>4.75</v>
      </c>
      <c r="Q20" s="310">
        <f t="shared" si="1"/>
        <v>4.75</v>
      </c>
      <c r="R20" s="377">
        <f t="shared" si="2"/>
        <v>106.80000000000001</v>
      </c>
      <c r="S20" s="206">
        <v>267</v>
      </c>
      <c r="T20" s="377">
        <f t="shared" si="3"/>
        <v>267</v>
      </c>
      <c r="U20" s="377">
        <f t="shared" si="4"/>
        <v>1268.25</v>
      </c>
      <c r="V20" s="495">
        <v>1094.502</v>
      </c>
      <c r="W20" s="496">
        <f t="shared" si="5"/>
        <v>173.74800000000005</v>
      </c>
      <c r="X20" s="313" t="s">
        <v>12</v>
      </c>
      <c r="Y20" s="506" t="s">
        <v>12</v>
      </c>
      <c r="Z20" s="506" t="s">
        <v>12</v>
      </c>
      <c r="AA20" s="311" t="s">
        <v>1754</v>
      </c>
      <c r="AB20" s="262" t="s">
        <v>1754</v>
      </c>
      <c r="AC20" s="162" t="s">
        <v>3376</v>
      </c>
      <c r="AD20" s="507" t="s">
        <v>2312</v>
      </c>
      <c r="AE20" s="507" t="s">
        <v>2985</v>
      </c>
      <c r="AF20" s="506" t="s">
        <v>2619</v>
      </c>
      <c r="AG20" s="262" t="s">
        <v>2985</v>
      </c>
      <c r="AH20" s="344">
        <v>100</v>
      </c>
      <c r="AI20" s="254">
        <v>0</v>
      </c>
      <c r="AJ20" s="268">
        <v>0</v>
      </c>
      <c r="AK20" s="315">
        <v>0</v>
      </c>
      <c r="AL20" s="315">
        <v>0</v>
      </c>
      <c r="AM20" s="315">
        <v>0</v>
      </c>
      <c r="AN20" s="254">
        <v>0</v>
      </c>
      <c r="AO20" s="312">
        <v>0</v>
      </c>
      <c r="AP20" s="307">
        <v>0</v>
      </c>
      <c r="AQ20" s="506">
        <v>0</v>
      </c>
      <c r="AR20" s="307">
        <v>0</v>
      </c>
      <c r="AS20" s="506">
        <v>0</v>
      </c>
      <c r="AT20" s="312">
        <v>0</v>
      </c>
      <c r="AU20" s="506">
        <v>0</v>
      </c>
      <c r="AV20" s="307">
        <v>0</v>
      </c>
      <c r="AW20" s="506">
        <v>0</v>
      </c>
      <c r="AX20" s="510">
        <v>0</v>
      </c>
      <c r="AY20" s="414">
        <v>41.567142857142855</v>
      </c>
      <c r="AZ20" s="503"/>
      <c r="BA20" s="317" t="s">
        <v>2985</v>
      </c>
      <c r="BB20" s="94" t="s">
        <v>2985</v>
      </c>
      <c r="BC20" s="262" t="s">
        <v>2985</v>
      </c>
      <c r="BD20" s="506" t="s">
        <v>3572</v>
      </c>
      <c r="BE20" s="371">
        <v>38</v>
      </c>
      <c r="BF20" s="372"/>
      <c r="BG20" s="373">
        <v>255</v>
      </c>
      <c r="BH20" s="390">
        <v>16.535836177474401</v>
      </c>
      <c r="BI20" s="509">
        <v>100</v>
      </c>
      <c r="BJ20" s="257">
        <v>14</v>
      </c>
      <c r="BK20" s="728" t="s">
        <v>2985</v>
      </c>
      <c r="BL20" s="258">
        <v>23</v>
      </c>
      <c r="BM20" s="374" t="s">
        <v>2985</v>
      </c>
      <c r="BN20" s="368">
        <v>60</v>
      </c>
      <c r="BO20" s="259" t="s">
        <v>2985</v>
      </c>
      <c r="BP20" s="375"/>
      <c r="BQ20" s="27"/>
      <c r="BR20" s="27"/>
      <c r="BS20" s="321"/>
    </row>
    <row r="21" spans="1:71" s="322" customFormat="1" ht="15" customHeight="1">
      <c r="A21" s="336">
        <v>249</v>
      </c>
      <c r="B21" s="533" t="s">
        <v>3614</v>
      </c>
      <c r="C21" s="383"/>
      <c r="D21" s="466" t="s">
        <v>3590</v>
      </c>
      <c r="E21" s="469"/>
      <c r="F21" s="509" t="s">
        <v>1496</v>
      </c>
      <c r="G21" s="73" t="s">
        <v>149</v>
      </c>
      <c r="H21" s="695" t="s">
        <v>1471</v>
      </c>
      <c r="I21" s="338" t="s">
        <v>3377</v>
      </c>
      <c r="J21" s="258">
        <v>1984</v>
      </c>
      <c r="K21" s="370">
        <v>24</v>
      </c>
      <c r="L21" s="369" t="s">
        <v>1745</v>
      </c>
      <c r="M21" s="370" t="s">
        <v>1751</v>
      </c>
      <c r="N21" s="446">
        <f t="shared" si="0"/>
        <v>0.76</v>
      </c>
      <c r="O21" s="508">
        <v>0.76</v>
      </c>
      <c r="P21" s="329">
        <v>4.75</v>
      </c>
      <c r="Q21" s="310">
        <f t="shared" si="1"/>
        <v>4.75</v>
      </c>
      <c r="R21" s="377">
        <f t="shared" si="2"/>
        <v>291.08</v>
      </c>
      <c r="S21" s="206">
        <v>383</v>
      </c>
      <c r="T21" s="377">
        <f t="shared" si="3"/>
        <v>383</v>
      </c>
      <c r="U21" s="377">
        <f t="shared" si="4"/>
        <v>1819.25</v>
      </c>
      <c r="V21" s="495">
        <v>1251.3520000000001</v>
      </c>
      <c r="W21" s="496">
        <f t="shared" si="5"/>
        <v>567.89799999999991</v>
      </c>
      <c r="X21" s="313" t="s">
        <v>12</v>
      </c>
      <c r="Y21" s="506" t="s">
        <v>12</v>
      </c>
      <c r="Z21" s="506" t="s">
        <v>12</v>
      </c>
      <c r="AA21" s="311" t="s">
        <v>1754</v>
      </c>
      <c r="AB21" s="262" t="s">
        <v>1754</v>
      </c>
      <c r="AC21" s="162" t="s">
        <v>3376</v>
      </c>
      <c r="AD21" s="507" t="s">
        <v>2312</v>
      </c>
      <c r="AE21" s="368" t="s">
        <v>2620</v>
      </c>
      <c r="AF21" s="506" t="s">
        <v>2621</v>
      </c>
      <c r="AG21" s="262" t="s">
        <v>2985</v>
      </c>
      <c r="AH21" s="344">
        <v>100</v>
      </c>
      <c r="AI21" s="254">
        <v>0</v>
      </c>
      <c r="AJ21" s="268">
        <v>0</v>
      </c>
      <c r="AK21" s="315">
        <v>0</v>
      </c>
      <c r="AL21" s="315">
        <v>0</v>
      </c>
      <c r="AM21" s="315">
        <v>0</v>
      </c>
      <c r="AN21" s="254">
        <v>0</v>
      </c>
      <c r="AO21" s="312">
        <v>0</v>
      </c>
      <c r="AP21" s="307">
        <v>0</v>
      </c>
      <c r="AQ21" s="506">
        <v>0</v>
      </c>
      <c r="AR21" s="307">
        <v>0</v>
      </c>
      <c r="AS21" s="506">
        <v>0</v>
      </c>
      <c r="AT21" s="312">
        <v>0</v>
      </c>
      <c r="AU21" s="506">
        <v>0</v>
      </c>
      <c r="AV21" s="307">
        <v>0</v>
      </c>
      <c r="AW21" s="506">
        <v>0</v>
      </c>
      <c r="AX21" s="510">
        <v>0</v>
      </c>
      <c r="AY21" s="414">
        <v>20.669999999999998</v>
      </c>
      <c r="AZ21" s="503"/>
      <c r="BA21" s="317" t="s">
        <v>2985</v>
      </c>
      <c r="BB21" s="94" t="s">
        <v>2985</v>
      </c>
      <c r="BC21" s="262" t="s">
        <v>2985</v>
      </c>
      <c r="BD21" s="506" t="s">
        <v>3572</v>
      </c>
      <c r="BE21" s="371">
        <v>38</v>
      </c>
      <c r="BF21" s="372"/>
      <c r="BG21" s="373">
        <v>255</v>
      </c>
      <c r="BH21" s="390">
        <v>16.535836177474401</v>
      </c>
      <c r="BI21" s="509">
        <v>100</v>
      </c>
      <c r="BJ21" s="257">
        <v>14</v>
      </c>
      <c r="BK21" s="728" t="s">
        <v>2985</v>
      </c>
      <c r="BL21" s="258">
        <v>23</v>
      </c>
      <c r="BM21" s="374" t="s">
        <v>2985</v>
      </c>
      <c r="BN21" s="368">
        <v>60</v>
      </c>
      <c r="BO21" s="259" t="s">
        <v>2985</v>
      </c>
      <c r="BP21" s="375"/>
      <c r="BQ21" s="27"/>
      <c r="BR21" s="27"/>
      <c r="BS21" s="321"/>
    </row>
    <row r="22" spans="1:71" s="322" customFormat="1" ht="15" customHeight="1">
      <c r="A22" s="336">
        <v>250</v>
      </c>
      <c r="B22" s="533" t="s">
        <v>3614</v>
      </c>
      <c r="C22" s="383"/>
      <c r="D22" s="466" t="s">
        <v>3590</v>
      </c>
      <c r="E22" s="469"/>
      <c r="F22" s="509" t="s">
        <v>1495</v>
      </c>
      <c r="G22" s="73" t="s">
        <v>149</v>
      </c>
      <c r="H22" s="695" t="s">
        <v>1471</v>
      </c>
      <c r="I22" s="338" t="s">
        <v>3377</v>
      </c>
      <c r="J22" s="258">
        <v>1984</v>
      </c>
      <c r="K22" s="370">
        <v>24</v>
      </c>
      <c r="L22" s="369" t="s">
        <v>1745</v>
      </c>
      <c r="M22" s="370" t="s">
        <v>1751</v>
      </c>
      <c r="N22" s="446">
        <f t="shared" si="0"/>
        <v>0.62</v>
      </c>
      <c r="O22" s="508">
        <v>0.62</v>
      </c>
      <c r="P22" s="329">
        <v>4.75</v>
      </c>
      <c r="Q22" s="310">
        <f t="shared" si="1"/>
        <v>4.75</v>
      </c>
      <c r="R22" s="377">
        <f t="shared" si="2"/>
        <v>213.28</v>
      </c>
      <c r="S22" s="206">
        <v>344</v>
      </c>
      <c r="T22" s="377">
        <f t="shared" si="3"/>
        <v>344</v>
      </c>
      <c r="U22" s="377">
        <f t="shared" si="4"/>
        <v>1634</v>
      </c>
      <c r="V22" s="495">
        <v>1190.355</v>
      </c>
      <c r="W22" s="496">
        <f t="shared" si="5"/>
        <v>443.64499999999998</v>
      </c>
      <c r="X22" s="313" t="s">
        <v>12</v>
      </c>
      <c r="Y22" s="506" t="s">
        <v>12</v>
      </c>
      <c r="Z22" s="506" t="s">
        <v>12</v>
      </c>
      <c r="AA22" s="311" t="s">
        <v>1754</v>
      </c>
      <c r="AB22" s="262" t="s">
        <v>1754</v>
      </c>
      <c r="AC22" s="162" t="s">
        <v>3376</v>
      </c>
      <c r="AD22" s="507" t="s">
        <v>2312</v>
      </c>
      <c r="AE22" s="368" t="s">
        <v>2620</v>
      </c>
      <c r="AF22" s="506" t="s">
        <v>2621</v>
      </c>
      <c r="AG22" s="262" t="s">
        <v>2985</v>
      </c>
      <c r="AH22" s="344">
        <v>100</v>
      </c>
      <c r="AI22" s="254">
        <v>0</v>
      </c>
      <c r="AJ22" s="268">
        <v>0</v>
      </c>
      <c r="AK22" s="315">
        <v>0</v>
      </c>
      <c r="AL22" s="315">
        <v>0</v>
      </c>
      <c r="AM22" s="315">
        <v>0</v>
      </c>
      <c r="AN22" s="254">
        <v>0</v>
      </c>
      <c r="AO22" s="312">
        <v>0</v>
      </c>
      <c r="AP22" s="307">
        <v>0</v>
      </c>
      <c r="AQ22" s="506">
        <v>0</v>
      </c>
      <c r="AR22" s="307">
        <v>0</v>
      </c>
      <c r="AS22" s="506">
        <v>0</v>
      </c>
      <c r="AT22" s="312">
        <v>0</v>
      </c>
      <c r="AU22" s="506">
        <v>0</v>
      </c>
      <c r="AV22" s="307">
        <v>0</v>
      </c>
      <c r="AW22" s="506">
        <v>0</v>
      </c>
      <c r="AX22" s="510">
        <v>0</v>
      </c>
      <c r="AY22" s="414">
        <v>29.869285714285713</v>
      </c>
      <c r="AZ22" s="503"/>
      <c r="BA22" s="317" t="s">
        <v>2985</v>
      </c>
      <c r="BB22" s="94" t="s">
        <v>2985</v>
      </c>
      <c r="BC22" s="262" t="s">
        <v>2985</v>
      </c>
      <c r="BD22" s="506" t="s">
        <v>3572</v>
      </c>
      <c r="BE22" s="371">
        <v>38</v>
      </c>
      <c r="BF22" s="372"/>
      <c r="BG22" s="373">
        <v>255</v>
      </c>
      <c r="BH22" s="390">
        <v>16.535836177474401</v>
      </c>
      <c r="BI22" s="509">
        <v>100</v>
      </c>
      <c r="BJ22" s="257">
        <v>14</v>
      </c>
      <c r="BK22" s="728" t="s">
        <v>2985</v>
      </c>
      <c r="BL22" s="258">
        <v>23</v>
      </c>
      <c r="BM22" s="374" t="s">
        <v>2985</v>
      </c>
      <c r="BN22" s="368">
        <v>60</v>
      </c>
      <c r="BO22" s="259" t="s">
        <v>2985</v>
      </c>
      <c r="BP22" s="375"/>
      <c r="BQ22" s="27"/>
      <c r="BR22" s="27"/>
      <c r="BS22" s="321"/>
    </row>
    <row r="23" spans="1:71" s="322" customFormat="1" ht="15" customHeight="1">
      <c r="A23" s="336">
        <v>251</v>
      </c>
      <c r="B23" s="533" t="s">
        <v>3614</v>
      </c>
      <c r="C23" s="383"/>
      <c r="D23" s="466" t="s">
        <v>3590</v>
      </c>
      <c r="E23" s="469"/>
      <c r="F23" s="509" t="s">
        <v>1494</v>
      </c>
      <c r="G23" s="73" t="s">
        <v>149</v>
      </c>
      <c r="H23" s="695" t="s">
        <v>1471</v>
      </c>
      <c r="I23" s="338" t="s">
        <v>3377</v>
      </c>
      <c r="J23" s="258">
        <v>1984</v>
      </c>
      <c r="K23" s="370">
        <v>24</v>
      </c>
      <c r="L23" s="369" t="s">
        <v>1745</v>
      </c>
      <c r="M23" s="370" t="s">
        <v>1751</v>
      </c>
      <c r="N23" s="446">
        <f t="shared" si="0"/>
        <v>0.55000000000000004</v>
      </c>
      <c r="O23" s="508">
        <v>0.55000000000000004</v>
      </c>
      <c r="P23" s="329">
        <v>4.75</v>
      </c>
      <c r="Q23" s="310">
        <f t="shared" si="1"/>
        <v>4.75</v>
      </c>
      <c r="R23" s="377">
        <f t="shared" si="2"/>
        <v>177.65</v>
      </c>
      <c r="S23" s="206">
        <v>323</v>
      </c>
      <c r="T23" s="377">
        <f t="shared" si="3"/>
        <v>323</v>
      </c>
      <c r="U23" s="377">
        <f t="shared" si="4"/>
        <v>1534.25</v>
      </c>
      <c r="V23" s="495">
        <v>1159.856</v>
      </c>
      <c r="W23" s="496">
        <f t="shared" si="5"/>
        <v>374.39400000000001</v>
      </c>
      <c r="X23" s="313" t="s">
        <v>12</v>
      </c>
      <c r="Y23" s="506" t="s">
        <v>12</v>
      </c>
      <c r="Z23" s="506" t="s">
        <v>12</v>
      </c>
      <c r="AA23" s="311" t="s">
        <v>1754</v>
      </c>
      <c r="AB23" s="262" t="s">
        <v>1754</v>
      </c>
      <c r="AC23" s="162" t="s">
        <v>3376</v>
      </c>
      <c r="AD23" s="507" t="s">
        <v>2312</v>
      </c>
      <c r="AE23" s="368" t="s">
        <v>2620</v>
      </c>
      <c r="AF23" s="506" t="s">
        <v>2621</v>
      </c>
      <c r="AG23" s="262" t="s">
        <v>2985</v>
      </c>
      <c r="AH23" s="344">
        <v>100</v>
      </c>
      <c r="AI23" s="254">
        <v>0</v>
      </c>
      <c r="AJ23" s="268">
        <v>0</v>
      </c>
      <c r="AK23" s="315">
        <v>0</v>
      </c>
      <c r="AL23" s="315">
        <v>0</v>
      </c>
      <c r="AM23" s="315">
        <v>0</v>
      </c>
      <c r="AN23" s="254">
        <v>0</v>
      </c>
      <c r="AO23" s="312">
        <v>0</v>
      </c>
      <c r="AP23" s="307">
        <v>0</v>
      </c>
      <c r="AQ23" s="506">
        <v>0</v>
      </c>
      <c r="AR23" s="307">
        <v>0</v>
      </c>
      <c r="AS23" s="506">
        <v>0</v>
      </c>
      <c r="AT23" s="312">
        <v>0</v>
      </c>
      <c r="AU23" s="506">
        <v>0</v>
      </c>
      <c r="AV23" s="307">
        <v>0</v>
      </c>
      <c r="AW23" s="506">
        <v>0</v>
      </c>
      <c r="AX23" s="510">
        <v>0</v>
      </c>
      <c r="AY23" s="414">
        <v>28.052142857142854</v>
      </c>
      <c r="AZ23" s="503"/>
      <c r="BA23" s="317" t="s">
        <v>2985</v>
      </c>
      <c r="BB23" s="94" t="s">
        <v>2985</v>
      </c>
      <c r="BC23" s="262" t="s">
        <v>2985</v>
      </c>
      <c r="BD23" s="506" t="s">
        <v>3572</v>
      </c>
      <c r="BE23" s="371">
        <v>38</v>
      </c>
      <c r="BF23" s="372"/>
      <c r="BG23" s="373">
        <v>255</v>
      </c>
      <c r="BH23" s="390">
        <v>16.535836177474401</v>
      </c>
      <c r="BI23" s="509">
        <v>100</v>
      </c>
      <c r="BJ23" s="257">
        <v>14</v>
      </c>
      <c r="BK23" s="728" t="s">
        <v>2985</v>
      </c>
      <c r="BL23" s="258">
        <v>23</v>
      </c>
      <c r="BM23" s="374" t="s">
        <v>2985</v>
      </c>
      <c r="BN23" s="368">
        <v>60</v>
      </c>
      <c r="BO23" s="259" t="s">
        <v>2985</v>
      </c>
      <c r="BP23" s="375"/>
      <c r="BQ23" s="27"/>
      <c r="BR23" s="27"/>
      <c r="BS23" s="321"/>
    </row>
    <row r="24" spans="1:71" s="322" customFormat="1" ht="15" customHeight="1">
      <c r="A24" s="336">
        <v>252</v>
      </c>
      <c r="B24" s="533" t="s">
        <v>3614</v>
      </c>
      <c r="C24" s="383"/>
      <c r="D24" s="466" t="s">
        <v>3590</v>
      </c>
      <c r="E24" s="469"/>
      <c r="F24" s="509" t="s">
        <v>1493</v>
      </c>
      <c r="G24" s="73" t="s">
        <v>149</v>
      </c>
      <c r="H24" s="695" t="s">
        <v>1471</v>
      </c>
      <c r="I24" s="338" t="s">
        <v>3377</v>
      </c>
      <c r="J24" s="258">
        <v>1984</v>
      </c>
      <c r="K24" s="370">
        <v>24</v>
      </c>
      <c r="L24" s="369" t="s">
        <v>1745</v>
      </c>
      <c r="M24" s="370" t="s">
        <v>1751</v>
      </c>
      <c r="N24" s="446">
        <f t="shared" si="0"/>
        <v>0.45000000000000007</v>
      </c>
      <c r="O24" s="508">
        <v>0.45</v>
      </c>
      <c r="P24" s="329">
        <v>4.75</v>
      </c>
      <c r="Q24" s="310">
        <f t="shared" si="1"/>
        <v>4.75</v>
      </c>
      <c r="R24" s="377">
        <f t="shared" si="2"/>
        <v>130.95000000000002</v>
      </c>
      <c r="S24" s="206">
        <v>291</v>
      </c>
      <c r="T24" s="377">
        <f t="shared" si="3"/>
        <v>291</v>
      </c>
      <c r="U24" s="377">
        <f t="shared" si="4"/>
        <v>1382.25</v>
      </c>
      <c r="V24" s="495">
        <v>1116.287</v>
      </c>
      <c r="W24" s="496">
        <f t="shared" si="5"/>
        <v>265.96299999999997</v>
      </c>
      <c r="X24" s="313" t="s">
        <v>12</v>
      </c>
      <c r="Y24" s="506" t="s">
        <v>12</v>
      </c>
      <c r="Z24" s="506" t="s">
        <v>12</v>
      </c>
      <c r="AA24" s="311" t="s">
        <v>1754</v>
      </c>
      <c r="AB24" s="262" t="s">
        <v>1754</v>
      </c>
      <c r="AC24" s="162" t="s">
        <v>3376</v>
      </c>
      <c r="AD24" s="507" t="s">
        <v>2312</v>
      </c>
      <c r="AE24" s="368" t="s">
        <v>2620</v>
      </c>
      <c r="AF24" s="506" t="s">
        <v>2621</v>
      </c>
      <c r="AG24" s="262" t="s">
        <v>2985</v>
      </c>
      <c r="AH24" s="344">
        <v>100</v>
      </c>
      <c r="AI24" s="254">
        <v>0</v>
      </c>
      <c r="AJ24" s="268">
        <v>0</v>
      </c>
      <c r="AK24" s="315">
        <v>0</v>
      </c>
      <c r="AL24" s="315">
        <v>0</v>
      </c>
      <c r="AM24" s="315">
        <v>0</v>
      </c>
      <c r="AN24" s="254">
        <v>0</v>
      </c>
      <c r="AO24" s="312">
        <v>0</v>
      </c>
      <c r="AP24" s="307">
        <v>0</v>
      </c>
      <c r="AQ24" s="506">
        <v>0</v>
      </c>
      <c r="AR24" s="307">
        <v>0</v>
      </c>
      <c r="AS24" s="506">
        <v>0</v>
      </c>
      <c r="AT24" s="312">
        <v>0</v>
      </c>
      <c r="AU24" s="506">
        <v>0</v>
      </c>
      <c r="AV24" s="307">
        <v>0</v>
      </c>
      <c r="AW24" s="506">
        <v>0</v>
      </c>
      <c r="AX24" s="510">
        <v>0</v>
      </c>
      <c r="AY24" s="414">
        <v>26.689285714285713</v>
      </c>
      <c r="AZ24" s="503"/>
      <c r="BA24" s="317" t="s">
        <v>2985</v>
      </c>
      <c r="BB24" s="94" t="s">
        <v>2985</v>
      </c>
      <c r="BC24" s="262" t="s">
        <v>2985</v>
      </c>
      <c r="BD24" s="506" t="s">
        <v>3572</v>
      </c>
      <c r="BE24" s="371">
        <v>38</v>
      </c>
      <c r="BF24" s="372"/>
      <c r="BG24" s="373">
        <v>255</v>
      </c>
      <c r="BH24" s="390">
        <v>16.535836177474401</v>
      </c>
      <c r="BI24" s="509">
        <v>100</v>
      </c>
      <c r="BJ24" s="257">
        <v>14</v>
      </c>
      <c r="BK24" s="728" t="s">
        <v>2985</v>
      </c>
      <c r="BL24" s="258">
        <v>23</v>
      </c>
      <c r="BM24" s="374" t="s">
        <v>2985</v>
      </c>
      <c r="BN24" s="368">
        <v>60</v>
      </c>
      <c r="BO24" s="259" t="s">
        <v>2985</v>
      </c>
      <c r="BP24" s="375"/>
      <c r="BQ24" s="27"/>
      <c r="BR24" s="27"/>
      <c r="BS24" s="321"/>
    </row>
    <row r="25" spans="1:71" s="322" customFormat="1" ht="15" customHeight="1">
      <c r="A25" s="336">
        <v>253</v>
      </c>
      <c r="B25" s="533" t="s">
        <v>3614</v>
      </c>
      <c r="C25" s="383"/>
      <c r="D25" s="466" t="s">
        <v>3590</v>
      </c>
      <c r="E25" s="469"/>
      <c r="F25" s="509" t="s">
        <v>1492</v>
      </c>
      <c r="G25" s="73" t="s">
        <v>149</v>
      </c>
      <c r="H25" s="695" t="s">
        <v>1471</v>
      </c>
      <c r="I25" s="338" t="s">
        <v>3377</v>
      </c>
      <c r="J25" s="258">
        <v>1984</v>
      </c>
      <c r="K25" s="370">
        <v>24</v>
      </c>
      <c r="L25" s="369" t="s">
        <v>1745</v>
      </c>
      <c r="M25" s="370" t="s">
        <v>1751</v>
      </c>
      <c r="N25" s="446">
        <f t="shared" si="0"/>
        <v>0.86</v>
      </c>
      <c r="O25" s="508">
        <v>0.86</v>
      </c>
      <c r="P25" s="329">
        <v>4.75</v>
      </c>
      <c r="Q25" s="310">
        <f t="shared" si="1"/>
        <v>4.75</v>
      </c>
      <c r="R25" s="377">
        <f t="shared" si="2"/>
        <v>393.02</v>
      </c>
      <c r="S25" s="206">
        <v>457</v>
      </c>
      <c r="T25" s="377">
        <f t="shared" si="3"/>
        <v>457</v>
      </c>
      <c r="U25" s="377">
        <f t="shared" si="4"/>
        <v>2170.75</v>
      </c>
      <c r="V25" s="495">
        <v>1294.921</v>
      </c>
      <c r="W25" s="496">
        <f t="shared" si="5"/>
        <v>875.82899999999995</v>
      </c>
      <c r="X25" s="313" t="s">
        <v>12</v>
      </c>
      <c r="Y25" s="506" t="s">
        <v>12</v>
      </c>
      <c r="Z25" s="506" t="s">
        <v>12</v>
      </c>
      <c r="AA25" s="311" t="s">
        <v>1754</v>
      </c>
      <c r="AB25" s="262" t="s">
        <v>1754</v>
      </c>
      <c r="AC25" s="162" t="s">
        <v>3376</v>
      </c>
      <c r="AD25" s="507" t="s">
        <v>2312</v>
      </c>
      <c r="AE25" s="368" t="s">
        <v>2622</v>
      </c>
      <c r="AF25" s="506" t="s">
        <v>2623</v>
      </c>
      <c r="AG25" s="262" t="s">
        <v>2985</v>
      </c>
      <c r="AH25" s="344">
        <v>100</v>
      </c>
      <c r="AI25" s="254">
        <v>0</v>
      </c>
      <c r="AJ25" s="268">
        <v>0</v>
      </c>
      <c r="AK25" s="315">
        <v>0</v>
      </c>
      <c r="AL25" s="315">
        <v>0</v>
      </c>
      <c r="AM25" s="315">
        <v>0</v>
      </c>
      <c r="AN25" s="254">
        <v>0</v>
      </c>
      <c r="AO25" s="312">
        <v>0</v>
      </c>
      <c r="AP25" s="307">
        <v>0</v>
      </c>
      <c r="AQ25" s="506">
        <v>0</v>
      </c>
      <c r="AR25" s="307">
        <v>0</v>
      </c>
      <c r="AS25" s="506">
        <v>0</v>
      </c>
      <c r="AT25" s="312">
        <v>0</v>
      </c>
      <c r="AU25" s="506">
        <v>0</v>
      </c>
      <c r="AV25" s="307">
        <v>0</v>
      </c>
      <c r="AW25" s="506">
        <v>0</v>
      </c>
      <c r="AX25" s="510">
        <v>0</v>
      </c>
      <c r="AY25" s="414">
        <v>19.988571428571429</v>
      </c>
      <c r="AZ25" s="503"/>
      <c r="BA25" s="317" t="s">
        <v>2985</v>
      </c>
      <c r="BB25" s="94" t="s">
        <v>2985</v>
      </c>
      <c r="BC25" s="262" t="s">
        <v>2985</v>
      </c>
      <c r="BD25" s="506" t="s">
        <v>3572</v>
      </c>
      <c r="BE25" s="371">
        <v>38</v>
      </c>
      <c r="BF25" s="372"/>
      <c r="BG25" s="373">
        <v>255</v>
      </c>
      <c r="BH25" s="390">
        <v>16.535836177474401</v>
      </c>
      <c r="BI25" s="509">
        <v>100</v>
      </c>
      <c r="BJ25" s="257">
        <v>14</v>
      </c>
      <c r="BK25" s="728" t="s">
        <v>2985</v>
      </c>
      <c r="BL25" s="258">
        <v>23</v>
      </c>
      <c r="BM25" s="374" t="s">
        <v>2985</v>
      </c>
      <c r="BN25" s="368">
        <v>60</v>
      </c>
      <c r="BO25" s="259" t="s">
        <v>2985</v>
      </c>
      <c r="BP25" s="375"/>
      <c r="BQ25" s="27"/>
      <c r="BR25" s="27"/>
      <c r="BS25" s="321"/>
    </row>
    <row r="26" spans="1:71" s="322" customFormat="1" ht="15" customHeight="1">
      <c r="A26" s="336">
        <v>254</v>
      </c>
      <c r="B26" s="533" t="s">
        <v>3614</v>
      </c>
      <c r="C26" s="383"/>
      <c r="D26" s="466" t="s">
        <v>3590</v>
      </c>
      <c r="E26" s="469"/>
      <c r="F26" s="509" t="s">
        <v>1491</v>
      </c>
      <c r="G26" s="73" t="s">
        <v>149</v>
      </c>
      <c r="H26" s="695" t="s">
        <v>1471</v>
      </c>
      <c r="I26" s="338" t="s">
        <v>3377</v>
      </c>
      <c r="J26" s="258">
        <v>1984</v>
      </c>
      <c r="K26" s="370">
        <v>24</v>
      </c>
      <c r="L26" s="369" t="s">
        <v>1745</v>
      </c>
      <c r="M26" s="370" t="s">
        <v>1751</v>
      </c>
      <c r="N26" s="446">
        <f t="shared" si="0"/>
        <v>0.75</v>
      </c>
      <c r="O26" s="508">
        <v>0.75</v>
      </c>
      <c r="P26" s="329">
        <v>4.75</v>
      </c>
      <c r="Q26" s="310">
        <f t="shared" si="1"/>
        <v>4.75</v>
      </c>
      <c r="R26" s="377">
        <f t="shared" si="2"/>
        <v>318.75</v>
      </c>
      <c r="S26" s="206">
        <v>425</v>
      </c>
      <c r="T26" s="377">
        <f t="shared" si="3"/>
        <v>425</v>
      </c>
      <c r="U26" s="377">
        <f t="shared" si="4"/>
        <v>2018.75</v>
      </c>
      <c r="V26" s="495">
        <v>1246.9949999999999</v>
      </c>
      <c r="W26" s="496">
        <f t="shared" si="5"/>
        <v>771.75500000000011</v>
      </c>
      <c r="X26" s="313" t="s">
        <v>12</v>
      </c>
      <c r="Y26" s="506" t="s">
        <v>12</v>
      </c>
      <c r="Z26" s="506" t="s">
        <v>12</v>
      </c>
      <c r="AA26" s="311" t="s">
        <v>1754</v>
      </c>
      <c r="AB26" s="262" t="s">
        <v>1754</v>
      </c>
      <c r="AC26" s="162" t="s">
        <v>3376</v>
      </c>
      <c r="AD26" s="507" t="s">
        <v>2312</v>
      </c>
      <c r="AE26" s="368" t="s">
        <v>2622</v>
      </c>
      <c r="AF26" s="506" t="s">
        <v>2623</v>
      </c>
      <c r="AG26" s="262" t="s">
        <v>2985</v>
      </c>
      <c r="AH26" s="344">
        <v>100</v>
      </c>
      <c r="AI26" s="254">
        <v>0</v>
      </c>
      <c r="AJ26" s="268">
        <v>0</v>
      </c>
      <c r="AK26" s="315">
        <v>0</v>
      </c>
      <c r="AL26" s="315">
        <v>0</v>
      </c>
      <c r="AM26" s="315">
        <v>0</v>
      </c>
      <c r="AN26" s="254">
        <v>0</v>
      </c>
      <c r="AO26" s="312">
        <v>0</v>
      </c>
      <c r="AP26" s="307">
        <v>0</v>
      </c>
      <c r="AQ26" s="506">
        <v>0</v>
      </c>
      <c r="AR26" s="307">
        <v>0</v>
      </c>
      <c r="AS26" s="506">
        <v>0</v>
      </c>
      <c r="AT26" s="312">
        <v>0</v>
      </c>
      <c r="AU26" s="506">
        <v>0</v>
      </c>
      <c r="AV26" s="307">
        <v>0</v>
      </c>
      <c r="AW26" s="506">
        <v>0</v>
      </c>
      <c r="AX26" s="510">
        <v>0</v>
      </c>
      <c r="AY26" s="414">
        <v>29.414999999999999</v>
      </c>
      <c r="AZ26" s="503"/>
      <c r="BA26" s="317" t="s">
        <v>2985</v>
      </c>
      <c r="BB26" s="94" t="s">
        <v>2985</v>
      </c>
      <c r="BC26" s="262" t="s">
        <v>2985</v>
      </c>
      <c r="BD26" s="506" t="s">
        <v>3572</v>
      </c>
      <c r="BE26" s="371">
        <v>38</v>
      </c>
      <c r="BF26" s="372"/>
      <c r="BG26" s="373">
        <v>255</v>
      </c>
      <c r="BH26" s="390">
        <v>16.535836177474401</v>
      </c>
      <c r="BI26" s="509">
        <v>100</v>
      </c>
      <c r="BJ26" s="257">
        <v>14</v>
      </c>
      <c r="BK26" s="728" t="s">
        <v>2985</v>
      </c>
      <c r="BL26" s="258">
        <v>23</v>
      </c>
      <c r="BM26" s="374" t="s">
        <v>2985</v>
      </c>
      <c r="BN26" s="368">
        <v>60</v>
      </c>
      <c r="BO26" s="259" t="s">
        <v>2985</v>
      </c>
      <c r="BP26" s="375"/>
      <c r="BQ26" s="27"/>
      <c r="BR26" s="27"/>
      <c r="BS26" s="321"/>
    </row>
    <row r="27" spans="1:71" s="322" customFormat="1" ht="15" customHeight="1">
      <c r="A27" s="336">
        <v>255</v>
      </c>
      <c r="B27" s="533" t="s">
        <v>3614</v>
      </c>
      <c r="C27" s="383"/>
      <c r="D27" s="466" t="s">
        <v>3590</v>
      </c>
      <c r="E27" s="469"/>
      <c r="F27" s="509" t="s">
        <v>1490</v>
      </c>
      <c r="G27" s="73" t="s">
        <v>149</v>
      </c>
      <c r="H27" s="695" t="s">
        <v>1471</v>
      </c>
      <c r="I27" s="338" t="s">
        <v>3377</v>
      </c>
      <c r="J27" s="258">
        <v>1984</v>
      </c>
      <c r="K27" s="370">
        <v>24</v>
      </c>
      <c r="L27" s="369" t="s">
        <v>1745</v>
      </c>
      <c r="M27" s="370" t="s">
        <v>1751</v>
      </c>
      <c r="N27" s="446">
        <f t="shared" si="0"/>
        <v>0.63</v>
      </c>
      <c r="O27" s="508">
        <v>0.63</v>
      </c>
      <c r="P27" s="329">
        <v>4.75</v>
      </c>
      <c r="Q27" s="310">
        <f t="shared" si="1"/>
        <v>4.75</v>
      </c>
      <c r="R27" s="377">
        <f t="shared" si="2"/>
        <v>243.81</v>
      </c>
      <c r="S27" s="206">
        <v>387</v>
      </c>
      <c r="T27" s="377">
        <f t="shared" si="3"/>
        <v>387</v>
      </c>
      <c r="U27" s="377">
        <f t="shared" si="4"/>
        <v>1838.25</v>
      </c>
      <c r="V27" s="495">
        <v>1194.712</v>
      </c>
      <c r="W27" s="496">
        <f t="shared" si="5"/>
        <v>643.53800000000001</v>
      </c>
      <c r="X27" s="313" t="s">
        <v>12</v>
      </c>
      <c r="Y27" s="506" t="s">
        <v>12</v>
      </c>
      <c r="Z27" s="506" t="s">
        <v>12</v>
      </c>
      <c r="AA27" s="311" t="s">
        <v>1754</v>
      </c>
      <c r="AB27" s="262" t="s">
        <v>1754</v>
      </c>
      <c r="AC27" s="162" t="s">
        <v>3376</v>
      </c>
      <c r="AD27" s="507" t="s">
        <v>2312</v>
      </c>
      <c r="AE27" s="368" t="s">
        <v>2622</v>
      </c>
      <c r="AF27" s="506" t="s">
        <v>2623</v>
      </c>
      <c r="AG27" s="262" t="s">
        <v>2985</v>
      </c>
      <c r="AH27" s="344">
        <v>100</v>
      </c>
      <c r="AI27" s="254">
        <v>0</v>
      </c>
      <c r="AJ27" s="268">
        <v>0</v>
      </c>
      <c r="AK27" s="315">
        <v>0</v>
      </c>
      <c r="AL27" s="315">
        <v>0</v>
      </c>
      <c r="AM27" s="315">
        <v>0</v>
      </c>
      <c r="AN27" s="254">
        <v>0</v>
      </c>
      <c r="AO27" s="312">
        <v>0</v>
      </c>
      <c r="AP27" s="307">
        <v>0</v>
      </c>
      <c r="AQ27" s="506">
        <v>0</v>
      </c>
      <c r="AR27" s="307">
        <v>0</v>
      </c>
      <c r="AS27" s="506">
        <v>0</v>
      </c>
      <c r="AT27" s="312">
        <v>0</v>
      </c>
      <c r="AU27" s="506">
        <v>0</v>
      </c>
      <c r="AV27" s="307">
        <v>0</v>
      </c>
      <c r="AW27" s="506">
        <v>0</v>
      </c>
      <c r="AX27" s="510">
        <v>0</v>
      </c>
      <c r="AY27" s="414">
        <v>34.298571428571428</v>
      </c>
      <c r="AZ27" s="503"/>
      <c r="BA27" s="317" t="s">
        <v>2985</v>
      </c>
      <c r="BB27" s="94" t="s">
        <v>2985</v>
      </c>
      <c r="BC27" s="262" t="s">
        <v>2985</v>
      </c>
      <c r="BD27" s="506" t="s">
        <v>3572</v>
      </c>
      <c r="BE27" s="371">
        <v>38</v>
      </c>
      <c r="BF27" s="372"/>
      <c r="BG27" s="373">
        <v>255</v>
      </c>
      <c r="BH27" s="390">
        <v>16.535836177474401</v>
      </c>
      <c r="BI27" s="509">
        <v>100</v>
      </c>
      <c r="BJ27" s="257">
        <v>14</v>
      </c>
      <c r="BK27" s="374" t="s">
        <v>2985</v>
      </c>
      <c r="BL27" s="258">
        <v>23</v>
      </c>
      <c r="BM27" s="374" t="s">
        <v>2985</v>
      </c>
      <c r="BN27" s="368">
        <v>60</v>
      </c>
      <c r="BO27" s="259" t="s">
        <v>2985</v>
      </c>
      <c r="BP27" s="375"/>
      <c r="BQ27" s="27"/>
      <c r="BR27" s="27"/>
      <c r="BS27" s="321"/>
    </row>
    <row r="28" spans="1:71" s="322" customFormat="1" ht="15" customHeight="1">
      <c r="A28" s="336">
        <v>256</v>
      </c>
      <c r="B28" s="533" t="s">
        <v>3614</v>
      </c>
      <c r="C28" s="383"/>
      <c r="D28" s="466" t="s">
        <v>3590</v>
      </c>
      <c r="E28" s="469"/>
      <c r="F28" s="509" t="s">
        <v>1489</v>
      </c>
      <c r="G28" s="73" t="s">
        <v>149</v>
      </c>
      <c r="H28" s="695" t="s">
        <v>1471</v>
      </c>
      <c r="I28" s="338" t="s">
        <v>3377</v>
      </c>
      <c r="J28" s="258">
        <v>1984</v>
      </c>
      <c r="K28" s="370">
        <v>24</v>
      </c>
      <c r="L28" s="369" t="s">
        <v>1745</v>
      </c>
      <c r="M28" s="370" t="s">
        <v>1751</v>
      </c>
      <c r="N28" s="446">
        <f t="shared" si="0"/>
        <v>0.55000000000000004</v>
      </c>
      <c r="O28" s="508">
        <v>0.55000000000000004</v>
      </c>
      <c r="P28" s="329">
        <v>4.75</v>
      </c>
      <c r="Q28" s="310">
        <f t="shared" si="1"/>
        <v>4.75</v>
      </c>
      <c r="R28" s="377">
        <f t="shared" si="2"/>
        <v>198.00000000000003</v>
      </c>
      <c r="S28" s="206">
        <v>360</v>
      </c>
      <c r="T28" s="377">
        <f t="shared" si="3"/>
        <v>360</v>
      </c>
      <c r="U28" s="377">
        <f t="shared" si="4"/>
        <v>1710</v>
      </c>
      <c r="V28" s="495">
        <v>1159.856</v>
      </c>
      <c r="W28" s="496">
        <f t="shared" si="5"/>
        <v>550.14400000000001</v>
      </c>
      <c r="X28" s="313" t="s">
        <v>12</v>
      </c>
      <c r="Y28" s="506" t="s">
        <v>12</v>
      </c>
      <c r="Z28" s="506" t="s">
        <v>12</v>
      </c>
      <c r="AA28" s="311" t="s">
        <v>1754</v>
      </c>
      <c r="AB28" s="262" t="s">
        <v>1754</v>
      </c>
      <c r="AC28" s="162" t="s">
        <v>3376</v>
      </c>
      <c r="AD28" s="507" t="s">
        <v>2312</v>
      </c>
      <c r="AE28" s="368" t="s">
        <v>2622</v>
      </c>
      <c r="AF28" s="506" t="s">
        <v>2623</v>
      </c>
      <c r="AG28" s="262" t="s">
        <v>2985</v>
      </c>
      <c r="AH28" s="344">
        <v>100</v>
      </c>
      <c r="AI28" s="254">
        <v>0</v>
      </c>
      <c r="AJ28" s="268">
        <v>0</v>
      </c>
      <c r="AK28" s="315">
        <v>0</v>
      </c>
      <c r="AL28" s="315">
        <v>0</v>
      </c>
      <c r="AM28" s="315">
        <v>0</v>
      </c>
      <c r="AN28" s="254">
        <v>0</v>
      </c>
      <c r="AO28" s="312">
        <v>0</v>
      </c>
      <c r="AP28" s="307">
        <v>0</v>
      </c>
      <c r="AQ28" s="506">
        <v>0</v>
      </c>
      <c r="AR28" s="307">
        <v>0</v>
      </c>
      <c r="AS28" s="506">
        <v>0</v>
      </c>
      <c r="AT28" s="312">
        <v>0</v>
      </c>
      <c r="AU28" s="506">
        <v>0</v>
      </c>
      <c r="AV28" s="307">
        <v>0</v>
      </c>
      <c r="AW28" s="506">
        <v>0</v>
      </c>
      <c r="AX28" s="510">
        <v>0</v>
      </c>
      <c r="AY28" s="414">
        <v>35.434285714285714</v>
      </c>
      <c r="AZ28" s="503"/>
      <c r="BA28" s="317" t="s">
        <v>2985</v>
      </c>
      <c r="BB28" s="94" t="s">
        <v>2985</v>
      </c>
      <c r="BC28" s="262" t="s">
        <v>2985</v>
      </c>
      <c r="BD28" s="506" t="s">
        <v>3572</v>
      </c>
      <c r="BE28" s="371">
        <v>38</v>
      </c>
      <c r="BF28" s="372"/>
      <c r="BG28" s="373">
        <v>255</v>
      </c>
      <c r="BH28" s="390">
        <v>16.535836177474401</v>
      </c>
      <c r="BI28" s="509">
        <v>100</v>
      </c>
      <c r="BJ28" s="257">
        <v>14</v>
      </c>
      <c r="BK28" s="728" t="s">
        <v>2985</v>
      </c>
      <c r="BL28" s="258">
        <v>23</v>
      </c>
      <c r="BM28" s="374" t="s">
        <v>2985</v>
      </c>
      <c r="BN28" s="368">
        <v>60</v>
      </c>
      <c r="BO28" s="259" t="s">
        <v>2985</v>
      </c>
      <c r="BP28" s="375"/>
      <c r="BQ28" s="27"/>
      <c r="BR28" s="27"/>
      <c r="BS28" s="321"/>
    </row>
    <row r="29" spans="1:71" s="328" customFormat="1" ht="15" customHeight="1">
      <c r="A29" s="457">
        <v>257</v>
      </c>
      <c r="B29" s="533" t="s">
        <v>3614</v>
      </c>
      <c r="C29" s="383"/>
      <c r="D29" s="466" t="s">
        <v>3590</v>
      </c>
      <c r="E29" s="469"/>
      <c r="F29" s="303" t="s">
        <v>1488</v>
      </c>
      <c r="G29" s="386" t="s">
        <v>149</v>
      </c>
      <c r="H29" s="454" t="s">
        <v>1471</v>
      </c>
      <c r="I29" s="338" t="s">
        <v>3377</v>
      </c>
      <c r="J29" s="361">
        <v>1984</v>
      </c>
      <c r="K29" s="341">
        <v>24</v>
      </c>
      <c r="L29" s="340" t="s">
        <v>1745</v>
      </c>
      <c r="M29" s="341" t="s">
        <v>1739</v>
      </c>
      <c r="N29" s="446">
        <f t="shared" si="0"/>
        <v>0.8</v>
      </c>
      <c r="O29" s="307">
        <v>0.8</v>
      </c>
      <c r="P29" s="308">
        <v>4.75</v>
      </c>
      <c r="Q29" s="310">
        <f t="shared" si="1"/>
        <v>4.75</v>
      </c>
      <c r="R29" s="377">
        <f t="shared" si="2"/>
        <v>324</v>
      </c>
      <c r="S29" s="307">
        <v>405</v>
      </c>
      <c r="T29" s="377">
        <f t="shared" si="3"/>
        <v>405</v>
      </c>
      <c r="U29" s="377">
        <f t="shared" si="4"/>
        <v>1923.75</v>
      </c>
      <c r="V29" s="408" t="s">
        <v>2985</v>
      </c>
      <c r="W29" s="408" t="s">
        <v>2985</v>
      </c>
      <c r="X29" s="303" t="s">
        <v>12</v>
      </c>
      <c r="Y29" s="307" t="s">
        <v>12</v>
      </c>
      <c r="Z29" s="317" t="s">
        <v>2985</v>
      </c>
      <c r="AA29" s="311" t="s">
        <v>1754</v>
      </c>
      <c r="AB29" s="304" t="s">
        <v>2985</v>
      </c>
      <c r="AC29" s="441" t="s">
        <v>2985</v>
      </c>
      <c r="AD29" s="515" t="s">
        <v>2985</v>
      </c>
      <c r="AE29" s="515" t="s">
        <v>2985</v>
      </c>
      <c r="AF29" s="348" t="s">
        <v>2618</v>
      </c>
      <c r="AG29" s="262" t="s">
        <v>2985</v>
      </c>
      <c r="AH29" s="351">
        <v>100</v>
      </c>
      <c r="AI29" s="348">
        <v>0</v>
      </c>
      <c r="AJ29" s="348">
        <v>0</v>
      </c>
      <c r="AK29" s="348">
        <v>0</v>
      </c>
      <c r="AL29" s="348">
        <v>0</v>
      </c>
      <c r="AM29" s="348">
        <v>0</v>
      </c>
      <c r="AN29" s="348">
        <v>0</v>
      </c>
      <c r="AO29" s="348">
        <v>0</v>
      </c>
      <c r="AP29" s="307">
        <v>0</v>
      </c>
      <c r="AQ29" s="348">
        <v>0</v>
      </c>
      <c r="AR29" s="348">
        <v>0</v>
      </c>
      <c r="AS29" s="365">
        <v>0</v>
      </c>
      <c r="AT29" s="365">
        <v>0</v>
      </c>
      <c r="AU29" s="365">
        <v>0</v>
      </c>
      <c r="AV29" s="365">
        <v>0</v>
      </c>
      <c r="AW29" s="348">
        <v>0</v>
      </c>
      <c r="AX29" s="341">
        <v>0</v>
      </c>
      <c r="AY29" s="340">
        <v>16.695</v>
      </c>
      <c r="AZ29" s="348"/>
      <c r="BA29" s="316" t="s">
        <v>2985</v>
      </c>
      <c r="BB29" s="94" t="s">
        <v>2985</v>
      </c>
      <c r="BC29" s="355" t="s">
        <v>2985</v>
      </c>
      <c r="BD29" s="506" t="s">
        <v>3572</v>
      </c>
      <c r="BE29" s="348">
        <v>38</v>
      </c>
      <c r="BF29" s="348"/>
      <c r="BG29" s="348">
        <v>255</v>
      </c>
      <c r="BH29" s="427">
        <v>16.535836177474401</v>
      </c>
      <c r="BI29" s="303">
        <v>100</v>
      </c>
      <c r="BJ29" s="323">
        <v>14</v>
      </c>
      <c r="BK29" s="318" t="s">
        <v>2985</v>
      </c>
      <c r="BL29" s="324">
        <v>21</v>
      </c>
      <c r="BM29" s="318" t="s">
        <v>2985</v>
      </c>
      <c r="BN29" s="307">
        <v>100</v>
      </c>
      <c r="BO29" s="432" t="s">
        <v>2985</v>
      </c>
      <c r="BP29" s="343"/>
      <c r="BQ29" s="27"/>
      <c r="BR29" s="27"/>
      <c r="BS29" s="327"/>
    </row>
    <row r="30" spans="1:71" s="322" customFormat="1" ht="15" customHeight="1">
      <c r="A30" s="457">
        <v>258</v>
      </c>
      <c r="B30" s="533" t="s">
        <v>3614</v>
      </c>
      <c r="C30" s="383"/>
      <c r="D30" s="466" t="s">
        <v>3590</v>
      </c>
      <c r="E30" s="469"/>
      <c r="F30" s="303" t="s">
        <v>1487</v>
      </c>
      <c r="G30" s="386" t="s">
        <v>149</v>
      </c>
      <c r="H30" s="454" t="s">
        <v>1471</v>
      </c>
      <c r="I30" s="338" t="s">
        <v>3377</v>
      </c>
      <c r="J30" s="361">
        <v>1984</v>
      </c>
      <c r="K30" s="341">
        <v>24</v>
      </c>
      <c r="L30" s="340" t="s">
        <v>1745</v>
      </c>
      <c r="M30" s="341" t="s">
        <v>1739</v>
      </c>
      <c r="N30" s="446">
        <f t="shared" si="0"/>
        <v>0.67</v>
      </c>
      <c r="O30" s="307">
        <v>0.67</v>
      </c>
      <c r="P30" s="308">
        <v>4.75</v>
      </c>
      <c r="Q30" s="310">
        <f t="shared" si="1"/>
        <v>4.75</v>
      </c>
      <c r="R30" s="377">
        <f t="shared" si="2"/>
        <v>245.22000000000003</v>
      </c>
      <c r="S30" s="307">
        <v>366</v>
      </c>
      <c r="T30" s="377">
        <f t="shared" si="3"/>
        <v>366</v>
      </c>
      <c r="U30" s="377">
        <f t="shared" si="4"/>
        <v>1738.5</v>
      </c>
      <c r="V30" s="408" t="s">
        <v>2985</v>
      </c>
      <c r="W30" s="408" t="s">
        <v>2985</v>
      </c>
      <c r="X30" s="303" t="s">
        <v>12</v>
      </c>
      <c r="Y30" s="307" t="s">
        <v>12</v>
      </c>
      <c r="Z30" s="317" t="s">
        <v>2985</v>
      </c>
      <c r="AA30" s="311" t="s">
        <v>1754</v>
      </c>
      <c r="AB30" s="304" t="s">
        <v>2985</v>
      </c>
      <c r="AC30" s="441" t="s">
        <v>2985</v>
      </c>
      <c r="AD30" s="515" t="s">
        <v>2985</v>
      </c>
      <c r="AE30" s="515" t="s">
        <v>2985</v>
      </c>
      <c r="AF30" s="348" t="s">
        <v>2618</v>
      </c>
      <c r="AG30" s="262" t="s">
        <v>2985</v>
      </c>
      <c r="AH30" s="351">
        <v>100</v>
      </c>
      <c r="AI30" s="348">
        <v>0</v>
      </c>
      <c r="AJ30" s="348">
        <v>0</v>
      </c>
      <c r="AK30" s="348">
        <v>0</v>
      </c>
      <c r="AL30" s="348">
        <v>0</v>
      </c>
      <c r="AM30" s="348">
        <v>0</v>
      </c>
      <c r="AN30" s="348">
        <v>0</v>
      </c>
      <c r="AO30" s="348">
        <v>0</v>
      </c>
      <c r="AP30" s="307">
        <v>0</v>
      </c>
      <c r="AQ30" s="348">
        <v>0</v>
      </c>
      <c r="AR30" s="348">
        <v>0</v>
      </c>
      <c r="AS30" s="365">
        <v>0</v>
      </c>
      <c r="AT30" s="365">
        <v>0</v>
      </c>
      <c r="AU30" s="365">
        <v>0</v>
      </c>
      <c r="AV30" s="365">
        <v>0</v>
      </c>
      <c r="AW30" s="348">
        <v>0</v>
      </c>
      <c r="AX30" s="341">
        <v>0</v>
      </c>
      <c r="AY30" s="340">
        <v>22.26</v>
      </c>
      <c r="AZ30" s="348"/>
      <c r="BA30" s="316" t="s">
        <v>2985</v>
      </c>
      <c r="BB30" s="94" t="s">
        <v>2985</v>
      </c>
      <c r="BC30" s="355" t="s">
        <v>2985</v>
      </c>
      <c r="BD30" s="506" t="s">
        <v>3572</v>
      </c>
      <c r="BE30" s="348">
        <v>38</v>
      </c>
      <c r="BF30" s="348"/>
      <c r="BG30" s="348">
        <v>255</v>
      </c>
      <c r="BH30" s="427">
        <v>16.535836177474401</v>
      </c>
      <c r="BI30" s="303">
        <v>100</v>
      </c>
      <c r="BJ30" s="323">
        <v>14</v>
      </c>
      <c r="BK30" s="318" t="s">
        <v>2985</v>
      </c>
      <c r="BL30" s="324">
        <v>21</v>
      </c>
      <c r="BM30" s="318" t="s">
        <v>2985</v>
      </c>
      <c r="BN30" s="307">
        <v>100</v>
      </c>
      <c r="BO30" s="432" t="s">
        <v>2985</v>
      </c>
      <c r="BP30" s="343"/>
      <c r="BQ30" s="27"/>
      <c r="BR30" s="27"/>
      <c r="BS30" s="321"/>
    </row>
    <row r="31" spans="1:71" s="322" customFormat="1" ht="15" customHeight="1">
      <c r="A31" s="457">
        <v>259</v>
      </c>
      <c r="B31" s="533" t="s">
        <v>3614</v>
      </c>
      <c r="C31" s="383"/>
      <c r="D31" s="466" t="s">
        <v>3590</v>
      </c>
      <c r="E31" s="469"/>
      <c r="F31" s="303" t="s">
        <v>1486</v>
      </c>
      <c r="G31" s="386" t="s">
        <v>149</v>
      </c>
      <c r="H31" s="454" t="s">
        <v>1471</v>
      </c>
      <c r="I31" s="338" t="s">
        <v>3377</v>
      </c>
      <c r="J31" s="361">
        <v>1984</v>
      </c>
      <c r="K31" s="341">
        <v>24</v>
      </c>
      <c r="L31" s="340" t="s">
        <v>1745</v>
      </c>
      <c r="M31" s="341" t="s">
        <v>1739</v>
      </c>
      <c r="N31" s="446">
        <f t="shared" si="0"/>
        <v>0.57999999999999996</v>
      </c>
      <c r="O31" s="307">
        <v>0.57999999999999996</v>
      </c>
      <c r="P31" s="308">
        <v>4.75</v>
      </c>
      <c r="Q31" s="310">
        <f t="shared" si="1"/>
        <v>4.75</v>
      </c>
      <c r="R31" s="377">
        <f t="shared" si="2"/>
        <v>195.45999999999998</v>
      </c>
      <c r="S31" s="307">
        <v>337</v>
      </c>
      <c r="T31" s="377">
        <f t="shared" si="3"/>
        <v>337</v>
      </c>
      <c r="U31" s="377">
        <f t="shared" si="4"/>
        <v>1600.75</v>
      </c>
      <c r="V31" s="408" t="s">
        <v>2985</v>
      </c>
      <c r="W31" s="408" t="s">
        <v>2985</v>
      </c>
      <c r="X31" s="303" t="s">
        <v>12</v>
      </c>
      <c r="Y31" s="307" t="s">
        <v>12</v>
      </c>
      <c r="Z31" s="317" t="s">
        <v>2985</v>
      </c>
      <c r="AA31" s="311" t="s">
        <v>1754</v>
      </c>
      <c r="AB31" s="304" t="s">
        <v>2985</v>
      </c>
      <c r="AC31" s="441" t="s">
        <v>2985</v>
      </c>
      <c r="AD31" s="515" t="s">
        <v>2985</v>
      </c>
      <c r="AE31" s="515" t="s">
        <v>2985</v>
      </c>
      <c r="AF31" s="348" t="s">
        <v>2618</v>
      </c>
      <c r="AG31" s="262" t="s">
        <v>2985</v>
      </c>
      <c r="AH31" s="351">
        <v>100</v>
      </c>
      <c r="AI31" s="348">
        <v>0</v>
      </c>
      <c r="AJ31" s="348">
        <v>0</v>
      </c>
      <c r="AK31" s="348">
        <v>0</v>
      </c>
      <c r="AL31" s="348">
        <v>0</v>
      </c>
      <c r="AM31" s="348">
        <v>0</v>
      </c>
      <c r="AN31" s="348">
        <v>0</v>
      </c>
      <c r="AO31" s="348">
        <v>0</v>
      </c>
      <c r="AP31" s="307">
        <v>0</v>
      </c>
      <c r="AQ31" s="348">
        <v>0</v>
      </c>
      <c r="AR31" s="348">
        <v>0</v>
      </c>
      <c r="AS31" s="365">
        <v>0</v>
      </c>
      <c r="AT31" s="365">
        <v>0</v>
      </c>
      <c r="AU31" s="365">
        <v>0</v>
      </c>
      <c r="AV31" s="365">
        <v>0</v>
      </c>
      <c r="AW31" s="348">
        <v>0</v>
      </c>
      <c r="AX31" s="341">
        <v>0</v>
      </c>
      <c r="AY31" s="340">
        <v>35.093571428571423</v>
      </c>
      <c r="AZ31" s="348"/>
      <c r="BA31" s="316" t="s">
        <v>2985</v>
      </c>
      <c r="BB31" s="94" t="s">
        <v>2985</v>
      </c>
      <c r="BC31" s="355" t="s">
        <v>2985</v>
      </c>
      <c r="BD31" s="506" t="s">
        <v>3572</v>
      </c>
      <c r="BE31" s="348">
        <v>38</v>
      </c>
      <c r="BF31" s="348"/>
      <c r="BG31" s="348">
        <v>255</v>
      </c>
      <c r="BH31" s="427">
        <v>16.535836177474401</v>
      </c>
      <c r="BI31" s="303">
        <v>100</v>
      </c>
      <c r="BJ31" s="323">
        <v>14</v>
      </c>
      <c r="BK31" s="318" t="s">
        <v>2985</v>
      </c>
      <c r="BL31" s="324">
        <v>21</v>
      </c>
      <c r="BM31" s="318" t="s">
        <v>2985</v>
      </c>
      <c r="BN31" s="307">
        <v>100</v>
      </c>
      <c r="BO31" s="432" t="s">
        <v>2985</v>
      </c>
      <c r="BP31" s="343"/>
      <c r="BQ31" s="27"/>
      <c r="BR31" s="27"/>
      <c r="BS31" s="321"/>
    </row>
    <row r="32" spans="1:71" s="322" customFormat="1" ht="15" customHeight="1">
      <c r="A32" s="457">
        <v>260</v>
      </c>
      <c r="B32" s="533" t="s">
        <v>3614</v>
      </c>
      <c r="C32" s="383"/>
      <c r="D32" s="466" t="s">
        <v>3590</v>
      </c>
      <c r="E32" s="469"/>
      <c r="F32" s="303" t="s">
        <v>1485</v>
      </c>
      <c r="G32" s="386" t="s">
        <v>149</v>
      </c>
      <c r="H32" s="454" t="s">
        <v>1471</v>
      </c>
      <c r="I32" s="338" t="s">
        <v>3377</v>
      </c>
      <c r="J32" s="361">
        <v>1984</v>
      </c>
      <c r="K32" s="341">
        <v>24</v>
      </c>
      <c r="L32" s="340" t="s">
        <v>1745</v>
      </c>
      <c r="M32" s="341" t="s">
        <v>1739</v>
      </c>
      <c r="N32" s="446">
        <f t="shared" si="0"/>
        <v>0.54</v>
      </c>
      <c r="O32" s="307">
        <v>0.54</v>
      </c>
      <c r="P32" s="308">
        <v>4.75</v>
      </c>
      <c r="Q32" s="310">
        <f t="shared" si="1"/>
        <v>4.75</v>
      </c>
      <c r="R32" s="377">
        <f t="shared" si="2"/>
        <v>176.04000000000002</v>
      </c>
      <c r="S32" s="307">
        <v>326</v>
      </c>
      <c r="T32" s="377">
        <f t="shared" si="3"/>
        <v>326</v>
      </c>
      <c r="U32" s="377">
        <f t="shared" si="4"/>
        <v>1548.5</v>
      </c>
      <c r="V32" s="408" t="s">
        <v>2985</v>
      </c>
      <c r="W32" s="408" t="s">
        <v>2985</v>
      </c>
      <c r="X32" s="303" t="s">
        <v>12</v>
      </c>
      <c r="Y32" s="307" t="s">
        <v>12</v>
      </c>
      <c r="Z32" s="317" t="s">
        <v>2985</v>
      </c>
      <c r="AA32" s="311" t="s">
        <v>1754</v>
      </c>
      <c r="AB32" s="304" t="s">
        <v>2985</v>
      </c>
      <c r="AC32" s="441" t="s">
        <v>2985</v>
      </c>
      <c r="AD32" s="515" t="s">
        <v>2985</v>
      </c>
      <c r="AE32" s="515" t="s">
        <v>2985</v>
      </c>
      <c r="AF32" s="348" t="s">
        <v>2618</v>
      </c>
      <c r="AG32" s="262" t="s">
        <v>2985</v>
      </c>
      <c r="AH32" s="351">
        <v>100</v>
      </c>
      <c r="AI32" s="348">
        <v>0</v>
      </c>
      <c r="AJ32" s="348">
        <v>0</v>
      </c>
      <c r="AK32" s="348">
        <v>0</v>
      </c>
      <c r="AL32" s="348">
        <v>0</v>
      </c>
      <c r="AM32" s="348">
        <v>0</v>
      </c>
      <c r="AN32" s="348">
        <v>0</v>
      </c>
      <c r="AO32" s="348">
        <v>0</v>
      </c>
      <c r="AP32" s="307">
        <v>0</v>
      </c>
      <c r="AQ32" s="348">
        <v>0</v>
      </c>
      <c r="AR32" s="348">
        <v>0</v>
      </c>
      <c r="AS32" s="365">
        <v>0</v>
      </c>
      <c r="AT32" s="365">
        <v>0</v>
      </c>
      <c r="AU32" s="365">
        <v>0</v>
      </c>
      <c r="AV32" s="365">
        <v>0</v>
      </c>
      <c r="AW32" s="348">
        <v>0</v>
      </c>
      <c r="AX32" s="341">
        <v>0</v>
      </c>
      <c r="AY32" s="340">
        <v>37.251428571428569</v>
      </c>
      <c r="AZ32" s="348"/>
      <c r="BA32" s="316" t="s">
        <v>2985</v>
      </c>
      <c r="BB32" s="94" t="s">
        <v>2985</v>
      </c>
      <c r="BC32" s="355" t="s">
        <v>2985</v>
      </c>
      <c r="BD32" s="506" t="s">
        <v>3572</v>
      </c>
      <c r="BE32" s="348">
        <v>38</v>
      </c>
      <c r="BF32" s="348"/>
      <c r="BG32" s="348">
        <v>255</v>
      </c>
      <c r="BH32" s="427">
        <v>16.535836177474401</v>
      </c>
      <c r="BI32" s="303">
        <v>100</v>
      </c>
      <c r="BJ32" s="323">
        <v>14</v>
      </c>
      <c r="BK32" s="318" t="s">
        <v>2985</v>
      </c>
      <c r="BL32" s="324">
        <v>21</v>
      </c>
      <c r="BM32" s="318" t="s">
        <v>2985</v>
      </c>
      <c r="BN32" s="307">
        <v>100</v>
      </c>
      <c r="BO32" s="432" t="s">
        <v>2985</v>
      </c>
      <c r="BP32" s="343"/>
      <c r="BQ32" s="27"/>
      <c r="BR32" s="27"/>
      <c r="BS32" s="321"/>
    </row>
    <row r="33" spans="1:71" s="322" customFormat="1" ht="15" customHeight="1">
      <c r="A33" s="457">
        <v>261</v>
      </c>
      <c r="B33" s="533" t="s">
        <v>3614</v>
      </c>
      <c r="C33" s="383"/>
      <c r="D33" s="466" t="s">
        <v>3590</v>
      </c>
      <c r="E33" s="469"/>
      <c r="F33" s="303" t="s">
        <v>1484</v>
      </c>
      <c r="G33" s="386" t="s">
        <v>149</v>
      </c>
      <c r="H33" s="454" t="s">
        <v>1471</v>
      </c>
      <c r="I33" s="338" t="s">
        <v>3377</v>
      </c>
      <c r="J33" s="361">
        <v>1984</v>
      </c>
      <c r="K33" s="341">
        <v>24</v>
      </c>
      <c r="L33" s="340" t="s">
        <v>1745</v>
      </c>
      <c r="M33" s="341" t="s">
        <v>1739</v>
      </c>
      <c r="N33" s="446">
        <f t="shared" si="0"/>
        <v>0.5</v>
      </c>
      <c r="O33" s="307">
        <v>0.5</v>
      </c>
      <c r="P33" s="308">
        <v>4.75</v>
      </c>
      <c r="Q33" s="310">
        <f t="shared" si="1"/>
        <v>4.75</v>
      </c>
      <c r="R33" s="377">
        <f t="shared" si="2"/>
        <v>155.5</v>
      </c>
      <c r="S33" s="307">
        <v>311</v>
      </c>
      <c r="T33" s="377">
        <f t="shared" si="3"/>
        <v>311</v>
      </c>
      <c r="U33" s="377">
        <f t="shared" si="4"/>
        <v>1477.25</v>
      </c>
      <c r="V33" s="408" t="s">
        <v>2985</v>
      </c>
      <c r="W33" s="408" t="s">
        <v>2985</v>
      </c>
      <c r="X33" s="303" t="s">
        <v>12</v>
      </c>
      <c r="Y33" s="307" t="s">
        <v>12</v>
      </c>
      <c r="Z33" s="317" t="s">
        <v>2985</v>
      </c>
      <c r="AA33" s="311" t="s">
        <v>1754</v>
      </c>
      <c r="AB33" s="304" t="s">
        <v>2985</v>
      </c>
      <c r="AC33" s="441" t="s">
        <v>2985</v>
      </c>
      <c r="AD33" s="515" t="s">
        <v>2985</v>
      </c>
      <c r="AE33" s="515" t="s">
        <v>2985</v>
      </c>
      <c r="AF33" s="348" t="s">
        <v>2618</v>
      </c>
      <c r="AG33" s="262" t="s">
        <v>2985</v>
      </c>
      <c r="AH33" s="351">
        <v>100</v>
      </c>
      <c r="AI33" s="348">
        <v>0</v>
      </c>
      <c r="AJ33" s="348">
        <v>0</v>
      </c>
      <c r="AK33" s="348">
        <v>0</v>
      </c>
      <c r="AL33" s="348">
        <v>0</v>
      </c>
      <c r="AM33" s="348">
        <v>0</v>
      </c>
      <c r="AN33" s="348">
        <v>0</v>
      </c>
      <c r="AO33" s="348">
        <v>0</v>
      </c>
      <c r="AP33" s="307">
        <v>0</v>
      </c>
      <c r="AQ33" s="348">
        <v>0</v>
      </c>
      <c r="AR33" s="348">
        <v>0</v>
      </c>
      <c r="AS33" s="365">
        <v>0</v>
      </c>
      <c r="AT33" s="365">
        <v>0</v>
      </c>
      <c r="AU33" s="365">
        <v>0</v>
      </c>
      <c r="AV33" s="365">
        <v>0</v>
      </c>
      <c r="AW33" s="348">
        <v>0</v>
      </c>
      <c r="AX33" s="341">
        <v>0</v>
      </c>
      <c r="AY33" s="340">
        <v>41.794285714285706</v>
      </c>
      <c r="AZ33" s="348"/>
      <c r="BA33" s="316" t="s">
        <v>2985</v>
      </c>
      <c r="BB33" s="94" t="s">
        <v>2985</v>
      </c>
      <c r="BC33" s="355" t="s">
        <v>2985</v>
      </c>
      <c r="BD33" s="506" t="s">
        <v>3572</v>
      </c>
      <c r="BE33" s="348">
        <v>38</v>
      </c>
      <c r="BF33" s="348"/>
      <c r="BG33" s="348">
        <v>255</v>
      </c>
      <c r="BH33" s="427">
        <v>16.535836177474401</v>
      </c>
      <c r="BI33" s="303">
        <v>100</v>
      </c>
      <c r="BJ33" s="323">
        <v>14</v>
      </c>
      <c r="BK33" s="318" t="s">
        <v>2985</v>
      </c>
      <c r="BL33" s="324">
        <v>21</v>
      </c>
      <c r="BM33" s="318" t="s">
        <v>2985</v>
      </c>
      <c r="BN33" s="307">
        <v>100</v>
      </c>
      <c r="BO33" s="432" t="s">
        <v>2985</v>
      </c>
      <c r="BP33" s="343"/>
      <c r="BQ33" s="27"/>
      <c r="BR33" s="27"/>
      <c r="BS33" s="321"/>
    </row>
    <row r="34" spans="1:71" s="322" customFormat="1" ht="15" customHeight="1">
      <c r="A34" s="457">
        <v>262</v>
      </c>
      <c r="B34" s="533" t="s">
        <v>3614</v>
      </c>
      <c r="C34" s="383"/>
      <c r="D34" s="466" t="s">
        <v>3590</v>
      </c>
      <c r="E34" s="469"/>
      <c r="F34" s="303" t="s">
        <v>1483</v>
      </c>
      <c r="G34" s="386" t="s">
        <v>149</v>
      </c>
      <c r="H34" s="454" t="s">
        <v>1471</v>
      </c>
      <c r="I34" s="338" t="s">
        <v>3377</v>
      </c>
      <c r="J34" s="348">
        <v>1984</v>
      </c>
      <c r="K34" s="341">
        <v>24</v>
      </c>
      <c r="L34" s="340" t="s">
        <v>1745</v>
      </c>
      <c r="M34" s="341" t="s">
        <v>1739</v>
      </c>
      <c r="N34" s="446">
        <f t="shared" ref="N34:N65" si="6">R34/T34</f>
        <v>0.80000000000000016</v>
      </c>
      <c r="O34" s="323">
        <v>0.8</v>
      </c>
      <c r="P34" s="308">
        <v>4.75</v>
      </c>
      <c r="Q34" s="310">
        <f t="shared" ref="Q34:Q67" si="7">U34/T34</f>
        <v>4.75</v>
      </c>
      <c r="R34" s="377">
        <f t="shared" ref="R34:R65" si="8">O34*S34</f>
        <v>311.20000000000005</v>
      </c>
      <c r="S34" s="407">
        <v>389</v>
      </c>
      <c r="T34" s="377">
        <f t="shared" ref="T34:T65" si="9">(((SUM(AI34:AR34)/100)*(S34))+S34)</f>
        <v>389</v>
      </c>
      <c r="U34" s="377">
        <f t="shared" ref="U34:U67" si="10">P34*S34</f>
        <v>1847.75</v>
      </c>
      <c r="V34" s="408" t="s">
        <v>2985</v>
      </c>
      <c r="W34" s="408" t="s">
        <v>2985</v>
      </c>
      <c r="X34" s="303" t="s">
        <v>12</v>
      </c>
      <c r="Y34" s="307" t="s">
        <v>12</v>
      </c>
      <c r="Z34" s="317" t="s">
        <v>2985</v>
      </c>
      <c r="AA34" s="311" t="s">
        <v>1754</v>
      </c>
      <c r="AB34" s="304" t="s">
        <v>2985</v>
      </c>
      <c r="AC34" s="441" t="s">
        <v>2985</v>
      </c>
      <c r="AD34" s="515" t="s">
        <v>2985</v>
      </c>
      <c r="AE34" s="515" t="s">
        <v>2985</v>
      </c>
      <c r="AF34" s="348" t="s">
        <v>2619</v>
      </c>
      <c r="AG34" s="262" t="s">
        <v>2985</v>
      </c>
      <c r="AH34" s="351">
        <v>100</v>
      </c>
      <c r="AI34" s="348">
        <v>0</v>
      </c>
      <c r="AJ34" s="348">
        <v>0</v>
      </c>
      <c r="AK34" s="348">
        <v>0</v>
      </c>
      <c r="AL34" s="348">
        <v>0</v>
      </c>
      <c r="AM34" s="348">
        <v>0</v>
      </c>
      <c r="AN34" s="348">
        <v>0</v>
      </c>
      <c r="AO34" s="348">
        <v>0</v>
      </c>
      <c r="AP34" s="307">
        <v>0</v>
      </c>
      <c r="AQ34" s="348">
        <v>0</v>
      </c>
      <c r="AR34" s="348">
        <v>0</v>
      </c>
      <c r="AS34" s="365">
        <v>0</v>
      </c>
      <c r="AT34" s="365">
        <v>0</v>
      </c>
      <c r="AU34" s="365">
        <v>0</v>
      </c>
      <c r="AV34" s="365">
        <v>0</v>
      </c>
      <c r="AW34" s="348">
        <v>0</v>
      </c>
      <c r="AX34" s="341">
        <v>0</v>
      </c>
      <c r="AY34" s="340">
        <v>16.581428571428571</v>
      </c>
      <c r="AZ34" s="348"/>
      <c r="BA34" s="316" t="s">
        <v>2985</v>
      </c>
      <c r="BB34" s="94" t="s">
        <v>2985</v>
      </c>
      <c r="BC34" s="355" t="s">
        <v>2985</v>
      </c>
      <c r="BD34" s="506" t="s">
        <v>3572</v>
      </c>
      <c r="BE34" s="348">
        <v>38</v>
      </c>
      <c r="BF34" s="348"/>
      <c r="BG34" s="348">
        <v>255</v>
      </c>
      <c r="BH34" s="427">
        <v>16.535836177474401</v>
      </c>
      <c r="BI34" s="303">
        <v>100</v>
      </c>
      <c r="BJ34" s="307">
        <v>14</v>
      </c>
      <c r="BK34" s="729" t="s">
        <v>2985</v>
      </c>
      <c r="BL34" s="307">
        <v>21</v>
      </c>
      <c r="BM34" s="318" t="s">
        <v>2985</v>
      </c>
      <c r="BN34" s="307">
        <v>100</v>
      </c>
      <c r="BO34" s="432" t="s">
        <v>2985</v>
      </c>
      <c r="BP34" s="343"/>
      <c r="BQ34" s="331"/>
      <c r="BR34" s="331"/>
      <c r="BS34" s="321"/>
    </row>
    <row r="35" spans="1:71" s="322" customFormat="1" ht="15" customHeight="1">
      <c r="A35" s="457">
        <v>263</v>
      </c>
      <c r="B35" s="533" t="s">
        <v>3614</v>
      </c>
      <c r="C35" s="383"/>
      <c r="D35" s="466" t="s">
        <v>3590</v>
      </c>
      <c r="E35" s="469"/>
      <c r="F35" s="303" t="s">
        <v>1482</v>
      </c>
      <c r="G35" s="386" t="s">
        <v>149</v>
      </c>
      <c r="H35" s="454" t="s">
        <v>1471</v>
      </c>
      <c r="I35" s="338" t="s">
        <v>3377</v>
      </c>
      <c r="J35" s="348">
        <v>1984</v>
      </c>
      <c r="K35" s="341">
        <v>24</v>
      </c>
      <c r="L35" s="340" t="s">
        <v>1745</v>
      </c>
      <c r="M35" s="341" t="s">
        <v>1739</v>
      </c>
      <c r="N35" s="446">
        <f t="shared" si="6"/>
        <v>0.67</v>
      </c>
      <c r="O35" s="323">
        <v>0.67</v>
      </c>
      <c r="P35" s="308">
        <v>4.75</v>
      </c>
      <c r="Q35" s="310">
        <f t="shared" si="7"/>
        <v>4.75</v>
      </c>
      <c r="R35" s="377">
        <f t="shared" si="8"/>
        <v>235.17000000000002</v>
      </c>
      <c r="S35" s="407">
        <v>351</v>
      </c>
      <c r="T35" s="377">
        <f t="shared" si="9"/>
        <v>351</v>
      </c>
      <c r="U35" s="377">
        <f t="shared" si="10"/>
        <v>1667.25</v>
      </c>
      <c r="V35" s="408" t="s">
        <v>2985</v>
      </c>
      <c r="W35" s="408" t="s">
        <v>2985</v>
      </c>
      <c r="X35" s="303" t="s">
        <v>12</v>
      </c>
      <c r="Y35" s="307" t="s">
        <v>12</v>
      </c>
      <c r="Z35" s="317" t="s">
        <v>2985</v>
      </c>
      <c r="AA35" s="311" t="s">
        <v>1754</v>
      </c>
      <c r="AB35" s="304" t="s">
        <v>2985</v>
      </c>
      <c r="AC35" s="441" t="s">
        <v>2985</v>
      </c>
      <c r="AD35" s="515" t="s">
        <v>2985</v>
      </c>
      <c r="AE35" s="515" t="s">
        <v>2985</v>
      </c>
      <c r="AF35" s="348" t="s">
        <v>2619</v>
      </c>
      <c r="AG35" s="262" t="s">
        <v>2985</v>
      </c>
      <c r="AH35" s="351">
        <v>100</v>
      </c>
      <c r="AI35" s="348">
        <v>0</v>
      </c>
      <c r="AJ35" s="348">
        <v>0</v>
      </c>
      <c r="AK35" s="348">
        <v>0</v>
      </c>
      <c r="AL35" s="348">
        <v>0</v>
      </c>
      <c r="AM35" s="348">
        <v>0</v>
      </c>
      <c r="AN35" s="348">
        <v>0</v>
      </c>
      <c r="AO35" s="348">
        <v>0</v>
      </c>
      <c r="AP35" s="307">
        <v>0</v>
      </c>
      <c r="AQ35" s="348">
        <v>0</v>
      </c>
      <c r="AR35" s="348">
        <v>0</v>
      </c>
      <c r="AS35" s="365">
        <v>0</v>
      </c>
      <c r="AT35" s="365">
        <v>0</v>
      </c>
      <c r="AU35" s="365">
        <v>0</v>
      </c>
      <c r="AV35" s="365">
        <v>0</v>
      </c>
      <c r="AW35" s="348">
        <v>0</v>
      </c>
      <c r="AX35" s="341">
        <v>0</v>
      </c>
      <c r="AY35" s="340">
        <v>23.055</v>
      </c>
      <c r="AZ35" s="348"/>
      <c r="BA35" s="316" t="s">
        <v>2985</v>
      </c>
      <c r="BB35" s="94" t="s">
        <v>2985</v>
      </c>
      <c r="BC35" s="355" t="s">
        <v>2985</v>
      </c>
      <c r="BD35" s="506" t="s">
        <v>3572</v>
      </c>
      <c r="BE35" s="348">
        <v>38</v>
      </c>
      <c r="BF35" s="348"/>
      <c r="BG35" s="348">
        <v>255</v>
      </c>
      <c r="BH35" s="427">
        <v>16.535836177474401</v>
      </c>
      <c r="BI35" s="303">
        <v>100</v>
      </c>
      <c r="BJ35" s="307">
        <v>14</v>
      </c>
      <c r="BK35" s="318" t="s">
        <v>2985</v>
      </c>
      <c r="BL35" s="307">
        <v>21</v>
      </c>
      <c r="BM35" s="318" t="s">
        <v>2985</v>
      </c>
      <c r="BN35" s="307">
        <v>100</v>
      </c>
      <c r="BO35" s="433" t="s">
        <v>2985</v>
      </c>
      <c r="BP35" s="343"/>
      <c r="BQ35" s="331"/>
      <c r="BR35" s="331"/>
      <c r="BS35" s="321"/>
    </row>
    <row r="36" spans="1:71" s="322" customFormat="1" ht="15" customHeight="1">
      <c r="A36" s="457">
        <v>264</v>
      </c>
      <c r="B36" s="533" t="s">
        <v>3614</v>
      </c>
      <c r="C36" s="383"/>
      <c r="D36" s="466" t="s">
        <v>3590</v>
      </c>
      <c r="E36" s="469"/>
      <c r="F36" s="303" t="s">
        <v>1481</v>
      </c>
      <c r="G36" s="386" t="s">
        <v>149</v>
      </c>
      <c r="H36" s="454" t="s">
        <v>1471</v>
      </c>
      <c r="I36" s="338" t="s">
        <v>3377</v>
      </c>
      <c r="J36" s="348">
        <v>1984</v>
      </c>
      <c r="K36" s="341">
        <v>24</v>
      </c>
      <c r="L36" s="340" t="s">
        <v>1745</v>
      </c>
      <c r="M36" s="341" t="s">
        <v>1739</v>
      </c>
      <c r="N36" s="446">
        <f t="shared" si="6"/>
        <v>0.56000000000000005</v>
      </c>
      <c r="O36" s="323">
        <v>0.56000000000000005</v>
      </c>
      <c r="P36" s="308">
        <v>4.75</v>
      </c>
      <c r="Q36" s="310">
        <f t="shared" si="7"/>
        <v>4.75</v>
      </c>
      <c r="R36" s="377">
        <f t="shared" si="8"/>
        <v>177.52</v>
      </c>
      <c r="S36" s="407">
        <v>317</v>
      </c>
      <c r="T36" s="377">
        <f t="shared" si="9"/>
        <v>317</v>
      </c>
      <c r="U36" s="377">
        <f t="shared" si="10"/>
        <v>1505.75</v>
      </c>
      <c r="V36" s="408" t="s">
        <v>2985</v>
      </c>
      <c r="W36" s="408" t="s">
        <v>2985</v>
      </c>
      <c r="X36" s="303" t="s">
        <v>12</v>
      </c>
      <c r="Y36" s="307" t="s">
        <v>12</v>
      </c>
      <c r="Z36" s="317" t="s">
        <v>2985</v>
      </c>
      <c r="AA36" s="311" t="s">
        <v>1754</v>
      </c>
      <c r="AB36" s="304" t="s">
        <v>2985</v>
      </c>
      <c r="AC36" s="441" t="s">
        <v>2985</v>
      </c>
      <c r="AD36" s="515" t="s">
        <v>2985</v>
      </c>
      <c r="AE36" s="515" t="s">
        <v>2985</v>
      </c>
      <c r="AF36" s="348" t="s">
        <v>2619</v>
      </c>
      <c r="AG36" s="262" t="s">
        <v>2985</v>
      </c>
      <c r="AH36" s="351">
        <v>100</v>
      </c>
      <c r="AI36" s="348">
        <v>0</v>
      </c>
      <c r="AJ36" s="348">
        <v>0</v>
      </c>
      <c r="AK36" s="348">
        <v>0</v>
      </c>
      <c r="AL36" s="348">
        <v>0</v>
      </c>
      <c r="AM36" s="348">
        <v>0</v>
      </c>
      <c r="AN36" s="348">
        <v>0</v>
      </c>
      <c r="AO36" s="348">
        <v>0</v>
      </c>
      <c r="AP36" s="307">
        <v>0</v>
      </c>
      <c r="AQ36" s="348">
        <v>0</v>
      </c>
      <c r="AR36" s="348">
        <v>0</v>
      </c>
      <c r="AS36" s="365">
        <v>0</v>
      </c>
      <c r="AT36" s="365">
        <v>0</v>
      </c>
      <c r="AU36" s="365">
        <v>0</v>
      </c>
      <c r="AV36" s="365">
        <v>0</v>
      </c>
      <c r="AW36" s="348">
        <v>0</v>
      </c>
      <c r="AX36" s="341">
        <v>0</v>
      </c>
      <c r="AY36" s="340">
        <v>31.459285714285713</v>
      </c>
      <c r="AZ36" s="348"/>
      <c r="BA36" s="316" t="s">
        <v>2985</v>
      </c>
      <c r="BB36" s="94" t="s">
        <v>2985</v>
      </c>
      <c r="BC36" s="355" t="s">
        <v>2985</v>
      </c>
      <c r="BD36" s="506" t="s">
        <v>3572</v>
      </c>
      <c r="BE36" s="348">
        <v>38</v>
      </c>
      <c r="BF36" s="348"/>
      <c r="BG36" s="348">
        <v>255</v>
      </c>
      <c r="BH36" s="427">
        <v>16.535836177474401</v>
      </c>
      <c r="BI36" s="303">
        <v>100</v>
      </c>
      <c r="BJ36" s="307">
        <v>14</v>
      </c>
      <c r="BK36" s="318" t="s">
        <v>2985</v>
      </c>
      <c r="BL36" s="307">
        <v>21</v>
      </c>
      <c r="BM36" s="318" t="s">
        <v>2985</v>
      </c>
      <c r="BN36" s="307">
        <v>100</v>
      </c>
      <c r="BO36" s="433" t="s">
        <v>2985</v>
      </c>
      <c r="BP36" s="343"/>
      <c r="BQ36" s="331"/>
      <c r="BR36" s="331"/>
      <c r="BS36" s="321"/>
    </row>
    <row r="37" spans="1:71" s="322" customFormat="1" ht="15" customHeight="1">
      <c r="A37" s="457">
        <v>265</v>
      </c>
      <c r="B37" s="533" t="s">
        <v>3614</v>
      </c>
      <c r="C37" s="383"/>
      <c r="D37" s="466" t="s">
        <v>3590</v>
      </c>
      <c r="E37" s="469"/>
      <c r="F37" s="303" t="s">
        <v>1480</v>
      </c>
      <c r="G37" s="386" t="s">
        <v>149</v>
      </c>
      <c r="H37" s="454" t="s">
        <v>1471</v>
      </c>
      <c r="I37" s="338" t="s">
        <v>3377</v>
      </c>
      <c r="J37" s="348">
        <v>1984</v>
      </c>
      <c r="K37" s="341">
        <v>24</v>
      </c>
      <c r="L37" s="340" t="s">
        <v>1745</v>
      </c>
      <c r="M37" s="341" t="s">
        <v>1739</v>
      </c>
      <c r="N37" s="446">
        <f t="shared" si="6"/>
        <v>0.48</v>
      </c>
      <c r="O37" s="323">
        <v>0.48</v>
      </c>
      <c r="P37" s="308">
        <v>4.75</v>
      </c>
      <c r="Q37" s="310">
        <f t="shared" si="7"/>
        <v>4.75</v>
      </c>
      <c r="R37" s="377">
        <f t="shared" si="8"/>
        <v>140.16</v>
      </c>
      <c r="S37" s="407">
        <v>292</v>
      </c>
      <c r="T37" s="377">
        <f t="shared" si="9"/>
        <v>292</v>
      </c>
      <c r="U37" s="377">
        <f t="shared" si="10"/>
        <v>1387</v>
      </c>
      <c r="V37" s="408" t="s">
        <v>2985</v>
      </c>
      <c r="W37" s="408" t="s">
        <v>2985</v>
      </c>
      <c r="X37" s="303" t="s">
        <v>12</v>
      </c>
      <c r="Y37" s="307" t="s">
        <v>12</v>
      </c>
      <c r="Z37" s="317" t="s">
        <v>2985</v>
      </c>
      <c r="AA37" s="311" t="s">
        <v>1754</v>
      </c>
      <c r="AB37" s="304" t="s">
        <v>2985</v>
      </c>
      <c r="AC37" s="441" t="s">
        <v>2985</v>
      </c>
      <c r="AD37" s="515" t="s">
        <v>2985</v>
      </c>
      <c r="AE37" s="515" t="s">
        <v>2985</v>
      </c>
      <c r="AF37" s="348" t="s">
        <v>2619</v>
      </c>
      <c r="AG37" s="262" t="s">
        <v>2985</v>
      </c>
      <c r="AH37" s="351">
        <v>100</v>
      </c>
      <c r="AI37" s="348">
        <v>0</v>
      </c>
      <c r="AJ37" s="348">
        <v>0</v>
      </c>
      <c r="AK37" s="348">
        <v>0</v>
      </c>
      <c r="AL37" s="348">
        <v>0</v>
      </c>
      <c r="AM37" s="348">
        <v>0</v>
      </c>
      <c r="AN37" s="348">
        <v>0</v>
      </c>
      <c r="AO37" s="348">
        <v>0</v>
      </c>
      <c r="AP37" s="307">
        <v>0</v>
      </c>
      <c r="AQ37" s="348">
        <v>0</v>
      </c>
      <c r="AR37" s="348">
        <v>0</v>
      </c>
      <c r="AS37" s="365">
        <v>0</v>
      </c>
      <c r="AT37" s="365">
        <v>0</v>
      </c>
      <c r="AU37" s="365">
        <v>0</v>
      </c>
      <c r="AV37" s="365">
        <v>0</v>
      </c>
      <c r="AW37" s="348">
        <v>0</v>
      </c>
      <c r="AX37" s="341">
        <v>0</v>
      </c>
      <c r="AY37" s="340">
        <v>33.957857142857144</v>
      </c>
      <c r="AZ37" s="348"/>
      <c r="BA37" s="316" t="s">
        <v>2985</v>
      </c>
      <c r="BB37" s="94" t="s">
        <v>2985</v>
      </c>
      <c r="BC37" s="355" t="s">
        <v>2985</v>
      </c>
      <c r="BD37" s="506" t="s">
        <v>3572</v>
      </c>
      <c r="BE37" s="348">
        <v>38</v>
      </c>
      <c r="BF37" s="348"/>
      <c r="BG37" s="348">
        <v>255</v>
      </c>
      <c r="BH37" s="427">
        <v>16.535836177474401</v>
      </c>
      <c r="BI37" s="303">
        <v>100</v>
      </c>
      <c r="BJ37" s="307">
        <v>14</v>
      </c>
      <c r="BK37" s="318" t="s">
        <v>2985</v>
      </c>
      <c r="BL37" s="307">
        <v>21</v>
      </c>
      <c r="BM37" s="318" t="s">
        <v>2985</v>
      </c>
      <c r="BN37" s="307">
        <v>100</v>
      </c>
      <c r="BO37" s="433" t="s">
        <v>2985</v>
      </c>
      <c r="BP37" s="343"/>
      <c r="BQ37" s="331"/>
      <c r="BR37" s="331"/>
      <c r="BS37" s="321"/>
    </row>
    <row r="38" spans="1:71" s="322" customFormat="1" ht="15" customHeight="1">
      <c r="A38" s="457">
        <v>266</v>
      </c>
      <c r="B38" s="533" t="s">
        <v>3634</v>
      </c>
      <c r="C38" s="383"/>
      <c r="D38" s="466" t="s">
        <v>3590</v>
      </c>
      <c r="E38" s="469"/>
      <c r="F38" s="509" t="s">
        <v>1479</v>
      </c>
      <c r="G38" s="73" t="s">
        <v>149</v>
      </c>
      <c r="H38" s="695" t="s">
        <v>1471</v>
      </c>
      <c r="I38" s="338" t="s">
        <v>3377</v>
      </c>
      <c r="J38" s="506">
        <v>1984</v>
      </c>
      <c r="K38" s="455">
        <v>24</v>
      </c>
      <c r="L38" s="384" t="s">
        <v>1745</v>
      </c>
      <c r="M38" s="341" t="s">
        <v>1739</v>
      </c>
      <c r="N38" s="446">
        <f t="shared" si="6"/>
        <v>0.4</v>
      </c>
      <c r="O38" s="480">
        <v>0.4</v>
      </c>
      <c r="P38" s="513">
        <v>4.75</v>
      </c>
      <c r="Q38" s="310">
        <f t="shared" si="7"/>
        <v>4.75</v>
      </c>
      <c r="R38" s="377">
        <f t="shared" si="8"/>
        <v>106.80000000000001</v>
      </c>
      <c r="S38" s="709">
        <v>267</v>
      </c>
      <c r="T38" s="377">
        <f t="shared" si="9"/>
        <v>267</v>
      </c>
      <c r="U38" s="377">
        <f t="shared" si="10"/>
        <v>1268.25</v>
      </c>
      <c r="V38" s="408" t="s">
        <v>2985</v>
      </c>
      <c r="W38" s="408" t="s">
        <v>2985</v>
      </c>
      <c r="X38" s="313" t="s">
        <v>12</v>
      </c>
      <c r="Y38" s="506" t="s">
        <v>12</v>
      </c>
      <c r="Z38" s="506" t="s">
        <v>12</v>
      </c>
      <c r="AA38" s="311" t="s">
        <v>1754</v>
      </c>
      <c r="AB38" s="262" t="s">
        <v>2985</v>
      </c>
      <c r="AC38" s="117" t="s">
        <v>2985</v>
      </c>
      <c r="AD38" s="507" t="s">
        <v>2312</v>
      </c>
      <c r="AE38" s="507" t="s">
        <v>2985</v>
      </c>
      <c r="AF38" s="506" t="s">
        <v>2619</v>
      </c>
      <c r="AG38" s="262" t="s">
        <v>2985</v>
      </c>
      <c r="AH38" s="344">
        <v>100</v>
      </c>
      <c r="AI38" s="254">
        <v>0</v>
      </c>
      <c r="AJ38" s="268">
        <v>0</v>
      </c>
      <c r="AK38" s="365">
        <v>0</v>
      </c>
      <c r="AL38" s="365">
        <v>0</v>
      </c>
      <c r="AM38" s="365">
        <v>0</v>
      </c>
      <c r="AN38" s="254">
        <v>0</v>
      </c>
      <c r="AO38" s="353">
        <v>0</v>
      </c>
      <c r="AP38" s="348">
        <v>0</v>
      </c>
      <c r="AQ38" s="506">
        <v>0</v>
      </c>
      <c r="AR38" s="348">
        <v>0</v>
      </c>
      <c r="AS38" s="506">
        <v>0</v>
      </c>
      <c r="AT38" s="353">
        <v>0</v>
      </c>
      <c r="AU38" s="506">
        <v>0</v>
      </c>
      <c r="AV38" s="348">
        <v>0</v>
      </c>
      <c r="AW38" s="506">
        <v>0</v>
      </c>
      <c r="AX38" s="510">
        <v>0</v>
      </c>
      <c r="AY38" s="415">
        <v>41.567142857142855</v>
      </c>
      <c r="AZ38" s="500"/>
      <c r="BA38" s="316" t="s">
        <v>2985</v>
      </c>
      <c r="BB38" s="94" t="s">
        <v>2985</v>
      </c>
      <c r="BC38" s="262" t="s">
        <v>2985</v>
      </c>
      <c r="BD38" s="506" t="s">
        <v>3572</v>
      </c>
      <c r="BE38" s="387">
        <v>38</v>
      </c>
      <c r="BF38" s="270"/>
      <c r="BG38" s="379">
        <v>255</v>
      </c>
      <c r="BH38" s="390">
        <f>(BE38*BG38)/((2*BG38)+(2*BE38))</f>
        <v>16.535836177474401</v>
      </c>
      <c r="BI38" s="509">
        <v>100</v>
      </c>
      <c r="BJ38" s="506">
        <v>14</v>
      </c>
      <c r="BK38" s="507" t="s">
        <v>2985</v>
      </c>
      <c r="BL38" s="506">
        <v>21</v>
      </c>
      <c r="BM38" s="507" t="s">
        <v>2985</v>
      </c>
      <c r="BN38" s="368">
        <v>100</v>
      </c>
      <c r="BO38" s="332" t="s">
        <v>2985</v>
      </c>
      <c r="BP38" s="388"/>
      <c r="BQ38" s="331"/>
      <c r="BR38" s="331"/>
      <c r="BS38" s="321"/>
    </row>
    <row r="39" spans="1:71" s="322" customFormat="1" ht="15" customHeight="1">
      <c r="A39" s="457">
        <v>267</v>
      </c>
      <c r="B39" s="533" t="s">
        <v>3614</v>
      </c>
      <c r="C39" s="383"/>
      <c r="D39" s="466" t="s">
        <v>3590</v>
      </c>
      <c r="E39" s="469"/>
      <c r="F39" s="303" t="s">
        <v>1478</v>
      </c>
      <c r="G39" s="386" t="s">
        <v>149</v>
      </c>
      <c r="H39" s="454" t="s">
        <v>1471</v>
      </c>
      <c r="I39" s="338" t="s">
        <v>3377</v>
      </c>
      <c r="J39" s="348">
        <v>1984</v>
      </c>
      <c r="K39" s="341">
        <v>24</v>
      </c>
      <c r="L39" s="340" t="s">
        <v>1745</v>
      </c>
      <c r="M39" s="341" t="s">
        <v>1739</v>
      </c>
      <c r="N39" s="446">
        <f t="shared" si="6"/>
        <v>0.76</v>
      </c>
      <c r="O39" s="323">
        <v>0.76</v>
      </c>
      <c r="P39" s="308">
        <v>4.75</v>
      </c>
      <c r="Q39" s="310">
        <f t="shared" si="7"/>
        <v>4.75</v>
      </c>
      <c r="R39" s="377">
        <f t="shared" si="8"/>
        <v>291.08</v>
      </c>
      <c r="S39" s="407">
        <v>383</v>
      </c>
      <c r="T39" s="377">
        <f t="shared" si="9"/>
        <v>383</v>
      </c>
      <c r="U39" s="377">
        <f t="shared" si="10"/>
        <v>1819.25</v>
      </c>
      <c r="V39" s="408" t="s">
        <v>2985</v>
      </c>
      <c r="W39" s="408" t="s">
        <v>2985</v>
      </c>
      <c r="X39" s="303" t="s">
        <v>12</v>
      </c>
      <c r="Y39" s="307" t="s">
        <v>12</v>
      </c>
      <c r="Z39" s="317" t="s">
        <v>2985</v>
      </c>
      <c r="AA39" s="311" t="s">
        <v>1754</v>
      </c>
      <c r="AB39" s="304" t="s">
        <v>2985</v>
      </c>
      <c r="AC39" s="441" t="s">
        <v>2985</v>
      </c>
      <c r="AD39" s="515" t="s">
        <v>2985</v>
      </c>
      <c r="AE39" s="348" t="s">
        <v>2620</v>
      </c>
      <c r="AF39" s="348" t="s">
        <v>2621</v>
      </c>
      <c r="AG39" s="262" t="s">
        <v>2985</v>
      </c>
      <c r="AH39" s="351">
        <v>100</v>
      </c>
      <c r="AI39" s="348">
        <v>0</v>
      </c>
      <c r="AJ39" s="348">
        <v>0</v>
      </c>
      <c r="AK39" s="348">
        <v>0</v>
      </c>
      <c r="AL39" s="348">
        <v>0</v>
      </c>
      <c r="AM39" s="348">
        <v>0</v>
      </c>
      <c r="AN39" s="348">
        <v>0</v>
      </c>
      <c r="AO39" s="348">
        <v>0</v>
      </c>
      <c r="AP39" s="307">
        <v>0</v>
      </c>
      <c r="AQ39" s="348">
        <v>0</v>
      </c>
      <c r="AR39" s="348">
        <v>0</v>
      </c>
      <c r="AS39" s="365">
        <v>0</v>
      </c>
      <c r="AT39" s="365">
        <v>0</v>
      </c>
      <c r="AU39" s="365">
        <v>0</v>
      </c>
      <c r="AV39" s="365">
        <v>0</v>
      </c>
      <c r="AW39" s="348">
        <v>0</v>
      </c>
      <c r="AX39" s="341">
        <v>0</v>
      </c>
      <c r="AY39" s="340">
        <v>20.669999999999998</v>
      </c>
      <c r="AZ39" s="348"/>
      <c r="BA39" s="316" t="s">
        <v>2985</v>
      </c>
      <c r="BB39" s="94" t="s">
        <v>2985</v>
      </c>
      <c r="BC39" s="355" t="s">
        <v>2985</v>
      </c>
      <c r="BD39" s="506" t="s">
        <v>3572</v>
      </c>
      <c r="BE39" s="348">
        <v>38</v>
      </c>
      <c r="BF39" s="348"/>
      <c r="BG39" s="348">
        <v>255</v>
      </c>
      <c r="BH39" s="427">
        <v>16.535836177474401</v>
      </c>
      <c r="BI39" s="303">
        <v>100</v>
      </c>
      <c r="BJ39" s="307">
        <v>14</v>
      </c>
      <c r="BK39" s="318" t="s">
        <v>2985</v>
      </c>
      <c r="BL39" s="307">
        <v>21</v>
      </c>
      <c r="BM39" s="318" t="s">
        <v>2985</v>
      </c>
      <c r="BN39" s="307">
        <v>100</v>
      </c>
      <c r="BO39" s="433" t="s">
        <v>2985</v>
      </c>
      <c r="BP39" s="343"/>
      <c r="BQ39" s="331"/>
      <c r="BR39" s="331"/>
      <c r="BS39" s="321"/>
    </row>
    <row r="40" spans="1:71" s="322" customFormat="1" ht="15" customHeight="1">
      <c r="A40" s="457">
        <v>268</v>
      </c>
      <c r="B40" s="533" t="s">
        <v>3614</v>
      </c>
      <c r="C40" s="383"/>
      <c r="D40" s="466" t="s">
        <v>3590</v>
      </c>
      <c r="E40" s="469"/>
      <c r="F40" s="303" t="s">
        <v>1477</v>
      </c>
      <c r="G40" s="386" t="s">
        <v>149</v>
      </c>
      <c r="H40" s="454" t="s">
        <v>1471</v>
      </c>
      <c r="I40" s="338" t="s">
        <v>3377</v>
      </c>
      <c r="J40" s="348">
        <v>1984</v>
      </c>
      <c r="K40" s="341">
        <v>24</v>
      </c>
      <c r="L40" s="340" t="s">
        <v>1745</v>
      </c>
      <c r="M40" s="341" t="s">
        <v>1739</v>
      </c>
      <c r="N40" s="446">
        <f t="shared" si="6"/>
        <v>0.62</v>
      </c>
      <c r="O40" s="323">
        <v>0.62</v>
      </c>
      <c r="P40" s="308">
        <v>4.75</v>
      </c>
      <c r="Q40" s="310">
        <f t="shared" si="7"/>
        <v>4.75</v>
      </c>
      <c r="R40" s="377">
        <f t="shared" si="8"/>
        <v>213.28</v>
      </c>
      <c r="S40" s="407">
        <v>344</v>
      </c>
      <c r="T40" s="377">
        <f t="shared" si="9"/>
        <v>344</v>
      </c>
      <c r="U40" s="377">
        <f t="shared" si="10"/>
        <v>1634</v>
      </c>
      <c r="V40" s="408" t="s">
        <v>2985</v>
      </c>
      <c r="W40" s="408" t="s">
        <v>2985</v>
      </c>
      <c r="X40" s="303" t="s">
        <v>12</v>
      </c>
      <c r="Y40" s="307" t="s">
        <v>12</v>
      </c>
      <c r="Z40" s="317" t="s">
        <v>2985</v>
      </c>
      <c r="AA40" s="311" t="s">
        <v>1754</v>
      </c>
      <c r="AB40" s="304" t="s">
        <v>2985</v>
      </c>
      <c r="AC40" s="441" t="s">
        <v>2985</v>
      </c>
      <c r="AD40" s="515" t="s">
        <v>2985</v>
      </c>
      <c r="AE40" s="348" t="s">
        <v>2620</v>
      </c>
      <c r="AF40" s="348" t="s">
        <v>2621</v>
      </c>
      <c r="AG40" s="262" t="s">
        <v>2985</v>
      </c>
      <c r="AH40" s="351">
        <v>100</v>
      </c>
      <c r="AI40" s="348">
        <v>0</v>
      </c>
      <c r="AJ40" s="348">
        <v>0</v>
      </c>
      <c r="AK40" s="348">
        <v>0</v>
      </c>
      <c r="AL40" s="348">
        <v>0</v>
      </c>
      <c r="AM40" s="348">
        <v>0</v>
      </c>
      <c r="AN40" s="348">
        <v>0</v>
      </c>
      <c r="AO40" s="348">
        <v>0</v>
      </c>
      <c r="AP40" s="307">
        <v>0</v>
      </c>
      <c r="AQ40" s="348">
        <v>0</v>
      </c>
      <c r="AR40" s="348">
        <v>0</v>
      </c>
      <c r="AS40" s="365">
        <v>0</v>
      </c>
      <c r="AT40" s="365">
        <v>0</v>
      </c>
      <c r="AU40" s="365">
        <v>0</v>
      </c>
      <c r="AV40" s="365">
        <v>0</v>
      </c>
      <c r="AW40" s="348">
        <v>0</v>
      </c>
      <c r="AX40" s="341">
        <v>0</v>
      </c>
      <c r="AY40" s="340">
        <v>29.869285714285713</v>
      </c>
      <c r="AZ40" s="348"/>
      <c r="BA40" s="316" t="s">
        <v>2985</v>
      </c>
      <c r="BB40" s="94" t="s">
        <v>2985</v>
      </c>
      <c r="BC40" s="355" t="s">
        <v>2985</v>
      </c>
      <c r="BD40" s="506" t="s">
        <v>3572</v>
      </c>
      <c r="BE40" s="348">
        <v>38</v>
      </c>
      <c r="BF40" s="348"/>
      <c r="BG40" s="348">
        <v>255</v>
      </c>
      <c r="BH40" s="427">
        <v>16.535836177474401</v>
      </c>
      <c r="BI40" s="303">
        <v>100</v>
      </c>
      <c r="BJ40" s="307">
        <v>14</v>
      </c>
      <c r="BK40" s="318" t="s">
        <v>2985</v>
      </c>
      <c r="BL40" s="307">
        <v>21</v>
      </c>
      <c r="BM40" s="318" t="s">
        <v>2985</v>
      </c>
      <c r="BN40" s="307">
        <v>100</v>
      </c>
      <c r="BO40" s="433" t="s">
        <v>2985</v>
      </c>
      <c r="BP40" s="343"/>
      <c r="BQ40" s="331"/>
      <c r="BR40" s="331"/>
      <c r="BS40" s="321"/>
    </row>
    <row r="41" spans="1:71" s="322" customFormat="1" ht="15" customHeight="1">
      <c r="A41" s="457">
        <v>269</v>
      </c>
      <c r="B41" s="533" t="s">
        <v>3614</v>
      </c>
      <c r="C41" s="383"/>
      <c r="D41" s="466" t="s">
        <v>3590</v>
      </c>
      <c r="E41" s="469"/>
      <c r="F41" s="303" t="s">
        <v>1476</v>
      </c>
      <c r="G41" s="386" t="s">
        <v>149</v>
      </c>
      <c r="H41" s="454" t="s">
        <v>1471</v>
      </c>
      <c r="I41" s="338" t="s">
        <v>3377</v>
      </c>
      <c r="J41" s="348">
        <v>1984</v>
      </c>
      <c r="K41" s="341">
        <v>24</v>
      </c>
      <c r="L41" s="340" t="s">
        <v>1745</v>
      </c>
      <c r="M41" s="341" t="s">
        <v>1739</v>
      </c>
      <c r="N41" s="446">
        <f t="shared" si="6"/>
        <v>0.55000000000000004</v>
      </c>
      <c r="O41" s="323">
        <v>0.55000000000000004</v>
      </c>
      <c r="P41" s="308">
        <v>4.75</v>
      </c>
      <c r="Q41" s="310">
        <f t="shared" si="7"/>
        <v>4.75</v>
      </c>
      <c r="R41" s="377">
        <f t="shared" si="8"/>
        <v>177.65</v>
      </c>
      <c r="S41" s="407">
        <v>323</v>
      </c>
      <c r="T41" s="377">
        <f t="shared" si="9"/>
        <v>323</v>
      </c>
      <c r="U41" s="377">
        <f t="shared" si="10"/>
        <v>1534.25</v>
      </c>
      <c r="V41" s="408" t="s">
        <v>2985</v>
      </c>
      <c r="W41" s="408" t="s">
        <v>2985</v>
      </c>
      <c r="X41" s="303" t="s">
        <v>12</v>
      </c>
      <c r="Y41" s="307" t="s">
        <v>12</v>
      </c>
      <c r="Z41" s="317" t="s">
        <v>2985</v>
      </c>
      <c r="AA41" s="311" t="s">
        <v>1754</v>
      </c>
      <c r="AB41" s="304" t="s">
        <v>2985</v>
      </c>
      <c r="AC41" s="441" t="s">
        <v>2985</v>
      </c>
      <c r="AD41" s="515" t="s">
        <v>2985</v>
      </c>
      <c r="AE41" s="348" t="s">
        <v>2620</v>
      </c>
      <c r="AF41" s="348" t="s">
        <v>2621</v>
      </c>
      <c r="AG41" s="262" t="s">
        <v>2985</v>
      </c>
      <c r="AH41" s="351">
        <v>100</v>
      </c>
      <c r="AI41" s="348">
        <v>0</v>
      </c>
      <c r="AJ41" s="348">
        <v>0</v>
      </c>
      <c r="AK41" s="348">
        <v>0</v>
      </c>
      <c r="AL41" s="348">
        <v>0</v>
      </c>
      <c r="AM41" s="348">
        <v>0</v>
      </c>
      <c r="AN41" s="348">
        <v>0</v>
      </c>
      <c r="AO41" s="348">
        <v>0</v>
      </c>
      <c r="AP41" s="307">
        <v>0</v>
      </c>
      <c r="AQ41" s="348">
        <v>0</v>
      </c>
      <c r="AR41" s="348">
        <v>0</v>
      </c>
      <c r="AS41" s="365">
        <v>0</v>
      </c>
      <c r="AT41" s="365">
        <v>0</v>
      </c>
      <c r="AU41" s="365">
        <v>0</v>
      </c>
      <c r="AV41" s="365">
        <v>0</v>
      </c>
      <c r="AW41" s="348">
        <v>0</v>
      </c>
      <c r="AX41" s="341">
        <v>0</v>
      </c>
      <c r="AY41" s="340">
        <v>28.052142857142854</v>
      </c>
      <c r="AZ41" s="348"/>
      <c r="BA41" s="316" t="s">
        <v>2985</v>
      </c>
      <c r="BB41" s="94" t="s">
        <v>2985</v>
      </c>
      <c r="BC41" s="355" t="s">
        <v>2985</v>
      </c>
      <c r="BD41" s="506" t="s">
        <v>3572</v>
      </c>
      <c r="BE41" s="348">
        <v>38</v>
      </c>
      <c r="BF41" s="348"/>
      <c r="BG41" s="348">
        <v>255</v>
      </c>
      <c r="BH41" s="427">
        <v>16.535836177474401</v>
      </c>
      <c r="BI41" s="303">
        <v>100</v>
      </c>
      <c r="BJ41" s="307">
        <v>14</v>
      </c>
      <c r="BK41" s="318" t="s">
        <v>2985</v>
      </c>
      <c r="BL41" s="307">
        <v>21</v>
      </c>
      <c r="BM41" s="318" t="s">
        <v>2985</v>
      </c>
      <c r="BN41" s="307">
        <v>100</v>
      </c>
      <c r="BO41" s="433" t="s">
        <v>2985</v>
      </c>
      <c r="BP41" s="343"/>
      <c r="BQ41" s="331"/>
      <c r="BR41" s="331"/>
      <c r="BS41" s="321"/>
    </row>
    <row r="42" spans="1:71" s="322" customFormat="1" ht="15" customHeight="1">
      <c r="A42" s="457">
        <v>270</v>
      </c>
      <c r="B42" s="533" t="s">
        <v>3614</v>
      </c>
      <c r="C42" s="383"/>
      <c r="D42" s="466" t="s">
        <v>3590</v>
      </c>
      <c r="E42" s="469"/>
      <c r="F42" s="303" t="s">
        <v>1475</v>
      </c>
      <c r="G42" s="386" t="s">
        <v>149</v>
      </c>
      <c r="H42" s="454" t="s">
        <v>1471</v>
      </c>
      <c r="I42" s="338" t="s">
        <v>3377</v>
      </c>
      <c r="J42" s="348">
        <v>1984</v>
      </c>
      <c r="K42" s="341">
        <v>24</v>
      </c>
      <c r="L42" s="340" t="s">
        <v>1745</v>
      </c>
      <c r="M42" s="341" t="s">
        <v>1739</v>
      </c>
      <c r="N42" s="446">
        <f t="shared" si="6"/>
        <v>0.45000000000000007</v>
      </c>
      <c r="O42" s="323">
        <v>0.45</v>
      </c>
      <c r="P42" s="308">
        <v>4.75</v>
      </c>
      <c r="Q42" s="310">
        <f t="shared" si="7"/>
        <v>4.75</v>
      </c>
      <c r="R42" s="377">
        <f t="shared" si="8"/>
        <v>130.95000000000002</v>
      </c>
      <c r="S42" s="407">
        <v>291</v>
      </c>
      <c r="T42" s="377">
        <f t="shared" si="9"/>
        <v>291</v>
      </c>
      <c r="U42" s="377">
        <f t="shared" si="10"/>
        <v>1382.25</v>
      </c>
      <c r="V42" s="408" t="s">
        <v>2985</v>
      </c>
      <c r="W42" s="408" t="s">
        <v>2985</v>
      </c>
      <c r="X42" s="303" t="s">
        <v>12</v>
      </c>
      <c r="Y42" s="307" t="s">
        <v>12</v>
      </c>
      <c r="Z42" s="317" t="s">
        <v>2985</v>
      </c>
      <c r="AA42" s="311" t="s">
        <v>1754</v>
      </c>
      <c r="AB42" s="304" t="s">
        <v>2985</v>
      </c>
      <c r="AC42" s="441" t="s">
        <v>2985</v>
      </c>
      <c r="AD42" s="515" t="s">
        <v>2985</v>
      </c>
      <c r="AE42" s="348" t="s">
        <v>2620</v>
      </c>
      <c r="AF42" s="348" t="s">
        <v>2621</v>
      </c>
      <c r="AG42" s="262" t="s">
        <v>2985</v>
      </c>
      <c r="AH42" s="351">
        <v>100</v>
      </c>
      <c r="AI42" s="348">
        <v>0</v>
      </c>
      <c r="AJ42" s="348">
        <v>0</v>
      </c>
      <c r="AK42" s="348">
        <v>0</v>
      </c>
      <c r="AL42" s="348">
        <v>0</v>
      </c>
      <c r="AM42" s="348">
        <v>0</v>
      </c>
      <c r="AN42" s="348">
        <v>0</v>
      </c>
      <c r="AO42" s="348">
        <v>0</v>
      </c>
      <c r="AP42" s="307">
        <v>0</v>
      </c>
      <c r="AQ42" s="348">
        <v>0</v>
      </c>
      <c r="AR42" s="348">
        <v>0</v>
      </c>
      <c r="AS42" s="365">
        <v>0</v>
      </c>
      <c r="AT42" s="365">
        <v>0</v>
      </c>
      <c r="AU42" s="365">
        <v>0</v>
      </c>
      <c r="AV42" s="365">
        <v>0</v>
      </c>
      <c r="AW42" s="348">
        <v>0</v>
      </c>
      <c r="AX42" s="341">
        <v>0</v>
      </c>
      <c r="AY42" s="340">
        <v>26.689285714285713</v>
      </c>
      <c r="AZ42" s="348"/>
      <c r="BA42" s="316" t="s">
        <v>2985</v>
      </c>
      <c r="BB42" s="94" t="s">
        <v>2985</v>
      </c>
      <c r="BC42" s="355" t="s">
        <v>2985</v>
      </c>
      <c r="BD42" s="506" t="s">
        <v>3572</v>
      </c>
      <c r="BE42" s="348">
        <v>38</v>
      </c>
      <c r="BF42" s="348"/>
      <c r="BG42" s="348">
        <v>255</v>
      </c>
      <c r="BH42" s="427">
        <v>16.535836177474401</v>
      </c>
      <c r="BI42" s="303">
        <v>100</v>
      </c>
      <c r="BJ42" s="307">
        <v>14</v>
      </c>
      <c r="BK42" s="318" t="s">
        <v>2985</v>
      </c>
      <c r="BL42" s="307">
        <v>21</v>
      </c>
      <c r="BM42" s="318" t="s">
        <v>2985</v>
      </c>
      <c r="BN42" s="307">
        <v>100</v>
      </c>
      <c r="BO42" s="433" t="s">
        <v>2985</v>
      </c>
      <c r="BP42" s="343"/>
      <c r="BQ42" s="331"/>
      <c r="BR42" s="331"/>
      <c r="BS42" s="321"/>
    </row>
    <row r="43" spans="1:71" s="322" customFormat="1" ht="15" customHeight="1">
      <c r="A43" s="457">
        <v>271</v>
      </c>
      <c r="B43" s="533" t="s">
        <v>3614</v>
      </c>
      <c r="C43" s="383"/>
      <c r="D43" s="466" t="s">
        <v>3590</v>
      </c>
      <c r="E43" s="469"/>
      <c r="F43" s="303" t="s">
        <v>1474</v>
      </c>
      <c r="G43" s="386" t="s">
        <v>149</v>
      </c>
      <c r="H43" s="454" t="s">
        <v>1471</v>
      </c>
      <c r="I43" s="338" t="s">
        <v>3377</v>
      </c>
      <c r="J43" s="348">
        <v>1984</v>
      </c>
      <c r="K43" s="341">
        <v>24</v>
      </c>
      <c r="L43" s="340" t="s">
        <v>1745</v>
      </c>
      <c r="M43" s="341" t="s">
        <v>1739</v>
      </c>
      <c r="N43" s="446">
        <f t="shared" si="6"/>
        <v>0.86</v>
      </c>
      <c r="O43" s="323">
        <v>0.86</v>
      </c>
      <c r="P43" s="308">
        <v>4.75</v>
      </c>
      <c r="Q43" s="310">
        <f t="shared" si="7"/>
        <v>4.75</v>
      </c>
      <c r="R43" s="377">
        <f t="shared" si="8"/>
        <v>393.02</v>
      </c>
      <c r="S43" s="407">
        <v>457</v>
      </c>
      <c r="T43" s="377">
        <f t="shared" si="9"/>
        <v>457</v>
      </c>
      <c r="U43" s="377">
        <f t="shared" si="10"/>
        <v>2170.75</v>
      </c>
      <c r="V43" s="408" t="s">
        <v>2985</v>
      </c>
      <c r="W43" s="408" t="s">
        <v>2985</v>
      </c>
      <c r="X43" s="303" t="s">
        <v>12</v>
      </c>
      <c r="Y43" s="307" t="s">
        <v>12</v>
      </c>
      <c r="Z43" s="317" t="s">
        <v>2985</v>
      </c>
      <c r="AA43" s="311" t="s">
        <v>1754</v>
      </c>
      <c r="AB43" s="304" t="s">
        <v>2985</v>
      </c>
      <c r="AC43" s="441" t="s">
        <v>2985</v>
      </c>
      <c r="AD43" s="515" t="s">
        <v>2985</v>
      </c>
      <c r="AE43" s="348" t="s">
        <v>2622</v>
      </c>
      <c r="AF43" s="348" t="s">
        <v>2623</v>
      </c>
      <c r="AG43" s="262" t="s">
        <v>2985</v>
      </c>
      <c r="AH43" s="351">
        <v>100</v>
      </c>
      <c r="AI43" s="348">
        <v>0</v>
      </c>
      <c r="AJ43" s="348">
        <v>0</v>
      </c>
      <c r="AK43" s="348">
        <v>0</v>
      </c>
      <c r="AL43" s="348">
        <v>0</v>
      </c>
      <c r="AM43" s="348">
        <v>0</v>
      </c>
      <c r="AN43" s="348">
        <v>0</v>
      </c>
      <c r="AO43" s="348">
        <v>0</v>
      </c>
      <c r="AP43" s="307">
        <v>0</v>
      </c>
      <c r="AQ43" s="348">
        <v>0</v>
      </c>
      <c r="AR43" s="348">
        <v>0</v>
      </c>
      <c r="AS43" s="365">
        <v>0</v>
      </c>
      <c r="AT43" s="365">
        <v>0</v>
      </c>
      <c r="AU43" s="365">
        <v>0</v>
      </c>
      <c r="AV43" s="365">
        <v>0</v>
      </c>
      <c r="AW43" s="348">
        <v>0</v>
      </c>
      <c r="AX43" s="341">
        <v>0</v>
      </c>
      <c r="AY43" s="340">
        <v>19.988571428571429</v>
      </c>
      <c r="AZ43" s="348"/>
      <c r="BA43" s="316" t="s">
        <v>2985</v>
      </c>
      <c r="BB43" s="94" t="s">
        <v>2985</v>
      </c>
      <c r="BC43" s="355" t="s">
        <v>2985</v>
      </c>
      <c r="BD43" s="506" t="s">
        <v>3572</v>
      </c>
      <c r="BE43" s="348">
        <v>38</v>
      </c>
      <c r="BF43" s="348"/>
      <c r="BG43" s="348">
        <v>255</v>
      </c>
      <c r="BH43" s="427">
        <v>16.535836177474401</v>
      </c>
      <c r="BI43" s="303">
        <v>100</v>
      </c>
      <c r="BJ43" s="307">
        <v>14</v>
      </c>
      <c r="BK43" s="318" t="s">
        <v>2985</v>
      </c>
      <c r="BL43" s="307">
        <v>21</v>
      </c>
      <c r="BM43" s="318" t="s">
        <v>2985</v>
      </c>
      <c r="BN43" s="307">
        <v>100</v>
      </c>
      <c r="BO43" s="433" t="s">
        <v>2985</v>
      </c>
      <c r="BP43" s="343"/>
      <c r="BQ43" s="331"/>
      <c r="BR43" s="331"/>
      <c r="BS43" s="321"/>
    </row>
    <row r="44" spans="1:71" s="322" customFormat="1" ht="15" customHeight="1">
      <c r="A44" s="457">
        <v>272</v>
      </c>
      <c r="B44" s="533" t="s">
        <v>3614</v>
      </c>
      <c r="C44" s="383"/>
      <c r="D44" s="466" t="s">
        <v>3590</v>
      </c>
      <c r="E44" s="469"/>
      <c r="F44" s="303" t="s">
        <v>1473</v>
      </c>
      <c r="G44" s="386" t="s">
        <v>149</v>
      </c>
      <c r="H44" s="454" t="s">
        <v>1471</v>
      </c>
      <c r="I44" s="338" t="s">
        <v>3377</v>
      </c>
      <c r="J44" s="348">
        <v>1984</v>
      </c>
      <c r="K44" s="341">
        <v>24</v>
      </c>
      <c r="L44" s="340" t="s">
        <v>1745</v>
      </c>
      <c r="M44" s="341" t="s">
        <v>1739</v>
      </c>
      <c r="N44" s="446">
        <f t="shared" si="6"/>
        <v>0.75</v>
      </c>
      <c r="O44" s="323">
        <v>0.75</v>
      </c>
      <c r="P44" s="308">
        <v>4.75</v>
      </c>
      <c r="Q44" s="310">
        <f t="shared" si="7"/>
        <v>4.75</v>
      </c>
      <c r="R44" s="377">
        <f t="shared" si="8"/>
        <v>318.75</v>
      </c>
      <c r="S44" s="407">
        <v>425</v>
      </c>
      <c r="T44" s="377">
        <f t="shared" si="9"/>
        <v>425</v>
      </c>
      <c r="U44" s="377">
        <f t="shared" si="10"/>
        <v>2018.75</v>
      </c>
      <c r="V44" s="408" t="s">
        <v>2985</v>
      </c>
      <c r="W44" s="408" t="s">
        <v>2985</v>
      </c>
      <c r="X44" s="303" t="s">
        <v>12</v>
      </c>
      <c r="Y44" s="307" t="s">
        <v>12</v>
      </c>
      <c r="Z44" s="317" t="s">
        <v>2985</v>
      </c>
      <c r="AA44" s="311" t="s">
        <v>1754</v>
      </c>
      <c r="AB44" s="304" t="s">
        <v>2985</v>
      </c>
      <c r="AC44" s="441" t="s">
        <v>2985</v>
      </c>
      <c r="AD44" s="515" t="s">
        <v>2985</v>
      </c>
      <c r="AE44" s="348" t="s">
        <v>2622</v>
      </c>
      <c r="AF44" s="348" t="s">
        <v>2623</v>
      </c>
      <c r="AG44" s="262" t="s">
        <v>2985</v>
      </c>
      <c r="AH44" s="351">
        <v>100</v>
      </c>
      <c r="AI44" s="348">
        <v>0</v>
      </c>
      <c r="AJ44" s="348">
        <v>0</v>
      </c>
      <c r="AK44" s="348">
        <v>0</v>
      </c>
      <c r="AL44" s="348">
        <v>0</v>
      </c>
      <c r="AM44" s="348">
        <v>0</v>
      </c>
      <c r="AN44" s="348">
        <v>0</v>
      </c>
      <c r="AO44" s="348">
        <v>0</v>
      </c>
      <c r="AP44" s="307">
        <v>0</v>
      </c>
      <c r="AQ44" s="348">
        <v>0</v>
      </c>
      <c r="AR44" s="348">
        <v>0</v>
      </c>
      <c r="AS44" s="365">
        <v>0</v>
      </c>
      <c r="AT44" s="365">
        <v>0</v>
      </c>
      <c r="AU44" s="365">
        <v>0</v>
      </c>
      <c r="AV44" s="365">
        <v>0</v>
      </c>
      <c r="AW44" s="348">
        <v>0</v>
      </c>
      <c r="AX44" s="341">
        <v>0</v>
      </c>
      <c r="AY44" s="340">
        <v>29.414999999999999</v>
      </c>
      <c r="AZ44" s="348"/>
      <c r="BA44" s="316" t="s">
        <v>2985</v>
      </c>
      <c r="BB44" s="94" t="s">
        <v>2985</v>
      </c>
      <c r="BC44" s="355" t="s">
        <v>2985</v>
      </c>
      <c r="BD44" s="506" t="s">
        <v>3572</v>
      </c>
      <c r="BE44" s="348">
        <v>38</v>
      </c>
      <c r="BF44" s="348"/>
      <c r="BG44" s="348">
        <v>255</v>
      </c>
      <c r="BH44" s="427">
        <v>16.535836177474401</v>
      </c>
      <c r="BI44" s="303">
        <v>100</v>
      </c>
      <c r="BJ44" s="307">
        <v>14</v>
      </c>
      <c r="BK44" s="318" t="s">
        <v>2985</v>
      </c>
      <c r="BL44" s="307">
        <v>21</v>
      </c>
      <c r="BM44" s="318" t="s">
        <v>2985</v>
      </c>
      <c r="BN44" s="307">
        <v>100</v>
      </c>
      <c r="BO44" s="433" t="s">
        <v>2985</v>
      </c>
      <c r="BP44" s="343"/>
      <c r="BQ44" s="331"/>
      <c r="BR44" s="331"/>
      <c r="BS44" s="321"/>
    </row>
    <row r="45" spans="1:71" s="322" customFormat="1" ht="15" customHeight="1">
      <c r="A45" s="457">
        <v>273</v>
      </c>
      <c r="B45" s="533" t="s">
        <v>3614</v>
      </c>
      <c r="C45" s="383"/>
      <c r="D45" s="466" t="s">
        <v>3590</v>
      </c>
      <c r="E45" s="469"/>
      <c r="F45" s="303" t="s">
        <v>1472</v>
      </c>
      <c r="G45" s="386" t="s">
        <v>149</v>
      </c>
      <c r="H45" s="454" t="s">
        <v>1471</v>
      </c>
      <c r="I45" s="338" t="s">
        <v>3377</v>
      </c>
      <c r="J45" s="348">
        <v>1984</v>
      </c>
      <c r="K45" s="341">
        <v>24</v>
      </c>
      <c r="L45" s="340" t="s">
        <v>1745</v>
      </c>
      <c r="M45" s="341" t="s">
        <v>1739</v>
      </c>
      <c r="N45" s="446">
        <f t="shared" si="6"/>
        <v>0.63</v>
      </c>
      <c r="O45" s="307">
        <v>0.63</v>
      </c>
      <c r="P45" s="308">
        <v>4.75</v>
      </c>
      <c r="Q45" s="310">
        <f t="shared" si="7"/>
        <v>4.75</v>
      </c>
      <c r="R45" s="377">
        <f t="shared" si="8"/>
        <v>243.81</v>
      </c>
      <c r="S45" s="407">
        <v>387</v>
      </c>
      <c r="T45" s="377">
        <f t="shared" si="9"/>
        <v>387</v>
      </c>
      <c r="U45" s="377">
        <f t="shared" si="10"/>
        <v>1838.25</v>
      </c>
      <c r="V45" s="408" t="s">
        <v>2985</v>
      </c>
      <c r="W45" s="408" t="s">
        <v>2985</v>
      </c>
      <c r="X45" s="303" t="s">
        <v>12</v>
      </c>
      <c r="Y45" s="307" t="s">
        <v>12</v>
      </c>
      <c r="Z45" s="317" t="s">
        <v>2985</v>
      </c>
      <c r="AA45" s="311" t="s">
        <v>1754</v>
      </c>
      <c r="AB45" s="304" t="s">
        <v>2985</v>
      </c>
      <c r="AC45" s="441" t="s">
        <v>2985</v>
      </c>
      <c r="AD45" s="515" t="s">
        <v>2985</v>
      </c>
      <c r="AE45" s="348" t="s">
        <v>2622</v>
      </c>
      <c r="AF45" s="348" t="s">
        <v>2623</v>
      </c>
      <c r="AG45" s="262" t="s">
        <v>2985</v>
      </c>
      <c r="AH45" s="351">
        <v>100</v>
      </c>
      <c r="AI45" s="348">
        <v>0</v>
      </c>
      <c r="AJ45" s="348">
        <v>0</v>
      </c>
      <c r="AK45" s="348">
        <v>0</v>
      </c>
      <c r="AL45" s="348">
        <v>0</v>
      </c>
      <c r="AM45" s="348">
        <v>0</v>
      </c>
      <c r="AN45" s="348">
        <v>0</v>
      </c>
      <c r="AO45" s="348">
        <v>0</v>
      </c>
      <c r="AP45" s="307">
        <v>0</v>
      </c>
      <c r="AQ45" s="348">
        <v>0</v>
      </c>
      <c r="AR45" s="348">
        <v>0</v>
      </c>
      <c r="AS45" s="365">
        <v>0</v>
      </c>
      <c r="AT45" s="365">
        <v>0</v>
      </c>
      <c r="AU45" s="365">
        <v>0</v>
      </c>
      <c r="AV45" s="365">
        <v>0</v>
      </c>
      <c r="AW45" s="348">
        <v>0</v>
      </c>
      <c r="AX45" s="341">
        <v>0</v>
      </c>
      <c r="AY45" s="340">
        <v>34.298571428571428</v>
      </c>
      <c r="AZ45" s="348"/>
      <c r="BA45" s="316" t="s">
        <v>2985</v>
      </c>
      <c r="BB45" s="94" t="s">
        <v>2985</v>
      </c>
      <c r="BC45" s="355" t="s">
        <v>2985</v>
      </c>
      <c r="BD45" s="506" t="s">
        <v>3572</v>
      </c>
      <c r="BE45" s="348">
        <v>38</v>
      </c>
      <c r="BF45" s="348"/>
      <c r="BG45" s="348">
        <v>255</v>
      </c>
      <c r="BH45" s="427">
        <v>16.535836177474401</v>
      </c>
      <c r="BI45" s="303">
        <v>100</v>
      </c>
      <c r="BJ45" s="307">
        <v>14</v>
      </c>
      <c r="BK45" s="318" t="s">
        <v>2985</v>
      </c>
      <c r="BL45" s="307">
        <v>21</v>
      </c>
      <c r="BM45" s="318" t="s">
        <v>2985</v>
      </c>
      <c r="BN45" s="307">
        <v>100</v>
      </c>
      <c r="BO45" s="433" t="s">
        <v>2985</v>
      </c>
      <c r="BP45" s="343"/>
      <c r="BQ45" s="331"/>
      <c r="BR45" s="331"/>
      <c r="BS45" s="321"/>
    </row>
    <row r="46" spans="1:71" s="322" customFormat="1" ht="15" customHeight="1">
      <c r="A46" s="457">
        <v>274</v>
      </c>
      <c r="B46" s="533" t="s">
        <v>3614</v>
      </c>
      <c r="C46" s="383"/>
      <c r="D46" s="466" t="s">
        <v>3590</v>
      </c>
      <c r="E46" s="469"/>
      <c r="F46" s="303" t="s">
        <v>1470</v>
      </c>
      <c r="G46" s="386" t="s">
        <v>149</v>
      </c>
      <c r="H46" s="454" t="s">
        <v>1471</v>
      </c>
      <c r="I46" s="338" t="s">
        <v>3377</v>
      </c>
      <c r="J46" s="348">
        <v>1984</v>
      </c>
      <c r="K46" s="341">
        <v>24</v>
      </c>
      <c r="L46" s="340" t="s">
        <v>1745</v>
      </c>
      <c r="M46" s="341" t="s">
        <v>1739</v>
      </c>
      <c r="N46" s="446">
        <f t="shared" si="6"/>
        <v>0.55000000000000004</v>
      </c>
      <c r="O46" s="323">
        <v>0.55000000000000004</v>
      </c>
      <c r="P46" s="308">
        <v>4.75</v>
      </c>
      <c r="Q46" s="310">
        <f t="shared" si="7"/>
        <v>4.75</v>
      </c>
      <c r="R46" s="377">
        <f t="shared" si="8"/>
        <v>198.00000000000003</v>
      </c>
      <c r="S46" s="407">
        <v>360</v>
      </c>
      <c r="T46" s="377">
        <f t="shared" si="9"/>
        <v>360</v>
      </c>
      <c r="U46" s="377">
        <f t="shared" si="10"/>
        <v>1710</v>
      </c>
      <c r="V46" s="408" t="s">
        <v>2985</v>
      </c>
      <c r="W46" s="408" t="s">
        <v>2985</v>
      </c>
      <c r="X46" s="303" t="s">
        <v>12</v>
      </c>
      <c r="Y46" s="307" t="s">
        <v>12</v>
      </c>
      <c r="Z46" s="317" t="s">
        <v>2985</v>
      </c>
      <c r="AA46" s="311" t="s">
        <v>1754</v>
      </c>
      <c r="AB46" s="304" t="s">
        <v>2985</v>
      </c>
      <c r="AC46" s="441" t="s">
        <v>2985</v>
      </c>
      <c r="AD46" s="515" t="s">
        <v>2985</v>
      </c>
      <c r="AE46" s="348" t="s">
        <v>2622</v>
      </c>
      <c r="AF46" s="348" t="s">
        <v>2623</v>
      </c>
      <c r="AG46" s="262" t="s">
        <v>2985</v>
      </c>
      <c r="AH46" s="351">
        <v>100</v>
      </c>
      <c r="AI46" s="348">
        <v>0</v>
      </c>
      <c r="AJ46" s="348">
        <v>0</v>
      </c>
      <c r="AK46" s="348">
        <v>0</v>
      </c>
      <c r="AL46" s="348">
        <v>0</v>
      </c>
      <c r="AM46" s="348">
        <v>0</v>
      </c>
      <c r="AN46" s="348">
        <v>0</v>
      </c>
      <c r="AO46" s="348">
        <v>0</v>
      </c>
      <c r="AP46" s="307">
        <v>0</v>
      </c>
      <c r="AQ46" s="348">
        <v>0</v>
      </c>
      <c r="AR46" s="348">
        <v>0</v>
      </c>
      <c r="AS46" s="365">
        <v>0</v>
      </c>
      <c r="AT46" s="365">
        <v>0</v>
      </c>
      <c r="AU46" s="365">
        <v>0</v>
      </c>
      <c r="AV46" s="365">
        <v>0</v>
      </c>
      <c r="AW46" s="348">
        <v>0</v>
      </c>
      <c r="AX46" s="341">
        <v>0</v>
      </c>
      <c r="AY46" s="340">
        <v>35.434285714285714</v>
      </c>
      <c r="AZ46" s="348"/>
      <c r="BA46" s="316" t="s">
        <v>2985</v>
      </c>
      <c r="BB46" s="94" t="s">
        <v>2985</v>
      </c>
      <c r="BC46" s="355" t="s">
        <v>2985</v>
      </c>
      <c r="BD46" s="506" t="s">
        <v>3572</v>
      </c>
      <c r="BE46" s="348">
        <v>38</v>
      </c>
      <c r="BF46" s="348"/>
      <c r="BG46" s="348">
        <v>255</v>
      </c>
      <c r="BH46" s="427">
        <v>16.535836177474401</v>
      </c>
      <c r="BI46" s="303">
        <v>100</v>
      </c>
      <c r="BJ46" s="307">
        <v>14</v>
      </c>
      <c r="BK46" s="729" t="s">
        <v>2985</v>
      </c>
      <c r="BL46" s="307">
        <v>21</v>
      </c>
      <c r="BM46" s="318" t="s">
        <v>2985</v>
      </c>
      <c r="BN46" s="307">
        <v>100</v>
      </c>
      <c r="BO46" s="433" t="s">
        <v>2985</v>
      </c>
      <c r="BP46" s="343"/>
      <c r="BQ46" s="331"/>
      <c r="BR46" s="331"/>
      <c r="BS46" s="321"/>
    </row>
    <row r="47" spans="1:71" s="322" customFormat="1" ht="15" customHeight="1">
      <c r="A47" s="457">
        <v>275</v>
      </c>
      <c r="B47" s="533" t="s">
        <v>3614</v>
      </c>
      <c r="C47" s="383"/>
      <c r="D47" s="466" t="s">
        <v>3590</v>
      </c>
      <c r="E47" s="469"/>
      <c r="F47" s="303" t="s">
        <v>1469</v>
      </c>
      <c r="G47" s="386" t="s">
        <v>151</v>
      </c>
      <c r="H47" s="454" t="s">
        <v>122</v>
      </c>
      <c r="I47" s="338" t="s">
        <v>3377</v>
      </c>
      <c r="J47" s="348">
        <v>1987</v>
      </c>
      <c r="K47" s="341">
        <v>96</v>
      </c>
      <c r="L47" s="354" t="s">
        <v>2985</v>
      </c>
      <c r="M47" s="341" t="s">
        <v>1739</v>
      </c>
      <c r="N47" s="446">
        <f t="shared" si="6"/>
        <v>0.68</v>
      </c>
      <c r="O47" s="323">
        <v>0.68</v>
      </c>
      <c r="P47" s="308">
        <v>6.0469999999999997</v>
      </c>
      <c r="Q47" s="310">
        <f t="shared" si="7"/>
        <v>6.0469999999999997</v>
      </c>
      <c r="R47" s="377">
        <f t="shared" si="8"/>
        <v>204.00000000000003</v>
      </c>
      <c r="S47" s="407">
        <v>300</v>
      </c>
      <c r="T47" s="377">
        <f t="shared" si="9"/>
        <v>300</v>
      </c>
      <c r="U47" s="377">
        <f t="shared" si="10"/>
        <v>1814.1</v>
      </c>
      <c r="V47" s="408" t="s">
        <v>2985</v>
      </c>
      <c r="W47" s="408" t="s">
        <v>2985</v>
      </c>
      <c r="X47" s="303" t="s">
        <v>12</v>
      </c>
      <c r="Y47" s="307" t="s">
        <v>12</v>
      </c>
      <c r="Z47" s="317" t="s">
        <v>2985</v>
      </c>
      <c r="AA47" s="311" t="s">
        <v>1754</v>
      </c>
      <c r="AB47" s="304" t="s">
        <v>2985</v>
      </c>
      <c r="AC47" s="441" t="s">
        <v>2985</v>
      </c>
      <c r="AD47" s="515" t="s">
        <v>2985</v>
      </c>
      <c r="AE47" s="515" t="s">
        <v>2985</v>
      </c>
      <c r="AF47" s="515" t="s">
        <v>2985</v>
      </c>
      <c r="AG47" s="262" t="s">
        <v>2985</v>
      </c>
      <c r="AH47" s="351">
        <v>100</v>
      </c>
      <c r="AI47" s="348">
        <v>0</v>
      </c>
      <c r="AJ47" s="348">
        <v>0</v>
      </c>
      <c r="AK47" s="348">
        <v>0</v>
      </c>
      <c r="AL47" s="348">
        <v>0</v>
      </c>
      <c r="AM47" s="348">
        <v>0</v>
      </c>
      <c r="AN47" s="348">
        <v>0</v>
      </c>
      <c r="AO47" s="348">
        <v>0</v>
      </c>
      <c r="AP47" s="307">
        <v>0</v>
      </c>
      <c r="AQ47" s="348">
        <v>0</v>
      </c>
      <c r="AR47" s="348">
        <v>0</v>
      </c>
      <c r="AS47" s="365">
        <v>0</v>
      </c>
      <c r="AT47" s="365">
        <v>0</v>
      </c>
      <c r="AU47" s="365">
        <v>0</v>
      </c>
      <c r="AV47" s="365">
        <v>0</v>
      </c>
      <c r="AW47" s="356">
        <v>3.0000000000000001E-3</v>
      </c>
      <c r="AX47" s="341">
        <v>0</v>
      </c>
      <c r="AY47" s="340">
        <v>15.5</v>
      </c>
      <c r="AZ47" s="348"/>
      <c r="BA47" s="316" t="s">
        <v>2985</v>
      </c>
      <c r="BB47" s="94" t="s">
        <v>2985</v>
      </c>
      <c r="BC47" s="341">
        <v>27</v>
      </c>
      <c r="BD47" s="348" t="s">
        <v>3582</v>
      </c>
      <c r="BE47" s="348">
        <v>75</v>
      </c>
      <c r="BF47" s="348"/>
      <c r="BG47" s="389">
        <v>600</v>
      </c>
      <c r="BH47" s="427">
        <v>33.333333333333336</v>
      </c>
      <c r="BI47" s="303">
        <v>100</v>
      </c>
      <c r="BJ47" s="307">
        <v>1</v>
      </c>
      <c r="BK47" s="318" t="s">
        <v>2985</v>
      </c>
      <c r="BL47" s="307">
        <v>20</v>
      </c>
      <c r="BM47" s="318" t="s">
        <v>2985</v>
      </c>
      <c r="BN47" s="307">
        <v>99</v>
      </c>
      <c r="BO47" s="433" t="s">
        <v>2985</v>
      </c>
      <c r="BP47" s="343"/>
      <c r="BQ47" s="331"/>
      <c r="BR47" s="331"/>
      <c r="BS47" s="321"/>
    </row>
    <row r="48" spans="1:71" s="322" customFormat="1" ht="15" customHeight="1">
      <c r="A48" s="457">
        <v>277</v>
      </c>
      <c r="B48" s="533" t="s">
        <v>3614</v>
      </c>
      <c r="C48" s="383"/>
      <c r="D48" s="383"/>
      <c r="E48" s="469"/>
      <c r="F48" s="303" t="s">
        <v>1467</v>
      </c>
      <c r="G48" s="386" t="s">
        <v>151</v>
      </c>
      <c r="H48" s="454" t="s">
        <v>122</v>
      </c>
      <c r="I48" s="338" t="s">
        <v>3377</v>
      </c>
      <c r="J48" s="348">
        <v>1987</v>
      </c>
      <c r="K48" s="341">
        <v>96</v>
      </c>
      <c r="L48" s="354" t="s">
        <v>2985</v>
      </c>
      <c r="M48" s="341" t="s">
        <v>1739</v>
      </c>
      <c r="N48" s="446">
        <f t="shared" si="6"/>
        <v>0.68</v>
      </c>
      <c r="O48" s="323">
        <v>0.68</v>
      </c>
      <c r="P48" s="308">
        <v>6.0469999999999997</v>
      </c>
      <c r="Q48" s="310">
        <f t="shared" si="7"/>
        <v>6.0469999999999997</v>
      </c>
      <c r="R48" s="377">
        <f t="shared" si="8"/>
        <v>204.00000000000003</v>
      </c>
      <c r="S48" s="407">
        <v>300</v>
      </c>
      <c r="T48" s="377">
        <f t="shared" si="9"/>
        <v>300</v>
      </c>
      <c r="U48" s="377">
        <f t="shared" si="10"/>
        <v>1814.1</v>
      </c>
      <c r="V48" s="408" t="s">
        <v>2985</v>
      </c>
      <c r="W48" s="408" t="s">
        <v>2985</v>
      </c>
      <c r="X48" s="303" t="s">
        <v>12</v>
      </c>
      <c r="Y48" s="307" t="s">
        <v>12</v>
      </c>
      <c r="Z48" s="317" t="s">
        <v>2985</v>
      </c>
      <c r="AA48" s="311" t="s">
        <v>1754</v>
      </c>
      <c r="AB48" s="304" t="s">
        <v>2985</v>
      </c>
      <c r="AC48" s="441" t="s">
        <v>2985</v>
      </c>
      <c r="AD48" s="515" t="s">
        <v>2985</v>
      </c>
      <c r="AE48" s="515" t="s">
        <v>2985</v>
      </c>
      <c r="AF48" s="515" t="s">
        <v>2985</v>
      </c>
      <c r="AG48" s="262" t="s">
        <v>2985</v>
      </c>
      <c r="AH48" s="351">
        <v>100</v>
      </c>
      <c r="AI48" s="348">
        <v>0</v>
      </c>
      <c r="AJ48" s="348">
        <v>0</v>
      </c>
      <c r="AK48" s="348">
        <v>0</v>
      </c>
      <c r="AL48" s="348">
        <v>0</v>
      </c>
      <c r="AM48" s="348">
        <v>0</v>
      </c>
      <c r="AN48" s="348">
        <v>0</v>
      </c>
      <c r="AO48" s="348">
        <v>0</v>
      </c>
      <c r="AP48" s="307">
        <v>0</v>
      </c>
      <c r="AQ48" s="348">
        <v>0</v>
      </c>
      <c r="AR48" s="348">
        <v>0</v>
      </c>
      <c r="AS48" s="365">
        <v>0</v>
      </c>
      <c r="AT48" s="365">
        <v>0</v>
      </c>
      <c r="AU48" s="365">
        <v>0</v>
      </c>
      <c r="AV48" s="365">
        <v>0</v>
      </c>
      <c r="AW48" s="356">
        <v>3.0000000000000001E-3</v>
      </c>
      <c r="AX48" s="341">
        <v>0</v>
      </c>
      <c r="AY48" s="340">
        <v>15.5</v>
      </c>
      <c r="AZ48" s="348"/>
      <c r="BA48" s="316" t="s">
        <v>2985</v>
      </c>
      <c r="BB48" s="94" t="s">
        <v>2985</v>
      </c>
      <c r="BC48" s="341">
        <v>27</v>
      </c>
      <c r="BD48" s="348" t="s">
        <v>3582</v>
      </c>
      <c r="BE48" s="348">
        <v>75</v>
      </c>
      <c r="BF48" s="348"/>
      <c r="BG48" s="389">
        <v>600</v>
      </c>
      <c r="BH48" s="427">
        <v>33.333333333333336</v>
      </c>
      <c r="BI48" s="303">
        <v>100</v>
      </c>
      <c r="BJ48" s="307">
        <v>28</v>
      </c>
      <c r="BK48" s="318" t="s">
        <v>2985</v>
      </c>
      <c r="BL48" s="307">
        <v>60</v>
      </c>
      <c r="BM48" s="318" t="s">
        <v>2985</v>
      </c>
      <c r="BN48" s="307">
        <v>99</v>
      </c>
      <c r="BO48" s="433" t="s">
        <v>2985</v>
      </c>
      <c r="BP48" s="343"/>
      <c r="BQ48" s="331"/>
      <c r="BR48" s="331"/>
      <c r="BS48" s="321"/>
    </row>
    <row r="49" spans="1:71" s="322" customFormat="1" ht="15" customHeight="1">
      <c r="A49" s="457">
        <v>279</v>
      </c>
      <c r="B49" s="533" t="s">
        <v>3614</v>
      </c>
      <c r="C49" s="383"/>
      <c r="D49" s="383"/>
      <c r="E49" s="469"/>
      <c r="F49" s="303" t="s">
        <v>1465</v>
      </c>
      <c r="G49" s="386" t="s">
        <v>151</v>
      </c>
      <c r="H49" s="454" t="s">
        <v>122</v>
      </c>
      <c r="I49" s="338" t="s">
        <v>3377</v>
      </c>
      <c r="J49" s="348">
        <v>1987</v>
      </c>
      <c r="K49" s="341">
        <v>96</v>
      </c>
      <c r="L49" s="354" t="s">
        <v>2985</v>
      </c>
      <c r="M49" s="341" t="s">
        <v>1739</v>
      </c>
      <c r="N49" s="446">
        <f t="shared" si="6"/>
        <v>0.68</v>
      </c>
      <c r="O49" s="323">
        <v>0.68</v>
      </c>
      <c r="P49" s="308">
        <v>6.0469999999999997</v>
      </c>
      <c r="Q49" s="310">
        <f t="shared" si="7"/>
        <v>6.0469999999999997</v>
      </c>
      <c r="R49" s="377">
        <f t="shared" si="8"/>
        <v>204.00000000000003</v>
      </c>
      <c r="S49" s="407">
        <v>300</v>
      </c>
      <c r="T49" s="377">
        <f t="shared" si="9"/>
        <v>300</v>
      </c>
      <c r="U49" s="377">
        <f t="shared" si="10"/>
        <v>1814.1</v>
      </c>
      <c r="V49" s="408" t="s">
        <v>2985</v>
      </c>
      <c r="W49" s="408" t="s">
        <v>2985</v>
      </c>
      <c r="X49" s="303" t="s">
        <v>12</v>
      </c>
      <c r="Y49" s="307" t="s">
        <v>12</v>
      </c>
      <c r="Z49" s="317" t="s">
        <v>2985</v>
      </c>
      <c r="AA49" s="311" t="s">
        <v>1754</v>
      </c>
      <c r="AB49" s="304" t="s">
        <v>2985</v>
      </c>
      <c r="AC49" s="441" t="s">
        <v>2985</v>
      </c>
      <c r="AD49" s="515" t="s">
        <v>2985</v>
      </c>
      <c r="AE49" s="515" t="s">
        <v>2985</v>
      </c>
      <c r="AF49" s="515" t="s">
        <v>2985</v>
      </c>
      <c r="AG49" s="262" t="s">
        <v>2985</v>
      </c>
      <c r="AH49" s="351">
        <v>100</v>
      </c>
      <c r="AI49" s="348">
        <v>0</v>
      </c>
      <c r="AJ49" s="348">
        <v>0</v>
      </c>
      <c r="AK49" s="348">
        <v>0</v>
      </c>
      <c r="AL49" s="348">
        <v>0</v>
      </c>
      <c r="AM49" s="348">
        <v>0</v>
      </c>
      <c r="AN49" s="348">
        <v>0</v>
      </c>
      <c r="AO49" s="348">
        <v>0</v>
      </c>
      <c r="AP49" s="307">
        <v>0</v>
      </c>
      <c r="AQ49" s="348">
        <v>0</v>
      </c>
      <c r="AR49" s="348">
        <v>0</v>
      </c>
      <c r="AS49" s="365">
        <v>0</v>
      </c>
      <c r="AT49" s="365">
        <v>0</v>
      </c>
      <c r="AU49" s="365">
        <v>0</v>
      </c>
      <c r="AV49" s="365">
        <v>0</v>
      </c>
      <c r="AW49" s="356">
        <v>3.0000000000000001E-3</v>
      </c>
      <c r="AX49" s="341">
        <v>0</v>
      </c>
      <c r="AY49" s="340">
        <v>15.5</v>
      </c>
      <c r="AZ49" s="348"/>
      <c r="BA49" s="316" t="s">
        <v>2985</v>
      </c>
      <c r="BB49" s="94" t="s">
        <v>2985</v>
      </c>
      <c r="BC49" s="341">
        <v>27</v>
      </c>
      <c r="BD49" s="348" t="s">
        <v>3582</v>
      </c>
      <c r="BE49" s="348">
        <v>75</v>
      </c>
      <c r="BF49" s="348"/>
      <c r="BG49" s="720">
        <v>600</v>
      </c>
      <c r="BH49" s="427">
        <v>33.333333333333336</v>
      </c>
      <c r="BI49" s="303">
        <v>100</v>
      </c>
      <c r="BJ49" s="307">
        <v>28</v>
      </c>
      <c r="BK49" s="318" t="s">
        <v>2985</v>
      </c>
      <c r="BL49" s="307">
        <v>100</v>
      </c>
      <c r="BM49" s="318" t="s">
        <v>2985</v>
      </c>
      <c r="BN49" s="307">
        <v>99</v>
      </c>
      <c r="BO49" s="433" t="s">
        <v>2985</v>
      </c>
      <c r="BP49" s="343"/>
      <c r="BQ49" s="331"/>
      <c r="BR49" s="331"/>
      <c r="BS49" s="321"/>
    </row>
    <row r="50" spans="1:71" s="322" customFormat="1" ht="15" customHeight="1">
      <c r="A50" s="457">
        <v>281</v>
      </c>
      <c r="B50" s="533" t="s">
        <v>3614</v>
      </c>
      <c r="C50" s="383"/>
      <c r="D50" s="383"/>
      <c r="E50" s="469"/>
      <c r="F50" s="303" t="s">
        <v>1463</v>
      </c>
      <c r="G50" s="386" t="s">
        <v>151</v>
      </c>
      <c r="H50" s="454" t="s">
        <v>122</v>
      </c>
      <c r="I50" s="338" t="s">
        <v>3377</v>
      </c>
      <c r="J50" s="348">
        <v>1987</v>
      </c>
      <c r="K50" s="341">
        <v>96</v>
      </c>
      <c r="L50" s="354" t="s">
        <v>2985</v>
      </c>
      <c r="M50" s="341" t="s">
        <v>1739</v>
      </c>
      <c r="N50" s="446">
        <f t="shared" si="6"/>
        <v>0.68</v>
      </c>
      <c r="O50" s="323">
        <v>0.68</v>
      </c>
      <c r="P50" s="308">
        <v>6.0469999999999997</v>
      </c>
      <c r="Q50" s="310">
        <f t="shared" si="7"/>
        <v>6.0469999999999997</v>
      </c>
      <c r="R50" s="377">
        <f t="shared" si="8"/>
        <v>204.00000000000003</v>
      </c>
      <c r="S50" s="407">
        <v>300</v>
      </c>
      <c r="T50" s="377">
        <f t="shared" si="9"/>
        <v>300</v>
      </c>
      <c r="U50" s="377">
        <f t="shared" si="10"/>
        <v>1814.1</v>
      </c>
      <c r="V50" s="408" t="s">
        <v>2985</v>
      </c>
      <c r="W50" s="408" t="s">
        <v>2985</v>
      </c>
      <c r="X50" s="303" t="s">
        <v>12</v>
      </c>
      <c r="Y50" s="307" t="s">
        <v>12</v>
      </c>
      <c r="Z50" s="317" t="s">
        <v>2985</v>
      </c>
      <c r="AA50" s="311" t="s">
        <v>1754</v>
      </c>
      <c r="AB50" s="304" t="s">
        <v>2985</v>
      </c>
      <c r="AC50" s="441" t="s">
        <v>2985</v>
      </c>
      <c r="AD50" s="515" t="s">
        <v>2985</v>
      </c>
      <c r="AE50" s="515" t="s">
        <v>2985</v>
      </c>
      <c r="AF50" s="515" t="s">
        <v>2985</v>
      </c>
      <c r="AG50" s="262" t="s">
        <v>2985</v>
      </c>
      <c r="AH50" s="351">
        <v>100</v>
      </c>
      <c r="AI50" s="348">
        <v>0</v>
      </c>
      <c r="AJ50" s="348">
        <v>0</v>
      </c>
      <c r="AK50" s="348">
        <v>0</v>
      </c>
      <c r="AL50" s="348">
        <v>0</v>
      </c>
      <c r="AM50" s="348">
        <v>0</v>
      </c>
      <c r="AN50" s="348">
        <v>0</v>
      </c>
      <c r="AO50" s="348">
        <v>0</v>
      </c>
      <c r="AP50" s="307">
        <v>0</v>
      </c>
      <c r="AQ50" s="348">
        <v>0</v>
      </c>
      <c r="AR50" s="348">
        <v>0</v>
      </c>
      <c r="AS50" s="365">
        <v>0</v>
      </c>
      <c r="AT50" s="365">
        <v>0</v>
      </c>
      <c r="AU50" s="365">
        <v>0</v>
      </c>
      <c r="AV50" s="365">
        <v>0</v>
      </c>
      <c r="AW50" s="356">
        <v>3.0000000000000001E-3</v>
      </c>
      <c r="AX50" s="341">
        <v>0</v>
      </c>
      <c r="AY50" s="340">
        <v>15.5</v>
      </c>
      <c r="AZ50" s="348"/>
      <c r="BA50" s="316" t="s">
        <v>2985</v>
      </c>
      <c r="BB50" s="94" t="s">
        <v>2985</v>
      </c>
      <c r="BC50" s="341">
        <v>27</v>
      </c>
      <c r="BD50" s="348" t="s">
        <v>3582</v>
      </c>
      <c r="BE50" s="348">
        <v>75</v>
      </c>
      <c r="BF50" s="348"/>
      <c r="BG50" s="720">
        <v>600</v>
      </c>
      <c r="BH50" s="427">
        <v>33.333333333333336</v>
      </c>
      <c r="BI50" s="303">
        <v>100</v>
      </c>
      <c r="BJ50" s="307">
        <v>28</v>
      </c>
      <c r="BK50" s="318" t="s">
        <v>2985</v>
      </c>
      <c r="BL50" s="307">
        <v>130</v>
      </c>
      <c r="BM50" s="318" t="s">
        <v>2985</v>
      </c>
      <c r="BN50" s="307">
        <v>99</v>
      </c>
      <c r="BO50" s="433" t="s">
        <v>2985</v>
      </c>
      <c r="BP50" s="343"/>
      <c r="BQ50" s="331"/>
      <c r="BR50" s="331"/>
      <c r="BS50" s="321"/>
    </row>
    <row r="51" spans="1:71" s="322" customFormat="1" ht="15" customHeight="1">
      <c r="A51" s="457">
        <v>283</v>
      </c>
      <c r="B51" s="533" t="s">
        <v>3614</v>
      </c>
      <c r="C51" s="383"/>
      <c r="D51" s="383"/>
      <c r="E51" s="469"/>
      <c r="F51" s="303" t="s">
        <v>1461</v>
      </c>
      <c r="G51" s="386" t="s">
        <v>151</v>
      </c>
      <c r="H51" s="454" t="s">
        <v>122</v>
      </c>
      <c r="I51" s="338" t="s">
        <v>3377</v>
      </c>
      <c r="J51" s="348">
        <v>1987</v>
      </c>
      <c r="K51" s="341">
        <v>96</v>
      </c>
      <c r="L51" s="354" t="s">
        <v>2985</v>
      </c>
      <c r="M51" s="341" t="s">
        <v>1739</v>
      </c>
      <c r="N51" s="446">
        <f t="shared" si="6"/>
        <v>0.68</v>
      </c>
      <c r="O51" s="307">
        <v>0.68</v>
      </c>
      <c r="P51" s="308">
        <v>6.0469999999999997</v>
      </c>
      <c r="Q51" s="310">
        <f t="shared" si="7"/>
        <v>6.0469999999999997</v>
      </c>
      <c r="R51" s="377">
        <f t="shared" si="8"/>
        <v>204.00000000000003</v>
      </c>
      <c r="S51" s="407">
        <v>300</v>
      </c>
      <c r="T51" s="377">
        <f t="shared" si="9"/>
        <v>300</v>
      </c>
      <c r="U51" s="377">
        <f t="shared" si="10"/>
        <v>1814.1</v>
      </c>
      <c r="V51" s="408" t="s">
        <v>2985</v>
      </c>
      <c r="W51" s="408" t="s">
        <v>2985</v>
      </c>
      <c r="X51" s="303" t="s">
        <v>12</v>
      </c>
      <c r="Y51" s="307" t="s">
        <v>12</v>
      </c>
      <c r="Z51" s="317" t="s">
        <v>2985</v>
      </c>
      <c r="AA51" s="311" t="s">
        <v>1754</v>
      </c>
      <c r="AB51" s="304" t="s">
        <v>2985</v>
      </c>
      <c r="AC51" s="441" t="s">
        <v>2985</v>
      </c>
      <c r="AD51" s="515" t="s">
        <v>2985</v>
      </c>
      <c r="AE51" s="515" t="s">
        <v>2985</v>
      </c>
      <c r="AF51" s="515" t="s">
        <v>2985</v>
      </c>
      <c r="AG51" s="262" t="s">
        <v>2985</v>
      </c>
      <c r="AH51" s="351">
        <v>100</v>
      </c>
      <c r="AI51" s="348">
        <v>0</v>
      </c>
      <c r="AJ51" s="348">
        <v>0</v>
      </c>
      <c r="AK51" s="348">
        <v>0</v>
      </c>
      <c r="AL51" s="348">
        <v>0</v>
      </c>
      <c r="AM51" s="348">
        <v>0</v>
      </c>
      <c r="AN51" s="348">
        <v>0</v>
      </c>
      <c r="AO51" s="348">
        <v>0</v>
      </c>
      <c r="AP51" s="307">
        <v>0</v>
      </c>
      <c r="AQ51" s="348">
        <v>0</v>
      </c>
      <c r="AR51" s="348">
        <v>0</v>
      </c>
      <c r="AS51" s="365">
        <v>0</v>
      </c>
      <c r="AT51" s="365">
        <v>0</v>
      </c>
      <c r="AU51" s="365">
        <v>0</v>
      </c>
      <c r="AV51" s="365">
        <v>0</v>
      </c>
      <c r="AW51" s="356">
        <v>3.0000000000000001E-3</v>
      </c>
      <c r="AX51" s="341">
        <v>0</v>
      </c>
      <c r="AY51" s="340">
        <v>15.5</v>
      </c>
      <c r="AZ51" s="348"/>
      <c r="BA51" s="316" t="s">
        <v>2985</v>
      </c>
      <c r="BB51" s="94" t="s">
        <v>2985</v>
      </c>
      <c r="BC51" s="341">
        <v>27</v>
      </c>
      <c r="BD51" s="348" t="s">
        <v>3582</v>
      </c>
      <c r="BE51" s="348">
        <v>75</v>
      </c>
      <c r="BF51" s="348"/>
      <c r="BG51" s="720">
        <v>600</v>
      </c>
      <c r="BH51" s="427">
        <v>33.333333333333336</v>
      </c>
      <c r="BI51" s="303">
        <v>100</v>
      </c>
      <c r="BJ51" s="307">
        <v>28</v>
      </c>
      <c r="BK51" s="318" t="s">
        <v>2985</v>
      </c>
      <c r="BL51" s="307">
        <v>60</v>
      </c>
      <c r="BM51" s="318" t="s">
        <v>2985</v>
      </c>
      <c r="BN51" s="307">
        <v>99</v>
      </c>
      <c r="BO51" s="433" t="s">
        <v>2985</v>
      </c>
      <c r="BP51" s="343"/>
      <c r="BQ51" s="331"/>
      <c r="BR51" s="331"/>
      <c r="BS51" s="321"/>
    </row>
    <row r="52" spans="1:71" s="322" customFormat="1" ht="15" customHeight="1">
      <c r="A52" s="457">
        <v>285</v>
      </c>
      <c r="B52" s="533" t="s">
        <v>3614</v>
      </c>
      <c r="C52" s="383"/>
      <c r="D52" s="383"/>
      <c r="E52" s="469"/>
      <c r="F52" s="303" t="s">
        <v>1459</v>
      </c>
      <c r="G52" s="386" t="s">
        <v>151</v>
      </c>
      <c r="H52" s="454" t="s">
        <v>122</v>
      </c>
      <c r="I52" s="338" t="s">
        <v>3377</v>
      </c>
      <c r="J52" s="348">
        <v>1987</v>
      </c>
      <c r="K52" s="341">
        <v>96</v>
      </c>
      <c r="L52" s="354" t="s">
        <v>2985</v>
      </c>
      <c r="M52" s="341" t="s">
        <v>1739</v>
      </c>
      <c r="N52" s="446">
        <f t="shared" si="6"/>
        <v>0.68</v>
      </c>
      <c r="O52" s="323">
        <v>0.68</v>
      </c>
      <c r="P52" s="308">
        <v>6.0469999999999997</v>
      </c>
      <c r="Q52" s="310">
        <f t="shared" si="7"/>
        <v>6.0469999999999997</v>
      </c>
      <c r="R52" s="377">
        <f t="shared" si="8"/>
        <v>204.00000000000003</v>
      </c>
      <c r="S52" s="407">
        <v>300</v>
      </c>
      <c r="T52" s="377">
        <f t="shared" si="9"/>
        <v>300</v>
      </c>
      <c r="U52" s="377">
        <f t="shared" si="10"/>
        <v>1814.1</v>
      </c>
      <c r="V52" s="408" t="s">
        <v>2985</v>
      </c>
      <c r="W52" s="408" t="s">
        <v>2985</v>
      </c>
      <c r="X52" s="303" t="s">
        <v>12</v>
      </c>
      <c r="Y52" s="307" t="s">
        <v>12</v>
      </c>
      <c r="Z52" s="317" t="s">
        <v>2985</v>
      </c>
      <c r="AA52" s="311" t="s">
        <v>1754</v>
      </c>
      <c r="AB52" s="304" t="s">
        <v>2985</v>
      </c>
      <c r="AC52" s="441" t="s">
        <v>2985</v>
      </c>
      <c r="AD52" s="515" t="s">
        <v>2985</v>
      </c>
      <c r="AE52" s="515" t="s">
        <v>2985</v>
      </c>
      <c r="AF52" s="515" t="s">
        <v>2985</v>
      </c>
      <c r="AG52" s="262" t="s">
        <v>2985</v>
      </c>
      <c r="AH52" s="351">
        <v>100</v>
      </c>
      <c r="AI52" s="348">
        <v>0</v>
      </c>
      <c r="AJ52" s="348">
        <v>0</v>
      </c>
      <c r="AK52" s="348">
        <v>0</v>
      </c>
      <c r="AL52" s="348">
        <v>0</v>
      </c>
      <c r="AM52" s="348">
        <v>0</v>
      </c>
      <c r="AN52" s="348">
        <v>0</v>
      </c>
      <c r="AO52" s="348">
        <v>0</v>
      </c>
      <c r="AP52" s="307">
        <v>0</v>
      </c>
      <c r="AQ52" s="348">
        <v>0</v>
      </c>
      <c r="AR52" s="348">
        <v>0</v>
      </c>
      <c r="AS52" s="365">
        <v>0</v>
      </c>
      <c r="AT52" s="365">
        <v>0</v>
      </c>
      <c r="AU52" s="365">
        <v>0</v>
      </c>
      <c r="AV52" s="365">
        <v>0</v>
      </c>
      <c r="AW52" s="356">
        <v>3.0000000000000001E-3</v>
      </c>
      <c r="AX52" s="341">
        <v>0</v>
      </c>
      <c r="AY52" s="340">
        <v>15.5</v>
      </c>
      <c r="AZ52" s="348"/>
      <c r="BA52" s="316" t="s">
        <v>2985</v>
      </c>
      <c r="BB52" s="94" t="s">
        <v>2985</v>
      </c>
      <c r="BC52" s="341">
        <v>27</v>
      </c>
      <c r="BD52" s="348" t="s">
        <v>3582</v>
      </c>
      <c r="BE52" s="348">
        <v>75</v>
      </c>
      <c r="BF52" s="348"/>
      <c r="BG52" s="720">
        <v>600</v>
      </c>
      <c r="BH52" s="427">
        <v>33.333333333333336</v>
      </c>
      <c r="BI52" s="303">
        <v>100</v>
      </c>
      <c r="BJ52" s="307">
        <v>365</v>
      </c>
      <c r="BK52" s="318" t="s">
        <v>2985</v>
      </c>
      <c r="BL52" s="307">
        <v>130</v>
      </c>
      <c r="BM52" s="318" t="s">
        <v>2985</v>
      </c>
      <c r="BN52" s="307">
        <v>99</v>
      </c>
      <c r="BO52" s="433" t="s">
        <v>2985</v>
      </c>
      <c r="BP52" s="343"/>
      <c r="BQ52" s="331"/>
      <c r="BR52" s="331"/>
      <c r="BS52" s="321"/>
    </row>
    <row r="53" spans="1:71" s="322" customFormat="1" ht="15" customHeight="1">
      <c r="A53" s="457">
        <v>287</v>
      </c>
      <c r="B53" s="533" t="s">
        <v>3614</v>
      </c>
      <c r="C53" s="383"/>
      <c r="D53" s="383"/>
      <c r="E53" s="469"/>
      <c r="F53" s="303" t="s">
        <v>1457</v>
      </c>
      <c r="G53" s="386" t="s">
        <v>151</v>
      </c>
      <c r="H53" s="454" t="s">
        <v>122</v>
      </c>
      <c r="I53" s="338" t="s">
        <v>3377</v>
      </c>
      <c r="J53" s="348">
        <v>1987</v>
      </c>
      <c r="K53" s="341">
        <v>96</v>
      </c>
      <c r="L53" s="354" t="s">
        <v>2985</v>
      </c>
      <c r="M53" s="341" t="s">
        <v>1739</v>
      </c>
      <c r="N53" s="446">
        <f t="shared" si="6"/>
        <v>0.68</v>
      </c>
      <c r="O53" s="323">
        <v>0.68</v>
      </c>
      <c r="P53" s="308">
        <v>6.0469999999999997</v>
      </c>
      <c r="Q53" s="310">
        <f t="shared" si="7"/>
        <v>6.0469999999999997</v>
      </c>
      <c r="R53" s="377">
        <f t="shared" si="8"/>
        <v>204.00000000000003</v>
      </c>
      <c r="S53" s="407">
        <v>300</v>
      </c>
      <c r="T53" s="377">
        <f t="shared" si="9"/>
        <v>300</v>
      </c>
      <c r="U53" s="377">
        <f t="shared" si="10"/>
        <v>1814.1</v>
      </c>
      <c r="V53" s="408" t="s">
        <v>2985</v>
      </c>
      <c r="W53" s="408" t="s">
        <v>2985</v>
      </c>
      <c r="X53" s="303" t="s">
        <v>12</v>
      </c>
      <c r="Y53" s="307" t="s">
        <v>12</v>
      </c>
      <c r="Z53" s="317" t="s">
        <v>2985</v>
      </c>
      <c r="AA53" s="311" t="s">
        <v>1754</v>
      </c>
      <c r="AB53" s="304" t="s">
        <v>2985</v>
      </c>
      <c r="AC53" s="441" t="s">
        <v>2985</v>
      </c>
      <c r="AD53" s="515" t="s">
        <v>2985</v>
      </c>
      <c r="AE53" s="515" t="s">
        <v>2985</v>
      </c>
      <c r="AF53" s="515" t="s">
        <v>2985</v>
      </c>
      <c r="AG53" s="262" t="s">
        <v>2985</v>
      </c>
      <c r="AH53" s="351">
        <v>100</v>
      </c>
      <c r="AI53" s="348">
        <v>0</v>
      </c>
      <c r="AJ53" s="348">
        <v>0</v>
      </c>
      <c r="AK53" s="348">
        <v>0</v>
      </c>
      <c r="AL53" s="348">
        <v>0</v>
      </c>
      <c r="AM53" s="348">
        <v>0</v>
      </c>
      <c r="AN53" s="348">
        <v>0</v>
      </c>
      <c r="AO53" s="348">
        <v>0</v>
      </c>
      <c r="AP53" s="307">
        <v>0</v>
      </c>
      <c r="AQ53" s="348">
        <v>0</v>
      </c>
      <c r="AR53" s="348">
        <v>0</v>
      </c>
      <c r="AS53" s="365">
        <v>0</v>
      </c>
      <c r="AT53" s="365">
        <v>0</v>
      </c>
      <c r="AU53" s="365">
        <v>0</v>
      </c>
      <c r="AV53" s="365">
        <v>0</v>
      </c>
      <c r="AW53" s="356">
        <v>3.0000000000000001E-3</v>
      </c>
      <c r="AX53" s="341">
        <v>0</v>
      </c>
      <c r="AY53" s="340">
        <v>15.5</v>
      </c>
      <c r="AZ53" s="348"/>
      <c r="BA53" s="316" t="s">
        <v>2985</v>
      </c>
      <c r="BB53" s="94" t="s">
        <v>2985</v>
      </c>
      <c r="BC53" s="341">
        <v>27</v>
      </c>
      <c r="BD53" s="348" t="s">
        <v>3582</v>
      </c>
      <c r="BE53" s="348">
        <v>75</v>
      </c>
      <c r="BF53" s="348"/>
      <c r="BG53" s="720">
        <v>600</v>
      </c>
      <c r="BH53" s="427">
        <v>33.333333333333336</v>
      </c>
      <c r="BI53" s="303">
        <v>65</v>
      </c>
      <c r="BJ53" s="307">
        <v>365</v>
      </c>
      <c r="BK53" s="318" t="s">
        <v>2985</v>
      </c>
      <c r="BL53" s="307">
        <v>130</v>
      </c>
      <c r="BM53" s="318" t="s">
        <v>2985</v>
      </c>
      <c r="BN53" s="307">
        <v>99</v>
      </c>
      <c r="BO53" s="432" t="s">
        <v>2985</v>
      </c>
      <c r="BP53" s="343"/>
      <c r="BQ53" s="331"/>
      <c r="BR53" s="331"/>
      <c r="BS53" s="321"/>
    </row>
    <row r="54" spans="1:71" s="322" customFormat="1" ht="15" customHeight="1">
      <c r="A54" s="457">
        <v>338</v>
      </c>
      <c r="B54" s="534" t="s">
        <v>3585</v>
      </c>
      <c r="C54" s="383"/>
      <c r="D54" s="383"/>
      <c r="E54" s="469"/>
      <c r="F54" s="509" t="s">
        <v>1400</v>
      </c>
      <c r="G54" s="73" t="s">
        <v>2586</v>
      </c>
      <c r="H54" s="695" t="s">
        <v>130</v>
      </c>
      <c r="I54" s="338" t="s">
        <v>3377</v>
      </c>
      <c r="J54" s="506">
        <v>1992</v>
      </c>
      <c r="K54" s="341">
        <v>37</v>
      </c>
      <c r="L54" s="354" t="s">
        <v>2985</v>
      </c>
      <c r="M54" s="341" t="s">
        <v>1739</v>
      </c>
      <c r="N54" s="446">
        <f t="shared" si="6"/>
        <v>0.24475000000000002</v>
      </c>
      <c r="O54" s="480">
        <v>0.26700000000000002</v>
      </c>
      <c r="P54" s="513">
        <v>4.556</v>
      </c>
      <c r="Q54" s="310">
        <f t="shared" si="7"/>
        <v>4.1763333333333339</v>
      </c>
      <c r="R54" s="377">
        <f t="shared" si="8"/>
        <v>112.40700000000001</v>
      </c>
      <c r="S54" s="482">
        <v>421</v>
      </c>
      <c r="T54" s="377">
        <f t="shared" si="9"/>
        <v>459.27272727272725</v>
      </c>
      <c r="U54" s="377">
        <f t="shared" si="10"/>
        <v>1918.076</v>
      </c>
      <c r="V54" s="408" t="s">
        <v>2985</v>
      </c>
      <c r="W54" s="408" t="s">
        <v>2985</v>
      </c>
      <c r="X54" s="313" t="s">
        <v>12</v>
      </c>
      <c r="Y54" s="506" t="s">
        <v>12</v>
      </c>
      <c r="Z54" s="506" t="s">
        <v>12</v>
      </c>
      <c r="AA54" s="311" t="s">
        <v>3538</v>
      </c>
      <c r="AB54" s="262" t="s">
        <v>2985</v>
      </c>
      <c r="AC54" s="117" t="s">
        <v>2985</v>
      </c>
      <c r="AD54" s="507" t="s">
        <v>2312</v>
      </c>
      <c r="AE54" s="507" t="s">
        <v>2985</v>
      </c>
      <c r="AF54" s="507" t="s">
        <v>2985</v>
      </c>
      <c r="AG54" s="262" t="s">
        <v>2985</v>
      </c>
      <c r="AH54" s="344">
        <v>91</v>
      </c>
      <c r="AI54" s="392">
        <v>9.0909090909090917</v>
      </c>
      <c r="AJ54" s="268">
        <v>0</v>
      </c>
      <c r="AK54" s="365">
        <v>0</v>
      </c>
      <c r="AL54" s="365">
        <v>0</v>
      </c>
      <c r="AM54" s="365">
        <v>0</v>
      </c>
      <c r="AN54" s="365">
        <v>0</v>
      </c>
      <c r="AO54" s="353">
        <v>0</v>
      </c>
      <c r="AP54" s="348">
        <v>0</v>
      </c>
      <c r="AQ54" s="348">
        <v>0</v>
      </c>
      <c r="AR54" s="260">
        <v>0</v>
      </c>
      <c r="AS54" s="261" t="s">
        <v>2985</v>
      </c>
      <c r="AT54" s="353">
        <v>0</v>
      </c>
      <c r="AU54" s="393">
        <v>1.6381818181818182</v>
      </c>
      <c r="AV54" s="348">
        <v>0</v>
      </c>
      <c r="AW54" s="506">
        <v>0</v>
      </c>
      <c r="AX54" s="510">
        <v>0</v>
      </c>
      <c r="AY54" s="509">
        <v>101</v>
      </c>
      <c r="AZ54" s="393">
        <v>50.5</v>
      </c>
      <c r="BA54" s="316" t="s">
        <v>2985</v>
      </c>
      <c r="BB54" s="94" t="s">
        <v>2985</v>
      </c>
      <c r="BC54" s="416">
        <v>53.4</v>
      </c>
      <c r="BD54" s="348" t="s">
        <v>3573</v>
      </c>
      <c r="BE54" s="353">
        <v>80</v>
      </c>
      <c r="BF54" s="270"/>
      <c r="BG54" s="721" t="str">
        <f>RIGHT(BD54,LEN(BD54)-FIND("x",BD54,1))</f>
        <v xml:space="preserve"> 1000</v>
      </c>
      <c r="BH54" s="390">
        <f>(BE54*BG54)/((2*BG54)+(2*BE54))</f>
        <v>37.037037037037038</v>
      </c>
      <c r="BI54" s="509">
        <v>100</v>
      </c>
      <c r="BJ54" s="506">
        <v>28</v>
      </c>
      <c r="BK54" s="507" t="s">
        <v>2985</v>
      </c>
      <c r="BL54" s="506">
        <v>20</v>
      </c>
      <c r="BM54" s="507" t="s">
        <v>2985</v>
      </c>
      <c r="BN54" s="307">
        <v>99</v>
      </c>
      <c r="BO54" s="259" t="s">
        <v>2985</v>
      </c>
      <c r="BP54" s="350"/>
      <c r="BQ54" s="331"/>
      <c r="BR54" s="331"/>
      <c r="BS54" s="321"/>
    </row>
    <row r="55" spans="1:71" s="322" customFormat="1" ht="15" customHeight="1">
      <c r="A55" s="457">
        <v>339</v>
      </c>
      <c r="B55" s="533" t="s">
        <v>3614</v>
      </c>
      <c r="C55" s="383"/>
      <c r="D55" s="383"/>
      <c r="E55" s="469"/>
      <c r="F55" s="303" t="s">
        <v>1399</v>
      </c>
      <c r="G55" s="386" t="s">
        <v>2586</v>
      </c>
      <c r="H55" s="454" t="s">
        <v>130</v>
      </c>
      <c r="I55" s="338" t="s">
        <v>3377</v>
      </c>
      <c r="J55" s="348">
        <v>1992</v>
      </c>
      <c r="K55" s="341">
        <v>37</v>
      </c>
      <c r="L55" s="354" t="s">
        <v>2985</v>
      </c>
      <c r="M55" s="341" t="s">
        <v>1739</v>
      </c>
      <c r="N55" s="446">
        <f t="shared" si="6"/>
        <v>0.441</v>
      </c>
      <c r="O55" s="323">
        <v>0.441</v>
      </c>
      <c r="P55" s="513">
        <v>4.5220000000000002</v>
      </c>
      <c r="Q55" s="310">
        <f t="shared" si="7"/>
        <v>4.5220000000000002</v>
      </c>
      <c r="R55" s="377">
        <f t="shared" si="8"/>
        <v>180.81</v>
      </c>
      <c r="S55" s="407">
        <v>410</v>
      </c>
      <c r="T55" s="377">
        <f t="shared" si="9"/>
        <v>410</v>
      </c>
      <c r="U55" s="377">
        <f t="shared" si="10"/>
        <v>1854.0200000000002</v>
      </c>
      <c r="V55" s="408" t="s">
        <v>2985</v>
      </c>
      <c r="W55" s="408" t="s">
        <v>2985</v>
      </c>
      <c r="X55" s="303" t="s">
        <v>12</v>
      </c>
      <c r="Y55" s="307" t="s">
        <v>12</v>
      </c>
      <c r="Z55" s="317" t="s">
        <v>2985</v>
      </c>
      <c r="AA55" s="311" t="s">
        <v>1754</v>
      </c>
      <c r="AB55" s="304" t="s">
        <v>2985</v>
      </c>
      <c r="AC55" s="441" t="s">
        <v>2985</v>
      </c>
      <c r="AD55" s="515" t="s">
        <v>2985</v>
      </c>
      <c r="AE55" s="515" t="s">
        <v>2985</v>
      </c>
      <c r="AF55" s="515" t="s">
        <v>2985</v>
      </c>
      <c r="AG55" s="262" t="s">
        <v>2985</v>
      </c>
      <c r="AH55" s="351">
        <v>100</v>
      </c>
      <c r="AI55" s="348">
        <v>0</v>
      </c>
      <c r="AJ55" s="348">
        <v>0</v>
      </c>
      <c r="AK55" s="348">
        <v>0</v>
      </c>
      <c r="AL55" s="348">
        <v>0</v>
      </c>
      <c r="AM55" s="348">
        <v>0</v>
      </c>
      <c r="AN55" s="348">
        <v>0</v>
      </c>
      <c r="AO55" s="348">
        <v>0</v>
      </c>
      <c r="AP55" s="307">
        <v>0</v>
      </c>
      <c r="AQ55" s="348">
        <v>0</v>
      </c>
      <c r="AR55" s="348">
        <v>0</v>
      </c>
      <c r="AS55" s="365">
        <v>0</v>
      </c>
      <c r="AT55" s="365">
        <v>0</v>
      </c>
      <c r="AU55" s="365">
        <v>0</v>
      </c>
      <c r="AV55" s="365">
        <v>0</v>
      </c>
      <c r="AW55" s="348">
        <v>0</v>
      </c>
      <c r="AX55" s="341">
        <v>0</v>
      </c>
      <c r="AY55" s="354" t="s">
        <v>2985</v>
      </c>
      <c r="AZ55" s="316"/>
      <c r="BA55" s="316" t="s">
        <v>2985</v>
      </c>
      <c r="BB55" s="94" t="s">
        <v>2985</v>
      </c>
      <c r="BC55" s="355" t="s">
        <v>2985</v>
      </c>
      <c r="BD55" s="348" t="s">
        <v>3573</v>
      </c>
      <c r="BE55" s="348">
        <v>80</v>
      </c>
      <c r="BF55" s="348"/>
      <c r="BG55" s="720">
        <v>1000</v>
      </c>
      <c r="BH55" s="427">
        <v>37.037037037037038</v>
      </c>
      <c r="BI55" s="303">
        <v>100</v>
      </c>
      <c r="BJ55" s="307">
        <v>28</v>
      </c>
      <c r="BK55" s="318" t="s">
        <v>2985</v>
      </c>
      <c r="BL55" s="307">
        <v>20</v>
      </c>
      <c r="BM55" s="318" t="s">
        <v>2985</v>
      </c>
      <c r="BN55" s="307">
        <v>99</v>
      </c>
      <c r="BO55" s="432" t="s">
        <v>2985</v>
      </c>
      <c r="BP55" s="343"/>
      <c r="BQ55" s="331"/>
      <c r="BR55" s="331"/>
      <c r="BS55" s="321"/>
    </row>
    <row r="56" spans="1:71" s="322" customFormat="1" ht="15" customHeight="1">
      <c r="A56" s="457">
        <v>436</v>
      </c>
      <c r="B56" s="533" t="s">
        <v>3614</v>
      </c>
      <c r="C56" s="383"/>
      <c r="D56" s="466" t="s">
        <v>3590</v>
      </c>
      <c r="E56" s="469"/>
      <c r="F56" s="509" t="s">
        <v>1294</v>
      </c>
      <c r="G56" s="73" t="s">
        <v>2593</v>
      </c>
      <c r="H56" s="695" t="s">
        <v>122</v>
      </c>
      <c r="I56" s="338" t="s">
        <v>3377</v>
      </c>
      <c r="J56" s="506">
        <v>1996</v>
      </c>
      <c r="K56" s="355" t="s">
        <v>2985</v>
      </c>
      <c r="L56" s="354" t="s">
        <v>2985</v>
      </c>
      <c r="M56" s="341" t="s">
        <v>1739</v>
      </c>
      <c r="N56" s="446">
        <f t="shared" si="6"/>
        <v>0.45</v>
      </c>
      <c r="O56" s="480">
        <v>0.45</v>
      </c>
      <c r="P56" s="513">
        <v>5.3090000000000002</v>
      </c>
      <c r="Q56" s="310">
        <f t="shared" si="7"/>
        <v>5.3090000000000002</v>
      </c>
      <c r="R56" s="377">
        <f t="shared" si="8"/>
        <v>157.5</v>
      </c>
      <c r="S56" s="482">
        <v>350</v>
      </c>
      <c r="T56" s="377">
        <f t="shared" si="9"/>
        <v>350</v>
      </c>
      <c r="U56" s="377">
        <f t="shared" si="10"/>
        <v>1858.15</v>
      </c>
      <c r="V56" s="408" t="s">
        <v>2985</v>
      </c>
      <c r="W56" s="408" t="s">
        <v>2985</v>
      </c>
      <c r="X56" s="313" t="s">
        <v>12</v>
      </c>
      <c r="Y56" s="506" t="s">
        <v>12</v>
      </c>
      <c r="Z56" s="506" t="s">
        <v>12</v>
      </c>
      <c r="AA56" s="311" t="s">
        <v>1754</v>
      </c>
      <c r="AB56" s="262" t="s">
        <v>2985</v>
      </c>
      <c r="AC56" s="117" t="s">
        <v>2985</v>
      </c>
      <c r="AD56" s="507" t="s">
        <v>2312</v>
      </c>
      <c r="AE56" s="507" t="s">
        <v>2985</v>
      </c>
      <c r="AF56" s="507" t="s">
        <v>2985</v>
      </c>
      <c r="AG56" s="262" t="s">
        <v>2985</v>
      </c>
      <c r="AH56" s="344">
        <v>100</v>
      </c>
      <c r="AI56" s="254">
        <v>0</v>
      </c>
      <c r="AJ56" s="268">
        <v>0</v>
      </c>
      <c r="AK56" s="365">
        <v>0</v>
      </c>
      <c r="AL56" s="365">
        <v>0</v>
      </c>
      <c r="AM56" s="365">
        <v>0</v>
      </c>
      <c r="AN56" s="270" t="s">
        <v>2985</v>
      </c>
      <c r="AO56" s="353">
        <v>0</v>
      </c>
      <c r="AP56" s="348">
        <v>0</v>
      </c>
      <c r="AQ56" s="261" t="s">
        <v>2985</v>
      </c>
      <c r="AR56" s="348">
        <v>0</v>
      </c>
      <c r="AS56" s="261" t="s">
        <v>2985</v>
      </c>
      <c r="AT56" s="353">
        <v>0</v>
      </c>
      <c r="AU56" s="506">
        <v>0</v>
      </c>
      <c r="AV56" s="348">
        <v>0</v>
      </c>
      <c r="AW56" s="506">
        <v>0</v>
      </c>
      <c r="AX56" s="510">
        <v>0</v>
      </c>
      <c r="AY56" s="509">
        <v>72.099999999999994</v>
      </c>
      <c r="AZ56" s="506"/>
      <c r="BA56" s="316" t="s">
        <v>2985</v>
      </c>
      <c r="BB56" s="94" t="s">
        <v>2985</v>
      </c>
      <c r="BC56" s="355" t="s">
        <v>2985</v>
      </c>
      <c r="BD56" s="380" t="s">
        <v>3574</v>
      </c>
      <c r="BE56" s="389">
        <v>100</v>
      </c>
      <c r="BF56" s="348"/>
      <c r="BG56" s="521" t="str">
        <f t="shared" ref="BG56:BG66" si="11">RIGHT(BD56,LEN(BD56)-FIND("x",BD56,8))</f>
        <v xml:space="preserve"> 500</v>
      </c>
      <c r="BH56" s="390">
        <f t="shared" ref="BH56:BH64" si="12">IF(ISBLANK(BF56),(BE56*BG56)/((4*BG56)+(2*BE56)),BE56*BF56*BG56/2/(BE56*BF56+BE56*BG56+BF56*BG56))</f>
        <v>22.727272727272727</v>
      </c>
      <c r="BI56" s="509">
        <v>100</v>
      </c>
      <c r="BJ56" s="506">
        <v>1</v>
      </c>
      <c r="BK56" s="507" t="s">
        <v>2985</v>
      </c>
      <c r="BL56" s="506">
        <v>20</v>
      </c>
      <c r="BM56" s="507" t="s">
        <v>2985</v>
      </c>
      <c r="BN56" s="307">
        <v>99</v>
      </c>
      <c r="BO56" s="259" t="s">
        <v>2985</v>
      </c>
      <c r="BP56" s="350"/>
      <c r="BQ56" s="331"/>
      <c r="BR56" s="331"/>
      <c r="BS56" s="321"/>
    </row>
    <row r="57" spans="1:71" s="322" customFormat="1" ht="15" customHeight="1">
      <c r="A57" s="457">
        <v>437</v>
      </c>
      <c r="B57" s="533" t="s">
        <v>3614</v>
      </c>
      <c r="C57" s="383"/>
      <c r="D57" s="466" t="s">
        <v>3590</v>
      </c>
      <c r="E57" s="469"/>
      <c r="F57" s="509" t="s">
        <v>1293</v>
      </c>
      <c r="G57" s="73" t="s">
        <v>2593</v>
      </c>
      <c r="H57" s="695" t="s">
        <v>122</v>
      </c>
      <c r="I57" s="338" t="s">
        <v>3377</v>
      </c>
      <c r="J57" s="506">
        <v>1996</v>
      </c>
      <c r="K57" s="355" t="s">
        <v>2985</v>
      </c>
      <c r="L57" s="354" t="s">
        <v>2985</v>
      </c>
      <c r="M57" s="341" t="s">
        <v>1739</v>
      </c>
      <c r="N57" s="446">
        <f t="shared" si="6"/>
        <v>0.45</v>
      </c>
      <c r="O57" s="480">
        <v>0.45</v>
      </c>
      <c r="P57" s="513">
        <v>5.3090000000000002</v>
      </c>
      <c r="Q57" s="310">
        <f t="shared" si="7"/>
        <v>5.3090000000000002</v>
      </c>
      <c r="R57" s="377">
        <f t="shared" si="8"/>
        <v>157.5</v>
      </c>
      <c r="S57" s="482">
        <v>350</v>
      </c>
      <c r="T57" s="377">
        <f t="shared" si="9"/>
        <v>350</v>
      </c>
      <c r="U57" s="377">
        <f t="shared" si="10"/>
        <v>1858.15</v>
      </c>
      <c r="V57" s="408" t="s">
        <v>2985</v>
      </c>
      <c r="W57" s="408" t="s">
        <v>2985</v>
      </c>
      <c r="X57" s="313" t="s">
        <v>12</v>
      </c>
      <c r="Y57" s="506" t="s">
        <v>12</v>
      </c>
      <c r="Z57" s="506" t="s">
        <v>12</v>
      </c>
      <c r="AA57" s="311" t="s">
        <v>1754</v>
      </c>
      <c r="AB57" s="262" t="s">
        <v>2985</v>
      </c>
      <c r="AC57" s="117" t="s">
        <v>2985</v>
      </c>
      <c r="AD57" s="507" t="s">
        <v>2312</v>
      </c>
      <c r="AE57" s="507" t="s">
        <v>2985</v>
      </c>
      <c r="AF57" s="507" t="s">
        <v>2985</v>
      </c>
      <c r="AG57" s="262" t="s">
        <v>2985</v>
      </c>
      <c r="AH57" s="344">
        <v>100</v>
      </c>
      <c r="AI57" s="254">
        <v>0</v>
      </c>
      <c r="AJ57" s="268">
        <v>0</v>
      </c>
      <c r="AK57" s="365">
        <v>0</v>
      </c>
      <c r="AL57" s="365">
        <v>0</v>
      </c>
      <c r="AM57" s="365">
        <v>0</v>
      </c>
      <c r="AN57" s="270" t="s">
        <v>2985</v>
      </c>
      <c r="AO57" s="353">
        <v>0</v>
      </c>
      <c r="AP57" s="348">
        <v>0</v>
      </c>
      <c r="AQ57" s="261" t="s">
        <v>2985</v>
      </c>
      <c r="AR57" s="348">
        <v>0</v>
      </c>
      <c r="AS57" s="261" t="s">
        <v>2985</v>
      </c>
      <c r="AT57" s="353">
        <v>0</v>
      </c>
      <c r="AU57" s="506">
        <v>0</v>
      </c>
      <c r="AV57" s="348">
        <v>0</v>
      </c>
      <c r="AW57" s="506">
        <v>0</v>
      </c>
      <c r="AX57" s="510">
        <v>0</v>
      </c>
      <c r="AY57" s="509">
        <v>67.099999999999994</v>
      </c>
      <c r="AZ57" s="506"/>
      <c r="BA57" s="316" t="s">
        <v>2985</v>
      </c>
      <c r="BB57" s="94" t="s">
        <v>2985</v>
      </c>
      <c r="BC57" s="355" t="s">
        <v>2985</v>
      </c>
      <c r="BD57" s="380" t="s">
        <v>3574</v>
      </c>
      <c r="BE57" s="389">
        <v>100</v>
      </c>
      <c r="BF57" s="348"/>
      <c r="BG57" s="307" t="str">
        <f t="shared" si="11"/>
        <v xml:space="preserve"> 500</v>
      </c>
      <c r="BH57" s="390">
        <f t="shared" si="12"/>
        <v>22.727272727272727</v>
      </c>
      <c r="BI57" s="509">
        <v>100</v>
      </c>
      <c r="BJ57" s="506">
        <v>1</v>
      </c>
      <c r="BK57" s="507" t="s">
        <v>2985</v>
      </c>
      <c r="BL57" s="506">
        <v>20</v>
      </c>
      <c r="BM57" s="507" t="s">
        <v>2985</v>
      </c>
      <c r="BN57" s="307">
        <v>99</v>
      </c>
      <c r="BO57" s="332" t="s">
        <v>2985</v>
      </c>
      <c r="BP57" s="350"/>
      <c r="BQ57" s="331"/>
      <c r="BR57" s="331"/>
      <c r="BS57" s="321"/>
    </row>
    <row r="58" spans="1:71" s="322" customFormat="1" ht="15" customHeight="1">
      <c r="A58" s="457">
        <v>438</v>
      </c>
      <c r="B58" s="534" t="s">
        <v>3585</v>
      </c>
      <c r="C58" s="383"/>
      <c r="D58" s="466" t="s">
        <v>3590</v>
      </c>
      <c r="E58" s="469"/>
      <c r="F58" s="509" t="s">
        <v>1292</v>
      </c>
      <c r="G58" s="73" t="s">
        <v>2593</v>
      </c>
      <c r="H58" s="695" t="s">
        <v>122</v>
      </c>
      <c r="I58" s="338" t="s">
        <v>3377</v>
      </c>
      <c r="J58" s="506">
        <v>1996</v>
      </c>
      <c r="K58" s="355" t="s">
        <v>2985</v>
      </c>
      <c r="L58" s="354" t="s">
        <v>2985</v>
      </c>
      <c r="M58" s="341" t="s">
        <v>1739</v>
      </c>
      <c r="N58" s="446">
        <f t="shared" si="6"/>
        <v>0.4</v>
      </c>
      <c r="O58" s="480">
        <v>0.4</v>
      </c>
      <c r="P58" s="513">
        <v>5.44</v>
      </c>
      <c r="Q58" s="310">
        <f t="shared" si="7"/>
        <v>5.44</v>
      </c>
      <c r="R58" s="377">
        <f t="shared" si="8"/>
        <v>140</v>
      </c>
      <c r="S58" s="482">
        <v>350</v>
      </c>
      <c r="T58" s="377">
        <f t="shared" si="9"/>
        <v>350</v>
      </c>
      <c r="U58" s="377">
        <f t="shared" si="10"/>
        <v>1904.0000000000002</v>
      </c>
      <c r="V58" s="408" t="s">
        <v>2985</v>
      </c>
      <c r="W58" s="408" t="s">
        <v>2985</v>
      </c>
      <c r="X58" s="313" t="s">
        <v>12</v>
      </c>
      <c r="Y58" s="506" t="s">
        <v>12</v>
      </c>
      <c r="Z58" s="506" t="s">
        <v>12</v>
      </c>
      <c r="AA58" s="311" t="s">
        <v>1754</v>
      </c>
      <c r="AB58" s="262" t="s">
        <v>2985</v>
      </c>
      <c r="AC58" s="117" t="s">
        <v>2985</v>
      </c>
      <c r="AD58" s="507" t="s">
        <v>2312</v>
      </c>
      <c r="AE58" s="507" t="s">
        <v>2985</v>
      </c>
      <c r="AF58" s="507" t="s">
        <v>2985</v>
      </c>
      <c r="AG58" s="262" t="s">
        <v>2985</v>
      </c>
      <c r="AH58" s="344">
        <v>100</v>
      </c>
      <c r="AI58" s="254">
        <v>0</v>
      </c>
      <c r="AJ58" s="268">
        <v>0</v>
      </c>
      <c r="AK58" s="365">
        <v>0</v>
      </c>
      <c r="AL58" s="365">
        <v>0</v>
      </c>
      <c r="AM58" s="365">
        <v>0</v>
      </c>
      <c r="AN58" s="270" t="s">
        <v>2985</v>
      </c>
      <c r="AO58" s="353">
        <v>0</v>
      </c>
      <c r="AP58" s="348">
        <v>0</v>
      </c>
      <c r="AQ58" s="261" t="s">
        <v>2985</v>
      </c>
      <c r="AR58" s="348">
        <v>0</v>
      </c>
      <c r="AS58" s="261" t="s">
        <v>2985</v>
      </c>
      <c r="AT58" s="353">
        <v>0</v>
      </c>
      <c r="AU58" s="506">
        <v>0</v>
      </c>
      <c r="AV58" s="348">
        <v>0</v>
      </c>
      <c r="AW58" s="506">
        <v>0</v>
      </c>
      <c r="AX58" s="510">
        <v>0</v>
      </c>
      <c r="AY58" s="509">
        <v>77.900000000000006</v>
      </c>
      <c r="AZ58" s="393">
        <v>38.950000000000003</v>
      </c>
      <c r="BA58" s="316" t="s">
        <v>2985</v>
      </c>
      <c r="BB58" s="94" t="s">
        <v>2985</v>
      </c>
      <c r="BC58" s="355" t="s">
        <v>2985</v>
      </c>
      <c r="BD58" s="380" t="s">
        <v>3574</v>
      </c>
      <c r="BE58" s="389">
        <v>100</v>
      </c>
      <c r="BF58" s="348"/>
      <c r="BG58" s="307" t="str">
        <f t="shared" si="11"/>
        <v xml:space="preserve"> 500</v>
      </c>
      <c r="BH58" s="390">
        <f t="shared" si="12"/>
        <v>22.727272727272727</v>
      </c>
      <c r="BI58" s="509">
        <v>100</v>
      </c>
      <c r="BJ58" s="506">
        <v>1</v>
      </c>
      <c r="BK58" s="507" t="s">
        <v>2985</v>
      </c>
      <c r="BL58" s="506">
        <v>20</v>
      </c>
      <c r="BM58" s="507" t="s">
        <v>2985</v>
      </c>
      <c r="BN58" s="307">
        <v>99</v>
      </c>
      <c r="BO58" s="332" t="s">
        <v>2985</v>
      </c>
      <c r="BP58" s="350"/>
      <c r="BQ58" s="331"/>
      <c r="BR58" s="331"/>
      <c r="BS58" s="321"/>
    </row>
    <row r="59" spans="1:71" s="322" customFormat="1" ht="15" customHeight="1">
      <c r="A59" s="457">
        <v>439</v>
      </c>
      <c r="B59" s="533" t="s">
        <v>3614</v>
      </c>
      <c r="C59" s="383"/>
      <c r="D59" s="466" t="s">
        <v>3590</v>
      </c>
      <c r="E59" s="469"/>
      <c r="F59" s="509" t="s">
        <v>1291</v>
      </c>
      <c r="G59" s="73" t="s">
        <v>2593</v>
      </c>
      <c r="H59" s="695" t="s">
        <v>122</v>
      </c>
      <c r="I59" s="338" t="s">
        <v>3377</v>
      </c>
      <c r="J59" s="506">
        <v>1996</v>
      </c>
      <c r="K59" s="355" t="s">
        <v>2985</v>
      </c>
      <c r="L59" s="354" t="s">
        <v>2985</v>
      </c>
      <c r="M59" s="341" t="s">
        <v>1739</v>
      </c>
      <c r="N59" s="446">
        <f t="shared" si="6"/>
        <v>0.5</v>
      </c>
      <c r="O59" s="480">
        <v>0.5</v>
      </c>
      <c r="P59" s="513">
        <v>5.1769999999999996</v>
      </c>
      <c r="Q59" s="310">
        <f t="shared" si="7"/>
        <v>5.1769999999999996</v>
      </c>
      <c r="R59" s="377">
        <f t="shared" si="8"/>
        <v>175</v>
      </c>
      <c r="S59" s="482">
        <v>350</v>
      </c>
      <c r="T59" s="377">
        <f t="shared" si="9"/>
        <v>350</v>
      </c>
      <c r="U59" s="377">
        <f t="shared" si="10"/>
        <v>1811.9499999999998</v>
      </c>
      <c r="V59" s="408" t="s">
        <v>2985</v>
      </c>
      <c r="W59" s="408" t="s">
        <v>2985</v>
      </c>
      <c r="X59" s="313" t="s">
        <v>12</v>
      </c>
      <c r="Y59" s="506" t="s">
        <v>12</v>
      </c>
      <c r="Z59" s="506" t="s">
        <v>12</v>
      </c>
      <c r="AA59" s="311" t="s">
        <v>1754</v>
      </c>
      <c r="AB59" s="262" t="s">
        <v>2985</v>
      </c>
      <c r="AC59" s="117" t="s">
        <v>2985</v>
      </c>
      <c r="AD59" s="507" t="s">
        <v>2312</v>
      </c>
      <c r="AE59" s="507" t="s">
        <v>2985</v>
      </c>
      <c r="AF59" s="507" t="s">
        <v>2985</v>
      </c>
      <c r="AG59" s="262" t="s">
        <v>2985</v>
      </c>
      <c r="AH59" s="344">
        <v>100</v>
      </c>
      <c r="AI59" s="254">
        <v>0</v>
      </c>
      <c r="AJ59" s="268">
        <v>0</v>
      </c>
      <c r="AK59" s="365">
        <v>0</v>
      </c>
      <c r="AL59" s="365">
        <v>0</v>
      </c>
      <c r="AM59" s="365">
        <v>0</v>
      </c>
      <c r="AN59" s="270" t="s">
        <v>2985</v>
      </c>
      <c r="AO59" s="353">
        <v>0</v>
      </c>
      <c r="AP59" s="348">
        <v>0</v>
      </c>
      <c r="AQ59" s="261" t="s">
        <v>2985</v>
      </c>
      <c r="AR59" s="348">
        <v>0</v>
      </c>
      <c r="AS59" s="261" t="s">
        <v>2985</v>
      </c>
      <c r="AT59" s="353">
        <v>0</v>
      </c>
      <c r="AU59" s="506">
        <v>0</v>
      </c>
      <c r="AV59" s="348">
        <v>0</v>
      </c>
      <c r="AW59" s="506">
        <v>0</v>
      </c>
      <c r="AX59" s="510">
        <v>0</v>
      </c>
      <c r="AY59" s="509">
        <v>63.3</v>
      </c>
      <c r="AZ59" s="506"/>
      <c r="BA59" s="316" t="s">
        <v>2985</v>
      </c>
      <c r="BB59" s="94" t="s">
        <v>2985</v>
      </c>
      <c r="BC59" s="355" t="s">
        <v>2985</v>
      </c>
      <c r="BD59" s="380" t="s">
        <v>3574</v>
      </c>
      <c r="BE59" s="389">
        <v>100</v>
      </c>
      <c r="BF59" s="348"/>
      <c r="BG59" s="307" t="str">
        <f t="shared" si="11"/>
        <v xml:space="preserve"> 500</v>
      </c>
      <c r="BH59" s="390">
        <f t="shared" si="12"/>
        <v>22.727272727272727</v>
      </c>
      <c r="BI59" s="509">
        <v>100</v>
      </c>
      <c r="BJ59" s="506">
        <v>1</v>
      </c>
      <c r="BK59" s="507" t="s">
        <v>2985</v>
      </c>
      <c r="BL59" s="506">
        <v>20</v>
      </c>
      <c r="BM59" s="507" t="s">
        <v>2985</v>
      </c>
      <c r="BN59" s="307">
        <v>99</v>
      </c>
      <c r="BO59" s="259" t="s">
        <v>2985</v>
      </c>
      <c r="BP59" s="350"/>
      <c r="BQ59" s="331"/>
      <c r="BR59" s="331"/>
      <c r="BS59" s="321"/>
    </row>
    <row r="60" spans="1:71" s="322" customFormat="1" ht="15" customHeight="1">
      <c r="A60" s="457">
        <v>440</v>
      </c>
      <c r="B60" s="533" t="s">
        <v>3614</v>
      </c>
      <c r="C60" s="383"/>
      <c r="D60" s="466" t="s">
        <v>3590</v>
      </c>
      <c r="E60" s="469"/>
      <c r="F60" s="509" t="s">
        <v>1290</v>
      </c>
      <c r="G60" s="73" t="s">
        <v>2593</v>
      </c>
      <c r="H60" s="695" t="s">
        <v>122</v>
      </c>
      <c r="I60" s="338" t="s">
        <v>3377</v>
      </c>
      <c r="J60" s="506">
        <v>1996</v>
      </c>
      <c r="K60" s="355" t="s">
        <v>2985</v>
      </c>
      <c r="L60" s="354" t="s">
        <v>2985</v>
      </c>
      <c r="M60" s="341" t="s">
        <v>1739</v>
      </c>
      <c r="N60" s="446">
        <f t="shared" si="6"/>
        <v>0.45</v>
      </c>
      <c r="O60" s="480">
        <v>0.45</v>
      </c>
      <c r="P60" s="513">
        <v>6.5270000000000001</v>
      </c>
      <c r="Q60" s="310">
        <f t="shared" si="7"/>
        <v>6.5270000000000001</v>
      </c>
      <c r="R60" s="377">
        <f t="shared" si="8"/>
        <v>135</v>
      </c>
      <c r="S60" s="482">
        <v>300</v>
      </c>
      <c r="T60" s="377">
        <f t="shared" si="9"/>
        <v>300</v>
      </c>
      <c r="U60" s="377">
        <f t="shared" si="10"/>
        <v>1958.1000000000001</v>
      </c>
      <c r="V60" s="408" t="s">
        <v>2985</v>
      </c>
      <c r="W60" s="408" t="s">
        <v>2985</v>
      </c>
      <c r="X60" s="313" t="s">
        <v>12</v>
      </c>
      <c r="Y60" s="506" t="s">
        <v>12</v>
      </c>
      <c r="Z60" s="506" t="s">
        <v>12</v>
      </c>
      <c r="AA60" s="311" t="s">
        <v>1754</v>
      </c>
      <c r="AB60" s="262" t="s">
        <v>2985</v>
      </c>
      <c r="AC60" s="117" t="s">
        <v>2985</v>
      </c>
      <c r="AD60" s="507" t="s">
        <v>2312</v>
      </c>
      <c r="AE60" s="507" t="s">
        <v>2985</v>
      </c>
      <c r="AF60" s="507" t="s">
        <v>2985</v>
      </c>
      <c r="AG60" s="262" t="s">
        <v>2985</v>
      </c>
      <c r="AH60" s="344">
        <v>100</v>
      </c>
      <c r="AI60" s="254">
        <v>0</v>
      </c>
      <c r="AJ60" s="268">
        <v>0</v>
      </c>
      <c r="AK60" s="365">
        <v>0</v>
      </c>
      <c r="AL60" s="365">
        <v>0</v>
      </c>
      <c r="AM60" s="365">
        <v>0</v>
      </c>
      <c r="AN60" s="270" t="s">
        <v>2985</v>
      </c>
      <c r="AO60" s="353">
        <v>0</v>
      </c>
      <c r="AP60" s="348">
        <v>0</v>
      </c>
      <c r="AQ60" s="261" t="s">
        <v>2985</v>
      </c>
      <c r="AR60" s="348">
        <v>0</v>
      </c>
      <c r="AS60" s="261" t="s">
        <v>2985</v>
      </c>
      <c r="AT60" s="353">
        <v>0</v>
      </c>
      <c r="AU60" s="506">
        <v>0</v>
      </c>
      <c r="AV60" s="348">
        <v>0</v>
      </c>
      <c r="AW60" s="506">
        <v>0</v>
      </c>
      <c r="AX60" s="510">
        <v>0</v>
      </c>
      <c r="AY60" s="509">
        <v>73.7</v>
      </c>
      <c r="AZ60" s="506"/>
      <c r="BA60" s="316" t="s">
        <v>2985</v>
      </c>
      <c r="BB60" s="94" t="s">
        <v>2985</v>
      </c>
      <c r="BC60" s="355" t="s">
        <v>2985</v>
      </c>
      <c r="BD60" s="380" t="s">
        <v>3574</v>
      </c>
      <c r="BE60" s="389">
        <v>100</v>
      </c>
      <c r="BF60" s="348"/>
      <c r="BG60" s="307" t="str">
        <f t="shared" si="11"/>
        <v xml:space="preserve"> 500</v>
      </c>
      <c r="BH60" s="390">
        <f t="shared" si="12"/>
        <v>22.727272727272727</v>
      </c>
      <c r="BI60" s="509">
        <v>100</v>
      </c>
      <c r="BJ60" s="506">
        <v>1</v>
      </c>
      <c r="BK60" s="507" t="s">
        <v>2985</v>
      </c>
      <c r="BL60" s="506">
        <v>20</v>
      </c>
      <c r="BM60" s="507" t="s">
        <v>2985</v>
      </c>
      <c r="BN60" s="307">
        <v>99</v>
      </c>
      <c r="BO60" s="259" t="s">
        <v>2985</v>
      </c>
      <c r="BP60" s="350"/>
      <c r="BQ60" s="331"/>
      <c r="BR60" s="331"/>
      <c r="BS60" s="321"/>
    </row>
    <row r="61" spans="1:71" s="322" customFormat="1" ht="15" customHeight="1">
      <c r="A61" s="457">
        <v>441</v>
      </c>
      <c r="B61" s="533" t="s">
        <v>3614</v>
      </c>
      <c r="C61" s="383"/>
      <c r="D61" s="466" t="s">
        <v>3590</v>
      </c>
      <c r="E61" s="469"/>
      <c r="F61" s="509" t="s">
        <v>1289</v>
      </c>
      <c r="G61" s="73" t="s">
        <v>2593</v>
      </c>
      <c r="H61" s="509" t="s">
        <v>122</v>
      </c>
      <c r="I61" s="338" t="s">
        <v>3377</v>
      </c>
      <c r="J61" s="506">
        <v>1996</v>
      </c>
      <c r="K61" s="355" t="s">
        <v>2985</v>
      </c>
      <c r="L61" s="354" t="s">
        <v>2985</v>
      </c>
      <c r="M61" s="341" t="s">
        <v>1739</v>
      </c>
      <c r="N61" s="446">
        <f t="shared" si="6"/>
        <v>0.45</v>
      </c>
      <c r="O61" s="508">
        <v>0.45</v>
      </c>
      <c r="P61" s="513">
        <v>5.0510000000000002</v>
      </c>
      <c r="Q61" s="310">
        <f t="shared" si="7"/>
        <v>5.0510000000000002</v>
      </c>
      <c r="R61" s="377">
        <f t="shared" si="8"/>
        <v>157.5</v>
      </c>
      <c r="S61" s="506">
        <v>350</v>
      </c>
      <c r="T61" s="377">
        <f t="shared" si="9"/>
        <v>350</v>
      </c>
      <c r="U61" s="377">
        <f t="shared" si="10"/>
        <v>1767.8500000000001</v>
      </c>
      <c r="V61" s="408" t="s">
        <v>2985</v>
      </c>
      <c r="W61" s="408" t="s">
        <v>2985</v>
      </c>
      <c r="X61" s="313" t="s">
        <v>12</v>
      </c>
      <c r="Y61" s="506" t="s">
        <v>12</v>
      </c>
      <c r="Z61" s="506" t="s">
        <v>12</v>
      </c>
      <c r="AA61" s="311" t="s">
        <v>1754</v>
      </c>
      <c r="AB61" s="262" t="s">
        <v>2985</v>
      </c>
      <c r="AC61" s="117" t="s">
        <v>2985</v>
      </c>
      <c r="AD61" s="507" t="s">
        <v>2312</v>
      </c>
      <c r="AE61" s="507" t="s">
        <v>2985</v>
      </c>
      <c r="AF61" s="507" t="s">
        <v>2985</v>
      </c>
      <c r="AG61" s="262" t="s">
        <v>2985</v>
      </c>
      <c r="AH61" s="344">
        <v>100</v>
      </c>
      <c r="AI61" s="254">
        <v>0</v>
      </c>
      <c r="AJ61" s="268">
        <v>0</v>
      </c>
      <c r="AK61" s="365">
        <v>0</v>
      </c>
      <c r="AL61" s="365">
        <v>0</v>
      </c>
      <c r="AM61" s="365">
        <v>0</v>
      </c>
      <c r="AN61" s="270" t="s">
        <v>2985</v>
      </c>
      <c r="AO61" s="353">
        <v>0</v>
      </c>
      <c r="AP61" s="348">
        <v>0</v>
      </c>
      <c r="AQ61" s="261" t="s">
        <v>2985</v>
      </c>
      <c r="AR61" s="348">
        <v>0</v>
      </c>
      <c r="AS61" s="261" t="s">
        <v>2985</v>
      </c>
      <c r="AT61" s="353">
        <v>0</v>
      </c>
      <c r="AU61" s="506">
        <v>0</v>
      </c>
      <c r="AV61" s="348">
        <v>0</v>
      </c>
      <c r="AW61" s="506">
        <v>0</v>
      </c>
      <c r="AX61" s="434">
        <v>3.5000000000000003E-2</v>
      </c>
      <c r="AY61" s="509">
        <v>60.4</v>
      </c>
      <c r="AZ61" s="506"/>
      <c r="BA61" s="316" t="s">
        <v>2985</v>
      </c>
      <c r="BB61" s="94" t="s">
        <v>2985</v>
      </c>
      <c r="BC61" s="355" t="s">
        <v>2985</v>
      </c>
      <c r="BD61" s="380" t="s">
        <v>3574</v>
      </c>
      <c r="BE61" s="389">
        <v>100</v>
      </c>
      <c r="BF61" s="348"/>
      <c r="BG61" s="307" t="str">
        <f t="shared" si="11"/>
        <v xml:space="preserve"> 500</v>
      </c>
      <c r="BH61" s="390">
        <f t="shared" si="12"/>
        <v>22.727272727272727</v>
      </c>
      <c r="BI61" s="509">
        <v>100</v>
      </c>
      <c r="BJ61" s="506">
        <v>1</v>
      </c>
      <c r="BK61" s="507" t="s">
        <v>2985</v>
      </c>
      <c r="BL61" s="506">
        <v>20</v>
      </c>
      <c r="BM61" s="507" t="s">
        <v>2985</v>
      </c>
      <c r="BN61" s="307">
        <v>99</v>
      </c>
      <c r="BO61" s="259" t="s">
        <v>2985</v>
      </c>
      <c r="BP61" s="350"/>
      <c r="BS61" s="321"/>
    </row>
    <row r="62" spans="1:71" s="322" customFormat="1" ht="15" customHeight="1">
      <c r="A62" s="457">
        <v>442</v>
      </c>
      <c r="B62" s="533" t="s">
        <v>3614</v>
      </c>
      <c r="C62" s="383"/>
      <c r="D62" s="466" t="s">
        <v>3590</v>
      </c>
      <c r="E62" s="469"/>
      <c r="F62" s="509" t="s">
        <v>1288</v>
      </c>
      <c r="G62" s="73" t="s">
        <v>2593</v>
      </c>
      <c r="H62" s="509" t="s">
        <v>122</v>
      </c>
      <c r="I62" s="338" t="s">
        <v>3377</v>
      </c>
      <c r="J62" s="506">
        <v>1996</v>
      </c>
      <c r="K62" s="355" t="s">
        <v>2985</v>
      </c>
      <c r="L62" s="354" t="s">
        <v>2985</v>
      </c>
      <c r="M62" s="341" t="s">
        <v>1739</v>
      </c>
      <c r="N62" s="446">
        <f t="shared" si="6"/>
        <v>0.45</v>
      </c>
      <c r="O62" s="508">
        <v>0.45</v>
      </c>
      <c r="P62" s="513">
        <v>5.84</v>
      </c>
      <c r="Q62" s="310">
        <f t="shared" si="7"/>
        <v>5.84</v>
      </c>
      <c r="R62" s="377">
        <f t="shared" si="8"/>
        <v>157.5</v>
      </c>
      <c r="S62" s="506">
        <v>350</v>
      </c>
      <c r="T62" s="377">
        <f t="shared" si="9"/>
        <v>350</v>
      </c>
      <c r="U62" s="377">
        <f t="shared" si="10"/>
        <v>2044</v>
      </c>
      <c r="V62" s="408" t="s">
        <v>2985</v>
      </c>
      <c r="W62" s="408" t="s">
        <v>2985</v>
      </c>
      <c r="X62" s="313" t="s">
        <v>12</v>
      </c>
      <c r="Y62" s="506" t="s">
        <v>12</v>
      </c>
      <c r="Z62" s="506" t="s">
        <v>12</v>
      </c>
      <c r="AA62" s="311" t="s">
        <v>1754</v>
      </c>
      <c r="AB62" s="262" t="s">
        <v>2985</v>
      </c>
      <c r="AC62" s="117" t="s">
        <v>2985</v>
      </c>
      <c r="AD62" s="507" t="s">
        <v>2312</v>
      </c>
      <c r="AE62" s="507" t="s">
        <v>2985</v>
      </c>
      <c r="AF62" s="507" t="s">
        <v>2985</v>
      </c>
      <c r="AG62" s="262" t="s">
        <v>2985</v>
      </c>
      <c r="AH62" s="344">
        <v>100</v>
      </c>
      <c r="AI62" s="254">
        <v>0</v>
      </c>
      <c r="AJ62" s="268">
        <v>0</v>
      </c>
      <c r="AK62" s="365">
        <v>0</v>
      </c>
      <c r="AL62" s="365">
        <v>0</v>
      </c>
      <c r="AM62" s="365">
        <v>0</v>
      </c>
      <c r="AN62" s="270" t="s">
        <v>2985</v>
      </c>
      <c r="AO62" s="353">
        <v>0</v>
      </c>
      <c r="AP62" s="348">
        <v>0</v>
      </c>
      <c r="AQ62" s="261" t="s">
        <v>2985</v>
      </c>
      <c r="AR62" s="348">
        <v>0</v>
      </c>
      <c r="AS62" s="261" t="s">
        <v>2985</v>
      </c>
      <c r="AT62" s="353">
        <v>0</v>
      </c>
      <c r="AU62" s="506">
        <v>0</v>
      </c>
      <c r="AV62" s="348">
        <v>0</v>
      </c>
      <c r="AW62" s="506">
        <v>0</v>
      </c>
      <c r="AX62" s="510">
        <v>0</v>
      </c>
      <c r="AY62" s="509">
        <v>71.7</v>
      </c>
      <c r="AZ62" s="506"/>
      <c r="BA62" s="316" t="s">
        <v>2985</v>
      </c>
      <c r="BB62" s="94" t="s">
        <v>2985</v>
      </c>
      <c r="BC62" s="355" t="s">
        <v>2985</v>
      </c>
      <c r="BD62" s="380" t="s">
        <v>3574</v>
      </c>
      <c r="BE62" s="389">
        <v>100</v>
      </c>
      <c r="BF62" s="348"/>
      <c r="BG62" s="307" t="str">
        <f t="shared" si="11"/>
        <v xml:space="preserve"> 500</v>
      </c>
      <c r="BH62" s="390">
        <f t="shared" si="12"/>
        <v>22.727272727272727</v>
      </c>
      <c r="BI62" s="509">
        <v>100</v>
      </c>
      <c r="BJ62" s="506">
        <v>1</v>
      </c>
      <c r="BK62" s="507" t="s">
        <v>2985</v>
      </c>
      <c r="BL62" s="506">
        <v>20</v>
      </c>
      <c r="BM62" s="507" t="s">
        <v>2985</v>
      </c>
      <c r="BN62" s="307">
        <v>99</v>
      </c>
      <c r="BO62" s="259" t="s">
        <v>2985</v>
      </c>
      <c r="BP62" s="350"/>
      <c r="BS62" s="321"/>
    </row>
    <row r="63" spans="1:71" s="322" customFormat="1" ht="15" customHeight="1">
      <c r="A63" s="457">
        <v>443</v>
      </c>
      <c r="B63" s="533" t="s">
        <v>3614</v>
      </c>
      <c r="C63" s="383"/>
      <c r="D63" s="466" t="s">
        <v>3590</v>
      </c>
      <c r="E63" s="469"/>
      <c r="F63" s="509" t="s">
        <v>1287</v>
      </c>
      <c r="G63" s="73" t="s">
        <v>2593</v>
      </c>
      <c r="H63" s="509" t="s">
        <v>122</v>
      </c>
      <c r="I63" s="338" t="s">
        <v>3377</v>
      </c>
      <c r="J63" s="506">
        <v>1996</v>
      </c>
      <c r="K63" s="355" t="s">
        <v>2985</v>
      </c>
      <c r="L63" s="354" t="s">
        <v>2985</v>
      </c>
      <c r="M63" s="341" t="s">
        <v>1739</v>
      </c>
      <c r="N63" s="446">
        <f t="shared" si="6"/>
        <v>0.45</v>
      </c>
      <c r="O63" s="508">
        <v>0.45</v>
      </c>
      <c r="P63" s="513">
        <v>5.3739999999999997</v>
      </c>
      <c r="Q63" s="310">
        <f t="shared" si="7"/>
        <v>5.3739999999999997</v>
      </c>
      <c r="R63" s="377">
        <f t="shared" si="8"/>
        <v>157.5</v>
      </c>
      <c r="S63" s="506">
        <v>350</v>
      </c>
      <c r="T63" s="377">
        <f t="shared" si="9"/>
        <v>350</v>
      </c>
      <c r="U63" s="377">
        <f t="shared" si="10"/>
        <v>1880.8999999999999</v>
      </c>
      <c r="V63" s="408" t="s">
        <v>2985</v>
      </c>
      <c r="W63" s="408" t="s">
        <v>2985</v>
      </c>
      <c r="X63" s="313" t="s">
        <v>12</v>
      </c>
      <c r="Y63" s="506" t="s">
        <v>12</v>
      </c>
      <c r="Z63" s="506" t="s">
        <v>12</v>
      </c>
      <c r="AA63" s="311" t="s">
        <v>1754</v>
      </c>
      <c r="AB63" s="262" t="s">
        <v>2985</v>
      </c>
      <c r="AC63" s="117" t="s">
        <v>2985</v>
      </c>
      <c r="AD63" s="507" t="s">
        <v>2312</v>
      </c>
      <c r="AE63" s="507" t="s">
        <v>2985</v>
      </c>
      <c r="AF63" s="507" t="s">
        <v>2985</v>
      </c>
      <c r="AG63" s="262" t="s">
        <v>2985</v>
      </c>
      <c r="AH63" s="344">
        <v>100</v>
      </c>
      <c r="AI63" s="254">
        <v>0</v>
      </c>
      <c r="AJ63" s="268">
        <v>0</v>
      </c>
      <c r="AK63" s="365">
        <v>0</v>
      </c>
      <c r="AL63" s="365">
        <v>0</v>
      </c>
      <c r="AM63" s="365">
        <v>0</v>
      </c>
      <c r="AN63" s="270" t="s">
        <v>2985</v>
      </c>
      <c r="AO63" s="353">
        <v>0</v>
      </c>
      <c r="AP63" s="348">
        <v>0</v>
      </c>
      <c r="AQ63" s="261" t="s">
        <v>2985</v>
      </c>
      <c r="AR63" s="348">
        <v>0</v>
      </c>
      <c r="AS63" s="261" t="s">
        <v>2985</v>
      </c>
      <c r="AT63" s="353">
        <v>0</v>
      </c>
      <c r="AU63" s="506">
        <v>0</v>
      </c>
      <c r="AV63" s="348">
        <v>0</v>
      </c>
      <c r="AW63" s="506">
        <v>0</v>
      </c>
      <c r="AX63" s="510">
        <v>0</v>
      </c>
      <c r="AY63" s="509">
        <v>68.599999999999994</v>
      </c>
      <c r="AZ63" s="506"/>
      <c r="BA63" s="316" t="s">
        <v>2985</v>
      </c>
      <c r="BB63" s="94" t="s">
        <v>2985</v>
      </c>
      <c r="BC63" s="355" t="s">
        <v>2985</v>
      </c>
      <c r="BD63" s="380" t="s">
        <v>3574</v>
      </c>
      <c r="BE63" s="389">
        <v>100</v>
      </c>
      <c r="BF63" s="348"/>
      <c r="BG63" s="307" t="str">
        <f t="shared" si="11"/>
        <v xml:space="preserve"> 500</v>
      </c>
      <c r="BH63" s="390">
        <f t="shared" si="12"/>
        <v>22.727272727272727</v>
      </c>
      <c r="BI63" s="509">
        <v>100</v>
      </c>
      <c r="BJ63" s="506">
        <v>1</v>
      </c>
      <c r="BK63" s="507" t="s">
        <v>2985</v>
      </c>
      <c r="BL63" s="506">
        <v>20</v>
      </c>
      <c r="BM63" s="507" t="s">
        <v>2985</v>
      </c>
      <c r="BN63" s="307">
        <v>99</v>
      </c>
      <c r="BO63" s="259" t="s">
        <v>2985</v>
      </c>
      <c r="BP63" s="350"/>
      <c r="BS63" s="321"/>
    </row>
    <row r="64" spans="1:71" s="322" customFormat="1" ht="15" customHeight="1">
      <c r="A64" s="457">
        <v>444</v>
      </c>
      <c r="B64" s="533" t="s">
        <v>3614</v>
      </c>
      <c r="C64" s="383"/>
      <c r="D64" s="466" t="s">
        <v>3590</v>
      </c>
      <c r="E64" s="469"/>
      <c r="F64" s="509" t="s">
        <v>1286</v>
      </c>
      <c r="G64" s="73" t="s">
        <v>2593</v>
      </c>
      <c r="H64" s="509" t="s">
        <v>122</v>
      </c>
      <c r="I64" s="338" t="s">
        <v>3377</v>
      </c>
      <c r="J64" s="506">
        <v>1996</v>
      </c>
      <c r="K64" s="355" t="s">
        <v>2985</v>
      </c>
      <c r="L64" s="354" t="s">
        <v>2985</v>
      </c>
      <c r="M64" s="341" t="s">
        <v>1739</v>
      </c>
      <c r="N64" s="446">
        <f t="shared" si="6"/>
        <v>0.47299999999999998</v>
      </c>
      <c r="O64" s="508">
        <v>0.47299999999999998</v>
      </c>
      <c r="P64" s="513">
        <v>5.3739999999999997</v>
      </c>
      <c r="Q64" s="310">
        <f t="shared" si="7"/>
        <v>5.3739999999999997</v>
      </c>
      <c r="R64" s="377">
        <f t="shared" si="8"/>
        <v>165.54999999999998</v>
      </c>
      <c r="S64" s="506">
        <v>350</v>
      </c>
      <c r="T64" s="377">
        <f t="shared" si="9"/>
        <v>350</v>
      </c>
      <c r="U64" s="377">
        <f t="shared" si="10"/>
        <v>1880.8999999999999</v>
      </c>
      <c r="V64" s="408" t="s">
        <v>2985</v>
      </c>
      <c r="W64" s="408" t="s">
        <v>2985</v>
      </c>
      <c r="X64" s="313" t="s">
        <v>12</v>
      </c>
      <c r="Y64" s="506" t="s">
        <v>12</v>
      </c>
      <c r="Z64" s="506" t="s">
        <v>12</v>
      </c>
      <c r="AA64" s="311" t="s">
        <v>1754</v>
      </c>
      <c r="AB64" s="262" t="s">
        <v>2985</v>
      </c>
      <c r="AC64" s="117" t="s">
        <v>2985</v>
      </c>
      <c r="AD64" s="507" t="s">
        <v>2312</v>
      </c>
      <c r="AE64" s="507" t="s">
        <v>2985</v>
      </c>
      <c r="AF64" s="507" t="s">
        <v>2985</v>
      </c>
      <c r="AG64" s="262" t="s">
        <v>2985</v>
      </c>
      <c r="AH64" s="344">
        <v>100</v>
      </c>
      <c r="AI64" s="254">
        <v>0</v>
      </c>
      <c r="AJ64" s="268">
        <v>0</v>
      </c>
      <c r="AK64" s="365">
        <v>0</v>
      </c>
      <c r="AL64" s="365">
        <v>0</v>
      </c>
      <c r="AM64" s="365">
        <v>0</v>
      </c>
      <c r="AN64" s="270" t="s">
        <v>2985</v>
      </c>
      <c r="AO64" s="353">
        <v>0</v>
      </c>
      <c r="AP64" s="348">
        <v>0</v>
      </c>
      <c r="AQ64" s="261" t="s">
        <v>2985</v>
      </c>
      <c r="AR64" s="348">
        <v>0</v>
      </c>
      <c r="AS64" s="261" t="s">
        <v>2985</v>
      </c>
      <c r="AT64" s="353">
        <v>0</v>
      </c>
      <c r="AU64" s="506">
        <v>0</v>
      </c>
      <c r="AV64" s="348">
        <v>0</v>
      </c>
      <c r="AW64" s="506">
        <v>0</v>
      </c>
      <c r="AX64" s="510">
        <v>0</v>
      </c>
      <c r="AY64" s="509">
        <v>64.599999999999994</v>
      </c>
      <c r="AZ64" s="506"/>
      <c r="BA64" s="316" t="s">
        <v>2985</v>
      </c>
      <c r="BB64" s="94" t="s">
        <v>2985</v>
      </c>
      <c r="BC64" s="355" t="s">
        <v>2985</v>
      </c>
      <c r="BD64" s="380" t="s">
        <v>3574</v>
      </c>
      <c r="BE64" s="389">
        <v>100</v>
      </c>
      <c r="BF64" s="348"/>
      <c r="BG64" s="307" t="str">
        <f t="shared" si="11"/>
        <v xml:space="preserve"> 500</v>
      </c>
      <c r="BH64" s="416">
        <f t="shared" si="12"/>
        <v>22.727272727272727</v>
      </c>
      <c r="BI64" s="509">
        <v>100</v>
      </c>
      <c r="BJ64" s="506">
        <v>1</v>
      </c>
      <c r="BK64" s="507" t="s">
        <v>2985</v>
      </c>
      <c r="BL64" s="506">
        <v>20</v>
      </c>
      <c r="BM64" s="507" t="s">
        <v>2985</v>
      </c>
      <c r="BN64" s="307">
        <v>99</v>
      </c>
      <c r="BO64" s="259" t="s">
        <v>2985</v>
      </c>
      <c r="BP64" s="350"/>
      <c r="BS64" s="321"/>
    </row>
    <row r="65" spans="1:71" s="322" customFormat="1" ht="15" customHeight="1">
      <c r="A65" s="336">
        <v>544</v>
      </c>
      <c r="B65" s="533" t="s">
        <v>3614</v>
      </c>
      <c r="C65" s="383"/>
      <c r="D65" s="383"/>
      <c r="E65" s="469"/>
      <c r="F65" s="494" t="s">
        <v>1179</v>
      </c>
      <c r="G65" s="756" t="s">
        <v>2654</v>
      </c>
      <c r="H65" s="509" t="s">
        <v>549</v>
      </c>
      <c r="I65" s="338" t="s">
        <v>3377</v>
      </c>
      <c r="J65" s="307">
        <v>1965</v>
      </c>
      <c r="K65" s="304">
        <v>166</v>
      </c>
      <c r="L65" s="330" t="s">
        <v>2985</v>
      </c>
      <c r="M65" s="304" t="s">
        <v>1751</v>
      </c>
      <c r="N65" s="446">
        <f t="shared" si="6"/>
        <v>0.45</v>
      </c>
      <c r="O65" s="381">
        <v>0.45</v>
      </c>
      <c r="P65" s="329">
        <v>2</v>
      </c>
      <c r="Q65" s="310">
        <f t="shared" si="7"/>
        <v>2</v>
      </c>
      <c r="R65" s="377">
        <f t="shared" si="8"/>
        <v>334.8</v>
      </c>
      <c r="S65" s="380">
        <v>744</v>
      </c>
      <c r="T65" s="377">
        <f t="shared" si="9"/>
        <v>744</v>
      </c>
      <c r="U65" s="377">
        <f t="shared" si="10"/>
        <v>1488</v>
      </c>
      <c r="V65" s="495">
        <v>1155.3019999999999</v>
      </c>
      <c r="W65" s="496">
        <f>U65-V65</f>
        <v>332.69800000000009</v>
      </c>
      <c r="X65" s="313" t="s">
        <v>12</v>
      </c>
      <c r="Y65" s="307" t="s">
        <v>12</v>
      </c>
      <c r="Z65" s="307" t="s">
        <v>12</v>
      </c>
      <c r="AA65" s="516" t="s">
        <v>1754</v>
      </c>
      <c r="AB65" s="304" t="s">
        <v>10</v>
      </c>
      <c r="AC65" s="117" t="s">
        <v>3346</v>
      </c>
      <c r="AD65" s="507" t="s">
        <v>2310</v>
      </c>
      <c r="AE65" s="507" t="s">
        <v>2985</v>
      </c>
      <c r="AF65" s="507" t="s">
        <v>2985</v>
      </c>
      <c r="AG65" s="262" t="s">
        <v>2985</v>
      </c>
      <c r="AH65" s="344">
        <v>100</v>
      </c>
      <c r="AI65" s="312">
        <v>0</v>
      </c>
      <c r="AJ65" s="394">
        <v>0</v>
      </c>
      <c r="AK65" s="315">
        <v>0</v>
      </c>
      <c r="AL65" s="315">
        <v>0</v>
      </c>
      <c r="AM65" s="315">
        <v>0</v>
      </c>
      <c r="AN65" s="312">
        <v>0</v>
      </c>
      <c r="AO65" s="312">
        <v>0</v>
      </c>
      <c r="AP65" s="307">
        <v>0</v>
      </c>
      <c r="AQ65" s="307">
        <v>0</v>
      </c>
      <c r="AR65" s="307">
        <v>0</v>
      </c>
      <c r="AS65" s="307">
        <v>0</v>
      </c>
      <c r="AT65" s="312">
        <v>0</v>
      </c>
      <c r="AU65" s="307">
        <v>0</v>
      </c>
      <c r="AV65" s="307">
        <v>0</v>
      </c>
      <c r="AW65" s="307">
        <v>0</v>
      </c>
      <c r="AX65" s="435">
        <v>1</v>
      </c>
      <c r="AY65" s="519">
        <v>62.615349999999999</v>
      </c>
      <c r="AZ65" s="504"/>
      <c r="BA65" s="317" t="s">
        <v>2985</v>
      </c>
      <c r="BB65" s="307">
        <v>21</v>
      </c>
      <c r="BC65" s="355" t="s">
        <v>2985</v>
      </c>
      <c r="BD65" s="380" t="s">
        <v>3575</v>
      </c>
      <c r="BE65" s="382">
        <v>160</v>
      </c>
      <c r="BF65" s="307"/>
      <c r="BG65" s="307" t="str">
        <f t="shared" si="11"/>
        <v xml:space="preserve"> 40</v>
      </c>
      <c r="BH65" s="416">
        <v>13.333333333333334</v>
      </c>
      <c r="BI65" s="330" t="s">
        <v>2985</v>
      </c>
      <c r="BJ65" s="307">
        <v>0</v>
      </c>
      <c r="BK65" s="317" t="s">
        <v>2985</v>
      </c>
      <c r="BL65" s="307">
        <v>20</v>
      </c>
      <c r="BM65" s="374" t="s">
        <v>2985</v>
      </c>
      <c r="BN65" s="307">
        <v>55</v>
      </c>
      <c r="BO65" s="259" t="s">
        <v>2985</v>
      </c>
      <c r="BP65" s="325" t="s">
        <v>2537</v>
      </c>
      <c r="BS65" s="321"/>
    </row>
    <row r="66" spans="1:71" s="322" customFormat="1" ht="15" customHeight="1">
      <c r="A66" s="336">
        <v>545</v>
      </c>
      <c r="B66" s="533" t="s">
        <v>3614</v>
      </c>
      <c r="C66" s="383"/>
      <c r="D66" s="383"/>
      <c r="E66" s="469"/>
      <c r="F66" s="494" t="s">
        <v>1178</v>
      </c>
      <c r="G66" s="756" t="s">
        <v>2654</v>
      </c>
      <c r="H66" s="509" t="s">
        <v>549</v>
      </c>
      <c r="I66" s="338" t="s">
        <v>3377</v>
      </c>
      <c r="J66" s="307">
        <v>1965</v>
      </c>
      <c r="K66" s="304">
        <v>166</v>
      </c>
      <c r="L66" s="330" t="s">
        <v>2985</v>
      </c>
      <c r="M66" s="304" t="s">
        <v>1751</v>
      </c>
      <c r="N66" s="446">
        <f t="shared" ref="N66:N97" si="13">R66/T66</f>
        <v>0.45</v>
      </c>
      <c r="O66" s="381">
        <v>0.45</v>
      </c>
      <c r="P66" s="329">
        <v>2</v>
      </c>
      <c r="Q66" s="310">
        <f t="shared" si="7"/>
        <v>2</v>
      </c>
      <c r="R66" s="377">
        <f t="shared" ref="R66:R97" si="14">O66*S66</f>
        <v>334.8</v>
      </c>
      <c r="S66" s="380">
        <v>744</v>
      </c>
      <c r="T66" s="377">
        <f t="shared" ref="T66:T97" si="15">(((SUM(AI66:AR66)/100)*(S66))+S66)</f>
        <v>744</v>
      </c>
      <c r="U66" s="377">
        <f t="shared" si="10"/>
        <v>1488</v>
      </c>
      <c r="V66" s="495">
        <v>1155.3019999999999</v>
      </c>
      <c r="W66" s="496">
        <f>U66-V66</f>
        <v>332.69800000000009</v>
      </c>
      <c r="X66" s="313" t="s">
        <v>12</v>
      </c>
      <c r="Y66" s="307" t="s">
        <v>12</v>
      </c>
      <c r="Z66" s="307" t="s">
        <v>12</v>
      </c>
      <c r="AA66" s="516" t="s">
        <v>1754</v>
      </c>
      <c r="AB66" s="304" t="s">
        <v>10</v>
      </c>
      <c r="AC66" s="117" t="s">
        <v>3346</v>
      </c>
      <c r="AD66" s="507" t="s">
        <v>2310</v>
      </c>
      <c r="AE66" s="507" t="s">
        <v>2985</v>
      </c>
      <c r="AF66" s="507" t="s">
        <v>2985</v>
      </c>
      <c r="AG66" s="262" t="s">
        <v>2985</v>
      </c>
      <c r="AH66" s="344">
        <v>100</v>
      </c>
      <c r="AI66" s="312">
        <v>0</v>
      </c>
      <c r="AJ66" s="394">
        <v>0</v>
      </c>
      <c r="AK66" s="315">
        <v>0</v>
      </c>
      <c r="AL66" s="315">
        <v>0</v>
      </c>
      <c r="AM66" s="315">
        <v>0</v>
      </c>
      <c r="AN66" s="312">
        <v>0</v>
      </c>
      <c r="AO66" s="312">
        <v>0</v>
      </c>
      <c r="AP66" s="307">
        <v>0</v>
      </c>
      <c r="AQ66" s="307">
        <v>0</v>
      </c>
      <c r="AR66" s="307">
        <v>0</v>
      </c>
      <c r="AS66" s="307">
        <v>0</v>
      </c>
      <c r="AT66" s="312">
        <v>0</v>
      </c>
      <c r="AU66" s="307">
        <v>0</v>
      </c>
      <c r="AV66" s="307">
        <v>0</v>
      </c>
      <c r="AW66" s="307">
        <v>0</v>
      </c>
      <c r="AX66" s="435">
        <v>1</v>
      </c>
      <c r="AY66" s="519">
        <v>62.615349999999999</v>
      </c>
      <c r="AZ66" s="504"/>
      <c r="BA66" s="317" t="s">
        <v>2985</v>
      </c>
      <c r="BB66" s="307">
        <v>19</v>
      </c>
      <c r="BC66" s="355" t="s">
        <v>2985</v>
      </c>
      <c r="BD66" s="380" t="s">
        <v>3575</v>
      </c>
      <c r="BE66" s="382">
        <v>160</v>
      </c>
      <c r="BF66" s="307"/>
      <c r="BG66" s="307" t="str">
        <f t="shared" si="11"/>
        <v xml:space="preserve"> 40</v>
      </c>
      <c r="BH66" s="416">
        <v>13.333333333333334</v>
      </c>
      <c r="BI66" s="330" t="s">
        <v>2985</v>
      </c>
      <c r="BJ66" s="307">
        <v>0</v>
      </c>
      <c r="BK66" s="317" t="s">
        <v>2985</v>
      </c>
      <c r="BL66" s="307">
        <v>20</v>
      </c>
      <c r="BM66" s="374" t="s">
        <v>2985</v>
      </c>
      <c r="BN66" s="307">
        <v>55</v>
      </c>
      <c r="BO66" s="259" t="s">
        <v>2985</v>
      </c>
      <c r="BP66" s="325" t="s">
        <v>2537</v>
      </c>
      <c r="BS66" s="321"/>
    </row>
    <row r="67" spans="1:71" s="322" customFormat="1" ht="15" customHeight="1">
      <c r="A67" s="457">
        <v>602</v>
      </c>
      <c r="B67" s="533" t="s">
        <v>3614</v>
      </c>
      <c r="C67" s="383"/>
      <c r="D67" s="383"/>
      <c r="E67" s="469"/>
      <c r="F67" s="303" t="s">
        <v>1113</v>
      </c>
      <c r="G67" s="386" t="s">
        <v>2642</v>
      </c>
      <c r="H67" s="340" t="s">
        <v>549</v>
      </c>
      <c r="I67" s="338" t="s">
        <v>3377</v>
      </c>
      <c r="J67" s="348">
        <v>1991</v>
      </c>
      <c r="K67" s="341">
        <v>160</v>
      </c>
      <c r="L67" s="354" t="s">
        <v>2985</v>
      </c>
      <c r="M67" s="341" t="s">
        <v>1739</v>
      </c>
      <c r="N67" s="446">
        <f t="shared" si="13"/>
        <v>0.64800000000000002</v>
      </c>
      <c r="O67" s="307">
        <v>0.64800000000000002</v>
      </c>
      <c r="P67" s="308">
        <v>7.96</v>
      </c>
      <c r="Q67" s="310">
        <f t="shared" si="7"/>
        <v>7.96</v>
      </c>
      <c r="R67" s="377">
        <f t="shared" si="14"/>
        <v>162</v>
      </c>
      <c r="S67" s="307">
        <v>250</v>
      </c>
      <c r="T67" s="377">
        <f t="shared" si="15"/>
        <v>250</v>
      </c>
      <c r="U67" s="377">
        <f t="shared" si="10"/>
        <v>1990</v>
      </c>
      <c r="V67" s="408" t="s">
        <v>2985</v>
      </c>
      <c r="W67" s="408" t="s">
        <v>2985</v>
      </c>
      <c r="X67" s="303" t="s">
        <v>12</v>
      </c>
      <c r="Y67" s="307" t="s">
        <v>12</v>
      </c>
      <c r="Z67" s="317" t="s">
        <v>2985</v>
      </c>
      <c r="AA67" s="311" t="s">
        <v>1754</v>
      </c>
      <c r="AB67" s="304" t="s">
        <v>10</v>
      </c>
      <c r="AC67" s="441" t="s">
        <v>2985</v>
      </c>
      <c r="AD67" s="515" t="s">
        <v>2985</v>
      </c>
      <c r="AE67" s="348" t="s">
        <v>2306</v>
      </c>
      <c r="AF67" s="348" t="s">
        <v>2530</v>
      </c>
      <c r="AG67" s="262" t="s">
        <v>2985</v>
      </c>
      <c r="AH67" s="351">
        <v>100</v>
      </c>
      <c r="AI67" s="348">
        <v>0</v>
      </c>
      <c r="AJ67" s="348">
        <v>0</v>
      </c>
      <c r="AK67" s="348">
        <v>0</v>
      </c>
      <c r="AL67" s="348">
        <v>0</v>
      </c>
      <c r="AM67" s="348">
        <v>0</v>
      </c>
      <c r="AN67" s="348">
        <v>0</v>
      </c>
      <c r="AO67" s="348">
        <v>0</v>
      </c>
      <c r="AP67" s="307">
        <v>0</v>
      </c>
      <c r="AQ67" s="348">
        <v>0</v>
      </c>
      <c r="AR67" s="348">
        <v>0</v>
      </c>
      <c r="AS67" s="365">
        <v>0</v>
      </c>
      <c r="AT67" s="356">
        <v>0.25</v>
      </c>
      <c r="AU67" s="365">
        <v>0</v>
      </c>
      <c r="AV67" s="365">
        <v>0</v>
      </c>
      <c r="AW67" s="348">
        <v>0</v>
      </c>
      <c r="AX67" s="341">
        <v>0</v>
      </c>
      <c r="AY67" s="340">
        <v>49.2</v>
      </c>
      <c r="AZ67" s="348"/>
      <c r="BA67" s="316" t="s">
        <v>2985</v>
      </c>
      <c r="BB67" s="94" t="s">
        <v>2985</v>
      </c>
      <c r="BC67" s="341">
        <v>37.436</v>
      </c>
      <c r="BD67" s="348" t="s">
        <v>3583</v>
      </c>
      <c r="BE67" s="348">
        <v>75</v>
      </c>
      <c r="BF67" s="348"/>
      <c r="BG67" s="389">
        <v>550</v>
      </c>
      <c r="BH67" s="425">
        <v>33</v>
      </c>
      <c r="BI67" s="303">
        <v>60</v>
      </c>
      <c r="BJ67" s="307">
        <v>89</v>
      </c>
      <c r="BK67" s="318" t="s">
        <v>2985</v>
      </c>
      <c r="BL67" s="307">
        <v>100</v>
      </c>
      <c r="BM67" s="318" t="s">
        <v>2985</v>
      </c>
      <c r="BN67" s="317" t="s">
        <v>2985</v>
      </c>
      <c r="BO67" s="432" t="s">
        <v>2985</v>
      </c>
      <c r="BP67" s="343" t="s">
        <v>2544</v>
      </c>
      <c r="BS67" s="321"/>
    </row>
    <row r="68" spans="1:71" s="322" customFormat="1" ht="15" customHeight="1">
      <c r="A68" s="457">
        <v>626</v>
      </c>
      <c r="B68" s="534" t="s">
        <v>3585</v>
      </c>
      <c r="C68" s="383"/>
      <c r="D68" s="383"/>
      <c r="E68" s="469"/>
      <c r="F68" s="494" t="s">
        <v>1083</v>
      </c>
      <c r="G68" s="386" t="s">
        <v>2644</v>
      </c>
      <c r="H68" s="509" t="s">
        <v>549</v>
      </c>
      <c r="I68" s="338" t="s">
        <v>3377</v>
      </c>
      <c r="J68" s="348">
        <v>1995</v>
      </c>
      <c r="K68" s="341">
        <v>174</v>
      </c>
      <c r="L68" s="354" t="s">
        <v>2985</v>
      </c>
      <c r="M68" s="341" t="s">
        <v>1739</v>
      </c>
      <c r="N68" s="446">
        <f t="shared" si="13"/>
        <v>0.248014882381181</v>
      </c>
      <c r="O68" s="381">
        <v>0.31</v>
      </c>
      <c r="P68" s="310">
        <f t="shared" ref="P68:P74" si="16">U68/S68</f>
        <v>2.7248364836483652</v>
      </c>
      <c r="Q68" s="408">
        <v>2.1800000000000002</v>
      </c>
      <c r="R68" s="377">
        <f t="shared" si="14"/>
        <v>166.81100000000001</v>
      </c>
      <c r="S68" s="380">
        <v>538.1</v>
      </c>
      <c r="T68" s="377">
        <f t="shared" si="15"/>
        <v>672.58463846384643</v>
      </c>
      <c r="U68" s="377">
        <f t="shared" ref="U68:U74" si="17">Q68*T68</f>
        <v>1466.2345118511853</v>
      </c>
      <c r="V68" s="408" t="s">
        <v>2985</v>
      </c>
      <c r="W68" s="408" t="s">
        <v>2985</v>
      </c>
      <c r="X68" s="313" t="s">
        <v>12</v>
      </c>
      <c r="Y68" s="307" t="s">
        <v>129</v>
      </c>
      <c r="Z68" s="307" t="s">
        <v>129</v>
      </c>
      <c r="AA68" s="516" t="s">
        <v>3555</v>
      </c>
      <c r="AB68" s="341" t="s">
        <v>2529</v>
      </c>
      <c r="AC68" s="117" t="s">
        <v>2985</v>
      </c>
      <c r="AD68" s="507" t="s">
        <v>2320</v>
      </c>
      <c r="AE68" s="348" t="s">
        <v>2306</v>
      </c>
      <c r="AF68" s="348" t="s">
        <v>2530</v>
      </c>
      <c r="AG68" s="262" t="s">
        <v>2985</v>
      </c>
      <c r="AH68" s="344">
        <v>75.00750075007501</v>
      </c>
      <c r="AI68" s="352">
        <v>24.992499249924993</v>
      </c>
      <c r="AJ68" s="395">
        <v>0</v>
      </c>
      <c r="AK68" s="365">
        <v>0</v>
      </c>
      <c r="AL68" s="365">
        <v>0</v>
      </c>
      <c r="AM68" s="365">
        <v>0</v>
      </c>
      <c r="AN68" s="353">
        <v>0</v>
      </c>
      <c r="AO68" s="353">
        <v>0</v>
      </c>
      <c r="AP68" s="348">
        <v>0</v>
      </c>
      <c r="AQ68" s="348">
        <v>0</v>
      </c>
      <c r="AR68" s="348">
        <v>0</v>
      </c>
      <c r="AS68" s="348">
        <v>0</v>
      </c>
      <c r="AT68" s="352">
        <v>4.5004500450045004</v>
      </c>
      <c r="AU68" s="348">
        <v>0</v>
      </c>
      <c r="AV68" s="348">
        <v>0</v>
      </c>
      <c r="AW68" s="348">
        <v>0</v>
      </c>
      <c r="AX68" s="341">
        <v>0</v>
      </c>
      <c r="AY68" s="354">
        <v>115.6</v>
      </c>
      <c r="AZ68" s="356">
        <v>57.820050000000002</v>
      </c>
      <c r="BA68" s="316" t="s">
        <v>2985</v>
      </c>
      <c r="BB68" s="94" t="s">
        <v>2985</v>
      </c>
      <c r="BC68" s="355" t="s">
        <v>2985</v>
      </c>
      <c r="BD68" s="348" t="s">
        <v>3544</v>
      </c>
      <c r="BE68" s="389">
        <v>100</v>
      </c>
      <c r="BF68" s="348"/>
      <c r="BG68" s="348" t="str">
        <f t="shared" ref="BG68:BG74" si="18">RIGHT(BD68,LEN(BD68)-FIND("x",BD68,8))</f>
        <v xml:space="preserve"> 400</v>
      </c>
      <c r="BH68" s="416">
        <f t="shared" ref="BH68:BH74" si="19">IF(ISBLANK(BF68),(BE68*BG68)/((4*BG68)+(2*BE68)),BE68*BF68*BG68/2/(BE68*BF68+BE68*BG68+BF68*BG68))</f>
        <v>22.222222222222221</v>
      </c>
      <c r="BI68" s="330" t="s">
        <v>2985</v>
      </c>
      <c r="BJ68" s="307">
        <v>0</v>
      </c>
      <c r="BK68" s="507" t="s">
        <v>2985</v>
      </c>
      <c r="BL68" s="307">
        <v>20</v>
      </c>
      <c r="BM68" s="507" t="s">
        <v>2985</v>
      </c>
      <c r="BN68" s="507">
        <v>100</v>
      </c>
      <c r="BO68" s="259" t="s">
        <v>2985</v>
      </c>
      <c r="BP68" s="350" t="s">
        <v>1040</v>
      </c>
      <c r="BS68" s="321"/>
    </row>
    <row r="69" spans="1:71" s="322" customFormat="1" ht="15" customHeight="1">
      <c r="A69" s="457">
        <v>627</v>
      </c>
      <c r="B69" s="534" t="s">
        <v>3585</v>
      </c>
      <c r="C69" s="383"/>
      <c r="D69" s="383"/>
      <c r="E69" s="469"/>
      <c r="F69" s="494" t="s">
        <v>1082</v>
      </c>
      <c r="G69" s="386" t="s">
        <v>2644</v>
      </c>
      <c r="H69" s="509" t="s">
        <v>549</v>
      </c>
      <c r="I69" s="338" t="s">
        <v>3377</v>
      </c>
      <c r="J69" s="348">
        <v>1995</v>
      </c>
      <c r="K69" s="341">
        <v>174</v>
      </c>
      <c r="L69" s="354" t="s">
        <v>2985</v>
      </c>
      <c r="M69" s="341" t="s">
        <v>1739</v>
      </c>
      <c r="N69" s="446">
        <f t="shared" si="13"/>
        <v>0.23</v>
      </c>
      <c r="O69" s="381">
        <v>0.23</v>
      </c>
      <c r="P69" s="310">
        <f t="shared" si="16"/>
        <v>2.19</v>
      </c>
      <c r="Q69" s="408">
        <v>2.19</v>
      </c>
      <c r="R69" s="377">
        <f t="shared" si="14"/>
        <v>165.00200000000001</v>
      </c>
      <c r="S69" s="380">
        <v>717.4</v>
      </c>
      <c r="T69" s="377">
        <f t="shared" si="15"/>
        <v>717.4</v>
      </c>
      <c r="U69" s="377">
        <f t="shared" si="17"/>
        <v>1571.106</v>
      </c>
      <c r="V69" s="408" t="s">
        <v>2985</v>
      </c>
      <c r="W69" s="408" t="s">
        <v>2985</v>
      </c>
      <c r="X69" s="313" t="s">
        <v>12</v>
      </c>
      <c r="Y69" s="307" t="s">
        <v>12</v>
      </c>
      <c r="Z69" s="307" t="s">
        <v>12</v>
      </c>
      <c r="AA69" s="516" t="s">
        <v>1754</v>
      </c>
      <c r="AB69" s="341" t="s">
        <v>10</v>
      </c>
      <c r="AC69" s="117" t="s">
        <v>2985</v>
      </c>
      <c r="AD69" s="507" t="s">
        <v>2320</v>
      </c>
      <c r="AE69" s="348" t="s">
        <v>2306</v>
      </c>
      <c r="AF69" s="348" t="s">
        <v>2530</v>
      </c>
      <c r="AG69" s="262" t="s">
        <v>2985</v>
      </c>
      <c r="AH69" s="344">
        <v>100</v>
      </c>
      <c r="AI69" s="353">
        <v>0</v>
      </c>
      <c r="AJ69" s="395">
        <v>0</v>
      </c>
      <c r="AK69" s="365">
        <v>0</v>
      </c>
      <c r="AL69" s="365">
        <v>0</v>
      </c>
      <c r="AM69" s="365">
        <v>0</v>
      </c>
      <c r="AN69" s="353">
        <v>0</v>
      </c>
      <c r="AO69" s="353">
        <v>0</v>
      </c>
      <c r="AP69" s="348">
        <v>0</v>
      </c>
      <c r="AQ69" s="348">
        <v>0</v>
      </c>
      <c r="AR69" s="348">
        <v>0</v>
      </c>
      <c r="AS69" s="348">
        <v>0</v>
      </c>
      <c r="AT69" s="352">
        <v>4.5023696682464456</v>
      </c>
      <c r="AU69" s="348">
        <v>0</v>
      </c>
      <c r="AV69" s="348">
        <v>0</v>
      </c>
      <c r="AW69" s="348">
        <v>0</v>
      </c>
      <c r="AX69" s="341">
        <v>0</v>
      </c>
      <c r="AY69" s="354">
        <v>116.6</v>
      </c>
      <c r="AZ69" s="356">
        <v>58.322899999999997</v>
      </c>
      <c r="BA69" s="316" t="s">
        <v>2985</v>
      </c>
      <c r="BB69" s="94" t="s">
        <v>2985</v>
      </c>
      <c r="BC69" s="355" t="s">
        <v>2985</v>
      </c>
      <c r="BD69" s="348" t="s">
        <v>3544</v>
      </c>
      <c r="BE69" s="389">
        <v>100</v>
      </c>
      <c r="BF69" s="348"/>
      <c r="BG69" s="348" t="str">
        <f t="shared" si="18"/>
        <v xml:space="preserve"> 400</v>
      </c>
      <c r="BH69" s="390">
        <f t="shared" si="19"/>
        <v>22.222222222222221</v>
      </c>
      <c r="BI69" s="330" t="s">
        <v>2985</v>
      </c>
      <c r="BJ69" s="307">
        <v>0</v>
      </c>
      <c r="BK69" s="507" t="s">
        <v>2985</v>
      </c>
      <c r="BL69" s="307">
        <v>20</v>
      </c>
      <c r="BM69" s="507" t="s">
        <v>2985</v>
      </c>
      <c r="BN69" s="507">
        <v>100</v>
      </c>
      <c r="BO69" s="259" t="s">
        <v>2985</v>
      </c>
      <c r="BP69" s="350" t="s">
        <v>1040</v>
      </c>
      <c r="BS69" s="321"/>
    </row>
    <row r="70" spans="1:71" s="322" customFormat="1" ht="15" customHeight="1">
      <c r="A70" s="457">
        <v>628</v>
      </c>
      <c r="B70" s="534" t="s">
        <v>3585</v>
      </c>
      <c r="C70" s="383"/>
      <c r="D70" s="383"/>
      <c r="E70" s="469"/>
      <c r="F70" s="494" t="s">
        <v>1081</v>
      </c>
      <c r="G70" s="386" t="s">
        <v>2644</v>
      </c>
      <c r="H70" s="509" t="s">
        <v>549</v>
      </c>
      <c r="I70" s="338" t="s">
        <v>3377</v>
      </c>
      <c r="J70" s="348">
        <v>1995</v>
      </c>
      <c r="K70" s="341">
        <v>174</v>
      </c>
      <c r="L70" s="354" t="s">
        <v>2985</v>
      </c>
      <c r="M70" s="341" t="s">
        <v>1739</v>
      </c>
      <c r="N70" s="446">
        <f t="shared" si="13"/>
        <v>0.23637561779242175</v>
      </c>
      <c r="O70" s="381">
        <v>0.26</v>
      </c>
      <c r="P70" s="310">
        <f t="shared" si="16"/>
        <v>2.3868790075271815</v>
      </c>
      <c r="Q70" s="408">
        <v>2.17</v>
      </c>
      <c r="R70" s="377">
        <f t="shared" si="14"/>
        <v>167.88200000000001</v>
      </c>
      <c r="S70" s="380">
        <v>645.70000000000005</v>
      </c>
      <c r="T70" s="377">
        <f t="shared" si="15"/>
        <v>710.23399776972406</v>
      </c>
      <c r="U70" s="377">
        <f t="shared" si="17"/>
        <v>1541.2077751603013</v>
      </c>
      <c r="V70" s="408" t="s">
        <v>2985</v>
      </c>
      <c r="W70" s="408" t="s">
        <v>2985</v>
      </c>
      <c r="X70" s="313" t="s">
        <v>12</v>
      </c>
      <c r="Y70" s="307" t="s">
        <v>12</v>
      </c>
      <c r="Z70" s="307" t="s">
        <v>12</v>
      </c>
      <c r="AA70" s="311" t="s">
        <v>3538</v>
      </c>
      <c r="AB70" s="341" t="s">
        <v>10</v>
      </c>
      <c r="AC70" s="117" t="s">
        <v>2985</v>
      </c>
      <c r="AD70" s="507" t="s">
        <v>2320</v>
      </c>
      <c r="AE70" s="348" t="s">
        <v>2306</v>
      </c>
      <c r="AF70" s="348" t="s">
        <v>2530</v>
      </c>
      <c r="AG70" s="262" t="s">
        <v>2985</v>
      </c>
      <c r="AH70" s="344">
        <v>90.005575689991645</v>
      </c>
      <c r="AI70" s="352">
        <v>9.9944243100083625</v>
      </c>
      <c r="AJ70" s="395">
        <v>0</v>
      </c>
      <c r="AK70" s="365">
        <v>0</v>
      </c>
      <c r="AL70" s="365">
        <v>0</v>
      </c>
      <c r="AM70" s="365">
        <v>0</v>
      </c>
      <c r="AN70" s="353">
        <v>0</v>
      </c>
      <c r="AO70" s="353">
        <v>0</v>
      </c>
      <c r="AP70" s="348">
        <v>0</v>
      </c>
      <c r="AQ70" s="348">
        <v>0</v>
      </c>
      <c r="AR70" s="348">
        <v>0</v>
      </c>
      <c r="AS70" s="348">
        <v>0</v>
      </c>
      <c r="AT70" s="352">
        <v>4.5023696682464447</v>
      </c>
      <c r="AU70" s="348">
        <v>0</v>
      </c>
      <c r="AV70" s="348">
        <v>0</v>
      </c>
      <c r="AW70" s="348">
        <v>0</v>
      </c>
      <c r="AX70" s="341">
        <v>0</v>
      </c>
      <c r="AY70" s="354">
        <v>115</v>
      </c>
      <c r="AZ70" s="356">
        <v>57.523249999999997</v>
      </c>
      <c r="BA70" s="316" t="s">
        <v>2985</v>
      </c>
      <c r="BB70" s="94" t="s">
        <v>2985</v>
      </c>
      <c r="BC70" s="355" t="s">
        <v>2985</v>
      </c>
      <c r="BD70" s="348" t="s">
        <v>3544</v>
      </c>
      <c r="BE70" s="389">
        <v>100</v>
      </c>
      <c r="BF70" s="348"/>
      <c r="BG70" s="348" t="str">
        <f t="shared" si="18"/>
        <v xml:space="preserve"> 400</v>
      </c>
      <c r="BH70" s="390">
        <f t="shared" si="19"/>
        <v>22.222222222222221</v>
      </c>
      <c r="BI70" s="330" t="s">
        <v>2985</v>
      </c>
      <c r="BJ70" s="307">
        <v>0</v>
      </c>
      <c r="BK70" s="507" t="s">
        <v>2985</v>
      </c>
      <c r="BL70" s="307">
        <v>20</v>
      </c>
      <c r="BM70" s="507" t="s">
        <v>2985</v>
      </c>
      <c r="BN70" s="507">
        <v>100</v>
      </c>
      <c r="BO70" s="259" t="s">
        <v>2985</v>
      </c>
      <c r="BP70" s="350" t="s">
        <v>1040</v>
      </c>
      <c r="BS70" s="321"/>
    </row>
    <row r="71" spans="1:71" s="322" customFormat="1" ht="15" customHeight="1">
      <c r="A71" s="457">
        <v>629</v>
      </c>
      <c r="B71" s="534" t="s">
        <v>3585</v>
      </c>
      <c r="C71" s="383"/>
      <c r="D71" s="383"/>
      <c r="E71" s="469"/>
      <c r="F71" s="494" t="s">
        <v>1080</v>
      </c>
      <c r="G71" s="386" t="s">
        <v>2644</v>
      </c>
      <c r="H71" s="509" t="s">
        <v>549</v>
      </c>
      <c r="I71" s="338" t="s">
        <v>3377</v>
      </c>
      <c r="J71" s="348">
        <v>1995</v>
      </c>
      <c r="K71" s="341">
        <v>174</v>
      </c>
      <c r="L71" s="354" t="s">
        <v>2985</v>
      </c>
      <c r="M71" s="341" t="s">
        <v>1739</v>
      </c>
      <c r="N71" s="446">
        <f t="shared" si="13"/>
        <v>0.23637561779242175</v>
      </c>
      <c r="O71" s="381">
        <v>0.26</v>
      </c>
      <c r="P71" s="310">
        <f t="shared" si="16"/>
        <v>2.3868790075271815</v>
      </c>
      <c r="Q71" s="408">
        <v>2.17</v>
      </c>
      <c r="R71" s="377">
        <f t="shared" si="14"/>
        <v>167.88200000000001</v>
      </c>
      <c r="S71" s="380">
        <v>645.70000000000005</v>
      </c>
      <c r="T71" s="377">
        <f t="shared" si="15"/>
        <v>710.23399776972406</v>
      </c>
      <c r="U71" s="377">
        <f t="shared" si="17"/>
        <v>1541.2077751603013</v>
      </c>
      <c r="V71" s="408" t="s">
        <v>2985</v>
      </c>
      <c r="W71" s="408" t="s">
        <v>2985</v>
      </c>
      <c r="X71" s="313" t="s">
        <v>12</v>
      </c>
      <c r="Y71" s="307" t="s">
        <v>12</v>
      </c>
      <c r="Z71" s="307" t="s">
        <v>12</v>
      </c>
      <c r="AA71" s="311" t="s">
        <v>3538</v>
      </c>
      <c r="AB71" s="341" t="s">
        <v>10</v>
      </c>
      <c r="AC71" s="117" t="s">
        <v>2985</v>
      </c>
      <c r="AD71" s="507" t="s">
        <v>2320</v>
      </c>
      <c r="AE71" s="348" t="s">
        <v>2306</v>
      </c>
      <c r="AF71" s="348" t="s">
        <v>2530</v>
      </c>
      <c r="AG71" s="262" t="s">
        <v>2985</v>
      </c>
      <c r="AH71" s="344">
        <v>90.005575689991645</v>
      </c>
      <c r="AI71" s="352">
        <v>9.9944243100083625</v>
      </c>
      <c r="AJ71" s="395">
        <v>0</v>
      </c>
      <c r="AK71" s="365">
        <v>0</v>
      </c>
      <c r="AL71" s="365">
        <v>0</v>
      </c>
      <c r="AM71" s="365">
        <v>0</v>
      </c>
      <c r="AN71" s="353">
        <v>0</v>
      </c>
      <c r="AO71" s="353">
        <v>0</v>
      </c>
      <c r="AP71" s="348">
        <v>0</v>
      </c>
      <c r="AQ71" s="348">
        <v>0</v>
      </c>
      <c r="AR71" s="348">
        <v>0</v>
      </c>
      <c r="AS71" s="348">
        <v>0</v>
      </c>
      <c r="AT71" s="352">
        <v>4.5023696682464447</v>
      </c>
      <c r="AU71" s="348">
        <v>0</v>
      </c>
      <c r="AV71" s="348">
        <v>0</v>
      </c>
      <c r="AW71" s="348">
        <v>0</v>
      </c>
      <c r="AX71" s="341">
        <v>0</v>
      </c>
      <c r="AY71" s="354">
        <v>115</v>
      </c>
      <c r="AZ71" s="356">
        <v>57.523249999999997</v>
      </c>
      <c r="BA71" s="316" t="s">
        <v>2985</v>
      </c>
      <c r="BB71" s="94" t="s">
        <v>2985</v>
      </c>
      <c r="BC71" s="355" t="s">
        <v>2985</v>
      </c>
      <c r="BD71" s="348" t="s">
        <v>3544</v>
      </c>
      <c r="BE71" s="389">
        <v>100</v>
      </c>
      <c r="BF71" s="348"/>
      <c r="BG71" s="348" t="str">
        <f t="shared" si="18"/>
        <v xml:space="preserve"> 400</v>
      </c>
      <c r="BH71" s="390">
        <f t="shared" si="19"/>
        <v>22.222222222222221</v>
      </c>
      <c r="BI71" s="330" t="s">
        <v>2985</v>
      </c>
      <c r="BJ71" s="307">
        <v>0</v>
      </c>
      <c r="BK71" s="507" t="s">
        <v>2985</v>
      </c>
      <c r="BL71" s="307">
        <v>20</v>
      </c>
      <c r="BM71" s="507" t="s">
        <v>2985</v>
      </c>
      <c r="BN71" s="507">
        <v>100</v>
      </c>
      <c r="BO71" s="259" t="s">
        <v>2985</v>
      </c>
      <c r="BP71" s="350" t="s">
        <v>1040</v>
      </c>
      <c r="BS71" s="321"/>
    </row>
    <row r="72" spans="1:71" s="322" customFormat="1" ht="15" customHeight="1">
      <c r="A72" s="457">
        <v>630</v>
      </c>
      <c r="B72" s="534" t="s">
        <v>3585</v>
      </c>
      <c r="C72" s="383"/>
      <c r="D72" s="383"/>
      <c r="E72" s="469"/>
      <c r="F72" s="494" t="s">
        <v>1079</v>
      </c>
      <c r="G72" s="386" t="s">
        <v>2644</v>
      </c>
      <c r="H72" s="509" t="s">
        <v>549</v>
      </c>
      <c r="I72" s="338" t="s">
        <v>3377</v>
      </c>
      <c r="J72" s="348">
        <v>1995</v>
      </c>
      <c r="K72" s="341">
        <v>174</v>
      </c>
      <c r="L72" s="354" t="s">
        <v>2985</v>
      </c>
      <c r="M72" s="341" t="s">
        <v>1739</v>
      </c>
      <c r="N72" s="446">
        <f t="shared" si="13"/>
        <v>0.23637561779242175</v>
      </c>
      <c r="O72" s="381">
        <v>0.26</v>
      </c>
      <c r="P72" s="310">
        <f t="shared" si="16"/>
        <v>2.3978784499581827</v>
      </c>
      <c r="Q72" s="408">
        <v>2.1800000000000002</v>
      </c>
      <c r="R72" s="377">
        <f t="shared" si="14"/>
        <v>167.88200000000001</v>
      </c>
      <c r="S72" s="380">
        <v>645.70000000000005</v>
      </c>
      <c r="T72" s="377">
        <f t="shared" si="15"/>
        <v>710.23399776972406</v>
      </c>
      <c r="U72" s="377">
        <f t="shared" si="17"/>
        <v>1548.3101151379985</v>
      </c>
      <c r="V72" s="408" t="s">
        <v>2985</v>
      </c>
      <c r="W72" s="408" t="s">
        <v>2985</v>
      </c>
      <c r="X72" s="313" t="s">
        <v>12</v>
      </c>
      <c r="Y72" s="307" t="s">
        <v>12</v>
      </c>
      <c r="Z72" s="307" t="s">
        <v>12</v>
      </c>
      <c r="AA72" s="311" t="s">
        <v>3538</v>
      </c>
      <c r="AB72" s="341" t="s">
        <v>10</v>
      </c>
      <c r="AC72" s="117" t="s">
        <v>2985</v>
      </c>
      <c r="AD72" s="507" t="s">
        <v>2320</v>
      </c>
      <c r="AE72" s="348" t="s">
        <v>2306</v>
      </c>
      <c r="AF72" s="348" t="s">
        <v>2530</v>
      </c>
      <c r="AG72" s="262" t="s">
        <v>2985</v>
      </c>
      <c r="AH72" s="344">
        <v>90.005575689991645</v>
      </c>
      <c r="AI72" s="352">
        <v>9.9944243100083625</v>
      </c>
      <c r="AJ72" s="395">
        <v>0</v>
      </c>
      <c r="AK72" s="365">
        <v>0</v>
      </c>
      <c r="AL72" s="365">
        <v>0</v>
      </c>
      <c r="AM72" s="365">
        <v>0</v>
      </c>
      <c r="AN72" s="353">
        <v>0</v>
      </c>
      <c r="AO72" s="353">
        <v>0</v>
      </c>
      <c r="AP72" s="348">
        <v>0</v>
      </c>
      <c r="AQ72" s="348">
        <v>0</v>
      </c>
      <c r="AR72" s="348">
        <v>0</v>
      </c>
      <c r="AS72" s="348">
        <v>0</v>
      </c>
      <c r="AT72" s="352">
        <v>4.4884304432673545</v>
      </c>
      <c r="AU72" s="348">
        <v>0</v>
      </c>
      <c r="AV72" s="348">
        <v>0</v>
      </c>
      <c r="AW72" s="348">
        <v>0</v>
      </c>
      <c r="AX72" s="341">
        <v>0</v>
      </c>
      <c r="AY72" s="354">
        <v>115</v>
      </c>
      <c r="AZ72" s="356">
        <v>57.523249999999997</v>
      </c>
      <c r="BA72" s="316" t="s">
        <v>2985</v>
      </c>
      <c r="BB72" s="94" t="s">
        <v>2985</v>
      </c>
      <c r="BC72" s="355" t="s">
        <v>2985</v>
      </c>
      <c r="BD72" s="348" t="s">
        <v>3544</v>
      </c>
      <c r="BE72" s="389">
        <v>100</v>
      </c>
      <c r="BF72" s="348"/>
      <c r="BG72" s="348" t="str">
        <f t="shared" si="18"/>
        <v xml:space="preserve"> 400</v>
      </c>
      <c r="BH72" s="390">
        <f t="shared" si="19"/>
        <v>22.222222222222221</v>
      </c>
      <c r="BI72" s="330" t="s">
        <v>2985</v>
      </c>
      <c r="BJ72" s="307">
        <v>0</v>
      </c>
      <c r="BK72" s="507" t="s">
        <v>2985</v>
      </c>
      <c r="BL72" s="307">
        <v>20</v>
      </c>
      <c r="BM72" s="507" t="s">
        <v>2985</v>
      </c>
      <c r="BN72" s="507">
        <v>100</v>
      </c>
      <c r="BO72" s="259" t="s">
        <v>2985</v>
      </c>
      <c r="BP72" s="350" t="s">
        <v>1040</v>
      </c>
      <c r="BS72" s="321"/>
    </row>
    <row r="73" spans="1:71" s="322" customFormat="1" ht="15" customHeight="1">
      <c r="A73" s="457">
        <v>631</v>
      </c>
      <c r="B73" s="534" t="s">
        <v>3585</v>
      </c>
      <c r="C73" s="383"/>
      <c r="D73" s="383"/>
      <c r="E73" s="469"/>
      <c r="F73" s="494" t="s">
        <v>1078</v>
      </c>
      <c r="G73" s="386" t="s">
        <v>2644</v>
      </c>
      <c r="H73" s="509" t="s">
        <v>549</v>
      </c>
      <c r="I73" s="338" t="s">
        <v>3377</v>
      </c>
      <c r="J73" s="348">
        <v>1995</v>
      </c>
      <c r="K73" s="341">
        <v>174</v>
      </c>
      <c r="L73" s="354" t="s">
        <v>2985</v>
      </c>
      <c r="M73" s="341" t="s">
        <v>1739</v>
      </c>
      <c r="N73" s="446">
        <f t="shared" si="13"/>
        <v>0.24801382848221254</v>
      </c>
      <c r="O73" s="381">
        <v>0.31</v>
      </c>
      <c r="P73" s="310">
        <f t="shared" si="16"/>
        <v>2.712348759408977</v>
      </c>
      <c r="Q73" s="408">
        <v>2.17</v>
      </c>
      <c r="R73" s="377">
        <f t="shared" si="14"/>
        <v>166.81100000000001</v>
      </c>
      <c r="S73" s="380">
        <v>538.1</v>
      </c>
      <c r="T73" s="377">
        <f t="shared" si="15"/>
        <v>672.58749651519383</v>
      </c>
      <c r="U73" s="377">
        <f t="shared" si="17"/>
        <v>1459.5148674379707</v>
      </c>
      <c r="V73" s="408" t="s">
        <v>2985</v>
      </c>
      <c r="W73" s="408" t="s">
        <v>2985</v>
      </c>
      <c r="X73" s="313" t="s">
        <v>12</v>
      </c>
      <c r="Y73" s="307" t="s">
        <v>12</v>
      </c>
      <c r="Z73" s="307" t="s">
        <v>12</v>
      </c>
      <c r="AA73" s="516" t="s">
        <v>3555</v>
      </c>
      <c r="AB73" s="341" t="s">
        <v>10</v>
      </c>
      <c r="AC73" s="117" t="s">
        <v>2985</v>
      </c>
      <c r="AD73" s="507" t="s">
        <v>2320</v>
      </c>
      <c r="AE73" s="348" t="s">
        <v>2306</v>
      </c>
      <c r="AF73" s="348" t="s">
        <v>2530</v>
      </c>
      <c r="AG73" s="262" t="s">
        <v>2985</v>
      </c>
      <c r="AH73" s="344">
        <v>75.006969612489542</v>
      </c>
      <c r="AI73" s="352">
        <v>24.993030387510455</v>
      </c>
      <c r="AJ73" s="395">
        <v>0</v>
      </c>
      <c r="AK73" s="365">
        <v>0</v>
      </c>
      <c r="AL73" s="365">
        <v>0</v>
      </c>
      <c r="AM73" s="365">
        <v>0</v>
      </c>
      <c r="AN73" s="353">
        <v>0</v>
      </c>
      <c r="AO73" s="353">
        <v>0</v>
      </c>
      <c r="AP73" s="348">
        <v>0</v>
      </c>
      <c r="AQ73" s="348">
        <v>0</v>
      </c>
      <c r="AR73" s="348">
        <v>0</v>
      </c>
      <c r="AS73" s="348">
        <v>0</v>
      </c>
      <c r="AT73" s="352">
        <v>4.5023696682464447</v>
      </c>
      <c r="AU73" s="348">
        <v>0</v>
      </c>
      <c r="AV73" s="348">
        <v>0</v>
      </c>
      <c r="AW73" s="348">
        <v>0</v>
      </c>
      <c r="AX73" s="341">
        <v>0</v>
      </c>
      <c r="AY73" s="354">
        <v>115.6</v>
      </c>
      <c r="AZ73" s="356">
        <v>57.820599999999999</v>
      </c>
      <c r="BA73" s="316" t="s">
        <v>2985</v>
      </c>
      <c r="BB73" s="94" t="s">
        <v>2985</v>
      </c>
      <c r="BC73" s="355" t="s">
        <v>2985</v>
      </c>
      <c r="BD73" s="348" t="s">
        <v>3544</v>
      </c>
      <c r="BE73" s="389">
        <v>100</v>
      </c>
      <c r="BF73" s="348"/>
      <c r="BG73" s="348" t="str">
        <f t="shared" si="18"/>
        <v xml:space="preserve"> 400</v>
      </c>
      <c r="BH73" s="390">
        <f t="shared" si="19"/>
        <v>22.222222222222221</v>
      </c>
      <c r="BI73" s="330" t="s">
        <v>2985</v>
      </c>
      <c r="BJ73" s="307">
        <v>0</v>
      </c>
      <c r="BK73" s="507" t="s">
        <v>2985</v>
      </c>
      <c r="BL73" s="307">
        <v>20</v>
      </c>
      <c r="BM73" s="507" t="s">
        <v>2985</v>
      </c>
      <c r="BN73" s="507">
        <v>100</v>
      </c>
      <c r="BO73" s="259" t="s">
        <v>2985</v>
      </c>
      <c r="BP73" s="350" t="s">
        <v>1040</v>
      </c>
      <c r="BS73" s="321"/>
    </row>
    <row r="74" spans="1:71" s="322" customFormat="1" ht="15" customHeight="1">
      <c r="A74" s="457">
        <v>632</v>
      </c>
      <c r="B74" s="534" t="s">
        <v>3585</v>
      </c>
      <c r="C74" s="383"/>
      <c r="D74" s="383"/>
      <c r="E74" s="469"/>
      <c r="F74" s="494" t="s">
        <v>1077</v>
      </c>
      <c r="G74" s="386" t="s">
        <v>2644</v>
      </c>
      <c r="H74" s="509" t="s">
        <v>549</v>
      </c>
      <c r="I74" s="338" t="s">
        <v>3377</v>
      </c>
      <c r="J74" s="348">
        <v>1995</v>
      </c>
      <c r="K74" s="341">
        <v>174</v>
      </c>
      <c r="L74" s="354" t="s">
        <v>2985</v>
      </c>
      <c r="M74" s="341" t="s">
        <v>1739</v>
      </c>
      <c r="N74" s="446">
        <f t="shared" si="13"/>
        <v>0.3</v>
      </c>
      <c r="O74" s="381">
        <v>0.3</v>
      </c>
      <c r="P74" s="310">
        <f t="shared" si="16"/>
        <v>3.04</v>
      </c>
      <c r="Q74" s="408">
        <v>3.04</v>
      </c>
      <c r="R74" s="377">
        <f t="shared" si="14"/>
        <v>165</v>
      </c>
      <c r="S74" s="380">
        <v>550</v>
      </c>
      <c r="T74" s="377">
        <f t="shared" si="15"/>
        <v>550</v>
      </c>
      <c r="U74" s="377">
        <f t="shared" si="17"/>
        <v>1672</v>
      </c>
      <c r="V74" s="408" t="s">
        <v>2985</v>
      </c>
      <c r="W74" s="408" t="s">
        <v>2985</v>
      </c>
      <c r="X74" s="313" t="s">
        <v>12</v>
      </c>
      <c r="Y74" s="307" t="s">
        <v>12</v>
      </c>
      <c r="Z74" s="307" t="s">
        <v>12</v>
      </c>
      <c r="AA74" s="516" t="s">
        <v>1754</v>
      </c>
      <c r="AB74" s="341" t="s">
        <v>10</v>
      </c>
      <c r="AC74" s="117" t="s">
        <v>2985</v>
      </c>
      <c r="AD74" s="507" t="s">
        <v>2312</v>
      </c>
      <c r="AE74" s="348" t="s">
        <v>2306</v>
      </c>
      <c r="AF74" s="348" t="s">
        <v>2530</v>
      </c>
      <c r="AG74" s="262" t="s">
        <v>2985</v>
      </c>
      <c r="AH74" s="344">
        <v>100</v>
      </c>
      <c r="AI74" s="353">
        <v>0</v>
      </c>
      <c r="AJ74" s="395">
        <v>0</v>
      </c>
      <c r="AK74" s="365">
        <v>0</v>
      </c>
      <c r="AL74" s="365">
        <v>0</v>
      </c>
      <c r="AM74" s="365">
        <v>0</v>
      </c>
      <c r="AN74" s="353">
        <v>0</v>
      </c>
      <c r="AO74" s="353">
        <v>0</v>
      </c>
      <c r="AP74" s="348">
        <v>0</v>
      </c>
      <c r="AQ74" s="348">
        <v>0</v>
      </c>
      <c r="AR74" s="348">
        <v>0</v>
      </c>
      <c r="AS74" s="348">
        <v>0</v>
      </c>
      <c r="AT74" s="352">
        <v>1</v>
      </c>
      <c r="AU74" s="348">
        <v>0</v>
      </c>
      <c r="AV74" s="348">
        <v>0</v>
      </c>
      <c r="AW74" s="348">
        <v>0</v>
      </c>
      <c r="AX74" s="341">
        <v>0</v>
      </c>
      <c r="AY74" s="354">
        <v>82.88</v>
      </c>
      <c r="AZ74" s="356">
        <v>41.440519999999999</v>
      </c>
      <c r="BA74" s="316" t="s">
        <v>2985</v>
      </c>
      <c r="BB74" s="94" t="s">
        <v>2985</v>
      </c>
      <c r="BC74" s="355" t="s">
        <v>2985</v>
      </c>
      <c r="BD74" s="348" t="s">
        <v>3544</v>
      </c>
      <c r="BE74" s="389">
        <v>100</v>
      </c>
      <c r="BF74" s="348"/>
      <c r="BG74" s="348" t="str">
        <f t="shared" si="18"/>
        <v xml:space="preserve"> 400</v>
      </c>
      <c r="BH74" s="390">
        <f t="shared" si="19"/>
        <v>22.222222222222221</v>
      </c>
      <c r="BI74" s="330" t="s">
        <v>2985</v>
      </c>
      <c r="BJ74" s="307">
        <v>0</v>
      </c>
      <c r="BK74" s="507" t="s">
        <v>2985</v>
      </c>
      <c r="BL74" s="307">
        <v>20</v>
      </c>
      <c r="BM74" s="507" t="s">
        <v>2985</v>
      </c>
      <c r="BN74" s="507">
        <v>100</v>
      </c>
      <c r="BO74" s="259" t="s">
        <v>2985</v>
      </c>
      <c r="BP74" s="350" t="s">
        <v>1040</v>
      </c>
      <c r="BS74" s="321"/>
    </row>
    <row r="75" spans="1:71" s="322" customFormat="1" ht="15" customHeight="1">
      <c r="A75" s="457">
        <v>633</v>
      </c>
      <c r="B75" s="533" t="s">
        <v>3614</v>
      </c>
      <c r="C75" s="383"/>
      <c r="D75" s="383"/>
      <c r="E75" s="469"/>
      <c r="F75" s="303" t="s">
        <v>1076</v>
      </c>
      <c r="G75" s="386" t="s">
        <v>2644</v>
      </c>
      <c r="H75" s="340" t="s">
        <v>549</v>
      </c>
      <c r="I75" s="338" t="s">
        <v>3377</v>
      </c>
      <c r="J75" s="348">
        <v>1995</v>
      </c>
      <c r="K75" s="341">
        <v>174</v>
      </c>
      <c r="L75" s="354" t="s">
        <v>2985</v>
      </c>
      <c r="M75" s="341" t="s">
        <v>1739</v>
      </c>
      <c r="N75" s="446">
        <f t="shared" si="13"/>
        <v>0.44999999999999996</v>
      </c>
      <c r="O75" s="307">
        <v>0.45</v>
      </c>
      <c r="P75" s="409" t="s">
        <v>2985</v>
      </c>
      <c r="Q75" s="409" t="s">
        <v>2985</v>
      </c>
      <c r="R75" s="377">
        <f t="shared" si="14"/>
        <v>165.01499999999999</v>
      </c>
      <c r="S75" s="307">
        <v>366.7</v>
      </c>
      <c r="T75" s="377">
        <f t="shared" si="15"/>
        <v>366.7</v>
      </c>
      <c r="U75" s="409" t="s">
        <v>2985</v>
      </c>
      <c r="V75" s="408" t="s">
        <v>2985</v>
      </c>
      <c r="W75" s="408" t="s">
        <v>2985</v>
      </c>
      <c r="X75" s="303" t="s">
        <v>12</v>
      </c>
      <c r="Y75" s="307" t="s">
        <v>12</v>
      </c>
      <c r="Z75" s="317" t="s">
        <v>2985</v>
      </c>
      <c r="AA75" s="311" t="s">
        <v>1754</v>
      </c>
      <c r="AB75" s="304" t="s">
        <v>10</v>
      </c>
      <c r="AC75" s="441" t="s">
        <v>2985</v>
      </c>
      <c r="AD75" s="515" t="s">
        <v>2985</v>
      </c>
      <c r="AE75" s="348" t="s">
        <v>2306</v>
      </c>
      <c r="AF75" s="348" t="s">
        <v>2530</v>
      </c>
      <c r="AG75" s="262" t="s">
        <v>2985</v>
      </c>
      <c r="AH75" s="351">
        <v>100</v>
      </c>
      <c r="AI75" s="348">
        <v>0</v>
      </c>
      <c r="AJ75" s="348">
        <v>0</v>
      </c>
      <c r="AK75" s="348">
        <v>0</v>
      </c>
      <c r="AL75" s="348">
        <v>0</v>
      </c>
      <c r="AM75" s="348">
        <v>0</v>
      </c>
      <c r="AN75" s="348">
        <v>0</v>
      </c>
      <c r="AO75" s="348">
        <v>0</v>
      </c>
      <c r="AP75" s="307">
        <v>0</v>
      </c>
      <c r="AQ75" s="348">
        <v>0</v>
      </c>
      <c r="AR75" s="348">
        <v>0</v>
      </c>
      <c r="AS75" s="365">
        <v>0</v>
      </c>
      <c r="AT75" s="396">
        <v>0.5999454595036815</v>
      </c>
      <c r="AU75" s="365">
        <v>0</v>
      </c>
      <c r="AV75" s="365">
        <v>0</v>
      </c>
      <c r="AW75" s="348">
        <v>0</v>
      </c>
      <c r="AX75" s="341">
        <v>0</v>
      </c>
      <c r="AY75" s="354" t="s">
        <v>2985</v>
      </c>
      <c r="AZ75" s="316"/>
      <c r="BA75" s="316" t="s">
        <v>2985</v>
      </c>
      <c r="BB75" s="94" t="s">
        <v>2985</v>
      </c>
      <c r="BC75" s="355" t="s">
        <v>2985</v>
      </c>
      <c r="BD75" s="348" t="s">
        <v>3544</v>
      </c>
      <c r="BE75" s="348">
        <v>100</v>
      </c>
      <c r="BF75" s="348"/>
      <c r="BG75" s="389">
        <v>400</v>
      </c>
      <c r="BH75" s="427">
        <v>22.222222222222221</v>
      </c>
      <c r="BI75" s="330" t="s">
        <v>2985</v>
      </c>
      <c r="BJ75" s="307">
        <v>0</v>
      </c>
      <c r="BK75" s="318" t="s">
        <v>2985</v>
      </c>
      <c r="BL75" s="307">
        <v>20</v>
      </c>
      <c r="BM75" s="318" t="s">
        <v>2985</v>
      </c>
      <c r="BN75" s="317" t="s">
        <v>2985</v>
      </c>
      <c r="BO75" s="432" t="s">
        <v>2985</v>
      </c>
      <c r="BP75" s="343" t="s">
        <v>1040</v>
      </c>
      <c r="BS75" s="321"/>
    </row>
    <row r="76" spans="1:71" s="322" customFormat="1" ht="15" customHeight="1">
      <c r="A76" s="336">
        <v>700</v>
      </c>
      <c r="B76" s="533" t="s">
        <v>3614</v>
      </c>
      <c r="C76" s="466" t="s">
        <v>3590</v>
      </c>
      <c r="D76" s="466" t="s">
        <v>3590</v>
      </c>
      <c r="E76" s="469"/>
      <c r="F76" s="494" t="s">
        <v>1005</v>
      </c>
      <c r="G76" s="386" t="s">
        <v>2670</v>
      </c>
      <c r="H76" s="509" t="s">
        <v>549</v>
      </c>
      <c r="I76" s="338" t="s">
        <v>3377</v>
      </c>
      <c r="J76" s="307">
        <v>2002</v>
      </c>
      <c r="K76" s="304">
        <v>184</v>
      </c>
      <c r="L76" s="330" t="s">
        <v>2985</v>
      </c>
      <c r="M76" s="304" t="s">
        <v>1751</v>
      </c>
      <c r="N76" s="446">
        <f t="shared" si="13"/>
        <v>0.42499999999999999</v>
      </c>
      <c r="O76" s="381">
        <v>0.42499999999999999</v>
      </c>
      <c r="P76" s="329">
        <v>4.1359223300970873</v>
      </c>
      <c r="Q76" s="310">
        <f t="shared" ref="Q76:Q107" si="20">U76/T76</f>
        <v>4.1359223300970873</v>
      </c>
      <c r="R76" s="377">
        <f t="shared" si="14"/>
        <v>175.1</v>
      </c>
      <c r="S76" s="380">
        <v>412</v>
      </c>
      <c r="T76" s="377">
        <f t="shared" si="15"/>
        <v>412</v>
      </c>
      <c r="U76" s="377">
        <f t="shared" ref="U76:U107" si="21">P76*S76</f>
        <v>1704</v>
      </c>
      <c r="V76" s="495">
        <v>1114.107</v>
      </c>
      <c r="W76" s="496">
        <f t="shared" ref="W76:W87" si="22">U76-V76</f>
        <v>589.89300000000003</v>
      </c>
      <c r="X76" s="313" t="s">
        <v>12</v>
      </c>
      <c r="Y76" s="307" t="s">
        <v>12</v>
      </c>
      <c r="Z76" s="307" t="s">
        <v>12</v>
      </c>
      <c r="AA76" s="516" t="s">
        <v>1754</v>
      </c>
      <c r="AB76" s="304" t="s">
        <v>10</v>
      </c>
      <c r="AC76" s="117" t="s">
        <v>3346</v>
      </c>
      <c r="AD76" s="507" t="s">
        <v>2310</v>
      </c>
      <c r="AE76" s="307" t="s">
        <v>2306</v>
      </c>
      <c r="AF76" s="307" t="s">
        <v>2530</v>
      </c>
      <c r="AG76" s="262" t="s">
        <v>2985</v>
      </c>
      <c r="AH76" s="344">
        <v>100</v>
      </c>
      <c r="AI76" s="312">
        <v>0</v>
      </c>
      <c r="AJ76" s="394">
        <v>0</v>
      </c>
      <c r="AK76" s="315">
        <v>0</v>
      </c>
      <c r="AL76" s="315">
        <v>0</v>
      </c>
      <c r="AM76" s="315">
        <v>0</v>
      </c>
      <c r="AN76" s="312">
        <v>0</v>
      </c>
      <c r="AO76" s="312">
        <v>0</v>
      </c>
      <c r="AP76" s="307">
        <v>0</v>
      </c>
      <c r="AQ76" s="307">
        <v>0</v>
      </c>
      <c r="AR76" s="307">
        <v>0</v>
      </c>
      <c r="AS76" s="307">
        <v>0</v>
      </c>
      <c r="AT76" s="312">
        <v>0</v>
      </c>
      <c r="AU76" s="307">
        <v>0</v>
      </c>
      <c r="AV76" s="307">
        <v>0</v>
      </c>
      <c r="AW76" s="307">
        <v>0</v>
      </c>
      <c r="AX76" s="304">
        <v>0</v>
      </c>
      <c r="AY76" s="417">
        <v>40.799999999999997</v>
      </c>
      <c r="AZ76" s="502"/>
      <c r="BA76" s="317" t="s">
        <v>2985</v>
      </c>
      <c r="BB76" s="94" t="s">
        <v>2985</v>
      </c>
      <c r="BC76" s="355" t="s">
        <v>2985</v>
      </c>
      <c r="BD76" s="348" t="s">
        <v>3544</v>
      </c>
      <c r="BE76" s="382">
        <v>100</v>
      </c>
      <c r="BF76" s="307"/>
      <c r="BG76" s="307" t="str">
        <f t="shared" ref="BG76:BG87" si="23">RIGHT(BD76,LEN(BD76)-FIND("x",BD76,8))</f>
        <v xml:space="preserve"> 400</v>
      </c>
      <c r="BH76" s="390">
        <v>22.222222222222221</v>
      </c>
      <c r="BI76" s="303">
        <v>99</v>
      </c>
      <c r="BJ76" s="307">
        <v>7</v>
      </c>
      <c r="BK76" s="317" t="s">
        <v>2985</v>
      </c>
      <c r="BL76" s="307">
        <v>20</v>
      </c>
      <c r="BM76" s="374" t="s">
        <v>2985</v>
      </c>
      <c r="BN76" s="307">
        <v>60</v>
      </c>
      <c r="BO76" s="319" t="s">
        <v>2548</v>
      </c>
      <c r="BP76" s="325"/>
      <c r="BS76" s="321"/>
    </row>
    <row r="77" spans="1:71" s="322" customFormat="1" ht="15" customHeight="1">
      <c r="A77" s="336">
        <v>701</v>
      </c>
      <c r="B77" s="533" t="s">
        <v>3614</v>
      </c>
      <c r="C77" s="466" t="s">
        <v>3590</v>
      </c>
      <c r="D77" s="466" t="s">
        <v>3590</v>
      </c>
      <c r="E77" s="469"/>
      <c r="F77" s="494" t="s">
        <v>1004</v>
      </c>
      <c r="G77" s="386" t="s">
        <v>2670</v>
      </c>
      <c r="H77" s="509" t="s">
        <v>549</v>
      </c>
      <c r="I77" s="338" t="s">
        <v>3377</v>
      </c>
      <c r="J77" s="307">
        <v>2002</v>
      </c>
      <c r="K77" s="304">
        <v>184</v>
      </c>
      <c r="L77" s="330" t="s">
        <v>2985</v>
      </c>
      <c r="M77" s="304" t="s">
        <v>1751</v>
      </c>
      <c r="N77" s="446">
        <f t="shared" si="13"/>
        <v>0.42499999999999999</v>
      </c>
      <c r="O77" s="381">
        <v>0.42499999999999999</v>
      </c>
      <c r="P77" s="329">
        <v>4.1359223300970873</v>
      </c>
      <c r="Q77" s="310">
        <f t="shared" si="20"/>
        <v>4.1359223300970873</v>
      </c>
      <c r="R77" s="377">
        <f t="shared" si="14"/>
        <v>175.1</v>
      </c>
      <c r="S77" s="380">
        <v>412</v>
      </c>
      <c r="T77" s="377">
        <f t="shared" si="15"/>
        <v>412</v>
      </c>
      <c r="U77" s="377">
        <f t="shared" si="21"/>
        <v>1704</v>
      </c>
      <c r="V77" s="495">
        <v>1114.107</v>
      </c>
      <c r="W77" s="496">
        <f t="shared" si="22"/>
        <v>589.89300000000003</v>
      </c>
      <c r="X77" s="313" t="s">
        <v>12</v>
      </c>
      <c r="Y77" s="307" t="s">
        <v>12</v>
      </c>
      <c r="Z77" s="307" t="s">
        <v>12</v>
      </c>
      <c r="AA77" s="516" t="s">
        <v>1754</v>
      </c>
      <c r="AB77" s="304" t="s">
        <v>10</v>
      </c>
      <c r="AC77" s="117" t="s">
        <v>3346</v>
      </c>
      <c r="AD77" s="507" t="s">
        <v>2310</v>
      </c>
      <c r="AE77" s="307" t="s">
        <v>2306</v>
      </c>
      <c r="AF77" s="307" t="s">
        <v>2530</v>
      </c>
      <c r="AG77" s="262" t="s">
        <v>2985</v>
      </c>
      <c r="AH77" s="344">
        <v>100</v>
      </c>
      <c r="AI77" s="312">
        <v>0</v>
      </c>
      <c r="AJ77" s="394">
        <v>0</v>
      </c>
      <c r="AK77" s="315">
        <v>0</v>
      </c>
      <c r="AL77" s="315">
        <v>0</v>
      </c>
      <c r="AM77" s="315">
        <v>0</v>
      </c>
      <c r="AN77" s="312">
        <v>0</v>
      </c>
      <c r="AO77" s="312">
        <v>0</v>
      </c>
      <c r="AP77" s="307">
        <v>0</v>
      </c>
      <c r="AQ77" s="307">
        <v>0</v>
      </c>
      <c r="AR77" s="307">
        <v>0</v>
      </c>
      <c r="AS77" s="307">
        <v>0</v>
      </c>
      <c r="AT77" s="312">
        <v>0</v>
      </c>
      <c r="AU77" s="307">
        <v>0</v>
      </c>
      <c r="AV77" s="311">
        <v>1.46</v>
      </c>
      <c r="AW77" s="307">
        <v>0</v>
      </c>
      <c r="AX77" s="304">
        <v>0</v>
      </c>
      <c r="AY77" s="417">
        <v>41</v>
      </c>
      <c r="AZ77" s="502"/>
      <c r="BA77" s="317" t="s">
        <v>2985</v>
      </c>
      <c r="BB77" s="94" t="s">
        <v>2985</v>
      </c>
      <c r="BC77" s="355" t="s">
        <v>2985</v>
      </c>
      <c r="BD77" s="348" t="s">
        <v>3544</v>
      </c>
      <c r="BE77" s="382">
        <v>100</v>
      </c>
      <c r="BF77" s="307"/>
      <c r="BG77" s="307" t="str">
        <f t="shared" si="23"/>
        <v xml:space="preserve"> 400</v>
      </c>
      <c r="BH77" s="390">
        <v>22.222222222222221</v>
      </c>
      <c r="BI77" s="303">
        <v>99</v>
      </c>
      <c r="BJ77" s="307">
        <v>7</v>
      </c>
      <c r="BK77" s="317" t="s">
        <v>2985</v>
      </c>
      <c r="BL77" s="307">
        <v>20</v>
      </c>
      <c r="BM77" s="374" t="s">
        <v>2985</v>
      </c>
      <c r="BN77" s="307">
        <v>60</v>
      </c>
      <c r="BO77" s="319" t="s">
        <v>2548</v>
      </c>
      <c r="BP77" s="325" t="s">
        <v>557</v>
      </c>
      <c r="BS77" s="321"/>
    </row>
    <row r="78" spans="1:71" s="322" customFormat="1" ht="15" customHeight="1">
      <c r="A78" s="336">
        <v>702</v>
      </c>
      <c r="B78" s="533" t="s">
        <v>3614</v>
      </c>
      <c r="C78" s="466"/>
      <c r="D78" s="466" t="s">
        <v>3590</v>
      </c>
      <c r="E78" s="469"/>
      <c r="F78" s="494" t="s">
        <v>1003</v>
      </c>
      <c r="G78" s="386" t="s">
        <v>2670</v>
      </c>
      <c r="H78" s="509" t="s">
        <v>549</v>
      </c>
      <c r="I78" s="338" t="s">
        <v>3377</v>
      </c>
      <c r="J78" s="307">
        <v>2002</v>
      </c>
      <c r="K78" s="304">
        <v>184</v>
      </c>
      <c r="L78" s="330" t="s">
        <v>2985</v>
      </c>
      <c r="M78" s="304" t="s">
        <v>1751</v>
      </c>
      <c r="N78" s="446">
        <f t="shared" si="13"/>
        <v>0.55000000000000004</v>
      </c>
      <c r="O78" s="381">
        <v>0.55000000000000004</v>
      </c>
      <c r="P78" s="329">
        <v>5.60062893081761</v>
      </c>
      <c r="Q78" s="310">
        <f t="shared" si="20"/>
        <v>5.60062893081761</v>
      </c>
      <c r="R78" s="377">
        <f t="shared" si="14"/>
        <v>174.9</v>
      </c>
      <c r="S78" s="380">
        <v>318</v>
      </c>
      <c r="T78" s="377">
        <f t="shared" si="15"/>
        <v>318</v>
      </c>
      <c r="U78" s="377">
        <f t="shared" si="21"/>
        <v>1781</v>
      </c>
      <c r="V78" s="495">
        <v>1147.788</v>
      </c>
      <c r="W78" s="496">
        <f t="shared" si="22"/>
        <v>633.21199999999999</v>
      </c>
      <c r="X78" s="313" t="s">
        <v>12</v>
      </c>
      <c r="Y78" s="307" t="s">
        <v>12</v>
      </c>
      <c r="Z78" s="307" t="s">
        <v>12</v>
      </c>
      <c r="AA78" s="516" t="s">
        <v>1754</v>
      </c>
      <c r="AB78" s="304" t="s">
        <v>10</v>
      </c>
      <c r="AC78" s="117" t="s">
        <v>3346</v>
      </c>
      <c r="AD78" s="507" t="s">
        <v>2310</v>
      </c>
      <c r="AE78" s="307" t="s">
        <v>2306</v>
      </c>
      <c r="AF78" s="307" t="s">
        <v>2530</v>
      </c>
      <c r="AG78" s="262" t="s">
        <v>2985</v>
      </c>
      <c r="AH78" s="344">
        <v>100</v>
      </c>
      <c r="AI78" s="312">
        <v>0</v>
      </c>
      <c r="AJ78" s="394">
        <v>0</v>
      </c>
      <c r="AK78" s="315">
        <v>0</v>
      </c>
      <c r="AL78" s="315">
        <v>0</v>
      </c>
      <c r="AM78" s="315">
        <v>0</v>
      </c>
      <c r="AN78" s="312">
        <v>0</v>
      </c>
      <c r="AO78" s="312">
        <v>0</v>
      </c>
      <c r="AP78" s="307">
        <v>0</v>
      </c>
      <c r="AQ78" s="307">
        <v>0</v>
      </c>
      <c r="AR78" s="307">
        <v>0</v>
      </c>
      <c r="AS78" s="307">
        <v>0</v>
      </c>
      <c r="AT78" s="312">
        <v>0</v>
      </c>
      <c r="AU78" s="307">
        <v>0</v>
      </c>
      <c r="AV78" s="307">
        <v>0</v>
      </c>
      <c r="AW78" s="307">
        <v>0</v>
      </c>
      <c r="AX78" s="304">
        <v>0</v>
      </c>
      <c r="AY78" s="417">
        <v>84.3</v>
      </c>
      <c r="AZ78" s="502"/>
      <c r="BA78" s="317" t="s">
        <v>2985</v>
      </c>
      <c r="BB78" s="94" t="s">
        <v>2985</v>
      </c>
      <c r="BC78" s="355" t="s">
        <v>2985</v>
      </c>
      <c r="BD78" s="348" t="s">
        <v>3544</v>
      </c>
      <c r="BE78" s="382">
        <v>100</v>
      </c>
      <c r="BF78" s="307"/>
      <c r="BG78" s="307" t="str">
        <f t="shared" si="23"/>
        <v xml:space="preserve"> 400</v>
      </c>
      <c r="BH78" s="390">
        <v>22.222222222222221</v>
      </c>
      <c r="BI78" s="303">
        <v>99</v>
      </c>
      <c r="BJ78" s="307">
        <v>7</v>
      </c>
      <c r="BK78" s="317" t="s">
        <v>2985</v>
      </c>
      <c r="BL78" s="307">
        <v>20</v>
      </c>
      <c r="BM78" s="374" t="s">
        <v>2985</v>
      </c>
      <c r="BN78" s="307">
        <v>60</v>
      </c>
      <c r="BO78" s="319" t="s">
        <v>2548</v>
      </c>
      <c r="BP78" s="325"/>
      <c r="BS78" s="321"/>
    </row>
    <row r="79" spans="1:71" s="322" customFormat="1" ht="15" customHeight="1">
      <c r="A79" s="336">
        <v>703</v>
      </c>
      <c r="B79" s="533" t="s">
        <v>3614</v>
      </c>
      <c r="C79" s="466" t="s">
        <v>3590</v>
      </c>
      <c r="D79" s="466" t="s">
        <v>3590</v>
      </c>
      <c r="E79" s="469"/>
      <c r="F79" s="494" t="s">
        <v>1002</v>
      </c>
      <c r="G79" s="386" t="s">
        <v>2670</v>
      </c>
      <c r="H79" s="509" t="s">
        <v>549</v>
      </c>
      <c r="I79" s="338" t="s">
        <v>3377</v>
      </c>
      <c r="J79" s="307">
        <v>2002</v>
      </c>
      <c r="K79" s="304">
        <v>184</v>
      </c>
      <c r="L79" s="330" t="s">
        <v>2985</v>
      </c>
      <c r="M79" s="304" t="s">
        <v>1751</v>
      </c>
      <c r="N79" s="446">
        <f t="shared" si="13"/>
        <v>0.55000000000000004</v>
      </c>
      <c r="O79" s="381">
        <v>0.55000000000000004</v>
      </c>
      <c r="P79" s="329">
        <v>5.60062893081761</v>
      </c>
      <c r="Q79" s="310">
        <f t="shared" si="20"/>
        <v>5.60062893081761</v>
      </c>
      <c r="R79" s="377">
        <f t="shared" si="14"/>
        <v>174.9</v>
      </c>
      <c r="S79" s="380">
        <v>318</v>
      </c>
      <c r="T79" s="377">
        <f t="shared" si="15"/>
        <v>318</v>
      </c>
      <c r="U79" s="377">
        <f t="shared" si="21"/>
        <v>1781</v>
      </c>
      <c r="V79" s="495">
        <v>1147.788</v>
      </c>
      <c r="W79" s="496">
        <f t="shared" si="22"/>
        <v>633.21199999999999</v>
      </c>
      <c r="X79" s="313" t="s">
        <v>12</v>
      </c>
      <c r="Y79" s="307" t="s">
        <v>12</v>
      </c>
      <c r="Z79" s="307" t="s">
        <v>12</v>
      </c>
      <c r="AA79" s="516" t="s">
        <v>1754</v>
      </c>
      <c r="AB79" s="304" t="s">
        <v>10</v>
      </c>
      <c r="AC79" s="117" t="s">
        <v>3346</v>
      </c>
      <c r="AD79" s="507" t="s">
        <v>2310</v>
      </c>
      <c r="AE79" s="307" t="s">
        <v>2306</v>
      </c>
      <c r="AF79" s="307" t="s">
        <v>2530</v>
      </c>
      <c r="AG79" s="262" t="s">
        <v>2985</v>
      </c>
      <c r="AH79" s="344">
        <v>100</v>
      </c>
      <c r="AI79" s="312">
        <v>0</v>
      </c>
      <c r="AJ79" s="394">
        <v>0</v>
      </c>
      <c r="AK79" s="315">
        <v>0</v>
      </c>
      <c r="AL79" s="315">
        <v>0</v>
      </c>
      <c r="AM79" s="315">
        <v>0</v>
      </c>
      <c r="AN79" s="312">
        <v>0</v>
      </c>
      <c r="AO79" s="312">
        <v>0</v>
      </c>
      <c r="AP79" s="307">
        <v>0</v>
      </c>
      <c r="AQ79" s="307">
        <v>0</v>
      </c>
      <c r="AR79" s="307">
        <v>0</v>
      </c>
      <c r="AS79" s="307">
        <v>0</v>
      </c>
      <c r="AT79" s="312">
        <v>0</v>
      </c>
      <c r="AU79" s="307">
        <v>0</v>
      </c>
      <c r="AV79" s="311">
        <v>1.8900000000000001</v>
      </c>
      <c r="AW79" s="307">
        <v>0</v>
      </c>
      <c r="AX79" s="304">
        <v>0</v>
      </c>
      <c r="AY79" s="417">
        <v>46.7</v>
      </c>
      <c r="AZ79" s="502"/>
      <c r="BA79" s="317" t="s">
        <v>2985</v>
      </c>
      <c r="BB79" s="94" t="s">
        <v>2985</v>
      </c>
      <c r="BC79" s="355" t="s">
        <v>2985</v>
      </c>
      <c r="BD79" s="348" t="s">
        <v>3544</v>
      </c>
      <c r="BE79" s="382">
        <v>100</v>
      </c>
      <c r="BF79" s="307"/>
      <c r="BG79" s="307" t="str">
        <f t="shared" si="23"/>
        <v xml:space="preserve"> 400</v>
      </c>
      <c r="BH79" s="390">
        <v>22.222222222222221</v>
      </c>
      <c r="BI79" s="303">
        <v>99</v>
      </c>
      <c r="BJ79" s="307">
        <v>7</v>
      </c>
      <c r="BK79" s="317" t="s">
        <v>2985</v>
      </c>
      <c r="BL79" s="307">
        <v>20</v>
      </c>
      <c r="BM79" s="374" t="s">
        <v>2985</v>
      </c>
      <c r="BN79" s="307">
        <v>60</v>
      </c>
      <c r="BO79" s="319" t="s">
        <v>2548</v>
      </c>
      <c r="BP79" s="325" t="s">
        <v>557</v>
      </c>
      <c r="BS79" s="321"/>
    </row>
    <row r="80" spans="1:71" s="322" customFormat="1" ht="15" customHeight="1">
      <c r="A80" s="336">
        <v>704</v>
      </c>
      <c r="B80" s="534" t="s">
        <v>3609</v>
      </c>
      <c r="C80" s="383"/>
      <c r="D80" s="466" t="s">
        <v>3590</v>
      </c>
      <c r="E80" s="469"/>
      <c r="F80" s="494" t="s">
        <v>1001</v>
      </c>
      <c r="G80" s="386" t="s">
        <v>2670</v>
      </c>
      <c r="H80" s="509" t="s">
        <v>549</v>
      </c>
      <c r="I80" s="338" t="s">
        <v>3377</v>
      </c>
      <c r="J80" s="307">
        <v>2002</v>
      </c>
      <c r="K80" s="304">
        <v>184</v>
      </c>
      <c r="L80" s="330" t="s">
        <v>2985</v>
      </c>
      <c r="M80" s="304" t="s">
        <v>1751</v>
      </c>
      <c r="N80" s="446">
        <f t="shared" si="13"/>
        <v>0.3</v>
      </c>
      <c r="O80" s="381">
        <v>0.3</v>
      </c>
      <c r="P80" s="329">
        <v>2.7890222984562607</v>
      </c>
      <c r="Q80" s="310">
        <f t="shared" si="20"/>
        <v>2.7890222984562607</v>
      </c>
      <c r="R80" s="377">
        <f t="shared" si="14"/>
        <v>174.9</v>
      </c>
      <c r="S80" s="380">
        <v>583</v>
      </c>
      <c r="T80" s="377">
        <f t="shared" si="15"/>
        <v>583</v>
      </c>
      <c r="U80" s="377">
        <f t="shared" si="21"/>
        <v>1626</v>
      </c>
      <c r="V80" s="495">
        <v>1078.7539999999999</v>
      </c>
      <c r="W80" s="496">
        <f t="shared" si="22"/>
        <v>547.24600000000009</v>
      </c>
      <c r="X80" s="313" t="s">
        <v>12</v>
      </c>
      <c r="Y80" s="307" t="s">
        <v>12</v>
      </c>
      <c r="Z80" s="311" t="s">
        <v>3618</v>
      </c>
      <c r="AA80" s="516" t="s">
        <v>1754</v>
      </c>
      <c r="AB80" s="304" t="s">
        <v>10</v>
      </c>
      <c r="AC80" s="117" t="s">
        <v>3346</v>
      </c>
      <c r="AD80" s="507" t="s">
        <v>2310</v>
      </c>
      <c r="AE80" s="307" t="s">
        <v>2306</v>
      </c>
      <c r="AF80" s="307" t="s">
        <v>2530</v>
      </c>
      <c r="AG80" s="262" t="s">
        <v>2985</v>
      </c>
      <c r="AH80" s="344">
        <v>100</v>
      </c>
      <c r="AI80" s="312">
        <v>0</v>
      </c>
      <c r="AJ80" s="394">
        <v>0</v>
      </c>
      <c r="AK80" s="315">
        <v>0</v>
      </c>
      <c r="AL80" s="315">
        <v>0</v>
      </c>
      <c r="AM80" s="315">
        <v>0</v>
      </c>
      <c r="AN80" s="312">
        <v>0</v>
      </c>
      <c r="AO80" s="312">
        <v>0</v>
      </c>
      <c r="AP80" s="307">
        <v>0</v>
      </c>
      <c r="AQ80" s="307">
        <v>0</v>
      </c>
      <c r="AR80" s="307">
        <v>0</v>
      </c>
      <c r="AS80" s="307">
        <v>0</v>
      </c>
      <c r="AT80" s="312">
        <v>0</v>
      </c>
      <c r="AU80" s="307">
        <v>0</v>
      </c>
      <c r="AV80" s="307">
        <v>0</v>
      </c>
      <c r="AW80" s="307">
        <v>0</v>
      </c>
      <c r="AX80" s="304">
        <v>0</v>
      </c>
      <c r="AY80" s="417">
        <v>87.5</v>
      </c>
      <c r="AZ80" s="502">
        <v>40.25</v>
      </c>
      <c r="BA80" s="317" t="s">
        <v>2985</v>
      </c>
      <c r="BB80" s="94" t="s">
        <v>2985</v>
      </c>
      <c r="BC80" s="355" t="s">
        <v>2985</v>
      </c>
      <c r="BD80" s="348" t="s">
        <v>3544</v>
      </c>
      <c r="BE80" s="382">
        <v>100</v>
      </c>
      <c r="BF80" s="307"/>
      <c r="BG80" s="307" t="str">
        <f t="shared" si="23"/>
        <v xml:space="preserve"> 400</v>
      </c>
      <c r="BH80" s="390">
        <v>22.222222222222221</v>
      </c>
      <c r="BI80" s="303">
        <v>99</v>
      </c>
      <c r="BJ80" s="307">
        <v>7</v>
      </c>
      <c r="BK80" s="311">
        <v>20</v>
      </c>
      <c r="BL80" s="307">
        <v>20</v>
      </c>
      <c r="BM80" s="374" t="s">
        <v>2985</v>
      </c>
      <c r="BN80" s="307">
        <v>60</v>
      </c>
      <c r="BO80" s="319" t="s">
        <v>2548</v>
      </c>
      <c r="BP80" s="325"/>
      <c r="BS80" s="321"/>
    </row>
    <row r="81" spans="1:71" s="322" customFormat="1" ht="15" customHeight="1">
      <c r="A81" s="336">
        <v>705</v>
      </c>
      <c r="B81" s="534" t="s">
        <v>3609</v>
      </c>
      <c r="C81" s="383"/>
      <c r="D81" s="466" t="s">
        <v>3590</v>
      </c>
      <c r="E81" s="469"/>
      <c r="F81" s="494" t="s">
        <v>1000</v>
      </c>
      <c r="G81" s="386" t="s">
        <v>2670</v>
      </c>
      <c r="H81" s="509" t="s">
        <v>549</v>
      </c>
      <c r="I81" s="338" t="s">
        <v>3377</v>
      </c>
      <c r="J81" s="307">
        <v>2002</v>
      </c>
      <c r="K81" s="304">
        <v>184</v>
      </c>
      <c r="L81" s="330" t="s">
        <v>2985</v>
      </c>
      <c r="M81" s="304" t="s">
        <v>1751</v>
      </c>
      <c r="N81" s="446">
        <f t="shared" si="13"/>
        <v>0.3</v>
      </c>
      <c r="O81" s="381">
        <v>0.3</v>
      </c>
      <c r="P81" s="329">
        <v>2.7890222984562607</v>
      </c>
      <c r="Q81" s="310">
        <f t="shared" si="20"/>
        <v>2.7890222984562607</v>
      </c>
      <c r="R81" s="377">
        <f t="shared" si="14"/>
        <v>174.9</v>
      </c>
      <c r="S81" s="380">
        <v>583</v>
      </c>
      <c r="T81" s="377">
        <f t="shared" si="15"/>
        <v>583</v>
      </c>
      <c r="U81" s="377">
        <f t="shared" si="21"/>
        <v>1626</v>
      </c>
      <c r="V81" s="495">
        <v>1078.7539999999999</v>
      </c>
      <c r="W81" s="496">
        <f t="shared" si="22"/>
        <v>547.24600000000009</v>
      </c>
      <c r="X81" s="313" t="s">
        <v>12</v>
      </c>
      <c r="Y81" s="307" t="s">
        <v>12</v>
      </c>
      <c r="Z81" s="311" t="s">
        <v>3618</v>
      </c>
      <c r="AA81" s="516" t="s">
        <v>1754</v>
      </c>
      <c r="AB81" s="304" t="s">
        <v>10</v>
      </c>
      <c r="AC81" s="117" t="s">
        <v>3346</v>
      </c>
      <c r="AD81" s="507" t="s">
        <v>2310</v>
      </c>
      <c r="AE81" s="307" t="s">
        <v>2306</v>
      </c>
      <c r="AF81" s="307" t="s">
        <v>2530</v>
      </c>
      <c r="AG81" s="262" t="s">
        <v>2985</v>
      </c>
      <c r="AH81" s="344">
        <v>100</v>
      </c>
      <c r="AI81" s="312">
        <v>0</v>
      </c>
      <c r="AJ81" s="394">
        <v>0</v>
      </c>
      <c r="AK81" s="315">
        <v>0</v>
      </c>
      <c r="AL81" s="315">
        <v>0</v>
      </c>
      <c r="AM81" s="315">
        <v>0</v>
      </c>
      <c r="AN81" s="312">
        <v>0</v>
      </c>
      <c r="AO81" s="312">
        <v>0</v>
      </c>
      <c r="AP81" s="307">
        <v>0</v>
      </c>
      <c r="AQ81" s="307">
        <v>0</v>
      </c>
      <c r="AR81" s="307">
        <v>0</v>
      </c>
      <c r="AS81" s="307">
        <v>0</v>
      </c>
      <c r="AT81" s="312">
        <v>0</v>
      </c>
      <c r="AU81" s="307">
        <v>0</v>
      </c>
      <c r="AV81" s="311">
        <v>0.51</v>
      </c>
      <c r="AW81" s="307">
        <v>0</v>
      </c>
      <c r="AX81" s="304">
        <v>0</v>
      </c>
      <c r="AY81" s="417">
        <v>80</v>
      </c>
      <c r="AZ81" s="502">
        <v>40</v>
      </c>
      <c r="BA81" s="317" t="s">
        <v>2985</v>
      </c>
      <c r="BB81" s="94" t="s">
        <v>2985</v>
      </c>
      <c r="BC81" s="355" t="s">
        <v>2985</v>
      </c>
      <c r="BD81" s="348" t="s">
        <v>3544</v>
      </c>
      <c r="BE81" s="382">
        <v>100</v>
      </c>
      <c r="BF81" s="307"/>
      <c r="BG81" s="307" t="str">
        <f t="shared" si="23"/>
        <v xml:space="preserve"> 400</v>
      </c>
      <c r="BH81" s="390">
        <v>22.222222222222221</v>
      </c>
      <c r="BI81" s="303">
        <v>99</v>
      </c>
      <c r="BJ81" s="307">
        <v>7</v>
      </c>
      <c r="BK81" s="311">
        <v>20</v>
      </c>
      <c r="BL81" s="307">
        <v>20</v>
      </c>
      <c r="BM81" s="374" t="s">
        <v>2985</v>
      </c>
      <c r="BN81" s="307">
        <v>60</v>
      </c>
      <c r="BO81" s="319" t="s">
        <v>2548</v>
      </c>
      <c r="BP81" s="325" t="s">
        <v>557</v>
      </c>
      <c r="BS81" s="321"/>
    </row>
    <row r="82" spans="1:71" s="322" customFormat="1" ht="15" customHeight="1">
      <c r="A82" s="336">
        <v>706</v>
      </c>
      <c r="B82" s="534" t="s">
        <v>3609</v>
      </c>
      <c r="C82" s="383"/>
      <c r="D82" s="466" t="s">
        <v>3590</v>
      </c>
      <c r="E82" s="469"/>
      <c r="F82" s="494" t="s">
        <v>999</v>
      </c>
      <c r="G82" s="386" t="s">
        <v>2670</v>
      </c>
      <c r="H82" s="509" t="s">
        <v>549</v>
      </c>
      <c r="I82" s="338" t="s">
        <v>3377</v>
      </c>
      <c r="J82" s="307">
        <v>2002</v>
      </c>
      <c r="K82" s="304">
        <v>184</v>
      </c>
      <c r="L82" s="330" t="s">
        <v>2985</v>
      </c>
      <c r="M82" s="304" t="s">
        <v>1751</v>
      </c>
      <c r="N82" s="446">
        <f t="shared" si="13"/>
        <v>0.3</v>
      </c>
      <c r="O82" s="381">
        <v>0.3</v>
      </c>
      <c r="P82" s="329">
        <v>2.7890222984562607</v>
      </c>
      <c r="Q82" s="310">
        <f t="shared" si="20"/>
        <v>2.7890222984562607</v>
      </c>
      <c r="R82" s="377">
        <f t="shared" si="14"/>
        <v>174.9</v>
      </c>
      <c r="S82" s="380">
        <v>583</v>
      </c>
      <c r="T82" s="377">
        <f t="shared" si="15"/>
        <v>583</v>
      </c>
      <c r="U82" s="377">
        <f t="shared" si="21"/>
        <v>1626</v>
      </c>
      <c r="V82" s="495">
        <v>1078.7539999999999</v>
      </c>
      <c r="W82" s="496">
        <f t="shared" si="22"/>
        <v>547.24600000000009</v>
      </c>
      <c r="X82" s="313" t="s">
        <v>12</v>
      </c>
      <c r="Y82" s="307" t="s">
        <v>12</v>
      </c>
      <c r="Z82" s="311" t="s">
        <v>3618</v>
      </c>
      <c r="AA82" s="516" t="s">
        <v>1754</v>
      </c>
      <c r="AB82" s="304" t="s">
        <v>10</v>
      </c>
      <c r="AC82" s="117" t="s">
        <v>3346</v>
      </c>
      <c r="AD82" s="507" t="s">
        <v>2310</v>
      </c>
      <c r="AE82" s="307" t="s">
        <v>2306</v>
      </c>
      <c r="AF82" s="307" t="s">
        <v>2530</v>
      </c>
      <c r="AG82" s="262" t="s">
        <v>2985</v>
      </c>
      <c r="AH82" s="344">
        <v>100</v>
      </c>
      <c r="AI82" s="312">
        <v>0</v>
      </c>
      <c r="AJ82" s="394">
        <v>0</v>
      </c>
      <c r="AK82" s="315">
        <v>0</v>
      </c>
      <c r="AL82" s="315">
        <v>0</v>
      </c>
      <c r="AM82" s="315">
        <v>0</v>
      </c>
      <c r="AN82" s="312">
        <v>0</v>
      </c>
      <c r="AO82" s="312">
        <v>0</v>
      </c>
      <c r="AP82" s="307">
        <v>0</v>
      </c>
      <c r="AQ82" s="307">
        <v>0</v>
      </c>
      <c r="AR82" s="307">
        <v>0</v>
      </c>
      <c r="AS82" s="307">
        <v>0</v>
      </c>
      <c r="AT82" s="312">
        <v>0</v>
      </c>
      <c r="AU82" s="307">
        <v>0</v>
      </c>
      <c r="AV82" s="311">
        <v>1.03</v>
      </c>
      <c r="AW82" s="307">
        <v>0</v>
      </c>
      <c r="AX82" s="304">
        <v>0</v>
      </c>
      <c r="AY82" s="417">
        <v>83.3</v>
      </c>
      <c r="AZ82" s="502">
        <v>41.65</v>
      </c>
      <c r="BA82" s="317" t="s">
        <v>2985</v>
      </c>
      <c r="BB82" s="94" t="s">
        <v>2985</v>
      </c>
      <c r="BC82" s="355" t="s">
        <v>2985</v>
      </c>
      <c r="BD82" s="348" t="s">
        <v>3544</v>
      </c>
      <c r="BE82" s="382">
        <v>100</v>
      </c>
      <c r="BF82" s="307"/>
      <c r="BG82" s="307" t="str">
        <f t="shared" si="23"/>
        <v xml:space="preserve"> 400</v>
      </c>
      <c r="BH82" s="390">
        <v>22.222222222222221</v>
      </c>
      <c r="BI82" s="303">
        <v>99</v>
      </c>
      <c r="BJ82" s="307">
        <v>7</v>
      </c>
      <c r="BK82" s="311">
        <v>20</v>
      </c>
      <c r="BL82" s="307">
        <v>20</v>
      </c>
      <c r="BM82" s="374" t="s">
        <v>2985</v>
      </c>
      <c r="BN82" s="307">
        <v>60</v>
      </c>
      <c r="BO82" s="319" t="s">
        <v>2548</v>
      </c>
      <c r="BP82" s="325" t="s">
        <v>557</v>
      </c>
      <c r="BS82" s="321"/>
    </row>
    <row r="83" spans="1:71" s="322" customFormat="1" ht="15" customHeight="1">
      <c r="A83" s="336">
        <v>707</v>
      </c>
      <c r="B83" s="534" t="s">
        <v>3609</v>
      </c>
      <c r="C83" s="383"/>
      <c r="D83" s="466" t="s">
        <v>3590</v>
      </c>
      <c r="E83" s="469"/>
      <c r="F83" s="494" t="s">
        <v>998</v>
      </c>
      <c r="G83" s="386" t="s">
        <v>2670</v>
      </c>
      <c r="H83" s="509" t="s">
        <v>549</v>
      </c>
      <c r="I83" s="338" t="s">
        <v>3377</v>
      </c>
      <c r="J83" s="307">
        <v>2002</v>
      </c>
      <c r="K83" s="304">
        <v>184</v>
      </c>
      <c r="L83" s="330" t="s">
        <v>2985</v>
      </c>
      <c r="M83" s="304" t="s">
        <v>1751</v>
      </c>
      <c r="N83" s="446">
        <f t="shared" si="13"/>
        <v>0.3</v>
      </c>
      <c r="O83" s="381">
        <v>0.3</v>
      </c>
      <c r="P83" s="329">
        <v>2.7890222984562607</v>
      </c>
      <c r="Q83" s="310">
        <f t="shared" si="20"/>
        <v>2.7890222984562607</v>
      </c>
      <c r="R83" s="377">
        <f t="shared" si="14"/>
        <v>174.9</v>
      </c>
      <c r="S83" s="380">
        <v>583</v>
      </c>
      <c r="T83" s="377">
        <f t="shared" si="15"/>
        <v>583</v>
      </c>
      <c r="U83" s="377">
        <f t="shared" si="21"/>
        <v>1626</v>
      </c>
      <c r="V83" s="495">
        <v>1078.7539999999999</v>
      </c>
      <c r="W83" s="496">
        <f t="shared" si="22"/>
        <v>547.24600000000009</v>
      </c>
      <c r="X83" s="313" t="s">
        <v>12</v>
      </c>
      <c r="Y83" s="307" t="s">
        <v>12</v>
      </c>
      <c r="Z83" s="311" t="s">
        <v>3618</v>
      </c>
      <c r="AA83" s="516" t="s">
        <v>1754</v>
      </c>
      <c r="AB83" s="304" t="s">
        <v>10</v>
      </c>
      <c r="AC83" s="117" t="s">
        <v>3346</v>
      </c>
      <c r="AD83" s="507" t="s">
        <v>2310</v>
      </c>
      <c r="AE83" s="307" t="s">
        <v>2306</v>
      </c>
      <c r="AF83" s="307" t="s">
        <v>2530</v>
      </c>
      <c r="AG83" s="262" t="s">
        <v>2985</v>
      </c>
      <c r="AH83" s="344">
        <v>100</v>
      </c>
      <c r="AI83" s="312">
        <v>0</v>
      </c>
      <c r="AJ83" s="394">
        <v>0</v>
      </c>
      <c r="AK83" s="315">
        <v>0</v>
      </c>
      <c r="AL83" s="315">
        <v>0</v>
      </c>
      <c r="AM83" s="315">
        <v>0</v>
      </c>
      <c r="AN83" s="312">
        <v>0</v>
      </c>
      <c r="AO83" s="312">
        <v>0</v>
      </c>
      <c r="AP83" s="307">
        <v>0</v>
      </c>
      <c r="AQ83" s="307">
        <v>0</v>
      </c>
      <c r="AR83" s="307">
        <v>0</v>
      </c>
      <c r="AS83" s="307">
        <v>0</v>
      </c>
      <c r="AT83" s="312">
        <v>0</v>
      </c>
      <c r="AU83" s="307">
        <v>0</v>
      </c>
      <c r="AV83" s="311">
        <v>1.54</v>
      </c>
      <c r="AW83" s="307">
        <v>0</v>
      </c>
      <c r="AX83" s="304">
        <v>0</v>
      </c>
      <c r="AY83" s="417">
        <v>79.7</v>
      </c>
      <c r="AZ83" s="502">
        <v>39.85</v>
      </c>
      <c r="BA83" s="317" t="s">
        <v>2985</v>
      </c>
      <c r="BB83" s="94" t="s">
        <v>2985</v>
      </c>
      <c r="BC83" s="355" t="s">
        <v>2985</v>
      </c>
      <c r="BD83" s="348" t="s">
        <v>3544</v>
      </c>
      <c r="BE83" s="382">
        <v>100</v>
      </c>
      <c r="BF83" s="307"/>
      <c r="BG83" s="307" t="str">
        <f t="shared" si="23"/>
        <v xml:space="preserve"> 400</v>
      </c>
      <c r="BH83" s="390">
        <v>22.222222222222221</v>
      </c>
      <c r="BI83" s="303">
        <v>99</v>
      </c>
      <c r="BJ83" s="307">
        <v>7</v>
      </c>
      <c r="BK83" s="311">
        <v>20</v>
      </c>
      <c r="BL83" s="307">
        <v>20</v>
      </c>
      <c r="BM83" s="374" t="s">
        <v>2985</v>
      </c>
      <c r="BN83" s="307">
        <v>60</v>
      </c>
      <c r="BO83" s="319" t="s">
        <v>2548</v>
      </c>
      <c r="BP83" s="325" t="s">
        <v>557</v>
      </c>
      <c r="BS83" s="321"/>
    </row>
    <row r="84" spans="1:71" s="322" customFormat="1" ht="15" customHeight="1">
      <c r="A84" s="336">
        <v>905</v>
      </c>
      <c r="B84" s="533" t="s">
        <v>3614</v>
      </c>
      <c r="C84" s="466" t="s">
        <v>3590</v>
      </c>
      <c r="D84" s="466" t="s">
        <v>3590</v>
      </c>
      <c r="E84" s="469"/>
      <c r="F84" s="494" t="s">
        <v>797</v>
      </c>
      <c r="G84" s="386" t="s">
        <v>2688</v>
      </c>
      <c r="H84" s="509" t="s">
        <v>549</v>
      </c>
      <c r="I84" s="338" t="s">
        <v>3377</v>
      </c>
      <c r="J84" s="307">
        <v>1999</v>
      </c>
      <c r="K84" s="304">
        <v>212</v>
      </c>
      <c r="L84" s="330" t="s">
        <v>2985</v>
      </c>
      <c r="M84" s="304" t="s">
        <v>1751</v>
      </c>
      <c r="N84" s="446">
        <f t="shared" si="13"/>
        <v>0.46</v>
      </c>
      <c r="O84" s="349">
        <v>0.46</v>
      </c>
      <c r="P84" s="329">
        <v>3.876681614349776</v>
      </c>
      <c r="Q84" s="310">
        <f t="shared" si="20"/>
        <v>3.876681614349776</v>
      </c>
      <c r="R84" s="377">
        <f t="shared" si="14"/>
        <v>205.16</v>
      </c>
      <c r="S84" s="380">
        <v>446</v>
      </c>
      <c r="T84" s="377">
        <f t="shared" si="15"/>
        <v>446</v>
      </c>
      <c r="U84" s="377">
        <f t="shared" si="21"/>
        <v>1729</v>
      </c>
      <c r="V84" s="495">
        <v>1133.0340000000001</v>
      </c>
      <c r="W84" s="496">
        <f t="shared" si="22"/>
        <v>595.96599999999989</v>
      </c>
      <c r="X84" s="313" t="s">
        <v>12</v>
      </c>
      <c r="Y84" s="307" t="s">
        <v>12</v>
      </c>
      <c r="Z84" s="307" t="s">
        <v>12</v>
      </c>
      <c r="AA84" s="516" t="s">
        <v>1754</v>
      </c>
      <c r="AB84" s="304" t="s">
        <v>10</v>
      </c>
      <c r="AC84" s="162" t="s">
        <v>3376</v>
      </c>
      <c r="AD84" s="507" t="s">
        <v>2312</v>
      </c>
      <c r="AE84" s="507" t="s">
        <v>2985</v>
      </c>
      <c r="AF84" s="507" t="s">
        <v>2985</v>
      </c>
      <c r="AG84" s="262" t="s">
        <v>2985</v>
      </c>
      <c r="AH84" s="344">
        <v>100</v>
      </c>
      <c r="AI84" s="312">
        <v>0</v>
      </c>
      <c r="AJ84" s="394">
        <v>0</v>
      </c>
      <c r="AK84" s="315">
        <v>0</v>
      </c>
      <c r="AL84" s="315">
        <v>0</v>
      </c>
      <c r="AM84" s="315">
        <v>0</v>
      </c>
      <c r="AN84" s="312">
        <v>0</v>
      </c>
      <c r="AO84" s="312">
        <v>0</v>
      </c>
      <c r="AP84" s="307">
        <v>0</v>
      </c>
      <c r="AQ84" s="307">
        <v>0</v>
      </c>
      <c r="AR84" s="307">
        <v>0</v>
      </c>
      <c r="AS84" s="307">
        <v>0</v>
      </c>
      <c r="AT84" s="312">
        <v>0</v>
      </c>
      <c r="AU84" s="307">
        <v>0</v>
      </c>
      <c r="AV84" s="307">
        <v>0</v>
      </c>
      <c r="AW84" s="307">
        <v>0</v>
      </c>
      <c r="AX84" s="304">
        <v>0</v>
      </c>
      <c r="AY84" s="417">
        <v>40</v>
      </c>
      <c r="AZ84" s="502"/>
      <c r="BA84" s="317" t="s">
        <v>2985</v>
      </c>
      <c r="BB84" s="94" t="s">
        <v>2985</v>
      </c>
      <c r="BC84" s="355" t="s">
        <v>2985</v>
      </c>
      <c r="BD84" s="380" t="s">
        <v>3574</v>
      </c>
      <c r="BE84" s="382">
        <v>100</v>
      </c>
      <c r="BF84" s="307"/>
      <c r="BG84" s="307" t="str">
        <f t="shared" si="23"/>
        <v xml:space="preserve"> 500</v>
      </c>
      <c r="BH84" s="390">
        <v>22.727272727272727</v>
      </c>
      <c r="BI84" s="303">
        <v>100</v>
      </c>
      <c r="BJ84" s="307">
        <v>7</v>
      </c>
      <c r="BK84" s="317" t="s">
        <v>2985</v>
      </c>
      <c r="BL84" s="307">
        <v>23</v>
      </c>
      <c r="BM84" s="317" t="s">
        <v>2985</v>
      </c>
      <c r="BN84" s="307">
        <v>50</v>
      </c>
      <c r="BO84" s="319" t="s">
        <v>2547</v>
      </c>
      <c r="BP84" s="325"/>
      <c r="BS84" s="321"/>
    </row>
    <row r="85" spans="1:71" s="322" customFormat="1" ht="15" customHeight="1">
      <c r="A85" s="336">
        <v>906</v>
      </c>
      <c r="B85" s="533" t="s">
        <v>3614</v>
      </c>
      <c r="C85" s="466" t="s">
        <v>3590</v>
      </c>
      <c r="D85" s="466" t="s">
        <v>3590</v>
      </c>
      <c r="E85" s="469"/>
      <c r="F85" s="494" t="s">
        <v>796</v>
      </c>
      <c r="G85" s="386" t="s">
        <v>2688</v>
      </c>
      <c r="H85" s="509" t="s">
        <v>549</v>
      </c>
      <c r="I85" s="338" t="s">
        <v>3377</v>
      </c>
      <c r="J85" s="307">
        <v>1999</v>
      </c>
      <c r="K85" s="304">
        <v>212</v>
      </c>
      <c r="L85" s="330" t="s">
        <v>2985</v>
      </c>
      <c r="M85" s="304" t="s">
        <v>1751</v>
      </c>
      <c r="N85" s="446">
        <f t="shared" si="13"/>
        <v>0.57422969187675066</v>
      </c>
      <c r="O85" s="349">
        <f>205/357</f>
        <v>0.57422969187675066</v>
      </c>
      <c r="P85" s="329">
        <v>4.8431372549019605</v>
      </c>
      <c r="Q85" s="310">
        <f t="shared" si="20"/>
        <v>4.8431372549019605</v>
      </c>
      <c r="R85" s="377">
        <f t="shared" si="14"/>
        <v>204.99999999999997</v>
      </c>
      <c r="S85" s="380">
        <v>357</v>
      </c>
      <c r="T85" s="377">
        <f t="shared" si="15"/>
        <v>357</v>
      </c>
      <c r="U85" s="377">
        <f t="shared" si="21"/>
        <v>1728.9999999999998</v>
      </c>
      <c r="V85" s="495">
        <v>1169.0909999999999</v>
      </c>
      <c r="W85" s="496">
        <f t="shared" si="22"/>
        <v>559.90899999999988</v>
      </c>
      <c r="X85" s="313" t="s">
        <v>12</v>
      </c>
      <c r="Y85" s="307" t="s">
        <v>12</v>
      </c>
      <c r="Z85" s="307" t="s">
        <v>12</v>
      </c>
      <c r="AA85" s="516" t="s">
        <v>1754</v>
      </c>
      <c r="AB85" s="304" t="s">
        <v>10</v>
      </c>
      <c r="AC85" s="162" t="s">
        <v>3376</v>
      </c>
      <c r="AD85" s="507" t="s">
        <v>2312</v>
      </c>
      <c r="AE85" s="507" t="s">
        <v>2985</v>
      </c>
      <c r="AF85" s="507" t="s">
        <v>2985</v>
      </c>
      <c r="AG85" s="262" t="s">
        <v>2985</v>
      </c>
      <c r="AH85" s="344">
        <v>100</v>
      </c>
      <c r="AI85" s="312">
        <v>0</v>
      </c>
      <c r="AJ85" s="394">
        <v>0</v>
      </c>
      <c r="AK85" s="315">
        <v>0</v>
      </c>
      <c r="AL85" s="315">
        <v>0</v>
      </c>
      <c r="AM85" s="315">
        <v>0</v>
      </c>
      <c r="AN85" s="312">
        <v>0</v>
      </c>
      <c r="AO85" s="312">
        <v>0</v>
      </c>
      <c r="AP85" s="307">
        <v>0</v>
      </c>
      <c r="AQ85" s="307">
        <v>0</v>
      </c>
      <c r="AR85" s="307">
        <v>0</v>
      </c>
      <c r="AS85" s="307">
        <v>0</v>
      </c>
      <c r="AT85" s="312">
        <v>0</v>
      </c>
      <c r="AU85" s="307">
        <v>0</v>
      </c>
      <c r="AV85" s="307">
        <v>0</v>
      </c>
      <c r="AW85" s="307">
        <v>0</v>
      </c>
      <c r="AX85" s="304">
        <v>0</v>
      </c>
      <c r="AY85" s="417">
        <v>40</v>
      </c>
      <c r="AZ85" s="502"/>
      <c r="BA85" s="317" t="s">
        <v>2985</v>
      </c>
      <c r="BB85" s="94" t="s">
        <v>2985</v>
      </c>
      <c r="BC85" s="355" t="s">
        <v>2985</v>
      </c>
      <c r="BD85" s="380" t="s">
        <v>3574</v>
      </c>
      <c r="BE85" s="382">
        <v>100</v>
      </c>
      <c r="BF85" s="307"/>
      <c r="BG85" s="307" t="str">
        <f t="shared" si="23"/>
        <v xml:space="preserve"> 500</v>
      </c>
      <c r="BH85" s="390">
        <v>22.727272727272727</v>
      </c>
      <c r="BI85" s="303">
        <v>100</v>
      </c>
      <c r="BJ85" s="307">
        <v>7</v>
      </c>
      <c r="BK85" s="317" t="s">
        <v>2985</v>
      </c>
      <c r="BL85" s="307">
        <v>23</v>
      </c>
      <c r="BM85" s="317" t="s">
        <v>2985</v>
      </c>
      <c r="BN85" s="307">
        <v>50</v>
      </c>
      <c r="BO85" s="319" t="s">
        <v>2547</v>
      </c>
      <c r="BP85" s="325" t="s">
        <v>2998</v>
      </c>
      <c r="BS85" s="321"/>
    </row>
    <row r="86" spans="1:71" s="322" customFormat="1" ht="15" customHeight="1">
      <c r="A86" s="336">
        <v>907</v>
      </c>
      <c r="B86" s="533" t="s">
        <v>3614</v>
      </c>
      <c r="C86" s="466" t="s">
        <v>3590</v>
      </c>
      <c r="D86" s="466" t="s">
        <v>3590</v>
      </c>
      <c r="E86" s="469"/>
      <c r="F86" s="494" t="s">
        <v>795</v>
      </c>
      <c r="G86" s="386" t="s">
        <v>2688</v>
      </c>
      <c r="H86" s="509" t="s">
        <v>549</v>
      </c>
      <c r="I86" s="338" t="s">
        <v>3377</v>
      </c>
      <c r="J86" s="307">
        <v>1999</v>
      </c>
      <c r="K86" s="304">
        <v>212</v>
      </c>
      <c r="L86" s="330" t="s">
        <v>2985</v>
      </c>
      <c r="M86" s="304" t="s">
        <v>1751</v>
      </c>
      <c r="N86" s="446">
        <f t="shared" si="13"/>
        <v>0.65705128205128205</v>
      </c>
      <c r="O86" s="349">
        <f>205/312</f>
        <v>0.65705128205128205</v>
      </c>
      <c r="P86" s="329">
        <v>5.541666666666667</v>
      </c>
      <c r="Q86" s="310">
        <f t="shared" si="20"/>
        <v>5.541666666666667</v>
      </c>
      <c r="R86" s="377">
        <f t="shared" si="14"/>
        <v>205</v>
      </c>
      <c r="S86" s="380">
        <v>312</v>
      </c>
      <c r="T86" s="377">
        <f t="shared" si="15"/>
        <v>312</v>
      </c>
      <c r="U86" s="377">
        <f t="shared" si="21"/>
        <v>1729</v>
      </c>
      <c r="V86" s="495">
        <v>1195.2660000000001</v>
      </c>
      <c r="W86" s="496">
        <f t="shared" si="22"/>
        <v>533.73399999999992</v>
      </c>
      <c r="X86" s="313" t="s">
        <v>12</v>
      </c>
      <c r="Y86" s="307" t="s">
        <v>12</v>
      </c>
      <c r="Z86" s="307" t="s">
        <v>12</v>
      </c>
      <c r="AA86" s="516" t="s">
        <v>1754</v>
      </c>
      <c r="AB86" s="304" t="s">
        <v>10</v>
      </c>
      <c r="AC86" s="162" t="s">
        <v>3376</v>
      </c>
      <c r="AD86" s="507" t="s">
        <v>2312</v>
      </c>
      <c r="AE86" s="507" t="s">
        <v>2985</v>
      </c>
      <c r="AF86" s="507" t="s">
        <v>2985</v>
      </c>
      <c r="AG86" s="262" t="s">
        <v>2985</v>
      </c>
      <c r="AH86" s="344">
        <v>100</v>
      </c>
      <c r="AI86" s="312">
        <v>0</v>
      </c>
      <c r="AJ86" s="394">
        <v>0</v>
      </c>
      <c r="AK86" s="315">
        <v>0</v>
      </c>
      <c r="AL86" s="315">
        <v>0</v>
      </c>
      <c r="AM86" s="315">
        <v>0</v>
      </c>
      <c r="AN86" s="312">
        <v>0</v>
      </c>
      <c r="AO86" s="312">
        <v>0</v>
      </c>
      <c r="AP86" s="307">
        <v>0</v>
      </c>
      <c r="AQ86" s="307">
        <v>0</v>
      </c>
      <c r="AR86" s="307">
        <v>0</v>
      </c>
      <c r="AS86" s="307">
        <v>0</v>
      </c>
      <c r="AT86" s="312">
        <v>0</v>
      </c>
      <c r="AU86" s="307">
        <v>0</v>
      </c>
      <c r="AV86" s="307">
        <v>0</v>
      </c>
      <c r="AW86" s="307">
        <v>0</v>
      </c>
      <c r="AX86" s="304">
        <v>0</v>
      </c>
      <c r="AY86" s="417">
        <v>34</v>
      </c>
      <c r="AZ86" s="502"/>
      <c r="BA86" s="317" t="s">
        <v>2985</v>
      </c>
      <c r="BB86" s="94" t="s">
        <v>2985</v>
      </c>
      <c r="BC86" s="355" t="s">
        <v>2985</v>
      </c>
      <c r="BD86" s="380" t="s">
        <v>3574</v>
      </c>
      <c r="BE86" s="382">
        <v>100</v>
      </c>
      <c r="BF86" s="307"/>
      <c r="BG86" s="307" t="str">
        <f t="shared" si="23"/>
        <v xml:space="preserve"> 500</v>
      </c>
      <c r="BH86" s="390">
        <v>22.727272727272727</v>
      </c>
      <c r="BI86" s="303">
        <v>100</v>
      </c>
      <c r="BJ86" s="307">
        <v>7</v>
      </c>
      <c r="BK86" s="317" t="s">
        <v>2985</v>
      </c>
      <c r="BL86" s="307">
        <v>23</v>
      </c>
      <c r="BM86" s="317" t="s">
        <v>2985</v>
      </c>
      <c r="BN86" s="307">
        <v>50</v>
      </c>
      <c r="BO86" s="319" t="s">
        <v>2547</v>
      </c>
      <c r="BP86" s="325" t="s">
        <v>2998</v>
      </c>
      <c r="BS86" s="321"/>
    </row>
    <row r="87" spans="1:71" s="26" customFormat="1" ht="15" customHeight="1">
      <c r="A87" s="336">
        <v>908</v>
      </c>
      <c r="B87" s="533" t="s">
        <v>3614</v>
      </c>
      <c r="C87" s="466" t="s">
        <v>3590</v>
      </c>
      <c r="D87" s="466" t="s">
        <v>3590</v>
      </c>
      <c r="E87" s="469"/>
      <c r="F87" s="494" t="s">
        <v>794</v>
      </c>
      <c r="G87" s="386" t="s">
        <v>2688</v>
      </c>
      <c r="H87" s="509" t="s">
        <v>549</v>
      </c>
      <c r="I87" s="338" t="s">
        <v>3377</v>
      </c>
      <c r="J87" s="307">
        <v>1999</v>
      </c>
      <c r="K87" s="304">
        <v>212</v>
      </c>
      <c r="L87" s="330" t="s">
        <v>2985</v>
      </c>
      <c r="M87" s="304" t="s">
        <v>1751</v>
      </c>
      <c r="N87" s="446">
        <f t="shared" si="13"/>
        <v>0.76779026217228463</v>
      </c>
      <c r="O87" s="349">
        <f>205/267</f>
        <v>0.76779026217228463</v>
      </c>
      <c r="P87" s="329">
        <v>6.4756554307116101</v>
      </c>
      <c r="Q87" s="310">
        <f t="shared" si="20"/>
        <v>6.4756554307116101</v>
      </c>
      <c r="R87" s="377">
        <f t="shared" si="14"/>
        <v>205</v>
      </c>
      <c r="S87" s="380">
        <v>267</v>
      </c>
      <c r="T87" s="377">
        <f t="shared" si="15"/>
        <v>267</v>
      </c>
      <c r="U87" s="377">
        <f t="shared" si="21"/>
        <v>1729</v>
      </c>
      <c r="V87" s="495">
        <v>1230.2629999999999</v>
      </c>
      <c r="W87" s="496">
        <f t="shared" si="22"/>
        <v>498.73700000000008</v>
      </c>
      <c r="X87" s="313" t="s">
        <v>12</v>
      </c>
      <c r="Y87" s="307" t="s">
        <v>12</v>
      </c>
      <c r="Z87" s="307" t="s">
        <v>12</v>
      </c>
      <c r="AA87" s="516" t="s">
        <v>1754</v>
      </c>
      <c r="AB87" s="304" t="s">
        <v>10</v>
      </c>
      <c r="AC87" s="162" t="s">
        <v>3376</v>
      </c>
      <c r="AD87" s="507" t="s">
        <v>2312</v>
      </c>
      <c r="AE87" s="507" t="s">
        <v>2985</v>
      </c>
      <c r="AF87" s="507" t="s">
        <v>2985</v>
      </c>
      <c r="AG87" s="262" t="s">
        <v>2985</v>
      </c>
      <c r="AH87" s="344">
        <v>100</v>
      </c>
      <c r="AI87" s="312">
        <v>0</v>
      </c>
      <c r="AJ87" s="394">
        <v>0</v>
      </c>
      <c r="AK87" s="315">
        <v>0</v>
      </c>
      <c r="AL87" s="315">
        <v>0</v>
      </c>
      <c r="AM87" s="315">
        <v>0</v>
      </c>
      <c r="AN87" s="312">
        <v>0</v>
      </c>
      <c r="AO87" s="312">
        <v>0</v>
      </c>
      <c r="AP87" s="307">
        <v>0</v>
      </c>
      <c r="AQ87" s="307">
        <v>0</v>
      </c>
      <c r="AR87" s="307">
        <v>0</v>
      </c>
      <c r="AS87" s="307">
        <v>0</v>
      </c>
      <c r="AT87" s="312">
        <v>0</v>
      </c>
      <c r="AU87" s="307">
        <v>0</v>
      </c>
      <c r="AV87" s="307">
        <v>0</v>
      </c>
      <c r="AW87" s="307">
        <v>0</v>
      </c>
      <c r="AX87" s="304">
        <v>0</v>
      </c>
      <c r="AY87" s="417">
        <v>32</v>
      </c>
      <c r="AZ87" s="502"/>
      <c r="BA87" s="317" t="s">
        <v>2985</v>
      </c>
      <c r="BB87" s="507" t="s">
        <v>2985</v>
      </c>
      <c r="BC87" s="355" t="s">
        <v>2985</v>
      </c>
      <c r="BD87" s="380" t="s">
        <v>3574</v>
      </c>
      <c r="BE87" s="382">
        <v>100</v>
      </c>
      <c r="BF87" s="307"/>
      <c r="BG87" s="307" t="str">
        <f t="shared" si="23"/>
        <v xml:space="preserve"> 500</v>
      </c>
      <c r="BH87" s="390">
        <v>22.727272727272727</v>
      </c>
      <c r="BI87" s="303">
        <v>100</v>
      </c>
      <c r="BJ87" s="307">
        <v>7</v>
      </c>
      <c r="BK87" s="317" t="s">
        <v>2985</v>
      </c>
      <c r="BL87" s="307">
        <v>23</v>
      </c>
      <c r="BM87" s="317" t="s">
        <v>2985</v>
      </c>
      <c r="BN87" s="307">
        <v>50</v>
      </c>
      <c r="BO87" s="319" t="s">
        <v>2547</v>
      </c>
      <c r="BP87" s="325" t="s">
        <v>2998</v>
      </c>
      <c r="BS87" s="78"/>
    </row>
    <row r="88" spans="1:71" s="26" customFormat="1" ht="15" customHeight="1">
      <c r="A88" s="457">
        <v>1148</v>
      </c>
      <c r="B88" s="533" t="s">
        <v>3634</v>
      </c>
      <c r="C88" s="383"/>
      <c r="D88" s="466" t="s">
        <v>3590</v>
      </c>
      <c r="E88" s="469"/>
      <c r="F88" s="303" t="s">
        <v>1855</v>
      </c>
      <c r="G88" s="386" t="s">
        <v>1762</v>
      </c>
      <c r="H88" s="340" t="s">
        <v>1763</v>
      </c>
      <c r="I88" s="338" t="s">
        <v>3377</v>
      </c>
      <c r="J88" s="348">
        <v>2007</v>
      </c>
      <c r="K88" s="341">
        <v>289</v>
      </c>
      <c r="L88" s="340" t="s">
        <v>1738</v>
      </c>
      <c r="M88" s="341" t="s">
        <v>1739</v>
      </c>
      <c r="N88" s="446">
        <f t="shared" si="13"/>
        <v>0.35399999999999998</v>
      </c>
      <c r="O88" s="349">
        <v>0.35399999999999998</v>
      </c>
      <c r="P88" s="329">
        <v>3.98</v>
      </c>
      <c r="Q88" s="310">
        <f t="shared" si="20"/>
        <v>3.98</v>
      </c>
      <c r="R88" s="377">
        <f t="shared" si="14"/>
        <v>155.05199999999999</v>
      </c>
      <c r="S88" s="307">
        <v>438</v>
      </c>
      <c r="T88" s="377">
        <f t="shared" si="15"/>
        <v>438</v>
      </c>
      <c r="U88" s="377">
        <f t="shared" si="21"/>
        <v>1743.24</v>
      </c>
      <c r="V88" s="408" t="s">
        <v>2985</v>
      </c>
      <c r="W88" s="408" t="s">
        <v>2985</v>
      </c>
      <c r="X88" s="313" t="s">
        <v>12</v>
      </c>
      <c r="Y88" s="307" t="s">
        <v>12</v>
      </c>
      <c r="Z88" s="307" t="s">
        <v>12</v>
      </c>
      <c r="AA88" s="516" t="s">
        <v>1754</v>
      </c>
      <c r="AB88" s="341" t="s">
        <v>11</v>
      </c>
      <c r="AC88" s="354" t="s">
        <v>2985</v>
      </c>
      <c r="AD88" s="316" t="s">
        <v>2312</v>
      </c>
      <c r="AE88" s="316" t="s">
        <v>2985</v>
      </c>
      <c r="AF88" s="316" t="s">
        <v>2985</v>
      </c>
      <c r="AG88" s="262" t="s">
        <v>2985</v>
      </c>
      <c r="AH88" s="344">
        <v>100</v>
      </c>
      <c r="AI88" s="353">
        <v>0</v>
      </c>
      <c r="AJ88" s="395">
        <v>0</v>
      </c>
      <c r="AK88" s="365">
        <v>0</v>
      </c>
      <c r="AL88" s="365">
        <v>0</v>
      </c>
      <c r="AM88" s="365">
        <v>0</v>
      </c>
      <c r="AN88" s="353">
        <v>0</v>
      </c>
      <c r="AO88" s="353">
        <v>0</v>
      </c>
      <c r="AP88" s="348">
        <v>0</v>
      </c>
      <c r="AQ88" s="348">
        <v>0</v>
      </c>
      <c r="AR88" s="348">
        <v>0</v>
      </c>
      <c r="AS88" s="348">
        <v>0</v>
      </c>
      <c r="AT88" s="352">
        <v>1</v>
      </c>
      <c r="AU88" s="348">
        <v>0</v>
      </c>
      <c r="AV88" s="348">
        <v>0</v>
      </c>
      <c r="AW88" s="348">
        <v>0</v>
      </c>
      <c r="AX88" s="341">
        <v>0</v>
      </c>
      <c r="AY88" s="340">
        <v>50.4</v>
      </c>
      <c r="AZ88" s="348"/>
      <c r="BA88" s="316" t="s">
        <v>2985</v>
      </c>
      <c r="BB88" s="94" t="s">
        <v>2985</v>
      </c>
      <c r="BC88" s="425">
        <v>29</v>
      </c>
      <c r="BD88" s="348" t="s">
        <v>3544</v>
      </c>
      <c r="BE88" s="353">
        <v>100</v>
      </c>
      <c r="BF88" s="348" t="s">
        <v>2571</v>
      </c>
      <c r="BG88" s="348">
        <v>400</v>
      </c>
      <c r="BH88" s="418" t="s">
        <v>2985</v>
      </c>
      <c r="BI88" s="303">
        <v>40</v>
      </c>
      <c r="BJ88" s="307">
        <v>1</v>
      </c>
      <c r="BK88" s="507" t="s">
        <v>2985</v>
      </c>
      <c r="BL88" s="307">
        <v>30</v>
      </c>
      <c r="BM88" s="307">
        <v>0</v>
      </c>
      <c r="BN88" s="307">
        <v>99</v>
      </c>
      <c r="BO88" s="259" t="s">
        <v>2985</v>
      </c>
      <c r="BP88" s="343" t="s">
        <v>2321</v>
      </c>
      <c r="BS88" s="78"/>
    </row>
    <row r="89" spans="1:71" s="26" customFormat="1" ht="15" customHeight="1">
      <c r="A89" s="336">
        <v>1149</v>
      </c>
      <c r="B89" s="533" t="s">
        <v>3634</v>
      </c>
      <c r="C89" s="383"/>
      <c r="D89" s="466" t="s">
        <v>3590</v>
      </c>
      <c r="E89" s="469"/>
      <c r="F89" s="303" t="s">
        <v>1856</v>
      </c>
      <c r="G89" s="386" t="s">
        <v>1762</v>
      </c>
      <c r="H89" s="303" t="s">
        <v>1763</v>
      </c>
      <c r="I89" s="338" t="s">
        <v>3377</v>
      </c>
      <c r="J89" s="307">
        <v>2007</v>
      </c>
      <c r="K89" s="304">
        <v>289</v>
      </c>
      <c r="L89" s="303" t="s">
        <v>1738</v>
      </c>
      <c r="M89" s="304" t="s">
        <v>1751</v>
      </c>
      <c r="N89" s="446">
        <f t="shared" si="13"/>
        <v>0.35399999999999998</v>
      </c>
      <c r="O89" s="349">
        <v>0.35399999999999998</v>
      </c>
      <c r="P89" s="329">
        <v>3.98</v>
      </c>
      <c r="Q89" s="310">
        <f t="shared" si="20"/>
        <v>3.98</v>
      </c>
      <c r="R89" s="377">
        <f t="shared" si="14"/>
        <v>155.05199999999999</v>
      </c>
      <c r="S89" s="307">
        <v>438</v>
      </c>
      <c r="T89" s="377">
        <f t="shared" si="15"/>
        <v>438</v>
      </c>
      <c r="U89" s="377">
        <f t="shared" si="21"/>
        <v>1743.24</v>
      </c>
      <c r="V89" s="495">
        <v>1085.384</v>
      </c>
      <c r="W89" s="496">
        <f>U89-V89</f>
        <v>657.85599999999999</v>
      </c>
      <c r="X89" s="313" t="s">
        <v>12</v>
      </c>
      <c r="Y89" s="307" t="s">
        <v>12</v>
      </c>
      <c r="Z89" s="307" t="s">
        <v>12</v>
      </c>
      <c r="AA89" s="516" t="s">
        <v>1754</v>
      </c>
      <c r="AB89" s="304" t="s">
        <v>11</v>
      </c>
      <c r="AC89" s="162" t="s">
        <v>2315</v>
      </c>
      <c r="AD89" s="116" t="s">
        <v>2310</v>
      </c>
      <c r="AE89" s="507" t="s">
        <v>2985</v>
      </c>
      <c r="AF89" s="507" t="s">
        <v>2985</v>
      </c>
      <c r="AG89" s="262" t="s">
        <v>2985</v>
      </c>
      <c r="AH89" s="344">
        <v>100</v>
      </c>
      <c r="AI89" s="312">
        <v>0</v>
      </c>
      <c r="AJ89" s="394">
        <v>0</v>
      </c>
      <c r="AK89" s="315">
        <v>0</v>
      </c>
      <c r="AL89" s="315">
        <v>0</v>
      </c>
      <c r="AM89" s="315">
        <v>0</v>
      </c>
      <c r="AN89" s="312">
        <v>0</v>
      </c>
      <c r="AO89" s="312">
        <v>0</v>
      </c>
      <c r="AP89" s="307">
        <v>0</v>
      </c>
      <c r="AQ89" s="307">
        <v>0</v>
      </c>
      <c r="AR89" s="307">
        <v>0</v>
      </c>
      <c r="AS89" s="307">
        <v>0</v>
      </c>
      <c r="AT89" s="377">
        <v>1</v>
      </c>
      <c r="AU89" s="307">
        <v>0</v>
      </c>
      <c r="AV89" s="307">
        <v>0</v>
      </c>
      <c r="AW89" s="307">
        <v>0</v>
      </c>
      <c r="AX89" s="304">
        <v>0</v>
      </c>
      <c r="AY89" s="303">
        <v>50.4</v>
      </c>
      <c r="AZ89" s="311"/>
      <c r="BA89" s="317" t="s">
        <v>2985</v>
      </c>
      <c r="BB89" s="94" t="s">
        <v>2985</v>
      </c>
      <c r="BC89" s="426">
        <v>29</v>
      </c>
      <c r="BD89" s="348" t="s">
        <v>3544</v>
      </c>
      <c r="BE89" s="312">
        <v>100</v>
      </c>
      <c r="BF89" s="307" t="s">
        <v>2571</v>
      </c>
      <c r="BG89" s="307">
        <v>400</v>
      </c>
      <c r="BH89" s="524">
        <v>25.59047</v>
      </c>
      <c r="BI89" s="303">
        <v>40</v>
      </c>
      <c r="BJ89" s="307">
        <v>1</v>
      </c>
      <c r="BK89" s="317" t="s">
        <v>2985</v>
      </c>
      <c r="BL89" s="307">
        <v>30</v>
      </c>
      <c r="BM89" s="307">
        <v>0</v>
      </c>
      <c r="BN89" s="307">
        <v>100</v>
      </c>
      <c r="BO89" s="259" t="s">
        <v>2985</v>
      </c>
      <c r="BP89" s="325" t="s">
        <v>2321</v>
      </c>
      <c r="BS89" s="78"/>
    </row>
    <row r="90" spans="1:71" s="26" customFormat="1" ht="15" customHeight="1">
      <c r="A90" s="457">
        <v>1151</v>
      </c>
      <c r="B90" s="533" t="s">
        <v>3634</v>
      </c>
      <c r="C90" s="383"/>
      <c r="D90" s="466" t="s">
        <v>3590</v>
      </c>
      <c r="E90" s="469"/>
      <c r="F90" s="303" t="s">
        <v>1858</v>
      </c>
      <c r="G90" s="386" t="s">
        <v>1762</v>
      </c>
      <c r="H90" s="340" t="s">
        <v>1763</v>
      </c>
      <c r="I90" s="338" t="s">
        <v>3377</v>
      </c>
      <c r="J90" s="348">
        <v>2007</v>
      </c>
      <c r="K90" s="341">
        <v>289</v>
      </c>
      <c r="L90" s="340" t="s">
        <v>1738</v>
      </c>
      <c r="M90" s="341" t="s">
        <v>1739</v>
      </c>
      <c r="N90" s="446">
        <f t="shared" si="13"/>
        <v>0.35730196399345338</v>
      </c>
      <c r="O90" s="349">
        <v>0.39300000000000002</v>
      </c>
      <c r="P90" s="329">
        <v>4.43</v>
      </c>
      <c r="Q90" s="310">
        <f t="shared" si="20"/>
        <v>4.027602291325695</v>
      </c>
      <c r="R90" s="377">
        <f t="shared" si="14"/>
        <v>154.84200000000001</v>
      </c>
      <c r="S90" s="307">
        <v>394</v>
      </c>
      <c r="T90" s="377">
        <f t="shared" si="15"/>
        <v>433.36453645364537</v>
      </c>
      <c r="U90" s="377">
        <f t="shared" si="21"/>
        <v>1745.4199999999998</v>
      </c>
      <c r="V90" s="408" t="s">
        <v>2985</v>
      </c>
      <c r="W90" s="408" t="s">
        <v>2985</v>
      </c>
      <c r="X90" s="313" t="s">
        <v>12</v>
      </c>
      <c r="Y90" s="307" t="s">
        <v>12</v>
      </c>
      <c r="Z90" s="307" t="s">
        <v>12</v>
      </c>
      <c r="AA90" s="516" t="s">
        <v>3525</v>
      </c>
      <c r="AB90" s="341" t="s">
        <v>11</v>
      </c>
      <c r="AC90" s="354" t="s">
        <v>2985</v>
      </c>
      <c r="AD90" s="316" t="s">
        <v>2312</v>
      </c>
      <c r="AE90" s="316" t="s">
        <v>2985</v>
      </c>
      <c r="AF90" s="316" t="s">
        <v>2985</v>
      </c>
      <c r="AG90" s="262" t="s">
        <v>2985</v>
      </c>
      <c r="AH90" s="344">
        <v>90.009000900090001</v>
      </c>
      <c r="AI90" s="353">
        <v>0</v>
      </c>
      <c r="AJ90" s="352">
        <v>9.9909990999099918</v>
      </c>
      <c r="AK90" s="365">
        <v>0</v>
      </c>
      <c r="AL90" s="365">
        <v>0</v>
      </c>
      <c r="AM90" s="365">
        <v>0</v>
      </c>
      <c r="AN90" s="353">
        <v>0</v>
      </c>
      <c r="AO90" s="353">
        <v>0</v>
      </c>
      <c r="AP90" s="348">
        <v>0</v>
      </c>
      <c r="AQ90" s="348">
        <v>0</v>
      </c>
      <c r="AR90" s="348">
        <v>0</v>
      </c>
      <c r="AS90" s="348">
        <v>0</v>
      </c>
      <c r="AT90" s="352">
        <v>0.90009000900090008</v>
      </c>
      <c r="AU90" s="348">
        <v>0</v>
      </c>
      <c r="AV90" s="348">
        <v>0</v>
      </c>
      <c r="AW90" s="348">
        <v>0</v>
      </c>
      <c r="AX90" s="341">
        <v>0</v>
      </c>
      <c r="AY90" s="340">
        <v>48.4</v>
      </c>
      <c r="AZ90" s="348"/>
      <c r="BA90" s="316" t="s">
        <v>2985</v>
      </c>
      <c r="BB90" s="94" t="s">
        <v>2985</v>
      </c>
      <c r="BC90" s="425">
        <v>27.9</v>
      </c>
      <c r="BD90" s="348" t="s">
        <v>3544</v>
      </c>
      <c r="BE90" s="353">
        <v>100</v>
      </c>
      <c r="BF90" s="348" t="s">
        <v>2571</v>
      </c>
      <c r="BG90" s="348">
        <v>400</v>
      </c>
      <c r="BH90" s="418" t="s">
        <v>2985</v>
      </c>
      <c r="BI90" s="303">
        <v>40</v>
      </c>
      <c r="BJ90" s="307">
        <v>1</v>
      </c>
      <c r="BK90" s="507" t="s">
        <v>2985</v>
      </c>
      <c r="BL90" s="307">
        <v>30</v>
      </c>
      <c r="BM90" s="307">
        <v>0</v>
      </c>
      <c r="BN90" s="307">
        <v>99</v>
      </c>
      <c r="BO90" s="259" t="s">
        <v>2985</v>
      </c>
      <c r="BP90" s="350" t="s">
        <v>2523</v>
      </c>
      <c r="BS90" s="78"/>
    </row>
    <row r="91" spans="1:71" s="26" customFormat="1" ht="15" customHeight="1">
      <c r="A91" s="336">
        <v>1152</v>
      </c>
      <c r="B91" s="533" t="s">
        <v>3634</v>
      </c>
      <c r="C91" s="383"/>
      <c r="D91" s="466" t="s">
        <v>3590</v>
      </c>
      <c r="E91" s="469"/>
      <c r="F91" s="303" t="s">
        <v>1859</v>
      </c>
      <c r="G91" s="386" t="s">
        <v>1762</v>
      </c>
      <c r="H91" s="303" t="s">
        <v>1763</v>
      </c>
      <c r="I91" s="338" t="s">
        <v>3377</v>
      </c>
      <c r="J91" s="307">
        <v>2007</v>
      </c>
      <c r="K91" s="304">
        <v>289</v>
      </c>
      <c r="L91" s="303" t="s">
        <v>1738</v>
      </c>
      <c r="M91" s="304" t="s">
        <v>1751</v>
      </c>
      <c r="N91" s="446">
        <f t="shared" si="13"/>
        <v>0.36025000000000001</v>
      </c>
      <c r="O91" s="349">
        <v>0.39300000000000002</v>
      </c>
      <c r="P91" s="329">
        <v>4.43</v>
      </c>
      <c r="Q91" s="310">
        <f t="shared" si="20"/>
        <v>4.0608333333333331</v>
      </c>
      <c r="R91" s="377">
        <f t="shared" si="14"/>
        <v>154.84200000000001</v>
      </c>
      <c r="S91" s="307">
        <v>394</v>
      </c>
      <c r="T91" s="377">
        <f t="shared" si="15"/>
        <v>429.81818181818181</v>
      </c>
      <c r="U91" s="377">
        <f t="shared" si="21"/>
        <v>1745.4199999999998</v>
      </c>
      <c r="V91" s="495">
        <v>1086.1400000000001</v>
      </c>
      <c r="W91" s="496">
        <f>U91-V91</f>
        <v>659.27999999999975</v>
      </c>
      <c r="X91" s="313" t="s">
        <v>12</v>
      </c>
      <c r="Y91" s="307" t="s">
        <v>12</v>
      </c>
      <c r="Z91" s="307" t="s">
        <v>12</v>
      </c>
      <c r="AA91" s="516" t="s">
        <v>3525</v>
      </c>
      <c r="AB91" s="304" t="s">
        <v>11</v>
      </c>
      <c r="AC91" s="162" t="s">
        <v>2315</v>
      </c>
      <c r="AD91" s="116" t="s">
        <v>2310</v>
      </c>
      <c r="AE91" s="507" t="s">
        <v>2985</v>
      </c>
      <c r="AF91" s="507" t="s">
        <v>2985</v>
      </c>
      <c r="AG91" s="262" t="s">
        <v>2985</v>
      </c>
      <c r="AH91" s="344">
        <v>90.909090909090907</v>
      </c>
      <c r="AI91" s="312">
        <v>0</v>
      </c>
      <c r="AJ91" s="377">
        <v>9.0909090909090917</v>
      </c>
      <c r="AK91" s="315">
        <v>0</v>
      </c>
      <c r="AL91" s="315">
        <v>0</v>
      </c>
      <c r="AM91" s="315">
        <v>0</v>
      </c>
      <c r="AN91" s="312">
        <v>0</v>
      </c>
      <c r="AO91" s="312">
        <v>0</v>
      </c>
      <c r="AP91" s="307">
        <v>0</v>
      </c>
      <c r="AQ91" s="307">
        <v>0</v>
      </c>
      <c r="AR91" s="307">
        <v>0</v>
      </c>
      <c r="AS91" s="307">
        <v>0</v>
      </c>
      <c r="AT91" s="377">
        <v>0.90909090909090906</v>
      </c>
      <c r="AU91" s="307">
        <v>0</v>
      </c>
      <c r="AV91" s="307">
        <v>0</v>
      </c>
      <c r="AW91" s="307">
        <v>0</v>
      </c>
      <c r="AX91" s="304">
        <v>0</v>
      </c>
      <c r="AY91" s="303">
        <v>48.4</v>
      </c>
      <c r="AZ91" s="311"/>
      <c r="BA91" s="317" t="s">
        <v>2985</v>
      </c>
      <c r="BB91" s="94" t="s">
        <v>2985</v>
      </c>
      <c r="BC91" s="426">
        <v>27.9</v>
      </c>
      <c r="BD91" s="348" t="s">
        <v>3544</v>
      </c>
      <c r="BE91" s="312">
        <v>100</v>
      </c>
      <c r="BF91" s="307" t="s">
        <v>2571</v>
      </c>
      <c r="BG91" s="307">
        <v>400</v>
      </c>
      <c r="BH91" s="524">
        <v>25.55395</v>
      </c>
      <c r="BI91" s="303">
        <v>40</v>
      </c>
      <c r="BJ91" s="307">
        <v>1</v>
      </c>
      <c r="BK91" s="317" t="s">
        <v>2985</v>
      </c>
      <c r="BL91" s="307">
        <v>30</v>
      </c>
      <c r="BM91" s="307">
        <v>0</v>
      </c>
      <c r="BN91" s="307">
        <v>100</v>
      </c>
      <c r="BO91" s="259" t="s">
        <v>2985</v>
      </c>
      <c r="BP91" s="325" t="s">
        <v>2523</v>
      </c>
      <c r="BS91" s="78"/>
    </row>
    <row r="92" spans="1:71" s="26" customFormat="1" ht="15" customHeight="1">
      <c r="A92" s="457">
        <v>1154</v>
      </c>
      <c r="B92" s="533" t="s">
        <v>3634</v>
      </c>
      <c r="C92" s="383"/>
      <c r="D92" s="466" t="s">
        <v>3590</v>
      </c>
      <c r="E92" s="469"/>
      <c r="F92" s="303" t="s">
        <v>1861</v>
      </c>
      <c r="G92" s="386" t="s">
        <v>1762</v>
      </c>
      <c r="H92" s="340" t="s">
        <v>1763</v>
      </c>
      <c r="I92" s="338" t="s">
        <v>3377</v>
      </c>
      <c r="J92" s="348">
        <v>2007</v>
      </c>
      <c r="K92" s="341">
        <v>289</v>
      </c>
      <c r="L92" s="340" t="s">
        <v>1738</v>
      </c>
      <c r="M92" s="341" t="s">
        <v>1752</v>
      </c>
      <c r="N92" s="446">
        <f t="shared" si="13"/>
        <v>0.37903911806543383</v>
      </c>
      <c r="O92" s="307">
        <v>0.443</v>
      </c>
      <c r="P92" s="329">
        <v>4.9800000000000004</v>
      </c>
      <c r="Q92" s="310">
        <f t="shared" si="20"/>
        <v>4.2609815078236135</v>
      </c>
      <c r="R92" s="377">
        <f t="shared" si="14"/>
        <v>155.05000000000001</v>
      </c>
      <c r="S92" s="307">
        <v>350</v>
      </c>
      <c r="T92" s="377">
        <f t="shared" si="15"/>
        <v>409.06068162926022</v>
      </c>
      <c r="U92" s="377">
        <f t="shared" si="21"/>
        <v>1743.0000000000002</v>
      </c>
      <c r="V92" s="408" t="s">
        <v>2985</v>
      </c>
      <c r="W92" s="408" t="s">
        <v>2985</v>
      </c>
      <c r="X92" s="303" t="s">
        <v>12</v>
      </c>
      <c r="Y92" s="307" t="s">
        <v>12</v>
      </c>
      <c r="Z92" s="317" t="s">
        <v>2985</v>
      </c>
      <c r="AA92" s="311" t="s">
        <v>3525</v>
      </c>
      <c r="AB92" s="304" t="s">
        <v>11</v>
      </c>
      <c r="AC92" s="441" t="s">
        <v>2985</v>
      </c>
      <c r="AD92" s="515" t="s">
        <v>2985</v>
      </c>
      <c r="AE92" s="515" t="s">
        <v>2985</v>
      </c>
      <c r="AF92" s="442" t="s">
        <v>2985</v>
      </c>
      <c r="AG92" s="262" t="s">
        <v>2985</v>
      </c>
      <c r="AH92" s="351">
        <v>83.125519534497087</v>
      </c>
      <c r="AI92" s="348">
        <v>0</v>
      </c>
      <c r="AJ92" s="352">
        <v>16.874480465502913</v>
      </c>
      <c r="AK92" s="348">
        <v>0</v>
      </c>
      <c r="AL92" s="348">
        <v>0</v>
      </c>
      <c r="AM92" s="348">
        <v>0</v>
      </c>
      <c r="AN92" s="348">
        <v>0</v>
      </c>
      <c r="AO92" s="348">
        <v>0</v>
      </c>
      <c r="AP92" s="307">
        <v>0</v>
      </c>
      <c r="AQ92" s="348">
        <v>0</v>
      </c>
      <c r="AR92" s="348">
        <v>0</v>
      </c>
      <c r="AS92" s="365">
        <v>0</v>
      </c>
      <c r="AT92" s="396">
        <v>0.83125519534497105</v>
      </c>
      <c r="AU92" s="365">
        <v>0</v>
      </c>
      <c r="AV92" s="365">
        <v>0</v>
      </c>
      <c r="AW92" s="348">
        <v>0</v>
      </c>
      <c r="AX92" s="341">
        <v>0</v>
      </c>
      <c r="AY92" s="340">
        <v>44.2</v>
      </c>
      <c r="AZ92" s="348"/>
      <c r="BA92" s="316" t="s">
        <v>2985</v>
      </c>
      <c r="BB92" s="94" t="s">
        <v>2985</v>
      </c>
      <c r="BC92" s="341">
        <v>25.3</v>
      </c>
      <c r="BD92" s="348" t="s">
        <v>3544</v>
      </c>
      <c r="BE92" s="348">
        <v>100</v>
      </c>
      <c r="BF92" s="348" t="s">
        <v>2571</v>
      </c>
      <c r="BG92" s="348">
        <v>400</v>
      </c>
      <c r="BH92" s="418" t="s">
        <v>2985</v>
      </c>
      <c r="BI92" s="303">
        <v>40</v>
      </c>
      <c r="BJ92" s="307">
        <v>1</v>
      </c>
      <c r="BK92" s="318" t="s">
        <v>2985</v>
      </c>
      <c r="BL92" s="307">
        <v>30</v>
      </c>
      <c r="BM92" s="312">
        <v>0</v>
      </c>
      <c r="BN92" s="307">
        <v>99</v>
      </c>
      <c r="BO92" s="432" t="s">
        <v>2985</v>
      </c>
      <c r="BP92" s="343" t="s">
        <v>2523</v>
      </c>
      <c r="BS92" s="78"/>
    </row>
    <row r="93" spans="1:71" s="333" customFormat="1" ht="15" customHeight="1">
      <c r="A93" s="336">
        <v>1155</v>
      </c>
      <c r="B93" s="533" t="s">
        <v>3634</v>
      </c>
      <c r="C93" s="383"/>
      <c r="D93" s="466" t="s">
        <v>3590</v>
      </c>
      <c r="E93" s="469"/>
      <c r="F93" s="303" t="s">
        <v>1862</v>
      </c>
      <c r="G93" s="386" t="s">
        <v>1762</v>
      </c>
      <c r="H93" s="303" t="s">
        <v>1763</v>
      </c>
      <c r="I93" s="338" t="s">
        <v>3377</v>
      </c>
      <c r="J93" s="307">
        <v>2007</v>
      </c>
      <c r="K93" s="304">
        <v>289</v>
      </c>
      <c r="L93" s="303" t="s">
        <v>1738</v>
      </c>
      <c r="M93" s="304" t="s">
        <v>1751</v>
      </c>
      <c r="N93" s="446">
        <f t="shared" si="13"/>
        <v>0.37903911806543383</v>
      </c>
      <c r="O93" s="349">
        <v>0.443</v>
      </c>
      <c r="P93" s="329">
        <v>4.9800000000000004</v>
      </c>
      <c r="Q93" s="310">
        <f t="shared" si="20"/>
        <v>4.2609815078236135</v>
      </c>
      <c r="R93" s="377">
        <f t="shared" si="14"/>
        <v>155.05000000000001</v>
      </c>
      <c r="S93" s="307">
        <v>350</v>
      </c>
      <c r="T93" s="377">
        <f t="shared" si="15"/>
        <v>409.06068162926022</v>
      </c>
      <c r="U93" s="377">
        <f t="shared" si="21"/>
        <v>1743.0000000000002</v>
      </c>
      <c r="V93" s="495">
        <v>1089.326</v>
      </c>
      <c r="W93" s="496">
        <f>U93-V93</f>
        <v>653.67400000000021</v>
      </c>
      <c r="X93" s="313" t="s">
        <v>12</v>
      </c>
      <c r="Y93" s="307" t="s">
        <v>12</v>
      </c>
      <c r="Z93" s="307" t="s">
        <v>12</v>
      </c>
      <c r="AA93" s="516" t="s">
        <v>3525</v>
      </c>
      <c r="AB93" s="304" t="s">
        <v>11</v>
      </c>
      <c r="AC93" s="162" t="s">
        <v>2315</v>
      </c>
      <c r="AD93" s="116" t="s">
        <v>2310</v>
      </c>
      <c r="AE93" s="507" t="s">
        <v>2985</v>
      </c>
      <c r="AF93" s="507" t="s">
        <v>2985</v>
      </c>
      <c r="AG93" s="262" t="s">
        <v>2985</v>
      </c>
      <c r="AH93" s="344">
        <v>83.125519534497087</v>
      </c>
      <c r="AI93" s="312">
        <v>0</v>
      </c>
      <c r="AJ93" s="377">
        <v>16.874480465502913</v>
      </c>
      <c r="AK93" s="315">
        <v>0</v>
      </c>
      <c r="AL93" s="315">
        <v>0</v>
      </c>
      <c r="AM93" s="315">
        <v>0</v>
      </c>
      <c r="AN93" s="312">
        <v>0</v>
      </c>
      <c r="AO93" s="312">
        <v>0</v>
      </c>
      <c r="AP93" s="307">
        <v>0</v>
      </c>
      <c r="AQ93" s="307">
        <v>0</v>
      </c>
      <c r="AR93" s="307">
        <v>0</v>
      </c>
      <c r="AS93" s="307">
        <v>0</v>
      </c>
      <c r="AT93" s="377">
        <v>0.83125519534497094</v>
      </c>
      <c r="AU93" s="307">
        <v>0</v>
      </c>
      <c r="AV93" s="307">
        <v>0</v>
      </c>
      <c r="AW93" s="307">
        <v>0</v>
      </c>
      <c r="AX93" s="304">
        <v>0</v>
      </c>
      <c r="AY93" s="303">
        <v>44.2</v>
      </c>
      <c r="AZ93" s="311"/>
      <c r="BA93" s="317" t="s">
        <v>2985</v>
      </c>
      <c r="BB93" s="94" t="s">
        <v>2985</v>
      </c>
      <c r="BC93" s="426">
        <v>25.3</v>
      </c>
      <c r="BD93" s="348" t="s">
        <v>3544</v>
      </c>
      <c r="BE93" s="312">
        <v>100</v>
      </c>
      <c r="BF93" s="307" t="s">
        <v>2571</v>
      </c>
      <c r="BG93" s="307">
        <v>400</v>
      </c>
      <c r="BH93" s="523">
        <v>25.431509999999999</v>
      </c>
      <c r="BI93" s="303">
        <v>40</v>
      </c>
      <c r="BJ93" s="307">
        <v>1</v>
      </c>
      <c r="BK93" s="317" t="s">
        <v>2985</v>
      </c>
      <c r="BL93" s="307">
        <v>30</v>
      </c>
      <c r="BM93" s="307">
        <v>0</v>
      </c>
      <c r="BN93" s="307">
        <v>100</v>
      </c>
      <c r="BO93" s="332" t="s">
        <v>2985</v>
      </c>
      <c r="BP93" s="325" t="s">
        <v>2523</v>
      </c>
      <c r="BS93" s="334"/>
    </row>
    <row r="94" spans="1:71" s="322" customFormat="1" ht="15" customHeight="1">
      <c r="A94" s="457">
        <v>1157</v>
      </c>
      <c r="B94" s="533" t="s">
        <v>3634</v>
      </c>
      <c r="C94" s="383"/>
      <c r="D94" s="466" t="s">
        <v>3590</v>
      </c>
      <c r="E94" s="469"/>
      <c r="F94" s="303" t="s">
        <v>1864</v>
      </c>
      <c r="G94" s="386" t="s">
        <v>1762</v>
      </c>
      <c r="H94" s="340" t="s">
        <v>1763</v>
      </c>
      <c r="I94" s="338" t="s">
        <v>3377</v>
      </c>
      <c r="J94" s="348">
        <v>2007</v>
      </c>
      <c r="K94" s="341">
        <v>289</v>
      </c>
      <c r="L94" s="340" t="s">
        <v>1738</v>
      </c>
      <c r="M94" s="341" t="s">
        <v>1752</v>
      </c>
      <c r="N94" s="446">
        <f t="shared" si="13"/>
        <v>0.40759828009828009</v>
      </c>
      <c r="O94" s="307">
        <v>0.505</v>
      </c>
      <c r="P94" s="329">
        <v>5.69</v>
      </c>
      <c r="Q94" s="310">
        <f t="shared" si="20"/>
        <v>4.5925429975429974</v>
      </c>
      <c r="R94" s="377">
        <f t="shared" si="14"/>
        <v>155.035</v>
      </c>
      <c r="S94" s="307">
        <v>307</v>
      </c>
      <c r="T94" s="377">
        <f t="shared" si="15"/>
        <v>380.36225266362254</v>
      </c>
      <c r="U94" s="377">
        <f t="shared" si="21"/>
        <v>1746.8300000000002</v>
      </c>
      <c r="V94" s="408" t="s">
        <v>2985</v>
      </c>
      <c r="W94" s="408" t="s">
        <v>2985</v>
      </c>
      <c r="X94" s="303" t="s">
        <v>12</v>
      </c>
      <c r="Y94" s="307" t="s">
        <v>12</v>
      </c>
      <c r="Z94" s="317" t="s">
        <v>2985</v>
      </c>
      <c r="AA94" s="311" t="s">
        <v>3545</v>
      </c>
      <c r="AB94" s="304" t="s">
        <v>11</v>
      </c>
      <c r="AC94" s="441" t="s">
        <v>2985</v>
      </c>
      <c r="AD94" s="515" t="s">
        <v>2985</v>
      </c>
      <c r="AE94" s="515" t="s">
        <v>2985</v>
      </c>
      <c r="AF94" s="442" t="s">
        <v>2985</v>
      </c>
      <c r="AG94" s="262" t="s">
        <v>2985</v>
      </c>
      <c r="AH94" s="351">
        <v>76.103500761035008</v>
      </c>
      <c r="AI94" s="348">
        <v>0</v>
      </c>
      <c r="AJ94" s="352">
        <v>23.896499238964992</v>
      </c>
      <c r="AK94" s="348">
        <v>0</v>
      </c>
      <c r="AL94" s="348">
        <v>0</v>
      </c>
      <c r="AM94" s="348">
        <v>0</v>
      </c>
      <c r="AN94" s="348">
        <v>0</v>
      </c>
      <c r="AO94" s="348">
        <v>0</v>
      </c>
      <c r="AP94" s="307">
        <v>0</v>
      </c>
      <c r="AQ94" s="348">
        <v>0</v>
      </c>
      <c r="AR94" s="348">
        <v>0</v>
      </c>
      <c r="AS94" s="365">
        <v>0</v>
      </c>
      <c r="AT94" s="396">
        <v>0.76103500761035003</v>
      </c>
      <c r="AU94" s="365">
        <v>0</v>
      </c>
      <c r="AV94" s="365">
        <v>0</v>
      </c>
      <c r="AW94" s="348">
        <v>0</v>
      </c>
      <c r="AX94" s="341">
        <v>0</v>
      </c>
      <c r="AY94" s="340">
        <v>40.299999999999997</v>
      </c>
      <c r="AZ94" s="348"/>
      <c r="BA94" s="316" t="s">
        <v>2985</v>
      </c>
      <c r="BB94" s="94" t="s">
        <v>2985</v>
      </c>
      <c r="BC94" s="341">
        <v>25.7</v>
      </c>
      <c r="BD94" s="348" t="s">
        <v>3544</v>
      </c>
      <c r="BE94" s="348">
        <v>100</v>
      </c>
      <c r="BF94" s="348" t="s">
        <v>2571</v>
      </c>
      <c r="BG94" s="348">
        <v>400</v>
      </c>
      <c r="BH94" s="522" t="s">
        <v>2985</v>
      </c>
      <c r="BI94" s="303">
        <v>40</v>
      </c>
      <c r="BJ94" s="307">
        <v>1</v>
      </c>
      <c r="BK94" s="318" t="s">
        <v>2985</v>
      </c>
      <c r="BL94" s="307">
        <v>30</v>
      </c>
      <c r="BM94" s="312">
        <v>0</v>
      </c>
      <c r="BN94" s="307">
        <v>99</v>
      </c>
      <c r="BO94" s="433" t="s">
        <v>2985</v>
      </c>
      <c r="BP94" s="343" t="s">
        <v>2523</v>
      </c>
      <c r="BS94" s="321"/>
    </row>
    <row r="95" spans="1:71" s="322" customFormat="1" ht="15" customHeight="1">
      <c r="A95" s="336">
        <v>1158</v>
      </c>
      <c r="B95" s="533" t="s">
        <v>3634</v>
      </c>
      <c r="C95" s="383"/>
      <c r="D95" s="466" t="s">
        <v>3590</v>
      </c>
      <c r="E95" s="469"/>
      <c r="F95" s="303" t="s">
        <v>1865</v>
      </c>
      <c r="G95" s="386" t="s">
        <v>1762</v>
      </c>
      <c r="H95" s="303" t="s">
        <v>1763</v>
      </c>
      <c r="I95" s="338" t="s">
        <v>3377</v>
      </c>
      <c r="J95" s="307">
        <v>2007</v>
      </c>
      <c r="K95" s="304">
        <v>289</v>
      </c>
      <c r="L95" s="303" t="s">
        <v>1738</v>
      </c>
      <c r="M95" s="304" t="s">
        <v>1751</v>
      </c>
      <c r="N95" s="446">
        <f t="shared" si="13"/>
        <v>0.40759828009828009</v>
      </c>
      <c r="O95" s="349">
        <v>0.505</v>
      </c>
      <c r="P95" s="329">
        <v>5.69</v>
      </c>
      <c r="Q95" s="310">
        <f t="shared" si="20"/>
        <v>4.5925429975429974</v>
      </c>
      <c r="R95" s="377">
        <f t="shared" si="14"/>
        <v>155.035</v>
      </c>
      <c r="S95" s="307">
        <v>307</v>
      </c>
      <c r="T95" s="377">
        <f t="shared" si="15"/>
        <v>380.36225266362254</v>
      </c>
      <c r="U95" s="377">
        <f t="shared" si="21"/>
        <v>1746.8300000000002</v>
      </c>
      <c r="V95" s="495">
        <v>1093.626</v>
      </c>
      <c r="W95" s="496">
        <f>U95-V95</f>
        <v>653.20400000000018</v>
      </c>
      <c r="X95" s="313" t="s">
        <v>12</v>
      </c>
      <c r="Y95" s="307" t="s">
        <v>12</v>
      </c>
      <c r="Z95" s="307" t="s">
        <v>12</v>
      </c>
      <c r="AA95" s="516" t="s">
        <v>3525</v>
      </c>
      <c r="AB95" s="304" t="s">
        <v>11</v>
      </c>
      <c r="AC95" s="162" t="s">
        <v>2315</v>
      </c>
      <c r="AD95" s="116" t="s">
        <v>2310</v>
      </c>
      <c r="AE95" s="507" t="s">
        <v>2985</v>
      </c>
      <c r="AF95" s="507" t="s">
        <v>2985</v>
      </c>
      <c r="AG95" s="262" t="s">
        <v>2985</v>
      </c>
      <c r="AH95" s="344">
        <v>76.103500761035008</v>
      </c>
      <c r="AI95" s="312">
        <v>0</v>
      </c>
      <c r="AJ95" s="377">
        <v>23.896499238964992</v>
      </c>
      <c r="AK95" s="315">
        <v>0</v>
      </c>
      <c r="AL95" s="315">
        <v>0</v>
      </c>
      <c r="AM95" s="315">
        <v>0</v>
      </c>
      <c r="AN95" s="312">
        <v>0</v>
      </c>
      <c r="AO95" s="312">
        <v>0</v>
      </c>
      <c r="AP95" s="307">
        <v>0</v>
      </c>
      <c r="AQ95" s="307">
        <v>0</v>
      </c>
      <c r="AR95" s="307">
        <v>0</v>
      </c>
      <c r="AS95" s="307">
        <v>0</v>
      </c>
      <c r="AT95" s="377">
        <v>0.76103500761035003</v>
      </c>
      <c r="AU95" s="307">
        <v>0</v>
      </c>
      <c r="AV95" s="307">
        <v>0</v>
      </c>
      <c r="AW95" s="307">
        <v>0</v>
      </c>
      <c r="AX95" s="304">
        <v>0</v>
      </c>
      <c r="AY95" s="303">
        <v>40.299999999999997</v>
      </c>
      <c r="AZ95" s="311"/>
      <c r="BA95" s="317" t="s">
        <v>2985</v>
      </c>
      <c r="BB95" s="94" t="s">
        <v>2985</v>
      </c>
      <c r="BC95" s="426">
        <v>25.7</v>
      </c>
      <c r="BD95" s="348" t="s">
        <v>3544</v>
      </c>
      <c r="BE95" s="312">
        <v>100</v>
      </c>
      <c r="BF95" s="307" t="s">
        <v>2571</v>
      </c>
      <c r="BG95" s="307">
        <v>400</v>
      </c>
      <c r="BH95" s="523">
        <v>25.252130000000001</v>
      </c>
      <c r="BI95" s="303">
        <v>40</v>
      </c>
      <c r="BJ95" s="307">
        <v>1</v>
      </c>
      <c r="BK95" s="317" t="s">
        <v>2985</v>
      </c>
      <c r="BL95" s="307">
        <v>30</v>
      </c>
      <c r="BM95" s="307">
        <v>0</v>
      </c>
      <c r="BN95" s="307">
        <v>100</v>
      </c>
      <c r="BO95" s="332" t="s">
        <v>2985</v>
      </c>
      <c r="BP95" s="325" t="s">
        <v>2523</v>
      </c>
      <c r="BS95" s="321"/>
    </row>
    <row r="96" spans="1:71" s="322" customFormat="1" ht="15" customHeight="1">
      <c r="A96" s="457">
        <v>1160</v>
      </c>
      <c r="B96" s="533" t="s">
        <v>3634</v>
      </c>
      <c r="C96" s="383"/>
      <c r="D96" s="466" t="s">
        <v>3590</v>
      </c>
      <c r="E96" s="469"/>
      <c r="F96" s="303" t="s">
        <v>1867</v>
      </c>
      <c r="G96" s="386" t="s">
        <v>1762</v>
      </c>
      <c r="H96" s="340" t="s">
        <v>1763</v>
      </c>
      <c r="I96" s="338" t="s">
        <v>3377</v>
      </c>
      <c r="J96" s="348">
        <v>2007</v>
      </c>
      <c r="K96" s="341">
        <v>289</v>
      </c>
      <c r="L96" s="340" t="s">
        <v>1738</v>
      </c>
      <c r="M96" s="341" t="s">
        <v>1752</v>
      </c>
      <c r="N96" s="446">
        <f t="shared" si="13"/>
        <v>0.40389473684210525</v>
      </c>
      <c r="O96" s="307">
        <v>0.49199999999999999</v>
      </c>
      <c r="P96" s="329">
        <v>5.53</v>
      </c>
      <c r="Q96" s="310">
        <f t="shared" si="20"/>
        <v>4.5397111681643132</v>
      </c>
      <c r="R96" s="377">
        <f t="shared" si="14"/>
        <v>154.97999999999999</v>
      </c>
      <c r="S96" s="307">
        <v>315</v>
      </c>
      <c r="T96" s="377">
        <f t="shared" si="15"/>
        <v>383.71383893666928</v>
      </c>
      <c r="U96" s="377">
        <f t="shared" si="21"/>
        <v>1741.95</v>
      </c>
      <c r="V96" s="408" t="s">
        <v>2985</v>
      </c>
      <c r="W96" s="408" t="s">
        <v>2985</v>
      </c>
      <c r="X96" s="303" t="s">
        <v>12</v>
      </c>
      <c r="Y96" s="307" t="s">
        <v>12</v>
      </c>
      <c r="Z96" s="317" t="s">
        <v>2985</v>
      </c>
      <c r="AA96" s="311" t="s">
        <v>3546</v>
      </c>
      <c r="AB96" s="304" t="s">
        <v>11</v>
      </c>
      <c r="AC96" s="441" t="s">
        <v>2985</v>
      </c>
      <c r="AD96" s="515" t="s">
        <v>2985</v>
      </c>
      <c r="AE96" s="515" t="s">
        <v>2985</v>
      </c>
      <c r="AF96" s="442" t="s">
        <v>2985</v>
      </c>
      <c r="AG96" s="262" t="s">
        <v>2985</v>
      </c>
      <c r="AH96" s="351">
        <v>78.186082877247856</v>
      </c>
      <c r="AI96" s="352">
        <v>5.9421422986708361</v>
      </c>
      <c r="AJ96" s="352">
        <v>15.871774824081314</v>
      </c>
      <c r="AK96" s="348">
        <v>0</v>
      </c>
      <c r="AL96" s="348">
        <v>0</v>
      </c>
      <c r="AM96" s="348">
        <v>0</v>
      </c>
      <c r="AN96" s="353">
        <v>0</v>
      </c>
      <c r="AO96" s="348">
        <v>0</v>
      </c>
      <c r="AP96" s="307">
        <v>0</v>
      </c>
      <c r="AQ96" s="348">
        <v>0</v>
      </c>
      <c r="AR96" s="348">
        <v>0</v>
      </c>
      <c r="AS96" s="365">
        <v>0</v>
      </c>
      <c r="AT96" s="396">
        <v>0.78186082877247842</v>
      </c>
      <c r="AU96" s="365">
        <v>0</v>
      </c>
      <c r="AV96" s="365">
        <v>0</v>
      </c>
      <c r="AW96" s="348">
        <v>0</v>
      </c>
      <c r="AX96" s="341">
        <v>0</v>
      </c>
      <c r="AY96" s="340">
        <v>41.2</v>
      </c>
      <c r="AZ96" s="348"/>
      <c r="BA96" s="316" t="s">
        <v>2985</v>
      </c>
      <c r="BB96" s="94" t="s">
        <v>2985</v>
      </c>
      <c r="BC96" s="341">
        <v>24.1</v>
      </c>
      <c r="BD96" s="348" t="s">
        <v>3544</v>
      </c>
      <c r="BE96" s="348">
        <v>100</v>
      </c>
      <c r="BF96" s="348" t="s">
        <v>2571</v>
      </c>
      <c r="BG96" s="348">
        <v>400</v>
      </c>
      <c r="BH96" s="522" t="s">
        <v>2985</v>
      </c>
      <c r="BI96" s="303">
        <v>40</v>
      </c>
      <c r="BJ96" s="307">
        <v>1</v>
      </c>
      <c r="BK96" s="318" t="s">
        <v>2985</v>
      </c>
      <c r="BL96" s="307">
        <v>30</v>
      </c>
      <c r="BM96" s="312">
        <v>0</v>
      </c>
      <c r="BN96" s="307">
        <v>99</v>
      </c>
      <c r="BO96" s="433" t="s">
        <v>2985</v>
      </c>
      <c r="BP96" s="343" t="s">
        <v>2523</v>
      </c>
      <c r="BS96" s="321"/>
    </row>
    <row r="97" spans="1:71" s="322" customFormat="1" ht="15" customHeight="1">
      <c r="A97" s="336">
        <v>1161</v>
      </c>
      <c r="B97" s="533" t="s">
        <v>3634</v>
      </c>
      <c r="C97" s="383"/>
      <c r="D97" s="466" t="s">
        <v>3590</v>
      </c>
      <c r="E97" s="469"/>
      <c r="F97" s="303" t="s">
        <v>1868</v>
      </c>
      <c r="G97" s="386" t="s">
        <v>1762</v>
      </c>
      <c r="H97" s="303" t="s">
        <v>1763</v>
      </c>
      <c r="I97" s="338" t="s">
        <v>3377</v>
      </c>
      <c r="J97" s="307">
        <v>2007</v>
      </c>
      <c r="K97" s="304">
        <v>289</v>
      </c>
      <c r="L97" s="303" t="s">
        <v>1738</v>
      </c>
      <c r="M97" s="304" t="s">
        <v>1751</v>
      </c>
      <c r="N97" s="446">
        <f t="shared" si="13"/>
        <v>0.40389473684210525</v>
      </c>
      <c r="O97" s="349">
        <v>0.49199999999999999</v>
      </c>
      <c r="P97" s="329">
        <v>5.53</v>
      </c>
      <c r="Q97" s="310">
        <f t="shared" si="20"/>
        <v>4.5397111681643132</v>
      </c>
      <c r="R97" s="377">
        <f t="shared" si="14"/>
        <v>154.97999999999999</v>
      </c>
      <c r="S97" s="307">
        <v>315</v>
      </c>
      <c r="T97" s="377">
        <f t="shared" si="15"/>
        <v>383.71383893666928</v>
      </c>
      <c r="U97" s="377">
        <f t="shared" si="21"/>
        <v>1741.95</v>
      </c>
      <c r="V97" s="495">
        <v>1093.874</v>
      </c>
      <c r="W97" s="496">
        <f>U97-V97</f>
        <v>648.07600000000002</v>
      </c>
      <c r="X97" s="313" t="s">
        <v>12</v>
      </c>
      <c r="Y97" s="307" t="s">
        <v>12</v>
      </c>
      <c r="Z97" s="307" t="s">
        <v>12</v>
      </c>
      <c r="AA97" s="516" t="s">
        <v>3516</v>
      </c>
      <c r="AB97" s="304" t="s">
        <v>11</v>
      </c>
      <c r="AC97" s="162" t="s">
        <v>2315</v>
      </c>
      <c r="AD97" s="116" t="s">
        <v>2310</v>
      </c>
      <c r="AE97" s="507" t="s">
        <v>2985</v>
      </c>
      <c r="AF97" s="507" t="s">
        <v>2985</v>
      </c>
      <c r="AG97" s="262" t="s">
        <v>2985</v>
      </c>
      <c r="AH97" s="344">
        <v>78.186082877247856</v>
      </c>
      <c r="AI97" s="377">
        <v>5.9421422986708361</v>
      </c>
      <c r="AJ97" s="377">
        <v>15.871774824081314</v>
      </c>
      <c r="AK97" s="315">
        <v>0</v>
      </c>
      <c r="AL97" s="315">
        <v>0</v>
      </c>
      <c r="AM97" s="315">
        <v>0</v>
      </c>
      <c r="AN97" s="312">
        <v>0</v>
      </c>
      <c r="AO97" s="312">
        <v>0</v>
      </c>
      <c r="AP97" s="307">
        <v>0</v>
      </c>
      <c r="AQ97" s="307">
        <v>0</v>
      </c>
      <c r="AR97" s="307">
        <v>0</v>
      </c>
      <c r="AS97" s="307">
        <v>0</v>
      </c>
      <c r="AT97" s="377">
        <v>0.78186082877247842</v>
      </c>
      <c r="AU97" s="307">
        <v>0</v>
      </c>
      <c r="AV97" s="307">
        <v>0</v>
      </c>
      <c r="AW97" s="307">
        <v>0</v>
      </c>
      <c r="AX97" s="304">
        <v>0</v>
      </c>
      <c r="AY97" s="303">
        <v>41.2</v>
      </c>
      <c r="AZ97" s="311"/>
      <c r="BA97" s="317" t="s">
        <v>2985</v>
      </c>
      <c r="BB97" s="94" t="s">
        <v>2985</v>
      </c>
      <c r="BC97" s="426">
        <v>24.1</v>
      </c>
      <c r="BD97" s="348" t="s">
        <v>3544</v>
      </c>
      <c r="BE97" s="312">
        <v>100</v>
      </c>
      <c r="BF97" s="307" t="s">
        <v>2571</v>
      </c>
      <c r="BG97" s="307">
        <v>400</v>
      </c>
      <c r="BH97" s="523">
        <v>25.248190000000001</v>
      </c>
      <c r="BI97" s="303">
        <v>40</v>
      </c>
      <c r="BJ97" s="307">
        <v>1</v>
      </c>
      <c r="BK97" s="317" t="s">
        <v>2985</v>
      </c>
      <c r="BL97" s="307">
        <v>30</v>
      </c>
      <c r="BM97" s="307">
        <v>0</v>
      </c>
      <c r="BN97" s="307">
        <v>100</v>
      </c>
      <c r="BO97" s="332" t="s">
        <v>2985</v>
      </c>
      <c r="BP97" s="325" t="s">
        <v>2523</v>
      </c>
      <c r="BS97" s="321"/>
    </row>
    <row r="98" spans="1:71" s="322" customFormat="1" ht="15" customHeight="1">
      <c r="A98" s="336">
        <v>1165</v>
      </c>
      <c r="B98" s="534" t="s">
        <v>3609</v>
      </c>
      <c r="C98" s="466" t="s">
        <v>3590</v>
      </c>
      <c r="D98" s="383"/>
      <c r="E98" s="469"/>
      <c r="F98" s="303" t="s">
        <v>279</v>
      </c>
      <c r="G98" s="386" t="s">
        <v>425</v>
      </c>
      <c r="H98" s="303" t="s">
        <v>443</v>
      </c>
      <c r="I98" s="338" t="s">
        <v>3377</v>
      </c>
      <c r="J98" s="307">
        <v>1980</v>
      </c>
      <c r="K98" s="304">
        <v>291</v>
      </c>
      <c r="L98" s="303" t="s">
        <v>1811</v>
      </c>
      <c r="M98" s="304" t="s">
        <v>1751</v>
      </c>
      <c r="N98" s="446">
        <f t="shared" ref="N98:N129" si="24">R98/T98</f>
        <v>0.29799999999999999</v>
      </c>
      <c r="O98" s="349">
        <v>0.29799999999999999</v>
      </c>
      <c r="P98" s="329">
        <v>2.99</v>
      </c>
      <c r="Q98" s="310">
        <f t="shared" si="20"/>
        <v>2.99</v>
      </c>
      <c r="R98" s="377">
        <f t="shared" ref="R98:R129" si="25">O98*S98</f>
        <v>169.85999999999999</v>
      </c>
      <c r="S98" s="307">
        <v>570</v>
      </c>
      <c r="T98" s="377">
        <f t="shared" ref="T98:T129" si="26">(((SUM(AI98:AR98)/100)*(S98))+S98)</f>
        <v>570</v>
      </c>
      <c r="U98" s="377">
        <f t="shared" si="21"/>
        <v>1704.3000000000002</v>
      </c>
      <c r="V98" s="495">
        <v>1075.0309999999999</v>
      </c>
      <c r="W98" s="496">
        <f>U98-V98</f>
        <v>629.26900000000023</v>
      </c>
      <c r="X98" s="313" t="s">
        <v>12</v>
      </c>
      <c r="Y98" s="307" t="s">
        <v>12</v>
      </c>
      <c r="Z98" s="311" t="s">
        <v>3618</v>
      </c>
      <c r="AA98" s="516" t="s">
        <v>1754</v>
      </c>
      <c r="AB98" s="304" t="s">
        <v>11</v>
      </c>
      <c r="AC98" s="162" t="s">
        <v>3376</v>
      </c>
      <c r="AD98" s="507" t="s">
        <v>2312</v>
      </c>
      <c r="AE98" s="239" t="s">
        <v>2306</v>
      </c>
      <c r="AF98" s="239" t="s">
        <v>2308</v>
      </c>
      <c r="AG98" s="262" t="s">
        <v>2985</v>
      </c>
      <c r="AH98" s="344">
        <v>100</v>
      </c>
      <c r="AI98" s="312">
        <v>0</v>
      </c>
      <c r="AJ98" s="394">
        <v>0</v>
      </c>
      <c r="AK98" s="315">
        <v>0</v>
      </c>
      <c r="AL98" s="315">
        <v>0</v>
      </c>
      <c r="AM98" s="315">
        <v>0</v>
      </c>
      <c r="AN98" s="312">
        <v>0</v>
      </c>
      <c r="AO98" s="312">
        <v>0</v>
      </c>
      <c r="AP98" s="307">
        <v>0</v>
      </c>
      <c r="AQ98" s="307">
        <v>0</v>
      </c>
      <c r="AR98" s="307">
        <v>0</v>
      </c>
      <c r="AS98" s="307">
        <v>0</v>
      </c>
      <c r="AT98" s="312">
        <v>0</v>
      </c>
      <c r="AU98" s="307">
        <v>0</v>
      </c>
      <c r="AV98" s="307">
        <v>0</v>
      </c>
      <c r="AW98" s="307">
        <v>0</v>
      </c>
      <c r="AX98" s="304">
        <v>0</v>
      </c>
      <c r="AY98" s="303">
        <v>64.900000000000006</v>
      </c>
      <c r="AZ98" s="311">
        <v>35.695000000000007</v>
      </c>
      <c r="BA98" s="317" t="s">
        <v>2985</v>
      </c>
      <c r="BB98" s="94" t="s">
        <v>2985</v>
      </c>
      <c r="BC98" s="426">
        <v>37</v>
      </c>
      <c r="BD98" s="307" t="s">
        <v>3519</v>
      </c>
      <c r="BE98" s="312">
        <v>75</v>
      </c>
      <c r="BF98" s="317"/>
      <c r="BG98" s="307">
        <v>300</v>
      </c>
      <c r="BH98" s="416">
        <v>30</v>
      </c>
      <c r="BI98" s="303">
        <v>99</v>
      </c>
      <c r="BJ98" s="307">
        <v>8</v>
      </c>
      <c r="BK98" s="311">
        <v>23</v>
      </c>
      <c r="BL98" s="307">
        <v>23</v>
      </c>
      <c r="BM98" s="307">
        <v>0</v>
      </c>
      <c r="BN98" s="307">
        <v>50</v>
      </c>
      <c r="BO98" s="386" t="s">
        <v>2996</v>
      </c>
      <c r="BP98" s="325" t="s">
        <v>540</v>
      </c>
      <c r="BS98" s="321"/>
    </row>
    <row r="99" spans="1:71" s="322" customFormat="1" ht="15" customHeight="1">
      <c r="A99" s="336">
        <v>1166</v>
      </c>
      <c r="B99" s="534" t="s">
        <v>3609</v>
      </c>
      <c r="C99" s="466" t="s">
        <v>3590</v>
      </c>
      <c r="D99" s="383"/>
      <c r="E99" s="469"/>
      <c r="F99" s="303" t="s">
        <v>280</v>
      </c>
      <c r="G99" s="386" t="s">
        <v>425</v>
      </c>
      <c r="H99" s="303" t="s">
        <v>443</v>
      </c>
      <c r="I99" s="338" t="s">
        <v>3377</v>
      </c>
      <c r="J99" s="307">
        <v>1980</v>
      </c>
      <c r="K99" s="304">
        <v>291</v>
      </c>
      <c r="L99" s="303" t="s">
        <v>1811</v>
      </c>
      <c r="M99" s="304" t="s">
        <v>1751</v>
      </c>
      <c r="N99" s="446">
        <f t="shared" si="24"/>
        <v>0.29799999999999999</v>
      </c>
      <c r="O99" s="349">
        <v>0.29799999999999999</v>
      </c>
      <c r="P99" s="329">
        <v>2.99</v>
      </c>
      <c r="Q99" s="310">
        <f t="shared" si="20"/>
        <v>2.99</v>
      </c>
      <c r="R99" s="377">
        <f t="shared" si="25"/>
        <v>169.85999999999999</v>
      </c>
      <c r="S99" s="307">
        <v>570</v>
      </c>
      <c r="T99" s="377">
        <f t="shared" si="26"/>
        <v>570</v>
      </c>
      <c r="U99" s="377">
        <f t="shared" si="21"/>
        <v>1704.3000000000002</v>
      </c>
      <c r="V99" s="495">
        <v>1075.0309999999999</v>
      </c>
      <c r="W99" s="496">
        <f>U99-V99</f>
        <v>629.26900000000023</v>
      </c>
      <c r="X99" s="313" t="s">
        <v>12</v>
      </c>
      <c r="Y99" s="307" t="s">
        <v>12</v>
      </c>
      <c r="Z99" s="311" t="s">
        <v>3618</v>
      </c>
      <c r="AA99" s="516" t="s">
        <v>1754</v>
      </c>
      <c r="AB99" s="304" t="s">
        <v>11</v>
      </c>
      <c r="AC99" s="162" t="s">
        <v>3376</v>
      </c>
      <c r="AD99" s="507" t="s">
        <v>2312</v>
      </c>
      <c r="AE99" s="239" t="s">
        <v>2306</v>
      </c>
      <c r="AF99" s="239" t="s">
        <v>2308</v>
      </c>
      <c r="AG99" s="262" t="s">
        <v>2985</v>
      </c>
      <c r="AH99" s="344">
        <v>100</v>
      </c>
      <c r="AI99" s="312">
        <v>0</v>
      </c>
      <c r="AJ99" s="394">
        <v>0</v>
      </c>
      <c r="AK99" s="315">
        <v>0</v>
      </c>
      <c r="AL99" s="315">
        <v>0</v>
      </c>
      <c r="AM99" s="315">
        <v>0</v>
      </c>
      <c r="AN99" s="312">
        <v>0</v>
      </c>
      <c r="AO99" s="312">
        <v>0</v>
      </c>
      <c r="AP99" s="307">
        <v>0</v>
      </c>
      <c r="AQ99" s="307">
        <v>0</v>
      </c>
      <c r="AR99" s="307">
        <v>0</v>
      </c>
      <c r="AS99" s="307">
        <v>0</v>
      </c>
      <c r="AT99" s="377">
        <v>1</v>
      </c>
      <c r="AU99" s="307">
        <v>0</v>
      </c>
      <c r="AV99" s="307">
        <v>0</v>
      </c>
      <c r="AW99" s="307">
        <v>0</v>
      </c>
      <c r="AX99" s="304">
        <v>0</v>
      </c>
      <c r="AY99" s="303">
        <v>65.400000000000006</v>
      </c>
      <c r="AZ99" s="311">
        <v>40.548000000000002</v>
      </c>
      <c r="BA99" s="317" t="s">
        <v>2985</v>
      </c>
      <c r="BB99" s="94" t="s">
        <v>2985</v>
      </c>
      <c r="BC99" s="426">
        <v>36</v>
      </c>
      <c r="BD99" s="307" t="s">
        <v>3519</v>
      </c>
      <c r="BE99" s="312">
        <v>75</v>
      </c>
      <c r="BF99" s="317"/>
      <c r="BG99" s="307">
        <v>300</v>
      </c>
      <c r="BH99" s="416">
        <v>30</v>
      </c>
      <c r="BI99" s="303">
        <v>99</v>
      </c>
      <c r="BJ99" s="307">
        <v>8</v>
      </c>
      <c r="BK99" s="311">
        <v>23</v>
      </c>
      <c r="BL99" s="307">
        <v>23</v>
      </c>
      <c r="BM99" s="307">
        <v>0</v>
      </c>
      <c r="BN99" s="307">
        <v>50</v>
      </c>
      <c r="BO99" s="386" t="s">
        <v>2996</v>
      </c>
      <c r="BP99" s="325" t="s">
        <v>1830</v>
      </c>
      <c r="BS99" s="321"/>
    </row>
    <row r="100" spans="1:71" s="322" customFormat="1" ht="15" customHeight="1">
      <c r="A100" s="336">
        <v>1167</v>
      </c>
      <c r="B100" s="534" t="s">
        <v>3609</v>
      </c>
      <c r="C100" s="466" t="s">
        <v>3590</v>
      </c>
      <c r="D100" s="383"/>
      <c r="E100" s="469"/>
      <c r="F100" s="303" t="s">
        <v>1870</v>
      </c>
      <c r="G100" s="386" t="s">
        <v>425</v>
      </c>
      <c r="H100" s="303" t="s">
        <v>443</v>
      </c>
      <c r="I100" s="338" t="s">
        <v>3377</v>
      </c>
      <c r="J100" s="307">
        <v>1980</v>
      </c>
      <c r="K100" s="304">
        <v>291</v>
      </c>
      <c r="L100" s="303" t="s">
        <v>1811</v>
      </c>
      <c r="M100" s="304" t="s">
        <v>1751</v>
      </c>
      <c r="N100" s="446">
        <f t="shared" si="24"/>
        <v>0.29799999999999999</v>
      </c>
      <c r="O100" s="349">
        <v>0.29799999999999999</v>
      </c>
      <c r="P100" s="329">
        <v>2.99</v>
      </c>
      <c r="Q100" s="310">
        <f t="shared" si="20"/>
        <v>2.99</v>
      </c>
      <c r="R100" s="377">
        <f t="shared" si="25"/>
        <v>169.85999999999999</v>
      </c>
      <c r="S100" s="307">
        <v>570</v>
      </c>
      <c r="T100" s="377">
        <f t="shared" si="26"/>
        <v>570</v>
      </c>
      <c r="U100" s="377">
        <f t="shared" si="21"/>
        <v>1704.3000000000002</v>
      </c>
      <c r="V100" s="495">
        <v>1075.0309999999999</v>
      </c>
      <c r="W100" s="496">
        <f>U100-V100</f>
        <v>629.26900000000023</v>
      </c>
      <c r="X100" s="313" t="s">
        <v>12</v>
      </c>
      <c r="Y100" s="307" t="s">
        <v>12</v>
      </c>
      <c r="Z100" s="311" t="s">
        <v>3618</v>
      </c>
      <c r="AA100" s="516" t="s">
        <v>1754</v>
      </c>
      <c r="AB100" s="304" t="s">
        <v>11</v>
      </c>
      <c r="AC100" s="162" t="s">
        <v>3376</v>
      </c>
      <c r="AD100" s="507" t="s">
        <v>2312</v>
      </c>
      <c r="AE100" s="239" t="s">
        <v>2306</v>
      </c>
      <c r="AF100" s="239" t="s">
        <v>2308</v>
      </c>
      <c r="AG100" s="262" t="s">
        <v>2985</v>
      </c>
      <c r="AH100" s="313">
        <v>100</v>
      </c>
      <c r="AI100" s="307">
        <v>0</v>
      </c>
      <c r="AJ100" s="315">
        <v>0</v>
      </c>
      <c r="AK100" s="315">
        <v>0</v>
      </c>
      <c r="AL100" s="315">
        <v>0</v>
      </c>
      <c r="AM100" s="315">
        <v>0</v>
      </c>
      <c r="AN100" s="307">
        <v>0</v>
      </c>
      <c r="AO100" s="307">
        <v>0</v>
      </c>
      <c r="AP100" s="307">
        <v>0</v>
      </c>
      <c r="AQ100" s="307">
        <v>0</v>
      </c>
      <c r="AR100" s="307">
        <v>0</v>
      </c>
      <c r="AS100" s="307">
        <v>0</v>
      </c>
      <c r="AT100" s="307">
        <v>0</v>
      </c>
      <c r="AU100" s="307">
        <v>0</v>
      </c>
      <c r="AV100" s="307">
        <v>0</v>
      </c>
      <c r="AW100" s="307">
        <v>0</v>
      </c>
      <c r="AX100" s="304">
        <v>0</v>
      </c>
      <c r="AY100" s="303">
        <v>64.900000000000006</v>
      </c>
      <c r="AZ100" s="311">
        <v>35.695000000000007</v>
      </c>
      <c r="BA100" s="317" t="s">
        <v>2985</v>
      </c>
      <c r="BB100" s="94" t="s">
        <v>2985</v>
      </c>
      <c r="BC100" s="426">
        <v>37</v>
      </c>
      <c r="BD100" s="307" t="s">
        <v>3547</v>
      </c>
      <c r="BE100" s="312">
        <v>75</v>
      </c>
      <c r="BF100" s="317"/>
      <c r="BG100" s="307">
        <v>200</v>
      </c>
      <c r="BH100" s="416">
        <v>15.789473684210526</v>
      </c>
      <c r="BI100" s="303">
        <v>99</v>
      </c>
      <c r="BJ100" s="307">
        <v>8</v>
      </c>
      <c r="BK100" s="311">
        <v>23</v>
      </c>
      <c r="BL100" s="307">
        <v>23</v>
      </c>
      <c r="BM100" s="307">
        <v>0</v>
      </c>
      <c r="BN100" s="307">
        <v>50</v>
      </c>
      <c r="BO100" s="386" t="s">
        <v>2996</v>
      </c>
      <c r="BP100" s="325" t="s">
        <v>540</v>
      </c>
      <c r="BS100" s="321"/>
    </row>
    <row r="101" spans="1:71" s="322" customFormat="1" ht="15" customHeight="1">
      <c r="A101" s="336">
        <v>1168</v>
      </c>
      <c r="B101" s="534" t="s">
        <v>3609</v>
      </c>
      <c r="C101" s="466" t="s">
        <v>3590</v>
      </c>
      <c r="D101" s="383"/>
      <c r="E101" s="469"/>
      <c r="F101" s="303" t="s">
        <v>1871</v>
      </c>
      <c r="G101" s="386" t="s">
        <v>425</v>
      </c>
      <c r="H101" s="303" t="s">
        <v>443</v>
      </c>
      <c r="I101" s="338" t="s">
        <v>3377</v>
      </c>
      <c r="J101" s="307">
        <v>1980</v>
      </c>
      <c r="K101" s="304">
        <v>291</v>
      </c>
      <c r="L101" s="303" t="s">
        <v>1811</v>
      </c>
      <c r="M101" s="304" t="s">
        <v>1751</v>
      </c>
      <c r="N101" s="446">
        <f t="shared" si="24"/>
        <v>0.29799999999999999</v>
      </c>
      <c r="O101" s="349">
        <v>0.29799999999999999</v>
      </c>
      <c r="P101" s="329">
        <v>2.99</v>
      </c>
      <c r="Q101" s="310">
        <f t="shared" si="20"/>
        <v>2.99</v>
      </c>
      <c r="R101" s="377">
        <f t="shared" si="25"/>
        <v>169.85999999999999</v>
      </c>
      <c r="S101" s="307">
        <v>570</v>
      </c>
      <c r="T101" s="377">
        <f t="shared" si="26"/>
        <v>570</v>
      </c>
      <c r="U101" s="377">
        <f t="shared" si="21"/>
        <v>1704.3000000000002</v>
      </c>
      <c r="V101" s="495">
        <v>1075.0309999999999</v>
      </c>
      <c r="W101" s="496">
        <f>U101-V101</f>
        <v>629.26900000000023</v>
      </c>
      <c r="X101" s="313" t="s">
        <v>12</v>
      </c>
      <c r="Y101" s="307" t="s">
        <v>12</v>
      </c>
      <c r="Z101" s="311" t="s">
        <v>3618</v>
      </c>
      <c r="AA101" s="516" t="s">
        <v>1754</v>
      </c>
      <c r="AB101" s="304" t="s">
        <v>11</v>
      </c>
      <c r="AC101" s="162" t="s">
        <v>3376</v>
      </c>
      <c r="AD101" s="507" t="s">
        <v>2312</v>
      </c>
      <c r="AE101" s="239" t="s">
        <v>2306</v>
      </c>
      <c r="AF101" s="239" t="s">
        <v>2308</v>
      </c>
      <c r="AG101" s="262" t="s">
        <v>2985</v>
      </c>
      <c r="AH101" s="313">
        <v>100</v>
      </c>
      <c r="AI101" s="307">
        <v>0</v>
      </c>
      <c r="AJ101" s="315">
        <v>0</v>
      </c>
      <c r="AK101" s="315">
        <v>0</v>
      </c>
      <c r="AL101" s="315">
        <v>0</v>
      </c>
      <c r="AM101" s="315">
        <v>0</v>
      </c>
      <c r="AN101" s="307">
        <v>0</v>
      </c>
      <c r="AO101" s="307">
        <v>0</v>
      </c>
      <c r="AP101" s="307">
        <v>0</v>
      </c>
      <c r="AQ101" s="307">
        <v>0</v>
      </c>
      <c r="AR101" s="307">
        <v>0</v>
      </c>
      <c r="AS101" s="307">
        <v>0</v>
      </c>
      <c r="AT101" s="311">
        <v>1</v>
      </c>
      <c r="AU101" s="307">
        <v>0</v>
      </c>
      <c r="AV101" s="307">
        <v>0</v>
      </c>
      <c r="AW101" s="307">
        <v>0</v>
      </c>
      <c r="AX101" s="304">
        <v>0</v>
      </c>
      <c r="AY101" s="303">
        <v>65.400000000000006</v>
      </c>
      <c r="AZ101" s="311">
        <v>40.548000000000002</v>
      </c>
      <c r="BA101" s="317" t="s">
        <v>2985</v>
      </c>
      <c r="BB101" s="94" t="s">
        <v>2985</v>
      </c>
      <c r="BC101" s="426">
        <v>36</v>
      </c>
      <c r="BD101" s="307" t="s">
        <v>3547</v>
      </c>
      <c r="BE101" s="312">
        <v>75</v>
      </c>
      <c r="BF101" s="317"/>
      <c r="BG101" s="307">
        <v>200</v>
      </c>
      <c r="BH101" s="416">
        <v>15.789473684210526</v>
      </c>
      <c r="BI101" s="303">
        <v>99</v>
      </c>
      <c r="BJ101" s="307">
        <v>8</v>
      </c>
      <c r="BK101" s="311">
        <v>23</v>
      </c>
      <c r="BL101" s="307">
        <v>23</v>
      </c>
      <c r="BM101" s="307">
        <v>0</v>
      </c>
      <c r="BN101" s="307">
        <v>50</v>
      </c>
      <c r="BO101" s="386" t="s">
        <v>2996</v>
      </c>
      <c r="BP101" s="325" t="s">
        <v>1830</v>
      </c>
      <c r="BS101" s="321"/>
    </row>
    <row r="102" spans="1:71" s="322" customFormat="1" ht="15" customHeight="1">
      <c r="A102" s="457">
        <v>1169</v>
      </c>
      <c r="B102" s="534" t="s">
        <v>3624</v>
      </c>
      <c r="C102" s="383"/>
      <c r="D102" s="383"/>
      <c r="E102" s="469"/>
      <c r="F102" s="303" t="s">
        <v>1872</v>
      </c>
      <c r="G102" s="386" t="s">
        <v>1753</v>
      </c>
      <c r="H102" s="340" t="s">
        <v>254</v>
      </c>
      <c r="I102" s="338" t="s">
        <v>3377</v>
      </c>
      <c r="J102" s="348">
        <v>2009</v>
      </c>
      <c r="K102" s="341">
        <v>292</v>
      </c>
      <c r="L102" s="340" t="s">
        <v>1738</v>
      </c>
      <c r="M102" s="341" t="s">
        <v>1752</v>
      </c>
      <c r="N102" s="446">
        <f t="shared" si="24"/>
        <v>0.36983739184319847</v>
      </c>
      <c r="O102" s="307">
        <v>0.47</v>
      </c>
      <c r="P102" s="329">
        <v>3.06</v>
      </c>
      <c r="Q102" s="310">
        <f t="shared" si="20"/>
        <v>2.4078774873195474</v>
      </c>
      <c r="R102" s="377">
        <f t="shared" si="25"/>
        <v>164.5</v>
      </c>
      <c r="S102" s="307">
        <v>350</v>
      </c>
      <c r="T102" s="377">
        <f t="shared" si="26"/>
        <v>444.79007160461418</v>
      </c>
      <c r="U102" s="377">
        <f t="shared" si="21"/>
        <v>1071</v>
      </c>
      <c r="V102" s="408" t="s">
        <v>2985</v>
      </c>
      <c r="W102" s="408" t="s">
        <v>2985</v>
      </c>
      <c r="X102" s="303" t="s">
        <v>12</v>
      </c>
      <c r="Y102" s="307" t="s">
        <v>12</v>
      </c>
      <c r="Z102" s="317" t="s">
        <v>2985</v>
      </c>
      <c r="AA102" s="311" t="s">
        <v>522</v>
      </c>
      <c r="AB102" s="304" t="s">
        <v>1754</v>
      </c>
      <c r="AC102" s="441" t="s">
        <v>2985</v>
      </c>
      <c r="AD102" s="515" t="s">
        <v>2985</v>
      </c>
      <c r="AE102" s="515" t="s">
        <v>2985</v>
      </c>
      <c r="AF102" s="348" t="s">
        <v>2308</v>
      </c>
      <c r="AG102" s="262" t="s">
        <v>2985</v>
      </c>
      <c r="AH102" s="351">
        <v>72.917122398681656</v>
      </c>
      <c r="AI102" s="348">
        <v>0</v>
      </c>
      <c r="AJ102" s="348">
        <v>0</v>
      </c>
      <c r="AK102" s="348">
        <v>0</v>
      </c>
      <c r="AL102" s="348">
        <v>0</v>
      </c>
      <c r="AM102" s="348">
        <v>0</v>
      </c>
      <c r="AN102" s="352">
        <v>26.979335287512214</v>
      </c>
      <c r="AO102" s="348">
        <v>0</v>
      </c>
      <c r="AP102" s="307">
        <v>0</v>
      </c>
      <c r="AQ102" s="342">
        <v>0.10354231380612795</v>
      </c>
      <c r="AR102" s="348">
        <v>0</v>
      </c>
      <c r="AS102" s="365">
        <v>0</v>
      </c>
      <c r="AT102" s="365">
        <v>0</v>
      </c>
      <c r="AU102" s="365">
        <v>0</v>
      </c>
      <c r="AV102" s="365">
        <v>0</v>
      </c>
      <c r="AW102" s="348">
        <v>0</v>
      </c>
      <c r="AX102" s="341">
        <v>0</v>
      </c>
      <c r="AY102" s="354" t="s">
        <v>2985</v>
      </c>
      <c r="AZ102" s="316"/>
      <c r="BA102" s="316" t="s">
        <v>2985</v>
      </c>
      <c r="BB102" s="94" t="s">
        <v>2985</v>
      </c>
      <c r="BC102" s="355" t="s">
        <v>2985</v>
      </c>
      <c r="BD102" s="348" t="s">
        <v>3584</v>
      </c>
      <c r="BE102" s="348">
        <v>10</v>
      </c>
      <c r="BF102" s="348"/>
      <c r="BG102" s="348">
        <v>160</v>
      </c>
      <c r="BH102" s="425">
        <v>4.7058823529411766</v>
      </c>
      <c r="BI102" s="303">
        <v>97</v>
      </c>
      <c r="BJ102" s="307">
        <v>1</v>
      </c>
      <c r="BK102" s="318" t="s">
        <v>2985</v>
      </c>
      <c r="BL102" s="307">
        <v>20</v>
      </c>
      <c r="BM102" s="312">
        <v>0</v>
      </c>
      <c r="BN102" s="307">
        <v>99</v>
      </c>
      <c r="BO102" s="386" t="s">
        <v>2518</v>
      </c>
      <c r="BP102" s="343" t="s">
        <v>2518</v>
      </c>
      <c r="BS102" s="321"/>
    </row>
    <row r="103" spans="1:71" s="322" customFormat="1" ht="15" customHeight="1">
      <c r="A103" s="457">
        <v>1170</v>
      </c>
      <c r="B103" s="533" t="s">
        <v>3614</v>
      </c>
      <c r="C103" s="383"/>
      <c r="D103" s="383"/>
      <c r="E103" s="469"/>
      <c r="F103" s="303" t="s">
        <v>1873</v>
      </c>
      <c r="G103" s="386" t="s">
        <v>1753</v>
      </c>
      <c r="H103" s="340" t="s">
        <v>254</v>
      </c>
      <c r="I103" s="338" t="s">
        <v>3377</v>
      </c>
      <c r="J103" s="348">
        <v>2009</v>
      </c>
      <c r="K103" s="341">
        <v>292</v>
      </c>
      <c r="L103" s="340" t="s">
        <v>1738</v>
      </c>
      <c r="M103" s="341" t="s">
        <v>1752</v>
      </c>
      <c r="N103" s="446">
        <f t="shared" si="24"/>
        <v>0.44852619861834703</v>
      </c>
      <c r="O103" s="307">
        <v>0.56999999999999995</v>
      </c>
      <c r="P103" s="513">
        <v>3.06</v>
      </c>
      <c r="Q103" s="310">
        <f t="shared" si="20"/>
        <v>2.4078774873195474</v>
      </c>
      <c r="R103" s="377">
        <f t="shared" si="25"/>
        <v>199.49999999999997</v>
      </c>
      <c r="S103" s="307">
        <v>350</v>
      </c>
      <c r="T103" s="377">
        <f t="shared" si="26"/>
        <v>444.79007160461418</v>
      </c>
      <c r="U103" s="377">
        <f t="shared" si="21"/>
        <v>1071</v>
      </c>
      <c r="V103" s="408" t="s">
        <v>2985</v>
      </c>
      <c r="W103" s="408" t="s">
        <v>2985</v>
      </c>
      <c r="X103" s="303" t="s">
        <v>12</v>
      </c>
      <c r="Y103" s="307" t="s">
        <v>12</v>
      </c>
      <c r="Z103" s="317" t="s">
        <v>2985</v>
      </c>
      <c r="AA103" s="311" t="s">
        <v>522</v>
      </c>
      <c r="AB103" s="304" t="s">
        <v>1754</v>
      </c>
      <c r="AC103" s="441" t="s">
        <v>2985</v>
      </c>
      <c r="AD103" s="515" t="s">
        <v>2985</v>
      </c>
      <c r="AE103" s="515" t="s">
        <v>2985</v>
      </c>
      <c r="AF103" s="348" t="s">
        <v>2308</v>
      </c>
      <c r="AG103" s="262" t="s">
        <v>2985</v>
      </c>
      <c r="AH103" s="351">
        <v>72.917122398681656</v>
      </c>
      <c r="AI103" s="348">
        <v>0</v>
      </c>
      <c r="AJ103" s="348">
        <v>0</v>
      </c>
      <c r="AK103" s="348">
        <v>0</v>
      </c>
      <c r="AL103" s="348">
        <v>0</v>
      </c>
      <c r="AM103" s="348">
        <v>0</v>
      </c>
      <c r="AN103" s="352">
        <v>26.979335287512214</v>
      </c>
      <c r="AO103" s="348">
        <v>0</v>
      </c>
      <c r="AP103" s="307">
        <v>0</v>
      </c>
      <c r="AQ103" s="342">
        <v>0.10354231380612795</v>
      </c>
      <c r="AR103" s="348">
        <v>0</v>
      </c>
      <c r="AS103" s="365">
        <v>0</v>
      </c>
      <c r="AT103" s="365">
        <v>0</v>
      </c>
      <c r="AU103" s="365">
        <v>0</v>
      </c>
      <c r="AV103" s="365">
        <v>0</v>
      </c>
      <c r="AW103" s="348">
        <v>0</v>
      </c>
      <c r="AX103" s="341">
        <v>0</v>
      </c>
      <c r="AY103" s="354" t="s">
        <v>2985</v>
      </c>
      <c r="AZ103" s="316"/>
      <c r="BA103" s="316" t="s">
        <v>2985</v>
      </c>
      <c r="BB103" s="94" t="s">
        <v>2985</v>
      </c>
      <c r="BC103" s="355" t="s">
        <v>2985</v>
      </c>
      <c r="BD103" s="348" t="s">
        <v>3584</v>
      </c>
      <c r="BE103" s="348">
        <v>10</v>
      </c>
      <c r="BF103" s="348"/>
      <c r="BG103" s="348">
        <v>160</v>
      </c>
      <c r="BH103" s="425">
        <v>4.7058823529411766</v>
      </c>
      <c r="BI103" s="303">
        <v>97</v>
      </c>
      <c r="BJ103" s="307">
        <v>1</v>
      </c>
      <c r="BK103" s="318" t="s">
        <v>2985</v>
      </c>
      <c r="BL103" s="307">
        <v>20</v>
      </c>
      <c r="BM103" s="312">
        <v>0</v>
      </c>
      <c r="BN103" s="307">
        <v>99</v>
      </c>
      <c r="BO103" s="386" t="s">
        <v>2518</v>
      </c>
      <c r="BP103" s="343" t="s">
        <v>2518</v>
      </c>
      <c r="BS103" s="321"/>
    </row>
    <row r="104" spans="1:71" s="322" customFormat="1" ht="15" customHeight="1">
      <c r="A104" s="457">
        <v>1171</v>
      </c>
      <c r="B104" s="533" t="s">
        <v>3614</v>
      </c>
      <c r="C104" s="383"/>
      <c r="D104" s="383"/>
      <c r="E104" s="469"/>
      <c r="F104" s="303" t="s">
        <v>1874</v>
      </c>
      <c r="G104" s="386" t="s">
        <v>1753</v>
      </c>
      <c r="H104" s="340" t="s">
        <v>254</v>
      </c>
      <c r="I104" s="338" t="s">
        <v>3377</v>
      </c>
      <c r="J104" s="348">
        <v>2009</v>
      </c>
      <c r="K104" s="341">
        <v>292</v>
      </c>
      <c r="L104" s="340" t="s">
        <v>1738</v>
      </c>
      <c r="M104" s="341" t="s">
        <v>1752</v>
      </c>
      <c r="N104" s="446">
        <f t="shared" si="24"/>
        <v>0.52721500539349564</v>
      </c>
      <c r="O104" s="307">
        <v>0.67</v>
      </c>
      <c r="P104" s="513">
        <v>3.06</v>
      </c>
      <c r="Q104" s="310">
        <f t="shared" si="20"/>
        <v>2.4078774873195474</v>
      </c>
      <c r="R104" s="377">
        <f t="shared" si="25"/>
        <v>234.5</v>
      </c>
      <c r="S104" s="307">
        <v>350</v>
      </c>
      <c r="T104" s="377">
        <f t="shared" si="26"/>
        <v>444.79007160461418</v>
      </c>
      <c r="U104" s="377">
        <f t="shared" si="21"/>
        <v>1071</v>
      </c>
      <c r="V104" s="408" t="s">
        <v>2985</v>
      </c>
      <c r="W104" s="408" t="s">
        <v>2985</v>
      </c>
      <c r="X104" s="303" t="s">
        <v>12</v>
      </c>
      <c r="Y104" s="307" t="s">
        <v>12</v>
      </c>
      <c r="Z104" s="317" t="s">
        <v>2985</v>
      </c>
      <c r="AA104" s="311" t="s">
        <v>522</v>
      </c>
      <c r="AB104" s="304" t="s">
        <v>1754</v>
      </c>
      <c r="AC104" s="441" t="s">
        <v>2985</v>
      </c>
      <c r="AD104" s="515" t="s">
        <v>2985</v>
      </c>
      <c r="AE104" s="515" t="s">
        <v>2985</v>
      </c>
      <c r="AF104" s="348" t="s">
        <v>2308</v>
      </c>
      <c r="AG104" s="262" t="s">
        <v>2985</v>
      </c>
      <c r="AH104" s="351">
        <v>72.917122398681656</v>
      </c>
      <c r="AI104" s="348">
        <v>0</v>
      </c>
      <c r="AJ104" s="348">
        <v>0</v>
      </c>
      <c r="AK104" s="348">
        <v>0</v>
      </c>
      <c r="AL104" s="348">
        <v>0</v>
      </c>
      <c r="AM104" s="348">
        <v>0</v>
      </c>
      <c r="AN104" s="352">
        <v>26.979335287512214</v>
      </c>
      <c r="AO104" s="348">
        <v>0</v>
      </c>
      <c r="AP104" s="307">
        <v>0</v>
      </c>
      <c r="AQ104" s="342">
        <v>0.10354231380612795</v>
      </c>
      <c r="AR104" s="348">
        <v>0</v>
      </c>
      <c r="AS104" s="365">
        <v>0</v>
      </c>
      <c r="AT104" s="365">
        <v>0</v>
      </c>
      <c r="AU104" s="365">
        <v>0</v>
      </c>
      <c r="AV104" s="365">
        <v>0</v>
      </c>
      <c r="AW104" s="348">
        <v>0</v>
      </c>
      <c r="AX104" s="341">
        <v>0</v>
      </c>
      <c r="AY104" s="354" t="s">
        <v>2985</v>
      </c>
      <c r="AZ104" s="316"/>
      <c r="BA104" s="316" t="s">
        <v>2985</v>
      </c>
      <c r="BB104" s="94" t="s">
        <v>2985</v>
      </c>
      <c r="BC104" s="355" t="s">
        <v>2985</v>
      </c>
      <c r="BD104" s="348" t="s">
        <v>3584</v>
      </c>
      <c r="BE104" s="348">
        <v>10</v>
      </c>
      <c r="BF104" s="348"/>
      <c r="BG104" s="348">
        <v>160</v>
      </c>
      <c r="BH104" s="425">
        <v>4.7058823529411766</v>
      </c>
      <c r="BI104" s="303">
        <v>97</v>
      </c>
      <c r="BJ104" s="307">
        <v>1</v>
      </c>
      <c r="BK104" s="318" t="s">
        <v>2985</v>
      </c>
      <c r="BL104" s="307">
        <v>20</v>
      </c>
      <c r="BM104" s="312">
        <v>0</v>
      </c>
      <c r="BN104" s="307">
        <v>99</v>
      </c>
      <c r="BO104" s="386" t="s">
        <v>2518</v>
      </c>
      <c r="BP104" s="343" t="s">
        <v>2518</v>
      </c>
      <c r="BS104" s="321"/>
    </row>
    <row r="105" spans="1:71" s="322" customFormat="1" ht="15" customHeight="1">
      <c r="A105" s="457">
        <v>1172</v>
      </c>
      <c r="B105" s="533" t="s">
        <v>3614</v>
      </c>
      <c r="C105" s="383"/>
      <c r="D105" s="383"/>
      <c r="E105" s="469"/>
      <c r="F105" s="303" t="s">
        <v>1875</v>
      </c>
      <c r="G105" s="386" t="s">
        <v>1753</v>
      </c>
      <c r="H105" s="340" t="s">
        <v>254</v>
      </c>
      <c r="I105" s="338" t="s">
        <v>3377</v>
      </c>
      <c r="J105" s="348">
        <v>2009</v>
      </c>
      <c r="K105" s="341">
        <v>292</v>
      </c>
      <c r="L105" s="340" t="s">
        <v>1738</v>
      </c>
      <c r="M105" s="341" t="s">
        <v>1752</v>
      </c>
      <c r="N105" s="446">
        <f t="shared" si="24"/>
        <v>0.46972427471416345</v>
      </c>
      <c r="O105" s="307">
        <v>0.56999999999999995</v>
      </c>
      <c r="P105" s="513">
        <v>3.06</v>
      </c>
      <c r="Q105" s="310">
        <f t="shared" si="20"/>
        <v>2.5216776853076146</v>
      </c>
      <c r="R105" s="377">
        <f t="shared" si="25"/>
        <v>199.49999999999997</v>
      </c>
      <c r="S105" s="307">
        <v>350</v>
      </c>
      <c r="T105" s="377">
        <f t="shared" si="26"/>
        <v>424.71724528479967</v>
      </c>
      <c r="U105" s="377">
        <f t="shared" si="21"/>
        <v>1071</v>
      </c>
      <c r="V105" s="408" t="s">
        <v>2985</v>
      </c>
      <c r="W105" s="408" t="s">
        <v>2985</v>
      </c>
      <c r="X105" s="303" t="s">
        <v>12</v>
      </c>
      <c r="Y105" s="307" t="s">
        <v>12</v>
      </c>
      <c r="Z105" s="317" t="s">
        <v>2985</v>
      </c>
      <c r="AA105" s="311" t="s">
        <v>522</v>
      </c>
      <c r="AB105" s="304" t="s">
        <v>1754</v>
      </c>
      <c r="AC105" s="441" t="s">
        <v>2985</v>
      </c>
      <c r="AD105" s="515" t="s">
        <v>2985</v>
      </c>
      <c r="AE105" s="515" t="s">
        <v>2985</v>
      </c>
      <c r="AF105" s="348" t="s">
        <v>2308</v>
      </c>
      <c r="AG105" s="262" t="s">
        <v>2985</v>
      </c>
      <c r="AH105" s="351">
        <v>78.652215632914377</v>
      </c>
      <c r="AI105" s="348">
        <v>0</v>
      </c>
      <c r="AJ105" s="348">
        <v>0</v>
      </c>
      <c r="AK105" s="348">
        <v>0</v>
      </c>
      <c r="AL105" s="348">
        <v>0</v>
      </c>
      <c r="AM105" s="348">
        <v>0</v>
      </c>
      <c r="AN105" s="352">
        <v>21.236098220886884</v>
      </c>
      <c r="AO105" s="348">
        <v>0</v>
      </c>
      <c r="AP105" s="307">
        <v>0</v>
      </c>
      <c r="AQ105" s="342">
        <v>0.11168614619873841</v>
      </c>
      <c r="AR105" s="348">
        <v>0</v>
      </c>
      <c r="AS105" s="365">
        <v>0</v>
      </c>
      <c r="AT105" s="365">
        <v>0</v>
      </c>
      <c r="AU105" s="365">
        <v>0</v>
      </c>
      <c r="AV105" s="365">
        <v>0</v>
      </c>
      <c r="AW105" s="348">
        <v>0</v>
      </c>
      <c r="AX105" s="341">
        <v>0</v>
      </c>
      <c r="AY105" s="354" t="s">
        <v>2985</v>
      </c>
      <c r="AZ105" s="316"/>
      <c r="BA105" s="316" t="s">
        <v>2985</v>
      </c>
      <c r="BB105" s="94" t="s">
        <v>2985</v>
      </c>
      <c r="BC105" s="355" t="s">
        <v>2985</v>
      </c>
      <c r="BD105" s="348" t="s">
        <v>3584</v>
      </c>
      <c r="BE105" s="348">
        <v>10</v>
      </c>
      <c r="BF105" s="348"/>
      <c r="BG105" s="348">
        <v>160</v>
      </c>
      <c r="BH105" s="425">
        <v>4.7058823529411766</v>
      </c>
      <c r="BI105" s="303">
        <v>97</v>
      </c>
      <c r="BJ105" s="307">
        <v>1</v>
      </c>
      <c r="BK105" s="318" t="s">
        <v>2985</v>
      </c>
      <c r="BL105" s="307">
        <v>20</v>
      </c>
      <c r="BM105" s="312">
        <v>0</v>
      </c>
      <c r="BN105" s="307">
        <v>99</v>
      </c>
      <c r="BO105" s="386" t="s">
        <v>2518</v>
      </c>
      <c r="BP105" s="343" t="s">
        <v>2518</v>
      </c>
      <c r="BS105" s="321"/>
    </row>
    <row r="106" spans="1:71" s="322" customFormat="1" ht="15" customHeight="1">
      <c r="A106" s="457">
        <v>1173</v>
      </c>
      <c r="B106" s="533" t="s">
        <v>3614</v>
      </c>
      <c r="C106" s="383"/>
      <c r="D106" s="383"/>
      <c r="E106" s="469"/>
      <c r="F106" s="303" t="s">
        <v>1876</v>
      </c>
      <c r="G106" s="386" t="s">
        <v>1753</v>
      </c>
      <c r="H106" s="340" t="s">
        <v>254</v>
      </c>
      <c r="I106" s="338" t="s">
        <v>3377</v>
      </c>
      <c r="J106" s="348">
        <v>2009</v>
      </c>
      <c r="K106" s="341">
        <v>292</v>
      </c>
      <c r="L106" s="340" t="s">
        <v>1738</v>
      </c>
      <c r="M106" s="341" t="s">
        <v>1752</v>
      </c>
      <c r="N106" s="446">
        <f t="shared" si="24"/>
        <v>0.44852619861834703</v>
      </c>
      <c r="O106" s="307">
        <v>0.56999999999999995</v>
      </c>
      <c r="P106" s="513">
        <v>3.06</v>
      </c>
      <c r="Q106" s="310">
        <f t="shared" si="20"/>
        <v>2.4078774873195474</v>
      </c>
      <c r="R106" s="377">
        <f t="shared" si="25"/>
        <v>199.49999999999997</v>
      </c>
      <c r="S106" s="307">
        <v>350</v>
      </c>
      <c r="T106" s="377">
        <f t="shared" si="26"/>
        <v>444.79007160461418</v>
      </c>
      <c r="U106" s="377">
        <f t="shared" si="21"/>
        <v>1071</v>
      </c>
      <c r="V106" s="408" t="s">
        <v>2985</v>
      </c>
      <c r="W106" s="408" t="s">
        <v>2985</v>
      </c>
      <c r="X106" s="303" t="s">
        <v>12</v>
      </c>
      <c r="Y106" s="307" t="s">
        <v>12</v>
      </c>
      <c r="Z106" s="317" t="s">
        <v>2985</v>
      </c>
      <c r="AA106" s="311" t="s">
        <v>522</v>
      </c>
      <c r="AB106" s="304" t="s">
        <v>1754</v>
      </c>
      <c r="AC106" s="441" t="s">
        <v>2985</v>
      </c>
      <c r="AD106" s="515" t="s">
        <v>2985</v>
      </c>
      <c r="AE106" s="515" t="s">
        <v>2985</v>
      </c>
      <c r="AF106" s="348" t="s">
        <v>2308</v>
      </c>
      <c r="AG106" s="262" t="s">
        <v>2985</v>
      </c>
      <c r="AH106" s="351">
        <v>72.917122398681656</v>
      </c>
      <c r="AI106" s="348">
        <v>0</v>
      </c>
      <c r="AJ106" s="348">
        <v>0</v>
      </c>
      <c r="AK106" s="348">
        <v>0</v>
      </c>
      <c r="AL106" s="348">
        <v>0</v>
      </c>
      <c r="AM106" s="348">
        <v>0</v>
      </c>
      <c r="AN106" s="352">
        <v>26.979335287512214</v>
      </c>
      <c r="AO106" s="348">
        <v>0</v>
      </c>
      <c r="AP106" s="307">
        <v>0</v>
      </c>
      <c r="AQ106" s="342">
        <v>0.10354231380612795</v>
      </c>
      <c r="AR106" s="348">
        <v>0</v>
      </c>
      <c r="AS106" s="365">
        <v>0</v>
      </c>
      <c r="AT106" s="365">
        <v>0</v>
      </c>
      <c r="AU106" s="365">
        <v>0</v>
      </c>
      <c r="AV106" s="365">
        <v>0</v>
      </c>
      <c r="AW106" s="348">
        <v>0</v>
      </c>
      <c r="AX106" s="341">
        <v>0</v>
      </c>
      <c r="AY106" s="354" t="s">
        <v>2985</v>
      </c>
      <c r="AZ106" s="316"/>
      <c r="BA106" s="316" t="s">
        <v>2985</v>
      </c>
      <c r="BB106" s="94" t="s">
        <v>2985</v>
      </c>
      <c r="BC106" s="355" t="s">
        <v>2985</v>
      </c>
      <c r="BD106" s="348" t="s">
        <v>3584</v>
      </c>
      <c r="BE106" s="348">
        <v>10</v>
      </c>
      <c r="BF106" s="348"/>
      <c r="BG106" s="348">
        <v>160</v>
      </c>
      <c r="BH106" s="425">
        <v>4.7058823529411766</v>
      </c>
      <c r="BI106" s="303">
        <v>97</v>
      </c>
      <c r="BJ106" s="307">
        <v>1</v>
      </c>
      <c r="BK106" s="318" t="s">
        <v>2985</v>
      </c>
      <c r="BL106" s="307">
        <v>20</v>
      </c>
      <c r="BM106" s="312">
        <v>0</v>
      </c>
      <c r="BN106" s="307">
        <v>99</v>
      </c>
      <c r="BO106" s="386" t="s">
        <v>2518</v>
      </c>
      <c r="BP106" s="343" t="s">
        <v>2518</v>
      </c>
      <c r="BS106" s="321"/>
    </row>
    <row r="107" spans="1:71" s="322" customFormat="1" ht="15" customHeight="1">
      <c r="A107" s="457">
        <v>1174</v>
      </c>
      <c r="B107" s="533" t="s">
        <v>3614</v>
      </c>
      <c r="C107" s="383"/>
      <c r="D107" s="383"/>
      <c r="E107" s="469"/>
      <c r="F107" s="303" t="s">
        <v>1877</v>
      </c>
      <c r="G107" s="386" t="s">
        <v>1753</v>
      </c>
      <c r="H107" s="340" t="s">
        <v>254</v>
      </c>
      <c r="I107" s="338" t="s">
        <v>3377</v>
      </c>
      <c r="J107" s="348">
        <v>2009</v>
      </c>
      <c r="K107" s="341">
        <v>292</v>
      </c>
      <c r="L107" s="340" t="s">
        <v>1738</v>
      </c>
      <c r="M107" s="341" t="s">
        <v>1752</v>
      </c>
      <c r="N107" s="446">
        <f t="shared" si="24"/>
        <v>0.43169247081591888</v>
      </c>
      <c r="O107" s="307">
        <v>0.56999999999999995</v>
      </c>
      <c r="P107" s="513">
        <v>3.06</v>
      </c>
      <c r="Q107" s="310">
        <f t="shared" si="20"/>
        <v>2.3175069485907227</v>
      </c>
      <c r="R107" s="377">
        <f t="shared" si="25"/>
        <v>199.49999999999997</v>
      </c>
      <c r="S107" s="307">
        <v>350</v>
      </c>
      <c r="T107" s="377">
        <f t="shared" si="26"/>
        <v>462.13453670603906</v>
      </c>
      <c r="U107" s="377">
        <f t="shared" si="21"/>
        <v>1071</v>
      </c>
      <c r="V107" s="408" t="s">
        <v>2985</v>
      </c>
      <c r="W107" s="408" t="s">
        <v>2985</v>
      </c>
      <c r="X107" s="303" t="s">
        <v>12</v>
      </c>
      <c r="Y107" s="307" t="s">
        <v>12</v>
      </c>
      <c r="Z107" s="317" t="s">
        <v>2985</v>
      </c>
      <c r="AA107" s="311" t="s">
        <v>522</v>
      </c>
      <c r="AB107" s="304" t="s">
        <v>1754</v>
      </c>
      <c r="AC107" s="441" t="s">
        <v>2985</v>
      </c>
      <c r="AD107" s="515" t="s">
        <v>2985</v>
      </c>
      <c r="AE107" s="515" t="s">
        <v>2985</v>
      </c>
      <c r="AF107" s="348" t="s">
        <v>2308</v>
      </c>
      <c r="AG107" s="262" t="s">
        <v>2985</v>
      </c>
      <c r="AH107" s="351">
        <v>67.961560941131694</v>
      </c>
      <c r="AI107" s="348">
        <v>0</v>
      </c>
      <c r="AJ107" s="348">
        <v>0</v>
      </c>
      <c r="AK107" s="348">
        <v>0</v>
      </c>
      <c r="AL107" s="348">
        <v>0</v>
      </c>
      <c r="AM107" s="348">
        <v>0</v>
      </c>
      <c r="AN107" s="352">
        <v>31.9419336423319</v>
      </c>
      <c r="AO107" s="348">
        <v>0</v>
      </c>
      <c r="AP107" s="307">
        <v>0</v>
      </c>
      <c r="AQ107" s="342">
        <v>9.6505416536406999E-2</v>
      </c>
      <c r="AR107" s="348">
        <v>0</v>
      </c>
      <c r="AS107" s="365">
        <v>0</v>
      </c>
      <c r="AT107" s="365">
        <v>0</v>
      </c>
      <c r="AU107" s="365">
        <v>0</v>
      </c>
      <c r="AV107" s="365">
        <v>0</v>
      </c>
      <c r="AW107" s="348">
        <v>0</v>
      </c>
      <c r="AX107" s="341">
        <v>0</v>
      </c>
      <c r="AY107" s="354" t="s">
        <v>2985</v>
      </c>
      <c r="AZ107" s="316"/>
      <c r="BA107" s="316" t="s">
        <v>2985</v>
      </c>
      <c r="BB107" s="94" t="s">
        <v>2985</v>
      </c>
      <c r="BC107" s="355" t="s">
        <v>2985</v>
      </c>
      <c r="BD107" s="348" t="s">
        <v>3584</v>
      </c>
      <c r="BE107" s="348">
        <v>10</v>
      </c>
      <c r="BF107" s="348"/>
      <c r="BG107" s="348">
        <v>160</v>
      </c>
      <c r="BH107" s="425">
        <v>4.7058823529411766</v>
      </c>
      <c r="BI107" s="303">
        <v>97</v>
      </c>
      <c r="BJ107" s="307">
        <v>1</v>
      </c>
      <c r="BK107" s="318" t="s">
        <v>2985</v>
      </c>
      <c r="BL107" s="307">
        <v>20</v>
      </c>
      <c r="BM107" s="312">
        <v>0</v>
      </c>
      <c r="BN107" s="307">
        <v>99</v>
      </c>
      <c r="BO107" s="386" t="s">
        <v>2518</v>
      </c>
      <c r="BP107" s="343" t="s">
        <v>2518</v>
      </c>
      <c r="BS107" s="321"/>
    </row>
    <row r="108" spans="1:71" s="322" customFormat="1" ht="15" customHeight="1">
      <c r="A108" s="457">
        <v>1175</v>
      </c>
      <c r="B108" s="534" t="s">
        <v>3624</v>
      </c>
      <c r="C108" s="383"/>
      <c r="D108" s="383"/>
      <c r="E108" s="469"/>
      <c r="F108" s="303" t="s">
        <v>1878</v>
      </c>
      <c r="G108" s="386" t="s">
        <v>1753</v>
      </c>
      <c r="H108" s="340" t="s">
        <v>254</v>
      </c>
      <c r="I108" s="338" t="s">
        <v>3377</v>
      </c>
      <c r="J108" s="348">
        <v>2009</v>
      </c>
      <c r="K108" s="341">
        <v>292</v>
      </c>
      <c r="L108" s="340" t="s">
        <v>1738</v>
      </c>
      <c r="M108" s="341" t="s">
        <v>1752</v>
      </c>
      <c r="N108" s="446">
        <f t="shared" si="24"/>
        <v>0.418001064008512</v>
      </c>
      <c r="O108" s="307">
        <v>0.56999999999999995</v>
      </c>
      <c r="P108" s="513">
        <v>3.06</v>
      </c>
      <c r="Q108" s="310">
        <f t="shared" ref="Q108:Q142" si="27">U108/T108</f>
        <v>2.2440057120456962</v>
      </c>
      <c r="R108" s="377">
        <f t="shared" si="25"/>
        <v>199.49999999999997</v>
      </c>
      <c r="S108" s="307">
        <v>350</v>
      </c>
      <c r="T108" s="377">
        <f t="shared" si="26"/>
        <v>477.27151239006758</v>
      </c>
      <c r="U108" s="377">
        <f t="shared" ref="U108:U142" si="28">P108*S108</f>
        <v>1071</v>
      </c>
      <c r="V108" s="408" t="s">
        <v>2985</v>
      </c>
      <c r="W108" s="408" t="s">
        <v>2985</v>
      </c>
      <c r="X108" s="303" t="s">
        <v>12</v>
      </c>
      <c r="Y108" s="307" t="s">
        <v>12</v>
      </c>
      <c r="Z108" s="317" t="s">
        <v>2985</v>
      </c>
      <c r="AA108" s="311" t="s">
        <v>522</v>
      </c>
      <c r="AB108" s="304" t="s">
        <v>1754</v>
      </c>
      <c r="AC108" s="441" t="s">
        <v>2985</v>
      </c>
      <c r="AD108" s="515" t="s">
        <v>2985</v>
      </c>
      <c r="AE108" s="515" t="s">
        <v>2985</v>
      </c>
      <c r="AF108" s="348" t="s">
        <v>2308</v>
      </c>
      <c r="AG108" s="262" t="s">
        <v>2985</v>
      </c>
      <c r="AH108" s="351">
        <v>63.636710745694977</v>
      </c>
      <c r="AI108" s="348">
        <v>0</v>
      </c>
      <c r="AJ108" s="348">
        <v>0</v>
      </c>
      <c r="AK108" s="348">
        <v>0</v>
      </c>
      <c r="AL108" s="348">
        <v>0</v>
      </c>
      <c r="AM108" s="348">
        <v>0</v>
      </c>
      <c r="AN108" s="352">
        <v>36.272925125046136</v>
      </c>
      <c r="AO108" s="348">
        <v>0</v>
      </c>
      <c r="AP108" s="307">
        <v>0</v>
      </c>
      <c r="AQ108" s="342">
        <v>9.0364129258886858E-2</v>
      </c>
      <c r="AR108" s="348">
        <v>0</v>
      </c>
      <c r="AS108" s="365">
        <v>0</v>
      </c>
      <c r="AT108" s="365">
        <v>0</v>
      </c>
      <c r="AU108" s="365">
        <v>0</v>
      </c>
      <c r="AV108" s="365">
        <v>0</v>
      </c>
      <c r="AW108" s="348">
        <v>0</v>
      </c>
      <c r="AX108" s="341">
        <v>0</v>
      </c>
      <c r="AY108" s="354" t="s">
        <v>2985</v>
      </c>
      <c r="AZ108" s="316"/>
      <c r="BA108" s="316" t="s">
        <v>2985</v>
      </c>
      <c r="BB108" s="94" t="s">
        <v>2985</v>
      </c>
      <c r="BC108" s="355" t="s">
        <v>2985</v>
      </c>
      <c r="BD108" s="348" t="s">
        <v>3584</v>
      </c>
      <c r="BE108" s="348">
        <v>10</v>
      </c>
      <c r="BF108" s="348"/>
      <c r="BG108" s="348">
        <v>160</v>
      </c>
      <c r="BH108" s="425">
        <v>4.7058823529411766</v>
      </c>
      <c r="BI108" s="303">
        <v>97</v>
      </c>
      <c r="BJ108" s="307">
        <v>1</v>
      </c>
      <c r="BK108" s="318" t="s">
        <v>2985</v>
      </c>
      <c r="BL108" s="307">
        <v>20</v>
      </c>
      <c r="BM108" s="312">
        <v>0</v>
      </c>
      <c r="BN108" s="307">
        <v>99</v>
      </c>
      <c r="BO108" s="386" t="s">
        <v>2518</v>
      </c>
      <c r="BP108" s="343" t="s">
        <v>2518</v>
      </c>
      <c r="BS108" s="321"/>
    </row>
    <row r="109" spans="1:71" s="322" customFormat="1" ht="15" customHeight="1">
      <c r="A109" s="457">
        <v>1176</v>
      </c>
      <c r="B109" s="534" t="s">
        <v>3624</v>
      </c>
      <c r="C109" s="383"/>
      <c r="D109" s="383"/>
      <c r="E109" s="469"/>
      <c r="F109" s="303" t="s">
        <v>1879</v>
      </c>
      <c r="G109" s="386" t="s">
        <v>1753</v>
      </c>
      <c r="H109" s="340" t="s">
        <v>254</v>
      </c>
      <c r="I109" s="338" t="s">
        <v>3377</v>
      </c>
      <c r="J109" s="348">
        <v>2009</v>
      </c>
      <c r="K109" s="341">
        <v>292</v>
      </c>
      <c r="L109" s="340" t="s">
        <v>1738</v>
      </c>
      <c r="M109" s="341" t="s">
        <v>1752</v>
      </c>
      <c r="N109" s="446">
        <f t="shared" si="24"/>
        <v>0.35486489207305305</v>
      </c>
      <c r="O109" s="307">
        <v>0.5</v>
      </c>
      <c r="P109" s="513">
        <v>3.01</v>
      </c>
      <c r="Q109" s="310">
        <f t="shared" si="27"/>
        <v>2.136286650279779</v>
      </c>
      <c r="R109" s="377">
        <f t="shared" si="25"/>
        <v>236</v>
      </c>
      <c r="S109" s="307">
        <v>472</v>
      </c>
      <c r="T109" s="377">
        <f t="shared" si="26"/>
        <v>665.04183781419738</v>
      </c>
      <c r="U109" s="377">
        <f t="shared" si="28"/>
        <v>1420.7199999999998</v>
      </c>
      <c r="V109" s="408" t="s">
        <v>2985</v>
      </c>
      <c r="W109" s="408" t="s">
        <v>2985</v>
      </c>
      <c r="X109" s="303" t="s">
        <v>12</v>
      </c>
      <c r="Y109" s="307" t="s">
        <v>12</v>
      </c>
      <c r="Z109" s="317" t="s">
        <v>2985</v>
      </c>
      <c r="AA109" s="311" t="s">
        <v>522</v>
      </c>
      <c r="AB109" s="304" t="s">
        <v>522</v>
      </c>
      <c r="AC109" s="441" t="s">
        <v>2985</v>
      </c>
      <c r="AD109" s="515" t="s">
        <v>2985</v>
      </c>
      <c r="AE109" s="515" t="s">
        <v>2985</v>
      </c>
      <c r="AF109" s="348" t="s">
        <v>2308</v>
      </c>
      <c r="AG109" s="262" t="s">
        <v>2985</v>
      </c>
      <c r="AH109" s="351">
        <v>59.101305547839551</v>
      </c>
      <c r="AI109" s="348">
        <v>0</v>
      </c>
      <c r="AJ109" s="348">
        <v>0</v>
      </c>
      <c r="AK109" s="348">
        <v>0</v>
      </c>
      <c r="AL109" s="348">
        <v>0</v>
      </c>
      <c r="AM109" s="348">
        <v>0</v>
      </c>
      <c r="AN109" s="352">
        <v>40.779900828009289</v>
      </c>
      <c r="AO109" s="348">
        <v>0</v>
      </c>
      <c r="AP109" s="307">
        <v>0</v>
      </c>
      <c r="AQ109" s="342">
        <v>0.11879362415115752</v>
      </c>
      <c r="AR109" s="348">
        <v>0</v>
      </c>
      <c r="AS109" s="365">
        <v>0</v>
      </c>
      <c r="AT109" s="365">
        <v>0</v>
      </c>
      <c r="AU109" s="365">
        <v>0</v>
      </c>
      <c r="AV109" s="365">
        <v>0</v>
      </c>
      <c r="AW109" s="348">
        <v>0</v>
      </c>
      <c r="AX109" s="341">
        <v>0</v>
      </c>
      <c r="AY109" s="354" t="s">
        <v>2985</v>
      </c>
      <c r="AZ109" s="316"/>
      <c r="BA109" s="316" t="s">
        <v>2985</v>
      </c>
      <c r="BB109" s="94" t="s">
        <v>2985</v>
      </c>
      <c r="BC109" s="355" t="s">
        <v>2985</v>
      </c>
      <c r="BD109" s="348" t="s">
        <v>3584</v>
      </c>
      <c r="BE109" s="348">
        <v>10</v>
      </c>
      <c r="BF109" s="348"/>
      <c r="BG109" s="348">
        <v>160</v>
      </c>
      <c r="BH109" s="425">
        <v>4.7058823529411766</v>
      </c>
      <c r="BI109" s="303">
        <v>97</v>
      </c>
      <c r="BJ109" s="307">
        <v>1</v>
      </c>
      <c r="BK109" s="318" t="s">
        <v>2985</v>
      </c>
      <c r="BL109" s="307">
        <v>20</v>
      </c>
      <c r="BM109" s="312">
        <v>0</v>
      </c>
      <c r="BN109" s="307">
        <v>99</v>
      </c>
      <c r="BO109" s="386" t="s">
        <v>2518</v>
      </c>
      <c r="BP109" s="343" t="s">
        <v>2518</v>
      </c>
      <c r="BS109" s="321"/>
    </row>
    <row r="110" spans="1:71" s="322" customFormat="1" ht="15" customHeight="1">
      <c r="A110" s="457">
        <v>1177</v>
      </c>
      <c r="B110" s="533" t="s">
        <v>3614</v>
      </c>
      <c r="C110" s="383"/>
      <c r="D110" s="383"/>
      <c r="E110" s="469"/>
      <c r="F110" s="303" t="s">
        <v>1880</v>
      </c>
      <c r="G110" s="386" t="s">
        <v>1753</v>
      </c>
      <c r="H110" s="340" t="s">
        <v>254</v>
      </c>
      <c r="I110" s="338" t="s">
        <v>3377</v>
      </c>
      <c r="J110" s="348">
        <v>2009</v>
      </c>
      <c r="K110" s="341">
        <v>292</v>
      </c>
      <c r="L110" s="340" t="s">
        <v>1738</v>
      </c>
      <c r="M110" s="341" t="s">
        <v>1752</v>
      </c>
      <c r="N110" s="446">
        <f t="shared" si="24"/>
        <v>0.42583787048766364</v>
      </c>
      <c r="O110" s="307">
        <v>0.6</v>
      </c>
      <c r="P110" s="513">
        <v>3.01</v>
      </c>
      <c r="Q110" s="310">
        <f t="shared" si="27"/>
        <v>2.136286650279779</v>
      </c>
      <c r="R110" s="377">
        <f t="shared" si="25"/>
        <v>283.2</v>
      </c>
      <c r="S110" s="307">
        <v>472</v>
      </c>
      <c r="T110" s="377">
        <f t="shared" si="26"/>
        <v>665.04183781419738</v>
      </c>
      <c r="U110" s="377">
        <f t="shared" si="28"/>
        <v>1420.7199999999998</v>
      </c>
      <c r="V110" s="408" t="s">
        <v>2985</v>
      </c>
      <c r="W110" s="408" t="s">
        <v>2985</v>
      </c>
      <c r="X110" s="303" t="s">
        <v>12</v>
      </c>
      <c r="Y110" s="307" t="s">
        <v>12</v>
      </c>
      <c r="Z110" s="317" t="s">
        <v>2985</v>
      </c>
      <c r="AA110" s="311" t="s">
        <v>522</v>
      </c>
      <c r="AB110" s="304" t="s">
        <v>522</v>
      </c>
      <c r="AC110" s="441" t="s">
        <v>2985</v>
      </c>
      <c r="AD110" s="515" t="s">
        <v>2985</v>
      </c>
      <c r="AE110" s="515" t="s">
        <v>2985</v>
      </c>
      <c r="AF110" s="348" t="s">
        <v>2308</v>
      </c>
      <c r="AG110" s="262" t="s">
        <v>2985</v>
      </c>
      <c r="AH110" s="351">
        <v>59.101305547839551</v>
      </c>
      <c r="AI110" s="348">
        <v>0</v>
      </c>
      <c r="AJ110" s="348">
        <v>0</v>
      </c>
      <c r="AK110" s="348">
        <v>0</v>
      </c>
      <c r="AL110" s="348">
        <v>0</v>
      </c>
      <c r="AM110" s="348">
        <v>0</v>
      </c>
      <c r="AN110" s="352">
        <v>40.779900828009289</v>
      </c>
      <c r="AO110" s="348">
        <v>0</v>
      </c>
      <c r="AP110" s="307">
        <v>0</v>
      </c>
      <c r="AQ110" s="342">
        <v>0.11879362415115752</v>
      </c>
      <c r="AR110" s="348">
        <v>0</v>
      </c>
      <c r="AS110" s="365">
        <v>0</v>
      </c>
      <c r="AT110" s="365">
        <v>0</v>
      </c>
      <c r="AU110" s="365">
        <v>0</v>
      </c>
      <c r="AV110" s="365">
        <v>0</v>
      </c>
      <c r="AW110" s="348">
        <v>0</v>
      </c>
      <c r="AX110" s="341">
        <v>0</v>
      </c>
      <c r="AY110" s="354" t="s">
        <v>2985</v>
      </c>
      <c r="AZ110" s="316"/>
      <c r="BA110" s="316" t="s">
        <v>2985</v>
      </c>
      <c r="BB110" s="94" t="s">
        <v>2985</v>
      </c>
      <c r="BC110" s="355" t="s">
        <v>2985</v>
      </c>
      <c r="BD110" s="348" t="s">
        <v>3584</v>
      </c>
      <c r="BE110" s="348">
        <v>10</v>
      </c>
      <c r="BF110" s="348"/>
      <c r="BG110" s="348">
        <v>160</v>
      </c>
      <c r="BH110" s="425">
        <v>4.7058823529411766</v>
      </c>
      <c r="BI110" s="303">
        <v>97</v>
      </c>
      <c r="BJ110" s="307">
        <v>1</v>
      </c>
      <c r="BK110" s="318" t="s">
        <v>2985</v>
      </c>
      <c r="BL110" s="307">
        <v>20</v>
      </c>
      <c r="BM110" s="312">
        <v>0</v>
      </c>
      <c r="BN110" s="307">
        <v>99</v>
      </c>
      <c r="BO110" s="386" t="s">
        <v>2518</v>
      </c>
      <c r="BP110" s="343" t="s">
        <v>2518</v>
      </c>
      <c r="BS110" s="321"/>
    </row>
    <row r="111" spans="1:71" s="322" customFormat="1" ht="15" customHeight="1">
      <c r="A111" s="457">
        <v>1178</v>
      </c>
      <c r="B111" s="533" t="s">
        <v>3614</v>
      </c>
      <c r="C111" s="383"/>
      <c r="D111" s="383"/>
      <c r="E111" s="469"/>
      <c r="F111" s="303" t="s">
        <v>1881</v>
      </c>
      <c r="G111" s="386" t="s">
        <v>1753</v>
      </c>
      <c r="H111" s="340" t="s">
        <v>254</v>
      </c>
      <c r="I111" s="338" t="s">
        <v>3377</v>
      </c>
      <c r="J111" s="348">
        <v>2009</v>
      </c>
      <c r="K111" s="341">
        <v>292</v>
      </c>
      <c r="L111" s="340" t="s">
        <v>1738</v>
      </c>
      <c r="M111" s="341" t="s">
        <v>1752</v>
      </c>
      <c r="N111" s="446">
        <f t="shared" si="24"/>
        <v>0.49681084890227423</v>
      </c>
      <c r="O111" s="307">
        <v>0.7</v>
      </c>
      <c r="P111" s="513">
        <v>3.01</v>
      </c>
      <c r="Q111" s="310">
        <f t="shared" si="27"/>
        <v>2.136286650279779</v>
      </c>
      <c r="R111" s="377">
        <f t="shared" si="25"/>
        <v>330.4</v>
      </c>
      <c r="S111" s="307">
        <v>472</v>
      </c>
      <c r="T111" s="377">
        <f t="shared" si="26"/>
        <v>665.04183781419738</v>
      </c>
      <c r="U111" s="377">
        <f t="shared" si="28"/>
        <v>1420.7199999999998</v>
      </c>
      <c r="V111" s="408" t="s">
        <v>2985</v>
      </c>
      <c r="W111" s="408" t="s">
        <v>2985</v>
      </c>
      <c r="X111" s="303" t="s">
        <v>12</v>
      </c>
      <c r="Y111" s="307" t="s">
        <v>12</v>
      </c>
      <c r="Z111" s="317" t="s">
        <v>2985</v>
      </c>
      <c r="AA111" s="311" t="s">
        <v>522</v>
      </c>
      <c r="AB111" s="304" t="s">
        <v>522</v>
      </c>
      <c r="AC111" s="441" t="s">
        <v>2985</v>
      </c>
      <c r="AD111" s="515" t="s">
        <v>2985</v>
      </c>
      <c r="AE111" s="515" t="s">
        <v>2985</v>
      </c>
      <c r="AF111" s="348" t="s">
        <v>2308</v>
      </c>
      <c r="AG111" s="262" t="s">
        <v>2985</v>
      </c>
      <c r="AH111" s="351">
        <v>59.101305547839551</v>
      </c>
      <c r="AI111" s="348">
        <v>0</v>
      </c>
      <c r="AJ111" s="348">
        <v>0</v>
      </c>
      <c r="AK111" s="348">
        <v>0</v>
      </c>
      <c r="AL111" s="348">
        <v>0</v>
      </c>
      <c r="AM111" s="348">
        <v>0</v>
      </c>
      <c r="AN111" s="352">
        <v>40.779900828009289</v>
      </c>
      <c r="AO111" s="348">
        <v>0</v>
      </c>
      <c r="AP111" s="307">
        <v>0</v>
      </c>
      <c r="AQ111" s="342">
        <v>0.11879362415115752</v>
      </c>
      <c r="AR111" s="348">
        <v>0</v>
      </c>
      <c r="AS111" s="365">
        <v>0</v>
      </c>
      <c r="AT111" s="365">
        <v>0</v>
      </c>
      <c r="AU111" s="365">
        <v>0</v>
      </c>
      <c r="AV111" s="365">
        <v>0</v>
      </c>
      <c r="AW111" s="348">
        <v>0</v>
      </c>
      <c r="AX111" s="341">
        <v>0</v>
      </c>
      <c r="AY111" s="354" t="s">
        <v>2985</v>
      </c>
      <c r="AZ111" s="316"/>
      <c r="BA111" s="316" t="s">
        <v>2985</v>
      </c>
      <c r="BB111" s="94" t="s">
        <v>2985</v>
      </c>
      <c r="BC111" s="355" t="s">
        <v>2985</v>
      </c>
      <c r="BD111" s="348" t="s">
        <v>3584</v>
      </c>
      <c r="BE111" s="348">
        <v>10</v>
      </c>
      <c r="BF111" s="348"/>
      <c r="BG111" s="348">
        <v>160</v>
      </c>
      <c r="BH111" s="425">
        <v>4.7058823529411766</v>
      </c>
      <c r="BI111" s="303">
        <v>97</v>
      </c>
      <c r="BJ111" s="307">
        <v>1</v>
      </c>
      <c r="BK111" s="318" t="s">
        <v>2985</v>
      </c>
      <c r="BL111" s="307">
        <v>20</v>
      </c>
      <c r="BM111" s="312">
        <v>0</v>
      </c>
      <c r="BN111" s="307">
        <v>99</v>
      </c>
      <c r="BO111" s="386" t="s">
        <v>2518</v>
      </c>
      <c r="BP111" s="343" t="s">
        <v>2518</v>
      </c>
      <c r="BS111" s="321"/>
    </row>
    <row r="112" spans="1:71" s="322" customFormat="1" ht="15" customHeight="1">
      <c r="A112" s="457">
        <v>1179</v>
      </c>
      <c r="B112" s="533" t="s">
        <v>3614</v>
      </c>
      <c r="C112" s="383"/>
      <c r="D112" s="383"/>
      <c r="E112" s="469"/>
      <c r="F112" s="303" t="s">
        <v>1882</v>
      </c>
      <c r="G112" s="386" t="s">
        <v>1753</v>
      </c>
      <c r="H112" s="340" t="s">
        <v>254</v>
      </c>
      <c r="I112" s="338" t="s">
        <v>3377</v>
      </c>
      <c r="J112" s="348">
        <v>2009</v>
      </c>
      <c r="K112" s="341">
        <v>292</v>
      </c>
      <c r="L112" s="340" t="s">
        <v>1738</v>
      </c>
      <c r="M112" s="341" t="s">
        <v>1752</v>
      </c>
      <c r="N112" s="446">
        <f t="shared" si="24"/>
        <v>0.48605970129920589</v>
      </c>
      <c r="O112" s="307">
        <v>0.59</v>
      </c>
      <c r="P112" s="513">
        <v>3.01</v>
      </c>
      <c r="Q112" s="310">
        <f t="shared" si="27"/>
        <v>2.4797283066281524</v>
      </c>
      <c r="R112" s="377">
        <f t="shared" si="25"/>
        <v>278.47999999999996</v>
      </c>
      <c r="S112" s="307">
        <v>472</v>
      </c>
      <c r="T112" s="377">
        <f t="shared" si="26"/>
        <v>572.9337347976824</v>
      </c>
      <c r="U112" s="377">
        <f t="shared" si="28"/>
        <v>1420.7199999999998</v>
      </c>
      <c r="V112" s="408" t="s">
        <v>2985</v>
      </c>
      <c r="W112" s="408" t="s">
        <v>2985</v>
      </c>
      <c r="X112" s="303" t="s">
        <v>12</v>
      </c>
      <c r="Y112" s="307" t="s">
        <v>12</v>
      </c>
      <c r="Z112" s="317" t="s">
        <v>2985</v>
      </c>
      <c r="AA112" s="311" t="s">
        <v>522</v>
      </c>
      <c r="AB112" s="304" t="s">
        <v>522</v>
      </c>
      <c r="AC112" s="441" t="s">
        <v>2985</v>
      </c>
      <c r="AD112" s="515" t="s">
        <v>2985</v>
      </c>
      <c r="AE112" s="515" t="s">
        <v>2985</v>
      </c>
      <c r="AF112" s="348" t="s">
        <v>2308</v>
      </c>
      <c r="AG112" s="262" t="s">
        <v>2985</v>
      </c>
      <c r="AH112" s="351">
        <v>78.615734153033387</v>
      </c>
      <c r="AI112" s="348">
        <v>0</v>
      </c>
      <c r="AJ112" s="348">
        <v>0</v>
      </c>
      <c r="AK112" s="348">
        <v>0</v>
      </c>
      <c r="AL112" s="348">
        <v>0</v>
      </c>
      <c r="AM112" s="348">
        <v>0</v>
      </c>
      <c r="AN112" s="352">
        <v>21.226248221319015</v>
      </c>
      <c r="AO112" s="348">
        <v>0</v>
      </c>
      <c r="AP112" s="307">
        <v>0</v>
      </c>
      <c r="AQ112" s="342">
        <v>0.15801762564759714</v>
      </c>
      <c r="AR112" s="348">
        <v>0</v>
      </c>
      <c r="AS112" s="365">
        <v>0</v>
      </c>
      <c r="AT112" s="365">
        <v>0</v>
      </c>
      <c r="AU112" s="365">
        <v>0</v>
      </c>
      <c r="AV112" s="365">
        <v>0</v>
      </c>
      <c r="AW112" s="348">
        <v>0</v>
      </c>
      <c r="AX112" s="341">
        <v>0</v>
      </c>
      <c r="AY112" s="354" t="s">
        <v>2985</v>
      </c>
      <c r="AZ112" s="316"/>
      <c r="BA112" s="316" t="s">
        <v>2985</v>
      </c>
      <c r="BB112" s="94" t="s">
        <v>2985</v>
      </c>
      <c r="BC112" s="355" t="s">
        <v>2985</v>
      </c>
      <c r="BD112" s="348" t="s">
        <v>3584</v>
      </c>
      <c r="BE112" s="348">
        <v>10</v>
      </c>
      <c r="BF112" s="348"/>
      <c r="BG112" s="348">
        <v>160</v>
      </c>
      <c r="BH112" s="425">
        <v>4.7058823529411766</v>
      </c>
      <c r="BI112" s="303">
        <v>97</v>
      </c>
      <c r="BJ112" s="307">
        <v>1</v>
      </c>
      <c r="BK112" s="318" t="s">
        <v>2985</v>
      </c>
      <c r="BL112" s="307">
        <v>20</v>
      </c>
      <c r="BM112" s="312">
        <v>0</v>
      </c>
      <c r="BN112" s="307">
        <v>99</v>
      </c>
      <c r="BO112" s="386" t="s">
        <v>2518</v>
      </c>
      <c r="BP112" s="343" t="s">
        <v>2518</v>
      </c>
      <c r="BS112" s="321"/>
    </row>
    <row r="113" spans="1:71" s="322" customFormat="1" ht="15" customHeight="1">
      <c r="A113" s="457">
        <v>1180</v>
      </c>
      <c r="B113" s="533" t="s">
        <v>3614</v>
      </c>
      <c r="C113" s="383"/>
      <c r="D113" s="383"/>
      <c r="E113" s="469"/>
      <c r="F113" s="303" t="s">
        <v>1883</v>
      </c>
      <c r="G113" s="386" t="s">
        <v>1753</v>
      </c>
      <c r="H113" s="340" t="s">
        <v>254</v>
      </c>
      <c r="I113" s="338" t="s">
        <v>3377</v>
      </c>
      <c r="J113" s="348">
        <v>2009</v>
      </c>
      <c r="K113" s="341">
        <v>292</v>
      </c>
      <c r="L113" s="340" t="s">
        <v>1738</v>
      </c>
      <c r="M113" s="341" t="s">
        <v>1752</v>
      </c>
      <c r="N113" s="446">
        <f t="shared" si="24"/>
        <v>0.46414943635967465</v>
      </c>
      <c r="O113" s="307">
        <v>0.59</v>
      </c>
      <c r="P113" s="513">
        <v>3.01</v>
      </c>
      <c r="Q113" s="310">
        <f t="shared" si="27"/>
        <v>2.3679488193942726</v>
      </c>
      <c r="R113" s="377">
        <f t="shared" si="25"/>
        <v>278.47999999999996</v>
      </c>
      <c r="S113" s="307">
        <v>472</v>
      </c>
      <c r="T113" s="377">
        <f t="shared" si="26"/>
        <v>599.97918382519083</v>
      </c>
      <c r="U113" s="377">
        <f t="shared" si="28"/>
        <v>1420.7199999999998</v>
      </c>
      <c r="V113" s="408" t="s">
        <v>2985</v>
      </c>
      <c r="W113" s="408" t="s">
        <v>2985</v>
      </c>
      <c r="X113" s="303" t="s">
        <v>12</v>
      </c>
      <c r="Y113" s="307" t="s">
        <v>12</v>
      </c>
      <c r="Z113" s="317" t="s">
        <v>2985</v>
      </c>
      <c r="AA113" s="311" t="s">
        <v>522</v>
      </c>
      <c r="AB113" s="304" t="s">
        <v>522</v>
      </c>
      <c r="AC113" s="441" t="s">
        <v>2985</v>
      </c>
      <c r="AD113" s="515" t="s">
        <v>2985</v>
      </c>
      <c r="AE113" s="515" t="s">
        <v>2985</v>
      </c>
      <c r="AF113" s="348" t="s">
        <v>2308</v>
      </c>
      <c r="AG113" s="262" t="s">
        <v>2985</v>
      </c>
      <c r="AH113" s="351">
        <v>72.885766138730759</v>
      </c>
      <c r="AI113" s="348">
        <v>0</v>
      </c>
      <c r="AJ113" s="348">
        <v>0</v>
      </c>
      <c r="AK113" s="348">
        <v>0</v>
      </c>
      <c r="AL113" s="348">
        <v>0</v>
      </c>
      <c r="AM113" s="348">
        <v>0</v>
      </c>
      <c r="AN113" s="352">
        <v>26.967733471330384</v>
      </c>
      <c r="AO113" s="348">
        <v>0</v>
      </c>
      <c r="AP113" s="307">
        <v>0</v>
      </c>
      <c r="AQ113" s="342">
        <v>0.14650038993884884</v>
      </c>
      <c r="AR113" s="348">
        <v>0</v>
      </c>
      <c r="AS113" s="365">
        <v>0</v>
      </c>
      <c r="AT113" s="365">
        <v>0</v>
      </c>
      <c r="AU113" s="365">
        <v>0</v>
      </c>
      <c r="AV113" s="365">
        <v>0</v>
      </c>
      <c r="AW113" s="348">
        <v>0</v>
      </c>
      <c r="AX113" s="341">
        <v>0</v>
      </c>
      <c r="AY113" s="354" t="s">
        <v>2985</v>
      </c>
      <c r="AZ113" s="316"/>
      <c r="BA113" s="316" t="s">
        <v>2985</v>
      </c>
      <c r="BB113" s="94" t="s">
        <v>2985</v>
      </c>
      <c r="BC113" s="355" t="s">
        <v>2985</v>
      </c>
      <c r="BD113" s="348" t="s">
        <v>3584</v>
      </c>
      <c r="BE113" s="348">
        <v>10</v>
      </c>
      <c r="BF113" s="348"/>
      <c r="BG113" s="348">
        <v>160</v>
      </c>
      <c r="BH113" s="425">
        <v>4.7058823529411766</v>
      </c>
      <c r="BI113" s="303">
        <v>97</v>
      </c>
      <c r="BJ113" s="307">
        <v>1</v>
      </c>
      <c r="BK113" s="318" t="s">
        <v>2985</v>
      </c>
      <c r="BL113" s="307">
        <v>20</v>
      </c>
      <c r="BM113" s="312">
        <v>0</v>
      </c>
      <c r="BN113" s="307">
        <v>99</v>
      </c>
      <c r="BO113" s="386" t="s">
        <v>2518</v>
      </c>
      <c r="BP113" s="343" t="s">
        <v>2518</v>
      </c>
      <c r="BS113" s="321"/>
    </row>
    <row r="114" spans="1:71" s="322" customFormat="1" ht="15" customHeight="1">
      <c r="A114" s="457">
        <v>1181</v>
      </c>
      <c r="B114" s="533" t="s">
        <v>3614</v>
      </c>
      <c r="C114" s="383"/>
      <c r="D114" s="383"/>
      <c r="E114" s="469"/>
      <c r="F114" s="303" t="s">
        <v>1884</v>
      </c>
      <c r="G114" s="386" t="s">
        <v>1753</v>
      </c>
      <c r="H114" s="340" t="s">
        <v>254</v>
      </c>
      <c r="I114" s="338" t="s">
        <v>3377</v>
      </c>
      <c r="J114" s="348">
        <v>2009</v>
      </c>
      <c r="K114" s="341">
        <v>292</v>
      </c>
      <c r="L114" s="340" t="s">
        <v>1738</v>
      </c>
      <c r="M114" s="341" t="s">
        <v>1752</v>
      </c>
      <c r="N114" s="446">
        <f t="shared" si="24"/>
        <v>0.44674741000606988</v>
      </c>
      <c r="O114" s="307">
        <v>0.59</v>
      </c>
      <c r="P114" s="513">
        <v>3.01</v>
      </c>
      <c r="Q114" s="310">
        <f t="shared" si="27"/>
        <v>2.2791689900309664</v>
      </c>
      <c r="R114" s="377">
        <f t="shared" si="25"/>
        <v>278.47999999999996</v>
      </c>
      <c r="S114" s="307">
        <v>472</v>
      </c>
      <c r="T114" s="377">
        <f t="shared" si="26"/>
        <v>623.35000441573084</v>
      </c>
      <c r="U114" s="377">
        <f t="shared" si="28"/>
        <v>1420.7199999999998</v>
      </c>
      <c r="V114" s="408" t="s">
        <v>2985</v>
      </c>
      <c r="W114" s="408" t="s">
        <v>2985</v>
      </c>
      <c r="X114" s="303" t="s">
        <v>12</v>
      </c>
      <c r="Y114" s="307" t="s">
        <v>12</v>
      </c>
      <c r="Z114" s="317" t="s">
        <v>2985</v>
      </c>
      <c r="AA114" s="311" t="s">
        <v>522</v>
      </c>
      <c r="AB114" s="304" t="s">
        <v>522</v>
      </c>
      <c r="AC114" s="441" t="s">
        <v>2985</v>
      </c>
      <c r="AD114" s="515" t="s">
        <v>2985</v>
      </c>
      <c r="AE114" s="515" t="s">
        <v>2985</v>
      </c>
      <c r="AF114" s="348" t="s">
        <v>2308</v>
      </c>
      <c r="AG114" s="262" t="s">
        <v>2985</v>
      </c>
      <c r="AH114" s="351">
        <v>67.934321098362091</v>
      </c>
      <c r="AI114" s="348">
        <v>0</v>
      </c>
      <c r="AJ114" s="348">
        <v>0</v>
      </c>
      <c r="AK114" s="348">
        <v>0</v>
      </c>
      <c r="AL114" s="348">
        <v>0</v>
      </c>
      <c r="AM114" s="348">
        <v>0</v>
      </c>
      <c r="AN114" s="352">
        <v>31.929130916230193</v>
      </c>
      <c r="AO114" s="348">
        <v>0</v>
      </c>
      <c r="AP114" s="307">
        <v>0</v>
      </c>
      <c r="AQ114" s="342">
        <v>0.13654798540770782</v>
      </c>
      <c r="AR114" s="348">
        <v>0</v>
      </c>
      <c r="AS114" s="365">
        <v>0</v>
      </c>
      <c r="AT114" s="365">
        <v>0</v>
      </c>
      <c r="AU114" s="365">
        <v>0</v>
      </c>
      <c r="AV114" s="365">
        <v>0</v>
      </c>
      <c r="AW114" s="348">
        <v>0</v>
      </c>
      <c r="AX114" s="341">
        <v>0</v>
      </c>
      <c r="AY114" s="354" t="s">
        <v>2985</v>
      </c>
      <c r="AZ114" s="316"/>
      <c r="BA114" s="316" t="s">
        <v>2985</v>
      </c>
      <c r="BB114" s="94" t="s">
        <v>2985</v>
      </c>
      <c r="BC114" s="355" t="s">
        <v>2985</v>
      </c>
      <c r="BD114" s="348" t="s">
        <v>3584</v>
      </c>
      <c r="BE114" s="348">
        <v>10</v>
      </c>
      <c r="BF114" s="348"/>
      <c r="BG114" s="348">
        <v>160</v>
      </c>
      <c r="BH114" s="425">
        <v>4.7058823529411766</v>
      </c>
      <c r="BI114" s="303">
        <v>97</v>
      </c>
      <c r="BJ114" s="307">
        <v>1</v>
      </c>
      <c r="BK114" s="318" t="s">
        <v>2985</v>
      </c>
      <c r="BL114" s="307">
        <v>20</v>
      </c>
      <c r="BM114" s="312">
        <v>0</v>
      </c>
      <c r="BN114" s="307">
        <v>99</v>
      </c>
      <c r="BO114" s="386" t="s">
        <v>2518</v>
      </c>
      <c r="BP114" s="343" t="s">
        <v>2518</v>
      </c>
      <c r="BS114" s="321"/>
    </row>
    <row r="115" spans="1:71" s="322" customFormat="1" ht="15" customHeight="1">
      <c r="A115" s="457">
        <v>1182</v>
      </c>
      <c r="B115" s="533" t="s">
        <v>3614</v>
      </c>
      <c r="C115" s="383"/>
      <c r="D115" s="383"/>
      <c r="E115" s="469"/>
      <c r="F115" s="303" t="s">
        <v>1885</v>
      </c>
      <c r="G115" s="386" t="s">
        <v>1753</v>
      </c>
      <c r="H115" s="340" t="s">
        <v>254</v>
      </c>
      <c r="I115" s="338" t="s">
        <v>3377</v>
      </c>
      <c r="J115" s="348">
        <v>2009</v>
      </c>
      <c r="K115" s="341">
        <v>292</v>
      </c>
      <c r="L115" s="340" t="s">
        <v>1738</v>
      </c>
      <c r="M115" s="341" t="s">
        <v>1752</v>
      </c>
      <c r="N115" s="446">
        <f t="shared" si="24"/>
        <v>0.43259200007462606</v>
      </c>
      <c r="O115" s="307">
        <v>0.59</v>
      </c>
      <c r="P115" s="513">
        <v>3.01</v>
      </c>
      <c r="Q115" s="310">
        <f t="shared" si="27"/>
        <v>2.2069524071603803</v>
      </c>
      <c r="R115" s="377">
        <f t="shared" si="25"/>
        <v>278.47999999999996</v>
      </c>
      <c r="S115" s="307">
        <v>472</v>
      </c>
      <c r="T115" s="377">
        <f t="shared" si="26"/>
        <v>643.74745707724514</v>
      </c>
      <c r="U115" s="377">
        <f t="shared" si="28"/>
        <v>1420.7199999999998</v>
      </c>
      <c r="V115" s="408" t="s">
        <v>2985</v>
      </c>
      <c r="W115" s="408" t="s">
        <v>2985</v>
      </c>
      <c r="X115" s="303" t="s">
        <v>12</v>
      </c>
      <c r="Y115" s="307" t="s">
        <v>12</v>
      </c>
      <c r="Z115" s="317" t="s">
        <v>2985</v>
      </c>
      <c r="AA115" s="311" t="s">
        <v>522</v>
      </c>
      <c r="AB115" s="304" t="s">
        <v>522</v>
      </c>
      <c r="AC115" s="441" t="s">
        <v>2985</v>
      </c>
      <c r="AD115" s="515" t="s">
        <v>2985</v>
      </c>
      <c r="AE115" s="515" t="s">
        <v>2985</v>
      </c>
      <c r="AF115" s="348" t="s">
        <v>2308</v>
      </c>
      <c r="AG115" s="262" t="s">
        <v>2985</v>
      </c>
      <c r="AH115" s="351">
        <v>63.612826890414176</v>
      </c>
      <c r="AI115" s="348">
        <v>0</v>
      </c>
      <c r="AJ115" s="348">
        <v>0</v>
      </c>
      <c r="AK115" s="348">
        <v>0</v>
      </c>
      <c r="AL115" s="348">
        <v>0</v>
      </c>
      <c r="AM115" s="348">
        <v>0</v>
      </c>
      <c r="AN115" s="352">
        <v>36.259311327536089</v>
      </c>
      <c r="AO115" s="348">
        <v>0</v>
      </c>
      <c r="AP115" s="307">
        <v>0</v>
      </c>
      <c r="AQ115" s="342">
        <v>0.1278617820497325</v>
      </c>
      <c r="AR115" s="348">
        <v>0</v>
      </c>
      <c r="AS115" s="365">
        <v>0</v>
      </c>
      <c r="AT115" s="365">
        <v>0</v>
      </c>
      <c r="AU115" s="365">
        <v>0</v>
      </c>
      <c r="AV115" s="365">
        <v>0</v>
      </c>
      <c r="AW115" s="348">
        <v>0</v>
      </c>
      <c r="AX115" s="341">
        <v>0</v>
      </c>
      <c r="AY115" s="354" t="s">
        <v>2985</v>
      </c>
      <c r="AZ115" s="316"/>
      <c r="BA115" s="316" t="s">
        <v>2985</v>
      </c>
      <c r="BB115" s="94" t="s">
        <v>2985</v>
      </c>
      <c r="BC115" s="355" t="s">
        <v>2985</v>
      </c>
      <c r="BD115" s="348" t="s">
        <v>3584</v>
      </c>
      <c r="BE115" s="348">
        <v>10</v>
      </c>
      <c r="BF115" s="348"/>
      <c r="BG115" s="348">
        <v>160</v>
      </c>
      <c r="BH115" s="425">
        <v>4.7058823529411766</v>
      </c>
      <c r="BI115" s="303">
        <v>97</v>
      </c>
      <c r="BJ115" s="307">
        <v>1</v>
      </c>
      <c r="BK115" s="318" t="s">
        <v>2985</v>
      </c>
      <c r="BL115" s="307">
        <v>20</v>
      </c>
      <c r="BM115" s="312">
        <v>0</v>
      </c>
      <c r="BN115" s="307">
        <v>99</v>
      </c>
      <c r="BO115" s="386" t="s">
        <v>2518</v>
      </c>
      <c r="BP115" s="343" t="s">
        <v>2518</v>
      </c>
      <c r="BS115" s="321"/>
    </row>
    <row r="116" spans="1:71" s="322" customFormat="1" ht="15" customHeight="1">
      <c r="A116" s="457">
        <v>1189</v>
      </c>
      <c r="B116" s="533" t="s">
        <v>3614</v>
      </c>
      <c r="C116" s="383"/>
      <c r="D116" s="383"/>
      <c r="E116" s="469"/>
      <c r="F116" s="303" t="s">
        <v>1886</v>
      </c>
      <c r="G116" s="386" t="s">
        <v>426</v>
      </c>
      <c r="H116" s="340" t="s">
        <v>254</v>
      </c>
      <c r="I116" s="338" t="s">
        <v>3377</v>
      </c>
      <c r="J116" s="348">
        <v>2005</v>
      </c>
      <c r="K116" s="341">
        <v>293</v>
      </c>
      <c r="L116" s="340" t="s">
        <v>1738</v>
      </c>
      <c r="M116" s="341" t="s">
        <v>1752</v>
      </c>
      <c r="N116" s="446">
        <f t="shared" si="24"/>
        <v>0.50591836734693874</v>
      </c>
      <c r="O116" s="307">
        <v>0.67</v>
      </c>
      <c r="P116" s="513">
        <v>5.3</v>
      </c>
      <c r="Q116" s="310">
        <f t="shared" si="27"/>
        <v>4.00204081632653</v>
      </c>
      <c r="R116" s="377">
        <f t="shared" si="25"/>
        <v>211.05</v>
      </c>
      <c r="S116" s="307">
        <v>315</v>
      </c>
      <c r="T116" s="377">
        <f t="shared" si="26"/>
        <v>417.16216216216219</v>
      </c>
      <c r="U116" s="377">
        <f t="shared" si="28"/>
        <v>1669.5</v>
      </c>
      <c r="V116" s="408" t="s">
        <v>2985</v>
      </c>
      <c r="W116" s="408" t="s">
        <v>2985</v>
      </c>
      <c r="X116" s="303" t="s">
        <v>12</v>
      </c>
      <c r="Y116" s="307" t="s">
        <v>12</v>
      </c>
      <c r="Z116" s="317" t="s">
        <v>2985</v>
      </c>
      <c r="AA116" s="311" t="s">
        <v>522</v>
      </c>
      <c r="AB116" s="304" t="s">
        <v>522</v>
      </c>
      <c r="AC116" s="441" t="s">
        <v>2985</v>
      </c>
      <c r="AD116" s="515" t="s">
        <v>2985</v>
      </c>
      <c r="AE116" s="348" t="s">
        <v>2319</v>
      </c>
      <c r="AF116" s="348" t="s">
        <v>2309</v>
      </c>
      <c r="AG116" s="262" t="s">
        <v>2985</v>
      </c>
      <c r="AH116" s="351">
        <v>67.567567567567565</v>
      </c>
      <c r="AI116" s="348">
        <v>0</v>
      </c>
      <c r="AJ116" s="348">
        <v>0</v>
      </c>
      <c r="AK116" s="348">
        <v>0</v>
      </c>
      <c r="AL116" s="348">
        <v>0</v>
      </c>
      <c r="AM116" s="348">
        <v>0</v>
      </c>
      <c r="AN116" s="352">
        <v>32.432432432432435</v>
      </c>
      <c r="AO116" s="348">
        <v>0</v>
      </c>
      <c r="AP116" s="307">
        <v>0</v>
      </c>
      <c r="AQ116" s="348">
        <v>0</v>
      </c>
      <c r="AR116" s="348">
        <v>0</v>
      </c>
      <c r="AS116" s="365">
        <v>0</v>
      </c>
      <c r="AT116" s="396">
        <v>1.5000000000000002</v>
      </c>
      <c r="AU116" s="365">
        <v>0</v>
      </c>
      <c r="AV116" s="365">
        <v>0</v>
      </c>
      <c r="AW116" s="348">
        <v>0</v>
      </c>
      <c r="AX116" s="341">
        <v>0</v>
      </c>
      <c r="AY116" s="340">
        <v>25.5</v>
      </c>
      <c r="AZ116" s="348"/>
      <c r="BA116" s="316" t="s">
        <v>2985</v>
      </c>
      <c r="BB116" s="94" t="s">
        <v>2985</v>
      </c>
      <c r="BC116" s="355" t="s">
        <v>2985</v>
      </c>
      <c r="BD116" s="348" t="s">
        <v>3548</v>
      </c>
      <c r="BE116" s="348">
        <v>55</v>
      </c>
      <c r="BF116" s="348"/>
      <c r="BG116" s="348">
        <v>220</v>
      </c>
      <c r="BH116" s="425">
        <v>22</v>
      </c>
      <c r="BI116" s="330" t="s">
        <v>2985</v>
      </c>
      <c r="BJ116" s="307">
        <v>1</v>
      </c>
      <c r="BK116" s="318" t="s">
        <v>2985</v>
      </c>
      <c r="BL116" s="317" t="s">
        <v>2985</v>
      </c>
      <c r="BM116" s="312">
        <v>0</v>
      </c>
      <c r="BN116" s="307">
        <v>99</v>
      </c>
      <c r="BO116" s="433" t="s">
        <v>2985</v>
      </c>
      <c r="BP116" s="343" t="s">
        <v>541</v>
      </c>
      <c r="BS116" s="321"/>
    </row>
    <row r="117" spans="1:71" s="322" customFormat="1" ht="15" customHeight="1">
      <c r="A117" s="457">
        <v>1190</v>
      </c>
      <c r="B117" s="533" t="s">
        <v>3634</v>
      </c>
      <c r="C117" s="383"/>
      <c r="D117" s="383"/>
      <c r="E117" s="469"/>
      <c r="F117" s="303" t="s">
        <v>1887</v>
      </c>
      <c r="G117" s="386" t="s">
        <v>426</v>
      </c>
      <c r="H117" s="340" t="s">
        <v>254</v>
      </c>
      <c r="I117" s="338" t="s">
        <v>3377</v>
      </c>
      <c r="J117" s="348">
        <v>2005</v>
      </c>
      <c r="K117" s="341">
        <v>293</v>
      </c>
      <c r="L117" s="340" t="s">
        <v>1738</v>
      </c>
      <c r="M117" s="341" t="s">
        <v>1752</v>
      </c>
      <c r="N117" s="446">
        <f t="shared" si="24"/>
        <v>0.41222222222222221</v>
      </c>
      <c r="O117" s="307">
        <v>0.53</v>
      </c>
      <c r="P117" s="513">
        <v>4.8</v>
      </c>
      <c r="Q117" s="310">
        <f t="shared" si="27"/>
        <v>3.7333333333333334</v>
      </c>
      <c r="R117" s="377">
        <f t="shared" si="25"/>
        <v>185.5</v>
      </c>
      <c r="S117" s="307">
        <v>350</v>
      </c>
      <c r="T117" s="377">
        <f t="shared" si="26"/>
        <v>450</v>
      </c>
      <c r="U117" s="377">
        <f t="shared" si="28"/>
        <v>1680</v>
      </c>
      <c r="V117" s="408" t="s">
        <v>2985</v>
      </c>
      <c r="W117" s="408" t="s">
        <v>2985</v>
      </c>
      <c r="X117" s="303" t="s">
        <v>12</v>
      </c>
      <c r="Y117" s="307" t="s">
        <v>12</v>
      </c>
      <c r="Z117" s="317" t="s">
        <v>2985</v>
      </c>
      <c r="AA117" s="311" t="s">
        <v>522</v>
      </c>
      <c r="AB117" s="304" t="s">
        <v>522</v>
      </c>
      <c r="AC117" s="441" t="s">
        <v>2985</v>
      </c>
      <c r="AD117" s="515" t="s">
        <v>2985</v>
      </c>
      <c r="AE117" s="348" t="s">
        <v>2319</v>
      </c>
      <c r="AF117" s="348" t="s">
        <v>2309</v>
      </c>
      <c r="AG117" s="262" t="s">
        <v>2985</v>
      </c>
      <c r="AH117" s="351">
        <v>71.428571428571431</v>
      </c>
      <c r="AI117" s="348">
        <v>0</v>
      </c>
      <c r="AJ117" s="348">
        <v>0</v>
      </c>
      <c r="AK117" s="348">
        <v>0</v>
      </c>
      <c r="AL117" s="348">
        <v>0</v>
      </c>
      <c r="AM117" s="348">
        <v>0</v>
      </c>
      <c r="AN117" s="352">
        <v>28.571428571428569</v>
      </c>
      <c r="AO117" s="348">
        <v>0</v>
      </c>
      <c r="AP117" s="307">
        <v>0</v>
      </c>
      <c r="AQ117" s="348">
        <v>0</v>
      </c>
      <c r="AR117" s="348">
        <v>0</v>
      </c>
      <c r="AS117" s="365">
        <v>0</v>
      </c>
      <c r="AT117" s="396">
        <v>2.7142857142857144</v>
      </c>
      <c r="AU117" s="365">
        <v>0</v>
      </c>
      <c r="AV117" s="365">
        <v>0</v>
      </c>
      <c r="AW117" s="348">
        <v>0</v>
      </c>
      <c r="AX117" s="341">
        <v>0</v>
      </c>
      <c r="AY117" s="340">
        <v>49.3</v>
      </c>
      <c r="AZ117" s="348"/>
      <c r="BA117" s="316" t="s">
        <v>2985</v>
      </c>
      <c r="BB117" s="94" t="s">
        <v>2985</v>
      </c>
      <c r="BC117" s="355" t="s">
        <v>2985</v>
      </c>
      <c r="BD117" s="348" t="s">
        <v>3548</v>
      </c>
      <c r="BE117" s="348">
        <v>55</v>
      </c>
      <c r="BF117" s="348"/>
      <c r="BG117" s="348">
        <v>220</v>
      </c>
      <c r="BH117" s="425">
        <v>22</v>
      </c>
      <c r="BI117" s="330" t="s">
        <v>2985</v>
      </c>
      <c r="BJ117" s="307">
        <v>1</v>
      </c>
      <c r="BK117" s="318" t="s">
        <v>2985</v>
      </c>
      <c r="BL117" s="317" t="s">
        <v>2985</v>
      </c>
      <c r="BM117" s="312">
        <v>0</v>
      </c>
      <c r="BN117" s="307">
        <v>99</v>
      </c>
      <c r="BO117" s="433" t="s">
        <v>2985</v>
      </c>
      <c r="BP117" s="343" t="s">
        <v>541</v>
      </c>
      <c r="BS117" s="321"/>
    </row>
    <row r="118" spans="1:71" s="322" customFormat="1" ht="15" customHeight="1">
      <c r="A118" s="457">
        <v>1191</v>
      </c>
      <c r="B118" s="534" t="s">
        <v>3626</v>
      </c>
      <c r="C118" s="383"/>
      <c r="D118" s="383"/>
      <c r="E118" s="469"/>
      <c r="F118" s="303" t="s">
        <v>1888</v>
      </c>
      <c r="G118" s="386" t="s">
        <v>426</v>
      </c>
      <c r="H118" s="340" t="s">
        <v>254</v>
      </c>
      <c r="I118" s="338" t="s">
        <v>3377</v>
      </c>
      <c r="J118" s="348">
        <v>2005</v>
      </c>
      <c r="K118" s="341">
        <v>293</v>
      </c>
      <c r="L118" s="340" t="s">
        <v>1738</v>
      </c>
      <c r="M118" s="341" t="s">
        <v>1739</v>
      </c>
      <c r="N118" s="446">
        <f t="shared" si="24"/>
        <v>0.36909090909090908</v>
      </c>
      <c r="O118" s="349">
        <v>0.42</v>
      </c>
      <c r="P118" s="513">
        <v>3.73</v>
      </c>
      <c r="Q118" s="310">
        <f t="shared" si="27"/>
        <v>3.2778787878787878</v>
      </c>
      <c r="R118" s="377">
        <f t="shared" si="25"/>
        <v>189</v>
      </c>
      <c r="S118" s="307">
        <v>450</v>
      </c>
      <c r="T118" s="377">
        <f t="shared" si="26"/>
        <v>512.06896551724139</v>
      </c>
      <c r="U118" s="377">
        <f t="shared" si="28"/>
        <v>1678.5</v>
      </c>
      <c r="V118" s="408" t="s">
        <v>2985</v>
      </c>
      <c r="W118" s="408" t="s">
        <v>2985</v>
      </c>
      <c r="X118" s="313" t="s">
        <v>12</v>
      </c>
      <c r="Y118" s="307" t="s">
        <v>12</v>
      </c>
      <c r="Z118" s="307" t="s">
        <v>12</v>
      </c>
      <c r="AA118" s="307" t="s">
        <v>522</v>
      </c>
      <c r="AB118" s="341" t="s">
        <v>522</v>
      </c>
      <c r="AC118" s="354" t="s">
        <v>2985</v>
      </c>
      <c r="AD118" s="316" t="s">
        <v>2312</v>
      </c>
      <c r="AE118" s="214" t="s">
        <v>2319</v>
      </c>
      <c r="AF118" s="214" t="s">
        <v>2309</v>
      </c>
      <c r="AG118" s="262" t="s">
        <v>2985</v>
      </c>
      <c r="AH118" s="344">
        <v>86.206896551724142</v>
      </c>
      <c r="AI118" s="353">
        <v>0</v>
      </c>
      <c r="AJ118" s="395">
        <v>0</v>
      </c>
      <c r="AK118" s="365">
        <v>0</v>
      </c>
      <c r="AL118" s="365">
        <v>0</v>
      </c>
      <c r="AM118" s="365">
        <v>0</v>
      </c>
      <c r="AN118" s="352">
        <v>13.793103448275861</v>
      </c>
      <c r="AO118" s="353">
        <v>0</v>
      </c>
      <c r="AP118" s="348">
        <v>0</v>
      </c>
      <c r="AQ118" s="348">
        <v>0</v>
      </c>
      <c r="AR118" s="348">
        <v>0</v>
      </c>
      <c r="AS118" s="348">
        <v>0</v>
      </c>
      <c r="AT118" s="352">
        <v>2.5862068965517242</v>
      </c>
      <c r="AU118" s="348">
        <v>0</v>
      </c>
      <c r="AV118" s="348">
        <v>0</v>
      </c>
      <c r="AW118" s="348">
        <v>0</v>
      </c>
      <c r="AX118" s="341">
        <v>0</v>
      </c>
      <c r="AY118" s="340">
        <v>69.2</v>
      </c>
      <c r="AZ118" s="356">
        <v>34.6</v>
      </c>
      <c r="BA118" s="316" t="s">
        <v>2985</v>
      </c>
      <c r="BB118" s="94" t="s">
        <v>2985</v>
      </c>
      <c r="BC118" s="355" t="s">
        <v>2985</v>
      </c>
      <c r="BD118" s="348" t="s">
        <v>3548</v>
      </c>
      <c r="BE118" s="353">
        <v>55</v>
      </c>
      <c r="BF118" s="348"/>
      <c r="BG118" s="348">
        <v>220</v>
      </c>
      <c r="BH118" s="416">
        <f>(BE118*BG118)/((2*BG118)+(2*BE118))</f>
        <v>22</v>
      </c>
      <c r="BI118" s="330" t="s">
        <v>2985</v>
      </c>
      <c r="BJ118" s="307">
        <v>1</v>
      </c>
      <c r="BK118" s="507" t="s">
        <v>2985</v>
      </c>
      <c r="BL118" s="507">
        <v>18.695730000000001</v>
      </c>
      <c r="BM118" s="307">
        <v>0</v>
      </c>
      <c r="BN118" s="307">
        <v>99</v>
      </c>
      <c r="BO118" s="332" t="s">
        <v>2985</v>
      </c>
      <c r="BP118" s="350" t="s">
        <v>541</v>
      </c>
      <c r="BS118" s="321"/>
    </row>
    <row r="119" spans="1:71" s="322" customFormat="1" ht="15" customHeight="1">
      <c r="A119" s="457">
        <v>1192</v>
      </c>
      <c r="B119" s="533" t="s">
        <v>3614</v>
      </c>
      <c r="C119" s="383"/>
      <c r="D119" s="383"/>
      <c r="E119" s="469"/>
      <c r="F119" s="303" t="s">
        <v>1889</v>
      </c>
      <c r="G119" s="386" t="s">
        <v>426</v>
      </c>
      <c r="H119" s="340" t="s">
        <v>254</v>
      </c>
      <c r="I119" s="338" t="s">
        <v>3377</v>
      </c>
      <c r="J119" s="348">
        <v>2005</v>
      </c>
      <c r="K119" s="341">
        <v>293</v>
      </c>
      <c r="L119" s="340" t="s">
        <v>1738</v>
      </c>
      <c r="M119" s="341" t="s">
        <v>1752</v>
      </c>
      <c r="N119" s="446">
        <f t="shared" si="24"/>
        <v>0.6</v>
      </c>
      <c r="O119" s="307">
        <v>0.6</v>
      </c>
      <c r="P119" s="513">
        <v>5.78</v>
      </c>
      <c r="Q119" s="310">
        <f t="shared" si="27"/>
        <v>5.78</v>
      </c>
      <c r="R119" s="377">
        <f t="shared" si="25"/>
        <v>189</v>
      </c>
      <c r="S119" s="307">
        <v>315</v>
      </c>
      <c r="T119" s="377">
        <f t="shared" si="26"/>
        <v>315</v>
      </c>
      <c r="U119" s="377">
        <f t="shared" si="28"/>
        <v>1820.7</v>
      </c>
      <c r="V119" s="408" t="s">
        <v>2985</v>
      </c>
      <c r="W119" s="408" t="s">
        <v>2985</v>
      </c>
      <c r="X119" s="303" t="s">
        <v>12</v>
      </c>
      <c r="Y119" s="307" t="s">
        <v>12</v>
      </c>
      <c r="Z119" s="317" t="s">
        <v>2985</v>
      </c>
      <c r="AA119" s="311" t="s">
        <v>1754</v>
      </c>
      <c r="AB119" s="304" t="s">
        <v>522</v>
      </c>
      <c r="AC119" s="441" t="s">
        <v>2985</v>
      </c>
      <c r="AD119" s="515" t="s">
        <v>2985</v>
      </c>
      <c r="AE119" s="348" t="s">
        <v>2319</v>
      </c>
      <c r="AF119" s="348" t="s">
        <v>2309</v>
      </c>
      <c r="AG119" s="262" t="s">
        <v>2985</v>
      </c>
      <c r="AH119" s="351">
        <v>100</v>
      </c>
      <c r="AI119" s="348">
        <v>0</v>
      </c>
      <c r="AJ119" s="348">
        <v>0</v>
      </c>
      <c r="AK119" s="348">
        <v>0</v>
      </c>
      <c r="AL119" s="348">
        <v>0</v>
      </c>
      <c r="AM119" s="348">
        <v>0</v>
      </c>
      <c r="AN119" s="348">
        <v>0</v>
      </c>
      <c r="AO119" s="348">
        <v>0</v>
      </c>
      <c r="AP119" s="307">
        <v>0</v>
      </c>
      <c r="AQ119" s="348">
        <v>0</v>
      </c>
      <c r="AR119" s="348">
        <v>0</v>
      </c>
      <c r="AS119" s="365">
        <v>0</v>
      </c>
      <c r="AT119" s="396">
        <v>0.63</v>
      </c>
      <c r="AU119" s="365">
        <v>0</v>
      </c>
      <c r="AV119" s="365">
        <v>0</v>
      </c>
      <c r="AW119" s="348">
        <v>0</v>
      </c>
      <c r="AX119" s="341">
        <v>0</v>
      </c>
      <c r="AY119" s="340">
        <v>20</v>
      </c>
      <c r="AZ119" s="348"/>
      <c r="BA119" s="316" t="s">
        <v>2985</v>
      </c>
      <c r="BB119" s="94" t="s">
        <v>2985</v>
      </c>
      <c r="BC119" s="355" t="s">
        <v>2985</v>
      </c>
      <c r="BD119" s="348" t="s">
        <v>3548</v>
      </c>
      <c r="BE119" s="348">
        <v>55</v>
      </c>
      <c r="BF119" s="348"/>
      <c r="BG119" s="348">
        <v>220</v>
      </c>
      <c r="BH119" s="425">
        <v>22</v>
      </c>
      <c r="BI119" s="330" t="s">
        <v>2985</v>
      </c>
      <c r="BJ119" s="307">
        <v>1</v>
      </c>
      <c r="BK119" s="318" t="s">
        <v>2985</v>
      </c>
      <c r="BL119" s="317" t="s">
        <v>2985</v>
      </c>
      <c r="BM119" s="312">
        <v>0</v>
      </c>
      <c r="BN119" s="307">
        <v>99</v>
      </c>
      <c r="BO119" s="433" t="s">
        <v>2985</v>
      </c>
      <c r="BP119" s="343" t="s">
        <v>541</v>
      </c>
      <c r="BS119" s="321"/>
    </row>
    <row r="120" spans="1:71" s="322" customFormat="1" ht="15" customHeight="1">
      <c r="A120" s="457">
        <v>1193</v>
      </c>
      <c r="B120" s="533" t="s">
        <v>3614</v>
      </c>
      <c r="C120" s="383"/>
      <c r="D120" s="383"/>
      <c r="E120" s="469"/>
      <c r="F120" s="303" t="s">
        <v>1890</v>
      </c>
      <c r="G120" s="386" t="s">
        <v>426</v>
      </c>
      <c r="H120" s="340" t="s">
        <v>254</v>
      </c>
      <c r="I120" s="338" t="s">
        <v>3377</v>
      </c>
      <c r="J120" s="348">
        <v>2005</v>
      </c>
      <c r="K120" s="341">
        <v>293</v>
      </c>
      <c r="L120" s="340" t="s">
        <v>1738</v>
      </c>
      <c r="M120" s="341" t="s">
        <v>1752</v>
      </c>
      <c r="N120" s="446">
        <f t="shared" si="24"/>
        <v>0.5</v>
      </c>
      <c r="O120" s="307">
        <v>0.5</v>
      </c>
      <c r="P120" s="513">
        <v>5.19</v>
      </c>
      <c r="Q120" s="310">
        <f t="shared" si="27"/>
        <v>5.19</v>
      </c>
      <c r="R120" s="377">
        <f t="shared" si="25"/>
        <v>175</v>
      </c>
      <c r="S120" s="307">
        <v>350</v>
      </c>
      <c r="T120" s="377">
        <f t="shared" si="26"/>
        <v>350</v>
      </c>
      <c r="U120" s="377">
        <f t="shared" si="28"/>
        <v>1816.5000000000002</v>
      </c>
      <c r="V120" s="408" t="s">
        <v>2985</v>
      </c>
      <c r="W120" s="408" t="s">
        <v>2985</v>
      </c>
      <c r="X120" s="303" t="s">
        <v>12</v>
      </c>
      <c r="Y120" s="307" t="s">
        <v>12</v>
      </c>
      <c r="Z120" s="317" t="s">
        <v>2985</v>
      </c>
      <c r="AA120" s="311" t="s">
        <v>1754</v>
      </c>
      <c r="AB120" s="304" t="s">
        <v>522</v>
      </c>
      <c r="AC120" s="441" t="s">
        <v>2985</v>
      </c>
      <c r="AD120" s="515" t="s">
        <v>2985</v>
      </c>
      <c r="AE120" s="348" t="s">
        <v>2319</v>
      </c>
      <c r="AF120" s="348" t="s">
        <v>2309</v>
      </c>
      <c r="AG120" s="262" t="s">
        <v>2985</v>
      </c>
      <c r="AH120" s="351">
        <v>100</v>
      </c>
      <c r="AI120" s="348">
        <v>0</v>
      </c>
      <c r="AJ120" s="348">
        <v>0</v>
      </c>
      <c r="AK120" s="348">
        <v>0</v>
      </c>
      <c r="AL120" s="348">
        <v>0</v>
      </c>
      <c r="AM120" s="348">
        <v>0</v>
      </c>
      <c r="AN120" s="348">
        <v>0</v>
      </c>
      <c r="AO120" s="348">
        <v>0</v>
      </c>
      <c r="AP120" s="307">
        <v>0</v>
      </c>
      <c r="AQ120" s="348">
        <v>0</v>
      </c>
      <c r="AR120" s="348">
        <v>0</v>
      </c>
      <c r="AS120" s="365">
        <v>0</v>
      </c>
      <c r="AT120" s="396">
        <v>2.31</v>
      </c>
      <c r="AU120" s="365">
        <v>0</v>
      </c>
      <c r="AV120" s="365">
        <v>0</v>
      </c>
      <c r="AW120" s="348">
        <v>0</v>
      </c>
      <c r="AX120" s="341">
        <v>0</v>
      </c>
      <c r="AY120" s="340">
        <v>45.2</v>
      </c>
      <c r="AZ120" s="348"/>
      <c r="BA120" s="316" t="s">
        <v>2985</v>
      </c>
      <c r="BB120" s="94" t="s">
        <v>2985</v>
      </c>
      <c r="BC120" s="355" t="s">
        <v>2985</v>
      </c>
      <c r="BD120" s="348" t="s">
        <v>3548</v>
      </c>
      <c r="BE120" s="348">
        <v>55</v>
      </c>
      <c r="BF120" s="348"/>
      <c r="BG120" s="348">
        <v>220</v>
      </c>
      <c r="BH120" s="425">
        <v>22</v>
      </c>
      <c r="BI120" s="330" t="s">
        <v>2985</v>
      </c>
      <c r="BJ120" s="307">
        <v>1</v>
      </c>
      <c r="BK120" s="318" t="s">
        <v>2985</v>
      </c>
      <c r="BL120" s="317" t="s">
        <v>2985</v>
      </c>
      <c r="BM120" s="312">
        <v>0</v>
      </c>
      <c r="BN120" s="307">
        <v>99</v>
      </c>
      <c r="BO120" s="433" t="s">
        <v>2985</v>
      </c>
      <c r="BP120" s="343" t="s">
        <v>541</v>
      </c>
      <c r="BS120" s="321"/>
    </row>
    <row r="121" spans="1:71" s="322" customFormat="1" ht="15" customHeight="1">
      <c r="A121" s="457">
        <v>1194</v>
      </c>
      <c r="B121" s="534" t="s">
        <v>3585</v>
      </c>
      <c r="C121" s="383"/>
      <c r="D121" s="383"/>
      <c r="E121" s="469"/>
      <c r="F121" s="303" t="s">
        <v>1891</v>
      </c>
      <c r="G121" s="386" t="s">
        <v>426</v>
      </c>
      <c r="H121" s="340" t="s">
        <v>254</v>
      </c>
      <c r="I121" s="338" t="s">
        <v>3377</v>
      </c>
      <c r="J121" s="348">
        <v>2005</v>
      </c>
      <c r="K121" s="341">
        <v>293</v>
      </c>
      <c r="L121" s="340" t="s">
        <v>1738</v>
      </c>
      <c r="M121" s="341" t="s">
        <v>1739</v>
      </c>
      <c r="N121" s="446">
        <f t="shared" si="24"/>
        <v>0.36</v>
      </c>
      <c r="O121" s="349">
        <v>0.36</v>
      </c>
      <c r="P121" s="329">
        <v>4.09</v>
      </c>
      <c r="Q121" s="310">
        <f t="shared" si="27"/>
        <v>4.09</v>
      </c>
      <c r="R121" s="377">
        <f t="shared" si="25"/>
        <v>162</v>
      </c>
      <c r="S121" s="307">
        <v>450</v>
      </c>
      <c r="T121" s="377">
        <f t="shared" si="26"/>
        <v>450</v>
      </c>
      <c r="U121" s="377">
        <f t="shared" si="28"/>
        <v>1840.5</v>
      </c>
      <c r="V121" s="408" t="s">
        <v>2985</v>
      </c>
      <c r="W121" s="408" t="s">
        <v>2985</v>
      </c>
      <c r="X121" s="313" t="s">
        <v>12</v>
      </c>
      <c r="Y121" s="307" t="s">
        <v>12</v>
      </c>
      <c r="Z121" s="307" t="s">
        <v>12</v>
      </c>
      <c r="AA121" s="307" t="s">
        <v>1754</v>
      </c>
      <c r="AB121" s="341" t="s">
        <v>522</v>
      </c>
      <c r="AC121" s="354" t="s">
        <v>2985</v>
      </c>
      <c r="AD121" s="316" t="s">
        <v>2312</v>
      </c>
      <c r="AE121" s="214" t="s">
        <v>2319</v>
      </c>
      <c r="AF121" s="214" t="s">
        <v>2309</v>
      </c>
      <c r="AG121" s="262" t="s">
        <v>2985</v>
      </c>
      <c r="AH121" s="344">
        <v>100</v>
      </c>
      <c r="AI121" s="353">
        <v>0</v>
      </c>
      <c r="AJ121" s="395">
        <v>0</v>
      </c>
      <c r="AK121" s="365">
        <v>0</v>
      </c>
      <c r="AL121" s="365">
        <v>0</v>
      </c>
      <c r="AM121" s="365">
        <v>0</v>
      </c>
      <c r="AN121" s="353">
        <v>0</v>
      </c>
      <c r="AO121" s="353">
        <v>0</v>
      </c>
      <c r="AP121" s="348">
        <v>0</v>
      </c>
      <c r="AQ121" s="348">
        <v>0</v>
      </c>
      <c r="AR121" s="348">
        <v>0</v>
      </c>
      <c r="AS121" s="348">
        <v>0</v>
      </c>
      <c r="AT121" s="352">
        <v>1.31</v>
      </c>
      <c r="AU121" s="348">
        <v>0</v>
      </c>
      <c r="AV121" s="348">
        <v>0</v>
      </c>
      <c r="AW121" s="348">
        <v>0</v>
      </c>
      <c r="AX121" s="341">
        <v>0</v>
      </c>
      <c r="AY121" s="340">
        <v>68.599999999999994</v>
      </c>
      <c r="AZ121" s="356">
        <v>34.299999999999997</v>
      </c>
      <c r="BA121" s="316" t="s">
        <v>2985</v>
      </c>
      <c r="BB121" s="94" t="s">
        <v>2985</v>
      </c>
      <c r="BC121" s="355" t="s">
        <v>2985</v>
      </c>
      <c r="BD121" s="348" t="s">
        <v>3548</v>
      </c>
      <c r="BE121" s="353">
        <v>55</v>
      </c>
      <c r="BF121" s="348"/>
      <c r="BG121" s="348">
        <v>220</v>
      </c>
      <c r="BH121" s="416">
        <f t="shared" ref="BH121:BH133" si="29">(BE121*BG121)/((2*BG121)+(2*BE121))</f>
        <v>22</v>
      </c>
      <c r="BI121" s="330" t="s">
        <v>2985</v>
      </c>
      <c r="BJ121" s="307">
        <v>1</v>
      </c>
      <c r="BK121" s="507" t="s">
        <v>2985</v>
      </c>
      <c r="BL121" s="507">
        <v>19.539480000000001</v>
      </c>
      <c r="BM121" s="307">
        <v>0</v>
      </c>
      <c r="BN121" s="307">
        <v>99</v>
      </c>
      <c r="BO121" s="332" t="s">
        <v>2985</v>
      </c>
      <c r="BP121" s="350" t="s">
        <v>541</v>
      </c>
      <c r="BS121" s="321"/>
    </row>
    <row r="122" spans="1:71" s="322" customFormat="1" ht="15" customHeight="1">
      <c r="A122" s="457">
        <v>1210</v>
      </c>
      <c r="B122" s="534" t="s">
        <v>3603</v>
      </c>
      <c r="C122" s="383"/>
      <c r="D122" s="466" t="s">
        <v>3590</v>
      </c>
      <c r="E122" s="469"/>
      <c r="F122" s="303" t="s">
        <v>290</v>
      </c>
      <c r="G122" s="386" t="s">
        <v>149</v>
      </c>
      <c r="H122" s="340" t="s">
        <v>251</v>
      </c>
      <c r="I122" s="338" t="s">
        <v>3377</v>
      </c>
      <c r="J122" s="348">
        <v>2001</v>
      </c>
      <c r="K122" s="341">
        <v>295</v>
      </c>
      <c r="L122" s="340" t="s">
        <v>1738</v>
      </c>
      <c r="M122" s="341" t="s">
        <v>1739</v>
      </c>
      <c r="N122" s="446">
        <f t="shared" si="24"/>
        <v>0.2768181818181818</v>
      </c>
      <c r="O122" s="349">
        <v>0.28999999999999998</v>
      </c>
      <c r="P122" s="329">
        <v>4.21</v>
      </c>
      <c r="Q122" s="310">
        <f t="shared" si="27"/>
        <v>4.0186363636363636</v>
      </c>
      <c r="R122" s="377">
        <f t="shared" si="25"/>
        <v>124.11999999999999</v>
      </c>
      <c r="S122" s="307">
        <v>428</v>
      </c>
      <c r="T122" s="377">
        <f t="shared" si="26"/>
        <v>448.38095238095241</v>
      </c>
      <c r="U122" s="377">
        <f t="shared" si="28"/>
        <v>1801.8799999999999</v>
      </c>
      <c r="V122" s="408" t="s">
        <v>2985</v>
      </c>
      <c r="W122" s="408" t="s">
        <v>2985</v>
      </c>
      <c r="X122" s="313" t="s">
        <v>12</v>
      </c>
      <c r="Y122" s="307" t="s">
        <v>12</v>
      </c>
      <c r="Z122" s="307" t="s">
        <v>12</v>
      </c>
      <c r="AA122" s="516" t="s">
        <v>1754</v>
      </c>
      <c r="AB122" s="341" t="s">
        <v>273</v>
      </c>
      <c r="AC122" s="354" t="s">
        <v>2985</v>
      </c>
      <c r="AD122" s="506" t="s">
        <v>2320</v>
      </c>
      <c r="AE122" s="316" t="s">
        <v>2985</v>
      </c>
      <c r="AF122" s="214" t="s">
        <v>2320</v>
      </c>
      <c r="AG122" s="262" t="s">
        <v>2985</v>
      </c>
      <c r="AH122" s="344">
        <v>95.238095238095241</v>
      </c>
      <c r="AI122" s="353">
        <v>0</v>
      </c>
      <c r="AJ122" s="395">
        <v>0</v>
      </c>
      <c r="AK122" s="365">
        <v>0</v>
      </c>
      <c r="AL122" s="365">
        <v>0</v>
      </c>
      <c r="AM122" s="365">
        <v>0</v>
      </c>
      <c r="AN122" s="353">
        <v>0</v>
      </c>
      <c r="AO122" s="353">
        <v>0</v>
      </c>
      <c r="AP122" s="352">
        <v>4.7619047619047619</v>
      </c>
      <c r="AQ122" s="348">
        <v>0</v>
      </c>
      <c r="AR122" s="348">
        <v>0</v>
      </c>
      <c r="AS122" s="348">
        <v>0</v>
      </c>
      <c r="AT122" s="352">
        <v>3.1714285714285717</v>
      </c>
      <c r="AU122" s="348">
        <v>0</v>
      </c>
      <c r="AV122" s="348">
        <v>0</v>
      </c>
      <c r="AW122" s="348">
        <v>0</v>
      </c>
      <c r="AX122" s="341">
        <v>0</v>
      </c>
      <c r="AY122" s="340">
        <v>91.5</v>
      </c>
      <c r="AZ122" s="356"/>
      <c r="BA122" s="316" t="s">
        <v>2985</v>
      </c>
      <c r="BB122" s="94" t="s">
        <v>2985</v>
      </c>
      <c r="BC122" s="425">
        <v>42.5</v>
      </c>
      <c r="BD122" s="348" t="s">
        <v>3549</v>
      </c>
      <c r="BE122" s="353">
        <v>133.5</v>
      </c>
      <c r="BF122" s="348"/>
      <c r="BG122" s="348">
        <v>76</v>
      </c>
      <c r="BH122" s="416">
        <f t="shared" si="29"/>
        <v>24.214797136038186</v>
      </c>
      <c r="BI122" s="303">
        <v>99</v>
      </c>
      <c r="BJ122" s="307">
        <v>1</v>
      </c>
      <c r="BK122" s="507" t="s">
        <v>2985</v>
      </c>
      <c r="BL122" s="307">
        <v>21</v>
      </c>
      <c r="BM122" s="307">
        <v>0</v>
      </c>
      <c r="BN122" s="307">
        <v>99</v>
      </c>
      <c r="BO122" s="332" t="s">
        <v>2985</v>
      </c>
      <c r="BP122" s="350" t="s">
        <v>542</v>
      </c>
      <c r="BS122" s="321"/>
    </row>
    <row r="123" spans="1:71" s="322" customFormat="1" ht="15" customHeight="1">
      <c r="A123" s="457">
        <v>1211</v>
      </c>
      <c r="B123" s="534" t="s">
        <v>3603</v>
      </c>
      <c r="C123" s="383"/>
      <c r="D123" s="383"/>
      <c r="E123" s="469"/>
      <c r="F123" s="303" t="s">
        <v>291</v>
      </c>
      <c r="G123" s="386" t="s">
        <v>149</v>
      </c>
      <c r="H123" s="340" t="s">
        <v>251</v>
      </c>
      <c r="I123" s="338" t="s">
        <v>3377</v>
      </c>
      <c r="J123" s="348">
        <v>2001</v>
      </c>
      <c r="K123" s="341">
        <v>295</v>
      </c>
      <c r="L123" s="340" t="s">
        <v>1738</v>
      </c>
      <c r="M123" s="341" t="s">
        <v>1739</v>
      </c>
      <c r="N123" s="446">
        <f t="shared" si="24"/>
        <v>0.28416666666666668</v>
      </c>
      <c r="O123" s="349">
        <v>0.31</v>
      </c>
      <c r="P123" s="329">
        <v>4.4400000000000004</v>
      </c>
      <c r="Q123" s="310">
        <f t="shared" si="27"/>
        <v>4.07</v>
      </c>
      <c r="R123" s="377">
        <f t="shared" si="25"/>
        <v>125.55</v>
      </c>
      <c r="S123" s="307">
        <v>405</v>
      </c>
      <c r="T123" s="377">
        <f t="shared" si="26"/>
        <v>441.81818181818181</v>
      </c>
      <c r="U123" s="377">
        <f t="shared" si="28"/>
        <v>1798.2</v>
      </c>
      <c r="V123" s="408" t="s">
        <v>2985</v>
      </c>
      <c r="W123" s="408" t="s">
        <v>2985</v>
      </c>
      <c r="X123" s="313" t="s">
        <v>12</v>
      </c>
      <c r="Y123" s="307" t="s">
        <v>12</v>
      </c>
      <c r="Z123" s="307" t="s">
        <v>12</v>
      </c>
      <c r="AA123" s="311" t="s">
        <v>3550</v>
      </c>
      <c r="AB123" s="341" t="s">
        <v>273</v>
      </c>
      <c r="AC123" s="354" t="s">
        <v>2985</v>
      </c>
      <c r="AD123" s="506" t="s">
        <v>2320</v>
      </c>
      <c r="AE123" s="316" t="s">
        <v>2985</v>
      </c>
      <c r="AF123" s="214" t="s">
        <v>2320</v>
      </c>
      <c r="AG123" s="262" t="s">
        <v>2985</v>
      </c>
      <c r="AH123" s="344">
        <v>90.909090909090907</v>
      </c>
      <c r="AI123" s="353">
        <v>0</v>
      </c>
      <c r="AJ123" s="395">
        <v>0</v>
      </c>
      <c r="AK123" s="365">
        <v>0</v>
      </c>
      <c r="AL123" s="365">
        <v>0</v>
      </c>
      <c r="AM123" s="365">
        <v>0</v>
      </c>
      <c r="AN123" s="353">
        <v>0</v>
      </c>
      <c r="AO123" s="353">
        <v>0</v>
      </c>
      <c r="AP123" s="352">
        <v>9.0909090909090917</v>
      </c>
      <c r="AQ123" s="348">
        <v>0</v>
      </c>
      <c r="AR123" s="348">
        <v>0</v>
      </c>
      <c r="AS123" s="348">
        <v>0</v>
      </c>
      <c r="AT123" s="352">
        <v>3.1454545454545455</v>
      </c>
      <c r="AU123" s="348">
        <v>0</v>
      </c>
      <c r="AV123" s="348">
        <v>0</v>
      </c>
      <c r="AW123" s="348">
        <v>0</v>
      </c>
      <c r="AX123" s="341">
        <v>0</v>
      </c>
      <c r="AY123" s="340">
        <v>104</v>
      </c>
      <c r="AZ123" s="356"/>
      <c r="BA123" s="316" t="s">
        <v>2985</v>
      </c>
      <c r="BB123" s="94" t="s">
        <v>2985</v>
      </c>
      <c r="BC123" s="425">
        <v>43.4</v>
      </c>
      <c r="BD123" s="348" t="s">
        <v>3549</v>
      </c>
      <c r="BE123" s="353">
        <v>133.5</v>
      </c>
      <c r="BF123" s="348"/>
      <c r="BG123" s="348">
        <v>76</v>
      </c>
      <c r="BH123" s="416">
        <f t="shared" si="29"/>
        <v>24.214797136038186</v>
      </c>
      <c r="BI123" s="303">
        <v>99</v>
      </c>
      <c r="BJ123" s="307">
        <v>1</v>
      </c>
      <c r="BK123" s="507" t="s">
        <v>2985</v>
      </c>
      <c r="BL123" s="307">
        <v>21</v>
      </c>
      <c r="BM123" s="307">
        <v>0</v>
      </c>
      <c r="BN123" s="307">
        <v>99</v>
      </c>
      <c r="BO123" s="332" t="s">
        <v>2985</v>
      </c>
      <c r="BP123" s="350" t="s">
        <v>542</v>
      </c>
      <c r="BS123" s="321"/>
    </row>
    <row r="124" spans="1:71" s="322" customFormat="1" ht="15" customHeight="1">
      <c r="A124" s="457">
        <v>1212</v>
      </c>
      <c r="B124" s="534" t="s">
        <v>3603</v>
      </c>
      <c r="C124" s="383"/>
      <c r="D124" s="383"/>
      <c r="E124" s="469"/>
      <c r="F124" s="303" t="s">
        <v>292</v>
      </c>
      <c r="G124" s="386" t="s">
        <v>149</v>
      </c>
      <c r="H124" s="340" t="s">
        <v>251</v>
      </c>
      <c r="I124" s="338" t="s">
        <v>3377</v>
      </c>
      <c r="J124" s="348">
        <v>2001</v>
      </c>
      <c r="K124" s="341">
        <v>295</v>
      </c>
      <c r="L124" s="340" t="s">
        <v>1738</v>
      </c>
      <c r="M124" s="341" t="s">
        <v>1739</v>
      </c>
      <c r="N124" s="446">
        <f t="shared" si="24"/>
        <v>0.2919230769230769</v>
      </c>
      <c r="O124" s="349">
        <v>0.33</v>
      </c>
      <c r="P124" s="329">
        <v>4.71</v>
      </c>
      <c r="Q124" s="310">
        <f t="shared" si="27"/>
        <v>4.1665384615384617</v>
      </c>
      <c r="R124" s="377">
        <f t="shared" si="25"/>
        <v>126.39</v>
      </c>
      <c r="S124" s="307">
        <v>383</v>
      </c>
      <c r="T124" s="377">
        <f t="shared" si="26"/>
        <v>432.95652173913044</v>
      </c>
      <c r="U124" s="377">
        <f t="shared" si="28"/>
        <v>1803.93</v>
      </c>
      <c r="V124" s="408" t="s">
        <v>2985</v>
      </c>
      <c r="W124" s="408" t="s">
        <v>2985</v>
      </c>
      <c r="X124" s="313" t="s">
        <v>12</v>
      </c>
      <c r="Y124" s="307" t="s">
        <v>12</v>
      </c>
      <c r="Z124" s="307" t="s">
        <v>12</v>
      </c>
      <c r="AA124" s="311" t="s">
        <v>3550</v>
      </c>
      <c r="AB124" s="341" t="s">
        <v>273</v>
      </c>
      <c r="AC124" s="354" t="s">
        <v>2985</v>
      </c>
      <c r="AD124" s="506" t="s">
        <v>2320</v>
      </c>
      <c r="AE124" s="316" t="s">
        <v>2985</v>
      </c>
      <c r="AF124" s="214" t="s">
        <v>2320</v>
      </c>
      <c r="AG124" s="262" t="s">
        <v>2985</v>
      </c>
      <c r="AH124" s="344">
        <v>86.956521739130437</v>
      </c>
      <c r="AI124" s="353">
        <v>0</v>
      </c>
      <c r="AJ124" s="395">
        <v>0</v>
      </c>
      <c r="AK124" s="365">
        <v>0</v>
      </c>
      <c r="AL124" s="365">
        <v>0</v>
      </c>
      <c r="AM124" s="365">
        <v>0</v>
      </c>
      <c r="AN124" s="353">
        <v>0</v>
      </c>
      <c r="AO124" s="353">
        <v>0</v>
      </c>
      <c r="AP124" s="352">
        <v>13.043478260869565</v>
      </c>
      <c r="AQ124" s="348">
        <v>0</v>
      </c>
      <c r="AR124" s="348">
        <v>0</v>
      </c>
      <c r="AS124" s="348">
        <v>0</v>
      </c>
      <c r="AT124" s="352">
        <v>3.1826086956521742</v>
      </c>
      <c r="AU124" s="348">
        <v>0</v>
      </c>
      <c r="AV124" s="348">
        <v>0</v>
      </c>
      <c r="AW124" s="348">
        <v>0</v>
      </c>
      <c r="AX124" s="341">
        <v>0</v>
      </c>
      <c r="AY124" s="340">
        <v>103.5</v>
      </c>
      <c r="AZ124" s="356"/>
      <c r="BA124" s="316" t="s">
        <v>2985</v>
      </c>
      <c r="BB124" s="94" t="s">
        <v>2985</v>
      </c>
      <c r="BC124" s="425">
        <v>42.9</v>
      </c>
      <c r="BD124" s="348" t="s">
        <v>3549</v>
      </c>
      <c r="BE124" s="353">
        <v>133.5</v>
      </c>
      <c r="BF124" s="348"/>
      <c r="BG124" s="348">
        <v>76</v>
      </c>
      <c r="BH124" s="416">
        <f t="shared" si="29"/>
        <v>24.214797136038186</v>
      </c>
      <c r="BI124" s="303">
        <v>99</v>
      </c>
      <c r="BJ124" s="307">
        <v>1</v>
      </c>
      <c r="BK124" s="507" t="s">
        <v>2985</v>
      </c>
      <c r="BL124" s="307">
        <v>21</v>
      </c>
      <c r="BM124" s="307">
        <v>0</v>
      </c>
      <c r="BN124" s="307">
        <v>99</v>
      </c>
      <c r="BO124" s="332" t="s">
        <v>2985</v>
      </c>
      <c r="BP124" s="350" t="s">
        <v>542</v>
      </c>
      <c r="BS124" s="321"/>
    </row>
    <row r="125" spans="1:71" s="333" customFormat="1" ht="15" customHeight="1">
      <c r="A125" s="457">
        <v>1213</v>
      </c>
      <c r="B125" s="534" t="s">
        <v>3603</v>
      </c>
      <c r="C125" s="383"/>
      <c r="D125" s="466" t="s">
        <v>3590</v>
      </c>
      <c r="E125" s="469"/>
      <c r="F125" s="303" t="s">
        <v>293</v>
      </c>
      <c r="G125" s="386" t="s">
        <v>149</v>
      </c>
      <c r="H125" s="340" t="s">
        <v>251</v>
      </c>
      <c r="I125" s="338" t="s">
        <v>3377</v>
      </c>
      <c r="J125" s="348">
        <v>2001</v>
      </c>
      <c r="K125" s="341">
        <v>295</v>
      </c>
      <c r="L125" s="340" t="s">
        <v>1738</v>
      </c>
      <c r="M125" s="341" t="s">
        <v>1739</v>
      </c>
      <c r="N125" s="446">
        <f t="shared" si="24"/>
        <v>0.28000000000000003</v>
      </c>
      <c r="O125" s="349">
        <v>0.28000000000000003</v>
      </c>
      <c r="P125" s="329">
        <v>4</v>
      </c>
      <c r="Q125" s="310">
        <f t="shared" si="27"/>
        <v>4</v>
      </c>
      <c r="R125" s="377">
        <f t="shared" si="25"/>
        <v>126.00000000000001</v>
      </c>
      <c r="S125" s="307">
        <v>450</v>
      </c>
      <c r="T125" s="377">
        <f t="shared" si="26"/>
        <v>450</v>
      </c>
      <c r="U125" s="377">
        <f t="shared" si="28"/>
        <v>1800</v>
      </c>
      <c r="V125" s="408" t="s">
        <v>2985</v>
      </c>
      <c r="W125" s="408" t="s">
        <v>2985</v>
      </c>
      <c r="X125" s="313" t="s">
        <v>12</v>
      </c>
      <c r="Y125" s="307" t="s">
        <v>12</v>
      </c>
      <c r="Z125" s="307" t="s">
        <v>12</v>
      </c>
      <c r="AA125" s="516" t="s">
        <v>1754</v>
      </c>
      <c r="AB125" s="341" t="s">
        <v>273</v>
      </c>
      <c r="AC125" s="354" t="s">
        <v>2985</v>
      </c>
      <c r="AD125" s="506" t="s">
        <v>2320</v>
      </c>
      <c r="AE125" s="316" t="s">
        <v>2985</v>
      </c>
      <c r="AF125" s="214" t="s">
        <v>2320</v>
      </c>
      <c r="AG125" s="262" t="s">
        <v>2985</v>
      </c>
      <c r="AH125" s="344">
        <v>100</v>
      </c>
      <c r="AI125" s="353">
        <v>0</v>
      </c>
      <c r="AJ125" s="395">
        <v>0</v>
      </c>
      <c r="AK125" s="365">
        <v>0</v>
      </c>
      <c r="AL125" s="365">
        <v>0</v>
      </c>
      <c r="AM125" s="365">
        <v>0</v>
      </c>
      <c r="AN125" s="353">
        <v>0</v>
      </c>
      <c r="AO125" s="353">
        <v>0</v>
      </c>
      <c r="AP125" s="348">
        <v>0</v>
      </c>
      <c r="AQ125" s="348">
        <v>0</v>
      </c>
      <c r="AR125" s="348">
        <v>0</v>
      </c>
      <c r="AS125" s="348">
        <v>0</v>
      </c>
      <c r="AT125" s="352">
        <v>3.11</v>
      </c>
      <c r="AU125" s="348">
        <v>0</v>
      </c>
      <c r="AV125" s="348">
        <v>0</v>
      </c>
      <c r="AW125" s="348">
        <v>0</v>
      </c>
      <c r="AX125" s="341">
        <v>0</v>
      </c>
      <c r="AY125" s="340">
        <v>87</v>
      </c>
      <c r="AZ125" s="356"/>
      <c r="BA125" s="316" t="s">
        <v>2985</v>
      </c>
      <c r="BB125" s="94" t="s">
        <v>2985</v>
      </c>
      <c r="BC125" s="425">
        <v>41.3</v>
      </c>
      <c r="BD125" s="348" t="s">
        <v>3549</v>
      </c>
      <c r="BE125" s="353">
        <v>133.5</v>
      </c>
      <c r="BF125" s="348"/>
      <c r="BG125" s="348">
        <v>76</v>
      </c>
      <c r="BH125" s="416">
        <f t="shared" si="29"/>
        <v>24.214797136038186</v>
      </c>
      <c r="BI125" s="303">
        <v>99</v>
      </c>
      <c r="BJ125" s="307">
        <v>1</v>
      </c>
      <c r="BK125" s="507" t="s">
        <v>2985</v>
      </c>
      <c r="BL125" s="307">
        <v>21</v>
      </c>
      <c r="BM125" s="307">
        <v>0</v>
      </c>
      <c r="BN125" s="307">
        <v>99</v>
      </c>
      <c r="BO125" s="259" t="s">
        <v>2985</v>
      </c>
      <c r="BP125" s="350" t="s">
        <v>542</v>
      </c>
      <c r="BS125" s="334"/>
    </row>
    <row r="126" spans="1:71" s="322" customFormat="1" ht="15" customHeight="1">
      <c r="A126" s="457">
        <v>1214</v>
      </c>
      <c r="B126" s="534" t="s">
        <v>3585</v>
      </c>
      <c r="C126" s="383"/>
      <c r="D126" s="466" t="s">
        <v>3590</v>
      </c>
      <c r="E126" s="469"/>
      <c r="F126" s="303" t="s">
        <v>294</v>
      </c>
      <c r="G126" s="386" t="s">
        <v>149</v>
      </c>
      <c r="H126" s="340" t="s">
        <v>251</v>
      </c>
      <c r="I126" s="338" t="s">
        <v>3377</v>
      </c>
      <c r="J126" s="348">
        <v>2001</v>
      </c>
      <c r="K126" s="341">
        <v>295</v>
      </c>
      <c r="L126" s="340" t="s">
        <v>1738</v>
      </c>
      <c r="M126" s="341" t="s">
        <v>1739</v>
      </c>
      <c r="N126" s="446">
        <f t="shared" si="24"/>
        <v>0.2768181818181818</v>
      </c>
      <c r="O126" s="349">
        <v>0.28999999999999998</v>
      </c>
      <c r="P126" s="329">
        <v>4.21</v>
      </c>
      <c r="Q126" s="310">
        <f t="shared" si="27"/>
        <v>4.0186363636363636</v>
      </c>
      <c r="R126" s="377">
        <f t="shared" si="25"/>
        <v>124.11999999999999</v>
      </c>
      <c r="S126" s="307">
        <v>428</v>
      </c>
      <c r="T126" s="377">
        <f t="shared" si="26"/>
        <v>448.38095238095241</v>
      </c>
      <c r="U126" s="377">
        <f t="shared" si="28"/>
        <v>1801.8799999999999</v>
      </c>
      <c r="V126" s="408" t="s">
        <v>2985</v>
      </c>
      <c r="W126" s="408" t="s">
        <v>2985</v>
      </c>
      <c r="X126" s="313" t="s">
        <v>12</v>
      </c>
      <c r="Y126" s="307" t="s">
        <v>12</v>
      </c>
      <c r="Z126" s="307" t="s">
        <v>12</v>
      </c>
      <c r="AA126" s="516" t="s">
        <v>1754</v>
      </c>
      <c r="AB126" s="341" t="s">
        <v>273</v>
      </c>
      <c r="AC126" s="354" t="s">
        <v>2985</v>
      </c>
      <c r="AD126" s="506" t="s">
        <v>2320</v>
      </c>
      <c r="AE126" s="316" t="s">
        <v>2985</v>
      </c>
      <c r="AF126" s="214" t="s">
        <v>2320</v>
      </c>
      <c r="AG126" s="262" t="s">
        <v>2985</v>
      </c>
      <c r="AH126" s="344">
        <v>95.238095238095241</v>
      </c>
      <c r="AI126" s="353">
        <v>0</v>
      </c>
      <c r="AJ126" s="395">
        <v>0</v>
      </c>
      <c r="AK126" s="365">
        <v>0</v>
      </c>
      <c r="AL126" s="365">
        <v>0</v>
      </c>
      <c r="AM126" s="365">
        <v>0</v>
      </c>
      <c r="AN126" s="353">
        <v>0</v>
      </c>
      <c r="AO126" s="353">
        <v>0</v>
      </c>
      <c r="AP126" s="352">
        <v>4.7619047619047619</v>
      </c>
      <c r="AQ126" s="348">
        <v>0</v>
      </c>
      <c r="AR126" s="348">
        <v>0</v>
      </c>
      <c r="AS126" s="348">
        <v>0</v>
      </c>
      <c r="AT126" s="352">
        <v>3.1714285714285717</v>
      </c>
      <c r="AU126" s="348">
        <v>0</v>
      </c>
      <c r="AV126" s="348">
        <v>0</v>
      </c>
      <c r="AW126" s="348">
        <v>0</v>
      </c>
      <c r="AX126" s="341">
        <v>0</v>
      </c>
      <c r="AY126" s="340">
        <v>91.5</v>
      </c>
      <c r="AZ126" s="356">
        <v>45.75</v>
      </c>
      <c r="BA126" s="316" t="s">
        <v>2985</v>
      </c>
      <c r="BB126" s="94" t="s">
        <v>2985</v>
      </c>
      <c r="BC126" s="425">
        <v>42.5</v>
      </c>
      <c r="BD126" s="348" t="s">
        <v>3549</v>
      </c>
      <c r="BE126" s="353">
        <v>133.5</v>
      </c>
      <c r="BF126" s="348"/>
      <c r="BG126" s="348">
        <v>76</v>
      </c>
      <c r="BH126" s="416">
        <f t="shared" si="29"/>
        <v>24.214797136038186</v>
      </c>
      <c r="BI126" s="303">
        <v>99</v>
      </c>
      <c r="BJ126" s="307">
        <v>1</v>
      </c>
      <c r="BK126" s="507" t="s">
        <v>2985</v>
      </c>
      <c r="BL126" s="307">
        <v>21</v>
      </c>
      <c r="BM126" s="307">
        <v>0</v>
      </c>
      <c r="BN126" s="307">
        <v>99</v>
      </c>
      <c r="BO126" s="259" t="s">
        <v>2985</v>
      </c>
      <c r="BP126" s="350" t="s">
        <v>542</v>
      </c>
      <c r="BS126" s="321"/>
    </row>
    <row r="127" spans="1:71" s="322" customFormat="1" ht="15" customHeight="1">
      <c r="A127" s="457">
        <v>1215</v>
      </c>
      <c r="B127" s="791" t="s">
        <v>3890</v>
      </c>
      <c r="C127" s="383"/>
      <c r="D127" s="383"/>
      <c r="E127" s="469"/>
      <c r="F127" s="303" t="s">
        <v>295</v>
      </c>
      <c r="G127" s="386" t="s">
        <v>149</v>
      </c>
      <c r="H127" s="340" t="s">
        <v>251</v>
      </c>
      <c r="I127" s="338" t="s">
        <v>3377</v>
      </c>
      <c r="J127" s="348">
        <v>2001</v>
      </c>
      <c r="K127" s="341">
        <v>295</v>
      </c>
      <c r="L127" s="340" t="s">
        <v>1738</v>
      </c>
      <c r="M127" s="341" t="s">
        <v>1739</v>
      </c>
      <c r="N127" s="446">
        <f t="shared" si="24"/>
        <v>0.28416666666666668</v>
      </c>
      <c r="O127" s="349">
        <v>0.31</v>
      </c>
      <c r="P127" s="329">
        <v>4.4400000000000004</v>
      </c>
      <c r="Q127" s="310">
        <f t="shared" si="27"/>
        <v>4.07</v>
      </c>
      <c r="R127" s="377">
        <f t="shared" si="25"/>
        <v>125.55</v>
      </c>
      <c r="S127" s="307">
        <v>405</v>
      </c>
      <c r="T127" s="377">
        <f t="shared" si="26"/>
        <v>441.81818181818181</v>
      </c>
      <c r="U127" s="377">
        <f t="shared" si="28"/>
        <v>1798.2</v>
      </c>
      <c r="V127" s="408" t="s">
        <v>2985</v>
      </c>
      <c r="W127" s="408" t="s">
        <v>2985</v>
      </c>
      <c r="X127" s="313" t="s">
        <v>12</v>
      </c>
      <c r="Y127" s="307" t="s">
        <v>12</v>
      </c>
      <c r="Z127" s="307" t="s">
        <v>12</v>
      </c>
      <c r="AA127" s="311" t="s">
        <v>3550</v>
      </c>
      <c r="AB127" s="341" t="s">
        <v>273</v>
      </c>
      <c r="AC127" s="354" t="s">
        <v>2985</v>
      </c>
      <c r="AD127" s="506" t="s">
        <v>2320</v>
      </c>
      <c r="AE127" s="316" t="s">
        <v>2985</v>
      </c>
      <c r="AF127" s="214" t="s">
        <v>2320</v>
      </c>
      <c r="AG127" s="262" t="s">
        <v>2985</v>
      </c>
      <c r="AH127" s="344">
        <v>90.909090909090907</v>
      </c>
      <c r="AI127" s="353">
        <v>0</v>
      </c>
      <c r="AJ127" s="395">
        <v>0</v>
      </c>
      <c r="AK127" s="365">
        <v>0</v>
      </c>
      <c r="AL127" s="365">
        <v>0</v>
      </c>
      <c r="AM127" s="365">
        <v>0</v>
      </c>
      <c r="AN127" s="353">
        <v>0</v>
      </c>
      <c r="AO127" s="353">
        <v>0</v>
      </c>
      <c r="AP127" s="352">
        <v>9.0909090909090917</v>
      </c>
      <c r="AQ127" s="348">
        <v>0</v>
      </c>
      <c r="AR127" s="348">
        <v>0</v>
      </c>
      <c r="AS127" s="348">
        <v>0</v>
      </c>
      <c r="AT127" s="352">
        <v>3.1454545454545455</v>
      </c>
      <c r="AU127" s="348">
        <v>0</v>
      </c>
      <c r="AV127" s="348">
        <v>0</v>
      </c>
      <c r="AW127" s="348">
        <v>0</v>
      </c>
      <c r="AX127" s="341">
        <v>0</v>
      </c>
      <c r="AY127" s="340">
        <v>104</v>
      </c>
      <c r="AZ127" s="356">
        <v>52</v>
      </c>
      <c r="BA127" s="316" t="s">
        <v>2985</v>
      </c>
      <c r="BB127" s="94" t="s">
        <v>2985</v>
      </c>
      <c r="BC127" s="425">
        <v>43.4</v>
      </c>
      <c r="BD127" s="348" t="s">
        <v>3549</v>
      </c>
      <c r="BE127" s="353">
        <v>133.5</v>
      </c>
      <c r="BF127" s="348"/>
      <c r="BG127" s="348">
        <v>76</v>
      </c>
      <c r="BH127" s="416">
        <f t="shared" si="29"/>
        <v>24.214797136038186</v>
      </c>
      <c r="BI127" s="303">
        <v>99</v>
      </c>
      <c r="BJ127" s="307">
        <v>1</v>
      </c>
      <c r="BK127" s="507" t="s">
        <v>2985</v>
      </c>
      <c r="BL127" s="307">
        <v>21</v>
      </c>
      <c r="BM127" s="307">
        <v>0</v>
      </c>
      <c r="BN127" s="307">
        <v>99</v>
      </c>
      <c r="BO127" s="259" t="s">
        <v>2985</v>
      </c>
      <c r="BP127" s="350" t="s">
        <v>542</v>
      </c>
      <c r="BS127" s="321"/>
    </row>
    <row r="128" spans="1:71" s="322" customFormat="1" ht="15" customHeight="1">
      <c r="A128" s="457">
        <v>1216</v>
      </c>
      <c r="B128" s="791" t="s">
        <v>3890</v>
      </c>
      <c r="C128" s="383"/>
      <c r="D128" s="383"/>
      <c r="E128" s="469"/>
      <c r="F128" s="303" t="s">
        <v>296</v>
      </c>
      <c r="G128" s="386" t="s">
        <v>149</v>
      </c>
      <c r="H128" s="340" t="s">
        <v>251</v>
      </c>
      <c r="I128" s="338" t="s">
        <v>3377</v>
      </c>
      <c r="J128" s="348">
        <v>2001</v>
      </c>
      <c r="K128" s="341">
        <v>295</v>
      </c>
      <c r="L128" s="340" t="s">
        <v>1738</v>
      </c>
      <c r="M128" s="341" t="s">
        <v>1739</v>
      </c>
      <c r="N128" s="446">
        <f t="shared" si="24"/>
        <v>0.2919230769230769</v>
      </c>
      <c r="O128" s="349">
        <v>0.33</v>
      </c>
      <c r="P128" s="329">
        <v>4.71</v>
      </c>
      <c r="Q128" s="310">
        <f t="shared" si="27"/>
        <v>4.1665384615384617</v>
      </c>
      <c r="R128" s="377">
        <f t="shared" si="25"/>
        <v>126.39</v>
      </c>
      <c r="S128" s="307">
        <v>383</v>
      </c>
      <c r="T128" s="377">
        <f t="shared" si="26"/>
        <v>432.95652173913044</v>
      </c>
      <c r="U128" s="377">
        <f t="shared" si="28"/>
        <v>1803.93</v>
      </c>
      <c r="V128" s="408" t="s">
        <v>2985</v>
      </c>
      <c r="W128" s="408" t="s">
        <v>2985</v>
      </c>
      <c r="X128" s="313" t="s">
        <v>12</v>
      </c>
      <c r="Y128" s="307" t="s">
        <v>12</v>
      </c>
      <c r="Z128" s="307" t="s">
        <v>12</v>
      </c>
      <c r="AA128" s="311" t="s">
        <v>3550</v>
      </c>
      <c r="AB128" s="341" t="s">
        <v>273</v>
      </c>
      <c r="AC128" s="354" t="s">
        <v>2985</v>
      </c>
      <c r="AD128" s="506" t="s">
        <v>2320</v>
      </c>
      <c r="AE128" s="316" t="s">
        <v>2985</v>
      </c>
      <c r="AF128" s="214" t="s">
        <v>2320</v>
      </c>
      <c r="AG128" s="262" t="s">
        <v>2985</v>
      </c>
      <c r="AH128" s="344">
        <v>86.956521739130437</v>
      </c>
      <c r="AI128" s="353">
        <v>0</v>
      </c>
      <c r="AJ128" s="395">
        <v>0</v>
      </c>
      <c r="AK128" s="365">
        <v>0</v>
      </c>
      <c r="AL128" s="365">
        <v>0</v>
      </c>
      <c r="AM128" s="365">
        <v>0</v>
      </c>
      <c r="AN128" s="353">
        <v>0</v>
      </c>
      <c r="AO128" s="353">
        <v>0</v>
      </c>
      <c r="AP128" s="352">
        <v>13.043478260869565</v>
      </c>
      <c r="AQ128" s="348">
        <v>0</v>
      </c>
      <c r="AR128" s="348">
        <v>0</v>
      </c>
      <c r="AS128" s="348">
        <v>0</v>
      </c>
      <c r="AT128" s="352">
        <v>3.1826086956521742</v>
      </c>
      <c r="AU128" s="348">
        <v>0</v>
      </c>
      <c r="AV128" s="348">
        <v>0</v>
      </c>
      <c r="AW128" s="348">
        <v>0</v>
      </c>
      <c r="AX128" s="341">
        <v>0</v>
      </c>
      <c r="AY128" s="340">
        <v>103.5</v>
      </c>
      <c r="AZ128" s="356">
        <v>51.75</v>
      </c>
      <c r="BA128" s="316" t="s">
        <v>2985</v>
      </c>
      <c r="BB128" s="94" t="s">
        <v>2985</v>
      </c>
      <c r="BC128" s="425">
        <v>42.9</v>
      </c>
      <c r="BD128" s="348" t="s">
        <v>3549</v>
      </c>
      <c r="BE128" s="353">
        <v>133.5</v>
      </c>
      <c r="BF128" s="348"/>
      <c r="BG128" s="348">
        <v>76</v>
      </c>
      <c r="BH128" s="416">
        <f t="shared" si="29"/>
        <v>24.214797136038186</v>
      </c>
      <c r="BI128" s="303">
        <v>99</v>
      </c>
      <c r="BJ128" s="307">
        <v>1</v>
      </c>
      <c r="BK128" s="507" t="s">
        <v>2985</v>
      </c>
      <c r="BL128" s="307">
        <v>21</v>
      </c>
      <c r="BM128" s="307">
        <v>0</v>
      </c>
      <c r="BN128" s="307">
        <v>99</v>
      </c>
      <c r="BO128" s="259" t="s">
        <v>2985</v>
      </c>
      <c r="BP128" s="350" t="s">
        <v>542</v>
      </c>
      <c r="BS128" s="321"/>
    </row>
    <row r="129" spans="1:71" s="322" customFormat="1" ht="15" customHeight="1">
      <c r="A129" s="457">
        <v>1217</v>
      </c>
      <c r="B129" s="534" t="s">
        <v>3585</v>
      </c>
      <c r="C129" s="383"/>
      <c r="D129" s="466" t="s">
        <v>3590</v>
      </c>
      <c r="E129" s="469"/>
      <c r="F129" s="303" t="s">
        <v>297</v>
      </c>
      <c r="G129" s="386" t="s">
        <v>149</v>
      </c>
      <c r="H129" s="340" t="s">
        <v>251</v>
      </c>
      <c r="I129" s="338" t="s">
        <v>3377</v>
      </c>
      <c r="J129" s="348">
        <v>2001</v>
      </c>
      <c r="K129" s="341">
        <v>295</v>
      </c>
      <c r="L129" s="340" t="s">
        <v>1738</v>
      </c>
      <c r="M129" s="341" t="s">
        <v>1739</v>
      </c>
      <c r="N129" s="446">
        <f t="shared" si="24"/>
        <v>0.28000000000000003</v>
      </c>
      <c r="O129" s="349">
        <v>0.28000000000000003</v>
      </c>
      <c r="P129" s="329">
        <v>4</v>
      </c>
      <c r="Q129" s="310">
        <f t="shared" si="27"/>
        <v>4</v>
      </c>
      <c r="R129" s="377">
        <f t="shared" si="25"/>
        <v>126.00000000000001</v>
      </c>
      <c r="S129" s="307">
        <v>450</v>
      </c>
      <c r="T129" s="377">
        <f t="shared" si="26"/>
        <v>450</v>
      </c>
      <c r="U129" s="377">
        <f t="shared" si="28"/>
        <v>1800</v>
      </c>
      <c r="V129" s="408" t="s">
        <v>2985</v>
      </c>
      <c r="W129" s="408" t="s">
        <v>2985</v>
      </c>
      <c r="X129" s="313" t="s">
        <v>12</v>
      </c>
      <c r="Y129" s="307" t="s">
        <v>12</v>
      </c>
      <c r="Z129" s="307" t="s">
        <v>12</v>
      </c>
      <c r="AA129" s="516" t="s">
        <v>1754</v>
      </c>
      <c r="AB129" s="341" t="s">
        <v>273</v>
      </c>
      <c r="AC129" s="354" t="s">
        <v>2985</v>
      </c>
      <c r="AD129" s="506" t="s">
        <v>2320</v>
      </c>
      <c r="AE129" s="316" t="s">
        <v>2985</v>
      </c>
      <c r="AF129" s="214" t="s">
        <v>2320</v>
      </c>
      <c r="AG129" s="262" t="s">
        <v>2985</v>
      </c>
      <c r="AH129" s="344">
        <v>100</v>
      </c>
      <c r="AI129" s="353">
        <v>0</v>
      </c>
      <c r="AJ129" s="395">
        <v>0</v>
      </c>
      <c r="AK129" s="365">
        <v>0</v>
      </c>
      <c r="AL129" s="365">
        <v>0</v>
      </c>
      <c r="AM129" s="365">
        <v>0</v>
      </c>
      <c r="AN129" s="353">
        <v>0</v>
      </c>
      <c r="AO129" s="353">
        <v>0</v>
      </c>
      <c r="AP129" s="348">
        <v>0</v>
      </c>
      <c r="AQ129" s="348">
        <v>0</v>
      </c>
      <c r="AR129" s="348">
        <v>0</v>
      </c>
      <c r="AS129" s="348">
        <v>0</v>
      </c>
      <c r="AT129" s="352">
        <v>3.11</v>
      </c>
      <c r="AU129" s="348">
        <v>0</v>
      </c>
      <c r="AV129" s="348">
        <v>0</v>
      </c>
      <c r="AW129" s="348">
        <v>0</v>
      </c>
      <c r="AX129" s="341">
        <v>0</v>
      </c>
      <c r="AY129" s="340">
        <v>87</v>
      </c>
      <c r="AZ129" s="356">
        <v>43.5</v>
      </c>
      <c r="BA129" s="316" t="s">
        <v>2985</v>
      </c>
      <c r="BB129" s="94" t="s">
        <v>2985</v>
      </c>
      <c r="BC129" s="425">
        <v>41.3</v>
      </c>
      <c r="BD129" s="348" t="s">
        <v>3549</v>
      </c>
      <c r="BE129" s="353">
        <v>133.5</v>
      </c>
      <c r="BF129" s="348"/>
      <c r="BG129" s="348">
        <v>76</v>
      </c>
      <c r="BH129" s="416">
        <f t="shared" si="29"/>
        <v>24.214797136038186</v>
      </c>
      <c r="BI129" s="303">
        <v>99</v>
      </c>
      <c r="BJ129" s="307">
        <v>1</v>
      </c>
      <c r="BK129" s="507" t="s">
        <v>2985</v>
      </c>
      <c r="BL129" s="307">
        <v>21</v>
      </c>
      <c r="BM129" s="307">
        <v>0</v>
      </c>
      <c r="BN129" s="307">
        <v>99</v>
      </c>
      <c r="BO129" s="259" t="s">
        <v>2985</v>
      </c>
      <c r="BP129" s="350" t="s">
        <v>542</v>
      </c>
      <c r="BS129" s="321"/>
    </row>
    <row r="130" spans="1:71" s="322" customFormat="1" ht="15" customHeight="1">
      <c r="A130" s="457">
        <v>1218</v>
      </c>
      <c r="B130" s="791" t="s">
        <v>3891</v>
      </c>
      <c r="C130" s="383"/>
      <c r="D130" s="466" t="s">
        <v>3590</v>
      </c>
      <c r="E130" s="469"/>
      <c r="F130" s="303" t="s">
        <v>1904</v>
      </c>
      <c r="G130" s="386" t="s">
        <v>149</v>
      </c>
      <c r="H130" s="340" t="s">
        <v>251</v>
      </c>
      <c r="I130" s="338" t="s">
        <v>3377</v>
      </c>
      <c r="J130" s="348">
        <v>2001</v>
      </c>
      <c r="K130" s="341">
        <v>295</v>
      </c>
      <c r="L130" s="340" t="s">
        <v>1738</v>
      </c>
      <c r="M130" s="341" t="s">
        <v>1739</v>
      </c>
      <c r="N130" s="446">
        <f t="shared" ref="N130:N142" si="30">R130/T130</f>
        <v>0.2768181818181818</v>
      </c>
      <c r="O130" s="349">
        <v>0.28999999999999998</v>
      </c>
      <c r="P130" s="329">
        <v>4.21</v>
      </c>
      <c r="Q130" s="310">
        <f t="shared" si="27"/>
        <v>4.0186363636363636</v>
      </c>
      <c r="R130" s="377">
        <f t="shared" ref="R130:R142" si="31">O130*S130</f>
        <v>124.11999999999999</v>
      </c>
      <c r="S130" s="307">
        <v>428</v>
      </c>
      <c r="T130" s="377">
        <f t="shared" ref="T130:T142" si="32">(((SUM(AI130:AR130)/100)*(S130))+S130)</f>
        <v>448.38095238095241</v>
      </c>
      <c r="U130" s="377">
        <f t="shared" si="28"/>
        <v>1801.8799999999999</v>
      </c>
      <c r="V130" s="408" t="s">
        <v>2985</v>
      </c>
      <c r="W130" s="408" t="s">
        <v>2985</v>
      </c>
      <c r="X130" s="313" t="s">
        <v>12</v>
      </c>
      <c r="Y130" s="307" t="s">
        <v>12</v>
      </c>
      <c r="Z130" s="307" t="s">
        <v>12</v>
      </c>
      <c r="AA130" s="516" t="s">
        <v>1754</v>
      </c>
      <c r="AB130" s="341" t="s">
        <v>273</v>
      </c>
      <c r="AC130" s="354" t="s">
        <v>2985</v>
      </c>
      <c r="AD130" s="506" t="s">
        <v>2320</v>
      </c>
      <c r="AE130" s="316" t="s">
        <v>2985</v>
      </c>
      <c r="AF130" s="214" t="s">
        <v>2320</v>
      </c>
      <c r="AG130" s="262" t="s">
        <v>2985</v>
      </c>
      <c r="AH130" s="344">
        <v>95.238095238095241</v>
      </c>
      <c r="AI130" s="353">
        <v>0</v>
      </c>
      <c r="AJ130" s="395">
        <v>0</v>
      </c>
      <c r="AK130" s="365">
        <v>0</v>
      </c>
      <c r="AL130" s="365">
        <v>0</v>
      </c>
      <c r="AM130" s="365">
        <v>0</v>
      </c>
      <c r="AN130" s="353">
        <v>0</v>
      </c>
      <c r="AO130" s="353">
        <v>0</v>
      </c>
      <c r="AP130" s="352">
        <v>4.7619047619047619</v>
      </c>
      <c r="AQ130" s="348">
        <v>0</v>
      </c>
      <c r="AR130" s="348">
        <v>0</v>
      </c>
      <c r="AS130" s="348">
        <v>0</v>
      </c>
      <c r="AT130" s="352">
        <v>3.1714285714285717</v>
      </c>
      <c r="AU130" s="348">
        <v>0</v>
      </c>
      <c r="AV130" s="348">
        <v>0</v>
      </c>
      <c r="AW130" s="348">
        <v>0</v>
      </c>
      <c r="AX130" s="341">
        <v>0</v>
      </c>
      <c r="AY130" s="340">
        <v>91.5</v>
      </c>
      <c r="AZ130" s="356">
        <v>45.75</v>
      </c>
      <c r="BA130" s="316" t="s">
        <v>2985</v>
      </c>
      <c r="BB130" s="507" t="s">
        <v>2985</v>
      </c>
      <c r="BC130" s="425">
        <v>42.5</v>
      </c>
      <c r="BD130" s="348" t="s">
        <v>3549</v>
      </c>
      <c r="BE130" s="353">
        <v>133.5</v>
      </c>
      <c r="BF130" s="348"/>
      <c r="BG130" s="348">
        <v>76</v>
      </c>
      <c r="BH130" s="416">
        <f t="shared" si="29"/>
        <v>24.214797136038186</v>
      </c>
      <c r="BI130" s="303">
        <v>99</v>
      </c>
      <c r="BJ130" s="307">
        <v>1</v>
      </c>
      <c r="BK130" s="507" t="s">
        <v>2985</v>
      </c>
      <c r="BL130" s="307">
        <v>21</v>
      </c>
      <c r="BM130" s="307">
        <v>0</v>
      </c>
      <c r="BN130" s="307">
        <v>99</v>
      </c>
      <c r="BO130" s="259" t="s">
        <v>2985</v>
      </c>
      <c r="BP130" s="350" t="s">
        <v>542</v>
      </c>
      <c r="BS130" s="321"/>
    </row>
    <row r="131" spans="1:71" s="322" customFormat="1" ht="15" customHeight="1">
      <c r="A131" s="457">
        <v>1219</v>
      </c>
      <c r="B131" s="534" t="s">
        <v>3585</v>
      </c>
      <c r="C131" s="383"/>
      <c r="D131" s="383"/>
      <c r="E131" s="469"/>
      <c r="F131" s="303" t="s">
        <v>1905</v>
      </c>
      <c r="G131" s="386" t="s">
        <v>149</v>
      </c>
      <c r="H131" s="340" t="s">
        <v>251</v>
      </c>
      <c r="I131" s="338" t="s">
        <v>3377</v>
      </c>
      <c r="J131" s="348">
        <v>2001</v>
      </c>
      <c r="K131" s="341">
        <v>295</v>
      </c>
      <c r="L131" s="340" t="s">
        <v>1738</v>
      </c>
      <c r="M131" s="341" t="s">
        <v>1739</v>
      </c>
      <c r="N131" s="446">
        <f t="shared" si="30"/>
        <v>0.28416666666666668</v>
      </c>
      <c r="O131" s="349">
        <v>0.31</v>
      </c>
      <c r="P131" s="329">
        <v>4.4400000000000004</v>
      </c>
      <c r="Q131" s="310">
        <f t="shared" si="27"/>
        <v>4.07</v>
      </c>
      <c r="R131" s="377">
        <f t="shared" si="31"/>
        <v>125.55</v>
      </c>
      <c r="S131" s="307">
        <v>405</v>
      </c>
      <c r="T131" s="377">
        <f t="shared" si="32"/>
        <v>441.81818181818181</v>
      </c>
      <c r="U131" s="377">
        <f t="shared" si="28"/>
        <v>1798.2</v>
      </c>
      <c r="V131" s="408" t="s">
        <v>2985</v>
      </c>
      <c r="W131" s="408" t="s">
        <v>2985</v>
      </c>
      <c r="X131" s="313" t="s">
        <v>12</v>
      </c>
      <c r="Y131" s="307" t="s">
        <v>12</v>
      </c>
      <c r="Z131" s="307" t="s">
        <v>12</v>
      </c>
      <c r="AA131" s="311" t="s">
        <v>3550</v>
      </c>
      <c r="AB131" s="341" t="s">
        <v>273</v>
      </c>
      <c r="AC131" s="354" t="s">
        <v>2985</v>
      </c>
      <c r="AD131" s="506" t="s">
        <v>2320</v>
      </c>
      <c r="AE131" s="316" t="s">
        <v>2985</v>
      </c>
      <c r="AF131" s="214" t="s">
        <v>2320</v>
      </c>
      <c r="AG131" s="262" t="s">
        <v>2985</v>
      </c>
      <c r="AH131" s="344">
        <v>90.909090909090907</v>
      </c>
      <c r="AI131" s="353">
        <v>0</v>
      </c>
      <c r="AJ131" s="395">
        <v>0</v>
      </c>
      <c r="AK131" s="365">
        <v>0</v>
      </c>
      <c r="AL131" s="365">
        <v>0</v>
      </c>
      <c r="AM131" s="365">
        <v>0</v>
      </c>
      <c r="AN131" s="353">
        <v>0</v>
      </c>
      <c r="AO131" s="353">
        <v>0</v>
      </c>
      <c r="AP131" s="352">
        <v>9.0909090909090917</v>
      </c>
      <c r="AQ131" s="348">
        <v>0</v>
      </c>
      <c r="AR131" s="348">
        <v>0</v>
      </c>
      <c r="AS131" s="348">
        <v>0</v>
      </c>
      <c r="AT131" s="352">
        <v>3.1454545454545455</v>
      </c>
      <c r="AU131" s="348">
        <v>0</v>
      </c>
      <c r="AV131" s="348">
        <v>0</v>
      </c>
      <c r="AW131" s="348">
        <v>0</v>
      </c>
      <c r="AX131" s="341">
        <v>0</v>
      </c>
      <c r="AY131" s="340">
        <v>104</v>
      </c>
      <c r="AZ131" s="356">
        <v>52</v>
      </c>
      <c r="BA131" s="316" t="s">
        <v>2985</v>
      </c>
      <c r="BB131" s="94" t="s">
        <v>2985</v>
      </c>
      <c r="BC131" s="425">
        <v>43.4</v>
      </c>
      <c r="BD131" s="348" t="s">
        <v>3549</v>
      </c>
      <c r="BE131" s="353">
        <v>133.5</v>
      </c>
      <c r="BF131" s="348"/>
      <c r="BG131" s="348">
        <v>76</v>
      </c>
      <c r="BH131" s="390">
        <f t="shared" si="29"/>
        <v>24.214797136038186</v>
      </c>
      <c r="BI131" s="303">
        <v>99</v>
      </c>
      <c r="BJ131" s="307">
        <v>1</v>
      </c>
      <c r="BK131" s="94" t="s">
        <v>2985</v>
      </c>
      <c r="BL131" s="307">
        <v>21</v>
      </c>
      <c r="BM131" s="307">
        <v>0</v>
      </c>
      <c r="BN131" s="307">
        <v>99</v>
      </c>
      <c r="BO131" s="259" t="s">
        <v>2985</v>
      </c>
      <c r="BP131" s="350" t="s">
        <v>542</v>
      </c>
      <c r="BS131" s="321"/>
    </row>
    <row r="132" spans="1:71" s="322" customFormat="1" ht="15" customHeight="1">
      <c r="A132" s="457">
        <v>1220</v>
      </c>
      <c r="B132" s="534" t="s">
        <v>3585</v>
      </c>
      <c r="C132" s="383"/>
      <c r="D132" s="383"/>
      <c r="E132" s="469"/>
      <c r="F132" s="303" t="s">
        <v>1906</v>
      </c>
      <c r="G132" s="386" t="s">
        <v>149</v>
      </c>
      <c r="H132" s="340" t="s">
        <v>251</v>
      </c>
      <c r="I132" s="338" t="s">
        <v>3377</v>
      </c>
      <c r="J132" s="348">
        <v>2001</v>
      </c>
      <c r="K132" s="341">
        <v>295</v>
      </c>
      <c r="L132" s="340" t="s">
        <v>1738</v>
      </c>
      <c r="M132" s="341" t="s">
        <v>1739</v>
      </c>
      <c r="N132" s="446">
        <f t="shared" si="30"/>
        <v>0.2919230769230769</v>
      </c>
      <c r="O132" s="349">
        <v>0.33</v>
      </c>
      <c r="P132" s="329">
        <v>4.71</v>
      </c>
      <c r="Q132" s="310">
        <f t="shared" si="27"/>
        <v>4.1665384615384617</v>
      </c>
      <c r="R132" s="377">
        <f t="shared" si="31"/>
        <v>126.39</v>
      </c>
      <c r="S132" s="307">
        <v>383</v>
      </c>
      <c r="T132" s="377">
        <f t="shared" si="32"/>
        <v>432.95652173913044</v>
      </c>
      <c r="U132" s="377">
        <f t="shared" si="28"/>
        <v>1803.93</v>
      </c>
      <c r="V132" s="408" t="s">
        <v>2985</v>
      </c>
      <c r="W132" s="408" t="s">
        <v>2985</v>
      </c>
      <c r="X132" s="313" t="s">
        <v>12</v>
      </c>
      <c r="Y132" s="307" t="s">
        <v>12</v>
      </c>
      <c r="Z132" s="307" t="s">
        <v>12</v>
      </c>
      <c r="AA132" s="311" t="s">
        <v>3550</v>
      </c>
      <c r="AB132" s="341" t="s">
        <v>273</v>
      </c>
      <c r="AC132" s="354" t="s">
        <v>2985</v>
      </c>
      <c r="AD132" s="506" t="s">
        <v>2320</v>
      </c>
      <c r="AE132" s="316" t="s">
        <v>2985</v>
      </c>
      <c r="AF132" s="214" t="s">
        <v>2320</v>
      </c>
      <c r="AG132" s="262" t="s">
        <v>2985</v>
      </c>
      <c r="AH132" s="344">
        <v>86.956521739130437</v>
      </c>
      <c r="AI132" s="353">
        <v>0</v>
      </c>
      <c r="AJ132" s="395">
        <v>0</v>
      </c>
      <c r="AK132" s="365">
        <v>0</v>
      </c>
      <c r="AL132" s="365">
        <v>0</v>
      </c>
      <c r="AM132" s="365">
        <v>0</v>
      </c>
      <c r="AN132" s="353">
        <v>0</v>
      </c>
      <c r="AO132" s="353">
        <v>0</v>
      </c>
      <c r="AP132" s="352">
        <v>13.043478260869565</v>
      </c>
      <c r="AQ132" s="348">
        <v>0</v>
      </c>
      <c r="AR132" s="348">
        <v>0</v>
      </c>
      <c r="AS132" s="348">
        <v>0</v>
      </c>
      <c r="AT132" s="352">
        <v>3.1826086956521742</v>
      </c>
      <c r="AU132" s="348">
        <v>0</v>
      </c>
      <c r="AV132" s="348">
        <v>0</v>
      </c>
      <c r="AW132" s="348">
        <v>0</v>
      </c>
      <c r="AX132" s="341">
        <v>0</v>
      </c>
      <c r="AY132" s="340">
        <v>103.5</v>
      </c>
      <c r="AZ132" s="356">
        <v>51.75</v>
      </c>
      <c r="BA132" s="316" t="s">
        <v>2985</v>
      </c>
      <c r="BB132" s="94" t="s">
        <v>2985</v>
      </c>
      <c r="BC132" s="425">
        <v>42.9</v>
      </c>
      <c r="BD132" s="348" t="s">
        <v>3549</v>
      </c>
      <c r="BE132" s="353">
        <v>133.5</v>
      </c>
      <c r="BF132" s="348"/>
      <c r="BG132" s="348">
        <v>76</v>
      </c>
      <c r="BH132" s="390">
        <f t="shared" si="29"/>
        <v>24.214797136038186</v>
      </c>
      <c r="BI132" s="303">
        <v>99</v>
      </c>
      <c r="BJ132" s="307">
        <v>1</v>
      </c>
      <c r="BK132" s="507" t="s">
        <v>2985</v>
      </c>
      <c r="BL132" s="307">
        <v>21</v>
      </c>
      <c r="BM132" s="307">
        <v>0</v>
      </c>
      <c r="BN132" s="307">
        <v>99</v>
      </c>
      <c r="BO132" s="259" t="s">
        <v>2985</v>
      </c>
      <c r="BP132" s="350" t="s">
        <v>542</v>
      </c>
      <c r="BS132" s="321"/>
    </row>
    <row r="133" spans="1:71" s="322" customFormat="1" ht="15" customHeight="1">
      <c r="A133" s="457">
        <v>1221</v>
      </c>
      <c r="B133" s="791" t="s">
        <v>3891</v>
      </c>
      <c r="C133" s="383"/>
      <c r="D133" s="466" t="s">
        <v>3590</v>
      </c>
      <c r="E133" s="469"/>
      <c r="F133" s="303" t="s">
        <v>1907</v>
      </c>
      <c r="G133" s="386" t="s">
        <v>149</v>
      </c>
      <c r="H133" s="340" t="s">
        <v>251</v>
      </c>
      <c r="I133" s="338" t="s">
        <v>3377</v>
      </c>
      <c r="J133" s="348">
        <v>2001</v>
      </c>
      <c r="K133" s="341">
        <v>295</v>
      </c>
      <c r="L133" s="340" t="s">
        <v>1738</v>
      </c>
      <c r="M133" s="341" t="s">
        <v>1739</v>
      </c>
      <c r="N133" s="446">
        <f t="shared" si="30"/>
        <v>0.28000000000000003</v>
      </c>
      <c r="O133" s="349">
        <v>0.28000000000000003</v>
      </c>
      <c r="P133" s="329">
        <v>4</v>
      </c>
      <c r="Q133" s="310">
        <f t="shared" si="27"/>
        <v>4</v>
      </c>
      <c r="R133" s="377">
        <f t="shared" si="31"/>
        <v>126.00000000000001</v>
      </c>
      <c r="S133" s="307">
        <v>450</v>
      </c>
      <c r="T133" s="377">
        <f t="shared" si="32"/>
        <v>450</v>
      </c>
      <c r="U133" s="377">
        <f t="shared" si="28"/>
        <v>1800</v>
      </c>
      <c r="V133" s="408" t="s">
        <v>2985</v>
      </c>
      <c r="W133" s="408" t="s">
        <v>2985</v>
      </c>
      <c r="X133" s="313" t="s">
        <v>12</v>
      </c>
      <c r="Y133" s="307" t="s">
        <v>12</v>
      </c>
      <c r="Z133" s="307" t="s">
        <v>12</v>
      </c>
      <c r="AA133" s="516" t="s">
        <v>1754</v>
      </c>
      <c r="AB133" s="341" t="s">
        <v>273</v>
      </c>
      <c r="AC133" s="354" t="s">
        <v>2985</v>
      </c>
      <c r="AD133" s="506" t="s">
        <v>2320</v>
      </c>
      <c r="AE133" s="316" t="s">
        <v>2985</v>
      </c>
      <c r="AF133" s="214" t="s">
        <v>2320</v>
      </c>
      <c r="AG133" s="262" t="s">
        <v>2985</v>
      </c>
      <c r="AH133" s="344">
        <v>100</v>
      </c>
      <c r="AI133" s="353">
        <v>0</v>
      </c>
      <c r="AJ133" s="395">
        <v>0</v>
      </c>
      <c r="AK133" s="365">
        <v>0</v>
      </c>
      <c r="AL133" s="365">
        <v>0</v>
      </c>
      <c r="AM133" s="365">
        <v>0</v>
      </c>
      <c r="AN133" s="353">
        <v>0</v>
      </c>
      <c r="AO133" s="353">
        <v>0</v>
      </c>
      <c r="AP133" s="348">
        <v>0</v>
      </c>
      <c r="AQ133" s="348">
        <v>0</v>
      </c>
      <c r="AR133" s="348">
        <v>0</v>
      </c>
      <c r="AS133" s="348">
        <v>0</v>
      </c>
      <c r="AT133" s="352">
        <v>3.11</v>
      </c>
      <c r="AU133" s="348">
        <v>0</v>
      </c>
      <c r="AV133" s="348">
        <v>0</v>
      </c>
      <c r="AW133" s="348">
        <v>0</v>
      </c>
      <c r="AX133" s="341">
        <v>0</v>
      </c>
      <c r="AY133" s="340">
        <v>87</v>
      </c>
      <c r="AZ133" s="356">
        <v>43.5</v>
      </c>
      <c r="BA133" s="316" t="s">
        <v>2985</v>
      </c>
      <c r="BB133" s="94" t="s">
        <v>2985</v>
      </c>
      <c r="BC133" s="425">
        <v>41.3</v>
      </c>
      <c r="BD133" s="348" t="s">
        <v>3549</v>
      </c>
      <c r="BE133" s="353">
        <v>133.5</v>
      </c>
      <c r="BF133" s="348"/>
      <c r="BG133" s="348">
        <v>76</v>
      </c>
      <c r="BH133" s="390">
        <f t="shared" si="29"/>
        <v>24.214797136038186</v>
      </c>
      <c r="BI133" s="303">
        <v>99</v>
      </c>
      <c r="BJ133" s="307">
        <v>1</v>
      </c>
      <c r="BK133" s="94" t="s">
        <v>2985</v>
      </c>
      <c r="BL133" s="307">
        <v>21</v>
      </c>
      <c r="BM133" s="307">
        <v>0</v>
      </c>
      <c r="BN133" s="307">
        <v>99</v>
      </c>
      <c r="BO133" s="259" t="s">
        <v>2985</v>
      </c>
      <c r="BP133" s="350" t="s">
        <v>542</v>
      </c>
      <c r="BS133" s="321"/>
    </row>
    <row r="134" spans="1:71" s="322" customFormat="1" ht="15" customHeight="1">
      <c r="A134" s="336">
        <v>1222</v>
      </c>
      <c r="B134" s="528" t="s">
        <v>3610</v>
      </c>
      <c r="C134" s="383"/>
      <c r="D134" s="466"/>
      <c r="E134" s="469"/>
      <c r="F134" s="303" t="s">
        <v>1908</v>
      </c>
      <c r="G134" s="386" t="s">
        <v>149</v>
      </c>
      <c r="H134" s="303" t="s">
        <v>251</v>
      </c>
      <c r="I134" s="338" t="s">
        <v>3377</v>
      </c>
      <c r="J134" s="307">
        <v>2001</v>
      </c>
      <c r="K134" s="304">
        <v>295</v>
      </c>
      <c r="L134" s="303" t="s">
        <v>1738</v>
      </c>
      <c r="M134" s="304" t="s">
        <v>1751</v>
      </c>
      <c r="N134" s="446">
        <f t="shared" si="30"/>
        <v>0.2768181818181818</v>
      </c>
      <c r="O134" s="349">
        <v>0.28999999999999998</v>
      </c>
      <c r="P134" s="329">
        <v>4.21</v>
      </c>
      <c r="Q134" s="310">
        <f t="shared" si="27"/>
        <v>4.0186363636363636</v>
      </c>
      <c r="R134" s="377">
        <f t="shared" si="31"/>
        <v>124.11999999999999</v>
      </c>
      <c r="S134" s="307">
        <v>428</v>
      </c>
      <c r="T134" s="377">
        <f t="shared" si="32"/>
        <v>448.38095238095241</v>
      </c>
      <c r="U134" s="377">
        <f t="shared" si="28"/>
        <v>1801.8799999999999</v>
      </c>
      <c r="V134" s="495">
        <v>1051.0650000000001</v>
      </c>
      <c r="W134" s="496">
        <f>U134-V134</f>
        <v>750.81499999999983</v>
      </c>
      <c r="X134" s="313" t="s">
        <v>12</v>
      </c>
      <c r="Y134" s="307" t="s">
        <v>12</v>
      </c>
      <c r="Z134" s="311" t="s">
        <v>3618</v>
      </c>
      <c r="AA134" s="311" t="s">
        <v>1754</v>
      </c>
      <c r="AB134" s="304" t="s">
        <v>273</v>
      </c>
      <c r="AC134" s="162" t="s">
        <v>3346</v>
      </c>
      <c r="AD134" s="506" t="s">
        <v>2320</v>
      </c>
      <c r="AE134" s="507" t="s">
        <v>2985</v>
      </c>
      <c r="AF134" s="239" t="s">
        <v>2320</v>
      </c>
      <c r="AG134" s="262" t="s">
        <v>2985</v>
      </c>
      <c r="AH134" s="344">
        <v>95.238095238095241</v>
      </c>
      <c r="AI134" s="312">
        <v>0</v>
      </c>
      <c r="AJ134" s="394">
        <v>0</v>
      </c>
      <c r="AK134" s="315">
        <v>0</v>
      </c>
      <c r="AL134" s="315">
        <v>0</v>
      </c>
      <c r="AM134" s="315">
        <v>0</v>
      </c>
      <c r="AN134" s="312">
        <v>0</v>
      </c>
      <c r="AO134" s="312">
        <v>0</v>
      </c>
      <c r="AP134" s="377">
        <v>4.7619047619047619</v>
      </c>
      <c r="AQ134" s="307">
        <v>0</v>
      </c>
      <c r="AR134" s="307">
        <v>0</v>
      </c>
      <c r="AS134" s="307">
        <v>0</v>
      </c>
      <c r="AT134" s="377">
        <v>3.1714285714285717</v>
      </c>
      <c r="AU134" s="307">
        <v>0</v>
      </c>
      <c r="AV134" s="307">
        <v>0</v>
      </c>
      <c r="AW134" s="307">
        <v>0</v>
      </c>
      <c r="AX134" s="304">
        <v>0</v>
      </c>
      <c r="AY134" s="303">
        <v>91.5</v>
      </c>
      <c r="AZ134" s="311">
        <v>45.75</v>
      </c>
      <c r="BA134" s="317" t="s">
        <v>2985</v>
      </c>
      <c r="BB134" s="94" t="s">
        <v>2985</v>
      </c>
      <c r="BC134" s="426">
        <v>42.5</v>
      </c>
      <c r="BD134" s="348" t="s">
        <v>3549</v>
      </c>
      <c r="BE134" s="312">
        <v>133.5</v>
      </c>
      <c r="BF134" s="317"/>
      <c r="BG134" s="307">
        <v>76</v>
      </c>
      <c r="BH134" s="390">
        <v>24.214797136038186</v>
      </c>
      <c r="BI134" s="303">
        <v>99</v>
      </c>
      <c r="BJ134" s="307">
        <v>1</v>
      </c>
      <c r="BK134" s="311">
        <v>21</v>
      </c>
      <c r="BL134" s="307">
        <v>21</v>
      </c>
      <c r="BM134" s="307">
        <v>0</v>
      </c>
      <c r="BN134" s="307">
        <v>65</v>
      </c>
      <c r="BO134" s="259" t="s">
        <v>2985</v>
      </c>
      <c r="BP134" s="325" t="s">
        <v>542</v>
      </c>
      <c r="BS134" s="321"/>
    </row>
    <row r="135" spans="1:71" s="322" customFormat="1" ht="15" customHeight="1">
      <c r="A135" s="336">
        <v>1223</v>
      </c>
      <c r="B135" s="528" t="s">
        <v>3611</v>
      </c>
      <c r="C135" s="383"/>
      <c r="D135" s="383"/>
      <c r="E135" s="469"/>
      <c r="F135" s="303" t="s">
        <v>2271</v>
      </c>
      <c r="G135" s="386" t="s">
        <v>149</v>
      </c>
      <c r="H135" s="303" t="s">
        <v>251</v>
      </c>
      <c r="I135" s="338" t="s">
        <v>3377</v>
      </c>
      <c r="J135" s="307">
        <v>2001</v>
      </c>
      <c r="K135" s="304">
        <v>295</v>
      </c>
      <c r="L135" s="303" t="s">
        <v>1738</v>
      </c>
      <c r="M135" s="304" t="s">
        <v>1751</v>
      </c>
      <c r="N135" s="446">
        <f t="shared" si="30"/>
        <v>0.28416666666666668</v>
      </c>
      <c r="O135" s="349">
        <v>0.31</v>
      </c>
      <c r="P135" s="329">
        <v>4.4400000000000004</v>
      </c>
      <c r="Q135" s="310">
        <f t="shared" si="27"/>
        <v>4.07</v>
      </c>
      <c r="R135" s="377">
        <f t="shared" si="31"/>
        <v>125.55</v>
      </c>
      <c r="S135" s="307">
        <v>405</v>
      </c>
      <c r="T135" s="377">
        <f t="shared" si="32"/>
        <v>441.81818181818181</v>
      </c>
      <c r="U135" s="377">
        <f t="shared" si="28"/>
        <v>1798.2</v>
      </c>
      <c r="V135" s="495">
        <v>1053.136</v>
      </c>
      <c r="W135" s="496">
        <f>U135-V135</f>
        <v>745.06400000000008</v>
      </c>
      <c r="X135" s="313" t="s">
        <v>12</v>
      </c>
      <c r="Y135" s="307" t="s">
        <v>12</v>
      </c>
      <c r="Z135" s="311" t="s">
        <v>3618</v>
      </c>
      <c r="AA135" s="311" t="s">
        <v>3550</v>
      </c>
      <c r="AB135" s="304" t="s">
        <v>273</v>
      </c>
      <c r="AC135" s="162" t="s">
        <v>3346</v>
      </c>
      <c r="AD135" s="506" t="s">
        <v>2320</v>
      </c>
      <c r="AE135" s="507" t="s">
        <v>2985</v>
      </c>
      <c r="AF135" s="239" t="s">
        <v>2320</v>
      </c>
      <c r="AG135" s="262" t="s">
        <v>2985</v>
      </c>
      <c r="AH135" s="344">
        <v>90.909090909090907</v>
      </c>
      <c r="AI135" s="312">
        <v>0</v>
      </c>
      <c r="AJ135" s="394">
        <v>0</v>
      </c>
      <c r="AK135" s="315">
        <v>0</v>
      </c>
      <c r="AL135" s="315">
        <v>0</v>
      </c>
      <c r="AM135" s="315">
        <v>0</v>
      </c>
      <c r="AN135" s="312">
        <v>0</v>
      </c>
      <c r="AO135" s="312">
        <v>0</v>
      </c>
      <c r="AP135" s="377">
        <v>9.0909090909090917</v>
      </c>
      <c r="AQ135" s="307">
        <v>0</v>
      </c>
      <c r="AR135" s="307">
        <v>0</v>
      </c>
      <c r="AS135" s="307">
        <v>0</v>
      </c>
      <c r="AT135" s="377">
        <v>3.1454545454545455</v>
      </c>
      <c r="AU135" s="307">
        <v>0</v>
      </c>
      <c r="AV135" s="307">
        <v>0</v>
      </c>
      <c r="AW135" s="307">
        <v>0</v>
      </c>
      <c r="AX135" s="304">
        <v>0</v>
      </c>
      <c r="AY135" s="303">
        <v>104</v>
      </c>
      <c r="AZ135" s="311">
        <v>52</v>
      </c>
      <c r="BA135" s="317" t="s">
        <v>2985</v>
      </c>
      <c r="BB135" s="94" t="s">
        <v>2985</v>
      </c>
      <c r="BC135" s="426">
        <v>43.4</v>
      </c>
      <c r="BD135" s="348" t="s">
        <v>3549</v>
      </c>
      <c r="BE135" s="312">
        <v>133.5</v>
      </c>
      <c r="BF135" s="317"/>
      <c r="BG135" s="307">
        <v>76</v>
      </c>
      <c r="BH135" s="390">
        <v>24.214797136038186</v>
      </c>
      <c r="BI135" s="303">
        <v>99</v>
      </c>
      <c r="BJ135" s="307">
        <v>1</v>
      </c>
      <c r="BK135" s="311">
        <v>21</v>
      </c>
      <c r="BL135" s="307">
        <v>21</v>
      </c>
      <c r="BM135" s="307">
        <v>0</v>
      </c>
      <c r="BN135" s="307">
        <v>65</v>
      </c>
      <c r="BO135" s="259" t="s">
        <v>2985</v>
      </c>
      <c r="BP135" s="325" t="s">
        <v>542</v>
      </c>
      <c r="BS135" s="321"/>
    </row>
    <row r="136" spans="1:71" s="322" customFormat="1" ht="15" customHeight="1">
      <c r="A136" s="336">
        <v>1224</v>
      </c>
      <c r="B136" s="528" t="s">
        <v>3611</v>
      </c>
      <c r="C136" s="383"/>
      <c r="D136" s="383"/>
      <c r="E136" s="469"/>
      <c r="F136" s="303" t="s">
        <v>2272</v>
      </c>
      <c r="G136" s="386" t="s">
        <v>149</v>
      </c>
      <c r="H136" s="303" t="s">
        <v>251</v>
      </c>
      <c r="I136" s="338" t="s">
        <v>3377</v>
      </c>
      <c r="J136" s="307">
        <v>2001</v>
      </c>
      <c r="K136" s="304">
        <v>295</v>
      </c>
      <c r="L136" s="303" t="s">
        <v>1738</v>
      </c>
      <c r="M136" s="304" t="s">
        <v>1751</v>
      </c>
      <c r="N136" s="446">
        <f t="shared" si="30"/>
        <v>0.2919230769230769</v>
      </c>
      <c r="O136" s="349">
        <v>0.33</v>
      </c>
      <c r="P136" s="329">
        <v>4.71</v>
      </c>
      <c r="Q136" s="310">
        <f t="shared" si="27"/>
        <v>4.1665384615384617</v>
      </c>
      <c r="R136" s="377">
        <f t="shared" si="31"/>
        <v>126.39</v>
      </c>
      <c r="S136" s="307">
        <v>383</v>
      </c>
      <c r="T136" s="377">
        <f t="shared" si="32"/>
        <v>432.95652173913044</v>
      </c>
      <c r="U136" s="377">
        <f t="shared" si="28"/>
        <v>1803.93</v>
      </c>
      <c r="V136" s="495">
        <v>1054.5329999999999</v>
      </c>
      <c r="W136" s="496">
        <f>U136-V136</f>
        <v>749.39700000000016</v>
      </c>
      <c r="X136" s="313" t="s">
        <v>12</v>
      </c>
      <c r="Y136" s="307" t="s">
        <v>12</v>
      </c>
      <c r="Z136" s="311" t="s">
        <v>3618</v>
      </c>
      <c r="AA136" s="311" t="s">
        <v>3550</v>
      </c>
      <c r="AB136" s="304" t="s">
        <v>273</v>
      </c>
      <c r="AC136" s="162" t="s">
        <v>3346</v>
      </c>
      <c r="AD136" s="506" t="s">
        <v>2320</v>
      </c>
      <c r="AE136" s="507" t="s">
        <v>2985</v>
      </c>
      <c r="AF136" s="239" t="s">
        <v>2320</v>
      </c>
      <c r="AG136" s="262" t="s">
        <v>2985</v>
      </c>
      <c r="AH136" s="344">
        <v>86.956521739130437</v>
      </c>
      <c r="AI136" s="312">
        <v>0</v>
      </c>
      <c r="AJ136" s="394">
        <v>0</v>
      </c>
      <c r="AK136" s="315">
        <v>0</v>
      </c>
      <c r="AL136" s="315">
        <v>0</v>
      </c>
      <c r="AM136" s="315">
        <v>0</v>
      </c>
      <c r="AN136" s="312">
        <v>0</v>
      </c>
      <c r="AO136" s="312">
        <v>0</v>
      </c>
      <c r="AP136" s="377">
        <v>13.043478260869565</v>
      </c>
      <c r="AQ136" s="307">
        <v>0</v>
      </c>
      <c r="AR136" s="307">
        <v>0</v>
      </c>
      <c r="AS136" s="307">
        <v>0</v>
      </c>
      <c r="AT136" s="377">
        <v>3.1826086956521742</v>
      </c>
      <c r="AU136" s="307">
        <v>0</v>
      </c>
      <c r="AV136" s="307">
        <v>0</v>
      </c>
      <c r="AW136" s="307">
        <v>0</v>
      </c>
      <c r="AX136" s="304">
        <v>0</v>
      </c>
      <c r="AY136" s="303">
        <v>103.5</v>
      </c>
      <c r="AZ136" s="311">
        <v>51.75</v>
      </c>
      <c r="BA136" s="317" t="s">
        <v>2985</v>
      </c>
      <c r="BB136" s="94" t="s">
        <v>2985</v>
      </c>
      <c r="BC136" s="426">
        <v>42.9</v>
      </c>
      <c r="BD136" s="348" t="s">
        <v>3549</v>
      </c>
      <c r="BE136" s="312">
        <v>133.5</v>
      </c>
      <c r="BF136" s="317"/>
      <c r="BG136" s="307">
        <v>76</v>
      </c>
      <c r="BH136" s="390">
        <v>24.214797136038186</v>
      </c>
      <c r="BI136" s="303">
        <v>99</v>
      </c>
      <c r="BJ136" s="307">
        <v>1</v>
      </c>
      <c r="BK136" s="311">
        <v>21</v>
      </c>
      <c r="BL136" s="307">
        <v>21</v>
      </c>
      <c r="BM136" s="307">
        <v>0</v>
      </c>
      <c r="BN136" s="307">
        <v>65</v>
      </c>
      <c r="BO136" s="259" t="s">
        <v>2985</v>
      </c>
      <c r="BP136" s="325" t="s">
        <v>542</v>
      </c>
      <c r="BS136" s="321"/>
    </row>
    <row r="137" spans="1:71" s="322" customFormat="1" ht="15" customHeight="1">
      <c r="A137" s="336">
        <v>1225</v>
      </c>
      <c r="B137" s="528" t="s">
        <v>3610</v>
      </c>
      <c r="C137" s="383"/>
      <c r="D137" s="466" t="s">
        <v>3590</v>
      </c>
      <c r="E137" s="469"/>
      <c r="F137" s="303" t="s">
        <v>2273</v>
      </c>
      <c r="G137" s="386" t="s">
        <v>149</v>
      </c>
      <c r="H137" s="303" t="s">
        <v>251</v>
      </c>
      <c r="I137" s="338" t="s">
        <v>3377</v>
      </c>
      <c r="J137" s="307">
        <v>2001</v>
      </c>
      <c r="K137" s="304">
        <v>295</v>
      </c>
      <c r="L137" s="303" t="s">
        <v>1738</v>
      </c>
      <c r="M137" s="304" t="s">
        <v>1751</v>
      </c>
      <c r="N137" s="446">
        <f t="shared" si="30"/>
        <v>0.28000000000000003</v>
      </c>
      <c r="O137" s="349">
        <v>0.28000000000000003</v>
      </c>
      <c r="P137" s="329">
        <v>4</v>
      </c>
      <c r="Q137" s="310">
        <f t="shared" si="27"/>
        <v>4</v>
      </c>
      <c r="R137" s="377">
        <f t="shared" si="31"/>
        <v>126.00000000000001</v>
      </c>
      <c r="S137" s="307">
        <v>450</v>
      </c>
      <c r="T137" s="377">
        <f t="shared" si="32"/>
        <v>450</v>
      </c>
      <c r="U137" s="377">
        <f t="shared" si="28"/>
        <v>1800</v>
      </c>
      <c r="V137" s="495">
        <v>1052.8589999999999</v>
      </c>
      <c r="W137" s="496">
        <f>U137-V137</f>
        <v>747.14100000000008</v>
      </c>
      <c r="X137" s="313" t="s">
        <v>12</v>
      </c>
      <c r="Y137" s="307" t="s">
        <v>12</v>
      </c>
      <c r="Z137" s="311" t="s">
        <v>3618</v>
      </c>
      <c r="AA137" s="311" t="s">
        <v>1754</v>
      </c>
      <c r="AB137" s="304" t="s">
        <v>273</v>
      </c>
      <c r="AC137" s="162" t="s">
        <v>3346</v>
      </c>
      <c r="AD137" s="506" t="s">
        <v>2320</v>
      </c>
      <c r="AE137" s="507" t="s">
        <v>2985</v>
      </c>
      <c r="AF137" s="239" t="s">
        <v>2320</v>
      </c>
      <c r="AG137" s="262" t="s">
        <v>2985</v>
      </c>
      <c r="AH137" s="344">
        <v>100</v>
      </c>
      <c r="AI137" s="312">
        <v>0</v>
      </c>
      <c r="AJ137" s="394">
        <v>0</v>
      </c>
      <c r="AK137" s="315">
        <v>0</v>
      </c>
      <c r="AL137" s="315">
        <v>0</v>
      </c>
      <c r="AM137" s="315">
        <v>0</v>
      </c>
      <c r="AN137" s="312">
        <v>0</v>
      </c>
      <c r="AO137" s="312">
        <v>0</v>
      </c>
      <c r="AP137" s="307">
        <v>0</v>
      </c>
      <c r="AQ137" s="307">
        <v>0</v>
      </c>
      <c r="AR137" s="307">
        <v>0</v>
      </c>
      <c r="AS137" s="307">
        <v>0</v>
      </c>
      <c r="AT137" s="377">
        <v>3.11</v>
      </c>
      <c r="AU137" s="307">
        <v>0</v>
      </c>
      <c r="AV137" s="307">
        <v>0</v>
      </c>
      <c r="AW137" s="307">
        <v>0</v>
      </c>
      <c r="AX137" s="304">
        <v>0</v>
      </c>
      <c r="AY137" s="303">
        <v>87</v>
      </c>
      <c r="AZ137" s="311">
        <v>43.5</v>
      </c>
      <c r="BA137" s="317" t="s">
        <v>2985</v>
      </c>
      <c r="BB137" s="94" t="s">
        <v>2985</v>
      </c>
      <c r="BC137" s="426">
        <v>41.3</v>
      </c>
      <c r="BD137" s="348" t="s">
        <v>3549</v>
      </c>
      <c r="BE137" s="312">
        <v>133.5</v>
      </c>
      <c r="BF137" s="317"/>
      <c r="BG137" s="307">
        <v>76</v>
      </c>
      <c r="BH137" s="390">
        <v>24.214797136038186</v>
      </c>
      <c r="BI137" s="303">
        <v>99</v>
      </c>
      <c r="BJ137" s="307">
        <v>1</v>
      </c>
      <c r="BK137" s="311">
        <v>21</v>
      </c>
      <c r="BL137" s="307">
        <v>21</v>
      </c>
      <c r="BM137" s="307">
        <v>0</v>
      </c>
      <c r="BN137" s="307">
        <v>65</v>
      </c>
      <c r="BO137" s="259" t="s">
        <v>2985</v>
      </c>
      <c r="BP137" s="325" t="s">
        <v>542</v>
      </c>
      <c r="BS137" s="321"/>
    </row>
    <row r="138" spans="1:71" s="322" customFormat="1" ht="15" customHeight="1">
      <c r="A138" s="457">
        <v>1263</v>
      </c>
      <c r="B138" s="534" t="s">
        <v>3627</v>
      </c>
      <c r="C138" s="466" t="s">
        <v>3590</v>
      </c>
      <c r="D138" s="383"/>
      <c r="E138" s="469"/>
      <c r="F138" s="303" t="s">
        <v>299</v>
      </c>
      <c r="G138" s="386" t="s">
        <v>428</v>
      </c>
      <c r="H138" s="340" t="s">
        <v>444</v>
      </c>
      <c r="I138" s="338" t="s">
        <v>3377</v>
      </c>
      <c r="J138" s="348">
        <v>1989</v>
      </c>
      <c r="K138" s="341">
        <v>297</v>
      </c>
      <c r="L138" s="340" t="s">
        <v>1811</v>
      </c>
      <c r="M138" s="341" t="s">
        <v>1739</v>
      </c>
      <c r="N138" s="446">
        <f t="shared" si="30"/>
        <v>0.36762917933130695</v>
      </c>
      <c r="O138" s="349">
        <v>0.42142857142857143</v>
      </c>
      <c r="P138" s="329">
        <v>4.1500000000000004</v>
      </c>
      <c r="Q138" s="310">
        <f t="shared" si="27"/>
        <v>3.6202127659574472</v>
      </c>
      <c r="R138" s="377">
        <f t="shared" si="31"/>
        <v>175.03192857142855</v>
      </c>
      <c r="S138" s="312">
        <v>415.33</v>
      </c>
      <c r="T138" s="377">
        <f t="shared" si="32"/>
        <v>476.10999999999996</v>
      </c>
      <c r="U138" s="377">
        <f t="shared" si="28"/>
        <v>1723.6195</v>
      </c>
      <c r="V138" s="408" t="s">
        <v>2985</v>
      </c>
      <c r="W138" s="408" t="s">
        <v>2985</v>
      </c>
      <c r="X138" s="313" t="s">
        <v>12</v>
      </c>
      <c r="Y138" s="307" t="s">
        <v>12</v>
      </c>
      <c r="Z138" s="307" t="s">
        <v>12</v>
      </c>
      <c r="AA138" s="516" t="s">
        <v>3525</v>
      </c>
      <c r="AB138" s="341" t="s">
        <v>523</v>
      </c>
      <c r="AC138" s="354" t="s">
        <v>2985</v>
      </c>
      <c r="AD138" s="512" t="s">
        <v>2307</v>
      </c>
      <c r="AE138" s="215" t="s">
        <v>2306</v>
      </c>
      <c r="AF138" s="214" t="s">
        <v>2307</v>
      </c>
      <c r="AG138" s="262" t="s">
        <v>2985</v>
      </c>
      <c r="AH138" s="344">
        <v>85.365853658536594</v>
      </c>
      <c r="AI138" s="353">
        <v>0</v>
      </c>
      <c r="AJ138" s="352">
        <v>14.634146341463413</v>
      </c>
      <c r="AK138" s="365">
        <v>0</v>
      </c>
      <c r="AL138" s="365">
        <v>0</v>
      </c>
      <c r="AM138" s="365">
        <v>0</v>
      </c>
      <c r="AN138" s="353">
        <v>0</v>
      </c>
      <c r="AO138" s="353">
        <v>0</v>
      </c>
      <c r="AP138" s="348">
        <v>0</v>
      </c>
      <c r="AQ138" s="348">
        <v>0</v>
      </c>
      <c r="AR138" s="348">
        <v>0</v>
      </c>
      <c r="AS138" s="348">
        <v>0</v>
      </c>
      <c r="AT138" s="353">
        <v>0</v>
      </c>
      <c r="AU138" s="342">
        <v>0.26241463414634147</v>
      </c>
      <c r="AV138" s="348">
        <v>0</v>
      </c>
      <c r="AW138" s="348">
        <v>0</v>
      </c>
      <c r="AX138" s="341">
        <v>0</v>
      </c>
      <c r="AY138" s="340">
        <v>60.605224873652929</v>
      </c>
      <c r="AZ138" s="356">
        <v>30.302610000000001</v>
      </c>
      <c r="BA138" s="316" t="s">
        <v>2985</v>
      </c>
      <c r="BB138" s="94" t="s">
        <v>2985</v>
      </c>
      <c r="BC138" s="355" t="s">
        <v>2985</v>
      </c>
      <c r="BD138" s="348" t="s">
        <v>3551</v>
      </c>
      <c r="BE138" s="353">
        <v>76</v>
      </c>
      <c r="BF138" s="391"/>
      <c r="BG138" s="348">
        <v>305</v>
      </c>
      <c r="BH138" s="416">
        <f>(BE138*BG138)/((2*BG138)+(2*BE138))</f>
        <v>30.41994750656168</v>
      </c>
      <c r="BI138" s="303">
        <v>100</v>
      </c>
      <c r="BJ138" s="307">
        <v>28</v>
      </c>
      <c r="BK138" s="507" t="s">
        <v>2985</v>
      </c>
      <c r="BL138" s="307">
        <v>21</v>
      </c>
      <c r="BM138" s="307">
        <v>0</v>
      </c>
      <c r="BN138" s="307">
        <v>99</v>
      </c>
      <c r="BO138" s="259" t="s">
        <v>2985</v>
      </c>
      <c r="BP138" s="350"/>
      <c r="BS138" s="321"/>
    </row>
    <row r="139" spans="1:71" s="322" customFormat="1" ht="15" customHeight="1">
      <c r="A139" s="457">
        <v>1265</v>
      </c>
      <c r="B139" s="533" t="s">
        <v>3634</v>
      </c>
      <c r="C139" s="466" t="s">
        <v>3590</v>
      </c>
      <c r="D139" s="383"/>
      <c r="E139" s="469"/>
      <c r="F139" s="303" t="s">
        <v>301</v>
      </c>
      <c r="G139" s="386" t="s">
        <v>428</v>
      </c>
      <c r="H139" s="340" t="s">
        <v>444</v>
      </c>
      <c r="I139" s="338" t="s">
        <v>3377</v>
      </c>
      <c r="J139" s="348">
        <v>1989</v>
      </c>
      <c r="K139" s="341">
        <v>297</v>
      </c>
      <c r="L139" s="340" t="s">
        <v>1811</v>
      </c>
      <c r="M139" s="341" t="s">
        <v>1739</v>
      </c>
      <c r="N139" s="446">
        <f t="shared" si="30"/>
        <v>0.36619981325863682</v>
      </c>
      <c r="O139" s="349">
        <v>0.42063492063492064</v>
      </c>
      <c r="P139" s="329">
        <v>4.8492063492063489</v>
      </c>
      <c r="Q139" s="310">
        <f t="shared" si="27"/>
        <v>4.2216619981325865</v>
      </c>
      <c r="R139" s="377">
        <f t="shared" si="31"/>
        <v>157.23123015873017</v>
      </c>
      <c r="S139" s="312">
        <v>373.79500000000002</v>
      </c>
      <c r="T139" s="377">
        <f t="shared" si="32"/>
        <v>429.35912162162163</v>
      </c>
      <c r="U139" s="377">
        <f t="shared" si="28"/>
        <v>1812.6090873015874</v>
      </c>
      <c r="V139" s="408" t="s">
        <v>2985</v>
      </c>
      <c r="W139" s="408" t="s">
        <v>2985</v>
      </c>
      <c r="X139" s="313" t="s">
        <v>12</v>
      </c>
      <c r="Y139" s="307" t="s">
        <v>12</v>
      </c>
      <c r="Z139" s="307" t="s">
        <v>12</v>
      </c>
      <c r="AA139" s="516" t="s">
        <v>3525</v>
      </c>
      <c r="AB139" s="341" t="s">
        <v>523</v>
      </c>
      <c r="AC139" s="354" t="s">
        <v>2985</v>
      </c>
      <c r="AD139" s="512" t="s">
        <v>2307</v>
      </c>
      <c r="AE139" s="215" t="s">
        <v>2306</v>
      </c>
      <c r="AF139" s="214" t="s">
        <v>2307</v>
      </c>
      <c r="AG139" s="262" t="s">
        <v>2985</v>
      </c>
      <c r="AH139" s="344">
        <v>85.13513513513513</v>
      </c>
      <c r="AI139" s="353">
        <v>0</v>
      </c>
      <c r="AJ139" s="352">
        <v>14.864864864864863</v>
      </c>
      <c r="AK139" s="365">
        <v>0</v>
      </c>
      <c r="AL139" s="365">
        <v>0</v>
      </c>
      <c r="AM139" s="365">
        <v>0</v>
      </c>
      <c r="AN139" s="353">
        <v>0</v>
      </c>
      <c r="AO139" s="353">
        <v>0</v>
      </c>
      <c r="AP139" s="348">
        <v>0</v>
      </c>
      <c r="AQ139" s="348">
        <v>0</v>
      </c>
      <c r="AR139" s="348">
        <v>0</v>
      </c>
      <c r="AS139" s="348">
        <v>0</v>
      </c>
      <c r="AT139" s="353">
        <v>0</v>
      </c>
      <c r="AU139" s="342">
        <v>0.76008648648648647</v>
      </c>
      <c r="AV139" s="348">
        <v>0</v>
      </c>
      <c r="AW139" s="348">
        <v>0</v>
      </c>
      <c r="AX139" s="341">
        <v>0</v>
      </c>
      <c r="AY139" s="340">
        <v>56.813089073822539</v>
      </c>
      <c r="AZ139" s="348"/>
      <c r="BA139" s="316" t="s">
        <v>2985</v>
      </c>
      <c r="BB139" s="94" t="s">
        <v>2985</v>
      </c>
      <c r="BC139" s="355" t="s">
        <v>2985</v>
      </c>
      <c r="BD139" s="348" t="s">
        <v>3551</v>
      </c>
      <c r="BE139" s="353">
        <v>76</v>
      </c>
      <c r="BF139" s="391"/>
      <c r="BG139" s="348">
        <v>305</v>
      </c>
      <c r="BH139" s="416">
        <f>(BE139*BG139)/((2*BG139)+(2*BE139))</f>
        <v>30.41994750656168</v>
      </c>
      <c r="BI139" s="303">
        <v>100</v>
      </c>
      <c r="BJ139" s="307">
        <v>28</v>
      </c>
      <c r="BK139" s="507" t="s">
        <v>2985</v>
      </c>
      <c r="BL139" s="307">
        <v>21</v>
      </c>
      <c r="BM139" s="307">
        <v>0</v>
      </c>
      <c r="BN139" s="307">
        <v>99</v>
      </c>
      <c r="BO139" s="259" t="s">
        <v>2985</v>
      </c>
      <c r="BP139" s="350"/>
      <c r="BS139" s="321"/>
    </row>
    <row r="140" spans="1:71" s="322" customFormat="1" ht="15" customHeight="1">
      <c r="A140" s="457">
        <v>1267</v>
      </c>
      <c r="B140" s="533" t="s">
        <v>3634</v>
      </c>
      <c r="C140" s="466" t="s">
        <v>3590</v>
      </c>
      <c r="D140" s="383"/>
      <c r="E140" s="469"/>
      <c r="F140" s="303" t="s">
        <v>303</v>
      </c>
      <c r="G140" s="386" t="s">
        <v>428</v>
      </c>
      <c r="H140" s="340" t="s">
        <v>444</v>
      </c>
      <c r="I140" s="338" t="s">
        <v>3377</v>
      </c>
      <c r="J140" s="348">
        <v>1989</v>
      </c>
      <c r="K140" s="341">
        <v>297</v>
      </c>
      <c r="L140" s="340" t="s">
        <v>1811</v>
      </c>
      <c r="M140" s="341" t="s">
        <v>1739</v>
      </c>
      <c r="N140" s="446">
        <f t="shared" si="30"/>
        <v>0.35805626598465473</v>
      </c>
      <c r="O140" s="349">
        <v>0.41176470588235292</v>
      </c>
      <c r="P140" s="329">
        <v>4.3897058823529411</v>
      </c>
      <c r="Q140" s="310">
        <f t="shared" si="27"/>
        <v>3.8171355498721229</v>
      </c>
      <c r="R140" s="377">
        <f t="shared" si="31"/>
        <v>166.131</v>
      </c>
      <c r="S140" s="312">
        <v>403.46100000000001</v>
      </c>
      <c r="T140" s="377">
        <f t="shared" si="32"/>
        <v>463.98014999999998</v>
      </c>
      <c r="U140" s="377">
        <f t="shared" si="28"/>
        <v>1771.0751250000001</v>
      </c>
      <c r="V140" s="408" t="s">
        <v>2985</v>
      </c>
      <c r="W140" s="408" t="s">
        <v>2985</v>
      </c>
      <c r="X140" s="313" t="s">
        <v>12</v>
      </c>
      <c r="Y140" s="307" t="s">
        <v>12</v>
      </c>
      <c r="Z140" s="307" t="s">
        <v>12</v>
      </c>
      <c r="AA140" s="516" t="s">
        <v>3525</v>
      </c>
      <c r="AB140" s="341" t="s">
        <v>523</v>
      </c>
      <c r="AC140" s="354" t="s">
        <v>2985</v>
      </c>
      <c r="AD140" s="512" t="s">
        <v>2307</v>
      </c>
      <c r="AE140" s="215" t="s">
        <v>2306</v>
      </c>
      <c r="AF140" s="214" t="s">
        <v>2307</v>
      </c>
      <c r="AG140" s="262" t="s">
        <v>2985</v>
      </c>
      <c r="AH140" s="344">
        <v>85</v>
      </c>
      <c r="AI140" s="353">
        <v>0</v>
      </c>
      <c r="AJ140" s="352">
        <v>15</v>
      </c>
      <c r="AK140" s="365">
        <v>0</v>
      </c>
      <c r="AL140" s="365">
        <v>0</v>
      </c>
      <c r="AM140" s="365">
        <v>0</v>
      </c>
      <c r="AN140" s="353">
        <v>0</v>
      </c>
      <c r="AO140" s="353">
        <v>0</v>
      </c>
      <c r="AP140" s="348">
        <v>0</v>
      </c>
      <c r="AQ140" s="348">
        <v>0</v>
      </c>
      <c r="AR140" s="348">
        <v>0</v>
      </c>
      <c r="AS140" s="348">
        <v>0</v>
      </c>
      <c r="AT140" s="353">
        <v>0</v>
      </c>
      <c r="AU140" s="342">
        <v>0.24989999999999996</v>
      </c>
      <c r="AV140" s="348">
        <v>0</v>
      </c>
      <c r="AW140" s="348">
        <v>0</v>
      </c>
      <c r="AX140" s="341">
        <v>0</v>
      </c>
      <c r="AY140" s="340">
        <v>58.950474706454216</v>
      </c>
      <c r="AZ140" s="348"/>
      <c r="BA140" s="316" t="s">
        <v>2985</v>
      </c>
      <c r="BB140" s="94" t="s">
        <v>2985</v>
      </c>
      <c r="BC140" s="355" t="s">
        <v>2985</v>
      </c>
      <c r="BD140" s="348" t="s">
        <v>3551</v>
      </c>
      <c r="BE140" s="353">
        <v>76</v>
      </c>
      <c r="BF140" s="391"/>
      <c r="BG140" s="348">
        <v>305</v>
      </c>
      <c r="BH140" s="416">
        <f>(BE140*BG140)/((2*BG140)+(2*BE140))</f>
        <v>30.41994750656168</v>
      </c>
      <c r="BI140" s="303">
        <v>100</v>
      </c>
      <c r="BJ140" s="307">
        <v>28</v>
      </c>
      <c r="BK140" s="507" t="s">
        <v>2985</v>
      </c>
      <c r="BL140" s="307">
        <v>21</v>
      </c>
      <c r="BM140" s="307">
        <v>0</v>
      </c>
      <c r="BN140" s="307">
        <v>99</v>
      </c>
      <c r="BO140" s="259" t="s">
        <v>2985</v>
      </c>
      <c r="BP140" s="350"/>
      <c r="BS140" s="321"/>
    </row>
    <row r="141" spans="1:71" s="322" customFormat="1" ht="15" customHeight="1">
      <c r="A141" s="457">
        <v>1269</v>
      </c>
      <c r="B141" s="533" t="s">
        <v>3634</v>
      </c>
      <c r="C141" s="466" t="s">
        <v>3590</v>
      </c>
      <c r="D141" s="383"/>
      <c r="E141" s="469"/>
      <c r="F141" s="303" t="s">
        <v>305</v>
      </c>
      <c r="G141" s="386" t="s">
        <v>428</v>
      </c>
      <c r="H141" s="340" t="s">
        <v>444</v>
      </c>
      <c r="I141" s="338" t="s">
        <v>3377</v>
      </c>
      <c r="J141" s="348">
        <v>1989</v>
      </c>
      <c r="K141" s="341">
        <v>297</v>
      </c>
      <c r="L141" s="340" t="s">
        <v>1811</v>
      </c>
      <c r="M141" s="341" t="s">
        <v>1739</v>
      </c>
      <c r="N141" s="446">
        <f t="shared" si="30"/>
        <v>0.35042242703533022</v>
      </c>
      <c r="O141" s="349">
        <v>0.40322580645161288</v>
      </c>
      <c r="P141" s="329">
        <v>5.040322580645161</v>
      </c>
      <c r="Q141" s="310">
        <f t="shared" si="27"/>
        <v>4.3802803379416275</v>
      </c>
      <c r="R141" s="377">
        <f t="shared" si="31"/>
        <v>148.33104838709676</v>
      </c>
      <c r="S141" s="312">
        <v>367.86099999999999</v>
      </c>
      <c r="T141" s="377">
        <f t="shared" si="32"/>
        <v>423.2921095890411</v>
      </c>
      <c r="U141" s="377">
        <f t="shared" si="28"/>
        <v>1854.1381048387095</v>
      </c>
      <c r="V141" s="408" t="s">
        <v>2985</v>
      </c>
      <c r="W141" s="408" t="s">
        <v>2985</v>
      </c>
      <c r="X141" s="313" t="s">
        <v>12</v>
      </c>
      <c r="Y141" s="307" t="s">
        <v>12</v>
      </c>
      <c r="Z141" s="307" t="s">
        <v>12</v>
      </c>
      <c r="AA141" s="516" t="s">
        <v>3525</v>
      </c>
      <c r="AB141" s="341" t="s">
        <v>523</v>
      </c>
      <c r="AC141" s="354" t="s">
        <v>2985</v>
      </c>
      <c r="AD141" s="512" t="s">
        <v>2307</v>
      </c>
      <c r="AE141" s="215" t="s">
        <v>2306</v>
      </c>
      <c r="AF141" s="214" t="s">
        <v>2307</v>
      </c>
      <c r="AG141" s="262" t="s">
        <v>2985</v>
      </c>
      <c r="AH141" s="344">
        <v>84.93150684931507</v>
      </c>
      <c r="AI141" s="353">
        <v>0</v>
      </c>
      <c r="AJ141" s="352">
        <v>15.068493150684931</v>
      </c>
      <c r="AK141" s="365">
        <v>0</v>
      </c>
      <c r="AL141" s="365">
        <v>0</v>
      </c>
      <c r="AM141" s="365">
        <v>0</v>
      </c>
      <c r="AN141" s="353">
        <v>0</v>
      </c>
      <c r="AO141" s="353">
        <v>0</v>
      </c>
      <c r="AP141" s="348">
        <v>0</v>
      </c>
      <c r="AQ141" s="348">
        <v>0</v>
      </c>
      <c r="AR141" s="348">
        <v>0</v>
      </c>
      <c r="AS141" s="348">
        <v>0</v>
      </c>
      <c r="AT141" s="353">
        <v>0</v>
      </c>
      <c r="AU141" s="342">
        <v>0.72760821917808216</v>
      </c>
      <c r="AV141" s="348">
        <v>0</v>
      </c>
      <c r="AW141" s="348">
        <v>0</v>
      </c>
      <c r="AX141" s="341">
        <v>0</v>
      </c>
      <c r="AY141" s="340">
        <v>55.503078524790226</v>
      </c>
      <c r="AZ141" s="348"/>
      <c r="BA141" s="316" t="s">
        <v>2985</v>
      </c>
      <c r="BB141" s="94" t="s">
        <v>2985</v>
      </c>
      <c r="BC141" s="355" t="s">
        <v>2985</v>
      </c>
      <c r="BD141" s="348" t="s">
        <v>3551</v>
      </c>
      <c r="BE141" s="353">
        <v>76</v>
      </c>
      <c r="BF141" s="391"/>
      <c r="BG141" s="348">
        <v>305</v>
      </c>
      <c r="BH141" s="416">
        <f>(BE141*BG141)/((2*BG141)+(2*BE141))</f>
        <v>30.41994750656168</v>
      </c>
      <c r="BI141" s="303">
        <v>100</v>
      </c>
      <c r="BJ141" s="307">
        <v>28</v>
      </c>
      <c r="BK141" s="507" t="s">
        <v>2985</v>
      </c>
      <c r="BL141" s="307">
        <v>21</v>
      </c>
      <c r="BM141" s="307">
        <v>0</v>
      </c>
      <c r="BN141" s="307">
        <v>99</v>
      </c>
      <c r="BO141" s="259" t="s">
        <v>2985</v>
      </c>
      <c r="BP141" s="350"/>
      <c r="BS141" s="321"/>
    </row>
    <row r="142" spans="1:71" s="322" customFormat="1" ht="15" customHeight="1">
      <c r="A142" s="457">
        <v>1271</v>
      </c>
      <c r="B142" s="534" t="s">
        <v>3627</v>
      </c>
      <c r="C142" s="466" t="s">
        <v>3590</v>
      </c>
      <c r="D142" s="383"/>
      <c r="E142" s="469"/>
      <c r="F142" s="303" t="s">
        <v>307</v>
      </c>
      <c r="G142" s="386" t="s">
        <v>428</v>
      </c>
      <c r="H142" s="340" t="s">
        <v>444</v>
      </c>
      <c r="I142" s="338" t="s">
        <v>3377</v>
      </c>
      <c r="J142" s="348">
        <v>1989</v>
      </c>
      <c r="K142" s="341">
        <v>297</v>
      </c>
      <c r="L142" s="340" t="s">
        <v>1811</v>
      </c>
      <c r="M142" s="341" t="s">
        <v>1739</v>
      </c>
      <c r="N142" s="446">
        <f t="shared" si="30"/>
        <v>0.36762917933130695</v>
      </c>
      <c r="O142" s="349">
        <v>0.42142857142857143</v>
      </c>
      <c r="P142" s="329">
        <v>4.128571428571429</v>
      </c>
      <c r="Q142" s="310">
        <f t="shared" si="27"/>
        <v>3.6015197568389063</v>
      </c>
      <c r="R142" s="377">
        <f t="shared" si="31"/>
        <v>175.03192857142855</v>
      </c>
      <c r="S142" s="312">
        <v>415.33</v>
      </c>
      <c r="T142" s="377">
        <f t="shared" si="32"/>
        <v>476.10999999999996</v>
      </c>
      <c r="U142" s="377">
        <f t="shared" si="28"/>
        <v>1714.7195714285715</v>
      </c>
      <c r="V142" s="408" t="s">
        <v>2985</v>
      </c>
      <c r="W142" s="408" t="s">
        <v>2985</v>
      </c>
      <c r="X142" s="313" t="s">
        <v>12</v>
      </c>
      <c r="Y142" s="307" t="s">
        <v>12</v>
      </c>
      <c r="Z142" s="307" t="s">
        <v>12</v>
      </c>
      <c r="AA142" s="516" t="s">
        <v>3525</v>
      </c>
      <c r="AB142" s="341" t="s">
        <v>523</v>
      </c>
      <c r="AC142" s="354" t="s">
        <v>2985</v>
      </c>
      <c r="AD142" s="512" t="s">
        <v>2307</v>
      </c>
      <c r="AE142" s="215" t="s">
        <v>2306</v>
      </c>
      <c r="AF142" s="214" t="s">
        <v>2307</v>
      </c>
      <c r="AG142" s="262" t="s">
        <v>2985</v>
      </c>
      <c r="AH142" s="344">
        <v>85.365853658536594</v>
      </c>
      <c r="AI142" s="353">
        <v>0</v>
      </c>
      <c r="AJ142" s="352">
        <v>14.634146341463413</v>
      </c>
      <c r="AK142" s="365">
        <v>0</v>
      </c>
      <c r="AL142" s="365">
        <v>0</v>
      </c>
      <c r="AM142" s="365">
        <v>0</v>
      </c>
      <c r="AN142" s="353">
        <v>0</v>
      </c>
      <c r="AO142" s="353">
        <v>0</v>
      </c>
      <c r="AP142" s="348">
        <v>0</v>
      </c>
      <c r="AQ142" s="348">
        <v>0</v>
      </c>
      <c r="AR142" s="348">
        <v>0</v>
      </c>
      <c r="AS142" s="348">
        <v>0</v>
      </c>
      <c r="AT142" s="353">
        <v>0</v>
      </c>
      <c r="AU142" s="342">
        <v>0.22101219512195122</v>
      </c>
      <c r="AV142" s="348">
        <v>0</v>
      </c>
      <c r="AW142" s="348">
        <v>0</v>
      </c>
      <c r="AX142" s="341">
        <v>0</v>
      </c>
      <c r="AY142" s="340">
        <v>63.983673131683638</v>
      </c>
      <c r="AZ142" s="356">
        <v>31.99184</v>
      </c>
      <c r="BA142" s="316" t="s">
        <v>2985</v>
      </c>
      <c r="BB142" s="94" t="s">
        <v>2985</v>
      </c>
      <c r="BC142" s="355" t="s">
        <v>2985</v>
      </c>
      <c r="BD142" s="348" t="s">
        <v>3551</v>
      </c>
      <c r="BE142" s="353">
        <v>76</v>
      </c>
      <c r="BF142" s="391"/>
      <c r="BG142" s="348">
        <v>305</v>
      </c>
      <c r="BH142" s="416">
        <f>(BE142*BG142)/((2*BG142)+(2*BE142))</f>
        <v>30.41994750656168</v>
      </c>
      <c r="BI142" s="303">
        <v>100</v>
      </c>
      <c r="BJ142" s="307">
        <v>28</v>
      </c>
      <c r="BK142" s="507" t="s">
        <v>2985</v>
      </c>
      <c r="BL142" s="307">
        <v>21</v>
      </c>
      <c r="BM142" s="307">
        <v>0</v>
      </c>
      <c r="BN142" s="307">
        <v>99</v>
      </c>
      <c r="BO142" s="259" t="s">
        <v>2985</v>
      </c>
      <c r="BP142" s="350"/>
      <c r="BS142" s="321"/>
    </row>
    <row r="143" spans="1:71" s="322" customFormat="1" ht="15" customHeight="1">
      <c r="A143" s="457">
        <v>1273</v>
      </c>
      <c r="B143" s="534" t="s">
        <v>3624</v>
      </c>
      <c r="C143" s="383"/>
      <c r="D143" s="383"/>
      <c r="E143" s="469"/>
      <c r="F143" s="303" t="s">
        <v>1941</v>
      </c>
      <c r="G143" s="386" t="s">
        <v>1834</v>
      </c>
      <c r="H143" s="340" t="s">
        <v>252</v>
      </c>
      <c r="I143" s="338" t="s">
        <v>3377</v>
      </c>
      <c r="J143" s="348">
        <v>2008</v>
      </c>
      <c r="K143" s="341">
        <v>298</v>
      </c>
      <c r="L143" s="354" t="s">
        <v>2985</v>
      </c>
      <c r="M143" s="341" t="s">
        <v>1752</v>
      </c>
      <c r="N143" s="447" t="s">
        <v>2985</v>
      </c>
      <c r="O143" s="349">
        <v>0.21</v>
      </c>
      <c r="P143" s="408" t="s">
        <v>2985</v>
      </c>
      <c r="Q143" s="408" t="s">
        <v>2985</v>
      </c>
      <c r="R143" s="317" t="s">
        <v>2985</v>
      </c>
      <c r="S143" s="317" t="s">
        <v>2985</v>
      </c>
      <c r="T143" s="318" t="s">
        <v>2985</v>
      </c>
      <c r="U143" s="318" t="s">
        <v>2985</v>
      </c>
      <c r="V143" s="408" t="s">
        <v>2985</v>
      </c>
      <c r="W143" s="408" t="s">
        <v>2985</v>
      </c>
      <c r="X143" s="313" t="s">
        <v>12</v>
      </c>
      <c r="Y143" s="317" t="s">
        <v>2985</v>
      </c>
      <c r="Z143" s="317" t="s">
        <v>2985</v>
      </c>
      <c r="AA143" s="311" t="s">
        <v>1754</v>
      </c>
      <c r="AB143" s="355" t="s">
        <v>2985</v>
      </c>
      <c r="AC143" s="354" t="s">
        <v>2985</v>
      </c>
      <c r="AD143" s="316" t="s">
        <v>2985</v>
      </c>
      <c r="AE143" s="316" t="s">
        <v>2985</v>
      </c>
      <c r="AF143" s="316" t="s">
        <v>2985</v>
      </c>
      <c r="AG143" s="262" t="s">
        <v>2985</v>
      </c>
      <c r="AH143" s="344">
        <v>100</v>
      </c>
      <c r="AI143" s="316" t="s">
        <v>2985</v>
      </c>
      <c r="AJ143" s="316" t="s">
        <v>2985</v>
      </c>
      <c r="AK143" s="316" t="s">
        <v>2985</v>
      </c>
      <c r="AL143" s="316" t="s">
        <v>2985</v>
      </c>
      <c r="AM143" s="316" t="s">
        <v>2985</v>
      </c>
      <c r="AN143" s="316" t="s">
        <v>2985</v>
      </c>
      <c r="AO143" s="353">
        <v>0</v>
      </c>
      <c r="AP143" s="348">
        <v>0</v>
      </c>
      <c r="AQ143" s="316" t="s">
        <v>2985</v>
      </c>
      <c r="AR143" s="348">
        <v>0</v>
      </c>
      <c r="AS143" s="316" t="s">
        <v>2985</v>
      </c>
      <c r="AT143" s="353">
        <v>0</v>
      </c>
      <c r="AU143" s="316" t="s">
        <v>2985</v>
      </c>
      <c r="AV143" s="348">
        <v>0</v>
      </c>
      <c r="AW143" s="348">
        <v>0</v>
      </c>
      <c r="AX143" s="341">
        <v>0</v>
      </c>
      <c r="AY143" s="354" t="s">
        <v>2985</v>
      </c>
      <c r="AZ143" s="316"/>
      <c r="BA143" s="316" t="s">
        <v>2985</v>
      </c>
      <c r="BB143" s="94" t="s">
        <v>2985</v>
      </c>
      <c r="BC143" s="355" t="s">
        <v>2985</v>
      </c>
      <c r="BD143" s="391" t="s">
        <v>2985</v>
      </c>
      <c r="BE143" s="391" t="s">
        <v>2985</v>
      </c>
      <c r="BF143" s="391"/>
      <c r="BG143" s="391" t="s">
        <v>2985</v>
      </c>
      <c r="BH143" s="428" t="s">
        <v>2985</v>
      </c>
      <c r="BI143" s="303">
        <v>99</v>
      </c>
      <c r="BJ143" s="307">
        <v>0</v>
      </c>
      <c r="BK143" s="507" t="s">
        <v>2985</v>
      </c>
      <c r="BL143" s="307">
        <v>20</v>
      </c>
      <c r="BM143" s="307">
        <v>0</v>
      </c>
      <c r="BN143" s="507" t="s">
        <v>2985</v>
      </c>
      <c r="BO143" s="259" t="s">
        <v>2985</v>
      </c>
      <c r="BP143" s="350"/>
      <c r="BS143" s="321"/>
    </row>
    <row r="144" spans="1:71" s="322" customFormat="1" ht="15" customHeight="1">
      <c r="A144" s="457">
        <v>1274</v>
      </c>
      <c r="B144" s="534" t="s">
        <v>3624</v>
      </c>
      <c r="C144" s="383"/>
      <c r="D144" s="383"/>
      <c r="E144" s="469"/>
      <c r="F144" s="303" t="s">
        <v>1942</v>
      </c>
      <c r="G144" s="386" t="s">
        <v>1834</v>
      </c>
      <c r="H144" s="340" t="s">
        <v>252</v>
      </c>
      <c r="I144" s="338" t="s">
        <v>3377</v>
      </c>
      <c r="J144" s="348">
        <v>2008</v>
      </c>
      <c r="K144" s="341">
        <v>298</v>
      </c>
      <c r="L144" s="354" t="s">
        <v>2985</v>
      </c>
      <c r="M144" s="341" t="s">
        <v>1752</v>
      </c>
      <c r="N144" s="447" t="s">
        <v>2985</v>
      </c>
      <c r="O144" s="349">
        <v>0.22</v>
      </c>
      <c r="P144" s="408" t="s">
        <v>2985</v>
      </c>
      <c r="Q144" s="408" t="s">
        <v>2985</v>
      </c>
      <c r="R144" s="317" t="s">
        <v>2985</v>
      </c>
      <c r="S144" s="317" t="s">
        <v>2985</v>
      </c>
      <c r="T144" s="318" t="s">
        <v>2985</v>
      </c>
      <c r="U144" s="318" t="s">
        <v>2985</v>
      </c>
      <c r="V144" s="408" t="s">
        <v>2985</v>
      </c>
      <c r="W144" s="408" t="s">
        <v>2985</v>
      </c>
      <c r="X144" s="313" t="s">
        <v>12</v>
      </c>
      <c r="Y144" s="317" t="s">
        <v>2985</v>
      </c>
      <c r="Z144" s="317" t="s">
        <v>2985</v>
      </c>
      <c r="AA144" s="311" t="s">
        <v>1754</v>
      </c>
      <c r="AB144" s="355" t="s">
        <v>2985</v>
      </c>
      <c r="AC144" s="354" t="s">
        <v>2985</v>
      </c>
      <c r="AD144" s="316" t="s">
        <v>2985</v>
      </c>
      <c r="AE144" s="316" t="s">
        <v>2985</v>
      </c>
      <c r="AF144" s="316" t="s">
        <v>2985</v>
      </c>
      <c r="AG144" s="262" t="s">
        <v>2985</v>
      </c>
      <c r="AH144" s="344">
        <v>100</v>
      </c>
      <c r="AI144" s="316" t="s">
        <v>2985</v>
      </c>
      <c r="AJ144" s="316" t="s">
        <v>2985</v>
      </c>
      <c r="AK144" s="316" t="s">
        <v>2985</v>
      </c>
      <c r="AL144" s="316" t="s">
        <v>2985</v>
      </c>
      <c r="AM144" s="316" t="s">
        <v>2985</v>
      </c>
      <c r="AN144" s="316" t="s">
        <v>2985</v>
      </c>
      <c r="AO144" s="353">
        <v>0</v>
      </c>
      <c r="AP144" s="348">
        <v>0</v>
      </c>
      <c r="AQ144" s="316" t="s">
        <v>2985</v>
      </c>
      <c r="AR144" s="348">
        <v>0</v>
      </c>
      <c r="AS144" s="316" t="s">
        <v>2985</v>
      </c>
      <c r="AT144" s="353">
        <v>0</v>
      </c>
      <c r="AU144" s="316" t="s">
        <v>2985</v>
      </c>
      <c r="AV144" s="348">
        <v>0</v>
      </c>
      <c r="AW144" s="348">
        <v>0</v>
      </c>
      <c r="AX144" s="341">
        <v>0</v>
      </c>
      <c r="AY144" s="354" t="s">
        <v>2985</v>
      </c>
      <c r="AZ144" s="316"/>
      <c r="BA144" s="316" t="s">
        <v>2985</v>
      </c>
      <c r="BB144" s="94" t="s">
        <v>2985</v>
      </c>
      <c r="BC144" s="355" t="s">
        <v>2985</v>
      </c>
      <c r="BD144" s="391" t="s">
        <v>2985</v>
      </c>
      <c r="BE144" s="391" t="s">
        <v>2985</v>
      </c>
      <c r="BF144" s="391"/>
      <c r="BG144" s="391" t="s">
        <v>2985</v>
      </c>
      <c r="BH144" s="428" t="s">
        <v>2985</v>
      </c>
      <c r="BI144" s="303">
        <v>99</v>
      </c>
      <c r="BJ144" s="307">
        <v>0</v>
      </c>
      <c r="BK144" s="507" t="s">
        <v>2985</v>
      </c>
      <c r="BL144" s="307">
        <v>20</v>
      </c>
      <c r="BM144" s="307">
        <v>0</v>
      </c>
      <c r="BN144" s="507" t="s">
        <v>2985</v>
      </c>
      <c r="BO144" s="259" t="s">
        <v>2985</v>
      </c>
      <c r="BP144" s="350"/>
      <c r="BS144" s="321"/>
    </row>
    <row r="145" spans="1:71" s="322" customFormat="1" ht="15" customHeight="1">
      <c r="A145" s="457">
        <v>1275</v>
      </c>
      <c r="B145" s="534" t="s">
        <v>3624</v>
      </c>
      <c r="C145" s="383"/>
      <c r="D145" s="383"/>
      <c r="E145" s="469"/>
      <c r="F145" s="303" t="s">
        <v>1943</v>
      </c>
      <c r="G145" s="386" t="s">
        <v>1834</v>
      </c>
      <c r="H145" s="340" t="s">
        <v>252</v>
      </c>
      <c r="I145" s="338" t="s">
        <v>3377</v>
      </c>
      <c r="J145" s="348">
        <v>2008</v>
      </c>
      <c r="K145" s="341">
        <v>298</v>
      </c>
      <c r="L145" s="354" t="s">
        <v>2985</v>
      </c>
      <c r="M145" s="341" t="s">
        <v>1752</v>
      </c>
      <c r="N145" s="447" t="s">
        <v>2985</v>
      </c>
      <c r="O145" s="349">
        <v>0.26</v>
      </c>
      <c r="P145" s="408" t="s">
        <v>2985</v>
      </c>
      <c r="Q145" s="408" t="s">
        <v>2985</v>
      </c>
      <c r="R145" s="317" t="s">
        <v>2985</v>
      </c>
      <c r="S145" s="317" t="s">
        <v>2985</v>
      </c>
      <c r="T145" s="318" t="s">
        <v>2985</v>
      </c>
      <c r="U145" s="318" t="s">
        <v>2985</v>
      </c>
      <c r="V145" s="408" t="s">
        <v>2985</v>
      </c>
      <c r="W145" s="408" t="s">
        <v>2985</v>
      </c>
      <c r="X145" s="313" t="s">
        <v>12</v>
      </c>
      <c r="Y145" s="317" t="s">
        <v>2985</v>
      </c>
      <c r="Z145" s="317" t="s">
        <v>2985</v>
      </c>
      <c r="AA145" s="311" t="s">
        <v>1754</v>
      </c>
      <c r="AB145" s="355" t="s">
        <v>2985</v>
      </c>
      <c r="AC145" s="354" t="s">
        <v>2985</v>
      </c>
      <c r="AD145" s="316" t="s">
        <v>2985</v>
      </c>
      <c r="AE145" s="316" t="s">
        <v>2985</v>
      </c>
      <c r="AF145" s="316" t="s">
        <v>2985</v>
      </c>
      <c r="AG145" s="262" t="s">
        <v>2985</v>
      </c>
      <c r="AH145" s="344">
        <v>100</v>
      </c>
      <c r="AI145" s="316" t="s">
        <v>2985</v>
      </c>
      <c r="AJ145" s="316" t="s">
        <v>2985</v>
      </c>
      <c r="AK145" s="316" t="s">
        <v>2985</v>
      </c>
      <c r="AL145" s="316" t="s">
        <v>2985</v>
      </c>
      <c r="AM145" s="316" t="s">
        <v>2985</v>
      </c>
      <c r="AN145" s="316" t="s">
        <v>2985</v>
      </c>
      <c r="AO145" s="353">
        <v>0</v>
      </c>
      <c r="AP145" s="348">
        <v>0</v>
      </c>
      <c r="AQ145" s="316" t="s">
        <v>2985</v>
      </c>
      <c r="AR145" s="348">
        <v>0</v>
      </c>
      <c r="AS145" s="316" t="s">
        <v>2985</v>
      </c>
      <c r="AT145" s="353">
        <v>0</v>
      </c>
      <c r="AU145" s="316" t="s">
        <v>2985</v>
      </c>
      <c r="AV145" s="348">
        <v>0</v>
      </c>
      <c r="AW145" s="348">
        <v>0</v>
      </c>
      <c r="AX145" s="341">
        <v>0</v>
      </c>
      <c r="AY145" s="354" t="s">
        <v>2985</v>
      </c>
      <c r="AZ145" s="316"/>
      <c r="BA145" s="316" t="s">
        <v>2985</v>
      </c>
      <c r="BB145" s="94" t="s">
        <v>2985</v>
      </c>
      <c r="BC145" s="355" t="s">
        <v>2985</v>
      </c>
      <c r="BD145" s="391" t="s">
        <v>2985</v>
      </c>
      <c r="BE145" s="391" t="s">
        <v>2985</v>
      </c>
      <c r="BF145" s="391"/>
      <c r="BG145" s="391" t="s">
        <v>2985</v>
      </c>
      <c r="BH145" s="428" t="s">
        <v>2985</v>
      </c>
      <c r="BI145" s="303">
        <v>99</v>
      </c>
      <c r="BJ145" s="307">
        <v>0</v>
      </c>
      <c r="BK145" s="507" t="s">
        <v>2985</v>
      </c>
      <c r="BL145" s="307">
        <v>20</v>
      </c>
      <c r="BM145" s="307">
        <v>0</v>
      </c>
      <c r="BN145" s="507" t="s">
        <v>2985</v>
      </c>
      <c r="BO145" s="259" t="s">
        <v>2985</v>
      </c>
      <c r="BP145" s="350"/>
      <c r="BS145" s="321"/>
    </row>
    <row r="146" spans="1:71" s="322" customFormat="1" ht="15" customHeight="1">
      <c r="A146" s="457">
        <v>1276</v>
      </c>
      <c r="B146" s="534" t="s">
        <v>3624</v>
      </c>
      <c r="C146" s="383"/>
      <c r="D146" s="383"/>
      <c r="E146" s="469"/>
      <c r="F146" s="303" t="s">
        <v>1944</v>
      </c>
      <c r="G146" s="386" t="s">
        <v>1834</v>
      </c>
      <c r="H146" s="340" t="s">
        <v>252</v>
      </c>
      <c r="I146" s="338" t="s">
        <v>3377</v>
      </c>
      <c r="J146" s="348">
        <v>2008</v>
      </c>
      <c r="K146" s="341">
        <v>298</v>
      </c>
      <c r="L146" s="354" t="s">
        <v>2985</v>
      </c>
      <c r="M146" s="341" t="s">
        <v>1752</v>
      </c>
      <c r="N146" s="447" t="s">
        <v>2985</v>
      </c>
      <c r="O146" s="349">
        <v>0.25</v>
      </c>
      <c r="P146" s="408" t="s">
        <v>2985</v>
      </c>
      <c r="Q146" s="408" t="s">
        <v>2985</v>
      </c>
      <c r="R146" s="317" t="s">
        <v>2985</v>
      </c>
      <c r="S146" s="317" t="s">
        <v>2985</v>
      </c>
      <c r="T146" s="318" t="s">
        <v>2985</v>
      </c>
      <c r="U146" s="318" t="s">
        <v>2985</v>
      </c>
      <c r="V146" s="408" t="s">
        <v>2985</v>
      </c>
      <c r="W146" s="408" t="s">
        <v>2985</v>
      </c>
      <c r="X146" s="313" t="s">
        <v>12</v>
      </c>
      <c r="Y146" s="317" t="s">
        <v>2985</v>
      </c>
      <c r="Z146" s="317" t="s">
        <v>2985</v>
      </c>
      <c r="AA146" s="311" t="s">
        <v>1754</v>
      </c>
      <c r="AB146" s="355" t="s">
        <v>2985</v>
      </c>
      <c r="AC146" s="354" t="s">
        <v>2985</v>
      </c>
      <c r="AD146" s="316" t="s">
        <v>2985</v>
      </c>
      <c r="AE146" s="316" t="s">
        <v>2985</v>
      </c>
      <c r="AF146" s="316" t="s">
        <v>2985</v>
      </c>
      <c r="AG146" s="262" t="s">
        <v>2985</v>
      </c>
      <c r="AH146" s="344">
        <v>100</v>
      </c>
      <c r="AI146" s="316" t="s">
        <v>2985</v>
      </c>
      <c r="AJ146" s="316" t="s">
        <v>2985</v>
      </c>
      <c r="AK146" s="316" t="s">
        <v>2985</v>
      </c>
      <c r="AL146" s="316" t="s">
        <v>2985</v>
      </c>
      <c r="AM146" s="316" t="s">
        <v>2985</v>
      </c>
      <c r="AN146" s="316" t="s">
        <v>2985</v>
      </c>
      <c r="AO146" s="353">
        <v>0</v>
      </c>
      <c r="AP146" s="348">
        <v>0</v>
      </c>
      <c r="AQ146" s="316" t="s">
        <v>2985</v>
      </c>
      <c r="AR146" s="348">
        <v>0</v>
      </c>
      <c r="AS146" s="316" t="s">
        <v>2985</v>
      </c>
      <c r="AT146" s="353">
        <v>0</v>
      </c>
      <c r="AU146" s="316" t="s">
        <v>2985</v>
      </c>
      <c r="AV146" s="348">
        <v>0</v>
      </c>
      <c r="AW146" s="348">
        <v>0</v>
      </c>
      <c r="AX146" s="341">
        <v>0</v>
      </c>
      <c r="AY146" s="354" t="s">
        <v>2985</v>
      </c>
      <c r="AZ146" s="316"/>
      <c r="BA146" s="316" t="s">
        <v>2985</v>
      </c>
      <c r="BB146" s="94" t="s">
        <v>2985</v>
      </c>
      <c r="BC146" s="355" t="s">
        <v>2985</v>
      </c>
      <c r="BD146" s="391" t="s">
        <v>2985</v>
      </c>
      <c r="BE146" s="391" t="s">
        <v>2985</v>
      </c>
      <c r="BF146" s="391"/>
      <c r="BG146" s="391" t="s">
        <v>2985</v>
      </c>
      <c r="BH146" s="428" t="s">
        <v>2985</v>
      </c>
      <c r="BI146" s="303">
        <v>99</v>
      </c>
      <c r="BJ146" s="307">
        <v>0</v>
      </c>
      <c r="BK146" s="507" t="s">
        <v>2985</v>
      </c>
      <c r="BL146" s="307">
        <v>20</v>
      </c>
      <c r="BM146" s="307">
        <v>0</v>
      </c>
      <c r="BN146" s="507" t="s">
        <v>2985</v>
      </c>
      <c r="BO146" s="259" t="s">
        <v>2985</v>
      </c>
      <c r="BP146" s="350"/>
      <c r="BS146" s="321"/>
    </row>
    <row r="147" spans="1:71" s="322" customFormat="1" ht="15" customHeight="1">
      <c r="A147" s="457">
        <v>1298</v>
      </c>
      <c r="B147" s="534" t="s">
        <v>3624</v>
      </c>
      <c r="C147" s="383"/>
      <c r="D147" s="383"/>
      <c r="E147" s="469"/>
      <c r="F147" s="303" t="s">
        <v>1966</v>
      </c>
      <c r="G147" s="386" t="s">
        <v>1836</v>
      </c>
      <c r="H147" s="340" t="s">
        <v>447</v>
      </c>
      <c r="I147" s="338" t="s">
        <v>3377</v>
      </c>
      <c r="J147" s="348">
        <v>2005</v>
      </c>
      <c r="K147" s="341">
        <v>303</v>
      </c>
      <c r="L147" s="340" t="s">
        <v>1738</v>
      </c>
      <c r="M147" s="341" t="s">
        <v>1739</v>
      </c>
      <c r="N147" s="446">
        <f t="shared" ref="N147:N154" si="33">R147/T147</f>
        <v>0.3</v>
      </c>
      <c r="O147" s="349">
        <v>0.3</v>
      </c>
      <c r="P147" s="408" t="s">
        <v>2985</v>
      </c>
      <c r="Q147" s="408" t="s">
        <v>2985</v>
      </c>
      <c r="R147" s="377">
        <f t="shared" ref="R147:R154" si="34">O147*S147</f>
        <v>274.5</v>
      </c>
      <c r="S147" s="307">
        <v>915</v>
      </c>
      <c r="T147" s="377">
        <f t="shared" ref="T147:T154" si="35">(((SUM(AI147:AR147)/100)*(S147))+S147)</f>
        <v>915</v>
      </c>
      <c r="U147" s="318" t="s">
        <v>2985</v>
      </c>
      <c r="V147" s="408" t="s">
        <v>2985</v>
      </c>
      <c r="W147" s="408" t="s">
        <v>2985</v>
      </c>
      <c r="X147" s="313" t="s">
        <v>12</v>
      </c>
      <c r="Y147" s="307" t="s">
        <v>129</v>
      </c>
      <c r="Z147" s="307" t="s">
        <v>129</v>
      </c>
      <c r="AA147" s="516" t="s">
        <v>1754</v>
      </c>
      <c r="AB147" s="341" t="s">
        <v>525</v>
      </c>
      <c r="AC147" s="354" t="s">
        <v>2985</v>
      </c>
      <c r="AD147" s="506" t="s">
        <v>2312</v>
      </c>
      <c r="AE147" s="316" t="s">
        <v>2985</v>
      </c>
      <c r="AF147" s="214" t="s">
        <v>2312</v>
      </c>
      <c r="AG147" s="262" t="s">
        <v>2985</v>
      </c>
      <c r="AH147" s="313">
        <v>100</v>
      </c>
      <c r="AI147" s="348">
        <v>0</v>
      </c>
      <c r="AJ147" s="365">
        <v>0</v>
      </c>
      <c r="AK147" s="365">
        <v>0</v>
      </c>
      <c r="AL147" s="365">
        <v>0</v>
      </c>
      <c r="AM147" s="365">
        <v>0</v>
      </c>
      <c r="AN147" s="348">
        <v>0</v>
      </c>
      <c r="AO147" s="348">
        <v>0</v>
      </c>
      <c r="AP147" s="348">
        <v>0</v>
      </c>
      <c r="AQ147" s="348">
        <v>0</v>
      </c>
      <c r="AR147" s="348">
        <v>0</v>
      </c>
      <c r="AS147" s="348">
        <v>0</v>
      </c>
      <c r="AT147" s="348">
        <v>0</v>
      </c>
      <c r="AU147" s="348">
        <v>0</v>
      </c>
      <c r="AV147" s="348">
        <v>0</v>
      </c>
      <c r="AW147" s="348">
        <v>0</v>
      </c>
      <c r="AX147" s="341">
        <v>0</v>
      </c>
      <c r="AY147" s="354">
        <v>95.7</v>
      </c>
      <c r="AZ147" s="356"/>
      <c r="BA147" s="316" t="s">
        <v>2985</v>
      </c>
      <c r="BB147" s="94" t="s">
        <v>2985</v>
      </c>
      <c r="BC147" s="355" t="s">
        <v>2985</v>
      </c>
      <c r="BD147" s="348" t="s">
        <v>1838</v>
      </c>
      <c r="BE147" s="391" t="s">
        <v>2985</v>
      </c>
      <c r="BF147" s="391"/>
      <c r="BG147" s="391" t="s">
        <v>2985</v>
      </c>
      <c r="BH147" s="428" t="s">
        <v>2985</v>
      </c>
      <c r="BI147" s="330" t="s">
        <v>2985</v>
      </c>
      <c r="BJ147" s="307">
        <v>7.0000000000000007E-2</v>
      </c>
      <c r="BK147" s="507" t="s">
        <v>2985</v>
      </c>
      <c r="BL147" s="507" t="s">
        <v>2985</v>
      </c>
      <c r="BM147" s="307">
        <v>0</v>
      </c>
      <c r="BN147" s="507">
        <v>100</v>
      </c>
      <c r="BO147" s="259" t="s">
        <v>2985</v>
      </c>
      <c r="BP147" s="350"/>
      <c r="BS147" s="321"/>
    </row>
    <row r="148" spans="1:71" s="322" customFormat="1" ht="15" customHeight="1">
      <c r="A148" s="457">
        <v>1299</v>
      </c>
      <c r="B148" s="534" t="s">
        <v>3624</v>
      </c>
      <c r="C148" s="383"/>
      <c r="D148" s="383"/>
      <c r="E148" s="469"/>
      <c r="F148" s="303" t="s">
        <v>1967</v>
      </c>
      <c r="G148" s="386" t="s">
        <v>1836</v>
      </c>
      <c r="H148" s="340" t="s">
        <v>447</v>
      </c>
      <c r="I148" s="338" t="s">
        <v>3377</v>
      </c>
      <c r="J148" s="348">
        <v>2005</v>
      </c>
      <c r="K148" s="341">
        <v>303</v>
      </c>
      <c r="L148" s="340" t="s">
        <v>1738</v>
      </c>
      <c r="M148" s="341" t="s">
        <v>1739</v>
      </c>
      <c r="N148" s="446">
        <f t="shared" si="33"/>
        <v>0.35</v>
      </c>
      <c r="O148" s="349">
        <v>0.35</v>
      </c>
      <c r="P148" s="310">
        <f>U148/S148</f>
        <v>1.03</v>
      </c>
      <c r="Q148" s="408">
        <v>1.03</v>
      </c>
      <c r="R148" s="377">
        <f t="shared" si="34"/>
        <v>275.09999999999997</v>
      </c>
      <c r="S148" s="307">
        <v>786</v>
      </c>
      <c r="T148" s="377">
        <f t="shared" si="35"/>
        <v>786</v>
      </c>
      <c r="U148" s="377">
        <f>Q148*T148</f>
        <v>809.58</v>
      </c>
      <c r="V148" s="408" t="s">
        <v>2985</v>
      </c>
      <c r="W148" s="408" t="s">
        <v>2985</v>
      </c>
      <c r="X148" s="313" t="s">
        <v>12</v>
      </c>
      <c r="Y148" s="307" t="s">
        <v>129</v>
      </c>
      <c r="Z148" s="307" t="s">
        <v>129</v>
      </c>
      <c r="AA148" s="516" t="s">
        <v>1754</v>
      </c>
      <c r="AB148" s="341" t="s">
        <v>525</v>
      </c>
      <c r="AC148" s="354" t="s">
        <v>2985</v>
      </c>
      <c r="AD148" s="506" t="s">
        <v>2312</v>
      </c>
      <c r="AE148" s="316" t="s">
        <v>2985</v>
      </c>
      <c r="AF148" s="214" t="s">
        <v>2312</v>
      </c>
      <c r="AG148" s="262" t="s">
        <v>2985</v>
      </c>
      <c r="AH148" s="313">
        <v>100</v>
      </c>
      <c r="AI148" s="348">
        <v>0</v>
      </c>
      <c r="AJ148" s="365">
        <v>0</v>
      </c>
      <c r="AK148" s="365">
        <v>0</v>
      </c>
      <c r="AL148" s="365">
        <v>0</v>
      </c>
      <c r="AM148" s="365">
        <v>0</v>
      </c>
      <c r="AN148" s="348">
        <v>0</v>
      </c>
      <c r="AO148" s="348">
        <v>0</v>
      </c>
      <c r="AP148" s="348">
        <v>0</v>
      </c>
      <c r="AQ148" s="348">
        <v>0</v>
      </c>
      <c r="AR148" s="348">
        <v>0</v>
      </c>
      <c r="AS148" s="348">
        <v>0</v>
      </c>
      <c r="AT148" s="348">
        <v>0</v>
      </c>
      <c r="AU148" s="348">
        <v>0</v>
      </c>
      <c r="AV148" s="348">
        <v>0</v>
      </c>
      <c r="AW148" s="348">
        <v>0</v>
      </c>
      <c r="AX148" s="341">
        <v>0</v>
      </c>
      <c r="AY148" s="354">
        <v>68.59</v>
      </c>
      <c r="AZ148" s="356"/>
      <c r="BA148" s="316" t="s">
        <v>2985</v>
      </c>
      <c r="BB148" s="94" t="s">
        <v>2985</v>
      </c>
      <c r="BC148" s="355" t="s">
        <v>2985</v>
      </c>
      <c r="BD148" s="348" t="s">
        <v>1838</v>
      </c>
      <c r="BE148" s="391" t="s">
        <v>2985</v>
      </c>
      <c r="BF148" s="391"/>
      <c r="BG148" s="391" t="s">
        <v>2985</v>
      </c>
      <c r="BH148" s="428" t="s">
        <v>2985</v>
      </c>
      <c r="BI148" s="330" t="s">
        <v>2985</v>
      </c>
      <c r="BJ148" s="307">
        <v>0.19</v>
      </c>
      <c r="BK148" s="507" t="s">
        <v>2985</v>
      </c>
      <c r="BL148" s="507" t="s">
        <v>2985</v>
      </c>
      <c r="BM148" s="307">
        <v>0</v>
      </c>
      <c r="BN148" s="507">
        <v>100</v>
      </c>
      <c r="BO148" s="259" t="s">
        <v>2985</v>
      </c>
      <c r="BP148" s="350"/>
      <c r="BS148" s="321"/>
    </row>
    <row r="149" spans="1:71" s="322" customFormat="1" ht="15" customHeight="1">
      <c r="A149" s="457">
        <v>1300</v>
      </c>
      <c r="B149" s="533" t="s">
        <v>3634</v>
      </c>
      <c r="C149" s="383"/>
      <c r="D149" s="383"/>
      <c r="E149" s="469"/>
      <c r="F149" s="303" t="s">
        <v>1968</v>
      </c>
      <c r="G149" s="386" t="s">
        <v>1836</v>
      </c>
      <c r="H149" s="340" t="s">
        <v>447</v>
      </c>
      <c r="I149" s="338" t="s">
        <v>3377</v>
      </c>
      <c r="J149" s="348">
        <v>2005</v>
      </c>
      <c r="K149" s="341">
        <v>303</v>
      </c>
      <c r="L149" s="340" t="s">
        <v>1738</v>
      </c>
      <c r="M149" s="341" t="s">
        <v>1739</v>
      </c>
      <c r="N149" s="446">
        <f t="shared" si="33"/>
        <v>0.39999999999999997</v>
      </c>
      <c r="O149" s="349">
        <v>0.4</v>
      </c>
      <c r="P149" s="310">
        <f>U149/S149</f>
        <v>1.6299999999999997</v>
      </c>
      <c r="Q149" s="408">
        <v>1.63</v>
      </c>
      <c r="R149" s="377">
        <f t="shared" si="34"/>
        <v>275.2</v>
      </c>
      <c r="S149" s="307">
        <v>688</v>
      </c>
      <c r="T149" s="377">
        <f t="shared" si="35"/>
        <v>688</v>
      </c>
      <c r="U149" s="377">
        <f>Q149*T149</f>
        <v>1121.4399999999998</v>
      </c>
      <c r="V149" s="408" t="s">
        <v>2985</v>
      </c>
      <c r="W149" s="408" t="s">
        <v>2985</v>
      </c>
      <c r="X149" s="313" t="s">
        <v>12</v>
      </c>
      <c r="Y149" s="307" t="s">
        <v>129</v>
      </c>
      <c r="Z149" s="307" t="s">
        <v>129</v>
      </c>
      <c r="AA149" s="516" t="s">
        <v>1754</v>
      </c>
      <c r="AB149" s="341" t="s">
        <v>525</v>
      </c>
      <c r="AC149" s="354" t="s">
        <v>2985</v>
      </c>
      <c r="AD149" s="506" t="s">
        <v>2312</v>
      </c>
      <c r="AE149" s="316" t="s">
        <v>2985</v>
      </c>
      <c r="AF149" s="214" t="s">
        <v>2312</v>
      </c>
      <c r="AG149" s="262" t="s">
        <v>2985</v>
      </c>
      <c r="AH149" s="313">
        <v>100</v>
      </c>
      <c r="AI149" s="348">
        <v>0</v>
      </c>
      <c r="AJ149" s="365">
        <v>0</v>
      </c>
      <c r="AK149" s="365">
        <v>0</v>
      </c>
      <c r="AL149" s="365">
        <v>0</v>
      </c>
      <c r="AM149" s="365">
        <v>0</v>
      </c>
      <c r="AN149" s="348">
        <v>0</v>
      </c>
      <c r="AO149" s="348">
        <v>0</v>
      </c>
      <c r="AP149" s="348">
        <v>0</v>
      </c>
      <c r="AQ149" s="348">
        <v>0</v>
      </c>
      <c r="AR149" s="348">
        <v>0</v>
      </c>
      <c r="AS149" s="348">
        <v>0</v>
      </c>
      <c r="AT149" s="348">
        <v>0</v>
      </c>
      <c r="AU149" s="348">
        <v>0</v>
      </c>
      <c r="AV149" s="348">
        <v>0</v>
      </c>
      <c r="AW149" s="348">
        <v>0</v>
      </c>
      <c r="AX149" s="341">
        <v>0</v>
      </c>
      <c r="AY149" s="354">
        <v>50.16</v>
      </c>
      <c r="AZ149" s="316"/>
      <c r="BA149" s="316" t="s">
        <v>2985</v>
      </c>
      <c r="BB149" s="94" t="s">
        <v>2985</v>
      </c>
      <c r="BC149" s="355" t="s">
        <v>2985</v>
      </c>
      <c r="BD149" s="348" t="s">
        <v>1838</v>
      </c>
      <c r="BE149" s="391" t="s">
        <v>2985</v>
      </c>
      <c r="BF149" s="391"/>
      <c r="BG149" s="391" t="s">
        <v>2985</v>
      </c>
      <c r="BH149" s="428" t="s">
        <v>2985</v>
      </c>
      <c r="BI149" s="330" t="s">
        <v>2985</v>
      </c>
      <c r="BJ149" s="307">
        <v>0.17</v>
      </c>
      <c r="BK149" s="507" t="s">
        <v>2985</v>
      </c>
      <c r="BL149" s="507" t="s">
        <v>2985</v>
      </c>
      <c r="BM149" s="307">
        <v>0</v>
      </c>
      <c r="BN149" s="507">
        <v>100</v>
      </c>
      <c r="BO149" s="259" t="s">
        <v>2985</v>
      </c>
      <c r="BP149" s="350"/>
      <c r="BS149" s="321"/>
    </row>
    <row r="150" spans="1:71" s="322" customFormat="1" ht="15" customHeight="1">
      <c r="A150" s="457">
        <v>1301</v>
      </c>
      <c r="B150" s="533" t="s">
        <v>3614</v>
      </c>
      <c r="C150" s="383"/>
      <c r="D150" s="383"/>
      <c r="E150" s="469"/>
      <c r="F150" s="303" t="s">
        <v>1969</v>
      </c>
      <c r="G150" s="386" t="s">
        <v>1836</v>
      </c>
      <c r="H150" s="340" t="s">
        <v>447</v>
      </c>
      <c r="I150" s="338" t="s">
        <v>3377</v>
      </c>
      <c r="J150" s="348">
        <v>2005</v>
      </c>
      <c r="K150" s="341">
        <v>303</v>
      </c>
      <c r="L150" s="340" t="s">
        <v>1738</v>
      </c>
      <c r="M150" s="341" t="s">
        <v>1739</v>
      </c>
      <c r="N150" s="446">
        <f t="shared" si="33"/>
        <v>0.44999999999999996</v>
      </c>
      <c r="O150" s="349">
        <v>0.45</v>
      </c>
      <c r="P150" s="310">
        <f>U150/S150</f>
        <v>2.2400000000000002</v>
      </c>
      <c r="Q150" s="408">
        <v>2.2400000000000002</v>
      </c>
      <c r="R150" s="377">
        <f t="shared" si="34"/>
        <v>274.95</v>
      </c>
      <c r="S150" s="307">
        <v>611</v>
      </c>
      <c r="T150" s="377">
        <f t="shared" si="35"/>
        <v>611</v>
      </c>
      <c r="U150" s="377">
        <f>Q150*T150</f>
        <v>1368.64</v>
      </c>
      <c r="V150" s="408" t="s">
        <v>2985</v>
      </c>
      <c r="W150" s="408" t="s">
        <v>2985</v>
      </c>
      <c r="X150" s="313" t="s">
        <v>12</v>
      </c>
      <c r="Y150" s="307" t="s">
        <v>129</v>
      </c>
      <c r="Z150" s="307" t="s">
        <v>129</v>
      </c>
      <c r="AA150" s="516" t="s">
        <v>1754</v>
      </c>
      <c r="AB150" s="341" t="s">
        <v>525</v>
      </c>
      <c r="AC150" s="354" t="s">
        <v>2985</v>
      </c>
      <c r="AD150" s="506" t="s">
        <v>2312</v>
      </c>
      <c r="AE150" s="316" t="s">
        <v>2985</v>
      </c>
      <c r="AF150" s="214" t="s">
        <v>2312</v>
      </c>
      <c r="AG150" s="262" t="s">
        <v>2985</v>
      </c>
      <c r="AH150" s="313">
        <v>100</v>
      </c>
      <c r="AI150" s="348">
        <v>0</v>
      </c>
      <c r="AJ150" s="365">
        <v>0</v>
      </c>
      <c r="AK150" s="365">
        <v>0</v>
      </c>
      <c r="AL150" s="365">
        <v>0</v>
      </c>
      <c r="AM150" s="365">
        <v>0</v>
      </c>
      <c r="AN150" s="348">
        <v>0</v>
      </c>
      <c r="AO150" s="348">
        <v>0</v>
      </c>
      <c r="AP150" s="348">
        <v>0</v>
      </c>
      <c r="AQ150" s="348">
        <v>0</v>
      </c>
      <c r="AR150" s="348">
        <v>0</v>
      </c>
      <c r="AS150" s="348">
        <v>0</v>
      </c>
      <c r="AT150" s="348">
        <v>0</v>
      </c>
      <c r="AU150" s="348">
        <v>0</v>
      </c>
      <c r="AV150" s="348">
        <v>0</v>
      </c>
      <c r="AW150" s="348">
        <v>0</v>
      </c>
      <c r="AX150" s="341">
        <v>0</v>
      </c>
      <c r="AY150" s="354">
        <v>37.61</v>
      </c>
      <c r="AZ150" s="316"/>
      <c r="BA150" s="316" t="s">
        <v>2985</v>
      </c>
      <c r="BB150" s="94" t="s">
        <v>2985</v>
      </c>
      <c r="BC150" s="355" t="s">
        <v>2985</v>
      </c>
      <c r="BD150" s="348" t="s">
        <v>1838</v>
      </c>
      <c r="BE150" s="391" t="s">
        <v>2985</v>
      </c>
      <c r="BF150" s="391"/>
      <c r="BG150" s="391" t="s">
        <v>2985</v>
      </c>
      <c r="BH150" s="428" t="s">
        <v>2985</v>
      </c>
      <c r="BI150" s="330" t="s">
        <v>2985</v>
      </c>
      <c r="BJ150" s="307">
        <v>0.35</v>
      </c>
      <c r="BK150" s="507" t="s">
        <v>2985</v>
      </c>
      <c r="BL150" s="507" t="s">
        <v>2985</v>
      </c>
      <c r="BM150" s="307">
        <v>0</v>
      </c>
      <c r="BN150" s="507">
        <v>100</v>
      </c>
      <c r="BO150" s="259" t="s">
        <v>2985</v>
      </c>
      <c r="BP150" s="350"/>
      <c r="BS150" s="321"/>
    </row>
    <row r="151" spans="1:71" s="322" customFormat="1" ht="15" customHeight="1">
      <c r="A151" s="457">
        <v>1302</v>
      </c>
      <c r="B151" s="534" t="s">
        <v>3624</v>
      </c>
      <c r="C151" s="383"/>
      <c r="D151" s="383"/>
      <c r="E151" s="469"/>
      <c r="F151" s="303" t="s">
        <v>1970</v>
      </c>
      <c r="G151" s="386" t="s">
        <v>1836</v>
      </c>
      <c r="H151" s="340" t="s">
        <v>447</v>
      </c>
      <c r="I151" s="338" t="s">
        <v>3377</v>
      </c>
      <c r="J151" s="348">
        <v>2005</v>
      </c>
      <c r="K151" s="341">
        <v>303</v>
      </c>
      <c r="L151" s="340" t="s">
        <v>1738</v>
      </c>
      <c r="M151" s="341" t="s">
        <v>1739</v>
      </c>
      <c r="N151" s="446">
        <f t="shared" si="33"/>
        <v>0.3</v>
      </c>
      <c r="O151" s="349">
        <v>0.3</v>
      </c>
      <c r="P151" s="408" t="s">
        <v>2985</v>
      </c>
      <c r="Q151" s="408" t="s">
        <v>2985</v>
      </c>
      <c r="R151" s="377">
        <f t="shared" si="34"/>
        <v>274.5</v>
      </c>
      <c r="S151" s="307">
        <v>915</v>
      </c>
      <c r="T151" s="377">
        <f t="shared" si="35"/>
        <v>915</v>
      </c>
      <c r="U151" s="318" t="s">
        <v>2985</v>
      </c>
      <c r="V151" s="408" t="s">
        <v>2985</v>
      </c>
      <c r="W151" s="408" t="s">
        <v>2985</v>
      </c>
      <c r="X151" s="313" t="s">
        <v>12</v>
      </c>
      <c r="Y151" s="307" t="s">
        <v>129</v>
      </c>
      <c r="Z151" s="307" t="s">
        <v>129</v>
      </c>
      <c r="AA151" s="516" t="s">
        <v>1754</v>
      </c>
      <c r="AB151" s="341" t="s">
        <v>525</v>
      </c>
      <c r="AC151" s="354" t="s">
        <v>2985</v>
      </c>
      <c r="AD151" s="506" t="s">
        <v>2312</v>
      </c>
      <c r="AE151" s="316" t="s">
        <v>2985</v>
      </c>
      <c r="AF151" s="214" t="s">
        <v>2312</v>
      </c>
      <c r="AG151" s="262" t="s">
        <v>2985</v>
      </c>
      <c r="AH151" s="344">
        <v>100</v>
      </c>
      <c r="AI151" s="353">
        <v>0</v>
      </c>
      <c r="AJ151" s="395">
        <v>0</v>
      </c>
      <c r="AK151" s="365">
        <v>0</v>
      </c>
      <c r="AL151" s="365">
        <v>0</v>
      </c>
      <c r="AM151" s="365">
        <v>0</v>
      </c>
      <c r="AN151" s="353">
        <v>0</v>
      </c>
      <c r="AO151" s="353">
        <v>0</v>
      </c>
      <c r="AP151" s="348">
        <v>0</v>
      </c>
      <c r="AQ151" s="348">
        <v>0</v>
      </c>
      <c r="AR151" s="348">
        <v>0</v>
      </c>
      <c r="AS151" s="348">
        <v>0</v>
      </c>
      <c r="AT151" s="353">
        <v>0</v>
      </c>
      <c r="AU151" s="348">
        <v>0</v>
      </c>
      <c r="AV151" s="348">
        <v>0</v>
      </c>
      <c r="AW151" s="348">
        <v>0</v>
      </c>
      <c r="AX151" s="341">
        <v>0</v>
      </c>
      <c r="AY151" s="354">
        <v>95.7</v>
      </c>
      <c r="AZ151" s="356"/>
      <c r="BA151" s="316" t="s">
        <v>2985</v>
      </c>
      <c r="BB151" s="94" t="s">
        <v>2985</v>
      </c>
      <c r="BC151" s="355" t="s">
        <v>2985</v>
      </c>
      <c r="BD151" s="391" t="s">
        <v>3561</v>
      </c>
      <c r="BE151" s="391">
        <v>25</v>
      </c>
      <c r="BF151" s="391"/>
      <c r="BG151" s="391">
        <v>285</v>
      </c>
      <c r="BH151" s="525">
        <v>6</v>
      </c>
      <c r="BI151" s="330" t="s">
        <v>2985</v>
      </c>
      <c r="BJ151" s="307">
        <v>0.06</v>
      </c>
      <c r="BK151" s="507" t="s">
        <v>2985</v>
      </c>
      <c r="BL151" s="507" t="s">
        <v>2985</v>
      </c>
      <c r="BM151" s="307">
        <v>0</v>
      </c>
      <c r="BN151" s="507">
        <v>100</v>
      </c>
      <c r="BO151" s="259" t="s">
        <v>2985</v>
      </c>
      <c r="BP151" s="350"/>
      <c r="BS151" s="321"/>
    </row>
    <row r="152" spans="1:71" s="322" customFormat="1" ht="15" customHeight="1">
      <c r="A152" s="457">
        <v>1303</v>
      </c>
      <c r="B152" s="534" t="s">
        <v>3624</v>
      </c>
      <c r="C152" s="383"/>
      <c r="D152" s="383"/>
      <c r="E152" s="469"/>
      <c r="F152" s="303" t="s">
        <v>1971</v>
      </c>
      <c r="G152" s="386" t="s">
        <v>1836</v>
      </c>
      <c r="H152" s="340" t="s">
        <v>447</v>
      </c>
      <c r="I152" s="338" t="s">
        <v>3377</v>
      </c>
      <c r="J152" s="348">
        <v>2005</v>
      </c>
      <c r="K152" s="341">
        <v>303</v>
      </c>
      <c r="L152" s="340" t="s">
        <v>1738</v>
      </c>
      <c r="M152" s="341" t="s">
        <v>1739</v>
      </c>
      <c r="N152" s="446">
        <f t="shared" si="33"/>
        <v>0.3</v>
      </c>
      <c r="O152" s="349">
        <v>0.3</v>
      </c>
      <c r="P152" s="408" t="s">
        <v>2985</v>
      </c>
      <c r="Q152" s="408" t="s">
        <v>2985</v>
      </c>
      <c r="R152" s="377">
        <f t="shared" si="34"/>
        <v>274.5</v>
      </c>
      <c r="S152" s="307">
        <v>915</v>
      </c>
      <c r="T152" s="377">
        <f t="shared" si="35"/>
        <v>915</v>
      </c>
      <c r="U152" s="318" t="s">
        <v>2985</v>
      </c>
      <c r="V152" s="408" t="s">
        <v>2985</v>
      </c>
      <c r="W152" s="408" t="s">
        <v>2985</v>
      </c>
      <c r="X152" s="313" t="s">
        <v>12</v>
      </c>
      <c r="Y152" s="307" t="s">
        <v>129</v>
      </c>
      <c r="Z152" s="307" t="s">
        <v>129</v>
      </c>
      <c r="AA152" s="516" t="s">
        <v>1754</v>
      </c>
      <c r="AB152" s="341" t="s">
        <v>525</v>
      </c>
      <c r="AC152" s="354" t="s">
        <v>2985</v>
      </c>
      <c r="AD152" s="506" t="s">
        <v>2312</v>
      </c>
      <c r="AE152" s="316" t="s">
        <v>2985</v>
      </c>
      <c r="AF152" s="214" t="s">
        <v>2312</v>
      </c>
      <c r="AG152" s="262" t="s">
        <v>2985</v>
      </c>
      <c r="AH152" s="344">
        <v>100</v>
      </c>
      <c r="AI152" s="353">
        <v>0</v>
      </c>
      <c r="AJ152" s="395">
        <v>0</v>
      </c>
      <c r="AK152" s="365">
        <v>0</v>
      </c>
      <c r="AL152" s="365">
        <v>0</v>
      </c>
      <c r="AM152" s="365">
        <v>0</v>
      </c>
      <c r="AN152" s="353">
        <v>0</v>
      </c>
      <c r="AO152" s="353">
        <v>0</v>
      </c>
      <c r="AP152" s="348">
        <v>0</v>
      </c>
      <c r="AQ152" s="348">
        <v>0</v>
      </c>
      <c r="AR152" s="348">
        <v>0</v>
      </c>
      <c r="AS152" s="348">
        <v>0</v>
      </c>
      <c r="AT152" s="352">
        <v>1</v>
      </c>
      <c r="AU152" s="348">
        <v>0</v>
      </c>
      <c r="AV152" s="348">
        <v>0</v>
      </c>
      <c r="AW152" s="348">
        <v>0</v>
      </c>
      <c r="AX152" s="341">
        <v>0</v>
      </c>
      <c r="AY152" s="354">
        <v>95.7</v>
      </c>
      <c r="AZ152" s="356"/>
      <c r="BA152" s="316" t="s">
        <v>2985</v>
      </c>
      <c r="BB152" s="94" t="s">
        <v>2985</v>
      </c>
      <c r="BC152" s="355" t="s">
        <v>2985</v>
      </c>
      <c r="BD152" s="391" t="s">
        <v>3561</v>
      </c>
      <c r="BE152" s="391">
        <v>25</v>
      </c>
      <c r="BF152" s="391"/>
      <c r="BG152" s="391">
        <v>285</v>
      </c>
      <c r="BH152" s="525">
        <v>6</v>
      </c>
      <c r="BI152" s="330" t="s">
        <v>2985</v>
      </c>
      <c r="BJ152" s="307">
        <v>7.0000000000000007E-2</v>
      </c>
      <c r="BK152" s="507" t="s">
        <v>2985</v>
      </c>
      <c r="BL152" s="507" t="s">
        <v>2985</v>
      </c>
      <c r="BM152" s="307">
        <v>0</v>
      </c>
      <c r="BN152" s="507">
        <v>100</v>
      </c>
      <c r="BO152" s="259" t="s">
        <v>2985</v>
      </c>
      <c r="BP152" s="350"/>
      <c r="BS152" s="321"/>
    </row>
    <row r="153" spans="1:71" s="322" customFormat="1" ht="15" customHeight="1">
      <c r="A153" s="457">
        <v>1309</v>
      </c>
      <c r="B153" s="534" t="s">
        <v>3585</v>
      </c>
      <c r="C153" s="383"/>
      <c r="D153" s="383"/>
      <c r="E153" s="469"/>
      <c r="F153" s="303" t="s">
        <v>313</v>
      </c>
      <c r="G153" s="386" t="s">
        <v>430</v>
      </c>
      <c r="H153" s="340" t="s">
        <v>165</v>
      </c>
      <c r="I153" s="338" t="s">
        <v>3377</v>
      </c>
      <c r="J153" s="348">
        <v>2006</v>
      </c>
      <c r="K153" s="341">
        <v>306</v>
      </c>
      <c r="L153" s="340" t="s">
        <v>1738</v>
      </c>
      <c r="M153" s="341" t="s">
        <v>1739</v>
      </c>
      <c r="N153" s="446">
        <f t="shared" si="33"/>
        <v>0.17</v>
      </c>
      <c r="O153" s="349">
        <v>0.17</v>
      </c>
      <c r="P153" s="329">
        <v>1.5570175438596492</v>
      </c>
      <c r="Q153" s="310">
        <f>U153/T153</f>
        <v>1.5570175438596492</v>
      </c>
      <c r="R153" s="377">
        <f t="shared" si="34"/>
        <v>155.04000000000002</v>
      </c>
      <c r="S153" s="307">
        <v>912</v>
      </c>
      <c r="T153" s="377">
        <f t="shared" si="35"/>
        <v>912</v>
      </c>
      <c r="U153" s="377">
        <f>P153*S153</f>
        <v>1420</v>
      </c>
      <c r="V153" s="408" t="s">
        <v>2985</v>
      </c>
      <c r="W153" s="408" t="s">
        <v>2985</v>
      </c>
      <c r="X153" s="313" t="s">
        <v>12</v>
      </c>
      <c r="Y153" s="317" t="s">
        <v>2985</v>
      </c>
      <c r="Z153" s="317" t="s">
        <v>2985</v>
      </c>
      <c r="AA153" s="311" t="s">
        <v>1754</v>
      </c>
      <c r="AB153" s="355" t="s">
        <v>2985</v>
      </c>
      <c r="AC153" s="354" t="s">
        <v>2985</v>
      </c>
      <c r="AD153" s="316" t="s">
        <v>2320</v>
      </c>
      <c r="AE153" s="316" t="s">
        <v>2985</v>
      </c>
      <c r="AF153" s="316" t="s">
        <v>2985</v>
      </c>
      <c r="AG153" s="262" t="s">
        <v>2985</v>
      </c>
      <c r="AH153" s="344">
        <v>100</v>
      </c>
      <c r="AI153" s="353" t="s">
        <v>2985</v>
      </c>
      <c r="AJ153" s="395">
        <v>0</v>
      </c>
      <c r="AK153" s="365">
        <v>0</v>
      </c>
      <c r="AL153" s="365">
        <v>0</v>
      </c>
      <c r="AM153" s="365">
        <v>0</v>
      </c>
      <c r="AN153" s="353">
        <v>0</v>
      </c>
      <c r="AO153" s="353">
        <v>0</v>
      </c>
      <c r="AP153" s="348">
        <v>0</v>
      </c>
      <c r="AQ153" s="348">
        <v>0</v>
      </c>
      <c r="AR153" s="348">
        <v>0</v>
      </c>
      <c r="AS153" s="348">
        <v>0</v>
      </c>
      <c r="AT153" s="352">
        <v>4.09</v>
      </c>
      <c r="AU153" s="348">
        <v>0</v>
      </c>
      <c r="AV153" s="348">
        <v>0</v>
      </c>
      <c r="AW153" s="348">
        <v>0</v>
      </c>
      <c r="AX153" s="341">
        <v>0</v>
      </c>
      <c r="AY153" s="340">
        <v>167</v>
      </c>
      <c r="AZ153" s="356">
        <v>83.5</v>
      </c>
      <c r="BA153" s="316" t="s">
        <v>2985</v>
      </c>
      <c r="BB153" s="94" t="s">
        <v>2985</v>
      </c>
      <c r="BC153" s="425">
        <v>45</v>
      </c>
      <c r="BD153" s="348" t="s">
        <v>3544</v>
      </c>
      <c r="BE153" s="353">
        <v>100</v>
      </c>
      <c r="BF153" s="391"/>
      <c r="BG153" s="348">
        <v>400</v>
      </c>
      <c r="BH153" s="416">
        <f>IF(ISBLANK(BF153),(BE153*BG153)/((4*BG153)+(2*BE153)),BE153*BF153*BG153/2/(BE153*BF153+BE153*BG153+BF153*BG153))</f>
        <v>22.222222222222221</v>
      </c>
      <c r="BI153" s="330" t="s">
        <v>2985</v>
      </c>
      <c r="BJ153" s="307">
        <v>0.25</v>
      </c>
      <c r="BK153" s="507" t="s">
        <v>2985</v>
      </c>
      <c r="BL153" s="507">
        <v>20.765139999999999</v>
      </c>
      <c r="BM153" s="507" t="s">
        <v>2985</v>
      </c>
      <c r="BN153" s="307">
        <v>99</v>
      </c>
      <c r="BO153" s="259" t="s">
        <v>2985</v>
      </c>
      <c r="BP153" s="350" t="s">
        <v>2519</v>
      </c>
      <c r="BS153" s="321"/>
    </row>
    <row r="154" spans="1:71" s="322" customFormat="1" ht="15" customHeight="1">
      <c r="A154" s="457">
        <v>1310</v>
      </c>
      <c r="B154" s="534" t="s">
        <v>3585</v>
      </c>
      <c r="C154" s="383"/>
      <c r="D154" s="383"/>
      <c r="E154" s="469"/>
      <c r="F154" s="303" t="s">
        <v>1973</v>
      </c>
      <c r="G154" s="386" t="s">
        <v>430</v>
      </c>
      <c r="H154" s="340" t="s">
        <v>165</v>
      </c>
      <c r="I154" s="338" t="s">
        <v>3377</v>
      </c>
      <c r="J154" s="348">
        <v>2006</v>
      </c>
      <c r="K154" s="341">
        <v>306</v>
      </c>
      <c r="L154" s="340" t="s">
        <v>1738</v>
      </c>
      <c r="M154" s="341" t="s">
        <v>1739</v>
      </c>
      <c r="N154" s="446">
        <f t="shared" si="33"/>
        <v>0.16962005108556835</v>
      </c>
      <c r="O154" s="349">
        <v>0.17</v>
      </c>
      <c r="P154" s="329">
        <v>1.5728699551569507</v>
      </c>
      <c r="Q154" s="310">
        <f>U154/T154</f>
        <v>1.5693546008510444</v>
      </c>
      <c r="R154" s="377">
        <f t="shared" si="34"/>
        <v>151.64000000000001</v>
      </c>
      <c r="S154" s="307">
        <v>892</v>
      </c>
      <c r="T154" s="377">
        <f t="shared" si="35"/>
        <v>893.99807999999996</v>
      </c>
      <c r="U154" s="377">
        <f>P154*S154</f>
        <v>1403</v>
      </c>
      <c r="V154" s="408" t="s">
        <v>2985</v>
      </c>
      <c r="W154" s="408" t="s">
        <v>2985</v>
      </c>
      <c r="X154" s="313" t="s">
        <v>12</v>
      </c>
      <c r="Y154" s="317" t="s">
        <v>2985</v>
      </c>
      <c r="Z154" s="317" t="s">
        <v>2985</v>
      </c>
      <c r="AA154" s="311" t="s">
        <v>1754</v>
      </c>
      <c r="AB154" s="355" t="s">
        <v>2985</v>
      </c>
      <c r="AC154" s="354" t="s">
        <v>2985</v>
      </c>
      <c r="AD154" s="316" t="s">
        <v>2320</v>
      </c>
      <c r="AE154" s="316" t="s">
        <v>2985</v>
      </c>
      <c r="AF154" s="316" t="s">
        <v>2985</v>
      </c>
      <c r="AG154" s="262" t="s">
        <v>2985</v>
      </c>
      <c r="AH154" s="344">
        <v>100</v>
      </c>
      <c r="AI154" s="353" t="s">
        <v>2985</v>
      </c>
      <c r="AJ154" s="395">
        <v>0</v>
      </c>
      <c r="AK154" s="365">
        <v>0</v>
      </c>
      <c r="AL154" s="365">
        <v>0</v>
      </c>
      <c r="AM154" s="365">
        <v>0</v>
      </c>
      <c r="AN154" s="353">
        <v>0</v>
      </c>
      <c r="AO154" s="353">
        <v>0</v>
      </c>
      <c r="AP154" s="348">
        <v>0</v>
      </c>
      <c r="AQ154" s="348">
        <v>0</v>
      </c>
      <c r="AR154" s="356">
        <v>0.22400000000000003</v>
      </c>
      <c r="AS154" s="348">
        <v>0</v>
      </c>
      <c r="AT154" s="352">
        <v>4.1500000000000004</v>
      </c>
      <c r="AU154" s="348">
        <v>0</v>
      </c>
      <c r="AV154" s="348">
        <v>0</v>
      </c>
      <c r="AW154" s="348">
        <v>0</v>
      </c>
      <c r="AX154" s="341">
        <v>0</v>
      </c>
      <c r="AY154" s="340">
        <v>167</v>
      </c>
      <c r="AZ154" s="356">
        <v>83.5</v>
      </c>
      <c r="BA154" s="316" t="s">
        <v>2985</v>
      </c>
      <c r="BB154" s="94" t="s">
        <v>2985</v>
      </c>
      <c r="BC154" s="425">
        <v>43</v>
      </c>
      <c r="BD154" s="348" t="s">
        <v>3544</v>
      </c>
      <c r="BE154" s="353">
        <v>100</v>
      </c>
      <c r="BF154" s="391"/>
      <c r="BG154" s="348">
        <v>400</v>
      </c>
      <c r="BH154" s="416">
        <f>IF(ISBLANK(BF154),(BE154*BG154)/((4*BG154)+(2*BE154)),BE154*BF154*BG154/2/(BE154*BF154+BE154*BG154+BF154*BG154))</f>
        <v>22.222222222222221</v>
      </c>
      <c r="BI154" s="330" t="s">
        <v>2985</v>
      </c>
      <c r="BJ154" s="307">
        <v>0.25</v>
      </c>
      <c r="BK154" s="507" t="s">
        <v>2985</v>
      </c>
      <c r="BL154" s="507">
        <v>20.973929999999999</v>
      </c>
      <c r="BM154" s="507" t="s">
        <v>2985</v>
      </c>
      <c r="BN154" s="307">
        <v>99</v>
      </c>
      <c r="BO154" s="259" t="s">
        <v>2985</v>
      </c>
      <c r="BP154" s="350" t="s">
        <v>2520</v>
      </c>
      <c r="BS154" s="321"/>
    </row>
    <row r="155" spans="1:71" s="322" customFormat="1" ht="15" customHeight="1">
      <c r="A155" s="457">
        <v>1311</v>
      </c>
      <c r="B155" s="534" t="s">
        <v>3624</v>
      </c>
      <c r="C155" s="383"/>
      <c r="D155" s="383"/>
      <c r="E155" s="469"/>
      <c r="F155" s="303" t="s">
        <v>1974</v>
      </c>
      <c r="G155" s="386" t="s">
        <v>1746</v>
      </c>
      <c r="H155" s="340" t="s">
        <v>1747</v>
      </c>
      <c r="I155" s="338" t="s">
        <v>3377</v>
      </c>
      <c r="J155" s="348">
        <v>1999</v>
      </c>
      <c r="K155" s="341">
        <v>308</v>
      </c>
      <c r="L155" s="340" t="s">
        <v>1738</v>
      </c>
      <c r="M155" s="341" t="s">
        <v>1739</v>
      </c>
      <c r="N155" s="330" t="s">
        <v>2985</v>
      </c>
      <c r="O155" s="317" t="s">
        <v>2985</v>
      </c>
      <c r="P155" s="409" t="s">
        <v>2985</v>
      </c>
      <c r="Q155" s="409" t="s">
        <v>2985</v>
      </c>
      <c r="R155" s="409" t="s">
        <v>2985</v>
      </c>
      <c r="S155" s="409" t="s">
        <v>2985</v>
      </c>
      <c r="T155" s="409" t="s">
        <v>2985</v>
      </c>
      <c r="U155" s="409" t="s">
        <v>2985</v>
      </c>
      <c r="V155" s="408" t="s">
        <v>2985</v>
      </c>
      <c r="W155" s="408" t="s">
        <v>2985</v>
      </c>
      <c r="X155" s="303" t="s">
        <v>12</v>
      </c>
      <c r="Y155" s="307" t="s">
        <v>12</v>
      </c>
      <c r="Z155" s="317" t="s">
        <v>2985</v>
      </c>
      <c r="AA155" s="311" t="s">
        <v>1754</v>
      </c>
      <c r="AB155" s="304" t="s">
        <v>524</v>
      </c>
      <c r="AC155" s="441" t="s">
        <v>2985</v>
      </c>
      <c r="AD155" s="515" t="s">
        <v>2985</v>
      </c>
      <c r="AE155" s="515" t="s">
        <v>2985</v>
      </c>
      <c r="AF155" s="515" t="s">
        <v>2985</v>
      </c>
      <c r="AG155" s="262" t="s">
        <v>2985</v>
      </c>
      <c r="AH155" s="351">
        <v>100</v>
      </c>
      <c r="AI155" s="348">
        <v>0</v>
      </c>
      <c r="AJ155" s="348">
        <v>0</v>
      </c>
      <c r="AK155" s="348">
        <v>0</v>
      </c>
      <c r="AL155" s="348">
        <v>0</v>
      </c>
      <c r="AM155" s="348">
        <v>0</v>
      </c>
      <c r="AN155" s="348">
        <v>0</v>
      </c>
      <c r="AO155" s="348">
        <v>0</v>
      </c>
      <c r="AP155" s="307">
        <v>0</v>
      </c>
      <c r="AQ155" s="348">
        <v>0</v>
      </c>
      <c r="AR155" s="348">
        <v>0</v>
      </c>
      <c r="AS155" s="365">
        <v>0</v>
      </c>
      <c r="AT155" s="356">
        <v>1</v>
      </c>
      <c r="AU155" s="365">
        <v>0</v>
      </c>
      <c r="AV155" s="365">
        <v>0</v>
      </c>
      <c r="AW155" s="348">
        <v>0</v>
      </c>
      <c r="AX155" s="341">
        <v>0</v>
      </c>
      <c r="AY155" s="354" t="s">
        <v>2985</v>
      </c>
      <c r="AZ155" s="316"/>
      <c r="BA155" s="316" t="s">
        <v>2985</v>
      </c>
      <c r="BB155" s="94" t="s">
        <v>2985</v>
      </c>
      <c r="BC155" s="355" t="s">
        <v>2985</v>
      </c>
      <c r="BD155" s="316" t="s">
        <v>2985</v>
      </c>
      <c r="BE155" s="316" t="s">
        <v>2985</v>
      </c>
      <c r="BF155" s="316"/>
      <c r="BG155" s="316" t="s">
        <v>2985</v>
      </c>
      <c r="BH155" s="428" t="s">
        <v>2985</v>
      </c>
      <c r="BI155" s="330" t="s">
        <v>2985</v>
      </c>
      <c r="BJ155" s="307">
        <v>0</v>
      </c>
      <c r="BK155" s="318" t="s">
        <v>2985</v>
      </c>
      <c r="BL155" s="307">
        <v>15</v>
      </c>
      <c r="BM155" s="318" t="s">
        <v>2985</v>
      </c>
      <c r="BN155" s="317" t="s">
        <v>2985</v>
      </c>
      <c r="BO155" s="432" t="s">
        <v>2985</v>
      </c>
      <c r="BP155" s="343" t="s">
        <v>2279</v>
      </c>
      <c r="BS155" s="321"/>
    </row>
    <row r="156" spans="1:71" s="322" customFormat="1" ht="15" customHeight="1">
      <c r="A156" s="457">
        <v>1312</v>
      </c>
      <c r="B156" s="534" t="s">
        <v>3624</v>
      </c>
      <c r="C156" s="383"/>
      <c r="D156" s="383"/>
      <c r="E156" s="469"/>
      <c r="F156" s="303" t="s">
        <v>1975</v>
      </c>
      <c r="G156" s="386" t="s">
        <v>1746</v>
      </c>
      <c r="H156" s="340" t="s">
        <v>1747</v>
      </c>
      <c r="I156" s="338" t="s">
        <v>3377</v>
      </c>
      <c r="J156" s="348">
        <v>1999</v>
      </c>
      <c r="K156" s="341">
        <v>308</v>
      </c>
      <c r="L156" s="340" t="s">
        <v>1738</v>
      </c>
      <c r="M156" s="341" t="s">
        <v>1739</v>
      </c>
      <c r="N156" s="330" t="s">
        <v>2985</v>
      </c>
      <c r="O156" s="317" t="s">
        <v>2985</v>
      </c>
      <c r="P156" s="409" t="s">
        <v>2985</v>
      </c>
      <c r="Q156" s="409" t="s">
        <v>2985</v>
      </c>
      <c r="R156" s="409" t="s">
        <v>2985</v>
      </c>
      <c r="S156" s="409" t="s">
        <v>2985</v>
      </c>
      <c r="T156" s="409" t="s">
        <v>2985</v>
      </c>
      <c r="U156" s="409" t="s">
        <v>2985</v>
      </c>
      <c r="V156" s="408" t="s">
        <v>2985</v>
      </c>
      <c r="W156" s="408" t="s">
        <v>2985</v>
      </c>
      <c r="X156" s="303" t="s">
        <v>12</v>
      </c>
      <c r="Y156" s="307" t="s">
        <v>12</v>
      </c>
      <c r="Z156" s="317" t="s">
        <v>2985</v>
      </c>
      <c r="AA156" s="311" t="s">
        <v>1754</v>
      </c>
      <c r="AB156" s="304" t="s">
        <v>524</v>
      </c>
      <c r="AC156" s="441" t="s">
        <v>2985</v>
      </c>
      <c r="AD156" s="515" t="s">
        <v>2985</v>
      </c>
      <c r="AE156" s="515" t="s">
        <v>2985</v>
      </c>
      <c r="AF156" s="515" t="s">
        <v>2985</v>
      </c>
      <c r="AG156" s="262" t="s">
        <v>2985</v>
      </c>
      <c r="AH156" s="351">
        <v>100</v>
      </c>
      <c r="AI156" s="348">
        <v>0</v>
      </c>
      <c r="AJ156" s="348">
        <v>0</v>
      </c>
      <c r="AK156" s="348">
        <v>0</v>
      </c>
      <c r="AL156" s="348">
        <v>0</v>
      </c>
      <c r="AM156" s="348">
        <v>0</v>
      </c>
      <c r="AN156" s="348">
        <v>0</v>
      </c>
      <c r="AO156" s="348">
        <v>0</v>
      </c>
      <c r="AP156" s="307">
        <v>0</v>
      </c>
      <c r="AQ156" s="348">
        <v>0</v>
      </c>
      <c r="AR156" s="348">
        <v>0</v>
      </c>
      <c r="AS156" s="365">
        <v>0</v>
      </c>
      <c r="AT156" s="356">
        <v>1</v>
      </c>
      <c r="AU156" s="365">
        <v>0</v>
      </c>
      <c r="AV156" s="365">
        <v>0</v>
      </c>
      <c r="AW156" s="348">
        <v>0</v>
      </c>
      <c r="AX156" s="341">
        <v>0</v>
      </c>
      <c r="AY156" s="354" t="s">
        <v>2985</v>
      </c>
      <c r="AZ156" s="316"/>
      <c r="BA156" s="316" t="s">
        <v>2985</v>
      </c>
      <c r="BB156" s="94" t="s">
        <v>2985</v>
      </c>
      <c r="BC156" s="355" t="s">
        <v>2985</v>
      </c>
      <c r="BD156" s="316" t="s">
        <v>2985</v>
      </c>
      <c r="BE156" s="316" t="s">
        <v>2985</v>
      </c>
      <c r="BF156" s="316"/>
      <c r="BG156" s="316" t="s">
        <v>2985</v>
      </c>
      <c r="BH156" s="428" t="s">
        <v>2985</v>
      </c>
      <c r="BI156" s="330" t="s">
        <v>2985</v>
      </c>
      <c r="BJ156" s="307">
        <v>0</v>
      </c>
      <c r="BK156" s="318" t="s">
        <v>2985</v>
      </c>
      <c r="BL156" s="307">
        <v>20</v>
      </c>
      <c r="BM156" s="318" t="s">
        <v>2985</v>
      </c>
      <c r="BN156" s="317" t="s">
        <v>2985</v>
      </c>
      <c r="BO156" s="432" t="s">
        <v>2985</v>
      </c>
      <c r="BP156" s="343" t="s">
        <v>2279</v>
      </c>
      <c r="BS156" s="321"/>
    </row>
    <row r="157" spans="1:71" s="322" customFormat="1" ht="15" customHeight="1">
      <c r="A157" s="457">
        <v>1313</v>
      </c>
      <c r="B157" s="534" t="s">
        <v>3624</v>
      </c>
      <c r="C157" s="383"/>
      <c r="D157" s="383"/>
      <c r="E157" s="469"/>
      <c r="F157" s="303" t="s">
        <v>1976</v>
      </c>
      <c r="G157" s="386" t="s">
        <v>1746</v>
      </c>
      <c r="H157" s="340" t="s">
        <v>1747</v>
      </c>
      <c r="I157" s="338" t="s">
        <v>3377</v>
      </c>
      <c r="J157" s="348">
        <v>1999</v>
      </c>
      <c r="K157" s="341">
        <v>308</v>
      </c>
      <c r="L157" s="340" t="s">
        <v>1738</v>
      </c>
      <c r="M157" s="341" t="s">
        <v>1739</v>
      </c>
      <c r="N157" s="330" t="s">
        <v>2985</v>
      </c>
      <c r="O157" s="317" t="s">
        <v>2985</v>
      </c>
      <c r="P157" s="409" t="s">
        <v>2985</v>
      </c>
      <c r="Q157" s="409" t="s">
        <v>2985</v>
      </c>
      <c r="R157" s="409" t="s">
        <v>2985</v>
      </c>
      <c r="S157" s="409" t="s">
        <v>2985</v>
      </c>
      <c r="T157" s="409" t="s">
        <v>2985</v>
      </c>
      <c r="U157" s="409" t="s">
        <v>2985</v>
      </c>
      <c r="V157" s="408" t="s">
        <v>2985</v>
      </c>
      <c r="W157" s="408" t="s">
        <v>2985</v>
      </c>
      <c r="X157" s="303" t="s">
        <v>12</v>
      </c>
      <c r="Y157" s="307" t="s">
        <v>12</v>
      </c>
      <c r="Z157" s="317" t="s">
        <v>2985</v>
      </c>
      <c r="AA157" s="311" t="s">
        <v>1754</v>
      </c>
      <c r="AB157" s="304" t="s">
        <v>524</v>
      </c>
      <c r="AC157" s="441" t="s">
        <v>2985</v>
      </c>
      <c r="AD157" s="515" t="s">
        <v>2985</v>
      </c>
      <c r="AE157" s="515" t="s">
        <v>2985</v>
      </c>
      <c r="AF157" s="515" t="s">
        <v>2985</v>
      </c>
      <c r="AG157" s="262" t="s">
        <v>2985</v>
      </c>
      <c r="AH157" s="351">
        <v>100</v>
      </c>
      <c r="AI157" s="348">
        <v>0</v>
      </c>
      <c r="AJ157" s="348">
        <v>0</v>
      </c>
      <c r="AK157" s="348">
        <v>0</v>
      </c>
      <c r="AL157" s="348">
        <v>0</v>
      </c>
      <c r="AM157" s="348">
        <v>0</v>
      </c>
      <c r="AN157" s="348">
        <v>0</v>
      </c>
      <c r="AO157" s="348">
        <v>0</v>
      </c>
      <c r="AP157" s="307">
        <v>0</v>
      </c>
      <c r="AQ157" s="348">
        <v>0</v>
      </c>
      <c r="AR157" s="348">
        <v>0</v>
      </c>
      <c r="AS157" s="365">
        <v>0</v>
      </c>
      <c r="AT157" s="356">
        <v>1</v>
      </c>
      <c r="AU157" s="365">
        <v>0</v>
      </c>
      <c r="AV157" s="365">
        <v>0</v>
      </c>
      <c r="AW157" s="348">
        <v>0</v>
      </c>
      <c r="AX157" s="341">
        <v>0</v>
      </c>
      <c r="AY157" s="354" t="s">
        <v>2985</v>
      </c>
      <c r="AZ157" s="316"/>
      <c r="BA157" s="316" t="s">
        <v>2985</v>
      </c>
      <c r="BB157" s="94" t="s">
        <v>2985</v>
      </c>
      <c r="BC157" s="355" t="s">
        <v>2985</v>
      </c>
      <c r="BD157" s="316" t="s">
        <v>2985</v>
      </c>
      <c r="BE157" s="316" t="s">
        <v>2985</v>
      </c>
      <c r="BF157" s="316"/>
      <c r="BG157" s="316" t="s">
        <v>2985</v>
      </c>
      <c r="BH157" s="428" t="s">
        <v>2985</v>
      </c>
      <c r="BI157" s="330" t="s">
        <v>2985</v>
      </c>
      <c r="BJ157" s="307">
        <v>0</v>
      </c>
      <c r="BK157" s="318" t="s">
        <v>2985</v>
      </c>
      <c r="BL157" s="307">
        <v>30</v>
      </c>
      <c r="BM157" s="318" t="s">
        <v>2985</v>
      </c>
      <c r="BN157" s="317" t="s">
        <v>2985</v>
      </c>
      <c r="BO157" s="432" t="s">
        <v>2985</v>
      </c>
      <c r="BP157" s="343" t="s">
        <v>2279</v>
      </c>
      <c r="BS157" s="321"/>
    </row>
    <row r="158" spans="1:71" s="322" customFormat="1" ht="15" customHeight="1">
      <c r="A158" s="457">
        <v>1314</v>
      </c>
      <c r="B158" s="534" t="s">
        <v>3624</v>
      </c>
      <c r="C158" s="383"/>
      <c r="D158" s="383"/>
      <c r="E158" s="469"/>
      <c r="F158" s="303" t="s">
        <v>1977</v>
      </c>
      <c r="G158" s="386" t="s">
        <v>1746</v>
      </c>
      <c r="H158" s="340" t="s">
        <v>1747</v>
      </c>
      <c r="I158" s="338" t="s">
        <v>3377</v>
      </c>
      <c r="J158" s="348">
        <v>1999</v>
      </c>
      <c r="K158" s="341">
        <v>308</v>
      </c>
      <c r="L158" s="340" t="s">
        <v>1738</v>
      </c>
      <c r="M158" s="341" t="s">
        <v>1739</v>
      </c>
      <c r="N158" s="330" t="s">
        <v>2985</v>
      </c>
      <c r="O158" s="317" t="s">
        <v>2985</v>
      </c>
      <c r="P158" s="409" t="s">
        <v>2985</v>
      </c>
      <c r="Q158" s="409" t="s">
        <v>2985</v>
      </c>
      <c r="R158" s="409" t="s">
        <v>2985</v>
      </c>
      <c r="S158" s="409" t="s">
        <v>2985</v>
      </c>
      <c r="T158" s="409" t="s">
        <v>2985</v>
      </c>
      <c r="U158" s="409" t="s">
        <v>2985</v>
      </c>
      <c r="V158" s="408" t="s">
        <v>2985</v>
      </c>
      <c r="W158" s="408" t="s">
        <v>2985</v>
      </c>
      <c r="X158" s="303" t="s">
        <v>12</v>
      </c>
      <c r="Y158" s="307" t="s">
        <v>12</v>
      </c>
      <c r="Z158" s="317" t="s">
        <v>2985</v>
      </c>
      <c r="AA158" s="311" t="s">
        <v>1754</v>
      </c>
      <c r="AB158" s="304" t="s">
        <v>524</v>
      </c>
      <c r="AC158" s="441" t="s">
        <v>2985</v>
      </c>
      <c r="AD158" s="515" t="s">
        <v>2985</v>
      </c>
      <c r="AE158" s="515" t="s">
        <v>2985</v>
      </c>
      <c r="AF158" s="515" t="s">
        <v>2985</v>
      </c>
      <c r="AG158" s="262" t="s">
        <v>2985</v>
      </c>
      <c r="AH158" s="351">
        <v>100</v>
      </c>
      <c r="AI158" s="348">
        <v>0</v>
      </c>
      <c r="AJ158" s="348">
        <v>0</v>
      </c>
      <c r="AK158" s="348">
        <v>0</v>
      </c>
      <c r="AL158" s="348">
        <v>0</v>
      </c>
      <c r="AM158" s="348">
        <v>0</v>
      </c>
      <c r="AN158" s="348">
        <v>0</v>
      </c>
      <c r="AO158" s="348">
        <v>0</v>
      </c>
      <c r="AP158" s="307">
        <v>0</v>
      </c>
      <c r="AQ158" s="348">
        <v>0</v>
      </c>
      <c r="AR158" s="348">
        <v>0</v>
      </c>
      <c r="AS158" s="365">
        <v>0</v>
      </c>
      <c r="AT158" s="356">
        <v>1</v>
      </c>
      <c r="AU158" s="365">
        <v>0</v>
      </c>
      <c r="AV158" s="365">
        <v>0</v>
      </c>
      <c r="AW158" s="348">
        <v>0</v>
      </c>
      <c r="AX158" s="341">
        <v>0</v>
      </c>
      <c r="AY158" s="354" t="s">
        <v>2985</v>
      </c>
      <c r="AZ158" s="316"/>
      <c r="BA158" s="316" t="s">
        <v>2985</v>
      </c>
      <c r="BB158" s="94" t="s">
        <v>2985</v>
      </c>
      <c r="BC158" s="355" t="s">
        <v>2985</v>
      </c>
      <c r="BD158" s="316" t="s">
        <v>2985</v>
      </c>
      <c r="BE158" s="316" t="s">
        <v>2985</v>
      </c>
      <c r="BF158" s="316"/>
      <c r="BG158" s="316" t="s">
        <v>2985</v>
      </c>
      <c r="BH158" s="428" t="s">
        <v>2985</v>
      </c>
      <c r="BI158" s="330" t="s">
        <v>2985</v>
      </c>
      <c r="BJ158" s="307">
        <v>0</v>
      </c>
      <c r="BK158" s="318" t="s">
        <v>2985</v>
      </c>
      <c r="BL158" s="307">
        <v>40</v>
      </c>
      <c r="BM158" s="318" t="s">
        <v>2985</v>
      </c>
      <c r="BN158" s="317" t="s">
        <v>2985</v>
      </c>
      <c r="BO158" s="432" t="s">
        <v>2985</v>
      </c>
      <c r="BP158" s="343" t="s">
        <v>2279</v>
      </c>
      <c r="BS158" s="321"/>
    </row>
    <row r="159" spans="1:71" s="322" customFormat="1" ht="15" customHeight="1">
      <c r="A159" s="457">
        <v>1318</v>
      </c>
      <c r="B159" s="534" t="s">
        <v>3621</v>
      </c>
      <c r="C159" s="383"/>
      <c r="D159" s="466" t="s">
        <v>3590</v>
      </c>
      <c r="E159" s="469"/>
      <c r="F159" s="303" t="s">
        <v>317</v>
      </c>
      <c r="G159" s="386" t="s">
        <v>432</v>
      </c>
      <c r="H159" s="340" t="s">
        <v>254</v>
      </c>
      <c r="I159" s="338" t="s">
        <v>3377</v>
      </c>
      <c r="J159" s="348">
        <v>1990</v>
      </c>
      <c r="K159" s="341">
        <v>310</v>
      </c>
      <c r="L159" s="340" t="s">
        <v>1738</v>
      </c>
      <c r="M159" s="341" t="s">
        <v>1739</v>
      </c>
      <c r="N159" s="446">
        <f t="shared" ref="N159:N190" si="36">R159/T159</f>
        <v>0.3511111111111111</v>
      </c>
      <c r="O159" s="362">
        <v>0.3511111111111111</v>
      </c>
      <c r="P159" s="329">
        <v>3.9555555555555557</v>
      </c>
      <c r="Q159" s="310">
        <f t="shared" ref="Q159:Q190" si="37">U159/T159</f>
        <v>3.9555555555555557</v>
      </c>
      <c r="R159" s="377">
        <f t="shared" ref="R159:R190" si="38">O159*S159</f>
        <v>158</v>
      </c>
      <c r="S159" s="307">
        <v>450</v>
      </c>
      <c r="T159" s="377">
        <f t="shared" ref="T159:T190" si="39">(((SUM(AI159:AR159)/100)*(S159))+S159)</f>
        <v>450</v>
      </c>
      <c r="U159" s="377">
        <f t="shared" ref="U159:U190" si="40">P159*S159</f>
        <v>1780</v>
      </c>
      <c r="V159" s="408" t="s">
        <v>2985</v>
      </c>
      <c r="W159" s="408" t="s">
        <v>2985</v>
      </c>
      <c r="X159" s="313" t="s">
        <v>12</v>
      </c>
      <c r="Y159" s="307" t="s">
        <v>12</v>
      </c>
      <c r="Z159" s="307" t="s">
        <v>12</v>
      </c>
      <c r="AA159" s="516" t="s">
        <v>1754</v>
      </c>
      <c r="AB159" s="341" t="s">
        <v>524</v>
      </c>
      <c r="AC159" s="354" t="s">
        <v>2985</v>
      </c>
      <c r="AD159" s="316" t="s">
        <v>2312</v>
      </c>
      <c r="AE159" s="316" t="s">
        <v>2985</v>
      </c>
      <c r="AF159" s="316" t="s">
        <v>2985</v>
      </c>
      <c r="AG159" s="262" t="s">
        <v>2985</v>
      </c>
      <c r="AH159" s="344">
        <v>100</v>
      </c>
      <c r="AI159" s="353">
        <v>0</v>
      </c>
      <c r="AJ159" s="395">
        <v>0</v>
      </c>
      <c r="AK159" s="365">
        <v>0</v>
      </c>
      <c r="AL159" s="365">
        <v>0</v>
      </c>
      <c r="AM159" s="365">
        <v>0</v>
      </c>
      <c r="AN159" s="353">
        <v>0</v>
      </c>
      <c r="AO159" s="353">
        <v>0</v>
      </c>
      <c r="AP159" s="348">
        <v>0</v>
      </c>
      <c r="AQ159" s="348">
        <v>0</v>
      </c>
      <c r="AR159" s="348">
        <v>0</v>
      </c>
      <c r="AS159" s="348">
        <v>0</v>
      </c>
      <c r="AT159" s="352">
        <v>2.5</v>
      </c>
      <c r="AU159" s="348">
        <v>0</v>
      </c>
      <c r="AV159" s="348">
        <v>0</v>
      </c>
      <c r="AW159" s="342">
        <v>1</v>
      </c>
      <c r="AX159" s="341">
        <v>0</v>
      </c>
      <c r="AY159" s="340">
        <v>73.459999999999994</v>
      </c>
      <c r="AZ159" s="356"/>
      <c r="BA159" s="316" t="s">
        <v>2985</v>
      </c>
      <c r="BB159" s="94" t="s">
        <v>2985</v>
      </c>
      <c r="BC159" s="355" t="s">
        <v>2985</v>
      </c>
      <c r="BD159" s="348" t="s">
        <v>3552</v>
      </c>
      <c r="BE159" s="353">
        <v>80</v>
      </c>
      <c r="BF159" s="391"/>
      <c r="BG159" s="348">
        <v>500</v>
      </c>
      <c r="BH159" s="416">
        <f t="shared" ref="BH159:BH167" si="41">(BE159*BG159)/((2*BG159)+(2*BE159))</f>
        <v>34.482758620689658</v>
      </c>
      <c r="BI159" s="303">
        <v>99</v>
      </c>
      <c r="BJ159" s="307">
        <v>1</v>
      </c>
      <c r="BK159" s="507" t="s">
        <v>2985</v>
      </c>
      <c r="BL159" s="307">
        <v>20</v>
      </c>
      <c r="BM159" s="507" t="s">
        <v>2985</v>
      </c>
      <c r="BN159" s="307">
        <v>99</v>
      </c>
      <c r="BO159" s="259" t="s">
        <v>2985</v>
      </c>
      <c r="BP159" s="350"/>
      <c r="BS159" s="321"/>
    </row>
    <row r="160" spans="1:71" s="322" customFormat="1" ht="15" customHeight="1">
      <c r="A160" s="457">
        <v>1319</v>
      </c>
      <c r="B160" s="534" t="s">
        <v>3585</v>
      </c>
      <c r="C160" s="383"/>
      <c r="D160" s="466" t="s">
        <v>3590</v>
      </c>
      <c r="E160" s="469"/>
      <c r="F160" s="303" t="s">
        <v>318</v>
      </c>
      <c r="G160" s="386" t="s">
        <v>432</v>
      </c>
      <c r="H160" s="340" t="s">
        <v>254</v>
      </c>
      <c r="I160" s="338" t="s">
        <v>3377</v>
      </c>
      <c r="J160" s="348">
        <v>1990</v>
      </c>
      <c r="K160" s="341">
        <v>310</v>
      </c>
      <c r="L160" s="340" t="s">
        <v>1738</v>
      </c>
      <c r="M160" s="341" t="s">
        <v>1739</v>
      </c>
      <c r="N160" s="446">
        <f t="shared" si="36"/>
        <v>0.3511111111111111</v>
      </c>
      <c r="O160" s="362">
        <v>0.3511111111111111</v>
      </c>
      <c r="P160" s="329">
        <v>3.9555555555555557</v>
      </c>
      <c r="Q160" s="310">
        <f t="shared" si="37"/>
        <v>3.9555555555555557</v>
      </c>
      <c r="R160" s="377">
        <f t="shared" si="38"/>
        <v>158</v>
      </c>
      <c r="S160" s="307">
        <v>450</v>
      </c>
      <c r="T160" s="377">
        <f t="shared" si="39"/>
        <v>450</v>
      </c>
      <c r="U160" s="377">
        <f t="shared" si="40"/>
        <v>1780</v>
      </c>
      <c r="V160" s="408" t="s">
        <v>2985</v>
      </c>
      <c r="W160" s="408" t="s">
        <v>2985</v>
      </c>
      <c r="X160" s="313" t="s">
        <v>12</v>
      </c>
      <c r="Y160" s="307" t="s">
        <v>12</v>
      </c>
      <c r="Z160" s="307" t="s">
        <v>12</v>
      </c>
      <c r="AA160" s="516" t="s">
        <v>1754</v>
      </c>
      <c r="AB160" s="341" t="s">
        <v>524</v>
      </c>
      <c r="AC160" s="354" t="s">
        <v>2985</v>
      </c>
      <c r="AD160" s="316" t="s">
        <v>2312</v>
      </c>
      <c r="AE160" s="316" t="s">
        <v>2985</v>
      </c>
      <c r="AF160" s="316" t="s">
        <v>2985</v>
      </c>
      <c r="AG160" s="262" t="s">
        <v>2985</v>
      </c>
      <c r="AH160" s="344">
        <v>100</v>
      </c>
      <c r="AI160" s="353">
        <v>0</v>
      </c>
      <c r="AJ160" s="395">
        <v>0</v>
      </c>
      <c r="AK160" s="365">
        <v>0</v>
      </c>
      <c r="AL160" s="365">
        <v>0</v>
      </c>
      <c r="AM160" s="365">
        <v>0</v>
      </c>
      <c r="AN160" s="353">
        <v>0</v>
      </c>
      <c r="AO160" s="353">
        <v>0</v>
      </c>
      <c r="AP160" s="348">
        <v>0</v>
      </c>
      <c r="AQ160" s="348">
        <v>0</v>
      </c>
      <c r="AR160" s="348">
        <v>0</v>
      </c>
      <c r="AS160" s="348">
        <v>0</v>
      </c>
      <c r="AT160" s="352">
        <v>2.5</v>
      </c>
      <c r="AU160" s="348">
        <v>0</v>
      </c>
      <c r="AV160" s="348">
        <v>0</v>
      </c>
      <c r="AW160" s="342">
        <v>1</v>
      </c>
      <c r="AX160" s="341">
        <v>0</v>
      </c>
      <c r="AY160" s="340">
        <v>73.459999999999994</v>
      </c>
      <c r="AZ160" s="356">
        <v>36.729999999999997</v>
      </c>
      <c r="BA160" s="316" t="s">
        <v>2985</v>
      </c>
      <c r="BB160" s="94" t="s">
        <v>2985</v>
      </c>
      <c r="BC160" s="355" t="s">
        <v>2985</v>
      </c>
      <c r="BD160" s="348" t="s">
        <v>3552</v>
      </c>
      <c r="BE160" s="353">
        <v>80</v>
      </c>
      <c r="BF160" s="391"/>
      <c r="BG160" s="348">
        <v>500</v>
      </c>
      <c r="BH160" s="416">
        <f t="shared" si="41"/>
        <v>34.482758620689658</v>
      </c>
      <c r="BI160" s="303">
        <v>99</v>
      </c>
      <c r="BJ160" s="307">
        <v>1</v>
      </c>
      <c r="BK160" s="507" t="s">
        <v>2985</v>
      </c>
      <c r="BL160" s="307">
        <v>20</v>
      </c>
      <c r="BM160" s="507" t="s">
        <v>2985</v>
      </c>
      <c r="BN160" s="307">
        <v>99</v>
      </c>
      <c r="BO160" s="259" t="s">
        <v>2985</v>
      </c>
      <c r="BP160" s="350"/>
      <c r="BS160" s="321"/>
    </row>
    <row r="161" spans="1:71" s="322" customFormat="1" ht="15" customHeight="1">
      <c r="A161" s="457">
        <v>1320</v>
      </c>
      <c r="B161" s="791" t="s">
        <v>3892</v>
      </c>
      <c r="C161" s="383"/>
      <c r="D161" s="466" t="s">
        <v>3590</v>
      </c>
      <c r="E161" s="469"/>
      <c r="F161" s="303" t="s">
        <v>319</v>
      </c>
      <c r="G161" s="386" t="s">
        <v>432</v>
      </c>
      <c r="H161" s="340" t="s">
        <v>254</v>
      </c>
      <c r="I161" s="338" t="s">
        <v>3377</v>
      </c>
      <c r="J161" s="348">
        <v>1990</v>
      </c>
      <c r="K161" s="341">
        <v>310</v>
      </c>
      <c r="L161" s="340" t="s">
        <v>1738</v>
      </c>
      <c r="M161" s="341" t="s">
        <v>1739</v>
      </c>
      <c r="N161" s="446">
        <f t="shared" si="36"/>
        <v>0.3511111111111111</v>
      </c>
      <c r="O161" s="362">
        <v>0.3511111111111111</v>
      </c>
      <c r="P161" s="329">
        <v>3.9555555555555557</v>
      </c>
      <c r="Q161" s="310">
        <f t="shared" si="37"/>
        <v>3.9555555555555557</v>
      </c>
      <c r="R161" s="377">
        <f t="shared" si="38"/>
        <v>158</v>
      </c>
      <c r="S161" s="307">
        <v>450</v>
      </c>
      <c r="T161" s="377">
        <f t="shared" si="39"/>
        <v>450</v>
      </c>
      <c r="U161" s="377">
        <f t="shared" si="40"/>
        <v>1780</v>
      </c>
      <c r="V161" s="408" t="s">
        <v>2985</v>
      </c>
      <c r="W161" s="408" t="s">
        <v>2985</v>
      </c>
      <c r="X161" s="313" t="s">
        <v>12</v>
      </c>
      <c r="Y161" s="307" t="s">
        <v>12</v>
      </c>
      <c r="Z161" s="307" t="s">
        <v>12</v>
      </c>
      <c r="AA161" s="516" t="s">
        <v>1754</v>
      </c>
      <c r="AB161" s="341" t="s">
        <v>524</v>
      </c>
      <c r="AC161" s="354" t="s">
        <v>2985</v>
      </c>
      <c r="AD161" s="316" t="s">
        <v>2312</v>
      </c>
      <c r="AE161" s="316" t="s">
        <v>2985</v>
      </c>
      <c r="AF161" s="316" t="s">
        <v>2985</v>
      </c>
      <c r="AG161" s="262" t="s">
        <v>2985</v>
      </c>
      <c r="AH161" s="344">
        <v>100</v>
      </c>
      <c r="AI161" s="353">
        <v>0</v>
      </c>
      <c r="AJ161" s="395">
        <v>0</v>
      </c>
      <c r="AK161" s="365">
        <v>0</v>
      </c>
      <c r="AL161" s="365">
        <v>0</v>
      </c>
      <c r="AM161" s="365">
        <v>0</v>
      </c>
      <c r="AN161" s="353">
        <v>0</v>
      </c>
      <c r="AO161" s="353">
        <v>0</v>
      </c>
      <c r="AP161" s="348">
        <v>0</v>
      </c>
      <c r="AQ161" s="348">
        <v>0</v>
      </c>
      <c r="AR161" s="348">
        <v>0</v>
      </c>
      <c r="AS161" s="348">
        <v>0</v>
      </c>
      <c r="AT161" s="352">
        <v>2.5</v>
      </c>
      <c r="AU161" s="348">
        <v>0</v>
      </c>
      <c r="AV161" s="348">
        <v>0</v>
      </c>
      <c r="AW161" s="342">
        <v>1</v>
      </c>
      <c r="AX161" s="341">
        <v>0</v>
      </c>
      <c r="AY161" s="340">
        <v>73.459999999999994</v>
      </c>
      <c r="AZ161" s="356">
        <v>36.729999999999997</v>
      </c>
      <c r="BA161" s="316" t="s">
        <v>2985</v>
      </c>
      <c r="BB161" s="94" t="s">
        <v>2985</v>
      </c>
      <c r="BC161" s="355" t="s">
        <v>2985</v>
      </c>
      <c r="BD161" s="348" t="s">
        <v>3552</v>
      </c>
      <c r="BE161" s="353">
        <v>80</v>
      </c>
      <c r="BF161" s="391"/>
      <c r="BG161" s="348">
        <v>500</v>
      </c>
      <c r="BH161" s="416">
        <f t="shared" si="41"/>
        <v>34.482758620689658</v>
      </c>
      <c r="BI161" s="303">
        <v>99</v>
      </c>
      <c r="BJ161" s="307">
        <v>1</v>
      </c>
      <c r="BK161" s="507" t="s">
        <v>2985</v>
      </c>
      <c r="BL161" s="307">
        <v>20</v>
      </c>
      <c r="BM161" s="507" t="s">
        <v>2985</v>
      </c>
      <c r="BN161" s="307">
        <v>99</v>
      </c>
      <c r="BO161" s="259" t="s">
        <v>2985</v>
      </c>
      <c r="BP161" s="350"/>
      <c r="BS161" s="321"/>
    </row>
    <row r="162" spans="1:71" s="322" customFormat="1" ht="15" customHeight="1">
      <c r="A162" s="457">
        <v>1322</v>
      </c>
      <c r="B162" s="791" t="s">
        <v>3892</v>
      </c>
      <c r="C162" s="383"/>
      <c r="D162" s="466" t="s">
        <v>3590</v>
      </c>
      <c r="E162" s="469"/>
      <c r="F162" s="303" t="s">
        <v>321</v>
      </c>
      <c r="G162" s="386" t="s">
        <v>432</v>
      </c>
      <c r="H162" s="340" t="s">
        <v>254</v>
      </c>
      <c r="I162" s="338" t="s">
        <v>3377</v>
      </c>
      <c r="J162" s="348">
        <v>1990</v>
      </c>
      <c r="K162" s="341">
        <v>310</v>
      </c>
      <c r="L162" s="340" t="s">
        <v>1738</v>
      </c>
      <c r="M162" s="341" t="s">
        <v>1739</v>
      </c>
      <c r="N162" s="446">
        <f t="shared" si="36"/>
        <v>0.3511111111111111</v>
      </c>
      <c r="O162" s="362">
        <v>0.3511111111111111</v>
      </c>
      <c r="P162" s="329">
        <v>3.9555555555555557</v>
      </c>
      <c r="Q162" s="310">
        <f t="shared" si="37"/>
        <v>3.9555555555555557</v>
      </c>
      <c r="R162" s="377">
        <f t="shared" si="38"/>
        <v>158</v>
      </c>
      <c r="S162" s="307">
        <v>450</v>
      </c>
      <c r="T162" s="377">
        <f t="shared" si="39"/>
        <v>450</v>
      </c>
      <c r="U162" s="377">
        <f t="shared" si="40"/>
        <v>1780</v>
      </c>
      <c r="V162" s="408" t="s">
        <v>2985</v>
      </c>
      <c r="W162" s="408" t="s">
        <v>2985</v>
      </c>
      <c r="X162" s="313" t="s">
        <v>12</v>
      </c>
      <c r="Y162" s="307" t="s">
        <v>12</v>
      </c>
      <c r="Z162" s="307" t="s">
        <v>12</v>
      </c>
      <c r="AA162" s="516" t="s">
        <v>1754</v>
      </c>
      <c r="AB162" s="341" t="s">
        <v>524</v>
      </c>
      <c r="AC162" s="354" t="s">
        <v>2985</v>
      </c>
      <c r="AD162" s="316" t="s">
        <v>2312</v>
      </c>
      <c r="AE162" s="316" t="s">
        <v>2985</v>
      </c>
      <c r="AF162" s="316" t="s">
        <v>2985</v>
      </c>
      <c r="AG162" s="262" t="s">
        <v>2985</v>
      </c>
      <c r="AH162" s="344">
        <v>100</v>
      </c>
      <c r="AI162" s="353">
        <v>0</v>
      </c>
      <c r="AJ162" s="395">
        <v>0</v>
      </c>
      <c r="AK162" s="365">
        <v>0</v>
      </c>
      <c r="AL162" s="365">
        <v>0</v>
      </c>
      <c r="AM162" s="365">
        <v>0</v>
      </c>
      <c r="AN162" s="353">
        <v>0</v>
      </c>
      <c r="AO162" s="353">
        <v>0</v>
      </c>
      <c r="AP162" s="348">
        <v>0</v>
      </c>
      <c r="AQ162" s="348">
        <v>0</v>
      </c>
      <c r="AR162" s="348">
        <v>0</v>
      </c>
      <c r="AS162" s="348">
        <v>0</v>
      </c>
      <c r="AT162" s="352">
        <v>2.5</v>
      </c>
      <c r="AU162" s="348">
        <v>0</v>
      </c>
      <c r="AV162" s="348">
        <v>0</v>
      </c>
      <c r="AW162" s="342">
        <v>1</v>
      </c>
      <c r="AX162" s="341">
        <v>0</v>
      </c>
      <c r="AY162" s="340">
        <v>73.459999999999994</v>
      </c>
      <c r="AZ162" s="356">
        <v>36.729999999999997</v>
      </c>
      <c r="BA162" s="316" t="s">
        <v>2985</v>
      </c>
      <c r="BB162" s="94" t="s">
        <v>2985</v>
      </c>
      <c r="BC162" s="355" t="s">
        <v>2985</v>
      </c>
      <c r="BD162" s="348" t="s">
        <v>3552</v>
      </c>
      <c r="BE162" s="353">
        <v>80</v>
      </c>
      <c r="BF162" s="391"/>
      <c r="BG162" s="348">
        <v>500</v>
      </c>
      <c r="BH162" s="416">
        <f t="shared" si="41"/>
        <v>34.482758620689658</v>
      </c>
      <c r="BI162" s="303">
        <v>99</v>
      </c>
      <c r="BJ162" s="307">
        <v>1</v>
      </c>
      <c r="BK162" s="507" t="s">
        <v>2985</v>
      </c>
      <c r="BL162" s="307">
        <v>20</v>
      </c>
      <c r="BM162" s="507" t="s">
        <v>2985</v>
      </c>
      <c r="BN162" s="307">
        <v>99</v>
      </c>
      <c r="BO162" s="259" t="s">
        <v>2985</v>
      </c>
      <c r="BP162" s="350"/>
      <c r="BS162" s="321"/>
    </row>
    <row r="163" spans="1:71" s="322" customFormat="1" ht="15" customHeight="1">
      <c r="A163" s="457">
        <v>1324</v>
      </c>
      <c r="B163" s="534" t="s">
        <v>3585</v>
      </c>
      <c r="C163" s="383"/>
      <c r="D163" s="466" t="s">
        <v>3590</v>
      </c>
      <c r="E163" s="469"/>
      <c r="F163" s="303" t="s">
        <v>323</v>
      </c>
      <c r="G163" s="386" t="s">
        <v>432</v>
      </c>
      <c r="H163" s="340" t="s">
        <v>254</v>
      </c>
      <c r="I163" s="338" t="s">
        <v>3377</v>
      </c>
      <c r="J163" s="348">
        <v>1990</v>
      </c>
      <c r="K163" s="341">
        <v>310</v>
      </c>
      <c r="L163" s="340" t="s">
        <v>1738</v>
      </c>
      <c r="M163" s="341" t="s">
        <v>1739</v>
      </c>
      <c r="N163" s="446">
        <f t="shared" si="36"/>
        <v>0.24725877192982457</v>
      </c>
      <c r="O163" s="362">
        <v>0.26535087719298245</v>
      </c>
      <c r="P163" s="329">
        <v>3.7872807017543861</v>
      </c>
      <c r="Q163" s="310">
        <f t="shared" si="37"/>
        <v>3.5290570175438596</v>
      </c>
      <c r="R163" s="377">
        <f t="shared" si="38"/>
        <v>121</v>
      </c>
      <c r="S163" s="307">
        <v>456</v>
      </c>
      <c r="T163" s="377">
        <f t="shared" si="39"/>
        <v>489.36585365853659</v>
      </c>
      <c r="U163" s="377">
        <f t="shared" si="40"/>
        <v>1727</v>
      </c>
      <c r="V163" s="408" t="s">
        <v>2985</v>
      </c>
      <c r="W163" s="408" t="s">
        <v>2985</v>
      </c>
      <c r="X163" s="313" t="s">
        <v>12</v>
      </c>
      <c r="Y163" s="307" t="s">
        <v>12</v>
      </c>
      <c r="Z163" s="307" t="s">
        <v>12</v>
      </c>
      <c r="AA163" s="311" t="s">
        <v>3538</v>
      </c>
      <c r="AB163" s="341" t="s">
        <v>524</v>
      </c>
      <c r="AC163" s="354" t="s">
        <v>2985</v>
      </c>
      <c r="AD163" s="316" t="s">
        <v>2320</v>
      </c>
      <c r="AE163" s="316" t="s">
        <v>2985</v>
      </c>
      <c r="AF163" s="316" t="s">
        <v>2985</v>
      </c>
      <c r="AG163" s="262" t="s">
        <v>2985</v>
      </c>
      <c r="AH163" s="344">
        <v>92.682926829268297</v>
      </c>
      <c r="AI163" s="352">
        <v>7.3170731707317067</v>
      </c>
      <c r="AJ163" s="395">
        <v>0</v>
      </c>
      <c r="AK163" s="365">
        <v>0</v>
      </c>
      <c r="AL163" s="365">
        <v>0</v>
      </c>
      <c r="AM163" s="365">
        <v>0</v>
      </c>
      <c r="AN163" s="353">
        <v>0</v>
      </c>
      <c r="AO163" s="353">
        <v>0</v>
      </c>
      <c r="AP163" s="348">
        <v>0</v>
      </c>
      <c r="AQ163" s="348">
        <v>0</v>
      </c>
      <c r="AR163" s="348">
        <v>0</v>
      </c>
      <c r="AS163" s="348">
        <v>0</v>
      </c>
      <c r="AT163" s="352">
        <v>7.1138211382113834</v>
      </c>
      <c r="AU163" s="348">
        <v>0</v>
      </c>
      <c r="AV163" s="348">
        <v>0</v>
      </c>
      <c r="AW163" s="342">
        <v>0.4613821138211382</v>
      </c>
      <c r="AX163" s="341">
        <v>0</v>
      </c>
      <c r="AY163" s="340">
        <v>94.5</v>
      </c>
      <c r="AZ163" s="356">
        <v>47.25</v>
      </c>
      <c r="BA163" s="316" t="s">
        <v>2985</v>
      </c>
      <c r="BB163" s="94" t="s">
        <v>2985</v>
      </c>
      <c r="BC163" s="355" t="s">
        <v>2985</v>
      </c>
      <c r="BD163" s="348" t="s">
        <v>3552</v>
      </c>
      <c r="BE163" s="353">
        <v>80</v>
      </c>
      <c r="BF163" s="391"/>
      <c r="BG163" s="348">
        <v>500</v>
      </c>
      <c r="BH163" s="416">
        <f t="shared" si="41"/>
        <v>34.482758620689658</v>
      </c>
      <c r="BI163" s="303">
        <v>99</v>
      </c>
      <c r="BJ163" s="307">
        <v>1</v>
      </c>
      <c r="BK163" s="507" t="s">
        <v>2985</v>
      </c>
      <c r="BL163" s="307">
        <v>20</v>
      </c>
      <c r="BM163" s="507" t="s">
        <v>2985</v>
      </c>
      <c r="BN163" s="307">
        <v>99</v>
      </c>
      <c r="BO163" s="259" t="s">
        <v>2985</v>
      </c>
      <c r="BP163" s="350"/>
      <c r="BS163" s="321"/>
    </row>
    <row r="164" spans="1:71" s="322" customFormat="1" ht="15" customHeight="1">
      <c r="A164" s="457">
        <v>1326</v>
      </c>
      <c r="B164" s="534" t="s">
        <v>3585</v>
      </c>
      <c r="C164" s="383"/>
      <c r="D164" s="466" t="s">
        <v>3590</v>
      </c>
      <c r="E164" s="469"/>
      <c r="F164" s="303" t="s">
        <v>325</v>
      </c>
      <c r="G164" s="386" t="s">
        <v>432</v>
      </c>
      <c r="H164" s="340" t="s">
        <v>254</v>
      </c>
      <c r="I164" s="338" t="s">
        <v>3377</v>
      </c>
      <c r="J164" s="348">
        <v>1990</v>
      </c>
      <c r="K164" s="341">
        <v>310</v>
      </c>
      <c r="L164" s="340" t="s">
        <v>1738</v>
      </c>
      <c r="M164" s="341" t="s">
        <v>1739</v>
      </c>
      <c r="N164" s="446">
        <f t="shared" si="36"/>
        <v>0.30225165562913908</v>
      </c>
      <c r="O164" s="362">
        <v>0.32450331125827814</v>
      </c>
      <c r="P164" s="329">
        <v>3.7704194260485653</v>
      </c>
      <c r="Q164" s="310">
        <f t="shared" si="37"/>
        <v>3.5118763796909493</v>
      </c>
      <c r="R164" s="377">
        <f t="shared" si="38"/>
        <v>147</v>
      </c>
      <c r="S164" s="307">
        <v>453</v>
      </c>
      <c r="T164" s="377">
        <f t="shared" si="39"/>
        <v>486.34969325153372</v>
      </c>
      <c r="U164" s="377">
        <f t="shared" si="40"/>
        <v>1708</v>
      </c>
      <c r="V164" s="408" t="s">
        <v>2985</v>
      </c>
      <c r="W164" s="408" t="s">
        <v>2985</v>
      </c>
      <c r="X164" s="313" t="s">
        <v>12</v>
      </c>
      <c r="Y164" s="307" t="s">
        <v>12</v>
      </c>
      <c r="Z164" s="307" t="s">
        <v>12</v>
      </c>
      <c r="AA164" s="311" t="s">
        <v>3538</v>
      </c>
      <c r="AB164" s="341" t="s">
        <v>524</v>
      </c>
      <c r="AC164" s="354" t="s">
        <v>2985</v>
      </c>
      <c r="AD164" s="316" t="s">
        <v>2312</v>
      </c>
      <c r="AE164" s="316" t="s">
        <v>2985</v>
      </c>
      <c r="AF164" s="316" t="s">
        <v>2985</v>
      </c>
      <c r="AG164" s="262" t="s">
        <v>2985</v>
      </c>
      <c r="AH164" s="344">
        <v>92.638036809815958</v>
      </c>
      <c r="AI164" s="352">
        <v>7.3619631901840492</v>
      </c>
      <c r="AJ164" s="395">
        <v>0</v>
      </c>
      <c r="AK164" s="365">
        <v>0</v>
      </c>
      <c r="AL164" s="365">
        <v>0</v>
      </c>
      <c r="AM164" s="365">
        <v>0</v>
      </c>
      <c r="AN164" s="353">
        <v>0</v>
      </c>
      <c r="AO164" s="353">
        <v>0</v>
      </c>
      <c r="AP164" s="348">
        <v>0</v>
      </c>
      <c r="AQ164" s="348">
        <v>0</v>
      </c>
      <c r="AR164" s="348">
        <v>0</v>
      </c>
      <c r="AS164" s="348">
        <v>0</v>
      </c>
      <c r="AT164" s="352">
        <v>7.1574642126789367</v>
      </c>
      <c r="AU164" s="348">
        <v>0</v>
      </c>
      <c r="AV164" s="348">
        <v>0</v>
      </c>
      <c r="AW164" s="342">
        <v>0.46421267893660534</v>
      </c>
      <c r="AX164" s="341">
        <v>0</v>
      </c>
      <c r="AY164" s="340">
        <v>83.3</v>
      </c>
      <c r="AZ164" s="356">
        <v>41.65</v>
      </c>
      <c r="BA164" s="316" t="s">
        <v>2985</v>
      </c>
      <c r="BB164" s="94" t="s">
        <v>2985</v>
      </c>
      <c r="BC164" s="355" t="s">
        <v>2985</v>
      </c>
      <c r="BD164" s="348" t="s">
        <v>3552</v>
      </c>
      <c r="BE164" s="353">
        <v>80</v>
      </c>
      <c r="BF164" s="391"/>
      <c r="BG164" s="348">
        <v>500</v>
      </c>
      <c r="BH164" s="416">
        <f t="shared" si="41"/>
        <v>34.482758620689658</v>
      </c>
      <c r="BI164" s="303">
        <v>99</v>
      </c>
      <c r="BJ164" s="307">
        <v>1</v>
      </c>
      <c r="BK164" s="507" t="s">
        <v>2985</v>
      </c>
      <c r="BL164" s="307">
        <v>20</v>
      </c>
      <c r="BM164" s="507" t="s">
        <v>2985</v>
      </c>
      <c r="BN164" s="307">
        <v>99</v>
      </c>
      <c r="BO164" s="259" t="s">
        <v>2985</v>
      </c>
      <c r="BP164" s="350"/>
      <c r="BS164" s="321"/>
    </row>
    <row r="165" spans="1:71" s="322" customFormat="1" ht="15" customHeight="1">
      <c r="A165" s="457">
        <v>1328</v>
      </c>
      <c r="B165" s="534" t="s">
        <v>3585</v>
      </c>
      <c r="C165" s="383"/>
      <c r="D165" s="466" t="s">
        <v>3590</v>
      </c>
      <c r="E165" s="469"/>
      <c r="F165" s="303" t="s">
        <v>327</v>
      </c>
      <c r="G165" s="386" t="s">
        <v>432</v>
      </c>
      <c r="H165" s="340" t="s">
        <v>254</v>
      </c>
      <c r="I165" s="338" t="s">
        <v>3377</v>
      </c>
      <c r="J165" s="348">
        <v>1990</v>
      </c>
      <c r="K165" s="341">
        <v>310</v>
      </c>
      <c r="L165" s="340" t="s">
        <v>1738</v>
      </c>
      <c r="M165" s="341" t="s">
        <v>1739</v>
      </c>
      <c r="N165" s="446">
        <f t="shared" si="36"/>
        <v>0.3443708609271523</v>
      </c>
      <c r="O165" s="362">
        <v>0.3443708609271523</v>
      </c>
      <c r="P165" s="329">
        <v>3.7704194260485653</v>
      </c>
      <c r="Q165" s="310">
        <f t="shared" si="37"/>
        <v>3.7704194260485653</v>
      </c>
      <c r="R165" s="377">
        <f t="shared" si="38"/>
        <v>156</v>
      </c>
      <c r="S165" s="307">
        <v>453</v>
      </c>
      <c r="T165" s="377">
        <f t="shared" si="39"/>
        <v>453</v>
      </c>
      <c r="U165" s="377">
        <f t="shared" si="40"/>
        <v>1708</v>
      </c>
      <c r="V165" s="408" t="s">
        <v>2985</v>
      </c>
      <c r="W165" s="408" t="s">
        <v>2985</v>
      </c>
      <c r="X165" s="313" t="s">
        <v>12</v>
      </c>
      <c r="Y165" s="307" t="s">
        <v>12</v>
      </c>
      <c r="Z165" s="307" t="s">
        <v>12</v>
      </c>
      <c r="AA165" s="516" t="s">
        <v>1754</v>
      </c>
      <c r="AB165" s="341" t="s">
        <v>524</v>
      </c>
      <c r="AC165" s="354" t="s">
        <v>2985</v>
      </c>
      <c r="AD165" s="316" t="s">
        <v>2312</v>
      </c>
      <c r="AE165" s="316" t="s">
        <v>2985</v>
      </c>
      <c r="AF165" s="316" t="s">
        <v>2985</v>
      </c>
      <c r="AG165" s="262" t="s">
        <v>2985</v>
      </c>
      <c r="AH165" s="344">
        <v>100</v>
      </c>
      <c r="AI165" s="353">
        <v>0</v>
      </c>
      <c r="AJ165" s="395">
        <v>0</v>
      </c>
      <c r="AK165" s="365">
        <v>0</v>
      </c>
      <c r="AL165" s="365">
        <v>0</v>
      </c>
      <c r="AM165" s="365">
        <v>0</v>
      </c>
      <c r="AN165" s="353">
        <v>0</v>
      </c>
      <c r="AO165" s="353">
        <v>0</v>
      </c>
      <c r="AP165" s="348">
        <v>0</v>
      </c>
      <c r="AQ165" s="348">
        <v>0</v>
      </c>
      <c r="AR165" s="348">
        <v>0</v>
      </c>
      <c r="AS165" s="348">
        <v>0</v>
      </c>
      <c r="AT165" s="352">
        <v>7.7262693156732896</v>
      </c>
      <c r="AU165" s="348">
        <v>0</v>
      </c>
      <c r="AV165" s="348">
        <v>0</v>
      </c>
      <c r="AW165" s="342">
        <v>0.5011037527593819</v>
      </c>
      <c r="AX165" s="341">
        <v>0</v>
      </c>
      <c r="AY165" s="340">
        <v>72.5</v>
      </c>
      <c r="AZ165" s="356">
        <v>36.25</v>
      </c>
      <c r="BA165" s="316" t="s">
        <v>2985</v>
      </c>
      <c r="BB165" s="94" t="s">
        <v>2985</v>
      </c>
      <c r="BC165" s="355" t="s">
        <v>2985</v>
      </c>
      <c r="BD165" s="348" t="s">
        <v>3552</v>
      </c>
      <c r="BE165" s="353">
        <v>80</v>
      </c>
      <c r="BF165" s="391"/>
      <c r="BG165" s="348">
        <v>500</v>
      </c>
      <c r="BH165" s="416">
        <f t="shared" si="41"/>
        <v>34.482758620689658</v>
      </c>
      <c r="BI165" s="303">
        <v>99</v>
      </c>
      <c r="BJ165" s="307">
        <v>1</v>
      </c>
      <c r="BK165" s="507" t="s">
        <v>2985</v>
      </c>
      <c r="BL165" s="307">
        <v>20</v>
      </c>
      <c r="BM165" s="507" t="s">
        <v>2985</v>
      </c>
      <c r="BN165" s="307">
        <v>99</v>
      </c>
      <c r="BO165" s="259" t="s">
        <v>2985</v>
      </c>
      <c r="BP165" s="350"/>
      <c r="BS165" s="321"/>
    </row>
    <row r="166" spans="1:71" s="322" customFormat="1" ht="15" customHeight="1">
      <c r="A166" s="457">
        <v>1330</v>
      </c>
      <c r="B166" s="534" t="s">
        <v>3585</v>
      </c>
      <c r="C166" s="383"/>
      <c r="D166" s="466" t="s">
        <v>3590</v>
      </c>
      <c r="E166" s="469"/>
      <c r="F166" s="303" t="s">
        <v>329</v>
      </c>
      <c r="G166" s="386" t="s">
        <v>432</v>
      </c>
      <c r="H166" s="340" t="s">
        <v>254</v>
      </c>
      <c r="I166" s="338" t="s">
        <v>3377</v>
      </c>
      <c r="J166" s="348">
        <v>1990</v>
      </c>
      <c r="K166" s="341">
        <v>310</v>
      </c>
      <c r="L166" s="340" t="s">
        <v>1738</v>
      </c>
      <c r="M166" s="341" t="s">
        <v>1739</v>
      </c>
      <c r="N166" s="446">
        <f t="shared" si="36"/>
        <v>0.35365499842321035</v>
      </c>
      <c r="O166" s="362">
        <v>0.37969094922737306</v>
      </c>
      <c r="P166" s="329">
        <v>3.7704194260485653</v>
      </c>
      <c r="Q166" s="310">
        <f t="shared" si="37"/>
        <v>3.5118763796909493</v>
      </c>
      <c r="R166" s="377">
        <f t="shared" si="38"/>
        <v>172</v>
      </c>
      <c r="S166" s="307">
        <v>453</v>
      </c>
      <c r="T166" s="377">
        <f t="shared" si="39"/>
        <v>486.34969325153372</v>
      </c>
      <c r="U166" s="377">
        <f t="shared" si="40"/>
        <v>1708</v>
      </c>
      <c r="V166" s="408" t="s">
        <v>2985</v>
      </c>
      <c r="W166" s="408" t="s">
        <v>2985</v>
      </c>
      <c r="X166" s="313" t="s">
        <v>12</v>
      </c>
      <c r="Y166" s="307" t="s">
        <v>12</v>
      </c>
      <c r="Z166" s="307" t="s">
        <v>12</v>
      </c>
      <c r="AA166" s="311" t="s">
        <v>3538</v>
      </c>
      <c r="AB166" s="341" t="s">
        <v>524</v>
      </c>
      <c r="AC166" s="354" t="s">
        <v>2985</v>
      </c>
      <c r="AD166" s="316" t="s">
        <v>2312</v>
      </c>
      <c r="AE166" s="316" t="s">
        <v>2985</v>
      </c>
      <c r="AF166" s="316" t="s">
        <v>2985</v>
      </c>
      <c r="AG166" s="262" t="s">
        <v>2985</v>
      </c>
      <c r="AH166" s="344">
        <v>92.638036809815958</v>
      </c>
      <c r="AI166" s="352">
        <v>7.3619631901840492</v>
      </c>
      <c r="AJ166" s="395">
        <v>0</v>
      </c>
      <c r="AK166" s="365">
        <v>0</v>
      </c>
      <c r="AL166" s="365">
        <v>0</v>
      </c>
      <c r="AM166" s="365">
        <v>0</v>
      </c>
      <c r="AN166" s="353">
        <v>0</v>
      </c>
      <c r="AO166" s="353">
        <v>0</v>
      </c>
      <c r="AP166" s="348">
        <v>0</v>
      </c>
      <c r="AQ166" s="348">
        <v>0</v>
      </c>
      <c r="AR166" s="348">
        <v>0</v>
      </c>
      <c r="AS166" s="348">
        <v>0</v>
      </c>
      <c r="AT166" s="352">
        <v>7.1574642126789367</v>
      </c>
      <c r="AU166" s="348">
        <v>0</v>
      </c>
      <c r="AV166" s="348">
        <v>0</v>
      </c>
      <c r="AW166" s="342">
        <v>0.46421267893660534</v>
      </c>
      <c r="AX166" s="341">
        <v>0</v>
      </c>
      <c r="AY166" s="340">
        <v>73.8</v>
      </c>
      <c r="AZ166" s="356">
        <v>36.9</v>
      </c>
      <c r="BA166" s="316" t="s">
        <v>2985</v>
      </c>
      <c r="BB166" s="94" t="s">
        <v>2985</v>
      </c>
      <c r="BC166" s="355" t="s">
        <v>2985</v>
      </c>
      <c r="BD166" s="348" t="s">
        <v>3552</v>
      </c>
      <c r="BE166" s="353">
        <v>80</v>
      </c>
      <c r="BF166" s="391"/>
      <c r="BG166" s="348">
        <v>500</v>
      </c>
      <c r="BH166" s="416">
        <f t="shared" si="41"/>
        <v>34.482758620689658</v>
      </c>
      <c r="BI166" s="303">
        <v>99</v>
      </c>
      <c r="BJ166" s="307">
        <v>1</v>
      </c>
      <c r="BK166" s="507" t="s">
        <v>2985</v>
      </c>
      <c r="BL166" s="307">
        <v>20</v>
      </c>
      <c r="BM166" s="507" t="s">
        <v>2985</v>
      </c>
      <c r="BN166" s="307">
        <v>99</v>
      </c>
      <c r="BO166" s="259" t="s">
        <v>2985</v>
      </c>
      <c r="BP166" s="350"/>
      <c r="BS166" s="321"/>
    </row>
    <row r="167" spans="1:71" s="322" customFormat="1" ht="15" customHeight="1">
      <c r="A167" s="457">
        <v>1332</v>
      </c>
      <c r="B167" s="534" t="s">
        <v>3585</v>
      </c>
      <c r="C167" s="466" t="s">
        <v>3590</v>
      </c>
      <c r="D167" s="466" t="s">
        <v>3590</v>
      </c>
      <c r="E167" s="469"/>
      <c r="F167" s="303" t="s">
        <v>331</v>
      </c>
      <c r="G167" s="386" t="s">
        <v>432</v>
      </c>
      <c r="H167" s="340" t="s">
        <v>254</v>
      </c>
      <c r="I167" s="338" t="s">
        <v>3377</v>
      </c>
      <c r="J167" s="348">
        <v>1990</v>
      </c>
      <c r="K167" s="341">
        <v>310</v>
      </c>
      <c r="L167" s="340" t="s">
        <v>1738</v>
      </c>
      <c r="M167" s="341" t="s">
        <v>1739</v>
      </c>
      <c r="N167" s="446">
        <f t="shared" si="36"/>
        <v>0.38461538461538464</v>
      </c>
      <c r="O167" s="362">
        <v>0.38461538461538464</v>
      </c>
      <c r="P167" s="329">
        <v>3.7538461538461538</v>
      </c>
      <c r="Q167" s="310">
        <f t="shared" si="37"/>
        <v>3.7538461538461538</v>
      </c>
      <c r="R167" s="377">
        <f t="shared" si="38"/>
        <v>175</v>
      </c>
      <c r="S167" s="307">
        <v>455</v>
      </c>
      <c r="T167" s="377">
        <f t="shared" si="39"/>
        <v>455</v>
      </c>
      <c r="U167" s="377">
        <f t="shared" si="40"/>
        <v>1708</v>
      </c>
      <c r="V167" s="408" t="s">
        <v>2985</v>
      </c>
      <c r="W167" s="408" t="s">
        <v>2985</v>
      </c>
      <c r="X167" s="313" t="s">
        <v>12</v>
      </c>
      <c r="Y167" s="307" t="s">
        <v>12</v>
      </c>
      <c r="Z167" s="307" t="s">
        <v>12</v>
      </c>
      <c r="AA167" s="516" t="s">
        <v>1754</v>
      </c>
      <c r="AB167" s="341" t="s">
        <v>524</v>
      </c>
      <c r="AC167" s="354" t="s">
        <v>2985</v>
      </c>
      <c r="AD167" s="316" t="s">
        <v>2312</v>
      </c>
      <c r="AE167" s="316" t="s">
        <v>2985</v>
      </c>
      <c r="AF167" s="316" t="s">
        <v>2985</v>
      </c>
      <c r="AG167" s="262" t="s">
        <v>2985</v>
      </c>
      <c r="AH167" s="344">
        <v>100</v>
      </c>
      <c r="AI167" s="353">
        <v>0</v>
      </c>
      <c r="AJ167" s="395">
        <v>0</v>
      </c>
      <c r="AK167" s="365">
        <v>0</v>
      </c>
      <c r="AL167" s="365">
        <v>0</v>
      </c>
      <c r="AM167" s="365">
        <v>0</v>
      </c>
      <c r="AN167" s="353">
        <v>0</v>
      </c>
      <c r="AO167" s="353">
        <v>0</v>
      </c>
      <c r="AP167" s="348">
        <v>0</v>
      </c>
      <c r="AQ167" s="348">
        <v>0</v>
      </c>
      <c r="AR167" s="348">
        <v>0</v>
      </c>
      <c r="AS167" s="348">
        <v>0</v>
      </c>
      <c r="AT167" s="352">
        <v>7.6923076923076925</v>
      </c>
      <c r="AU167" s="348">
        <v>0</v>
      </c>
      <c r="AV167" s="348">
        <v>0</v>
      </c>
      <c r="AW167" s="342">
        <v>0.49890109890109891</v>
      </c>
      <c r="AX167" s="341">
        <v>0</v>
      </c>
      <c r="AY167" s="340">
        <v>64</v>
      </c>
      <c r="AZ167" s="356">
        <v>32</v>
      </c>
      <c r="BA167" s="316" t="s">
        <v>2985</v>
      </c>
      <c r="BB167" s="94" t="s">
        <v>2985</v>
      </c>
      <c r="BC167" s="355" t="s">
        <v>2985</v>
      </c>
      <c r="BD167" s="348" t="s">
        <v>3552</v>
      </c>
      <c r="BE167" s="353">
        <v>80</v>
      </c>
      <c r="BF167" s="391"/>
      <c r="BG167" s="348">
        <v>500</v>
      </c>
      <c r="BH167" s="416">
        <f t="shared" si="41"/>
        <v>34.482758620689658</v>
      </c>
      <c r="BI167" s="303">
        <v>99</v>
      </c>
      <c r="BJ167" s="307">
        <v>1</v>
      </c>
      <c r="BK167" s="507" t="s">
        <v>2985</v>
      </c>
      <c r="BL167" s="307">
        <v>20</v>
      </c>
      <c r="BM167" s="507" t="s">
        <v>2985</v>
      </c>
      <c r="BN167" s="307">
        <v>99</v>
      </c>
      <c r="BO167" s="259" t="s">
        <v>2985</v>
      </c>
      <c r="BP167" s="350"/>
      <c r="BS167" s="321"/>
    </row>
    <row r="168" spans="1:71" s="322" customFormat="1" ht="15" customHeight="1">
      <c r="A168" s="457">
        <v>1334</v>
      </c>
      <c r="B168" s="533" t="s">
        <v>3614</v>
      </c>
      <c r="C168" s="383"/>
      <c r="D168" s="466" t="s">
        <v>3590</v>
      </c>
      <c r="E168" s="469"/>
      <c r="F168" s="303" t="s">
        <v>1978</v>
      </c>
      <c r="G168" s="386" t="s">
        <v>433</v>
      </c>
      <c r="H168" s="340" t="s">
        <v>446</v>
      </c>
      <c r="I168" s="338" t="s">
        <v>3377</v>
      </c>
      <c r="J168" s="348">
        <v>2003</v>
      </c>
      <c r="K168" s="341">
        <v>311</v>
      </c>
      <c r="L168" s="340" t="s">
        <v>1738</v>
      </c>
      <c r="M168" s="341" t="s">
        <v>1739</v>
      </c>
      <c r="N168" s="446">
        <f t="shared" si="36"/>
        <v>0.5</v>
      </c>
      <c r="O168" s="307">
        <v>0.5</v>
      </c>
      <c r="P168" s="308">
        <v>4.6567567567567565</v>
      </c>
      <c r="Q168" s="310">
        <f t="shared" si="37"/>
        <v>4.6567567567567565</v>
      </c>
      <c r="R168" s="377">
        <f t="shared" si="38"/>
        <v>185</v>
      </c>
      <c r="S168" s="307">
        <v>370</v>
      </c>
      <c r="T168" s="377">
        <f t="shared" si="39"/>
        <v>370</v>
      </c>
      <c r="U168" s="377">
        <f t="shared" si="40"/>
        <v>1723</v>
      </c>
      <c r="V168" s="408" t="s">
        <v>2985</v>
      </c>
      <c r="W168" s="408" t="s">
        <v>2985</v>
      </c>
      <c r="X168" s="303" t="s">
        <v>12</v>
      </c>
      <c r="Y168" s="307" t="s">
        <v>12</v>
      </c>
      <c r="Z168" s="317" t="s">
        <v>2985</v>
      </c>
      <c r="AA168" s="311" t="s">
        <v>1754</v>
      </c>
      <c r="AB168" s="304" t="s">
        <v>523</v>
      </c>
      <c r="AC168" s="441" t="s">
        <v>2985</v>
      </c>
      <c r="AD168" s="515" t="s">
        <v>2985</v>
      </c>
      <c r="AE168" s="348" t="s">
        <v>2306</v>
      </c>
      <c r="AF168" s="348" t="s">
        <v>2312</v>
      </c>
      <c r="AG168" s="262" t="s">
        <v>2985</v>
      </c>
      <c r="AH168" s="351">
        <v>100</v>
      </c>
      <c r="AI168" s="348">
        <v>0</v>
      </c>
      <c r="AJ168" s="348">
        <v>0</v>
      </c>
      <c r="AK168" s="348">
        <v>0</v>
      </c>
      <c r="AL168" s="348">
        <v>0</v>
      </c>
      <c r="AM168" s="348">
        <v>0</v>
      </c>
      <c r="AN168" s="348">
        <v>0</v>
      </c>
      <c r="AO168" s="348">
        <v>0</v>
      </c>
      <c r="AP168" s="307">
        <v>0</v>
      </c>
      <c r="AQ168" s="348">
        <v>0</v>
      </c>
      <c r="AR168" s="348">
        <v>0</v>
      </c>
      <c r="AS168" s="365">
        <v>0</v>
      </c>
      <c r="AT168" s="396">
        <v>9.4594594594594597</v>
      </c>
      <c r="AU168" s="365">
        <v>0</v>
      </c>
      <c r="AV168" s="365">
        <v>0</v>
      </c>
      <c r="AW168" s="396">
        <v>0.61351351351351358</v>
      </c>
      <c r="AX168" s="436">
        <v>0.5</v>
      </c>
      <c r="AY168" s="340">
        <v>31.1</v>
      </c>
      <c r="AZ168" s="348"/>
      <c r="BA168" s="316" t="s">
        <v>2985</v>
      </c>
      <c r="BB168" s="94" t="s">
        <v>2985</v>
      </c>
      <c r="BC168" s="341">
        <v>26.9</v>
      </c>
      <c r="BD168" s="348" t="s">
        <v>3544</v>
      </c>
      <c r="BE168" s="348">
        <v>100</v>
      </c>
      <c r="BF168" s="348"/>
      <c r="BG168" s="348">
        <v>400</v>
      </c>
      <c r="BH168" s="425">
        <v>22.222222222222221</v>
      </c>
      <c r="BI168" s="303">
        <v>99</v>
      </c>
      <c r="BJ168" s="307">
        <v>0.25</v>
      </c>
      <c r="BK168" s="318" t="s">
        <v>2985</v>
      </c>
      <c r="BL168" s="307">
        <v>20</v>
      </c>
      <c r="BM168" s="318" t="s">
        <v>2985</v>
      </c>
      <c r="BN168" s="307">
        <v>99</v>
      </c>
      <c r="BO168" s="432" t="s">
        <v>2985</v>
      </c>
      <c r="BP168" s="343" t="s">
        <v>1749</v>
      </c>
      <c r="BS168" s="321"/>
    </row>
    <row r="169" spans="1:71" s="322" customFormat="1" ht="15" customHeight="1">
      <c r="A169" s="457">
        <v>1335</v>
      </c>
      <c r="B169" s="533" t="s">
        <v>3634</v>
      </c>
      <c r="C169" s="383"/>
      <c r="D169" s="466" t="s">
        <v>3590</v>
      </c>
      <c r="E169" s="469"/>
      <c r="F169" s="303" t="s">
        <v>1979</v>
      </c>
      <c r="G169" s="386" t="s">
        <v>433</v>
      </c>
      <c r="H169" s="340" t="s">
        <v>446</v>
      </c>
      <c r="I169" s="338" t="s">
        <v>3377</v>
      </c>
      <c r="J169" s="348">
        <v>2003</v>
      </c>
      <c r="K169" s="341">
        <v>311</v>
      </c>
      <c r="L169" s="340" t="s">
        <v>1738</v>
      </c>
      <c r="M169" s="341" t="s">
        <v>1739</v>
      </c>
      <c r="N169" s="446">
        <f t="shared" si="36"/>
        <v>0.3511111111111111</v>
      </c>
      <c r="O169" s="362">
        <v>0.3511111111111111</v>
      </c>
      <c r="P169" s="329">
        <v>3.8511111111111109</v>
      </c>
      <c r="Q169" s="310">
        <f t="shared" si="37"/>
        <v>3.8511111111111109</v>
      </c>
      <c r="R169" s="377">
        <f t="shared" si="38"/>
        <v>158</v>
      </c>
      <c r="S169" s="307">
        <v>450</v>
      </c>
      <c r="T169" s="377">
        <f t="shared" si="39"/>
        <v>450</v>
      </c>
      <c r="U169" s="377">
        <f t="shared" si="40"/>
        <v>1733</v>
      </c>
      <c r="V169" s="408" t="s">
        <v>2985</v>
      </c>
      <c r="W169" s="408" t="s">
        <v>2985</v>
      </c>
      <c r="X169" s="313" t="s">
        <v>12</v>
      </c>
      <c r="Y169" s="307" t="s">
        <v>12</v>
      </c>
      <c r="Z169" s="307" t="s">
        <v>12</v>
      </c>
      <c r="AA169" s="516" t="s">
        <v>1754</v>
      </c>
      <c r="AB169" s="341" t="s">
        <v>523</v>
      </c>
      <c r="AC169" s="354" t="s">
        <v>2985</v>
      </c>
      <c r="AD169" s="506" t="s">
        <v>2312</v>
      </c>
      <c r="AE169" s="214" t="s">
        <v>2306</v>
      </c>
      <c r="AF169" s="214" t="s">
        <v>2312</v>
      </c>
      <c r="AG169" s="262" t="s">
        <v>2985</v>
      </c>
      <c r="AH169" s="344">
        <v>100</v>
      </c>
      <c r="AI169" s="353">
        <v>0</v>
      </c>
      <c r="AJ169" s="395">
        <v>0</v>
      </c>
      <c r="AK169" s="365">
        <v>0</v>
      </c>
      <c r="AL169" s="365">
        <v>0</v>
      </c>
      <c r="AM169" s="365">
        <v>0</v>
      </c>
      <c r="AN169" s="353">
        <v>0</v>
      </c>
      <c r="AO169" s="353">
        <v>0</v>
      </c>
      <c r="AP169" s="348">
        <v>0</v>
      </c>
      <c r="AQ169" s="348">
        <v>0</v>
      </c>
      <c r="AR169" s="348">
        <v>0</v>
      </c>
      <c r="AS169" s="348">
        <v>0</v>
      </c>
      <c r="AT169" s="352">
        <v>7.7777777777777777</v>
      </c>
      <c r="AU169" s="348">
        <v>0</v>
      </c>
      <c r="AV169" s="348">
        <v>0</v>
      </c>
      <c r="AW169" s="342">
        <v>0.50444444444444447</v>
      </c>
      <c r="AX169" s="341">
        <v>0</v>
      </c>
      <c r="AY169" s="340">
        <v>47.1</v>
      </c>
      <c r="AZ169" s="348"/>
      <c r="BA169" s="316" t="s">
        <v>2985</v>
      </c>
      <c r="BB169" s="94" t="s">
        <v>2985</v>
      </c>
      <c r="BC169" s="425">
        <v>32.9</v>
      </c>
      <c r="BD169" s="348" t="s">
        <v>3544</v>
      </c>
      <c r="BE169" s="353">
        <v>100</v>
      </c>
      <c r="BF169" s="391"/>
      <c r="BG169" s="348">
        <v>400</v>
      </c>
      <c r="BH169" s="416">
        <f>IF(ISBLANK(BF169),(BE169*BG169)/((4*BG169)+(2*BE169)),BE169*BF169*BG169/2/(BE169*BF169+BE169*BG169+BF169*BG169))</f>
        <v>22.222222222222221</v>
      </c>
      <c r="BI169" s="303">
        <v>99</v>
      </c>
      <c r="BJ169" s="307">
        <v>0.25</v>
      </c>
      <c r="BK169" s="507" t="s">
        <v>2985</v>
      </c>
      <c r="BL169" s="307">
        <v>20</v>
      </c>
      <c r="BM169" s="507" t="s">
        <v>2985</v>
      </c>
      <c r="BN169" s="307">
        <v>99</v>
      </c>
      <c r="BO169" s="259" t="s">
        <v>2985</v>
      </c>
      <c r="BP169" s="350" t="s">
        <v>1750</v>
      </c>
      <c r="BS169" s="321"/>
    </row>
    <row r="170" spans="1:71" s="322" customFormat="1" ht="15" customHeight="1">
      <c r="A170" s="457">
        <v>1336</v>
      </c>
      <c r="B170" s="533" t="s">
        <v>3634</v>
      </c>
      <c r="C170" s="383"/>
      <c r="D170" s="466" t="s">
        <v>3590</v>
      </c>
      <c r="E170" s="469"/>
      <c r="F170" s="303" t="s">
        <v>1980</v>
      </c>
      <c r="G170" s="386" t="s">
        <v>433</v>
      </c>
      <c r="H170" s="340" t="s">
        <v>446</v>
      </c>
      <c r="I170" s="338" t="s">
        <v>3377</v>
      </c>
      <c r="J170" s="348">
        <v>2003</v>
      </c>
      <c r="K170" s="341">
        <v>311</v>
      </c>
      <c r="L170" s="340" t="s">
        <v>1738</v>
      </c>
      <c r="M170" s="341" t="s">
        <v>1739</v>
      </c>
      <c r="N170" s="446">
        <f t="shared" si="36"/>
        <v>0.31</v>
      </c>
      <c r="O170" s="362">
        <v>0.31</v>
      </c>
      <c r="P170" s="329">
        <v>3.4</v>
      </c>
      <c r="Q170" s="310">
        <f t="shared" si="37"/>
        <v>3.4</v>
      </c>
      <c r="R170" s="377">
        <f t="shared" si="38"/>
        <v>155</v>
      </c>
      <c r="S170" s="307">
        <v>500</v>
      </c>
      <c r="T170" s="377">
        <f t="shared" si="39"/>
        <v>500</v>
      </c>
      <c r="U170" s="377">
        <f t="shared" si="40"/>
        <v>1700</v>
      </c>
      <c r="V170" s="408" t="s">
        <v>2985</v>
      </c>
      <c r="W170" s="408" t="s">
        <v>2985</v>
      </c>
      <c r="X170" s="313" t="s">
        <v>12</v>
      </c>
      <c r="Y170" s="307" t="s">
        <v>12</v>
      </c>
      <c r="Z170" s="307" t="s">
        <v>12</v>
      </c>
      <c r="AA170" s="516" t="s">
        <v>1754</v>
      </c>
      <c r="AB170" s="341" t="s">
        <v>523</v>
      </c>
      <c r="AC170" s="354" t="s">
        <v>2985</v>
      </c>
      <c r="AD170" s="506" t="s">
        <v>2312</v>
      </c>
      <c r="AE170" s="214" t="s">
        <v>2306</v>
      </c>
      <c r="AF170" s="214" t="s">
        <v>2312</v>
      </c>
      <c r="AG170" s="262" t="s">
        <v>2985</v>
      </c>
      <c r="AH170" s="344">
        <v>100</v>
      </c>
      <c r="AI170" s="353">
        <v>0</v>
      </c>
      <c r="AJ170" s="395">
        <v>0</v>
      </c>
      <c r="AK170" s="365">
        <v>0</v>
      </c>
      <c r="AL170" s="365">
        <v>0</v>
      </c>
      <c r="AM170" s="365">
        <v>0</v>
      </c>
      <c r="AN170" s="353">
        <v>0</v>
      </c>
      <c r="AO170" s="353">
        <v>0</v>
      </c>
      <c r="AP170" s="348">
        <v>0</v>
      </c>
      <c r="AQ170" s="348">
        <v>0</v>
      </c>
      <c r="AR170" s="348">
        <v>0</v>
      </c>
      <c r="AS170" s="348">
        <v>0</v>
      </c>
      <c r="AT170" s="352">
        <v>7.0000000000000009</v>
      </c>
      <c r="AU170" s="348">
        <v>0</v>
      </c>
      <c r="AV170" s="348">
        <v>0</v>
      </c>
      <c r="AW170" s="342">
        <v>0.45399999999999996</v>
      </c>
      <c r="AX170" s="341">
        <v>0</v>
      </c>
      <c r="AY170" s="340">
        <v>55.5</v>
      </c>
      <c r="AZ170" s="348"/>
      <c r="BA170" s="316" t="s">
        <v>2985</v>
      </c>
      <c r="BB170" s="94" t="s">
        <v>2985</v>
      </c>
      <c r="BC170" s="425">
        <v>34.299999999999997</v>
      </c>
      <c r="BD170" s="348" t="s">
        <v>3544</v>
      </c>
      <c r="BE170" s="353">
        <v>100</v>
      </c>
      <c r="BF170" s="391"/>
      <c r="BG170" s="348">
        <v>400</v>
      </c>
      <c r="BH170" s="416">
        <f>IF(ISBLANK(BF170),(BE170*BG170)/((4*BG170)+(2*BE170)),BE170*BF170*BG170/2/(BE170*BF170+BE170*BG170+BF170*BG170))</f>
        <v>22.222222222222221</v>
      </c>
      <c r="BI170" s="303">
        <v>99</v>
      </c>
      <c r="BJ170" s="307">
        <v>0.25</v>
      </c>
      <c r="BK170" s="507" t="s">
        <v>2985</v>
      </c>
      <c r="BL170" s="307">
        <v>20</v>
      </c>
      <c r="BM170" s="507" t="s">
        <v>2985</v>
      </c>
      <c r="BN170" s="307">
        <v>99</v>
      </c>
      <c r="BO170" s="259" t="s">
        <v>2985</v>
      </c>
      <c r="BP170" s="350"/>
      <c r="BS170" s="321"/>
    </row>
    <row r="171" spans="1:71" s="322" customFormat="1" ht="15" customHeight="1">
      <c r="A171" s="457">
        <v>1337</v>
      </c>
      <c r="B171" s="534" t="s">
        <v>3585</v>
      </c>
      <c r="C171" s="383"/>
      <c r="D171" s="466" t="s">
        <v>3590</v>
      </c>
      <c r="E171" s="469"/>
      <c r="F171" s="303" t="s">
        <v>1981</v>
      </c>
      <c r="G171" s="386" t="s">
        <v>433</v>
      </c>
      <c r="H171" s="340" t="s">
        <v>446</v>
      </c>
      <c r="I171" s="338" t="s">
        <v>3377</v>
      </c>
      <c r="J171" s="348">
        <v>2003</v>
      </c>
      <c r="K171" s="341">
        <v>311</v>
      </c>
      <c r="L171" s="340" t="s">
        <v>1738</v>
      </c>
      <c r="M171" s="341" t="s">
        <v>1739</v>
      </c>
      <c r="N171" s="446">
        <f t="shared" si="36"/>
        <v>0.2690909090909091</v>
      </c>
      <c r="O171" s="362">
        <v>0.2690909090909091</v>
      </c>
      <c r="P171" s="329">
        <v>3.0490909090909093</v>
      </c>
      <c r="Q171" s="310">
        <f t="shared" si="37"/>
        <v>3.0490909090909093</v>
      </c>
      <c r="R171" s="377">
        <f t="shared" si="38"/>
        <v>148</v>
      </c>
      <c r="S171" s="307">
        <v>550</v>
      </c>
      <c r="T171" s="377">
        <f t="shared" si="39"/>
        <v>550</v>
      </c>
      <c r="U171" s="377">
        <f t="shared" si="40"/>
        <v>1677</v>
      </c>
      <c r="V171" s="408" t="s">
        <v>2985</v>
      </c>
      <c r="W171" s="408" t="s">
        <v>2985</v>
      </c>
      <c r="X171" s="313" t="s">
        <v>12</v>
      </c>
      <c r="Y171" s="307" t="s">
        <v>12</v>
      </c>
      <c r="Z171" s="307" t="s">
        <v>12</v>
      </c>
      <c r="AA171" s="516" t="s">
        <v>1754</v>
      </c>
      <c r="AB171" s="341" t="s">
        <v>523</v>
      </c>
      <c r="AC171" s="354" t="s">
        <v>2985</v>
      </c>
      <c r="AD171" s="506" t="s">
        <v>2312</v>
      </c>
      <c r="AE171" s="214" t="s">
        <v>2306</v>
      </c>
      <c r="AF171" s="214" t="s">
        <v>2312</v>
      </c>
      <c r="AG171" s="262" t="s">
        <v>2985</v>
      </c>
      <c r="AH171" s="344">
        <v>100</v>
      </c>
      <c r="AI171" s="353">
        <v>0</v>
      </c>
      <c r="AJ171" s="395">
        <v>0</v>
      </c>
      <c r="AK171" s="365">
        <v>0</v>
      </c>
      <c r="AL171" s="365">
        <v>0</v>
      </c>
      <c r="AM171" s="365">
        <v>0</v>
      </c>
      <c r="AN171" s="353">
        <v>0</v>
      </c>
      <c r="AO171" s="353">
        <v>0</v>
      </c>
      <c r="AP171" s="348">
        <v>0</v>
      </c>
      <c r="AQ171" s="348">
        <v>0</v>
      </c>
      <c r="AR171" s="348">
        <v>0</v>
      </c>
      <c r="AS171" s="348">
        <v>0</v>
      </c>
      <c r="AT171" s="352">
        <v>6.3636363636363633</v>
      </c>
      <c r="AU171" s="348">
        <v>0</v>
      </c>
      <c r="AV171" s="348">
        <v>0</v>
      </c>
      <c r="AW171" s="342">
        <v>0.41272727272727278</v>
      </c>
      <c r="AX171" s="341">
        <v>0</v>
      </c>
      <c r="AY171" s="340">
        <v>66.2</v>
      </c>
      <c r="AZ171" s="356">
        <v>33.1</v>
      </c>
      <c r="BA171" s="316" t="s">
        <v>2985</v>
      </c>
      <c r="BB171" s="94" t="s">
        <v>2985</v>
      </c>
      <c r="BC171" s="425">
        <v>36.200000000000003</v>
      </c>
      <c r="BD171" s="348" t="s">
        <v>3544</v>
      </c>
      <c r="BE171" s="353">
        <v>100</v>
      </c>
      <c r="BF171" s="391"/>
      <c r="BG171" s="348">
        <v>400</v>
      </c>
      <c r="BH171" s="416">
        <f>IF(ISBLANK(BF171),(BE171*BG171)/((4*BG171)+(2*BE171)),BE171*BF171*BG171/2/(BE171*BF171+BE171*BG171+BF171*BG171))</f>
        <v>22.222222222222221</v>
      </c>
      <c r="BI171" s="303">
        <v>99</v>
      </c>
      <c r="BJ171" s="307">
        <v>0.25</v>
      </c>
      <c r="BK171" s="507" t="s">
        <v>2985</v>
      </c>
      <c r="BL171" s="307">
        <v>20</v>
      </c>
      <c r="BM171" s="507" t="s">
        <v>2985</v>
      </c>
      <c r="BN171" s="307">
        <v>99</v>
      </c>
      <c r="BO171" s="259" t="s">
        <v>2985</v>
      </c>
      <c r="BP171" s="350"/>
      <c r="BS171" s="321"/>
    </row>
    <row r="172" spans="1:71" s="322" customFormat="1" ht="15" customHeight="1">
      <c r="A172" s="457">
        <v>1338</v>
      </c>
      <c r="B172" s="533" t="s">
        <v>3614</v>
      </c>
      <c r="C172" s="383"/>
      <c r="D172" s="466" t="s">
        <v>3590</v>
      </c>
      <c r="E172" s="469"/>
      <c r="F172" s="303" t="s">
        <v>1982</v>
      </c>
      <c r="G172" s="386" t="s">
        <v>433</v>
      </c>
      <c r="H172" s="340" t="s">
        <v>446</v>
      </c>
      <c r="I172" s="338" t="s">
        <v>3377</v>
      </c>
      <c r="J172" s="348">
        <v>2003</v>
      </c>
      <c r="K172" s="341">
        <v>311</v>
      </c>
      <c r="L172" s="340" t="s">
        <v>1738</v>
      </c>
      <c r="M172" s="341" t="s">
        <v>1739</v>
      </c>
      <c r="N172" s="446">
        <f t="shared" si="36"/>
        <v>0.52083333333333337</v>
      </c>
      <c r="O172" s="307">
        <v>0.625</v>
      </c>
      <c r="P172" s="308">
        <v>5.743243243243243</v>
      </c>
      <c r="Q172" s="310">
        <f t="shared" si="37"/>
        <v>4.7860360360360366</v>
      </c>
      <c r="R172" s="377">
        <f t="shared" si="38"/>
        <v>185</v>
      </c>
      <c r="S172" s="307">
        <v>296</v>
      </c>
      <c r="T172" s="377">
        <f t="shared" si="39"/>
        <v>355.2</v>
      </c>
      <c r="U172" s="377">
        <f t="shared" si="40"/>
        <v>1700</v>
      </c>
      <c r="V172" s="408" t="s">
        <v>2985</v>
      </c>
      <c r="W172" s="408" t="s">
        <v>2985</v>
      </c>
      <c r="X172" s="303" t="s">
        <v>12</v>
      </c>
      <c r="Y172" s="307" t="s">
        <v>12</v>
      </c>
      <c r="Z172" s="317" t="s">
        <v>2985</v>
      </c>
      <c r="AA172" s="311" t="s">
        <v>3525</v>
      </c>
      <c r="AB172" s="304" t="s">
        <v>523</v>
      </c>
      <c r="AC172" s="441" t="s">
        <v>2985</v>
      </c>
      <c r="AD172" s="515" t="s">
        <v>2985</v>
      </c>
      <c r="AE172" s="348" t="s">
        <v>2306</v>
      </c>
      <c r="AF172" s="348" t="s">
        <v>2312</v>
      </c>
      <c r="AG172" s="262" t="s">
        <v>2985</v>
      </c>
      <c r="AH172" s="351">
        <v>80</v>
      </c>
      <c r="AI172" s="348">
        <v>0</v>
      </c>
      <c r="AJ172" s="356">
        <v>20</v>
      </c>
      <c r="AK172" s="348">
        <v>0</v>
      </c>
      <c r="AL172" s="348">
        <v>0</v>
      </c>
      <c r="AM172" s="348">
        <v>0</v>
      </c>
      <c r="AN172" s="348">
        <v>0</v>
      </c>
      <c r="AO172" s="348">
        <v>0</v>
      </c>
      <c r="AP172" s="307">
        <v>0</v>
      </c>
      <c r="AQ172" s="348">
        <v>0</v>
      </c>
      <c r="AR172" s="348">
        <v>0</v>
      </c>
      <c r="AS172" s="365">
        <v>0</v>
      </c>
      <c r="AT172" s="396">
        <v>9.4594594594594597</v>
      </c>
      <c r="AU172" s="365">
        <v>0</v>
      </c>
      <c r="AV172" s="365">
        <v>0</v>
      </c>
      <c r="AW172" s="396">
        <v>0.61351351351351346</v>
      </c>
      <c r="AX172" s="436">
        <v>0.4</v>
      </c>
      <c r="AY172" s="340">
        <v>29.3</v>
      </c>
      <c r="AZ172" s="348"/>
      <c r="BA172" s="316" t="s">
        <v>2985</v>
      </c>
      <c r="BB172" s="94" t="s">
        <v>2985</v>
      </c>
      <c r="BC172" s="341">
        <v>26.7</v>
      </c>
      <c r="BD172" s="348" t="s">
        <v>3544</v>
      </c>
      <c r="BE172" s="348">
        <v>100</v>
      </c>
      <c r="BF172" s="348"/>
      <c r="BG172" s="348">
        <v>400</v>
      </c>
      <c r="BH172" s="425">
        <v>22.222222222222221</v>
      </c>
      <c r="BI172" s="303">
        <v>99</v>
      </c>
      <c r="BJ172" s="307">
        <v>0.25</v>
      </c>
      <c r="BK172" s="318" t="s">
        <v>2985</v>
      </c>
      <c r="BL172" s="307">
        <v>20</v>
      </c>
      <c r="BM172" s="318" t="s">
        <v>2985</v>
      </c>
      <c r="BN172" s="307">
        <v>99</v>
      </c>
      <c r="BO172" s="432" t="s">
        <v>2985</v>
      </c>
      <c r="BP172" s="343"/>
      <c r="BS172" s="321"/>
    </row>
    <row r="173" spans="1:71" s="322" customFormat="1" ht="15" customHeight="1">
      <c r="A173" s="457">
        <v>1339</v>
      </c>
      <c r="B173" s="533" t="s">
        <v>3634</v>
      </c>
      <c r="C173" s="383"/>
      <c r="D173" s="466" t="s">
        <v>3590</v>
      </c>
      <c r="E173" s="469"/>
      <c r="F173" s="303" t="s">
        <v>1983</v>
      </c>
      <c r="G173" s="386" t="s">
        <v>433</v>
      </c>
      <c r="H173" s="340" t="s">
        <v>446</v>
      </c>
      <c r="I173" s="338" t="s">
        <v>3377</v>
      </c>
      <c r="J173" s="348">
        <v>2003</v>
      </c>
      <c r="K173" s="341">
        <v>311</v>
      </c>
      <c r="L173" s="340" t="s">
        <v>1738</v>
      </c>
      <c r="M173" s="341" t="s">
        <v>1739</v>
      </c>
      <c r="N173" s="446">
        <f t="shared" si="36"/>
        <v>0.36574074074074076</v>
      </c>
      <c r="O173" s="307">
        <v>0.43888888888888888</v>
      </c>
      <c r="P173" s="329">
        <v>4.7333333333333334</v>
      </c>
      <c r="Q173" s="310">
        <f t="shared" si="37"/>
        <v>3.9444444444444446</v>
      </c>
      <c r="R173" s="377">
        <f t="shared" si="38"/>
        <v>158</v>
      </c>
      <c r="S173" s="307">
        <v>360</v>
      </c>
      <c r="T173" s="377">
        <f t="shared" si="39"/>
        <v>432</v>
      </c>
      <c r="U173" s="377">
        <f t="shared" si="40"/>
        <v>1704</v>
      </c>
      <c r="V173" s="408" t="s">
        <v>2985</v>
      </c>
      <c r="W173" s="408" t="s">
        <v>2985</v>
      </c>
      <c r="X173" s="303" t="s">
        <v>12</v>
      </c>
      <c r="Y173" s="307" t="s">
        <v>12</v>
      </c>
      <c r="Z173" s="317" t="s">
        <v>2985</v>
      </c>
      <c r="AA173" s="311" t="s">
        <v>3525</v>
      </c>
      <c r="AB173" s="304" t="s">
        <v>523</v>
      </c>
      <c r="AC173" s="441" t="s">
        <v>2985</v>
      </c>
      <c r="AD173" s="515" t="s">
        <v>2985</v>
      </c>
      <c r="AE173" s="348" t="s">
        <v>2306</v>
      </c>
      <c r="AF173" s="348" t="s">
        <v>2312</v>
      </c>
      <c r="AG173" s="262" t="s">
        <v>2985</v>
      </c>
      <c r="AH173" s="351">
        <v>80</v>
      </c>
      <c r="AI173" s="348">
        <v>0</v>
      </c>
      <c r="AJ173" s="356">
        <v>20</v>
      </c>
      <c r="AK173" s="348">
        <v>0</v>
      </c>
      <c r="AL173" s="348">
        <v>0</v>
      </c>
      <c r="AM173" s="348">
        <v>0</v>
      </c>
      <c r="AN173" s="348">
        <v>0</v>
      </c>
      <c r="AO173" s="348">
        <v>0</v>
      </c>
      <c r="AP173" s="307">
        <v>0</v>
      </c>
      <c r="AQ173" s="348">
        <v>0</v>
      </c>
      <c r="AR173" s="348">
        <v>0</v>
      </c>
      <c r="AS173" s="365">
        <v>0</v>
      </c>
      <c r="AT173" s="396">
        <v>7.7777777777777777</v>
      </c>
      <c r="AU173" s="365">
        <v>0</v>
      </c>
      <c r="AV173" s="365">
        <v>0</v>
      </c>
      <c r="AW173" s="396">
        <v>0.50444444444444447</v>
      </c>
      <c r="AX173" s="341">
        <v>0</v>
      </c>
      <c r="AY173" s="340">
        <v>45.9</v>
      </c>
      <c r="AZ173" s="348"/>
      <c r="BA173" s="316" t="s">
        <v>2985</v>
      </c>
      <c r="BB173" s="94" t="s">
        <v>2985</v>
      </c>
      <c r="BC173" s="341">
        <v>32.4</v>
      </c>
      <c r="BD173" s="348" t="s">
        <v>3544</v>
      </c>
      <c r="BE173" s="348">
        <v>100</v>
      </c>
      <c r="BF173" s="348"/>
      <c r="BG173" s="348">
        <v>400</v>
      </c>
      <c r="BH173" s="425">
        <v>22.222222222222221</v>
      </c>
      <c r="BI173" s="303">
        <v>99</v>
      </c>
      <c r="BJ173" s="307">
        <v>0.25</v>
      </c>
      <c r="BK173" s="318" t="s">
        <v>2985</v>
      </c>
      <c r="BL173" s="307">
        <v>20</v>
      </c>
      <c r="BM173" s="318" t="s">
        <v>2985</v>
      </c>
      <c r="BN173" s="307">
        <v>99</v>
      </c>
      <c r="BO173" s="432" t="s">
        <v>2985</v>
      </c>
      <c r="BP173" s="343"/>
      <c r="BS173" s="321"/>
    </row>
    <row r="174" spans="1:71" s="322" customFormat="1" ht="15" customHeight="1">
      <c r="A174" s="457">
        <v>1340</v>
      </c>
      <c r="B174" s="533" t="s">
        <v>3634</v>
      </c>
      <c r="C174" s="383"/>
      <c r="D174" s="466" t="s">
        <v>3590</v>
      </c>
      <c r="E174" s="469"/>
      <c r="F174" s="303" t="s">
        <v>1984</v>
      </c>
      <c r="G174" s="386" t="s">
        <v>433</v>
      </c>
      <c r="H174" s="340" t="s">
        <v>446</v>
      </c>
      <c r="I174" s="338" t="s">
        <v>3377</v>
      </c>
      <c r="J174" s="348">
        <v>2003</v>
      </c>
      <c r="K174" s="341">
        <v>311</v>
      </c>
      <c r="L174" s="340" t="s">
        <v>1738</v>
      </c>
      <c r="M174" s="341" t="s">
        <v>1739</v>
      </c>
      <c r="N174" s="446">
        <f t="shared" si="36"/>
        <v>0.32291666666666669</v>
      </c>
      <c r="O174" s="362">
        <v>0.38750000000000001</v>
      </c>
      <c r="P174" s="329">
        <v>4.17</v>
      </c>
      <c r="Q174" s="310">
        <f t="shared" si="37"/>
        <v>3.4750000000000001</v>
      </c>
      <c r="R174" s="377">
        <f t="shared" si="38"/>
        <v>155</v>
      </c>
      <c r="S174" s="307">
        <v>400</v>
      </c>
      <c r="T174" s="377">
        <f t="shared" si="39"/>
        <v>480</v>
      </c>
      <c r="U174" s="377">
        <f t="shared" si="40"/>
        <v>1668</v>
      </c>
      <c r="V174" s="408" t="s">
        <v>2985</v>
      </c>
      <c r="W174" s="408" t="s">
        <v>2985</v>
      </c>
      <c r="X174" s="313" t="s">
        <v>12</v>
      </c>
      <c r="Y174" s="307" t="s">
        <v>12</v>
      </c>
      <c r="Z174" s="307" t="s">
        <v>12</v>
      </c>
      <c r="AA174" s="516" t="s">
        <v>3525</v>
      </c>
      <c r="AB174" s="357" t="s">
        <v>3553</v>
      </c>
      <c r="AC174" s="115" t="s">
        <v>3553</v>
      </c>
      <c r="AD174" s="506" t="s">
        <v>2312</v>
      </c>
      <c r="AE174" s="214" t="s">
        <v>2306</v>
      </c>
      <c r="AF174" s="214" t="s">
        <v>2312</v>
      </c>
      <c r="AG174" s="262" t="s">
        <v>2985</v>
      </c>
      <c r="AH174" s="344">
        <v>80</v>
      </c>
      <c r="AI174" s="353">
        <v>0</v>
      </c>
      <c r="AJ174" s="352">
        <v>20</v>
      </c>
      <c r="AK174" s="365">
        <v>0</v>
      </c>
      <c r="AL174" s="365">
        <v>0</v>
      </c>
      <c r="AM174" s="365">
        <v>0</v>
      </c>
      <c r="AN174" s="353">
        <v>0</v>
      </c>
      <c r="AO174" s="353">
        <v>0</v>
      </c>
      <c r="AP174" s="348">
        <v>0</v>
      </c>
      <c r="AQ174" s="348">
        <v>0</v>
      </c>
      <c r="AR174" s="348">
        <v>0</v>
      </c>
      <c r="AS174" s="348">
        <v>0</v>
      </c>
      <c r="AT174" s="352">
        <v>7.0000000000000009</v>
      </c>
      <c r="AU174" s="348">
        <v>0</v>
      </c>
      <c r="AV174" s="348">
        <v>0</v>
      </c>
      <c r="AW174" s="342">
        <v>0.45399999999999996</v>
      </c>
      <c r="AX174" s="341">
        <v>0</v>
      </c>
      <c r="AY174" s="340">
        <v>52.6</v>
      </c>
      <c r="AZ174" s="348"/>
      <c r="BA174" s="316" t="s">
        <v>2985</v>
      </c>
      <c r="BB174" s="94" t="s">
        <v>2985</v>
      </c>
      <c r="BC174" s="425">
        <v>33.6</v>
      </c>
      <c r="BD174" s="348" t="s">
        <v>3544</v>
      </c>
      <c r="BE174" s="353">
        <v>100</v>
      </c>
      <c r="BF174" s="391"/>
      <c r="BG174" s="348">
        <v>400</v>
      </c>
      <c r="BH174" s="416">
        <f>IF(ISBLANK(BF174),(BE174*BG174)/((4*BG174)+(2*BE174)),BE174*BF174*BG174/2/(BE174*BF174+BE174*BG174+BF174*BG174))</f>
        <v>22.222222222222221</v>
      </c>
      <c r="BI174" s="303">
        <v>99</v>
      </c>
      <c r="BJ174" s="307">
        <v>0.25</v>
      </c>
      <c r="BK174" s="507" t="s">
        <v>2985</v>
      </c>
      <c r="BL174" s="307">
        <v>20</v>
      </c>
      <c r="BM174" s="507" t="s">
        <v>2985</v>
      </c>
      <c r="BN174" s="307">
        <v>99</v>
      </c>
      <c r="BO174" s="259" t="s">
        <v>2985</v>
      </c>
      <c r="BP174" s="350"/>
      <c r="BS174" s="321"/>
    </row>
    <row r="175" spans="1:71" s="322" customFormat="1" ht="15" customHeight="1">
      <c r="A175" s="457">
        <v>1341</v>
      </c>
      <c r="B175" s="534" t="s">
        <v>3585</v>
      </c>
      <c r="C175" s="383"/>
      <c r="D175" s="466" t="s">
        <v>3590</v>
      </c>
      <c r="E175" s="469"/>
      <c r="F175" s="303" t="s">
        <v>1985</v>
      </c>
      <c r="G175" s="386" t="s">
        <v>433</v>
      </c>
      <c r="H175" s="340" t="s">
        <v>446</v>
      </c>
      <c r="I175" s="338" t="s">
        <v>3377</v>
      </c>
      <c r="J175" s="348">
        <v>2003</v>
      </c>
      <c r="K175" s="341">
        <v>311</v>
      </c>
      <c r="L175" s="340" t="s">
        <v>1738</v>
      </c>
      <c r="M175" s="341" t="s">
        <v>1739</v>
      </c>
      <c r="N175" s="446">
        <f t="shared" si="36"/>
        <v>0.28030303030303028</v>
      </c>
      <c r="O175" s="362">
        <v>0.33636363636363636</v>
      </c>
      <c r="P175" s="329">
        <v>3.7340909090909089</v>
      </c>
      <c r="Q175" s="310">
        <f t="shared" si="37"/>
        <v>3.1117424242424243</v>
      </c>
      <c r="R175" s="377">
        <f t="shared" si="38"/>
        <v>148</v>
      </c>
      <c r="S175" s="307">
        <v>440</v>
      </c>
      <c r="T175" s="377">
        <f t="shared" si="39"/>
        <v>528</v>
      </c>
      <c r="U175" s="377">
        <f t="shared" si="40"/>
        <v>1643</v>
      </c>
      <c r="V175" s="408" t="s">
        <v>2985</v>
      </c>
      <c r="W175" s="408" t="s">
        <v>2985</v>
      </c>
      <c r="X175" s="313" t="s">
        <v>12</v>
      </c>
      <c r="Y175" s="307" t="s">
        <v>12</v>
      </c>
      <c r="Z175" s="307" t="s">
        <v>12</v>
      </c>
      <c r="AA175" s="516" t="s">
        <v>3525</v>
      </c>
      <c r="AB175" s="341" t="s">
        <v>523</v>
      </c>
      <c r="AC175" s="354" t="s">
        <v>2985</v>
      </c>
      <c r="AD175" s="506" t="s">
        <v>2312</v>
      </c>
      <c r="AE175" s="214" t="s">
        <v>2306</v>
      </c>
      <c r="AF175" s="214" t="s">
        <v>2312</v>
      </c>
      <c r="AG175" s="262" t="s">
        <v>2985</v>
      </c>
      <c r="AH175" s="344">
        <v>80</v>
      </c>
      <c r="AI175" s="353">
        <v>0</v>
      </c>
      <c r="AJ175" s="352">
        <v>20</v>
      </c>
      <c r="AK175" s="365">
        <v>0</v>
      </c>
      <c r="AL175" s="365">
        <v>0</v>
      </c>
      <c r="AM175" s="365">
        <v>0</v>
      </c>
      <c r="AN175" s="353">
        <v>0</v>
      </c>
      <c r="AO175" s="353">
        <v>0</v>
      </c>
      <c r="AP175" s="348">
        <v>0</v>
      </c>
      <c r="AQ175" s="348">
        <v>0</v>
      </c>
      <c r="AR175" s="348">
        <v>0</v>
      </c>
      <c r="AS175" s="348">
        <v>0</v>
      </c>
      <c r="AT175" s="352">
        <v>6.3636363636363633</v>
      </c>
      <c r="AU175" s="348">
        <v>0</v>
      </c>
      <c r="AV175" s="348">
        <v>0</v>
      </c>
      <c r="AW175" s="342">
        <v>0.41272727272727266</v>
      </c>
      <c r="AX175" s="341">
        <v>0</v>
      </c>
      <c r="AY175" s="340">
        <v>62.4</v>
      </c>
      <c r="AZ175" s="356">
        <v>31.2</v>
      </c>
      <c r="BA175" s="316" t="s">
        <v>2985</v>
      </c>
      <c r="BB175" s="94" t="s">
        <v>2985</v>
      </c>
      <c r="BC175" s="425">
        <v>34.5</v>
      </c>
      <c r="BD175" s="348" t="s">
        <v>3544</v>
      </c>
      <c r="BE175" s="353">
        <v>100</v>
      </c>
      <c r="BF175" s="391"/>
      <c r="BG175" s="348">
        <v>400</v>
      </c>
      <c r="BH175" s="416">
        <f>IF(ISBLANK(BF175),(BE175*BG175)/((4*BG175)+(2*BE175)),BE175*BF175*BG175/2/(BE175*BF175+BE175*BG175+BF175*BG175))</f>
        <v>22.222222222222221</v>
      </c>
      <c r="BI175" s="303">
        <v>99</v>
      </c>
      <c r="BJ175" s="307">
        <v>0.25</v>
      </c>
      <c r="BK175" s="507" t="s">
        <v>2985</v>
      </c>
      <c r="BL175" s="307">
        <v>20</v>
      </c>
      <c r="BM175" s="507" t="s">
        <v>2985</v>
      </c>
      <c r="BN175" s="307">
        <v>99</v>
      </c>
      <c r="BO175" s="259" t="s">
        <v>2985</v>
      </c>
      <c r="BP175" s="350"/>
      <c r="BS175" s="321"/>
    </row>
    <row r="176" spans="1:71" s="322" customFormat="1" ht="15" customHeight="1">
      <c r="A176" s="457">
        <v>1342</v>
      </c>
      <c r="B176" s="533" t="s">
        <v>3634</v>
      </c>
      <c r="C176" s="383"/>
      <c r="D176" s="466" t="s">
        <v>3590</v>
      </c>
      <c r="E176" s="469"/>
      <c r="F176" s="303" t="s">
        <v>1986</v>
      </c>
      <c r="G176" s="386" t="s">
        <v>433</v>
      </c>
      <c r="H176" s="340" t="s">
        <v>446</v>
      </c>
      <c r="I176" s="338" t="s">
        <v>3377</v>
      </c>
      <c r="J176" s="348">
        <v>2003</v>
      </c>
      <c r="K176" s="341">
        <v>311</v>
      </c>
      <c r="L176" s="340" t="s">
        <v>1738</v>
      </c>
      <c r="M176" s="341" t="s">
        <v>1739</v>
      </c>
      <c r="N176" s="446">
        <f t="shared" si="36"/>
        <v>0.31</v>
      </c>
      <c r="O176" s="362">
        <v>0.31</v>
      </c>
      <c r="P176" s="329">
        <v>3.4</v>
      </c>
      <c r="Q176" s="310">
        <f t="shared" si="37"/>
        <v>3.4</v>
      </c>
      <c r="R176" s="377">
        <f t="shared" si="38"/>
        <v>155</v>
      </c>
      <c r="S176" s="307">
        <v>500</v>
      </c>
      <c r="T176" s="377">
        <f t="shared" si="39"/>
        <v>500</v>
      </c>
      <c r="U176" s="377">
        <f t="shared" si="40"/>
        <v>1700</v>
      </c>
      <c r="V176" s="408" t="s">
        <v>2985</v>
      </c>
      <c r="W176" s="408" t="s">
        <v>2985</v>
      </c>
      <c r="X176" s="313" t="s">
        <v>12</v>
      </c>
      <c r="Y176" s="307" t="s">
        <v>12</v>
      </c>
      <c r="Z176" s="307" t="s">
        <v>12</v>
      </c>
      <c r="AA176" s="516" t="s">
        <v>1754</v>
      </c>
      <c r="AB176" s="341" t="s">
        <v>523</v>
      </c>
      <c r="AC176" s="354" t="s">
        <v>2985</v>
      </c>
      <c r="AD176" s="506" t="s">
        <v>2312</v>
      </c>
      <c r="AE176" s="214" t="s">
        <v>2306</v>
      </c>
      <c r="AF176" s="214" t="s">
        <v>2312</v>
      </c>
      <c r="AG176" s="262" t="s">
        <v>2985</v>
      </c>
      <c r="AH176" s="344">
        <v>100</v>
      </c>
      <c r="AI176" s="353">
        <v>0</v>
      </c>
      <c r="AJ176" s="395">
        <v>0</v>
      </c>
      <c r="AK176" s="365">
        <v>0</v>
      </c>
      <c r="AL176" s="365">
        <v>0</v>
      </c>
      <c r="AM176" s="365">
        <v>0</v>
      </c>
      <c r="AN176" s="353">
        <v>0</v>
      </c>
      <c r="AO176" s="353">
        <v>0</v>
      </c>
      <c r="AP176" s="348">
        <v>0</v>
      </c>
      <c r="AQ176" s="348">
        <v>0</v>
      </c>
      <c r="AR176" s="348">
        <v>0</v>
      </c>
      <c r="AS176" s="348">
        <v>0</v>
      </c>
      <c r="AT176" s="352">
        <v>7.0000000000000009</v>
      </c>
      <c r="AU176" s="348">
        <v>0</v>
      </c>
      <c r="AV176" s="348">
        <v>0</v>
      </c>
      <c r="AW176" s="342">
        <v>0.45399999999999996</v>
      </c>
      <c r="AX176" s="341">
        <v>0</v>
      </c>
      <c r="AY176" s="340">
        <v>55.5</v>
      </c>
      <c r="AZ176" s="348"/>
      <c r="BA176" s="316" t="s">
        <v>2985</v>
      </c>
      <c r="BB176" s="94" t="s">
        <v>2985</v>
      </c>
      <c r="BC176" s="425">
        <v>34.299999999999997</v>
      </c>
      <c r="BD176" s="348" t="s">
        <v>3544</v>
      </c>
      <c r="BE176" s="353">
        <v>100</v>
      </c>
      <c r="BF176" s="391"/>
      <c r="BG176" s="348">
        <v>400</v>
      </c>
      <c r="BH176" s="416">
        <f>IF(ISBLANK(BF176),(BE176*BG176)/((4*BG176)+(2*BE176)),BE176*BF176*BG176/2/(BE176*BF176+BE176*BG176+BF176*BG176))</f>
        <v>22.222222222222221</v>
      </c>
      <c r="BI176" s="303">
        <v>99</v>
      </c>
      <c r="BJ176" s="307">
        <v>0.25</v>
      </c>
      <c r="BK176" s="507" t="s">
        <v>2985</v>
      </c>
      <c r="BL176" s="307">
        <v>20</v>
      </c>
      <c r="BM176" s="507" t="s">
        <v>2985</v>
      </c>
      <c r="BN176" s="307">
        <v>99</v>
      </c>
      <c r="BO176" s="259" t="s">
        <v>2985</v>
      </c>
      <c r="BP176" s="350"/>
      <c r="BS176" s="321"/>
    </row>
    <row r="177" spans="1:71" s="322" customFormat="1" ht="15" customHeight="1">
      <c r="A177" s="457">
        <v>1343</v>
      </c>
      <c r="B177" s="533" t="s">
        <v>3634</v>
      </c>
      <c r="C177" s="383"/>
      <c r="D177" s="466" t="s">
        <v>3590</v>
      </c>
      <c r="E177" s="469"/>
      <c r="F177" s="303" t="s">
        <v>1987</v>
      </c>
      <c r="G177" s="386" t="s">
        <v>433</v>
      </c>
      <c r="H177" s="340" t="s">
        <v>446</v>
      </c>
      <c r="I177" s="338" t="s">
        <v>3377</v>
      </c>
      <c r="J177" s="348">
        <v>2003</v>
      </c>
      <c r="K177" s="341">
        <v>311</v>
      </c>
      <c r="L177" s="340" t="s">
        <v>1738</v>
      </c>
      <c r="M177" s="341" t="s">
        <v>1739</v>
      </c>
      <c r="N177" s="446">
        <f t="shared" si="36"/>
        <v>0.31313131313131315</v>
      </c>
      <c r="O177" s="362">
        <v>0.34444444444444444</v>
      </c>
      <c r="P177" s="329">
        <v>3.7422222222222223</v>
      </c>
      <c r="Q177" s="310">
        <f t="shared" si="37"/>
        <v>3.4020202020202022</v>
      </c>
      <c r="R177" s="377">
        <f t="shared" si="38"/>
        <v>155</v>
      </c>
      <c r="S177" s="307">
        <v>450</v>
      </c>
      <c r="T177" s="377">
        <f t="shared" si="39"/>
        <v>495</v>
      </c>
      <c r="U177" s="377">
        <f t="shared" si="40"/>
        <v>1684</v>
      </c>
      <c r="V177" s="408" t="s">
        <v>2985</v>
      </c>
      <c r="W177" s="408" t="s">
        <v>2985</v>
      </c>
      <c r="X177" s="313" t="s">
        <v>12</v>
      </c>
      <c r="Y177" s="307" t="s">
        <v>12</v>
      </c>
      <c r="Z177" s="307" t="s">
        <v>12</v>
      </c>
      <c r="AA177" s="516" t="s">
        <v>3525</v>
      </c>
      <c r="AB177" s="341" t="s">
        <v>523</v>
      </c>
      <c r="AC177" s="354" t="s">
        <v>2985</v>
      </c>
      <c r="AD177" s="506" t="s">
        <v>2312</v>
      </c>
      <c r="AE177" s="214" t="s">
        <v>2306</v>
      </c>
      <c r="AF177" s="214" t="s">
        <v>2312</v>
      </c>
      <c r="AG177" s="262" t="s">
        <v>2985</v>
      </c>
      <c r="AH177" s="344">
        <v>90</v>
      </c>
      <c r="AI177" s="353">
        <v>0</v>
      </c>
      <c r="AJ177" s="352">
        <v>10</v>
      </c>
      <c r="AK177" s="365">
        <v>0</v>
      </c>
      <c r="AL177" s="365">
        <v>0</v>
      </c>
      <c r="AM177" s="365">
        <v>0</v>
      </c>
      <c r="AN177" s="353">
        <v>0</v>
      </c>
      <c r="AO177" s="353">
        <v>0</v>
      </c>
      <c r="AP177" s="348">
        <v>0</v>
      </c>
      <c r="AQ177" s="348">
        <v>0</v>
      </c>
      <c r="AR177" s="348">
        <v>0</v>
      </c>
      <c r="AS177" s="348">
        <v>0</v>
      </c>
      <c r="AT177" s="352">
        <v>6.9999999999999991</v>
      </c>
      <c r="AU177" s="348">
        <v>0</v>
      </c>
      <c r="AV177" s="348">
        <v>0</v>
      </c>
      <c r="AW177" s="342">
        <v>0.45399999999999996</v>
      </c>
      <c r="AX177" s="341">
        <v>0</v>
      </c>
      <c r="AY177" s="340">
        <v>53.4</v>
      </c>
      <c r="AZ177" s="348"/>
      <c r="BA177" s="316" t="s">
        <v>2985</v>
      </c>
      <c r="BB177" s="94" t="s">
        <v>2985</v>
      </c>
      <c r="BC177" s="425">
        <v>34</v>
      </c>
      <c r="BD177" s="348" t="s">
        <v>3544</v>
      </c>
      <c r="BE177" s="353">
        <v>100</v>
      </c>
      <c r="BF177" s="391"/>
      <c r="BG177" s="348">
        <v>400</v>
      </c>
      <c r="BH177" s="416">
        <f>IF(ISBLANK(BF177),(BE177*BG177)/((4*BG177)+(2*BE177)),BE177*BF177*BG177/2/(BE177*BF177+BE177*BG177+BF177*BG177))</f>
        <v>22.222222222222221</v>
      </c>
      <c r="BI177" s="303">
        <v>99</v>
      </c>
      <c r="BJ177" s="307">
        <v>0.25</v>
      </c>
      <c r="BK177" s="507" t="s">
        <v>2985</v>
      </c>
      <c r="BL177" s="307">
        <v>20</v>
      </c>
      <c r="BM177" s="507" t="s">
        <v>2985</v>
      </c>
      <c r="BN177" s="307">
        <v>99</v>
      </c>
      <c r="BO177" s="259" t="s">
        <v>2985</v>
      </c>
      <c r="BP177" s="350"/>
      <c r="BS177" s="321"/>
    </row>
    <row r="178" spans="1:71" s="322" customFormat="1" ht="15" customHeight="1">
      <c r="A178" s="457">
        <v>1344</v>
      </c>
      <c r="B178" s="533" t="s">
        <v>3634</v>
      </c>
      <c r="C178" s="383"/>
      <c r="D178" s="466" t="s">
        <v>3590</v>
      </c>
      <c r="E178" s="469"/>
      <c r="F178" s="303" t="s">
        <v>1988</v>
      </c>
      <c r="G178" s="386" t="s">
        <v>433</v>
      </c>
      <c r="H178" s="340" t="s">
        <v>446</v>
      </c>
      <c r="I178" s="338" t="s">
        <v>3377</v>
      </c>
      <c r="J178" s="348">
        <v>2003</v>
      </c>
      <c r="K178" s="341">
        <v>311</v>
      </c>
      <c r="L178" s="340" t="s">
        <v>1738</v>
      </c>
      <c r="M178" s="341" t="s">
        <v>1739</v>
      </c>
      <c r="N178" s="446">
        <f t="shared" si="36"/>
        <v>0.32291666666666669</v>
      </c>
      <c r="O178" s="362">
        <v>0.38750000000000001</v>
      </c>
      <c r="P178" s="329">
        <v>4.17</v>
      </c>
      <c r="Q178" s="310">
        <f t="shared" si="37"/>
        <v>3.4750000000000001</v>
      </c>
      <c r="R178" s="377">
        <f t="shared" si="38"/>
        <v>155</v>
      </c>
      <c r="S178" s="307">
        <v>400</v>
      </c>
      <c r="T178" s="377">
        <f t="shared" si="39"/>
        <v>480</v>
      </c>
      <c r="U178" s="377">
        <f t="shared" si="40"/>
        <v>1668</v>
      </c>
      <c r="V178" s="408" t="s">
        <v>2985</v>
      </c>
      <c r="W178" s="408" t="s">
        <v>2985</v>
      </c>
      <c r="X178" s="313" t="s">
        <v>12</v>
      </c>
      <c r="Y178" s="307" t="s">
        <v>12</v>
      </c>
      <c r="Z178" s="307" t="s">
        <v>12</v>
      </c>
      <c r="AA178" s="516" t="s">
        <v>3525</v>
      </c>
      <c r="AB178" s="341" t="s">
        <v>523</v>
      </c>
      <c r="AC178" s="354" t="s">
        <v>2985</v>
      </c>
      <c r="AD178" s="506" t="s">
        <v>2312</v>
      </c>
      <c r="AE178" s="214" t="s">
        <v>2306</v>
      </c>
      <c r="AF178" s="214" t="s">
        <v>2312</v>
      </c>
      <c r="AG178" s="262" t="s">
        <v>2985</v>
      </c>
      <c r="AH178" s="344">
        <v>80</v>
      </c>
      <c r="AI178" s="353">
        <v>0</v>
      </c>
      <c r="AJ178" s="352">
        <v>20</v>
      </c>
      <c r="AK178" s="365">
        <v>0</v>
      </c>
      <c r="AL178" s="365">
        <v>0</v>
      </c>
      <c r="AM178" s="365">
        <v>0</v>
      </c>
      <c r="AN178" s="353">
        <v>0</v>
      </c>
      <c r="AO178" s="353">
        <v>0</v>
      </c>
      <c r="AP178" s="348">
        <v>0</v>
      </c>
      <c r="AQ178" s="348">
        <v>0</v>
      </c>
      <c r="AR178" s="348">
        <v>0</v>
      </c>
      <c r="AS178" s="348">
        <v>0</v>
      </c>
      <c r="AT178" s="352">
        <v>7.0000000000000009</v>
      </c>
      <c r="AU178" s="348">
        <v>0</v>
      </c>
      <c r="AV178" s="348">
        <v>0</v>
      </c>
      <c r="AW178" s="342">
        <v>0.45399999999999996</v>
      </c>
      <c r="AX178" s="341">
        <v>0</v>
      </c>
      <c r="AY178" s="340">
        <v>52.6</v>
      </c>
      <c r="AZ178" s="348"/>
      <c r="BA178" s="316" t="s">
        <v>2985</v>
      </c>
      <c r="BB178" s="94" t="s">
        <v>2985</v>
      </c>
      <c r="BC178" s="425">
        <v>33.6</v>
      </c>
      <c r="BD178" s="348" t="s">
        <v>3544</v>
      </c>
      <c r="BE178" s="353">
        <v>100</v>
      </c>
      <c r="BF178" s="391"/>
      <c r="BG178" s="348">
        <v>400</v>
      </c>
      <c r="BH178" s="416">
        <f>IF(ISBLANK(BF178),(BE178*BG178)/((4*BG178)+(2*BE178)),BE178*BF178*BG178/2/(BE178*BF178+BE178*BG178+BF178*BG178))</f>
        <v>22.222222222222221</v>
      </c>
      <c r="BI178" s="303">
        <v>99</v>
      </c>
      <c r="BJ178" s="307">
        <v>0.25</v>
      </c>
      <c r="BK178" s="507" t="s">
        <v>2985</v>
      </c>
      <c r="BL178" s="307">
        <v>20</v>
      </c>
      <c r="BM178" s="507" t="s">
        <v>2985</v>
      </c>
      <c r="BN178" s="307">
        <v>99</v>
      </c>
      <c r="BO178" s="259" t="s">
        <v>2985</v>
      </c>
      <c r="BP178" s="350"/>
      <c r="BS178" s="321"/>
    </row>
    <row r="179" spans="1:71" s="322" customFormat="1" ht="15" customHeight="1">
      <c r="A179" s="457">
        <v>1345</v>
      </c>
      <c r="B179" s="533" t="s">
        <v>3634</v>
      </c>
      <c r="C179" s="383"/>
      <c r="D179" s="466" t="s">
        <v>3590</v>
      </c>
      <c r="E179" s="469"/>
      <c r="F179" s="303" t="s">
        <v>1989</v>
      </c>
      <c r="G179" s="386" t="s">
        <v>433</v>
      </c>
      <c r="H179" s="340" t="s">
        <v>446</v>
      </c>
      <c r="I179" s="338" t="s">
        <v>3377</v>
      </c>
      <c r="J179" s="348">
        <v>2003</v>
      </c>
      <c r="K179" s="341">
        <v>311</v>
      </c>
      <c r="L179" s="340" t="s">
        <v>1738</v>
      </c>
      <c r="M179" s="341" t="s">
        <v>1739</v>
      </c>
      <c r="N179" s="446">
        <f t="shared" si="36"/>
        <v>0.34065934065934067</v>
      </c>
      <c r="O179" s="307">
        <v>0.44285714285714284</v>
      </c>
      <c r="P179" s="329">
        <v>4.72</v>
      </c>
      <c r="Q179" s="310">
        <f t="shared" si="37"/>
        <v>3.6307692307692307</v>
      </c>
      <c r="R179" s="377">
        <f t="shared" si="38"/>
        <v>155</v>
      </c>
      <c r="S179" s="307">
        <v>350</v>
      </c>
      <c r="T179" s="377">
        <f t="shared" si="39"/>
        <v>455</v>
      </c>
      <c r="U179" s="377">
        <f t="shared" si="40"/>
        <v>1652</v>
      </c>
      <c r="V179" s="408" t="s">
        <v>2985</v>
      </c>
      <c r="W179" s="408" t="s">
        <v>2985</v>
      </c>
      <c r="X179" s="303" t="s">
        <v>12</v>
      </c>
      <c r="Y179" s="307" t="s">
        <v>12</v>
      </c>
      <c r="Z179" s="317" t="s">
        <v>2985</v>
      </c>
      <c r="AA179" s="311" t="s">
        <v>3545</v>
      </c>
      <c r="AB179" s="304" t="s">
        <v>523</v>
      </c>
      <c r="AC179" s="441" t="s">
        <v>2985</v>
      </c>
      <c r="AD179" s="515" t="s">
        <v>2985</v>
      </c>
      <c r="AE179" s="348" t="s">
        <v>2306</v>
      </c>
      <c r="AF179" s="348" t="s">
        <v>2312</v>
      </c>
      <c r="AG179" s="262" t="s">
        <v>2985</v>
      </c>
      <c r="AH179" s="351">
        <v>70</v>
      </c>
      <c r="AI179" s="348">
        <v>0</v>
      </c>
      <c r="AJ179" s="356">
        <v>30</v>
      </c>
      <c r="AK179" s="348">
        <v>0</v>
      </c>
      <c r="AL179" s="348">
        <v>0</v>
      </c>
      <c r="AM179" s="348">
        <v>0</v>
      </c>
      <c r="AN179" s="348">
        <v>0</v>
      </c>
      <c r="AO179" s="348">
        <v>0</v>
      </c>
      <c r="AP179" s="307">
        <v>0</v>
      </c>
      <c r="AQ179" s="348">
        <v>0</v>
      </c>
      <c r="AR179" s="348">
        <v>0</v>
      </c>
      <c r="AS179" s="365">
        <v>0</v>
      </c>
      <c r="AT179" s="356">
        <v>6.9999999999999991</v>
      </c>
      <c r="AU179" s="365">
        <v>0</v>
      </c>
      <c r="AV179" s="365">
        <v>0</v>
      </c>
      <c r="AW179" s="396">
        <v>0.45399999999999996</v>
      </c>
      <c r="AX179" s="341">
        <v>0</v>
      </c>
      <c r="AY179" s="340">
        <v>49.3</v>
      </c>
      <c r="AZ179" s="348"/>
      <c r="BA179" s="316" t="s">
        <v>2985</v>
      </c>
      <c r="BB179" s="94" t="s">
        <v>2985</v>
      </c>
      <c r="BC179" s="341">
        <v>32.799999999999997</v>
      </c>
      <c r="BD179" s="348" t="s">
        <v>3544</v>
      </c>
      <c r="BE179" s="348">
        <v>100</v>
      </c>
      <c r="BF179" s="348"/>
      <c r="BG179" s="348">
        <v>400</v>
      </c>
      <c r="BH179" s="425">
        <v>22.222222222222221</v>
      </c>
      <c r="BI179" s="303">
        <v>99</v>
      </c>
      <c r="BJ179" s="307">
        <v>0.25</v>
      </c>
      <c r="BK179" s="318" t="s">
        <v>2985</v>
      </c>
      <c r="BL179" s="307">
        <v>20</v>
      </c>
      <c r="BM179" s="318" t="s">
        <v>2985</v>
      </c>
      <c r="BN179" s="307">
        <v>99</v>
      </c>
      <c r="BO179" s="432" t="s">
        <v>2985</v>
      </c>
      <c r="BP179" s="343"/>
      <c r="BS179" s="321"/>
    </row>
    <row r="180" spans="1:71" s="322" customFormat="1">
      <c r="A180" s="457">
        <v>1346</v>
      </c>
      <c r="B180" s="534" t="s">
        <v>3603</v>
      </c>
      <c r="C180" s="383"/>
      <c r="D180" s="466" t="s">
        <v>3590</v>
      </c>
      <c r="E180" s="469"/>
      <c r="F180" s="303" t="s">
        <v>1990</v>
      </c>
      <c r="G180" s="386" t="s">
        <v>433</v>
      </c>
      <c r="H180" s="340" t="s">
        <v>446</v>
      </c>
      <c r="I180" s="338" t="s">
        <v>3377</v>
      </c>
      <c r="J180" s="348">
        <v>2003</v>
      </c>
      <c r="K180" s="341">
        <v>311</v>
      </c>
      <c r="L180" s="340" t="s">
        <v>1738</v>
      </c>
      <c r="M180" s="341" t="s">
        <v>1739</v>
      </c>
      <c r="N180" s="446">
        <f t="shared" si="36"/>
        <v>0.2690909090909091</v>
      </c>
      <c r="O180" s="362">
        <v>0.2690909090909091</v>
      </c>
      <c r="P180" s="329">
        <v>3.0490909090909093</v>
      </c>
      <c r="Q180" s="310">
        <f t="shared" si="37"/>
        <v>3.0490909090909093</v>
      </c>
      <c r="R180" s="377">
        <f t="shared" si="38"/>
        <v>148</v>
      </c>
      <c r="S180" s="307">
        <v>550</v>
      </c>
      <c r="T180" s="377">
        <f t="shared" si="39"/>
        <v>550</v>
      </c>
      <c r="U180" s="377">
        <f t="shared" si="40"/>
        <v>1677</v>
      </c>
      <c r="V180" s="408" t="s">
        <v>2985</v>
      </c>
      <c r="W180" s="408" t="s">
        <v>2985</v>
      </c>
      <c r="X180" s="313" t="s">
        <v>12</v>
      </c>
      <c r="Y180" s="307" t="s">
        <v>12</v>
      </c>
      <c r="Z180" s="307" t="s">
        <v>12</v>
      </c>
      <c r="AA180" s="516" t="s">
        <v>1754</v>
      </c>
      <c r="AB180" s="341" t="s">
        <v>523</v>
      </c>
      <c r="AC180" s="354" t="s">
        <v>2985</v>
      </c>
      <c r="AD180" s="506" t="s">
        <v>2312</v>
      </c>
      <c r="AE180" s="214" t="s">
        <v>2306</v>
      </c>
      <c r="AF180" s="214" t="s">
        <v>2312</v>
      </c>
      <c r="AG180" s="262" t="s">
        <v>2985</v>
      </c>
      <c r="AH180" s="344">
        <v>100</v>
      </c>
      <c r="AI180" s="353">
        <v>0</v>
      </c>
      <c r="AJ180" s="395">
        <v>0</v>
      </c>
      <c r="AK180" s="365">
        <v>0</v>
      </c>
      <c r="AL180" s="365">
        <v>0</v>
      </c>
      <c r="AM180" s="365">
        <v>0</v>
      </c>
      <c r="AN180" s="353">
        <v>0</v>
      </c>
      <c r="AO180" s="353">
        <v>0</v>
      </c>
      <c r="AP180" s="348">
        <v>0</v>
      </c>
      <c r="AQ180" s="348">
        <v>0</v>
      </c>
      <c r="AR180" s="348">
        <v>0</v>
      </c>
      <c r="AS180" s="348">
        <v>0</v>
      </c>
      <c r="AT180" s="352">
        <v>6.3636363636363633</v>
      </c>
      <c r="AU180" s="348">
        <v>0</v>
      </c>
      <c r="AV180" s="348">
        <v>0</v>
      </c>
      <c r="AW180" s="342">
        <v>0.41272727272727278</v>
      </c>
      <c r="AX180" s="341">
        <v>0</v>
      </c>
      <c r="AY180" s="340">
        <v>66.2</v>
      </c>
      <c r="AZ180" s="356"/>
      <c r="BA180" s="316" t="s">
        <v>2985</v>
      </c>
      <c r="BB180" s="94" t="s">
        <v>2985</v>
      </c>
      <c r="BC180" s="425">
        <v>36.200000000000003</v>
      </c>
      <c r="BD180" s="348" t="s">
        <v>3544</v>
      </c>
      <c r="BE180" s="353">
        <v>100</v>
      </c>
      <c r="BF180" s="391"/>
      <c r="BG180" s="348">
        <v>400</v>
      </c>
      <c r="BH180" s="416">
        <f t="shared" ref="BH180:BH185" si="42">IF(ISBLANK(BF180),(BE180*BG180)/((4*BG180)+(2*BE180)),BE180*BF180*BG180/2/(BE180*BF180+BE180*BG180+BF180*BG180))</f>
        <v>22.222222222222221</v>
      </c>
      <c r="BI180" s="303">
        <v>99</v>
      </c>
      <c r="BJ180" s="307">
        <v>0.25</v>
      </c>
      <c r="BK180" s="507" t="s">
        <v>2985</v>
      </c>
      <c r="BL180" s="307">
        <v>20</v>
      </c>
      <c r="BM180" s="507" t="s">
        <v>2985</v>
      </c>
      <c r="BN180" s="307">
        <v>99</v>
      </c>
      <c r="BO180" s="259" t="s">
        <v>2985</v>
      </c>
      <c r="BP180" s="350"/>
      <c r="BS180" s="321"/>
    </row>
    <row r="181" spans="1:71" s="322" customFormat="1">
      <c r="A181" s="457">
        <v>1347</v>
      </c>
      <c r="B181" s="534" t="s">
        <v>3603</v>
      </c>
      <c r="C181" s="383"/>
      <c r="D181" s="466" t="s">
        <v>3590</v>
      </c>
      <c r="E181" s="469"/>
      <c r="F181" s="303" t="s">
        <v>1991</v>
      </c>
      <c r="G181" s="386" t="s">
        <v>433</v>
      </c>
      <c r="H181" s="340" t="s">
        <v>446</v>
      </c>
      <c r="I181" s="338" t="s">
        <v>3377</v>
      </c>
      <c r="J181" s="348">
        <v>2003</v>
      </c>
      <c r="K181" s="341">
        <v>311</v>
      </c>
      <c r="L181" s="340" t="s">
        <v>1738</v>
      </c>
      <c r="M181" s="341" t="s">
        <v>1739</v>
      </c>
      <c r="N181" s="446">
        <f t="shared" si="36"/>
        <v>0.27180899908172634</v>
      </c>
      <c r="O181" s="362">
        <v>0.29898989898989897</v>
      </c>
      <c r="P181" s="329">
        <v>3.3555555555555556</v>
      </c>
      <c r="Q181" s="310">
        <f t="shared" si="37"/>
        <v>3.0505050505050506</v>
      </c>
      <c r="R181" s="377">
        <f t="shared" si="38"/>
        <v>148</v>
      </c>
      <c r="S181" s="307">
        <v>495</v>
      </c>
      <c r="T181" s="377">
        <f t="shared" si="39"/>
        <v>544.5</v>
      </c>
      <c r="U181" s="377">
        <f t="shared" si="40"/>
        <v>1661</v>
      </c>
      <c r="V181" s="408" t="s">
        <v>2985</v>
      </c>
      <c r="W181" s="408" t="s">
        <v>2985</v>
      </c>
      <c r="X181" s="313" t="s">
        <v>12</v>
      </c>
      <c r="Y181" s="307" t="s">
        <v>12</v>
      </c>
      <c r="Z181" s="307" t="s">
        <v>12</v>
      </c>
      <c r="AA181" s="516" t="s">
        <v>3525</v>
      </c>
      <c r="AB181" s="341" t="s">
        <v>523</v>
      </c>
      <c r="AC181" s="354" t="s">
        <v>2985</v>
      </c>
      <c r="AD181" s="506" t="s">
        <v>2312</v>
      </c>
      <c r="AE181" s="214" t="s">
        <v>2306</v>
      </c>
      <c r="AF181" s="214" t="s">
        <v>2312</v>
      </c>
      <c r="AG181" s="262" t="s">
        <v>2985</v>
      </c>
      <c r="AH181" s="344">
        <v>90</v>
      </c>
      <c r="AI181" s="353">
        <v>0</v>
      </c>
      <c r="AJ181" s="352">
        <v>10</v>
      </c>
      <c r="AK181" s="365">
        <v>0</v>
      </c>
      <c r="AL181" s="365">
        <v>0</v>
      </c>
      <c r="AM181" s="365">
        <v>0</v>
      </c>
      <c r="AN181" s="353">
        <v>0</v>
      </c>
      <c r="AO181" s="353">
        <v>0</v>
      </c>
      <c r="AP181" s="348">
        <v>0</v>
      </c>
      <c r="AQ181" s="348">
        <v>0</v>
      </c>
      <c r="AR181" s="348">
        <v>0</v>
      </c>
      <c r="AS181" s="348">
        <v>0</v>
      </c>
      <c r="AT181" s="352">
        <v>6.3636363636363633</v>
      </c>
      <c r="AU181" s="348">
        <v>0</v>
      </c>
      <c r="AV181" s="348">
        <v>0</v>
      </c>
      <c r="AW181" s="342">
        <v>0.41272727272727266</v>
      </c>
      <c r="AX181" s="341">
        <v>0</v>
      </c>
      <c r="AY181" s="340">
        <v>63.6</v>
      </c>
      <c r="AZ181" s="356"/>
      <c r="BA181" s="316" t="s">
        <v>2985</v>
      </c>
      <c r="BB181" s="94" t="s">
        <v>2985</v>
      </c>
      <c r="BC181" s="425">
        <v>35.1</v>
      </c>
      <c r="BD181" s="348" t="s">
        <v>3544</v>
      </c>
      <c r="BE181" s="353">
        <v>100</v>
      </c>
      <c r="BF181" s="391"/>
      <c r="BG181" s="348">
        <v>400</v>
      </c>
      <c r="BH181" s="416">
        <f t="shared" si="42"/>
        <v>22.222222222222221</v>
      </c>
      <c r="BI181" s="303">
        <v>99</v>
      </c>
      <c r="BJ181" s="307">
        <v>0.25</v>
      </c>
      <c r="BK181" s="507" t="s">
        <v>2985</v>
      </c>
      <c r="BL181" s="307">
        <v>20</v>
      </c>
      <c r="BM181" s="507" t="s">
        <v>2985</v>
      </c>
      <c r="BN181" s="307">
        <v>99</v>
      </c>
      <c r="BO181" s="259" t="s">
        <v>2985</v>
      </c>
      <c r="BP181" s="350"/>
      <c r="BS181" s="321"/>
    </row>
    <row r="182" spans="1:71" s="322" customFormat="1">
      <c r="A182" s="457">
        <v>1348</v>
      </c>
      <c r="B182" s="534" t="s">
        <v>3603</v>
      </c>
      <c r="C182" s="383"/>
      <c r="D182" s="466" t="s">
        <v>3590</v>
      </c>
      <c r="E182" s="469"/>
      <c r="F182" s="303" t="s">
        <v>1992</v>
      </c>
      <c r="G182" s="386" t="s">
        <v>433</v>
      </c>
      <c r="H182" s="340" t="s">
        <v>446</v>
      </c>
      <c r="I182" s="338" t="s">
        <v>3377</v>
      </c>
      <c r="J182" s="348">
        <v>2003</v>
      </c>
      <c r="K182" s="341">
        <v>311</v>
      </c>
      <c r="L182" s="340" t="s">
        <v>1738</v>
      </c>
      <c r="M182" s="341" t="s">
        <v>1739</v>
      </c>
      <c r="N182" s="446">
        <f t="shared" si="36"/>
        <v>0.28030303030303028</v>
      </c>
      <c r="O182" s="362">
        <v>0.33636363636363636</v>
      </c>
      <c r="P182" s="329">
        <v>3.7340909090909089</v>
      </c>
      <c r="Q182" s="310">
        <f t="shared" si="37"/>
        <v>3.1117424242424243</v>
      </c>
      <c r="R182" s="377">
        <f t="shared" si="38"/>
        <v>148</v>
      </c>
      <c r="S182" s="307">
        <v>440</v>
      </c>
      <c r="T182" s="377">
        <f t="shared" si="39"/>
        <v>528</v>
      </c>
      <c r="U182" s="377">
        <f t="shared" si="40"/>
        <v>1643</v>
      </c>
      <c r="V182" s="408" t="s">
        <v>2985</v>
      </c>
      <c r="W182" s="408" t="s">
        <v>2985</v>
      </c>
      <c r="X182" s="313" t="s">
        <v>12</v>
      </c>
      <c r="Y182" s="307" t="s">
        <v>12</v>
      </c>
      <c r="Z182" s="307" t="s">
        <v>12</v>
      </c>
      <c r="AA182" s="516" t="s">
        <v>3525</v>
      </c>
      <c r="AB182" s="341" t="s">
        <v>523</v>
      </c>
      <c r="AC182" s="354" t="s">
        <v>2985</v>
      </c>
      <c r="AD182" s="506" t="s">
        <v>2312</v>
      </c>
      <c r="AE182" s="214" t="s">
        <v>2306</v>
      </c>
      <c r="AF182" s="214" t="s">
        <v>2312</v>
      </c>
      <c r="AG182" s="262" t="s">
        <v>2985</v>
      </c>
      <c r="AH182" s="344">
        <v>80</v>
      </c>
      <c r="AI182" s="353">
        <v>0</v>
      </c>
      <c r="AJ182" s="352">
        <v>20</v>
      </c>
      <c r="AK182" s="365">
        <v>0</v>
      </c>
      <c r="AL182" s="365">
        <v>0</v>
      </c>
      <c r="AM182" s="365">
        <v>0</v>
      </c>
      <c r="AN182" s="353">
        <v>0</v>
      </c>
      <c r="AO182" s="353">
        <v>0</v>
      </c>
      <c r="AP182" s="348">
        <v>0</v>
      </c>
      <c r="AQ182" s="348">
        <v>0</v>
      </c>
      <c r="AR182" s="348">
        <v>0</v>
      </c>
      <c r="AS182" s="348">
        <v>0</v>
      </c>
      <c r="AT182" s="352">
        <v>6.3636363636363633</v>
      </c>
      <c r="AU182" s="348">
        <v>0</v>
      </c>
      <c r="AV182" s="348">
        <v>0</v>
      </c>
      <c r="AW182" s="342">
        <v>0.41272727272727266</v>
      </c>
      <c r="AX182" s="341">
        <v>0</v>
      </c>
      <c r="AY182" s="340">
        <v>62.4</v>
      </c>
      <c r="AZ182" s="356"/>
      <c r="BA182" s="316" t="s">
        <v>2985</v>
      </c>
      <c r="BB182" s="94" t="s">
        <v>2985</v>
      </c>
      <c r="BC182" s="425">
        <v>34.5</v>
      </c>
      <c r="BD182" s="348" t="s">
        <v>3544</v>
      </c>
      <c r="BE182" s="353">
        <v>100</v>
      </c>
      <c r="BF182" s="391"/>
      <c r="BG182" s="348">
        <v>400</v>
      </c>
      <c r="BH182" s="416">
        <f t="shared" si="42"/>
        <v>22.222222222222221</v>
      </c>
      <c r="BI182" s="303">
        <v>99</v>
      </c>
      <c r="BJ182" s="307">
        <v>0.25</v>
      </c>
      <c r="BK182" s="507" t="s">
        <v>2985</v>
      </c>
      <c r="BL182" s="307">
        <v>20</v>
      </c>
      <c r="BM182" s="507" t="s">
        <v>2985</v>
      </c>
      <c r="BN182" s="307">
        <v>99</v>
      </c>
      <c r="BO182" s="259" t="s">
        <v>2985</v>
      </c>
      <c r="BP182" s="350"/>
      <c r="BS182" s="321"/>
    </row>
    <row r="183" spans="1:71" s="322" customFormat="1" ht="18">
      <c r="A183" s="457">
        <v>1349</v>
      </c>
      <c r="B183" s="533" t="s">
        <v>3634</v>
      </c>
      <c r="C183" s="383"/>
      <c r="D183" s="466" t="s">
        <v>3590</v>
      </c>
      <c r="E183" s="469"/>
      <c r="F183" s="303" t="s">
        <v>1993</v>
      </c>
      <c r="G183" s="386" t="s">
        <v>433</v>
      </c>
      <c r="H183" s="340" t="s">
        <v>446</v>
      </c>
      <c r="I183" s="338" t="s">
        <v>3377</v>
      </c>
      <c r="J183" s="348">
        <v>2003</v>
      </c>
      <c r="K183" s="341">
        <v>311</v>
      </c>
      <c r="L183" s="340" t="s">
        <v>1738</v>
      </c>
      <c r="M183" s="341" t="s">
        <v>1739</v>
      </c>
      <c r="N183" s="446">
        <f t="shared" si="36"/>
        <v>0.29570429570429568</v>
      </c>
      <c r="O183" s="362">
        <v>0.38441558441558443</v>
      </c>
      <c r="P183" s="329">
        <v>4.220779220779221</v>
      </c>
      <c r="Q183" s="310">
        <f t="shared" si="37"/>
        <v>3.2467532467532467</v>
      </c>
      <c r="R183" s="377">
        <f t="shared" si="38"/>
        <v>148</v>
      </c>
      <c r="S183" s="307">
        <v>385</v>
      </c>
      <c r="T183" s="377">
        <f t="shared" si="39"/>
        <v>500.5</v>
      </c>
      <c r="U183" s="377">
        <f t="shared" si="40"/>
        <v>1625</v>
      </c>
      <c r="V183" s="408" t="s">
        <v>2985</v>
      </c>
      <c r="W183" s="408" t="s">
        <v>2985</v>
      </c>
      <c r="X183" s="313" t="s">
        <v>12</v>
      </c>
      <c r="Y183" s="307" t="s">
        <v>12</v>
      </c>
      <c r="Z183" s="307" t="s">
        <v>12</v>
      </c>
      <c r="AA183" s="516" t="s">
        <v>3545</v>
      </c>
      <c r="AB183" s="341" t="s">
        <v>523</v>
      </c>
      <c r="AC183" s="354" t="s">
        <v>2985</v>
      </c>
      <c r="AD183" s="506" t="s">
        <v>2312</v>
      </c>
      <c r="AE183" s="214" t="s">
        <v>2306</v>
      </c>
      <c r="AF183" s="214" t="s">
        <v>2312</v>
      </c>
      <c r="AG183" s="262" t="s">
        <v>2985</v>
      </c>
      <c r="AH183" s="344">
        <v>70</v>
      </c>
      <c r="AI183" s="353">
        <v>0</v>
      </c>
      <c r="AJ183" s="352">
        <v>30</v>
      </c>
      <c r="AK183" s="365">
        <v>0</v>
      </c>
      <c r="AL183" s="365">
        <v>0</v>
      </c>
      <c r="AM183" s="365">
        <v>0</v>
      </c>
      <c r="AN183" s="353">
        <v>0</v>
      </c>
      <c r="AO183" s="353">
        <v>0</v>
      </c>
      <c r="AP183" s="348">
        <v>0</v>
      </c>
      <c r="AQ183" s="348">
        <v>0</v>
      </c>
      <c r="AR183" s="348">
        <v>0</v>
      </c>
      <c r="AS183" s="348">
        <v>0</v>
      </c>
      <c r="AT183" s="352">
        <v>6.3636363636363642</v>
      </c>
      <c r="AU183" s="348">
        <v>0</v>
      </c>
      <c r="AV183" s="348">
        <v>0</v>
      </c>
      <c r="AW183" s="342">
        <v>0.41272727272727278</v>
      </c>
      <c r="AX183" s="341">
        <v>0</v>
      </c>
      <c r="AY183" s="340">
        <v>55.8</v>
      </c>
      <c r="AZ183" s="348"/>
      <c r="BA183" s="316" t="s">
        <v>2985</v>
      </c>
      <c r="BB183" s="94" t="s">
        <v>2985</v>
      </c>
      <c r="BC183" s="425">
        <v>35</v>
      </c>
      <c r="BD183" s="348" t="s">
        <v>3544</v>
      </c>
      <c r="BE183" s="353">
        <v>100</v>
      </c>
      <c r="BF183" s="391"/>
      <c r="BG183" s="348">
        <v>400</v>
      </c>
      <c r="BH183" s="416">
        <f t="shared" si="42"/>
        <v>22.222222222222221</v>
      </c>
      <c r="BI183" s="303">
        <v>99</v>
      </c>
      <c r="BJ183" s="307">
        <v>0.25</v>
      </c>
      <c r="BK183" s="507" t="s">
        <v>2985</v>
      </c>
      <c r="BL183" s="307">
        <v>20</v>
      </c>
      <c r="BM183" s="507" t="s">
        <v>2985</v>
      </c>
      <c r="BN183" s="307">
        <v>99</v>
      </c>
      <c r="BO183" s="259" t="s">
        <v>2985</v>
      </c>
      <c r="BP183" s="350"/>
      <c r="BS183" s="321"/>
    </row>
    <row r="184" spans="1:71" s="322" customFormat="1" ht="18">
      <c r="A184" s="457">
        <v>1350</v>
      </c>
      <c r="B184" s="533" t="s">
        <v>3634</v>
      </c>
      <c r="C184" s="466" t="s">
        <v>3590</v>
      </c>
      <c r="D184" s="466" t="s">
        <v>3590</v>
      </c>
      <c r="E184" s="469"/>
      <c r="F184" s="303" t="s">
        <v>333</v>
      </c>
      <c r="G184" s="386" t="s">
        <v>433</v>
      </c>
      <c r="H184" s="340" t="s">
        <v>446</v>
      </c>
      <c r="I184" s="338" t="s">
        <v>3377</v>
      </c>
      <c r="J184" s="348">
        <v>2006</v>
      </c>
      <c r="K184" s="341">
        <v>312</v>
      </c>
      <c r="L184" s="340" t="s">
        <v>1738</v>
      </c>
      <c r="M184" s="341" t="s">
        <v>1739</v>
      </c>
      <c r="N184" s="446">
        <f t="shared" si="36"/>
        <v>0.3</v>
      </c>
      <c r="O184" s="362">
        <v>0.3</v>
      </c>
      <c r="P184" s="329">
        <v>2.7272727272727271</v>
      </c>
      <c r="Q184" s="310">
        <f t="shared" si="37"/>
        <v>2.7272727272727271</v>
      </c>
      <c r="R184" s="377">
        <f t="shared" si="38"/>
        <v>174.9</v>
      </c>
      <c r="S184" s="307">
        <v>583</v>
      </c>
      <c r="T184" s="377">
        <f t="shared" si="39"/>
        <v>583</v>
      </c>
      <c r="U184" s="377">
        <f t="shared" si="40"/>
        <v>1589.9999999999998</v>
      </c>
      <c r="V184" s="408" t="s">
        <v>2985</v>
      </c>
      <c r="W184" s="408" t="s">
        <v>2985</v>
      </c>
      <c r="X184" s="313" t="s">
        <v>12</v>
      </c>
      <c r="Y184" s="307" t="s">
        <v>12</v>
      </c>
      <c r="Z184" s="307" t="s">
        <v>12</v>
      </c>
      <c r="AA184" s="516" t="s">
        <v>1754</v>
      </c>
      <c r="AB184" s="341" t="s">
        <v>523</v>
      </c>
      <c r="AC184" s="354" t="s">
        <v>2985</v>
      </c>
      <c r="AD184" s="507" t="s">
        <v>2312</v>
      </c>
      <c r="AE184" s="214" t="s">
        <v>2306</v>
      </c>
      <c r="AF184" s="214" t="s">
        <v>2308</v>
      </c>
      <c r="AG184" s="262" t="s">
        <v>2985</v>
      </c>
      <c r="AH184" s="344">
        <v>100</v>
      </c>
      <c r="AI184" s="353">
        <v>0</v>
      </c>
      <c r="AJ184" s="395">
        <v>0</v>
      </c>
      <c r="AK184" s="365">
        <v>0</v>
      </c>
      <c r="AL184" s="365">
        <v>0</v>
      </c>
      <c r="AM184" s="365">
        <v>0</v>
      </c>
      <c r="AN184" s="353">
        <v>0</v>
      </c>
      <c r="AO184" s="353">
        <v>0</v>
      </c>
      <c r="AP184" s="348">
        <v>0</v>
      </c>
      <c r="AQ184" s="348">
        <v>0</v>
      </c>
      <c r="AR184" s="348">
        <v>0</v>
      </c>
      <c r="AS184" s="348">
        <v>0</v>
      </c>
      <c r="AT184" s="352">
        <v>1</v>
      </c>
      <c r="AU184" s="348">
        <v>0</v>
      </c>
      <c r="AV184" s="348">
        <v>0</v>
      </c>
      <c r="AW184" s="348">
        <v>0</v>
      </c>
      <c r="AX184" s="341">
        <v>0</v>
      </c>
      <c r="AY184" s="340">
        <v>56.59</v>
      </c>
      <c r="AZ184" s="348"/>
      <c r="BA184" s="316" t="s">
        <v>2985</v>
      </c>
      <c r="BB184" s="94" t="s">
        <v>2985</v>
      </c>
      <c r="BC184" s="355" t="s">
        <v>2985</v>
      </c>
      <c r="BD184" s="348" t="s">
        <v>3544</v>
      </c>
      <c r="BE184" s="353">
        <v>100</v>
      </c>
      <c r="BF184" s="391"/>
      <c r="BG184" s="348">
        <v>400</v>
      </c>
      <c r="BH184" s="416">
        <f t="shared" si="42"/>
        <v>22.222222222222221</v>
      </c>
      <c r="BI184" s="303">
        <v>99</v>
      </c>
      <c r="BJ184" s="307">
        <v>1</v>
      </c>
      <c r="BK184" s="307">
        <v>20</v>
      </c>
      <c r="BL184" s="307">
        <v>20</v>
      </c>
      <c r="BM184" s="307">
        <v>0</v>
      </c>
      <c r="BN184" s="307">
        <v>99</v>
      </c>
      <c r="BO184" s="259" t="s">
        <v>2985</v>
      </c>
      <c r="BP184" s="350"/>
      <c r="BS184" s="321"/>
    </row>
    <row r="185" spans="1:71" s="322" customFormat="1" ht="18">
      <c r="A185" s="457">
        <v>1351</v>
      </c>
      <c r="B185" s="533" t="s">
        <v>3634</v>
      </c>
      <c r="C185" s="466" t="s">
        <v>3590</v>
      </c>
      <c r="D185" s="466" t="s">
        <v>3590</v>
      </c>
      <c r="E185" s="469"/>
      <c r="F185" s="303" t="s">
        <v>334</v>
      </c>
      <c r="G185" s="386" t="s">
        <v>433</v>
      </c>
      <c r="H185" s="340" t="s">
        <v>446</v>
      </c>
      <c r="I185" s="338" t="s">
        <v>3377</v>
      </c>
      <c r="J185" s="348">
        <v>2006</v>
      </c>
      <c r="K185" s="341">
        <v>312</v>
      </c>
      <c r="L185" s="340" t="s">
        <v>1738</v>
      </c>
      <c r="M185" s="341" t="s">
        <v>1739</v>
      </c>
      <c r="N185" s="446">
        <f t="shared" si="36"/>
        <v>0.4</v>
      </c>
      <c r="O185" s="362">
        <v>0.4</v>
      </c>
      <c r="P185" s="329">
        <v>3.9223744292237441</v>
      </c>
      <c r="Q185" s="310">
        <f t="shared" si="37"/>
        <v>3.9223744292237441</v>
      </c>
      <c r="R185" s="377">
        <f t="shared" si="38"/>
        <v>175.20000000000002</v>
      </c>
      <c r="S185" s="307">
        <v>438</v>
      </c>
      <c r="T185" s="377">
        <f t="shared" si="39"/>
        <v>438</v>
      </c>
      <c r="U185" s="377">
        <f t="shared" si="40"/>
        <v>1718</v>
      </c>
      <c r="V185" s="408" t="s">
        <v>2985</v>
      </c>
      <c r="W185" s="408" t="s">
        <v>2985</v>
      </c>
      <c r="X185" s="313" t="s">
        <v>12</v>
      </c>
      <c r="Y185" s="307" t="s">
        <v>12</v>
      </c>
      <c r="Z185" s="307" t="s">
        <v>12</v>
      </c>
      <c r="AA185" s="516" t="s">
        <v>1754</v>
      </c>
      <c r="AB185" s="341" t="s">
        <v>523</v>
      </c>
      <c r="AC185" s="354" t="s">
        <v>2985</v>
      </c>
      <c r="AD185" s="507" t="s">
        <v>2312</v>
      </c>
      <c r="AE185" s="214" t="s">
        <v>2306</v>
      </c>
      <c r="AF185" s="214" t="s">
        <v>2308</v>
      </c>
      <c r="AG185" s="262" t="s">
        <v>2985</v>
      </c>
      <c r="AH185" s="344">
        <v>100</v>
      </c>
      <c r="AI185" s="353">
        <v>0</v>
      </c>
      <c r="AJ185" s="395">
        <v>0</v>
      </c>
      <c r="AK185" s="365">
        <v>0</v>
      </c>
      <c r="AL185" s="365">
        <v>0</v>
      </c>
      <c r="AM185" s="365">
        <v>0</v>
      </c>
      <c r="AN185" s="353">
        <v>0</v>
      </c>
      <c r="AO185" s="353">
        <v>0</v>
      </c>
      <c r="AP185" s="348">
        <v>0</v>
      </c>
      <c r="AQ185" s="348">
        <v>0</v>
      </c>
      <c r="AR185" s="348">
        <v>0</v>
      </c>
      <c r="AS185" s="348">
        <v>0</v>
      </c>
      <c r="AT185" s="352">
        <v>0.6</v>
      </c>
      <c r="AU185" s="348">
        <v>0</v>
      </c>
      <c r="AV185" s="348">
        <v>0</v>
      </c>
      <c r="AW185" s="348">
        <v>0</v>
      </c>
      <c r="AX185" s="341">
        <v>0</v>
      </c>
      <c r="AY185" s="340">
        <v>42.36</v>
      </c>
      <c r="AZ185" s="348"/>
      <c r="BA185" s="316" t="s">
        <v>2985</v>
      </c>
      <c r="BB185" s="94" t="s">
        <v>2985</v>
      </c>
      <c r="BC185" s="355" t="s">
        <v>2985</v>
      </c>
      <c r="BD185" s="348" t="s">
        <v>3544</v>
      </c>
      <c r="BE185" s="353">
        <v>100</v>
      </c>
      <c r="BF185" s="391"/>
      <c r="BG185" s="348">
        <v>400</v>
      </c>
      <c r="BH185" s="416">
        <f t="shared" si="42"/>
        <v>22.222222222222221</v>
      </c>
      <c r="BI185" s="303">
        <v>99</v>
      </c>
      <c r="BJ185" s="307">
        <v>1</v>
      </c>
      <c r="BK185" s="307">
        <v>20</v>
      </c>
      <c r="BL185" s="307">
        <v>20</v>
      </c>
      <c r="BM185" s="307">
        <v>0</v>
      </c>
      <c r="BN185" s="307">
        <v>99</v>
      </c>
      <c r="BO185" s="259" t="s">
        <v>2985</v>
      </c>
      <c r="BP185" s="350"/>
      <c r="BS185" s="321"/>
    </row>
    <row r="186" spans="1:71" s="322" customFormat="1">
      <c r="A186" s="457">
        <v>1352</v>
      </c>
      <c r="B186" s="533" t="s">
        <v>3614</v>
      </c>
      <c r="C186" s="466" t="s">
        <v>3590</v>
      </c>
      <c r="D186" s="466" t="s">
        <v>3590</v>
      </c>
      <c r="E186" s="469"/>
      <c r="F186" s="303" t="s">
        <v>335</v>
      </c>
      <c r="G186" s="386" t="s">
        <v>433</v>
      </c>
      <c r="H186" s="340" t="s">
        <v>446</v>
      </c>
      <c r="I186" s="338" t="s">
        <v>3377</v>
      </c>
      <c r="J186" s="348">
        <v>2006</v>
      </c>
      <c r="K186" s="341">
        <v>312</v>
      </c>
      <c r="L186" s="340" t="s">
        <v>1738</v>
      </c>
      <c r="M186" s="341" t="s">
        <v>1739</v>
      </c>
      <c r="N186" s="446">
        <f t="shared" si="36"/>
        <v>0.5</v>
      </c>
      <c r="O186" s="307">
        <v>0.5</v>
      </c>
      <c r="P186" s="308">
        <v>5.0942857142857143</v>
      </c>
      <c r="Q186" s="310">
        <f t="shared" si="37"/>
        <v>5.0942857142857143</v>
      </c>
      <c r="R186" s="377">
        <f t="shared" si="38"/>
        <v>175</v>
      </c>
      <c r="S186" s="307">
        <v>350</v>
      </c>
      <c r="T186" s="377">
        <f t="shared" si="39"/>
        <v>350</v>
      </c>
      <c r="U186" s="377">
        <f t="shared" si="40"/>
        <v>1783</v>
      </c>
      <c r="V186" s="408" t="s">
        <v>2985</v>
      </c>
      <c r="W186" s="408" t="s">
        <v>2985</v>
      </c>
      <c r="X186" s="303" t="s">
        <v>12</v>
      </c>
      <c r="Y186" s="307" t="s">
        <v>12</v>
      </c>
      <c r="Z186" s="317" t="s">
        <v>2985</v>
      </c>
      <c r="AA186" s="311" t="s">
        <v>1754</v>
      </c>
      <c r="AB186" s="304" t="s">
        <v>523</v>
      </c>
      <c r="AC186" s="441" t="s">
        <v>2985</v>
      </c>
      <c r="AD186" s="515" t="s">
        <v>2985</v>
      </c>
      <c r="AE186" s="348" t="s">
        <v>2306</v>
      </c>
      <c r="AF186" s="348" t="s">
        <v>2308</v>
      </c>
      <c r="AG186" s="262" t="s">
        <v>2985</v>
      </c>
      <c r="AH186" s="351">
        <v>100</v>
      </c>
      <c r="AI186" s="348">
        <v>0</v>
      </c>
      <c r="AJ186" s="348">
        <v>0</v>
      </c>
      <c r="AK186" s="348">
        <v>0</v>
      </c>
      <c r="AL186" s="348">
        <v>0</v>
      </c>
      <c r="AM186" s="348">
        <v>0</v>
      </c>
      <c r="AN186" s="348">
        <v>0</v>
      </c>
      <c r="AO186" s="348">
        <v>0</v>
      </c>
      <c r="AP186" s="307">
        <v>0</v>
      </c>
      <c r="AQ186" s="348">
        <v>0</v>
      </c>
      <c r="AR186" s="348">
        <v>0</v>
      </c>
      <c r="AS186" s="365">
        <v>0</v>
      </c>
      <c r="AT186" s="356">
        <v>0.3</v>
      </c>
      <c r="AU186" s="365">
        <v>0</v>
      </c>
      <c r="AV186" s="365">
        <v>0</v>
      </c>
      <c r="AW186" s="348">
        <v>0</v>
      </c>
      <c r="AX186" s="341">
        <v>0</v>
      </c>
      <c r="AY186" s="340">
        <v>35.18</v>
      </c>
      <c r="AZ186" s="348"/>
      <c r="BA186" s="316" t="s">
        <v>2985</v>
      </c>
      <c r="BB186" s="94" t="s">
        <v>2985</v>
      </c>
      <c r="BC186" s="355" t="s">
        <v>2985</v>
      </c>
      <c r="BD186" s="348" t="s">
        <v>3544</v>
      </c>
      <c r="BE186" s="348">
        <v>100</v>
      </c>
      <c r="BF186" s="348"/>
      <c r="BG186" s="348">
        <v>400</v>
      </c>
      <c r="BH186" s="425">
        <v>22.222222222222221</v>
      </c>
      <c r="BI186" s="303">
        <v>99</v>
      </c>
      <c r="BJ186" s="307">
        <v>1</v>
      </c>
      <c r="BK186" s="312">
        <v>20</v>
      </c>
      <c r="BL186" s="307">
        <v>20</v>
      </c>
      <c r="BM186" s="312">
        <v>0</v>
      </c>
      <c r="BN186" s="307">
        <v>99</v>
      </c>
      <c r="BO186" s="432" t="s">
        <v>2985</v>
      </c>
      <c r="BP186" s="343"/>
      <c r="BS186" s="321"/>
    </row>
    <row r="187" spans="1:71" s="322" customFormat="1">
      <c r="A187" s="457">
        <v>1353</v>
      </c>
      <c r="B187" s="533" t="s">
        <v>3614</v>
      </c>
      <c r="C187" s="466" t="s">
        <v>3590</v>
      </c>
      <c r="D187" s="466" t="s">
        <v>3590</v>
      </c>
      <c r="E187" s="469"/>
      <c r="F187" s="303" t="s">
        <v>336</v>
      </c>
      <c r="G187" s="386" t="s">
        <v>433</v>
      </c>
      <c r="H187" s="340" t="s">
        <v>446</v>
      </c>
      <c r="I187" s="338" t="s">
        <v>3377</v>
      </c>
      <c r="J187" s="348">
        <v>2006</v>
      </c>
      <c r="K187" s="341">
        <v>312</v>
      </c>
      <c r="L187" s="340" t="s">
        <v>1738</v>
      </c>
      <c r="M187" s="341" t="s">
        <v>1739</v>
      </c>
      <c r="N187" s="446">
        <f t="shared" si="36"/>
        <v>0.6</v>
      </c>
      <c r="O187" s="307">
        <v>0.6</v>
      </c>
      <c r="P187" s="308">
        <v>6.4349315068493151</v>
      </c>
      <c r="Q187" s="310">
        <f t="shared" si="37"/>
        <v>6.4349315068493151</v>
      </c>
      <c r="R187" s="377">
        <f t="shared" si="38"/>
        <v>175.2</v>
      </c>
      <c r="S187" s="307">
        <v>292</v>
      </c>
      <c r="T187" s="377">
        <f t="shared" si="39"/>
        <v>292</v>
      </c>
      <c r="U187" s="377">
        <f t="shared" si="40"/>
        <v>1879</v>
      </c>
      <c r="V187" s="408" t="s">
        <v>2985</v>
      </c>
      <c r="W187" s="408" t="s">
        <v>2985</v>
      </c>
      <c r="X187" s="303" t="s">
        <v>12</v>
      </c>
      <c r="Y187" s="307" t="s">
        <v>12</v>
      </c>
      <c r="Z187" s="317" t="s">
        <v>2985</v>
      </c>
      <c r="AA187" s="311" t="s">
        <v>1754</v>
      </c>
      <c r="AB187" s="304" t="s">
        <v>523</v>
      </c>
      <c r="AC187" s="441" t="s">
        <v>2985</v>
      </c>
      <c r="AD187" s="515" t="s">
        <v>2985</v>
      </c>
      <c r="AE187" s="348" t="s">
        <v>2306</v>
      </c>
      <c r="AF187" s="348" t="s">
        <v>2308</v>
      </c>
      <c r="AG187" s="262" t="s">
        <v>2985</v>
      </c>
      <c r="AH187" s="351">
        <v>100</v>
      </c>
      <c r="AI187" s="348">
        <v>0</v>
      </c>
      <c r="AJ187" s="348">
        <v>0</v>
      </c>
      <c r="AK187" s="348">
        <v>0</v>
      </c>
      <c r="AL187" s="348">
        <v>0</v>
      </c>
      <c r="AM187" s="348">
        <v>0</v>
      </c>
      <c r="AN187" s="348">
        <v>0</v>
      </c>
      <c r="AO187" s="348">
        <v>0</v>
      </c>
      <c r="AP187" s="307">
        <v>0</v>
      </c>
      <c r="AQ187" s="348">
        <v>0</v>
      </c>
      <c r="AR187" s="348">
        <v>0</v>
      </c>
      <c r="AS187" s="365">
        <v>0</v>
      </c>
      <c r="AT187" s="356">
        <v>0.1</v>
      </c>
      <c r="AU187" s="365">
        <v>0</v>
      </c>
      <c r="AV187" s="365">
        <v>0</v>
      </c>
      <c r="AW187" s="348">
        <v>0</v>
      </c>
      <c r="AX187" s="341">
        <v>0</v>
      </c>
      <c r="AY187" s="340">
        <v>26.45</v>
      </c>
      <c r="AZ187" s="348"/>
      <c r="BA187" s="316" t="s">
        <v>2985</v>
      </c>
      <c r="BB187" s="94" t="s">
        <v>2985</v>
      </c>
      <c r="BC187" s="355" t="s">
        <v>2985</v>
      </c>
      <c r="BD187" s="348" t="s">
        <v>3544</v>
      </c>
      <c r="BE187" s="348">
        <v>100</v>
      </c>
      <c r="BF187" s="348"/>
      <c r="BG187" s="348">
        <v>400</v>
      </c>
      <c r="BH187" s="425">
        <v>22.222222222222221</v>
      </c>
      <c r="BI187" s="303">
        <v>99</v>
      </c>
      <c r="BJ187" s="307">
        <v>1</v>
      </c>
      <c r="BK187" s="312">
        <v>20</v>
      </c>
      <c r="BL187" s="307">
        <v>20</v>
      </c>
      <c r="BM187" s="312">
        <v>0</v>
      </c>
      <c r="BN187" s="307">
        <v>99</v>
      </c>
      <c r="BO187" s="432" t="s">
        <v>2985</v>
      </c>
      <c r="BP187" s="343"/>
      <c r="BS187" s="321"/>
    </row>
    <row r="188" spans="1:71" s="322" customFormat="1" ht="18">
      <c r="A188" s="457">
        <v>1372</v>
      </c>
      <c r="B188" s="533" t="s">
        <v>3634</v>
      </c>
      <c r="C188" s="466" t="s">
        <v>3590</v>
      </c>
      <c r="D188" s="466" t="s">
        <v>3590</v>
      </c>
      <c r="E188" s="469"/>
      <c r="F188" s="303" t="s">
        <v>348</v>
      </c>
      <c r="G188" s="386" t="s">
        <v>436</v>
      </c>
      <c r="H188" s="340" t="s">
        <v>272</v>
      </c>
      <c r="I188" s="338" t="s">
        <v>3377</v>
      </c>
      <c r="J188" s="348">
        <v>2004</v>
      </c>
      <c r="K188" s="341">
        <v>319</v>
      </c>
      <c r="L188" s="340" t="s">
        <v>1738</v>
      </c>
      <c r="M188" s="341" t="s">
        <v>1739</v>
      </c>
      <c r="N188" s="446">
        <f t="shared" si="36"/>
        <v>0.35</v>
      </c>
      <c r="O188" s="362">
        <v>0.35</v>
      </c>
      <c r="P188" s="329">
        <v>3.7</v>
      </c>
      <c r="Q188" s="310">
        <f t="shared" si="37"/>
        <v>3.7</v>
      </c>
      <c r="R188" s="377">
        <f t="shared" si="38"/>
        <v>175</v>
      </c>
      <c r="S188" s="307">
        <v>500</v>
      </c>
      <c r="T188" s="377">
        <f t="shared" si="39"/>
        <v>500</v>
      </c>
      <c r="U188" s="377">
        <f t="shared" si="40"/>
        <v>1850</v>
      </c>
      <c r="V188" s="408" t="s">
        <v>2985</v>
      </c>
      <c r="W188" s="408" t="s">
        <v>2985</v>
      </c>
      <c r="X188" s="313" t="s">
        <v>12</v>
      </c>
      <c r="Y188" s="307" t="s">
        <v>12</v>
      </c>
      <c r="Z188" s="307" t="s">
        <v>12</v>
      </c>
      <c r="AA188" s="516" t="s">
        <v>1754</v>
      </c>
      <c r="AB188" s="341" t="s">
        <v>273</v>
      </c>
      <c r="AC188" s="354" t="s">
        <v>2985</v>
      </c>
      <c r="AD188" s="506" t="s">
        <v>2312</v>
      </c>
      <c r="AE188" s="316" t="s">
        <v>2985</v>
      </c>
      <c r="AF188" s="214" t="s">
        <v>2312</v>
      </c>
      <c r="AG188" s="262" t="s">
        <v>2985</v>
      </c>
      <c r="AH188" s="344">
        <v>100</v>
      </c>
      <c r="AI188" s="353">
        <v>0</v>
      </c>
      <c r="AJ188" s="395">
        <v>0</v>
      </c>
      <c r="AK188" s="365">
        <v>0</v>
      </c>
      <c r="AL188" s="365">
        <v>0</v>
      </c>
      <c r="AM188" s="365">
        <v>0</v>
      </c>
      <c r="AN188" s="353">
        <v>0</v>
      </c>
      <c r="AO188" s="353">
        <v>0</v>
      </c>
      <c r="AP188" s="348">
        <v>0</v>
      </c>
      <c r="AQ188" s="348">
        <v>0</v>
      </c>
      <c r="AR188" s="348">
        <v>0</v>
      </c>
      <c r="AS188" s="348">
        <v>0</v>
      </c>
      <c r="AT188" s="352">
        <v>1.6340000000000001</v>
      </c>
      <c r="AU188" s="348">
        <v>0</v>
      </c>
      <c r="AV188" s="348">
        <v>0</v>
      </c>
      <c r="AW188" s="348">
        <v>0</v>
      </c>
      <c r="AX188" s="341">
        <v>0</v>
      </c>
      <c r="AY188" s="340">
        <v>58</v>
      </c>
      <c r="AZ188" s="348"/>
      <c r="BA188" s="316" t="s">
        <v>2985</v>
      </c>
      <c r="BB188" s="94" t="s">
        <v>2985</v>
      </c>
      <c r="BC188" s="425">
        <v>34.4</v>
      </c>
      <c r="BD188" s="348" t="s">
        <v>3554</v>
      </c>
      <c r="BE188" s="353">
        <v>40</v>
      </c>
      <c r="BF188" s="348"/>
      <c r="BG188" s="348">
        <v>270</v>
      </c>
      <c r="BH188" s="416">
        <f t="shared" ref="BH188:BH193" si="43">(BE188*BG188)/((2*BG188)+(2*BE188))</f>
        <v>17.419354838709676</v>
      </c>
      <c r="BI188" s="303">
        <v>100</v>
      </c>
      <c r="BJ188" s="307">
        <v>7</v>
      </c>
      <c r="BK188" s="507" t="s">
        <v>2985</v>
      </c>
      <c r="BL188" s="307">
        <v>20</v>
      </c>
      <c r="BM188" s="507" t="s">
        <v>2985</v>
      </c>
      <c r="BN188" s="307">
        <v>99</v>
      </c>
      <c r="BO188" s="259" t="s">
        <v>2985</v>
      </c>
      <c r="BP188" s="350"/>
      <c r="BS188" s="321"/>
    </row>
    <row r="189" spans="1:71" s="322" customFormat="1">
      <c r="A189" s="457">
        <v>1374</v>
      </c>
      <c r="B189" s="791" t="s">
        <v>3893</v>
      </c>
      <c r="C189" s="466" t="s">
        <v>3590</v>
      </c>
      <c r="D189" s="466" t="s">
        <v>3590</v>
      </c>
      <c r="E189" s="469"/>
      <c r="F189" s="303" t="s">
        <v>350</v>
      </c>
      <c r="G189" s="386" t="s">
        <v>436</v>
      </c>
      <c r="H189" s="340" t="s">
        <v>272</v>
      </c>
      <c r="I189" s="338" t="s">
        <v>3377</v>
      </c>
      <c r="J189" s="348">
        <v>2004</v>
      </c>
      <c r="K189" s="341">
        <v>319</v>
      </c>
      <c r="L189" s="340" t="s">
        <v>1738</v>
      </c>
      <c r="M189" s="341" t="s">
        <v>1739</v>
      </c>
      <c r="N189" s="446">
        <f t="shared" si="36"/>
        <v>0.35126455238859894</v>
      </c>
      <c r="O189" s="362">
        <v>0.37234042553191488</v>
      </c>
      <c r="P189" s="329">
        <v>3.9361702127659575</v>
      </c>
      <c r="Q189" s="310">
        <f t="shared" si="37"/>
        <v>3.7133681252509034</v>
      </c>
      <c r="R189" s="377">
        <f t="shared" si="38"/>
        <v>175</v>
      </c>
      <c r="S189" s="307">
        <v>470</v>
      </c>
      <c r="T189" s="377">
        <f t="shared" si="39"/>
        <v>498.2</v>
      </c>
      <c r="U189" s="377">
        <f t="shared" si="40"/>
        <v>1850</v>
      </c>
      <c r="V189" s="408" t="s">
        <v>2985</v>
      </c>
      <c r="W189" s="408" t="s">
        <v>2985</v>
      </c>
      <c r="X189" s="313" t="s">
        <v>12</v>
      </c>
      <c r="Y189" s="307" t="s">
        <v>12</v>
      </c>
      <c r="Z189" s="307" t="s">
        <v>12</v>
      </c>
      <c r="AA189" s="311" t="s">
        <v>3538</v>
      </c>
      <c r="AB189" s="341" t="s">
        <v>273</v>
      </c>
      <c r="AC189" s="354" t="s">
        <v>2985</v>
      </c>
      <c r="AD189" s="506" t="s">
        <v>2312</v>
      </c>
      <c r="AE189" s="316" t="s">
        <v>2985</v>
      </c>
      <c r="AF189" s="214" t="s">
        <v>2312</v>
      </c>
      <c r="AG189" s="262" t="s">
        <v>2985</v>
      </c>
      <c r="AH189" s="344">
        <v>94</v>
      </c>
      <c r="AI189" s="352">
        <v>6.0000000000000009</v>
      </c>
      <c r="AJ189" s="395">
        <v>0</v>
      </c>
      <c r="AK189" s="365">
        <v>0</v>
      </c>
      <c r="AL189" s="365">
        <v>0</v>
      </c>
      <c r="AM189" s="365">
        <v>0</v>
      </c>
      <c r="AN189" s="353">
        <v>0</v>
      </c>
      <c r="AO189" s="353">
        <v>0</v>
      </c>
      <c r="AP189" s="348">
        <v>0</v>
      </c>
      <c r="AQ189" s="348">
        <v>0</v>
      </c>
      <c r="AR189" s="348">
        <v>0</v>
      </c>
      <c r="AS189" s="348">
        <v>0</v>
      </c>
      <c r="AT189" s="352">
        <v>1.9560000000000002</v>
      </c>
      <c r="AU189" s="348">
        <v>0</v>
      </c>
      <c r="AV189" s="348">
        <v>0</v>
      </c>
      <c r="AW189" s="348">
        <v>0</v>
      </c>
      <c r="AX189" s="341">
        <v>0</v>
      </c>
      <c r="AY189" s="340">
        <v>65</v>
      </c>
      <c r="AZ189" s="356">
        <v>32.5</v>
      </c>
      <c r="BA189" s="316" t="s">
        <v>2985</v>
      </c>
      <c r="BB189" s="94" t="s">
        <v>2985</v>
      </c>
      <c r="BC189" s="425">
        <v>35.5</v>
      </c>
      <c r="BD189" s="348" t="s">
        <v>3554</v>
      </c>
      <c r="BE189" s="353">
        <v>40</v>
      </c>
      <c r="BF189" s="348"/>
      <c r="BG189" s="348">
        <v>270</v>
      </c>
      <c r="BH189" s="416">
        <f t="shared" si="43"/>
        <v>17.419354838709676</v>
      </c>
      <c r="BI189" s="303">
        <v>100</v>
      </c>
      <c r="BJ189" s="307">
        <v>7</v>
      </c>
      <c r="BK189" s="507" t="s">
        <v>2985</v>
      </c>
      <c r="BL189" s="307">
        <v>20</v>
      </c>
      <c r="BM189" s="507" t="s">
        <v>2985</v>
      </c>
      <c r="BN189" s="307">
        <v>99</v>
      </c>
      <c r="BO189" s="259" t="s">
        <v>2985</v>
      </c>
      <c r="BP189" s="350"/>
      <c r="BS189" s="321"/>
    </row>
    <row r="190" spans="1:71" s="322" customFormat="1">
      <c r="A190" s="457">
        <v>1376</v>
      </c>
      <c r="B190" s="791" t="s">
        <v>3893</v>
      </c>
      <c r="C190" s="466" t="s">
        <v>3590</v>
      </c>
      <c r="D190" s="466" t="s">
        <v>3590</v>
      </c>
      <c r="E190" s="469"/>
      <c r="F190" s="303" t="s">
        <v>352</v>
      </c>
      <c r="G190" s="386" t="s">
        <v>436</v>
      </c>
      <c r="H190" s="340" t="s">
        <v>272</v>
      </c>
      <c r="I190" s="338" t="s">
        <v>3377</v>
      </c>
      <c r="J190" s="348">
        <v>2004</v>
      </c>
      <c r="K190" s="341">
        <v>319</v>
      </c>
      <c r="L190" s="340" t="s">
        <v>1738</v>
      </c>
      <c r="M190" s="341" t="s">
        <v>1739</v>
      </c>
      <c r="N190" s="446">
        <f t="shared" si="36"/>
        <v>0.35353535353535354</v>
      </c>
      <c r="O190" s="362">
        <v>0.3888888888888889</v>
      </c>
      <c r="P190" s="329">
        <v>4.1111111111111107</v>
      </c>
      <c r="Q190" s="310">
        <f t="shared" si="37"/>
        <v>3.737373737373737</v>
      </c>
      <c r="R190" s="377">
        <f t="shared" si="38"/>
        <v>175</v>
      </c>
      <c r="S190" s="307">
        <v>450</v>
      </c>
      <c r="T190" s="377">
        <f t="shared" si="39"/>
        <v>495</v>
      </c>
      <c r="U190" s="377">
        <f t="shared" si="40"/>
        <v>1849.9999999999998</v>
      </c>
      <c r="V190" s="408" t="s">
        <v>2985</v>
      </c>
      <c r="W190" s="408" t="s">
        <v>2985</v>
      </c>
      <c r="X190" s="313" t="s">
        <v>12</v>
      </c>
      <c r="Y190" s="307" t="s">
        <v>12</v>
      </c>
      <c r="Z190" s="307" t="s">
        <v>12</v>
      </c>
      <c r="AA190" s="311" t="s">
        <v>3538</v>
      </c>
      <c r="AB190" s="341" t="s">
        <v>273</v>
      </c>
      <c r="AC190" s="354" t="s">
        <v>2985</v>
      </c>
      <c r="AD190" s="506" t="s">
        <v>2312</v>
      </c>
      <c r="AE190" s="316" t="s">
        <v>2985</v>
      </c>
      <c r="AF190" s="214" t="s">
        <v>2312</v>
      </c>
      <c r="AG190" s="262" t="s">
        <v>2985</v>
      </c>
      <c r="AH190" s="344">
        <v>90</v>
      </c>
      <c r="AI190" s="352">
        <v>10</v>
      </c>
      <c r="AJ190" s="395">
        <v>0</v>
      </c>
      <c r="AK190" s="365">
        <v>0</v>
      </c>
      <c r="AL190" s="365">
        <v>0</v>
      </c>
      <c r="AM190" s="365">
        <v>0</v>
      </c>
      <c r="AN190" s="353">
        <v>0</v>
      </c>
      <c r="AO190" s="353">
        <v>0</v>
      </c>
      <c r="AP190" s="348">
        <v>0</v>
      </c>
      <c r="AQ190" s="348">
        <v>0</v>
      </c>
      <c r="AR190" s="348">
        <v>0</v>
      </c>
      <c r="AS190" s="348">
        <v>0</v>
      </c>
      <c r="AT190" s="352">
        <v>2.3420000000000001</v>
      </c>
      <c r="AU190" s="348">
        <v>0</v>
      </c>
      <c r="AV190" s="348">
        <v>0</v>
      </c>
      <c r="AW190" s="348">
        <v>0</v>
      </c>
      <c r="AX190" s="341">
        <v>0</v>
      </c>
      <c r="AY190" s="340">
        <v>67.5</v>
      </c>
      <c r="AZ190" s="356">
        <v>33.75</v>
      </c>
      <c r="BA190" s="316" t="s">
        <v>2985</v>
      </c>
      <c r="BB190" s="94" t="s">
        <v>2985</v>
      </c>
      <c r="BC190" s="425">
        <v>37</v>
      </c>
      <c r="BD190" s="348" t="s">
        <v>3554</v>
      </c>
      <c r="BE190" s="353">
        <v>40</v>
      </c>
      <c r="BF190" s="348"/>
      <c r="BG190" s="348">
        <v>270</v>
      </c>
      <c r="BH190" s="416">
        <f t="shared" si="43"/>
        <v>17.419354838709676</v>
      </c>
      <c r="BI190" s="303">
        <v>100</v>
      </c>
      <c r="BJ190" s="307">
        <v>7</v>
      </c>
      <c r="BK190" s="507" t="s">
        <v>2985</v>
      </c>
      <c r="BL190" s="307">
        <v>20</v>
      </c>
      <c r="BM190" s="507" t="s">
        <v>2985</v>
      </c>
      <c r="BN190" s="307">
        <v>99</v>
      </c>
      <c r="BO190" s="259" t="s">
        <v>2985</v>
      </c>
      <c r="BP190" s="350"/>
      <c r="BS190" s="321"/>
    </row>
    <row r="191" spans="1:71" s="322" customFormat="1">
      <c r="A191" s="457">
        <v>1378</v>
      </c>
      <c r="B191" s="534" t="s">
        <v>3625</v>
      </c>
      <c r="C191" s="466" t="s">
        <v>3590</v>
      </c>
      <c r="D191" s="383"/>
      <c r="E191" s="469"/>
      <c r="F191" s="303" t="s">
        <v>354</v>
      </c>
      <c r="G191" s="386" t="s">
        <v>436</v>
      </c>
      <c r="H191" s="340" t="s">
        <v>272</v>
      </c>
      <c r="I191" s="338" t="s">
        <v>3377</v>
      </c>
      <c r="J191" s="348">
        <v>2004</v>
      </c>
      <c r="K191" s="341">
        <v>319</v>
      </c>
      <c r="L191" s="340" t="s">
        <v>1738</v>
      </c>
      <c r="M191" s="341" t="s">
        <v>1739</v>
      </c>
      <c r="N191" s="446">
        <f t="shared" ref="N191:N222" si="44">R191/T191</f>
        <v>0.36074960957834462</v>
      </c>
      <c r="O191" s="362">
        <v>0.41176470588235292</v>
      </c>
      <c r="P191" s="329">
        <v>4.3529411764705879</v>
      </c>
      <c r="Q191" s="310">
        <f t="shared" ref="Q191:Q222" si="45">U191/T191</f>
        <v>3.8136387298282139</v>
      </c>
      <c r="R191" s="377">
        <f t="shared" ref="R191:R222" si="46">O191*S191</f>
        <v>175</v>
      </c>
      <c r="S191" s="307">
        <v>425</v>
      </c>
      <c r="T191" s="377">
        <f t="shared" ref="T191:T222" si="47">(((SUM(AI191:AR191)/100)*(S191))+S191)</f>
        <v>485.1010101010101</v>
      </c>
      <c r="U191" s="377">
        <f t="shared" ref="U191:U222" si="48">P191*S191</f>
        <v>1849.9999999999998</v>
      </c>
      <c r="V191" s="408" t="s">
        <v>2985</v>
      </c>
      <c r="W191" s="408" t="s">
        <v>2985</v>
      </c>
      <c r="X191" s="313" t="s">
        <v>12</v>
      </c>
      <c r="Y191" s="307" t="s">
        <v>12</v>
      </c>
      <c r="Z191" s="307" t="s">
        <v>12</v>
      </c>
      <c r="AA191" s="516" t="s">
        <v>3555</v>
      </c>
      <c r="AB191" s="341" t="s">
        <v>273</v>
      </c>
      <c r="AC191" s="354" t="s">
        <v>2985</v>
      </c>
      <c r="AD191" s="506" t="s">
        <v>2312</v>
      </c>
      <c r="AE191" s="316" t="s">
        <v>2985</v>
      </c>
      <c r="AF191" s="214" t="s">
        <v>2312</v>
      </c>
      <c r="AG191" s="262" t="s">
        <v>2985</v>
      </c>
      <c r="AH191" s="344">
        <v>85.858585858585855</v>
      </c>
      <c r="AI191" s="352">
        <v>14.14141414141414</v>
      </c>
      <c r="AJ191" s="395">
        <v>0</v>
      </c>
      <c r="AK191" s="365">
        <v>0</v>
      </c>
      <c r="AL191" s="365">
        <v>0</v>
      </c>
      <c r="AM191" s="365">
        <v>0</v>
      </c>
      <c r="AN191" s="353">
        <v>0</v>
      </c>
      <c r="AO191" s="353">
        <v>0</v>
      </c>
      <c r="AP191" s="348">
        <v>0</v>
      </c>
      <c r="AQ191" s="348">
        <v>0</v>
      </c>
      <c r="AR191" s="348">
        <v>0</v>
      </c>
      <c r="AS191" s="348">
        <v>0</v>
      </c>
      <c r="AT191" s="352">
        <v>2.694949494949495</v>
      </c>
      <c r="AU191" s="348">
        <v>0</v>
      </c>
      <c r="AV191" s="348">
        <v>0</v>
      </c>
      <c r="AW191" s="348">
        <v>0</v>
      </c>
      <c r="AX191" s="341">
        <v>0</v>
      </c>
      <c r="AY191" s="340">
        <v>70</v>
      </c>
      <c r="AZ191" s="356">
        <v>35</v>
      </c>
      <c r="BA191" s="316" t="s">
        <v>2985</v>
      </c>
      <c r="BB191" s="94" t="s">
        <v>2985</v>
      </c>
      <c r="BC191" s="425">
        <v>38.1</v>
      </c>
      <c r="BD191" s="348" t="s">
        <v>3554</v>
      </c>
      <c r="BE191" s="353">
        <v>40</v>
      </c>
      <c r="BF191" s="348"/>
      <c r="BG191" s="348">
        <v>270</v>
      </c>
      <c r="BH191" s="416">
        <f t="shared" si="43"/>
        <v>17.419354838709676</v>
      </c>
      <c r="BI191" s="303">
        <v>100</v>
      </c>
      <c r="BJ191" s="307">
        <v>7</v>
      </c>
      <c r="BK191" s="507" t="s">
        <v>2985</v>
      </c>
      <c r="BL191" s="307">
        <v>20</v>
      </c>
      <c r="BM191" s="507" t="s">
        <v>2985</v>
      </c>
      <c r="BN191" s="307">
        <v>99</v>
      </c>
      <c r="BO191" s="259" t="s">
        <v>2985</v>
      </c>
      <c r="BP191" s="350"/>
      <c r="BS191" s="321"/>
    </row>
    <row r="192" spans="1:71" s="322" customFormat="1" ht="18">
      <c r="A192" s="457">
        <v>1387</v>
      </c>
      <c r="B192" s="533" t="s">
        <v>3634</v>
      </c>
      <c r="C192" s="466" t="s">
        <v>3590</v>
      </c>
      <c r="D192" s="383"/>
      <c r="E192" s="469"/>
      <c r="F192" s="303" t="s">
        <v>363</v>
      </c>
      <c r="G192" s="386" t="s">
        <v>1816</v>
      </c>
      <c r="H192" s="340" t="s">
        <v>264</v>
      </c>
      <c r="I192" s="338" t="s">
        <v>3377</v>
      </c>
      <c r="J192" s="348">
        <v>2005</v>
      </c>
      <c r="K192" s="341">
        <v>321</v>
      </c>
      <c r="L192" s="340" t="s">
        <v>1745</v>
      </c>
      <c r="M192" s="341" t="s">
        <v>1739</v>
      </c>
      <c r="N192" s="446">
        <f t="shared" si="44"/>
        <v>0.32822165988230134</v>
      </c>
      <c r="O192" s="362">
        <v>0.44565428571428567</v>
      </c>
      <c r="P192" s="329">
        <v>4.5285714285714276</v>
      </c>
      <c r="Q192" s="310">
        <f t="shared" si="45"/>
        <v>3.3352652018120872</v>
      </c>
      <c r="R192" s="377">
        <f t="shared" si="46"/>
        <v>159</v>
      </c>
      <c r="S192" s="312">
        <v>356.77879714576966</v>
      </c>
      <c r="T192" s="377">
        <f t="shared" si="47"/>
        <v>484.42872434749313</v>
      </c>
      <c r="U192" s="377">
        <f t="shared" si="48"/>
        <v>1615.6982670744137</v>
      </c>
      <c r="V192" s="408" t="s">
        <v>2985</v>
      </c>
      <c r="W192" s="408" t="s">
        <v>2985</v>
      </c>
      <c r="X192" s="313" t="s">
        <v>12</v>
      </c>
      <c r="Y192" s="307" t="s">
        <v>12</v>
      </c>
      <c r="Z192" s="307" t="s">
        <v>12</v>
      </c>
      <c r="AA192" s="516" t="s">
        <v>522</v>
      </c>
      <c r="AB192" s="341" t="s">
        <v>12</v>
      </c>
      <c r="AC192" s="354" t="s">
        <v>2985</v>
      </c>
      <c r="AD192" s="507" t="s">
        <v>2320</v>
      </c>
      <c r="AE192" s="316" t="s">
        <v>2985</v>
      </c>
      <c r="AF192" s="348" t="s">
        <v>2308</v>
      </c>
      <c r="AG192" s="262" t="s">
        <v>2985</v>
      </c>
      <c r="AH192" s="344">
        <v>64.22154897574552</v>
      </c>
      <c r="AI192" s="353">
        <v>0</v>
      </c>
      <c r="AJ192" s="395">
        <v>0</v>
      </c>
      <c r="AK192" s="365">
        <v>0</v>
      </c>
      <c r="AL192" s="365">
        <v>0</v>
      </c>
      <c r="AM192" s="365">
        <v>0</v>
      </c>
      <c r="AN192" s="352">
        <v>35.77845102425448</v>
      </c>
      <c r="AO192" s="353">
        <v>0</v>
      </c>
      <c r="AP192" s="348">
        <v>0</v>
      </c>
      <c r="AQ192" s="348">
        <v>0</v>
      </c>
      <c r="AR192" s="348">
        <v>0</v>
      </c>
      <c r="AS192" s="348">
        <v>0</v>
      </c>
      <c r="AT192" s="353">
        <v>0</v>
      </c>
      <c r="AU192" s="348">
        <v>0</v>
      </c>
      <c r="AV192" s="348">
        <v>0</v>
      </c>
      <c r="AW192" s="348">
        <v>0</v>
      </c>
      <c r="AX192" s="341">
        <v>0</v>
      </c>
      <c r="AY192" s="340">
        <v>43</v>
      </c>
      <c r="AZ192" s="348"/>
      <c r="BA192" s="316" t="s">
        <v>2985</v>
      </c>
      <c r="BB192" s="94" t="s">
        <v>2985</v>
      </c>
      <c r="BC192" s="355" t="s">
        <v>2985</v>
      </c>
      <c r="BD192" s="348" t="s">
        <v>3556</v>
      </c>
      <c r="BE192" s="353">
        <v>49</v>
      </c>
      <c r="BF192" s="348"/>
      <c r="BG192" s="348">
        <v>200</v>
      </c>
      <c r="BH192" s="416">
        <f t="shared" si="43"/>
        <v>19.678714859437751</v>
      </c>
      <c r="BI192" s="303">
        <v>95</v>
      </c>
      <c r="BJ192" s="307">
        <v>2</v>
      </c>
      <c r="BK192" s="307">
        <v>20</v>
      </c>
      <c r="BL192" s="307">
        <v>20</v>
      </c>
      <c r="BM192" s="507" t="s">
        <v>2985</v>
      </c>
      <c r="BN192" s="307">
        <v>99</v>
      </c>
      <c r="BO192" s="259" t="s">
        <v>2985</v>
      </c>
      <c r="BP192" s="350" t="s">
        <v>2517</v>
      </c>
      <c r="BS192" s="321"/>
    </row>
    <row r="193" spans="1:71" s="322" customFormat="1" ht="18">
      <c r="A193" s="457">
        <v>1388</v>
      </c>
      <c r="B193" s="533" t="s">
        <v>3634</v>
      </c>
      <c r="C193" s="466" t="s">
        <v>3590</v>
      </c>
      <c r="D193" s="466" t="s">
        <v>3590</v>
      </c>
      <c r="E193" s="469"/>
      <c r="F193" s="303" t="s">
        <v>364</v>
      </c>
      <c r="G193" s="386" t="s">
        <v>1816</v>
      </c>
      <c r="H193" s="340" t="s">
        <v>264</v>
      </c>
      <c r="I193" s="338" t="s">
        <v>3377</v>
      </c>
      <c r="J193" s="348">
        <v>2005</v>
      </c>
      <c r="K193" s="341">
        <v>321</v>
      </c>
      <c r="L193" s="340" t="s">
        <v>1745</v>
      </c>
      <c r="M193" s="341" t="s">
        <v>1739</v>
      </c>
      <c r="N193" s="446">
        <f t="shared" si="44"/>
        <v>0.41632682926829268</v>
      </c>
      <c r="O193" s="362">
        <v>0.41632682926829268</v>
      </c>
      <c r="P193" s="329">
        <v>4.3170731707317076</v>
      </c>
      <c r="Q193" s="310">
        <f t="shared" si="45"/>
        <v>4.3170731707317076</v>
      </c>
      <c r="R193" s="377">
        <f t="shared" si="46"/>
        <v>174</v>
      </c>
      <c r="S193" s="312">
        <v>417.94087665647299</v>
      </c>
      <c r="T193" s="377">
        <f t="shared" si="47"/>
        <v>417.94087665647299</v>
      </c>
      <c r="U193" s="377">
        <f t="shared" si="48"/>
        <v>1804.2813455657495</v>
      </c>
      <c r="V193" s="408" t="s">
        <v>2985</v>
      </c>
      <c r="W193" s="408" t="s">
        <v>2985</v>
      </c>
      <c r="X193" s="313" t="s">
        <v>12</v>
      </c>
      <c r="Y193" s="307" t="s">
        <v>12</v>
      </c>
      <c r="Z193" s="307" t="s">
        <v>12</v>
      </c>
      <c r="AA193" s="311" t="s">
        <v>1754</v>
      </c>
      <c r="AB193" s="341" t="s">
        <v>12</v>
      </c>
      <c r="AC193" s="354" t="s">
        <v>2985</v>
      </c>
      <c r="AD193" s="507" t="s">
        <v>2312</v>
      </c>
      <c r="AE193" s="316" t="s">
        <v>2985</v>
      </c>
      <c r="AF193" s="348" t="s">
        <v>2308</v>
      </c>
      <c r="AG193" s="262" t="s">
        <v>2985</v>
      </c>
      <c r="AH193" s="344">
        <v>100</v>
      </c>
      <c r="AI193" s="353">
        <v>0</v>
      </c>
      <c r="AJ193" s="395">
        <v>0</v>
      </c>
      <c r="AK193" s="365">
        <v>0</v>
      </c>
      <c r="AL193" s="365">
        <v>0</v>
      </c>
      <c r="AM193" s="365">
        <v>0</v>
      </c>
      <c r="AN193" s="353">
        <v>0</v>
      </c>
      <c r="AO193" s="353">
        <v>0</v>
      </c>
      <c r="AP193" s="348">
        <v>0</v>
      </c>
      <c r="AQ193" s="348">
        <v>0</v>
      </c>
      <c r="AR193" s="348">
        <v>0</v>
      </c>
      <c r="AS193" s="348">
        <v>0</v>
      </c>
      <c r="AT193" s="353">
        <v>0</v>
      </c>
      <c r="AU193" s="348">
        <v>0</v>
      </c>
      <c r="AV193" s="348">
        <v>0</v>
      </c>
      <c r="AW193" s="348">
        <v>0</v>
      </c>
      <c r="AX193" s="341">
        <v>0</v>
      </c>
      <c r="AY193" s="340">
        <v>48</v>
      </c>
      <c r="AZ193" s="348"/>
      <c r="BA193" s="316" t="s">
        <v>2985</v>
      </c>
      <c r="BB193" s="94" t="s">
        <v>2985</v>
      </c>
      <c r="BC193" s="355" t="s">
        <v>2985</v>
      </c>
      <c r="BD193" s="348" t="s">
        <v>3556</v>
      </c>
      <c r="BE193" s="353">
        <v>49</v>
      </c>
      <c r="BF193" s="348"/>
      <c r="BG193" s="348">
        <v>200</v>
      </c>
      <c r="BH193" s="416">
        <f t="shared" si="43"/>
        <v>19.678714859437751</v>
      </c>
      <c r="BI193" s="303">
        <v>95</v>
      </c>
      <c r="BJ193" s="307">
        <v>2</v>
      </c>
      <c r="BK193" s="307">
        <v>20</v>
      </c>
      <c r="BL193" s="307">
        <v>20</v>
      </c>
      <c r="BM193" s="507" t="s">
        <v>2985</v>
      </c>
      <c r="BN193" s="307">
        <v>99</v>
      </c>
      <c r="BO193" s="259" t="s">
        <v>2985</v>
      </c>
      <c r="BP193" s="350" t="s">
        <v>2517</v>
      </c>
      <c r="BS193" s="321"/>
    </row>
    <row r="194" spans="1:71" s="322" customFormat="1" ht="18">
      <c r="A194" s="336">
        <v>1389</v>
      </c>
      <c r="B194" s="533" t="s">
        <v>3634</v>
      </c>
      <c r="C194" s="466" t="s">
        <v>3590</v>
      </c>
      <c r="D194" s="383"/>
      <c r="E194" s="469"/>
      <c r="F194" s="303" t="s">
        <v>365</v>
      </c>
      <c r="G194" s="386" t="s">
        <v>1816</v>
      </c>
      <c r="H194" s="303" t="s">
        <v>264</v>
      </c>
      <c r="I194" s="338" t="s">
        <v>3377</v>
      </c>
      <c r="J194" s="307">
        <v>2005</v>
      </c>
      <c r="K194" s="304">
        <v>321</v>
      </c>
      <c r="L194" s="303" t="s">
        <v>1745</v>
      </c>
      <c r="M194" s="304" t="s">
        <v>1751</v>
      </c>
      <c r="N194" s="446">
        <f t="shared" si="44"/>
        <v>0.32822165988230134</v>
      </c>
      <c r="O194" s="362">
        <v>0.44565428571428567</v>
      </c>
      <c r="P194" s="329">
        <v>4.5285714285714276</v>
      </c>
      <c r="Q194" s="310">
        <f t="shared" si="45"/>
        <v>3.3352652018120872</v>
      </c>
      <c r="R194" s="377">
        <f t="shared" si="46"/>
        <v>159</v>
      </c>
      <c r="S194" s="312">
        <v>356.77879714576966</v>
      </c>
      <c r="T194" s="377">
        <f t="shared" si="47"/>
        <v>484.42872434749313</v>
      </c>
      <c r="U194" s="377">
        <f t="shared" si="48"/>
        <v>1615.6982670744137</v>
      </c>
      <c r="V194" s="495">
        <v>1071.0509999999999</v>
      </c>
      <c r="W194" s="496">
        <f>U194-V194</f>
        <v>544.64726707441378</v>
      </c>
      <c r="X194" s="313" t="s">
        <v>12</v>
      </c>
      <c r="Y194" s="307" t="s">
        <v>12</v>
      </c>
      <c r="Z194" s="307" t="s">
        <v>12</v>
      </c>
      <c r="AA194" s="516" t="s">
        <v>522</v>
      </c>
      <c r="AB194" s="304" t="s">
        <v>12</v>
      </c>
      <c r="AC194" s="162" t="s">
        <v>3346</v>
      </c>
      <c r="AD194" s="507" t="s">
        <v>2310</v>
      </c>
      <c r="AE194" s="317" t="s">
        <v>2985</v>
      </c>
      <c r="AF194" s="307" t="s">
        <v>2308</v>
      </c>
      <c r="AG194" s="262" t="s">
        <v>2985</v>
      </c>
      <c r="AH194" s="344">
        <v>64.22154897574552</v>
      </c>
      <c r="AI194" s="312">
        <v>0</v>
      </c>
      <c r="AJ194" s="394">
        <v>0</v>
      </c>
      <c r="AK194" s="315">
        <v>0</v>
      </c>
      <c r="AL194" s="315">
        <v>0</v>
      </c>
      <c r="AM194" s="315">
        <v>0</v>
      </c>
      <c r="AN194" s="377">
        <v>35.77845102425448</v>
      </c>
      <c r="AO194" s="312">
        <v>0</v>
      </c>
      <c r="AP194" s="307">
        <v>0</v>
      </c>
      <c r="AQ194" s="307">
        <v>0</v>
      </c>
      <c r="AR194" s="307">
        <v>0</v>
      </c>
      <c r="AS194" s="307">
        <v>0</v>
      </c>
      <c r="AT194" s="312">
        <v>0</v>
      </c>
      <c r="AU194" s="307">
        <v>0</v>
      </c>
      <c r="AV194" s="307">
        <v>0</v>
      </c>
      <c r="AW194" s="307">
        <v>0</v>
      </c>
      <c r="AX194" s="304">
        <v>0</v>
      </c>
      <c r="AY194" s="303">
        <v>43</v>
      </c>
      <c r="AZ194" s="311"/>
      <c r="BA194" s="317" t="s">
        <v>2985</v>
      </c>
      <c r="BB194" s="307">
        <v>32</v>
      </c>
      <c r="BC194" s="355" t="s">
        <v>2985</v>
      </c>
      <c r="BD194" s="348" t="s">
        <v>3556</v>
      </c>
      <c r="BE194" s="312">
        <v>49</v>
      </c>
      <c r="BF194" s="317"/>
      <c r="BG194" s="307">
        <v>200</v>
      </c>
      <c r="BH194" s="416">
        <v>19.678714859437751</v>
      </c>
      <c r="BI194" s="303">
        <v>95</v>
      </c>
      <c r="BJ194" s="307">
        <v>7</v>
      </c>
      <c r="BK194" s="307">
        <v>20</v>
      </c>
      <c r="BL194" s="307">
        <v>20</v>
      </c>
      <c r="BM194" s="317" t="s">
        <v>2985</v>
      </c>
      <c r="BN194" s="307">
        <v>60</v>
      </c>
      <c r="BO194" s="259" t="s">
        <v>2985</v>
      </c>
      <c r="BP194" s="325"/>
      <c r="BS194" s="321"/>
    </row>
    <row r="195" spans="1:71" s="322" customFormat="1" ht="18">
      <c r="A195" s="336">
        <v>1390</v>
      </c>
      <c r="B195" s="533" t="s">
        <v>3634</v>
      </c>
      <c r="C195" s="466" t="s">
        <v>3590</v>
      </c>
      <c r="D195" s="466" t="s">
        <v>3590</v>
      </c>
      <c r="E195" s="469"/>
      <c r="F195" s="303" t="s">
        <v>366</v>
      </c>
      <c r="G195" s="386" t="s">
        <v>1816</v>
      </c>
      <c r="H195" s="303" t="s">
        <v>264</v>
      </c>
      <c r="I195" s="338" t="s">
        <v>3377</v>
      </c>
      <c r="J195" s="307">
        <v>2005</v>
      </c>
      <c r="K195" s="304">
        <v>321</v>
      </c>
      <c r="L195" s="303" t="s">
        <v>1745</v>
      </c>
      <c r="M195" s="304" t="s">
        <v>1751</v>
      </c>
      <c r="N195" s="446">
        <f t="shared" si="44"/>
        <v>0.41632682926829268</v>
      </c>
      <c r="O195" s="362">
        <v>0.41632682926829268</v>
      </c>
      <c r="P195" s="329">
        <v>4.3170731707317076</v>
      </c>
      <c r="Q195" s="310">
        <f t="shared" si="45"/>
        <v>4.3170731707317076</v>
      </c>
      <c r="R195" s="377">
        <f t="shared" si="46"/>
        <v>174</v>
      </c>
      <c r="S195" s="312">
        <v>417.94087665647299</v>
      </c>
      <c r="T195" s="377">
        <f t="shared" si="47"/>
        <v>417.94087665647299</v>
      </c>
      <c r="U195" s="377">
        <f t="shared" si="48"/>
        <v>1804.2813455657495</v>
      </c>
      <c r="V195" s="495">
        <v>1107.758</v>
      </c>
      <c r="W195" s="496">
        <f>U195-V195</f>
        <v>696.52334556574942</v>
      </c>
      <c r="X195" s="313" t="s">
        <v>12</v>
      </c>
      <c r="Y195" s="307" t="s">
        <v>12</v>
      </c>
      <c r="Z195" s="307" t="s">
        <v>12</v>
      </c>
      <c r="AA195" s="311" t="s">
        <v>1754</v>
      </c>
      <c r="AB195" s="304" t="s">
        <v>12</v>
      </c>
      <c r="AC195" s="162" t="s">
        <v>3346</v>
      </c>
      <c r="AD195" s="507" t="s">
        <v>2310</v>
      </c>
      <c r="AE195" s="317" t="s">
        <v>2985</v>
      </c>
      <c r="AF195" s="307" t="s">
        <v>2308</v>
      </c>
      <c r="AG195" s="262" t="s">
        <v>2985</v>
      </c>
      <c r="AH195" s="344">
        <v>100</v>
      </c>
      <c r="AI195" s="312">
        <v>0</v>
      </c>
      <c r="AJ195" s="394">
        <v>0</v>
      </c>
      <c r="AK195" s="315">
        <v>0</v>
      </c>
      <c r="AL195" s="315">
        <v>0</v>
      </c>
      <c r="AM195" s="315">
        <v>0</v>
      </c>
      <c r="AN195" s="312">
        <v>0</v>
      </c>
      <c r="AO195" s="312">
        <v>0</v>
      </c>
      <c r="AP195" s="307">
        <v>0</v>
      </c>
      <c r="AQ195" s="307">
        <v>0</v>
      </c>
      <c r="AR195" s="307">
        <v>0</v>
      </c>
      <c r="AS195" s="307">
        <v>0</v>
      </c>
      <c r="AT195" s="312">
        <v>0</v>
      </c>
      <c r="AU195" s="307">
        <v>0</v>
      </c>
      <c r="AV195" s="307">
        <v>0</v>
      </c>
      <c r="AW195" s="307">
        <v>0</v>
      </c>
      <c r="AX195" s="304">
        <v>0</v>
      </c>
      <c r="AY195" s="303">
        <v>48</v>
      </c>
      <c r="AZ195" s="311"/>
      <c r="BA195" s="317" t="s">
        <v>2985</v>
      </c>
      <c r="BB195" s="307">
        <v>38</v>
      </c>
      <c r="BC195" s="355" t="s">
        <v>2985</v>
      </c>
      <c r="BD195" s="348" t="s">
        <v>3556</v>
      </c>
      <c r="BE195" s="312">
        <v>49</v>
      </c>
      <c r="BF195" s="317"/>
      <c r="BG195" s="307">
        <v>200</v>
      </c>
      <c r="BH195" s="416">
        <v>19.678714859437751</v>
      </c>
      <c r="BI195" s="303">
        <v>95</v>
      </c>
      <c r="BJ195" s="307">
        <v>7</v>
      </c>
      <c r="BK195" s="307">
        <v>20</v>
      </c>
      <c r="BL195" s="307">
        <v>20</v>
      </c>
      <c r="BM195" s="317" t="s">
        <v>2985</v>
      </c>
      <c r="BN195" s="307">
        <v>60</v>
      </c>
      <c r="BO195" s="259" t="s">
        <v>2985</v>
      </c>
      <c r="BP195" s="325"/>
      <c r="BS195" s="321"/>
    </row>
    <row r="196" spans="1:71" s="322" customFormat="1">
      <c r="A196" s="457">
        <v>1408</v>
      </c>
      <c r="B196" s="533" t="s">
        <v>3614</v>
      </c>
      <c r="C196" s="466" t="s">
        <v>3590</v>
      </c>
      <c r="D196" s="466" t="s">
        <v>3590</v>
      </c>
      <c r="E196" s="469"/>
      <c r="F196" s="303" t="s">
        <v>374</v>
      </c>
      <c r="G196" s="386" t="s">
        <v>437</v>
      </c>
      <c r="H196" s="340" t="s">
        <v>251</v>
      </c>
      <c r="I196" s="338" t="s">
        <v>3377</v>
      </c>
      <c r="J196" s="348">
        <v>2009</v>
      </c>
      <c r="K196" s="341">
        <v>324</v>
      </c>
      <c r="L196" s="340" t="s">
        <v>1738</v>
      </c>
      <c r="M196" s="341" t="s">
        <v>1739</v>
      </c>
      <c r="N196" s="446">
        <f t="shared" si="44"/>
        <v>0.58181818181818179</v>
      </c>
      <c r="O196" s="362">
        <v>0.58181818181818179</v>
      </c>
      <c r="P196" s="329">
        <v>7.1454545454545455</v>
      </c>
      <c r="Q196" s="310">
        <f t="shared" si="45"/>
        <v>7.1454545454545455</v>
      </c>
      <c r="R196" s="377">
        <f t="shared" si="46"/>
        <v>160</v>
      </c>
      <c r="S196" s="307">
        <v>275</v>
      </c>
      <c r="T196" s="377">
        <f t="shared" si="47"/>
        <v>275</v>
      </c>
      <c r="U196" s="377">
        <f t="shared" si="48"/>
        <v>1965</v>
      </c>
      <c r="V196" s="408" t="s">
        <v>2985</v>
      </c>
      <c r="W196" s="408" t="s">
        <v>2985</v>
      </c>
      <c r="X196" s="313" t="s">
        <v>12</v>
      </c>
      <c r="Y196" s="307" t="s">
        <v>12</v>
      </c>
      <c r="Z196" s="307" t="s">
        <v>12</v>
      </c>
      <c r="AA196" s="516" t="s">
        <v>1754</v>
      </c>
      <c r="AB196" s="341" t="s">
        <v>2577</v>
      </c>
      <c r="AC196" s="354" t="s">
        <v>2985</v>
      </c>
      <c r="AD196" s="506" t="s">
        <v>2312</v>
      </c>
      <c r="AE196" s="316" t="s">
        <v>2985</v>
      </c>
      <c r="AF196" s="214" t="s">
        <v>2727</v>
      </c>
      <c r="AG196" s="262" t="s">
        <v>2985</v>
      </c>
      <c r="AH196" s="313">
        <v>100</v>
      </c>
      <c r="AI196" s="348">
        <v>0</v>
      </c>
      <c r="AJ196" s="365">
        <v>0</v>
      </c>
      <c r="AK196" s="365">
        <v>0</v>
      </c>
      <c r="AL196" s="365">
        <v>0</v>
      </c>
      <c r="AM196" s="365">
        <v>0</v>
      </c>
      <c r="AN196" s="348">
        <v>0</v>
      </c>
      <c r="AO196" s="348">
        <v>0</v>
      </c>
      <c r="AP196" s="348">
        <v>0</v>
      </c>
      <c r="AQ196" s="348">
        <v>0</v>
      </c>
      <c r="AR196" s="348">
        <v>0</v>
      </c>
      <c r="AS196" s="348">
        <v>0</v>
      </c>
      <c r="AT196" s="348">
        <v>0</v>
      </c>
      <c r="AU196" s="348">
        <v>0</v>
      </c>
      <c r="AV196" s="348">
        <v>0</v>
      </c>
      <c r="AW196" s="348">
        <v>0</v>
      </c>
      <c r="AX196" s="341">
        <v>0</v>
      </c>
      <c r="AY196" s="340">
        <v>44</v>
      </c>
      <c r="AZ196" s="348"/>
      <c r="BA196" s="316" t="s">
        <v>2985</v>
      </c>
      <c r="BB196" s="94" t="s">
        <v>2985</v>
      </c>
      <c r="BC196" s="355" t="s">
        <v>2985</v>
      </c>
      <c r="BD196" s="348" t="s">
        <v>3557</v>
      </c>
      <c r="BE196" s="353">
        <v>70</v>
      </c>
      <c r="BF196" s="348"/>
      <c r="BG196" s="348">
        <v>200</v>
      </c>
      <c r="BH196" s="416">
        <f>IF(ISBLANK(BF196),(BE196*BG196)/((4*BG196)+(2*BE196)),BE196*BF196*BG196/2/(BE196*BF196+BE196*BG196+BF196*BG196))</f>
        <v>14.893617021276595</v>
      </c>
      <c r="BI196" s="303">
        <v>99</v>
      </c>
      <c r="BJ196" s="307">
        <v>3</v>
      </c>
      <c r="BK196" s="307">
        <v>20</v>
      </c>
      <c r="BL196" s="307">
        <v>21</v>
      </c>
      <c r="BM196" s="507" t="s">
        <v>2985</v>
      </c>
      <c r="BN196" s="307">
        <v>65</v>
      </c>
      <c r="BO196" s="259" t="s">
        <v>2985</v>
      </c>
      <c r="BP196" s="350" t="s">
        <v>2624</v>
      </c>
      <c r="BS196" s="321"/>
    </row>
    <row r="197" spans="1:71" s="322" customFormat="1">
      <c r="A197" s="457">
        <v>1413</v>
      </c>
      <c r="B197" s="533" t="s">
        <v>3614</v>
      </c>
      <c r="C197" s="466" t="s">
        <v>3590</v>
      </c>
      <c r="D197" s="466" t="s">
        <v>3590</v>
      </c>
      <c r="E197" s="469"/>
      <c r="F197" s="303" t="s">
        <v>379</v>
      </c>
      <c r="G197" s="386" t="s">
        <v>437</v>
      </c>
      <c r="H197" s="340" t="s">
        <v>251</v>
      </c>
      <c r="I197" s="338" t="s">
        <v>3377</v>
      </c>
      <c r="J197" s="348">
        <v>2009</v>
      </c>
      <c r="K197" s="341">
        <v>324</v>
      </c>
      <c r="L197" s="340" t="s">
        <v>1738</v>
      </c>
      <c r="M197" s="341" t="s">
        <v>1739</v>
      </c>
      <c r="N197" s="446">
        <f t="shared" si="44"/>
        <v>0.69090909090909092</v>
      </c>
      <c r="O197" s="362">
        <v>0.69090909090909092</v>
      </c>
      <c r="P197" s="329">
        <v>7.0363636363636362</v>
      </c>
      <c r="Q197" s="310">
        <f t="shared" si="45"/>
        <v>7.0363636363636362</v>
      </c>
      <c r="R197" s="377">
        <f t="shared" si="46"/>
        <v>190</v>
      </c>
      <c r="S197" s="307">
        <v>275</v>
      </c>
      <c r="T197" s="377">
        <f t="shared" si="47"/>
        <v>275</v>
      </c>
      <c r="U197" s="377">
        <f t="shared" si="48"/>
        <v>1935</v>
      </c>
      <c r="V197" s="408" t="s">
        <v>2985</v>
      </c>
      <c r="W197" s="408" t="s">
        <v>2985</v>
      </c>
      <c r="X197" s="313" t="s">
        <v>12</v>
      </c>
      <c r="Y197" s="307" t="s">
        <v>12</v>
      </c>
      <c r="Z197" s="307" t="s">
        <v>12</v>
      </c>
      <c r="AA197" s="516" t="s">
        <v>1754</v>
      </c>
      <c r="AB197" s="341" t="s">
        <v>2577</v>
      </c>
      <c r="AC197" s="354" t="s">
        <v>2985</v>
      </c>
      <c r="AD197" s="506" t="s">
        <v>2312</v>
      </c>
      <c r="AE197" s="316" t="s">
        <v>2985</v>
      </c>
      <c r="AF197" s="214" t="s">
        <v>2727</v>
      </c>
      <c r="AG197" s="262" t="s">
        <v>2985</v>
      </c>
      <c r="AH197" s="313">
        <v>100</v>
      </c>
      <c r="AI197" s="348">
        <v>0</v>
      </c>
      <c r="AJ197" s="365">
        <v>0</v>
      </c>
      <c r="AK197" s="365">
        <v>0</v>
      </c>
      <c r="AL197" s="365">
        <v>0</v>
      </c>
      <c r="AM197" s="365">
        <v>0</v>
      </c>
      <c r="AN197" s="348">
        <v>0</v>
      </c>
      <c r="AO197" s="348">
        <v>0</v>
      </c>
      <c r="AP197" s="348">
        <v>0</v>
      </c>
      <c r="AQ197" s="348">
        <v>0</v>
      </c>
      <c r="AR197" s="348">
        <v>0</v>
      </c>
      <c r="AS197" s="348">
        <v>0</v>
      </c>
      <c r="AT197" s="348">
        <v>0</v>
      </c>
      <c r="AU197" s="348">
        <v>0</v>
      </c>
      <c r="AV197" s="348">
        <v>0</v>
      </c>
      <c r="AW197" s="348">
        <v>0</v>
      </c>
      <c r="AX197" s="341">
        <v>0</v>
      </c>
      <c r="AY197" s="340">
        <v>45.2</v>
      </c>
      <c r="AZ197" s="348"/>
      <c r="BA197" s="316" t="s">
        <v>2985</v>
      </c>
      <c r="BB197" s="94" t="s">
        <v>2985</v>
      </c>
      <c r="BC197" s="355" t="s">
        <v>2985</v>
      </c>
      <c r="BD197" s="348" t="s">
        <v>3557</v>
      </c>
      <c r="BE197" s="353">
        <v>70</v>
      </c>
      <c r="BF197" s="348"/>
      <c r="BG197" s="348">
        <v>200</v>
      </c>
      <c r="BH197" s="416">
        <f>IF(ISBLANK(BF197),(BE197*BG197)/((4*BG197)+(2*BE197)),BE197*BF197*BG197/2/(BE197*BF197+BE197*BG197+BF197*BG197))</f>
        <v>14.893617021276595</v>
      </c>
      <c r="BI197" s="303">
        <v>99</v>
      </c>
      <c r="BJ197" s="307">
        <v>3</v>
      </c>
      <c r="BK197" s="307">
        <v>20</v>
      </c>
      <c r="BL197" s="307">
        <v>21</v>
      </c>
      <c r="BM197" s="507" t="s">
        <v>2985</v>
      </c>
      <c r="BN197" s="307">
        <v>65</v>
      </c>
      <c r="BO197" s="259" t="s">
        <v>2985</v>
      </c>
      <c r="BP197" s="350"/>
      <c r="BS197" s="321"/>
    </row>
    <row r="198" spans="1:71" s="322" customFormat="1">
      <c r="A198" s="336">
        <v>1416</v>
      </c>
      <c r="B198" s="533" t="s">
        <v>3614</v>
      </c>
      <c r="C198" s="383"/>
      <c r="D198" s="383"/>
      <c r="E198" s="469"/>
      <c r="F198" s="303" t="s">
        <v>2011</v>
      </c>
      <c r="G198" s="386" t="s">
        <v>1765</v>
      </c>
      <c r="H198" s="303" t="s">
        <v>165</v>
      </c>
      <c r="I198" s="338" t="s">
        <v>3377</v>
      </c>
      <c r="J198" s="307">
        <v>2003</v>
      </c>
      <c r="K198" s="304">
        <v>326</v>
      </c>
      <c r="L198" s="303" t="s">
        <v>1738</v>
      </c>
      <c r="M198" s="304" t="s">
        <v>1751</v>
      </c>
      <c r="N198" s="446">
        <f t="shared" si="44"/>
        <v>0.53</v>
      </c>
      <c r="O198" s="349">
        <v>0.53</v>
      </c>
      <c r="P198" s="329">
        <v>5.8677419354838714</v>
      </c>
      <c r="Q198" s="310">
        <f t="shared" si="45"/>
        <v>5.8677419354838714</v>
      </c>
      <c r="R198" s="377">
        <f t="shared" si="46"/>
        <v>164.3</v>
      </c>
      <c r="S198" s="315">
        <v>310</v>
      </c>
      <c r="T198" s="377">
        <f t="shared" si="47"/>
        <v>310</v>
      </c>
      <c r="U198" s="377">
        <f t="shared" si="48"/>
        <v>1819.0000000000002</v>
      </c>
      <c r="V198" s="495">
        <v>1135.2850000000001</v>
      </c>
      <c r="W198" s="496">
        <f t="shared" ref="W198:W205" si="49">U198-V198</f>
        <v>683.71500000000015</v>
      </c>
      <c r="X198" s="313" t="s">
        <v>12</v>
      </c>
      <c r="Y198" s="307" t="s">
        <v>12</v>
      </c>
      <c r="Z198" s="307" t="s">
        <v>12</v>
      </c>
      <c r="AA198" s="311" t="s">
        <v>1754</v>
      </c>
      <c r="AB198" s="304" t="s">
        <v>273</v>
      </c>
      <c r="AC198" s="162" t="s">
        <v>3346</v>
      </c>
      <c r="AD198" s="348" t="s">
        <v>2310</v>
      </c>
      <c r="AE198" s="239" t="s">
        <v>2306</v>
      </c>
      <c r="AF198" s="239" t="s">
        <v>2310</v>
      </c>
      <c r="AG198" s="262" t="s">
        <v>2985</v>
      </c>
      <c r="AH198" s="344">
        <v>100</v>
      </c>
      <c r="AI198" s="312">
        <v>0</v>
      </c>
      <c r="AJ198" s="394">
        <v>0</v>
      </c>
      <c r="AK198" s="315">
        <v>0</v>
      </c>
      <c r="AL198" s="315">
        <v>0</v>
      </c>
      <c r="AM198" s="315">
        <v>0</v>
      </c>
      <c r="AN198" s="312">
        <v>0</v>
      </c>
      <c r="AO198" s="312">
        <v>0</v>
      </c>
      <c r="AP198" s="307">
        <v>0</v>
      </c>
      <c r="AQ198" s="307">
        <v>0</v>
      </c>
      <c r="AR198" s="307">
        <v>0</v>
      </c>
      <c r="AS198" s="307">
        <v>0</v>
      </c>
      <c r="AT198" s="312">
        <v>0</v>
      </c>
      <c r="AU198" s="307">
        <v>0</v>
      </c>
      <c r="AV198" s="311">
        <v>0.5</v>
      </c>
      <c r="AW198" s="307">
        <v>0</v>
      </c>
      <c r="AX198" s="304">
        <v>0</v>
      </c>
      <c r="AY198" s="303">
        <v>44.2</v>
      </c>
      <c r="AZ198" s="311"/>
      <c r="BA198" s="317" t="s">
        <v>2985</v>
      </c>
      <c r="BB198" s="94" t="s">
        <v>2985</v>
      </c>
      <c r="BC198" s="355" t="s">
        <v>2985</v>
      </c>
      <c r="BD198" s="116" t="s">
        <v>3520</v>
      </c>
      <c r="BE198" s="116">
        <v>100</v>
      </c>
      <c r="BF198" s="116"/>
      <c r="BG198" s="116">
        <v>200</v>
      </c>
      <c r="BH198" s="722">
        <v>25</v>
      </c>
      <c r="BI198" s="303" t="s">
        <v>521</v>
      </c>
      <c r="BJ198" s="307">
        <v>1</v>
      </c>
      <c r="BK198" s="307" t="s">
        <v>521</v>
      </c>
      <c r="BL198" s="307">
        <v>20</v>
      </c>
      <c r="BM198" s="307">
        <v>0</v>
      </c>
      <c r="BN198" s="307">
        <v>60</v>
      </c>
      <c r="BO198" s="259" t="s">
        <v>2985</v>
      </c>
      <c r="BP198" s="325" t="s">
        <v>1766</v>
      </c>
      <c r="BS198" s="321"/>
    </row>
    <row r="199" spans="1:71" s="322" customFormat="1">
      <c r="A199" s="336">
        <v>1417</v>
      </c>
      <c r="B199" s="533" t="s">
        <v>3614</v>
      </c>
      <c r="C199" s="383"/>
      <c r="D199" s="383"/>
      <c r="E199" s="469"/>
      <c r="F199" s="303" t="s">
        <v>2012</v>
      </c>
      <c r="G199" s="386" t="s">
        <v>1765</v>
      </c>
      <c r="H199" s="303" t="s">
        <v>165</v>
      </c>
      <c r="I199" s="338" t="s">
        <v>3377</v>
      </c>
      <c r="J199" s="307">
        <v>2003</v>
      </c>
      <c r="K199" s="304">
        <v>326</v>
      </c>
      <c r="L199" s="303" t="s">
        <v>1738</v>
      </c>
      <c r="M199" s="304" t="s">
        <v>1751</v>
      </c>
      <c r="N199" s="446">
        <f t="shared" si="44"/>
        <v>0.53</v>
      </c>
      <c r="O199" s="349">
        <v>0.53</v>
      </c>
      <c r="P199" s="329">
        <v>5.8677419354838714</v>
      </c>
      <c r="Q199" s="310">
        <f t="shared" si="45"/>
        <v>5.8677419354838714</v>
      </c>
      <c r="R199" s="377">
        <f t="shared" si="46"/>
        <v>164.3</v>
      </c>
      <c r="S199" s="307">
        <v>310</v>
      </c>
      <c r="T199" s="377">
        <f t="shared" si="47"/>
        <v>310</v>
      </c>
      <c r="U199" s="377">
        <f t="shared" si="48"/>
        <v>1819.0000000000002</v>
      </c>
      <c r="V199" s="495">
        <v>1135.2850000000001</v>
      </c>
      <c r="W199" s="496">
        <f t="shared" si="49"/>
        <v>683.71500000000015</v>
      </c>
      <c r="X199" s="313" t="s">
        <v>12</v>
      </c>
      <c r="Y199" s="307" t="s">
        <v>12</v>
      </c>
      <c r="Z199" s="307" t="s">
        <v>12</v>
      </c>
      <c r="AA199" s="311" t="s">
        <v>1754</v>
      </c>
      <c r="AB199" s="304" t="s">
        <v>273</v>
      </c>
      <c r="AC199" s="162" t="s">
        <v>3346</v>
      </c>
      <c r="AD199" s="348" t="s">
        <v>2310</v>
      </c>
      <c r="AE199" s="239" t="s">
        <v>2306</v>
      </c>
      <c r="AF199" s="239" t="s">
        <v>2310</v>
      </c>
      <c r="AG199" s="262" t="s">
        <v>2985</v>
      </c>
      <c r="AH199" s="344">
        <v>100</v>
      </c>
      <c r="AI199" s="312">
        <v>0</v>
      </c>
      <c r="AJ199" s="394">
        <v>0</v>
      </c>
      <c r="AK199" s="315">
        <v>0</v>
      </c>
      <c r="AL199" s="315">
        <v>0</v>
      </c>
      <c r="AM199" s="315">
        <v>0</v>
      </c>
      <c r="AN199" s="312">
        <v>0</v>
      </c>
      <c r="AO199" s="312">
        <v>0</v>
      </c>
      <c r="AP199" s="307">
        <v>0</v>
      </c>
      <c r="AQ199" s="307">
        <v>0</v>
      </c>
      <c r="AR199" s="307">
        <v>0</v>
      </c>
      <c r="AS199" s="307">
        <v>0</v>
      </c>
      <c r="AT199" s="377">
        <v>1</v>
      </c>
      <c r="AU199" s="307">
        <v>0</v>
      </c>
      <c r="AV199" s="307">
        <v>0</v>
      </c>
      <c r="AW199" s="307">
        <v>0</v>
      </c>
      <c r="AX199" s="304">
        <v>0</v>
      </c>
      <c r="AY199" s="303">
        <v>48.5</v>
      </c>
      <c r="AZ199" s="311"/>
      <c r="BA199" s="317" t="s">
        <v>2985</v>
      </c>
      <c r="BB199" s="94" t="s">
        <v>2985</v>
      </c>
      <c r="BC199" s="355" t="s">
        <v>2985</v>
      </c>
      <c r="BD199" s="116" t="s">
        <v>3520</v>
      </c>
      <c r="BE199" s="116">
        <v>100</v>
      </c>
      <c r="BF199" s="116"/>
      <c r="BG199" s="116">
        <v>200</v>
      </c>
      <c r="BH199" s="722">
        <v>25</v>
      </c>
      <c r="BI199" s="303" t="s">
        <v>521</v>
      </c>
      <c r="BJ199" s="307">
        <v>1</v>
      </c>
      <c r="BK199" s="307" t="s">
        <v>521</v>
      </c>
      <c r="BL199" s="307">
        <v>20</v>
      </c>
      <c r="BM199" s="307">
        <v>0</v>
      </c>
      <c r="BN199" s="307">
        <v>60</v>
      </c>
      <c r="BO199" s="259" t="s">
        <v>2985</v>
      </c>
      <c r="BP199" s="325" t="s">
        <v>1767</v>
      </c>
      <c r="BS199" s="321"/>
    </row>
    <row r="200" spans="1:71" s="322" customFormat="1">
      <c r="A200" s="336">
        <v>1418</v>
      </c>
      <c r="B200" s="533" t="s">
        <v>3614</v>
      </c>
      <c r="C200" s="383"/>
      <c r="D200" s="383"/>
      <c r="E200" s="469"/>
      <c r="F200" s="303" t="s">
        <v>2013</v>
      </c>
      <c r="G200" s="386" t="s">
        <v>1765</v>
      </c>
      <c r="H200" s="303" t="s">
        <v>165</v>
      </c>
      <c r="I200" s="338" t="s">
        <v>3377</v>
      </c>
      <c r="J200" s="307">
        <v>2003</v>
      </c>
      <c r="K200" s="304">
        <v>326</v>
      </c>
      <c r="L200" s="303" t="s">
        <v>1738</v>
      </c>
      <c r="M200" s="304" t="s">
        <v>1751</v>
      </c>
      <c r="N200" s="446">
        <f t="shared" si="44"/>
        <v>0.53</v>
      </c>
      <c r="O200" s="349">
        <v>0.53</v>
      </c>
      <c r="P200" s="329">
        <v>5.8677419354838714</v>
      </c>
      <c r="Q200" s="310">
        <f t="shared" si="45"/>
        <v>5.8677419354838714</v>
      </c>
      <c r="R200" s="377">
        <f t="shared" si="46"/>
        <v>164.3</v>
      </c>
      <c r="S200" s="307">
        <v>310</v>
      </c>
      <c r="T200" s="377">
        <f t="shared" si="47"/>
        <v>310</v>
      </c>
      <c r="U200" s="377">
        <f t="shared" si="48"/>
        <v>1819.0000000000002</v>
      </c>
      <c r="V200" s="495">
        <v>1135.2850000000001</v>
      </c>
      <c r="W200" s="496">
        <f t="shared" si="49"/>
        <v>683.71500000000015</v>
      </c>
      <c r="X200" s="313" t="s">
        <v>12</v>
      </c>
      <c r="Y200" s="307" t="s">
        <v>12</v>
      </c>
      <c r="Z200" s="307" t="s">
        <v>12</v>
      </c>
      <c r="AA200" s="311" t="s">
        <v>1754</v>
      </c>
      <c r="AB200" s="304" t="s">
        <v>273</v>
      </c>
      <c r="AC200" s="162" t="s">
        <v>3346</v>
      </c>
      <c r="AD200" s="348" t="s">
        <v>2310</v>
      </c>
      <c r="AE200" s="239" t="s">
        <v>2306</v>
      </c>
      <c r="AF200" s="239" t="s">
        <v>2310</v>
      </c>
      <c r="AG200" s="262" t="s">
        <v>2985</v>
      </c>
      <c r="AH200" s="344">
        <v>100</v>
      </c>
      <c r="AI200" s="312">
        <v>0</v>
      </c>
      <c r="AJ200" s="394">
        <v>0</v>
      </c>
      <c r="AK200" s="315">
        <v>0</v>
      </c>
      <c r="AL200" s="315">
        <v>0</v>
      </c>
      <c r="AM200" s="315">
        <v>0</v>
      </c>
      <c r="AN200" s="312">
        <v>0</v>
      </c>
      <c r="AO200" s="312">
        <v>0</v>
      </c>
      <c r="AP200" s="307">
        <v>0</v>
      </c>
      <c r="AQ200" s="307">
        <v>0</v>
      </c>
      <c r="AR200" s="307">
        <v>0</v>
      </c>
      <c r="AS200" s="307">
        <v>0</v>
      </c>
      <c r="AT200" s="377">
        <v>1</v>
      </c>
      <c r="AU200" s="307">
        <v>0</v>
      </c>
      <c r="AV200" s="307">
        <v>0</v>
      </c>
      <c r="AW200" s="307">
        <v>0</v>
      </c>
      <c r="AX200" s="304">
        <v>0</v>
      </c>
      <c r="AY200" s="303">
        <v>45.1</v>
      </c>
      <c r="AZ200" s="311"/>
      <c r="BA200" s="317" t="s">
        <v>2985</v>
      </c>
      <c r="BB200" s="94" t="s">
        <v>2985</v>
      </c>
      <c r="BC200" s="355" t="s">
        <v>2985</v>
      </c>
      <c r="BD200" s="116" t="s">
        <v>3520</v>
      </c>
      <c r="BE200" s="116">
        <v>100</v>
      </c>
      <c r="BF200" s="116"/>
      <c r="BG200" s="116">
        <v>200</v>
      </c>
      <c r="BH200" s="722">
        <v>25</v>
      </c>
      <c r="BI200" s="303" t="s">
        <v>521</v>
      </c>
      <c r="BJ200" s="307">
        <v>1</v>
      </c>
      <c r="BK200" s="307" t="s">
        <v>521</v>
      </c>
      <c r="BL200" s="307">
        <v>20</v>
      </c>
      <c r="BM200" s="307">
        <v>0</v>
      </c>
      <c r="BN200" s="307">
        <v>60</v>
      </c>
      <c r="BO200" s="259" t="s">
        <v>2985</v>
      </c>
      <c r="BP200" s="325" t="s">
        <v>1793</v>
      </c>
      <c r="BS200" s="321"/>
    </row>
    <row r="201" spans="1:71" s="322" customFormat="1">
      <c r="A201" s="336">
        <v>1419</v>
      </c>
      <c r="B201" s="533" t="s">
        <v>3614</v>
      </c>
      <c r="C201" s="383"/>
      <c r="D201" s="383"/>
      <c r="E201" s="469"/>
      <c r="F201" s="303" t="s">
        <v>2014</v>
      </c>
      <c r="G201" s="386" t="s">
        <v>1765</v>
      </c>
      <c r="H201" s="303" t="s">
        <v>165</v>
      </c>
      <c r="I201" s="338" t="s">
        <v>3377</v>
      </c>
      <c r="J201" s="307">
        <v>2003</v>
      </c>
      <c r="K201" s="304">
        <v>326</v>
      </c>
      <c r="L201" s="303" t="s">
        <v>1738</v>
      </c>
      <c r="M201" s="304" t="s">
        <v>1751</v>
      </c>
      <c r="N201" s="446">
        <f t="shared" si="44"/>
        <v>0.47000000000000003</v>
      </c>
      <c r="O201" s="349">
        <v>0.47</v>
      </c>
      <c r="P201" s="329">
        <v>5.1293103448275863</v>
      </c>
      <c r="Q201" s="310">
        <f t="shared" si="45"/>
        <v>5.1293103448275863</v>
      </c>
      <c r="R201" s="377">
        <f t="shared" si="46"/>
        <v>163.56</v>
      </c>
      <c r="S201" s="307">
        <v>348</v>
      </c>
      <c r="T201" s="377">
        <f t="shared" si="47"/>
        <v>348</v>
      </c>
      <c r="U201" s="377">
        <f t="shared" si="48"/>
        <v>1785</v>
      </c>
      <c r="V201" s="495">
        <v>1119.6189999999999</v>
      </c>
      <c r="W201" s="496">
        <f t="shared" si="49"/>
        <v>665.38100000000009</v>
      </c>
      <c r="X201" s="313" t="s">
        <v>12</v>
      </c>
      <c r="Y201" s="307" t="s">
        <v>12</v>
      </c>
      <c r="Z201" s="307" t="s">
        <v>12</v>
      </c>
      <c r="AA201" s="311" t="s">
        <v>1754</v>
      </c>
      <c r="AB201" s="304" t="s">
        <v>273</v>
      </c>
      <c r="AC201" s="162" t="s">
        <v>3346</v>
      </c>
      <c r="AD201" s="348" t="s">
        <v>2310</v>
      </c>
      <c r="AE201" s="239" t="s">
        <v>2306</v>
      </c>
      <c r="AF201" s="239" t="s">
        <v>2310</v>
      </c>
      <c r="AG201" s="262" t="s">
        <v>2985</v>
      </c>
      <c r="AH201" s="344">
        <v>100</v>
      </c>
      <c r="AI201" s="312">
        <v>0</v>
      </c>
      <c r="AJ201" s="394">
        <v>0</v>
      </c>
      <c r="AK201" s="315">
        <v>0</v>
      </c>
      <c r="AL201" s="315">
        <v>0</v>
      </c>
      <c r="AM201" s="315">
        <v>0</v>
      </c>
      <c r="AN201" s="312">
        <v>0</v>
      </c>
      <c r="AO201" s="312">
        <v>0</v>
      </c>
      <c r="AP201" s="307">
        <v>0</v>
      </c>
      <c r="AQ201" s="307">
        <v>0</v>
      </c>
      <c r="AR201" s="307">
        <v>0</v>
      </c>
      <c r="AS201" s="307">
        <v>0</v>
      </c>
      <c r="AT201" s="312">
        <v>0</v>
      </c>
      <c r="AU201" s="307">
        <v>0</v>
      </c>
      <c r="AV201" s="311">
        <v>0.6</v>
      </c>
      <c r="AW201" s="307">
        <v>0</v>
      </c>
      <c r="AX201" s="304">
        <v>0</v>
      </c>
      <c r="AY201" s="303">
        <v>47.8</v>
      </c>
      <c r="AZ201" s="311"/>
      <c r="BA201" s="317" t="s">
        <v>2985</v>
      </c>
      <c r="BB201" s="94" t="s">
        <v>2985</v>
      </c>
      <c r="BC201" s="355" t="s">
        <v>2985</v>
      </c>
      <c r="BD201" s="116" t="s">
        <v>3520</v>
      </c>
      <c r="BE201" s="116">
        <v>100</v>
      </c>
      <c r="BF201" s="116"/>
      <c r="BG201" s="116">
        <v>200</v>
      </c>
      <c r="BH201" s="722">
        <v>25</v>
      </c>
      <c r="BI201" s="303" t="s">
        <v>521</v>
      </c>
      <c r="BJ201" s="307">
        <v>1</v>
      </c>
      <c r="BK201" s="307" t="s">
        <v>521</v>
      </c>
      <c r="BL201" s="307">
        <v>20</v>
      </c>
      <c r="BM201" s="307">
        <v>0</v>
      </c>
      <c r="BN201" s="307">
        <v>60</v>
      </c>
      <c r="BO201" s="259" t="s">
        <v>2985</v>
      </c>
      <c r="BP201" s="325" t="s">
        <v>1766</v>
      </c>
      <c r="BS201" s="321"/>
    </row>
    <row r="202" spans="1:71" s="322" customFormat="1">
      <c r="A202" s="336">
        <v>1420</v>
      </c>
      <c r="B202" s="533" t="s">
        <v>3614</v>
      </c>
      <c r="C202" s="383"/>
      <c r="D202" s="383"/>
      <c r="E202" s="469"/>
      <c r="F202" s="303" t="s">
        <v>2015</v>
      </c>
      <c r="G202" s="386" t="s">
        <v>1765</v>
      </c>
      <c r="H202" s="303" t="s">
        <v>165</v>
      </c>
      <c r="I202" s="338" t="s">
        <v>3377</v>
      </c>
      <c r="J202" s="307">
        <v>2003</v>
      </c>
      <c r="K202" s="304">
        <v>326</v>
      </c>
      <c r="L202" s="303" t="s">
        <v>1738</v>
      </c>
      <c r="M202" s="304" t="s">
        <v>1751</v>
      </c>
      <c r="N202" s="446">
        <f t="shared" si="44"/>
        <v>0.47000000000000003</v>
      </c>
      <c r="O202" s="349">
        <v>0.47</v>
      </c>
      <c r="P202" s="329">
        <v>5.1293103448275863</v>
      </c>
      <c r="Q202" s="310">
        <f t="shared" si="45"/>
        <v>5.1293103448275863</v>
      </c>
      <c r="R202" s="377">
        <f t="shared" si="46"/>
        <v>163.56</v>
      </c>
      <c r="S202" s="307">
        <v>348</v>
      </c>
      <c r="T202" s="377">
        <f t="shared" si="47"/>
        <v>348</v>
      </c>
      <c r="U202" s="377">
        <f t="shared" si="48"/>
        <v>1785</v>
      </c>
      <c r="V202" s="495">
        <v>1119.6189999999999</v>
      </c>
      <c r="W202" s="496">
        <f t="shared" si="49"/>
        <v>665.38100000000009</v>
      </c>
      <c r="X202" s="313" t="s">
        <v>12</v>
      </c>
      <c r="Y202" s="307" t="s">
        <v>12</v>
      </c>
      <c r="Z202" s="307" t="s">
        <v>12</v>
      </c>
      <c r="AA202" s="311" t="s">
        <v>1754</v>
      </c>
      <c r="AB202" s="304" t="s">
        <v>273</v>
      </c>
      <c r="AC202" s="162" t="s">
        <v>3346</v>
      </c>
      <c r="AD202" s="348" t="s">
        <v>2310</v>
      </c>
      <c r="AE202" s="239" t="s">
        <v>2306</v>
      </c>
      <c r="AF202" s="239" t="s">
        <v>2310</v>
      </c>
      <c r="AG202" s="262" t="s">
        <v>2985</v>
      </c>
      <c r="AH202" s="344">
        <v>100</v>
      </c>
      <c r="AI202" s="312">
        <v>0</v>
      </c>
      <c r="AJ202" s="394">
        <v>0</v>
      </c>
      <c r="AK202" s="315">
        <v>0</v>
      </c>
      <c r="AL202" s="315">
        <v>0</v>
      </c>
      <c r="AM202" s="315">
        <v>0</v>
      </c>
      <c r="AN202" s="312">
        <v>0</v>
      </c>
      <c r="AO202" s="312">
        <v>0</v>
      </c>
      <c r="AP202" s="307">
        <v>0</v>
      </c>
      <c r="AQ202" s="307">
        <v>0</v>
      </c>
      <c r="AR202" s="307">
        <v>0</v>
      </c>
      <c r="AS202" s="307">
        <v>0</v>
      </c>
      <c r="AT202" s="312">
        <v>0</v>
      </c>
      <c r="AU202" s="307">
        <v>0</v>
      </c>
      <c r="AV202" s="311">
        <v>0.55000000000000004</v>
      </c>
      <c r="AW202" s="307">
        <v>0</v>
      </c>
      <c r="AX202" s="304">
        <v>0</v>
      </c>
      <c r="AY202" s="303">
        <v>47.5</v>
      </c>
      <c r="AZ202" s="311"/>
      <c r="BA202" s="317" t="s">
        <v>2985</v>
      </c>
      <c r="BB202" s="94" t="s">
        <v>2985</v>
      </c>
      <c r="BC202" s="355" t="s">
        <v>2985</v>
      </c>
      <c r="BD202" s="116" t="s">
        <v>3520</v>
      </c>
      <c r="BE202" s="116">
        <v>100</v>
      </c>
      <c r="BF202" s="116"/>
      <c r="BG202" s="116">
        <v>200</v>
      </c>
      <c r="BH202" s="722">
        <v>25</v>
      </c>
      <c r="BI202" s="303" t="s">
        <v>521</v>
      </c>
      <c r="BJ202" s="307">
        <v>1</v>
      </c>
      <c r="BK202" s="307" t="s">
        <v>521</v>
      </c>
      <c r="BL202" s="307">
        <v>20</v>
      </c>
      <c r="BM202" s="307">
        <v>0</v>
      </c>
      <c r="BN202" s="307">
        <v>60</v>
      </c>
      <c r="BO202" s="259" t="s">
        <v>2985</v>
      </c>
      <c r="BP202" s="325" t="s">
        <v>1766</v>
      </c>
      <c r="BS202" s="321"/>
    </row>
    <row r="203" spans="1:71" s="322" customFormat="1">
      <c r="A203" s="336">
        <v>1421</v>
      </c>
      <c r="B203" s="533" t="s">
        <v>3614</v>
      </c>
      <c r="C203" s="383"/>
      <c r="D203" s="383"/>
      <c r="E203" s="469"/>
      <c r="F203" s="303" t="s">
        <v>2016</v>
      </c>
      <c r="G203" s="386" t="s">
        <v>1765</v>
      </c>
      <c r="H203" s="303" t="s">
        <v>165</v>
      </c>
      <c r="I203" s="338" t="s">
        <v>3377</v>
      </c>
      <c r="J203" s="307">
        <v>2003</v>
      </c>
      <c r="K203" s="304">
        <v>326</v>
      </c>
      <c r="L203" s="303" t="s">
        <v>1738</v>
      </c>
      <c r="M203" s="304" t="s">
        <v>1751</v>
      </c>
      <c r="N203" s="446">
        <f t="shared" si="44"/>
        <v>0.47000000000000003</v>
      </c>
      <c r="O203" s="349">
        <v>0.47</v>
      </c>
      <c r="P203" s="329">
        <v>5.1293103448275863</v>
      </c>
      <c r="Q203" s="310">
        <f t="shared" si="45"/>
        <v>5.1293103448275863</v>
      </c>
      <c r="R203" s="377">
        <f t="shared" si="46"/>
        <v>163.56</v>
      </c>
      <c r="S203" s="307">
        <v>348</v>
      </c>
      <c r="T203" s="377">
        <f t="shared" si="47"/>
        <v>348</v>
      </c>
      <c r="U203" s="377">
        <f t="shared" si="48"/>
        <v>1785</v>
      </c>
      <c r="V203" s="495">
        <v>1119.6189999999999</v>
      </c>
      <c r="W203" s="496">
        <f t="shared" si="49"/>
        <v>665.38100000000009</v>
      </c>
      <c r="X203" s="313" t="s">
        <v>12</v>
      </c>
      <c r="Y203" s="307" t="s">
        <v>12</v>
      </c>
      <c r="Z203" s="307" t="s">
        <v>12</v>
      </c>
      <c r="AA203" s="311" t="s">
        <v>1754</v>
      </c>
      <c r="AB203" s="304" t="s">
        <v>273</v>
      </c>
      <c r="AC203" s="162" t="s">
        <v>3346</v>
      </c>
      <c r="AD203" s="348" t="s">
        <v>2310</v>
      </c>
      <c r="AE203" s="239" t="s">
        <v>2306</v>
      </c>
      <c r="AF203" s="239" t="s">
        <v>2310</v>
      </c>
      <c r="AG203" s="262" t="s">
        <v>2985</v>
      </c>
      <c r="AH203" s="344">
        <v>100</v>
      </c>
      <c r="AI203" s="312">
        <v>0</v>
      </c>
      <c r="AJ203" s="394">
        <v>0</v>
      </c>
      <c r="AK203" s="315">
        <v>0</v>
      </c>
      <c r="AL203" s="315">
        <v>0</v>
      </c>
      <c r="AM203" s="315">
        <v>0</v>
      </c>
      <c r="AN203" s="312">
        <v>0</v>
      </c>
      <c r="AO203" s="312">
        <v>0</v>
      </c>
      <c r="AP203" s="307">
        <v>0</v>
      </c>
      <c r="AQ203" s="307">
        <v>0</v>
      </c>
      <c r="AR203" s="307">
        <v>0</v>
      </c>
      <c r="AS203" s="307">
        <v>0</v>
      </c>
      <c r="AT203" s="377">
        <v>0.75</v>
      </c>
      <c r="AU203" s="307">
        <v>0</v>
      </c>
      <c r="AV203" s="307">
        <v>0</v>
      </c>
      <c r="AW203" s="307">
        <v>0</v>
      </c>
      <c r="AX203" s="304">
        <v>0</v>
      </c>
      <c r="AY203" s="303">
        <v>49.6</v>
      </c>
      <c r="AZ203" s="311"/>
      <c r="BA203" s="317" t="s">
        <v>2985</v>
      </c>
      <c r="BB203" s="94" t="s">
        <v>2985</v>
      </c>
      <c r="BC203" s="355" t="s">
        <v>2985</v>
      </c>
      <c r="BD203" s="116" t="s">
        <v>3520</v>
      </c>
      <c r="BE203" s="116">
        <v>100</v>
      </c>
      <c r="BF203" s="116"/>
      <c r="BG203" s="116">
        <v>200</v>
      </c>
      <c r="BH203" s="722">
        <v>25</v>
      </c>
      <c r="BI203" s="303" t="s">
        <v>521</v>
      </c>
      <c r="BJ203" s="307">
        <v>1</v>
      </c>
      <c r="BK203" s="307" t="s">
        <v>521</v>
      </c>
      <c r="BL203" s="307">
        <v>20</v>
      </c>
      <c r="BM203" s="307">
        <v>0</v>
      </c>
      <c r="BN203" s="307">
        <v>60</v>
      </c>
      <c r="BO203" s="259" t="s">
        <v>2985</v>
      </c>
      <c r="BP203" s="325" t="s">
        <v>1767</v>
      </c>
      <c r="BS203" s="321"/>
    </row>
    <row r="204" spans="1:71" s="322" customFormat="1">
      <c r="A204" s="336">
        <v>1422</v>
      </c>
      <c r="B204" s="534" t="s">
        <v>3585</v>
      </c>
      <c r="C204" s="383"/>
      <c r="D204" s="383"/>
      <c r="E204" s="469"/>
      <c r="F204" s="303" t="s">
        <v>2017</v>
      </c>
      <c r="G204" s="386" t="s">
        <v>1765</v>
      </c>
      <c r="H204" s="303" t="s">
        <v>165</v>
      </c>
      <c r="I204" s="338" t="s">
        <v>3377</v>
      </c>
      <c r="J204" s="307">
        <v>2003</v>
      </c>
      <c r="K204" s="304">
        <v>326</v>
      </c>
      <c r="L204" s="303" t="s">
        <v>1738</v>
      </c>
      <c r="M204" s="304" t="s">
        <v>1751</v>
      </c>
      <c r="N204" s="446">
        <f t="shared" si="44"/>
        <v>0.2223776223776224</v>
      </c>
      <c r="O204" s="349">
        <v>0.24475524475524477</v>
      </c>
      <c r="P204" s="329">
        <v>1.9902097902097902</v>
      </c>
      <c r="Q204" s="310">
        <f t="shared" si="45"/>
        <v>1.8082477522477525</v>
      </c>
      <c r="R204" s="377">
        <f t="shared" si="46"/>
        <v>175</v>
      </c>
      <c r="S204" s="307">
        <v>715</v>
      </c>
      <c r="T204" s="377">
        <f t="shared" si="47"/>
        <v>786.94968553459114</v>
      </c>
      <c r="U204" s="377">
        <f t="shared" si="48"/>
        <v>1423</v>
      </c>
      <c r="V204" s="495">
        <v>1058.127</v>
      </c>
      <c r="W204" s="496">
        <f t="shared" si="49"/>
        <v>364.87300000000005</v>
      </c>
      <c r="X204" s="313" t="s">
        <v>12</v>
      </c>
      <c r="Y204" s="307" t="s">
        <v>12</v>
      </c>
      <c r="Z204" s="311" t="s">
        <v>3618</v>
      </c>
      <c r="AA204" s="311" t="s">
        <v>3538</v>
      </c>
      <c r="AB204" s="304" t="s">
        <v>273</v>
      </c>
      <c r="AC204" s="162" t="s">
        <v>3346</v>
      </c>
      <c r="AD204" s="348" t="s">
        <v>2310</v>
      </c>
      <c r="AE204" s="239" t="s">
        <v>2306</v>
      </c>
      <c r="AF204" s="239" t="s">
        <v>2310</v>
      </c>
      <c r="AG204" s="262" t="s">
        <v>2985</v>
      </c>
      <c r="AH204" s="344">
        <v>89.937106918238996</v>
      </c>
      <c r="AI204" s="377">
        <v>10.062893081761006</v>
      </c>
      <c r="AJ204" s="394">
        <v>0</v>
      </c>
      <c r="AK204" s="315">
        <v>0</v>
      </c>
      <c r="AL204" s="315">
        <v>0</v>
      </c>
      <c r="AM204" s="315">
        <v>0</v>
      </c>
      <c r="AN204" s="312">
        <v>0</v>
      </c>
      <c r="AO204" s="312">
        <v>0</v>
      </c>
      <c r="AP204" s="307">
        <v>0</v>
      </c>
      <c r="AQ204" s="307">
        <v>0</v>
      </c>
      <c r="AR204" s="307">
        <v>0</v>
      </c>
      <c r="AS204" s="307">
        <v>0</v>
      </c>
      <c r="AT204" s="312">
        <v>0</v>
      </c>
      <c r="AU204" s="307">
        <v>0</v>
      </c>
      <c r="AV204" s="311">
        <v>1.618867924528302</v>
      </c>
      <c r="AW204" s="307">
        <v>0</v>
      </c>
      <c r="AX204" s="304">
        <v>0</v>
      </c>
      <c r="AY204" s="303">
        <v>133</v>
      </c>
      <c r="AZ204" s="311">
        <v>66.5</v>
      </c>
      <c r="BA204" s="317" t="s">
        <v>2985</v>
      </c>
      <c r="BB204" s="94" t="s">
        <v>2985</v>
      </c>
      <c r="BC204" s="355" t="s">
        <v>2985</v>
      </c>
      <c r="BD204" s="116" t="s">
        <v>3520</v>
      </c>
      <c r="BE204" s="116">
        <v>100</v>
      </c>
      <c r="BF204" s="116"/>
      <c r="BG204" s="116">
        <v>200</v>
      </c>
      <c r="BH204" s="722">
        <v>25</v>
      </c>
      <c r="BI204" s="303" t="s">
        <v>521</v>
      </c>
      <c r="BJ204" s="307">
        <v>1</v>
      </c>
      <c r="BK204" s="311">
        <v>20</v>
      </c>
      <c r="BL204" s="307">
        <v>20</v>
      </c>
      <c r="BM204" s="307">
        <v>0</v>
      </c>
      <c r="BN204" s="307">
        <v>60</v>
      </c>
      <c r="BO204" s="259" t="s">
        <v>2985</v>
      </c>
      <c r="BP204" s="325" t="s">
        <v>1766</v>
      </c>
      <c r="BS204" s="321"/>
    </row>
    <row r="205" spans="1:71" s="322" customFormat="1">
      <c r="A205" s="336">
        <v>1423</v>
      </c>
      <c r="B205" s="534" t="s">
        <v>3585</v>
      </c>
      <c r="C205" s="383"/>
      <c r="D205" s="383"/>
      <c r="E205" s="469"/>
      <c r="F205" s="303" t="s">
        <v>2018</v>
      </c>
      <c r="G205" s="386" t="s">
        <v>1765</v>
      </c>
      <c r="H205" s="303" t="s">
        <v>165</v>
      </c>
      <c r="I205" s="338" t="s">
        <v>3377</v>
      </c>
      <c r="J205" s="307">
        <v>2003</v>
      </c>
      <c r="K205" s="304">
        <v>326</v>
      </c>
      <c r="L205" s="303" t="s">
        <v>1738</v>
      </c>
      <c r="M205" s="304" t="s">
        <v>1751</v>
      </c>
      <c r="N205" s="446">
        <f t="shared" si="44"/>
        <v>0.2223776223776224</v>
      </c>
      <c r="O205" s="349">
        <v>0.24475524475524477</v>
      </c>
      <c r="P205" s="329">
        <v>1.9902097902097902</v>
      </c>
      <c r="Q205" s="310">
        <f t="shared" si="45"/>
        <v>1.8082477522477525</v>
      </c>
      <c r="R205" s="377">
        <f t="shared" si="46"/>
        <v>175</v>
      </c>
      <c r="S205" s="307">
        <v>715</v>
      </c>
      <c r="T205" s="377">
        <f t="shared" si="47"/>
        <v>786.94968553459114</v>
      </c>
      <c r="U205" s="377">
        <f t="shared" si="48"/>
        <v>1423</v>
      </c>
      <c r="V205" s="495">
        <v>1058.127</v>
      </c>
      <c r="W205" s="496">
        <f t="shared" si="49"/>
        <v>364.87300000000005</v>
      </c>
      <c r="X205" s="313" t="s">
        <v>12</v>
      </c>
      <c r="Y205" s="307" t="s">
        <v>12</v>
      </c>
      <c r="Z205" s="311" t="s">
        <v>3618</v>
      </c>
      <c r="AA205" s="311" t="s">
        <v>3538</v>
      </c>
      <c r="AB205" s="304" t="s">
        <v>273</v>
      </c>
      <c r="AC205" s="162" t="s">
        <v>3346</v>
      </c>
      <c r="AD205" s="348" t="s">
        <v>2310</v>
      </c>
      <c r="AE205" s="239" t="s">
        <v>2306</v>
      </c>
      <c r="AF205" s="239" t="s">
        <v>2310</v>
      </c>
      <c r="AG205" s="262" t="s">
        <v>2985</v>
      </c>
      <c r="AH205" s="344">
        <v>89.937106918238996</v>
      </c>
      <c r="AI205" s="377">
        <v>10.062893081761006</v>
      </c>
      <c r="AJ205" s="394">
        <v>0</v>
      </c>
      <c r="AK205" s="315">
        <v>0</v>
      </c>
      <c r="AL205" s="315">
        <v>0</v>
      </c>
      <c r="AM205" s="315">
        <v>0</v>
      </c>
      <c r="AN205" s="312">
        <v>0</v>
      </c>
      <c r="AO205" s="312">
        <v>0</v>
      </c>
      <c r="AP205" s="307">
        <v>0</v>
      </c>
      <c r="AQ205" s="307">
        <v>0</v>
      </c>
      <c r="AR205" s="307">
        <v>0</v>
      </c>
      <c r="AS205" s="307">
        <v>0</v>
      </c>
      <c r="AT205" s="377">
        <v>1.618867924528302</v>
      </c>
      <c r="AU205" s="307">
        <v>0</v>
      </c>
      <c r="AV205" s="307">
        <v>0</v>
      </c>
      <c r="AW205" s="307">
        <v>0</v>
      </c>
      <c r="AX205" s="304">
        <v>0</v>
      </c>
      <c r="AY205" s="303">
        <v>127</v>
      </c>
      <c r="AZ205" s="311">
        <v>63.5</v>
      </c>
      <c r="BA205" s="317" t="s">
        <v>2985</v>
      </c>
      <c r="BB205" s="94" t="s">
        <v>2985</v>
      </c>
      <c r="BC205" s="355" t="s">
        <v>2985</v>
      </c>
      <c r="BD205" s="116" t="s">
        <v>3520</v>
      </c>
      <c r="BE205" s="116">
        <v>100</v>
      </c>
      <c r="BF205" s="116"/>
      <c r="BG205" s="116">
        <v>200</v>
      </c>
      <c r="BH205" s="722">
        <v>25</v>
      </c>
      <c r="BI205" s="303" t="s">
        <v>521</v>
      </c>
      <c r="BJ205" s="307">
        <v>1</v>
      </c>
      <c r="BK205" s="311">
        <v>20</v>
      </c>
      <c r="BL205" s="307">
        <v>20</v>
      </c>
      <c r="BM205" s="307">
        <v>0</v>
      </c>
      <c r="BN205" s="307">
        <v>60</v>
      </c>
      <c r="BO205" s="259" t="s">
        <v>2985</v>
      </c>
      <c r="BP205" s="325" t="s">
        <v>1767</v>
      </c>
      <c r="BS205" s="321"/>
    </row>
    <row r="206" spans="1:71" s="322" customFormat="1">
      <c r="A206" s="457">
        <v>1424</v>
      </c>
      <c r="B206" s="534" t="s">
        <v>3603</v>
      </c>
      <c r="C206" s="383"/>
      <c r="D206" s="383"/>
      <c r="E206" s="469"/>
      <c r="F206" s="303" t="s">
        <v>2019</v>
      </c>
      <c r="G206" s="386" t="s">
        <v>1765</v>
      </c>
      <c r="H206" s="340" t="s">
        <v>165</v>
      </c>
      <c r="I206" s="338" t="s">
        <v>3377</v>
      </c>
      <c r="J206" s="348">
        <v>2003</v>
      </c>
      <c r="K206" s="341">
        <v>326</v>
      </c>
      <c r="L206" s="340" t="s">
        <v>1738</v>
      </c>
      <c r="M206" s="341" t="s">
        <v>1739</v>
      </c>
      <c r="N206" s="446">
        <f t="shared" si="44"/>
        <v>0.2223776223776224</v>
      </c>
      <c r="O206" s="349">
        <v>0.24475524475524477</v>
      </c>
      <c r="P206" s="329">
        <v>1.9902097902097902</v>
      </c>
      <c r="Q206" s="310">
        <f t="shared" si="45"/>
        <v>1.8082477522477525</v>
      </c>
      <c r="R206" s="377">
        <f t="shared" si="46"/>
        <v>175</v>
      </c>
      <c r="S206" s="307">
        <v>715</v>
      </c>
      <c r="T206" s="377">
        <f t="shared" si="47"/>
        <v>786.94968553459114</v>
      </c>
      <c r="U206" s="377">
        <f t="shared" si="48"/>
        <v>1423</v>
      </c>
      <c r="V206" s="408" t="s">
        <v>2985</v>
      </c>
      <c r="W206" s="408" t="s">
        <v>2985</v>
      </c>
      <c r="X206" s="313" t="s">
        <v>12</v>
      </c>
      <c r="Y206" s="307" t="s">
        <v>12</v>
      </c>
      <c r="Z206" s="307" t="s">
        <v>12</v>
      </c>
      <c r="AA206" s="311" t="s">
        <v>3538</v>
      </c>
      <c r="AB206" s="341" t="s">
        <v>273</v>
      </c>
      <c r="AC206" s="354" t="s">
        <v>2985</v>
      </c>
      <c r="AD206" s="348" t="s">
        <v>2310</v>
      </c>
      <c r="AE206" s="214" t="s">
        <v>2306</v>
      </c>
      <c r="AF206" s="214" t="s">
        <v>2310</v>
      </c>
      <c r="AG206" s="262" t="s">
        <v>2985</v>
      </c>
      <c r="AH206" s="344">
        <v>89.937106918238996</v>
      </c>
      <c r="AI206" s="352">
        <v>10.062893081761006</v>
      </c>
      <c r="AJ206" s="395">
        <v>0</v>
      </c>
      <c r="AK206" s="365">
        <v>0</v>
      </c>
      <c r="AL206" s="365">
        <v>0</v>
      </c>
      <c r="AM206" s="365">
        <v>0</v>
      </c>
      <c r="AN206" s="353">
        <v>0</v>
      </c>
      <c r="AO206" s="353">
        <v>0</v>
      </c>
      <c r="AP206" s="348">
        <v>0</v>
      </c>
      <c r="AQ206" s="348">
        <v>0</v>
      </c>
      <c r="AR206" s="348">
        <v>0</v>
      </c>
      <c r="AS206" s="348">
        <v>0</v>
      </c>
      <c r="AT206" s="353">
        <v>0</v>
      </c>
      <c r="AU206" s="348">
        <v>0</v>
      </c>
      <c r="AV206" s="356">
        <v>1.618867924528302</v>
      </c>
      <c r="AW206" s="348">
        <v>0</v>
      </c>
      <c r="AX206" s="341">
        <v>0</v>
      </c>
      <c r="AY206" s="340">
        <v>133</v>
      </c>
      <c r="AZ206" s="356"/>
      <c r="BA206" s="316" t="s">
        <v>2985</v>
      </c>
      <c r="BB206" s="94" t="s">
        <v>2985</v>
      </c>
      <c r="BC206" s="355" t="s">
        <v>2985</v>
      </c>
      <c r="BD206" s="348" t="s">
        <v>3544</v>
      </c>
      <c r="BE206" s="353">
        <v>100</v>
      </c>
      <c r="BF206" s="316"/>
      <c r="BG206" s="348">
        <v>400</v>
      </c>
      <c r="BH206" s="416">
        <f>IF(ISBLANK(BF206),(BE206*BG206)/((4*BG206)+(2*BE206)),BE206*BF206*BG206/2/(BE206*BF206+BE206*BG206+BF206*BG206))</f>
        <v>22.222222222222221</v>
      </c>
      <c r="BI206" s="330" t="s">
        <v>2985</v>
      </c>
      <c r="BJ206" s="307">
        <v>1</v>
      </c>
      <c r="BK206" s="507" t="s">
        <v>2985</v>
      </c>
      <c r="BL206" s="307">
        <v>20</v>
      </c>
      <c r="BM206" s="307">
        <v>0</v>
      </c>
      <c r="BN206" s="307">
        <v>99</v>
      </c>
      <c r="BO206" s="259" t="s">
        <v>2985</v>
      </c>
      <c r="BP206" s="350" t="s">
        <v>1766</v>
      </c>
      <c r="BS206" s="321"/>
    </row>
    <row r="207" spans="1:71" s="322" customFormat="1">
      <c r="A207" s="457">
        <v>1425</v>
      </c>
      <c r="B207" s="534" t="s">
        <v>3603</v>
      </c>
      <c r="C207" s="383"/>
      <c r="D207" s="466" t="s">
        <v>3590</v>
      </c>
      <c r="E207" s="469"/>
      <c r="F207" s="303" t="s">
        <v>2020</v>
      </c>
      <c r="G207" s="386" t="s">
        <v>1765</v>
      </c>
      <c r="H207" s="340" t="s">
        <v>165</v>
      </c>
      <c r="I207" s="338" t="s">
        <v>3377</v>
      </c>
      <c r="J207" s="348">
        <v>2003</v>
      </c>
      <c r="K207" s="341">
        <v>326</v>
      </c>
      <c r="L207" s="340" t="s">
        <v>1738</v>
      </c>
      <c r="M207" s="341" t="s">
        <v>1739</v>
      </c>
      <c r="N207" s="446">
        <f t="shared" si="44"/>
        <v>0.2223776223776224</v>
      </c>
      <c r="O207" s="349">
        <v>0.24475524475524477</v>
      </c>
      <c r="P207" s="329">
        <v>1.9902097902097902</v>
      </c>
      <c r="Q207" s="310">
        <f t="shared" si="45"/>
        <v>1.8082477522477525</v>
      </c>
      <c r="R207" s="377">
        <f t="shared" si="46"/>
        <v>175</v>
      </c>
      <c r="S207" s="307">
        <v>715</v>
      </c>
      <c r="T207" s="377">
        <f t="shared" si="47"/>
        <v>786.94968553459114</v>
      </c>
      <c r="U207" s="377">
        <f t="shared" si="48"/>
        <v>1423</v>
      </c>
      <c r="V207" s="408" t="s">
        <v>2985</v>
      </c>
      <c r="W207" s="408" t="s">
        <v>2985</v>
      </c>
      <c r="X207" s="313" t="s">
        <v>12</v>
      </c>
      <c r="Y207" s="307" t="s">
        <v>12</v>
      </c>
      <c r="Z207" s="307" t="s">
        <v>12</v>
      </c>
      <c r="AA207" s="311" t="s">
        <v>3538</v>
      </c>
      <c r="AB207" s="341" t="s">
        <v>273</v>
      </c>
      <c r="AC207" s="354" t="s">
        <v>2985</v>
      </c>
      <c r="AD207" s="348" t="s">
        <v>2310</v>
      </c>
      <c r="AE207" s="214" t="s">
        <v>2306</v>
      </c>
      <c r="AF207" s="214" t="s">
        <v>2310</v>
      </c>
      <c r="AG207" s="262" t="s">
        <v>2985</v>
      </c>
      <c r="AH207" s="344">
        <v>89.937106918238996</v>
      </c>
      <c r="AI207" s="352">
        <v>10.062893081761006</v>
      </c>
      <c r="AJ207" s="395">
        <v>0</v>
      </c>
      <c r="AK207" s="365">
        <v>0</v>
      </c>
      <c r="AL207" s="365">
        <v>0</v>
      </c>
      <c r="AM207" s="365">
        <v>0</v>
      </c>
      <c r="AN207" s="353">
        <v>0</v>
      </c>
      <c r="AO207" s="353">
        <v>0</v>
      </c>
      <c r="AP207" s="348">
        <v>0</v>
      </c>
      <c r="AQ207" s="348">
        <v>0</v>
      </c>
      <c r="AR207" s="348">
        <v>0</v>
      </c>
      <c r="AS207" s="348">
        <v>0</v>
      </c>
      <c r="AT207" s="352">
        <v>1.618867924528302</v>
      </c>
      <c r="AU207" s="348">
        <v>0</v>
      </c>
      <c r="AV207" s="348">
        <v>0</v>
      </c>
      <c r="AW207" s="348">
        <v>0</v>
      </c>
      <c r="AX207" s="341">
        <v>0</v>
      </c>
      <c r="AY207" s="340">
        <v>127</v>
      </c>
      <c r="AZ207" s="356"/>
      <c r="BA207" s="316" t="s">
        <v>2985</v>
      </c>
      <c r="BB207" s="94" t="s">
        <v>2985</v>
      </c>
      <c r="BC207" s="355" t="s">
        <v>2985</v>
      </c>
      <c r="BD207" s="348" t="s">
        <v>3544</v>
      </c>
      <c r="BE207" s="353">
        <v>100</v>
      </c>
      <c r="BF207" s="316"/>
      <c r="BG207" s="348">
        <v>400</v>
      </c>
      <c r="BH207" s="416">
        <f>IF(ISBLANK(BF207),(BE207*BG207)/((4*BG207)+(2*BE207)),BE207*BF207*BG207/2/(BE207*BF207+BE207*BG207+BF207*BG207))</f>
        <v>22.222222222222221</v>
      </c>
      <c r="BI207" s="330" t="s">
        <v>2985</v>
      </c>
      <c r="BJ207" s="307">
        <v>1</v>
      </c>
      <c r="BK207" s="507" t="s">
        <v>2985</v>
      </c>
      <c r="BL207" s="307">
        <v>20</v>
      </c>
      <c r="BM207" s="307">
        <v>0</v>
      </c>
      <c r="BN207" s="307">
        <v>99</v>
      </c>
      <c r="BO207" s="259" t="s">
        <v>2985</v>
      </c>
      <c r="BP207" s="350" t="s">
        <v>1767</v>
      </c>
      <c r="BS207" s="321"/>
    </row>
    <row r="208" spans="1:71" s="322" customFormat="1">
      <c r="A208" s="457">
        <v>1463</v>
      </c>
      <c r="B208" s="534" t="s">
        <v>3585</v>
      </c>
      <c r="C208" s="383"/>
      <c r="D208" s="383"/>
      <c r="E208" s="469"/>
      <c r="F208" s="303" t="s">
        <v>2043</v>
      </c>
      <c r="G208" s="386" t="s">
        <v>441</v>
      </c>
      <c r="H208" s="340" t="s">
        <v>266</v>
      </c>
      <c r="I208" s="338" t="s">
        <v>3377</v>
      </c>
      <c r="J208" s="348">
        <v>2005</v>
      </c>
      <c r="K208" s="341">
        <v>332</v>
      </c>
      <c r="L208" s="340" t="s">
        <v>1745</v>
      </c>
      <c r="M208" s="341" t="s">
        <v>1739</v>
      </c>
      <c r="N208" s="446">
        <f t="shared" si="44"/>
        <v>0.3024425278340675</v>
      </c>
      <c r="O208" s="349">
        <v>0.38974596914511078</v>
      </c>
      <c r="P208" s="329">
        <v>3.7373854541236513</v>
      </c>
      <c r="Q208" s="310">
        <f t="shared" si="45"/>
        <v>2.9002078115516832</v>
      </c>
      <c r="R208" s="377">
        <f t="shared" si="46"/>
        <v>167.98051270154275</v>
      </c>
      <c r="S208" s="307">
        <v>431</v>
      </c>
      <c r="T208" s="377">
        <f t="shared" si="47"/>
        <v>555.41300327215822</v>
      </c>
      <c r="U208" s="377">
        <f t="shared" si="48"/>
        <v>1610.8131307272938</v>
      </c>
      <c r="V208" s="408" t="s">
        <v>2985</v>
      </c>
      <c r="W208" s="408" t="s">
        <v>2985</v>
      </c>
      <c r="X208" s="313" t="s">
        <v>12</v>
      </c>
      <c r="Y208" s="307" t="s">
        <v>12</v>
      </c>
      <c r="Z208" s="307" t="s">
        <v>12</v>
      </c>
      <c r="AA208" s="516" t="s">
        <v>3558</v>
      </c>
      <c r="AB208" s="341" t="s">
        <v>526</v>
      </c>
      <c r="AC208" s="354" t="s">
        <v>2985</v>
      </c>
      <c r="AD208" s="316" t="s">
        <v>2320</v>
      </c>
      <c r="AE208" s="219" t="s">
        <v>2306</v>
      </c>
      <c r="AF208" s="511" t="s">
        <v>2985</v>
      </c>
      <c r="AG208" s="262" t="s">
        <v>2985</v>
      </c>
      <c r="AH208" s="344">
        <v>71.133873950775353</v>
      </c>
      <c r="AI208" s="397">
        <v>5.7618437900128043</v>
      </c>
      <c r="AJ208" s="398">
        <v>0</v>
      </c>
      <c r="AK208" s="365">
        <v>0</v>
      </c>
      <c r="AL208" s="365">
        <v>0</v>
      </c>
      <c r="AM208" s="365">
        <v>0</v>
      </c>
      <c r="AN208" s="353">
        <v>0</v>
      </c>
      <c r="AO208" s="397">
        <v>23.104282259211836</v>
      </c>
      <c r="AP208" s="348">
        <v>0</v>
      </c>
      <c r="AQ208" s="399">
        <v>0</v>
      </c>
      <c r="AR208" s="348">
        <v>0</v>
      </c>
      <c r="AS208" s="400">
        <v>0</v>
      </c>
      <c r="AT208" s="352">
        <v>1.5009247403613601</v>
      </c>
      <c r="AU208" s="348">
        <v>0</v>
      </c>
      <c r="AV208" s="348">
        <v>0</v>
      </c>
      <c r="AW208" s="348">
        <v>0</v>
      </c>
      <c r="AX208" s="341">
        <v>0</v>
      </c>
      <c r="AY208" s="340">
        <v>111</v>
      </c>
      <c r="AZ208" s="356">
        <v>55.5</v>
      </c>
      <c r="BA208" s="316" t="s">
        <v>2985</v>
      </c>
      <c r="BB208" s="94" t="s">
        <v>2985</v>
      </c>
      <c r="BC208" s="425" t="s">
        <v>521</v>
      </c>
      <c r="BD208" s="348" t="s">
        <v>3559</v>
      </c>
      <c r="BE208" s="353">
        <v>50</v>
      </c>
      <c r="BF208" s="316"/>
      <c r="BG208" s="348">
        <v>500</v>
      </c>
      <c r="BH208" s="416">
        <f>(BE208*BG208)/((2*BG208)+(2*BE208))</f>
        <v>22.727272727272727</v>
      </c>
      <c r="BI208" s="303">
        <v>100</v>
      </c>
      <c r="BJ208" s="307">
        <v>1</v>
      </c>
      <c r="BK208" s="307">
        <v>20</v>
      </c>
      <c r="BL208" s="307">
        <v>20</v>
      </c>
      <c r="BM208" s="307">
        <v>0</v>
      </c>
      <c r="BN208" s="307">
        <v>100</v>
      </c>
      <c r="BO208" s="259" t="s">
        <v>2985</v>
      </c>
      <c r="BP208" s="350" t="s">
        <v>1786</v>
      </c>
      <c r="BS208" s="321"/>
    </row>
    <row r="209" spans="1:71" s="322" customFormat="1">
      <c r="A209" s="457">
        <v>1464</v>
      </c>
      <c r="B209" s="791" t="s">
        <v>3893</v>
      </c>
      <c r="C209" s="383"/>
      <c r="D209" s="466" t="s">
        <v>3590</v>
      </c>
      <c r="E209" s="469"/>
      <c r="F209" s="303" t="s">
        <v>2044</v>
      </c>
      <c r="G209" s="386" t="s">
        <v>441</v>
      </c>
      <c r="H209" s="340" t="s">
        <v>266</v>
      </c>
      <c r="I209" s="338" t="s">
        <v>3377</v>
      </c>
      <c r="J209" s="348">
        <v>2005</v>
      </c>
      <c r="K209" s="341">
        <v>332</v>
      </c>
      <c r="L209" s="340" t="s">
        <v>1745</v>
      </c>
      <c r="M209" s="341" t="s">
        <v>1739</v>
      </c>
      <c r="N209" s="446">
        <f t="shared" si="44"/>
        <v>0.3412991408346322</v>
      </c>
      <c r="O209" s="349">
        <v>0.36687289699337894</v>
      </c>
      <c r="P209" s="329">
        <v>3.7230001085422773</v>
      </c>
      <c r="Q209" s="310">
        <f t="shared" si="45"/>
        <v>3.4634794469313266</v>
      </c>
      <c r="R209" s="377">
        <f t="shared" si="46"/>
        <v>169.12840551394768</v>
      </c>
      <c r="S209" s="307">
        <v>461</v>
      </c>
      <c r="T209" s="377">
        <f t="shared" si="47"/>
        <v>495.54301572617948</v>
      </c>
      <c r="U209" s="377">
        <f t="shared" si="48"/>
        <v>1716.3030500379898</v>
      </c>
      <c r="V209" s="408" t="s">
        <v>2985</v>
      </c>
      <c r="W209" s="408" t="s">
        <v>2985</v>
      </c>
      <c r="X209" s="313" t="s">
        <v>12</v>
      </c>
      <c r="Y209" s="307" t="s">
        <v>12</v>
      </c>
      <c r="Z209" s="307" t="s">
        <v>12</v>
      </c>
      <c r="AA209" s="311" t="s">
        <v>3538</v>
      </c>
      <c r="AB209" s="341" t="s">
        <v>526</v>
      </c>
      <c r="AC209" s="354" t="s">
        <v>2985</v>
      </c>
      <c r="AD209" s="316" t="s">
        <v>2312</v>
      </c>
      <c r="AE209" s="219" t="s">
        <v>2306</v>
      </c>
      <c r="AF209" s="511" t="s">
        <v>2985</v>
      </c>
      <c r="AG209" s="262" t="s">
        <v>2985</v>
      </c>
      <c r="AH209" s="344">
        <v>92.506938020351527</v>
      </c>
      <c r="AI209" s="397">
        <v>7.4930619796484743</v>
      </c>
      <c r="AJ209" s="395">
        <v>0</v>
      </c>
      <c r="AK209" s="365">
        <v>0</v>
      </c>
      <c r="AL209" s="365">
        <v>0</v>
      </c>
      <c r="AM209" s="365">
        <v>0</v>
      </c>
      <c r="AN209" s="353">
        <v>0</v>
      </c>
      <c r="AO209" s="353">
        <v>0</v>
      </c>
      <c r="AP209" s="348">
        <v>0</v>
      </c>
      <c r="AQ209" s="348">
        <v>0</v>
      </c>
      <c r="AR209" s="348">
        <v>0</v>
      </c>
      <c r="AS209" s="348">
        <v>0</v>
      </c>
      <c r="AT209" s="352">
        <v>2.3866790009250698</v>
      </c>
      <c r="AU209" s="348">
        <v>0</v>
      </c>
      <c r="AV209" s="348">
        <v>0</v>
      </c>
      <c r="AW209" s="348">
        <v>0</v>
      </c>
      <c r="AX209" s="341">
        <v>0</v>
      </c>
      <c r="AY209" s="340">
        <v>96</v>
      </c>
      <c r="AZ209" s="356">
        <v>48</v>
      </c>
      <c r="BA209" s="316" t="s">
        <v>2985</v>
      </c>
      <c r="BB209" s="94" t="s">
        <v>2985</v>
      </c>
      <c r="BC209" s="425" t="s">
        <v>521</v>
      </c>
      <c r="BD209" s="348" t="s">
        <v>3559</v>
      </c>
      <c r="BE209" s="353">
        <v>50</v>
      </c>
      <c r="BF209" s="316"/>
      <c r="BG209" s="348">
        <v>500</v>
      </c>
      <c r="BH209" s="416">
        <f>(BE209*BG209)/((2*BG209)+(2*BE209))</f>
        <v>22.727272727272727</v>
      </c>
      <c r="BI209" s="303">
        <v>100</v>
      </c>
      <c r="BJ209" s="307">
        <v>1</v>
      </c>
      <c r="BK209" s="307">
        <v>20</v>
      </c>
      <c r="BL209" s="307">
        <v>20</v>
      </c>
      <c r="BM209" s="307">
        <v>0</v>
      </c>
      <c r="BN209" s="307">
        <v>100</v>
      </c>
      <c r="BO209" s="259" t="s">
        <v>2985</v>
      </c>
      <c r="BP209" s="350"/>
      <c r="BS209" s="321"/>
    </row>
    <row r="210" spans="1:71" s="322" customFormat="1">
      <c r="A210" s="457">
        <v>1467</v>
      </c>
      <c r="B210" s="534" t="s">
        <v>3603</v>
      </c>
      <c r="C210" s="383"/>
      <c r="D210" s="383"/>
      <c r="E210" s="469"/>
      <c r="F210" s="303" t="s">
        <v>2047</v>
      </c>
      <c r="G210" s="386" t="s">
        <v>441</v>
      </c>
      <c r="H210" s="340" t="s">
        <v>266</v>
      </c>
      <c r="I210" s="338" t="s">
        <v>3377</v>
      </c>
      <c r="J210" s="348">
        <v>2005</v>
      </c>
      <c r="K210" s="341">
        <v>332</v>
      </c>
      <c r="L210" s="340" t="s">
        <v>1745</v>
      </c>
      <c r="M210" s="341" t="s">
        <v>1739</v>
      </c>
      <c r="N210" s="446">
        <f t="shared" si="44"/>
        <v>0.33104677648681968</v>
      </c>
      <c r="O210" s="349">
        <v>0.43291613761412417</v>
      </c>
      <c r="P210" s="329">
        <v>3.8309450389987298</v>
      </c>
      <c r="Q210" s="310">
        <f t="shared" si="45"/>
        <v>2.9294865584085046</v>
      </c>
      <c r="R210" s="377">
        <f t="shared" si="46"/>
        <v>178.79436483463328</v>
      </c>
      <c r="S210" s="307">
        <v>413</v>
      </c>
      <c r="T210" s="377">
        <f t="shared" si="47"/>
        <v>540.08791969539629</v>
      </c>
      <c r="U210" s="377">
        <f t="shared" si="48"/>
        <v>1582.1803011064753</v>
      </c>
      <c r="V210" s="408" t="s">
        <v>2985</v>
      </c>
      <c r="W210" s="408" t="s">
        <v>2985</v>
      </c>
      <c r="X210" s="313" t="s">
        <v>12</v>
      </c>
      <c r="Y210" s="307" t="s">
        <v>12</v>
      </c>
      <c r="Z210" s="307" t="s">
        <v>12</v>
      </c>
      <c r="AA210" s="516" t="s">
        <v>3558</v>
      </c>
      <c r="AB210" s="341" t="s">
        <v>526</v>
      </c>
      <c r="AC210" s="354" t="s">
        <v>2985</v>
      </c>
      <c r="AD210" s="316" t="s">
        <v>2312</v>
      </c>
      <c r="AE210" s="219" t="s">
        <v>2306</v>
      </c>
      <c r="AF210" s="511" t="s">
        <v>2985</v>
      </c>
      <c r="AG210" s="262" t="s">
        <v>2985</v>
      </c>
      <c r="AH210" s="344">
        <v>69.228106611284176</v>
      </c>
      <c r="AI210" s="397">
        <v>5.6074766355140184</v>
      </c>
      <c r="AJ210" s="395">
        <v>0</v>
      </c>
      <c r="AK210" s="365">
        <v>0</v>
      </c>
      <c r="AL210" s="365">
        <v>0</v>
      </c>
      <c r="AM210" s="365">
        <v>0</v>
      </c>
      <c r="AN210" s="353">
        <v>0</v>
      </c>
      <c r="AO210" s="397">
        <v>24.776739356178609</v>
      </c>
      <c r="AP210" s="348">
        <v>0</v>
      </c>
      <c r="AQ210" s="401">
        <v>0.38767739702319148</v>
      </c>
      <c r="AR210" s="348">
        <v>0</v>
      </c>
      <c r="AS210" s="400">
        <v>0</v>
      </c>
      <c r="AT210" s="352">
        <v>1.8414676358601594</v>
      </c>
      <c r="AU210" s="348">
        <v>0</v>
      </c>
      <c r="AV210" s="348">
        <v>0</v>
      </c>
      <c r="AW210" s="348">
        <v>0</v>
      </c>
      <c r="AX210" s="341">
        <v>0</v>
      </c>
      <c r="AY210" s="340">
        <v>85</v>
      </c>
      <c r="AZ210" s="356"/>
      <c r="BA210" s="316" t="s">
        <v>2985</v>
      </c>
      <c r="BB210" s="94" t="s">
        <v>2985</v>
      </c>
      <c r="BC210" s="425" t="s">
        <v>521</v>
      </c>
      <c r="BD210" s="348" t="s">
        <v>3559</v>
      </c>
      <c r="BE210" s="353">
        <v>50</v>
      </c>
      <c r="BF210" s="316"/>
      <c r="BG210" s="348">
        <v>500</v>
      </c>
      <c r="BH210" s="416">
        <f>(BE210*BG210)/((2*BG210)+(2*BE210))</f>
        <v>22.727272727272727</v>
      </c>
      <c r="BI210" s="303">
        <v>100</v>
      </c>
      <c r="BJ210" s="307">
        <v>1</v>
      </c>
      <c r="BK210" s="307">
        <v>20</v>
      </c>
      <c r="BL210" s="307">
        <v>20</v>
      </c>
      <c r="BM210" s="307">
        <v>0</v>
      </c>
      <c r="BN210" s="307">
        <v>100</v>
      </c>
      <c r="BO210" s="259" t="s">
        <v>2985</v>
      </c>
      <c r="BP210" s="350" t="s">
        <v>1786</v>
      </c>
      <c r="BS210" s="321"/>
    </row>
    <row r="211" spans="1:71" s="322" customFormat="1">
      <c r="A211" s="457">
        <v>1469</v>
      </c>
      <c r="B211" s="791" t="s">
        <v>3893</v>
      </c>
      <c r="C211" s="383"/>
      <c r="D211" s="466" t="s">
        <v>3590</v>
      </c>
      <c r="E211" s="469"/>
      <c r="F211" s="303" t="s">
        <v>2049</v>
      </c>
      <c r="G211" s="386" t="s">
        <v>441</v>
      </c>
      <c r="H211" s="340" t="s">
        <v>266</v>
      </c>
      <c r="I211" s="338" t="s">
        <v>3377</v>
      </c>
      <c r="J211" s="348">
        <v>2005</v>
      </c>
      <c r="K211" s="341">
        <v>332</v>
      </c>
      <c r="L211" s="340" t="s">
        <v>1745</v>
      </c>
      <c r="M211" s="341" t="s">
        <v>1739</v>
      </c>
      <c r="N211" s="446">
        <f t="shared" si="44"/>
        <v>0.33153216275084274</v>
      </c>
      <c r="O211" s="349">
        <v>0.35637407318823244</v>
      </c>
      <c r="P211" s="329">
        <v>4.3243243243243237</v>
      </c>
      <c r="Q211" s="310">
        <f t="shared" si="45"/>
        <v>4.0228869144531787</v>
      </c>
      <c r="R211" s="377">
        <f t="shared" si="46"/>
        <v>148.96436259268117</v>
      </c>
      <c r="S211" s="307">
        <v>418</v>
      </c>
      <c r="T211" s="377">
        <f t="shared" si="47"/>
        <v>449.32099907493063</v>
      </c>
      <c r="U211" s="377">
        <f t="shared" si="48"/>
        <v>1807.5675675675673</v>
      </c>
      <c r="V211" s="408" t="s">
        <v>2985</v>
      </c>
      <c r="W211" s="408" t="s">
        <v>2985</v>
      </c>
      <c r="X211" s="313" t="s">
        <v>12</v>
      </c>
      <c r="Y211" s="307" t="s">
        <v>12</v>
      </c>
      <c r="Z211" s="307" t="s">
        <v>12</v>
      </c>
      <c r="AA211" s="311" t="s">
        <v>3538</v>
      </c>
      <c r="AB211" s="341" t="s">
        <v>526</v>
      </c>
      <c r="AC211" s="354" t="s">
        <v>2985</v>
      </c>
      <c r="AD211" s="316" t="s">
        <v>2312</v>
      </c>
      <c r="AE211" s="219" t="s">
        <v>2306</v>
      </c>
      <c r="AF211" s="511" t="s">
        <v>2985</v>
      </c>
      <c r="AG211" s="262" t="s">
        <v>2985</v>
      </c>
      <c r="AH211" s="344">
        <v>92.506938020351527</v>
      </c>
      <c r="AI211" s="397">
        <v>7.4930619796484743</v>
      </c>
      <c r="AJ211" s="395">
        <v>0</v>
      </c>
      <c r="AK211" s="365">
        <v>0</v>
      </c>
      <c r="AL211" s="365">
        <v>0</v>
      </c>
      <c r="AM211" s="365">
        <v>0</v>
      </c>
      <c r="AN211" s="399">
        <v>0</v>
      </c>
      <c r="AO211" s="353">
        <v>0</v>
      </c>
      <c r="AP211" s="348">
        <v>0</v>
      </c>
      <c r="AQ211" s="400">
        <v>0</v>
      </c>
      <c r="AR211" s="348">
        <v>0</v>
      </c>
      <c r="AS211" s="400">
        <v>0</v>
      </c>
      <c r="AT211" s="352">
        <v>1.3968547641073081</v>
      </c>
      <c r="AU211" s="348">
        <v>0</v>
      </c>
      <c r="AV211" s="348">
        <v>0</v>
      </c>
      <c r="AW211" s="348">
        <v>0</v>
      </c>
      <c r="AX211" s="341">
        <v>0</v>
      </c>
      <c r="AY211" s="340">
        <v>91</v>
      </c>
      <c r="AZ211" s="356">
        <v>45.5</v>
      </c>
      <c r="BA211" s="316" t="s">
        <v>2985</v>
      </c>
      <c r="BB211" s="94" t="s">
        <v>2985</v>
      </c>
      <c r="BC211" s="425" t="s">
        <v>521</v>
      </c>
      <c r="BD211" s="214" t="s">
        <v>3560</v>
      </c>
      <c r="BE211" s="353">
        <v>27.5</v>
      </c>
      <c r="BF211" s="316"/>
      <c r="BG211" s="348">
        <v>300</v>
      </c>
      <c r="BH211" s="416">
        <f>(BE211*BG211)/((2*BG211)+(2*BE211))</f>
        <v>12.595419847328245</v>
      </c>
      <c r="BI211" s="303">
        <v>100</v>
      </c>
      <c r="BJ211" s="307">
        <v>1</v>
      </c>
      <c r="BK211" s="307">
        <v>20</v>
      </c>
      <c r="BL211" s="307">
        <v>20</v>
      </c>
      <c r="BM211" s="307">
        <v>0</v>
      </c>
      <c r="BN211" s="307">
        <v>100</v>
      </c>
      <c r="BO211" s="259" t="s">
        <v>2985</v>
      </c>
      <c r="BP211" s="350"/>
      <c r="BS211" s="321"/>
    </row>
    <row r="212" spans="1:71" s="322" customFormat="1">
      <c r="A212" s="457">
        <v>1471</v>
      </c>
      <c r="B212" s="534" t="s">
        <v>3603</v>
      </c>
      <c r="C212" s="383"/>
      <c r="D212" s="383"/>
      <c r="E212" s="469"/>
      <c r="F212" s="303" t="s">
        <v>2051</v>
      </c>
      <c r="G212" s="386" t="s">
        <v>1740</v>
      </c>
      <c r="H212" s="340" t="s">
        <v>252</v>
      </c>
      <c r="I212" s="338" t="s">
        <v>3377</v>
      </c>
      <c r="J212" s="348">
        <v>2008</v>
      </c>
      <c r="K212" s="341">
        <v>333</v>
      </c>
      <c r="L212" s="340" t="s">
        <v>1738</v>
      </c>
      <c r="M212" s="341" t="s">
        <v>1739</v>
      </c>
      <c r="N212" s="446">
        <f t="shared" si="44"/>
        <v>0.17692307692307693</v>
      </c>
      <c r="O212" s="349">
        <v>0.23</v>
      </c>
      <c r="P212" s="329">
        <v>1.27</v>
      </c>
      <c r="Q212" s="310">
        <f t="shared" si="45"/>
        <v>0.97692307692307689</v>
      </c>
      <c r="R212" s="377">
        <f t="shared" si="46"/>
        <v>184</v>
      </c>
      <c r="S212" s="307">
        <v>800</v>
      </c>
      <c r="T212" s="377">
        <f t="shared" si="47"/>
        <v>1040</v>
      </c>
      <c r="U212" s="377">
        <f t="shared" si="48"/>
        <v>1016</v>
      </c>
      <c r="V212" s="408" t="s">
        <v>2985</v>
      </c>
      <c r="W212" s="408" t="s">
        <v>2985</v>
      </c>
      <c r="X212" s="313" t="s">
        <v>12</v>
      </c>
      <c r="Y212" s="307" t="s">
        <v>129</v>
      </c>
      <c r="Z212" s="307" t="s">
        <v>3453</v>
      </c>
      <c r="AA212" s="516" t="s">
        <v>3558</v>
      </c>
      <c r="AB212" s="304" t="s">
        <v>1754</v>
      </c>
      <c r="AC212" s="340" t="s">
        <v>2524</v>
      </c>
      <c r="AD212" s="506" t="s">
        <v>2320</v>
      </c>
      <c r="AE212" s="316" t="s">
        <v>2985</v>
      </c>
      <c r="AF212" s="214" t="s">
        <v>2320</v>
      </c>
      <c r="AG212" s="262" t="s">
        <v>2985</v>
      </c>
      <c r="AH212" s="313">
        <v>70</v>
      </c>
      <c r="AI212" s="356">
        <v>11</v>
      </c>
      <c r="AJ212" s="365">
        <v>0</v>
      </c>
      <c r="AK212" s="365">
        <v>0</v>
      </c>
      <c r="AL212" s="365">
        <v>0</v>
      </c>
      <c r="AM212" s="365">
        <v>0</v>
      </c>
      <c r="AN212" s="352">
        <v>19</v>
      </c>
      <c r="AO212" s="348">
        <v>0</v>
      </c>
      <c r="AP212" s="348">
        <v>0</v>
      </c>
      <c r="AQ212" s="348">
        <v>0</v>
      </c>
      <c r="AR212" s="348">
        <v>0</v>
      </c>
      <c r="AS212" s="348">
        <v>0</v>
      </c>
      <c r="AT212" s="352">
        <v>2.0876826722338206</v>
      </c>
      <c r="AU212" s="348">
        <v>0</v>
      </c>
      <c r="AV212" s="348">
        <v>0</v>
      </c>
      <c r="AW212" s="348">
        <v>0</v>
      </c>
      <c r="AX212" s="341">
        <v>0</v>
      </c>
      <c r="AY212" s="354">
        <v>206.5</v>
      </c>
      <c r="AZ212" s="356"/>
      <c r="BA212" s="316" t="s">
        <v>2985</v>
      </c>
      <c r="BB212" s="94" t="s">
        <v>2985</v>
      </c>
      <c r="BC212" s="425" t="s">
        <v>521</v>
      </c>
      <c r="BD212" s="348" t="s">
        <v>3561</v>
      </c>
      <c r="BE212" s="353">
        <v>25</v>
      </c>
      <c r="BF212" s="316"/>
      <c r="BG212" s="348">
        <v>285</v>
      </c>
      <c r="BH212" s="416">
        <f t="shared" ref="BH212:BH243" si="50">IF(ISBLANK(BF212),(BE212*BG212)/((4*BG212)+(2*BE212)),BE212*BF212*BG212/2/(BE212*BF212+BE212*BG212+BF212*BG212))</f>
        <v>5.9873949579831933</v>
      </c>
      <c r="BI212" s="303">
        <v>100</v>
      </c>
      <c r="BJ212" s="307">
        <v>0.25</v>
      </c>
      <c r="BK212" s="307">
        <v>20</v>
      </c>
      <c r="BL212" s="307">
        <v>20</v>
      </c>
      <c r="BM212" s="307">
        <v>0</v>
      </c>
      <c r="BN212" s="307">
        <v>100</v>
      </c>
      <c r="BO212" s="259" t="s">
        <v>2985</v>
      </c>
      <c r="BP212" s="350" t="s">
        <v>1742</v>
      </c>
      <c r="BS212" s="321"/>
    </row>
    <row r="213" spans="1:71" s="322" customFormat="1">
      <c r="A213" s="457">
        <v>1472</v>
      </c>
      <c r="B213" s="534" t="s">
        <v>3603</v>
      </c>
      <c r="C213" s="383"/>
      <c r="D213" s="383"/>
      <c r="E213" s="469"/>
      <c r="F213" s="303" t="s">
        <v>2052</v>
      </c>
      <c r="G213" s="386" t="s">
        <v>1740</v>
      </c>
      <c r="H213" s="340" t="s">
        <v>252</v>
      </c>
      <c r="I213" s="338" t="s">
        <v>3377</v>
      </c>
      <c r="J213" s="348">
        <v>2008</v>
      </c>
      <c r="K213" s="341">
        <v>333</v>
      </c>
      <c r="L213" s="340" t="s">
        <v>1738</v>
      </c>
      <c r="M213" s="341" t="s">
        <v>1739</v>
      </c>
      <c r="N213" s="446">
        <f t="shared" si="44"/>
        <v>0.19983615363953802</v>
      </c>
      <c r="O213" s="349">
        <v>0.26</v>
      </c>
      <c r="P213" s="329">
        <v>1.2</v>
      </c>
      <c r="Q213" s="310">
        <f t="shared" si="45"/>
        <v>0.92232070910556008</v>
      </c>
      <c r="R213" s="377">
        <f t="shared" si="46"/>
        <v>208</v>
      </c>
      <c r="S213" s="307">
        <v>800</v>
      </c>
      <c r="T213" s="377">
        <f t="shared" si="47"/>
        <v>1040.8526996330595</v>
      </c>
      <c r="U213" s="377">
        <f t="shared" si="48"/>
        <v>960</v>
      </c>
      <c r="V213" s="408" t="s">
        <v>2985</v>
      </c>
      <c r="W213" s="408" t="s">
        <v>2985</v>
      </c>
      <c r="X213" s="313" t="s">
        <v>12</v>
      </c>
      <c r="Y213" s="307" t="s">
        <v>129</v>
      </c>
      <c r="Z213" s="307" t="s">
        <v>3453</v>
      </c>
      <c r="AA213" s="516" t="s">
        <v>3558</v>
      </c>
      <c r="AB213" s="304" t="s">
        <v>1754</v>
      </c>
      <c r="AC213" s="340" t="s">
        <v>2524</v>
      </c>
      <c r="AD213" s="506" t="s">
        <v>2320</v>
      </c>
      <c r="AE213" s="316" t="s">
        <v>2985</v>
      </c>
      <c r="AF213" s="214" t="s">
        <v>2320</v>
      </c>
      <c r="AG213" s="262" t="s">
        <v>2985</v>
      </c>
      <c r="AH213" s="344">
        <v>69.893412545867548</v>
      </c>
      <c r="AI213" s="352">
        <v>11.322732832430543</v>
      </c>
      <c r="AJ213" s="395">
        <v>0</v>
      </c>
      <c r="AK213" s="365">
        <v>0</v>
      </c>
      <c r="AL213" s="365">
        <v>0</v>
      </c>
      <c r="AM213" s="365">
        <v>0</v>
      </c>
      <c r="AN213" s="352">
        <v>18.783854621701906</v>
      </c>
      <c r="AO213" s="353">
        <v>0</v>
      </c>
      <c r="AP213" s="348">
        <v>0</v>
      </c>
      <c r="AQ213" s="348">
        <v>0</v>
      </c>
      <c r="AR213" s="348">
        <v>0</v>
      </c>
      <c r="AS213" s="348">
        <v>0</v>
      </c>
      <c r="AT213" s="352">
        <v>2.0968023763760266</v>
      </c>
      <c r="AU213" s="348">
        <v>0</v>
      </c>
      <c r="AV213" s="348">
        <v>0</v>
      </c>
      <c r="AW213" s="348">
        <v>0</v>
      </c>
      <c r="AX213" s="341">
        <v>0</v>
      </c>
      <c r="AY213" s="354">
        <v>190</v>
      </c>
      <c r="AZ213" s="356"/>
      <c r="BA213" s="316" t="s">
        <v>2985</v>
      </c>
      <c r="BB213" s="94" t="s">
        <v>2985</v>
      </c>
      <c r="BC213" s="425" t="s">
        <v>521</v>
      </c>
      <c r="BD213" s="348" t="s">
        <v>3561</v>
      </c>
      <c r="BE213" s="353">
        <v>25</v>
      </c>
      <c r="BF213" s="316"/>
      <c r="BG213" s="348">
        <v>285</v>
      </c>
      <c r="BH213" s="416">
        <f t="shared" si="50"/>
        <v>5.9873949579831933</v>
      </c>
      <c r="BI213" s="303">
        <v>100</v>
      </c>
      <c r="BJ213" s="307">
        <v>0.25</v>
      </c>
      <c r="BK213" s="307">
        <v>20</v>
      </c>
      <c r="BL213" s="307">
        <v>20</v>
      </c>
      <c r="BM213" s="307">
        <v>0</v>
      </c>
      <c r="BN213" s="307">
        <v>100</v>
      </c>
      <c r="BO213" s="259" t="s">
        <v>2985</v>
      </c>
      <c r="BP213" s="350" t="s">
        <v>1742</v>
      </c>
      <c r="BS213" s="321"/>
    </row>
    <row r="214" spans="1:71" s="322" customFormat="1">
      <c r="A214" s="457">
        <v>1473</v>
      </c>
      <c r="B214" s="534" t="s">
        <v>3603</v>
      </c>
      <c r="C214" s="383"/>
      <c r="D214" s="383"/>
      <c r="E214" s="469"/>
      <c r="F214" s="303" t="s">
        <v>2053</v>
      </c>
      <c r="G214" s="386" t="s">
        <v>1740</v>
      </c>
      <c r="H214" s="340" t="s">
        <v>252</v>
      </c>
      <c r="I214" s="338" t="s">
        <v>3377</v>
      </c>
      <c r="J214" s="348">
        <v>2008</v>
      </c>
      <c r="K214" s="341">
        <v>333</v>
      </c>
      <c r="L214" s="340" t="s">
        <v>1738</v>
      </c>
      <c r="M214" s="341" t="s">
        <v>1739</v>
      </c>
      <c r="N214" s="446">
        <f t="shared" si="44"/>
        <v>0.23223684210526313</v>
      </c>
      <c r="O214" s="349">
        <v>0.3</v>
      </c>
      <c r="P214" s="329">
        <v>1.1125</v>
      </c>
      <c r="Q214" s="310">
        <f t="shared" si="45"/>
        <v>0.86121162280701746</v>
      </c>
      <c r="R214" s="377">
        <f t="shared" si="46"/>
        <v>240</v>
      </c>
      <c r="S214" s="307">
        <v>800</v>
      </c>
      <c r="T214" s="377">
        <f t="shared" si="47"/>
        <v>1033.4277620396601</v>
      </c>
      <c r="U214" s="377">
        <f t="shared" si="48"/>
        <v>890</v>
      </c>
      <c r="V214" s="408" t="s">
        <v>2985</v>
      </c>
      <c r="W214" s="408" t="s">
        <v>2985</v>
      </c>
      <c r="X214" s="313" t="s">
        <v>12</v>
      </c>
      <c r="Y214" s="307" t="s">
        <v>129</v>
      </c>
      <c r="Z214" s="307" t="s">
        <v>3453</v>
      </c>
      <c r="AA214" s="516" t="s">
        <v>3558</v>
      </c>
      <c r="AB214" s="304" t="s">
        <v>1754</v>
      </c>
      <c r="AC214" s="340" t="s">
        <v>2524</v>
      </c>
      <c r="AD214" s="506" t="s">
        <v>2320</v>
      </c>
      <c r="AE214" s="316" t="s">
        <v>2985</v>
      </c>
      <c r="AF214" s="214" t="s">
        <v>2320</v>
      </c>
      <c r="AG214" s="262" t="s">
        <v>2985</v>
      </c>
      <c r="AH214" s="344">
        <v>70.821529745042483</v>
      </c>
      <c r="AI214" s="352">
        <v>11.473087818696884</v>
      </c>
      <c r="AJ214" s="395">
        <v>0</v>
      </c>
      <c r="AK214" s="365">
        <v>0</v>
      </c>
      <c r="AL214" s="365">
        <v>0</v>
      </c>
      <c r="AM214" s="365">
        <v>0</v>
      </c>
      <c r="AN214" s="352">
        <v>17.705382436260624</v>
      </c>
      <c r="AO214" s="353">
        <v>0</v>
      </c>
      <c r="AP214" s="348">
        <v>0</v>
      </c>
      <c r="AQ214" s="348">
        <v>0</v>
      </c>
      <c r="AR214" s="353">
        <v>0</v>
      </c>
      <c r="AS214" s="348">
        <v>0</v>
      </c>
      <c r="AT214" s="352">
        <v>2.1246458923512748</v>
      </c>
      <c r="AU214" s="348">
        <v>0</v>
      </c>
      <c r="AV214" s="348">
        <v>0</v>
      </c>
      <c r="AW214" s="348">
        <v>0</v>
      </c>
      <c r="AX214" s="341">
        <v>0</v>
      </c>
      <c r="AY214" s="354">
        <v>166</v>
      </c>
      <c r="AZ214" s="356"/>
      <c r="BA214" s="316" t="s">
        <v>2985</v>
      </c>
      <c r="BB214" s="94" t="s">
        <v>2985</v>
      </c>
      <c r="BC214" s="425" t="s">
        <v>521</v>
      </c>
      <c r="BD214" s="348" t="s">
        <v>3561</v>
      </c>
      <c r="BE214" s="353">
        <v>25</v>
      </c>
      <c r="BF214" s="316"/>
      <c r="BG214" s="348">
        <v>285</v>
      </c>
      <c r="BH214" s="416">
        <f t="shared" si="50"/>
        <v>5.9873949579831933</v>
      </c>
      <c r="BI214" s="303">
        <v>100</v>
      </c>
      <c r="BJ214" s="307">
        <v>0.25</v>
      </c>
      <c r="BK214" s="307">
        <v>20</v>
      </c>
      <c r="BL214" s="307">
        <v>20</v>
      </c>
      <c r="BM214" s="307">
        <v>0</v>
      </c>
      <c r="BN214" s="307">
        <v>100</v>
      </c>
      <c r="BO214" s="259" t="s">
        <v>2985</v>
      </c>
      <c r="BP214" s="350" t="s">
        <v>1742</v>
      </c>
      <c r="BS214" s="321"/>
    </row>
    <row r="215" spans="1:71" s="322" customFormat="1">
      <c r="A215" s="457">
        <v>1474</v>
      </c>
      <c r="B215" s="534" t="s">
        <v>3603</v>
      </c>
      <c r="C215" s="383"/>
      <c r="D215" s="383"/>
      <c r="E215" s="469"/>
      <c r="F215" s="303" t="s">
        <v>2054</v>
      </c>
      <c r="G215" s="386" t="s">
        <v>1740</v>
      </c>
      <c r="H215" s="340" t="s">
        <v>252</v>
      </c>
      <c r="I215" s="338" t="s">
        <v>3377</v>
      </c>
      <c r="J215" s="348">
        <v>2008</v>
      </c>
      <c r="K215" s="341">
        <v>333</v>
      </c>
      <c r="L215" s="340" t="s">
        <v>1738</v>
      </c>
      <c r="M215" s="341" t="s">
        <v>1739</v>
      </c>
      <c r="N215" s="446">
        <f t="shared" si="44"/>
        <v>0.17692307692307693</v>
      </c>
      <c r="O215" s="349">
        <v>0.23</v>
      </c>
      <c r="P215" s="329">
        <v>1.27</v>
      </c>
      <c r="Q215" s="310">
        <f t="shared" si="45"/>
        <v>0.97692307692307689</v>
      </c>
      <c r="R215" s="377">
        <f t="shared" si="46"/>
        <v>184</v>
      </c>
      <c r="S215" s="307">
        <v>800</v>
      </c>
      <c r="T215" s="377">
        <f t="shared" si="47"/>
        <v>1040</v>
      </c>
      <c r="U215" s="377">
        <f t="shared" si="48"/>
        <v>1016</v>
      </c>
      <c r="V215" s="408" t="s">
        <v>2985</v>
      </c>
      <c r="W215" s="408" t="s">
        <v>2985</v>
      </c>
      <c r="X215" s="313" t="s">
        <v>12</v>
      </c>
      <c r="Y215" s="307" t="s">
        <v>129</v>
      </c>
      <c r="Z215" s="307" t="s">
        <v>3452</v>
      </c>
      <c r="AA215" s="516" t="s">
        <v>3558</v>
      </c>
      <c r="AB215" s="304" t="s">
        <v>1754</v>
      </c>
      <c r="AC215" s="340" t="s">
        <v>2524</v>
      </c>
      <c r="AD215" s="506" t="s">
        <v>2320</v>
      </c>
      <c r="AE215" s="316" t="s">
        <v>2985</v>
      </c>
      <c r="AF215" s="214" t="s">
        <v>2320</v>
      </c>
      <c r="AG215" s="262" t="s">
        <v>2985</v>
      </c>
      <c r="AH215" s="313">
        <v>70</v>
      </c>
      <c r="AI215" s="356">
        <v>11</v>
      </c>
      <c r="AJ215" s="365">
        <v>0</v>
      </c>
      <c r="AK215" s="365">
        <v>0</v>
      </c>
      <c r="AL215" s="365">
        <v>0</v>
      </c>
      <c r="AM215" s="365">
        <v>0</v>
      </c>
      <c r="AN215" s="352">
        <v>19</v>
      </c>
      <c r="AO215" s="348">
        <v>0</v>
      </c>
      <c r="AP215" s="348">
        <v>0</v>
      </c>
      <c r="AQ215" s="348">
        <v>0</v>
      </c>
      <c r="AR215" s="348">
        <v>0</v>
      </c>
      <c r="AS215" s="348">
        <v>0</v>
      </c>
      <c r="AT215" s="352">
        <v>2.0876826722338206</v>
      </c>
      <c r="AU215" s="348">
        <v>0</v>
      </c>
      <c r="AV215" s="348">
        <v>0</v>
      </c>
      <c r="AW215" s="348">
        <v>0</v>
      </c>
      <c r="AX215" s="341">
        <v>0</v>
      </c>
      <c r="AY215" s="354">
        <v>206.5</v>
      </c>
      <c r="AZ215" s="356"/>
      <c r="BA215" s="316" t="s">
        <v>2985</v>
      </c>
      <c r="BB215" s="94" t="s">
        <v>2985</v>
      </c>
      <c r="BC215" s="425" t="s">
        <v>521</v>
      </c>
      <c r="BD215" s="348" t="s">
        <v>3561</v>
      </c>
      <c r="BE215" s="353">
        <v>25</v>
      </c>
      <c r="BF215" s="316"/>
      <c r="BG215" s="348">
        <v>285</v>
      </c>
      <c r="BH215" s="416">
        <f t="shared" si="50"/>
        <v>5.9873949579831933</v>
      </c>
      <c r="BI215" s="303">
        <v>100</v>
      </c>
      <c r="BJ215" s="307">
        <v>0.25</v>
      </c>
      <c r="BK215" s="307">
        <v>20</v>
      </c>
      <c r="BL215" s="307">
        <v>20</v>
      </c>
      <c r="BM215" s="307">
        <v>0</v>
      </c>
      <c r="BN215" s="307">
        <v>100</v>
      </c>
      <c r="BO215" s="259" t="s">
        <v>2985</v>
      </c>
      <c r="BP215" s="350" t="s">
        <v>1742</v>
      </c>
      <c r="BS215" s="321"/>
    </row>
    <row r="216" spans="1:71" s="322" customFormat="1">
      <c r="A216" s="457">
        <v>1475</v>
      </c>
      <c r="B216" s="534" t="s">
        <v>3603</v>
      </c>
      <c r="C216" s="383"/>
      <c r="D216" s="383"/>
      <c r="E216" s="469"/>
      <c r="F216" s="303" t="s">
        <v>2055</v>
      </c>
      <c r="G216" s="386" t="s">
        <v>1740</v>
      </c>
      <c r="H216" s="340" t="s">
        <v>252</v>
      </c>
      <c r="I216" s="338" t="s">
        <v>3377</v>
      </c>
      <c r="J216" s="348">
        <v>2008</v>
      </c>
      <c r="K216" s="341">
        <v>333</v>
      </c>
      <c r="L216" s="340" t="s">
        <v>1738</v>
      </c>
      <c r="M216" s="341" t="s">
        <v>1739</v>
      </c>
      <c r="N216" s="446">
        <f t="shared" si="44"/>
        <v>0.19983615363953802</v>
      </c>
      <c r="O216" s="349">
        <v>0.26</v>
      </c>
      <c r="P216" s="329">
        <v>1.2</v>
      </c>
      <c r="Q216" s="310">
        <f t="shared" si="45"/>
        <v>0.92232070910556008</v>
      </c>
      <c r="R216" s="377">
        <f t="shared" si="46"/>
        <v>208</v>
      </c>
      <c r="S216" s="307">
        <v>800</v>
      </c>
      <c r="T216" s="377">
        <f t="shared" si="47"/>
        <v>1040.8526996330595</v>
      </c>
      <c r="U216" s="377">
        <f t="shared" si="48"/>
        <v>960</v>
      </c>
      <c r="V216" s="408" t="s">
        <v>2985</v>
      </c>
      <c r="W216" s="408" t="s">
        <v>2985</v>
      </c>
      <c r="X216" s="313" t="s">
        <v>12</v>
      </c>
      <c r="Y216" s="307" t="s">
        <v>129</v>
      </c>
      <c r="Z216" s="307" t="s">
        <v>3452</v>
      </c>
      <c r="AA216" s="516" t="s">
        <v>3558</v>
      </c>
      <c r="AB216" s="304" t="s">
        <v>1754</v>
      </c>
      <c r="AC216" s="340" t="s">
        <v>2524</v>
      </c>
      <c r="AD216" s="506" t="s">
        <v>2320</v>
      </c>
      <c r="AE216" s="316" t="s">
        <v>2985</v>
      </c>
      <c r="AF216" s="214" t="s">
        <v>2320</v>
      </c>
      <c r="AG216" s="262" t="s">
        <v>2985</v>
      </c>
      <c r="AH216" s="344">
        <v>69.893412545867548</v>
      </c>
      <c r="AI216" s="352">
        <v>11.322732832430543</v>
      </c>
      <c r="AJ216" s="395">
        <v>0</v>
      </c>
      <c r="AK216" s="365">
        <v>0</v>
      </c>
      <c r="AL216" s="365">
        <v>0</v>
      </c>
      <c r="AM216" s="365">
        <v>0</v>
      </c>
      <c r="AN216" s="352">
        <v>18.783854621701906</v>
      </c>
      <c r="AO216" s="353">
        <v>0</v>
      </c>
      <c r="AP216" s="348">
        <v>0</v>
      </c>
      <c r="AQ216" s="348">
        <v>0</v>
      </c>
      <c r="AR216" s="353">
        <v>0</v>
      </c>
      <c r="AS216" s="348">
        <v>0</v>
      </c>
      <c r="AT216" s="352">
        <v>2.0968023763760266</v>
      </c>
      <c r="AU216" s="348">
        <v>0</v>
      </c>
      <c r="AV216" s="348">
        <v>0</v>
      </c>
      <c r="AW216" s="348">
        <v>0</v>
      </c>
      <c r="AX216" s="341">
        <v>0</v>
      </c>
      <c r="AY216" s="354">
        <v>190</v>
      </c>
      <c r="AZ216" s="356"/>
      <c r="BA216" s="316" t="s">
        <v>2985</v>
      </c>
      <c r="BB216" s="94" t="s">
        <v>2985</v>
      </c>
      <c r="BC216" s="425" t="s">
        <v>521</v>
      </c>
      <c r="BD216" s="348" t="s">
        <v>3561</v>
      </c>
      <c r="BE216" s="353">
        <v>25</v>
      </c>
      <c r="BF216" s="316"/>
      <c r="BG216" s="348">
        <v>285</v>
      </c>
      <c r="BH216" s="416">
        <f t="shared" si="50"/>
        <v>5.9873949579831933</v>
      </c>
      <c r="BI216" s="303">
        <v>100</v>
      </c>
      <c r="BJ216" s="307">
        <v>0.25</v>
      </c>
      <c r="BK216" s="307">
        <v>20</v>
      </c>
      <c r="BL216" s="307">
        <v>20</v>
      </c>
      <c r="BM216" s="307">
        <v>0</v>
      </c>
      <c r="BN216" s="307">
        <v>100</v>
      </c>
      <c r="BO216" s="259" t="s">
        <v>2985</v>
      </c>
      <c r="BP216" s="350" t="s">
        <v>1742</v>
      </c>
      <c r="BS216" s="321"/>
    </row>
    <row r="217" spans="1:71" s="322" customFormat="1">
      <c r="A217" s="457">
        <v>1476</v>
      </c>
      <c r="B217" s="534" t="s">
        <v>3603</v>
      </c>
      <c r="C217" s="383"/>
      <c r="D217" s="383"/>
      <c r="E217" s="469"/>
      <c r="F217" s="303" t="s">
        <v>2056</v>
      </c>
      <c r="G217" s="386" t="s">
        <v>1740</v>
      </c>
      <c r="H217" s="340" t="s">
        <v>252</v>
      </c>
      <c r="I217" s="338" t="s">
        <v>3377</v>
      </c>
      <c r="J217" s="348">
        <v>2008</v>
      </c>
      <c r="K217" s="341">
        <v>333</v>
      </c>
      <c r="L217" s="340" t="s">
        <v>1738</v>
      </c>
      <c r="M217" s="341" t="s">
        <v>1739</v>
      </c>
      <c r="N217" s="446">
        <f t="shared" si="44"/>
        <v>0.23223684210526313</v>
      </c>
      <c r="O217" s="349">
        <v>0.3</v>
      </c>
      <c r="P217" s="329">
        <v>1.1125</v>
      </c>
      <c r="Q217" s="310">
        <f t="shared" si="45"/>
        <v>0.86121162280701746</v>
      </c>
      <c r="R217" s="377">
        <f t="shared" si="46"/>
        <v>240</v>
      </c>
      <c r="S217" s="307">
        <v>800</v>
      </c>
      <c r="T217" s="377">
        <f t="shared" si="47"/>
        <v>1033.4277620396601</v>
      </c>
      <c r="U217" s="377">
        <f t="shared" si="48"/>
        <v>890</v>
      </c>
      <c r="V217" s="408" t="s">
        <v>2985</v>
      </c>
      <c r="W217" s="408" t="s">
        <v>2985</v>
      </c>
      <c r="X217" s="313" t="s">
        <v>12</v>
      </c>
      <c r="Y217" s="307" t="s">
        <v>129</v>
      </c>
      <c r="Z217" s="307" t="s">
        <v>3452</v>
      </c>
      <c r="AA217" s="516" t="s">
        <v>3558</v>
      </c>
      <c r="AB217" s="304" t="s">
        <v>1754</v>
      </c>
      <c r="AC217" s="340" t="s">
        <v>2524</v>
      </c>
      <c r="AD217" s="506" t="s">
        <v>2320</v>
      </c>
      <c r="AE217" s="316" t="s">
        <v>2985</v>
      </c>
      <c r="AF217" s="214" t="s">
        <v>2320</v>
      </c>
      <c r="AG217" s="262" t="s">
        <v>2985</v>
      </c>
      <c r="AH217" s="344">
        <v>70.821529745042483</v>
      </c>
      <c r="AI217" s="352">
        <v>11.473087818696884</v>
      </c>
      <c r="AJ217" s="395">
        <v>0</v>
      </c>
      <c r="AK217" s="365">
        <v>0</v>
      </c>
      <c r="AL217" s="365">
        <v>0</v>
      </c>
      <c r="AM217" s="365">
        <v>0</v>
      </c>
      <c r="AN217" s="352">
        <v>17.705382436260624</v>
      </c>
      <c r="AO217" s="353">
        <v>0</v>
      </c>
      <c r="AP217" s="348">
        <v>0</v>
      </c>
      <c r="AQ217" s="348">
        <v>0</v>
      </c>
      <c r="AR217" s="353">
        <v>0</v>
      </c>
      <c r="AS217" s="348">
        <v>0</v>
      </c>
      <c r="AT217" s="352">
        <v>2.1246458923512748</v>
      </c>
      <c r="AU217" s="348">
        <v>0</v>
      </c>
      <c r="AV217" s="348">
        <v>0</v>
      </c>
      <c r="AW217" s="348">
        <v>0</v>
      </c>
      <c r="AX217" s="341">
        <v>0</v>
      </c>
      <c r="AY217" s="354">
        <v>166</v>
      </c>
      <c r="AZ217" s="356"/>
      <c r="BA217" s="316" t="s">
        <v>2985</v>
      </c>
      <c r="BB217" s="94" t="s">
        <v>2985</v>
      </c>
      <c r="BC217" s="425" t="s">
        <v>521</v>
      </c>
      <c r="BD217" s="348" t="s">
        <v>3561</v>
      </c>
      <c r="BE217" s="353">
        <v>25</v>
      </c>
      <c r="BF217" s="316"/>
      <c r="BG217" s="348">
        <v>285</v>
      </c>
      <c r="BH217" s="416">
        <f t="shared" si="50"/>
        <v>5.9873949579831933</v>
      </c>
      <c r="BI217" s="303">
        <v>100</v>
      </c>
      <c r="BJ217" s="307">
        <v>0.25</v>
      </c>
      <c r="BK217" s="307">
        <v>20</v>
      </c>
      <c r="BL217" s="307">
        <v>20</v>
      </c>
      <c r="BM217" s="307">
        <v>0</v>
      </c>
      <c r="BN217" s="307">
        <v>100</v>
      </c>
      <c r="BO217" s="259" t="s">
        <v>2985</v>
      </c>
      <c r="BP217" s="350" t="s">
        <v>1742</v>
      </c>
      <c r="BS217" s="321"/>
    </row>
    <row r="218" spans="1:71" s="322" customFormat="1">
      <c r="A218" s="457">
        <v>1477</v>
      </c>
      <c r="B218" s="534" t="s">
        <v>3603</v>
      </c>
      <c r="C218" s="383"/>
      <c r="D218" s="383"/>
      <c r="E218" s="469"/>
      <c r="F218" s="303" t="s">
        <v>2057</v>
      </c>
      <c r="G218" s="386" t="s">
        <v>1740</v>
      </c>
      <c r="H218" s="340" t="s">
        <v>252</v>
      </c>
      <c r="I218" s="338" t="s">
        <v>3377</v>
      </c>
      <c r="J218" s="348">
        <v>2008</v>
      </c>
      <c r="K218" s="341">
        <v>333</v>
      </c>
      <c r="L218" s="340" t="s">
        <v>1738</v>
      </c>
      <c r="M218" s="341" t="s">
        <v>1739</v>
      </c>
      <c r="N218" s="446">
        <f t="shared" si="44"/>
        <v>0.19432004523607577</v>
      </c>
      <c r="O218" s="349">
        <v>0.26</v>
      </c>
      <c r="P218" s="329">
        <v>1.58</v>
      </c>
      <c r="Q218" s="310">
        <f t="shared" si="45"/>
        <v>1.1808679672038451</v>
      </c>
      <c r="R218" s="377">
        <f t="shared" si="46"/>
        <v>182</v>
      </c>
      <c r="S218" s="307">
        <v>700</v>
      </c>
      <c r="T218" s="377">
        <f t="shared" si="47"/>
        <v>936.59920559863815</v>
      </c>
      <c r="U218" s="377">
        <f t="shared" si="48"/>
        <v>1106</v>
      </c>
      <c r="V218" s="408" t="s">
        <v>2985</v>
      </c>
      <c r="W218" s="408" t="s">
        <v>2985</v>
      </c>
      <c r="X218" s="313" t="s">
        <v>12</v>
      </c>
      <c r="Y218" s="307" t="s">
        <v>129</v>
      </c>
      <c r="Z218" s="307" t="s">
        <v>3453</v>
      </c>
      <c r="AA218" s="516" t="s">
        <v>3558</v>
      </c>
      <c r="AB218" s="304" t="s">
        <v>1754</v>
      </c>
      <c r="AC218" s="340" t="s">
        <v>2524</v>
      </c>
      <c r="AD218" s="506" t="s">
        <v>2320</v>
      </c>
      <c r="AE218" s="316" t="s">
        <v>2985</v>
      </c>
      <c r="AF218" s="214" t="s">
        <v>2320</v>
      </c>
      <c r="AG218" s="262" t="s">
        <v>2985</v>
      </c>
      <c r="AH218" s="344">
        <v>66.200113485908844</v>
      </c>
      <c r="AI218" s="352">
        <v>10.724418384717229</v>
      </c>
      <c r="AJ218" s="395">
        <v>0</v>
      </c>
      <c r="AK218" s="365">
        <v>0</v>
      </c>
      <c r="AL218" s="365">
        <v>0</v>
      </c>
      <c r="AM218" s="365">
        <v>0</v>
      </c>
      <c r="AN218" s="352">
        <v>23.075468129373935</v>
      </c>
      <c r="AO218" s="353">
        <v>0</v>
      </c>
      <c r="AP218" s="348">
        <v>0</v>
      </c>
      <c r="AQ218" s="348">
        <v>0</v>
      </c>
      <c r="AR218" s="348">
        <v>0</v>
      </c>
      <c r="AS218" s="348">
        <v>0</v>
      </c>
      <c r="AT218" s="352">
        <v>1.9860034045772648</v>
      </c>
      <c r="AU218" s="348">
        <v>0</v>
      </c>
      <c r="AV218" s="348">
        <v>0</v>
      </c>
      <c r="AW218" s="348">
        <v>0</v>
      </c>
      <c r="AX218" s="341">
        <v>0</v>
      </c>
      <c r="AY218" s="354">
        <v>185.3</v>
      </c>
      <c r="AZ218" s="356"/>
      <c r="BA218" s="316" t="s">
        <v>2985</v>
      </c>
      <c r="BB218" s="94" t="s">
        <v>2985</v>
      </c>
      <c r="BC218" s="425" t="s">
        <v>521</v>
      </c>
      <c r="BD218" s="348" t="s">
        <v>3561</v>
      </c>
      <c r="BE218" s="353">
        <v>25</v>
      </c>
      <c r="BF218" s="316"/>
      <c r="BG218" s="348">
        <v>285</v>
      </c>
      <c r="BH218" s="416">
        <f t="shared" si="50"/>
        <v>5.9873949579831933</v>
      </c>
      <c r="BI218" s="303">
        <v>100</v>
      </c>
      <c r="BJ218" s="307">
        <v>0.25</v>
      </c>
      <c r="BK218" s="307">
        <v>20</v>
      </c>
      <c r="BL218" s="307">
        <v>20</v>
      </c>
      <c r="BM218" s="307">
        <v>0</v>
      </c>
      <c r="BN218" s="307">
        <v>100</v>
      </c>
      <c r="BO218" s="259" t="s">
        <v>2985</v>
      </c>
      <c r="BP218" s="350" t="s">
        <v>1742</v>
      </c>
      <c r="BS218" s="321"/>
    </row>
    <row r="219" spans="1:71" s="322" customFormat="1">
      <c r="A219" s="457">
        <v>1478</v>
      </c>
      <c r="B219" s="534" t="s">
        <v>3603</v>
      </c>
      <c r="C219" s="383"/>
      <c r="D219" s="383"/>
      <c r="E219" s="469"/>
      <c r="F219" s="303" t="s">
        <v>2058</v>
      </c>
      <c r="G219" s="386" t="s">
        <v>1740</v>
      </c>
      <c r="H219" s="340" t="s">
        <v>252</v>
      </c>
      <c r="I219" s="338" t="s">
        <v>3377</v>
      </c>
      <c r="J219" s="348">
        <v>2008</v>
      </c>
      <c r="K219" s="341">
        <v>333</v>
      </c>
      <c r="L219" s="340" t="s">
        <v>1738</v>
      </c>
      <c r="M219" s="341" t="s">
        <v>1739</v>
      </c>
      <c r="N219" s="446">
        <f t="shared" si="44"/>
        <v>0.21764882742032471</v>
      </c>
      <c r="O219" s="349">
        <v>0.3</v>
      </c>
      <c r="P219" s="329">
        <v>1.98</v>
      </c>
      <c r="Q219" s="310">
        <f t="shared" si="45"/>
        <v>1.436482260974143</v>
      </c>
      <c r="R219" s="377">
        <f t="shared" si="46"/>
        <v>180</v>
      </c>
      <c r="S219" s="307">
        <v>600</v>
      </c>
      <c r="T219" s="377">
        <f t="shared" si="47"/>
        <v>827.02030667219231</v>
      </c>
      <c r="U219" s="377">
        <f t="shared" si="48"/>
        <v>1188</v>
      </c>
      <c r="V219" s="408" t="s">
        <v>2985</v>
      </c>
      <c r="W219" s="408" t="s">
        <v>2985</v>
      </c>
      <c r="X219" s="313" t="s">
        <v>12</v>
      </c>
      <c r="Y219" s="307" t="s">
        <v>129</v>
      </c>
      <c r="Z219" s="307" t="s">
        <v>3453</v>
      </c>
      <c r="AA219" s="516" t="s">
        <v>3558</v>
      </c>
      <c r="AB219" s="304" t="s">
        <v>1754</v>
      </c>
      <c r="AC219" s="340" t="s">
        <v>2524</v>
      </c>
      <c r="AD219" s="506" t="s">
        <v>2320</v>
      </c>
      <c r="AE219" s="316" t="s">
        <v>2985</v>
      </c>
      <c r="AF219" s="214" t="s">
        <v>2320</v>
      </c>
      <c r="AG219" s="262" t="s">
        <v>2985</v>
      </c>
      <c r="AH219" s="344">
        <v>62.163282221301287</v>
      </c>
      <c r="AI219" s="352">
        <v>10.070451719850809</v>
      </c>
      <c r="AJ219" s="395">
        <v>0</v>
      </c>
      <c r="AK219" s="365">
        <v>0</v>
      </c>
      <c r="AL219" s="365">
        <v>0</v>
      </c>
      <c r="AM219" s="365">
        <v>0</v>
      </c>
      <c r="AN219" s="352">
        <v>27.766266058847904</v>
      </c>
      <c r="AO219" s="353">
        <v>0</v>
      </c>
      <c r="AP219" s="348">
        <v>0</v>
      </c>
      <c r="AQ219" s="348">
        <v>0</v>
      </c>
      <c r="AR219" s="353">
        <v>0</v>
      </c>
      <c r="AS219" s="348">
        <v>0</v>
      </c>
      <c r="AT219" s="352">
        <v>1.8648984666390385</v>
      </c>
      <c r="AU219" s="348">
        <v>0</v>
      </c>
      <c r="AV219" s="348">
        <v>0</v>
      </c>
      <c r="AW219" s="348">
        <v>0</v>
      </c>
      <c r="AX219" s="341">
        <v>0</v>
      </c>
      <c r="AY219" s="354">
        <v>164.4</v>
      </c>
      <c r="AZ219" s="356"/>
      <c r="BA219" s="316" t="s">
        <v>2985</v>
      </c>
      <c r="BB219" s="94" t="s">
        <v>2985</v>
      </c>
      <c r="BC219" s="425" t="s">
        <v>521</v>
      </c>
      <c r="BD219" s="348" t="s">
        <v>3561</v>
      </c>
      <c r="BE219" s="353">
        <v>25</v>
      </c>
      <c r="BF219" s="316"/>
      <c r="BG219" s="348">
        <v>285</v>
      </c>
      <c r="BH219" s="416">
        <f t="shared" si="50"/>
        <v>5.9873949579831933</v>
      </c>
      <c r="BI219" s="303">
        <v>100</v>
      </c>
      <c r="BJ219" s="307">
        <v>0.25</v>
      </c>
      <c r="BK219" s="307">
        <v>20</v>
      </c>
      <c r="BL219" s="307">
        <v>20</v>
      </c>
      <c r="BM219" s="307">
        <v>0</v>
      </c>
      <c r="BN219" s="307">
        <v>100</v>
      </c>
      <c r="BO219" s="259" t="s">
        <v>2985</v>
      </c>
      <c r="BP219" s="350" t="s">
        <v>1742</v>
      </c>
      <c r="BS219" s="321"/>
    </row>
    <row r="220" spans="1:71" s="322" customFormat="1">
      <c r="A220" s="457">
        <v>1479</v>
      </c>
      <c r="B220" s="534" t="s">
        <v>3603</v>
      </c>
      <c r="C220" s="383"/>
      <c r="D220" s="383"/>
      <c r="E220" s="469"/>
      <c r="F220" s="303" t="s">
        <v>2059</v>
      </c>
      <c r="G220" s="386" t="s">
        <v>1740</v>
      </c>
      <c r="H220" s="340" t="s">
        <v>252</v>
      </c>
      <c r="I220" s="338" t="s">
        <v>3377</v>
      </c>
      <c r="J220" s="348">
        <v>2008</v>
      </c>
      <c r="K220" s="341">
        <v>333</v>
      </c>
      <c r="L220" s="340" t="s">
        <v>1738</v>
      </c>
      <c r="M220" s="341" t="s">
        <v>1739</v>
      </c>
      <c r="N220" s="446">
        <f t="shared" si="44"/>
        <v>0.19432004523607577</v>
      </c>
      <c r="O220" s="349">
        <v>0.26</v>
      </c>
      <c r="P220" s="329">
        <v>1.58</v>
      </c>
      <c r="Q220" s="310">
        <f t="shared" si="45"/>
        <v>1.1808679672038451</v>
      </c>
      <c r="R220" s="377">
        <f t="shared" si="46"/>
        <v>182</v>
      </c>
      <c r="S220" s="307">
        <v>700</v>
      </c>
      <c r="T220" s="377">
        <f t="shared" si="47"/>
        <v>936.59920559863815</v>
      </c>
      <c r="U220" s="377">
        <f t="shared" si="48"/>
        <v>1106</v>
      </c>
      <c r="V220" s="408" t="s">
        <v>2985</v>
      </c>
      <c r="W220" s="408" t="s">
        <v>2985</v>
      </c>
      <c r="X220" s="313" t="s">
        <v>12</v>
      </c>
      <c r="Y220" s="307" t="s">
        <v>129</v>
      </c>
      <c r="Z220" s="307" t="s">
        <v>3452</v>
      </c>
      <c r="AA220" s="516" t="s">
        <v>3558</v>
      </c>
      <c r="AB220" s="304" t="s">
        <v>1754</v>
      </c>
      <c r="AC220" s="340" t="s">
        <v>2524</v>
      </c>
      <c r="AD220" s="506" t="s">
        <v>2320</v>
      </c>
      <c r="AE220" s="316" t="s">
        <v>2985</v>
      </c>
      <c r="AF220" s="214" t="s">
        <v>2320</v>
      </c>
      <c r="AG220" s="262" t="s">
        <v>2985</v>
      </c>
      <c r="AH220" s="344">
        <v>66.200113485908844</v>
      </c>
      <c r="AI220" s="352">
        <v>10.724418384717229</v>
      </c>
      <c r="AJ220" s="395">
        <v>0</v>
      </c>
      <c r="AK220" s="365">
        <v>0</v>
      </c>
      <c r="AL220" s="365">
        <v>0</v>
      </c>
      <c r="AM220" s="365">
        <v>0</v>
      </c>
      <c r="AN220" s="352">
        <v>23.075468129373935</v>
      </c>
      <c r="AO220" s="353">
        <v>0</v>
      </c>
      <c r="AP220" s="348">
        <v>0</v>
      </c>
      <c r="AQ220" s="348">
        <v>0</v>
      </c>
      <c r="AR220" s="348">
        <v>0</v>
      </c>
      <c r="AS220" s="348">
        <v>0</v>
      </c>
      <c r="AT220" s="352">
        <v>1.9860034045772648</v>
      </c>
      <c r="AU220" s="348">
        <v>0</v>
      </c>
      <c r="AV220" s="348">
        <v>0</v>
      </c>
      <c r="AW220" s="348">
        <v>0</v>
      </c>
      <c r="AX220" s="341">
        <v>0</v>
      </c>
      <c r="AY220" s="354">
        <v>185.3</v>
      </c>
      <c r="AZ220" s="356"/>
      <c r="BA220" s="316" t="s">
        <v>2985</v>
      </c>
      <c r="BB220" s="94" t="s">
        <v>2985</v>
      </c>
      <c r="BC220" s="425" t="s">
        <v>521</v>
      </c>
      <c r="BD220" s="348" t="s">
        <v>3561</v>
      </c>
      <c r="BE220" s="353">
        <v>25</v>
      </c>
      <c r="BF220" s="316"/>
      <c r="BG220" s="348">
        <v>285</v>
      </c>
      <c r="BH220" s="416">
        <f t="shared" si="50"/>
        <v>5.9873949579831933</v>
      </c>
      <c r="BI220" s="303">
        <v>100</v>
      </c>
      <c r="BJ220" s="307">
        <v>0.25</v>
      </c>
      <c r="BK220" s="307">
        <v>20</v>
      </c>
      <c r="BL220" s="307">
        <v>20</v>
      </c>
      <c r="BM220" s="307">
        <v>0</v>
      </c>
      <c r="BN220" s="307">
        <v>100</v>
      </c>
      <c r="BO220" s="259" t="s">
        <v>2985</v>
      </c>
      <c r="BP220" s="350" t="s">
        <v>1742</v>
      </c>
      <c r="BS220" s="321"/>
    </row>
    <row r="221" spans="1:71" s="322" customFormat="1">
      <c r="A221" s="457">
        <v>1480</v>
      </c>
      <c r="B221" s="534" t="s">
        <v>3603</v>
      </c>
      <c r="C221" s="383"/>
      <c r="D221" s="383"/>
      <c r="E221" s="469"/>
      <c r="F221" s="303" t="s">
        <v>2060</v>
      </c>
      <c r="G221" s="386" t="s">
        <v>1740</v>
      </c>
      <c r="H221" s="340" t="s">
        <v>252</v>
      </c>
      <c r="I221" s="338" t="s">
        <v>3377</v>
      </c>
      <c r="J221" s="348">
        <v>2008</v>
      </c>
      <c r="K221" s="341">
        <v>333</v>
      </c>
      <c r="L221" s="340" t="s">
        <v>1738</v>
      </c>
      <c r="M221" s="341" t="s">
        <v>1739</v>
      </c>
      <c r="N221" s="446">
        <f t="shared" si="44"/>
        <v>0.21764882742032471</v>
      </c>
      <c r="O221" s="349">
        <v>0.3</v>
      </c>
      <c r="P221" s="329">
        <v>1.98</v>
      </c>
      <c r="Q221" s="310">
        <f t="shared" si="45"/>
        <v>1.436482260974143</v>
      </c>
      <c r="R221" s="377">
        <f t="shared" si="46"/>
        <v>180</v>
      </c>
      <c r="S221" s="307">
        <v>600</v>
      </c>
      <c r="T221" s="377">
        <f t="shared" si="47"/>
        <v>827.02030667219231</v>
      </c>
      <c r="U221" s="377">
        <f t="shared" si="48"/>
        <v>1188</v>
      </c>
      <c r="V221" s="408" t="s">
        <v>2985</v>
      </c>
      <c r="W221" s="408" t="s">
        <v>2985</v>
      </c>
      <c r="X221" s="313" t="s">
        <v>12</v>
      </c>
      <c r="Y221" s="307" t="s">
        <v>129</v>
      </c>
      <c r="Z221" s="307" t="s">
        <v>3452</v>
      </c>
      <c r="AA221" s="516" t="s">
        <v>3558</v>
      </c>
      <c r="AB221" s="304" t="s">
        <v>1754</v>
      </c>
      <c r="AC221" s="340" t="s">
        <v>2524</v>
      </c>
      <c r="AD221" s="506" t="s">
        <v>2320</v>
      </c>
      <c r="AE221" s="316" t="s">
        <v>2985</v>
      </c>
      <c r="AF221" s="214" t="s">
        <v>2320</v>
      </c>
      <c r="AG221" s="262" t="s">
        <v>2985</v>
      </c>
      <c r="AH221" s="344">
        <v>62.163282221301287</v>
      </c>
      <c r="AI221" s="352">
        <v>10.070451719850809</v>
      </c>
      <c r="AJ221" s="395">
        <v>0</v>
      </c>
      <c r="AK221" s="365">
        <v>0</v>
      </c>
      <c r="AL221" s="365">
        <v>0</v>
      </c>
      <c r="AM221" s="365">
        <v>0</v>
      </c>
      <c r="AN221" s="352">
        <v>27.766266058847904</v>
      </c>
      <c r="AO221" s="353">
        <v>0</v>
      </c>
      <c r="AP221" s="348">
        <v>0</v>
      </c>
      <c r="AQ221" s="348">
        <v>0</v>
      </c>
      <c r="AR221" s="353">
        <v>0</v>
      </c>
      <c r="AS221" s="348">
        <v>0</v>
      </c>
      <c r="AT221" s="352">
        <v>1.8648984666390385</v>
      </c>
      <c r="AU221" s="348">
        <v>0</v>
      </c>
      <c r="AV221" s="348">
        <v>0</v>
      </c>
      <c r="AW221" s="348">
        <v>0</v>
      </c>
      <c r="AX221" s="341">
        <v>0</v>
      </c>
      <c r="AY221" s="354">
        <v>164.4</v>
      </c>
      <c r="AZ221" s="356"/>
      <c r="BA221" s="316" t="s">
        <v>2985</v>
      </c>
      <c r="BB221" s="94" t="s">
        <v>2985</v>
      </c>
      <c r="BC221" s="425" t="s">
        <v>521</v>
      </c>
      <c r="BD221" s="348" t="s">
        <v>3561</v>
      </c>
      <c r="BE221" s="353">
        <v>25</v>
      </c>
      <c r="BF221" s="316"/>
      <c r="BG221" s="348">
        <v>285</v>
      </c>
      <c r="BH221" s="416">
        <f t="shared" si="50"/>
        <v>5.9873949579831933</v>
      </c>
      <c r="BI221" s="303">
        <v>100</v>
      </c>
      <c r="BJ221" s="307">
        <v>0.25</v>
      </c>
      <c r="BK221" s="307">
        <v>20</v>
      </c>
      <c r="BL221" s="307">
        <v>20</v>
      </c>
      <c r="BM221" s="307">
        <v>0</v>
      </c>
      <c r="BN221" s="307">
        <v>100</v>
      </c>
      <c r="BO221" s="259" t="s">
        <v>2985</v>
      </c>
      <c r="BP221" s="350" t="s">
        <v>1742</v>
      </c>
      <c r="BS221" s="321"/>
    </row>
    <row r="222" spans="1:71" s="322" customFormat="1">
      <c r="A222" s="457">
        <v>1481</v>
      </c>
      <c r="B222" s="534" t="s">
        <v>3603</v>
      </c>
      <c r="C222" s="383"/>
      <c r="D222" s="383"/>
      <c r="E222" s="469"/>
      <c r="F222" s="303" t="s">
        <v>2061</v>
      </c>
      <c r="G222" s="386" t="s">
        <v>1740</v>
      </c>
      <c r="H222" s="454" t="s">
        <v>252</v>
      </c>
      <c r="I222" s="338" t="s">
        <v>3377</v>
      </c>
      <c r="J222" s="361">
        <v>2008</v>
      </c>
      <c r="K222" s="341">
        <v>333</v>
      </c>
      <c r="L222" s="340" t="s">
        <v>1738</v>
      </c>
      <c r="M222" s="341" t="s">
        <v>1739</v>
      </c>
      <c r="N222" s="446">
        <f t="shared" si="44"/>
        <v>0.17424242424242425</v>
      </c>
      <c r="O222" s="349">
        <v>0.23</v>
      </c>
      <c r="P222" s="329">
        <v>1.24</v>
      </c>
      <c r="Q222" s="310">
        <f t="shared" si="45"/>
        <v>0.93939393939393945</v>
      </c>
      <c r="R222" s="377">
        <f t="shared" si="46"/>
        <v>184</v>
      </c>
      <c r="S222" s="307">
        <v>800</v>
      </c>
      <c r="T222" s="377">
        <f t="shared" si="47"/>
        <v>1056</v>
      </c>
      <c r="U222" s="377">
        <f t="shared" si="48"/>
        <v>992</v>
      </c>
      <c r="V222" s="408" t="s">
        <v>2985</v>
      </c>
      <c r="W222" s="408" t="s">
        <v>2985</v>
      </c>
      <c r="X222" s="313" t="s">
        <v>12</v>
      </c>
      <c r="Y222" s="307" t="s">
        <v>129</v>
      </c>
      <c r="Z222" s="307" t="s">
        <v>3453</v>
      </c>
      <c r="AA222" s="516" t="s">
        <v>3558</v>
      </c>
      <c r="AB222" s="304" t="s">
        <v>1754</v>
      </c>
      <c r="AC222" s="340" t="s">
        <v>2524</v>
      </c>
      <c r="AD222" s="506" t="s">
        <v>2320</v>
      </c>
      <c r="AE222" s="316" t="s">
        <v>2985</v>
      </c>
      <c r="AF222" s="214" t="s">
        <v>2320</v>
      </c>
      <c r="AG222" s="262" t="s">
        <v>2985</v>
      </c>
      <c r="AH222" s="313">
        <v>68</v>
      </c>
      <c r="AI222" s="356">
        <v>14</v>
      </c>
      <c r="AJ222" s="365">
        <v>0</v>
      </c>
      <c r="AK222" s="365">
        <v>0</v>
      </c>
      <c r="AL222" s="365">
        <v>0</v>
      </c>
      <c r="AM222" s="365">
        <v>0</v>
      </c>
      <c r="AN222" s="352">
        <v>18</v>
      </c>
      <c r="AO222" s="348">
        <v>0</v>
      </c>
      <c r="AP222" s="348">
        <v>0</v>
      </c>
      <c r="AQ222" s="348">
        <v>0</v>
      </c>
      <c r="AR222" s="348">
        <v>0</v>
      </c>
      <c r="AS222" s="348">
        <v>0</v>
      </c>
      <c r="AT222" s="352">
        <v>2.0477815699658701</v>
      </c>
      <c r="AU222" s="348">
        <v>0</v>
      </c>
      <c r="AV222" s="348">
        <v>0</v>
      </c>
      <c r="AW222" s="348">
        <v>0</v>
      </c>
      <c r="AX222" s="341">
        <v>0</v>
      </c>
      <c r="AY222" s="354">
        <v>211.5</v>
      </c>
      <c r="AZ222" s="356"/>
      <c r="BA222" s="316" t="s">
        <v>2985</v>
      </c>
      <c r="BB222" s="94" t="s">
        <v>2985</v>
      </c>
      <c r="BC222" s="425" t="s">
        <v>521</v>
      </c>
      <c r="BD222" s="348" t="s">
        <v>3561</v>
      </c>
      <c r="BE222" s="353">
        <v>25</v>
      </c>
      <c r="BF222" s="316"/>
      <c r="BG222" s="348">
        <v>285</v>
      </c>
      <c r="BH222" s="390">
        <f t="shared" si="50"/>
        <v>5.9873949579831933</v>
      </c>
      <c r="BI222" s="303">
        <v>100</v>
      </c>
      <c r="BJ222" s="305">
        <v>0.25</v>
      </c>
      <c r="BK222" s="306">
        <v>20</v>
      </c>
      <c r="BL222" s="307">
        <v>20</v>
      </c>
      <c r="BM222" s="307">
        <v>0</v>
      </c>
      <c r="BN222" s="307">
        <v>100</v>
      </c>
      <c r="BO222" s="259" t="s">
        <v>2985</v>
      </c>
      <c r="BP222" s="350" t="s">
        <v>1742</v>
      </c>
      <c r="BS222" s="321"/>
    </row>
    <row r="223" spans="1:71" s="322" customFormat="1">
      <c r="A223" s="457">
        <v>1482</v>
      </c>
      <c r="B223" s="534" t="s">
        <v>3603</v>
      </c>
      <c r="C223" s="383"/>
      <c r="D223" s="383"/>
      <c r="E223" s="469"/>
      <c r="F223" s="303" t="s">
        <v>2062</v>
      </c>
      <c r="G223" s="386" t="s">
        <v>1740</v>
      </c>
      <c r="H223" s="454" t="s">
        <v>252</v>
      </c>
      <c r="I223" s="338" t="s">
        <v>3377</v>
      </c>
      <c r="J223" s="361">
        <v>2008</v>
      </c>
      <c r="K223" s="341">
        <v>333</v>
      </c>
      <c r="L223" s="340" t="s">
        <v>1738</v>
      </c>
      <c r="M223" s="341" t="s">
        <v>1739</v>
      </c>
      <c r="N223" s="446">
        <f t="shared" ref="N223:N258" si="51">R223/T223</f>
        <v>0.1796875</v>
      </c>
      <c r="O223" s="349">
        <v>0.23</v>
      </c>
      <c r="P223" s="329">
        <v>1.34</v>
      </c>
      <c r="Q223" s="310">
        <f t="shared" ref="Q223:Q238" si="52">U223/T223</f>
        <v>1.046875</v>
      </c>
      <c r="R223" s="377">
        <f t="shared" ref="R223:R254" si="53">O223*S223</f>
        <v>184</v>
      </c>
      <c r="S223" s="307">
        <v>800</v>
      </c>
      <c r="T223" s="377">
        <f t="shared" ref="T223:T254" si="54">(((SUM(AI223:AR223)/100)*(S223))+S223)</f>
        <v>1024</v>
      </c>
      <c r="U223" s="377">
        <f t="shared" ref="U223:U238" si="55">P223*S223</f>
        <v>1072</v>
      </c>
      <c r="V223" s="408" t="s">
        <v>2985</v>
      </c>
      <c r="W223" s="408" t="s">
        <v>2985</v>
      </c>
      <c r="X223" s="313" t="s">
        <v>12</v>
      </c>
      <c r="Y223" s="307" t="s">
        <v>129</v>
      </c>
      <c r="Z223" s="307" t="s">
        <v>3453</v>
      </c>
      <c r="AA223" s="516" t="s">
        <v>3558</v>
      </c>
      <c r="AB223" s="304" t="s">
        <v>1754</v>
      </c>
      <c r="AC223" s="340" t="s">
        <v>2524</v>
      </c>
      <c r="AD223" s="506" t="s">
        <v>2320</v>
      </c>
      <c r="AE223" s="316" t="s">
        <v>2985</v>
      </c>
      <c r="AF223" s="214" t="s">
        <v>2320</v>
      </c>
      <c r="AG223" s="262" t="s">
        <v>2985</v>
      </c>
      <c r="AH223" s="313">
        <v>72</v>
      </c>
      <c r="AI223" s="356">
        <v>7</v>
      </c>
      <c r="AJ223" s="365">
        <v>0</v>
      </c>
      <c r="AK223" s="365">
        <v>0</v>
      </c>
      <c r="AL223" s="365">
        <v>0</v>
      </c>
      <c r="AM223" s="365">
        <v>0</v>
      </c>
      <c r="AN223" s="352">
        <v>21</v>
      </c>
      <c r="AO223" s="348">
        <v>0</v>
      </c>
      <c r="AP223" s="348">
        <v>0</v>
      </c>
      <c r="AQ223" s="348">
        <v>0</v>
      </c>
      <c r="AR223" s="348">
        <v>0</v>
      </c>
      <c r="AS223" s="348">
        <v>0</v>
      </c>
      <c r="AT223" s="352">
        <v>2.1621621621621623</v>
      </c>
      <c r="AU223" s="348">
        <v>0</v>
      </c>
      <c r="AV223" s="348">
        <v>0</v>
      </c>
      <c r="AW223" s="348">
        <v>0</v>
      </c>
      <c r="AX223" s="341">
        <v>0</v>
      </c>
      <c r="AY223" s="354">
        <v>196.8</v>
      </c>
      <c r="AZ223" s="356"/>
      <c r="BA223" s="316" t="s">
        <v>2985</v>
      </c>
      <c r="BB223" s="94" t="s">
        <v>2985</v>
      </c>
      <c r="BC223" s="425" t="s">
        <v>521</v>
      </c>
      <c r="BD223" s="348" t="s">
        <v>3561</v>
      </c>
      <c r="BE223" s="353">
        <v>25</v>
      </c>
      <c r="BF223" s="316"/>
      <c r="BG223" s="348">
        <v>285</v>
      </c>
      <c r="BH223" s="390">
        <f t="shared" si="50"/>
        <v>5.9873949579831933</v>
      </c>
      <c r="BI223" s="303">
        <v>100</v>
      </c>
      <c r="BJ223" s="305">
        <v>0.25</v>
      </c>
      <c r="BK223" s="306">
        <v>20</v>
      </c>
      <c r="BL223" s="307">
        <v>20</v>
      </c>
      <c r="BM223" s="307">
        <v>0</v>
      </c>
      <c r="BN223" s="307">
        <v>100</v>
      </c>
      <c r="BO223" s="259" t="s">
        <v>2985</v>
      </c>
      <c r="BP223" s="350" t="s">
        <v>1742</v>
      </c>
      <c r="BS223" s="321"/>
    </row>
    <row r="224" spans="1:71" s="322" customFormat="1">
      <c r="A224" s="457">
        <v>1483</v>
      </c>
      <c r="B224" s="534" t="s">
        <v>3603</v>
      </c>
      <c r="C224" s="383"/>
      <c r="D224" s="383"/>
      <c r="E224" s="469"/>
      <c r="F224" s="303" t="s">
        <v>2063</v>
      </c>
      <c r="G224" s="386" t="s">
        <v>1740</v>
      </c>
      <c r="H224" s="454" t="s">
        <v>252</v>
      </c>
      <c r="I224" s="338" t="s">
        <v>3377</v>
      </c>
      <c r="J224" s="361">
        <v>2008</v>
      </c>
      <c r="K224" s="341">
        <v>333</v>
      </c>
      <c r="L224" s="340" t="s">
        <v>1738</v>
      </c>
      <c r="M224" s="341" t="s">
        <v>1739</v>
      </c>
      <c r="N224" s="446">
        <f t="shared" si="51"/>
        <v>0.18110236220472442</v>
      </c>
      <c r="O224" s="349">
        <v>0.23</v>
      </c>
      <c r="P224" s="329">
        <v>1.375</v>
      </c>
      <c r="Q224" s="310">
        <f t="shared" si="52"/>
        <v>1.0826771653543308</v>
      </c>
      <c r="R224" s="377">
        <f t="shared" si="53"/>
        <v>184</v>
      </c>
      <c r="S224" s="307">
        <v>800</v>
      </c>
      <c r="T224" s="377">
        <f t="shared" si="54"/>
        <v>1016</v>
      </c>
      <c r="U224" s="377">
        <f t="shared" si="55"/>
        <v>1100</v>
      </c>
      <c r="V224" s="408" t="s">
        <v>2985</v>
      </c>
      <c r="W224" s="408" t="s">
        <v>2985</v>
      </c>
      <c r="X224" s="313" t="s">
        <v>12</v>
      </c>
      <c r="Y224" s="307" t="s">
        <v>129</v>
      </c>
      <c r="Z224" s="307" t="s">
        <v>3453</v>
      </c>
      <c r="AA224" s="311" t="s">
        <v>3562</v>
      </c>
      <c r="AB224" s="304" t="s">
        <v>1754</v>
      </c>
      <c r="AC224" s="340" t="s">
        <v>2524</v>
      </c>
      <c r="AD224" s="506" t="s">
        <v>2320</v>
      </c>
      <c r="AE224" s="316" t="s">
        <v>2985</v>
      </c>
      <c r="AF224" s="214" t="s">
        <v>2320</v>
      </c>
      <c r="AG224" s="262" t="s">
        <v>2985</v>
      </c>
      <c r="AH224" s="313">
        <v>73</v>
      </c>
      <c r="AI224" s="356">
        <v>4</v>
      </c>
      <c r="AJ224" s="365">
        <v>0</v>
      </c>
      <c r="AK224" s="365">
        <v>0</v>
      </c>
      <c r="AL224" s="365">
        <v>0</v>
      </c>
      <c r="AM224" s="365">
        <v>0</v>
      </c>
      <c r="AN224" s="352">
        <v>23</v>
      </c>
      <c r="AO224" s="348">
        <v>0</v>
      </c>
      <c r="AP224" s="348">
        <v>0</v>
      </c>
      <c r="AQ224" s="348">
        <v>0</v>
      </c>
      <c r="AR224" s="348">
        <v>0</v>
      </c>
      <c r="AS224" s="348">
        <v>0</v>
      </c>
      <c r="AT224" s="352">
        <v>2.2119000221190004</v>
      </c>
      <c r="AU224" s="348">
        <v>0</v>
      </c>
      <c r="AV224" s="348">
        <v>0</v>
      </c>
      <c r="AW224" s="348">
        <v>0</v>
      </c>
      <c r="AX224" s="341">
        <v>0</v>
      </c>
      <c r="AY224" s="354">
        <v>190.7</v>
      </c>
      <c r="AZ224" s="356"/>
      <c r="BA224" s="316" t="s">
        <v>2985</v>
      </c>
      <c r="BB224" s="94" t="s">
        <v>2985</v>
      </c>
      <c r="BC224" s="425" t="s">
        <v>521</v>
      </c>
      <c r="BD224" s="348" t="s">
        <v>3561</v>
      </c>
      <c r="BE224" s="353">
        <v>25</v>
      </c>
      <c r="BF224" s="316"/>
      <c r="BG224" s="348">
        <v>285</v>
      </c>
      <c r="BH224" s="390">
        <f t="shared" si="50"/>
        <v>5.9873949579831933</v>
      </c>
      <c r="BI224" s="303">
        <v>100</v>
      </c>
      <c r="BJ224" s="305">
        <v>0.25</v>
      </c>
      <c r="BK224" s="306">
        <v>20</v>
      </c>
      <c r="BL224" s="307">
        <v>20</v>
      </c>
      <c r="BM224" s="307">
        <v>0</v>
      </c>
      <c r="BN224" s="307">
        <v>100</v>
      </c>
      <c r="BO224" s="259" t="s">
        <v>2985</v>
      </c>
      <c r="BP224" s="350" t="s">
        <v>1742</v>
      </c>
      <c r="BS224" s="321"/>
    </row>
    <row r="225" spans="1:71" s="322" customFormat="1">
      <c r="A225" s="457">
        <v>1484</v>
      </c>
      <c r="B225" s="534" t="s">
        <v>3603</v>
      </c>
      <c r="C225" s="383"/>
      <c r="D225" s="383"/>
      <c r="E225" s="469"/>
      <c r="F225" s="303" t="s">
        <v>2064</v>
      </c>
      <c r="G225" s="386" t="s">
        <v>1740</v>
      </c>
      <c r="H225" s="454" t="s">
        <v>252</v>
      </c>
      <c r="I225" s="338" t="s">
        <v>3377</v>
      </c>
      <c r="J225" s="361">
        <v>2008</v>
      </c>
      <c r="K225" s="341">
        <v>333</v>
      </c>
      <c r="L225" s="340" t="s">
        <v>1738</v>
      </c>
      <c r="M225" s="341" t="s">
        <v>1739</v>
      </c>
      <c r="N225" s="446">
        <f t="shared" si="51"/>
        <v>0.17424242424242425</v>
      </c>
      <c r="O225" s="349">
        <v>0.23</v>
      </c>
      <c r="P225" s="329">
        <v>1.24</v>
      </c>
      <c r="Q225" s="310">
        <f t="shared" si="52"/>
        <v>0.93939393939393945</v>
      </c>
      <c r="R225" s="377">
        <f t="shared" si="53"/>
        <v>184</v>
      </c>
      <c r="S225" s="307">
        <v>800</v>
      </c>
      <c r="T225" s="377">
        <f t="shared" si="54"/>
        <v>1056</v>
      </c>
      <c r="U225" s="377">
        <f t="shared" si="55"/>
        <v>992</v>
      </c>
      <c r="V225" s="408" t="s">
        <v>2985</v>
      </c>
      <c r="W225" s="408" t="s">
        <v>2985</v>
      </c>
      <c r="X225" s="313" t="s">
        <v>12</v>
      </c>
      <c r="Y225" s="307" t="s">
        <v>129</v>
      </c>
      <c r="Z225" s="307" t="s">
        <v>3452</v>
      </c>
      <c r="AA225" s="516" t="s">
        <v>3558</v>
      </c>
      <c r="AB225" s="304" t="s">
        <v>1754</v>
      </c>
      <c r="AC225" s="340" t="s">
        <v>2524</v>
      </c>
      <c r="AD225" s="506" t="s">
        <v>2320</v>
      </c>
      <c r="AE225" s="316" t="s">
        <v>2985</v>
      </c>
      <c r="AF225" s="214" t="s">
        <v>2320</v>
      </c>
      <c r="AG225" s="262" t="s">
        <v>2985</v>
      </c>
      <c r="AH225" s="313">
        <v>68</v>
      </c>
      <c r="AI225" s="356">
        <v>14</v>
      </c>
      <c r="AJ225" s="365">
        <v>0</v>
      </c>
      <c r="AK225" s="365">
        <v>0</v>
      </c>
      <c r="AL225" s="365">
        <v>0</v>
      </c>
      <c r="AM225" s="365">
        <v>0</v>
      </c>
      <c r="AN225" s="352">
        <v>18</v>
      </c>
      <c r="AO225" s="348">
        <v>0</v>
      </c>
      <c r="AP225" s="348">
        <v>0</v>
      </c>
      <c r="AQ225" s="348">
        <v>0</v>
      </c>
      <c r="AR225" s="348">
        <v>0</v>
      </c>
      <c r="AS225" s="348">
        <v>0</v>
      </c>
      <c r="AT225" s="352">
        <v>2.0512820512820511</v>
      </c>
      <c r="AU225" s="348">
        <v>0</v>
      </c>
      <c r="AV225" s="348">
        <v>0</v>
      </c>
      <c r="AW225" s="348">
        <v>0</v>
      </c>
      <c r="AX225" s="341">
        <v>0</v>
      </c>
      <c r="AY225" s="354">
        <v>211.5</v>
      </c>
      <c r="AZ225" s="356"/>
      <c r="BA225" s="316" t="s">
        <v>2985</v>
      </c>
      <c r="BB225" s="94" t="s">
        <v>2985</v>
      </c>
      <c r="BC225" s="425" t="s">
        <v>521</v>
      </c>
      <c r="BD225" s="348" t="s">
        <v>3561</v>
      </c>
      <c r="BE225" s="353">
        <v>25</v>
      </c>
      <c r="BF225" s="316"/>
      <c r="BG225" s="348">
        <v>285</v>
      </c>
      <c r="BH225" s="390">
        <f t="shared" si="50"/>
        <v>5.9873949579831933</v>
      </c>
      <c r="BI225" s="303">
        <v>100</v>
      </c>
      <c r="BJ225" s="305">
        <v>0.25</v>
      </c>
      <c r="BK225" s="306">
        <v>20</v>
      </c>
      <c r="BL225" s="307">
        <v>20</v>
      </c>
      <c r="BM225" s="307">
        <v>0</v>
      </c>
      <c r="BN225" s="307">
        <v>100</v>
      </c>
      <c r="BO225" s="259" t="s">
        <v>2985</v>
      </c>
      <c r="BP225" s="350" t="s">
        <v>1742</v>
      </c>
      <c r="BS225" s="321"/>
    </row>
    <row r="226" spans="1:71" s="322" customFormat="1">
      <c r="A226" s="457">
        <v>1485</v>
      </c>
      <c r="B226" s="534" t="s">
        <v>3603</v>
      </c>
      <c r="C226" s="383"/>
      <c r="D226" s="383"/>
      <c r="E226" s="469"/>
      <c r="F226" s="303" t="s">
        <v>2065</v>
      </c>
      <c r="G226" s="386" t="s">
        <v>1740</v>
      </c>
      <c r="H226" s="454" t="s">
        <v>252</v>
      </c>
      <c r="I226" s="338" t="s">
        <v>3377</v>
      </c>
      <c r="J226" s="361">
        <v>2008</v>
      </c>
      <c r="K226" s="341">
        <v>333</v>
      </c>
      <c r="L226" s="340" t="s">
        <v>1738</v>
      </c>
      <c r="M226" s="341" t="s">
        <v>1739</v>
      </c>
      <c r="N226" s="446">
        <f t="shared" si="51"/>
        <v>0.1796875</v>
      </c>
      <c r="O226" s="349">
        <v>0.23</v>
      </c>
      <c r="P226" s="329">
        <v>1.34</v>
      </c>
      <c r="Q226" s="310">
        <f t="shared" si="52"/>
        <v>1.046875</v>
      </c>
      <c r="R226" s="377">
        <f t="shared" si="53"/>
        <v>184</v>
      </c>
      <c r="S226" s="307">
        <v>800</v>
      </c>
      <c r="T226" s="377">
        <f t="shared" si="54"/>
        <v>1024</v>
      </c>
      <c r="U226" s="377">
        <f t="shared" si="55"/>
        <v>1072</v>
      </c>
      <c r="V226" s="408" t="s">
        <v>2985</v>
      </c>
      <c r="W226" s="408" t="s">
        <v>2985</v>
      </c>
      <c r="X226" s="313" t="s">
        <v>12</v>
      </c>
      <c r="Y226" s="307" t="s">
        <v>129</v>
      </c>
      <c r="Z226" s="307" t="s">
        <v>3452</v>
      </c>
      <c r="AA226" s="516" t="s">
        <v>3558</v>
      </c>
      <c r="AB226" s="304" t="s">
        <v>1754</v>
      </c>
      <c r="AC226" s="340" t="s">
        <v>2524</v>
      </c>
      <c r="AD226" s="506" t="s">
        <v>2320</v>
      </c>
      <c r="AE226" s="316" t="s">
        <v>2985</v>
      </c>
      <c r="AF226" s="214" t="s">
        <v>2320</v>
      </c>
      <c r="AG226" s="262" t="s">
        <v>2985</v>
      </c>
      <c r="AH226" s="313">
        <v>72</v>
      </c>
      <c r="AI226" s="356">
        <v>7</v>
      </c>
      <c r="AJ226" s="365">
        <v>0</v>
      </c>
      <c r="AK226" s="365">
        <v>0</v>
      </c>
      <c r="AL226" s="365">
        <v>0</v>
      </c>
      <c r="AM226" s="365">
        <v>0</v>
      </c>
      <c r="AN226" s="352">
        <v>21</v>
      </c>
      <c r="AO226" s="348">
        <v>0</v>
      </c>
      <c r="AP226" s="348">
        <v>0</v>
      </c>
      <c r="AQ226" s="348">
        <v>0</v>
      </c>
      <c r="AR226" s="348">
        <v>0</v>
      </c>
      <c r="AS226" s="348">
        <v>0</v>
      </c>
      <c r="AT226" s="352">
        <v>2.1621621621621623</v>
      </c>
      <c r="AU226" s="348">
        <v>0</v>
      </c>
      <c r="AV226" s="348">
        <v>0</v>
      </c>
      <c r="AW226" s="348">
        <v>0</v>
      </c>
      <c r="AX226" s="341">
        <v>0</v>
      </c>
      <c r="AY226" s="354">
        <v>196.8</v>
      </c>
      <c r="AZ226" s="356"/>
      <c r="BA226" s="316" t="s">
        <v>2985</v>
      </c>
      <c r="BB226" s="94" t="s">
        <v>2985</v>
      </c>
      <c r="BC226" s="425" t="s">
        <v>521</v>
      </c>
      <c r="BD226" s="348" t="s">
        <v>3561</v>
      </c>
      <c r="BE226" s="353">
        <v>25</v>
      </c>
      <c r="BF226" s="316"/>
      <c r="BG226" s="348">
        <v>285</v>
      </c>
      <c r="BH226" s="390">
        <f t="shared" si="50"/>
        <v>5.9873949579831933</v>
      </c>
      <c r="BI226" s="303">
        <v>100</v>
      </c>
      <c r="BJ226" s="323">
        <v>0.25</v>
      </c>
      <c r="BK226" s="324">
        <v>20</v>
      </c>
      <c r="BL226" s="307">
        <v>20</v>
      </c>
      <c r="BM226" s="307">
        <v>0</v>
      </c>
      <c r="BN226" s="307">
        <v>100</v>
      </c>
      <c r="BO226" s="259" t="s">
        <v>2985</v>
      </c>
      <c r="BP226" s="350" t="s">
        <v>1742</v>
      </c>
      <c r="BS226" s="321"/>
    </row>
    <row r="227" spans="1:71" s="322" customFormat="1">
      <c r="A227" s="457">
        <v>1486</v>
      </c>
      <c r="B227" s="534" t="s">
        <v>3603</v>
      </c>
      <c r="C227" s="383"/>
      <c r="D227" s="383"/>
      <c r="E227" s="469"/>
      <c r="F227" s="303" t="s">
        <v>2066</v>
      </c>
      <c r="G227" s="386" t="s">
        <v>1740</v>
      </c>
      <c r="H227" s="454" t="s">
        <v>252</v>
      </c>
      <c r="I227" s="338" t="s">
        <v>3377</v>
      </c>
      <c r="J227" s="361">
        <v>2008</v>
      </c>
      <c r="K227" s="341">
        <v>333</v>
      </c>
      <c r="L227" s="340" t="s">
        <v>1738</v>
      </c>
      <c r="M227" s="341" t="s">
        <v>1739</v>
      </c>
      <c r="N227" s="446">
        <f t="shared" si="51"/>
        <v>0.18110236220472442</v>
      </c>
      <c r="O227" s="349">
        <v>0.23</v>
      </c>
      <c r="P227" s="329">
        <v>1.375</v>
      </c>
      <c r="Q227" s="310">
        <f t="shared" si="52"/>
        <v>1.0826771653543308</v>
      </c>
      <c r="R227" s="377">
        <f t="shared" si="53"/>
        <v>184</v>
      </c>
      <c r="S227" s="307">
        <v>800</v>
      </c>
      <c r="T227" s="377">
        <f t="shared" si="54"/>
        <v>1016</v>
      </c>
      <c r="U227" s="377">
        <f t="shared" si="55"/>
        <v>1100</v>
      </c>
      <c r="V227" s="408" t="s">
        <v>2985</v>
      </c>
      <c r="W227" s="408" t="s">
        <v>2985</v>
      </c>
      <c r="X227" s="313" t="s">
        <v>12</v>
      </c>
      <c r="Y227" s="307" t="s">
        <v>129</v>
      </c>
      <c r="Z227" s="307" t="s">
        <v>3452</v>
      </c>
      <c r="AA227" s="311" t="s">
        <v>3562</v>
      </c>
      <c r="AB227" s="304" t="s">
        <v>1754</v>
      </c>
      <c r="AC227" s="340" t="s">
        <v>2524</v>
      </c>
      <c r="AD227" s="506" t="s">
        <v>2320</v>
      </c>
      <c r="AE227" s="316" t="s">
        <v>2985</v>
      </c>
      <c r="AF227" s="214" t="s">
        <v>2320</v>
      </c>
      <c r="AG227" s="262" t="s">
        <v>2985</v>
      </c>
      <c r="AH227" s="313">
        <v>73</v>
      </c>
      <c r="AI227" s="356">
        <v>4</v>
      </c>
      <c r="AJ227" s="365">
        <v>0</v>
      </c>
      <c r="AK227" s="365">
        <v>0</v>
      </c>
      <c r="AL227" s="365">
        <v>0</v>
      </c>
      <c r="AM227" s="365">
        <v>0</v>
      </c>
      <c r="AN227" s="352">
        <v>23</v>
      </c>
      <c r="AO227" s="348">
        <v>0</v>
      </c>
      <c r="AP227" s="348">
        <v>0</v>
      </c>
      <c r="AQ227" s="348">
        <v>0</v>
      </c>
      <c r="AR227" s="348">
        <v>0</v>
      </c>
      <c r="AS227" s="348">
        <v>0</v>
      </c>
      <c r="AT227" s="352">
        <v>2.2119000221190004</v>
      </c>
      <c r="AU227" s="348">
        <v>0</v>
      </c>
      <c r="AV227" s="348">
        <v>0</v>
      </c>
      <c r="AW227" s="348">
        <v>0</v>
      </c>
      <c r="AX227" s="341">
        <v>0</v>
      </c>
      <c r="AY227" s="354">
        <v>190.7</v>
      </c>
      <c r="AZ227" s="356"/>
      <c r="BA227" s="316" t="s">
        <v>2985</v>
      </c>
      <c r="BB227" s="94" t="s">
        <v>2985</v>
      </c>
      <c r="BC227" s="425" t="s">
        <v>521</v>
      </c>
      <c r="BD227" s="348" t="s">
        <v>3561</v>
      </c>
      <c r="BE227" s="353">
        <v>25</v>
      </c>
      <c r="BF227" s="316"/>
      <c r="BG227" s="348">
        <v>285</v>
      </c>
      <c r="BH227" s="390">
        <f t="shared" si="50"/>
        <v>5.9873949579831933</v>
      </c>
      <c r="BI227" s="303">
        <v>100</v>
      </c>
      <c r="BJ227" s="323">
        <v>0.25</v>
      </c>
      <c r="BK227" s="324">
        <v>20</v>
      </c>
      <c r="BL227" s="307">
        <v>20</v>
      </c>
      <c r="BM227" s="307">
        <v>0</v>
      </c>
      <c r="BN227" s="307">
        <v>100</v>
      </c>
      <c r="BO227" s="259" t="s">
        <v>2985</v>
      </c>
      <c r="BP227" s="350" t="s">
        <v>1742</v>
      </c>
      <c r="BS227" s="321"/>
    </row>
    <row r="228" spans="1:71" s="322" customFormat="1">
      <c r="A228" s="457">
        <v>1487</v>
      </c>
      <c r="B228" s="534" t="s">
        <v>3585</v>
      </c>
      <c r="C228" s="383"/>
      <c r="D228" s="383"/>
      <c r="E228" s="469"/>
      <c r="F228" s="303" t="s">
        <v>2067</v>
      </c>
      <c r="G228" s="386" t="s">
        <v>1832</v>
      </c>
      <c r="H228" s="454" t="s">
        <v>252</v>
      </c>
      <c r="I228" s="338" t="s">
        <v>3377</v>
      </c>
      <c r="J228" s="361">
        <v>2004</v>
      </c>
      <c r="K228" s="341">
        <v>337</v>
      </c>
      <c r="L228" s="340" t="s">
        <v>1738</v>
      </c>
      <c r="M228" s="341" t="s">
        <v>1739</v>
      </c>
      <c r="N228" s="446">
        <f t="shared" si="51"/>
        <v>0.27</v>
      </c>
      <c r="O228" s="349">
        <v>0.27</v>
      </c>
      <c r="P228" s="329">
        <v>1.532</v>
      </c>
      <c r="Q228" s="310">
        <f t="shared" si="52"/>
        <v>1.532</v>
      </c>
      <c r="R228" s="377">
        <f t="shared" si="53"/>
        <v>229.50000000000003</v>
      </c>
      <c r="S228" s="307">
        <v>850</v>
      </c>
      <c r="T228" s="377">
        <f t="shared" si="54"/>
        <v>850</v>
      </c>
      <c r="U228" s="377">
        <f t="shared" si="55"/>
        <v>1302.2</v>
      </c>
      <c r="V228" s="408" t="s">
        <v>2985</v>
      </c>
      <c r="W228" s="408" t="s">
        <v>2985</v>
      </c>
      <c r="X228" s="313" t="s">
        <v>12</v>
      </c>
      <c r="Y228" s="307" t="s">
        <v>129</v>
      </c>
      <c r="Z228" s="307" t="s">
        <v>3451</v>
      </c>
      <c r="AA228" s="315" t="s">
        <v>1754</v>
      </c>
      <c r="AB228" s="304" t="s">
        <v>1754</v>
      </c>
      <c r="AC228" s="340" t="s">
        <v>2524</v>
      </c>
      <c r="AD228" s="506" t="s">
        <v>2320</v>
      </c>
      <c r="AE228" s="316" t="s">
        <v>2985</v>
      </c>
      <c r="AF228" s="214" t="s">
        <v>2320</v>
      </c>
      <c r="AG228" s="262" t="s">
        <v>2985</v>
      </c>
      <c r="AH228" s="344">
        <v>100</v>
      </c>
      <c r="AI228" s="353">
        <v>0</v>
      </c>
      <c r="AJ228" s="395">
        <v>0</v>
      </c>
      <c r="AK228" s="365">
        <v>0</v>
      </c>
      <c r="AL228" s="365">
        <v>0</v>
      </c>
      <c r="AM228" s="365">
        <v>0</v>
      </c>
      <c r="AN228" s="353">
        <v>0</v>
      </c>
      <c r="AO228" s="353">
        <v>0</v>
      </c>
      <c r="AP228" s="348">
        <v>0</v>
      </c>
      <c r="AQ228" s="348">
        <v>0</v>
      </c>
      <c r="AR228" s="348">
        <v>0</v>
      </c>
      <c r="AS228" s="348">
        <v>0</v>
      </c>
      <c r="AT228" s="353">
        <v>0</v>
      </c>
      <c r="AU228" s="348">
        <v>0</v>
      </c>
      <c r="AV228" s="348">
        <v>0</v>
      </c>
      <c r="AW228" s="348">
        <v>0</v>
      </c>
      <c r="AX228" s="341">
        <v>0</v>
      </c>
      <c r="AY228" s="340">
        <v>155</v>
      </c>
      <c r="AZ228" s="356"/>
      <c r="BA228" s="316" t="s">
        <v>2985</v>
      </c>
      <c r="BB228" s="94" t="s">
        <v>2985</v>
      </c>
      <c r="BC228" s="425">
        <v>48</v>
      </c>
      <c r="BD228" s="348" t="s">
        <v>3563</v>
      </c>
      <c r="BE228" s="353">
        <v>150</v>
      </c>
      <c r="BF228" s="316"/>
      <c r="BG228" s="348">
        <v>700</v>
      </c>
      <c r="BH228" s="390">
        <f t="shared" si="50"/>
        <v>33.87096774193548</v>
      </c>
      <c r="BI228" s="330" t="s">
        <v>2985</v>
      </c>
      <c r="BJ228" s="491" t="s">
        <v>2985</v>
      </c>
      <c r="BK228" s="514" t="s">
        <v>2985</v>
      </c>
      <c r="BL228" s="514">
        <v>20.957370000000001</v>
      </c>
      <c r="BM228" s="307">
        <v>90</v>
      </c>
      <c r="BN228" s="307">
        <v>100</v>
      </c>
      <c r="BO228" s="259" t="s">
        <v>2985</v>
      </c>
      <c r="BP228" s="350"/>
      <c r="BS228" s="321"/>
    </row>
    <row r="229" spans="1:71" s="322" customFormat="1">
      <c r="A229" s="457">
        <v>1488</v>
      </c>
      <c r="B229" s="534" t="s">
        <v>3585</v>
      </c>
      <c r="C229" s="383"/>
      <c r="D229" s="383"/>
      <c r="E229" s="469"/>
      <c r="F229" s="303" t="s">
        <v>2068</v>
      </c>
      <c r="G229" s="386" t="s">
        <v>1832</v>
      </c>
      <c r="H229" s="454" t="s">
        <v>252</v>
      </c>
      <c r="I229" s="338" t="s">
        <v>3377</v>
      </c>
      <c r="J229" s="361">
        <v>2004</v>
      </c>
      <c r="K229" s="341">
        <v>337</v>
      </c>
      <c r="L229" s="340" t="s">
        <v>1738</v>
      </c>
      <c r="M229" s="341" t="s">
        <v>1739</v>
      </c>
      <c r="N229" s="446">
        <f t="shared" si="51"/>
        <v>0.3</v>
      </c>
      <c r="O229" s="349">
        <v>0.3</v>
      </c>
      <c r="P229" s="329">
        <v>2.641</v>
      </c>
      <c r="Q229" s="310">
        <f t="shared" si="52"/>
        <v>2.641</v>
      </c>
      <c r="R229" s="377">
        <f t="shared" si="53"/>
        <v>150</v>
      </c>
      <c r="S229" s="307">
        <v>500</v>
      </c>
      <c r="T229" s="377">
        <f t="shared" si="54"/>
        <v>500</v>
      </c>
      <c r="U229" s="377">
        <f t="shared" si="55"/>
        <v>1320.5</v>
      </c>
      <c r="V229" s="408" t="s">
        <v>2985</v>
      </c>
      <c r="W229" s="408" t="s">
        <v>2985</v>
      </c>
      <c r="X229" s="313" t="s">
        <v>12</v>
      </c>
      <c r="Y229" s="307" t="s">
        <v>129</v>
      </c>
      <c r="Z229" s="307" t="s">
        <v>3451</v>
      </c>
      <c r="AA229" s="315" t="s">
        <v>1754</v>
      </c>
      <c r="AB229" s="304" t="s">
        <v>1754</v>
      </c>
      <c r="AC229" s="340" t="s">
        <v>2524</v>
      </c>
      <c r="AD229" s="348" t="s">
        <v>2313</v>
      </c>
      <c r="AE229" s="316" t="s">
        <v>2985</v>
      </c>
      <c r="AF229" s="214" t="s">
        <v>2313</v>
      </c>
      <c r="AG229" s="262" t="s">
        <v>2985</v>
      </c>
      <c r="AH229" s="344">
        <v>100</v>
      </c>
      <c r="AI229" s="353">
        <v>0</v>
      </c>
      <c r="AJ229" s="395">
        <v>0</v>
      </c>
      <c r="AK229" s="365">
        <v>0</v>
      </c>
      <c r="AL229" s="365">
        <v>0</v>
      </c>
      <c r="AM229" s="365">
        <v>0</v>
      </c>
      <c r="AN229" s="353">
        <v>0</v>
      </c>
      <c r="AO229" s="353">
        <v>0</v>
      </c>
      <c r="AP229" s="348">
        <v>0</v>
      </c>
      <c r="AQ229" s="348">
        <v>0</v>
      </c>
      <c r="AR229" s="348">
        <v>0</v>
      </c>
      <c r="AS229" s="348">
        <v>0</v>
      </c>
      <c r="AT229" s="353">
        <v>0</v>
      </c>
      <c r="AU229" s="348">
        <v>0</v>
      </c>
      <c r="AV229" s="348">
        <v>0</v>
      </c>
      <c r="AW229" s="348">
        <v>0</v>
      </c>
      <c r="AX229" s="341">
        <v>0</v>
      </c>
      <c r="AY229" s="340">
        <v>157.5</v>
      </c>
      <c r="AZ229" s="356"/>
      <c r="BA229" s="316" t="s">
        <v>2985</v>
      </c>
      <c r="BB229" s="94" t="s">
        <v>2985</v>
      </c>
      <c r="BC229" s="425">
        <v>58</v>
      </c>
      <c r="BD229" s="348" t="s">
        <v>3563</v>
      </c>
      <c r="BE229" s="353">
        <v>150</v>
      </c>
      <c r="BF229" s="316"/>
      <c r="BG229" s="348">
        <v>700</v>
      </c>
      <c r="BH229" s="390">
        <f t="shared" si="50"/>
        <v>33.87096774193548</v>
      </c>
      <c r="BI229" s="330" t="s">
        <v>2985</v>
      </c>
      <c r="BJ229" s="491" t="s">
        <v>2985</v>
      </c>
      <c r="BK229" s="514" t="s">
        <v>2985</v>
      </c>
      <c r="BL229" s="514">
        <v>24.424240000000001</v>
      </c>
      <c r="BM229" s="307">
        <v>90</v>
      </c>
      <c r="BN229" s="307">
        <v>100</v>
      </c>
      <c r="BO229" s="259" t="s">
        <v>2985</v>
      </c>
      <c r="BP229" s="350"/>
      <c r="BS229" s="321"/>
    </row>
    <row r="230" spans="1:71" s="322" customFormat="1">
      <c r="A230" s="457">
        <v>1491</v>
      </c>
      <c r="B230" s="534" t="s">
        <v>3603</v>
      </c>
      <c r="C230" s="383"/>
      <c r="D230" s="466" t="s">
        <v>3590</v>
      </c>
      <c r="E230" s="469"/>
      <c r="F230" s="303" t="s">
        <v>2071</v>
      </c>
      <c r="G230" s="386" t="s">
        <v>1787</v>
      </c>
      <c r="H230" s="454" t="s">
        <v>165</v>
      </c>
      <c r="I230" s="338" t="s">
        <v>3377</v>
      </c>
      <c r="J230" s="361">
        <v>2004</v>
      </c>
      <c r="K230" s="341">
        <v>339</v>
      </c>
      <c r="L230" s="340" t="s">
        <v>1745</v>
      </c>
      <c r="M230" s="341" t="s">
        <v>1739</v>
      </c>
      <c r="N230" s="446">
        <f t="shared" si="51"/>
        <v>0.28988123411463701</v>
      </c>
      <c r="O230" s="349">
        <v>0.31123388581952116</v>
      </c>
      <c r="P230" s="329">
        <v>3.0055248618784529</v>
      </c>
      <c r="Q230" s="310">
        <f t="shared" si="52"/>
        <v>2.7993264738170862</v>
      </c>
      <c r="R230" s="377">
        <f t="shared" si="53"/>
        <v>169</v>
      </c>
      <c r="S230" s="307">
        <v>543</v>
      </c>
      <c r="T230" s="377">
        <f t="shared" si="54"/>
        <v>582.99738000000002</v>
      </c>
      <c r="U230" s="377">
        <f t="shared" si="55"/>
        <v>1632</v>
      </c>
      <c r="V230" s="408" t="s">
        <v>2985</v>
      </c>
      <c r="W230" s="408" t="s">
        <v>2985</v>
      </c>
      <c r="X230" s="313" t="s">
        <v>12</v>
      </c>
      <c r="Y230" s="307" t="s">
        <v>12</v>
      </c>
      <c r="Z230" s="314" t="s">
        <v>2985</v>
      </c>
      <c r="AA230" s="311" t="s">
        <v>1754</v>
      </c>
      <c r="AB230" s="341" t="s">
        <v>523</v>
      </c>
      <c r="AC230" s="354" t="s">
        <v>2985</v>
      </c>
      <c r="AD230" s="348" t="s">
        <v>2310</v>
      </c>
      <c r="AE230" s="214" t="s">
        <v>2306</v>
      </c>
      <c r="AF230" s="214" t="s">
        <v>2310</v>
      </c>
      <c r="AG230" s="262" t="s">
        <v>2985</v>
      </c>
      <c r="AH230" s="344">
        <v>100</v>
      </c>
      <c r="AI230" s="353">
        <v>0</v>
      </c>
      <c r="AJ230" s="395">
        <v>0</v>
      </c>
      <c r="AK230" s="365">
        <v>0</v>
      </c>
      <c r="AL230" s="365">
        <v>0</v>
      </c>
      <c r="AM230" s="365">
        <v>0</v>
      </c>
      <c r="AN230" s="353">
        <v>0</v>
      </c>
      <c r="AO230" s="353">
        <v>0</v>
      </c>
      <c r="AP230" s="348">
        <v>0</v>
      </c>
      <c r="AQ230" s="348">
        <v>0</v>
      </c>
      <c r="AR230" s="352">
        <v>7.3660000000000005</v>
      </c>
      <c r="AS230" s="348">
        <v>0</v>
      </c>
      <c r="AT230" s="353">
        <v>0</v>
      </c>
      <c r="AU230" s="348">
        <v>0</v>
      </c>
      <c r="AV230" s="356">
        <v>1.1000000000000001</v>
      </c>
      <c r="AW230" s="348">
        <v>0</v>
      </c>
      <c r="AX230" s="341">
        <v>0</v>
      </c>
      <c r="AY230" s="340">
        <v>76.3</v>
      </c>
      <c r="AZ230" s="356"/>
      <c r="BA230" s="316" t="s">
        <v>2985</v>
      </c>
      <c r="BB230" s="94" t="s">
        <v>2985</v>
      </c>
      <c r="BC230" s="425">
        <v>37.299999999999997</v>
      </c>
      <c r="BD230" s="348" t="s">
        <v>3564</v>
      </c>
      <c r="BE230" s="353">
        <v>200</v>
      </c>
      <c r="BF230" s="316"/>
      <c r="BG230" s="348">
        <v>300</v>
      </c>
      <c r="BH230" s="390">
        <f t="shared" si="50"/>
        <v>37.5</v>
      </c>
      <c r="BI230" s="303">
        <v>60</v>
      </c>
      <c r="BJ230" s="323">
        <v>1</v>
      </c>
      <c r="BK230" s="324">
        <v>20</v>
      </c>
      <c r="BL230" s="307">
        <v>20</v>
      </c>
      <c r="BM230" s="307">
        <v>0</v>
      </c>
      <c r="BN230" s="307">
        <v>100</v>
      </c>
      <c r="BO230" s="259" t="s">
        <v>2985</v>
      </c>
      <c r="BP230" s="350" t="s">
        <v>1790</v>
      </c>
      <c r="BS230" s="321"/>
    </row>
    <row r="231" spans="1:71" s="322" customFormat="1">
      <c r="A231" s="457">
        <v>1494</v>
      </c>
      <c r="B231" s="534" t="s">
        <v>3603</v>
      </c>
      <c r="C231" s="383"/>
      <c r="D231" s="466" t="s">
        <v>3590</v>
      </c>
      <c r="E231" s="469"/>
      <c r="F231" s="303" t="s">
        <v>2074</v>
      </c>
      <c r="G231" s="386" t="s">
        <v>1787</v>
      </c>
      <c r="H231" s="454" t="s">
        <v>165</v>
      </c>
      <c r="I231" s="338" t="s">
        <v>3377</v>
      </c>
      <c r="J231" s="361">
        <v>2004</v>
      </c>
      <c r="K231" s="341">
        <v>339</v>
      </c>
      <c r="L231" s="340" t="s">
        <v>1745</v>
      </c>
      <c r="M231" s="341" t="s">
        <v>1739</v>
      </c>
      <c r="N231" s="446">
        <f t="shared" si="51"/>
        <v>0.30017152658662094</v>
      </c>
      <c r="O231" s="349">
        <v>0.30017152658662094</v>
      </c>
      <c r="P231" s="329">
        <v>2.7993138936535162</v>
      </c>
      <c r="Q231" s="310">
        <f t="shared" si="52"/>
        <v>2.7993138936535162</v>
      </c>
      <c r="R231" s="377">
        <f t="shared" si="53"/>
        <v>175</v>
      </c>
      <c r="S231" s="307">
        <v>583</v>
      </c>
      <c r="T231" s="377">
        <f t="shared" si="54"/>
        <v>583</v>
      </c>
      <c r="U231" s="377">
        <f t="shared" si="55"/>
        <v>1632</v>
      </c>
      <c r="V231" s="408" t="s">
        <v>2985</v>
      </c>
      <c r="W231" s="408" t="s">
        <v>2985</v>
      </c>
      <c r="X231" s="313" t="s">
        <v>12</v>
      </c>
      <c r="Y231" s="307" t="s">
        <v>12</v>
      </c>
      <c r="Z231" s="314" t="s">
        <v>2985</v>
      </c>
      <c r="AA231" s="311" t="s">
        <v>1754</v>
      </c>
      <c r="AB231" s="341" t="s">
        <v>523</v>
      </c>
      <c r="AC231" s="354" t="s">
        <v>2985</v>
      </c>
      <c r="AD231" s="348" t="s">
        <v>2310</v>
      </c>
      <c r="AE231" s="214" t="s">
        <v>2306</v>
      </c>
      <c r="AF231" s="214" t="s">
        <v>2310</v>
      </c>
      <c r="AG231" s="262" t="s">
        <v>2985</v>
      </c>
      <c r="AH231" s="344">
        <v>100</v>
      </c>
      <c r="AI231" s="353">
        <v>0</v>
      </c>
      <c r="AJ231" s="395">
        <v>0</v>
      </c>
      <c r="AK231" s="365">
        <v>0</v>
      </c>
      <c r="AL231" s="365">
        <v>0</v>
      </c>
      <c r="AM231" s="365">
        <v>0</v>
      </c>
      <c r="AN231" s="353">
        <v>0</v>
      </c>
      <c r="AO231" s="353">
        <v>0</v>
      </c>
      <c r="AP231" s="348">
        <v>0</v>
      </c>
      <c r="AQ231" s="348">
        <v>0</v>
      </c>
      <c r="AR231" s="353">
        <v>0</v>
      </c>
      <c r="AS231" s="348">
        <v>0</v>
      </c>
      <c r="AT231" s="353">
        <v>0</v>
      </c>
      <c r="AU231" s="348">
        <v>0</v>
      </c>
      <c r="AV231" s="348">
        <v>0</v>
      </c>
      <c r="AW231" s="348">
        <v>0</v>
      </c>
      <c r="AX231" s="341">
        <v>0</v>
      </c>
      <c r="AY231" s="340">
        <v>77</v>
      </c>
      <c r="AZ231" s="356"/>
      <c r="BA231" s="316" t="s">
        <v>2985</v>
      </c>
      <c r="BB231" s="94" t="s">
        <v>2985</v>
      </c>
      <c r="BC231" s="425">
        <v>35.5</v>
      </c>
      <c r="BD231" s="348" t="s">
        <v>3565</v>
      </c>
      <c r="BE231" s="353">
        <v>200</v>
      </c>
      <c r="BF231" s="316"/>
      <c r="BG231" s="348">
        <v>500</v>
      </c>
      <c r="BH231" s="390">
        <f t="shared" si="50"/>
        <v>41.666666666666664</v>
      </c>
      <c r="BI231" s="303">
        <v>60</v>
      </c>
      <c r="BJ231" s="323">
        <v>1</v>
      </c>
      <c r="BK231" s="324">
        <v>20</v>
      </c>
      <c r="BL231" s="307">
        <v>20</v>
      </c>
      <c r="BM231" s="307">
        <v>0</v>
      </c>
      <c r="BN231" s="307">
        <v>100</v>
      </c>
      <c r="BO231" s="259" t="s">
        <v>2985</v>
      </c>
      <c r="BP231" s="350" t="s">
        <v>1790</v>
      </c>
      <c r="BS231" s="321"/>
    </row>
    <row r="232" spans="1:71" s="322" customFormat="1">
      <c r="A232" s="457">
        <v>1495</v>
      </c>
      <c r="B232" s="534" t="s">
        <v>3603</v>
      </c>
      <c r="C232" s="383"/>
      <c r="D232" s="466" t="s">
        <v>3590</v>
      </c>
      <c r="E232" s="469"/>
      <c r="F232" s="303" t="s">
        <v>2075</v>
      </c>
      <c r="G232" s="386" t="s">
        <v>1787</v>
      </c>
      <c r="H232" s="454" t="s">
        <v>165</v>
      </c>
      <c r="I232" s="338" t="s">
        <v>3377</v>
      </c>
      <c r="J232" s="361">
        <v>2004</v>
      </c>
      <c r="K232" s="341">
        <v>339</v>
      </c>
      <c r="L232" s="340" t="s">
        <v>1745</v>
      </c>
      <c r="M232" s="341" t="s">
        <v>1739</v>
      </c>
      <c r="N232" s="446">
        <f t="shared" si="51"/>
        <v>0.30017152658662094</v>
      </c>
      <c r="O232" s="349">
        <v>0.30017152658662094</v>
      </c>
      <c r="P232" s="329">
        <v>2.7993138936535162</v>
      </c>
      <c r="Q232" s="310">
        <f t="shared" si="52"/>
        <v>2.7993138936535162</v>
      </c>
      <c r="R232" s="377">
        <f t="shared" si="53"/>
        <v>175</v>
      </c>
      <c r="S232" s="307">
        <v>583</v>
      </c>
      <c r="T232" s="377">
        <f t="shared" si="54"/>
        <v>583</v>
      </c>
      <c r="U232" s="377">
        <f t="shared" si="55"/>
        <v>1632</v>
      </c>
      <c r="V232" s="408" t="s">
        <v>2985</v>
      </c>
      <c r="W232" s="408" t="s">
        <v>2985</v>
      </c>
      <c r="X232" s="313" t="s">
        <v>12</v>
      </c>
      <c r="Y232" s="307" t="s">
        <v>12</v>
      </c>
      <c r="Z232" s="314" t="s">
        <v>2985</v>
      </c>
      <c r="AA232" s="311" t="s">
        <v>1754</v>
      </c>
      <c r="AB232" s="341" t="s">
        <v>523</v>
      </c>
      <c r="AC232" s="354" t="s">
        <v>2985</v>
      </c>
      <c r="AD232" s="348" t="s">
        <v>2310</v>
      </c>
      <c r="AE232" s="214" t="s">
        <v>2306</v>
      </c>
      <c r="AF232" s="214" t="s">
        <v>2310</v>
      </c>
      <c r="AG232" s="262" t="s">
        <v>2985</v>
      </c>
      <c r="AH232" s="344">
        <v>100</v>
      </c>
      <c r="AI232" s="353">
        <v>0</v>
      </c>
      <c r="AJ232" s="395">
        <v>0</v>
      </c>
      <c r="AK232" s="365">
        <v>0</v>
      </c>
      <c r="AL232" s="365">
        <v>0</v>
      </c>
      <c r="AM232" s="365">
        <v>0</v>
      </c>
      <c r="AN232" s="353">
        <v>0</v>
      </c>
      <c r="AO232" s="353">
        <v>0</v>
      </c>
      <c r="AP232" s="348">
        <v>0</v>
      </c>
      <c r="AQ232" s="348">
        <v>0</v>
      </c>
      <c r="AR232" s="353">
        <v>0</v>
      </c>
      <c r="AS232" s="348">
        <v>0</v>
      </c>
      <c r="AT232" s="353">
        <v>0</v>
      </c>
      <c r="AU232" s="348">
        <v>0</v>
      </c>
      <c r="AV232" s="348">
        <v>0</v>
      </c>
      <c r="AW232" s="348">
        <v>0</v>
      </c>
      <c r="AX232" s="341">
        <v>0</v>
      </c>
      <c r="AY232" s="340">
        <v>80.3</v>
      </c>
      <c r="AZ232" s="356"/>
      <c r="BA232" s="316" t="s">
        <v>2985</v>
      </c>
      <c r="BB232" s="94" t="s">
        <v>2985</v>
      </c>
      <c r="BC232" s="425">
        <v>39.6</v>
      </c>
      <c r="BD232" s="348" t="s">
        <v>3564</v>
      </c>
      <c r="BE232" s="353">
        <v>200</v>
      </c>
      <c r="BF232" s="316"/>
      <c r="BG232" s="348">
        <v>300</v>
      </c>
      <c r="BH232" s="390">
        <f t="shared" si="50"/>
        <v>37.5</v>
      </c>
      <c r="BI232" s="303">
        <v>60</v>
      </c>
      <c r="BJ232" s="323">
        <v>1</v>
      </c>
      <c r="BK232" s="324">
        <v>20</v>
      </c>
      <c r="BL232" s="307">
        <v>20</v>
      </c>
      <c r="BM232" s="307">
        <v>0</v>
      </c>
      <c r="BN232" s="307">
        <v>100</v>
      </c>
      <c r="BO232" s="259" t="s">
        <v>2985</v>
      </c>
      <c r="BP232" s="350" t="s">
        <v>1790</v>
      </c>
      <c r="BS232" s="321"/>
    </row>
    <row r="233" spans="1:71" s="322" customFormat="1">
      <c r="A233" s="457">
        <v>1496</v>
      </c>
      <c r="B233" s="534" t="s">
        <v>3603</v>
      </c>
      <c r="C233" s="466" t="s">
        <v>3590</v>
      </c>
      <c r="D233" s="466" t="s">
        <v>3590</v>
      </c>
      <c r="E233" s="469"/>
      <c r="F233" s="303" t="s">
        <v>2076</v>
      </c>
      <c r="G233" s="386" t="s">
        <v>1787</v>
      </c>
      <c r="H233" s="454" t="s">
        <v>165</v>
      </c>
      <c r="I233" s="338" t="s">
        <v>3377</v>
      </c>
      <c r="J233" s="361">
        <v>2004</v>
      </c>
      <c r="K233" s="341">
        <v>339</v>
      </c>
      <c r="L233" s="340" t="s">
        <v>1745</v>
      </c>
      <c r="M233" s="341" t="s">
        <v>1739</v>
      </c>
      <c r="N233" s="446">
        <f t="shared" si="51"/>
        <v>0.30017287556249395</v>
      </c>
      <c r="O233" s="349">
        <v>0.32228360957642727</v>
      </c>
      <c r="P233" s="329">
        <v>3.0018416206261511</v>
      </c>
      <c r="Q233" s="310">
        <f t="shared" si="52"/>
        <v>2.7958959266678005</v>
      </c>
      <c r="R233" s="377">
        <f t="shared" si="53"/>
        <v>175</v>
      </c>
      <c r="S233" s="307">
        <v>543</v>
      </c>
      <c r="T233" s="377">
        <f t="shared" si="54"/>
        <v>582.99738000000002</v>
      </c>
      <c r="U233" s="377">
        <f t="shared" si="55"/>
        <v>1630</v>
      </c>
      <c r="V233" s="408" t="s">
        <v>2985</v>
      </c>
      <c r="W233" s="408" t="s">
        <v>2985</v>
      </c>
      <c r="X233" s="313" t="s">
        <v>12</v>
      </c>
      <c r="Y233" s="307" t="s">
        <v>12</v>
      </c>
      <c r="Z233" s="314" t="s">
        <v>2985</v>
      </c>
      <c r="AA233" s="311" t="s">
        <v>1754</v>
      </c>
      <c r="AB233" s="341" t="s">
        <v>523</v>
      </c>
      <c r="AC233" s="354" t="s">
        <v>2985</v>
      </c>
      <c r="AD233" s="348" t="s">
        <v>2310</v>
      </c>
      <c r="AE233" s="214" t="s">
        <v>2306</v>
      </c>
      <c r="AF233" s="214" t="s">
        <v>2310</v>
      </c>
      <c r="AG233" s="262" t="s">
        <v>2985</v>
      </c>
      <c r="AH233" s="344">
        <v>100</v>
      </c>
      <c r="AI233" s="353">
        <v>0</v>
      </c>
      <c r="AJ233" s="395">
        <v>0</v>
      </c>
      <c r="AK233" s="365">
        <v>0</v>
      </c>
      <c r="AL233" s="365">
        <v>0</v>
      </c>
      <c r="AM233" s="365">
        <v>0</v>
      </c>
      <c r="AN233" s="353">
        <v>0</v>
      </c>
      <c r="AO233" s="353">
        <v>0</v>
      </c>
      <c r="AP233" s="348">
        <v>0</v>
      </c>
      <c r="AQ233" s="348">
        <v>0</v>
      </c>
      <c r="AR233" s="352">
        <v>7.3660000000000005</v>
      </c>
      <c r="AS233" s="348">
        <v>0</v>
      </c>
      <c r="AT233" s="353">
        <v>0</v>
      </c>
      <c r="AU233" s="348">
        <v>0</v>
      </c>
      <c r="AV233" s="348">
        <v>0</v>
      </c>
      <c r="AW233" s="348">
        <v>0</v>
      </c>
      <c r="AX233" s="341">
        <v>0</v>
      </c>
      <c r="AY233" s="340">
        <v>64</v>
      </c>
      <c r="AZ233" s="356"/>
      <c r="BA233" s="316" t="s">
        <v>2985</v>
      </c>
      <c r="BB233" s="94" t="s">
        <v>2985</v>
      </c>
      <c r="BC233" s="425">
        <v>33.4</v>
      </c>
      <c r="BD233" s="348" t="s">
        <v>3565</v>
      </c>
      <c r="BE233" s="353">
        <v>200</v>
      </c>
      <c r="BF233" s="316"/>
      <c r="BG233" s="348">
        <v>500</v>
      </c>
      <c r="BH233" s="390">
        <f t="shared" si="50"/>
        <v>41.666666666666664</v>
      </c>
      <c r="BI233" s="303">
        <v>60</v>
      </c>
      <c r="BJ233" s="323">
        <v>1</v>
      </c>
      <c r="BK233" s="324">
        <v>20</v>
      </c>
      <c r="BL233" s="307">
        <v>20</v>
      </c>
      <c r="BM233" s="307">
        <v>0</v>
      </c>
      <c r="BN233" s="307">
        <v>100</v>
      </c>
      <c r="BO233" s="259" t="s">
        <v>2985</v>
      </c>
      <c r="BP233" s="350" t="s">
        <v>1790</v>
      </c>
      <c r="BS233" s="321"/>
    </row>
    <row r="234" spans="1:71" s="322" customFormat="1">
      <c r="A234" s="457">
        <v>1497</v>
      </c>
      <c r="B234" s="534" t="s">
        <v>3603</v>
      </c>
      <c r="C234" s="383"/>
      <c r="D234" s="466" t="s">
        <v>3590</v>
      </c>
      <c r="E234" s="469"/>
      <c r="F234" s="303" t="s">
        <v>2077</v>
      </c>
      <c r="G234" s="386" t="s">
        <v>1787</v>
      </c>
      <c r="H234" s="454" t="s">
        <v>165</v>
      </c>
      <c r="I234" s="338" t="s">
        <v>3377</v>
      </c>
      <c r="J234" s="361">
        <v>2004</v>
      </c>
      <c r="K234" s="341">
        <v>339</v>
      </c>
      <c r="L234" s="340" t="s">
        <v>1745</v>
      </c>
      <c r="M234" s="341" t="s">
        <v>1739</v>
      </c>
      <c r="N234" s="446">
        <f t="shared" si="51"/>
        <v>0.28988123411463701</v>
      </c>
      <c r="O234" s="349">
        <v>0.31123388581952116</v>
      </c>
      <c r="P234" s="329">
        <v>2.9852670349907919</v>
      </c>
      <c r="Q234" s="310">
        <f t="shared" si="52"/>
        <v>2.7804584644960153</v>
      </c>
      <c r="R234" s="377">
        <f t="shared" si="53"/>
        <v>169</v>
      </c>
      <c r="S234" s="307">
        <v>543</v>
      </c>
      <c r="T234" s="377">
        <f t="shared" si="54"/>
        <v>582.99738000000002</v>
      </c>
      <c r="U234" s="377">
        <f t="shared" si="55"/>
        <v>1621</v>
      </c>
      <c r="V234" s="408" t="s">
        <v>2985</v>
      </c>
      <c r="W234" s="408" t="s">
        <v>2985</v>
      </c>
      <c r="X234" s="313" t="s">
        <v>12</v>
      </c>
      <c r="Y234" s="307" t="s">
        <v>12</v>
      </c>
      <c r="Z234" s="314" t="s">
        <v>2985</v>
      </c>
      <c r="AA234" s="311" t="s">
        <v>1754</v>
      </c>
      <c r="AB234" s="341" t="s">
        <v>523</v>
      </c>
      <c r="AC234" s="354" t="s">
        <v>2985</v>
      </c>
      <c r="AD234" s="348" t="s">
        <v>2310</v>
      </c>
      <c r="AE234" s="214" t="s">
        <v>2306</v>
      </c>
      <c r="AF234" s="214" t="s">
        <v>2310</v>
      </c>
      <c r="AG234" s="262" t="s">
        <v>2985</v>
      </c>
      <c r="AH234" s="344">
        <v>100</v>
      </c>
      <c r="AI234" s="353">
        <v>0</v>
      </c>
      <c r="AJ234" s="395">
        <v>0</v>
      </c>
      <c r="AK234" s="365">
        <v>0</v>
      </c>
      <c r="AL234" s="365">
        <v>0</v>
      </c>
      <c r="AM234" s="365">
        <v>0</v>
      </c>
      <c r="AN234" s="353">
        <v>0</v>
      </c>
      <c r="AO234" s="353">
        <v>0</v>
      </c>
      <c r="AP234" s="348">
        <v>0</v>
      </c>
      <c r="AQ234" s="348">
        <v>0</v>
      </c>
      <c r="AR234" s="352">
        <v>7.3660000000000005</v>
      </c>
      <c r="AS234" s="348">
        <v>0</v>
      </c>
      <c r="AT234" s="353">
        <v>0</v>
      </c>
      <c r="AU234" s="348">
        <v>0</v>
      </c>
      <c r="AV234" s="356">
        <v>1.1000000000000001</v>
      </c>
      <c r="AW234" s="348">
        <v>0</v>
      </c>
      <c r="AX234" s="341">
        <v>0</v>
      </c>
      <c r="AY234" s="340">
        <v>87.2</v>
      </c>
      <c r="AZ234" s="356"/>
      <c r="BA234" s="316" t="s">
        <v>2985</v>
      </c>
      <c r="BB234" s="94" t="s">
        <v>2985</v>
      </c>
      <c r="BC234" s="425">
        <v>37.700000000000003</v>
      </c>
      <c r="BD234" s="348" t="s">
        <v>3565</v>
      </c>
      <c r="BE234" s="353">
        <v>200</v>
      </c>
      <c r="BF234" s="316"/>
      <c r="BG234" s="348">
        <v>500</v>
      </c>
      <c r="BH234" s="390">
        <f t="shared" si="50"/>
        <v>41.666666666666664</v>
      </c>
      <c r="BI234" s="303">
        <v>60</v>
      </c>
      <c r="BJ234" s="323">
        <v>1</v>
      </c>
      <c r="BK234" s="324">
        <v>20</v>
      </c>
      <c r="BL234" s="307">
        <v>20</v>
      </c>
      <c r="BM234" s="307">
        <v>0</v>
      </c>
      <c r="BN234" s="307">
        <v>100</v>
      </c>
      <c r="BO234" s="259" t="s">
        <v>2985</v>
      </c>
      <c r="BP234" s="350" t="s">
        <v>1790</v>
      </c>
      <c r="BS234" s="321"/>
    </row>
    <row r="235" spans="1:71" s="322" customFormat="1">
      <c r="A235" s="457">
        <v>1515</v>
      </c>
      <c r="B235" s="534" t="s">
        <v>3603</v>
      </c>
      <c r="C235" s="383"/>
      <c r="D235" s="466" t="s">
        <v>3590</v>
      </c>
      <c r="E235" s="469"/>
      <c r="F235" s="303" t="s">
        <v>413</v>
      </c>
      <c r="G235" s="386" t="s">
        <v>2712</v>
      </c>
      <c r="H235" s="454" t="s">
        <v>165</v>
      </c>
      <c r="I235" s="338" t="s">
        <v>3377</v>
      </c>
      <c r="J235" s="361">
        <v>2002</v>
      </c>
      <c r="K235" s="341">
        <v>347</v>
      </c>
      <c r="L235" s="340" t="s">
        <v>1738</v>
      </c>
      <c r="M235" s="341" t="s">
        <v>1739</v>
      </c>
      <c r="N235" s="446">
        <f t="shared" si="51"/>
        <v>0.30050265899322504</v>
      </c>
      <c r="O235" s="349">
        <v>0.31132075471698112</v>
      </c>
      <c r="P235" s="329">
        <v>3.1132075471698113</v>
      </c>
      <c r="Q235" s="310">
        <f t="shared" si="52"/>
        <v>3.0050265899322501</v>
      </c>
      <c r="R235" s="377">
        <f t="shared" si="53"/>
        <v>165</v>
      </c>
      <c r="S235" s="307">
        <v>530</v>
      </c>
      <c r="T235" s="377">
        <f t="shared" si="54"/>
        <v>549.08000000000004</v>
      </c>
      <c r="U235" s="377">
        <f t="shared" si="55"/>
        <v>1650</v>
      </c>
      <c r="V235" s="408" t="s">
        <v>2985</v>
      </c>
      <c r="W235" s="408" t="s">
        <v>2985</v>
      </c>
      <c r="X235" s="313" t="s">
        <v>12</v>
      </c>
      <c r="Y235" s="307" t="s">
        <v>12</v>
      </c>
      <c r="Z235" s="314" t="s">
        <v>2985</v>
      </c>
      <c r="AA235" s="311" t="s">
        <v>1754</v>
      </c>
      <c r="AB235" s="341" t="s">
        <v>273</v>
      </c>
      <c r="AC235" s="161" t="s">
        <v>2985</v>
      </c>
      <c r="AD235" s="512" t="s">
        <v>2307</v>
      </c>
      <c r="AE235" s="316" t="s">
        <v>2985</v>
      </c>
      <c r="AF235" s="214" t="s">
        <v>2307</v>
      </c>
      <c r="AG235" s="262" t="s">
        <v>2985</v>
      </c>
      <c r="AH235" s="344">
        <v>100</v>
      </c>
      <c r="AI235" s="353">
        <v>0</v>
      </c>
      <c r="AJ235" s="395">
        <v>0</v>
      </c>
      <c r="AK235" s="365">
        <v>0</v>
      </c>
      <c r="AL235" s="365">
        <v>0</v>
      </c>
      <c r="AM235" s="365">
        <v>0</v>
      </c>
      <c r="AN235" s="353">
        <v>0</v>
      </c>
      <c r="AO235" s="353">
        <v>0</v>
      </c>
      <c r="AP235" s="348">
        <v>0</v>
      </c>
      <c r="AQ235" s="348">
        <v>0</v>
      </c>
      <c r="AR235" s="356">
        <v>3.6000000000000005</v>
      </c>
      <c r="AS235" s="348">
        <v>0</v>
      </c>
      <c r="AT235" s="353">
        <v>0</v>
      </c>
      <c r="AU235" s="348">
        <v>0</v>
      </c>
      <c r="AV235" s="348">
        <v>0</v>
      </c>
      <c r="AW235" s="348">
        <v>0</v>
      </c>
      <c r="AX235" s="341">
        <v>0</v>
      </c>
      <c r="AY235" s="340">
        <v>95.205000000000013</v>
      </c>
      <c r="AZ235" s="356"/>
      <c r="BA235" s="316" t="s">
        <v>2985</v>
      </c>
      <c r="BB235" s="94" t="s">
        <v>2985</v>
      </c>
      <c r="BC235" s="355" t="s">
        <v>2985</v>
      </c>
      <c r="BD235" s="348" t="s">
        <v>3544</v>
      </c>
      <c r="BE235" s="353">
        <v>100</v>
      </c>
      <c r="BF235" s="316"/>
      <c r="BG235" s="348">
        <v>400</v>
      </c>
      <c r="BH235" s="390">
        <f t="shared" si="50"/>
        <v>22.222222222222221</v>
      </c>
      <c r="BI235" s="303">
        <v>99</v>
      </c>
      <c r="BJ235" s="323">
        <v>0.25</v>
      </c>
      <c r="BK235" s="324">
        <v>20</v>
      </c>
      <c r="BL235" s="307">
        <v>20</v>
      </c>
      <c r="BM235" s="507" t="s">
        <v>2985</v>
      </c>
      <c r="BN235" s="307">
        <v>99</v>
      </c>
      <c r="BO235" s="259" t="s">
        <v>2985</v>
      </c>
      <c r="BP235" s="350" t="s">
        <v>2521</v>
      </c>
      <c r="BS235" s="321"/>
    </row>
    <row r="236" spans="1:71" s="322" customFormat="1">
      <c r="A236" s="457">
        <v>1516</v>
      </c>
      <c r="B236" s="534" t="s">
        <v>3603</v>
      </c>
      <c r="C236" s="383"/>
      <c r="D236" s="466" t="s">
        <v>3590</v>
      </c>
      <c r="E236" s="469"/>
      <c r="F236" s="303" t="s">
        <v>414</v>
      </c>
      <c r="G236" s="386" t="s">
        <v>2712</v>
      </c>
      <c r="H236" s="454" t="s">
        <v>165</v>
      </c>
      <c r="I236" s="338" t="s">
        <v>3377</v>
      </c>
      <c r="J236" s="361">
        <v>2002</v>
      </c>
      <c r="K236" s="341">
        <v>347</v>
      </c>
      <c r="L236" s="340" t="s">
        <v>1738</v>
      </c>
      <c r="M236" s="341" t="s">
        <v>1739</v>
      </c>
      <c r="N236" s="446">
        <f t="shared" si="51"/>
        <v>0.3</v>
      </c>
      <c r="O236" s="349">
        <v>0.3</v>
      </c>
      <c r="P236" s="329">
        <v>3</v>
      </c>
      <c r="Q236" s="310">
        <f t="shared" si="52"/>
        <v>3</v>
      </c>
      <c r="R236" s="377">
        <f t="shared" si="53"/>
        <v>165</v>
      </c>
      <c r="S236" s="307">
        <v>550</v>
      </c>
      <c r="T236" s="377">
        <f t="shared" si="54"/>
        <v>550</v>
      </c>
      <c r="U236" s="377">
        <f t="shared" si="55"/>
        <v>1650</v>
      </c>
      <c r="V236" s="408" t="s">
        <v>2985</v>
      </c>
      <c r="W236" s="408" t="s">
        <v>2985</v>
      </c>
      <c r="X236" s="313" t="s">
        <v>12</v>
      </c>
      <c r="Y236" s="307" t="s">
        <v>12</v>
      </c>
      <c r="Z236" s="314" t="s">
        <v>2985</v>
      </c>
      <c r="AA236" s="311" t="s">
        <v>1754</v>
      </c>
      <c r="AB236" s="341" t="s">
        <v>273</v>
      </c>
      <c r="AC236" s="161" t="s">
        <v>2985</v>
      </c>
      <c r="AD236" s="512" t="s">
        <v>2307</v>
      </c>
      <c r="AE236" s="316" t="s">
        <v>2985</v>
      </c>
      <c r="AF236" s="214" t="s">
        <v>2307</v>
      </c>
      <c r="AG236" s="262" t="s">
        <v>2985</v>
      </c>
      <c r="AH236" s="344">
        <v>100</v>
      </c>
      <c r="AI236" s="353">
        <v>0</v>
      </c>
      <c r="AJ236" s="395">
        <v>0</v>
      </c>
      <c r="AK236" s="365">
        <v>0</v>
      </c>
      <c r="AL236" s="365">
        <v>0</v>
      </c>
      <c r="AM236" s="365">
        <v>0</v>
      </c>
      <c r="AN236" s="353">
        <v>0</v>
      </c>
      <c r="AO236" s="353">
        <v>0</v>
      </c>
      <c r="AP236" s="348">
        <v>0</v>
      </c>
      <c r="AQ236" s="348">
        <v>0</v>
      </c>
      <c r="AR236" s="348">
        <v>0</v>
      </c>
      <c r="AS236" s="348">
        <v>0</v>
      </c>
      <c r="AT236" s="353">
        <v>0</v>
      </c>
      <c r="AU236" s="348">
        <v>0</v>
      </c>
      <c r="AV236" s="348">
        <v>0</v>
      </c>
      <c r="AW236" s="348">
        <v>0</v>
      </c>
      <c r="AX236" s="341">
        <v>0</v>
      </c>
      <c r="AY236" s="340">
        <v>107.91000000000001</v>
      </c>
      <c r="AZ236" s="356"/>
      <c r="BA236" s="316" t="s">
        <v>2985</v>
      </c>
      <c r="BB236" s="94" t="s">
        <v>2985</v>
      </c>
      <c r="BC236" s="355" t="s">
        <v>2985</v>
      </c>
      <c r="BD236" s="348" t="s">
        <v>3544</v>
      </c>
      <c r="BE236" s="353">
        <v>100</v>
      </c>
      <c r="BF236" s="316"/>
      <c r="BG236" s="348">
        <v>400</v>
      </c>
      <c r="BH236" s="390">
        <f t="shared" si="50"/>
        <v>22.222222222222221</v>
      </c>
      <c r="BI236" s="303">
        <v>99</v>
      </c>
      <c r="BJ236" s="323">
        <v>0.25</v>
      </c>
      <c r="BK236" s="324">
        <v>20</v>
      </c>
      <c r="BL236" s="307">
        <v>20</v>
      </c>
      <c r="BM236" s="507" t="s">
        <v>2985</v>
      </c>
      <c r="BN236" s="307">
        <v>99</v>
      </c>
      <c r="BO236" s="259" t="s">
        <v>2985</v>
      </c>
      <c r="BP236" s="350" t="s">
        <v>2522</v>
      </c>
      <c r="BS236" s="321"/>
    </row>
    <row r="237" spans="1:71" s="322" customFormat="1">
      <c r="A237" s="457">
        <v>1517</v>
      </c>
      <c r="B237" s="534" t="s">
        <v>3603</v>
      </c>
      <c r="C237" s="383"/>
      <c r="D237" s="466" t="s">
        <v>3590</v>
      </c>
      <c r="E237" s="469"/>
      <c r="F237" s="303" t="s">
        <v>415</v>
      </c>
      <c r="G237" s="386" t="s">
        <v>2712</v>
      </c>
      <c r="H237" s="454" t="s">
        <v>165</v>
      </c>
      <c r="I237" s="338" t="s">
        <v>3377</v>
      </c>
      <c r="J237" s="361">
        <v>2002</v>
      </c>
      <c r="K237" s="341">
        <v>347</v>
      </c>
      <c r="L237" s="340" t="s">
        <v>1738</v>
      </c>
      <c r="M237" s="341" t="s">
        <v>1739</v>
      </c>
      <c r="N237" s="446">
        <f t="shared" si="51"/>
        <v>0.3</v>
      </c>
      <c r="O237" s="349">
        <v>0.3</v>
      </c>
      <c r="P237" s="329">
        <v>3</v>
      </c>
      <c r="Q237" s="310">
        <f t="shared" si="52"/>
        <v>3</v>
      </c>
      <c r="R237" s="377">
        <f t="shared" si="53"/>
        <v>165</v>
      </c>
      <c r="S237" s="307">
        <v>550</v>
      </c>
      <c r="T237" s="377">
        <f t="shared" si="54"/>
        <v>550</v>
      </c>
      <c r="U237" s="377">
        <f t="shared" si="55"/>
        <v>1650</v>
      </c>
      <c r="V237" s="408" t="s">
        <v>2985</v>
      </c>
      <c r="W237" s="408" t="s">
        <v>2985</v>
      </c>
      <c r="X237" s="313" t="s">
        <v>12</v>
      </c>
      <c r="Y237" s="307" t="s">
        <v>12</v>
      </c>
      <c r="Z237" s="314" t="s">
        <v>2985</v>
      </c>
      <c r="AA237" s="311" t="s">
        <v>1754</v>
      </c>
      <c r="AB237" s="341" t="s">
        <v>273</v>
      </c>
      <c r="AC237" s="161" t="s">
        <v>2985</v>
      </c>
      <c r="AD237" s="512" t="s">
        <v>2307</v>
      </c>
      <c r="AE237" s="316" t="s">
        <v>2985</v>
      </c>
      <c r="AF237" s="214" t="s">
        <v>2307</v>
      </c>
      <c r="AG237" s="262" t="s">
        <v>2985</v>
      </c>
      <c r="AH237" s="344">
        <v>100</v>
      </c>
      <c r="AI237" s="353">
        <v>0</v>
      </c>
      <c r="AJ237" s="395">
        <v>0</v>
      </c>
      <c r="AK237" s="365">
        <v>0</v>
      </c>
      <c r="AL237" s="365">
        <v>0</v>
      </c>
      <c r="AM237" s="365">
        <v>0</v>
      </c>
      <c r="AN237" s="353">
        <v>0</v>
      </c>
      <c r="AO237" s="353">
        <v>0</v>
      </c>
      <c r="AP237" s="348">
        <v>0</v>
      </c>
      <c r="AQ237" s="348">
        <v>0</v>
      </c>
      <c r="AR237" s="348">
        <v>0</v>
      </c>
      <c r="AS237" s="348">
        <v>0</v>
      </c>
      <c r="AT237" s="353">
        <v>0</v>
      </c>
      <c r="AU237" s="348">
        <v>0</v>
      </c>
      <c r="AV237" s="356">
        <v>1</v>
      </c>
      <c r="AW237" s="348">
        <v>0</v>
      </c>
      <c r="AX237" s="341">
        <v>0</v>
      </c>
      <c r="AY237" s="340">
        <v>105.76499999999999</v>
      </c>
      <c r="AZ237" s="356"/>
      <c r="BA237" s="316" t="s">
        <v>2985</v>
      </c>
      <c r="BB237" s="507" t="s">
        <v>2985</v>
      </c>
      <c r="BC237" s="355" t="s">
        <v>2985</v>
      </c>
      <c r="BD237" s="348" t="s">
        <v>3544</v>
      </c>
      <c r="BE237" s="353">
        <v>100</v>
      </c>
      <c r="BF237" s="316"/>
      <c r="BG237" s="348">
        <v>400</v>
      </c>
      <c r="BH237" s="390">
        <f t="shared" si="50"/>
        <v>22.222222222222221</v>
      </c>
      <c r="BI237" s="303">
        <v>99</v>
      </c>
      <c r="BJ237" s="323">
        <v>0.25</v>
      </c>
      <c r="BK237" s="324">
        <v>20</v>
      </c>
      <c r="BL237" s="307">
        <v>20</v>
      </c>
      <c r="BM237" s="507" t="s">
        <v>2985</v>
      </c>
      <c r="BN237" s="307">
        <v>99</v>
      </c>
      <c r="BO237" s="259" t="s">
        <v>2985</v>
      </c>
      <c r="BP237" s="350" t="s">
        <v>3462</v>
      </c>
      <c r="BS237" s="321"/>
    </row>
    <row r="238" spans="1:71" s="322" customFormat="1">
      <c r="A238" s="457">
        <v>1518</v>
      </c>
      <c r="B238" s="534" t="s">
        <v>3603</v>
      </c>
      <c r="C238" s="383"/>
      <c r="D238" s="383"/>
      <c r="E238" s="469"/>
      <c r="F238" s="303" t="s">
        <v>2079</v>
      </c>
      <c r="G238" s="386" t="s">
        <v>2659</v>
      </c>
      <c r="H238" s="454" t="s">
        <v>165</v>
      </c>
      <c r="I238" s="338" t="s">
        <v>3377</v>
      </c>
      <c r="J238" s="361">
        <v>1993</v>
      </c>
      <c r="K238" s="341">
        <v>348</v>
      </c>
      <c r="L238" s="340" t="s">
        <v>1745</v>
      </c>
      <c r="M238" s="341" t="s">
        <v>1739</v>
      </c>
      <c r="N238" s="446">
        <f t="shared" si="51"/>
        <v>0.16808384417638919</v>
      </c>
      <c r="O238" s="349">
        <v>0.17</v>
      </c>
      <c r="P238" s="329">
        <v>1.47</v>
      </c>
      <c r="Q238" s="310">
        <f t="shared" si="52"/>
        <v>1.4534308878781885</v>
      </c>
      <c r="R238" s="377">
        <f t="shared" si="53"/>
        <v>146.88000000000002</v>
      </c>
      <c r="S238" s="307">
        <v>864</v>
      </c>
      <c r="T238" s="377">
        <f t="shared" si="54"/>
        <v>873.84960000000001</v>
      </c>
      <c r="U238" s="377">
        <f t="shared" si="55"/>
        <v>1270.08</v>
      </c>
      <c r="V238" s="408" t="s">
        <v>2985</v>
      </c>
      <c r="W238" s="408" t="s">
        <v>2985</v>
      </c>
      <c r="X238" s="313" t="s">
        <v>12</v>
      </c>
      <c r="Y238" s="307" t="s">
        <v>12</v>
      </c>
      <c r="Z238" s="314" t="s">
        <v>2985</v>
      </c>
      <c r="AA238" s="311" t="s">
        <v>1754</v>
      </c>
      <c r="AB238" s="341" t="s">
        <v>273</v>
      </c>
      <c r="AC238" s="161" t="s">
        <v>2985</v>
      </c>
      <c r="AD238" s="348" t="s">
        <v>2318</v>
      </c>
      <c r="AE238" s="316" t="s">
        <v>2985</v>
      </c>
      <c r="AF238" s="214" t="s">
        <v>2318</v>
      </c>
      <c r="AG238" s="262" t="s">
        <v>2985</v>
      </c>
      <c r="AH238" s="313">
        <v>99</v>
      </c>
      <c r="AI238" s="342">
        <v>1.1399999999999999</v>
      </c>
      <c r="AJ238" s="365">
        <v>0</v>
      </c>
      <c r="AK238" s="365">
        <v>0</v>
      </c>
      <c r="AL238" s="365">
        <v>0</v>
      </c>
      <c r="AM238" s="365">
        <v>0</v>
      </c>
      <c r="AN238" s="348">
        <v>0</v>
      </c>
      <c r="AO238" s="348">
        <v>0</v>
      </c>
      <c r="AP238" s="348">
        <v>0</v>
      </c>
      <c r="AQ238" s="348">
        <v>0</v>
      </c>
      <c r="AR238" s="348">
        <v>0</v>
      </c>
      <c r="AS238" s="348">
        <v>0</v>
      </c>
      <c r="AT238" s="342">
        <v>0.15361818446041459</v>
      </c>
      <c r="AU238" s="348">
        <v>0</v>
      </c>
      <c r="AV238" s="348">
        <v>0</v>
      </c>
      <c r="AW238" s="348">
        <v>0</v>
      </c>
      <c r="AX238" s="341">
        <v>0</v>
      </c>
      <c r="AY238" s="354">
        <v>162.80000000000001</v>
      </c>
      <c r="AZ238" s="356"/>
      <c r="BA238" s="316" t="s">
        <v>2985</v>
      </c>
      <c r="BB238" s="507" t="s">
        <v>2985</v>
      </c>
      <c r="BC238" s="425" t="s">
        <v>521</v>
      </c>
      <c r="BD238" s="348" t="s">
        <v>3566</v>
      </c>
      <c r="BE238" s="353">
        <v>400</v>
      </c>
      <c r="BF238" s="316"/>
      <c r="BG238" s="348">
        <v>1600</v>
      </c>
      <c r="BH238" s="390">
        <f t="shared" si="50"/>
        <v>88.888888888888886</v>
      </c>
      <c r="BI238" s="303">
        <v>99</v>
      </c>
      <c r="BJ238" s="323">
        <v>0.17</v>
      </c>
      <c r="BK238" s="324">
        <v>20</v>
      </c>
      <c r="BL238" s="507">
        <v>23.579470000000001</v>
      </c>
      <c r="BM238" s="307">
        <v>0</v>
      </c>
      <c r="BN238" s="307">
        <v>99</v>
      </c>
      <c r="BO238" s="259" t="s">
        <v>2985</v>
      </c>
      <c r="BP238" s="350" t="s">
        <v>2303</v>
      </c>
      <c r="BS238" s="321"/>
    </row>
    <row r="239" spans="1:71" s="322" customFormat="1">
      <c r="A239" s="457">
        <v>1519</v>
      </c>
      <c r="B239" s="534" t="s">
        <v>3603</v>
      </c>
      <c r="C239" s="383"/>
      <c r="D239" s="383"/>
      <c r="E239" s="469"/>
      <c r="F239" s="303" t="s">
        <v>2080</v>
      </c>
      <c r="G239" s="386" t="s">
        <v>2659</v>
      </c>
      <c r="H239" s="454" t="s">
        <v>165</v>
      </c>
      <c r="I239" s="338" t="s">
        <v>3377</v>
      </c>
      <c r="J239" s="361">
        <v>1993</v>
      </c>
      <c r="K239" s="341">
        <v>348</v>
      </c>
      <c r="L239" s="340" t="s">
        <v>1745</v>
      </c>
      <c r="M239" s="341" t="s">
        <v>1739</v>
      </c>
      <c r="N239" s="446">
        <f t="shared" si="51"/>
        <v>0.22661764705882353</v>
      </c>
      <c r="O239" s="349">
        <v>0.23</v>
      </c>
      <c r="P239" s="310">
        <f t="shared" ref="P239:P252" si="56">U239/S239</f>
        <v>2.4459701492537316</v>
      </c>
      <c r="Q239" s="408">
        <v>2.41</v>
      </c>
      <c r="R239" s="377">
        <f t="shared" si="53"/>
        <v>154.1</v>
      </c>
      <c r="S239" s="307">
        <v>670</v>
      </c>
      <c r="T239" s="377">
        <f t="shared" si="54"/>
        <v>680</v>
      </c>
      <c r="U239" s="377">
        <f t="shared" ref="U239:U252" si="57">Q239*T239</f>
        <v>1638.8000000000002</v>
      </c>
      <c r="V239" s="408" t="s">
        <v>2985</v>
      </c>
      <c r="W239" s="408" t="s">
        <v>2985</v>
      </c>
      <c r="X239" s="313" t="s">
        <v>12</v>
      </c>
      <c r="Y239" s="307" t="s">
        <v>12</v>
      </c>
      <c r="Z239" s="314" t="s">
        <v>2985</v>
      </c>
      <c r="AA239" s="311" t="s">
        <v>1754</v>
      </c>
      <c r="AB239" s="341" t="s">
        <v>273</v>
      </c>
      <c r="AC239" s="161" t="s">
        <v>2985</v>
      </c>
      <c r="AD239" s="348" t="s">
        <v>2318</v>
      </c>
      <c r="AE239" s="316" t="s">
        <v>2985</v>
      </c>
      <c r="AF239" s="214" t="s">
        <v>2318</v>
      </c>
      <c r="AG239" s="262" t="s">
        <v>2985</v>
      </c>
      <c r="AH239" s="313">
        <v>98.5</v>
      </c>
      <c r="AI239" s="396">
        <f>(10/670)*100</f>
        <v>1.4925373134328357</v>
      </c>
      <c r="AJ239" s="365">
        <v>0</v>
      </c>
      <c r="AK239" s="365">
        <v>0</v>
      </c>
      <c r="AL239" s="365">
        <v>0</v>
      </c>
      <c r="AM239" s="365">
        <v>0</v>
      </c>
      <c r="AN239" s="348">
        <v>0</v>
      </c>
      <c r="AO239" s="348">
        <v>0</v>
      </c>
      <c r="AP239" s="348">
        <v>0</v>
      </c>
      <c r="AQ239" s="348">
        <v>0</v>
      </c>
      <c r="AR239" s="348">
        <v>0</v>
      </c>
      <c r="AS239" s="348">
        <v>0</v>
      </c>
      <c r="AT239" s="342">
        <v>4.829993875567766E-2</v>
      </c>
      <c r="AU239" s="348">
        <v>0</v>
      </c>
      <c r="AV239" s="348">
        <v>0</v>
      </c>
      <c r="AW239" s="348">
        <v>0</v>
      </c>
      <c r="AX239" s="341">
        <v>0</v>
      </c>
      <c r="AY239" s="354">
        <v>114.6</v>
      </c>
      <c r="AZ239" s="356"/>
      <c r="BA239" s="316" t="s">
        <v>2985</v>
      </c>
      <c r="BB239" s="94" t="s">
        <v>2985</v>
      </c>
      <c r="BC239" s="425" t="s">
        <v>521</v>
      </c>
      <c r="BD239" s="348" t="s">
        <v>3566</v>
      </c>
      <c r="BE239" s="353">
        <v>400</v>
      </c>
      <c r="BF239" s="316"/>
      <c r="BG239" s="348">
        <v>1600</v>
      </c>
      <c r="BH239" s="390">
        <f t="shared" si="50"/>
        <v>88.888888888888886</v>
      </c>
      <c r="BI239" s="303">
        <v>99</v>
      </c>
      <c r="BJ239" s="323">
        <v>0.13</v>
      </c>
      <c r="BK239" s="324">
        <v>20</v>
      </c>
      <c r="BL239" s="507">
        <v>24.836659999999998</v>
      </c>
      <c r="BM239" s="307">
        <v>0</v>
      </c>
      <c r="BN239" s="307">
        <v>99</v>
      </c>
      <c r="BO239" s="259" t="s">
        <v>2985</v>
      </c>
      <c r="BP239" s="350" t="s">
        <v>2303</v>
      </c>
      <c r="BS239" s="321"/>
    </row>
    <row r="240" spans="1:71" s="322" customFormat="1">
      <c r="A240" s="457">
        <v>1520</v>
      </c>
      <c r="B240" s="534" t="s">
        <v>3603</v>
      </c>
      <c r="C240" s="383"/>
      <c r="D240" s="383"/>
      <c r="E240" s="469"/>
      <c r="F240" s="303" t="s">
        <v>2081</v>
      </c>
      <c r="G240" s="386" t="s">
        <v>2659</v>
      </c>
      <c r="H240" s="454" t="s">
        <v>165</v>
      </c>
      <c r="I240" s="338" t="s">
        <v>3377</v>
      </c>
      <c r="J240" s="361">
        <v>1993</v>
      </c>
      <c r="K240" s="341">
        <v>348</v>
      </c>
      <c r="L240" s="340" t="s">
        <v>1745</v>
      </c>
      <c r="M240" s="341" t="s">
        <v>1739</v>
      </c>
      <c r="N240" s="446">
        <f t="shared" si="51"/>
        <v>0.3</v>
      </c>
      <c r="O240" s="349">
        <v>0.3</v>
      </c>
      <c r="P240" s="310">
        <f t="shared" si="56"/>
        <v>3.16</v>
      </c>
      <c r="Q240" s="408">
        <v>3.16</v>
      </c>
      <c r="R240" s="377">
        <f t="shared" si="53"/>
        <v>159.9</v>
      </c>
      <c r="S240" s="307">
        <v>533</v>
      </c>
      <c r="T240" s="377">
        <f t="shared" si="54"/>
        <v>533</v>
      </c>
      <c r="U240" s="377">
        <f t="shared" si="57"/>
        <v>1684.28</v>
      </c>
      <c r="V240" s="408" t="s">
        <v>2985</v>
      </c>
      <c r="W240" s="408" t="s">
        <v>2985</v>
      </c>
      <c r="X240" s="313" t="s">
        <v>12</v>
      </c>
      <c r="Y240" s="307" t="s">
        <v>12</v>
      </c>
      <c r="Z240" s="314" t="s">
        <v>2985</v>
      </c>
      <c r="AA240" s="311" t="s">
        <v>1754</v>
      </c>
      <c r="AB240" s="341" t="s">
        <v>273</v>
      </c>
      <c r="AC240" s="161" t="s">
        <v>2985</v>
      </c>
      <c r="AD240" s="348" t="s">
        <v>2318</v>
      </c>
      <c r="AE240" s="316" t="s">
        <v>2985</v>
      </c>
      <c r="AF240" s="214" t="s">
        <v>2318</v>
      </c>
      <c r="AG240" s="262" t="s">
        <v>2985</v>
      </c>
      <c r="AH240" s="313">
        <v>100</v>
      </c>
      <c r="AI240" s="348">
        <v>0</v>
      </c>
      <c r="AJ240" s="365">
        <v>0</v>
      </c>
      <c r="AK240" s="365">
        <v>0</v>
      </c>
      <c r="AL240" s="365">
        <v>0</v>
      </c>
      <c r="AM240" s="365">
        <v>0</v>
      </c>
      <c r="AN240" s="348">
        <v>0</v>
      </c>
      <c r="AO240" s="348">
        <v>0</v>
      </c>
      <c r="AP240" s="348">
        <v>0</v>
      </c>
      <c r="AQ240" s="348">
        <v>0</v>
      </c>
      <c r="AR240" s="348">
        <v>0</v>
      </c>
      <c r="AS240" s="348">
        <v>0</v>
      </c>
      <c r="AT240" s="348">
        <v>0</v>
      </c>
      <c r="AU240" s="348">
        <v>0</v>
      </c>
      <c r="AV240" s="348">
        <v>0</v>
      </c>
      <c r="AW240" s="348">
        <v>0</v>
      </c>
      <c r="AX240" s="341">
        <v>0</v>
      </c>
      <c r="AY240" s="354">
        <v>82.28</v>
      </c>
      <c r="AZ240" s="356"/>
      <c r="BA240" s="316" t="s">
        <v>2985</v>
      </c>
      <c r="BB240" s="94" t="s">
        <v>2985</v>
      </c>
      <c r="BC240" s="425" t="s">
        <v>521</v>
      </c>
      <c r="BD240" s="348" t="s">
        <v>3566</v>
      </c>
      <c r="BE240" s="353">
        <v>400</v>
      </c>
      <c r="BF240" s="316"/>
      <c r="BG240" s="348">
        <v>1600</v>
      </c>
      <c r="BH240" s="390">
        <f t="shared" si="50"/>
        <v>88.888888888888886</v>
      </c>
      <c r="BI240" s="303">
        <v>99</v>
      </c>
      <c r="BJ240" s="323">
        <v>0.12</v>
      </c>
      <c r="BK240" s="324">
        <v>20</v>
      </c>
      <c r="BL240" s="507">
        <v>25.329660000000001</v>
      </c>
      <c r="BM240" s="307">
        <v>0</v>
      </c>
      <c r="BN240" s="307">
        <v>99</v>
      </c>
      <c r="BO240" s="259" t="s">
        <v>2985</v>
      </c>
      <c r="BP240" s="350" t="s">
        <v>2303</v>
      </c>
      <c r="BS240" s="321"/>
    </row>
    <row r="241" spans="1:71" s="322" customFormat="1">
      <c r="A241" s="457">
        <v>1521</v>
      </c>
      <c r="B241" s="534" t="s">
        <v>3603</v>
      </c>
      <c r="C241" s="383"/>
      <c r="D241" s="383"/>
      <c r="E241" s="469"/>
      <c r="F241" s="303" t="s">
        <v>2082</v>
      </c>
      <c r="G241" s="386" t="s">
        <v>2659</v>
      </c>
      <c r="H241" s="454" t="s">
        <v>165</v>
      </c>
      <c r="I241" s="338" t="s">
        <v>3377</v>
      </c>
      <c r="J241" s="361">
        <v>1993</v>
      </c>
      <c r="K241" s="341">
        <v>348</v>
      </c>
      <c r="L241" s="340" t="s">
        <v>1745</v>
      </c>
      <c r="M241" s="341" t="s">
        <v>1739</v>
      </c>
      <c r="N241" s="446">
        <f t="shared" si="51"/>
        <v>0.22999999999999998</v>
      </c>
      <c r="O241" s="349">
        <v>0.23</v>
      </c>
      <c r="P241" s="310">
        <f t="shared" si="56"/>
        <v>2.4500000000000002</v>
      </c>
      <c r="Q241" s="408">
        <v>2.4500000000000002</v>
      </c>
      <c r="R241" s="377">
        <f t="shared" si="53"/>
        <v>154.1</v>
      </c>
      <c r="S241" s="307">
        <v>670</v>
      </c>
      <c r="T241" s="377">
        <f t="shared" si="54"/>
        <v>670</v>
      </c>
      <c r="U241" s="377">
        <f t="shared" si="57"/>
        <v>1641.5000000000002</v>
      </c>
      <c r="V241" s="408" t="s">
        <v>2985</v>
      </c>
      <c r="W241" s="408" t="s">
        <v>2985</v>
      </c>
      <c r="X241" s="313" t="s">
        <v>12</v>
      </c>
      <c r="Y241" s="307" t="s">
        <v>12</v>
      </c>
      <c r="Z241" s="314" t="s">
        <v>2985</v>
      </c>
      <c r="AA241" s="311" t="s">
        <v>1754</v>
      </c>
      <c r="AB241" s="341" t="s">
        <v>273</v>
      </c>
      <c r="AC241" s="161" t="s">
        <v>2985</v>
      </c>
      <c r="AD241" s="348" t="s">
        <v>2318</v>
      </c>
      <c r="AE241" s="316" t="s">
        <v>2985</v>
      </c>
      <c r="AF241" s="214" t="s">
        <v>2318</v>
      </c>
      <c r="AG241" s="262" t="s">
        <v>2985</v>
      </c>
      <c r="AH241" s="313">
        <v>100</v>
      </c>
      <c r="AI241" s="348">
        <v>0</v>
      </c>
      <c r="AJ241" s="365">
        <v>0</v>
      </c>
      <c r="AK241" s="365">
        <v>0</v>
      </c>
      <c r="AL241" s="365">
        <v>0</v>
      </c>
      <c r="AM241" s="365">
        <v>0</v>
      </c>
      <c r="AN241" s="348">
        <v>0</v>
      </c>
      <c r="AO241" s="348">
        <v>0</v>
      </c>
      <c r="AP241" s="348">
        <v>0</v>
      </c>
      <c r="AQ241" s="348">
        <v>0</v>
      </c>
      <c r="AR241" s="348">
        <v>0</v>
      </c>
      <c r="AS241" s="348">
        <v>0</v>
      </c>
      <c r="AT241" s="342">
        <f>(0.6/1224)*100</f>
        <v>4.9019607843137254E-2</v>
      </c>
      <c r="AU241" s="348">
        <v>0</v>
      </c>
      <c r="AV241" s="348">
        <v>0</v>
      </c>
      <c r="AW241" s="348">
        <v>0</v>
      </c>
      <c r="AX241" s="341">
        <v>0</v>
      </c>
      <c r="AY241" s="354">
        <v>112.4</v>
      </c>
      <c r="AZ241" s="356"/>
      <c r="BA241" s="316" t="s">
        <v>2985</v>
      </c>
      <c r="BB241" s="94" t="s">
        <v>2985</v>
      </c>
      <c r="BC241" s="425" t="s">
        <v>521</v>
      </c>
      <c r="BD241" s="348" t="s">
        <v>3566</v>
      </c>
      <c r="BE241" s="353">
        <v>400</v>
      </c>
      <c r="BF241" s="316"/>
      <c r="BG241" s="348">
        <v>1600</v>
      </c>
      <c r="BH241" s="390">
        <f t="shared" si="50"/>
        <v>88.888888888888886</v>
      </c>
      <c r="BI241" s="303">
        <v>99</v>
      </c>
      <c r="BJ241" s="323">
        <v>0.17</v>
      </c>
      <c r="BK241" s="324">
        <v>20</v>
      </c>
      <c r="BL241" s="507">
        <v>24.895710000000001</v>
      </c>
      <c r="BM241" s="307">
        <v>0</v>
      </c>
      <c r="BN241" s="307">
        <v>99</v>
      </c>
      <c r="BO241" s="259" t="s">
        <v>2985</v>
      </c>
      <c r="BP241" s="350" t="s">
        <v>2303</v>
      </c>
      <c r="BS241" s="321"/>
    </row>
    <row r="242" spans="1:71" s="322" customFormat="1">
      <c r="A242" s="457">
        <v>1522</v>
      </c>
      <c r="B242" s="534" t="s">
        <v>3628</v>
      </c>
      <c r="C242" s="383"/>
      <c r="D242" s="383"/>
      <c r="E242" s="469"/>
      <c r="F242" s="303" t="s">
        <v>2083</v>
      </c>
      <c r="G242" s="386" t="s">
        <v>2659</v>
      </c>
      <c r="H242" s="454" t="s">
        <v>165</v>
      </c>
      <c r="I242" s="338" t="s">
        <v>3377</v>
      </c>
      <c r="J242" s="361">
        <v>1993</v>
      </c>
      <c r="K242" s="341">
        <v>348</v>
      </c>
      <c r="L242" s="340" t="s">
        <v>1745</v>
      </c>
      <c r="M242" s="341" t="s">
        <v>1739</v>
      </c>
      <c r="N242" s="446">
        <f t="shared" si="51"/>
        <v>0.4</v>
      </c>
      <c r="O242" s="349">
        <v>0.4</v>
      </c>
      <c r="P242" s="310">
        <f t="shared" si="56"/>
        <v>3.89</v>
      </c>
      <c r="Q242" s="408">
        <v>3.89</v>
      </c>
      <c r="R242" s="377">
        <f t="shared" si="53"/>
        <v>180</v>
      </c>
      <c r="S242" s="307">
        <v>450</v>
      </c>
      <c r="T242" s="377">
        <f t="shared" si="54"/>
        <v>450</v>
      </c>
      <c r="U242" s="377">
        <f t="shared" si="57"/>
        <v>1750.5</v>
      </c>
      <c r="V242" s="408" t="s">
        <v>2985</v>
      </c>
      <c r="W242" s="408" t="s">
        <v>2985</v>
      </c>
      <c r="X242" s="313" t="s">
        <v>12</v>
      </c>
      <c r="Y242" s="307" t="s">
        <v>12</v>
      </c>
      <c r="Z242" s="314" t="s">
        <v>2985</v>
      </c>
      <c r="AA242" s="311" t="s">
        <v>1754</v>
      </c>
      <c r="AB242" s="341" t="s">
        <v>273</v>
      </c>
      <c r="AC242" s="161" t="s">
        <v>2985</v>
      </c>
      <c r="AD242" s="348" t="s">
        <v>2318</v>
      </c>
      <c r="AE242" s="316" t="s">
        <v>2985</v>
      </c>
      <c r="AF242" s="214" t="s">
        <v>2318</v>
      </c>
      <c r="AG242" s="262" t="s">
        <v>2985</v>
      </c>
      <c r="AH242" s="313">
        <v>100</v>
      </c>
      <c r="AI242" s="348">
        <v>0</v>
      </c>
      <c r="AJ242" s="365">
        <v>0</v>
      </c>
      <c r="AK242" s="365">
        <v>0</v>
      </c>
      <c r="AL242" s="365">
        <v>0</v>
      </c>
      <c r="AM242" s="365">
        <v>0</v>
      </c>
      <c r="AN242" s="348">
        <v>0</v>
      </c>
      <c r="AO242" s="348">
        <v>0</v>
      </c>
      <c r="AP242" s="348">
        <v>0</v>
      </c>
      <c r="AQ242" s="348">
        <v>0</v>
      </c>
      <c r="AR242" s="348">
        <v>0</v>
      </c>
      <c r="AS242" s="348">
        <v>0</v>
      </c>
      <c r="AT242" s="348">
        <v>0</v>
      </c>
      <c r="AU242" s="348">
        <v>0</v>
      </c>
      <c r="AV242" s="348">
        <v>0</v>
      </c>
      <c r="AW242" s="348">
        <v>0</v>
      </c>
      <c r="AX242" s="341">
        <v>0</v>
      </c>
      <c r="AY242" s="354">
        <v>60.22</v>
      </c>
      <c r="AZ242" s="356"/>
      <c r="BA242" s="316" t="s">
        <v>2985</v>
      </c>
      <c r="BB242" s="94" t="s">
        <v>2985</v>
      </c>
      <c r="BC242" s="425" t="s">
        <v>521</v>
      </c>
      <c r="BD242" s="348" t="s">
        <v>3566</v>
      </c>
      <c r="BE242" s="353">
        <v>400</v>
      </c>
      <c r="BF242" s="316"/>
      <c r="BG242" s="348">
        <v>1600</v>
      </c>
      <c r="BH242" s="390">
        <f t="shared" si="50"/>
        <v>88.888888888888886</v>
      </c>
      <c r="BI242" s="303">
        <v>99</v>
      </c>
      <c r="BJ242" s="323">
        <v>0.25</v>
      </c>
      <c r="BK242" s="324">
        <v>20</v>
      </c>
      <c r="BL242" s="507">
        <v>24.680029999999999</v>
      </c>
      <c r="BM242" s="307">
        <v>0</v>
      </c>
      <c r="BN242" s="307">
        <v>99</v>
      </c>
      <c r="BO242" s="259" t="s">
        <v>2985</v>
      </c>
      <c r="BP242" s="350" t="s">
        <v>2303</v>
      </c>
      <c r="BS242" s="321"/>
    </row>
    <row r="243" spans="1:71" s="322" customFormat="1">
      <c r="A243" s="457">
        <v>1523</v>
      </c>
      <c r="B243" s="534" t="s">
        <v>3628</v>
      </c>
      <c r="C243" s="383"/>
      <c r="D243" s="383"/>
      <c r="E243" s="469"/>
      <c r="F243" s="303" t="s">
        <v>2084</v>
      </c>
      <c r="G243" s="386" t="s">
        <v>2659</v>
      </c>
      <c r="H243" s="454" t="s">
        <v>165</v>
      </c>
      <c r="I243" s="338" t="s">
        <v>3377</v>
      </c>
      <c r="J243" s="361">
        <v>1993</v>
      </c>
      <c r="K243" s="341">
        <v>348</v>
      </c>
      <c r="L243" s="340" t="s">
        <v>1745</v>
      </c>
      <c r="M243" s="341" t="s">
        <v>1739</v>
      </c>
      <c r="N243" s="446">
        <f t="shared" si="51"/>
        <v>0.3</v>
      </c>
      <c r="O243" s="349">
        <v>0.3</v>
      </c>
      <c r="P243" s="310">
        <f t="shared" si="56"/>
        <v>3.16</v>
      </c>
      <c r="Q243" s="408">
        <v>3.16</v>
      </c>
      <c r="R243" s="377">
        <f t="shared" si="53"/>
        <v>159.9</v>
      </c>
      <c r="S243" s="307">
        <v>533</v>
      </c>
      <c r="T243" s="377">
        <f t="shared" si="54"/>
        <v>533</v>
      </c>
      <c r="U243" s="377">
        <f t="shared" si="57"/>
        <v>1684.28</v>
      </c>
      <c r="V243" s="408" t="s">
        <v>2985</v>
      </c>
      <c r="W243" s="408" t="s">
        <v>2985</v>
      </c>
      <c r="X243" s="313" t="s">
        <v>12</v>
      </c>
      <c r="Y243" s="307" t="s">
        <v>12</v>
      </c>
      <c r="Z243" s="314" t="s">
        <v>2985</v>
      </c>
      <c r="AA243" s="311" t="s">
        <v>1754</v>
      </c>
      <c r="AB243" s="341" t="s">
        <v>273</v>
      </c>
      <c r="AC243" s="161" t="s">
        <v>2985</v>
      </c>
      <c r="AD243" s="348" t="s">
        <v>2318</v>
      </c>
      <c r="AE243" s="316" t="s">
        <v>2985</v>
      </c>
      <c r="AF243" s="214" t="s">
        <v>2318</v>
      </c>
      <c r="AG243" s="262" t="s">
        <v>2985</v>
      </c>
      <c r="AH243" s="313">
        <v>100</v>
      </c>
      <c r="AI243" s="348">
        <v>0</v>
      </c>
      <c r="AJ243" s="365">
        <v>0</v>
      </c>
      <c r="AK243" s="365">
        <v>0</v>
      </c>
      <c r="AL243" s="365">
        <v>0</v>
      </c>
      <c r="AM243" s="365">
        <v>0</v>
      </c>
      <c r="AN243" s="348">
        <v>0</v>
      </c>
      <c r="AO243" s="348">
        <v>0</v>
      </c>
      <c r="AP243" s="348">
        <v>0</v>
      </c>
      <c r="AQ243" s="348">
        <v>0</v>
      </c>
      <c r="AR243" s="348">
        <v>0</v>
      </c>
      <c r="AS243" s="348">
        <v>0</v>
      </c>
      <c r="AT243" s="348">
        <v>0</v>
      </c>
      <c r="AU243" s="348">
        <v>0</v>
      </c>
      <c r="AV243" s="348">
        <v>0</v>
      </c>
      <c r="AW243" s="348">
        <v>0</v>
      </c>
      <c r="AX243" s="341">
        <v>0</v>
      </c>
      <c r="AY243" s="354">
        <v>82.28</v>
      </c>
      <c r="AZ243" s="356"/>
      <c r="BA243" s="316" t="s">
        <v>2985</v>
      </c>
      <c r="BB243" s="94" t="s">
        <v>2985</v>
      </c>
      <c r="BC243" s="425" t="s">
        <v>521</v>
      </c>
      <c r="BD243" s="348" t="s">
        <v>3566</v>
      </c>
      <c r="BE243" s="353">
        <v>400</v>
      </c>
      <c r="BF243" s="316"/>
      <c r="BG243" s="348">
        <v>1600</v>
      </c>
      <c r="BH243" s="390">
        <f t="shared" si="50"/>
        <v>88.888888888888886</v>
      </c>
      <c r="BI243" s="303">
        <v>99</v>
      </c>
      <c r="BJ243" s="323">
        <v>0.17</v>
      </c>
      <c r="BK243" s="324">
        <v>20</v>
      </c>
      <c r="BL243" s="507">
        <v>25.329660000000001</v>
      </c>
      <c r="BM243" s="307">
        <v>0</v>
      </c>
      <c r="BN243" s="307">
        <v>99</v>
      </c>
      <c r="BO243" s="259" t="s">
        <v>2985</v>
      </c>
      <c r="BP243" s="350" t="s">
        <v>2303</v>
      </c>
      <c r="BS243" s="321"/>
    </row>
    <row r="244" spans="1:71" s="322" customFormat="1">
      <c r="A244" s="457">
        <v>1524</v>
      </c>
      <c r="B244" s="534" t="s">
        <v>3628</v>
      </c>
      <c r="C244" s="383"/>
      <c r="D244" s="383"/>
      <c r="E244" s="469"/>
      <c r="F244" s="303" t="s">
        <v>2085</v>
      </c>
      <c r="G244" s="386" t="s">
        <v>2659</v>
      </c>
      <c r="H244" s="454" t="s">
        <v>165</v>
      </c>
      <c r="I244" s="338" t="s">
        <v>3377</v>
      </c>
      <c r="J244" s="361">
        <v>1993</v>
      </c>
      <c r="K244" s="341">
        <v>348</v>
      </c>
      <c r="L244" s="340" t="s">
        <v>1745</v>
      </c>
      <c r="M244" s="341" t="s">
        <v>1739</v>
      </c>
      <c r="N244" s="446">
        <f t="shared" si="51"/>
        <v>0.3</v>
      </c>
      <c r="O244" s="349">
        <v>0.3</v>
      </c>
      <c r="P244" s="310">
        <f t="shared" si="56"/>
        <v>3.16</v>
      </c>
      <c r="Q244" s="408">
        <v>3.16</v>
      </c>
      <c r="R244" s="377">
        <f t="shared" si="53"/>
        <v>159.9</v>
      </c>
      <c r="S244" s="307">
        <v>533</v>
      </c>
      <c r="T244" s="377">
        <f t="shared" si="54"/>
        <v>533</v>
      </c>
      <c r="U244" s="377">
        <f t="shared" si="57"/>
        <v>1684.28</v>
      </c>
      <c r="V244" s="408" t="s">
        <v>2985</v>
      </c>
      <c r="W244" s="408" t="s">
        <v>2985</v>
      </c>
      <c r="X244" s="313" t="s">
        <v>12</v>
      </c>
      <c r="Y244" s="307" t="s">
        <v>12</v>
      </c>
      <c r="Z244" s="314" t="s">
        <v>2985</v>
      </c>
      <c r="AA244" s="311" t="s">
        <v>1754</v>
      </c>
      <c r="AB244" s="341" t="s">
        <v>273</v>
      </c>
      <c r="AC244" s="161" t="s">
        <v>2985</v>
      </c>
      <c r="AD244" s="511" t="s">
        <v>2312</v>
      </c>
      <c r="AE244" s="316" t="s">
        <v>2985</v>
      </c>
      <c r="AF244" s="316" t="s">
        <v>2985</v>
      </c>
      <c r="AG244" s="262" t="s">
        <v>2985</v>
      </c>
      <c r="AH244" s="313">
        <v>100</v>
      </c>
      <c r="AI244" s="348">
        <v>0</v>
      </c>
      <c r="AJ244" s="365">
        <v>0</v>
      </c>
      <c r="AK244" s="365">
        <v>0</v>
      </c>
      <c r="AL244" s="365">
        <v>0</v>
      </c>
      <c r="AM244" s="365">
        <v>0</v>
      </c>
      <c r="AN244" s="348">
        <v>0</v>
      </c>
      <c r="AO244" s="348">
        <v>0</v>
      </c>
      <c r="AP244" s="348">
        <v>0</v>
      </c>
      <c r="AQ244" s="348">
        <v>0</v>
      </c>
      <c r="AR244" s="348">
        <v>0</v>
      </c>
      <c r="AS244" s="348">
        <v>0</v>
      </c>
      <c r="AT244" s="348">
        <v>0</v>
      </c>
      <c r="AU244" s="348">
        <v>0</v>
      </c>
      <c r="AV244" s="348">
        <v>0</v>
      </c>
      <c r="AW244" s="348">
        <v>0</v>
      </c>
      <c r="AX244" s="341">
        <v>0</v>
      </c>
      <c r="AY244" s="354">
        <v>82.28</v>
      </c>
      <c r="AZ244" s="356"/>
      <c r="BA244" s="316" t="s">
        <v>2985</v>
      </c>
      <c r="BB244" s="94" t="s">
        <v>2985</v>
      </c>
      <c r="BC244" s="425" t="s">
        <v>521</v>
      </c>
      <c r="BD244" s="348" t="s">
        <v>3566</v>
      </c>
      <c r="BE244" s="353">
        <v>400</v>
      </c>
      <c r="BF244" s="316"/>
      <c r="BG244" s="348">
        <v>1600</v>
      </c>
      <c r="BH244" s="390">
        <f t="shared" ref="BH244:BH275" si="58">IF(ISBLANK(BF244),(BE244*BG244)/((4*BG244)+(2*BE244)),BE244*BF244*BG244/2/(BE244*BF244+BE244*BG244+BF244*BG244))</f>
        <v>88.888888888888886</v>
      </c>
      <c r="BI244" s="303">
        <v>99</v>
      </c>
      <c r="BJ244" s="323">
        <v>0.31</v>
      </c>
      <c r="BK244" s="324">
        <v>20</v>
      </c>
      <c r="BL244" s="507">
        <v>25.329660000000001</v>
      </c>
      <c r="BM244" s="307">
        <v>0</v>
      </c>
      <c r="BN244" s="307">
        <v>99</v>
      </c>
      <c r="BO244" s="259" t="s">
        <v>2985</v>
      </c>
      <c r="BP244" s="350" t="s">
        <v>2303</v>
      </c>
      <c r="BS244" s="321"/>
    </row>
    <row r="245" spans="1:71" s="322" customFormat="1">
      <c r="A245" s="457">
        <v>1525</v>
      </c>
      <c r="B245" s="534" t="s">
        <v>3628</v>
      </c>
      <c r="C245" s="383"/>
      <c r="D245" s="383"/>
      <c r="E245" s="469"/>
      <c r="F245" s="303" t="s">
        <v>2086</v>
      </c>
      <c r="G245" s="386" t="s">
        <v>2659</v>
      </c>
      <c r="H245" s="454" t="s">
        <v>165</v>
      </c>
      <c r="I245" s="338" t="s">
        <v>3377</v>
      </c>
      <c r="J245" s="361">
        <v>1993</v>
      </c>
      <c r="K245" s="341">
        <v>348</v>
      </c>
      <c r="L245" s="340" t="s">
        <v>1745</v>
      </c>
      <c r="M245" s="341" t="s">
        <v>1739</v>
      </c>
      <c r="N245" s="446">
        <f t="shared" si="51"/>
        <v>0.3</v>
      </c>
      <c r="O245" s="349">
        <v>0.3</v>
      </c>
      <c r="P245" s="310">
        <f t="shared" si="56"/>
        <v>3.16</v>
      </c>
      <c r="Q245" s="408">
        <v>3.16</v>
      </c>
      <c r="R245" s="377">
        <f t="shared" si="53"/>
        <v>159.9</v>
      </c>
      <c r="S245" s="307">
        <v>533</v>
      </c>
      <c r="T245" s="377">
        <f t="shared" si="54"/>
        <v>533</v>
      </c>
      <c r="U245" s="377">
        <f t="shared" si="57"/>
        <v>1684.28</v>
      </c>
      <c r="V245" s="408" t="s">
        <v>2985</v>
      </c>
      <c r="W245" s="408" t="s">
        <v>2985</v>
      </c>
      <c r="X245" s="313" t="s">
        <v>12</v>
      </c>
      <c r="Y245" s="307" t="s">
        <v>12</v>
      </c>
      <c r="Z245" s="314" t="s">
        <v>2985</v>
      </c>
      <c r="AA245" s="311" t="s">
        <v>1754</v>
      </c>
      <c r="AB245" s="341" t="s">
        <v>273</v>
      </c>
      <c r="AC245" s="161" t="s">
        <v>2985</v>
      </c>
      <c r="AD245" s="511" t="s">
        <v>2312</v>
      </c>
      <c r="AE245" s="316" t="s">
        <v>2985</v>
      </c>
      <c r="AF245" s="316" t="s">
        <v>2985</v>
      </c>
      <c r="AG245" s="262" t="s">
        <v>2985</v>
      </c>
      <c r="AH245" s="313">
        <v>100</v>
      </c>
      <c r="AI245" s="348">
        <v>0</v>
      </c>
      <c r="AJ245" s="365">
        <v>0</v>
      </c>
      <c r="AK245" s="365">
        <v>0</v>
      </c>
      <c r="AL245" s="365">
        <v>0</v>
      </c>
      <c r="AM245" s="365">
        <v>0</v>
      </c>
      <c r="AN245" s="348">
        <v>0</v>
      </c>
      <c r="AO245" s="348">
        <v>0</v>
      </c>
      <c r="AP245" s="348">
        <v>0</v>
      </c>
      <c r="AQ245" s="348">
        <v>0</v>
      </c>
      <c r="AR245" s="348">
        <v>0</v>
      </c>
      <c r="AS245" s="348">
        <v>0</v>
      </c>
      <c r="AT245" s="348">
        <v>0</v>
      </c>
      <c r="AU245" s="348">
        <v>0</v>
      </c>
      <c r="AV245" s="348">
        <v>0</v>
      </c>
      <c r="AW245" s="348">
        <v>0</v>
      </c>
      <c r="AX245" s="341">
        <v>0</v>
      </c>
      <c r="AY245" s="354">
        <v>82.28</v>
      </c>
      <c r="AZ245" s="356"/>
      <c r="BA245" s="316" t="s">
        <v>2985</v>
      </c>
      <c r="BB245" s="94" t="s">
        <v>2985</v>
      </c>
      <c r="BC245" s="425" t="s">
        <v>521</v>
      </c>
      <c r="BD245" s="348" t="s">
        <v>3566</v>
      </c>
      <c r="BE245" s="353">
        <v>400</v>
      </c>
      <c r="BF245" s="316"/>
      <c r="BG245" s="348">
        <v>1600</v>
      </c>
      <c r="BH245" s="390">
        <f t="shared" si="58"/>
        <v>88.888888888888886</v>
      </c>
      <c r="BI245" s="303">
        <v>99</v>
      </c>
      <c r="BJ245" s="323">
        <v>0.33</v>
      </c>
      <c r="BK245" s="324">
        <v>20</v>
      </c>
      <c r="BL245" s="507">
        <v>25.329660000000001</v>
      </c>
      <c r="BM245" s="307">
        <v>0</v>
      </c>
      <c r="BN245" s="307">
        <v>99</v>
      </c>
      <c r="BO245" s="259" t="s">
        <v>2985</v>
      </c>
      <c r="BP245" s="350" t="s">
        <v>2303</v>
      </c>
      <c r="BS245" s="321"/>
    </row>
    <row r="246" spans="1:71" s="322" customFormat="1">
      <c r="A246" s="457">
        <v>1526</v>
      </c>
      <c r="B246" s="534" t="s">
        <v>3628</v>
      </c>
      <c r="C246" s="383"/>
      <c r="D246" s="383"/>
      <c r="E246" s="469"/>
      <c r="F246" s="303" t="s">
        <v>2087</v>
      </c>
      <c r="G246" s="386" t="s">
        <v>2659</v>
      </c>
      <c r="H246" s="454" t="s">
        <v>165</v>
      </c>
      <c r="I246" s="338" t="s">
        <v>3377</v>
      </c>
      <c r="J246" s="361">
        <v>1993</v>
      </c>
      <c r="K246" s="341">
        <v>348</v>
      </c>
      <c r="L246" s="340" t="s">
        <v>1745</v>
      </c>
      <c r="M246" s="341" t="s">
        <v>1739</v>
      </c>
      <c r="N246" s="446">
        <f t="shared" si="51"/>
        <v>0.3</v>
      </c>
      <c r="O246" s="349">
        <v>0.3</v>
      </c>
      <c r="P246" s="310">
        <f t="shared" si="56"/>
        <v>3.16</v>
      </c>
      <c r="Q246" s="408">
        <v>3.16</v>
      </c>
      <c r="R246" s="377">
        <f t="shared" si="53"/>
        <v>159.9</v>
      </c>
      <c r="S246" s="307">
        <v>533</v>
      </c>
      <c r="T246" s="377">
        <f t="shared" si="54"/>
        <v>533</v>
      </c>
      <c r="U246" s="377">
        <f t="shared" si="57"/>
        <v>1684.28</v>
      </c>
      <c r="V246" s="408" t="s">
        <v>2985</v>
      </c>
      <c r="W246" s="408" t="s">
        <v>2985</v>
      </c>
      <c r="X246" s="313" t="s">
        <v>12</v>
      </c>
      <c r="Y246" s="307" t="s">
        <v>12</v>
      </c>
      <c r="Z246" s="314" t="s">
        <v>2985</v>
      </c>
      <c r="AA246" s="311" t="s">
        <v>1754</v>
      </c>
      <c r="AB246" s="341" t="s">
        <v>273</v>
      </c>
      <c r="AC246" s="161" t="s">
        <v>2985</v>
      </c>
      <c r="AD246" s="511" t="s">
        <v>2312</v>
      </c>
      <c r="AE246" s="316" t="s">
        <v>2985</v>
      </c>
      <c r="AF246" s="316" t="s">
        <v>2985</v>
      </c>
      <c r="AG246" s="262" t="s">
        <v>2985</v>
      </c>
      <c r="AH246" s="313">
        <v>100</v>
      </c>
      <c r="AI246" s="348">
        <v>0</v>
      </c>
      <c r="AJ246" s="365">
        <v>0</v>
      </c>
      <c r="AK246" s="365">
        <v>0</v>
      </c>
      <c r="AL246" s="365">
        <v>0</v>
      </c>
      <c r="AM246" s="365">
        <v>0</v>
      </c>
      <c r="AN246" s="348">
        <v>0</v>
      </c>
      <c r="AO246" s="348">
        <v>0</v>
      </c>
      <c r="AP246" s="348">
        <v>0</v>
      </c>
      <c r="AQ246" s="348">
        <v>0</v>
      </c>
      <c r="AR246" s="348">
        <v>0</v>
      </c>
      <c r="AS246" s="348">
        <v>0</v>
      </c>
      <c r="AT246" s="348">
        <v>0</v>
      </c>
      <c r="AU246" s="348">
        <v>0</v>
      </c>
      <c r="AV246" s="348">
        <v>0</v>
      </c>
      <c r="AW246" s="348">
        <v>0</v>
      </c>
      <c r="AX246" s="341">
        <v>0</v>
      </c>
      <c r="AY246" s="354">
        <v>82.28</v>
      </c>
      <c r="AZ246" s="356"/>
      <c r="BA246" s="316" t="s">
        <v>2985</v>
      </c>
      <c r="BB246" s="94" t="s">
        <v>2985</v>
      </c>
      <c r="BC246" s="425" t="s">
        <v>521</v>
      </c>
      <c r="BD246" s="348" t="s">
        <v>3566</v>
      </c>
      <c r="BE246" s="353">
        <v>400</v>
      </c>
      <c r="BF246" s="316"/>
      <c r="BG246" s="348">
        <v>1600</v>
      </c>
      <c r="BH246" s="390">
        <f t="shared" si="58"/>
        <v>88.888888888888886</v>
      </c>
      <c r="BI246" s="303">
        <v>99</v>
      </c>
      <c r="BJ246" s="323">
        <v>0.13</v>
      </c>
      <c r="BK246" s="324">
        <v>20</v>
      </c>
      <c r="BL246" s="507">
        <v>25.329660000000001</v>
      </c>
      <c r="BM246" s="307">
        <v>0</v>
      </c>
      <c r="BN246" s="307">
        <v>99</v>
      </c>
      <c r="BO246" s="259" t="s">
        <v>2985</v>
      </c>
      <c r="BP246" s="350" t="s">
        <v>2303</v>
      </c>
      <c r="BS246" s="321"/>
    </row>
    <row r="247" spans="1:71" s="322" customFormat="1">
      <c r="A247" s="457">
        <v>1527</v>
      </c>
      <c r="B247" s="534" t="s">
        <v>3628</v>
      </c>
      <c r="C247" s="383"/>
      <c r="D247" s="383"/>
      <c r="E247" s="469"/>
      <c r="F247" s="303" t="s">
        <v>2088</v>
      </c>
      <c r="G247" s="386" t="s">
        <v>2659</v>
      </c>
      <c r="H247" s="454" t="s">
        <v>165</v>
      </c>
      <c r="I247" s="338" t="s">
        <v>3377</v>
      </c>
      <c r="J247" s="361">
        <v>1993</v>
      </c>
      <c r="K247" s="341">
        <v>348</v>
      </c>
      <c r="L247" s="340" t="s">
        <v>1745</v>
      </c>
      <c r="M247" s="341" t="s">
        <v>1739</v>
      </c>
      <c r="N247" s="446">
        <f t="shared" si="51"/>
        <v>0.3</v>
      </c>
      <c r="O247" s="349">
        <v>0.3</v>
      </c>
      <c r="P247" s="310">
        <f t="shared" si="56"/>
        <v>3.16</v>
      </c>
      <c r="Q247" s="408">
        <v>3.16</v>
      </c>
      <c r="R247" s="377">
        <f t="shared" si="53"/>
        <v>159.9</v>
      </c>
      <c r="S247" s="307">
        <v>533</v>
      </c>
      <c r="T247" s="377">
        <f t="shared" si="54"/>
        <v>533</v>
      </c>
      <c r="U247" s="377">
        <f t="shared" si="57"/>
        <v>1684.28</v>
      </c>
      <c r="V247" s="408" t="s">
        <v>2985</v>
      </c>
      <c r="W247" s="408" t="s">
        <v>2985</v>
      </c>
      <c r="X247" s="313" t="s">
        <v>12</v>
      </c>
      <c r="Y247" s="307" t="s">
        <v>12</v>
      </c>
      <c r="Z247" s="314" t="s">
        <v>2985</v>
      </c>
      <c r="AA247" s="311" t="s">
        <v>1754</v>
      </c>
      <c r="AB247" s="341" t="s">
        <v>273</v>
      </c>
      <c r="AC247" s="161" t="s">
        <v>2985</v>
      </c>
      <c r="AD247" s="511" t="s">
        <v>2312</v>
      </c>
      <c r="AE247" s="316" t="s">
        <v>2985</v>
      </c>
      <c r="AF247" s="316" t="s">
        <v>2985</v>
      </c>
      <c r="AG247" s="262" t="s">
        <v>2985</v>
      </c>
      <c r="AH247" s="313">
        <v>100</v>
      </c>
      <c r="AI247" s="348">
        <v>0</v>
      </c>
      <c r="AJ247" s="365">
        <v>0</v>
      </c>
      <c r="AK247" s="365">
        <v>0</v>
      </c>
      <c r="AL247" s="365">
        <v>0</v>
      </c>
      <c r="AM247" s="365">
        <v>0</v>
      </c>
      <c r="AN247" s="348">
        <v>0</v>
      </c>
      <c r="AO247" s="348">
        <v>0</v>
      </c>
      <c r="AP247" s="348">
        <v>0</v>
      </c>
      <c r="AQ247" s="348">
        <v>0</v>
      </c>
      <c r="AR247" s="348">
        <v>0</v>
      </c>
      <c r="AS247" s="348">
        <v>0</v>
      </c>
      <c r="AT247" s="348">
        <v>0</v>
      </c>
      <c r="AU247" s="348">
        <v>0</v>
      </c>
      <c r="AV247" s="348">
        <v>0</v>
      </c>
      <c r="AW247" s="348">
        <v>0</v>
      </c>
      <c r="AX247" s="341">
        <v>0</v>
      </c>
      <c r="AY247" s="354">
        <v>82.28</v>
      </c>
      <c r="AZ247" s="356"/>
      <c r="BA247" s="316" t="s">
        <v>2985</v>
      </c>
      <c r="BB247" s="94" t="s">
        <v>2985</v>
      </c>
      <c r="BC247" s="425" t="s">
        <v>521</v>
      </c>
      <c r="BD247" s="348" t="s">
        <v>3566</v>
      </c>
      <c r="BE247" s="353">
        <v>400</v>
      </c>
      <c r="BF247" s="316"/>
      <c r="BG247" s="348">
        <v>1600</v>
      </c>
      <c r="BH247" s="390">
        <f t="shared" si="58"/>
        <v>88.888888888888886</v>
      </c>
      <c r="BI247" s="303">
        <v>99</v>
      </c>
      <c r="BJ247" s="323">
        <v>0.25</v>
      </c>
      <c r="BK247" s="324">
        <v>20</v>
      </c>
      <c r="BL247" s="507">
        <v>25.329660000000001</v>
      </c>
      <c r="BM247" s="307">
        <v>0</v>
      </c>
      <c r="BN247" s="307">
        <v>99</v>
      </c>
      <c r="BO247" s="259" t="s">
        <v>2985</v>
      </c>
      <c r="BP247" s="350" t="s">
        <v>2303</v>
      </c>
      <c r="BS247" s="321"/>
    </row>
    <row r="248" spans="1:71" s="322" customFormat="1">
      <c r="A248" s="457">
        <v>1528</v>
      </c>
      <c r="B248" s="534" t="s">
        <v>3628</v>
      </c>
      <c r="C248" s="383"/>
      <c r="D248" s="383"/>
      <c r="E248" s="469"/>
      <c r="F248" s="303" t="s">
        <v>2089</v>
      </c>
      <c r="G248" s="386" t="s">
        <v>2659</v>
      </c>
      <c r="H248" s="454" t="s">
        <v>165</v>
      </c>
      <c r="I248" s="338" t="s">
        <v>3377</v>
      </c>
      <c r="J248" s="361">
        <v>1993</v>
      </c>
      <c r="K248" s="341">
        <v>348</v>
      </c>
      <c r="L248" s="340" t="s">
        <v>1745</v>
      </c>
      <c r="M248" s="341" t="s">
        <v>1739</v>
      </c>
      <c r="N248" s="446">
        <f t="shared" si="51"/>
        <v>0.3</v>
      </c>
      <c r="O248" s="349">
        <v>0.3</v>
      </c>
      <c r="P248" s="310">
        <f t="shared" si="56"/>
        <v>3.16</v>
      </c>
      <c r="Q248" s="408">
        <v>3.16</v>
      </c>
      <c r="R248" s="377">
        <f t="shared" si="53"/>
        <v>159.9</v>
      </c>
      <c r="S248" s="307">
        <v>533</v>
      </c>
      <c r="T248" s="377">
        <f t="shared" si="54"/>
        <v>533</v>
      </c>
      <c r="U248" s="377">
        <f t="shared" si="57"/>
        <v>1684.28</v>
      </c>
      <c r="V248" s="408" t="s">
        <v>2985</v>
      </c>
      <c r="W248" s="408" t="s">
        <v>2985</v>
      </c>
      <c r="X248" s="313" t="s">
        <v>12</v>
      </c>
      <c r="Y248" s="307" t="s">
        <v>12</v>
      </c>
      <c r="Z248" s="314" t="s">
        <v>2985</v>
      </c>
      <c r="AA248" s="311" t="s">
        <v>1754</v>
      </c>
      <c r="AB248" s="341" t="s">
        <v>273</v>
      </c>
      <c r="AC248" s="161" t="s">
        <v>2985</v>
      </c>
      <c r="AD248" s="511" t="s">
        <v>2312</v>
      </c>
      <c r="AE248" s="316" t="s">
        <v>2985</v>
      </c>
      <c r="AF248" s="316" t="s">
        <v>2985</v>
      </c>
      <c r="AG248" s="262" t="s">
        <v>2985</v>
      </c>
      <c r="AH248" s="313">
        <v>100</v>
      </c>
      <c r="AI248" s="348">
        <v>0</v>
      </c>
      <c r="AJ248" s="365">
        <v>0</v>
      </c>
      <c r="AK248" s="365">
        <v>0</v>
      </c>
      <c r="AL248" s="365">
        <v>0</v>
      </c>
      <c r="AM248" s="365">
        <v>0</v>
      </c>
      <c r="AN248" s="348">
        <v>0</v>
      </c>
      <c r="AO248" s="348">
        <v>0</v>
      </c>
      <c r="AP248" s="348">
        <v>0</v>
      </c>
      <c r="AQ248" s="348">
        <v>0</v>
      </c>
      <c r="AR248" s="348">
        <v>0</v>
      </c>
      <c r="AS248" s="348">
        <v>0</v>
      </c>
      <c r="AT248" s="348">
        <v>0</v>
      </c>
      <c r="AU248" s="348">
        <v>0</v>
      </c>
      <c r="AV248" s="348">
        <v>0</v>
      </c>
      <c r="AW248" s="348">
        <v>0</v>
      </c>
      <c r="AX248" s="341">
        <v>0</v>
      </c>
      <c r="AY248" s="354">
        <v>82.28</v>
      </c>
      <c r="AZ248" s="356"/>
      <c r="BA248" s="316" t="s">
        <v>2985</v>
      </c>
      <c r="BB248" s="94" t="s">
        <v>2985</v>
      </c>
      <c r="BC248" s="425" t="s">
        <v>521</v>
      </c>
      <c r="BD248" s="348" t="s">
        <v>3566</v>
      </c>
      <c r="BE248" s="353">
        <v>400</v>
      </c>
      <c r="BF248" s="316"/>
      <c r="BG248" s="348">
        <v>1600</v>
      </c>
      <c r="BH248" s="390">
        <f t="shared" si="58"/>
        <v>88.888888888888886</v>
      </c>
      <c r="BI248" s="303">
        <v>99</v>
      </c>
      <c r="BJ248" s="323">
        <v>0.17</v>
      </c>
      <c r="BK248" s="324">
        <v>20</v>
      </c>
      <c r="BL248" s="507">
        <v>25.329660000000001</v>
      </c>
      <c r="BM248" s="307">
        <v>0</v>
      </c>
      <c r="BN248" s="307">
        <v>99</v>
      </c>
      <c r="BO248" s="259" t="s">
        <v>2985</v>
      </c>
      <c r="BP248" s="350" t="s">
        <v>2303</v>
      </c>
      <c r="BS248" s="321"/>
    </row>
    <row r="249" spans="1:71" s="322" customFormat="1">
      <c r="A249" s="457">
        <v>1529</v>
      </c>
      <c r="B249" s="534" t="s">
        <v>3628</v>
      </c>
      <c r="C249" s="383"/>
      <c r="D249" s="383"/>
      <c r="E249" s="469"/>
      <c r="F249" s="303" t="s">
        <v>2090</v>
      </c>
      <c r="G249" s="386" t="s">
        <v>2659</v>
      </c>
      <c r="H249" s="454" t="s">
        <v>165</v>
      </c>
      <c r="I249" s="338" t="s">
        <v>3377</v>
      </c>
      <c r="J249" s="361">
        <v>1993</v>
      </c>
      <c r="K249" s="341">
        <v>348</v>
      </c>
      <c r="L249" s="340" t="s">
        <v>1745</v>
      </c>
      <c r="M249" s="341" t="s">
        <v>1739</v>
      </c>
      <c r="N249" s="446">
        <f t="shared" si="51"/>
        <v>0.3</v>
      </c>
      <c r="O249" s="349">
        <v>0.3</v>
      </c>
      <c r="P249" s="310">
        <f t="shared" si="56"/>
        <v>3.16</v>
      </c>
      <c r="Q249" s="408">
        <v>3.16</v>
      </c>
      <c r="R249" s="377">
        <f t="shared" si="53"/>
        <v>159.9</v>
      </c>
      <c r="S249" s="307">
        <v>533</v>
      </c>
      <c r="T249" s="377">
        <f t="shared" si="54"/>
        <v>533</v>
      </c>
      <c r="U249" s="377">
        <f t="shared" si="57"/>
        <v>1684.28</v>
      </c>
      <c r="V249" s="408" t="s">
        <v>2985</v>
      </c>
      <c r="W249" s="408" t="s">
        <v>2985</v>
      </c>
      <c r="X249" s="313" t="s">
        <v>12</v>
      </c>
      <c r="Y249" s="307" t="s">
        <v>12</v>
      </c>
      <c r="Z249" s="314" t="s">
        <v>2985</v>
      </c>
      <c r="AA249" s="311" t="s">
        <v>1754</v>
      </c>
      <c r="AB249" s="341" t="s">
        <v>273</v>
      </c>
      <c r="AC249" s="161" t="s">
        <v>2985</v>
      </c>
      <c r="AD249" s="511" t="s">
        <v>2312</v>
      </c>
      <c r="AE249" s="316" t="s">
        <v>2985</v>
      </c>
      <c r="AF249" s="316" t="s">
        <v>2985</v>
      </c>
      <c r="AG249" s="262" t="s">
        <v>2985</v>
      </c>
      <c r="AH249" s="313">
        <v>100</v>
      </c>
      <c r="AI249" s="348">
        <v>0</v>
      </c>
      <c r="AJ249" s="365">
        <v>0</v>
      </c>
      <c r="AK249" s="365">
        <v>0</v>
      </c>
      <c r="AL249" s="365">
        <v>0</v>
      </c>
      <c r="AM249" s="365">
        <v>0</v>
      </c>
      <c r="AN249" s="348">
        <v>0</v>
      </c>
      <c r="AO249" s="348">
        <v>0</v>
      </c>
      <c r="AP249" s="348">
        <v>0</v>
      </c>
      <c r="AQ249" s="348">
        <v>0</v>
      </c>
      <c r="AR249" s="348">
        <v>0</v>
      </c>
      <c r="AS249" s="348">
        <v>0</v>
      </c>
      <c r="AT249" s="348">
        <v>0</v>
      </c>
      <c r="AU249" s="348">
        <v>0</v>
      </c>
      <c r="AV249" s="348">
        <v>0</v>
      </c>
      <c r="AW249" s="348">
        <v>0</v>
      </c>
      <c r="AX249" s="341">
        <v>0</v>
      </c>
      <c r="AY249" s="354">
        <v>82.28</v>
      </c>
      <c r="AZ249" s="356"/>
      <c r="BA249" s="316" t="s">
        <v>2985</v>
      </c>
      <c r="BB249" s="94" t="s">
        <v>2985</v>
      </c>
      <c r="BC249" s="425" t="s">
        <v>521</v>
      </c>
      <c r="BD249" s="348" t="s">
        <v>3566</v>
      </c>
      <c r="BE249" s="353">
        <v>400</v>
      </c>
      <c r="BF249" s="316"/>
      <c r="BG249" s="348">
        <v>1600</v>
      </c>
      <c r="BH249" s="390">
        <f t="shared" si="58"/>
        <v>88.888888888888886</v>
      </c>
      <c r="BI249" s="303">
        <v>99</v>
      </c>
      <c r="BJ249" s="323">
        <v>0.33</v>
      </c>
      <c r="BK249" s="324">
        <v>20</v>
      </c>
      <c r="BL249" s="507">
        <v>25.329660000000001</v>
      </c>
      <c r="BM249" s="307">
        <v>0</v>
      </c>
      <c r="BN249" s="307">
        <v>99</v>
      </c>
      <c r="BO249" s="259" t="s">
        <v>2985</v>
      </c>
      <c r="BP249" s="350" t="s">
        <v>2303</v>
      </c>
      <c r="BS249" s="321"/>
    </row>
    <row r="250" spans="1:71" s="322" customFormat="1">
      <c r="A250" s="457">
        <v>1530</v>
      </c>
      <c r="B250" s="534" t="s">
        <v>3628</v>
      </c>
      <c r="C250" s="383"/>
      <c r="D250" s="383"/>
      <c r="E250" s="469"/>
      <c r="F250" s="303" t="s">
        <v>2091</v>
      </c>
      <c r="G250" s="386" t="s">
        <v>2659</v>
      </c>
      <c r="H250" s="454" t="s">
        <v>165</v>
      </c>
      <c r="I250" s="338" t="s">
        <v>3377</v>
      </c>
      <c r="J250" s="361">
        <v>1993</v>
      </c>
      <c r="K250" s="341">
        <v>348</v>
      </c>
      <c r="L250" s="340" t="s">
        <v>1745</v>
      </c>
      <c r="M250" s="341" t="s">
        <v>1739</v>
      </c>
      <c r="N250" s="446">
        <f t="shared" si="51"/>
        <v>0.3</v>
      </c>
      <c r="O250" s="349">
        <v>0.3</v>
      </c>
      <c r="P250" s="310">
        <f t="shared" si="56"/>
        <v>3.16</v>
      </c>
      <c r="Q250" s="408">
        <v>3.16</v>
      </c>
      <c r="R250" s="377">
        <f t="shared" si="53"/>
        <v>159.9</v>
      </c>
      <c r="S250" s="307">
        <v>533</v>
      </c>
      <c r="T250" s="377">
        <f t="shared" si="54"/>
        <v>533</v>
      </c>
      <c r="U250" s="377">
        <f t="shared" si="57"/>
        <v>1684.28</v>
      </c>
      <c r="V250" s="408" t="s">
        <v>2985</v>
      </c>
      <c r="W250" s="408" t="s">
        <v>2985</v>
      </c>
      <c r="X250" s="313" t="s">
        <v>12</v>
      </c>
      <c r="Y250" s="307" t="s">
        <v>12</v>
      </c>
      <c r="Z250" s="314" t="s">
        <v>2985</v>
      </c>
      <c r="AA250" s="311" t="s">
        <v>1754</v>
      </c>
      <c r="AB250" s="341" t="s">
        <v>273</v>
      </c>
      <c r="AC250" s="161" t="s">
        <v>2985</v>
      </c>
      <c r="AD250" s="511" t="s">
        <v>2312</v>
      </c>
      <c r="AE250" s="316" t="s">
        <v>2985</v>
      </c>
      <c r="AF250" s="316" t="s">
        <v>2985</v>
      </c>
      <c r="AG250" s="262" t="s">
        <v>2985</v>
      </c>
      <c r="AH250" s="313">
        <v>100</v>
      </c>
      <c r="AI250" s="348">
        <v>0</v>
      </c>
      <c r="AJ250" s="365">
        <v>0</v>
      </c>
      <c r="AK250" s="365">
        <v>0</v>
      </c>
      <c r="AL250" s="365">
        <v>0</v>
      </c>
      <c r="AM250" s="365">
        <v>0</v>
      </c>
      <c r="AN250" s="348">
        <v>0</v>
      </c>
      <c r="AO250" s="348">
        <v>0</v>
      </c>
      <c r="AP250" s="348">
        <v>0</v>
      </c>
      <c r="AQ250" s="348">
        <v>0</v>
      </c>
      <c r="AR250" s="348">
        <v>0</v>
      </c>
      <c r="AS250" s="348">
        <v>0</v>
      </c>
      <c r="AT250" s="348">
        <v>0</v>
      </c>
      <c r="AU250" s="348">
        <v>0</v>
      </c>
      <c r="AV250" s="348">
        <v>0</v>
      </c>
      <c r="AW250" s="348">
        <v>0</v>
      </c>
      <c r="AX250" s="341">
        <v>0</v>
      </c>
      <c r="AY250" s="354">
        <v>82.28</v>
      </c>
      <c r="AZ250" s="356"/>
      <c r="BA250" s="316" t="s">
        <v>2985</v>
      </c>
      <c r="BB250" s="94" t="s">
        <v>2985</v>
      </c>
      <c r="BC250" s="425" t="s">
        <v>521</v>
      </c>
      <c r="BD250" s="348" t="s">
        <v>3566</v>
      </c>
      <c r="BE250" s="353">
        <v>400</v>
      </c>
      <c r="BF250" s="316"/>
      <c r="BG250" s="348">
        <v>1600</v>
      </c>
      <c r="BH250" s="390">
        <f t="shared" si="58"/>
        <v>88.888888888888886</v>
      </c>
      <c r="BI250" s="303">
        <v>99</v>
      </c>
      <c r="BJ250" s="323">
        <v>0.21</v>
      </c>
      <c r="BK250" s="324">
        <v>20</v>
      </c>
      <c r="BL250" s="507">
        <v>25.329660000000001</v>
      </c>
      <c r="BM250" s="307">
        <v>0</v>
      </c>
      <c r="BN250" s="307">
        <v>99</v>
      </c>
      <c r="BO250" s="259" t="s">
        <v>2985</v>
      </c>
      <c r="BP250" s="350" t="s">
        <v>2303</v>
      </c>
      <c r="BS250" s="321"/>
    </row>
    <row r="251" spans="1:71" s="322" customFormat="1">
      <c r="A251" s="457">
        <v>1531</v>
      </c>
      <c r="B251" s="534" t="s">
        <v>3628</v>
      </c>
      <c r="C251" s="383"/>
      <c r="D251" s="383"/>
      <c r="E251" s="469"/>
      <c r="F251" s="303" t="s">
        <v>2092</v>
      </c>
      <c r="G251" s="386" t="s">
        <v>2659</v>
      </c>
      <c r="H251" s="454" t="s">
        <v>165</v>
      </c>
      <c r="I251" s="338" t="s">
        <v>3377</v>
      </c>
      <c r="J251" s="361">
        <v>1993</v>
      </c>
      <c r="K251" s="341">
        <v>348</v>
      </c>
      <c r="L251" s="340" t="s">
        <v>1745</v>
      </c>
      <c r="M251" s="341" t="s">
        <v>1739</v>
      </c>
      <c r="N251" s="446">
        <f t="shared" si="51"/>
        <v>0.3</v>
      </c>
      <c r="O251" s="349">
        <v>0.3</v>
      </c>
      <c r="P251" s="310">
        <f t="shared" si="56"/>
        <v>3.16</v>
      </c>
      <c r="Q251" s="408">
        <v>3.16</v>
      </c>
      <c r="R251" s="377">
        <f t="shared" si="53"/>
        <v>159.9</v>
      </c>
      <c r="S251" s="307">
        <v>533</v>
      </c>
      <c r="T251" s="377">
        <f t="shared" si="54"/>
        <v>533</v>
      </c>
      <c r="U251" s="377">
        <f t="shared" si="57"/>
        <v>1684.28</v>
      </c>
      <c r="V251" s="408" t="s">
        <v>2985</v>
      </c>
      <c r="W251" s="408" t="s">
        <v>2985</v>
      </c>
      <c r="X251" s="313" t="s">
        <v>12</v>
      </c>
      <c r="Y251" s="307" t="s">
        <v>12</v>
      </c>
      <c r="Z251" s="314" t="s">
        <v>2985</v>
      </c>
      <c r="AA251" s="311" t="s">
        <v>1754</v>
      </c>
      <c r="AB251" s="341" t="s">
        <v>273</v>
      </c>
      <c r="AC251" s="161" t="s">
        <v>2985</v>
      </c>
      <c r="AD251" s="511" t="s">
        <v>2312</v>
      </c>
      <c r="AE251" s="316" t="s">
        <v>2985</v>
      </c>
      <c r="AF251" s="316" t="s">
        <v>2985</v>
      </c>
      <c r="AG251" s="262" t="s">
        <v>2985</v>
      </c>
      <c r="AH251" s="313">
        <v>100</v>
      </c>
      <c r="AI251" s="348">
        <v>0</v>
      </c>
      <c r="AJ251" s="365">
        <v>0</v>
      </c>
      <c r="AK251" s="365">
        <v>0</v>
      </c>
      <c r="AL251" s="365">
        <v>0</v>
      </c>
      <c r="AM251" s="365">
        <v>0</v>
      </c>
      <c r="AN251" s="348">
        <v>0</v>
      </c>
      <c r="AO251" s="348">
        <v>0</v>
      </c>
      <c r="AP251" s="348">
        <v>0</v>
      </c>
      <c r="AQ251" s="348">
        <v>0</v>
      </c>
      <c r="AR251" s="348">
        <v>0</v>
      </c>
      <c r="AS251" s="348">
        <v>0</v>
      </c>
      <c r="AT251" s="348">
        <v>0</v>
      </c>
      <c r="AU251" s="348">
        <v>0</v>
      </c>
      <c r="AV251" s="348">
        <v>0</v>
      </c>
      <c r="AW251" s="348">
        <v>0</v>
      </c>
      <c r="AX251" s="341">
        <v>0</v>
      </c>
      <c r="AY251" s="354">
        <v>82.28</v>
      </c>
      <c r="AZ251" s="356"/>
      <c r="BA251" s="316" t="s">
        <v>2985</v>
      </c>
      <c r="BB251" s="94" t="s">
        <v>2985</v>
      </c>
      <c r="BC251" s="425" t="s">
        <v>521</v>
      </c>
      <c r="BD251" s="348" t="s">
        <v>3566</v>
      </c>
      <c r="BE251" s="353">
        <v>400</v>
      </c>
      <c r="BF251" s="316"/>
      <c r="BG251" s="348">
        <v>1600</v>
      </c>
      <c r="BH251" s="390">
        <f t="shared" si="58"/>
        <v>88.888888888888886</v>
      </c>
      <c r="BI251" s="303">
        <v>99</v>
      </c>
      <c r="BJ251" s="323">
        <v>0.12</v>
      </c>
      <c r="BK251" s="324">
        <v>20</v>
      </c>
      <c r="BL251" s="507">
        <v>25.329660000000001</v>
      </c>
      <c r="BM251" s="307">
        <v>0</v>
      </c>
      <c r="BN251" s="307">
        <v>99</v>
      </c>
      <c r="BO251" s="259" t="s">
        <v>2985</v>
      </c>
      <c r="BP251" s="350" t="s">
        <v>2303</v>
      </c>
      <c r="BS251" s="321"/>
    </row>
    <row r="252" spans="1:71" s="322" customFormat="1">
      <c r="A252" s="457">
        <v>1532</v>
      </c>
      <c r="B252" s="534" t="s">
        <v>3628</v>
      </c>
      <c r="C252" s="383"/>
      <c r="D252" s="383"/>
      <c r="E252" s="469"/>
      <c r="F252" s="303" t="s">
        <v>2093</v>
      </c>
      <c r="G252" s="386" t="s">
        <v>2659</v>
      </c>
      <c r="H252" s="454" t="s">
        <v>165</v>
      </c>
      <c r="I252" s="338" t="s">
        <v>3377</v>
      </c>
      <c r="J252" s="361">
        <v>1993</v>
      </c>
      <c r="K252" s="341">
        <v>348</v>
      </c>
      <c r="L252" s="340" t="s">
        <v>1745</v>
      </c>
      <c r="M252" s="341" t="s">
        <v>1739</v>
      </c>
      <c r="N252" s="446">
        <f t="shared" si="51"/>
        <v>0.3</v>
      </c>
      <c r="O252" s="349">
        <v>0.3</v>
      </c>
      <c r="P252" s="310">
        <f t="shared" si="56"/>
        <v>3.16</v>
      </c>
      <c r="Q252" s="408">
        <v>3.16</v>
      </c>
      <c r="R252" s="377">
        <f t="shared" si="53"/>
        <v>159.9</v>
      </c>
      <c r="S252" s="307">
        <v>533</v>
      </c>
      <c r="T252" s="377">
        <f t="shared" si="54"/>
        <v>533</v>
      </c>
      <c r="U252" s="377">
        <f t="shared" si="57"/>
        <v>1684.28</v>
      </c>
      <c r="V252" s="408" t="s">
        <v>2985</v>
      </c>
      <c r="W252" s="408" t="s">
        <v>2985</v>
      </c>
      <c r="X252" s="313" t="s">
        <v>12</v>
      </c>
      <c r="Y252" s="307" t="s">
        <v>12</v>
      </c>
      <c r="Z252" s="314" t="s">
        <v>2985</v>
      </c>
      <c r="AA252" s="311" t="s">
        <v>1754</v>
      </c>
      <c r="AB252" s="341" t="s">
        <v>273</v>
      </c>
      <c r="AC252" s="161" t="s">
        <v>2985</v>
      </c>
      <c r="AD252" s="511" t="s">
        <v>2312</v>
      </c>
      <c r="AE252" s="316" t="s">
        <v>2985</v>
      </c>
      <c r="AF252" s="316" t="s">
        <v>2985</v>
      </c>
      <c r="AG252" s="262" t="s">
        <v>2985</v>
      </c>
      <c r="AH252" s="313">
        <v>100</v>
      </c>
      <c r="AI252" s="348">
        <v>0</v>
      </c>
      <c r="AJ252" s="365">
        <v>0</v>
      </c>
      <c r="AK252" s="365">
        <v>0</v>
      </c>
      <c r="AL252" s="365">
        <v>0</v>
      </c>
      <c r="AM252" s="365">
        <v>0</v>
      </c>
      <c r="AN252" s="348">
        <v>0</v>
      </c>
      <c r="AO252" s="348">
        <v>0</v>
      </c>
      <c r="AP252" s="348">
        <v>0</v>
      </c>
      <c r="AQ252" s="348">
        <v>0</v>
      </c>
      <c r="AR252" s="348">
        <v>0</v>
      </c>
      <c r="AS252" s="348">
        <v>0</v>
      </c>
      <c r="AT252" s="348">
        <v>0</v>
      </c>
      <c r="AU252" s="348">
        <v>0</v>
      </c>
      <c r="AV252" s="348">
        <v>0</v>
      </c>
      <c r="AW252" s="348">
        <v>0</v>
      </c>
      <c r="AX252" s="341">
        <v>0</v>
      </c>
      <c r="AY252" s="354">
        <v>82.28</v>
      </c>
      <c r="AZ252" s="356"/>
      <c r="BA252" s="316" t="s">
        <v>2985</v>
      </c>
      <c r="BB252" s="94" t="s">
        <v>2985</v>
      </c>
      <c r="BC252" s="425" t="s">
        <v>521</v>
      </c>
      <c r="BD252" s="348" t="s">
        <v>3566</v>
      </c>
      <c r="BE252" s="353">
        <v>400</v>
      </c>
      <c r="BF252" s="316"/>
      <c r="BG252" s="348">
        <v>1600</v>
      </c>
      <c r="BH252" s="390">
        <f t="shared" si="58"/>
        <v>88.888888888888886</v>
      </c>
      <c r="BI252" s="303">
        <v>99</v>
      </c>
      <c r="BJ252" s="323">
        <v>0.16</v>
      </c>
      <c r="BK252" s="324">
        <v>20</v>
      </c>
      <c r="BL252" s="507">
        <v>25.329660000000001</v>
      </c>
      <c r="BM252" s="307">
        <v>0</v>
      </c>
      <c r="BN252" s="307">
        <v>99</v>
      </c>
      <c r="BO252" s="259" t="s">
        <v>2985</v>
      </c>
      <c r="BP252" s="350" t="s">
        <v>2303</v>
      </c>
      <c r="BS252" s="321"/>
    </row>
    <row r="253" spans="1:71" s="322" customFormat="1">
      <c r="A253" s="457">
        <v>1533</v>
      </c>
      <c r="B253" s="534" t="s">
        <v>3603</v>
      </c>
      <c r="C253" s="383"/>
      <c r="D253" s="383"/>
      <c r="E253" s="469"/>
      <c r="F253" s="303" t="s">
        <v>2094</v>
      </c>
      <c r="G253" s="386" t="s">
        <v>2659</v>
      </c>
      <c r="H253" s="454" t="s">
        <v>165</v>
      </c>
      <c r="I253" s="338" t="s">
        <v>3377</v>
      </c>
      <c r="J253" s="361">
        <v>1993</v>
      </c>
      <c r="K253" s="341">
        <v>348</v>
      </c>
      <c r="L253" s="340" t="s">
        <v>1745</v>
      </c>
      <c r="M253" s="341" t="s">
        <v>1739</v>
      </c>
      <c r="N253" s="446">
        <f t="shared" si="51"/>
        <v>0.16863821996901845</v>
      </c>
      <c r="O253" s="349">
        <v>0.18518518518518517</v>
      </c>
      <c r="P253" s="329">
        <v>1.4652777777777777</v>
      </c>
      <c r="Q253" s="310">
        <f t="shared" ref="Q253:Q258" si="59">U253/T253</f>
        <v>1.3343499155048586</v>
      </c>
      <c r="R253" s="377">
        <f t="shared" si="53"/>
        <v>160</v>
      </c>
      <c r="S253" s="307">
        <v>864</v>
      </c>
      <c r="T253" s="377">
        <f t="shared" si="54"/>
        <v>948.77661795407096</v>
      </c>
      <c r="U253" s="377">
        <f t="shared" ref="U253:U258" si="60">P253*S253</f>
        <v>1266</v>
      </c>
      <c r="V253" s="408" t="s">
        <v>2985</v>
      </c>
      <c r="W253" s="408" t="s">
        <v>2985</v>
      </c>
      <c r="X253" s="313" t="s">
        <v>12</v>
      </c>
      <c r="Y253" s="307" t="s">
        <v>12</v>
      </c>
      <c r="Z253" s="314" t="s">
        <v>2985</v>
      </c>
      <c r="AA253" s="311" t="s">
        <v>3538</v>
      </c>
      <c r="AB253" s="341" t="s">
        <v>273</v>
      </c>
      <c r="AC253" s="161" t="s">
        <v>2985</v>
      </c>
      <c r="AD253" s="511" t="s">
        <v>2320</v>
      </c>
      <c r="AE253" s="316" t="s">
        <v>2985</v>
      </c>
      <c r="AF253" s="316" t="s">
        <v>2985</v>
      </c>
      <c r="AG253" s="262" t="s">
        <v>2985</v>
      </c>
      <c r="AH253" s="344">
        <v>90.187891440501048</v>
      </c>
      <c r="AI253" s="352">
        <v>9.8121085594989559</v>
      </c>
      <c r="AJ253" s="395">
        <v>0</v>
      </c>
      <c r="AK253" s="365">
        <v>0</v>
      </c>
      <c r="AL253" s="365">
        <v>0</v>
      </c>
      <c r="AM253" s="365">
        <v>0</v>
      </c>
      <c r="AN253" s="353">
        <v>0</v>
      </c>
      <c r="AO253" s="353">
        <v>0</v>
      </c>
      <c r="AP253" s="348">
        <v>0</v>
      </c>
      <c r="AQ253" s="348">
        <v>0</v>
      </c>
      <c r="AR253" s="348">
        <v>0</v>
      </c>
      <c r="AS253" s="348">
        <v>0</v>
      </c>
      <c r="AT253" s="352">
        <v>2.2546972860125263</v>
      </c>
      <c r="AU253" s="348">
        <v>0</v>
      </c>
      <c r="AV253" s="348">
        <v>0</v>
      </c>
      <c r="AW253" s="348">
        <v>0</v>
      </c>
      <c r="AX253" s="341">
        <v>0</v>
      </c>
      <c r="AY253" s="354">
        <v>174.9</v>
      </c>
      <c r="AZ253" s="356"/>
      <c r="BA253" s="316" t="s">
        <v>2985</v>
      </c>
      <c r="BB253" s="94" t="s">
        <v>2985</v>
      </c>
      <c r="BC253" s="425" t="s">
        <v>521</v>
      </c>
      <c r="BD253" s="348" t="s">
        <v>3567</v>
      </c>
      <c r="BE253" s="353">
        <v>100</v>
      </c>
      <c r="BF253" s="316"/>
      <c r="BG253" s="348">
        <v>1200</v>
      </c>
      <c r="BH253" s="390">
        <f t="shared" si="58"/>
        <v>24</v>
      </c>
      <c r="BI253" s="303">
        <v>99</v>
      </c>
      <c r="BJ253" s="323">
        <v>0.17</v>
      </c>
      <c r="BK253" s="324">
        <v>20</v>
      </c>
      <c r="BL253" s="507">
        <v>25.329660000000001</v>
      </c>
      <c r="BM253" s="307">
        <v>0</v>
      </c>
      <c r="BN253" s="307">
        <v>99</v>
      </c>
      <c r="BO253" s="259" t="s">
        <v>2985</v>
      </c>
      <c r="BP253" s="350" t="s">
        <v>1815</v>
      </c>
      <c r="BS253" s="321"/>
    </row>
    <row r="254" spans="1:71" s="322" customFormat="1">
      <c r="A254" s="457">
        <v>1534</v>
      </c>
      <c r="B254" s="534" t="s">
        <v>3603</v>
      </c>
      <c r="C254" s="383"/>
      <c r="D254" s="383"/>
      <c r="E254" s="469"/>
      <c r="F254" s="303" t="s">
        <v>2095</v>
      </c>
      <c r="G254" s="386" t="s">
        <v>2659</v>
      </c>
      <c r="H254" s="454" t="s">
        <v>165</v>
      </c>
      <c r="I254" s="338" t="s">
        <v>3377</v>
      </c>
      <c r="J254" s="361">
        <v>1993</v>
      </c>
      <c r="K254" s="341">
        <v>348</v>
      </c>
      <c r="L254" s="340" t="s">
        <v>1745</v>
      </c>
      <c r="M254" s="341" t="s">
        <v>1739</v>
      </c>
      <c r="N254" s="446">
        <f t="shared" si="51"/>
        <v>0.16863821996901845</v>
      </c>
      <c r="O254" s="349">
        <v>0.18518518518518517</v>
      </c>
      <c r="P254" s="329">
        <v>1.4652777777777777</v>
      </c>
      <c r="Q254" s="310">
        <f t="shared" si="59"/>
        <v>1.3343499155048586</v>
      </c>
      <c r="R254" s="377">
        <f t="shared" si="53"/>
        <v>160</v>
      </c>
      <c r="S254" s="307">
        <v>864</v>
      </c>
      <c r="T254" s="377">
        <f t="shared" si="54"/>
        <v>948.77661795407096</v>
      </c>
      <c r="U254" s="377">
        <f t="shared" si="60"/>
        <v>1266</v>
      </c>
      <c r="V254" s="408" t="s">
        <v>2985</v>
      </c>
      <c r="W254" s="408" t="s">
        <v>2985</v>
      </c>
      <c r="X254" s="313" t="s">
        <v>12</v>
      </c>
      <c r="Y254" s="307" t="s">
        <v>12</v>
      </c>
      <c r="Z254" s="314" t="s">
        <v>2985</v>
      </c>
      <c r="AA254" s="311" t="s">
        <v>3538</v>
      </c>
      <c r="AB254" s="341" t="s">
        <v>273</v>
      </c>
      <c r="AC254" s="161" t="s">
        <v>2985</v>
      </c>
      <c r="AD254" s="511" t="s">
        <v>2320</v>
      </c>
      <c r="AE254" s="316" t="s">
        <v>2985</v>
      </c>
      <c r="AF254" s="316" t="s">
        <v>2985</v>
      </c>
      <c r="AG254" s="262" t="s">
        <v>2985</v>
      </c>
      <c r="AH254" s="344">
        <v>90.187891440501048</v>
      </c>
      <c r="AI254" s="352">
        <v>9.8121085594989559</v>
      </c>
      <c r="AJ254" s="395">
        <v>0</v>
      </c>
      <c r="AK254" s="365">
        <v>0</v>
      </c>
      <c r="AL254" s="365">
        <v>0</v>
      </c>
      <c r="AM254" s="365">
        <v>0</v>
      </c>
      <c r="AN254" s="353">
        <v>0</v>
      </c>
      <c r="AO254" s="353">
        <v>0</v>
      </c>
      <c r="AP254" s="348">
        <v>0</v>
      </c>
      <c r="AQ254" s="348">
        <v>0</v>
      </c>
      <c r="AR254" s="348">
        <v>0</v>
      </c>
      <c r="AS254" s="348">
        <v>0</v>
      </c>
      <c r="AT254" s="352">
        <v>2.2546972860125263</v>
      </c>
      <c r="AU254" s="348">
        <v>0</v>
      </c>
      <c r="AV254" s="348">
        <v>0</v>
      </c>
      <c r="AW254" s="348">
        <v>0</v>
      </c>
      <c r="AX254" s="341">
        <v>0</v>
      </c>
      <c r="AY254" s="354">
        <v>174.9</v>
      </c>
      <c r="AZ254" s="356"/>
      <c r="BA254" s="316" t="s">
        <v>2985</v>
      </c>
      <c r="BB254" s="94" t="s">
        <v>2985</v>
      </c>
      <c r="BC254" s="425" t="s">
        <v>521</v>
      </c>
      <c r="BD254" s="348" t="s">
        <v>3567</v>
      </c>
      <c r="BE254" s="353">
        <v>100</v>
      </c>
      <c r="BF254" s="316"/>
      <c r="BG254" s="348">
        <v>1200</v>
      </c>
      <c r="BH254" s="390">
        <f t="shared" si="58"/>
        <v>24</v>
      </c>
      <c r="BI254" s="303">
        <v>99</v>
      </c>
      <c r="BJ254" s="323">
        <v>0.16</v>
      </c>
      <c r="BK254" s="324">
        <v>20</v>
      </c>
      <c r="BL254" s="507">
        <v>26.571829999999999</v>
      </c>
      <c r="BM254" s="307">
        <v>0</v>
      </c>
      <c r="BN254" s="307">
        <v>99</v>
      </c>
      <c r="BO254" s="259" t="s">
        <v>2985</v>
      </c>
      <c r="BP254" s="350" t="s">
        <v>1815</v>
      </c>
      <c r="BS254" s="321"/>
    </row>
    <row r="255" spans="1:71" s="322" customFormat="1">
      <c r="A255" s="457">
        <v>1535</v>
      </c>
      <c r="B255" s="534" t="s">
        <v>3603</v>
      </c>
      <c r="C255" s="383"/>
      <c r="D255" s="383"/>
      <c r="E255" s="469"/>
      <c r="F255" s="303" t="s">
        <v>2096</v>
      </c>
      <c r="G255" s="386" t="s">
        <v>2659</v>
      </c>
      <c r="H255" s="454" t="s">
        <v>165</v>
      </c>
      <c r="I255" s="338" t="s">
        <v>3377</v>
      </c>
      <c r="J255" s="361">
        <v>1993</v>
      </c>
      <c r="K255" s="341">
        <v>348</v>
      </c>
      <c r="L255" s="340" t="s">
        <v>1745</v>
      </c>
      <c r="M255" s="341" t="s">
        <v>1739</v>
      </c>
      <c r="N255" s="446">
        <f t="shared" si="51"/>
        <v>0.30018761726078802</v>
      </c>
      <c r="O255" s="349">
        <v>0.30018761726078802</v>
      </c>
      <c r="P255" s="329">
        <v>3.095684803001876</v>
      </c>
      <c r="Q255" s="310">
        <f t="shared" si="59"/>
        <v>3.095684803001876</v>
      </c>
      <c r="R255" s="377">
        <f t="shared" ref="R255:R258" si="61">O255*S255</f>
        <v>160.00000000000003</v>
      </c>
      <c r="S255" s="307">
        <v>533</v>
      </c>
      <c r="T255" s="377">
        <f t="shared" ref="T255:T258" si="62">(((SUM(AI255:AR255)/100)*(S255))+S255)</f>
        <v>533</v>
      </c>
      <c r="U255" s="377">
        <f t="shared" si="60"/>
        <v>1650</v>
      </c>
      <c r="V255" s="408" t="s">
        <v>2985</v>
      </c>
      <c r="W255" s="408" t="s">
        <v>2985</v>
      </c>
      <c r="X255" s="313" t="s">
        <v>12</v>
      </c>
      <c r="Y255" s="307" t="s">
        <v>12</v>
      </c>
      <c r="Z255" s="314" t="s">
        <v>2985</v>
      </c>
      <c r="AA255" s="311" t="s">
        <v>1754</v>
      </c>
      <c r="AB255" s="341" t="s">
        <v>273</v>
      </c>
      <c r="AC255" s="161" t="s">
        <v>2985</v>
      </c>
      <c r="AD255" s="511" t="s">
        <v>2312</v>
      </c>
      <c r="AE255" s="316" t="s">
        <v>2985</v>
      </c>
      <c r="AF255" s="316" t="s">
        <v>2985</v>
      </c>
      <c r="AG255" s="262" t="s">
        <v>2985</v>
      </c>
      <c r="AH255" s="344">
        <v>100</v>
      </c>
      <c r="AI255" s="353">
        <v>0</v>
      </c>
      <c r="AJ255" s="395">
        <v>0</v>
      </c>
      <c r="AK255" s="365">
        <v>0</v>
      </c>
      <c r="AL255" s="365">
        <v>0</v>
      </c>
      <c r="AM255" s="365">
        <v>0</v>
      </c>
      <c r="AN255" s="353">
        <v>0</v>
      </c>
      <c r="AO255" s="353">
        <v>0</v>
      </c>
      <c r="AP255" s="348">
        <v>0</v>
      </c>
      <c r="AQ255" s="348">
        <v>0</v>
      </c>
      <c r="AR255" s="348">
        <v>0</v>
      </c>
      <c r="AS255" s="348">
        <v>0</v>
      </c>
      <c r="AT255" s="353">
        <v>0.3</v>
      </c>
      <c r="AU255" s="348">
        <v>0</v>
      </c>
      <c r="AV255" s="348">
        <v>0</v>
      </c>
      <c r="AW255" s="348">
        <v>0</v>
      </c>
      <c r="AX255" s="341">
        <v>0</v>
      </c>
      <c r="AY255" s="354">
        <v>82.24</v>
      </c>
      <c r="AZ255" s="356"/>
      <c r="BA255" s="316" t="s">
        <v>2985</v>
      </c>
      <c r="BB255" s="94" t="s">
        <v>2985</v>
      </c>
      <c r="BC255" s="425" t="s">
        <v>521</v>
      </c>
      <c r="BD255" s="348" t="s">
        <v>3567</v>
      </c>
      <c r="BE255" s="353">
        <v>100</v>
      </c>
      <c r="BF255" s="316"/>
      <c r="BG255" s="348">
        <v>1200</v>
      </c>
      <c r="BH255" s="390">
        <f t="shared" si="58"/>
        <v>24</v>
      </c>
      <c r="BI255" s="303">
        <v>99</v>
      </c>
      <c r="BJ255" s="323">
        <v>0.17</v>
      </c>
      <c r="BK255" s="324">
        <v>20</v>
      </c>
      <c r="BL255" s="507">
        <v>29.24869</v>
      </c>
      <c r="BM255" s="307">
        <v>0</v>
      </c>
      <c r="BN255" s="307">
        <v>99</v>
      </c>
      <c r="BO255" s="259" t="s">
        <v>2985</v>
      </c>
      <c r="BP255" s="350" t="s">
        <v>1815</v>
      </c>
      <c r="BS255" s="321"/>
    </row>
    <row r="256" spans="1:71" s="322" customFormat="1">
      <c r="A256" s="457">
        <v>1536</v>
      </c>
      <c r="B256" s="534" t="s">
        <v>3603</v>
      </c>
      <c r="C256" s="383"/>
      <c r="D256" s="383"/>
      <c r="E256" s="469"/>
      <c r="F256" s="303" t="s">
        <v>2097</v>
      </c>
      <c r="G256" s="386" t="s">
        <v>2659</v>
      </c>
      <c r="H256" s="454" t="s">
        <v>165</v>
      </c>
      <c r="I256" s="338" t="s">
        <v>3377</v>
      </c>
      <c r="J256" s="361">
        <v>1993</v>
      </c>
      <c r="K256" s="341">
        <v>348</v>
      </c>
      <c r="L256" s="340" t="s">
        <v>1745</v>
      </c>
      <c r="M256" s="341" t="s">
        <v>1739</v>
      </c>
      <c r="N256" s="446">
        <f t="shared" si="51"/>
        <v>0.30018761726078802</v>
      </c>
      <c r="O256" s="349">
        <v>0.30018761726078802</v>
      </c>
      <c r="P256" s="329">
        <v>3.095684803001876</v>
      </c>
      <c r="Q256" s="310">
        <f t="shared" si="59"/>
        <v>3.095684803001876</v>
      </c>
      <c r="R256" s="377">
        <f t="shared" si="61"/>
        <v>160.00000000000003</v>
      </c>
      <c r="S256" s="307">
        <v>533</v>
      </c>
      <c r="T256" s="377">
        <f t="shared" si="62"/>
        <v>533</v>
      </c>
      <c r="U256" s="377">
        <f t="shared" si="60"/>
        <v>1650</v>
      </c>
      <c r="V256" s="408" t="s">
        <v>2985</v>
      </c>
      <c r="W256" s="408" t="s">
        <v>2985</v>
      </c>
      <c r="X256" s="313" t="s">
        <v>12</v>
      </c>
      <c r="Y256" s="307" t="s">
        <v>12</v>
      </c>
      <c r="Z256" s="314" t="s">
        <v>2985</v>
      </c>
      <c r="AA256" s="311" t="s">
        <v>1754</v>
      </c>
      <c r="AB256" s="341" t="s">
        <v>273</v>
      </c>
      <c r="AC256" s="161" t="s">
        <v>2985</v>
      </c>
      <c r="AD256" s="511" t="s">
        <v>2312</v>
      </c>
      <c r="AE256" s="316" t="s">
        <v>2985</v>
      </c>
      <c r="AF256" s="316" t="s">
        <v>2985</v>
      </c>
      <c r="AG256" s="262" t="s">
        <v>2985</v>
      </c>
      <c r="AH256" s="344">
        <v>100</v>
      </c>
      <c r="AI256" s="353">
        <v>0</v>
      </c>
      <c r="AJ256" s="395">
        <v>0</v>
      </c>
      <c r="AK256" s="365">
        <v>0</v>
      </c>
      <c r="AL256" s="365">
        <v>0</v>
      </c>
      <c r="AM256" s="365">
        <v>0</v>
      </c>
      <c r="AN256" s="353">
        <v>0</v>
      </c>
      <c r="AO256" s="353">
        <v>0</v>
      </c>
      <c r="AP256" s="348">
        <v>0</v>
      </c>
      <c r="AQ256" s="348">
        <v>0</v>
      </c>
      <c r="AR256" s="348">
        <v>0</v>
      </c>
      <c r="AS256" s="348">
        <v>0</v>
      </c>
      <c r="AT256" s="353">
        <v>0.3</v>
      </c>
      <c r="AU256" s="348">
        <v>0</v>
      </c>
      <c r="AV256" s="348">
        <v>0</v>
      </c>
      <c r="AW256" s="348">
        <v>0</v>
      </c>
      <c r="AX256" s="341">
        <v>0</v>
      </c>
      <c r="AY256" s="354">
        <v>82.24</v>
      </c>
      <c r="AZ256" s="356"/>
      <c r="BA256" s="316" t="s">
        <v>2985</v>
      </c>
      <c r="BB256" s="94" t="s">
        <v>2985</v>
      </c>
      <c r="BC256" s="425" t="s">
        <v>521</v>
      </c>
      <c r="BD256" s="348" t="s">
        <v>3567</v>
      </c>
      <c r="BE256" s="353">
        <v>100</v>
      </c>
      <c r="BF256" s="316"/>
      <c r="BG256" s="348">
        <v>1200</v>
      </c>
      <c r="BH256" s="390">
        <f t="shared" si="58"/>
        <v>24</v>
      </c>
      <c r="BI256" s="303">
        <v>99</v>
      </c>
      <c r="BJ256" s="323">
        <v>0.16</v>
      </c>
      <c r="BK256" s="324">
        <v>20</v>
      </c>
      <c r="BL256" s="507">
        <v>29.24869</v>
      </c>
      <c r="BM256" s="307">
        <v>0</v>
      </c>
      <c r="BN256" s="307">
        <v>99</v>
      </c>
      <c r="BO256" s="259" t="s">
        <v>2985</v>
      </c>
      <c r="BP256" s="350" t="s">
        <v>1815</v>
      </c>
      <c r="BS256" s="321"/>
    </row>
    <row r="257" spans="1:71" s="322" customFormat="1">
      <c r="A257" s="457">
        <v>1537</v>
      </c>
      <c r="B257" s="534" t="s">
        <v>3603</v>
      </c>
      <c r="C257" s="383"/>
      <c r="D257" s="383"/>
      <c r="E257" s="469"/>
      <c r="F257" s="303" t="s">
        <v>2098</v>
      </c>
      <c r="G257" s="386" t="s">
        <v>2659</v>
      </c>
      <c r="H257" s="454" t="s">
        <v>165</v>
      </c>
      <c r="I257" s="338" t="s">
        <v>3377</v>
      </c>
      <c r="J257" s="361">
        <v>1993</v>
      </c>
      <c r="K257" s="341">
        <v>348</v>
      </c>
      <c r="L257" s="340" t="s">
        <v>1745</v>
      </c>
      <c r="M257" s="341" t="s">
        <v>1739</v>
      </c>
      <c r="N257" s="446">
        <f t="shared" si="51"/>
        <v>0.4</v>
      </c>
      <c r="O257" s="349">
        <v>0.4</v>
      </c>
      <c r="P257" s="329">
        <v>3.6333333333333333</v>
      </c>
      <c r="Q257" s="310">
        <f t="shared" si="59"/>
        <v>3.6333333333333333</v>
      </c>
      <c r="R257" s="377">
        <f t="shared" si="61"/>
        <v>180</v>
      </c>
      <c r="S257" s="307">
        <v>450</v>
      </c>
      <c r="T257" s="377">
        <f t="shared" si="62"/>
        <v>450</v>
      </c>
      <c r="U257" s="377">
        <f t="shared" si="60"/>
        <v>1635</v>
      </c>
      <c r="V257" s="408" t="s">
        <v>2985</v>
      </c>
      <c r="W257" s="408" t="s">
        <v>2985</v>
      </c>
      <c r="X257" s="313" t="s">
        <v>12</v>
      </c>
      <c r="Y257" s="307" t="s">
        <v>12</v>
      </c>
      <c r="Z257" s="314" t="s">
        <v>2985</v>
      </c>
      <c r="AA257" s="311" t="s">
        <v>1754</v>
      </c>
      <c r="AB257" s="341" t="s">
        <v>273</v>
      </c>
      <c r="AC257" s="161" t="s">
        <v>2985</v>
      </c>
      <c r="AD257" s="511" t="s">
        <v>2312</v>
      </c>
      <c r="AE257" s="316" t="s">
        <v>2985</v>
      </c>
      <c r="AF257" s="316" t="s">
        <v>2985</v>
      </c>
      <c r="AG257" s="262" t="s">
        <v>2985</v>
      </c>
      <c r="AH257" s="344">
        <v>100</v>
      </c>
      <c r="AI257" s="353">
        <v>0</v>
      </c>
      <c r="AJ257" s="395">
        <v>0</v>
      </c>
      <c r="AK257" s="365">
        <v>0</v>
      </c>
      <c r="AL257" s="365">
        <v>0</v>
      </c>
      <c r="AM257" s="365">
        <v>0</v>
      </c>
      <c r="AN257" s="353">
        <v>0</v>
      </c>
      <c r="AO257" s="353">
        <v>0</v>
      </c>
      <c r="AP257" s="348">
        <v>0</v>
      </c>
      <c r="AQ257" s="348">
        <v>0</v>
      </c>
      <c r="AR257" s="348">
        <v>0</v>
      </c>
      <c r="AS257" s="348">
        <v>0</v>
      </c>
      <c r="AT257" s="353">
        <v>0.1</v>
      </c>
      <c r="AU257" s="348">
        <v>0</v>
      </c>
      <c r="AV257" s="348">
        <v>0</v>
      </c>
      <c r="AW257" s="348">
        <v>0</v>
      </c>
      <c r="AX257" s="341">
        <v>0</v>
      </c>
      <c r="AY257" s="354">
        <v>60.22</v>
      </c>
      <c r="AZ257" s="356"/>
      <c r="BA257" s="316" t="s">
        <v>2985</v>
      </c>
      <c r="BB257" s="94" t="s">
        <v>2985</v>
      </c>
      <c r="BC257" s="425" t="s">
        <v>521</v>
      </c>
      <c r="BD257" s="348" t="s">
        <v>3567</v>
      </c>
      <c r="BE257" s="353">
        <v>100</v>
      </c>
      <c r="BF257" s="316"/>
      <c r="BG257" s="348">
        <v>1200</v>
      </c>
      <c r="BH257" s="390">
        <f t="shared" si="58"/>
        <v>24</v>
      </c>
      <c r="BI257" s="303">
        <v>99</v>
      </c>
      <c r="BJ257" s="323">
        <v>0.17</v>
      </c>
      <c r="BK257" s="324">
        <v>20</v>
      </c>
      <c r="BL257" s="507">
        <v>28.602039999999999</v>
      </c>
      <c r="BM257" s="307">
        <v>0</v>
      </c>
      <c r="BN257" s="307">
        <v>99</v>
      </c>
      <c r="BO257" s="332" t="s">
        <v>2985</v>
      </c>
      <c r="BP257" s="350" t="s">
        <v>1815</v>
      </c>
      <c r="BS257" s="321"/>
    </row>
    <row r="258" spans="1:71" s="322" customFormat="1">
      <c r="A258" s="457">
        <v>1538</v>
      </c>
      <c r="B258" s="534" t="s">
        <v>3603</v>
      </c>
      <c r="C258" s="383"/>
      <c r="D258" s="383"/>
      <c r="E258" s="469"/>
      <c r="F258" s="303" t="s">
        <v>2099</v>
      </c>
      <c r="G258" s="386" t="s">
        <v>2659</v>
      </c>
      <c r="H258" s="454" t="s">
        <v>165</v>
      </c>
      <c r="I258" s="338" t="s">
        <v>3377</v>
      </c>
      <c r="J258" s="361">
        <v>1993</v>
      </c>
      <c r="K258" s="341">
        <v>348</v>
      </c>
      <c r="L258" s="340" t="s">
        <v>1745</v>
      </c>
      <c r="M258" s="341" t="s">
        <v>1739</v>
      </c>
      <c r="N258" s="446">
        <f t="shared" si="51"/>
        <v>0.4</v>
      </c>
      <c r="O258" s="349">
        <v>0.4</v>
      </c>
      <c r="P258" s="329">
        <v>3.6333333333333333</v>
      </c>
      <c r="Q258" s="310">
        <f t="shared" si="59"/>
        <v>3.6333333333333333</v>
      </c>
      <c r="R258" s="377">
        <f t="shared" si="61"/>
        <v>180</v>
      </c>
      <c r="S258" s="307">
        <v>450</v>
      </c>
      <c r="T258" s="377">
        <f t="shared" si="62"/>
        <v>450</v>
      </c>
      <c r="U258" s="377">
        <f t="shared" si="60"/>
        <v>1635</v>
      </c>
      <c r="V258" s="408" t="s">
        <v>2985</v>
      </c>
      <c r="W258" s="408" t="s">
        <v>2985</v>
      </c>
      <c r="X258" s="313" t="s">
        <v>12</v>
      </c>
      <c r="Y258" s="307" t="s">
        <v>12</v>
      </c>
      <c r="Z258" s="314" t="s">
        <v>2985</v>
      </c>
      <c r="AA258" s="311" t="s">
        <v>1754</v>
      </c>
      <c r="AB258" s="341" t="s">
        <v>273</v>
      </c>
      <c r="AC258" s="161" t="s">
        <v>2985</v>
      </c>
      <c r="AD258" s="511" t="s">
        <v>2312</v>
      </c>
      <c r="AE258" s="316" t="s">
        <v>2985</v>
      </c>
      <c r="AF258" s="316" t="s">
        <v>2985</v>
      </c>
      <c r="AG258" s="262" t="s">
        <v>2985</v>
      </c>
      <c r="AH258" s="344">
        <v>100</v>
      </c>
      <c r="AI258" s="353">
        <v>0</v>
      </c>
      <c r="AJ258" s="395">
        <v>0</v>
      </c>
      <c r="AK258" s="365">
        <v>0</v>
      </c>
      <c r="AL258" s="365">
        <v>0</v>
      </c>
      <c r="AM258" s="365">
        <v>0</v>
      </c>
      <c r="AN258" s="353">
        <v>0</v>
      </c>
      <c r="AO258" s="353">
        <v>0</v>
      </c>
      <c r="AP258" s="348">
        <v>0</v>
      </c>
      <c r="AQ258" s="348">
        <v>0</v>
      </c>
      <c r="AR258" s="348">
        <v>0</v>
      </c>
      <c r="AS258" s="348">
        <v>0</v>
      </c>
      <c r="AT258" s="353">
        <v>0.1</v>
      </c>
      <c r="AU258" s="348">
        <v>0</v>
      </c>
      <c r="AV258" s="348">
        <v>0</v>
      </c>
      <c r="AW258" s="348">
        <v>0</v>
      </c>
      <c r="AX258" s="341">
        <v>0</v>
      </c>
      <c r="AY258" s="354">
        <v>60.22</v>
      </c>
      <c r="AZ258" s="356"/>
      <c r="BA258" s="316" t="s">
        <v>2985</v>
      </c>
      <c r="BB258" s="94" t="s">
        <v>2985</v>
      </c>
      <c r="BC258" s="425" t="s">
        <v>521</v>
      </c>
      <c r="BD258" s="348" t="s">
        <v>3567</v>
      </c>
      <c r="BE258" s="353">
        <v>100</v>
      </c>
      <c r="BF258" s="316"/>
      <c r="BG258" s="348">
        <v>1200</v>
      </c>
      <c r="BH258" s="390">
        <f t="shared" si="58"/>
        <v>24</v>
      </c>
      <c r="BI258" s="303">
        <v>99</v>
      </c>
      <c r="BJ258" s="323">
        <v>0.16</v>
      </c>
      <c r="BK258" s="324">
        <v>20</v>
      </c>
      <c r="BL258" s="507">
        <v>28.602039999999999</v>
      </c>
      <c r="BM258" s="307">
        <v>0</v>
      </c>
      <c r="BN258" s="307">
        <v>99</v>
      </c>
      <c r="BO258" s="332" t="s">
        <v>2985</v>
      </c>
      <c r="BP258" s="350" t="s">
        <v>1815</v>
      </c>
      <c r="BS258" s="321"/>
    </row>
    <row r="259" spans="1:71" s="322" customFormat="1">
      <c r="A259" s="457">
        <v>1539</v>
      </c>
      <c r="B259" s="534" t="s">
        <v>3624</v>
      </c>
      <c r="C259" s="383"/>
      <c r="D259" s="383"/>
      <c r="E259" s="469"/>
      <c r="F259" s="303" t="s">
        <v>2100</v>
      </c>
      <c r="G259" s="386" t="s">
        <v>2659</v>
      </c>
      <c r="H259" s="454" t="s">
        <v>165</v>
      </c>
      <c r="I259" s="338" t="s">
        <v>3377</v>
      </c>
      <c r="J259" s="361">
        <v>1995</v>
      </c>
      <c r="K259" s="341">
        <v>349</v>
      </c>
      <c r="L259" s="340" t="s">
        <v>1745</v>
      </c>
      <c r="M259" s="341" t="s">
        <v>1739</v>
      </c>
      <c r="N259" s="447" t="s">
        <v>2985</v>
      </c>
      <c r="O259" s="349">
        <v>0.4</v>
      </c>
      <c r="P259" s="408" t="s">
        <v>2985</v>
      </c>
      <c r="Q259" s="408" t="s">
        <v>2985</v>
      </c>
      <c r="R259" s="317" t="s">
        <v>2985</v>
      </c>
      <c r="S259" s="317" t="s">
        <v>2985</v>
      </c>
      <c r="T259" s="318" t="s">
        <v>2985</v>
      </c>
      <c r="U259" s="318" t="s">
        <v>2985</v>
      </c>
      <c r="V259" s="408" t="s">
        <v>2985</v>
      </c>
      <c r="W259" s="408" t="s">
        <v>2985</v>
      </c>
      <c r="X259" s="313" t="s">
        <v>12</v>
      </c>
      <c r="Y259" s="307" t="s">
        <v>12</v>
      </c>
      <c r="Z259" s="314" t="s">
        <v>2985</v>
      </c>
      <c r="AA259" s="311" t="s">
        <v>1754</v>
      </c>
      <c r="AB259" s="341" t="s">
        <v>273</v>
      </c>
      <c r="AC259" s="161" t="s">
        <v>2985</v>
      </c>
      <c r="AD259" s="511" t="s">
        <v>2985</v>
      </c>
      <c r="AE259" s="316" t="s">
        <v>2985</v>
      </c>
      <c r="AF259" s="316" t="s">
        <v>2985</v>
      </c>
      <c r="AG259" s="262" t="s">
        <v>2985</v>
      </c>
      <c r="AH259" s="313">
        <v>100</v>
      </c>
      <c r="AI259" s="348">
        <v>0</v>
      </c>
      <c r="AJ259" s="365">
        <v>0</v>
      </c>
      <c r="AK259" s="365">
        <v>0</v>
      </c>
      <c r="AL259" s="365">
        <v>0</v>
      </c>
      <c r="AM259" s="365">
        <v>0</v>
      </c>
      <c r="AN259" s="348">
        <v>0</v>
      </c>
      <c r="AO259" s="348">
        <v>0</v>
      </c>
      <c r="AP259" s="348">
        <v>0</v>
      </c>
      <c r="AQ259" s="348">
        <v>0</v>
      </c>
      <c r="AR259" s="348">
        <v>0</v>
      </c>
      <c r="AS259" s="348">
        <v>0</v>
      </c>
      <c r="AT259" s="348">
        <v>0</v>
      </c>
      <c r="AU259" s="348">
        <v>0</v>
      </c>
      <c r="AV259" s="348">
        <v>0</v>
      </c>
      <c r="AW259" s="348">
        <v>0</v>
      </c>
      <c r="AX259" s="341">
        <v>0</v>
      </c>
      <c r="AY259" s="354" t="s">
        <v>2985</v>
      </c>
      <c r="AZ259" s="316"/>
      <c r="BA259" s="316" t="s">
        <v>2985</v>
      </c>
      <c r="BB259" s="94" t="s">
        <v>2985</v>
      </c>
      <c r="BC259" s="425" t="s">
        <v>521</v>
      </c>
      <c r="BD259" s="348" t="s">
        <v>3566</v>
      </c>
      <c r="BE259" s="353">
        <v>400</v>
      </c>
      <c r="BF259" s="316"/>
      <c r="BG259" s="348">
        <v>1600</v>
      </c>
      <c r="BH259" s="390">
        <f t="shared" si="58"/>
        <v>88.888888888888886</v>
      </c>
      <c r="BI259" s="303">
        <v>99</v>
      </c>
      <c r="BJ259" s="323">
        <v>1</v>
      </c>
      <c r="BK259" s="324">
        <v>20</v>
      </c>
      <c r="BL259" s="507" t="s">
        <v>2985</v>
      </c>
      <c r="BM259" s="307">
        <v>0</v>
      </c>
      <c r="BN259" s="507" t="s">
        <v>2985</v>
      </c>
      <c r="BO259" s="332" t="s">
        <v>2985</v>
      </c>
      <c r="BP259" s="350" t="s">
        <v>2282</v>
      </c>
      <c r="BS259" s="321"/>
    </row>
    <row r="260" spans="1:71" s="322" customFormat="1">
      <c r="A260" s="457">
        <v>1540</v>
      </c>
      <c r="B260" s="534" t="s">
        <v>3624</v>
      </c>
      <c r="C260" s="383"/>
      <c r="D260" s="383"/>
      <c r="E260" s="469"/>
      <c r="F260" s="303" t="s">
        <v>2101</v>
      </c>
      <c r="G260" s="386" t="s">
        <v>2659</v>
      </c>
      <c r="H260" s="454" t="s">
        <v>165</v>
      </c>
      <c r="I260" s="338" t="s">
        <v>3377</v>
      </c>
      <c r="J260" s="361">
        <v>1995</v>
      </c>
      <c r="K260" s="341">
        <v>349</v>
      </c>
      <c r="L260" s="340" t="s">
        <v>1745</v>
      </c>
      <c r="M260" s="341" t="s">
        <v>1739</v>
      </c>
      <c r="N260" s="447" t="s">
        <v>2985</v>
      </c>
      <c r="O260" s="349">
        <v>0.4</v>
      </c>
      <c r="P260" s="408" t="s">
        <v>2985</v>
      </c>
      <c r="Q260" s="408" t="s">
        <v>2985</v>
      </c>
      <c r="R260" s="317" t="s">
        <v>2985</v>
      </c>
      <c r="S260" s="317" t="s">
        <v>2985</v>
      </c>
      <c r="T260" s="318" t="s">
        <v>2985</v>
      </c>
      <c r="U260" s="318" t="s">
        <v>2985</v>
      </c>
      <c r="V260" s="408" t="s">
        <v>2985</v>
      </c>
      <c r="W260" s="408" t="s">
        <v>2985</v>
      </c>
      <c r="X260" s="313" t="s">
        <v>12</v>
      </c>
      <c r="Y260" s="307" t="s">
        <v>12</v>
      </c>
      <c r="Z260" s="314" t="s">
        <v>2985</v>
      </c>
      <c r="AA260" s="311" t="s">
        <v>3527</v>
      </c>
      <c r="AB260" s="341" t="s">
        <v>273</v>
      </c>
      <c r="AC260" s="161" t="s">
        <v>2985</v>
      </c>
      <c r="AD260" s="511" t="s">
        <v>2985</v>
      </c>
      <c r="AE260" s="316" t="s">
        <v>2985</v>
      </c>
      <c r="AF260" s="316" t="s">
        <v>2985</v>
      </c>
      <c r="AG260" s="262" t="s">
        <v>2985</v>
      </c>
      <c r="AH260" s="313">
        <v>80</v>
      </c>
      <c r="AI260" s="348">
        <v>0</v>
      </c>
      <c r="AJ260" s="365">
        <v>0</v>
      </c>
      <c r="AK260" s="356">
        <v>20</v>
      </c>
      <c r="AL260" s="365">
        <v>0</v>
      </c>
      <c r="AM260" s="365">
        <v>0</v>
      </c>
      <c r="AN260" s="348">
        <v>0</v>
      </c>
      <c r="AO260" s="348">
        <v>0</v>
      </c>
      <c r="AP260" s="348">
        <v>0</v>
      </c>
      <c r="AQ260" s="348">
        <v>0</v>
      </c>
      <c r="AR260" s="348">
        <v>0</v>
      </c>
      <c r="AS260" s="348">
        <v>0</v>
      </c>
      <c r="AT260" s="348">
        <v>0</v>
      </c>
      <c r="AU260" s="348">
        <v>0</v>
      </c>
      <c r="AV260" s="348">
        <v>0</v>
      </c>
      <c r="AW260" s="348">
        <v>0</v>
      </c>
      <c r="AX260" s="341">
        <v>0</v>
      </c>
      <c r="AY260" s="354" t="s">
        <v>2985</v>
      </c>
      <c r="AZ260" s="316"/>
      <c r="BA260" s="316" t="s">
        <v>2985</v>
      </c>
      <c r="BB260" s="94" t="s">
        <v>2985</v>
      </c>
      <c r="BC260" s="425" t="s">
        <v>521</v>
      </c>
      <c r="BD260" s="348" t="s">
        <v>3566</v>
      </c>
      <c r="BE260" s="353">
        <v>400</v>
      </c>
      <c r="BF260" s="316"/>
      <c r="BG260" s="348">
        <v>1600</v>
      </c>
      <c r="BH260" s="390">
        <f t="shared" si="58"/>
        <v>88.888888888888886</v>
      </c>
      <c r="BI260" s="303">
        <v>99</v>
      </c>
      <c r="BJ260" s="323">
        <v>1</v>
      </c>
      <c r="BK260" s="324">
        <v>20</v>
      </c>
      <c r="BL260" s="507" t="s">
        <v>2985</v>
      </c>
      <c r="BM260" s="307">
        <v>0</v>
      </c>
      <c r="BN260" s="507" t="s">
        <v>2985</v>
      </c>
      <c r="BO260" s="332" t="s">
        <v>2985</v>
      </c>
      <c r="BP260" s="350" t="s">
        <v>2282</v>
      </c>
      <c r="BS260" s="321"/>
    </row>
    <row r="261" spans="1:71" s="322" customFormat="1">
      <c r="A261" s="457">
        <v>1541</v>
      </c>
      <c r="B261" s="534" t="s">
        <v>3624</v>
      </c>
      <c r="C261" s="383"/>
      <c r="D261" s="383"/>
      <c r="E261" s="469"/>
      <c r="F261" s="303" t="s">
        <v>2102</v>
      </c>
      <c r="G261" s="386" t="s">
        <v>2659</v>
      </c>
      <c r="H261" s="454" t="s">
        <v>165</v>
      </c>
      <c r="I261" s="338" t="s">
        <v>3377</v>
      </c>
      <c r="J261" s="361">
        <v>1995</v>
      </c>
      <c r="K261" s="341">
        <v>349</v>
      </c>
      <c r="L261" s="340" t="s">
        <v>1745</v>
      </c>
      <c r="M261" s="341" t="s">
        <v>1739</v>
      </c>
      <c r="N261" s="447" t="s">
        <v>2985</v>
      </c>
      <c r="O261" s="349">
        <v>0.4</v>
      </c>
      <c r="P261" s="408" t="s">
        <v>2985</v>
      </c>
      <c r="Q261" s="408" t="s">
        <v>2985</v>
      </c>
      <c r="R261" s="317" t="s">
        <v>2985</v>
      </c>
      <c r="S261" s="317" t="s">
        <v>2985</v>
      </c>
      <c r="T261" s="318" t="s">
        <v>2985</v>
      </c>
      <c r="U261" s="318" t="s">
        <v>2985</v>
      </c>
      <c r="V261" s="408" t="s">
        <v>2985</v>
      </c>
      <c r="W261" s="408" t="s">
        <v>2985</v>
      </c>
      <c r="X261" s="313" t="s">
        <v>12</v>
      </c>
      <c r="Y261" s="307" t="s">
        <v>12</v>
      </c>
      <c r="Z261" s="314" t="s">
        <v>2985</v>
      </c>
      <c r="AA261" s="311" t="s">
        <v>3543</v>
      </c>
      <c r="AB261" s="341" t="s">
        <v>273</v>
      </c>
      <c r="AC261" s="161" t="s">
        <v>2985</v>
      </c>
      <c r="AD261" s="511" t="s">
        <v>2985</v>
      </c>
      <c r="AE261" s="316" t="s">
        <v>2985</v>
      </c>
      <c r="AF261" s="316" t="s">
        <v>2985</v>
      </c>
      <c r="AG261" s="262" t="s">
        <v>2985</v>
      </c>
      <c r="AH261" s="313">
        <v>67</v>
      </c>
      <c r="AI261" s="348">
        <v>0</v>
      </c>
      <c r="AJ261" s="365">
        <v>0</v>
      </c>
      <c r="AK261" s="356">
        <v>33</v>
      </c>
      <c r="AL261" s="365">
        <v>0</v>
      </c>
      <c r="AM261" s="365">
        <v>0</v>
      </c>
      <c r="AN261" s="348">
        <v>0</v>
      </c>
      <c r="AO261" s="348">
        <v>0</v>
      </c>
      <c r="AP261" s="348">
        <v>0</v>
      </c>
      <c r="AQ261" s="348">
        <v>0</v>
      </c>
      <c r="AR261" s="348">
        <v>0</v>
      </c>
      <c r="AS261" s="348">
        <v>0</v>
      </c>
      <c r="AT261" s="348">
        <v>0</v>
      </c>
      <c r="AU261" s="348">
        <v>0</v>
      </c>
      <c r="AV261" s="348">
        <v>0</v>
      </c>
      <c r="AW261" s="348">
        <v>0</v>
      </c>
      <c r="AX261" s="341">
        <v>0</v>
      </c>
      <c r="AY261" s="354" t="s">
        <v>2985</v>
      </c>
      <c r="AZ261" s="316"/>
      <c r="BA261" s="316" t="s">
        <v>2985</v>
      </c>
      <c r="BB261" s="94" t="s">
        <v>2985</v>
      </c>
      <c r="BC261" s="425" t="s">
        <v>521</v>
      </c>
      <c r="BD261" s="348" t="s">
        <v>3566</v>
      </c>
      <c r="BE261" s="353">
        <v>400</v>
      </c>
      <c r="BF261" s="316"/>
      <c r="BG261" s="348">
        <v>1600</v>
      </c>
      <c r="BH261" s="390">
        <f t="shared" si="58"/>
        <v>88.888888888888886</v>
      </c>
      <c r="BI261" s="303">
        <v>99</v>
      </c>
      <c r="BJ261" s="323">
        <v>1</v>
      </c>
      <c r="BK261" s="324">
        <v>20</v>
      </c>
      <c r="BL261" s="507" t="s">
        <v>2985</v>
      </c>
      <c r="BM261" s="307">
        <v>0</v>
      </c>
      <c r="BN261" s="507" t="s">
        <v>2985</v>
      </c>
      <c r="BO261" s="332" t="s">
        <v>2985</v>
      </c>
      <c r="BP261" s="350" t="s">
        <v>2282</v>
      </c>
      <c r="BS261" s="321"/>
    </row>
    <row r="262" spans="1:71" s="322" customFormat="1">
      <c r="A262" s="457">
        <v>1542</v>
      </c>
      <c r="B262" s="534" t="s">
        <v>3624</v>
      </c>
      <c r="C262" s="383"/>
      <c r="D262" s="383"/>
      <c r="E262" s="469"/>
      <c r="F262" s="303" t="s">
        <v>2103</v>
      </c>
      <c r="G262" s="386" t="s">
        <v>2659</v>
      </c>
      <c r="H262" s="454" t="s">
        <v>165</v>
      </c>
      <c r="I262" s="338" t="s">
        <v>3377</v>
      </c>
      <c r="J262" s="361">
        <v>1995</v>
      </c>
      <c r="K262" s="341">
        <v>349</v>
      </c>
      <c r="L262" s="340" t="s">
        <v>1745</v>
      </c>
      <c r="M262" s="341" t="s">
        <v>1739</v>
      </c>
      <c r="N262" s="447" t="s">
        <v>2985</v>
      </c>
      <c r="O262" s="349">
        <v>0.4</v>
      </c>
      <c r="P262" s="408" t="s">
        <v>2985</v>
      </c>
      <c r="Q262" s="408" t="s">
        <v>2985</v>
      </c>
      <c r="R262" s="317" t="s">
        <v>2985</v>
      </c>
      <c r="S262" s="317" t="s">
        <v>2985</v>
      </c>
      <c r="T262" s="318" t="s">
        <v>2985</v>
      </c>
      <c r="U262" s="318" t="s">
        <v>2985</v>
      </c>
      <c r="V262" s="408" t="s">
        <v>2985</v>
      </c>
      <c r="W262" s="408" t="s">
        <v>2985</v>
      </c>
      <c r="X262" s="313" t="s">
        <v>12</v>
      </c>
      <c r="Y262" s="307" t="s">
        <v>12</v>
      </c>
      <c r="Z262" s="314" t="s">
        <v>2985</v>
      </c>
      <c r="AA262" s="311" t="s">
        <v>3524</v>
      </c>
      <c r="AB262" s="341" t="s">
        <v>273</v>
      </c>
      <c r="AC262" s="161" t="s">
        <v>2985</v>
      </c>
      <c r="AD262" s="511" t="s">
        <v>2985</v>
      </c>
      <c r="AE262" s="316" t="s">
        <v>2985</v>
      </c>
      <c r="AF262" s="316" t="s">
        <v>2985</v>
      </c>
      <c r="AG262" s="262" t="s">
        <v>2985</v>
      </c>
      <c r="AH262" s="313">
        <v>59</v>
      </c>
      <c r="AI262" s="348">
        <v>0</v>
      </c>
      <c r="AJ262" s="365">
        <v>0</v>
      </c>
      <c r="AK262" s="356">
        <v>41</v>
      </c>
      <c r="AL262" s="365">
        <v>0</v>
      </c>
      <c r="AM262" s="365">
        <v>0</v>
      </c>
      <c r="AN262" s="348">
        <v>0</v>
      </c>
      <c r="AO262" s="348">
        <v>0</v>
      </c>
      <c r="AP262" s="348">
        <v>0</v>
      </c>
      <c r="AQ262" s="348">
        <v>0</v>
      </c>
      <c r="AR262" s="348">
        <v>0</v>
      </c>
      <c r="AS262" s="348">
        <v>0</v>
      </c>
      <c r="AT262" s="348">
        <v>0</v>
      </c>
      <c r="AU262" s="348">
        <v>0</v>
      </c>
      <c r="AV262" s="348">
        <v>0</v>
      </c>
      <c r="AW262" s="348">
        <v>0</v>
      </c>
      <c r="AX262" s="341">
        <v>0</v>
      </c>
      <c r="AY262" s="354" t="s">
        <v>2985</v>
      </c>
      <c r="AZ262" s="316"/>
      <c r="BA262" s="316" t="s">
        <v>2985</v>
      </c>
      <c r="BB262" s="94" t="s">
        <v>2985</v>
      </c>
      <c r="BC262" s="425" t="s">
        <v>521</v>
      </c>
      <c r="BD262" s="348" t="s">
        <v>3566</v>
      </c>
      <c r="BE262" s="353">
        <v>400</v>
      </c>
      <c r="BF262" s="316"/>
      <c r="BG262" s="348">
        <v>1600</v>
      </c>
      <c r="BH262" s="390">
        <f t="shared" si="58"/>
        <v>88.888888888888886</v>
      </c>
      <c r="BI262" s="303">
        <v>99</v>
      </c>
      <c r="BJ262" s="431">
        <v>1</v>
      </c>
      <c r="BK262" s="485">
        <v>20</v>
      </c>
      <c r="BL262" s="507" t="s">
        <v>2985</v>
      </c>
      <c r="BM262" s="307">
        <v>0</v>
      </c>
      <c r="BN262" s="507" t="s">
        <v>2985</v>
      </c>
      <c r="BO262" s="332" t="s">
        <v>2985</v>
      </c>
      <c r="BP262" s="350" t="s">
        <v>2282</v>
      </c>
      <c r="BS262" s="321"/>
    </row>
    <row r="263" spans="1:71" s="322" customFormat="1">
      <c r="A263" s="457">
        <v>1543</v>
      </c>
      <c r="B263" s="534" t="s">
        <v>3624</v>
      </c>
      <c r="C263" s="383"/>
      <c r="D263" s="383"/>
      <c r="E263" s="469"/>
      <c r="F263" s="303" t="s">
        <v>2104</v>
      </c>
      <c r="G263" s="386" t="s">
        <v>2659</v>
      </c>
      <c r="H263" s="454" t="s">
        <v>165</v>
      </c>
      <c r="I263" s="338" t="s">
        <v>3377</v>
      </c>
      <c r="J263" s="361">
        <v>1995</v>
      </c>
      <c r="K263" s="341">
        <v>349</v>
      </c>
      <c r="L263" s="340" t="s">
        <v>1745</v>
      </c>
      <c r="M263" s="341" t="s">
        <v>1739</v>
      </c>
      <c r="N263" s="447" t="s">
        <v>2985</v>
      </c>
      <c r="O263" s="349">
        <v>0.4</v>
      </c>
      <c r="P263" s="408" t="s">
        <v>2985</v>
      </c>
      <c r="Q263" s="408" t="s">
        <v>2985</v>
      </c>
      <c r="R263" s="317" t="s">
        <v>2985</v>
      </c>
      <c r="S263" s="317" t="s">
        <v>2985</v>
      </c>
      <c r="T263" s="318" t="s">
        <v>2985</v>
      </c>
      <c r="U263" s="318" t="s">
        <v>2985</v>
      </c>
      <c r="V263" s="408" t="s">
        <v>2985</v>
      </c>
      <c r="W263" s="408" t="s">
        <v>2985</v>
      </c>
      <c r="X263" s="313" t="s">
        <v>12</v>
      </c>
      <c r="Y263" s="307" t="s">
        <v>12</v>
      </c>
      <c r="Z263" s="314" t="s">
        <v>2985</v>
      </c>
      <c r="AA263" s="311" t="s">
        <v>3524</v>
      </c>
      <c r="AB263" s="341" t="s">
        <v>273</v>
      </c>
      <c r="AC263" s="161" t="s">
        <v>2985</v>
      </c>
      <c r="AD263" s="511" t="s">
        <v>2985</v>
      </c>
      <c r="AE263" s="316" t="s">
        <v>2985</v>
      </c>
      <c r="AF263" s="316" t="s">
        <v>2985</v>
      </c>
      <c r="AG263" s="262" t="s">
        <v>2985</v>
      </c>
      <c r="AH263" s="313">
        <v>53</v>
      </c>
      <c r="AI263" s="348">
        <v>0</v>
      </c>
      <c r="AJ263" s="365">
        <v>0</v>
      </c>
      <c r="AK263" s="356">
        <v>47</v>
      </c>
      <c r="AL263" s="365">
        <v>0</v>
      </c>
      <c r="AM263" s="365">
        <v>0</v>
      </c>
      <c r="AN263" s="348">
        <v>0</v>
      </c>
      <c r="AO263" s="348">
        <v>0</v>
      </c>
      <c r="AP263" s="348">
        <v>0</v>
      </c>
      <c r="AQ263" s="348">
        <v>0</v>
      </c>
      <c r="AR263" s="348">
        <v>0</v>
      </c>
      <c r="AS263" s="348">
        <v>0</v>
      </c>
      <c r="AT263" s="348">
        <v>0</v>
      </c>
      <c r="AU263" s="348">
        <v>0</v>
      </c>
      <c r="AV263" s="348">
        <v>0</v>
      </c>
      <c r="AW263" s="348">
        <v>0</v>
      </c>
      <c r="AX263" s="341">
        <v>0</v>
      </c>
      <c r="AY263" s="354" t="s">
        <v>2985</v>
      </c>
      <c r="AZ263" s="316"/>
      <c r="BA263" s="316" t="s">
        <v>2985</v>
      </c>
      <c r="BB263" s="94" t="s">
        <v>2985</v>
      </c>
      <c r="BC263" s="425" t="s">
        <v>521</v>
      </c>
      <c r="BD263" s="348" t="s">
        <v>3566</v>
      </c>
      <c r="BE263" s="353">
        <v>400</v>
      </c>
      <c r="BF263" s="316"/>
      <c r="BG263" s="348">
        <v>1600</v>
      </c>
      <c r="BH263" s="390">
        <f t="shared" si="58"/>
        <v>88.888888888888886</v>
      </c>
      <c r="BI263" s="303">
        <v>99</v>
      </c>
      <c r="BJ263" s="307">
        <v>1</v>
      </c>
      <c r="BK263" s="307">
        <v>20</v>
      </c>
      <c r="BL263" s="507" t="s">
        <v>2985</v>
      </c>
      <c r="BM263" s="307">
        <v>0</v>
      </c>
      <c r="BN263" s="507" t="s">
        <v>2985</v>
      </c>
      <c r="BO263" s="332" t="s">
        <v>2985</v>
      </c>
      <c r="BP263" s="350" t="s">
        <v>2282</v>
      </c>
      <c r="BS263" s="321"/>
    </row>
    <row r="264" spans="1:71" s="322" customFormat="1">
      <c r="A264" s="457">
        <v>1544</v>
      </c>
      <c r="B264" s="534" t="s">
        <v>3624</v>
      </c>
      <c r="C264" s="383"/>
      <c r="D264" s="383"/>
      <c r="E264" s="469"/>
      <c r="F264" s="303" t="s">
        <v>2105</v>
      </c>
      <c r="G264" s="386" t="s">
        <v>2659</v>
      </c>
      <c r="H264" s="454" t="s">
        <v>165</v>
      </c>
      <c r="I264" s="338" t="s">
        <v>3377</v>
      </c>
      <c r="J264" s="361">
        <v>1995</v>
      </c>
      <c r="K264" s="341">
        <v>349</v>
      </c>
      <c r="L264" s="340" t="s">
        <v>1745</v>
      </c>
      <c r="M264" s="341" t="s">
        <v>1739</v>
      </c>
      <c r="N264" s="447" t="s">
        <v>2985</v>
      </c>
      <c r="O264" s="349">
        <v>0.3</v>
      </c>
      <c r="P264" s="408" t="s">
        <v>2985</v>
      </c>
      <c r="Q264" s="408" t="s">
        <v>2985</v>
      </c>
      <c r="R264" s="317" t="s">
        <v>2985</v>
      </c>
      <c r="S264" s="317" t="s">
        <v>2985</v>
      </c>
      <c r="T264" s="318" t="s">
        <v>2985</v>
      </c>
      <c r="U264" s="318" t="s">
        <v>2985</v>
      </c>
      <c r="V264" s="408" t="s">
        <v>2985</v>
      </c>
      <c r="W264" s="408" t="s">
        <v>2985</v>
      </c>
      <c r="X264" s="313" t="s">
        <v>12</v>
      </c>
      <c r="Y264" s="307" t="s">
        <v>12</v>
      </c>
      <c r="Z264" s="314" t="s">
        <v>2985</v>
      </c>
      <c r="AA264" s="311" t="s">
        <v>1754</v>
      </c>
      <c r="AB264" s="341" t="s">
        <v>273</v>
      </c>
      <c r="AC264" s="161" t="s">
        <v>2985</v>
      </c>
      <c r="AD264" s="511" t="s">
        <v>2985</v>
      </c>
      <c r="AE264" s="316" t="s">
        <v>2985</v>
      </c>
      <c r="AF264" s="316" t="s">
        <v>2985</v>
      </c>
      <c r="AG264" s="262" t="s">
        <v>2985</v>
      </c>
      <c r="AH264" s="313">
        <v>100</v>
      </c>
      <c r="AI264" s="348">
        <v>0</v>
      </c>
      <c r="AJ264" s="365">
        <v>0</v>
      </c>
      <c r="AK264" s="365">
        <v>0</v>
      </c>
      <c r="AL264" s="365">
        <v>0</v>
      </c>
      <c r="AM264" s="365">
        <v>0</v>
      </c>
      <c r="AN264" s="348">
        <v>0</v>
      </c>
      <c r="AO264" s="348">
        <v>0</v>
      </c>
      <c r="AP264" s="348">
        <v>0</v>
      </c>
      <c r="AQ264" s="348">
        <v>0</v>
      </c>
      <c r="AR264" s="348">
        <v>0</v>
      </c>
      <c r="AS264" s="348">
        <v>0</v>
      </c>
      <c r="AT264" s="348">
        <v>0</v>
      </c>
      <c r="AU264" s="348">
        <v>0</v>
      </c>
      <c r="AV264" s="348">
        <v>0</v>
      </c>
      <c r="AW264" s="348">
        <v>0</v>
      </c>
      <c r="AX264" s="341">
        <v>0</v>
      </c>
      <c r="AY264" s="354" t="s">
        <v>2985</v>
      </c>
      <c r="AZ264" s="316"/>
      <c r="BA264" s="316" t="s">
        <v>2985</v>
      </c>
      <c r="BB264" s="94" t="s">
        <v>2985</v>
      </c>
      <c r="BC264" s="425" t="s">
        <v>521</v>
      </c>
      <c r="BD264" s="348" t="s">
        <v>3566</v>
      </c>
      <c r="BE264" s="353">
        <v>400</v>
      </c>
      <c r="BF264" s="316"/>
      <c r="BG264" s="348">
        <v>1600</v>
      </c>
      <c r="BH264" s="390">
        <f t="shared" si="58"/>
        <v>88.888888888888886</v>
      </c>
      <c r="BI264" s="303">
        <v>99</v>
      </c>
      <c r="BJ264" s="305">
        <v>1</v>
      </c>
      <c r="BK264" s="306">
        <v>20</v>
      </c>
      <c r="BL264" s="507" t="s">
        <v>2985</v>
      </c>
      <c r="BM264" s="307">
        <v>0</v>
      </c>
      <c r="BN264" s="507" t="s">
        <v>2985</v>
      </c>
      <c r="BO264" s="259" t="s">
        <v>2985</v>
      </c>
      <c r="BP264" s="350"/>
      <c r="BS264" s="321"/>
    </row>
    <row r="265" spans="1:71" s="322" customFormat="1">
      <c r="A265" s="457">
        <v>1545</v>
      </c>
      <c r="B265" s="534" t="s">
        <v>3624</v>
      </c>
      <c r="C265" s="383"/>
      <c r="D265" s="383"/>
      <c r="E265" s="469"/>
      <c r="F265" s="303" t="s">
        <v>2106</v>
      </c>
      <c r="G265" s="386" t="s">
        <v>2659</v>
      </c>
      <c r="H265" s="454" t="s">
        <v>165</v>
      </c>
      <c r="I265" s="338" t="s">
        <v>3377</v>
      </c>
      <c r="J265" s="361">
        <v>1995</v>
      </c>
      <c r="K265" s="341">
        <v>349</v>
      </c>
      <c r="L265" s="340" t="s">
        <v>1745</v>
      </c>
      <c r="M265" s="341" t="s">
        <v>1739</v>
      </c>
      <c r="N265" s="447" t="s">
        <v>2985</v>
      </c>
      <c r="O265" s="349">
        <v>0.3</v>
      </c>
      <c r="P265" s="408" t="s">
        <v>2985</v>
      </c>
      <c r="Q265" s="408" t="s">
        <v>2985</v>
      </c>
      <c r="R265" s="317" t="s">
        <v>2985</v>
      </c>
      <c r="S265" s="317" t="s">
        <v>2985</v>
      </c>
      <c r="T265" s="318" t="s">
        <v>2985</v>
      </c>
      <c r="U265" s="318" t="s">
        <v>2985</v>
      </c>
      <c r="V265" s="408" t="s">
        <v>2985</v>
      </c>
      <c r="W265" s="408" t="s">
        <v>2985</v>
      </c>
      <c r="X265" s="313" t="s">
        <v>12</v>
      </c>
      <c r="Y265" s="307" t="s">
        <v>12</v>
      </c>
      <c r="Z265" s="314" t="s">
        <v>2985</v>
      </c>
      <c r="AA265" s="311" t="s">
        <v>3538</v>
      </c>
      <c r="AB265" s="341" t="s">
        <v>273</v>
      </c>
      <c r="AC265" s="161" t="s">
        <v>2985</v>
      </c>
      <c r="AD265" s="511" t="s">
        <v>2985</v>
      </c>
      <c r="AE265" s="316" t="s">
        <v>2985</v>
      </c>
      <c r="AF265" s="316" t="s">
        <v>2985</v>
      </c>
      <c r="AG265" s="262" t="s">
        <v>2985</v>
      </c>
      <c r="AH265" s="313">
        <v>91</v>
      </c>
      <c r="AI265" s="356">
        <v>9</v>
      </c>
      <c r="AJ265" s="365">
        <v>0</v>
      </c>
      <c r="AK265" s="365">
        <v>0</v>
      </c>
      <c r="AL265" s="365">
        <v>0</v>
      </c>
      <c r="AM265" s="365">
        <v>0</v>
      </c>
      <c r="AN265" s="348">
        <v>0</v>
      </c>
      <c r="AO265" s="348">
        <v>0</v>
      </c>
      <c r="AP265" s="348">
        <v>0</v>
      </c>
      <c r="AQ265" s="348">
        <v>0</v>
      </c>
      <c r="AR265" s="316" t="s">
        <v>2985</v>
      </c>
      <c r="AS265" s="348">
        <v>0</v>
      </c>
      <c r="AT265" s="348">
        <v>0</v>
      </c>
      <c r="AU265" s="348">
        <v>0</v>
      </c>
      <c r="AV265" s="348">
        <v>0</v>
      </c>
      <c r="AW265" s="348">
        <v>0</v>
      </c>
      <c r="AX265" s="341">
        <v>0</v>
      </c>
      <c r="AY265" s="354" t="s">
        <v>2985</v>
      </c>
      <c r="AZ265" s="316"/>
      <c r="BA265" s="316" t="s">
        <v>2985</v>
      </c>
      <c r="BB265" s="94" t="s">
        <v>2985</v>
      </c>
      <c r="BC265" s="425" t="s">
        <v>521</v>
      </c>
      <c r="BD265" s="348" t="s">
        <v>3566</v>
      </c>
      <c r="BE265" s="353">
        <v>400</v>
      </c>
      <c r="BF265" s="316"/>
      <c r="BG265" s="348">
        <v>1600</v>
      </c>
      <c r="BH265" s="390">
        <f t="shared" si="58"/>
        <v>88.888888888888886</v>
      </c>
      <c r="BI265" s="303">
        <v>99</v>
      </c>
      <c r="BJ265" s="323">
        <v>1</v>
      </c>
      <c r="BK265" s="324">
        <v>20</v>
      </c>
      <c r="BL265" s="507" t="s">
        <v>2985</v>
      </c>
      <c r="BM265" s="307">
        <v>0</v>
      </c>
      <c r="BN265" s="507" t="s">
        <v>2985</v>
      </c>
      <c r="BO265" s="259" t="s">
        <v>2985</v>
      </c>
      <c r="BP265" s="350" t="s">
        <v>2283</v>
      </c>
      <c r="BS265" s="321"/>
    </row>
    <row r="266" spans="1:71" s="322" customFormat="1">
      <c r="A266" s="457">
        <v>1546</v>
      </c>
      <c r="B266" s="534" t="s">
        <v>3624</v>
      </c>
      <c r="C266" s="383"/>
      <c r="D266" s="383"/>
      <c r="E266" s="469"/>
      <c r="F266" s="303" t="s">
        <v>2107</v>
      </c>
      <c r="G266" s="386" t="s">
        <v>2659</v>
      </c>
      <c r="H266" s="454" t="s">
        <v>165</v>
      </c>
      <c r="I266" s="338" t="s">
        <v>3377</v>
      </c>
      <c r="J266" s="361">
        <v>1995</v>
      </c>
      <c r="K266" s="341">
        <v>349</v>
      </c>
      <c r="L266" s="340" t="s">
        <v>1745</v>
      </c>
      <c r="M266" s="341" t="s">
        <v>1739</v>
      </c>
      <c r="N266" s="447" t="s">
        <v>2985</v>
      </c>
      <c r="O266" s="349">
        <v>0.3</v>
      </c>
      <c r="P266" s="408" t="s">
        <v>2985</v>
      </c>
      <c r="Q266" s="408" t="s">
        <v>2985</v>
      </c>
      <c r="R266" s="317" t="s">
        <v>2985</v>
      </c>
      <c r="S266" s="317" t="s">
        <v>2985</v>
      </c>
      <c r="T266" s="318" t="s">
        <v>2985</v>
      </c>
      <c r="U266" s="318" t="s">
        <v>2985</v>
      </c>
      <c r="V266" s="408" t="s">
        <v>2985</v>
      </c>
      <c r="W266" s="408" t="s">
        <v>2985</v>
      </c>
      <c r="X266" s="313" t="s">
        <v>12</v>
      </c>
      <c r="Y266" s="307" t="s">
        <v>12</v>
      </c>
      <c r="Z266" s="314" t="s">
        <v>2985</v>
      </c>
      <c r="AA266" s="311" t="s">
        <v>3538</v>
      </c>
      <c r="AB266" s="341" t="s">
        <v>273</v>
      </c>
      <c r="AC266" s="161" t="s">
        <v>2985</v>
      </c>
      <c r="AD266" s="511" t="s">
        <v>2985</v>
      </c>
      <c r="AE266" s="316" t="s">
        <v>2985</v>
      </c>
      <c r="AF266" s="316" t="s">
        <v>2985</v>
      </c>
      <c r="AG266" s="262" t="s">
        <v>2985</v>
      </c>
      <c r="AH266" s="313">
        <v>91</v>
      </c>
      <c r="AI266" s="356">
        <v>9</v>
      </c>
      <c r="AJ266" s="365">
        <v>0</v>
      </c>
      <c r="AK266" s="365">
        <v>0</v>
      </c>
      <c r="AL266" s="365">
        <v>0</v>
      </c>
      <c r="AM266" s="365">
        <v>0</v>
      </c>
      <c r="AN266" s="348">
        <v>0</v>
      </c>
      <c r="AO266" s="348">
        <v>0</v>
      </c>
      <c r="AP266" s="348">
        <v>0</v>
      </c>
      <c r="AQ266" s="348">
        <v>0</v>
      </c>
      <c r="AR266" s="316" t="s">
        <v>2985</v>
      </c>
      <c r="AS266" s="348">
        <v>0</v>
      </c>
      <c r="AT266" s="348">
        <v>0</v>
      </c>
      <c r="AU266" s="348">
        <v>0</v>
      </c>
      <c r="AV266" s="348">
        <v>0</v>
      </c>
      <c r="AW266" s="348">
        <v>0</v>
      </c>
      <c r="AX266" s="341">
        <v>0</v>
      </c>
      <c r="AY266" s="354" t="s">
        <v>2985</v>
      </c>
      <c r="AZ266" s="316"/>
      <c r="BA266" s="316" t="s">
        <v>2985</v>
      </c>
      <c r="BB266" s="94" t="s">
        <v>2985</v>
      </c>
      <c r="BC266" s="425" t="s">
        <v>521</v>
      </c>
      <c r="BD266" s="348" t="s">
        <v>3566</v>
      </c>
      <c r="BE266" s="353">
        <v>400</v>
      </c>
      <c r="BF266" s="316"/>
      <c r="BG266" s="348">
        <v>1600</v>
      </c>
      <c r="BH266" s="390">
        <f t="shared" si="58"/>
        <v>88.888888888888886</v>
      </c>
      <c r="BI266" s="303">
        <v>99</v>
      </c>
      <c r="BJ266" s="323">
        <v>1</v>
      </c>
      <c r="BK266" s="324">
        <v>20</v>
      </c>
      <c r="BL266" s="514" t="s">
        <v>2985</v>
      </c>
      <c r="BM266" s="307">
        <v>0</v>
      </c>
      <c r="BN266" s="507" t="s">
        <v>2985</v>
      </c>
      <c r="BO266" s="332" t="s">
        <v>2985</v>
      </c>
      <c r="BP266" s="350" t="s">
        <v>2283</v>
      </c>
      <c r="BS266" s="321"/>
    </row>
    <row r="267" spans="1:71" s="322" customFormat="1">
      <c r="A267" s="457">
        <v>1547</v>
      </c>
      <c r="B267" s="534" t="s">
        <v>3624</v>
      </c>
      <c r="C267" s="383"/>
      <c r="D267" s="383"/>
      <c r="E267" s="469"/>
      <c r="F267" s="303" t="s">
        <v>2108</v>
      </c>
      <c r="G267" s="386" t="s">
        <v>2659</v>
      </c>
      <c r="H267" s="454" t="s">
        <v>165</v>
      </c>
      <c r="I267" s="338" t="s">
        <v>3377</v>
      </c>
      <c r="J267" s="361">
        <v>1995</v>
      </c>
      <c r="K267" s="341">
        <v>349</v>
      </c>
      <c r="L267" s="340" t="s">
        <v>1745</v>
      </c>
      <c r="M267" s="341" t="s">
        <v>1739</v>
      </c>
      <c r="N267" s="447" t="s">
        <v>2985</v>
      </c>
      <c r="O267" s="349">
        <v>0.3</v>
      </c>
      <c r="P267" s="408" t="s">
        <v>2985</v>
      </c>
      <c r="Q267" s="408" t="s">
        <v>2985</v>
      </c>
      <c r="R267" s="317" t="s">
        <v>2985</v>
      </c>
      <c r="S267" s="317" t="s">
        <v>2985</v>
      </c>
      <c r="T267" s="318" t="s">
        <v>2985</v>
      </c>
      <c r="U267" s="318" t="s">
        <v>2985</v>
      </c>
      <c r="V267" s="408" t="s">
        <v>2985</v>
      </c>
      <c r="W267" s="408" t="s">
        <v>2985</v>
      </c>
      <c r="X267" s="313" t="s">
        <v>12</v>
      </c>
      <c r="Y267" s="307" t="s">
        <v>12</v>
      </c>
      <c r="Z267" s="314" t="s">
        <v>2985</v>
      </c>
      <c r="AA267" s="311" t="s">
        <v>3538</v>
      </c>
      <c r="AB267" s="341" t="s">
        <v>273</v>
      </c>
      <c r="AC267" s="161" t="s">
        <v>2985</v>
      </c>
      <c r="AD267" s="511" t="s">
        <v>2985</v>
      </c>
      <c r="AE267" s="316" t="s">
        <v>2985</v>
      </c>
      <c r="AF267" s="316" t="s">
        <v>2985</v>
      </c>
      <c r="AG267" s="262" t="s">
        <v>2985</v>
      </c>
      <c r="AH267" s="313">
        <v>91</v>
      </c>
      <c r="AI267" s="356">
        <v>9</v>
      </c>
      <c r="AJ267" s="365">
        <v>0</v>
      </c>
      <c r="AK267" s="365">
        <v>0</v>
      </c>
      <c r="AL267" s="365">
        <v>0</v>
      </c>
      <c r="AM267" s="365">
        <v>0</v>
      </c>
      <c r="AN267" s="348">
        <v>0</v>
      </c>
      <c r="AO267" s="348">
        <v>0</v>
      </c>
      <c r="AP267" s="348">
        <v>0</v>
      </c>
      <c r="AQ267" s="348">
        <v>0</v>
      </c>
      <c r="AR267" s="316" t="s">
        <v>2985</v>
      </c>
      <c r="AS267" s="348">
        <v>0</v>
      </c>
      <c r="AT267" s="348">
        <v>0</v>
      </c>
      <c r="AU267" s="348">
        <v>0</v>
      </c>
      <c r="AV267" s="348">
        <v>0</v>
      </c>
      <c r="AW267" s="348">
        <v>0</v>
      </c>
      <c r="AX267" s="341">
        <v>0</v>
      </c>
      <c r="AY267" s="354" t="s">
        <v>2985</v>
      </c>
      <c r="AZ267" s="316"/>
      <c r="BA267" s="316" t="s">
        <v>2985</v>
      </c>
      <c r="BB267" s="94" t="s">
        <v>2985</v>
      </c>
      <c r="BC267" s="425" t="s">
        <v>521</v>
      </c>
      <c r="BD267" s="348" t="s">
        <v>3566</v>
      </c>
      <c r="BE267" s="353">
        <v>400</v>
      </c>
      <c r="BF267" s="316"/>
      <c r="BG267" s="348">
        <v>1600</v>
      </c>
      <c r="BH267" s="390">
        <f t="shared" si="58"/>
        <v>88.888888888888886</v>
      </c>
      <c r="BI267" s="303">
        <v>99</v>
      </c>
      <c r="BJ267" s="323">
        <v>1</v>
      </c>
      <c r="BK267" s="324">
        <v>20</v>
      </c>
      <c r="BL267" s="514" t="s">
        <v>2985</v>
      </c>
      <c r="BM267" s="307">
        <v>0</v>
      </c>
      <c r="BN267" s="507" t="s">
        <v>2985</v>
      </c>
      <c r="BO267" s="259" t="s">
        <v>2985</v>
      </c>
      <c r="BP267" s="350" t="s">
        <v>2284</v>
      </c>
      <c r="BS267" s="321"/>
    </row>
    <row r="268" spans="1:71" s="322" customFormat="1">
      <c r="A268" s="457">
        <v>1548</v>
      </c>
      <c r="B268" s="534" t="s">
        <v>3624</v>
      </c>
      <c r="C268" s="383"/>
      <c r="D268" s="383"/>
      <c r="E268" s="469"/>
      <c r="F268" s="303" t="s">
        <v>2109</v>
      </c>
      <c r="G268" s="386" t="s">
        <v>2659</v>
      </c>
      <c r="H268" s="454" t="s">
        <v>165</v>
      </c>
      <c r="I268" s="338" t="s">
        <v>3377</v>
      </c>
      <c r="J268" s="361">
        <v>1995</v>
      </c>
      <c r="K268" s="341">
        <v>349</v>
      </c>
      <c r="L268" s="340" t="s">
        <v>1745</v>
      </c>
      <c r="M268" s="341" t="s">
        <v>1739</v>
      </c>
      <c r="N268" s="447" t="s">
        <v>2985</v>
      </c>
      <c r="O268" s="349">
        <v>0.3</v>
      </c>
      <c r="P268" s="408" t="s">
        <v>2985</v>
      </c>
      <c r="Q268" s="408" t="s">
        <v>2985</v>
      </c>
      <c r="R268" s="317" t="s">
        <v>2985</v>
      </c>
      <c r="S268" s="317" t="s">
        <v>2985</v>
      </c>
      <c r="T268" s="318" t="s">
        <v>2985</v>
      </c>
      <c r="U268" s="318" t="s">
        <v>2985</v>
      </c>
      <c r="V268" s="408" t="s">
        <v>2985</v>
      </c>
      <c r="W268" s="408" t="s">
        <v>2985</v>
      </c>
      <c r="X268" s="313" t="s">
        <v>12</v>
      </c>
      <c r="Y268" s="307" t="s">
        <v>12</v>
      </c>
      <c r="Z268" s="314" t="s">
        <v>2985</v>
      </c>
      <c r="AA268" s="311" t="s">
        <v>3538</v>
      </c>
      <c r="AB268" s="341" t="s">
        <v>273</v>
      </c>
      <c r="AC268" s="161" t="s">
        <v>2985</v>
      </c>
      <c r="AD268" s="511" t="s">
        <v>2985</v>
      </c>
      <c r="AE268" s="316" t="s">
        <v>2985</v>
      </c>
      <c r="AF268" s="316" t="s">
        <v>2985</v>
      </c>
      <c r="AG268" s="262" t="s">
        <v>2985</v>
      </c>
      <c r="AH268" s="313">
        <v>91</v>
      </c>
      <c r="AI268" s="356">
        <v>9</v>
      </c>
      <c r="AJ268" s="365">
        <v>0</v>
      </c>
      <c r="AK268" s="365">
        <v>0</v>
      </c>
      <c r="AL268" s="365">
        <v>0</v>
      </c>
      <c r="AM268" s="365">
        <v>0</v>
      </c>
      <c r="AN268" s="348">
        <v>0</v>
      </c>
      <c r="AO268" s="348">
        <v>0</v>
      </c>
      <c r="AP268" s="348">
        <v>0</v>
      </c>
      <c r="AQ268" s="348">
        <v>0</v>
      </c>
      <c r="AR268" s="316" t="s">
        <v>2985</v>
      </c>
      <c r="AS268" s="348">
        <v>0</v>
      </c>
      <c r="AT268" s="348">
        <v>0</v>
      </c>
      <c r="AU268" s="348">
        <v>0</v>
      </c>
      <c r="AV268" s="348">
        <v>0</v>
      </c>
      <c r="AW268" s="348">
        <v>0</v>
      </c>
      <c r="AX268" s="341">
        <v>0</v>
      </c>
      <c r="AY268" s="354" t="s">
        <v>2985</v>
      </c>
      <c r="AZ268" s="316"/>
      <c r="BA268" s="316" t="s">
        <v>2985</v>
      </c>
      <c r="BB268" s="94" t="s">
        <v>2985</v>
      </c>
      <c r="BC268" s="425" t="s">
        <v>521</v>
      </c>
      <c r="BD268" s="348" t="s">
        <v>3566</v>
      </c>
      <c r="BE268" s="353">
        <v>400</v>
      </c>
      <c r="BF268" s="316"/>
      <c r="BG268" s="348">
        <v>1600</v>
      </c>
      <c r="BH268" s="390">
        <f t="shared" si="58"/>
        <v>88.888888888888886</v>
      </c>
      <c r="BI268" s="303">
        <v>99</v>
      </c>
      <c r="BJ268" s="323">
        <v>1</v>
      </c>
      <c r="BK268" s="324">
        <v>20</v>
      </c>
      <c r="BL268" s="514" t="s">
        <v>2985</v>
      </c>
      <c r="BM268" s="307">
        <v>0</v>
      </c>
      <c r="BN268" s="507" t="s">
        <v>2985</v>
      </c>
      <c r="BO268" s="259" t="s">
        <v>2985</v>
      </c>
      <c r="BP268" s="350" t="s">
        <v>2283</v>
      </c>
      <c r="BS268" s="321"/>
    </row>
    <row r="269" spans="1:71" s="322" customFormat="1">
      <c r="A269" s="457">
        <v>1549</v>
      </c>
      <c r="B269" s="534" t="s">
        <v>3624</v>
      </c>
      <c r="C269" s="383"/>
      <c r="D269" s="383"/>
      <c r="E269" s="469"/>
      <c r="F269" s="303" t="s">
        <v>2110</v>
      </c>
      <c r="G269" s="386" t="s">
        <v>2659</v>
      </c>
      <c r="H269" s="454" t="s">
        <v>165</v>
      </c>
      <c r="I269" s="338" t="s">
        <v>3377</v>
      </c>
      <c r="J269" s="361">
        <v>1995</v>
      </c>
      <c r="K269" s="341">
        <v>349</v>
      </c>
      <c r="L269" s="340" t="s">
        <v>1745</v>
      </c>
      <c r="M269" s="341" t="s">
        <v>1739</v>
      </c>
      <c r="N269" s="447" t="s">
        <v>2985</v>
      </c>
      <c r="O269" s="349">
        <v>0.4</v>
      </c>
      <c r="P269" s="408" t="s">
        <v>2985</v>
      </c>
      <c r="Q269" s="408" t="s">
        <v>2985</v>
      </c>
      <c r="R269" s="317" t="s">
        <v>2985</v>
      </c>
      <c r="S269" s="317" t="s">
        <v>2985</v>
      </c>
      <c r="T269" s="318" t="s">
        <v>2985</v>
      </c>
      <c r="U269" s="318" t="s">
        <v>2985</v>
      </c>
      <c r="V269" s="408" t="s">
        <v>2985</v>
      </c>
      <c r="W269" s="408" t="s">
        <v>2985</v>
      </c>
      <c r="X269" s="313" t="s">
        <v>12</v>
      </c>
      <c r="Y269" s="307" t="s">
        <v>12</v>
      </c>
      <c r="Z269" s="314" t="s">
        <v>2985</v>
      </c>
      <c r="AA269" s="311" t="s">
        <v>1754</v>
      </c>
      <c r="AB269" s="341" t="s">
        <v>273</v>
      </c>
      <c r="AC269" s="161" t="s">
        <v>2985</v>
      </c>
      <c r="AD269" s="511" t="s">
        <v>2985</v>
      </c>
      <c r="AE269" s="316" t="s">
        <v>2985</v>
      </c>
      <c r="AF269" s="316" t="s">
        <v>2985</v>
      </c>
      <c r="AG269" s="262" t="s">
        <v>2985</v>
      </c>
      <c r="AH269" s="313">
        <v>100</v>
      </c>
      <c r="AI269" s="348">
        <v>0</v>
      </c>
      <c r="AJ269" s="365">
        <v>0</v>
      </c>
      <c r="AK269" s="365">
        <v>0</v>
      </c>
      <c r="AL269" s="365">
        <v>0</v>
      </c>
      <c r="AM269" s="365">
        <v>0</v>
      </c>
      <c r="AN269" s="348">
        <v>0</v>
      </c>
      <c r="AO269" s="348">
        <v>0</v>
      </c>
      <c r="AP269" s="348">
        <v>0</v>
      </c>
      <c r="AQ269" s="348">
        <v>0</v>
      </c>
      <c r="AR269" s="348">
        <v>0</v>
      </c>
      <c r="AS269" s="348">
        <v>0</v>
      </c>
      <c r="AT269" s="348">
        <v>0</v>
      </c>
      <c r="AU269" s="348">
        <v>0</v>
      </c>
      <c r="AV269" s="348">
        <v>0</v>
      </c>
      <c r="AW269" s="348">
        <v>0</v>
      </c>
      <c r="AX269" s="341">
        <v>0</v>
      </c>
      <c r="AY269" s="354" t="s">
        <v>2985</v>
      </c>
      <c r="AZ269" s="316"/>
      <c r="BA269" s="316" t="s">
        <v>2985</v>
      </c>
      <c r="BB269" s="94" t="s">
        <v>2985</v>
      </c>
      <c r="BC269" s="425" t="s">
        <v>521</v>
      </c>
      <c r="BD269" s="348" t="s">
        <v>3566</v>
      </c>
      <c r="BE269" s="353">
        <v>400</v>
      </c>
      <c r="BF269" s="316"/>
      <c r="BG269" s="348">
        <v>1600</v>
      </c>
      <c r="BH269" s="390">
        <f t="shared" si="58"/>
        <v>88.888888888888886</v>
      </c>
      <c r="BI269" s="303">
        <v>99</v>
      </c>
      <c r="BJ269" s="323">
        <v>1</v>
      </c>
      <c r="BK269" s="324">
        <v>20</v>
      </c>
      <c r="BL269" s="514" t="s">
        <v>2985</v>
      </c>
      <c r="BM269" s="307">
        <v>0</v>
      </c>
      <c r="BN269" s="507" t="s">
        <v>2985</v>
      </c>
      <c r="BO269" s="259" t="s">
        <v>2985</v>
      </c>
      <c r="BP269" s="350"/>
      <c r="BS269" s="321"/>
    </row>
    <row r="270" spans="1:71" s="322" customFormat="1">
      <c r="A270" s="457">
        <v>1550</v>
      </c>
      <c r="B270" s="534" t="s">
        <v>3624</v>
      </c>
      <c r="C270" s="383"/>
      <c r="D270" s="383"/>
      <c r="E270" s="469"/>
      <c r="F270" s="303" t="s">
        <v>2111</v>
      </c>
      <c r="G270" s="386" t="s">
        <v>2659</v>
      </c>
      <c r="H270" s="454" t="s">
        <v>165</v>
      </c>
      <c r="I270" s="338" t="s">
        <v>3377</v>
      </c>
      <c r="J270" s="361">
        <v>1995</v>
      </c>
      <c r="K270" s="341">
        <v>349</v>
      </c>
      <c r="L270" s="340" t="s">
        <v>1745</v>
      </c>
      <c r="M270" s="341" t="s">
        <v>1739</v>
      </c>
      <c r="N270" s="447" t="s">
        <v>2985</v>
      </c>
      <c r="O270" s="349">
        <v>0.4</v>
      </c>
      <c r="P270" s="408" t="s">
        <v>2985</v>
      </c>
      <c r="Q270" s="408" t="s">
        <v>2985</v>
      </c>
      <c r="R270" s="317" t="s">
        <v>2985</v>
      </c>
      <c r="S270" s="317" t="s">
        <v>2985</v>
      </c>
      <c r="T270" s="318" t="s">
        <v>2985</v>
      </c>
      <c r="U270" s="318" t="s">
        <v>2985</v>
      </c>
      <c r="V270" s="408" t="s">
        <v>2985</v>
      </c>
      <c r="W270" s="408" t="s">
        <v>2985</v>
      </c>
      <c r="X270" s="313" t="s">
        <v>12</v>
      </c>
      <c r="Y270" s="307" t="s">
        <v>12</v>
      </c>
      <c r="Z270" s="314" t="s">
        <v>2985</v>
      </c>
      <c r="AA270" s="311" t="s">
        <v>3538</v>
      </c>
      <c r="AB270" s="341" t="s">
        <v>273</v>
      </c>
      <c r="AC270" s="161" t="s">
        <v>2985</v>
      </c>
      <c r="AD270" s="511" t="s">
        <v>2985</v>
      </c>
      <c r="AE270" s="316" t="s">
        <v>2985</v>
      </c>
      <c r="AF270" s="316" t="s">
        <v>2985</v>
      </c>
      <c r="AG270" s="262" t="s">
        <v>2985</v>
      </c>
      <c r="AH270" s="313">
        <v>91</v>
      </c>
      <c r="AI270" s="356">
        <v>9</v>
      </c>
      <c r="AJ270" s="365">
        <v>0</v>
      </c>
      <c r="AK270" s="365">
        <v>0</v>
      </c>
      <c r="AL270" s="365">
        <v>0</v>
      </c>
      <c r="AM270" s="365">
        <v>0</v>
      </c>
      <c r="AN270" s="348">
        <v>0</v>
      </c>
      <c r="AO270" s="348">
        <v>0</v>
      </c>
      <c r="AP270" s="348">
        <v>0</v>
      </c>
      <c r="AQ270" s="348">
        <v>0</v>
      </c>
      <c r="AR270" s="348">
        <v>0</v>
      </c>
      <c r="AS270" s="348">
        <v>0</v>
      </c>
      <c r="AT270" s="348">
        <v>0</v>
      </c>
      <c r="AU270" s="348">
        <v>0</v>
      </c>
      <c r="AV270" s="348">
        <v>0</v>
      </c>
      <c r="AW270" s="348">
        <v>0</v>
      </c>
      <c r="AX270" s="341">
        <v>0</v>
      </c>
      <c r="AY270" s="354" t="s">
        <v>2985</v>
      </c>
      <c r="AZ270" s="316"/>
      <c r="BA270" s="316" t="s">
        <v>2985</v>
      </c>
      <c r="BB270" s="94" t="s">
        <v>2985</v>
      </c>
      <c r="BC270" s="425" t="s">
        <v>521</v>
      </c>
      <c r="BD270" s="348" t="s">
        <v>3566</v>
      </c>
      <c r="BE270" s="353">
        <v>400</v>
      </c>
      <c r="BF270" s="316"/>
      <c r="BG270" s="348">
        <v>1600</v>
      </c>
      <c r="BH270" s="390">
        <f t="shared" si="58"/>
        <v>88.888888888888886</v>
      </c>
      <c r="BI270" s="303">
        <v>99</v>
      </c>
      <c r="BJ270" s="323">
        <v>1</v>
      </c>
      <c r="BK270" s="324">
        <v>20</v>
      </c>
      <c r="BL270" s="514" t="s">
        <v>2985</v>
      </c>
      <c r="BM270" s="307">
        <v>0</v>
      </c>
      <c r="BN270" s="507" t="s">
        <v>2985</v>
      </c>
      <c r="BO270" s="259" t="s">
        <v>2985</v>
      </c>
      <c r="BP270" s="350"/>
      <c r="BS270" s="321"/>
    </row>
    <row r="271" spans="1:71" s="322" customFormat="1">
      <c r="A271" s="457">
        <v>1551</v>
      </c>
      <c r="B271" s="534" t="s">
        <v>3624</v>
      </c>
      <c r="C271" s="383"/>
      <c r="D271" s="383"/>
      <c r="E271" s="469"/>
      <c r="F271" s="303" t="s">
        <v>2112</v>
      </c>
      <c r="G271" s="386" t="s">
        <v>2659</v>
      </c>
      <c r="H271" s="454" t="s">
        <v>165</v>
      </c>
      <c r="I271" s="338" t="s">
        <v>3377</v>
      </c>
      <c r="J271" s="361">
        <v>1995</v>
      </c>
      <c r="K271" s="341">
        <v>349</v>
      </c>
      <c r="L271" s="340" t="s">
        <v>1745</v>
      </c>
      <c r="M271" s="341" t="s">
        <v>1739</v>
      </c>
      <c r="N271" s="447" t="s">
        <v>2985</v>
      </c>
      <c r="O271" s="349">
        <v>0.4</v>
      </c>
      <c r="P271" s="408" t="s">
        <v>2985</v>
      </c>
      <c r="Q271" s="408" t="s">
        <v>2985</v>
      </c>
      <c r="R271" s="317" t="s">
        <v>2985</v>
      </c>
      <c r="S271" s="317" t="s">
        <v>2985</v>
      </c>
      <c r="T271" s="318" t="s">
        <v>2985</v>
      </c>
      <c r="U271" s="318" t="s">
        <v>2985</v>
      </c>
      <c r="V271" s="408" t="s">
        <v>2985</v>
      </c>
      <c r="W271" s="408" t="s">
        <v>2985</v>
      </c>
      <c r="X271" s="313" t="s">
        <v>12</v>
      </c>
      <c r="Y271" s="307" t="s">
        <v>12</v>
      </c>
      <c r="Z271" s="314" t="s">
        <v>2985</v>
      </c>
      <c r="AA271" s="516" t="s">
        <v>3555</v>
      </c>
      <c r="AB271" s="341" t="s">
        <v>273</v>
      </c>
      <c r="AC271" s="161" t="s">
        <v>2985</v>
      </c>
      <c r="AD271" s="511" t="s">
        <v>2985</v>
      </c>
      <c r="AE271" s="316" t="s">
        <v>2985</v>
      </c>
      <c r="AF271" s="316" t="s">
        <v>2985</v>
      </c>
      <c r="AG271" s="262" t="s">
        <v>2985</v>
      </c>
      <c r="AH271" s="313">
        <v>83</v>
      </c>
      <c r="AI271" s="356">
        <v>17</v>
      </c>
      <c r="AJ271" s="365">
        <v>0</v>
      </c>
      <c r="AK271" s="365">
        <v>0</v>
      </c>
      <c r="AL271" s="365">
        <v>0</v>
      </c>
      <c r="AM271" s="365">
        <v>0</v>
      </c>
      <c r="AN271" s="348">
        <v>0</v>
      </c>
      <c r="AO271" s="348">
        <v>0</v>
      </c>
      <c r="AP271" s="348">
        <v>0</v>
      </c>
      <c r="AQ271" s="348">
        <v>0</v>
      </c>
      <c r="AR271" s="348">
        <v>0</v>
      </c>
      <c r="AS271" s="348">
        <v>0</v>
      </c>
      <c r="AT271" s="348">
        <v>0</v>
      </c>
      <c r="AU271" s="348">
        <v>0</v>
      </c>
      <c r="AV271" s="348">
        <v>0</v>
      </c>
      <c r="AW271" s="348">
        <v>0</v>
      </c>
      <c r="AX271" s="341">
        <v>0</v>
      </c>
      <c r="AY271" s="354" t="s">
        <v>2985</v>
      </c>
      <c r="AZ271" s="316"/>
      <c r="BA271" s="316" t="s">
        <v>2985</v>
      </c>
      <c r="BB271" s="94" t="s">
        <v>2985</v>
      </c>
      <c r="BC271" s="425" t="s">
        <v>521</v>
      </c>
      <c r="BD271" s="348" t="s">
        <v>3566</v>
      </c>
      <c r="BE271" s="353">
        <v>400</v>
      </c>
      <c r="BF271" s="316"/>
      <c r="BG271" s="348">
        <v>1600</v>
      </c>
      <c r="BH271" s="390">
        <f t="shared" si="58"/>
        <v>88.888888888888886</v>
      </c>
      <c r="BI271" s="303">
        <v>99</v>
      </c>
      <c r="BJ271" s="323">
        <v>1</v>
      </c>
      <c r="BK271" s="324">
        <v>20</v>
      </c>
      <c r="BL271" s="514" t="s">
        <v>2985</v>
      </c>
      <c r="BM271" s="307">
        <v>0</v>
      </c>
      <c r="BN271" s="507" t="s">
        <v>2985</v>
      </c>
      <c r="BO271" s="259" t="s">
        <v>2985</v>
      </c>
      <c r="BP271" s="350"/>
      <c r="BS271" s="321"/>
    </row>
    <row r="272" spans="1:71" s="322" customFormat="1">
      <c r="A272" s="457">
        <v>1552</v>
      </c>
      <c r="B272" s="534" t="s">
        <v>3624</v>
      </c>
      <c r="C272" s="383"/>
      <c r="D272" s="383"/>
      <c r="E272" s="469"/>
      <c r="F272" s="303" t="s">
        <v>2113</v>
      </c>
      <c r="G272" s="386" t="s">
        <v>2659</v>
      </c>
      <c r="H272" s="454" t="s">
        <v>165</v>
      </c>
      <c r="I272" s="338" t="s">
        <v>3377</v>
      </c>
      <c r="J272" s="361">
        <v>1995</v>
      </c>
      <c r="K272" s="341">
        <v>349</v>
      </c>
      <c r="L272" s="340" t="s">
        <v>1745</v>
      </c>
      <c r="M272" s="341" t="s">
        <v>1739</v>
      </c>
      <c r="N272" s="447" t="s">
        <v>2985</v>
      </c>
      <c r="O272" s="349">
        <v>0.23</v>
      </c>
      <c r="P272" s="408" t="s">
        <v>2985</v>
      </c>
      <c r="Q272" s="408" t="s">
        <v>2985</v>
      </c>
      <c r="R272" s="317" t="s">
        <v>2985</v>
      </c>
      <c r="S272" s="317" t="s">
        <v>2985</v>
      </c>
      <c r="T272" s="318" t="s">
        <v>2985</v>
      </c>
      <c r="U272" s="318" t="s">
        <v>2985</v>
      </c>
      <c r="V272" s="408" t="s">
        <v>2985</v>
      </c>
      <c r="W272" s="408" t="s">
        <v>2985</v>
      </c>
      <c r="X272" s="313" t="s">
        <v>12</v>
      </c>
      <c r="Y272" s="307" t="s">
        <v>12</v>
      </c>
      <c r="Z272" s="314" t="s">
        <v>2985</v>
      </c>
      <c r="AA272" s="516" t="s">
        <v>3555</v>
      </c>
      <c r="AB272" s="341" t="s">
        <v>273</v>
      </c>
      <c r="AC272" s="161" t="s">
        <v>2985</v>
      </c>
      <c r="AD272" s="511" t="s">
        <v>2985</v>
      </c>
      <c r="AE272" s="316" t="s">
        <v>2985</v>
      </c>
      <c r="AF272" s="316" t="s">
        <v>2985</v>
      </c>
      <c r="AG272" s="262" t="s">
        <v>2985</v>
      </c>
      <c r="AH272" s="313">
        <v>83</v>
      </c>
      <c r="AI272" s="356">
        <v>17</v>
      </c>
      <c r="AJ272" s="365">
        <v>0</v>
      </c>
      <c r="AK272" s="365">
        <v>0</v>
      </c>
      <c r="AL272" s="365">
        <v>0</v>
      </c>
      <c r="AM272" s="365">
        <v>0</v>
      </c>
      <c r="AN272" s="348">
        <v>0</v>
      </c>
      <c r="AO272" s="348">
        <v>0</v>
      </c>
      <c r="AP272" s="348">
        <v>0</v>
      </c>
      <c r="AQ272" s="348">
        <v>0</v>
      </c>
      <c r="AR272" s="348">
        <v>0</v>
      </c>
      <c r="AS272" s="348">
        <v>0</v>
      </c>
      <c r="AT272" s="348">
        <v>0</v>
      </c>
      <c r="AU272" s="348">
        <v>0</v>
      </c>
      <c r="AV272" s="348">
        <v>0</v>
      </c>
      <c r="AW272" s="348">
        <v>0</v>
      </c>
      <c r="AX272" s="341">
        <v>0</v>
      </c>
      <c r="AY272" s="354" t="s">
        <v>2985</v>
      </c>
      <c r="AZ272" s="316"/>
      <c r="BA272" s="316" t="s">
        <v>2985</v>
      </c>
      <c r="BB272" s="94" t="s">
        <v>2985</v>
      </c>
      <c r="BC272" s="425" t="s">
        <v>521</v>
      </c>
      <c r="BD272" s="348" t="s">
        <v>3566</v>
      </c>
      <c r="BE272" s="353">
        <v>400</v>
      </c>
      <c r="BF272" s="316"/>
      <c r="BG272" s="348">
        <v>1600</v>
      </c>
      <c r="BH272" s="390">
        <f t="shared" si="58"/>
        <v>88.888888888888886</v>
      </c>
      <c r="BI272" s="303">
        <v>99</v>
      </c>
      <c r="BJ272" s="323">
        <v>1</v>
      </c>
      <c r="BK272" s="324">
        <v>20</v>
      </c>
      <c r="BL272" s="514" t="s">
        <v>2985</v>
      </c>
      <c r="BM272" s="307">
        <v>0</v>
      </c>
      <c r="BN272" s="507" t="s">
        <v>2985</v>
      </c>
      <c r="BO272" s="259" t="s">
        <v>2985</v>
      </c>
      <c r="BP272" s="350"/>
      <c r="BS272" s="321"/>
    </row>
    <row r="273" spans="1:71" s="322" customFormat="1">
      <c r="A273" s="457">
        <v>1553</v>
      </c>
      <c r="B273" s="534" t="s">
        <v>3624</v>
      </c>
      <c r="C273" s="383"/>
      <c r="D273" s="383"/>
      <c r="E273" s="469"/>
      <c r="F273" s="303" t="s">
        <v>2114</v>
      </c>
      <c r="G273" s="386" t="s">
        <v>2659</v>
      </c>
      <c r="H273" s="454" t="s">
        <v>165</v>
      </c>
      <c r="I273" s="338" t="s">
        <v>3377</v>
      </c>
      <c r="J273" s="361">
        <v>1995</v>
      </c>
      <c r="K273" s="341">
        <v>349</v>
      </c>
      <c r="L273" s="340" t="s">
        <v>1745</v>
      </c>
      <c r="M273" s="341" t="s">
        <v>1739</v>
      </c>
      <c r="N273" s="447" t="s">
        <v>2985</v>
      </c>
      <c r="O273" s="349">
        <v>0.4</v>
      </c>
      <c r="P273" s="408" t="s">
        <v>2985</v>
      </c>
      <c r="Q273" s="408" t="s">
        <v>2985</v>
      </c>
      <c r="R273" s="317" t="s">
        <v>2985</v>
      </c>
      <c r="S273" s="317" t="s">
        <v>2985</v>
      </c>
      <c r="T273" s="318" t="s">
        <v>2985</v>
      </c>
      <c r="U273" s="318" t="s">
        <v>2985</v>
      </c>
      <c r="V273" s="408" t="s">
        <v>2985</v>
      </c>
      <c r="W273" s="408" t="s">
        <v>2985</v>
      </c>
      <c r="X273" s="313" t="s">
        <v>12</v>
      </c>
      <c r="Y273" s="307" t="s">
        <v>12</v>
      </c>
      <c r="Z273" s="314" t="s">
        <v>2985</v>
      </c>
      <c r="AA273" s="311" t="s">
        <v>1754</v>
      </c>
      <c r="AB273" s="341" t="s">
        <v>273</v>
      </c>
      <c r="AC273" s="161" t="s">
        <v>2985</v>
      </c>
      <c r="AD273" s="511" t="s">
        <v>2985</v>
      </c>
      <c r="AE273" s="316" t="s">
        <v>2985</v>
      </c>
      <c r="AF273" s="316" t="s">
        <v>2985</v>
      </c>
      <c r="AG273" s="262" t="s">
        <v>2985</v>
      </c>
      <c r="AH273" s="313">
        <v>100</v>
      </c>
      <c r="AI273" s="348">
        <v>0</v>
      </c>
      <c r="AJ273" s="365">
        <v>0</v>
      </c>
      <c r="AK273" s="365">
        <v>0</v>
      </c>
      <c r="AL273" s="365">
        <v>0</v>
      </c>
      <c r="AM273" s="365">
        <v>0</v>
      </c>
      <c r="AN273" s="348">
        <v>0</v>
      </c>
      <c r="AO273" s="348">
        <v>0</v>
      </c>
      <c r="AP273" s="348">
        <v>0</v>
      </c>
      <c r="AQ273" s="348">
        <v>0</v>
      </c>
      <c r="AR273" s="348">
        <v>0</v>
      </c>
      <c r="AS273" s="348">
        <v>0</v>
      </c>
      <c r="AT273" s="348">
        <v>0</v>
      </c>
      <c r="AU273" s="348">
        <v>0</v>
      </c>
      <c r="AV273" s="348">
        <v>0</v>
      </c>
      <c r="AW273" s="348">
        <v>0</v>
      </c>
      <c r="AX273" s="341">
        <v>0</v>
      </c>
      <c r="AY273" s="354" t="s">
        <v>2985</v>
      </c>
      <c r="AZ273" s="316"/>
      <c r="BA273" s="316" t="s">
        <v>2985</v>
      </c>
      <c r="BB273" s="94" t="s">
        <v>2985</v>
      </c>
      <c r="BC273" s="425" t="s">
        <v>521</v>
      </c>
      <c r="BD273" s="348" t="s">
        <v>3566</v>
      </c>
      <c r="BE273" s="353">
        <v>400</v>
      </c>
      <c r="BF273" s="316"/>
      <c r="BG273" s="348">
        <v>1600</v>
      </c>
      <c r="BH273" s="390">
        <f t="shared" si="58"/>
        <v>88.888888888888886</v>
      </c>
      <c r="BI273" s="303">
        <v>99</v>
      </c>
      <c r="BJ273" s="323">
        <v>1</v>
      </c>
      <c r="BK273" s="324">
        <v>20</v>
      </c>
      <c r="BL273" s="514" t="s">
        <v>2985</v>
      </c>
      <c r="BM273" s="307">
        <v>0</v>
      </c>
      <c r="BN273" s="507" t="s">
        <v>2985</v>
      </c>
      <c r="BO273" s="259" t="s">
        <v>2985</v>
      </c>
      <c r="BP273" s="350" t="s">
        <v>2286</v>
      </c>
      <c r="BS273" s="321"/>
    </row>
    <row r="274" spans="1:71" s="322" customFormat="1">
      <c r="A274" s="457">
        <v>1554</v>
      </c>
      <c r="B274" s="534" t="s">
        <v>3624</v>
      </c>
      <c r="C274" s="383"/>
      <c r="D274" s="383"/>
      <c r="E274" s="469"/>
      <c r="F274" s="303" t="s">
        <v>2115</v>
      </c>
      <c r="G274" s="386" t="s">
        <v>2659</v>
      </c>
      <c r="H274" s="454" t="s">
        <v>165</v>
      </c>
      <c r="I274" s="338" t="s">
        <v>3377</v>
      </c>
      <c r="J274" s="361">
        <v>1995</v>
      </c>
      <c r="K274" s="341">
        <v>349</v>
      </c>
      <c r="L274" s="340" t="s">
        <v>1745</v>
      </c>
      <c r="M274" s="341" t="s">
        <v>1739</v>
      </c>
      <c r="N274" s="447" t="s">
        <v>2985</v>
      </c>
      <c r="O274" s="349">
        <v>0.4</v>
      </c>
      <c r="P274" s="408" t="s">
        <v>2985</v>
      </c>
      <c r="Q274" s="408" t="s">
        <v>2985</v>
      </c>
      <c r="R274" s="317" t="s">
        <v>2985</v>
      </c>
      <c r="S274" s="317" t="s">
        <v>2985</v>
      </c>
      <c r="T274" s="318" t="s">
        <v>2985</v>
      </c>
      <c r="U274" s="318" t="s">
        <v>2985</v>
      </c>
      <c r="V274" s="408" t="s">
        <v>2985</v>
      </c>
      <c r="W274" s="408" t="s">
        <v>2985</v>
      </c>
      <c r="X274" s="313" t="s">
        <v>12</v>
      </c>
      <c r="Y274" s="307" t="s">
        <v>12</v>
      </c>
      <c r="Z274" s="314" t="s">
        <v>2985</v>
      </c>
      <c r="AA274" s="311" t="s">
        <v>1754</v>
      </c>
      <c r="AB274" s="341" t="s">
        <v>273</v>
      </c>
      <c r="AC274" s="161" t="s">
        <v>2985</v>
      </c>
      <c r="AD274" s="511" t="s">
        <v>2985</v>
      </c>
      <c r="AE274" s="316" t="s">
        <v>2985</v>
      </c>
      <c r="AF274" s="316" t="s">
        <v>2985</v>
      </c>
      <c r="AG274" s="262" t="s">
        <v>2985</v>
      </c>
      <c r="AH274" s="313">
        <v>100</v>
      </c>
      <c r="AI274" s="348">
        <v>0</v>
      </c>
      <c r="AJ274" s="365">
        <v>0</v>
      </c>
      <c r="AK274" s="365">
        <v>0</v>
      </c>
      <c r="AL274" s="365">
        <v>0</v>
      </c>
      <c r="AM274" s="365">
        <v>0</v>
      </c>
      <c r="AN274" s="348">
        <v>0</v>
      </c>
      <c r="AO274" s="348">
        <v>0</v>
      </c>
      <c r="AP274" s="348">
        <v>0</v>
      </c>
      <c r="AQ274" s="348">
        <v>0</v>
      </c>
      <c r="AR274" s="348">
        <v>0</v>
      </c>
      <c r="AS274" s="348">
        <v>0</v>
      </c>
      <c r="AT274" s="348">
        <v>0</v>
      </c>
      <c r="AU274" s="348">
        <v>0</v>
      </c>
      <c r="AV274" s="348">
        <v>0</v>
      </c>
      <c r="AW274" s="348">
        <v>0</v>
      </c>
      <c r="AX274" s="341">
        <v>0</v>
      </c>
      <c r="AY274" s="354" t="s">
        <v>2985</v>
      </c>
      <c r="AZ274" s="316"/>
      <c r="BA274" s="316" t="s">
        <v>2985</v>
      </c>
      <c r="BB274" s="94" t="s">
        <v>2985</v>
      </c>
      <c r="BC274" s="425" t="s">
        <v>521</v>
      </c>
      <c r="BD274" s="348" t="s">
        <v>3566</v>
      </c>
      <c r="BE274" s="353">
        <v>400</v>
      </c>
      <c r="BF274" s="316"/>
      <c r="BG274" s="348">
        <v>1600</v>
      </c>
      <c r="BH274" s="390">
        <f t="shared" si="58"/>
        <v>88.888888888888886</v>
      </c>
      <c r="BI274" s="303">
        <v>99</v>
      </c>
      <c r="BJ274" s="323">
        <v>1</v>
      </c>
      <c r="BK274" s="324">
        <v>20</v>
      </c>
      <c r="BL274" s="514" t="s">
        <v>2985</v>
      </c>
      <c r="BM274" s="307">
        <v>0</v>
      </c>
      <c r="BN274" s="507" t="s">
        <v>2985</v>
      </c>
      <c r="BO274" s="259" t="s">
        <v>2985</v>
      </c>
      <c r="BP274" s="350" t="s">
        <v>2287</v>
      </c>
      <c r="BS274" s="321"/>
    </row>
    <row r="275" spans="1:71" s="322" customFormat="1">
      <c r="A275" s="457">
        <v>1555</v>
      </c>
      <c r="B275" s="534" t="s">
        <v>3624</v>
      </c>
      <c r="C275" s="383"/>
      <c r="D275" s="383"/>
      <c r="E275" s="469"/>
      <c r="F275" s="303" t="s">
        <v>2116</v>
      </c>
      <c r="G275" s="386" t="s">
        <v>2659</v>
      </c>
      <c r="H275" s="454" t="s">
        <v>165</v>
      </c>
      <c r="I275" s="338" t="s">
        <v>3377</v>
      </c>
      <c r="J275" s="361">
        <v>1995</v>
      </c>
      <c r="K275" s="341">
        <v>349</v>
      </c>
      <c r="L275" s="340" t="s">
        <v>1745</v>
      </c>
      <c r="M275" s="341" t="s">
        <v>1739</v>
      </c>
      <c r="N275" s="447" t="s">
        <v>2985</v>
      </c>
      <c r="O275" s="349">
        <v>0.4</v>
      </c>
      <c r="P275" s="408" t="s">
        <v>2985</v>
      </c>
      <c r="Q275" s="408" t="s">
        <v>2985</v>
      </c>
      <c r="R275" s="317" t="s">
        <v>2985</v>
      </c>
      <c r="S275" s="317" t="s">
        <v>2985</v>
      </c>
      <c r="T275" s="318" t="s">
        <v>2985</v>
      </c>
      <c r="U275" s="318" t="s">
        <v>2985</v>
      </c>
      <c r="V275" s="408" t="s">
        <v>2985</v>
      </c>
      <c r="W275" s="408" t="s">
        <v>2985</v>
      </c>
      <c r="X275" s="313" t="s">
        <v>12</v>
      </c>
      <c r="Y275" s="307" t="s">
        <v>12</v>
      </c>
      <c r="Z275" s="314" t="s">
        <v>2985</v>
      </c>
      <c r="AA275" s="311" t="s">
        <v>1754</v>
      </c>
      <c r="AB275" s="341" t="s">
        <v>273</v>
      </c>
      <c r="AC275" s="161" t="s">
        <v>2985</v>
      </c>
      <c r="AD275" s="511" t="s">
        <v>2985</v>
      </c>
      <c r="AE275" s="316" t="s">
        <v>2985</v>
      </c>
      <c r="AF275" s="316" t="s">
        <v>2985</v>
      </c>
      <c r="AG275" s="262" t="s">
        <v>2985</v>
      </c>
      <c r="AH275" s="313">
        <v>95</v>
      </c>
      <c r="AI275" s="356">
        <v>5</v>
      </c>
      <c r="AJ275" s="365">
        <v>0</v>
      </c>
      <c r="AK275" s="365">
        <v>0</v>
      </c>
      <c r="AL275" s="365">
        <v>0</v>
      </c>
      <c r="AM275" s="365">
        <v>0</v>
      </c>
      <c r="AN275" s="348">
        <v>0</v>
      </c>
      <c r="AO275" s="348">
        <v>0</v>
      </c>
      <c r="AP275" s="348">
        <v>0</v>
      </c>
      <c r="AQ275" s="348">
        <v>0</v>
      </c>
      <c r="AR275" s="348">
        <v>0</v>
      </c>
      <c r="AS275" s="348">
        <v>0</v>
      </c>
      <c r="AT275" s="348">
        <v>0</v>
      </c>
      <c r="AU275" s="348">
        <v>0</v>
      </c>
      <c r="AV275" s="348">
        <v>0</v>
      </c>
      <c r="AW275" s="348">
        <v>0</v>
      </c>
      <c r="AX275" s="341">
        <v>0</v>
      </c>
      <c r="AY275" s="354" t="s">
        <v>2985</v>
      </c>
      <c r="AZ275" s="316"/>
      <c r="BA275" s="316" t="s">
        <v>2985</v>
      </c>
      <c r="BB275" s="94" t="s">
        <v>2985</v>
      </c>
      <c r="BC275" s="425" t="s">
        <v>521</v>
      </c>
      <c r="BD275" s="348" t="s">
        <v>3566</v>
      </c>
      <c r="BE275" s="353">
        <v>400</v>
      </c>
      <c r="BF275" s="316"/>
      <c r="BG275" s="348">
        <v>1600</v>
      </c>
      <c r="BH275" s="390">
        <f t="shared" si="58"/>
        <v>88.888888888888886</v>
      </c>
      <c r="BI275" s="303">
        <v>99</v>
      </c>
      <c r="BJ275" s="323">
        <v>1</v>
      </c>
      <c r="BK275" s="324">
        <v>20</v>
      </c>
      <c r="BL275" s="514" t="s">
        <v>2985</v>
      </c>
      <c r="BM275" s="307">
        <v>0</v>
      </c>
      <c r="BN275" s="507" t="s">
        <v>2985</v>
      </c>
      <c r="BO275" s="259" t="s">
        <v>2985</v>
      </c>
      <c r="BP275" s="350" t="s">
        <v>2286</v>
      </c>
      <c r="BS275" s="321"/>
    </row>
    <row r="276" spans="1:71" s="322" customFormat="1">
      <c r="A276" s="457">
        <v>1556</v>
      </c>
      <c r="B276" s="534" t="s">
        <v>3624</v>
      </c>
      <c r="C276" s="383"/>
      <c r="D276" s="383"/>
      <c r="E276" s="469"/>
      <c r="F276" s="303" t="s">
        <v>2117</v>
      </c>
      <c r="G276" s="386" t="s">
        <v>2659</v>
      </c>
      <c r="H276" s="454" t="s">
        <v>165</v>
      </c>
      <c r="I276" s="338" t="s">
        <v>3377</v>
      </c>
      <c r="J276" s="361">
        <v>1995</v>
      </c>
      <c r="K276" s="341">
        <v>349</v>
      </c>
      <c r="L276" s="340" t="s">
        <v>1745</v>
      </c>
      <c r="M276" s="341" t="s">
        <v>1739</v>
      </c>
      <c r="N276" s="447" t="s">
        <v>2985</v>
      </c>
      <c r="O276" s="349">
        <v>0.4</v>
      </c>
      <c r="P276" s="408" t="s">
        <v>2985</v>
      </c>
      <c r="Q276" s="408" t="s">
        <v>2985</v>
      </c>
      <c r="R276" s="317" t="s">
        <v>2985</v>
      </c>
      <c r="S276" s="317" t="s">
        <v>2985</v>
      </c>
      <c r="T276" s="318" t="s">
        <v>2985</v>
      </c>
      <c r="U276" s="318" t="s">
        <v>2985</v>
      </c>
      <c r="V276" s="408" t="s">
        <v>2985</v>
      </c>
      <c r="W276" s="408" t="s">
        <v>2985</v>
      </c>
      <c r="X276" s="313" t="s">
        <v>12</v>
      </c>
      <c r="Y276" s="307" t="s">
        <v>12</v>
      </c>
      <c r="Z276" s="314" t="s">
        <v>2985</v>
      </c>
      <c r="AA276" s="311" t="s">
        <v>1754</v>
      </c>
      <c r="AB276" s="341" t="s">
        <v>273</v>
      </c>
      <c r="AC276" s="161" t="s">
        <v>2985</v>
      </c>
      <c r="AD276" s="511" t="s">
        <v>2985</v>
      </c>
      <c r="AE276" s="316" t="s">
        <v>2985</v>
      </c>
      <c r="AF276" s="316" t="s">
        <v>2985</v>
      </c>
      <c r="AG276" s="262" t="s">
        <v>2985</v>
      </c>
      <c r="AH276" s="313">
        <v>95</v>
      </c>
      <c r="AI276" s="356">
        <v>5</v>
      </c>
      <c r="AJ276" s="365">
        <v>0</v>
      </c>
      <c r="AK276" s="365">
        <v>0</v>
      </c>
      <c r="AL276" s="365">
        <v>0</v>
      </c>
      <c r="AM276" s="365">
        <v>0</v>
      </c>
      <c r="AN276" s="348">
        <v>0</v>
      </c>
      <c r="AO276" s="348">
        <v>0</v>
      </c>
      <c r="AP276" s="348">
        <v>0</v>
      </c>
      <c r="AQ276" s="348">
        <v>0</v>
      </c>
      <c r="AR276" s="348">
        <v>0</v>
      </c>
      <c r="AS276" s="348">
        <v>0</v>
      </c>
      <c r="AT276" s="348">
        <v>0</v>
      </c>
      <c r="AU276" s="348">
        <v>0</v>
      </c>
      <c r="AV276" s="348">
        <v>0</v>
      </c>
      <c r="AW276" s="348">
        <v>0</v>
      </c>
      <c r="AX276" s="341">
        <v>0</v>
      </c>
      <c r="AY276" s="354" t="s">
        <v>2985</v>
      </c>
      <c r="AZ276" s="316"/>
      <c r="BA276" s="316" t="s">
        <v>2985</v>
      </c>
      <c r="BB276" s="94" t="s">
        <v>2985</v>
      </c>
      <c r="BC276" s="425" t="s">
        <v>521</v>
      </c>
      <c r="BD276" s="348" t="s">
        <v>3566</v>
      </c>
      <c r="BE276" s="353">
        <v>400</v>
      </c>
      <c r="BF276" s="316"/>
      <c r="BG276" s="348">
        <v>1600</v>
      </c>
      <c r="BH276" s="390">
        <f t="shared" ref="BH276:BH297" si="63">IF(ISBLANK(BF276),(BE276*BG276)/((4*BG276)+(2*BE276)),BE276*BF276*BG276/2/(BE276*BF276+BE276*BG276+BF276*BG276))</f>
        <v>88.888888888888886</v>
      </c>
      <c r="BI276" s="303">
        <v>99</v>
      </c>
      <c r="BJ276" s="323">
        <v>1</v>
      </c>
      <c r="BK276" s="324">
        <v>20</v>
      </c>
      <c r="BL276" s="514" t="s">
        <v>2985</v>
      </c>
      <c r="BM276" s="307">
        <v>0</v>
      </c>
      <c r="BN276" s="507" t="s">
        <v>2985</v>
      </c>
      <c r="BO276" s="259" t="s">
        <v>2985</v>
      </c>
      <c r="BP276" s="350" t="s">
        <v>2287</v>
      </c>
      <c r="BS276" s="321"/>
    </row>
    <row r="277" spans="1:71" s="322" customFormat="1">
      <c r="A277" s="457">
        <v>1557</v>
      </c>
      <c r="B277" s="534" t="s">
        <v>3624</v>
      </c>
      <c r="C277" s="383"/>
      <c r="D277" s="383"/>
      <c r="E277" s="469"/>
      <c r="F277" s="303" t="s">
        <v>2118</v>
      </c>
      <c r="G277" s="386" t="s">
        <v>2659</v>
      </c>
      <c r="H277" s="454" t="s">
        <v>165</v>
      </c>
      <c r="I277" s="338" t="s">
        <v>3377</v>
      </c>
      <c r="J277" s="361">
        <v>1995</v>
      </c>
      <c r="K277" s="341">
        <v>349</v>
      </c>
      <c r="L277" s="340" t="s">
        <v>1745</v>
      </c>
      <c r="M277" s="341" t="s">
        <v>1739</v>
      </c>
      <c r="N277" s="447" t="s">
        <v>2985</v>
      </c>
      <c r="O277" s="349">
        <v>0.4</v>
      </c>
      <c r="P277" s="408" t="s">
        <v>2985</v>
      </c>
      <c r="Q277" s="408" t="s">
        <v>2985</v>
      </c>
      <c r="R277" s="317" t="s">
        <v>2985</v>
      </c>
      <c r="S277" s="317" t="s">
        <v>2985</v>
      </c>
      <c r="T277" s="318" t="s">
        <v>2985</v>
      </c>
      <c r="U277" s="318" t="s">
        <v>2985</v>
      </c>
      <c r="V277" s="408" t="s">
        <v>2985</v>
      </c>
      <c r="W277" s="408" t="s">
        <v>2985</v>
      </c>
      <c r="X277" s="313" t="s">
        <v>12</v>
      </c>
      <c r="Y277" s="307" t="s">
        <v>12</v>
      </c>
      <c r="Z277" s="314" t="s">
        <v>2985</v>
      </c>
      <c r="AA277" s="311" t="s">
        <v>3538</v>
      </c>
      <c r="AB277" s="341" t="s">
        <v>273</v>
      </c>
      <c r="AC277" s="161" t="s">
        <v>2985</v>
      </c>
      <c r="AD277" s="511" t="s">
        <v>2985</v>
      </c>
      <c r="AE277" s="316" t="s">
        <v>2985</v>
      </c>
      <c r="AF277" s="316" t="s">
        <v>2985</v>
      </c>
      <c r="AG277" s="262" t="s">
        <v>2985</v>
      </c>
      <c r="AH277" s="313">
        <v>91</v>
      </c>
      <c r="AI277" s="356">
        <v>9</v>
      </c>
      <c r="AJ277" s="365">
        <v>0</v>
      </c>
      <c r="AK277" s="365">
        <v>0</v>
      </c>
      <c r="AL277" s="365">
        <v>0</v>
      </c>
      <c r="AM277" s="365">
        <v>0</v>
      </c>
      <c r="AN277" s="348">
        <v>0</v>
      </c>
      <c r="AO277" s="348">
        <v>0</v>
      </c>
      <c r="AP277" s="348">
        <v>0</v>
      </c>
      <c r="AQ277" s="348">
        <v>0</v>
      </c>
      <c r="AR277" s="348">
        <v>0</v>
      </c>
      <c r="AS277" s="348">
        <v>0</v>
      </c>
      <c r="AT277" s="348">
        <v>0</v>
      </c>
      <c r="AU277" s="348">
        <v>0</v>
      </c>
      <c r="AV277" s="348">
        <v>0</v>
      </c>
      <c r="AW277" s="348">
        <v>0</v>
      </c>
      <c r="AX277" s="341">
        <v>0</v>
      </c>
      <c r="AY277" s="354" t="s">
        <v>2985</v>
      </c>
      <c r="AZ277" s="316"/>
      <c r="BA277" s="316" t="s">
        <v>2985</v>
      </c>
      <c r="BB277" s="94" t="s">
        <v>2985</v>
      </c>
      <c r="BC277" s="425" t="s">
        <v>521</v>
      </c>
      <c r="BD277" s="348" t="s">
        <v>3566</v>
      </c>
      <c r="BE277" s="353">
        <v>400</v>
      </c>
      <c r="BF277" s="316"/>
      <c r="BG277" s="348">
        <v>1600</v>
      </c>
      <c r="BH277" s="390">
        <f t="shared" si="63"/>
        <v>88.888888888888886</v>
      </c>
      <c r="BI277" s="303">
        <v>99</v>
      </c>
      <c r="BJ277" s="323">
        <v>1</v>
      </c>
      <c r="BK277" s="324">
        <v>20</v>
      </c>
      <c r="BL277" s="514" t="s">
        <v>2985</v>
      </c>
      <c r="BM277" s="307">
        <v>0</v>
      </c>
      <c r="BN277" s="507" t="s">
        <v>2985</v>
      </c>
      <c r="BO277" s="259" t="s">
        <v>2985</v>
      </c>
      <c r="BP277" s="350" t="s">
        <v>2286</v>
      </c>
      <c r="BS277" s="321"/>
    </row>
    <row r="278" spans="1:71" s="322" customFormat="1">
      <c r="A278" s="457">
        <v>1558</v>
      </c>
      <c r="B278" s="534" t="s">
        <v>3624</v>
      </c>
      <c r="C278" s="383"/>
      <c r="D278" s="383"/>
      <c r="E278" s="469"/>
      <c r="F278" s="303" t="s">
        <v>2119</v>
      </c>
      <c r="G278" s="386" t="s">
        <v>2659</v>
      </c>
      <c r="H278" s="454" t="s">
        <v>165</v>
      </c>
      <c r="I278" s="338" t="s">
        <v>3377</v>
      </c>
      <c r="J278" s="361">
        <v>1995</v>
      </c>
      <c r="K278" s="341">
        <v>349</v>
      </c>
      <c r="L278" s="340" t="s">
        <v>1745</v>
      </c>
      <c r="M278" s="341" t="s">
        <v>1739</v>
      </c>
      <c r="N278" s="447" t="s">
        <v>2985</v>
      </c>
      <c r="O278" s="349">
        <v>0.4</v>
      </c>
      <c r="P278" s="408" t="s">
        <v>2985</v>
      </c>
      <c r="Q278" s="408" t="s">
        <v>2985</v>
      </c>
      <c r="R278" s="317" t="s">
        <v>2985</v>
      </c>
      <c r="S278" s="317" t="s">
        <v>2985</v>
      </c>
      <c r="T278" s="318" t="s">
        <v>2985</v>
      </c>
      <c r="U278" s="318" t="s">
        <v>2985</v>
      </c>
      <c r="V278" s="408" t="s">
        <v>2985</v>
      </c>
      <c r="W278" s="408" t="s">
        <v>2985</v>
      </c>
      <c r="X278" s="313" t="s">
        <v>12</v>
      </c>
      <c r="Y278" s="307" t="s">
        <v>12</v>
      </c>
      <c r="Z278" s="314" t="s">
        <v>2985</v>
      </c>
      <c r="AA278" s="311" t="s">
        <v>3538</v>
      </c>
      <c r="AB278" s="341" t="s">
        <v>273</v>
      </c>
      <c r="AC278" s="161" t="s">
        <v>2985</v>
      </c>
      <c r="AD278" s="511" t="s">
        <v>2985</v>
      </c>
      <c r="AE278" s="316" t="s">
        <v>2985</v>
      </c>
      <c r="AF278" s="316" t="s">
        <v>2985</v>
      </c>
      <c r="AG278" s="262" t="s">
        <v>2985</v>
      </c>
      <c r="AH278" s="313">
        <v>91</v>
      </c>
      <c r="AI278" s="356">
        <v>9</v>
      </c>
      <c r="AJ278" s="365">
        <v>0</v>
      </c>
      <c r="AK278" s="365">
        <v>0</v>
      </c>
      <c r="AL278" s="365">
        <v>0</v>
      </c>
      <c r="AM278" s="365">
        <v>0</v>
      </c>
      <c r="AN278" s="348">
        <v>0</v>
      </c>
      <c r="AO278" s="348">
        <v>0</v>
      </c>
      <c r="AP278" s="348">
        <v>0</v>
      </c>
      <c r="AQ278" s="348">
        <v>0</v>
      </c>
      <c r="AR278" s="348">
        <v>0</v>
      </c>
      <c r="AS278" s="348">
        <v>0</v>
      </c>
      <c r="AT278" s="348">
        <v>0</v>
      </c>
      <c r="AU278" s="348">
        <v>0</v>
      </c>
      <c r="AV278" s="348">
        <v>0</v>
      </c>
      <c r="AW278" s="348">
        <v>0</v>
      </c>
      <c r="AX278" s="341">
        <v>0</v>
      </c>
      <c r="AY278" s="354" t="s">
        <v>2985</v>
      </c>
      <c r="AZ278" s="316"/>
      <c r="BA278" s="316" t="s">
        <v>2985</v>
      </c>
      <c r="BB278" s="94" t="s">
        <v>2985</v>
      </c>
      <c r="BC278" s="425" t="s">
        <v>521</v>
      </c>
      <c r="BD278" s="348" t="s">
        <v>3566</v>
      </c>
      <c r="BE278" s="353">
        <v>400</v>
      </c>
      <c r="BF278" s="316"/>
      <c r="BG278" s="348">
        <v>1600</v>
      </c>
      <c r="BH278" s="390">
        <f t="shared" si="63"/>
        <v>88.888888888888886</v>
      </c>
      <c r="BI278" s="303">
        <v>99</v>
      </c>
      <c r="BJ278" s="323">
        <v>1</v>
      </c>
      <c r="BK278" s="307">
        <v>20</v>
      </c>
      <c r="BL278" s="514" t="s">
        <v>2985</v>
      </c>
      <c r="BM278" s="307">
        <v>0</v>
      </c>
      <c r="BN278" s="507" t="s">
        <v>2985</v>
      </c>
      <c r="BO278" s="259" t="s">
        <v>2985</v>
      </c>
      <c r="BP278" s="350" t="s">
        <v>2287</v>
      </c>
      <c r="BS278" s="321"/>
    </row>
    <row r="279" spans="1:71" s="322" customFormat="1">
      <c r="A279" s="457">
        <v>1559</v>
      </c>
      <c r="B279" s="534" t="s">
        <v>3624</v>
      </c>
      <c r="C279" s="383"/>
      <c r="D279" s="383"/>
      <c r="E279" s="469"/>
      <c r="F279" s="303" t="s">
        <v>2120</v>
      </c>
      <c r="G279" s="386" t="s">
        <v>2659</v>
      </c>
      <c r="H279" s="454" t="s">
        <v>165</v>
      </c>
      <c r="I279" s="338" t="s">
        <v>3377</v>
      </c>
      <c r="J279" s="361">
        <v>1995</v>
      </c>
      <c r="K279" s="341">
        <v>349</v>
      </c>
      <c r="L279" s="340" t="s">
        <v>1745</v>
      </c>
      <c r="M279" s="341" t="s">
        <v>1739</v>
      </c>
      <c r="N279" s="447" t="s">
        <v>2985</v>
      </c>
      <c r="O279" s="349">
        <v>0.4</v>
      </c>
      <c r="P279" s="408" t="s">
        <v>2985</v>
      </c>
      <c r="Q279" s="408" t="s">
        <v>2985</v>
      </c>
      <c r="R279" s="317" t="s">
        <v>2985</v>
      </c>
      <c r="S279" s="317" t="s">
        <v>2985</v>
      </c>
      <c r="T279" s="318" t="s">
        <v>2985</v>
      </c>
      <c r="U279" s="318" t="s">
        <v>2985</v>
      </c>
      <c r="V279" s="408" t="s">
        <v>2985</v>
      </c>
      <c r="W279" s="408" t="s">
        <v>2985</v>
      </c>
      <c r="X279" s="313" t="s">
        <v>12</v>
      </c>
      <c r="Y279" s="307" t="s">
        <v>12</v>
      </c>
      <c r="Z279" s="314" t="s">
        <v>2985</v>
      </c>
      <c r="AA279" s="516" t="s">
        <v>3555</v>
      </c>
      <c r="AB279" s="341" t="s">
        <v>273</v>
      </c>
      <c r="AC279" s="161" t="s">
        <v>2985</v>
      </c>
      <c r="AD279" s="511" t="s">
        <v>2985</v>
      </c>
      <c r="AE279" s="316" t="s">
        <v>2985</v>
      </c>
      <c r="AF279" s="316" t="s">
        <v>2985</v>
      </c>
      <c r="AG279" s="262" t="s">
        <v>2985</v>
      </c>
      <c r="AH279" s="313">
        <v>77</v>
      </c>
      <c r="AI279" s="356">
        <v>23</v>
      </c>
      <c r="AJ279" s="365">
        <v>0</v>
      </c>
      <c r="AK279" s="365">
        <v>0</v>
      </c>
      <c r="AL279" s="365">
        <v>0</v>
      </c>
      <c r="AM279" s="365">
        <v>0</v>
      </c>
      <c r="AN279" s="348">
        <v>0</v>
      </c>
      <c r="AO279" s="348">
        <v>0</v>
      </c>
      <c r="AP279" s="348">
        <v>0</v>
      </c>
      <c r="AQ279" s="348">
        <v>0</v>
      </c>
      <c r="AR279" s="348">
        <v>0</v>
      </c>
      <c r="AS279" s="348">
        <v>0</v>
      </c>
      <c r="AT279" s="348">
        <v>0</v>
      </c>
      <c r="AU279" s="348">
        <v>0</v>
      </c>
      <c r="AV279" s="348">
        <v>0</v>
      </c>
      <c r="AW279" s="348">
        <v>0</v>
      </c>
      <c r="AX279" s="341">
        <v>0</v>
      </c>
      <c r="AY279" s="354" t="s">
        <v>2985</v>
      </c>
      <c r="AZ279" s="316"/>
      <c r="BA279" s="316" t="s">
        <v>2985</v>
      </c>
      <c r="BB279" s="94" t="s">
        <v>2985</v>
      </c>
      <c r="BC279" s="425" t="s">
        <v>521</v>
      </c>
      <c r="BD279" s="348" t="s">
        <v>3566</v>
      </c>
      <c r="BE279" s="353">
        <v>400</v>
      </c>
      <c r="BF279" s="316"/>
      <c r="BG279" s="348">
        <v>1600</v>
      </c>
      <c r="BH279" s="390">
        <f t="shared" si="63"/>
        <v>88.888888888888886</v>
      </c>
      <c r="BI279" s="303">
        <v>99</v>
      </c>
      <c r="BJ279" s="323">
        <v>1</v>
      </c>
      <c r="BK279" s="307">
        <v>20</v>
      </c>
      <c r="BL279" s="514" t="s">
        <v>2985</v>
      </c>
      <c r="BM279" s="307">
        <v>0</v>
      </c>
      <c r="BN279" s="507" t="s">
        <v>2985</v>
      </c>
      <c r="BO279" s="259" t="s">
        <v>2985</v>
      </c>
      <c r="BP279" s="350" t="s">
        <v>2286</v>
      </c>
      <c r="BS279" s="321"/>
    </row>
    <row r="280" spans="1:71" s="322" customFormat="1">
      <c r="A280" s="457">
        <v>1560</v>
      </c>
      <c r="B280" s="534" t="s">
        <v>3624</v>
      </c>
      <c r="C280" s="383"/>
      <c r="D280" s="383"/>
      <c r="E280" s="469"/>
      <c r="F280" s="303" t="s">
        <v>2121</v>
      </c>
      <c r="G280" s="386" t="s">
        <v>2659</v>
      </c>
      <c r="H280" s="454" t="s">
        <v>165</v>
      </c>
      <c r="I280" s="338" t="s">
        <v>3377</v>
      </c>
      <c r="J280" s="361">
        <v>1995</v>
      </c>
      <c r="K280" s="341">
        <v>349</v>
      </c>
      <c r="L280" s="340" t="s">
        <v>1745</v>
      </c>
      <c r="M280" s="341" t="s">
        <v>1739</v>
      </c>
      <c r="N280" s="447" t="s">
        <v>2985</v>
      </c>
      <c r="O280" s="349">
        <v>0.4</v>
      </c>
      <c r="P280" s="408" t="s">
        <v>2985</v>
      </c>
      <c r="Q280" s="408" t="s">
        <v>2985</v>
      </c>
      <c r="R280" s="317" t="s">
        <v>2985</v>
      </c>
      <c r="S280" s="317" t="s">
        <v>2985</v>
      </c>
      <c r="T280" s="318" t="s">
        <v>2985</v>
      </c>
      <c r="U280" s="318" t="s">
        <v>2985</v>
      </c>
      <c r="V280" s="408" t="s">
        <v>2985</v>
      </c>
      <c r="W280" s="408" t="s">
        <v>2985</v>
      </c>
      <c r="X280" s="313" t="s">
        <v>12</v>
      </c>
      <c r="Y280" s="307" t="s">
        <v>12</v>
      </c>
      <c r="Z280" s="314" t="s">
        <v>2985</v>
      </c>
      <c r="AA280" s="516" t="s">
        <v>3555</v>
      </c>
      <c r="AB280" s="341" t="s">
        <v>273</v>
      </c>
      <c r="AC280" s="161" t="s">
        <v>2985</v>
      </c>
      <c r="AD280" s="511" t="s">
        <v>2985</v>
      </c>
      <c r="AE280" s="316" t="s">
        <v>2985</v>
      </c>
      <c r="AF280" s="316" t="s">
        <v>2985</v>
      </c>
      <c r="AG280" s="262" t="s">
        <v>2985</v>
      </c>
      <c r="AH280" s="313">
        <v>77</v>
      </c>
      <c r="AI280" s="356">
        <v>23</v>
      </c>
      <c r="AJ280" s="365">
        <v>0</v>
      </c>
      <c r="AK280" s="365">
        <v>0</v>
      </c>
      <c r="AL280" s="365">
        <v>0</v>
      </c>
      <c r="AM280" s="365">
        <v>0</v>
      </c>
      <c r="AN280" s="348">
        <v>0</v>
      </c>
      <c r="AO280" s="348">
        <v>0</v>
      </c>
      <c r="AP280" s="348">
        <v>0</v>
      </c>
      <c r="AQ280" s="348">
        <v>0</v>
      </c>
      <c r="AR280" s="348">
        <v>0</v>
      </c>
      <c r="AS280" s="348">
        <v>0</v>
      </c>
      <c r="AT280" s="348">
        <v>0</v>
      </c>
      <c r="AU280" s="348">
        <v>0</v>
      </c>
      <c r="AV280" s="348">
        <v>0</v>
      </c>
      <c r="AW280" s="348">
        <v>0</v>
      </c>
      <c r="AX280" s="341">
        <v>0</v>
      </c>
      <c r="AY280" s="354" t="s">
        <v>2985</v>
      </c>
      <c r="AZ280" s="316"/>
      <c r="BA280" s="316" t="s">
        <v>2985</v>
      </c>
      <c r="BB280" s="94" t="s">
        <v>2985</v>
      </c>
      <c r="BC280" s="425" t="s">
        <v>521</v>
      </c>
      <c r="BD280" s="348" t="s">
        <v>3566</v>
      </c>
      <c r="BE280" s="353">
        <v>400</v>
      </c>
      <c r="BF280" s="316"/>
      <c r="BG280" s="348">
        <v>1600</v>
      </c>
      <c r="BH280" s="390">
        <f t="shared" si="63"/>
        <v>88.888888888888886</v>
      </c>
      <c r="BI280" s="303">
        <v>99</v>
      </c>
      <c r="BJ280" s="323">
        <v>1</v>
      </c>
      <c r="BK280" s="307">
        <v>20</v>
      </c>
      <c r="BL280" s="514" t="s">
        <v>2985</v>
      </c>
      <c r="BM280" s="307">
        <v>0</v>
      </c>
      <c r="BN280" s="507" t="s">
        <v>2985</v>
      </c>
      <c r="BO280" s="259" t="s">
        <v>2985</v>
      </c>
      <c r="BP280" s="350" t="s">
        <v>2287</v>
      </c>
      <c r="BS280" s="321"/>
    </row>
    <row r="281" spans="1:71" s="322" customFormat="1">
      <c r="A281" s="457">
        <v>1561</v>
      </c>
      <c r="B281" s="534" t="s">
        <v>3624</v>
      </c>
      <c r="C281" s="383"/>
      <c r="D281" s="383"/>
      <c r="E281" s="469"/>
      <c r="F281" s="303" t="s">
        <v>2122</v>
      </c>
      <c r="G281" s="386" t="s">
        <v>2659</v>
      </c>
      <c r="H281" s="454" t="s">
        <v>165</v>
      </c>
      <c r="I281" s="338" t="s">
        <v>3377</v>
      </c>
      <c r="J281" s="361">
        <v>1995</v>
      </c>
      <c r="K281" s="341">
        <v>349</v>
      </c>
      <c r="L281" s="340" t="s">
        <v>1745</v>
      </c>
      <c r="M281" s="341" t="s">
        <v>1739</v>
      </c>
      <c r="N281" s="447" t="s">
        <v>2985</v>
      </c>
      <c r="O281" s="349">
        <v>0.3</v>
      </c>
      <c r="P281" s="408" t="s">
        <v>2985</v>
      </c>
      <c r="Q281" s="408" t="s">
        <v>2985</v>
      </c>
      <c r="R281" s="317" t="s">
        <v>2985</v>
      </c>
      <c r="S281" s="317" t="s">
        <v>2985</v>
      </c>
      <c r="T281" s="318" t="s">
        <v>2985</v>
      </c>
      <c r="U281" s="318" t="s">
        <v>2985</v>
      </c>
      <c r="V281" s="408" t="s">
        <v>2985</v>
      </c>
      <c r="W281" s="408" t="s">
        <v>2985</v>
      </c>
      <c r="X281" s="313" t="s">
        <v>12</v>
      </c>
      <c r="Y281" s="307" t="s">
        <v>12</v>
      </c>
      <c r="Z281" s="314" t="s">
        <v>2985</v>
      </c>
      <c r="AA281" s="311" t="s">
        <v>1754</v>
      </c>
      <c r="AB281" s="341" t="s">
        <v>273</v>
      </c>
      <c r="AC281" s="161" t="s">
        <v>2985</v>
      </c>
      <c r="AD281" s="511" t="s">
        <v>2985</v>
      </c>
      <c r="AE281" s="316" t="s">
        <v>2985</v>
      </c>
      <c r="AF281" s="316" t="s">
        <v>2985</v>
      </c>
      <c r="AG281" s="262" t="s">
        <v>2985</v>
      </c>
      <c r="AH281" s="313">
        <v>100</v>
      </c>
      <c r="AI281" s="348">
        <v>0</v>
      </c>
      <c r="AJ281" s="365">
        <v>0</v>
      </c>
      <c r="AK281" s="365">
        <v>0</v>
      </c>
      <c r="AL281" s="365">
        <v>0</v>
      </c>
      <c r="AM281" s="365">
        <v>0</v>
      </c>
      <c r="AN281" s="348">
        <v>0</v>
      </c>
      <c r="AO281" s="348">
        <v>0</v>
      </c>
      <c r="AP281" s="348">
        <v>0</v>
      </c>
      <c r="AQ281" s="348">
        <v>0</v>
      </c>
      <c r="AR281" s="348">
        <v>0</v>
      </c>
      <c r="AS281" s="348">
        <v>0</v>
      </c>
      <c r="AT281" s="348">
        <v>0</v>
      </c>
      <c r="AU281" s="348">
        <v>0</v>
      </c>
      <c r="AV281" s="348">
        <v>0</v>
      </c>
      <c r="AW281" s="348">
        <v>0</v>
      </c>
      <c r="AX281" s="341">
        <v>0</v>
      </c>
      <c r="AY281" s="354" t="s">
        <v>2985</v>
      </c>
      <c r="AZ281" s="316"/>
      <c r="BA281" s="316" t="s">
        <v>2985</v>
      </c>
      <c r="BB281" s="94" t="s">
        <v>2985</v>
      </c>
      <c r="BC281" s="425" t="s">
        <v>521</v>
      </c>
      <c r="BD281" s="348" t="s">
        <v>3566</v>
      </c>
      <c r="BE281" s="353">
        <v>400</v>
      </c>
      <c r="BF281" s="316"/>
      <c r="BG281" s="348">
        <v>1600</v>
      </c>
      <c r="BH281" s="390">
        <f t="shared" si="63"/>
        <v>88.888888888888886</v>
      </c>
      <c r="BI281" s="303">
        <v>99</v>
      </c>
      <c r="BJ281" s="323">
        <v>1</v>
      </c>
      <c r="BK281" s="307">
        <v>20</v>
      </c>
      <c r="BL281" s="514" t="s">
        <v>2985</v>
      </c>
      <c r="BM281" s="307">
        <v>0</v>
      </c>
      <c r="BN281" s="507" t="s">
        <v>2985</v>
      </c>
      <c r="BO281" s="259" t="s">
        <v>2985</v>
      </c>
      <c r="BP281" s="350"/>
      <c r="BS281" s="321"/>
    </row>
    <row r="282" spans="1:71" s="322" customFormat="1">
      <c r="A282" s="457">
        <v>1562</v>
      </c>
      <c r="B282" s="534" t="s">
        <v>3624</v>
      </c>
      <c r="C282" s="383"/>
      <c r="D282" s="383"/>
      <c r="E282" s="469"/>
      <c r="F282" s="303" t="s">
        <v>2123</v>
      </c>
      <c r="G282" s="386" t="s">
        <v>2659</v>
      </c>
      <c r="H282" s="454" t="s">
        <v>165</v>
      </c>
      <c r="I282" s="338" t="s">
        <v>3377</v>
      </c>
      <c r="J282" s="361">
        <v>1995</v>
      </c>
      <c r="K282" s="341">
        <v>349</v>
      </c>
      <c r="L282" s="340" t="s">
        <v>1745</v>
      </c>
      <c r="M282" s="341" t="s">
        <v>1739</v>
      </c>
      <c r="N282" s="447" t="s">
        <v>2985</v>
      </c>
      <c r="O282" s="349">
        <v>0.3</v>
      </c>
      <c r="P282" s="408" t="s">
        <v>2985</v>
      </c>
      <c r="Q282" s="408" t="s">
        <v>2985</v>
      </c>
      <c r="R282" s="317" t="s">
        <v>2985</v>
      </c>
      <c r="S282" s="317" t="s">
        <v>2985</v>
      </c>
      <c r="T282" s="318" t="s">
        <v>2985</v>
      </c>
      <c r="U282" s="318" t="s">
        <v>2985</v>
      </c>
      <c r="V282" s="408" t="s">
        <v>2985</v>
      </c>
      <c r="W282" s="408" t="s">
        <v>2985</v>
      </c>
      <c r="X282" s="313" t="s">
        <v>12</v>
      </c>
      <c r="Y282" s="307" t="s">
        <v>12</v>
      </c>
      <c r="Z282" s="314" t="s">
        <v>2985</v>
      </c>
      <c r="AA282" s="311" t="s">
        <v>1754</v>
      </c>
      <c r="AB282" s="341" t="s">
        <v>273</v>
      </c>
      <c r="AC282" s="161" t="s">
        <v>2985</v>
      </c>
      <c r="AD282" s="511" t="s">
        <v>2985</v>
      </c>
      <c r="AE282" s="316" t="s">
        <v>2985</v>
      </c>
      <c r="AF282" s="316" t="s">
        <v>2985</v>
      </c>
      <c r="AG282" s="262" t="s">
        <v>2985</v>
      </c>
      <c r="AH282" s="313">
        <v>100</v>
      </c>
      <c r="AI282" s="348">
        <v>0</v>
      </c>
      <c r="AJ282" s="365">
        <v>0</v>
      </c>
      <c r="AK282" s="365">
        <v>0</v>
      </c>
      <c r="AL282" s="365">
        <v>0</v>
      </c>
      <c r="AM282" s="365">
        <v>0</v>
      </c>
      <c r="AN282" s="348">
        <v>0</v>
      </c>
      <c r="AO282" s="348">
        <v>0</v>
      </c>
      <c r="AP282" s="348">
        <v>0</v>
      </c>
      <c r="AQ282" s="348">
        <v>0</v>
      </c>
      <c r="AR282" s="348">
        <v>0</v>
      </c>
      <c r="AS282" s="348">
        <v>0</v>
      </c>
      <c r="AT282" s="356">
        <v>0.4</v>
      </c>
      <c r="AU282" s="348">
        <v>0</v>
      </c>
      <c r="AV282" s="348">
        <v>0</v>
      </c>
      <c r="AW282" s="348">
        <v>0</v>
      </c>
      <c r="AX282" s="341">
        <v>0</v>
      </c>
      <c r="AY282" s="354" t="s">
        <v>2985</v>
      </c>
      <c r="AZ282" s="316"/>
      <c r="BA282" s="316" t="s">
        <v>2985</v>
      </c>
      <c r="BB282" s="94" t="s">
        <v>2985</v>
      </c>
      <c r="BC282" s="425" t="s">
        <v>521</v>
      </c>
      <c r="BD282" s="348" t="s">
        <v>3566</v>
      </c>
      <c r="BE282" s="353">
        <v>400</v>
      </c>
      <c r="BF282" s="316"/>
      <c r="BG282" s="348">
        <v>1600</v>
      </c>
      <c r="BH282" s="390">
        <f t="shared" si="63"/>
        <v>88.888888888888886</v>
      </c>
      <c r="BI282" s="303">
        <v>99</v>
      </c>
      <c r="BJ282" s="323">
        <v>1</v>
      </c>
      <c r="BK282" s="307">
        <v>20</v>
      </c>
      <c r="BL282" s="514" t="s">
        <v>2985</v>
      </c>
      <c r="BM282" s="307">
        <v>0</v>
      </c>
      <c r="BN282" s="507" t="s">
        <v>2985</v>
      </c>
      <c r="BO282" s="259" t="s">
        <v>2985</v>
      </c>
      <c r="BP282" s="320" t="s">
        <v>2288</v>
      </c>
      <c r="BS282" s="321"/>
    </row>
    <row r="283" spans="1:71" s="322" customFormat="1">
      <c r="A283" s="457">
        <v>1563</v>
      </c>
      <c r="B283" s="534" t="s">
        <v>3624</v>
      </c>
      <c r="C283" s="383"/>
      <c r="D283" s="383"/>
      <c r="E283" s="469"/>
      <c r="F283" s="303" t="s">
        <v>2124</v>
      </c>
      <c r="G283" s="386" t="s">
        <v>2659</v>
      </c>
      <c r="H283" s="454" t="s">
        <v>165</v>
      </c>
      <c r="I283" s="338" t="s">
        <v>3377</v>
      </c>
      <c r="J283" s="361">
        <v>1995</v>
      </c>
      <c r="K283" s="341">
        <v>349</v>
      </c>
      <c r="L283" s="340" t="s">
        <v>1745</v>
      </c>
      <c r="M283" s="341" t="s">
        <v>1739</v>
      </c>
      <c r="N283" s="447" t="s">
        <v>2985</v>
      </c>
      <c r="O283" s="349">
        <v>0.3</v>
      </c>
      <c r="P283" s="408" t="s">
        <v>2985</v>
      </c>
      <c r="Q283" s="408" t="s">
        <v>2985</v>
      </c>
      <c r="R283" s="317" t="s">
        <v>2985</v>
      </c>
      <c r="S283" s="317" t="s">
        <v>2985</v>
      </c>
      <c r="T283" s="318" t="s">
        <v>2985</v>
      </c>
      <c r="U283" s="318" t="s">
        <v>2985</v>
      </c>
      <c r="V283" s="408" t="s">
        <v>2985</v>
      </c>
      <c r="W283" s="408" t="s">
        <v>2985</v>
      </c>
      <c r="X283" s="313" t="s">
        <v>12</v>
      </c>
      <c r="Y283" s="307" t="s">
        <v>12</v>
      </c>
      <c r="Z283" s="314" t="s">
        <v>2985</v>
      </c>
      <c r="AA283" s="311" t="s">
        <v>1754</v>
      </c>
      <c r="AB283" s="341" t="s">
        <v>273</v>
      </c>
      <c r="AC283" s="161" t="s">
        <v>2985</v>
      </c>
      <c r="AD283" s="511" t="s">
        <v>2985</v>
      </c>
      <c r="AE283" s="316" t="s">
        <v>2985</v>
      </c>
      <c r="AF283" s="316" t="s">
        <v>2985</v>
      </c>
      <c r="AG283" s="262" t="s">
        <v>2985</v>
      </c>
      <c r="AH283" s="313">
        <v>100</v>
      </c>
      <c r="AI283" s="348">
        <v>0</v>
      </c>
      <c r="AJ283" s="365">
        <v>0</v>
      </c>
      <c r="AK283" s="365">
        <v>0</v>
      </c>
      <c r="AL283" s="365">
        <v>0</v>
      </c>
      <c r="AM283" s="365">
        <v>0</v>
      </c>
      <c r="AN283" s="348">
        <v>0</v>
      </c>
      <c r="AO283" s="348">
        <v>0</v>
      </c>
      <c r="AP283" s="348">
        <v>0</v>
      </c>
      <c r="AQ283" s="348">
        <v>0</v>
      </c>
      <c r="AR283" s="348">
        <v>0</v>
      </c>
      <c r="AS283" s="348">
        <v>0</v>
      </c>
      <c r="AT283" s="356">
        <v>0.6</v>
      </c>
      <c r="AU283" s="348">
        <v>0</v>
      </c>
      <c r="AV283" s="348">
        <v>0</v>
      </c>
      <c r="AW283" s="348">
        <v>0</v>
      </c>
      <c r="AX283" s="341">
        <v>0</v>
      </c>
      <c r="AY283" s="354" t="s">
        <v>2985</v>
      </c>
      <c r="AZ283" s="316"/>
      <c r="BA283" s="316" t="s">
        <v>2985</v>
      </c>
      <c r="BB283" s="94" t="s">
        <v>2985</v>
      </c>
      <c r="BC283" s="425" t="s">
        <v>521</v>
      </c>
      <c r="BD283" s="348" t="s">
        <v>3566</v>
      </c>
      <c r="BE283" s="353">
        <v>400</v>
      </c>
      <c r="BF283" s="316"/>
      <c r="BG283" s="348">
        <v>1600</v>
      </c>
      <c r="BH283" s="390">
        <f t="shared" si="63"/>
        <v>88.888888888888886</v>
      </c>
      <c r="BI283" s="303">
        <v>99</v>
      </c>
      <c r="BJ283" s="323">
        <v>1</v>
      </c>
      <c r="BK283" s="307">
        <v>20</v>
      </c>
      <c r="BL283" s="514" t="s">
        <v>2985</v>
      </c>
      <c r="BM283" s="307">
        <v>0</v>
      </c>
      <c r="BN283" s="507" t="s">
        <v>2985</v>
      </c>
      <c r="BO283" s="259" t="s">
        <v>2985</v>
      </c>
      <c r="BP283" s="320" t="s">
        <v>2289</v>
      </c>
      <c r="BS283" s="321"/>
    </row>
    <row r="284" spans="1:71" s="322" customFormat="1">
      <c r="A284" s="457">
        <v>1564</v>
      </c>
      <c r="B284" s="534" t="s">
        <v>3624</v>
      </c>
      <c r="C284" s="383"/>
      <c r="D284" s="383"/>
      <c r="E284" s="469"/>
      <c r="F284" s="303" t="s">
        <v>2125</v>
      </c>
      <c r="G284" s="386" t="s">
        <v>2659</v>
      </c>
      <c r="H284" s="454" t="s">
        <v>165</v>
      </c>
      <c r="I284" s="338" t="s">
        <v>3377</v>
      </c>
      <c r="J284" s="361">
        <v>1995</v>
      </c>
      <c r="K284" s="341">
        <v>349</v>
      </c>
      <c r="L284" s="340" t="s">
        <v>1745</v>
      </c>
      <c r="M284" s="341" t="s">
        <v>1739</v>
      </c>
      <c r="N284" s="447" t="s">
        <v>2985</v>
      </c>
      <c r="O284" s="349">
        <v>0.3</v>
      </c>
      <c r="P284" s="408" t="s">
        <v>2985</v>
      </c>
      <c r="Q284" s="408" t="s">
        <v>2985</v>
      </c>
      <c r="R284" s="317" t="s">
        <v>2985</v>
      </c>
      <c r="S284" s="317" t="s">
        <v>2985</v>
      </c>
      <c r="T284" s="318" t="s">
        <v>2985</v>
      </c>
      <c r="U284" s="318" t="s">
        <v>2985</v>
      </c>
      <c r="V284" s="408" t="s">
        <v>2985</v>
      </c>
      <c r="W284" s="408" t="s">
        <v>2985</v>
      </c>
      <c r="X284" s="313" t="s">
        <v>12</v>
      </c>
      <c r="Y284" s="307" t="s">
        <v>12</v>
      </c>
      <c r="Z284" s="314" t="s">
        <v>2985</v>
      </c>
      <c r="AA284" s="311" t="s">
        <v>1754</v>
      </c>
      <c r="AB284" s="341" t="s">
        <v>273</v>
      </c>
      <c r="AC284" s="161" t="s">
        <v>2985</v>
      </c>
      <c r="AD284" s="511" t="s">
        <v>2985</v>
      </c>
      <c r="AE284" s="316" t="s">
        <v>2985</v>
      </c>
      <c r="AF284" s="316" t="s">
        <v>2985</v>
      </c>
      <c r="AG284" s="262" t="s">
        <v>2985</v>
      </c>
      <c r="AH284" s="313">
        <v>100</v>
      </c>
      <c r="AI284" s="348">
        <v>0</v>
      </c>
      <c r="AJ284" s="365">
        <v>0</v>
      </c>
      <c r="AK284" s="365">
        <v>0</v>
      </c>
      <c r="AL284" s="365">
        <v>0</v>
      </c>
      <c r="AM284" s="365">
        <v>0</v>
      </c>
      <c r="AN284" s="348">
        <v>0</v>
      </c>
      <c r="AO284" s="348">
        <v>0</v>
      </c>
      <c r="AP284" s="348">
        <v>0</v>
      </c>
      <c r="AQ284" s="348">
        <v>0</v>
      </c>
      <c r="AR284" s="348">
        <v>0</v>
      </c>
      <c r="AS284" s="348">
        <v>0</v>
      </c>
      <c r="AT284" s="356">
        <v>0.4</v>
      </c>
      <c r="AU284" s="348">
        <v>0</v>
      </c>
      <c r="AV284" s="348">
        <v>0</v>
      </c>
      <c r="AW284" s="348">
        <v>0</v>
      </c>
      <c r="AX284" s="341">
        <v>0</v>
      </c>
      <c r="AY284" s="354" t="s">
        <v>2985</v>
      </c>
      <c r="AZ284" s="316"/>
      <c r="BA284" s="316" t="s">
        <v>2985</v>
      </c>
      <c r="BB284" s="94" t="s">
        <v>2985</v>
      </c>
      <c r="BC284" s="425" t="s">
        <v>521</v>
      </c>
      <c r="BD284" s="348" t="s">
        <v>3566</v>
      </c>
      <c r="BE284" s="353">
        <v>400</v>
      </c>
      <c r="BF284" s="316"/>
      <c r="BG284" s="348">
        <v>1600</v>
      </c>
      <c r="BH284" s="390">
        <f t="shared" si="63"/>
        <v>88.888888888888886</v>
      </c>
      <c r="BI284" s="303">
        <v>99</v>
      </c>
      <c r="BJ284" s="323">
        <v>1</v>
      </c>
      <c r="BK284" s="307">
        <v>20</v>
      </c>
      <c r="BL284" s="514" t="s">
        <v>2985</v>
      </c>
      <c r="BM284" s="307">
        <v>0</v>
      </c>
      <c r="BN284" s="507" t="s">
        <v>2985</v>
      </c>
      <c r="BO284" s="259" t="s">
        <v>2985</v>
      </c>
      <c r="BP284" s="320" t="s">
        <v>2290</v>
      </c>
      <c r="BS284" s="321"/>
    </row>
    <row r="285" spans="1:71" s="322" customFormat="1">
      <c r="A285" s="457">
        <v>1565</v>
      </c>
      <c r="B285" s="534" t="s">
        <v>3624</v>
      </c>
      <c r="C285" s="383"/>
      <c r="D285" s="383"/>
      <c r="E285" s="469"/>
      <c r="F285" s="303" t="s">
        <v>2126</v>
      </c>
      <c r="G285" s="386" t="s">
        <v>2659</v>
      </c>
      <c r="H285" s="454" t="s">
        <v>165</v>
      </c>
      <c r="I285" s="338" t="s">
        <v>3377</v>
      </c>
      <c r="J285" s="361">
        <v>1995</v>
      </c>
      <c r="K285" s="341">
        <v>349</v>
      </c>
      <c r="L285" s="340" t="s">
        <v>1745</v>
      </c>
      <c r="M285" s="341" t="s">
        <v>1739</v>
      </c>
      <c r="N285" s="447" t="s">
        <v>2985</v>
      </c>
      <c r="O285" s="349">
        <v>0.3</v>
      </c>
      <c r="P285" s="408" t="s">
        <v>2985</v>
      </c>
      <c r="Q285" s="408" t="s">
        <v>2985</v>
      </c>
      <c r="R285" s="317" t="s">
        <v>2985</v>
      </c>
      <c r="S285" s="317" t="s">
        <v>2985</v>
      </c>
      <c r="T285" s="318" t="s">
        <v>2985</v>
      </c>
      <c r="U285" s="318" t="s">
        <v>2985</v>
      </c>
      <c r="V285" s="408" t="s">
        <v>2985</v>
      </c>
      <c r="W285" s="408" t="s">
        <v>2985</v>
      </c>
      <c r="X285" s="313" t="s">
        <v>12</v>
      </c>
      <c r="Y285" s="307" t="s">
        <v>12</v>
      </c>
      <c r="Z285" s="314" t="s">
        <v>2985</v>
      </c>
      <c r="AA285" s="311" t="s">
        <v>1754</v>
      </c>
      <c r="AB285" s="341" t="s">
        <v>273</v>
      </c>
      <c r="AC285" s="161" t="s">
        <v>2985</v>
      </c>
      <c r="AD285" s="511" t="s">
        <v>2985</v>
      </c>
      <c r="AE285" s="316" t="s">
        <v>2985</v>
      </c>
      <c r="AF285" s="316" t="s">
        <v>2985</v>
      </c>
      <c r="AG285" s="262" t="s">
        <v>2985</v>
      </c>
      <c r="AH285" s="313">
        <v>100</v>
      </c>
      <c r="AI285" s="348">
        <v>0</v>
      </c>
      <c r="AJ285" s="365">
        <v>0</v>
      </c>
      <c r="AK285" s="365">
        <v>0</v>
      </c>
      <c r="AL285" s="365">
        <v>0</v>
      </c>
      <c r="AM285" s="365">
        <v>0</v>
      </c>
      <c r="AN285" s="348">
        <v>0</v>
      </c>
      <c r="AO285" s="348">
        <v>0</v>
      </c>
      <c r="AP285" s="348">
        <v>0</v>
      </c>
      <c r="AQ285" s="348">
        <v>0</v>
      </c>
      <c r="AR285" s="348">
        <v>0</v>
      </c>
      <c r="AS285" s="348">
        <v>0</v>
      </c>
      <c r="AT285" s="356">
        <v>0.4</v>
      </c>
      <c r="AU285" s="348">
        <v>0</v>
      </c>
      <c r="AV285" s="348">
        <v>0</v>
      </c>
      <c r="AW285" s="348">
        <v>0</v>
      </c>
      <c r="AX285" s="341">
        <v>0</v>
      </c>
      <c r="AY285" s="354" t="s">
        <v>2985</v>
      </c>
      <c r="AZ285" s="316"/>
      <c r="BA285" s="316" t="s">
        <v>2985</v>
      </c>
      <c r="BB285" s="94" t="s">
        <v>2985</v>
      </c>
      <c r="BC285" s="425" t="s">
        <v>521</v>
      </c>
      <c r="BD285" s="348" t="s">
        <v>3566</v>
      </c>
      <c r="BE285" s="353">
        <v>400</v>
      </c>
      <c r="BF285" s="316"/>
      <c r="BG285" s="348">
        <v>1600</v>
      </c>
      <c r="BH285" s="390">
        <f t="shared" si="63"/>
        <v>88.888888888888886</v>
      </c>
      <c r="BI285" s="303">
        <v>99</v>
      </c>
      <c r="BJ285" s="323">
        <v>1</v>
      </c>
      <c r="BK285" s="307">
        <v>20</v>
      </c>
      <c r="BL285" s="514" t="s">
        <v>2985</v>
      </c>
      <c r="BM285" s="307">
        <v>0</v>
      </c>
      <c r="BN285" s="507" t="s">
        <v>2985</v>
      </c>
      <c r="BO285" s="259" t="s">
        <v>2985</v>
      </c>
      <c r="BP285" s="320" t="s">
        <v>2291</v>
      </c>
      <c r="BS285" s="321"/>
    </row>
    <row r="286" spans="1:71" s="322" customFormat="1">
      <c r="A286" s="457">
        <v>1566</v>
      </c>
      <c r="B286" s="534" t="s">
        <v>3624</v>
      </c>
      <c r="C286" s="383"/>
      <c r="D286" s="383"/>
      <c r="E286" s="469"/>
      <c r="F286" s="303" t="s">
        <v>2127</v>
      </c>
      <c r="G286" s="386" t="s">
        <v>2659</v>
      </c>
      <c r="H286" s="454" t="s">
        <v>165</v>
      </c>
      <c r="I286" s="338" t="s">
        <v>3377</v>
      </c>
      <c r="J286" s="361">
        <v>1995</v>
      </c>
      <c r="K286" s="341">
        <v>349</v>
      </c>
      <c r="L286" s="340" t="s">
        <v>1745</v>
      </c>
      <c r="M286" s="341" t="s">
        <v>1739</v>
      </c>
      <c r="N286" s="447" t="s">
        <v>2985</v>
      </c>
      <c r="O286" s="349">
        <v>0.3</v>
      </c>
      <c r="P286" s="408" t="s">
        <v>2985</v>
      </c>
      <c r="Q286" s="408" t="s">
        <v>2985</v>
      </c>
      <c r="R286" s="317" t="s">
        <v>2985</v>
      </c>
      <c r="S286" s="317" t="s">
        <v>2985</v>
      </c>
      <c r="T286" s="318" t="s">
        <v>2985</v>
      </c>
      <c r="U286" s="318" t="s">
        <v>2985</v>
      </c>
      <c r="V286" s="408" t="s">
        <v>2985</v>
      </c>
      <c r="W286" s="408" t="s">
        <v>2985</v>
      </c>
      <c r="X286" s="313" t="s">
        <v>12</v>
      </c>
      <c r="Y286" s="307" t="s">
        <v>12</v>
      </c>
      <c r="Z286" s="314" t="s">
        <v>2985</v>
      </c>
      <c r="AA286" s="311" t="s">
        <v>1754</v>
      </c>
      <c r="AB286" s="341" t="s">
        <v>273</v>
      </c>
      <c r="AC286" s="161" t="s">
        <v>2985</v>
      </c>
      <c r="AD286" s="511" t="s">
        <v>2985</v>
      </c>
      <c r="AE286" s="316" t="s">
        <v>2985</v>
      </c>
      <c r="AF286" s="316" t="s">
        <v>2985</v>
      </c>
      <c r="AG286" s="262" t="s">
        <v>2985</v>
      </c>
      <c r="AH286" s="313">
        <v>100</v>
      </c>
      <c r="AI286" s="348">
        <v>0</v>
      </c>
      <c r="AJ286" s="365">
        <v>0</v>
      </c>
      <c r="AK286" s="365">
        <v>0</v>
      </c>
      <c r="AL286" s="365">
        <v>0</v>
      </c>
      <c r="AM286" s="365">
        <v>0</v>
      </c>
      <c r="AN286" s="348">
        <v>0</v>
      </c>
      <c r="AO286" s="348">
        <v>0</v>
      </c>
      <c r="AP286" s="348">
        <v>0</v>
      </c>
      <c r="AQ286" s="348">
        <v>0</v>
      </c>
      <c r="AR286" s="348">
        <v>0</v>
      </c>
      <c r="AS286" s="348">
        <v>0</v>
      </c>
      <c r="AT286" s="356">
        <v>0.25</v>
      </c>
      <c r="AU286" s="348">
        <v>0</v>
      </c>
      <c r="AV286" s="348">
        <v>0</v>
      </c>
      <c r="AW286" s="348">
        <v>0</v>
      </c>
      <c r="AX286" s="341">
        <v>0</v>
      </c>
      <c r="AY286" s="354" t="s">
        <v>2985</v>
      </c>
      <c r="AZ286" s="316"/>
      <c r="BA286" s="316" t="s">
        <v>2985</v>
      </c>
      <c r="BB286" s="94" t="s">
        <v>2985</v>
      </c>
      <c r="BC286" s="425" t="s">
        <v>521</v>
      </c>
      <c r="BD286" s="348" t="s">
        <v>3566</v>
      </c>
      <c r="BE286" s="353">
        <v>400</v>
      </c>
      <c r="BF286" s="316"/>
      <c r="BG286" s="348">
        <v>1600</v>
      </c>
      <c r="BH286" s="390">
        <f t="shared" si="63"/>
        <v>88.888888888888886</v>
      </c>
      <c r="BI286" s="303">
        <v>99</v>
      </c>
      <c r="BJ286" s="323">
        <v>1</v>
      </c>
      <c r="BK286" s="307">
        <v>20</v>
      </c>
      <c r="BL286" s="514" t="s">
        <v>2985</v>
      </c>
      <c r="BM286" s="307">
        <v>0</v>
      </c>
      <c r="BN286" s="507" t="s">
        <v>2985</v>
      </c>
      <c r="BO286" s="259" t="s">
        <v>2985</v>
      </c>
      <c r="BP286" s="320" t="s">
        <v>2292</v>
      </c>
      <c r="BS286" s="321"/>
    </row>
    <row r="287" spans="1:71" s="322" customFormat="1">
      <c r="A287" s="457">
        <v>1567</v>
      </c>
      <c r="B287" s="534" t="s">
        <v>3624</v>
      </c>
      <c r="C287" s="383"/>
      <c r="D287" s="383"/>
      <c r="E287" s="469"/>
      <c r="F287" s="303" t="s">
        <v>2128</v>
      </c>
      <c r="G287" s="386" t="s">
        <v>2659</v>
      </c>
      <c r="H287" s="454" t="s">
        <v>165</v>
      </c>
      <c r="I287" s="338" t="s">
        <v>3377</v>
      </c>
      <c r="J287" s="361">
        <v>1995</v>
      </c>
      <c r="K287" s="341">
        <v>349</v>
      </c>
      <c r="L287" s="340" t="s">
        <v>1745</v>
      </c>
      <c r="M287" s="341" t="s">
        <v>1739</v>
      </c>
      <c r="N287" s="447" t="s">
        <v>2985</v>
      </c>
      <c r="O287" s="349">
        <v>0.3</v>
      </c>
      <c r="P287" s="408" t="s">
        <v>2985</v>
      </c>
      <c r="Q287" s="408" t="s">
        <v>2985</v>
      </c>
      <c r="R287" s="317" t="s">
        <v>2985</v>
      </c>
      <c r="S287" s="317" t="s">
        <v>2985</v>
      </c>
      <c r="T287" s="318" t="s">
        <v>2985</v>
      </c>
      <c r="U287" s="318" t="s">
        <v>2985</v>
      </c>
      <c r="V287" s="408" t="s">
        <v>2985</v>
      </c>
      <c r="W287" s="408" t="s">
        <v>2985</v>
      </c>
      <c r="X287" s="313" t="s">
        <v>12</v>
      </c>
      <c r="Y287" s="307" t="s">
        <v>12</v>
      </c>
      <c r="Z287" s="314" t="s">
        <v>2985</v>
      </c>
      <c r="AA287" s="311" t="s">
        <v>1754</v>
      </c>
      <c r="AB287" s="341" t="s">
        <v>273</v>
      </c>
      <c r="AC287" s="161" t="s">
        <v>2985</v>
      </c>
      <c r="AD287" s="511" t="s">
        <v>2985</v>
      </c>
      <c r="AE287" s="316" t="s">
        <v>2985</v>
      </c>
      <c r="AF287" s="316" t="s">
        <v>2985</v>
      </c>
      <c r="AG287" s="262" t="s">
        <v>2985</v>
      </c>
      <c r="AH287" s="313">
        <v>100</v>
      </c>
      <c r="AI287" s="348">
        <v>0</v>
      </c>
      <c r="AJ287" s="365">
        <v>0</v>
      </c>
      <c r="AK287" s="365">
        <v>0</v>
      </c>
      <c r="AL287" s="365">
        <v>0</v>
      </c>
      <c r="AM287" s="365">
        <v>0</v>
      </c>
      <c r="AN287" s="348">
        <v>0</v>
      </c>
      <c r="AO287" s="348">
        <v>0</v>
      </c>
      <c r="AP287" s="348">
        <v>0</v>
      </c>
      <c r="AQ287" s="348">
        <v>0</v>
      </c>
      <c r="AR287" s="348">
        <v>0</v>
      </c>
      <c r="AS287" s="348">
        <v>0</v>
      </c>
      <c r="AT287" s="348">
        <v>0</v>
      </c>
      <c r="AU287" s="348">
        <v>0</v>
      </c>
      <c r="AV287" s="348">
        <v>0</v>
      </c>
      <c r="AW287" s="348">
        <v>0</v>
      </c>
      <c r="AX287" s="341">
        <v>0</v>
      </c>
      <c r="AY287" s="354" t="s">
        <v>2985</v>
      </c>
      <c r="AZ287" s="316"/>
      <c r="BA287" s="316" t="s">
        <v>2985</v>
      </c>
      <c r="BB287" s="94" t="s">
        <v>2985</v>
      </c>
      <c r="BC287" s="425" t="s">
        <v>521</v>
      </c>
      <c r="BD287" s="348" t="s">
        <v>3566</v>
      </c>
      <c r="BE287" s="353">
        <v>400</v>
      </c>
      <c r="BF287" s="316"/>
      <c r="BG287" s="348">
        <v>1600</v>
      </c>
      <c r="BH287" s="390">
        <f t="shared" si="63"/>
        <v>88.888888888888886</v>
      </c>
      <c r="BI287" s="303">
        <v>99</v>
      </c>
      <c r="BJ287" s="323">
        <v>1</v>
      </c>
      <c r="BK287" s="307">
        <v>20</v>
      </c>
      <c r="BL287" s="514" t="s">
        <v>2985</v>
      </c>
      <c r="BM287" s="307">
        <v>0</v>
      </c>
      <c r="BN287" s="507" t="s">
        <v>2985</v>
      </c>
      <c r="BO287" s="259" t="s">
        <v>2985</v>
      </c>
      <c r="BP287" s="320"/>
      <c r="BS287" s="321"/>
    </row>
    <row r="288" spans="1:71" s="322" customFormat="1">
      <c r="A288" s="457">
        <v>1568</v>
      </c>
      <c r="B288" s="534" t="s">
        <v>3624</v>
      </c>
      <c r="C288" s="383"/>
      <c r="D288" s="383"/>
      <c r="E288" s="469"/>
      <c r="F288" s="303" t="s">
        <v>2129</v>
      </c>
      <c r="G288" s="386" t="s">
        <v>2659</v>
      </c>
      <c r="H288" s="454" t="s">
        <v>165</v>
      </c>
      <c r="I288" s="338" t="s">
        <v>3377</v>
      </c>
      <c r="J288" s="361">
        <v>1995</v>
      </c>
      <c r="K288" s="341">
        <v>349</v>
      </c>
      <c r="L288" s="340" t="s">
        <v>1745</v>
      </c>
      <c r="M288" s="341" t="s">
        <v>1739</v>
      </c>
      <c r="N288" s="447" t="s">
        <v>2985</v>
      </c>
      <c r="O288" s="349">
        <v>0.3</v>
      </c>
      <c r="P288" s="408" t="s">
        <v>2985</v>
      </c>
      <c r="Q288" s="408" t="s">
        <v>2985</v>
      </c>
      <c r="R288" s="317" t="s">
        <v>2985</v>
      </c>
      <c r="S288" s="317" t="s">
        <v>2985</v>
      </c>
      <c r="T288" s="318" t="s">
        <v>2985</v>
      </c>
      <c r="U288" s="318" t="s">
        <v>2985</v>
      </c>
      <c r="V288" s="408" t="s">
        <v>2985</v>
      </c>
      <c r="W288" s="408" t="s">
        <v>2985</v>
      </c>
      <c r="X288" s="313" t="s">
        <v>12</v>
      </c>
      <c r="Y288" s="307" t="s">
        <v>12</v>
      </c>
      <c r="Z288" s="314" t="s">
        <v>2985</v>
      </c>
      <c r="AA288" s="311" t="s">
        <v>1754</v>
      </c>
      <c r="AB288" s="341" t="s">
        <v>273</v>
      </c>
      <c r="AC288" s="161" t="s">
        <v>2985</v>
      </c>
      <c r="AD288" s="511" t="s">
        <v>2985</v>
      </c>
      <c r="AE288" s="316" t="s">
        <v>2985</v>
      </c>
      <c r="AF288" s="316" t="s">
        <v>2985</v>
      </c>
      <c r="AG288" s="262" t="s">
        <v>2985</v>
      </c>
      <c r="AH288" s="313">
        <v>100</v>
      </c>
      <c r="AI288" s="348">
        <v>0</v>
      </c>
      <c r="AJ288" s="365">
        <v>0</v>
      </c>
      <c r="AK288" s="365">
        <v>0</v>
      </c>
      <c r="AL288" s="365">
        <v>0</v>
      </c>
      <c r="AM288" s="365">
        <v>0</v>
      </c>
      <c r="AN288" s="348">
        <v>0</v>
      </c>
      <c r="AO288" s="348">
        <v>0</v>
      </c>
      <c r="AP288" s="348">
        <v>0</v>
      </c>
      <c r="AQ288" s="348">
        <v>0</v>
      </c>
      <c r="AR288" s="348">
        <v>0</v>
      </c>
      <c r="AS288" s="348">
        <v>0</v>
      </c>
      <c r="AT288" s="356">
        <v>0.2</v>
      </c>
      <c r="AU288" s="348">
        <v>0</v>
      </c>
      <c r="AV288" s="348">
        <v>0</v>
      </c>
      <c r="AW288" s="348">
        <v>0</v>
      </c>
      <c r="AX288" s="341">
        <v>0</v>
      </c>
      <c r="AY288" s="354" t="s">
        <v>2985</v>
      </c>
      <c r="AZ288" s="316"/>
      <c r="BA288" s="316" t="s">
        <v>2985</v>
      </c>
      <c r="BB288" s="94" t="s">
        <v>2985</v>
      </c>
      <c r="BC288" s="425" t="s">
        <v>521</v>
      </c>
      <c r="BD288" s="348" t="s">
        <v>3566</v>
      </c>
      <c r="BE288" s="353">
        <v>400</v>
      </c>
      <c r="BF288" s="316"/>
      <c r="BG288" s="348">
        <v>1600</v>
      </c>
      <c r="BH288" s="390">
        <f t="shared" si="63"/>
        <v>88.888888888888886</v>
      </c>
      <c r="BI288" s="303">
        <v>99</v>
      </c>
      <c r="BJ288" s="323">
        <v>1</v>
      </c>
      <c r="BK288" s="307">
        <v>20</v>
      </c>
      <c r="BL288" s="507" t="s">
        <v>2985</v>
      </c>
      <c r="BM288" s="307">
        <v>0</v>
      </c>
      <c r="BN288" s="507" t="s">
        <v>2985</v>
      </c>
      <c r="BO288" s="259" t="s">
        <v>2985</v>
      </c>
      <c r="BP288" s="320" t="s">
        <v>2292</v>
      </c>
      <c r="BS288" s="321"/>
    </row>
    <row r="289" spans="1:71" s="322" customFormat="1">
      <c r="A289" s="457">
        <v>1569</v>
      </c>
      <c r="B289" s="534" t="s">
        <v>3624</v>
      </c>
      <c r="C289" s="383"/>
      <c r="D289" s="383"/>
      <c r="E289" s="469"/>
      <c r="F289" s="303" t="s">
        <v>2130</v>
      </c>
      <c r="G289" s="386" t="s">
        <v>2659</v>
      </c>
      <c r="H289" s="454" t="s">
        <v>165</v>
      </c>
      <c r="I289" s="338" t="s">
        <v>3377</v>
      </c>
      <c r="J289" s="361">
        <v>1995</v>
      </c>
      <c r="K289" s="341">
        <v>349</v>
      </c>
      <c r="L289" s="340" t="s">
        <v>1745</v>
      </c>
      <c r="M289" s="341" t="s">
        <v>1739</v>
      </c>
      <c r="N289" s="447" t="s">
        <v>2985</v>
      </c>
      <c r="O289" s="349">
        <v>0.3</v>
      </c>
      <c r="P289" s="408" t="s">
        <v>2985</v>
      </c>
      <c r="Q289" s="408" t="s">
        <v>2985</v>
      </c>
      <c r="R289" s="317" t="s">
        <v>2985</v>
      </c>
      <c r="S289" s="317" t="s">
        <v>2985</v>
      </c>
      <c r="T289" s="318" t="s">
        <v>2985</v>
      </c>
      <c r="U289" s="318" t="s">
        <v>2985</v>
      </c>
      <c r="V289" s="408" t="s">
        <v>2985</v>
      </c>
      <c r="W289" s="408" t="s">
        <v>2985</v>
      </c>
      <c r="X289" s="313" t="s">
        <v>12</v>
      </c>
      <c r="Y289" s="307" t="s">
        <v>12</v>
      </c>
      <c r="Z289" s="314" t="s">
        <v>2985</v>
      </c>
      <c r="AA289" s="311" t="s">
        <v>1754</v>
      </c>
      <c r="AB289" s="341" t="s">
        <v>273</v>
      </c>
      <c r="AC289" s="161" t="s">
        <v>2985</v>
      </c>
      <c r="AD289" s="511" t="s">
        <v>2985</v>
      </c>
      <c r="AE289" s="316" t="s">
        <v>2985</v>
      </c>
      <c r="AF289" s="316" t="s">
        <v>2985</v>
      </c>
      <c r="AG289" s="262" t="s">
        <v>2985</v>
      </c>
      <c r="AH289" s="313">
        <v>100</v>
      </c>
      <c r="AI289" s="348">
        <v>0</v>
      </c>
      <c r="AJ289" s="365">
        <v>0</v>
      </c>
      <c r="AK289" s="365">
        <v>0</v>
      </c>
      <c r="AL289" s="365">
        <v>0</v>
      </c>
      <c r="AM289" s="365">
        <v>0</v>
      </c>
      <c r="AN289" s="348">
        <v>0</v>
      </c>
      <c r="AO289" s="348">
        <v>0</v>
      </c>
      <c r="AP289" s="348">
        <v>0</v>
      </c>
      <c r="AQ289" s="348">
        <v>0</v>
      </c>
      <c r="AR289" s="348">
        <v>0</v>
      </c>
      <c r="AS289" s="348">
        <v>0</v>
      </c>
      <c r="AT289" s="356">
        <v>0.4</v>
      </c>
      <c r="AU289" s="348">
        <v>0</v>
      </c>
      <c r="AV289" s="348">
        <v>0</v>
      </c>
      <c r="AW289" s="348">
        <v>0</v>
      </c>
      <c r="AX289" s="341">
        <v>0</v>
      </c>
      <c r="AY289" s="354" t="s">
        <v>2985</v>
      </c>
      <c r="AZ289" s="316"/>
      <c r="BA289" s="316" t="s">
        <v>2985</v>
      </c>
      <c r="BB289" s="94" t="s">
        <v>2985</v>
      </c>
      <c r="BC289" s="425" t="s">
        <v>521</v>
      </c>
      <c r="BD289" s="348" t="s">
        <v>3566</v>
      </c>
      <c r="BE289" s="353">
        <v>400</v>
      </c>
      <c r="BF289" s="316"/>
      <c r="BG289" s="348">
        <v>1600</v>
      </c>
      <c r="BH289" s="390">
        <f t="shared" si="63"/>
        <v>88.888888888888886</v>
      </c>
      <c r="BI289" s="303">
        <v>99</v>
      </c>
      <c r="BJ289" s="323">
        <v>1</v>
      </c>
      <c r="BK289" s="307">
        <v>20</v>
      </c>
      <c r="BL289" s="507" t="s">
        <v>2985</v>
      </c>
      <c r="BM289" s="307">
        <v>0</v>
      </c>
      <c r="BN289" s="507" t="s">
        <v>2985</v>
      </c>
      <c r="BO289" s="259" t="s">
        <v>2985</v>
      </c>
      <c r="BP289" s="320" t="s">
        <v>2292</v>
      </c>
      <c r="BS289" s="321"/>
    </row>
    <row r="290" spans="1:71" s="322" customFormat="1">
      <c r="A290" s="457">
        <v>1570</v>
      </c>
      <c r="B290" s="534" t="s">
        <v>3624</v>
      </c>
      <c r="C290" s="383"/>
      <c r="D290" s="383"/>
      <c r="E290" s="469"/>
      <c r="F290" s="303" t="s">
        <v>2131</v>
      </c>
      <c r="G290" s="386" t="s">
        <v>2659</v>
      </c>
      <c r="H290" s="454" t="s">
        <v>165</v>
      </c>
      <c r="I290" s="338" t="s">
        <v>3377</v>
      </c>
      <c r="J290" s="361">
        <v>1995</v>
      </c>
      <c r="K290" s="341">
        <v>349</v>
      </c>
      <c r="L290" s="340" t="s">
        <v>1745</v>
      </c>
      <c r="M290" s="341" t="s">
        <v>1739</v>
      </c>
      <c r="N290" s="447" t="s">
        <v>2985</v>
      </c>
      <c r="O290" s="349">
        <v>0.3</v>
      </c>
      <c r="P290" s="408" t="s">
        <v>2985</v>
      </c>
      <c r="Q290" s="408" t="s">
        <v>2985</v>
      </c>
      <c r="R290" s="317" t="s">
        <v>2985</v>
      </c>
      <c r="S290" s="317" t="s">
        <v>2985</v>
      </c>
      <c r="T290" s="318" t="s">
        <v>2985</v>
      </c>
      <c r="U290" s="318" t="s">
        <v>2985</v>
      </c>
      <c r="V290" s="408" t="s">
        <v>2985</v>
      </c>
      <c r="W290" s="408" t="s">
        <v>2985</v>
      </c>
      <c r="X290" s="313" t="s">
        <v>12</v>
      </c>
      <c r="Y290" s="307" t="s">
        <v>12</v>
      </c>
      <c r="Z290" s="314" t="s">
        <v>2985</v>
      </c>
      <c r="AA290" s="311" t="s">
        <v>1754</v>
      </c>
      <c r="AB290" s="341" t="s">
        <v>273</v>
      </c>
      <c r="AC290" s="161" t="s">
        <v>2985</v>
      </c>
      <c r="AD290" s="511" t="s">
        <v>2985</v>
      </c>
      <c r="AE290" s="316" t="s">
        <v>2985</v>
      </c>
      <c r="AF290" s="316" t="s">
        <v>2985</v>
      </c>
      <c r="AG290" s="262" t="s">
        <v>2985</v>
      </c>
      <c r="AH290" s="313">
        <v>100</v>
      </c>
      <c r="AI290" s="348">
        <v>0</v>
      </c>
      <c r="AJ290" s="365">
        <v>0</v>
      </c>
      <c r="AK290" s="365">
        <v>0</v>
      </c>
      <c r="AL290" s="365">
        <v>0</v>
      </c>
      <c r="AM290" s="365">
        <v>0</v>
      </c>
      <c r="AN290" s="348">
        <v>0</v>
      </c>
      <c r="AO290" s="348">
        <v>0</v>
      </c>
      <c r="AP290" s="348">
        <v>0</v>
      </c>
      <c r="AQ290" s="348">
        <v>0</v>
      </c>
      <c r="AR290" s="348">
        <v>0</v>
      </c>
      <c r="AS290" s="348">
        <v>0</v>
      </c>
      <c r="AT290" s="356">
        <v>0.6</v>
      </c>
      <c r="AU290" s="348">
        <v>0</v>
      </c>
      <c r="AV290" s="348">
        <v>0</v>
      </c>
      <c r="AW290" s="348">
        <v>0</v>
      </c>
      <c r="AX290" s="341">
        <v>0</v>
      </c>
      <c r="AY290" s="354" t="s">
        <v>2985</v>
      </c>
      <c r="AZ290" s="316"/>
      <c r="BA290" s="316" t="s">
        <v>2985</v>
      </c>
      <c r="BB290" s="94" t="s">
        <v>2985</v>
      </c>
      <c r="BC290" s="425" t="s">
        <v>521</v>
      </c>
      <c r="BD290" s="348" t="s">
        <v>3566</v>
      </c>
      <c r="BE290" s="353">
        <v>400</v>
      </c>
      <c r="BF290" s="316"/>
      <c r="BG290" s="348">
        <v>1600</v>
      </c>
      <c r="BH290" s="390">
        <f t="shared" si="63"/>
        <v>88.888888888888886</v>
      </c>
      <c r="BI290" s="303">
        <v>99</v>
      </c>
      <c r="BJ290" s="323">
        <v>1</v>
      </c>
      <c r="BK290" s="307">
        <v>20</v>
      </c>
      <c r="BL290" s="507" t="s">
        <v>2985</v>
      </c>
      <c r="BM290" s="307">
        <v>0</v>
      </c>
      <c r="BN290" s="507" t="s">
        <v>2985</v>
      </c>
      <c r="BO290" s="259" t="s">
        <v>2985</v>
      </c>
      <c r="BP290" s="320" t="s">
        <v>2292</v>
      </c>
      <c r="BS290" s="321"/>
    </row>
    <row r="291" spans="1:71" s="322" customFormat="1">
      <c r="A291" s="457">
        <v>1571</v>
      </c>
      <c r="B291" s="534" t="s">
        <v>3624</v>
      </c>
      <c r="C291" s="383"/>
      <c r="D291" s="383"/>
      <c r="E291" s="469"/>
      <c r="F291" s="303" t="s">
        <v>2132</v>
      </c>
      <c r="G291" s="386" t="s">
        <v>2659</v>
      </c>
      <c r="H291" s="454" t="s">
        <v>165</v>
      </c>
      <c r="I291" s="338" t="s">
        <v>3377</v>
      </c>
      <c r="J291" s="361">
        <v>1995</v>
      </c>
      <c r="K291" s="341">
        <v>349</v>
      </c>
      <c r="L291" s="340" t="s">
        <v>1745</v>
      </c>
      <c r="M291" s="341" t="s">
        <v>1739</v>
      </c>
      <c r="N291" s="447" t="s">
        <v>2985</v>
      </c>
      <c r="O291" s="349">
        <v>0.3</v>
      </c>
      <c r="P291" s="408" t="s">
        <v>2985</v>
      </c>
      <c r="Q291" s="408" t="s">
        <v>2985</v>
      </c>
      <c r="R291" s="317" t="s">
        <v>2985</v>
      </c>
      <c r="S291" s="317" t="s">
        <v>2985</v>
      </c>
      <c r="T291" s="318" t="s">
        <v>2985</v>
      </c>
      <c r="U291" s="318" t="s">
        <v>2985</v>
      </c>
      <c r="V291" s="408" t="s">
        <v>2985</v>
      </c>
      <c r="W291" s="408" t="s">
        <v>2985</v>
      </c>
      <c r="X291" s="313" t="s">
        <v>12</v>
      </c>
      <c r="Y291" s="307" t="s">
        <v>12</v>
      </c>
      <c r="Z291" s="314" t="s">
        <v>2985</v>
      </c>
      <c r="AA291" s="311" t="s">
        <v>1754</v>
      </c>
      <c r="AB291" s="341" t="s">
        <v>273</v>
      </c>
      <c r="AC291" s="161" t="s">
        <v>2985</v>
      </c>
      <c r="AD291" s="511" t="s">
        <v>2985</v>
      </c>
      <c r="AE291" s="316" t="s">
        <v>2985</v>
      </c>
      <c r="AF291" s="316" t="s">
        <v>2985</v>
      </c>
      <c r="AG291" s="262" t="s">
        <v>2985</v>
      </c>
      <c r="AH291" s="313">
        <v>100</v>
      </c>
      <c r="AI291" s="348">
        <v>0</v>
      </c>
      <c r="AJ291" s="365">
        <v>0</v>
      </c>
      <c r="AK291" s="365">
        <v>0</v>
      </c>
      <c r="AL291" s="365">
        <v>0</v>
      </c>
      <c r="AM291" s="365">
        <v>0</v>
      </c>
      <c r="AN291" s="348">
        <v>0</v>
      </c>
      <c r="AO291" s="348">
        <v>0</v>
      </c>
      <c r="AP291" s="348">
        <v>0</v>
      </c>
      <c r="AQ291" s="348">
        <v>0</v>
      </c>
      <c r="AR291" s="348">
        <v>0</v>
      </c>
      <c r="AS291" s="348">
        <v>0</v>
      </c>
      <c r="AT291" s="348">
        <v>0</v>
      </c>
      <c r="AU291" s="348">
        <v>0</v>
      </c>
      <c r="AV291" s="348">
        <v>0</v>
      </c>
      <c r="AW291" s="348">
        <v>0</v>
      </c>
      <c r="AX291" s="341">
        <v>0</v>
      </c>
      <c r="AY291" s="354" t="s">
        <v>2985</v>
      </c>
      <c r="AZ291" s="316"/>
      <c r="BA291" s="316" t="s">
        <v>2985</v>
      </c>
      <c r="BB291" s="94" t="s">
        <v>2985</v>
      </c>
      <c r="BC291" s="425" t="s">
        <v>521</v>
      </c>
      <c r="BD291" s="348" t="s">
        <v>3566</v>
      </c>
      <c r="BE291" s="353">
        <v>400</v>
      </c>
      <c r="BF291" s="316"/>
      <c r="BG291" s="348">
        <v>1600</v>
      </c>
      <c r="BH291" s="390">
        <f t="shared" si="63"/>
        <v>88.888888888888886</v>
      </c>
      <c r="BI291" s="303">
        <v>99</v>
      </c>
      <c r="BJ291" s="323">
        <v>1</v>
      </c>
      <c r="BK291" s="307">
        <v>20</v>
      </c>
      <c r="BL291" s="507" t="s">
        <v>2985</v>
      </c>
      <c r="BM291" s="307">
        <v>0</v>
      </c>
      <c r="BN291" s="507" t="s">
        <v>2985</v>
      </c>
      <c r="BO291" s="259" t="s">
        <v>2985</v>
      </c>
      <c r="BP291" s="320"/>
      <c r="BS291" s="321"/>
    </row>
    <row r="292" spans="1:71" s="322" customFormat="1">
      <c r="A292" s="457">
        <v>1572</v>
      </c>
      <c r="B292" s="534" t="s">
        <v>3624</v>
      </c>
      <c r="C292" s="383"/>
      <c r="D292" s="383"/>
      <c r="E292" s="469"/>
      <c r="F292" s="303" t="s">
        <v>2133</v>
      </c>
      <c r="G292" s="386" t="s">
        <v>2659</v>
      </c>
      <c r="H292" s="454" t="s">
        <v>165</v>
      </c>
      <c r="I292" s="338" t="s">
        <v>3377</v>
      </c>
      <c r="J292" s="361">
        <v>1995</v>
      </c>
      <c r="K292" s="341">
        <v>349</v>
      </c>
      <c r="L292" s="340" t="s">
        <v>1745</v>
      </c>
      <c r="M292" s="341" t="s">
        <v>1739</v>
      </c>
      <c r="N292" s="447" t="s">
        <v>2985</v>
      </c>
      <c r="O292" s="349">
        <v>0.3</v>
      </c>
      <c r="P292" s="408" t="s">
        <v>2985</v>
      </c>
      <c r="Q292" s="408" t="s">
        <v>2985</v>
      </c>
      <c r="R292" s="317" t="s">
        <v>2985</v>
      </c>
      <c r="S292" s="317" t="s">
        <v>2985</v>
      </c>
      <c r="T292" s="318" t="s">
        <v>2985</v>
      </c>
      <c r="U292" s="318" t="s">
        <v>2985</v>
      </c>
      <c r="V292" s="408" t="s">
        <v>2985</v>
      </c>
      <c r="W292" s="408" t="s">
        <v>2985</v>
      </c>
      <c r="X292" s="313" t="s">
        <v>12</v>
      </c>
      <c r="Y292" s="307" t="s">
        <v>12</v>
      </c>
      <c r="Z292" s="314" t="s">
        <v>2985</v>
      </c>
      <c r="AA292" s="311" t="s">
        <v>1754</v>
      </c>
      <c r="AB292" s="341" t="s">
        <v>273</v>
      </c>
      <c r="AC292" s="161" t="s">
        <v>2985</v>
      </c>
      <c r="AD292" s="511" t="s">
        <v>2985</v>
      </c>
      <c r="AE292" s="316" t="s">
        <v>2985</v>
      </c>
      <c r="AF292" s="316" t="s">
        <v>2985</v>
      </c>
      <c r="AG292" s="262" t="s">
        <v>2985</v>
      </c>
      <c r="AH292" s="313">
        <v>100</v>
      </c>
      <c r="AI292" s="348">
        <v>0</v>
      </c>
      <c r="AJ292" s="365">
        <v>0</v>
      </c>
      <c r="AK292" s="365">
        <v>0</v>
      </c>
      <c r="AL292" s="365">
        <v>0</v>
      </c>
      <c r="AM292" s="365">
        <v>0</v>
      </c>
      <c r="AN292" s="348">
        <v>0</v>
      </c>
      <c r="AO292" s="348">
        <v>0</v>
      </c>
      <c r="AP292" s="348">
        <v>0</v>
      </c>
      <c r="AQ292" s="348">
        <v>0</v>
      </c>
      <c r="AR292" s="348">
        <v>0</v>
      </c>
      <c r="AS292" s="348">
        <v>0</v>
      </c>
      <c r="AT292" s="356">
        <v>2</v>
      </c>
      <c r="AU292" s="348">
        <v>0</v>
      </c>
      <c r="AV292" s="348">
        <v>0</v>
      </c>
      <c r="AW292" s="348">
        <v>0</v>
      </c>
      <c r="AX292" s="341">
        <v>0</v>
      </c>
      <c r="AY292" s="354" t="s">
        <v>2985</v>
      </c>
      <c r="AZ292" s="316"/>
      <c r="BA292" s="316" t="s">
        <v>2985</v>
      </c>
      <c r="BB292" s="94" t="s">
        <v>2985</v>
      </c>
      <c r="BC292" s="425" t="s">
        <v>521</v>
      </c>
      <c r="BD292" s="348" t="s">
        <v>3566</v>
      </c>
      <c r="BE292" s="353">
        <v>400</v>
      </c>
      <c r="BF292" s="316"/>
      <c r="BG292" s="348">
        <v>1600</v>
      </c>
      <c r="BH292" s="390">
        <f t="shared" si="63"/>
        <v>88.888888888888886</v>
      </c>
      <c r="BI292" s="303">
        <v>99</v>
      </c>
      <c r="BJ292" s="323">
        <v>1</v>
      </c>
      <c r="BK292" s="307">
        <v>20</v>
      </c>
      <c r="BL292" s="507" t="s">
        <v>2985</v>
      </c>
      <c r="BM292" s="307">
        <v>0</v>
      </c>
      <c r="BN292" s="507" t="s">
        <v>2985</v>
      </c>
      <c r="BO292" s="259" t="s">
        <v>2985</v>
      </c>
      <c r="BP292" s="320" t="s">
        <v>2293</v>
      </c>
      <c r="BS292" s="321"/>
    </row>
    <row r="293" spans="1:71" s="322" customFormat="1">
      <c r="A293" s="457">
        <v>1573</v>
      </c>
      <c r="B293" s="534" t="s">
        <v>3624</v>
      </c>
      <c r="C293" s="383"/>
      <c r="D293" s="383"/>
      <c r="E293" s="469"/>
      <c r="F293" s="303" t="s">
        <v>2134</v>
      </c>
      <c r="G293" s="386" t="s">
        <v>2659</v>
      </c>
      <c r="H293" s="454" t="s">
        <v>165</v>
      </c>
      <c r="I293" s="338" t="s">
        <v>3377</v>
      </c>
      <c r="J293" s="361">
        <v>1995</v>
      </c>
      <c r="K293" s="341">
        <v>349</v>
      </c>
      <c r="L293" s="340" t="s">
        <v>1745</v>
      </c>
      <c r="M293" s="341" t="s">
        <v>1739</v>
      </c>
      <c r="N293" s="447" t="s">
        <v>2985</v>
      </c>
      <c r="O293" s="349">
        <v>0.3</v>
      </c>
      <c r="P293" s="408" t="s">
        <v>2985</v>
      </c>
      <c r="Q293" s="408" t="s">
        <v>2985</v>
      </c>
      <c r="R293" s="317" t="s">
        <v>2985</v>
      </c>
      <c r="S293" s="317" t="s">
        <v>2985</v>
      </c>
      <c r="T293" s="318" t="s">
        <v>2985</v>
      </c>
      <c r="U293" s="318" t="s">
        <v>2985</v>
      </c>
      <c r="V293" s="408" t="s">
        <v>2985</v>
      </c>
      <c r="W293" s="408" t="s">
        <v>2985</v>
      </c>
      <c r="X293" s="313" t="s">
        <v>12</v>
      </c>
      <c r="Y293" s="307" t="s">
        <v>12</v>
      </c>
      <c r="Z293" s="314" t="s">
        <v>2985</v>
      </c>
      <c r="AA293" s="311" t="s">
        <v>1754</v>
      </c>
      <c r="AB293" s="341" t="s">
        <v>273</v>
      </c>
      <c r="AC293" s="161" t="s">
        <v>2985</v>
      </c>
      <c r="AD293" s="511" t="s">
        <v>2985</v>
      </c>
      <c r="AE293" s="316" t="s">
        <v>2985</v>
      </c>
      <c r="AF293" s="316" t="s">
        <v>2985</v>
      </c>
      <c r="AG293" s="262" t="s">
        <v>2985</v>
      </c>
      <c r="AH293" s="313">
        <v>100</v>
      </c>
      <c r="AI293" s="348">
        <v>0</v>
      </c>
      <c r="AJ293" s="365">
        <v>0</v>
      </c>
      <c r="AK293" s="365">
        <v>0</v>
      </c>
      <c r="AL293" s="365">
        <v>0</v>
      </c>
      <c r="AM293" s="365">
        <v>0</v>
      </c>
      <c r="AN293" s="348">
        <v>0</v>
      </c>
      <c r="AO293" s="348">
        <v>0</v>
      </c>
      <c r="AP293" s="348">
        <v>0</v>
      </c>
      <c r="AQ293" s="348">
        <v>0</v>
      </c>
      <c r="AR293" s="348">
        <v>0</v>
      </c>
      <c r="AS293" s="348">
        <v>0</v>
      </c>
      <c r="AT293" s="356">
        <v>2</v>
      </c>
      <c r="AU293" s="348">
        <v>0</v>
      </c>
      <c r="AV293" s="348">
        <v>0</v>
      </c>
      <c r="AW293" s="348">
        <v>0</v>
      </c>
      <c r="AX293" s="341">
        <v>0</v>
      </c>
      <c r="AY293" s="354" t="s">
        <v>2985</v>
      </c>
      <c r="AZ293" s="316"/>
      <c r="BA293" s="316" t="s">
        <v>2985</v>
      </c>
      <c r="BB293" s="94" t="s">
        <v>2985</v>
      </c>
      <c r="BC293" s="425" t="s">
        <v>521</v>
      </c>
      <c r="BD293" s="348" t="s">
        <v>3566</v>
      </c>
      <c r="BE293" s="353">
        <v>400</v>
      </c>
      <c r="BF293" s="316"/>
      <c r="BG293" s="348">
        <v>1600</v>
      </c>
      <c r="BH293" s="390">
        <f t="shared" si="63"/>
        <v>88.888888888888886</v>
      </c>
      <c r="BI293" s="303">
        <v>99</v>
      </c>
      <c r="BJ293" s="323">
        <v>1</v>
      </c>
      <c r="BK293" s="307">
        <v>20</v>
      </c>
      <c r="BL293" s="507" t="s">
        <v>2985</v>
      </c>
      <c r="BM293" s="307">
        <v>0</v>
      </c>
      <c r="BN293" s="507" t="s">
        <v>2985</v>
      </c>
      <c r="BO293" s="259" t="s">
        <v>2985</v>
      </c>
      <c r="BP293" s="320" t="s">
        <v>2294</v>
      </c>
      <c r="BS293" s="321"/>
    </row>
    <row r="294" spans="1:71" s="322" customFormat="1">
      <c r="A294" s="457">
        <v>1574</v>
      </c>
      <c r="B294" s="534" t="s">
        <v>3624</v>
      </c>
      <c r="C294" s="383"/>
      <c r="D294" s="383"/>
      <c r="E294" s="469"/>
      <c r="F294" s="303" t="s">
        <v>2135</v>
      </c>
      <c r="G294" s="386" t="s">
        <v>2659</v>
      </c>
      <c r="H294" s="454" t="s">
        <v>165</v>
      </c>
      <c r="I294" s="338" t="s">
        <v>3377</v>
      </c>
      <c r="J294" s="361">
        <v>1995</v>
      </c>
      <c r="K294" s="341">
        <v>349</v>
      </c>
      <c r="L294" s="340" t="s">
        <v>1745</v>
      </c>
      <c r="M294" s="341" t="s">
        <v>1739</v>
      </c>
      <c r="N294" s="447" t="s">
        <v>2985</v>
      </c>
      <c r="O294" s="349">
        <v>0.3</v>
      </c>
      <c r="P294" s="408" t="s">
        <v>2985</v>
      </c>
      <c r="Q294" s="408" t="s">
        <v>2985</v>
      </c>
      <c r="R294" s="317" t="s">
        <v>2985</v>
      </c>
      <c r="S294" s="317" t="s">
        <v>2985</v>
      </c>
      <c r="T294" s="318" t="s">
        <v>2985</v>
      </c>
      <c r="U294" s="318" t="s">
        <v>2985</v>
      </c>
      <c r="V294" s="408" t="s">
        <v>2985</v>
      </c>
      <c r="W294" s="408" t="s">
        <v>2985</v>
      </c>
      <c r="X294" s="313" t="s">
        <v>12</v>
      </c>
      <c r="Y294" s="307" t="s">
        <v>129</v>
      </c>
      <c r="Z294" s="314" t="s">
        <v>2985</v>
      </c>
      <c r="AA294" s="311" t="s">
        <v>1754</v>
      </c>
      <c r="AB294" s="341" t="s">
        <v>2295</v>
      </c>
      <c r="AC294" s="161" t="s">
        <v>2985</v>
      </c>
      <c r="AD294" s="511" t="s">
        <v>2985</v>
      </c>
      <c r="AE294" s="316" t="s">
        <v>2985</v>
      </c>
      <c r="AF294" s="316" t="s">
        <v>2985</v>
      </c>
      <c r="AG294" s="262" t="s">
        <v>2985</v>
      </c>
      <c r="AH294" s="313">
        <v>100</v>
      </c>
      <c r="AI294" s="348">
        <v>0</v>
      </c>
      <c r="AJ294" s="365">
        <v>0</v>
      </c>
      <c r="AK294" s="365">
        <v>0</v>
      </c>
      <c r="AL294" s="365">
        <v>0</v>
      </c>
      <c r="AM294" s="365">
        <v>0</v>
      </c>
      <c r="AN294" s="348">
        <v>0</v>
      </c>
      <c r="AO294" s="348">
        <v>0</v>
      </c>
      <c r="AP294" s="348">
        <v>0</v>
      </c>
      <c r="AQ294" s="348">
        <v>0</v>
      </c>
      <c r="AR294" s="348">
        <v>0</v>
      </c>
      <c r="AS294" s="348">
        <v>0</v>
      </c>
      <c r="AT294" s="348">
        <v>0</v>
      </c>
      <c r="AU294" s="348">
        <v>0</v>
      </c>
      <c r="AV294" s="348">
        <v>0</v>
      </c>
      <c r="AW294" s="348">
        <v>0</v>
      </c>
      <c r="AX294" s="341">
        <v>0</v>
      </c>
      <c r="AY294" s="354" t="s">
        <v>2985</v>
      </c>
      <c r="AZ294" s="316"/>
      <c r="BA294" s="316" t="s">
        <v>2985</v>
      </c>
      <c r="BB294" s="94" t="s">
        <v>2985</v>
      </c>
      <c r="BC294" s="425" t="s">
        <v>521</v>
      </c>
      <c r="BD294" s="348" t="s">
        <v>3566</v>
      </c>
      <c r="BE294" s="353">
        <v>400</v>
      </c>
      <c r="BF294" s="316"/>
      <c r="BG294" s="348">
        <v>1600</v>
      </c>
      <c r="BH294" s="390">
        <f t="shared" si="63"/>
        <v>88.888888888888886</v>
      </c>
      <c r="BI294" s="303">
        <v>99</v>
      </c>
      <c r="BJ294" s="323">
        <v>1</v>
      </c>
      <c r="BK294" s="307">
        <v>20</v>
      </c>
      <c r="BL294" s="507" t="s">
        <v>2985</v>
      </c>
      <c r="BM294" s="307">
        <v>0</v>
      </c>
      <c r="BN294" s="507" t="s">
        <v>2985</v>
      </c>
      <c r="BO294" s="259" t="s">
        <v>2985</v>
      </c>
      <c r="BP294" s="320" t="s">
        <v>2296</v>
      </c>
      <c r="BS294" s="321"/>
    </row>
    <row r="295" spans="1:71" s="322" customFormat="1">
      <c r="A295" s="457">
        <v>1575</v>
      </c>
      <c r="B295" s="534" t="s">
        <v>3624</v>
      </c>
      <c r="C295" s="383"/>
      <c r="D295" s="383"/>
      <c r="E295" s="469"/>
      <c r="F295" s="303" t="s">
        <v>2136</v>
      </c>
      <c r="G295" s="386" t="s">
        <v>2659</v>
      </c>
      <c r="H295" s="454" t="s">
        <v>165</v>
      </c>
      <c r="I295" s="338" t="s">
        <v>3377</v>
      </c>
      <c r="J295" s="361">
        <v>1995</v>
      </c>
      <c r="K295" s="341">
        <v>349</v>
      </c>
      <c r="L295" s="340" t="s">
        <v>1745</v>
      </c>
      <c r="M295" s="341" t="s">
        <v>1739</v>
      </c>
      <c r="N295" s="447" t="s">
        <v>2985</v>
      </c>
      <c r="O295" s="349">
        <v>0.3</v>
      </c>
      <c r="P295" s="408" t="s">
        <v>2985</v>
      </c>
      <c r="Q295" s="408" t="s">
        <v>2985</v>
      </c>
      <c r="R295" s="317" t="s">
        <v>2985</v>
      </c>
      <c r="S295" s="317" t="s">
        <v>2985</v>
      </c>
      <c r="T295" s="318" t="s">
        <v>2985</v>
      </c>
      <c r="U295" s="318" t="s">
        <v>2985</v>
      </c>
      <c r="V295" s="408" t="s">
        <v>2985</v>
      </c>
      <c r="W295" s="408" t="s">
        <v>2985</v>
      </c>
      <c r="X295" s="313" t="s">
        <v>12</v>
      </c>
      <c r="Y295" s="307" t="s">
        <v>129</v>
      </c>
      <c r="Z295" s="314" t="s">
        <v>2985</v>
      </c>
      <c r="AA295" s="311" t="s">
        <v>1754</v>
      </c>
      <c r="AB295" s="341" t="s">
        <v>2295</v>
      </c>
      <c r="AC295" s="161" t="s">
        <v>2985</v>
      </c>
      <c r="AD295" s="511" t="s">
        <v>2985</v>
      </c>
      <c r="AE295" s="316" t="s">
        <v>2985</v>
      </c>
      <c r="AF295" s="316" t="s">
        <v>2985</v>
      </c>
      <c r="AG295" s="262" t="s">
        <v>2985</v>
      </c>
      <c r="AH295" s="313">
        <v>100</v>
      </c>
      <c r="AI295" s="348">
        <v>0</v>
      </c>
      <c r="AJ295" s="365">
        <v>0</v>
      </c>
      <c r="AK295" s="365">
        <v>0</v>
      </c>
      <c r="AL295" s="365">
        <v>0</v>
      </c>
      <c r="AM295" s="365">
        <v>0</v>
      </c>
      <c r="AN295" s="348">
        <v>0</v>
      </c>
      <c r="AO295" s="348">
        <v>0</v>
      </c>
      <c r="AP295" s="348">
        <v>0</v>
      </c>
      <c r="AQ295" s="348">
        <v>0</v>
      </c>
      <c r="AR295" s="348">
        <v>0</v>
      </c>
      <c r="AS295" s="348">
        <v>0</v>
      </c>
      <c r="AT295" s="348">
        <v>0</v>
      </c>
      <c r="AU295" s="348">
        <v>0</v>
      </c>
      <c r="AV295" s="348">
        <v>0</v>
      </c>
      <c r="AW295" s="348">
        <v>0</v>
      </c>
      <c r="AX295" s="341">
        <v>0</v>
      </c>
      <c r="AY295" s="354" t="s">
        <v>2985</v>
      </c>
      <c r="AZ295" s="316"/>
      <c r="BA295" s="316" t="s">
        <v>2985</v>
      </c>
      <c r="BB295" s="94" t="s">
        <v>2985</v>
      </c>
      <c r="BC295" s="425" t="s">
        <v>521</v>
      </c>
      <c r="BD295" s="348" t="s">
        <v>3566</v>
      </c>
      <c r="BE295" s="353">
        <v>400</v>
      </c>
      <c r="BF295" s="316"/>
      <c r="BG295" s="348">
        <v>1600</v>
      </c>
      <c r="BH295" s="390">
        <f t="shared" si="63"/>
        <v>88.888888888888886</v>
      </c>
      <c r="BI295" s="303">
        <v>99</v>
      </c>
      <c r="BJ295" s="323">
        <v>1</v>
      </c>
      <c r="BK295" s="307">
        <v>20</v>
      </c>
      <c r="BL295" s="507" t="s">
        <v>2985</v>
      </c>
      <c r="BM295" s="307">
        <v>0</v>
      </c>
      <c r="BN295" s="507" t="s">
        <v>2985</v>
      </c>
      <c r="BO295" s="259" t="s">
        <v>2985</v>
      </c>
      <c r="BP295" s="320" t="s">
        <v>2297</v>
      </c>
      <c r="BS295" s="321"/>
    </row>
    <row r="296" spans="1:71" s="322" customFormat="1">
      <c r="A296" s="457">
        <v>1576</v>
      </c>
      <c r="B296" s="534" t="s">
        <v>3624</v>
      </c>
      <c r="C296" s="383"/>
      <c r="D296" s="383"/>
      <c r="E296" s="469"/>
      <c r="F296" s="303" t="s">
        <v>2137</v>
      </c>
      <c r="G296" s="386" t="s">
        <v>2659</v>
      </c>
      <c r="H296" s="454" t="s">
        <v>165</v>
      </c>
      <c r="I296" s="338" t="s">
        <v>3377</v>
      </c>
      <c r="J296" s="361">
        <v>1995</v>
      </c>
      <c r="K296" s="341">
        <v>349</v>
      </c>
      <c r="L296" s="340" t="s">
        <v>1745</v>
      </c>
      <c r="M296" s="341" t="s">
        <v>1739</v>
      </c>
      <c r="N296" s="447" t="s">
        <v>2985</v>
      </c>
      <c r="O296" s="349">
        <v>0.3</v>
      </c>
      <c r="P296" s="408" t="s">
        <v>2985</v>
      </c>
      <c r="Q296" s="408" t="s">
        <v>2985</v>
      </c>
      <c r="R296" s="317" t="s">
        <v>2985</v>
      </c>
      <c r="S296" s="317" t="s">
        <v>2985</v>
      </c>
      <c r="T296" s="318" t="s">
        <v>2985</v>
      </c>
      <c r="U296" s="318" t="s">
        <v>2985</v>
      </c>
      <c r="V296" s="408" t="s">
        <v>2985</v>
      </c>
      <c r="W296" s="408" t="s">
        <v>2985</v>
      </c>
      <c r="X296" s="313" t="s">
        <v>12</v>
      </c>
      <c r="Y296" s="307" t="s">
        <v>129</v>
      </c>
      <c r="Z296" s="314" t="s">
        <v>2985</v>
      </c>
      <c r="AA296" s="311" t="s">
        <v>1754</v>
      </c>
      <c r="AB296" s="341" t="s">
        <v>2295</v>
      </c>
      <c r="AC296" s="161" t="s">
        <v>2985</v>
      </c>
      <c r="AD296" s="511" t="s">
        <v>2985</v>
      </c>
      <c r="AE296" s="316" t="s">
        <v>2985</v>
      </c>
      <c r="AF296" s="316" t="s">
        <v>2985</v>
      </c>
      <c r="AG296" s="262" t="s">
        <v>2985</v>
      </c>
      <c r="AH296" s="313">
        <v>100</v>
      </c>
      <c r="AI296" s="348">
        <v>0</v>
      </c>
      <c r="AJ296" s="365">
        <v>0</v>
      </c>
      <c r="AK296" s="365">
        <v>0</v>
      </c>
      <c r="AL296" s="365">
        <v>0</v>
      </c>
      <c r="AM296" s="365">
        <v>0</v>
      </c>
      <c r="AN296" s="348">
        <v>0</v>
      </c>
      <c r="AO296" s="348">
        <v>0</v>
      </c>
      <c r="AP296" s="348">
        <v>0</v>
      </c>
      <c r="AQ296" s="348">
        <v>0</v>
      </c>
      <c r="AR296" s="348">
        <v>0</v>
      </c>
      <c r="AS296" s="348">
        <v>0</v>
      </c>
      <c r="AT296" s="348">
        <v>0</v>
      </c>
      <c r="AU296" s="348">
        <v>0</v>
      </c>
      <c r="AV296" s="348">
        <v>0</v>
      </c>
      <c r="AW296" s="348">
        <v>0</v>
      </c>
      <c r="AX296" s="341">
        <v>0</v>
      </c>
      <c r="AY296" s="354" t="s">
        <v>2985</v>
      </c>
      <c r="AZ296" s="316"/>
      <c r="BA296" s="316" t="s">
        <v>2985</v>
      </c>
      <c r="BB296" s="94" t="s">
        <v>2985</v>
      </c>
      <c r="BC296" s="425" t="s">
        <v>521</v>
      </c>
      <c r="BD296" s="348" t="s">
        <v>3566</v>
      </c>
      <c r="BE296" s="353">
        <v>400</v>
      </c>
      <c r="BF296" s="316"/>
      <c r="BG296" s="348">
        <v>1600</v>
      </c>
      <c r="BH296" s="390">
        <f t="shared" si="63"/>
        <v>88.888888888888886</v>
      </c>
      <c r="BI296" s="303">
        <v>99</v>
      </c>
      <c r="BJ296" s="323">
        <v>1</v>
      </c>
      <c r="BK296" s="307">
        <v>20</v>
      </c>
      <c r="BL296" s="507" t="s">
        <v>2985</v>
      </c>
      <c r="BM296" s="307">
        <v>0</v>
      </c>
      <c r="BN296" s="507" t="s">
        <v>2985</v>
      </c>
      <c r="BO296" s="259" t="s">
        <v>2985</v>
      </c>
      <c r="BP296" s="320" t="s">
        <v>2298</v>
      </c>
      <c r="BS296" s="321"/>
    </row>
    <row r="297" spans="1:71" s="322" customFormat="1">
      <c r="A297" s="457">
        <v>1577</v>
      </c>
      <c r="B297" s="534" t="s">
        <v>3624</v>
      </c>
      <c r="C297" s="383"/>
      <c r="D297" s="383"/>
      <c r="E297" s="469"/>
      <c r="F297" s="303" t="s">
        <v>2138</v>
      </c>
      <c r="G297" s="386" t="s">
        <v>2659</v>
      </c>
      <c r="H297" s="454" t="s">
        <v>165</v>
      </c>
      <c r="I297" s="338" t="s">
        <v>3377</v>
      </c>
      <c r="J297" s="361">
        <v>1995</v>
      </c>
      <c r="K297" s="341">
        <v>349</v>
      </c>
      <c r="L297" s="340" t="s">
        <v>1745</v>
      </c>
      <c r="M297" s="341" t="s">
        <v>1739</v>
      </c>
      <c r="N297" s="447" t="s">
        <v>2985</v>
      </c>
      <c r="O297" s="349">
        <v>0.3</v>
      </c>
      <c r="P297" s="408" t="s">
        <v>2985</v>
      </c>
      <c r="Q297" s="408" t="s">
        <v>2985</v>
      </c>
      <c r="R297" s="317" t="s">
        <v>2985</v>
      </c>
      <c r="S297" s="317" t="s">
        <v>2985</v>
      </c>
      <c r="T297" s="318" t="s">
        <v>2985</v>
      </c>
      <c r="U297" s="318" t="s">
        <v>2985</v>
      </c>
      <c r="V297" s="408" t="s">
        <v>2985</v>
      </c>
      <c r="W297" s="408" t="s">
        <v>2985</v>
      </c>
      <c r="X297" s="313" t="s">
        <v>12</v>
      </c>
      <c r="Y297" s="307" t="s">
        <v>129</v>
      </c>
      <c r="Z297" s="314" t="s">
        <v>2985</v>
      </c>
      <c r="AA297" s="311" t="s">
        <v>1754</v>
      </c>
      <c r="AB297" s="341" t="s">
        <v>2295</v>
      </c>
      <c r="AC297" s="161" t="s">
        <v>2985</v>
      </c>
      <c r="AD297" s="511" t="s">
        <v>2985</v>
      </c>
      <c r="AE297" s="316" t="s">
        <v>2985</v>
      </c>
      <c r="AF297" s="316" t="s">
        <v>2985</v>
      </c>
      <c r="AG297" s="262" t="s">
        <v>2985</v>
      </c>
      <c r="AH297" s="313">
        <v>100</v>
      </c>
      <c r="AI297" s="348">
        <v>0</v>
      </c>
      <c r="AJ297" s="365">
        <v>0</v>
      </c>
      <c r="AK297" s="365">
        <v>0</v>
      </c>
      <c r="AL297" s="365">
        <v>0</v>
      </c>
      <c r="AM297" s="365">
        <v>0</v>
      </c>
      <c r="AN297" s="348">
        <v>0</v>
      </c>
      <c r="AO297" s="348">
        <v>0</v>
      </c>
      <c r="AP297" s="348">
        <v>0</v>
      </c>
      <c r="AQ297" s="348">
        <v>0</v>
      </c>
      <c r="AR297" s="348">
        <v>0</v>
      </c>
      <c r="AS297" s="348">
        <v>0</v>
      </c>
      <c r="AT297" s="348">
        <v>0</v>
      </c>
      <c r="AU297" s="348">
        <v>0</v>
      </c>
      <c r="AV297" s="348">
        <v>0</v>
      </c>
      <c r="AW297" s="348">
        <v>0</v>
      </c>
      <c r="AX297" s="341">
        <v>0</v>
      </c>
      <c r="AY297" s="354" t="s">
        <v>2985</v>
      </c>
      <c r="AZ297" s="316"/>
      <c r="BA297" s="316" t="s">
        <v>2985</v>
      </c>
      <c r="BB297" s="94" t="s">
        <v>2985</v>
      </c>
      <c r="BC297" s="425" t="s">
        <v>521</v>
      </c>
      <c r="BD297" s="348" t="s">
        <v>3566</v>
      </c>
      <c r="BE297" s="353">
        <v>400</v>
      </c>
      <c r="BF297" s="316"/>
      <c r="BG297" s="348">
        <v>1600</v>
      </c>
      <c r="BH297" s="390">
        <f t="shared" si="63"/>
        <v>88.888888888888886</v>
      </c>
      <c r="BI297" s="303">
        <v>99</v>
      </c>
      <c r="BJ297" s="323">
        <v>1</v>
      </c>
      <c r="BK297" s="307">
        <v>20</v>
      </c>
      <c r="BL297" s="507" t="s">
        <v>2985</v>
      </c>
      <c r="BM297" s="307">
        <v>0</v>
      </c>
      <c r="BN297" s="507" t="s">
        <v>2985</v>
      </c>
      <c r="BO297" s="259" t="s">
        <v>2985</v>
      </c>
      <c r="BP297" s="320" t="s">
        <v>2299</v>
      </c>
      <c r="BS297" s="321"/>
    </row>
    <row r="298" spans="1:71" s="322" customFormat="1">
      <c r="A298" s="457">
        <v>1584</v>
      </c>
      <c r="B298" s="533" t="s">
        <v>3614</v>
      </c>
      <c r="C298" s="466" t="s">
        <v>3590</v>
      </c>
      <c r="D298" s="466" t="s">
        <v>3590</v>
      </c>
      <c r="E298" s="469"/>
      <c r="F298" s="303" t="s">
        <v>2145</v>
      </c>
      <c r="G298" s="386" t="s">
        <v>2717</v>
      </c>
      <c r="H298" s="454" t="s">
        <v>254</v>
      </c>
      <c r="I298" s="338" t="s">
        <v>3377</v>
      </c>
      <c r="J298" s="361">
        <v>2005</v>
      </c>
      <c r="K298" s="341">
        <v>351</v>
      </c>
      <c r="L298" s="340" t="s">
        <v>1738</v>
      </c>
      <c r="M298" s="341" t="s">
        <v>1739</v>
      </c>
      <c r="N298" s="446">
        <f>R298/T298</f>
        <v>0.55634920634920637</v>
      </c>
      <c r="O298" s="349">
        <v>0.55714285714285716</v>
      </c>
      <c r="P298" s="329">
        <v>4.5685714285714285</v>
      </c>
      <c r="Q298" s="310">
        <f>U298/T298</f>
        <v>4.5620634920634915</v>
      </c>
      <c r="R298" s="377">
        <f>O298*S298</f>
        <v>195</v>
      </c>
      <c r="S298" s="307">
        <v>350</v>
      </c>
      <c r="T298" s="377">
        <f>(((SUM(AI298:AR298)/100)*(S298))+S298)</f>
        <v>350.49928673323825</v>
      </c>
      <c r="U298" s="377">
        <f t="shared" ref="U298:U329" si="64">P298*S298</f>
        <v>1599</v>
      </c>
      <c r="V298" s="408" t="s">
        <v>2985</v>
      </c>
      <c r="W298" s="408" t="s">
        <v>2985</v>
      </c>
      <c r="X298" s="313" t="s">
        <v>12</v>
      </c>
      <c r="Y298" s="307" t="s">
        <v>12</v>
      </c>
      <c r="Z298" s="314" t="s">
        <v>2985</v>
      </c>
      <c r="AA298" s="311" t="s">
        <v>1754</v>
      </c>
      <c r="AB298" s="341" t="s">
        <v>12</v>
      </c>
      <c r="AC298" s="161" t="s">
        <v>2985</v>
      </c>
      <c r="AD298" s="507" t="s">
        <v>2312</v>
      </c>
      <c r="AE298" s="316" t="s">
        <v>2985</v>
      </c>
      <c r="AF298" s="214" t="s">
        <v>2308</v>
      </c>
      <c r="AG298" s="262" t="s">
        <v>2985</v>
      </c>
      <c r="AH298" s="344">
        <v>99.857346647646224</v>
      </c>
      <c r="AI298" s="353">
        <v>0</v>
      </c>
      <c r="AJ298" s="395">
        <v>0</v>
      </c>
      <c r="AK298" s="365">
        <v>0</v>
      </c>
      <c r="AL298" s="365">
        <v>0</v>
      </c>
      <c r="AM298" s="365">
        <v>0</v>
      </c>
      <c r="AN298" s="353">
        <v>0</v>
      </c>
      <c r="AO298" s="353">
        <v>0</v>
      </c>
      <c r="AP298" s="348">
        <v>0</v>
      </c>
      <c r="AQ298" s="342">
        <v>0.14265335235378032</v>
      </c>
      <c r="AR298" s="348">
        <v>0</v>
      </c>
      <c r="AS298" s="348">
        <v>0</v>
      </c>
      <c r="AT298" s="352">
        <v>1.4265335235378032</v>
      </c>
      <c r="AU298" s="348">
        <v>0</v>
      </c>
      <c r="AV298" s="348">
        <v>0</v>
      </c>
      <c r="AW298" s="348">
        <v>0</v>
      </c>
      <c r="AX298" s="341">
        <v>0</v>
      </c>
      <c r="AY298" s="340">
        <v>37</v>
      </c>
      <c r="AZ298" s="348"/>
      <c r="BA298" s="316" t="s">
        <v>2985</v>
      </c>
      <c r="BB298" s="94" t="s">
        <v>2985</v>
      </c>
      <c r="BC298" s="355" t="s">
        <v>2985</v>
      </c>
      <c r="BD298" s="348" t="s">
        <v>3548</v>
      </c>
      <c r="BE298" s="353">
        <v>55</v>
      </c>
      <c r="BF298" s="348"/>
      <c r="BG298" s="348">
        <v>220</v>
      </c>
      <c r="BH298" s="390">
        <f>(BE298*BG298)/((2*BG298)+(2*BE298))</f>
        <v>22</v>
      </c>
      <c r="BI298" s="303">
        <v>98</v>
      </c>
      <c r="BJ298" s="323">
        <v>1</v>
      </c>
      <c r="BK298" s="307">
        <v>20</v>
      </c>
      <c r="BL298" s="307">
        <v>20</v>
      </c>
      <c r="BM298" s="507" t="s">
        <v>2985</v>
      </c>
      <c r="BN298" s="307">
        <v>99</v>
      </c>
      <c r="BO298" s="259" t="s">
        <v>2985</v>
      </c>
      <c r="BP298" s="350"/>
      <c r="BS298" s="321"/>
    </row>
    <row r="299" spans="1:71" s="322" customFormat="1">
      <c r="A299" s="457">
        <v>1586</v>
      </c>
      <c r="B299" s="533" t="s">
        <v>3614</v>
      </c>
      <c r="C299" s="466" t="s">
        <v>3590</v>
      </c>
      <c r="D299" s="466" t="s">
        <v>3590</v>
      </c>
      <c r="E299" s="469"/>
      <c r="F299" s="303" t="s">
        <v>2147</v>
      </c>
      <c r="G299" s="386" t="s">
        <v>2717</v>
      </c>
      <c r="H299" s="454" t="s">
        <v>254</v>
      </c>
      <c r="I299" s="338" t="s">
        <v>3377</v>
      </c>
      <c r="J299" s="361">
        <v>2005</v>
      </c>
      <c r="K299" s="341">
        <v>351</v>
      </c>
      <c r="L299" s="340" t="s">
        <v>1738</v>
      </c>
      <c r="M299" s="341" t="s">
        <v>1739</v>
      </c>
      <c r="N299" s="446">
        <f>R299/T299</f>
        <v>0.43622222222222223</v>
      </c>
      <c r="O299" s="349">
        <v>0.43622222222222223</v>
      </c>
      <c r="P299" s="329">
        <v>3.6973333333333338</v>
      </c>
      <c r="Q299" s="310">
        <f>U299/T299</f>
        <v>3.6973333333333338</v>
      </c>
      <c r="R299" s="377">
        <f>O299*S299</f>
        <v>196.3</v>
      </c>
      <c r="S299" s="307">
        <v>450</v>
      </c>
      <c r="T299" s="377">
        <f>(((SUM(AI299:AR299)/100)*(S299))+S299)</f>
        <v>450</v>
      </c>
      <c r="U299" s="377">
        <f t="shared" si="64"/>
        <v>1663.8000000000002</v>
      </c>
      <c r="V299" s="408" t="s">
        <v>2985</v>
      </c>
      <c r="W299" s="408" t="s">
        <v>2985</v>
      </c>
      <c r="X299" s="313" t="s">
        <v>12</v>
      </c>
      <c r="Y299" s="307" t="s">
        <v>12</v>
      </c>
      <c r="Z299" s="314" t="s">
        <v>2985</v>
      </c>
      <c r="AA299" s="311" t="s">
        <v>1754</v>
      </c>
      <c r="AB299" s="341" t="s">
        <v>12</v>
      </c>
      <c r="AC299" s="161" t="s">
        <v>2985</v>
      </c>
      <c r="AD299" s="507" t="s">
        <v>2312</v>
      </c>
      <c r="AE299" s="316" t="s">
        <v>2985</v>
      </c>
      <c r="AF299" s="214" t="s">
        <v>2308</v>
      </c>
      <c r="AG299" s="262" t="s">
        <v>2985</v>
      </c>
      <c r="AH299" s="344">
        <v>100</v>
      </c>
      <c r="AI299" s="353">
        <v>0</v>
      </c>
      <c r="AJ299" s="395">
        <v>0</v>
      </c>
      <c r="AK299" s="365">
        <v>0</v>
      </c>
      <c r="AL299" s="365">
        <v>0</v>
      </c>
      <c r="AM299" s="365">
        <v>0</v>
      </c>
      <c r="AN299" s="353">
        <v>0</v>
      </c>
      <c r="AO299" s="353">
        <v>0</v>
      </c>
      <c r="AP299" s="348">
        <v>0</v>
      </c>
      <c r="AQ299" s="348">
        <v>0</v>
      </c>
      <c r="AR299" s="348">
        <v>0</v>
      </c>
      <c r="AS299" s="348">
        <v>0</v>
      </c>
      <c r="AT299" s="352">
        <v>3</v>
      </c>
      <c r="AU299" s="348">
        <v>0</v>
      </c>
      <c r="AV299" s="348">
        <v>0</v>
      </c>
      <c r="AW299" s="348">
        <v>0</v>
      </c>
      <c r="AX299" s="341">
        <v>0</v>
      </c>
      <c r="AY299" s="340">
        <v>68</v>
      </c>
      <c r="AZ299" s="348"/>
      <c r="BA299" s="316" t="s">
        <v>2985</v>
      </c>
      <c r="BB299" s="94" t="s">
        <v>2985</v>
      </c>
      <c r="BC299" s="355" t="s">
        <v>2985</v>
      </c>
      <c r="BD299" s="348" t="s">
        <v>3548</v>
      </c>
      <c r="BE299" s="353">
        <v>55</v>
      </c>
      <c r="BF299" s="348"/>
      <c r="BG299" s="348">
        <v>220</v>
      </c>
      <c r="BH299" s="390">
        <f>(BE299*BG299)/((2*BG299)+(2*BE299))</f>
        <v>22</v>
      </c>
      <c r="BI299" s="303">
        <v>98</v>
      </c>
      <c r="BJ299" s="323">
        <v>1</v>
      </c>
      <c r="BK299" s="307">
        <v>20</v>
      </c>
      <c r="BL299" s="307">
        <v>20</v>
      </c>
      <c r="BM299" s="507" t="s">
        <v>2985</v>
      </c>
      <c r="BN299" s="307">
        <v>99</v>
      </c>
      <c r="BO299" s="259" t="s">
        <v>2985</v>
      </c>
      <c r="BP299" s="350"/>
      <c r="BS299" s="321"/>
    </row>
    <row r="300" spans="1:71" s="322" customFormat="1">
      <c r="A300" s="457">
        <v>1588</v>
      </c>
      <c r="B300" s="533" t="s">
        <v>3614</v>
      </c>
      <c r="C300" s="466" t="s">
        <v>3590</v>
      </c>
      <c r="D300" s="466" t="s">
        <v>3590</v>
      </c>
      <c r="E300" s="469"/>
      <c r="F300" s="303" t="s">
        <v>2149</v>
      </c>
      <c r="G300" s="386" t="s">
        <v>2717</v>
      </c>
      <c r="H300" s="454" t="s">
        <v>254</v>
      </c>
      <c r="I300" s="338" t="s">
        <v>3377</v>
      </c>
      <c r="J300" s="361">
        <v>2005</v>
      </c>
      <c r="K300" s="341">
        <v>351</v>
      </c>
      <c r="L300" s="340" t="s">
        <v>1738</v>
      </c>
      <c r="M300" s="341" t="s">
        <v>1739</v>
      </c>
      <c r="N300" s="446">
        <f>R300/T300</f>
        <v>0.52571428571428569</v>
      </c>
      <c r="O300" s="349">
        <v>0.52571428571428569</v>
      </c>
      <c r="P300" s="329">
        <v>5.2514285714285718</v>
      </c>
      <c r="Q300" s="310">
        <f>U300/T300</f>
        <v>5.2514285714285718</v>
      </c>
      <c r="R300" s="377">
        <f>O300*S300</f>
        <v>184</v>
      </c>
      <c r="S300" s="307">
        <v>350</v>
      </c>
      <c r="T300" s="377">
        <f>(((SUM(AI300:AR300)/100)*(S300))+S300)</f>
        <v>350</v>
      </c>
      <c r="U300" s="377">
        <f t="shared" si="64"/>
        <v>1838.0000000000002</v>
      </c>
      <c r="V300" s="408" t="s">
        <v>2985</v>
      </c>
      <c r="W300" s="408" t="s">
        <v>2985</v>
      </c>
      <c r="X300" s="313" t="s">
        <v>12</v>
      </c>
      <c r="Y300" s="307" t="s">
        <v>12</v>
      </c>
      <c r="Z300" s="314" t="s">
        <v>2985</v>
      </c>
      <c r="AA300" s="311" t="s">
        <v>1754</v>
      </c>
      <c r="AB300" s="341" t="s">
        <v>12</v>
      </c>
      <c r="AC300" s="161" t="s">
        <v>2985</v>
      </c>
      <c r="AD300" s="507" t="s">
        <v>2312</v>
      </c>
      <c r="AE300" s="316" t="s">
        <v>2985</v>
      </c>
      <c r="AF300" s="214" t="s">
        <v>2308</v>
      </c>
      <c r="AG300" s="262" t="s">
        <v>2985</v>
      </c>
      <c r="AH300" s="344">
        <v>100</v>
      </c>
      <c r="AI300" s="353">
        <v>0</v>
      </c>
      <c r="AJ300" s="395">
        <v>0</v>
      </c>
      <c r="AK300" s="365">
        <v>0</v>
      </c>
      <c r="AL300" s="365">
        <v>0</v>
      </c>
      <c r="AM300" s="365">
        <v>0</v>
      </c>
      <c r="AN300" s="353">
        <v>0</v>
      </c>
      <c r="AO300" s="353">
        <v>0</v>
      </c>
      <c r="AP300" s="348">
        <v>0</v>
      </c>
      <c r="AQ300" s="348">
        <v>0</v>
      </c>
      <c r="AR300" s="348">
        <v>0</v>
      </c>
      <c r="AS300" s="348">
        <v>0</v>
      </c>
      <c r="AT300" s="353">
        <v>0</v>
      </c>
      <c r="AU300" s="348">
        <v>0</v>
      </c>
      <c r="AV300" s="348">
        <v>0</v>
      </c>
      <c r="AW300" s="348">
        <v>0</v>
      </c>
      <c r="AX300" s="341">
        <v>0</v>
      </c>
      <c r="AY300" s="340">
        <v>39</v>
      </c>
      <c r="AZ300" s="348"/>
      <c r="BA300" s="316" t="s">
        <v>2985</v>
      </c>
      <c r="BB300" s="94" t="s">
        <v>2985</v>
      </c>
      <c r="BC300" s="355" t="s">
        <v>2985</v>
      </c>
      <c r="BD300" s="348" t="s">
        <v>3548</v>
      </c>
      <c r="BE300" s="353">
        <v>55</v>
      </c>
      <c r="BF300" s="348"/>
      <c r="BG300" s="348">
        <v>220</v>
      </c>
      <c r="BH300" s="390">
        <f>(BE300*BG300)/((2*BG300)+(2*BE300))</f>
        <v>22</v>
      </c>
      <c r="BI300" s="303">
        <v>98</v>
      </c>
      <c r="BJ300" s="323">
        <v>1</v>
      </c>
      <c r="BK300" s="307">
        <v>20</v>
      </c>
      <c r="BL300" s="307">
        <v>20</v>
      </c>
      <c r="BM300" s="507" t="s">
        <v>2985</v>
      </c>
      <c r="BN300" s="307">
        <v>99</v>
      </c>
      <c r="BO300" s="259" t="s">
        <v>2985</v>
      </c>
      <c r="BP300" s="350"/>
      <c r="BS300" s="321"/>
    </row>
    <row r="301" spans="1:71" s="322" customFormat="1">
      <c r="A301" s="457">
        <v>1590</v>
      </c>
      <c r="B301" s="534" t="s">
        <v>3621</v>
      </c>
      <c r="C301" s="466" t="s">
        <v>3590</v>
      </c>
      <c r="D301" s="466" t="s">
        <v>3590</v>
      </c>
      <c r="E301" s="469"/>
      <c r="F301" s="303" t="s">
        <v>2151</v>
      </c>
      <c r="G301" s="386" t="s">
        <v>2717</v>
      </c>
      <c r="H301" s="454" t="s">
        <v>254</v>
      </c>
      <c r="I301" s="338" t="s">
        <v>3377</v>
      </c>
      <c r="J301" s="361">
        <v>2005</v>
      </c>
      <c r="K301" s="341">
        <v>351</v>
      </c>
      <c r="L301" s="340" t="s">
        <v>1738</v>
      </c>
      <c r="M301" s="341" t="s">
        <v>1739</v>
      </c>
      <c r="N301" s="446">
        <f>R301/T301</f>
        <v>0.39266666666666666</v>
      </c>
      <c r="O301" s="349">
        <v>0.39266666666666666</v>
      </c>
      <c r="P301" s="329">
        <v>4.0555555555555554</v>
      </c>
      <c r="Q301" s="310">
        <f>U301/T301</f>
        <v>4.0555555555555554</v>
      </c>
      <c r="R301" s="377">
        <f>O301*S301</f>
        <v>176.7</v>
      </c>
      <c r="S301" s="307">
        <v>450</v>
      </c>
      <c r="T301" s="377">
        <f>(((SUM(AI301:AR301)/100)*(S301))+S301)</f>
        <v>450</v>
      </c>
      <c r="U301" s="377">
        <f t="shared" si="64"/>
        <v>1825</v>
      </c>
      <c r="V301" s="408" t="s">
        <v>2985</v>
      </c>
      <c r="W301" s="408" t="s">
        <v>2985</v>
      </c>
      <c r="X301" s="313" t="s">
        <v>12</v>
      </c>
      <c r="Y301" s="307" t="s">
        <v>12</v>
      </c>
      <c r="Z301" s="314" t="s">
        <v>2985</v>
      </c>
      <c r="AA301" s="311" t="s">
        <v>1754</v>
      </c>
      <c r="AB301" s="341" t="s">
        <v>12</v>
      </c>
      <c r="AC301" s="161" t="s">
        <v>2985</v>
      </c>
      <c r="AD301" s="507" t="s">
        <v>2312</v>
      </c>
      <c r="AE301" s="316" t="s">
        <v>2985</v>
      </c>
      <c r="AF301" s="214" t="s">
        <v>2308</v>
      </c>
      <c r="AG301" s="262" t="s">
        <v>2985</v>
      </c>
      <c r="AH301" s="344">
        <v>100</v>
      </c>
      <c r="AI301" s="353">
        <v>0</v>
      </c>
      <c r="AJ301" s="395">
        <v>0</v>
      </c>
      <c r="AK301" s="365">
        <v>0</v>
      </c>
      <c r="AL301" s="365">
        <v>0</v>
      </c>
      <c r="AM301" s="365">
        <v>0</v>
      </c>
      <c r="AN301" s="353">
        <v>0</v>
      </c>
      <c r="AO301" s="353">
        <v>0</v>
      </c>
      <c r="AP301" s="348">
        <v>0</v>
      </c>
      <c r="AQ301" s="348">
        <v>0</v>
      </c>
      <c r="AR301" s="348">
        <v>0</v>
      </c>
      <c r="AS301" s="348">
        <v>0</v>
      </c>
      <c r="AT301" s="352">
        <v>1.3111111111111111</v>
      </c>
      <c r="AU301" s="348">
        <v>0</v>
      </c>
      <c r="AV301" s="348">
        <v>0</v>
      </c>
      <c r="AW301" s="348">
        <v>0</v>
      </c>
      <c r="AX301" s="341">
        <v>0</v>
      </c>
      <c r="AY301" s="340">
        <v>68</v>
      </c>
      <c r="AZ301" s="356"/>
      <c r="BA301" s="316" t="s">
        <v>2985</v>
      </c>
      <c r="BB301" s="94" t="s">
        <v>2985</v>
      </c>
      <c r="BC301" s="355" t="s">
        <v>2985</v>
      </c>
      <c r="BD301" s="348" t="s">
        <v>3548</v>
      </c>
      <c r="BE301" s="353">
        <v>55</v>
      </c>
      <c r="BF301" s="348"/>
      <c r="BG301" s="348">
        <v>220</v>
      </c>
      <c r="BH301" s="390">
        <f>(BE301*BG301)/((2*BG301)+(2*BE301))</f>
        <v>22</v>
      </c>
      <c r="BI301" s="303">
        <v>98</v>
      </c>
      <c r="BJ301" s="323">
        <v>1</v>
      </c>
      <c r="BK301" s="307">
        <v>20</v>
      </c>
      <c r="BL301" s="307">
        <v>20</v>
      </c>
      <c r="BM301" s="507" t="s">
        <v>2985</v>
      </c>
      <c r="BN301" s="307">
        <v>99</v>
      </c>
      <c r="BO301" s="259" t="s">
        <v>2985</v>
      </c>
      <c r="BP301" s="350"/>
      <c r="BS301" s="321"/>
    </row>
    <row r="302" spans="1:71" s="322" customFormat="1" ht="18">
      <c r="A302" s="336">
        <v>1601</v>
      </c>
      <c r="B302" s="533" t="s">
        <v>3634</v>
      </c>
      <c r="C302" s="383"/>
      <c r="D302" s="466" t="s">
        <v>3590</v>
      </c>
      <c r="E302" s="469"/>
      <c r="F302" s="303" t="s">
        <v>2158</v>
      </c>
      <c r="G302" s="386" t="s">
        <v>2718</v>
      </c>
      <c r="H302" s="456" t="s">
        <v>119</v>
      </c>
      <c r="I302" s="338" t="s">
        <v>3377</v>
      </c>
      <c r="J302" s="324">
        <v>2002</v>
      </c>
      <c r="K302" s="304">
        <v>353</v>
      </c>
      <c r="L302" s="303" t="s">
        <v>1738</v>
      </c>
      <c r="M302" s="304" t="s">
        <v>1751</v>
      </c>
      <c r="N302" s="448">
        <v>0.3</v>
      </c>
      <c r="O302" s="349">
        <v>0.3</v>
      </c>
      <c r="P302" s="329">
        <v>4</v>
      </c>
      <c r="Q302" s="310">
        <v>4</v>
      </c>
      <c r="R302" s="498">
        <v>125.4414</v>
      </c>
      <c r="S302" s="499">
        <f>R302/O302</f>
        <v>418.13800000000003</v>
      </c>
      <c r="T302" s="499">
        <v>418.13800000000003</v>
      </c>
      <c r="U302" s="499">
        <f t="shared" si="64"/>
        <v>1672.5520000000001</v>
      </c>
      <c r="V302" s="495">
        <v>1061.5730000000001</v>
      </c>
      <c r="W302" s="496">
        <f>U302-V302</f>
        <v>610.97900000000004</v>
      </c>
      <c r="X302" s="313" t="s">
        <v>12</v>
      </c>
      <c r="Y302" s="307" t="s">
        <v>12</v>
      </c>
      <c r="Z302" s="314" t="s">
        <v>2985</v>
      </c>
      <c r="AA302" s="311" t="s">
        <v>1754</v>
      </c>
      <c r="AB302" s="304" t="s">
        <v>523</v>
      </c>
      <c r="AC302" s="518" t="s">
        <v>2315</v>
      </c>
      <c r="AD302" s="507" t="s">
        <v>2310</v>
      </c>
      <c r="AE302" s="314" t="s">
        <v>2985</v>
      </c>
      <c r="AF302" s="317" t="s">
        <v>2985</v>
      </c>
      <c r="AG302" s="262" t="s">
        <v>2985</v>
      </c>
      <c r="AH302" s="344">
        <v>100</v>
      </c>
      <c r="AI302" s="312">
        <v>0</v>
      </c>
      <c r="AJ302" s="394">
        <v>0</v>
      </c>
      <c r="AK302" s="315">
        <v>0</v>
      </c>
      <c r="AL302" s="315">
        <v>0</v>
      </c>
      <c r="AM302" s="315">
        <v>0</v>
      </c>
      <c r="AN302" s="312">
        <v>0</v>
      </c>
      <c r="AO302" s="312">
        <v>0</v>
      </c>
      <c r="AP302" s="307">
        <v>0</v>
      </c>
      <c r="AQ302" s="307">
        <v>0</v>
      </c>
      <c r="AR302" s="307">
        <v>0</v>
      </c>
      <c r="AS302" s="307">
        <v>0</v>
      </c>
      <c r="AT302" s="312">
        <v>0</v>
      </c>
      <c r="AU302" s="307">
        <v>0</v>
      </c>
      <c r="AV302" s="307">
        <v>0</v>
      </c>
      <c r="AW302" s="307">
        <v>0</v>
      </c>
      <c r="AX302" s="304">
        <v>0</v>
      </c>
      <c r="AY302" s="303">
        <v>33</v>
      </c>
      <c r="AZ302" s="311"/>
      <c r="BA302" s="317" t="s">
        <v>2985</v>
      </c>
      <c r="BB302" s="94" t="s">
        <v>2985</v>
      </c>
      <c r="BC302" s="426">
        <v>23</v>
      </c>
      <c r="BD302" s="348" t="s">
        <v>3544</v>
      </c>
      <c r="BE302" s="382">
        <v>100</v>
      </c>
      <c r="BF302" s="307"/>
      <c r="BG302" s="307" t="str">
        <f>RIGHT(BD302,LEN(BD302)-FIND("x",BD302,8))</f>
        <v xml:space="preserve"> 400</v>
      </c>
      <c r="BH302" s="390">
        <v>22.222222222222221</v>
      </c>
      <c r="BI302" s="303">
        <v>40</v>
      </c>
      <c r="BJ302" s="323">
        <v>1</v>
      </c>
      <c r="BK302" s="307">
        <v>20</v>
      </c>
      <c r="BL302" s="307">
        <v>30</v>
      </c>
      <c r="BM302" s="307">
        <v>0</v>
      </c>
      <c r="BN302" s="318">
        <v>56.36121</v>
      </c>
      <c r="BO302" s="259" t="s">
        <v>2985</v>
      </c>
      <c r="BP302" s="325"/>
      <c r="BS302" s="321"/>
    </row>
    <row r="303" spans="1:71" s="322" customFormat="1" ht="18">
      <c r="A303" s="336">
        <v>1602</v>
      </c>
      <c r="B303" s="533" t="s">
        <v>3634</v>
      </c>
      <c r="C303" s="383"/>
      <c r="D303" s="466" t="s">
        <v>3590</v>
      </c>
      <c r="E303" s="469"/>
      <c r="F303" s="303" t="s">
        <v>2159</v>
      </c>
      <c r="G303" s="386" t="s">
        <v>2718</v>
      </c>
      <c r="H303" s="456" t="s">
        <v>119</v>
      </c>
      <c r="I303" s="338" t="s">
        <v>3377</v>
      </c>
      <c r="J303" s="324">
        <v>2002</v>
      </c>
      <c r="K303" s="304">
        <v>353</v>
      </c>
      <c r="L303" s="303" t="s">
        <v>1738</v>
      </c>
      <c r="M303" s="304" t="s">
        <v>1751</v>
      </c>
      <c r="N303" s="448">
        <v>0.3</v>
      </c>
      <c r="O303" s="349">
        <v>0.3</v>
      </c>
      <c r="P303" s="329">
        <v>4</v>
      </c>
      <c r="Q303" s="310">
        <v>4</v>
      </c>
      <c r="R303" s="498">
        <v>125.4414</v>
      </c>
      <c r="S303" s="499">
        <f>R303/O303</f>
        <v>418.13800000000003</v>
      </c>
      <c r="T303" s="499">
        <v>418.13800000000003</v>
      </c>
      <c r="U303" s="499">
        <f t="shared" si="64"/>
        <v>1672.5520000000001</v>
      </c>
      <c r="V303" s="495">
        <v>1061.5730000000001</v>
      </c>
      <c r="W303" s="496">
        <f>U303-V303</f>
        <v>610.97900000000004</v>
      </c>
      <c r="X303" s="313" t="s">
        <v>12</v>
      </c>
      <c r="Y303" s="307" t="s">
        <v>12</v>
      </c>
      <c r="Z303" s="314" t="s">
        <v>2985</v>
      </c>
      <c r="AA303" s="311" t="s">
        <v>1754</v>
      </c>
      <c r="AB303" s="304" t="s">
        <v>523</v>
      </c>
      <c r="AC303" s="518" t="s">
        <v>2315</v>
      </c>
      <c r="AD303" s="507" t="s">
        <v>2310</v>
      </c>
      <c r="AE303" s="314" t="s">
        <v>2985</v>
      </c>
      <c r="AF303" s="317" t="s">
        <v>2985</v>
      </c>
      <c r="AG303" s="262" t="s">
        <v>2985</v>
      </c>
      <c r="AH303" s="344">
        <v>100</v>
      </c>
      <c r="AI303" s="312">
        <v>0</v>
      </c>
      <c r="AJ303" s="394">
        <v>0</v>
      </c>
      <c r="AK303" s="315">
        <v>0</v>
      </c>
      <c r="AL303" s="315">
        <v>0</v>
      </c>
      <c r="AM303" s="315">
        <v>0</v>
      </c>
      <c r="AN303" s="312">
        <v>0</v>
      </c>
      <c r="AO303" s="312">
        <v>0</v>
      </c>
      <c r="AP303" s="307">
        <v>0</v>
      </c>
      <c r="AQ303" s="307">
        <v>0</v>
      </c>
      <c r="AR303" s="307">
        <v>0</v>
      </c>
      <c r="AS303" s="307">
        <v>0</v>
      </c>
      <c r="AT303" s="312">
        <v>0</v>
      </c>
      <c r="AU303" s="307">
        <v>0</v>
      </c>
      <c r="AV303" s="311">
        <v>1</v>
      </c>
      <c r="AW303" s="307">
        <v>0</v>
      </c>
      <c r="AX303" s="304">
        <v>0</v>
      </c>
      <c r="AY303" s="303">
        <v>33</v>
      </c>
      <c r="AZ303" s="311"/>
      <c r="BA303" s="317" t="s">
        <v>2985</v>
      </c>
      <c r="BB303" s="94" t="s">
        <v>2985</v>
      </c>
      <c r="BC303" s="426">
        <v>25.5</v>
      </c>
      <c r="BD303" s="348" t="s">
        <v>3544</v>
      </c>
      <c r="BE303" s="382">
        <v>100</v>
      </c>
      <c r="BF303" s="307"/>
      <c r="BG303" s="307" t="str">
        <f>RIGHT(BD303,LEN(BD303)-FIND("x",BD303,8))</f>
        <v xml:space="preserve"> 400</v>
      </c>
      <c r="BH303" s="390">
        <v>22.222222222222221</v>
      </c>
      <c r="BI303" s="303">
        <v>40</v>
      </c>
      <c r="BJ303" s="323">
        <v>1</v>
      </c>
      <c r="BK303" s="307">
        <v>20</v>
      </c>
      <c r="BL303" s="307">
        <v>30</v>
      </c>
      <c r="BM303" s="307">
        <v>0</v>
      </c>
      <c r="BN303" s="318">
        <v>56.36121</v>
      </c>
      <c r="BO303" s="259" t="s">
        <v>2985</v>
      </c>
      <c r="BP303" s="325" t="s">
        <v>2301</v>
      </c>
      <c r="BS303" s="321"/>
    </row>
    <row r="304" spans="1:71" s="322" customFormat="1">
      <c r="A304" s="336">
        <v>1603</v>
      </c>
      <c r="B304" s="533" t="s">
        <v>3614</v>
      </c>
      <c r="C304" s="383"/>
      <c r="D304" s="466" t="s">
        <v>3590</v>
      </c>
      <c r="E304" s="469"/>
      <c r="F304" s="303" t="s">
        <v>2160</v>
      </c>
      <c r="G304" s="386" t="s">
        <v>2718</v>
      </c>
      <c r="H304" s="456" t="s">
        <v>119</v>
      </c>
      <c r="I304" s="338" t="s">
        <v>3377</v>
      </c>
      <c r="J304" s="324">
        <v>2002</v>
      </c>
      <c r="K304" s="304">
        <v>353</v>
      </c>
      <c r="L304" s="303" t="s">
        <v>1738</v>
      </c>
      <c r="M304" s="304" t="s">
        <v>1751</v>
      </c>
      <c r="N304" s="448">
        <v>0.5</v>
      </c>
      <c r="O304" s="349">
        <v>0.5</v>
      </c>
      <c r="P304" s="329">
        <v>4</v>
      </c>
      <c r="Q304" s="310">
        <v>4</v>
      </c>
      <c r="R304" s="498">
        <v>201.04859999999999</v>
      </c>
      <c r="S304" s="499">
        <f>R304/O304</f>
        <v>402.09719999999999</v>
      </c>
      <c r="T304" s="499">
        <v>402.09719999999999</v>
      </c>
      <c r="U304" s="499">
        <f t="shared" si="64"/>
        <v>1608.3887999999999</v>
      </c>
      <c r="V304" s="495">
        <v>1148.712</v>
      </c>
      <c r="W304" s="496">
        <f>U304-V304</f>
        <v>459.67679999999996</v>
      </c>
      <c r="X304" s="313" t="s">
        <v>12</v>
      </c>
      <c r="Y304" s="307" t="s">
        <v>12</v>
      </c>
      <c r="Z304" s="314" t="s">
        <v>2985</v>
      </c>
      <c r="AA304" s="311" t="s">
        <v>1754</v>
      </c>
      <c r="AB304" s="304" t="s">
        <v>523</v>
      </c>
      <c r="AC304" s="518" t="s">
        <v>2315</v>
      </c>
      <c r="AD304" s="507" t="s">
        <v>2310</v>
      </c>
      <c r="AE304" s="314" t="s">
        <v>2985</v>
      </c>
      <c r="AF304" s="317" t="s">
        <v>2985</v>
      </c>
      <c r="AG304" s="262" t="s">
        <v>2985</v>
      </c>
      <c r="AH304" s="344">
        <v>100</v>
      </c>
      <c r="AI304" s="312">
        <v>0</v>
      </c>
      <c r="AJ304" s="394">
        <v>0</v>
      </c>
      <c r="AK304" s="315">
        <v>0</v>
      </c>
      <c r="AL304" s="315">
        <v>0</v>
      </c>
      <c r="AM304" s="315">
        <v>0</v>
      </c>
      <c r="AN304" s="312">
        <v>0</v>
      </c>
      <c r="AO304" s="312">
        <v>0</v>
      </c>
      <c r="AP304" s="307">
        <v>0</v>
      </c>
      <c r="AQ304" s="307">
        <v>0</v>
      </c>
      <c r="AR304" s="307">
        <v>0</v>
      </c>
      <c r="AS304" s="307">
        <v>0</v>
      </c>
      <c r="AT304" s="312">
        <v>0</v>
      </c>
      <c r="AU304" s="307">
        <v>0</v>
      </c>
      <c r="AV304" s="307">
        <v>0</v>
      </c>
      <c r="AW304" s="307">
        <v>0</v>
      </c>
      <c r="AX304" s="304">
        <v>0</v>
      </c>
      <c r="AY304" s="303">
        <v>33</v>
      </c>
      <c r="AZ304" s="311"/>
      <c r="BA304" s="317" t="s">
        <v>2985</v>
      </c>
      <c r="BB304" s="94" t="s">
        <v>2985</v>
      </c>
      <c r="BC304" s="426">
        <v>23</v>
      </c>
      <c r="BD304" s="348" t="s">
        <v>3544</v>
      </c>
      <c r="BE304" s="382">
        <v>100</v>
      </c>
      <c r="BF304" s="307"/>
      <c r="BG304" s="307" t="str">
        <f>RIGHT(BD304,LEN(BD304)-FIND("x",BD304,8))</f>
        <v xml:space="preserve"> 400</v>
      </c>
      <c r="BH304" s="390">
        <v>22.222222222222221</v>
      </c>
      <c r="BI304" s="303">
        <v>40</v>
      </c>
      <c r="BJ304" s="323">
        <v>1</v>
      </c>
      <c r="BK304" s="307">
        <v>20</v>
      </c>
      <c r="BL304" s="307">
        <v>30</v>
      </c>
      <c r="BM304" s="307">
        <v>0</v>
      </c>
      <c r="BN304" s="318">
        <v>59.861930000000001</v>
      </c>
      <c r="BO304" s="259" t="s">
        <v>2985</v>
      </c>
      <c r="BP304" s="325"/>
      <c r="BS304" s="321"/>
    </row>
    <row r="305" spans="1:71" s="322" customFormat="1">
      <c r="A305" s="336">
        <v>1604</v>
      </c>
      <c r="B305" s="533" t="s">
        <v>3614</v>
      </c>
      <c r="C305" s="383"/>
      <c r="D305" s="466" t="s">
        <v>3590</v>
      </c>
      <c r="E305" s="469"/>
      <c r="F305" s="303" t="s">
        <v>2161</v>
      </c>
      <c r="G305" s="386" t="s">
        <v>2718</v>
      </c>
      <c r="H305" s="456" t="s">
        <v>119</v>
      </c>
      <c r="I305" s="338" t="s">
        <v>3377</v>
      </c>
      <c r="J305" s="324">
        <v>2002</v>
      </c>
      <c r="K305" s="304">
        <v>353</v>
      </c>
      <c r="L305" s="303" t="s">
        <v>1738</v>
      </c>
      <c r="M305" s="304" t="s">
        <v>1751</v>
      </c>
      <c r="N305" s="448">
        <v>0.5</v>
      </c>
      <c r="O305" s="349">
        <v>0.5</v>
      </c>
      <c r="P305" s="329">
        <v>4</v>
      </c>
      <c r="Q305" s="310">
        <v>4</v>
      </c>
      <c r="R305" s="498">
        <v>201.04859999999999</v>
      </c>
      <c r="S305" s="499">
        <f>R305/O305</f>
        <v>402.09719999999999</v>
      </c>
      <c r="T305" s="499">
        <v>402.09719999999999</v>
      </c>
      <c r="U305" s="499">
        <f t="shared" si="64"/>
        <v>1608.3887999999999</v>
      </c>
      <c r="V305" s="495">
        <v>1148.712</v>
      </c>
      <c r="W305" s="496">
        <f>U305-V305</f>
        <v>459.67679999999996</v>
      </c>
      <c r="X305" s="313" t="s">
        <v>12</v>
      </c>
      <c r="Y305" s="307" t="s">
        <v>12</v>
      </c>
      <c r="Z305" s="314" t="s">
        <v>2985</v>
      </c>
      <c r="AA305" s="311" t="s">
        <v>1754</v>
      </c>
      <c r="AB305" s="304" t="s">
        <v>523</v>
      </c>
      <c r="AC305" s="518" t="s">
        <v>2315</v>
      </c>
      <c r="AD305" s="507" t="s">
        <v>2310</v>
      </c>
      <c r="AE305" s="314" t="s">
        <v>2985</v>
      </c>
      <c r="AF305" s="317" t="s">
        <v>2985</v>
      </c>
      <c r="AG305" s="262" t="s">
        <v>2985</v>
      </c>
      <c r="AH305" s="344">
        <v>100</v>
      </c>
      <c r="AI305" s="312">
        <v>0</v>
      </c>
      <c r="AJ305" s="394">
        <v>0</v>
      </c>
      <c r="AK305" s="315">
        <v>0</v>
      </c>
      <c r="AL305" s="315">
        <v>0</v>
      </c>
      <c r="AM305" s="315">
        <v>0</v>
      </c>
      <c r="AN305" s="312">
        <v>0</v>
      </c>
      <c r="AO305" s="312">
        <v>0</v>
      </c>
      <c r="AP305" s="307">
        <v>0</v>
      </c>
      <c r="AQ305" s="307">
        <v>0</v>
      </c>
      <c r="AR305" s="307">
        <v>0</v>
      </c>
      <c r="AS305" s="307">
        <v>0</v>
      </c>
      <c r="AT305" s="312">
        <v>0</v>
      </c>
      <c r="AU305" s="307">
        <v>0</v>
      </c>
      <c r="AV305" s="311">
        <v>1</v>
      </c>
      <c r="AW305" s="307">
        <v>0</v>
      </c>
      <c r="AX305" s="304">
        <v>0</v>
      </c>
      <c r="AY305" s="303">
        <v>33</v>
      </c>
      <c r="AZ305" s="311"/>
      <c r="BA305" s="317" t="s">
        <v>2985</v>
      </c>
      <c r="BB305" s="94" t="s">
        <v>2985</v>
      </c>
      <c r="BC305" s="426">
        <v>25.5</v>
      </c>
      <c r="BD305" s="348" t="s">
        <v>3544</v>
      </c>
      <c r="BE305" s="382">
        <v>100</v>
      </c>
      <c r="BF305" s="307"/>
      <c r="BG305" s="307" t="str">
        <f>RIGHT(BD305,LEN(BD305)-FIND("x",BD305,8))</f>
        <v xml:space="preserve"> 400</v>
      </c>
      <c r="BH305" s="390">
        <v>22.222222222222221</v>
      </c>
      <c r="BI305" s="303">
        <v>40</v>
      </c>
      <c r="BJ305" s="323">
        <v>1</v>
      </c>
      <c r="BK305" s="307">
        <v>20</v>
      </c>
      <c r="BL305" s="307">
        <v>30</v>
      </c>
      <c r="BM305" s="307">
        <v>0</v>
      </c>
      <c r="BN305" s="318">
        <v>59.861930000000001</v>
      </c>
      <c r="BO305" s="259" t="s">
        <v>2985</v>
      </c>
      <c r="BP305" s="325" t="s">
        <v>2301</v>
      </c>
      <c r="BS305" s="321"/>
    </row>
    <row r="306" spans="1:71" s="322" customFormat="1">
      <c r="A306" s="457">
        <v>1605</v>
      </c>
      <c r="B306" s="791" t="s">
        <v>3894</v>
      </c>
      <c r="C306" s="466" t="s">
        <v>3590</v>
      </c>
      <c r="D306" s="466" t="s">
        <v>3590</v>
      </c>
      <c r="E306" s="469"/>
      <c r="F306" s="303" t="s">
        <v>2162</v>
      </c>
      <c r="G306" s="386" t="s">
        <v>2718</v>
      </c>
      <c r="H306" s="454" t="s">
        <v>119</v>
      </c>
      <c r="I306" s="338" t="s">
        <v>3377</v>
      </c>
      <c r="J306" s="361">
        <v>1998</v>
      </c>
      <c r="K306" s="341">
        <v>354</v>
      </c>
      <c r="L306" s="340" t="s">
        <v>1738</v>
      </c>
      <c r="M306" s="341" t="s">
        <v>1739</v>
      </c>
      <c r="N306" s="446">
        <f t="shared" ref="N306:N337" si="65">R306/T306</f>
        <v>0.3</v>
      </c>
      <c r="O306" s="349">
        <v>0.3</v>
      </c>
      <c r="P306" s="329">
        <v>3.04</v>
      </c>
      <c r="Q306" s="310">
        <f t="shared" ref="Q306:Q337" si="66">U306/T306</f>
        <v>3.04</v>
      </c>
      <c r="R306" s="377">
        <f t="shared" ref="R306:R337" si="67">O306*S306</f>
        <v>145.4895217624933</v>
      </c>
      <c r="S306" s="312">
        <v>484.9650725416443</v>
      </c>
      <c r="T306" s="377">
        <f t="shared" ref="T306:T337" si="68">(((SUM(AI306:AR306)/100)*(S306))+S306)</f>
        <v>484.9650725416443</v>
      </c>
      <c r="U306" s="377">
        <f t="shared" si="64"/>
        <v>1474.2938205265987</v>
      </c>
      <c r="V306" s="408" t="s">
        <v>2985</v>
      </c>
      <c r="W306" s="408" t="s">
        <v>2985</v>
      </c>
      <c r="X306" s="313" t="s">
        <v>12</v>
      </c>
      <c r="Y306" s="307" t="s">
        <v>12</v>
      </c>
      <c r="Z306" s="314" t="s">
        <v>2985</v>
      </c>
      <c r="AA306" s="311" t="s">
        <v>1754</v>
      </c>
      <c r="AB306" s="341" t="s">
        <v>523</v>
      </c>
      <c r="AC306" s="161" t="s">
        <v>2985</v>
      </c>
      <c r="AD306" s="507" t="s">
        <v>2312</v>
      </c>
      <c r="AE306" s="214" t="s">
        <v>2319</v>
      </c>
      <c r="AF306" s="348" t="s">
        <v>2308</v>
      </c>
      <c r="AG306" s="262" t="s">
        <v>2985</v>
      </c>
      <c r="AH306" s="344">
        <v>100</v>
      </c>
      <c r="AI306" s="353">
        <v>0</v>
      </c>
      <c r="AJ306" s="395">
        <v>0</v>
      </c>
      <c r="AK306" s="365">
        <v>0</v>
      </c>
      <c r="AL306" s="365">
        <v>0</v>
      </c>
      <c r="AM306" s="365">
        <v>0</v>
      </c>
      <c r="AN306" s="353">
        <v>0</v>
      </c>
      <c r="AO306" s="353">
        <v>0</v>
      </c>
      <c r="AP306" s="348">
        <v>0</v>
      </c>
      <c r="AQ306" s="348">
        <v>0</v>
      </c>
      <c r="AR306" s="348">
        <v>0</v>
      </c>
      <c r="AS306" s="348">
        <v>0</v>
      </c>
      <c r="AT306" s="353">
        <v>0</v>
      </c>
      <c r="AU306" s="402">
        <v>1.2500000000000001E-2</v>
      </c>
      <c r="AV306" s="348">
        <v>0</v>
      </c>
      <c r="AW306" s="348">
        <v>0</v>
      </c>
      <c r="AX306" s="341">
        <v>0</v>
      </c>
      <c r="AY306" s="340">
        <v>63.3</v>
      </c>
      <c r="AZ306" s="356">
        <v>44.31</v>
      </c>
      <c r="BA306" s="316" t="s">
        <v>2985</v>
      </c>
      <c r="BB306" s="94" t="s">
        <v>2985</v>
      </c>
      <c r="BC306" s="425">
        <v>34.5</v>
      </c>
      <c r="BD306" s="348" t="s">
        <v>3544</v>
      </c>
      <c r="BE306" s="353">
        <v>100</v>
      </c>
      <c r="BF306" s="348"/>
      <c r="BG306" s="348">
        <v>400</v>
      </c>
      <c r="BH306" s="390">
        <f>IF(ISBLANK(BF306),(BE306*BG306)/((4*BG306)+(2*BE306)),BE306*BF306*BG306/2/(BE306*BF306+BE306*BG306+BF306*BG306))</f>
        <v>22.222222222222221</v>
      </c>
      <c r="BI306" s="303">
        <v>99</v>
      </c>
      <c r="BJ306" s="431">
        <v>1</v>
      </c>
      <c r="BK306" s="307">
        <v>30</v>
      </c>
      <c r="BL306" s="307">
        <v>30</v>
      </c>
      <c r="BM306" s="507" t="s">
        <v>2985</v>
      </c>
      <c r="BN306" s="307">
        <v>99</v>
      </c>
      <c r="BO306" s="259" t="s">
        <v>2985</v>
      </c>
      <c r="BP306" s="350"/>
      <c r="BS306" s="321"/>
    </row>
    <row r="307" spans="1:71" s="322" customFormat="1">
      <c r="A307" s="336">
        <v>1606</v>
      </c>
      <c r="B307" s="534" t="s">
        <v>3609</v>
      </c>
      <c r="C307" s="466" t="s">
        <v>3590</v>
      </c>
      <c r="D307" s="466" t="s">
        <v>3590</v>
      </c>
      <c r="E307" s="469"/>
      <c r="F307" s="303" t="s">
        <v>2163</v>
      </c>
      <c r="G307" s="386" t="s">
        <v>2718</v>
      </c>
      <c r="H307" s="456" t="s">
        <v>119</v>
      </c>
      <c r="I307" s="338" t="s">
        <v>3377</v>
      </c>
      <c r="J307" s="324">
        <v>1998</v>
      </c>
      <c r="K307" s="304">
        <v>354</v>
      </c>
      <c r="L307" s="303" t="s">
        <v>1738</v>
      </c>
      <c r="M307" s="304" t="s">
        <v>1751</v>
      </c>
      <c r="N307" s="446">
        <f t="shared" si="65"/>
        <v>0.3</v>
      </c>
      <c r="O307" s="349">
        <v>0.3</v>
      </c>
      <c r="P307" s="329">
        <v>3.04</v>
      </c>
      <c r="Q307" s="310">
        <f t="shared" si="66"/>
        <v>3.04</v>
      </c>
      <c r="R307" s="377">
        <f t="shared" si="67"/>
        <v>145.4895217624933</v>
      </c>
      <c r="S307" s="312">
        <v>484.9650725416443</v>
      </c>
      <c r="T307" s="377">
        <f t="shared" si="68"/>
        <v>484.9650725416443</v>
      </c>
      <c r="U307" s="377">
        <f t="shared" si="64"/>
        <v>1474.2938205265987</v>
      </c>
      <c r="V307" s="495">
        <v>1075.193</v>
      </c>
      <c r="W307" s="496">
        <f>U307-V307</f>
        <v>399.10082052659868</v>
      </c>
      <c r="X307" s="313" t="s">
        <v>12</v>
      </c>
      <c r="Y307" s="307" t="s">
        <v>12</v>
      </c>
      <c r="Z307" s="311" t="s">
        <v>3618</v>
      </c>
      <c r="AA307" s="311" t="s">
        <v>1754</v>
      </c>
      <c r="AB307" s="304" t="s">
        <v>523</v>
      </c>
      <c r="AC307" s="518" t="s">
        <v>2315</v>
      </c>
      <c r="AD307" s="507" t="s">
        <v>2310</v>
      </c>
      <c r="AE307" s="239" t="s">
        <v>2319</v>
      </c>
      <c r="AF307" s="307" t="s">
        <v>2308</v>
      </c>
      <c r="AG307" s="262" t="s">
        <v>2985</v>
      </c>
      <c r="AH307" s="344">
        <v>100</v>
      </c>
      <c r="AI307" s="312">
        <v>0</v>
      </c>
      <c r="AJ307" s="394">
        <v>0</v>
      </c>
      <c r="AK307" s="315">
        <v>0</v>
      </c>
      <c r="AL307" s="315">
        <v>0</v>
      </c>
      <c r="AM307" s="315">
        <v>0</v>
      </c>
      <c r="AN307" s="312">
        <v>0</v>
      </c>
      <c r="AO307" s="312">
        <v>0</v>
      </c>
      <c r="AP307" s="307">
        <v>0</v>
      </c>
      <c r="AQ307" s="307">
        <v>0</v>
      </c>
      <c r="AR307" s="307">
        <v>0</v>
      </c>
      <c r="AS307" s="307">
        <v>0</v>
      </c>
      <c r="AT307" s="312">
        <v>0</v>
      </c>
      <c r="AU307" s="403">
        <v>1.2500000000000001E-2</v>
      </c>
      <c r="AV307" s="307">
        <v>0</v>
      </c>
      <c r="AW307" s="307">
        <v>0</v>
      </c>
      <c r="AX307" s="304">
        <v>0</v>
      </c>
      <c r="AY307" s="303">
        <v>63.3</v>
      </c>
      <c r="AZ307" s="311">
        <v>44.309999999999995</v>
      </c>
      <c r="BA307" s="317" t="s">
        <v>2985</v>
      </c>
      <c r="BB307" s="94" t="s">
        <v>2985</v>
      </c>
      <c r="BC307" s="426">
        <v>34.5</v>
      </c>
      <c r="BD307" s="348" t="s">
        <v>3544</v>
      </c>
      <c r="BE307" s="312">
        <v>100</v>
      </c>
      <c r="BF307" s="307"/>
      <c r="BG307" s="307">
        <v>400</v>
      </c>
      <c r="BH307" s="390">
        <v>22.222222222222221</v>
      </c>
      <c r="BI307" s="303">
        <v>99</v>
      </c>
      <c r="BJ307" s="307">
        <v>1</v>
      </c>
      <c r="BK307" s="307">
        <v>30</v>
      </c>
      <c r="BL307" s="307">
        <v>30</v>
      </c>
      <c r="BM307" s="317" t="s">
        <v>2985</v>
      </c>
      <c r="BN307" s="307">
        <v>40</v>
      </c>
      <c r="BO307" s="385" t="s">
        <v>2985</v>
      </c>
      <c r="BP307" s="325"/>
      <c r="BS307" s="321"/>
    </row>
    <row r="308" spans="1:71" s="322" customFormat="1" ht="18">
      <c r="A308" s="457">
        <v>1607</v>
      </c>
      <c r="B308" s="533" t="s">
        <v>3634</v>
      </c>
      <c r="C308" s="466" t="s">
        <v>3590</v>
      </c>
      <c r="D308" s="466" t="s">
        <v>3590</v>
      </c>
      <c r="E308" s="469"/>
      <c r="F308" s="303" t="s">
        <v>2164</v>
      </c>
      <c r="G308" s="386" t="s">
        <v>2718</v>
      </c>
      <c r="H308" s="454" t="s">
        <v>119</v>
      </c>
      <c r="I308" s="338" t="s">
        <v>3377</v>
      </c>
      <c r="J308" s="361">
        <v>1998</v>
      </c>
      <c r="K308" s="341">
        <v>354</v>
      </c>
      <c r="L308" s="340" t="s">
        <v>1738</v>
      </c>
      <c r="M308" s="341" t="s">
        <v>1739</v>
      </c>
      <c r="N308" s="446">
        <f t="shared" si="65"/>
        <v>0.4</v>
      </c>
      <c r="O308" s="349">
        <v>0.4</v>
      </c>
      <c r="P308" s="329">
        <v>3.54</v>
      </c>
      <c r="Q308" s="310">
        <f t="shared" si="66"/>
        <v>3.54</v>
      </c>
      <c r="R308" s="377">
        <f t="shared" si="67"/>
        <v>169.01123595505621</v>
      </c>
      <c r="S308" s="312">
        <v>422.52808988764048</v>
      </c>
      <c r="T308" s="377">
        <f t="shared" si="68"/>
        <v>422.52808988764048</v>
      </c>
      <c r="U308" s="377">
        <f t="shared" si="64"/>
        <v>1495.7494382022473</v>
      </c>
      <c r="V308" s="408" t="s">
        <v>2985</v>
      </c>
      <c r="W308" s="408" t="s">
        <v>2985</v>
      </c>
      <c r="X308" s="313" t="s">
        <v>12</v>
      </c>
      <c r="Y308" s="307" t="s">
        <v>12</v>
      </c>
      <c r="Z308" s="314" t="s">
        <v>2985</v>
      </c>
      <c r="AA308" s="311" t="s">
        <v>1754</v>
      </c>
      <c r="AB308" s="341" t="s">
        <v>523</v>
      </c>
      <c r="AC308" s="161" t="s">
        <v>2985</v>
      </c>
      <c r="AD308" s="507" t="s">
        <v>2312</v>
      </c>
      <c r="AE308" s="214" t="s">
        <v>2319</v>
      </c>
      <c r="AF308" s="348" t="s">
        <v>2308</v>
      </c>
      <c r="AG308" s="262" t="s">
        <v>2985</v>
      </c>
      <c r="AH308" s="344">
        <v>100</v>
      </c>
      <c r="AI308" s="353">
        <v>0</v>
      </c>
      <c r="AJ308" s="395">
        <v>0</v>
      </c>
      <c r="AK308" s="365">
        <v>0</v>
      </c>
      <c r="AL308" s="365">
        <v>0</v>
      </c>
      <c r="AM308" s="365">
        <v>0</v>
      </c>
      <c r="AN308" s="353">
        <v>0</v>
      </c>
      <c r="AO308" s="353">
        <v>0</v>
      </c>
      <c r="AP308" s="348">
        <v>0</v>
      </c>
      <c r="AQ308" s="348">
        <v>0</v>
      </c>
      <c r="AR308" s="348">
        <v>0</v>
      </c>
      <c r="AS308" s="348">
        <v>0</v>
      </c>
      <c r="AT308" s="353">
        <v>0</v>
      </c>
      <c r="AU308" s="348">
        <v>0</v>
      </c>
      <c r="AV308" s="348">
        <v>0</v>
      </c>
      <c r="AW308" s="348">
        <v>0</v>
      </c>
      <c r="AX308" s="341">
        <v>0</v>
      </c>
      <c r="AY308" s="340">
        <v>45.2</v>
      </c>
      <c r="AZ308" s="348"/>
      <c r="BA308" s="316" t="s">
        <v>2985</v>
      </c>
      <c r="BB308" s="94" t="s">
        <v>2985</v>
      </c>
      <c r="BC308" s="425">
        <v>32.1</v>
      </c>
      <c r="BD308" s="348" t="s">
        <v>3544</v>
      </c>
      <c r="BE308" s="353">
        <v>100</v>
      </c>
      <c r="BF308" s="348"/>
      <c r="BG308" s="348">
        <v>400</v>
      </c>
      <c r="BH308" s="390">
        <f>IF(ISBLANK(BF308),(BE308*BG308)/((4*BG308)+(2*BE308)),BE308*BF308*BG308/2/(BE308*BF308+BE308*BG308+BF308*BG308))</f>
        <v>22.222222222222221</v>
      </c>
      <c r="BI308" s="303">
        <v>99</v>
      </c>
      <c r="BJ308" s="307">
        <v>1</v>
      </c>
      <c r="BK308" s="307">
        <v>30</v>
      </c>
      <c r="BL308" s="307">
        <v>30</v>
      </c>
      <c r="BM308" s="507" t="s">
        <v>2985</v>
      </c>
      <c r="BN308" s="307">
        <v>99</v>
      </c>
      <c r="BO308" s="385" t="s">
        <v>2985</v>
      </c>
      <c r="BP308" s="350"/>
      <c r="BS308" s="321"/>
    </row>
    <row r="309" spans="1:71" s="322" customFormat="1" ht="18">
      <c r="A309" s="457">
        <v>1608</v>
      </c>
      <c r="B309" s="533" t="s">
        <v>3634</v>
      </c>
      <c r="C309" s="466" t="s">
        <v>3590</v>
      </c>
      <c r="D309" s="466" t="s">
        <v>3590</v>
      </c>
      <c r="E309" s="469"/>
      <c r="F309" s="303" t="s">
        <v>2165</v>
      </c>
      <c r="G309" s="386" t="s">
        <v>2718</v>
      </c>
      <c r="H309" s="454" t="s">
        <v>119</v>
      </c>
      <c r="I309" s="338" t="s">
        <v>3377</v>
      </c>
      <c r="J309" s="361">
        <v>1998</v>
      </c>
      <c r="K309" s="341">
        <v>354</v>
      </c>
      <c r="L309" s="340" t="s">
        <v>1738</v>
      </c>
      <c r="M309" s="341" t="s">
        <v>1739</v>
      </c>
      <c r="N309" s="446">
        <f t="shared" si="65"/>
        <v>0.4</v>
      </c>
      <c r="O309" s="349">
        <v>0.4</v>
      </c>
      <c r="P309" s="329">
        <v>3.54</v>
      </c>
      <c r="Q309" s="310">
        <f t="shared" si="66"/>
        <v>3.54</v>
      </c>
      <c r="R309" s="377">
        <f t="shared" si="67"/>
        <v>169.01123595505621</v>
      </c>
      <c r="S309" s="312">
        <v>422.52808988764048</v>
      </c>
      <c r="T309" s="377">
        <f t="shared" si="68"/>
        <v>422.52808988764048</v>
      </c>
      <c r="U309" s="377">
        <f t="shared" si="64"/>
        <v>1495.7494382022473</v>
      </c>
      <c r="V309" s="408" t="s">
        <v>2985</v>
      </c>
      <c r="W309" s="408" t="s">
        <v>2985</v>
      </c>
      <c r="X309" s="313" t="s">
        <v>12</v>
      </c>
      <c r="Y309" s="307" t="s">
        <v>12</v>
      </c>
      <c r="Z309" s="314" t="s">
        <v>2985</v>
      </c>
      <c r="AA309" s="311" t="s">
        <v>1754</v>
      </c>
      <c r="AB309" s="341" t="s">
        <v>523</v>
      </c>
      <c r="AC309" s="161" t="s">
        <v>2985</v>
      </c>
      <c r="AD309" s="507" t="s">
        <v>2312</v>
      </c>
      <c r="AE309" s="214" t="s">
        <v>2319</v>
      </c>
      <c r="AF309" s="348" t="s">
        <v>2308</v>
      </c>
      <c r="AG309" s="262" t="s">
        <v>2985</v>
      </c>
      <c r="AH309" s="344">
        <v>100</v>
      </c>
      <c r="AI309" s="353">
        <v>0</v>
      </c>
      <c r="AJ309" s="395">
        <v>0</v>
      </c>
      <c r="AK309" s="365">
        <v>0</v>
      </c>
      <c r="AL309" s="365">
        <v>0</v>
      </c>
      <c r="AM309" s="365">
        <v>0</v>
      </c>
      <c r="AN309" s="353">
        <v>0</v>
      </c>
      <c r="AO309" s="353">
        <v>0</v>
      </c>
      <c r="AP309" s="348">
        <v>0</v>
      </c>
      <c r="AQ309" s="348">
        <v>0</v>
      </c>
      <c r="AR309" s="348">
        <v>0</v>
      </c>
      <c r="AS309" s="348">
        <v>0</v>
      </c>
      <c r="AT309" s="353">
        <v>0</v>
      </c>
      <c r="AU309" s="348">
        <v>0</v>
      </c>
      <c r="AV309" s="356">
        <v>2</v>
      </c>
      <c r="AW309" s="348">
        <v>0</v>
      </c>
      <c r="AX309" s="341">
        <v>0</v>
      </c>
      <c r="AY309" s="340">
        <v>44.5</v>
      </c>
      <c r="AZ309" s="348"/>
      <c r="BA309" s="316" t="s">
        <v>2985</v>
      </c>
      <c r="BB309" s="94" t="s">
        <v>2985</v>
      </c>
      <c r="BC309" s="425">
        <v>30.7</v>
      </c>
      <c r="BD309" s="348" t="s">
        <v>3544</v>
      </c>
      <c r="BE309" s="353">
        <v>100</v>
      </c>
      <c r="BF309" s="348"/>
      <c r="BG309" s="348">
        <v>400</v>
      </c>
      <c r="BH309" s="390">
        <f>IF(ISBLANK(BF309),(BE309*BG309)/((4*BG309)+(2*BE309)),BE309*BF309*BG309/2/(BE309*BF309+BE309*BG309+BF309*BG309))</f>
        <v>22.222222222222221</v>
      </c>
      <c r="BI309" s="303">
        <v>99</v>
      </c>
      <c r="BJ309" s="305">
        <v>1</v>
      </c>
      <c r="BK309" s="307">
        <v>30</v>
      </c>
      <c r="BL309" s="307">
        <v>30</v>
      </c>
      <c r="BM309" s="507" t="s">
        <v>2985</v>
      </c>
      <c r="BN309" s="307">
        <v>99</v>
      </c>
      <c r="BO309" s="259" t="s">
        <v>2985</v>
      </c>
      <c r="BP309" s="350"/>
      <c r="BS309" s="321"/>
    </row>
    <row r="310" spans="1:71" s="322" customFormat="1">
      <c r="A310" s="457">
        <v>1609</v>
      </c>
      <c r="B310" s="533" t="s">
        <v>3614</v>
      </c>
      <c r="C310" s="466" t="s">
        <v>3590</v>
      </c>
      <c r="D310" s="466" t="s">
        <v>3590</v>
      </c>
      <c r="E310" s="469"/>
      <c r="F310" s="303" t="s">
        <v>2166</v>
      </c>
      <c r="G310" s="386" t="s">
        <v>2718</v>
      </c>
      <c r="H310" s="454" t="s">
        <v>119</v>
      </c>
      <c r="I310" s="338" t="s">
        <v>3377</v>
      </c>
      <c r="J310" s="361">
        <v>1998</v>
      </c>
      <c r="K310" s="341">
        <v>354</v>
      </c>
      <c r="L310" s="340" t="s">
        <v>1738</v>
      </c>
      <c r="M310" s="341" t="s">
        <v>1739</v>
      </c>
      <c r="N310" s="446">
        <f t="shared" si="65"/>
        <v>0.5</v>
      </c>
      <c r="O310" s="307">
        <v>0.5</v>
      </c>
      <c r="P310" s="308">
        <v>4</v>
      </c>
      <c r="Q310" s="310">
        <f t="shared" si="66"/>
        <v>4</v>
      </c>
      <c r="R310" s="377">
        <f t="shared" si="67"/>
        <v>188.02500000000001</v>
      </c>
      <c r="S310" s="307">
        <v>376.05</v>
      </c>
      <c r="T310" s="377">
        <f t="shared" si="68"/>
        <v>376.05</v>
      </c>
      <c r="U310" s="377">
        <f t="shared" si="64"/>
        <v>1504.2</v>
      </c>
      <c r="V310" s="408" t="s">
        <v>2985</v>
      </c>
      <c r="W310" s="408" t="s">
        <v>2985</v>
      </c>
      <c r="X310" s="303" t="s">
        <v>12</v>
      </c>
      <c r="Y310" s="307" t="s">
        <v>12</v>
      </c>
      <c r="Z310" s="317" t="s">
        <v>2985</v>
      </c>
      <c r="AA310" s="311" t="s">
        <v>1754</v>
      </c>
      <c r="AB310" s="304" t="s">
        <v>523</v>
      </c>
      <c r="AC310" s="441" t="s">
        <v>2985</v>
      </c>
      <c r="AD310" s="515" t="s">
        <v>2985</v>
      </c>
      <c r="AE310" s="348" t="s">
        <v>2319</v>
      </c>
      <c r="AF310" s="348" t="s">
        <v>2308</v>
      </c>
      <c r="AG310" s="262" t="s">
        <v>2985</v>
      </c>
      <c r="AH310" s="351">
        <v>100</v>
      </c>
      <c r="AI310" s="348">
        <v>0</v>
      </c>
      <c r="AJ310" s="348">
        <v>0</v>
      </c>
      <c r="AK310" s="348">
        <v>0</v>
      </c>
      <c r="AL310" s="348">
        <v>0</v>
      </c>
      <c r="AM310" s="348">
        <v>0</v>
      </c>
      <c r="AN310" s="348">
        <v>0</v>
      </c>
      <c r="AO310" s="348">
        <v>0</v>
      </c>
      <c r="AP310" s="307">
        <v>0</v>
      </c>
      <c r="AQ310" s="348">
        <v>0</v>
      </c>
      <c r="AR310" s="348">
        <v>0</v>
      </c>
      <c r="AS310" s="365">
        <v>0</v>
      </c>
      <c r="AT310" s="365">
        <v>0</v>
      </c>
      <c r="AU310" s="365">
        <v>0</v>
      </c>
      <c r="AV310" s="365">
        <v>0</v>
      </c>
      <c r="AW310" s="348">
        <v>0</v>
      </c>
      <c r="AX310" s="341">
        <v>0</v>
      </c>
      <c r="AY310" s="340">
        <v>35.9</v>
      </c>
      <c r="AZ310" s="348"/>
      <c r="BA310" s="316" t="s">
        <v>2985</v>
      </c>
      <c r="BB310" s="94" t="s">
        <v>2985</v>
      </c>
      <c r="BC310" s="355" t="s">
        <v>2985</v>
      </c>
      <c r="BD310" s="348" t="s">
        <v>3544</v>
      </c>
      <c r="BE310" s="348">
        <v>100</v>
      </c>
      <c r="BF310" s="348"/>
      <c r="BG310" s="348">
        <v>400</v>
      </c>
      <c r="BH310" s="427">
        <v>22.222222222222221</v>
      </c>
      <c r="BI310" s="303">
        <v>99</v>
      </c>
      <c r="BJ310" s="323">
        <v>1</v>
      </c>
      <c r="BK310" s="312">
        <v>30</v>
      </c>
      <c r="BL310" s="307">
        <v>30</v>
      </c>
      <c r="BM310" s="318" t="s">
        <v>2985</v>
      </c>
      <c r="BN310" s="307">
        <v>99</v>
      </c>
      <c r="BO310" s="432" t="s">
        <v>2985</v>
      </c>
      <c r="BP310" s="343"/>
      <c r="BS310" s="321"/>
    </row>
    <row r="311" spans="1:71" s="322" customFormat="1">
      <c r="A311" s="457">
        <v>1610</v>
      </c>
      <c r="B311" s="533" t="s">
        <v>3614</v>
      </c>
      <c r="C311" s="466" t="s">
        <v>3590</v>
      </c>
      <c r="D311" s="466" t="s">
        <v>3590</v>
      </c>
      <c r="E311" s="469"/>
      <c r="F311" s="303" t="s">
        <v>2167</v>
      </c>
      <c r="G311" s="386" t="s">
        <v>2718</v>
      </c>
      <c r="H311" s="454" t="s">
        <v>119</v>
      </c>
      <c r="I311" s="338" t="s">
        <v>3377</v>
      </c>
      <c r="J311" s="361">
        <v>1998</v>
      </c>
      <c r="K311" s="341">
        <v>354</v>
      </c>
      <c r="L311" s="340" t="s">
        <v>1738</v>
      </c>
      <c r="M311" s="341" t="s">
        <v>1739</v>
      </c>
      <c r="N311" s="446">
        <f t="shared" si="65"/>
        <v>0.47499999999999998</v>
      </c>
      <c r="O311" s="307">
        <v>0.47499999999999998</v>
      </c>
      <c r="P311" s="308">
        <v>4</v>
      </c>
      <c r="Q311" s="310">
        <f t="shared" si="66"/>
        <v>4</v>
      </c>
      <c r="R311" s="377">
        <f t="shared" si="67"/>
        <v>178.62375</v>
      </c>
      <c r="S311" s="307">
        <v>376.05</v>
      </c>
      <c r="T311" s="377">
        <f t="shared" si="68"/>
        <v>376.05</v>
      </c>
      <c r="U311" s="377">
        <f t="shared" si="64"/>
        <v>1504.2</v>
      </c>
      <c r="V311" s="408" t="s">
        <v>2985</v>
      </c>
      <c r="W311" s="408" t="s">
        <v>2985</v>
      </c>
      <c r="X311" s="303" t="s">
        <v>12</v>
      </c>
      <c r="Y311" s="307" t="s">
        <v>12</v>
      </c>
      <c r="Z311" s="317" t="s">
        <v>2985</v>
      </c>
      <c r="AA311" s="311" t="s">
        <v>1754</v>
      </c>
      <c r="AB311" s="304" t="s">
        <v>523</v>
      </c>
      <c r="AC311" s="441" t="s">
        <v>2985</v>
      </c>
      <c r="AD311" s="515" t="s">
        <v>2985</v>
      </c>
      <c r="AE311" s="348" t="s">
        <v>2319</v>
      </c>
      <c r="AF311" s="348" t="s">
        <v>2308</v>
      </c>
      <c r="AG311" s="262" t="s">
        <v>2985</v>
      </c>
      <c r="AH311" s="351">
        <v>100</v>
      </c>
      <c r="AI311" s="348">
        <v>0</v>
      </c>
      <c r="AJ311" s="348">
        <v>0</v>
      </c>
      <c r="AK311" s="348">
        <v>0</v>
      </c>
      <c r="AL311" s="348">
        <v>0</v>
      </c>
      <c r="AM311" s="348">
        <v>0</v>
      </c>
      <c r="AN311" s="348">
        <v>0</v>
      </c>
      <c r="AO311" s="348">
        <v>0</v>
      </c>
      <c r="AP311" s="307">
        <v>0</v>
      </c>
      <c r="AQ311" s="348">
        <v>0</v>
      </c>
      <c r="AR311" s="348">
        <v>0</v>
      </c>
      <c r="AS311" s="365">
        <v>0</v>
      </c>
      <c r="AT311" s="365">
        <v>0</v>
      </c>
      <c r="AU311" s="365">
        <v>0</v>
      </c>
      <c r="AV311" s="356">
        <v>2.5</v>
      </c>
      <c r="AW311" s="348">
        <v>0</v>
      </c>
      <c r="AX311" s="341">
        <v>0</v>
      </c>
      <c r="AY311" s="340">
        <v>35.700000000000003</v>
      </c>
      <c r="AZ311" s="348"/>
      <c r="BA311" s="316" t="s">
        <v>2985</v>
      </c>
      <c r="BB311" s="94" t="s">
        <v>2985</v>
      </c>
      <c r="BC311" s="355" t="s">
        <v>2985</v>
      </c>
      <c r="BD311" s="348" t="s">
        <v>3544</v>
      </c>
      <c r="BE311" s="348">
        <v>100</v>
      </c>
      <c r="BF311" s="348"/>
      <c r="BG311" s="348">
        <v>400</v>
      </c>
      <c r="BH311" s="427">
        <v>22.222222222222221</v>
      </c>
      <c r="BI311" s="303">
        <v>99</v>
      </c>
      <c r="BJ311" s="323">
        <v>1</v>
      </c>
      <c r="BK311" s="312">
        <v>30</v>
      </c>
      <c r="BL311" s="307">
        <v>30</v>
      </c>
      <c r="BM311" s="318" t="s">
        <v>2985</v>
      </c>
      <c r="BN311" s="307">
        <v>99</v>
      </c>
      <c r="BO311" s="432" t="s">
        <v>2985</v>
      </c>
      <c r="BP311" s="343"/>
      <c r="BS311" s="321"/>
    </row>
    <row r="312" spans="1:71" s="322" customFormat="1">
      <c r="A312" s="457">
        <v>1611</v>
      </c>
      <c r="B312" s="534" t="s">
        <v>3603</v>
      </c>
      <c r="C312" s="466" t="s">
        <v>3590</v>
      </c>
      <c r="D312" s="466" t="s">
        <v>3590</v>
      </c>
      <c r="E312" s="469"/>
      <c r="F312" s="303" t="s">
        <v>2168</v>
      </c>
      <c r="G312" s="386" t="s">
        <v>2718</v>
      </c>
      <c r="H312" s="454" t="s">
        <v>119</v>
      </c>
      <c r="I312" s="338" t="s">
        <v>3377</v>
      </c>
      <c r="J312" s="361">
        <v>1998</v>
      </c>
      <c r="K312" s="341">
        <v>354</v>
      </c>
      <c r="L312" s="340" t="s">
        <v>1738</v>
      </c>
      <c r="M312" s="341" t="s">
        <v>1739</v>
      </c>
      <c r="N312" s="446">
        <f t="shared" si="65"/>
        <v>0.3</v>
      </c>
      <c r="O312" s="349">
        <v>0.3</v>
      </c>
      <c r="P312" s="329">
        <v>3.04</v>
      </c>
      <c r="Q312" s="310">
        <f t="shared" si="66"/>
        <v>3.04</v>
      </c>
      <c r="R312" s="377">
        <f t="shared" si="67"/>
        <v>145.4895217624933</v>
      </c>
      <c r="S312" s="312">
        <v>484.9650725416443</v>
      </c>
      <c r="T312" s="377">
        <f t="shared" si="68"/>
        <v>484.9650725416443</v>
      </c>
      <c r="U312" s="377">
        <f t="shared" si="64"/>
        <v>1474.2938205265987</v>
      </c>
      <c r="V312" s="408" t="s">
        <v>2985</v>
      </c>
      <c r="W312" s="408" t="s">
        <v>2985</v>
      </c>
      <c r="X312" s="313" t="s">
        <v>12</v>
      </c>
      <c r="Y312" s="307" t="s">
        <v>12</v>
      </c>
      <c r="Z312" s="314" t="s">
        <v>2985</v>
      </c>
      <c r="AA312" s="311" t="s">
        <v>1754</v>
      </c>
      <c r="AB312" s="341" t="s">
        <v>523</v>
      </c>
      <c r="AC312" s="161" t="s">
        <v>2985</v>
      </c>
      <c r="AD312" s="507" t="s">
        <v>2312</v>
      </c>
      <c r="AE312" s="214" t="s">
        <v>2319</v>
      </c>
      <c r="AF312" s="348" t="s">
        <v>2308</v>
      </c>
      <c r="AG312" s="262" t="s">
        <v>2985</v>
      </c>
      <c r="AH312" s="344">
        <v>100</v>
      </c>
      <c r="AI312" s="353">
        <v>0</v>
      </c>
      <c r="AJ312" s="395">
        <v>0</v>
      </c>
      <c r="AK312" s="365">
        <v>0</v>
      </c>
      <c r="AL312" s="365">
        <v>0</v>
      </c>
      <c r="AM312" s="365">
        <v>0</v>
      </c>
      <c r="AN312" s="353">
        <v>0</v>
      </c>
      <c r="AO312" s="353">
        <v>0</v>
      </c>
      <c r="AP312" s="348">
        <v>0</v>
      </c>
      <c r="AQ312" s="348">
        <v>0</v>
      </c>
      <c r="AR312" s="348">
        <v>0</v>
      </c>
      <c r="AS312" s="348">
        <v>0</v>
      </c>
      <c r="AT312" s="353">
        <v>0</v>
      </c>
      <c r="AU312" s="402">
        <v>1.2500000000000001E-2</v>
      </c>
      <c r="AV312" s="348">
        <v>0</v>
      </c>
      <c r="AW312" s="348">
        <v>0</v>
      </c>
      <c r="AX312" s="341">
        <v>0</v>
      </c>
      <c r="AY312" s="340">
        <v>63.3</v>
      </c>
      <c r="AZ312" s="356"/>
      <c r="BA312" s="316" t="s">
        <v>2985</v>
      </c>
      <c r="BB312" s="94" t="s">
        <v>2985</v>
      </c>
      <c r="BC312" s="425">
        <v>34.5</v>
      </c>
      <c r="BD312" s="348" t="s">
        <v>3544</v>
      </c>
      <c r="BE312" s="353">
        <v>100</v>
      </c>
      <c r="BF312" s="348"/>
      <c r="BG312" s="348">
        <v>400</v>
      </c>
      <c r="BH312" s="390">
        <f t="shared" ref="BH312:BH324" si="69">IF(ISBLANK(BF312),(BE312*BG312)/((4*BG312)+(2*BE312)),BE312*BF312*BG312/2/(BE312*BF312+BE312*BG312+BF312*BG312))</f>
        <v>22.222222222222221</v>
      </c>
      <c r="BI312" s="303">
        <v>99</v>
      </c>
      <c r="BJ312" s="323">
        <v>1</v>
      </c>
      <c r="BK312" s="307">
        <v>30</v>
      </c>
      <c r="BL312" s="307">
        <v>30</v>
      </c>
      <c r="BM312" s="507" t="s">
        <v>2985</v>
      </c>
      <c r="BN312" s="307">
        <v>99</v>
      </c>
      <c r="BO312" s="259" t="s">
        <v>2985</v>
      </c>
      <c r="BP312" s="350"/>
      <c r="BS312" s="321"/>
    </row>
    <row r="313" spans="1:71" s="322" customFormat="1" ht="18">
      <c r="A313" s="457">
        <v>1612</v>
      </c>
      <c r="B313" s="533" t="s">
        <v>3634</v>
      </c>
      <c r="C313" s="466" t="s">
        <v>3590</v>
      </c>
      <c r="D313" s="466" t="s">
        <v>3590</v>
      </c>
      <c r="E313" s="469"/>
      <c r="F313" s="303" t="s">
        <v>2169</v>
      </c>
      <c r="G313" s="386" t="s">
        <v>2718</v>
      </c>
      <c r="H313" s="454" t="s">
        <v>119</v>
      </c>
      <c r="I313" s="338" t="s">
        <v>3377</v>
      </c>
      <c r="J313" s="361">
        <v>1998</v>
      </c>
      <c r="K313" s="341">
        <v>354</v>
      </c>
      <c r="L313" s="340" t="s">
        <v>1738</v>
      </c>
      <c r="M313" s="341" t="s">
        <v>1739</v>
      </c>
      <c r="N313" s="446">
        <f t="shared" si="65"/>
        <v>0.28499999999999998</v>
      </c>
      <c r="O313" s="349">
        <v>0.28499999999999998</v>
      </c>
      <c r="P313" s="329">
        <v>3.04</v>
      </c>
      <c r="Q313" s="310">
        <f t="shared" si="66"/>
        <v>3.04</v>
      </c>
      <c r="R313" s="377">
        <f t="shared" si="67"/>
        <v>138.21504567436861</v>
      </c>
      <c r="S313" s="312">
        <v>484.9650725416443</v>
      </c>
      <c r="T313" s="377">
        <f t="shared" si="68"/>
        <v>484.9650725416443</v>
      </c>
      <c r="U313" s="377">
        <f t="shared" si="64"/>
        <v>1474.2938205265987</v>
      </c>
      <c r="V313" s="408" t="s">
        <v>2985</v>
      </c>
      <c r="W313" s="408" t="s">
        <v>2985</v>
      </c>
      <c r="X313" s="313" t="s">
        <v>12</v>
      </c>
      <c r="Y313" s="307" t="s">
        <v>12</v>
      </c>
      <c r="Z313" s="314" t="s">
        <v>2985</v>
      </c>
      <c r="AA313" s="311" t="s">
        <v>1754</v>
      </c>
      <c r="AB313" s="341" t="s">
        <v>523</v>
      </c>
      <c r="AC313" s="161" t="s">
        <v>2985</v>
      </c>
      <c r="AD313" s="507" t="s">
        <v>2312</v>
      </c>
      <c r="AE313" s="214" t="s">
        <v>2319</v>
      </c>
      <c r="AF313" s="348" t="s">
        <v>2308</v>
      </c>
      <c r="AG313" s="262" t="s">
        <v>2985</v>
      </c>
      <c r="AH313" s="344">
        <v>100</v>
      </c>
      <c r="AI313" s="353">
        <v>0</v>
      </c>
      <c r="AJ313" s="395">
        <v>0</v>
      </c>
      <c r="AK313" s="365">
        <v>0</v>
      </c>
      <c r="AL313" s="365">
        <v>0</v>
      </c>
      <c r="AM313" s="365">
        <v>0</v>
      </c>
      <c r="AN313" s="353">
        <v>0</v>
      </c>
      <c r="AO313" s="353">
        <v>0</v>
      </c>
      <c r="AP313" s="348">
        <v>0</v>
      </c>
      <c r="AQ313" s="348">
        <v>0</v>
      </c>
      <c r="AR313" s="348">
        <v>0</v>
      </c>
      <c r="AS313" s="348">
        <v>0</v>
      </c>
      <c r="AT313" s="353">
        <v>0</v>
      </c>
      <c r="AU313" s="348">
        <v>0</v>
      </c>
      <c r="AV313" s="356">
        <v>2</v>
      </c>
      <c r="AW313" s="348">
        <v>0</v>
      </c>
      <c r="AX313" s="341">
        <v>0</v>
      </c>
      <c r="AY313" s="340">
        <v>54.8</v>
      </c>
      <c r="AZ313" s="348"/>
      <c r="BA313" s="316" t="s">
        <v>2985</v>
      </c>
      <c r="BB313" s="94" t="s">
        <v>2985</v>
      </c>
      <c r="BC313" s="355" t="s">
        <v>2985</v>
      </c>
      <c r="BD313" s="348" t="s">
        <v>3544</v>
      </c>
      <c r="BE313" s="353">
        <v>100</v>
      </c>
      <c r="BF313" s="348"/>
      <c r="BG313" s="348">
        <v>400</v>
      </c>
      <c r="BH313" s="390">
        <f t="shared" si="69"/>
        <v>22.222222222222221</v>
      </c>
      <c r="BI313" s="303">
        <v>99</v>
      </c>
      <c r="BJ313" s="323">
        <v>1</v>
      </c>
      <c r="BK313" s="307">
        <v>30</v>
      </c>
      <c r="BL313" s="307">
        <v>30</v>
      </c>
      <c r="BM313" s="507" t="s">
        <v>2985</v>
      </c>
      <c r="BN313" s="307">
        <v>99</v>
      </c>
      <c r="BO313" s="259" t="s">
        <v>2985</v>
      </c>
      <c r="BP313" s="350"/>
      <c r="BS313" s="321"/>
    </row>
    <row r="314" spans="1:71" s="322" customFormat="1">
      <c r="A314" s="457">
        <v>1613</v>
      </c>
      <c r="B314" s="534" t="s">
        <v>3603</v>
      </c>
      <c r="C314" s="383"/>
      <c r="D314" s="383"/>
      <c r="E314" s="469"/>
      <c r="F314" s="303" t="s">
        <v>2170</v>
      </c>
      <c r="G314" s="386" t="s">
        <v>2718</v>
      </c>
      <c r="H314" s="454" t="s">
        <v>119</v>
      </c>
      <c r="I314" s="338" t="s">
        <v>3377</v>
      </c>
      <c r="J314" s="361">
        <v>1998</v>
      </c>
      <c r="K314" s="341">
        <v>354</v>
      </c>
      <c r="L314" s="340" t="s">
        <v>1738</v>
      </c>
      <c r="M314" s="341" t="s">
        <v>1739</v>
      </c>
      <c r="N314" s="446">
        <f t="shared" si="65"/>
        <v>0.3125</v>
      </c>
      <c r="O314" s="349">
        <v>0.37499999999999994</v>
      </c>
      <c r="P314" s="329">
        <v>3.95</v>
      </c>
      <c r="Q314" s="310">
        <f t="shared" si="66"/>
        <v>3.291666666666667</v>
      </c>
      <c r="R314" s="377">
        <f t="shared" si="67"/>
        <v>141.43421300068954</v>
      </c>
      <c r="S314" s="312">
        <v>377.15790133517214</v>
      </c>
      <c r="T314" s="377">
        <f t="shared" si="68"/>
        <v>452.58948160220655</v>
      </c>
      <c r="U314" s="377">
        <f t="shared" si="64"/>
        <v>1489.77371027393</v>
      </c>
      <c r="V314" s="408" t="s">
        <v>2985</v>
      </c>
      <c r="W314" s="408" t="s">
        <v>2985</v>
      </c>
      <c r="X314" s="313" t="s">
        <v>12</v>
      </c>
      <c r="Y314" s="307" t="s">
        <v>12</v>
      </c>
      <c r="Z314" s="314" t="s">
        <v>2985</v>
      </c>
      <c r="AA314" s="516" t="s">
        <v>3555</v>
      </c>
      <c r="AB314" s="341" t="s">
        <v>523</v>
      </c>
      <c r="AC314" s="161" t="s">
        <v>2985</v>
      </c>
      <c r="AD314" s="507" t="s">
        <v>2312</v>
      </c>
      <c r="AE314" s="214" t="s">
        <v>2319</v>
      </c>
      <c r="AF314" s="348" t="s">
        <v>2308</v>
      </c>
      <c r="AG314" s="262" t="s">
        <v>2985</v>
      </c>
      <c r="AH314" s="344">
        <v>80</v>
      </c>
      <c r="AI314" s="352">
        <v>20</v>
      </c>
      <c r="AJ314" s="395">
        <v>0</v>
      </c>
      <c r="AK314" s="365">
        <v>0</v>
      </c>
      <c r="AL314" s="365">
        <v>0</v>
      </c>
      <c r="AM314" s="365">
        <v>0</v>
      </c>
      <c r="AN314" s="353">
        <v>0</v>
      </c>
      <c r="AO314" s="353">
        <v>0</v>
      </c>
      <c r="AP314" s="348">
        <v>0</v>
      </c>
      <c r="AQ314" s="348">
        <v>0</v>
      </c>
      <c r="AR314" s="348">
        <v>0</v>
      </c>
      <c r="AS314" s="348">
        <v>0</v>
      </c>
      <c r="AT314" s="353">
        <v>0</v>
      </c>
      <c r="AU314" s="348">
        <v>0</v>
      </c>
      <c r="AV314" s="348">
        <v>0</v>
      </c>
      <c r="AW314" s="348">
        <v>0</v>
      </c>
      <c r="AX314" s="341">
        <v>0</v>
      </c>
      <c r="AY314" s="340">
        <v>89.2</v>
      </c>
      <c r="AZ314" s="356"/>
      <c r="BA314" s="316" t="s">
        <v>2985</v>
      </c>
      <c r="BB314" s="94" t="s">
        <v>2985</v>
      </c>
      <c r="BC314" s="355" t="s">
        <v>2985</v>
      </c>
      <c r="BD314" s="348" t="s">
        <v>3544</v>
      </c>
      <c r="BE314" s="353">
        <v>100</v>
      </c>
      <c r="BF314" s="348"/>
      <c r="BG314" s="348">
        <v>400</v>
      </c>
      <c r="BH314" s="390">
        <f t="shared" si="69"/>
        <v>22.222222222222221</v>
      </c>
      <c r="BI314" s="303">
        <v>99</v>
      </c>
      <c r="BJ314" s="323">
        <v>1</v>
      </c>
      <c r="BK314" s="307">
        <v>30</v>
      </c>
      <c r="BL314" s="307">
        <v>30</v>
      </c>
      <c r="BM314" s="507" t="s">
        <v>2985</v>
      </c>
      <c r="BN314" s="307">
        <v>99</v>
      </c>
      <c r="BO314" s="259" t="s">
        <v>2985</v>
      </c>
      <c r="BP314" s="350"/>
      <c r="BS314" s="321"/>
    </row>
    <row r="315" spans="1:71" s="322" customFormat="1">
      <c r="A315" s="457">
        <v>1614</v>
      </c>
      <c r="B315" s="534" t="s">
        <v>3603</v>
      </c>
      <c r="C315" s="383"/>
      <c r="D315" s="383"/>
      <c r="E315" s="469"/>
      <c r="F315" s="303" t="s">
        <v>2171</v>
      </c>
      <c r="G315" s="386" t="s">
        <v>2718</v>
      </c>
      <c r="H315" s="454" t="s">
        <v>119</v>
      </c>
      <c r="I315" s="338" t="s">
        <v>3377</v>
      </c>
      <c r="J315" s="361">
        <v>1998</v>
      </c>
      <c r="K315" s="341">
        <v>354</v>
      </c>
      <c r="L315" s="340" t="s">
        <v>1738</v>
      </c>
      <c r="M315" s="341" t="s">
        <v>1739</v>
      </c>
      <c r="N315" s="446">
        <f t="shared" si="65"/>
        <v>0.296875</v>
      </c>
      <c r="O315" s="349">
        <v>0.35624999999999996</v>
      </c>
      <c r="P315" s="329">
        <v>3.95</v>
      </c>
      <c r="Q315" s="310">
        <f t="shared" si="66"/>
        <v>3.291666666666667</v>
      </c>
      <c r="R315" s="377">
        <f t="shared" si="67"/>
        <v>134.36250235065506</v>
      </c>
      <c r="S315" s="312">
        <v>377.15790133517214</v>
      </c>
      <c r="T315" s="377">
        <f t="shared" si="68"/>
        <v>452.58948160220655</v>
      </c>
      <c r="U315" s="377">
        <f t="shared" si="64"/>
        <v>1489.77371027393</v>
      </c>
      <c r="V315" s="408" t="s">
        <v>2985</v>
      </c>
      <c r="W315" s="408" t="s">
        <v>2985</v>
      </c>
      <c r="X315" s="313" t="s">
        <v>12</v>
      </c>
      <c r="Y315" s="307" t="s">
        <v>12</v>
      </c>
      <c r="Z315" s="314" t="s">
        <v>2985</v>
      </c>
      <c r="AA315" s="516" t="s">
        <v>3555</v>
      </c>
      <c r="AB315" s="341" t="s">
        <v>523</v>
      </c>
      <c r="AC315" s="161" t="s">
        <v>2985</v>
      </c>
      <c r="AD315" s="507" t="s">
        <v>2320</v>
      </c>
      <c r="AE315" s="214" t="s">
        <v>2319</v>
      </c>
      <c r="AF315" s="348" t="s">
        <v>2308</v>
      </c>
      <c r="AG315" s="262" t="s">
        <v>2985</v>
      </c>
      <c r="AH315" s="344">
        <v>80</v>
      </c>
      <c r="AI315" s="352">
        <v>20</v>
      </c>
      <c r="AJ315" s="395">
        <v>0</v>
      </c>
      <c r="AK315" s="365">
        <v>0</v>
      </c>
      <c r="AL315" s="365">
        <v>0</v>
      </c>
      <c r="AM315" s="365">
        <v>0</v>
      </c>
      <c r="AN315" s="353">
        <v>0</v>
      </c>
      <c r="AO315" s="353">
        <v>0</v>
      </c>
      <c r="AP315" s="348">
        <v>0</v>
      </c>
      <c r="AQ315" s="348">
        <v>0</v>
      </c>
      <c r="AR315" s="348">
        <v>0</v>
      </c>
      <c r="AS315" s="348">
        <v>0</v>
      </c>
      <c r="AT315" s="353">
        <v>0</v>
      </c>
      <c r="AU315" s="348">
        <v>0</v>
      </c>
      <c r="AV315" s="356">
        <v>1.504</v>
      </c>
      <c r="AW315" s="348">
        <v>0</v>
      </c>
      <c r="AX315" s="341">
        <v>0</v>
      </c>
      <c r="AY315" s="340">
        <v>86.7</v>
      </c>
      <c r="AZ315" s="356"/>
      <c r="BA315" s="316" t="s">
        <v>2985</v>
      </c>
      <c r="BB315" s="507" t="s">
        <v>2985</v>
      </c>
      <c r="BC315" s="355" t="s">
        <v>2985</v>
      </c>
      <c r="BD315" s="348" t="s">
        <v>3544</v>
      </c>
      <c r="BE315" s="353">
        <v>100</v>
      </c>
      <c r="BF315" s="348"/>
      <c r="BG315" s="348">
        <v>400</v>
      </c>
      <c r="BH315" s="390">
        <f t="shared" si="69"/>
        <v>22.222222222222221</v>
      </c>
      <c r="BI315" s="303">
        <v>99</v>
      </c>
      <c r="BJ315" s="323">
        <v>1</v>
      </c>
      <c r="BK315" s="307">
        <v>30</v>
      </c>
      <c r="BL315" s="324">
        <v>30</v>
      </c>
      <c r="BM315" s="507" t="s">
        <v>2985</v>
      </c>
      <c r="BN315" s="307">
        <v>99</v>
      </c>
      <c r="BO315" s="259" t="s">
        <v>2985</v>
      </c>
      <c r="BP315" s="350"/>
      <c r="BS315" s="321"/>
    </row>
    <row r="316" spans="1:71" s="322" customFormat="1">
      <c r="A316" s="457">
        <v>1615</v>
      </c>
      <c r="B316" s="534" t="s">
        <v>3603</v>
      </c>
      <c r="C316" s="466" t="s">
        <v>3590</v>
      </c>
      <c r="D316" s="466" t="s">
        <v>3590</v>
      </c>
      <c r="E316" s="469"/>
      <c r="F316" s="303" t="s">
        <v>2172</v>
      </c>
      <c r="G316" s="386" t="s">
        <v>2718</v>
      </c>
      <c r="H316" s="454" t="s">
        <v>119</v>
      </c>
      <c r="I316" s="338" t="s">
        <v>3377</v>
      </c>
      <c r="J316" s="361">
        <v>1998</v>
      </c>
      <c r="K316" s="341">
        <v>354</v>
      </c>
      <c r="L316" s="340" t="s">
        <v>1738</v>
      </c>
      <c r="M316" s="341" t="s">
        <v>1739</v>
      </c>
      <c r="N316" s="446">
        <f t="shared" si="65"/>
        <v>0.3</v>
      </c>
      <c r="O316" s="349">
        <v>0.3</v>
      </c>
      <c r="P316" s="329">
        <v>3.04</v>
      </c>
      <c r="Q316" s="310">
        <f t="shared" si="66"/>
        <v>3.04</v>
      </c>
      <c r="R316" s="377">
        <f t="shared" si="67"/>
        <v>145.4895217624933</v>
      </c>
      <c r="S316" s="312">
        <v>484.9650725416443</v>
      </c>
      <c r="T316" s="377">
        <f t="shared" si="68"/>
        <v>484.9650725416443</v>
      </c>
      <c r="U316" s="377">
        <f t="shared" si="64"/>
        <v>1474.2938205265987</v>
      </c>
      <c r="V316" s="408" t="s">
        <v>2985</v>
      </c>
      <c r="W316" s="408" t="s">
        <v>2985</v>
      </c>
      <c r="X316" s="313" t="s">
        <v>12</v>
      </c>
      <c r="Y316" s="307" t="s">
        <v>12</v>
      </c>
      <c r="Z316" s="314" t="s">
        <v>2985</v>
      </c>
      <c r="AA316" s="311" t="s">
        <v>1754</v>
      </c>
      <c r="AB316" s="341" t="s">
        <v>523</v>
      </c>
      <c r="AC316" s="161" t="s">
        <v>2985</v>
      </c>
      <c r="AD316" s="507" t="s">
        <v>2312</v>
      </c>
      <c r="AE316" s="214" t="s">
        <v>2319</v>
      </c>
      <c r="AF316" s="348" t="s">
        <v>2308</v>
      </c>
      <c r="AG316" s="262" t="s">
        <v>2985</v>
      </c>
      <c r="AH316" s="344">
        <v>100</v>
      </c>
      <c r="AI316" s="353">
        <v>0</v>
      </c>
      <c r="AJ316" s="395">
        <v>0</v>
      </c>
      <c r="AK316" s="365">
        <v>0</v>
      </c>
      <c r="AL316" s="365">
        <v>0</v>
      </c>
      <c r="AM316" s="365">
        <v>0</v>
      </c>
      <c r="AN316" s="353">
        <v>0</v>
      </c>
      <c r="AO316" s="353">
        <v>0</v>
      </c>
      <c r="AP316" s="348">
        <v>0</v>
      </c>
      <c r="AQ316" s="348">
        <v>0</v>
      </c>
      <c r="AR316" s="348">
        <v>0</v>
      </c>
      <c r="AS316" s="348">
        <v>0</v>
      </c>
      <c r="AT316" s="353">
        <v>0</v>
      </c>
      <c r="AU316" s="402">
        <v>1.2500000000000001E-2</v>
      </c>
      <c r="AV316" s="348">
        <v>0</v>
      </c>
      <c r="AW316" s="348">
        <v>0</v>
      </c>
      <c r="AX316" s="341">
        <v>0</v>
      </c>
      <c r="AY316" s="340">
        <v>63.3</v>
      </c>
      <c r="AZ316" s="356"/>
      <c r="BA316" s="316" t="s">
        <v>2985</v>
      </c>
      <c r="BB316" s="94" t="s">
        <v>2985</v>
      </c>
      <c r="BC316" s="425">
        <v>34.5</v>
      </c>
      <c r="BD316" s="348" t="s">
        <v>3544</v>
      </c>
      <c r="BE316" s="353">
        <v>100</v>
      </c>
      <c r="BF316" s="348"/>
      <c r="BG316" s="348">
        <v>400</v>
      </c>
      <c r="BH316" s="390">
        <f t="shared" si="69"/>
        <v>22.222222222222221</v>
      </c>
      <c r="BI316" s="303">
        <v>99</v>
      </c>
      <c r="BJ316" s="323">
        <v>1</v>
      </c>
      <c r="BK316" s="307">
        <v>30</v>
      </c>
      <c r="BL316" s="324">
        <v>30</v>
      </c>
      <c r="BM316" s="507" t="s">
        <v>2985</v>
      </c>
      <c r="BN316" s="307">
        <v>99</v>
      </c>
      <c r="BO316" s="259" t="s">
        <v>2985</v>
      </c>
      <c r="BP316" s="350"/>
      <c r="BS316" s="321"/>
    </row>
    <row r="317" spans="1:71" s="322" customFormat="1">
      <c r="A317" s="457">
        <v>1616</v>
      </c>
      <c r="B317" s="534" t="s">
        <v>3603</v>
      </c>
      <c r="C317" s="383"/>
      <c r="D317" s="383"/>
      <c r="E317" s="469"/>
      <c r="F317" s="303" t="s">
        <v>2173</v>
      </c>
      <c r="G317" s="386" t="s">
        <v>2718</v>
      </c>
      <c r="H317" s="454" t="s">
        <v>119</v>
      </c>
      <c r="I317" s="338" t="s">
        <v>3377</v>
      </c>
      <c r="J317" s="361">
        <v>1998</v>
      </c>
      <c r="K317" s="341">
        <v>354</v>
      </c>
      <c r="L317" s="340" t="s">
        <v>1738</v>
      </c>
      <c r="M317" s="341" t="s">
        <v>1739</v>
      </c>
      <c r="N317" s="446">
        <f t="shared" si="65"/>
        <v>0.3125</v>
      </c>
      <c r="O317" s="349">
        <v>0.37499999999999994</v>
      </c>
      <c r="P317" s="329">
        <v>3.95</v>
      </c>
      <c r="Q317" s="310">
        <f t="shared" si="66"/>
        <v>3.291666666666667</v>
      </c>
      <c r="R317" s="377">
        <f t="shared" si="67"/>
        <v>141.43421300068954</v>
      </c>
      <c r="S317" s="312">
        <v>377.15790133517214</v>
      </c>
      <c r="T317" s="377">
        <f t="shared" si="68"/>
        <v>452.58948160220655</v>
      </c>
      <c r="U317" s="377">
        <f t="shared" si="64"/>
        <v>1489.77371027393</v>
      </c>
      <c r="V317" s="408" t="s">
        <v>2985</v>
      </c>
      <c r="W317" s="408" t="s">
        <v>2985</v>
      </c>
      <c r="X317" s="313" t="s">
        <v>12</v>
      </c>
      <c r="Y317" s="307" t="s">
        <v>12</v>
      </c>
      <c r="Z317" s="314" t="s">
        <v>2985</v>
      </c>
      <c r="AA317" s="516" t="s">
        <v>3555</v>
      </c>
      <c r="AB317" s="341" t="s">
        <v>523</v>
      </c>
      <c r="AC317" s="161" t="s">
        <v>2985</v>
      </c>
      <c r="AD317" s="507" t="s">
        <v>2312</v>
      </c>
      <c r="AE317" s="214" t="s">
        <v>2319</v>
      </c>
      <c r="AF317" s="348" t="s">
        <v>2308</v>
      </c>
      <c r="AG317" s="262" t="s">
        <v>2985</v>
      </c>
      <c r="AH317" s="344">
        <v>80</v>
      </c>
      <c r="AI317" s="352">
        <v>20</v>
      </c>
      <c r="AJ317" s="395">
        <v>0</v>
      </c>
      <c r="AK317" s="365">
        <v>0</v>
      </c>
      <c r="AL317" s="365">
        <v>0</v>
      </c>
      <c r="AM317" s="365">
        <v>0</v>
      </c>
      <c r="AN317" s="353">
        <v>0</v>
      </c>
      <c r="AO317" s="353">
        <v>0</v>
      </c>
      <c r="AP317" s="348">
        <v>0</v>
      </c>
      <c r="AQ317" s="348">
        <v>0</v>
      </c>
      <c r="AR317" s="348">
        <v>0</v>
      </c>
      <c r="AS317" s="348">
        <v>0</v>
      </c>
      <c r="AT317" s="353">
        <v>0</v>
      </c>
      <c r="AU317" s="348">
        <v>0</v>
      </c>
      <c r="AV317" s="348">
        <v>0</v>
      </c>
      <c r="AW317" s="348">
        <v>0</v>
      </c>
      <c r="AX317" s="341">
        <v>0</v>
      </c>
      <c r="AY317" s="340">
        <v>89.2</v>
      </c>
      <c r="AZ317" s="356"/>
      <c r="BA317" s="316" t="s">
        <v>2985</v>
      </c>
      <c r="BB317" s="94" t="s">
        <v>2985</v>
      </c>
      <c r="BC317" s="355" t="s">
        <v>2985</v>
      </c>
      <c r="BD317" s="348" t="s">
        <v>3544</v>
      </c>
      <c r="BE317" s="353">
        <v>100</v>
      </c>
      <c r="BF317" s="348"/>
      <c r="BG317" s="348">
        <v>400</v>
      </c>
      <c r="BH317" s="390">
        <f t="shared" si="69"/>
        <v>22.222222222222221</v>
      </c>
      <c r="BI317" s="303">
        <v>99</v>
      </c>
      <c r="BJ317" s="323">
        <v>1</v>
      </c>
      <c r="BK317" s="307">
        <v>30</v>
      </c>
      <c r="BL317" s="324">
        <v>30</v>
      </c>
      <c r="BM317" s="507" t="s">
        <v>2985</v>
      </c>
      <c r="BN317" s="307">
        <v>99</v>
      </c>
      <c r="BO317" s="259" t="s">
        <v>2985</v>
      </c>
      <c r="BP317" s="350"/>
      <c r="BS317" s="321"/>
    </row>
    <row r="318" spans="1:71" s="322" customFormat="1">
      <c r="A318" s="457">
        <v>1617</v>
      </c>
      <c r="B318" s="534" t="s">
        <v>3603</v>
      </c>
      <c r="C318" s="383"/>
      <c r="D318" s="383"/>
      <c r="E318" s="469"/>
      <c r="F318" s="303" t="s">
        <v>2174</v>
      </c>
      <c r="G318" s="386" t="s">
        <v>2718</v>
      </c>
      <c r="H318" s="454" t="s">
        <v>119</v>
      </c>
      <c r="I318" s="338" t="s">
        <v>3377</v>
      </c>
      <c r="J318" s="361">
        <v>1998</v>
      </c>
      <c r="K318" s="341">
        <v>354</v>
      </c>
      <c r="L318" s="340" t="s">
        <v>1738</v>
      </c>
      <c r="M318" s="341" t="s">
        <v>1739</v>
      </c>
      <c r="N318" s="446">
        <f t="shared" si="65"/>
        <v>0.31249999999999994</v>
      </c>
      <c r="O318" s="349">
        <v>0.37499999999999994</v>
      </c>
      <c r="P318" s="329">
        <v>3.9</v>
      </c>
      <c r="Q318" s="310">
        <f t="shared" si="66"/>
        <v>3.2499999999999996</v>
      </c>
      <c r="R318" s="377">
        <f t="shared" si="67"/>
        <v>142.62927219857556</v>
      </c>
      <c r="S318" s="312">
        <v>380.34472586286824</v>
      </c>
      <c r="T318" s="377">
        <f t="shared" si="68"/>
        <v>456.41367103544189</v>
      </c>
      <c r="U318" s="377">
        <f t="shared" si="64"/>
        <v>1483.344430865186</v>
      </c>
      <c r="V318" s="408" t="s">
        <v>2985</v>
      </c>
      <c r="W318" s="408" t="s">
        <v>2985</v>
      </c>
      <c r="X318" s="313" t="s">
        <v>12</v>
      </c>
      <c r="Y318" s="307" t="s">
        <v>12</v>
      </c>
      <c r="Z318" s="314" t="s">
        <v>2985</v>
      </c>
      <c r="AA318" s="311" t="s">
        <v>3550</v>
      </c>
      <c r="AB318" s="341" t="s">
        <v>523</v>
      </c>
      <c r="AC318" s="161" t="s">
        <v>2985</v>
      </c>
      <c r="AD318" s="507" t="s">
        <v>2312</v>
      </c>
      <c r="AE318" s="214" t="s">
        <v>2319</v>
      </c>
      <c r="AF318" s="348" t="s">
        <v>2308</v>
      </c>
      <c r="AG318" s="262" t="s">
        <v>2985</v>
      </c>
      <c r="AH318" s="344">
        <v>80</v>
      </c>
      <c r="AI318" s="353">
        <v>0</v>
      </c>
      <c r="AJ318" s="395">
        <v>0</v>
      </c>
      <c r="AK318" s="365">
        <v>0</v>
      </c>
      <c r="AL318" s="365">
        <v>0</v>
      </c>
      <c r="AM318" s="365">
        <v>0</v>
      </c>
      <c r="AN318" s="353">
        <v>0</v>
      </c>
      <c r="AO318" s="353">
        <v>0</v>
      </c>
      <c r="AP318" s="356">
        <v>20</v>
      </c>
      <c r="AQ318" s="348">
        <v>0</v>
      </c>
      <c r="AR318" s="348">
        <v>0</v>
      </c>
      <c r="AS318" s="348">
        <v>0</v>
      </c>
      <c r="AT318" s="353">
        <v>0</v>
      </c>
      <c r="AU318" s="348">
        <v>0</v>
      </c>
      <c r="AV318" s="348">
        <v>0</v>
      </c>
      <c r="AW318" s="348">
        <v>0</v>
      </c>
      <c r="AX318" s="341">
        <v>0</v>
      </c>
      <c r="AY318" s="340">
        <v>78.2</v>
      </c>
      <c r="AZ318" s="356"/>
      <c r="BA318" s="316" t="s">
        <v>2985</v>
      </c>
      <c r="BB318" s="94" t="s">
        <v>2985</v>
      </c>
      <c r="BC318" s="355" t="s">
        <v>2985</v>
      </c>
      <c r="BD318" s="348" t="s">
        <v>3544</v>
      </c>
      <c r="BE318" s="353">
        <v>100</v>
      </c>
      <c r="BF318" s="348"/>
      <c r="BG318" s="348">
        <v>400</v>
      </c>
      <c r="BH318" s="390">
        <f t="shared" si="69"/>
        <v>22.222222222222221</v>
      </c>
      <c r="BI318" s="303">
        <v>99</v>
      </c>
      <c r="BJ318" s="323">
        <v>1</v>
      </c>
      <c r="BK318" s="307">
        <v>30</v>
      </c>
      <c r="BL318" s="324">
        <v>30</v>
      </c>
      <c r="BM318" s="507" t="s">
        <v>2985</v>
      </c>
      <c r="BN318" s="307">
        <v>99</v>
      </c>
      <c r="BO318" s="259" t="s">
        <v>2985</v>
      </c>
      <c r="BP318" s="350"/>
      <c r="BS318" s="321"/>
    </row>
    <row r="319" spans="1:71" s="322" customFormat="1">
      <c r="A319" s="457">
        <v>1618</v>
      </c>
      <c r="B319" s="534" t="s">
        <v>3603</v>
      </c>
      <c r="C319" s="383"/>
      <c r="D319" s="383"/>
      <c r="E319" s="469"/>
      <c r="F319" s="303" t="s">
        <v>2175</v>
      </c>
      <c r="G319" s="386" t="s">
        <v>2718</v>
      </c>
      <c r="H319" s="454" t="s">
        <v>119</v>
      </c>
      <c r="I319" s="338" t="s">
        <v>3377</v>
      </c>
      <c r="J319" s="361">
        <v>1998</v>
      </c>
      <c r="K319" s="341">
        <v>354</v>
      </c>
      <c r="L319" s="340" t="s">
        <v>1738</v>
      </c>
      <c r="M319" s="341" t="s">
        <v>1739</v>
      </c>
      <c r="N319" s="446">
        <f t="shared" si="65"/>
        <v>0.29687499999999994</v>
      </c>
      <c r="O319" s="349">
        <v>0.35624999999999996</v>
      </c>
      <c r="P319" s="329">
        <v>3.9</v>
      </c>
      <c r="Q319" s="310">
        <f t="shared" si="66"/>
        <v>3.2499999999999996</v>
      </c>
      <c r="R319" s="377">
        <f t="shared" si="67"/>
        <v>135.49780858864679</v>
      </c>
      <c r="S319" s="312">
        <v>380.34472586286824</v>
      </c>
      <c r="T319" s="377">
        <f t="shared" si="68"/>
        <v>456.41367103544189</v>
      </c>
      <c r="U319" s="377">
        <f t="shared" si="64"/>
        <v>1483.344430865186</v>
      </c>
      <c r="V319" s="408" t="s">
        <v>2985</v>
      </c>
      <c r="W319" s="408" t="s">
        <v>2985</v>
      </c>
      <c r="X319" s="313" t="s">
        <v>12</v>
      </c>
      <c r="Y319" s="307" t="s">
        <v>12</v>
      </c>
      <c r="Z319" s="314" t="s">
        <v>2985</v>
      </c>
      <c r="AA319" s="311" t="s">
        <v>3550</v>
      </c>
      <c r="AB319" s="341" t="s">
        <v>523</v>
      </c>
      <c r="AC319" s="161" t="s">
        <v>2985</v>
      </c>
      <c r="AD319" s="507" t="s">
        <v>2320</v>
      </c>
      <c r="AE319" s="214" t="s">
        <v>2319</v>
      </c>
      <c r="AF319" s="348" t="s">
        <v>2308</v>
      </c>
      <c r="AG319" s="262" t="s">
        <v>2985</v>
      </c>
      <c r="AH319" s="344">
        <v>80</v>
      </c>
      <c r="AI319" s="353">
        <v>0</v>
      </c>
      <c r="AJ319" s="395">
        <v>0</v>
      </c>
      <c r="AK319" s="365">
        <v>0</v>
      </c>
      <c r="AL319" s="365">
        <v>0</v>
      </c>
      <c r="AM319" s="365">
        <v>0</v>
      </c>
      <c r="AN319" s="353">
        <v>0</v>
      </c>
      <c r="AO319" s="353">
        <v>0</v>
      </c>
      <c r="AP319" s="356">
        <v>20</v>
      </c>
      <c r="AQ319" s="348">
        <v>0</v>
      </c>
      <c r="AR319" s="348">
        <v>0</v>
      </c>
      <c r="AS319" s="348">
        <v>0</v>
      </c>
      <c r="AT319" s="353">
        <v>0</v>
      </c>
      <c r="AU319" s="348">
        <v>0</v>
      </c>
      <c r="AV319" s="356">
        <v>1.504</v>
      </c>
      <c r="AW319" s="348">
        <v>0</v>
      </c>
      <c r="AX319" s="341">
        <v>0</v>
      </c>
      <c r="AY319" s="340">
        <v>70.099999999999994</v>
      </c>
      <c r="AZ319" s="356"/>
      <c r="BA319" s="316" t="s">
        <v>2985</v>
      </c>
      <c r="BB319" s="507" t="s">
        <v>2985</v>
      </c>
      <c r="BC319" s="355" t="s">
        <v>2985</v>
      </c>
      <c r="BD319" s="348" t="s">
        <v>3544</v>
      </c>
      <c r="BE319" s="353">
        <v>100</v>
      </c>
      <c r="BF319" s="348"/>
      <c r="BG319" s="348">
        <v>400</v>
      </c>
      <c r="BH319" s="390">
        <f t="shared" si="69"/>
        <v>22.222222222222221</v>
      </c>
      <c r="BI319" s="303">
        <v>99</v>
      </c>
      <c r="BJ319" s="323">
        <v>1</v>
      </c>
      <c r="BK319" s="307">
        <v>30</v>
      </c>
      <c r="BL319" s="324">
        <v>30</v>
      </c>
      <c r="BM319" s="507" t="s">
        <v>2985</v>
      </c>
      <c r="BN319" s="307">
        <v>99</v>
      </c>
      <c r="BO319" s="259" t="s">
        <v>2985</v>
      </c>
      <c r="BP319" s="350"/>
      <c r="BS319" s="321"/>
    </row>
    <row r="320" spans="1:71" s="322" customFormat="1">
      <c r="A320" s="457">
        <v>1619</v>
      </c>
      <c r="B320" s="532" t="s">
        <v>3622</v>
      </c>
      <c r="C320" s="466" t="s">
        <v>3590</v>
      </c>
      <c r="D320" s="466" t="s">
        <v>3590</v>
      </c>
      <c r="E320" s="469"/>
      <c r="F320" s="303" t="s">
        <v>2176</v>
      </c>
      <c r="G320" s="386" t="s">
        <v>2718</v>
      </c>
      <c r="H320" s="454" t="s">
        <v>119</v>
      </c>
      <c r="I320" s="338" t="s">
        <v>3377</v>
      </c>
      <c r="J320" s="361">
        <v>1998</v>
      </c>
      <c r="K320" s="341">
        <v>354</v>
      </c>
      <c r="L320" s="340" t="s">
        <v>1738</v>
      </c>
      <c r="M320" s="341" t="s">
        <v>1739</v>
      </c>
      <c r="N320" s="446">
        <f t="shared" si="65"/>
        <v>0.3</v>
      </c>
      <c r="O320" s="349">
        <v>0.3</v>
      </c>
      <c r="P320" s="329">
        <v>3.04</v>
      </c>
      <c r="Q320" s="310">
        <f t="shared" si="66"/>
        <v>3.04</v>
      </c>
      <c r="R320" s="377">
        <f t="shared" si="67"/>
        <v>145.4895217624933</v>
      </c>
      <c r="S320" s="312">
        <v>484.9650725416443</v>
      </c>
      <c r="T320" s="377">
        <f t="shared" si="68"/>
        <v>484.9650725416443</v>
      </c>
      <c r="U320" s="377">
        <f t="shared" si="64"/>
        <v>1474.2938205265987</v>
      </c>
      <c r="V320" s="408" t="s">
        <v>2985</v>
      </c>
      <c r="W320" s="408" t="s">
        <v>2985</v>
      </c>
      <c r="X320" s="313" t="s">
        <v>12</v>
      </c>
      <c r="Y320" s="307" t="s">
        <v>12</v>
      </c>
      <c r="Z320" s="314" t="s">
        <v>2985</v>
      </c>
      <c r="AA320" s="311" t="s">
        <v>1754</v>
      </c>
      <c r="AB320" s="341" t="s">
        <v>523</v>
      </c>
      <c r="AC320" s="161" t="s">
        <v>2985</v>
      </c>
      <c r="AD320" s="507" t="s">
        <v>2312</v>
      </c>
      <c r="AE320" s="214" t="s">
        <v>2319</v>
      </c>
      <c r="AF320" s="348" t="s">
        <v>2308</v>
      </c>
      <c r="AG320" s="262" t="s">
        <v>2985</v>
      </c>
      <c r="AH320" s="344">
        <v>100</v>
      </c>
      <c r="AI320" s="353">
        <v>0</v>
      </c>
      <c r="AJ320" s="395">
        <v>0</v>
      </c>
      <c r="AK320" s="365">
        <v>0</v>
      </c>
      <c r="AL320" s="365">
        <v>0</v>
      </c>
      <c r="AM320" s="365">
        <v>0</v>
      </c>
      <c r="AN320" s="353">
        <v>0</v>
      </c>
      <c r="AO320" s="353">
        <v>0</v>
      </c>
      <c r="AP320" s="348">
        <v>0</v>
      </c>
      <c r="AQ320" s="348">
        <v>0</v>
      </c>
      <c r="AR320" s="348">
        <v>0</v>
      </c>
      <c r="AS320" s="348">
        <v>0</v>
      </c>
      <c r="AT320" s="353">
        <v>0</v>
      </c>
      <c r="AU320" s="402">
        <v>1.2500000000000001E-2</v>
      </c>
      <c r="AV320" s="348">
        <v>0</v>
      </c>
      <c r="AW320" s="348">
        <v>0</v>
      </c>
      <c r="AX320" s="341">
        <v>0</v>
      </c>
      <c r="AY320" s="340">
        <v>63.3</v>
      </c>
      <c r="AZ320" s="356">
        <v>44.31</v>
      </c>
      <c r="BA320" s="316" t="s">
        <v>2985</v>
      </c>
      <c r="BB320" s="94" t="s">
        <v>2985</v>
      </c>
      <c r="BC320" s="425">
        <v>34.5</v>
      </c>
      <c r="BD320" s="348" t="s">
        <v>3544</v>
      </c>
      <c r="BE320" s="353">
        <v>100</v>
      </c>
      <c r="BF320" s="348"/>
      <c r="BG320" s="348">
        <v>400</v>
      </c>
      <c r="BH320" s="390">
        <f t="shared" si="69"/>
        <v>22.222222222222221</v>
      </c>
      <c r="BI320" s="303">
        <v>99</v>
      </c>
      <c r="BJ320" s="323">
        <v>1</v>
      </c>
      <c r="BK320" s="307">
        <v>30</v>
      </c>
      <c r="BL320" s="324">
        <v>30</v>
      </c>
      <c r="BM320" s="507" t="s">
        <v>2985</v>
      </c>
      <c r="BN320" s="307">
        <v>99</v>
      </c>
      <c r="BO320" s="259" t="s">
        <v>2985</v>
      </c>
      <c r="BP320" s="350"/>
      <c r="BS320" s="321"/>
    </row>
    <row r="321" spans="1:71" s="322" customFormat="1">
      <c r="A321" s="457">
        <v>1620</v>
      </c>
      <c r="B321" s="534" t="s">
        <v>3585</v>
      </c>
      <c r="C321" s="383"/>
      <c r="D321" s="383"/>
      <c r="E321" s="469"/>
      <c r="F321" s="303" t="s">
        <v>2177</v>
      </c>
      <c r="G321" s="386" t="s">
        <v>2718</v>
      </c>
      <c r="H321" s="454" t="s">
        <v>119</v>
      </c>
      <c r="I321" s="338" t="s">
        <v>3377</v>
      </c>
      <c r="J321" s="361">
        <v>1998</v>
      </c>
      <c r="K321" s="341">
        <v>354</v>
      </c>
      <c r="L321" s="340" t="s">
        <v>1738</v>
      </c>
      <c r="M321" s="341" t="s">
        <v>1739</v>
      </c>
      <c r="N321" s="446">
        <f t="shared" si="65"/>
        <v>0.31249999999999994</v>
      </c>
      <c r="O321" s="349">
        <v>0.37499999999999994</v>
      </c>
      <c r="P321" s="329">
        <v>3.9</v>
      </c>
      <c r="Q321" s="310">
        <f t="shared" si="66"/>
        <v>3.2499999999999996</v>
      </c>
      <c r="R321" s="377">
        <f t="shared" si="67"/>
        <v>142.62927219857556</v>
      </c>
      <c r="S321" s="312">
        <v>380.34472586286824</v>
      </c>
      <c r="T321" s="377">
        <f t="shared" si="68"/>
        <v>456.41367103544189</v>
      </c>
      <c r="U321" s="377">
        <f t="shared" si="64"/>
        <v>1483.344430865186</v>
      </c>
      <c r="V321" s="408" t="s">
        <v>2985</v>
      </c>
      <c r="W321" s="408" t="s">
        <v>2985</v>
      </c>
      <c r="X321" s="313" t="s">
        <v>12</v>
      </c>
      <c r="Y321" s="307" t="s">
        <v>12</v>
      </c>
      <c r="Z321" s="314" t="s">
        <v>2985</v>
      </c>
      <c r="AA321" s="311" t="s">
        <v>3550</v>
      </c>
      <c r="AB321" s="341" t="s">
        <v>523</v>
      </c>
      <c r="AC321" s="161" t="s">
        <v>2985</v>
      </c>
      <c r="AD321" s="507" t="s">
        <v>2312</v>
      </c>
      <c r="AE321" s="214" t="s">
        <v>2319</v>
      </c>
      <c r="AF321" s="348" t="s">
        <v>2308</v>
      </c>
      <c r="AG321" s="262" t="s">
        <v>2985</v>
      </c>
      <c r="AH321" s="344">
        <v>80</v>
      </c>
      <c r="AI321" s="353">
        <v>0</v>
      </c>
      <c r="AJ321" s="395">
        <v>0</v>
      </c>
      <c r="AK321" s="365">
        <v>0</v>
      </c>
      <c r="AL321" s="365">
        <v>0</v>
      </c>
      <c r="AM321" s="365">
        <v>0</v>
      </c>
      <c r="AN321" s="353">
        <v>0</v>
      </c>
      <c r="AO321" s="353">
        <v>0</v>
      </c>
      <c r="AP321" s="356">
        <v>20</v>
      </c>
      <c r="AQ321" s="348">
        <v>0</v>
      </c>
      <c r="AR321" s="348">
        <v>0</v>
      </c>
      <c r="AS321" s="348">
        <v>0</v>
      </c>
      <c r="AT321" s="353">
        <v>0</v>
      </c>
      <c r="AU321" s="348">
        <v>0</v>
      </c>
      <c r="AV321" s="348">
        <v>0</v>
      </c>
      <c r="AW321" s="348">
        <v>0</v>
      </c>
      <c r="AX321" s="341">
        <v>0</v>
      </c>
      <c r="AY321" s="340">
        <v>78.2</v>
      </c>
      <c r="AZ321" s="356">
        <v>54.74</v>
      </c>
      <c r="BA321" s="316" t="s">
        <v>2985</v>
      </c>
      <c r="BB321" s="94" t="s">
        <v>2985</v>
      </c>
      <c r="BC321" s="355" t="s">
        <v>2985</v>
      </c>
      <c r="BD321" s="348" t="s">
        <v>3544</v>
      </c>
      <c r="BE321" s="353">
        <v>100</v>
      </c>
      <c r="BF321" s="348"/>
      <c r="BG321" s="348">
        <v>400</v>
      </c>
      <c r="BH321" s="390">
        <f t="shared" si="69"/>
        <v>22.222222222222221</v>
      </c>
      <c r="BI321" s="303">
        <v>99</v>
      </c>
      <c r="BJ321" s="323">
        <v>1</v>
      </c>
      <c r="BK321" s="307">
        <v>30</v>
      </c>
      <c r="BL321" s="324">
        <v>30</v>
      </c>
      <c r="BM321" s="507" t="s">
        <v>2985</v>
      </c>
      <c r="BN321" s="307">
        <v>99</v>
      </c>
      <c r="BO321" s="259" t="s">
        <v>2985</v>
      </c>
      <c r="BP321" s="350"/>
      <c r="BS321" s="321"/>
    </row>
    <row r="322" spans="1:71" s="322" customFormat="1">
      <c r="A322" s="457">
        <v>1621</v>
      </c>
      <c r="B322" s="534" t="s">
        <v>3625</v>
      </c>
      <c r="C322" s="383"/>
      <c r="D322" s="383"/>
      <c r="E322" s="469"/>
      <c r="F322" s="303" t="s">
        <v>2178</v>
      </c>
      <c r="G322" s="386" t="s">
        <v>2718</v>
      </c>
      <c r="H322" s="454" t="s">
        <v>119</v>
      </c>
      <c r="I322" s="338" t="s">
        <v>3377</v>
      </c>
      <c r="J322" s="361">
        <v>1998</v>
      </c>
      <c r="K322" s="341">
        <v>354</v>
      </c>
      <c r="L322" s="340" t="s">
        <v>1738</v>
      </c>
      <c r="M322" s="341" t="s">
        <v>1739</v>
      </c>
      <c r="N322" s="446">
        <f t="shared" si="65"/>
        <v>0.3125</v>
      </c>
      <c r="O322" s="349">
        <v>0.37499999999999994</v>
      </c>
      <c r="P322" s="329">
        <v>3.95</v>
      </c>
      <c r="Q322" s="310">
        <f t="shared" si="66"/>
        <v>3.291666666666667</v>
      </c>
      <c r="R322" s="377">
        <f t="shared" si="67"/>
        <v>141.43421300068954</v>
      </c>
      <c r="S322" s="312">
        <v>377.15790133517214</v>
      </c>
      <c r="T322" s="377">
        <f t="shared" si="68"/>
        <v>452.58948160220655</v>
      </c>
      <c r="U322" s="377">
        <f t="shared" si="64"/>
        <v>1489.77371027393</v>
      </c>
      <c r="V322" s="408" t="s">
        <v>2985</v>
      </c>
      <c r="W322" s="408" t="s">
        <v>2985</v>
      </c>
      <c r="X322" s="313" t="s">
        <v>12</v>
      </c>
      <c r="Y322" s="307" t="s">
        <v>12</v>
      </c>
      <c r="Z322" s="314" t="s">
        <v>2985</v>
      </c>
      <c r="AA322" s="516" t="s">
        <v>3555</v>
      </c>
      <c r="AB322" s="341" t="s">
        <v>523</v>
      </c>
      <c r="AC322" s="161" t="s">
        <v>2985</v>
      </c>
      <c r="AD322" s="507" t="s">
        <v>2312</v>
      </c>
      <c r="AE322" s="214" t="s">
        <v>2319</v>
      </c>
      <c r="AF322" s="348" t="s">
        <v>2308</v>
      </c>
      <c r="AG322" s="262" t="s">
        <v>2985</v>
      </c>
      <c r="AH322" s="344">
        <v>80</v>
      </c>
      <c r="AI322" s="352">
        <v>20</v>
      </c>
      <c r="AJ322" s="395">
        <v>0</v>
      </c>
      <c r="AK322" s="365">
        <v>0</v>
      </c>
      <c r="AL322" s="365">
        <v>0</v>
      </c>
      <c r="AM322" s="365">
        <v>0</v>
      </c>
      <c r="AN322" s="353">
        <v>0</v>
      </c>
      <c r="AO322" s="353">
        <v>0</v>
      </c>
      <c r="AP322" s="348">
        <v>0</v>
      </c>
      <c r="AQ322" s="348">
        <v>0</v>
      </c>
      <c r="AR322" s="348">
        <v>0</v>
      </c>
      <c r="AS322" s="348">
        <v>0</v>
      </c>
      <c r="AT322" s="353">
        <v>0</v>
      </c>
      <c r="AU322" s="348">
        <v>0</v>
      </c>
      <c r="AV322" s="348">
        <v>0</v>
      </c>
      <c r="AW322" s="348">
        <v>0</v>
      </c>
      <c r="AX322" s="341">
        <v>0</v>
      </c>
      <c r="AY322" s="340">
        <v>89.2</v>
      </c>
      <c r="AZ322" s="356">
        <v>62.44</v>
      </c>
      <c r="BA322" s="316" t="s">
        <v>2985</v>
      </c>
      <c r="BB322" s="94" t="s">
        <v>2985</v>
      </c>
      <c r="BC322" s="355" t="s">
        <v>2985</v>
      </c>
      <c r="BD322" s="348" t="s">
        <v>3544</v>
      </c>
      <c r="BE322" s="353">
        <v>100</v>
      </c>
      <c r="BF322" s="348"/>
      <c r="BG322" s="348">
        <v>400</v>
      </c>
      <c r="BH322" s="390">
        <f t="shared" si="69"/>
        <v>22.222222222222221</v>
      </c>
      <c r="BI322" s="303">
        <v>99</v>
      </c>
      <c r="BJ322" s="323">
        <v>1</v>
      </c>
      <c r="BK322" s="307">
        <v>30</v>
      </c>
      <c r="BL322" s="324">
        <v>30</v>
      </c>
      <c r="BM322" s="507" t="s">
        <v>2985</v>
      </c>
      <c r="BN322" s="307">
        <v>99</v>
      </c>
      <c r="BO322" s="259" t="s">
        <v>2985</v>
      </c>
      <c r="BP322" s="350"/>
      <c r="BS322" s="321"/>
    </row>
    <row r="323" spans="1:71" s="322" customFormat="1">
      <c r="A323" s="457">
        <v>1622</v>
      </c>
      <c r="B323" s="791" t="s">
        <v>3894</v>
      </c>
      <c r="C323" s="466" t="s">
        <v>3590</v>
      </c>
      <c r="D323" s="466" t="s">
        <v>3590</v>
      </c>
      <c r="E323" s="469"/>
      <c r="F323" s="303" t="s">
        <v>2179</v>
      </c>
      <c r="G323" s="386" t="s">
        <v>2718</v>
      </c>
      <c r="H323" s="454" t="s">
        <v>119</v>
      </c>
      <c r="I323" s="338" t="s">
        <v>3377</v>
      </c>
      <c r="J323" s="361">
        <v>1998</v>
      </c>
      <c r="K323" s="341">
        <v>354</v>
      </c>
      <c r="L323" s="340" t="s">
        <v>1738</v>
      </c>
      <c r="M323" s="341" t="s">
        <v>1739</v>
      </c>
      <c r="N323" s="446">
        <f t="shared" si="65"/>
        <v>0.3</v>
      </c>
      <c r="O323" s="349">
        <v>0.3</v>
      </c>
      <c r="P323" s="329">
        <v>3.04</v>
      </c>
      <c r="Q323" s="310">
        <f t="shared" si="66"/>
        <v>3.04</v>
      </c>
      <c r="R323" s="377">
        <f t="shared" si="67"/>
        <v>145.4895217624933</v>
      </c>
      <c r="S323" s="312">
        <v>484.9650725416443</v>
      </c>
      <c r="T323" s="377">
        <f t="shared" si="68"/>
        <v>484.9650725416443</v>
      </c>
      <c r="U323" s="377">
        <f t="shared" si="64"/>
        <v>1474.2938205265987</v>
      </c>
      <c r="V323" s="408" t="s">
        <v>2985</v>
      </c>
      <c r="W323" s="408" t="s">
        <v>2985</v>
      </c>
      <c r="X323" s="313" t="s">
        <v>12</v>
      </c>
      <c r="Y323" s="307" t="s">
        <v>12</v>
      </c>
      <c r="Z323" s="314" t="s">
        <v>2985</v>
      </c>
      <c r="AA323" s="311" t="s">
        <v>1754</v>
      </c>
      <c r="AB323" s="341" t="s">
        <v>523</v>
      </c>
      <c r="AC323" s="161" t="s">
        <v>2985</v>
      </c>
      <c r="AD323" s="507" t="s">
        <v>2312</v>
      </c>
      <c r="AE323" s="214" t="s">
        <v>2319</v>
      </c>
      <c r="AF323" s="348" t="s">
        <v>2308</v>
      </c>
      <c r="AG323" s="262" t="s">
        <v>2985</v>
      </c>
      <c r="AH323" s="344">
        <v>100</v>
      </c>
      <c r="AI323" s="353">
        <v>0</v>
      </c>
      <c r="AJ323" s="395">
        <v>0</v>
      </c>
      <c r="AK323" s="365">
        <v>0</v>
      </c>
      <c r="AL323" s="365">
        <v>0</v>
      </c>
      <c r="AM323" s="365">
        <v>0</v>
      </c>
      <c r="AN323" s="353">
        <v>0</v>
      </c>
      <c r="AO323" s="353">
        <v>0</v>
      </c>
      <c r="AP323" s="348">
        <v>0</v>
      </c>
      <c r="AQ323" s="348">
        <v>0</v>
      </c>
      <c r="AR323" s="348">
        <v>0</v>
      </c>
      <c r="AS323" s="348">
        <v>0</v>
      </c>
      <c r="AT323" s="353">
        <v>0</v>
      </c>
      <c r="AU323" s="402">
        <v>1.2500000000000001E-2</v>
      </c>
      <c r="AV323" s="348">
        <v>0</v>
      </c>
      <c r="AW323" s="348">
        <v>0</v>
      </c>
      <c r="AX323" s="341">
        <v>0</v>
      </c>
      <c r="AY323" s="340">
        <v>63.3</v>
      </c>
      <c r="AZ323" s="356">
        <v>44.31</v>
      </c>
      <c r="BA323" s="316" t="s">
        <v>2985</v>
      </c>
      <c r="BB323" s="94" t="s">
        <v>2985</v>
      </c>
      <c r="BC323" s="425">
        <v>34.5</v>
      </c>
      <c r="BD323" s="348" t="s">
        <v>3544</v>
      </c>
      <c r="BE323" s="353">
        <v>100</v>
      </c>
      <c r="BF323" s="348"/>
      <c r="BG323" s="348">
        <v>400</v>
      </c>
      <c r="BH323" s="390">
        <f t="shared" si="69"/>
        <v>22.222222222222221</v>
      </c>
      <c r="BI323" s="303">
        <v>99</v>
      </c>
      <c r="BJ323" s="323">
        <v>1</v>
      </c>
      <c r="BK323" s="307">
        <v>30</v>
      </c>
      <c r="BL323" s="324">
        <v>30</v>
      </c>
      <c r="BM323" s="507" t="s">
        <v>2985</v>
      </c>
      <c r="BN323" s="307">
        <v>99</v>
      </c>
      <c r="BO323" s="259" t="s">
        <v>2985</v>
      </c>
      <c r="BP323" s="350"/>
      <c r="BS323" s="321"/>
    </row>
    <row r="324" spans="1:71" s="322" customFormat="1" ht="18">
      <c r="A324" s="457">
        <v>1623</v>
      </c>
      <c r="B324" s="533" t="s">
        <v>3634</v>
      </c>
      <c r="C324" s="466" t="s">
        <v>3590</v>
      </c>
      <c r="D324" s="466" t="s">
        <v>3590</v>
      </c>
      <c r="E324" s="469"/>
      <c r="F324" s="303" t="s">
        <v>2180</v>
      </c>
      <c r="G324" s="386" t="s">
        <v>2718</v>
      </c>
      <c r="H324" s="454" t="s">
        <v>119</v>
      </c>
      <c r="I324" s="338" t="s">
        <v>3377</v>
      </c>
      <c r="J324" s="361">
        <v>1998</v>
      </c>
      <c r="K324" s="341">
        <v>354</v>
      </c>
      <c r="L324" s="340" t="s">
        <v>1738</v>
      </c>
      <c r="M324" s="341" t="s">
        <v>1739</v>
      </c>
      <c r="N324" s="446">
        <f t="shared" si="65"/>
        <v>0.28499999999999998</v>
      </c>
      <c r="O324" s="349">
        <v>0.28499999999999998</v>
      </c>
      <c r="P324" s="329">
        <v>3.04</v>
      </c>
      <c r="Q324" s="310">
        <f t="shared" si="66"/>
        <v>3.04</v>
      </c>
      <c r="R324" s="377">
        <f t="shared" si="67"/>
        <v>138.21504567436861</v>
      </c>
      <c r="S324" s="312">
        <v>484.9650725416443</v>
      </c>
      <c r="T324" s="377">
        <f t="shared" si="68"/>
        <v>484.9650725416443</v>
      </c>
      <c r="U324" s="377">
        <f t="shared" si="64"/>
        <v>1474.2938205265987</v>
      </c>
      <c r="V324" s="408" t="s">
        <v>2985</v>
      </c>
      <c r="W324" s="408" t="s">
        <v>2985</v>
      </c>
      <c r="X324" s="313" t="s">
        <v>12</v>
      </c>
      <c r="Y324" s="307" t="s">
        <v>12</v>
      </c>
      <c r="Z324" s="314" t="s">
        <v>2985</v>
      </c>
      <c r="AA324" s="311" t="s">
        <v>1754</v>
      </c>
      <c r="AB324" s="341" t="s">
        <v>523</v>
      </c>
      <c r="AC324" s="161" t="s">
        <v>2985</v>
      </c>
      <c r="AD324" s="507" t="s">
        <v>2312</v>
      </c>
      <c r="AE324" s="214" t="s">
        <v>2319</v>
      </c>
      <c r="AF324" s="348" t="s">
        <v>2308</v>
      </c>
      <c r="AG324" s="262" t="s">
        <v>2985</v>
      </c>
      <c r="AH324" s="344">
        <v>100</v>
      </c>
      <c r="AI324" s="353">
        <v>0</v>
      </c>
      <c r="AJ324" s="395">
        <v>0</v>
      </c>
      <c r="AK324" s="365">
        <v>0</v>
      </c>
      <c r="AL324" s="365">
        <v>0</v>
      </c>
      <c r="AM324" s="365">
        <v>0</v>
      </c>
      <c r="AN324" s="353">
        <v>0</v>
      </c>
      <c r="AO324" s="353">
        <v>0</v>
      </c>
      <c r="AP324" s="348">
        <v>0</v>
      </c>
      <c r="AQ324" s="348">
        <v>0</v>
      </c>
      <c r="AR324" s="348">
        <v>0</v>
      </c>
      <c r="AS324" s="348">
        <v>0</v>
      </c>
      <c r="AT324" s="353">
        <v>0</v>
      </c>
      <c r="AU324" s="348">
        <v>0</v>
      </c>
      <c r="AV324" s="356">
        <v>2</v>
      </c>
      <c r="AW324" s="348">
        <v>0</v>
      </c>
      <c r="AX324" s="341">
        <v>0</v>
      </c>
      <c r="AY324" s="340">
        <v>54.8</v>
      </c>
      <c r="AZ324" s="348"/>
      <c r="BA324" s="316" t="s">
        <v>2985</v>
      </c>
      <c r="BB324" s="94" t="s">
        <v>2985</v>
      </c>
      <c r="BC324" s="355" t="s">
        <v>2985</v>
      </c>
      <c r="BD324" s="348" t="s">
        <v>3544</v>
      </c>
      <c r="BE324" s="353">
        <v>100</v>
      </c>
      <c r="BF324" s="348"/>
      <c r="BG324" s="348">
        <v>400</v>
      </c>
      <c r="BH324" s="390">
        <f t="shared" si="69"/>
        <v>22.222222222222221</v>
      </c>
      <c r="BI324" s="303">
        <v>99</v>
      </c>
      <c r="BJ324" s="323">
        <v>1</v>
      </c>
      <c r="BK324" s="307">
        <v>30</v>
      </c>
      <c r="BL324" s="324">
        <v>30</v>
      </c>
      <c r="BM324" s="507" t="s">
        <v>2985</v>
      </c>
      <c r="BN324" s="307">
        <v>99</v>
      </c>
      <c r="BO324" s="259" t="s">
        <v>2985</v>
      </c>
      <c r="BP324" s="350"/>
      <c r="BS324" s="321"/>
    </row>
    <row r="325" spans="1:71" s="322" customFormat="1">
      <c r="A325" s="336">
        <v>1624</v>
      </c>
      <c r="B325" s="534" t="s">
        <v>3609</v>
      </c>
      <c r="C325" s="466" t="s">
        <v>3590</v>
      </c>
      <c r="D325" s="466" t="s">
        <v>3590</v>
      </c>
      <c r="E325" s="469"/>
      <c r="F325" s="303" t="s">
        <v>2181</v>
      </c>
      <c r="G325" s="386" t="s">
        <v>2718</v>
      </c>
      <c r="H325" s="456" t="s">
        <v>119</v>
      </c>
      <c r="I325" s="338" t="s">
        <v>3377</v>
      </c>
      <c r="J325" s="324">
        <v>1998</v>
      </c>
      <c r="K325" s="304">
        <v>354</v>
      </c>
      <c r="L325" s="303" t="s">
        <v>1738</v>
      </c>
      <c r="M325" s="304" t="s">
        <v>1751</v>
      </c>
      <c r="N325" s="446">
        <f t="shared" si="65"/>
        <v>0.3</v>
      </c>
      <c r="O325" s="349">
        <v>0.3</v>
      </c>
      <c r="P325" s="329">
        <v>3.04</v>
      </c>
      <c r="Q325" s="310">
        <f t="shared" si="66"/>
        <v>3.04</v>
      </c>
      <c r="R325" s="377">
        <f t="shared" si="67"/>
        <v>145.4895217624933</v>
      </c>
      <c r="S325" s="312">
        <v>484.9650725416443</v>
      </c>
      <c r="T325" s="377">
        <f t="shared" si="68"/>
        <v>484.9650725416443</v>
      </c>
      <c r="U325" s="377">
        <f t="shared" si="64"/>
        <v>1474.2938205265987</v>
      </c>
      <c r="V325" s="495">
        <v>1075.193</v>
      </c>
      <c r="W325" s="496">
        <f t="shared" ref="W325:W331" si="70">U325-V325</f>
        <v>399.10082052659868</v>
      </c>
      <c r="X325" s="313" t="s">
        <v>12</v>
      </c>
      <c r="Y325" s="307" t="s">
        <v>12</v>
      </c>
      <c r="Z325" s="311" t="s">
        <v>3618</v>
      </c>
      <c r="AA325" s="311" t="s">
        <v>1754</v>
      </c>
      <c r="AB325" s="304" t="s">
        <v>523</v>
      </c>
      <c r="AC325" s="518" t="s">
        <v>2315</v>
      </c>
      <c r="AD325" s="507" t="s">
        <v>2310</v>
      </c>
      <c r="AE325" s="239" t="s">
        <v>2319</v>
      </c>
      <c r="AF325" s="307" t="s">
        <v>2308</v>
      </c>
      <c r="AG325" s="262" t="s">
        <v>2985</v>
      </c>
      <c r="AH325" s="344">
        <v>100</v>
      </c>
      <c r="AI325" s="312">
        <v>0</v>
      </c>
      <c r="AJ325" s="394">
        <v>0</v>
      </c>
      <c r="AK325" s="315">
        <v>0</v>
      </c>
      <c r="AL325" s="315">
        <v>0</v>
      </c>
      <c r="AM325" s="315">
        <v>0</v>
      </c>
      <c r="AN325" s="312">
        <v>0</v>
      </c>
      <c r="AO325" s="312">
        <v>0</v>
      </c>
      <c r="AP325" s="307">
        <v>0</v>
      </c>
      <c r="AQ325" s="307">
        <v>0</v>
      </c>
      <c r="AR325" s="307">
        <v>0</v>
      </c>
      <c r="AS325" s="307">
        <v>0</v>
      </c>
      <c r="AT325" s="312">
        <v>0</v>
      </c>
      <c r="AU325" s="403">
        <v>1.2500000000000001E-2</v>
      </c>
      <c r="AV325" s="307">
        <v>0</v>
      </c>
      <c r="AW325" s="307">
        <v>0</v>
      </c>
      <c r="AX325" s="304">
        <v>0</v>
      </c>
      <c r="AY325" s="303">
        <v>63.3</v>
      </c>
      <c r="AZ325" s="311">
        <v>44.309999999999995</v>
      </c>
      <c r="BA325" s="317" t="s">
        <v>2985</v>
      </c>
      <c r="BB325" s="94" t="s">
        <v>2985</v>
      </c>
      <c r="BC325" s="426">
        <v>34.5</v>
      </c>
      <c r="BD325" s="348" t="s">
        <v>3544</v>
      </c>
      <c r="BE325" s="312">
        <v>100</v>
      </c>
      <c r="BF325" s="307"/>
      <c r="BG325" s="307">
        <v>400</v>
      </c>
      <c r="BH325" s="390">
        <v>22.222222222222221</v>
      </c>
      <c r="BI325" s="303">
        <v>99</v>
      </c>
      <c r="BJ325" s="323">
        <v>1</v>
      </c>
      <c r="BK325" s="324">
        <v>30</v>
      </c>
      <c r="BL325" s="324">
        <v>30</v>
      </c>
      <c r="BM325" s="317" t="s">
        <v>2985</v>
      </c>
      <c r="BN325" s="307">
        <v>40</v>
      </c>
      <c r="BO325" s="259" t="s">
        <v>2985</v>
      </c>
      <c r="BP325" s="325"/>
      <c r="BS325" s="321"/>
    </row>
    <row r="326" spans="1:71" s="322" customFormat="1" ht="15" customHeight="1">
      <c r="A326" s="336">
        <v>1625</v>
      </c>
      <c r="B326" s="534" t="s">
        <v>3609</v>
      </c>
      <c r="C326" s="383"/>
      <c r="D326" s="383"/>
      <c r="E326" s="469"/>
      <c r="F326" s="303" t="s">
        <v>2182</v>
      </c>
      <c r="G326" s="386" t="s">
        <v>2718</v>
      </c>
      <c r="H326" s="456" t="s">
        <v>119</v>
      </c>
      <c r="I326" s="338" t="s">
        <v>3377</v>
      </c>
      <c r="J326" s="324">
        <v>1998</v>
      </c>
      <c r="K326" s="304">
        <v>354</v>
      </c>
      <c r="L326" s="303" t="s">
        <v>1738</v>
      </c>
      <c r="M326" s="304" t="s">
        <v>1751</v>
      </c>
      <c r="N326" s="446">
        <f t="shared" si="65"/>
        <v>0.31249999999999994</v>
      </c>
      <c r="O326" s="349">
        <v>0.37499999999999994</v>
      </c>
      <c r="P326" s="329">
        <v>3.9</v>
      </c>
      <c r="Q326" s="310">
        <f t="shared" si="66"/>
        <v>3.2499999999999996</v>
      </c>
      <c r="R326" s="377">
        <f t="shared" si="67"/>
        <v>142.62927219857556</v>
      </c>
      <c r="S326" s="312">
        <v>380.34472586286824</v>
      </c>
      <c r="T326" s="377">
        <f t="shared" si="68"/>
        <v>456.41367103544189</v>
      </c>
      <c r="U326" s="377">
        <f t="shared" si="64"/>
        <v>1483.344430865186</v>
      </c>
      <c r="V326" s="495">
        <v>1074.058</v>
      </c>
      <c r="W326" s="496">
        <f t="shared" si="70"/>
        <v>409.28643086518605</v>
      </c>
      <c r="X326" s="313" t="s">
        <v>12</v>
      </c>
      <c r="Y326" s="307" t="s">
        <v>12</v>
      </c>
      <c r="Z326" s="311" t="s">
        <v>3618</v>
      </c>
      <c r="AA326" s="311" t="s">
        <v>3550</v>
      </c>
      <c r="AB326" s="304" t="s">
        <v>523</v>
      </c>
      <c r="AC326" s="518" t="s">
        <v>2315</v>
      </c>
      <c r="AD326" s="507" t="s">
        <v>2310</v>
      </c>
      <c r="AE326" s="239" t="s">
        <v>2319</v>
      </c>
      <c r="AF326" s="307" t="s">
        <v>2308</v>
      </c>
      <c r="AG326" s="262" t="s">
        <v>2985</v>
      </c>
      <c r="AH326" s="344">
        <v>80</v>
      </c>
      <c r="AI326" s="312">
        <v>0</v>
      </c>
      <c r="AJ326" s="394">
        <v>0</v>
      </c>
      <c r="AK326" s="315">
        <v>0</v>
      </c>
      <c r="AL326" s="315">
        <v>0</v>
      </c>
      <c r="AM326" s="315">
        <v>0</v>
      </c>
      <c r="AN326" s="312">
        <v>0</v>
      </c>
      <c r="AO326" s="312">
        <v>0</v>
      </c>
      <c r="AP326" s="311">
        <v>20</v>
      </c>
      <c r="AQ326" s="307">
        <v>0</v>
      </c>
      <c r="AR326" s="307">
        <v>0</v>
      </c>
      <c r="AS326" s="307">
        <v>0</v>
      </c>
      <c r="AT326" s="312">
        <v>0</v>
      </c>
      <c r="AU326" s="307">
        <v>0</v>
      </c>
      <c r="AV326" s="307">
        <v>0</v>
      </c>
      <c r="AW326" s="307">
        <v>0</v>
      </c>
      <c r="AX326" s="304">
        <v>0</v>
      </c>
      <c r="AY326" s="303">
        <v>78.2</v>
      </c>
      <c r="AZ326" s="311">
        <v>54.74</v>
      </c>
      <c r="BA326" s="317" t="s">
        <v>2985</v>
      </c>
      <c r="BB326" s="94" t="s">
        <v>2985</v>
      </c>
      <c r="BC326" s="355" t="s">
        <v>2985</v>
      </c>
      <c r="BD326" s="348" t="s">
        <v>3544</v>
      </c>
      <c r="BE326" s="312">
        <v>100</v>
      </c>
      <c r="BF326" s="307"/>
      <c r="BG326" s="307">
        <v>400</v>
      </c>
      <c r="BH326" s="390">
        <v>22.222222222222221</v>
      </c>
      <c r="BI326" s="303">
        <v>99</v>
      </c>
      <c r="BJ326" s="323">
        <v>1</v>
      </c>
      <c r="BK326" s="307">
        <v>30</v>
      </c>
      <c r="BL326" s="324">
        <v>30</v>
      </c>
      <c r="BM326" s="317" t="s">
        <v>2985</v>
      </c>
      <c r="BN326" s="307">
        <v>40</v>
      </c>
      <c r="BO326" s="259" t="s">
        <v>2985</v>
      </c>
      <c r="BP326" s="325"/>
      <c r="BS326" s="321"/>
    </row>
    <row r="327" spans="1:71" s="322" customFormat="1">
      <c r="A327" s="336">
        <v>1626</v>
      </c>
      <c r="B327" s="534" t="s">
        <v>3609</v>
      </c>
      <c r="C327" s="383"/>
      <c r="D327" s="383"/>
      <c r="E327" s="469"/>
      <c r="F327" s="303" t="s">
        <v>2183</v>
      </c>
      <c r="G327" s="386" t="s">
        <v>2718</v>
      </c>
      <c r="H327" s="456" t="s">
        <v>119</v>
      </c>
      <c r="I327" s="338" t="s">
        <v>3377</v>
      </c>
      <c r="J327" s="324">
        <v>1998</v>
      </c>
      <c r="K327" s="304">
        <v>354</v>
      </c>
      <c r="L327" s="303" t="s">
        <v>1738</v>
      </c>
      <c r="M327" s="304" t="s">
        <v>1751</v>
      </c>
      <c r="N327" s="446">
        <f t="shared" si="65"/>
        <v>0.3125</v>
      </c>
      <c r="O327" s="349">
        <v>0.37499999999999994</v>
      </c>
      <c r="P327" s="329">
        <v>3.95</v>
      </c>
      <c r="Q327" s="310">
        <f t="shared" si="66"/>
        <v>3.291666666666667</v>
      </c>
      <c r="R327" s="377">
        <f t="shared" si="67"/>
        <v>141.43421300068954</v>
      </c>
      <c r="S327" s="312">
        <v>377.15790133517214</v>
      </c>
      <c r="T327" s="377">
        <f t="shared" si="68"/>
        <v>452.58948160220655</v>
      </c>
      <c r="U327" s="377">
        <f t="shared" si="64"/>
        <v>1489.77371027393</v>
      </c>
      <c r="V327" s="495">
        <v>1073.491</v>
      </c>
      <c r="W327" s="496">
        <f t="shared" si="70"/>
        <v>416.28271027392998</v>
      </c>
      <c r="X327" s="313" t="s">
        <v>12</v>
      </c>
      <c r="Y327" s="307" t="s">
        <v>12</v>
      </c>
      <c r="Z327" s="311" t="s">
        <v>3618</v>
      </c>
      <c r="AA327" s="516" t="s">
        <v>3555</v>
      </c>
      <c r="AB327" s="304" t="s">
        <v>523</v>
      </c>
      <c r="AC327" s="518" t="s">
        <v>2315</v>
      </c>
      <c r="AD327" s="507" t="s">
        <v>2310</v>
      </c>
      <c r="AE327" s="239" t="s">
        <v>2319</v>
      </c>
      <c r="AF327" s="307" t="s">
        <v>2308</v>
      </c>
      <c r="AG327" s="262" t="s">
        <v>2985</v>
      </c>
      <c r="AH327" s="344">
        <v>80</v>
      </c>
      <c r="AI327" s="377">
        <v>20</v>
      </c>
      <c r="AJ327" s="394">
        <v>0</v>
      </c>
      <c r="AK327" s="315">
        <v>0</v>
      </c>
      <c r="AL327" s="315">
        <v>0</v>
      </c>
      <c r="AM327" s="315">
        <v>0</v>
      </c>
      <c r="AN327" s="312">
        <v>0</v>
      </c>
      <c r="AO327" s="312">
        <v>0</v>
      </c>
      <c r="AP327" s="307">
        <v>0</v>
      </c>
      <c r="AQ327" s="307">
        <v>0</v>
      </c>
      <c r="AR327" s="307">
        <v>0</v>
      </c>
      <c r="AS327" s="307">
        <v>0</v>
      </c>
      <c r="AT327" s="312">
        <v>0</v>
      </c>
      <c r="AU327" s="307">
        <v>0</v>
      </c>
      <c r="AV327" s="307">
        <v>0</v>
      </c>
      <c r="AW327" s="307">
        <v>0</v>
      </c>
      <c r="AX327" s="304">
        <v>0</v>
      </c>
      <c r="AY327" s="303">
        <v>89.2</v>
      </c>
      <c r="AZ327" s="311">
        <v>62.44</v>
      </c>
      <c r="BA327" s="317" t="s">
        <v>2985</v>
      </c>
      <c r="BB327" s="94" t="s">
        <v>2985</v>
      </c>
      <c r="BC327" s="355" t="s">
        <v>2985</v>
      </c>
      <c r="BD327" s="348" t="s">
        <v>3544</v>
      </c>
      <c r="BE327" s="312">
        <v>100</v>
      </c>
      <c r="BF327" s="307"/>
      <c r="BG327" s="307">
        <v>400</v>
      </c>
      <c r="BH327" s="390">
        <v>22.222222222222221</v>
      </c>
      <c r="BI327" s="303">
        <v>99</v>
      </c>
      <c r="BJ327" s="323">
        <v>1</v>
      </c>
      <c r="BK327" s="307">
        <v>30</v>
      </c>
      <c r="BL327" s="324">
        <v>30</v>
      </c>
      <c r="BM327" s="317" t="s">
        <v>2985</v>
      </c>
      <c r="BN327" s="307">
        <v>40</v>
      </c>
      <c r="BO327" s="259" t="s">
        <v>2985</v>
      </c>
      <c r="BP327" s="325"/>
      <c r="BS327" s="321"/>
    </row>
    <row r="328" spans="1:71" s="322" customFormat="1">
      <c r="A328" s="336">
        <v>1627</v>
      </c>
      <c r="B328" s="534" t="s">
        <v>3609</v>
      </c>
      <c r="C328" s="466" t="s">
        <v>3590</v>
      </c>
      <c r="D328" s="466" t="s">
        <v>3590</v>
      </c>
      <c r="E328" s="469"/>
      <c r="F328" s="303" t="s">
        <v>2184</v>
      </c>
      <c r="G328" s="386" t="s">
        <v>2718</v>
      </c>
      <c r="H328" s="456" t="s">
        <v>119</v>
      </c>
      <c r="I328" s="338" t="s">
        <v>3377</v>
      </c>
      <c r="J328" s="324">
        <v>1998</v>
      </c>
      <c r="K328" s="304">
        <v>354</v>
      </c>
      <c r="L328" s="303" t="s">
        <v>1738</v>
      </c>
      <c r="M328" s="304" t="s">
        <v>1751</v>
      </c>
      <c r="N328" s="446">
        <f t="shared" si="65"/>
        <v>0.3</v>
      </c>
      <c r="O328" s="349">
        <v>0.3</v>
      </c>
      <c r="P328" s="329">
        <v>3.04</v>
      </c>
      <c r="Q328" s="310">
        <f t="shared" si="66"/>
        <v>3.04</v>
      </c>
      <c r="R328" s="377">
        <f t="shared" si="67"/>
        <v>145.4895217624933</v>
      </c>
      <c r="S328" s="312">
        <v>484.9650725416443</v>
      </c>
      <c r="T328" s="377">
        <f t="shared" si="68"/>
        <v>484.9650725416443</v>
      </c>
      <c r="U328" s="377">
        <f t="shared" si="64"/>
        <v>1474.2938205265987</v>
      </c>
      <c r="V328" s="495">
        <v>1075.193</v>
      </c>
      <c r="W328" s="496">
        <f t="shared" si="70"/>
        <v>399.10082052659868</v>
      </c>
      <c r="X328" s="313" t="s">
        <v>12</v>
      </c>
      <c r="Y328" s="307" t="s">
        <v>12</v>
      </c>
      <c r="Z328" s="311" t="s">
        <v>3618</v>
      </c>
      <c r="AA328" s="311" t="s">
        <v>1754</v>
      </c>
      <c r="AB328" s="304" t="s">
        <v>523</v>
      </c>
      <c r="AC328" s="518" t="s">
        <v>2315</v>
      </c>
      <c r="AD328" s="507" t="s">
        <v>2310</v>
      </c>
      <c r="AE328" s="239" t="s">
        <v>2319</v>
      </c>
      <c r="AF328" s="307" t="s">
        <v>2308</v>
      </c>
      <c r="AG328" s="262" t="s">
        <v>2985</v>
      </c>
      <c r="AH328" s="344">
        <v>100</v>
      </c>
      <c r="AI328" s="312">
        <v>0</v>
      </c>
      <c r="AJ328" s="394">
        <v>0</v>
      </c>
      <c r="AK328" s="315">
        <v>0</v>
      </c>
      <c r="AL328" s="315">
        <v>0</v>
      </c>
      <c r="AM328" s="315">
        <v>0</v>
      </c>
      <c r="AN328" s="312">
        <v>0</v>
      </c>
      <c r="AO328" s="312">
        <v>0</v>
      </c>
      <c r="AP328" s="307">
        <v>0</v>
      </c>
      <c r="AQ328" s="307">
        <v>0</v>
      </c>
      <c r="AR328" s="307">
        <v>0</v>
      </c>
      <c r="AS328" s="307">
        <v>0</v>
      </c>
      <c r="AT328" s="312">
        <v>0</v>
      </c>
      <c r="AU328" s="403">
        <v>1.2500000000000001E-2</v>
      </c>
      <c r="AV328" s="307">
        <v>0</v>
      </c>
      <c r="AW328" s="307">
        <v>0</v>
      </c>
      <c r="AX328" s="304">
        <v>0</v>
      </c>
      <c r="AY328" s="303">
        <v>63.3</v>
      </c>
      <c r="AZ328" s="311">
        <v>44.309999999999995</v>
      </c>
      <c r="BA328" s="317" t="s">
        <v>2985</v>
      </c>
      <c r="BB328" s="94" t="s">
        <v>2985</v>
      </c>
      <c r="BC328" s="426">
        <v>34.5</v>
      </c>
      <c r="BD328" s="348" t="s">
        <v>3544</v>
      </c>
      <c r="BE328" s="312">
        <v>100</v>
      </c>
      <c r="BF328" s="307"/>
      <c r="BG328" s="307">
        <v>400</v>
      </c>
      <c r="BH328" s="390">
        <v>22.222222222222221</v>
      </c>
      <c r="BI328" s="303">
        <v>99</v>
      </c>
      <c r="BJ328" s="323">
        <v>1</v>
      </c>
      <c r="BK328" s="307">
        <v>30</v>
      </c>
      <c r="BL328" s="324">
        <v>30</v>
      </c>
      <c r="BM328" s="317" t="s">
        <v>2985</v>
      </c>
      <c r="BN328" s="307">
        <v>40</v>
      </c>
      <c r="BO328" s="259" t="s">
        <v>2985</v>
      </c>
      <c r="BP328" s="325"/>
      <c r="BS328" s="321"/>
    </row>
    <row r="329" spans="1:71" s="322" customFormat="1" ht="18">
      <c r="A329" s="336">
        <v>1628</v>
      </c>
      <c r="B329" s="533" t="s">
        <v>3634</v>
      </c>
      <c r="C329" s="466" t="s">
        <v>3590</v>
      </c>
      <c r="D329" s="466" t="s">
        <v>3590</v>
      </c>
      <c r="E329" s="469"/>
      <c r="F329" s="303" t="s">
        <v>2185</v>
      </c>
      <c r="G329" s="386" t="s">
        <v>2718</v>
      </c>
      <c r="H329" s="456" t="s">
        <v>119</v>
      </c>
      <c r="I329" s="338" t="s">
        <v>3377</v>
      </c>
      <c r="J329" s="324">
        <v>1998</v>
      </c>
      <c r="K329" s="304">
        <v>354</v>
      </c>
      <c r="L329" s="303" t="s">
        <v>1738</v>
      </c>
      <c r="M329" s="304" t="s">
        <v>1751</v>
      </c>
      <c r="N329" s="446">
        <f t="shared" si="65"/>
        <v>0.28499999999999998</v>
      </c>
      <c r="O329" s="349">
        <v>0.28499999999999998</v>
      </c>
      <c r="P329" s="329">
        <v>3.04</v>
      </c>
      <c r="Q329" s="310">
        <f t="shared" si="66"/>
        <v>3.04</v>
      </c>
      <c r="R329" s="377">
        <f t="shared" si="67"/>
        <v>138.21504567436861</v>
      </c>
      <c r="S329" s="312">
        <v>484.9650725416443</v>
      </c>
      <c r="T329" s="377">
        <f t="shared" si="68"/>
        <v>484.9650725416443</v>
      </c>
      <c r="U329" s="377">
        <f t="shared" si="64"/>
        <v>1474.2938205265987</v>
      </c>
      <c r="V329" s="495">
        <v>1068.6579999999999</v>
      </c>
      <c r="W329" s="496">
        <f t="shared" si="70"/>
        <v>405.63582052659876</v>
      </c>
      <c r="X329" s="313" t="s">
        <v>12</v>
      </c>
      <c r="Y329" s="307" t="s">
        <v>12</v>
      </c>
      <c r="Z329" s="314" t="s">
        <v>2985</v>
      </c>
      <c r="AA329" s="311" t="s">
        <v>1754</v>
      </c>
      <c r="AB329" s="304" t="s">
        <v>523</v>
      </c>
      <c r="AC329" s="518" t="s">
        <v>2315</v>
      </c>
      <c r="AD329" s="507" t="s">
        <v>2310</v>
      </c>
      <c r="AE329" s="239" t="s">
        <v>2319</v>
      </c>
      <c r="AF329" s="307" t="s">
        <v>2308</v>
      </c>
      <c r="AG329" s="262" t="s">
        <v>2985</v>
      </c>
      <c r="AH329" s="344">
        <v>100</v>
      </c>
      <c r="AI329" s="312">
        <v>0</v>
      </c>
      <c r="AJ329" s="394">
        <v>0</v>
      </c>
      <c r="AK329" s="315">
        <v>0</v>
      </c>
      <c r="AL329" s="315">
        <v>0</v>
      </c>
      <c r="AM329" s="315">
        <v>0</v>
      </c>
      <c r="AN329" s="312">
        <v>0</v>
      </c>
      <c r="AO329" s="312">
        <v>0</v>
      </c>
      <c r="AP329" s="307">
        <v>0</v>
      </c>
      <c r="AQ329" s="307">
        <v>0</v>
      </c>
      <c r="AR329" s="307">
        <v>0</v>
      </c>
      <c r="AS329" s="307">
        <v>0</v>
      </c>
      <c r="AT329" s="312">
        <v>0</v>
      </c>
      <c r="AU329" s="307">
        <v>0</v>
      </c>
      <c r="AV329" s="311">
        <v>2</v>
      </c>
      <c r="AW329" s="307">
        <v>0</v>
      </c>
      <c r="AX329" s="304">
        <v>0</v>
      </c>
      <c r="AY329" s="303">
        <v>54.8</v>
      </c>
      <c r="AZ329" s="311"/>
      <c r="BA329" s="317" t="s">
        <v>2985</v>
      </c>
      <c r="BB329" s="94" t="s">
        <v>2985</v>
      </c>
      <c r="BC329" s="355" t="s">
        <v>2985</v>
      </c>
      <c r="BD329" s="348" t="s">
        <v>3544</v>
      </c>
      <c r="BE329" s="312">
        <v>100</v>
      </c>
      <c r="BF329" s="307"/>
      <c r="BG329" s="307">
        <v>400</v>
      </c>
      <c r="BH329" s="390">
        <v>22.222222222222221</v>
      </c>
      <c r="BI329" s="303">
        <v>99</v>
      </c>
      <c r="BJ329" s="323">
        <v>1</v>
      </c>
      <c r="BK329" s="324">
        <v>30</v>
      </c>
      <c r="BL329" s="324">
        <v>30</v>
      </c>
      <c r="BM329" s="317" t="s">
        <v>2985</v>
      </c>
      <c r="BN329" s="307">
        <v>40</v>
      </c>
      <c r="BO329" s="259" t="s">
        <v>2985</v>
      </c>
      <c r="BP329" s="325"/>
      <c r="BS329" s="321"/>
    </row>
    <row r="330" spans="1:71" s="322" customFormat="1">
      <c r="A330" s="336">
        <v>1629</v>
      </c>
      <c r="B330" s="533" t="s">
        <v>3614</v>
      </c>
      <c r="C330" s="466" t="s">
        <v>3590</v>
      </c>
      <c r="D330" s="466" t="s">
        <v>3590</v>
      </c>
      <c r="E330" s="469"/>
      <c r="F330" s="303" t="s">
        <v>2186</v>
      </c>
      <c r="G330" s="386" t="s">
        <v>2718</v>
      </c>
      <c r="H330" s="456" t="s">
        <v>119</v>
      </c>
      <c r="I330" s="338" t="s">
        <v>3377</v>
      </c>
      <c r="J330" s="324">
        <v>1998</v>
      </c>
      <c r="K330" s="304">
        <v>354</v>
      </c>
      <c r="L330" s="303" t="s">
        <v>1738</v>
      </c>
      <c r="M330" s="304" t="s">
        <v>1751</v>
      </c>
      <c r="N330" s="446">
        <f t="shared" si="65"/>
        <v>0.5</v>
      </c>
      <c r="O330" s="349">
        <v>0.5</v>
      </c>
      <c r="P330" s="329">
        <v>4</v>
      </c>
      <c r="Q330" s="310">
        <f t="shared" si="66"/>
        <v>4</v>
      </c>
      <c r="R330" s="377">
        <f t="shared" si="67"/>
        <v>188.02500000000001</v>
      </c>
      <c r="S330" s="312">
        <v>376.05</v>
      </c>
      <c r="T330" s="377">
        <f t="shared" si="68"/>
        <v>376.05</v>
      </c>
      <c r="U330" s="377">
        <f t="shared" ref="U330:U361" si="71">P330*S330</f>
        <v>1504.2</v>
      </c>
      <c r="V330" s="495">
        <v>1148.712</v>
      </c>
      <c r="W330" s="496">
        <f t="shared" si="70"/>
        <v>355.48800000000006</v>
      </c>
      <c r="X330" s="313" t="s">
        <v>12</v>
      </c>
      <c r="Y330" s="307" t="s">
        <v>12</v>
      </c>
      <c r="Z330" s="314" t="s">
        <v>2985</v>
      </c>
      <c r="AA330" s="311" t="s">
        <v>1754</v>
      </c>
      <c r="AB330" s="304" t="s">
        <v>523</v>
      </c>
      <c r="AC330" s="518" t="s">
        <v>2315</v>
      </c>
      <c r="AD330" s="507" t="s">
        <v>2310</v>
      </c>
      <c r="AE330" s="239" t="s">
        <v>2319</v>
      </c>
      <c r="AF330" s="307" t="s">
        <v>2308</v>
      </c>
      <c r="AG330" s="262" t="s">
        <v>2985</v>
      </c>
      <c r="AH330" s="344">
        <v>100</v>
      </c>
      <c r="AI330" s="312">
        <v>0</v>
      </c>
      <c r="AJ330" s="394">
        <v>0</v>
      </c>
      <c r="AK330" s="315">
        <v>0</v>
      </c>
      <c r="AL330" s="315">
        <v>0</v>
      </c>
      <c r="AM330" s="315">
        <v>0</v>
      </c>
      <c r="AN330" s="312">
        <v>0</v>
      </c>
      <c r="AO330" s="312">
        <v>0</v>
      </c>
      <c r="AP330" s="307">
        <v>0</v>
      </c>
      <c r="AQ330" s="307">
        <v>0</v>
      </c>
      <c r="AR330" s="307">
        <v>0</v>
      </c>
      <c r="AS330" s="307">
        <v>0</v>
      </c>
      <c r="AT330" s="312">
        <v>0</v>
      </c>
      <c r="AU330" s="307">
        <v>0</v>
      </c>
      <c r="AV330" s="307">
        <v>0</v>
      </c>
      <c r="AW330" s="307">
        <v>0</v>
      </c>
      <c r="AX330" s="304">
        <v>0</v>
      </c>
      <c r="AY330" s="303">
        <v>35.9</v>
      </c>
      <c r="AZ330" s="311"/>
      <c r="BA330" s="317" t="s">
        <v>2985</v>
      </c>
      <c r="BB330" s="94" t="s">
        <v>2985</v>
      </c>
      <c r="BC330" s="355" t="s">
        <v>2985</v>
      </c>
      <c r="BD330" s="348" t="s">
        <v>3544</v>
      </c>
      <c r="BE330" s="312">
        <v>100</v>
      </c>
      <c r="BF330" s="307"/>
      <c r="BG330" s="307">
        <v>400</v>
      </c>
      <c r="BH330" s="390">
        <v>22.222222222222221</v>
      </c>
      <c r="BI330" s="303">
        <v>99</v>
      </c>
      <c r="BJ330" s="323">
        <v>1</v>
      </c>
      <c r="BK330" s="307">
        <v>30</v>
      </c>
      <c r="BL330" s="324">
        <v>30</v>
      </c>
      <c r="BM330" s="317" t="s">
        <v>2985</v>
      </c>
      <c r="BN330" s="307">
        <v>40</v>
      </c>
      <c r="BO330" s="259" t="s">
        <v>2985</v>
      </c>
      <c r="BP330" s="325"/>
      <c r="BS330" s="321"/>
    </row>
    <row r="331" spans="1:71" s="322" customFormat="1">
      <c r="A331" s="336">
        <v>1630</v>
      </c>
      <c r="B331" s="533" t="s">
        <v>3614</v>
      </c>
      <c r="C331" s="466" t="s">
        <v>3590</v>
      </c>
      <c r="D331" s="466" t="s">
        <v>3590</v>
      </c>
      <c r="E331" s="469"/>
      <c r="F331" s="303" t="s">
        <v>2187</v>
      </c>
      <c r="G331" s="386" t="s">
        <v>2718</v>
      </c>
      <c r="H331" s="456" t="s">
        <v>119</v>
      </c>
      <c r="I331" s="338" t="s">
        <v>3377</v>
      </c>
      <c r="J331" s="324">
        <v>1998</v>
      </c>
      <c r="K331" s="304">
        <v>354</v>
      </c>
      <c r="L331" s="303" t="s">
        <v>1738</v>
      </c>
      <c r="M331" s="304" t="s">
        <v>1751</v>
      </c>
      <c r="N331" s="446">
        <f t="shared" si="65"/>
        <v>0.47499999999999998</v>
      </c>
      <c r="O331" s="349">
        <v>0.47499999999999998</v>
      </c>
      <c r="P331" s="329">
        <v>4</v>
      </c>
      <c r="Q331" s="310">
        <f t="shared" si="66"/>
        <v>4</v>
      </c>
      <c r="R331" s="377">
        <f t="shared" si="67"/>
        <v>178.62375</v>
      </c>
      <c r="S331" s="312">
        <v>376.05</v>
      </c>
      <c r="T331" s="377">
        <f t="shared" si="68"/>
        <v>376.05</v>
      </c>
      <c r="U331" s="377">
        <f t="shared" si="71"/>
        <v>1504.2</v>
      </c>
      <c r="V331" s="495">
        <v>1137.82</v>
      </c>
      <c r="W331" s="496">
        <f t="shared" si="70"/>
        <v>366.38000000000011</v>
      </c>
      <c r="X331" s="313" t="s">
        <v>12</v>
      </c>
      <c r="Y331" s="307" t="s">
        <v>12</v>
      </c>
      <c r="Z331" s="314" t="s">
        <v>2985</v>
      </c>
      <c r="AA331" s="311" t="s">
        <v>1754</v>
      </c>
      <c r="AB331" s="304" t="s">
        <v>523</v>
      </c>
      <c r="AC331" s="518" t="s">
        <v>2315</v>
      </c>
      <c r="AD331" s="507" t="s">
        <v>2310</v>
      </c>
      <c r="AE331" s="239" t="s">
        <v>2319</v>
      </c>
      <c r="AF331" s="307" t="s">
        <v>2308</v>
      </c>
      <c r="AG331" s="262" t="s">
        <v>2985</v>
      </c>
      <c r="AH331" s="344">
        <v>100</v>
      </c>
      <c r="AI331" s="312">
        <v>0</v>
      </c>
      <c r="AJ331" s="394">
        <v>0</v>
      </c>
      <c r="AK331" s="315">
        <v>0</v>
      </c>
      <c r="AL331" s="315">
        <v>0</v>
      </c>
      <c r="AM331" s="315">
        <v>0</v>
      </c>
      <c r="AN331" s="312">
        <v>0</v>
      </c>
      <c r="AO331" s="312">
        <v>0</v>
      </c>
      <c r="AP331" s="307">
        <v>0</v>
      </c>
      <c r="AQ331" s="307">
        <v>0</v>
      </c>
      <c r="AR331" s="307">
        <v>0</v>
      </c>
      <c r="AS331" s="307">
        <v>0</v>
      </c>
      <c r="AT331" s="312">
        <v>0</v>
      </c>
      <c r="AU331" s="307">
        <v>0</v>
      </c>
      <c r="AV331" s="311">
        <v>2.5</v>
      </c>
      <c r="AW331" s="307">
        <v>0</v>
      </c>
      <c r="AX331" s="304">
        <v>0</v>
      </c>
      <c r="AY331" s="303">
        <v>35.700000000000003</v>
      </c>
      <c r="AZ331" s="311"/>
      <c r="BA331" s="317" t="s">
        <v>2985</v>
      </c>
      <c r="BB331" s="94" t="s">
        <v>2985</v>
      </c>
      <c r="BC331" s="355" t="s">
        <v>2985</v>
      </c>
      <c r="BD331" s="348" t="s">
        <v>3544</v>
      </c>
      <c r="BE331" s="312">
        <v>100</v>
      </c>
      <c r="BF331" s="307"/>
      <c r="BG331" s="307">
        <v>400</v>
      </c>
      <c r="BH331" s="390">
        <v>22.222222222222221</v>
      </c>
      <c r="BI331" s="303">
        <v>99</v>
      </c>
      <c r="BJ331" s="323">
        <v>1</v>
      </c>
      <c r="BK331" s="324">
        <v>30</v>
      </c>
      <c r="BL331" s="324">
        <v>30</v>
      </c>
      <c r="BM331" s="317" t="s">
        <v>2985</v>
      </c>
      <c r="BN331" s="307">
        <v>40</v>
      </c>
      <c r="BO331" s="259" t="s">
        <v>2985</v>
      </c>
      <c r="BP331" s="325"/>
      <c r="BS331" s="321"/>
    </row>
    <row r="332" spans="1:71" s="322" customFormat="1" ht="18">
      <c r="A332" s="457">
        <v>1637</v>
      </c>
      <c r="B332" s="533" t="s">
        <v>3634</v>
      </c>
      <c r="C332" s="383"/>
      <c r="D332" s="466" t="s">
        <v>3590</v>
      </c>
      <c r="E332" s="469"/>
      <c r="F332" s="303" t="s">
        <v>2194</v>
      </c>
      <c r="G332" s="386" t="s">
        <v>2719</v>
      </c>
      <c r="H332" s="454" t="s">
        <v>256</v>
      </c>
      <c r="I332" s="338" t="s">
        <v>3377</v>
      </c>
      <c r="J332" s="361">
        <v>2005</v>
      </c>
      <c r="K332" s="341">
        <v>356</v>
      </c>
      <c r="L332" s="340" t="s">
        <v>1745</v>
      </c>
      <c r="M332" s="341" t="s">
        <v>1739</v>
      </c>
      <c r="N332" s="446">
        <f t="shared" si="65"/>
        <v>0.25252525252525254</v>
      </c>
      <c r="O332" s="349">
        <v>0.27777777777777779</v>
      </c>
      <c r="P332" s="329">
        <v>2.8211805555555554</v>
      </c>
      <c r="Q332" s="310">
        <f t="shared" si="66"/>
        <v>2.564709595959596</v>
      </c>
      <c r="R332" s="377">
        <f t="shared" si="67"/>
        <v>160</v>
      </c>
      <c r="S332" s="307">
        <v>576</v>
      </c>
      <c r="T332" s="377">
        <f t="shared" si="68"/>
        <v>633.6</v>
      </c>
      <c r="U332" s="377">
        <f t="shared" si="71"/>
        <v>1625</v>
      </c>
      <c r="V332" s="408" t="s">
        <v>2985</v>
      </c>
      <c r="W332" s="408" t="s">
        <v>2985</v>
      </c>
      <c r="X332" s="313" t="s">
        <v>12</v>
      </c>
      <c r="Y332" s="307" t="s">
        <v>12</v>
      </c>
      <c r="Z332" s="314" t="s">
        <v>2985</v>
      </c>
      <c r="AA332" s="311" t="s">
        <v>3538</v>
      </c>
      <c r="AB332" s="341" t="s">
        <v>273</v>
      </c>
      <c r="AC332" s="161" t="s">
        <v>2985</v>
      </c>
      <c r="AD332" s="511" t="s">
        <v>2320</v>
      </c>
      <c r="AE332" s="214" t="s">
        <v>2306</v>
      </c>
      <c r="AF332" s="316" t="s">
        <v>2985</v>
      </c>
      <c r="AG332" s="262" t="s">
        <v>2985</v>
      </c>
      <c r="AH332" s="344">
        <v>90</v>
      </c>
      <c r="AI332" s="352">
        <v>10</v>
      </c>
      <c r="AJ332" s="395">
        <v>0</v>
      </c>
      <c r="AK332" s="365">
        <v>0</v>
      </c>
      <c r="AL332" s="365">
        <v>0</v>
      </c>
      <c r="AM332" s="365">
        <v>0</v>
      </c>
      <c r="AN332" s="353">
        <v>0</v>
      </c>
      <c r="AO332" s="353">
        <v>0</v>
      </c>
      <c r="AP332" s="348">
        <v>0</v>
      </c>
      <c r="AQ332" s="348">
        <v>0</v>
      </c>
      <c r="AR332" s="348">
        <v>0</v>
      </c>
      <c r="AS332" s="348">
        <v>0</v>
      </c>
      <c r="AT332" s="352">
        <v>1.7999999999999998</v>
      </c>
      <c r="AU332" s="348">
        <v>0</v>
      </c>
      <c r="AV332" s="348">
        <v>0</v>
      </c>
      <c r="AW332" s="348">
        <v>0</v>
      </c>
      <c r="AX332" s="341">
        <v>0</v>
      </c>
      <c r="AY332" s="340">
        <v>56.9</v>
      </c>
      <c r="AZ332" s="348"/>
      <c r="BA332" s="316" t="s">
        <v>2985</v>
      </c>
      <c r="BB332" s="507" t="s">
        <v>2985</v>
      </c>
      <c r="BC332" s="425" t="s">
        <v>521</v>
      </c>
      <c r="BD332" s="348" t="s">
        <v>3544</v>
      </c>
      <c r="BE332" s="353">
        <v>100</v>
      </c>
      <c r="BF332" s="348"/>
      <c r="BG332" s="348">
        <v>400</v>
      </c>
      <c r="BH332" s="390">
        <f>IF(ISBLANK(BF332),(BE332*BG332)/((4*BG332)+(2*BE332)),BE332*BF332*BG332/2/(BE332*BF332+BE332*BG332+BF332*BG332))</f>
        <v>22.222222222222221</v>
      </c>
      <c r="BI332" s="303">
        <v>99</v>
      </c>
      <c r="BJ332" s="725">
        <v>0.37</v>
      </c>
      <c r="BK332" s="307">
        <v>20</v>
      </c>
      <c r="BL332" s="324">
        <v>20</v>
      </c>
      <c r="BM332" s="307">
        <v>0</v>
      </c>
      <c r="BN332" s="307">
        <v>99</v>
      </c>
      <c r="BO332" s="259" t="s">
        <v>2985</v>
      </c>
      <c r="BP332" s="350"/>
      <c r="BS332" s="321"/>
    </row>
    <row r="333" spans="1:71" s="322" customFormat="1">
      <c r="A333" s="457">
        <v>1638</v>
      </c>
      <c r="B333" s="534" t="s">
        <v>3585</v>
      </c>
      <c r="C333" s="383"/>
      <c r="D333" s="466" t="s">
        <v>3590</v>
      </c>
      <c r="E333" s="469"/>
      <c r="F333" s="303" t="s">
        <v>2195</v>
      </c>
      <c r="G333" s="386" t="s">
        <v>2719</v>
      </c>
      <c r="H333" s="454" t="s">
        <v>256</v>
      </c>
      <c r="I333" s="338" t="s">
        <v>3377</v>
      </c>
      <c r="J333" s="361">
        <v>2005</v>
      </c>
      <c r="K333" s="341">
        <v>356</v>
      </c>
      <c r="L333" s="340" t="s">
        <v>1745</v>
      </c>
      <c r="M333" s="341" t="s">
        <v>1739</v>
      </c>
      <c r="N333" s="446">
        <f t="shared" si="65"/>
        <v>0.35813087346106215</v>
      </c>
      <c r="O333" s="349">
        <v>0.39386792452830188</v>
      </c>
      <c r="P333" s="329">
        <v>4.1415094339622645</v>
      </c>
      <c r="Q333" s="310">
        <f t="shared" si="66"/>
        <v>3.7657354119618276</v>
      </c>
      <c r="R333" s="377">
        <f t="shared" si="67"/>
        <v>167</v>
      </c>
      <c r="S333" s="307">
        <v>424</v>
      </c>
      <c r="T333" s="377">
        <f t="shared" si="68"/>
        <v>466.30997876857748</v>
      </c>
      <c r="U333" s="377">
        <f t="shared" si="71"/>
        <v>1756.0000000000002</v>
      </c>
      <c r="V333" s="408" t="s">
        <v>2985</v>
      </c>
      <c r="W333" s="408" t="s">
        <v>2985</v>
      </c>
      <c r="X333" s="313" t="s">
        <v>12</v>
      </c>
      <c r="Y333" s="307" t="s">
        <v>12</v>
      </c>
      <c r="Z333" s="314" t="s">
        <v>2985</v>
      </c>
      <c r="AA333" s="311" t="s">
        <v>3538</v>
      </c>
      <c r="AB333" s="341" t="s">
        <v>273</v>
      </c>
      <c r="AC333" s="161" t="s">
        <v>2985</v>
      </c>
      <c r="AD333" s="511" t="s">
        <v>2312</v>
      </c>
      <c r="AE333" s="214" t="s">
        <v>2306</v>
      </c>
      <c r="AF333" s="316" t="s">
        <v>2985</v>
      </c>
      <c r="AG333" s="262" t="s">
        <v>2985</v>
      </c>
      <c r="AH333" s="344">
        <v>90.021231422505309</v>
      </c>
      <c r="AI333" s="352">
        <v>9.9787685774946926</v>
      </c>
      <c r="AJ333" s="395">
        <v>0</v>
      </c>
      <c r="AK333" s="365">
        <v>0</v>
      </c>
      <c r="AL333" s="365">
        <v>0</v>
      </c>
      <c r="AM333" s="365">
        <v>0</v>
      </c>
      <c r="AN333" s="353">
        <v>0</v>
      </c>
      <c r="AO333" s="353">
        <v>0</v>
      </c>
      <c r="AP333" s="348">
        <v>0</v>
      </c>
      <c r="AQ333" s="348">
        <v>0</v>
      </c>
      <c r="AR333" s="348">
        <v>0</v>
      </c>
      <c r="AS333" s="348">
        <v>0</v>
      </c>
      <c r="AT333" s="352">
        <v>1.7999999999999998</v>
      </c>
      <c r="AU333" s="348">
        <v>0</v>
      </c>
      <c r="AV333" s="348">
        <v>0</v>
      </c>
      <c r="AW333" s="348">
        <v>0</v>
      </c>
      <c r="AX333" s="341">
        <v>0</v>
      </c>
      <c r="AY333" s="340">
        <v>78.25</v>
      </c>
      <c r="AZ333" s="356">
        <v>39.125</v>
      </c>
      <c r="BA333" s="316" t="s">
        <v>2985</v>
      </c>
      <c r="BB333" s="507" t="s">
        <v>2985</v>
      </c>
      <c r="BC333" s="425" t="s">
        <v>521</v>
      </c>
      <c r="BD333" s="348" t="s">
        <v>3544</v>
      </c>
      <c r="BE333" s="353">
        <v>100</v>
      </c>
      <c r="BF333" s="348"/>
      <c r="BG333" s="348">
        <v>400</v>
      </c>
      <c r="BH333" s="390">
        <f>IF(ISBLANK(BF333),(BE333*BG333)/((4*BG333)+(2*BE333)),BE333*BF333*BG333/2/(BE333*BF333+BE333*BG333+BF333*BG333))</f>
        <v>22.222222222222221</v>
      </c>
      <c r="BI333" s="303">
        <v>99</v>
      </c>
      <c r="BJ333" s="725">
        <v>0.41</v>
      </c>
      <c r="BK333" s="307">
        <v>20</v>
      </c>
      <c r="BL333" s="324">
        <v>20</v>
      </c>
      <c r="BM333" s="307">
        <v>0</v>
      </c>
      <c r="BN333" s="307">
        <v>99</v>
      </c>
      <c r="BO333" s="259" t="s">
        <v>2985</v>
      </c>
      <c r="BP333" s="350"/>
      <c r="BS333" s="321"/>
    </row>
    <row r="334" spans="1:71" s="322" customFormat="1">
      <c r="A334" s="457">
        <v>1639</v>
      </c>
      <c r="B334" s="533" t="s">
        <v>3614</v>
      </c>
      <c r="C334" s="383"/>
      <c r="D334" s="466" t="s">
        <v>3590</v>
      </c>
      <c r="E334" s="469"/>
      <c r="F334" s="303" t="s">
        <v>2196</v>
      </c>
      <c r="G334" s="386" t="s">
        <v>2719</v>
      </c>
      <c r="H334" s="454" t="s">
        <v>256</v>
      </c>
      <c r="I334" s="338" t="s">
        <v>3377</v>
      </c>
      <c r="J334" s="361">
        <v>2005</v>
      </c>
      <c r="K334" s="341">
        <v>356</v>
      </c>
      <c r="L334" s="340" t="s">
        <v>1745</v>
      </c>
      <c r="M334" s="341" t="s">
        <v>1739</v>
      </c>
      <c r="N334" s="446">
        <f t="shared" si="65"/>
        <v>0.45432692307692307</v>
      </c>
      <c r="O334" s="349">
        <v>0.5</v>
      </c>
      <c r="P334" s="329">
        <v>5.3617647058823525</v>
      </c>
      <c r="Q334" s="310">
        <f t="shared" si="66"/>
        <v>4.8719881221719454</v>
      </c>
      <c r="R334" s="377">
        <f t="shared" si="67"/>
        <v>170</v>
      </c>
      <c r="S334" s="307">
        <v>340</v>
      </c>
      <c r="T334" s="377">
        <f t="shared" si="68"/>
        <v>374.17989417989418</v>
      </c>
      <c r="U334" s="377">
        <f t="shared" si="71"/>
        <v>1822.9999999999998</v>
      </c>
      <c r="V334" s="408" t="s">
        <v>2985</v>
      </c>
      <c r="W334" s="408" t="s">
        <v>2985</v>
      </c>
      <c r="X334" s="313" t="s">
        <v>12</v>
      </c>
      <c r="Y334" s="307" t="s">
        <v>12</v>
      </c>
      <c r="Z334" s="314" t="s">
        <v>2985</v>
      </c>
      <c r="AA334" s="311" t="s">
        <v>3538</v>
      </c>
      <c r="AB334" s="341" t="s">
        <v>273</v>
      </c>
      <c r="AC334" s="161" t="s">
        <v>2985</v>
      </c>
      <c r="AD334" s="511" t="s">
        <v>2312</v>
      </c>
      <c r="AE334" s="214" t="s">
        <v>2306</v>
      </c>
      <c r="AF334" s="316" t="s">
        <v>2985</v>
      </c>
      <c r="AG334" s="262" t="s">
        <v>2985</v>
      </c>
      <c r="AH334" s="344">
        <v>89.94708994708995</v>
      </c>
      <c r="AI334" s="352">
        <v>10.052910052910054</v>
      </c>
      <c r="AJ334" s="395">
        <v>0</v>
      </c>
      <c r="AK334" s="365">
        <v>0</v>
      </c>
      <c r="AL334" s="365">
        <v>0</v>
      </c>
      <c r="AM334" s="365">
        <v>0</v>
      </c>
      <c r="AN334" s="353">
        <v>0</v>
      </c>
      <c r="AO334" s="353">
        <v>0</v>
      </c>
      <c r="AP334" s="348">
        <v>0</v>
      </c>
      <c r="AQ334" s="348">
        <v>0</v>
      </c>
      <c r="AR334" s="348">
        <v>0</v>
      </c>
      <c r="AS334" s="348">
        <v>0</v>
      </c>
      <c r="AT334" s="352">
        <v>1.4000000000000001</v>
      </c>
      <c r="AU334" s="348">
        <v>0</v>
      </c>
      <c r="AV334" s="348">
        <v>0</v>
      </c>
      <c r="AW334" s="348">
        <v>0</v>
      </c>
      <c r="AX334" s="341">
        <v>0</v>
      </c>
      <c r="AY334" s="340">
        <v>99.6</v>
      </c>
      <c r="AZ334" s="348"/>
      <c r="BA334" s="316" t="s">
        <v>2985</v>
      </c>
      <c r="BB334" s="94" t="s">
        <v>2985</v>
      </c>
      <c r="BC334" s="425" t="s">
        <v>521</v>
      </c>
      <c r="BD334" s="348" t="s">
        <v>3544</v>
      </c>
      <c r="BE334" s="353">
        <v>100</v>
      </c>
      <c r="BF334" s="348"/>
      <c r="BG334" s="348">
        <v>400</v>
      </c>
      <c r="BH334" s="390">
        <f>IF(ISBLANK(BF334),(BE334*BG334)/((4*BG334)+(2*BE334)),BE334*BF334*BG334/2/(BE334*BF334+BE334*BG334+BF334*BG334))</f>
        <v>22.222222222222221</v>
      </c>
      <c r="BI334" s="303">
        <v>99</v>
      </c>
      <c r="BJ334" s="725">
        <v>0.46</v>
      </c>
      <c r="BK334" s="307">
        <v>20</v>
      </c>
      <c r="BL334" s="324">
        <v>20</v>
      </c>
      <c r="BM334" s="307">
        <v>0</v>
      </c>
      <c r="BN334" s="307">
        <v>99</v>
      </c>
      <c r="BO334" s="259" t="s">
        <v>2985</v>
      </c>
      <c r="BP334" s="350"/>
      <c r="BS334" s="321"/>
    </row>
    <row r="335" spans="1:71" s="322" customFormat="1" ht="18">
      <c r="A335" s="336">
        <v>1649</v>
      </c>
      <c r="B335" s="533" t="s">
        <v>3634</v>
      </c>
      <c r="C335" s="383"/>
      <c r="D335" s="466" t="s">
        <v>3590</v>
      </c>
      <c r="E335" s="469"/>
      <c r="F335" s="303" t="s">
        <v>2206</v>
      </c>
      <c r="G335" s="386" t="s">
        <v>2719</v>
      </c>
      <c r="H335" s="456" t="s">
        <v>256</v>
      </c>
      <c r="I335" s="338" t="s">
        <v>3377</v>
      </c>
      <c r="J335" s="324">
        <v>2005</v>
      </c>
      <c r="K335" s="304">
        <v>356</v>
      </c>
      <c r="L335" s="303" t="s">
        <v>1738</v>
      </c>
      <c r="M335" s="304" t="s">
        <v>1751</v>
      </c>
      <c r="N335" s="446">
        <f t="shared" si="65"/>
        <v>0.25252525252525254</v>
      </c>
      <c r="O335" s="349">
        <v>0.27777777777777779</v>
      </c>
      <c r="P335" s="329">
        <v>2.8211805555555554</v>
      </c>
      <c r="Q335" s="310">
        <f t="shared" si="66"/>
        <v>2.564709595959596</v>
      </c>
      <c r="R335" s="377">
        <f t="shared" si="67"/>
        <v>160</v>
      </c>
      <c r="S335" s="307">
        <v>576</v>
      </c>
      <c r="T335" s="377">
        <f t="shared" si="68"/>
        <v>633.6</v>
      </c>
      <c r="U335" s="377">
        <f t="shared" si="71"/>
        <v>1625</v>
      </c>
      <c r="V335" s="495">
        <v>1060.5150000000001</v>
      </c>
      <c r="W335" s="496">
        <f t="shared" ref="W335:W352" si="72">U335-V335</f>
        <v>564.4849999999999</v>
      </c>
      <c r="X335" s="313" t="s">
        <v>12</v>
      </c>
      <c r="Y335" s="307" t="s">
        <v>12</v>
      </c>
      <c r="Z335" s="314" t="s">
        <v>2985</v>
      </c>
      <c r="AA335" s="311" t="s">
        <v>3538</v>
      </c>
      <c r="AB335" s="304" t="s">
        <v>273</v>
      </c>
      <c r="AC335" s="518" t="s">
        <v>3346</v>
      </c>
      <c r="AD335" s="507" t="s">
        <v>2310</v>
      </c>
      <c r="AE335" s="239" t="s">
        <v>2306</v>
      </c>
      <c r="AF335" s="317" t="s">
        <v>2985</v>
      </c>
      <c r="AG335" s="262" t="s">
        <v>2985</v>
      </c>
      <c r="AH335" s="344">
        <v>90</v>
      </c>
      <c r="AI335" s="377">
        <v>10</v>
      </c>
      <c r="AJ335" s="394">
        <v>0</v>
      </c>
      <c r="AK335" s="315">
        <v>0</v>
      </c>
      <c r="AL335" s="315">
        <v>0</v>
      </c>
      <c r="AM335" s="315">
        <v>0</v>
      </c>
      <c r="AN335" s="312">
        <v>0</v>
      </c>
      <c r="AO335" s="312">
        <v>0</v>
      </c>
      <c r="AP335" s="307">
        <v>0</v>
      </c>
      <c r="AQ335" s="307">
        <v>0</v>
      </c>
      <c r="AR335" s="307">
        <v>0</v>
      </c>
      <c r="AS335" s="307">
        <v>0</v>
      </c>
      <c r="AT335" s="377">
        <v>1.7999999999999998</v>
      </c>
      <c r="AU335" s="307">
        <v>0</v>
      </c>
      <c r="AV335" s="307">
        <v>0</v>
      </c>
      <c r="AW335" s="307">
        <v>0</v>
      </c>
      <c r="AX335" s="304">
        <v>0</v>
      </c>
      <c r="AY335" s="303">
        <v>56.9</v>
      </c>
      <c r="AZ335" s="311"/>
      <c r="BA335" s="317" t="s">
        <v>2985</v>
      </c>
      <c r="BB335" s="94" t="s">
        <v>2985</v>
      </c>
      <c r="BC335" s="355" t="s">
        <v>2985</v>
      </c>
      <c r="BD335" s="348" t="s">
        <v>3544</v>
      </c>
      <c r="BE335" s="312">
        <v>100</v>
      </c>
      <c r="BF335" s="307"/>
      <c r="BG335" s="307">
        <v>400</v>
      </c>
      <c r="BH335" s="390">
        <v>22.222222222222221</v>
      </c>
      <c r="BI335" s="303">
        <v>99</v>
      </c>
      <c r="BJ335" s="323">
        <v>0.5</v>
      </c>
      <c r="BK335" s="324">
        <v>20</v>
      </c>
      <c r="BL335" s="324">
        <v>20</v>
      </c>
      <c r="BM335" s="307">
        <v>0</v>
      </c>
      <c r="BN335" s="307">
        <v>60</v>
      </c>
      <c r="BO335" s="259" t="s">
        <v>2985</v>
      </c>
      <c r="BP335" s="325"/>
      <c r="BS335" s="321"/>
    </row>
    <row r="336" spans="1:71" s="322" customFormat="1" ht="18">
      <c r="A336" s="336">
        <v>1650</v>
      </c>
      <c r="B336" s="533" t="s">
        <v>3634</v>
      </c>
      <c r="C336" s="383"/>
      <c r="D336" s="466" t="s">
        <v>3590</v>
      </c>
      <c r="E336" s="469"/>
      <c r="F336" s="303" t="s">
        <v>2207</v>
      </c>
      <c r="G336" s="386" t="s">
        <v>2719</v>
      </c>
      <c r="H336" s="456" t="s">
        <v>256</v>
      </c>
      <c r="I336" s="338" t="s">
        <v>3377</v>
      </c>
      <c r="J336" s="324">
        <v>2005</v>
      </c>
      <c r="K336" s="304">
        <v>356</v>
      </c>
      <c r="L336" s="303" t="s">
        <v>1738</v>
      </c>
      <c r="M336" s="304" t="s">
        <v>1751</v>
      </c>
      <c r="N336" s="446">
        <f t="shared" si="65"/>
        <v>0.25252525252525254</v>
      </c>
      <c r="O336" s="349">
        <v>0.27777777777777779</v>
      </c>
      <c r="P336" s="329">
        <v>2.8211805555555554</v>
      </c>
      <c r="Q336" s="310">
        <f t="shared" si="66"/>
        <v>2.564709595959596</v>
      </c>
      <c r="R336" s="377">
        <f t="shared" si="67"/>
        <v>160</v>
      </c>
      <c r="S336" s="307">
        <v>576</v>
      </c>
      <c r="T336" s="377">
        <f t="shared" si="68"/>
        <v>633.6</v>
      </c>
      <c r="U336" s="377">
        <f t="shared" si="71"/>
        <v>1625</v>
      </c>
      <c r="V336" s="495">
        <v>1060.5150000000001</v>
      </c>
      <c r="W336" s="496">
        <f t="shared" si="72"/>
        <v>564.4849999999999</v>
      </c>
      <c r="X336" s="313" t="s">
        <v>12</v>
      </c>
      <c r="Y336" s="307" t="s">
        <v>12</v>
      </c>
      <c r="Z336" s="314" t="s">
        <v>2985</v>
      </c>
      <c r="AA336" s="311" t="s">
        <v>3538</v>
      </c>
      <c r="AB336" s="304" t="s">
        <v>273</v>
      </c>
      <c r="AC336" s="518" t="s">
        <v>3346</v>
      </c>
      <c r="AD336" s="507" t="s">
        <v>2310</v>
      </c>
      <c r="AE336" s="239" t="s">
        <v>2306</v>
      </c>
      <c r="AF336" s="317" t="s">
        <v>2985</v>
      </c>
      <c r="AG336" s="262" t="s">
        <v>2985</v>
      </c>
      <c r="AH336" s="344">
        <v>90</v>
      </c>
      <c r="AI336" s="377">
        <v>10</v>
      </c>
      <c r="AJ336" s="394">
        <v>0</v>
      </c>
      <c r="AK336" s="315">
        <v>0</v>
      </c>
      <c r="AL336" s="315">
        <v>0</v>
      </c>
      <c r="AM336" s="315">
        <v>0</v>
      </c>
      <c r="AN336" s="312">
        <v>0</v>
      </c>
      <c r="AO336" s="312">
        <v>0</v>
      </c>
      <c r="AP336" s="307">
        <v>0</v>
      </c>
      <c r="AQ336" s="307">
        <v>0</v>
      </c>
      <c r="AR336" s="307">
        <v>0</v>
      </c>
      <c r="AS336" s="307">
        <v>0</v>
      </c>
      <c r="AT336" s="377">
        <v>1.7999999999999998</v>
      </c>
      <c r="AU336" s="307">
        <v>0</v>
      </c>
      <c r="AV336" s="307">
        <v>0</v>
      </c>
      <c r="AW336" s="307">
        <v>0</v>
      </c>
      <c r="AX336" s="304">
        <v>0</v>
      </c>
      <c r="AY336" s="303">
        <v>56.9</v>
      </c>
      <c r="AZ336" s="311"/>
      <c r="BA336" s="317" t="s">
        <v>2985</v>
      </c>
      <c r="BB336" s="94" t="s">
        <v>2985</v>
      </c>
      <c r="BC336" s="355" t="s">
        <v>2985</v>
      </c>
      <c r="BD336" s="348" t="s">
        <v>3544</v>
      </c>
      <c r="BE336" s="312">
        <v>100</v>
      </c>
      <c r="BF336" s="307"/>
      <c r="BG336" s="307">
        <v>400</v>
      </c>
      <c r="BH336" s="390">
        <v>22.222222222222221</v>
      </c>
      <c r="BI336" s="303">
        <v>99</v>
      </c>
      <c r="BJ336" s="323">
        <v>0.5</v>
      </c>
      <c r="BK336" s="307">
        <v>20</v>
      </c>
      <c r="BL336" s="324">
        <v>20</v>
      </c>
      <c r="BM336" s="307">
        <v>0</v>
      </c>
      <c r="BN336" s="307">
        <v>60</v>
      </c>
      <c r="BO336" s="259" t="s">
        <v>2985</v>
      </c>
      <c r="BP336" s="325"/>
      <c r="BS336" s="321"/>
    </row>
    <row r="337" spans="1:71" s="322" customFormat="1" ht="18">
      <c r="A337" s="336">
        <v>1652</v>
      </c>
      <c r="B337" s="533" t="s">
        <v>3634</v>
      </c>
      <c r="C337" s="466" t="s">
        <v>3590</v>
      </c>
      <c r="D337" s="466" t="s">
        <v>3590</v>
      </c>
      <c r="E337" s="469"/>
      <c r="F337" s="303" t="s">
        <v>2209</v>
      </c>
      <c r="G337" s="386" t="s">
        <v>2719</v>
      </c>
      <c r="H337" s="456" t="s">
        <v>256</v>
      </c>
      <c r="I337" s="338" t="s">
        <v>3377</v>
      </c>
      <c r="J337" s="324">
        <v>2005</v>
      </c>
      <c r="K337" s="304">
        <v>356</v>
      </c>
      <c r="L337" s="303" t="s">
        <v>1738</v>
      </c>
      <c r="M337" s="304" t="s">
        <v>1751</v>
      </c>
      <c r="N337" s="446">
        <f t="shared" si="65"/>
        <v>0.25252525252525254</v>
      </c>
      <c r="O337" s="349">
        <v>0.27777777777777779</v>
      </c>
      <c r="P337" s="329">
        <v>2.8211805555555554</v>
      </c>
      <c r="Q337" s="310">
        <f t="shared" si="66"/>
        <v>2.564709595959596</v>
      </c>
      <c r="R337" s="377">
        <f t="shared" si="67"/>
        <v>160</v>
      </c>
      <c r="S337" s="307">
        <v>576</v>
      </c>
      <c r="T337" s="377">
        <f t="shared" si="68"/>
        <v>633.6</v>
      </c>
      <c r="U337" s="377">
        <f t="shared" si="71"/>
        <v>1625</v>
      </c>
      <c r="V337" s="495">
        <v>1060.5150000000001</v>
      </c>
      <c r="W337" s="496">
        <f t="shared" si="72"/>
        <v>564.4849999999999</v>
      </c>
      <c r="X337" s="313" t="s">
        <v>12</v>
      </c>
      <c r="Y337" s="307" t="s">
        <v>12</v>
      </c>
      <c r="Z337" s="314" t="s">
        <v>2985</v>
      </c>
      <c r="AA337" s="311" t="s">
        <v>3538</v>
      </c>
      <c r="AB337" s="304" t="s">
        <v>273</v>
      </c>
      <c r="AC337" s="518" t="s">
        <v>3346</v>
      </c>
      <c r="AD337" s="507" t="s">
        <v>2310</v>
      </c>
      <c r="AE337" s="239" t="s">
        <v>2306</v>
      </c>
      <c r="AF337" s="317" t="s">
        <v>2985</v>
      </c>
      <c r="AG337" s="262" t="s">
        <v>2985</v>
      </c>
      <c r="AH337" s="344">
        <v>90</v>
      </c>
      <c r="AI337" s="377">
        <v>10</v>
      </c>
      <c r="AJ337" s="394">
        <v>0</v>
      </c>
      <c r="AK337" s="315">
        <v>0</v>
      </c>
      <c r="AL337" s="315">
        <v>0</v>
      </c>
      <c r="AM337" s="315">
        <v>0</v>
      </c>
      <c r="AN337" s="312">
        <v>0</v>
      </c>
      <c r="AO337" s="312">
        <v>0</v>
      </c>
      <c r="AP337" s="307">
        <v>0</v>
      </c>
      <c r="AQ337" s="307">
        <v>0</v>
      </c>
      <c r="AR337" s="307">
        <v>0</v>
      </c>
      <c r="AS337" s="307">
        <v>0</v>
      </c>
      <c r="AT337" s="377">
        <v>1.7999999999999998</v>
      </c>
      <c r="AU337" s="307">
        <v>0</v>
      </c>
      <c r="AV337" s="307">
        <v>0</v>
      </c>
      <c r="AW337" s="307">
        <v>0</v>
      </c>
      <c r="AX337" s="304">
        <v>0</v>
      </c>
      <c r="AY337" s="303">
        <v>56.9</v>
      </c>
      <c r="AZ337" s="311"/>
      <c r="BA337" s="317" t="s">
        <v>2985</v>
      </c>
      <c r="BB337" s="94" t="s">
        <v>2985</v>
      </c>
      <c r="BC337" s="355" t="s">
        <v>2985</v>
      </c>
      <c r="BD337" s="348" t="s">
        <v>3544</v>
      </c>
      <c r="BE337" s="312">
        <v>100</v>
      </c>
      <c r="BF337" s="307"/>
      <c r="BG337" s="307">
        <v>400</v>
      </c>
      <c r="BH337" s="390">
        <v>22.222222222222221</v>
      </c>
      <c r="BI337" s="303">
        <v>99</v>
      </c>
      <c r="BJ337" s="323">
        <v>1</v>
      </c>
      <c r="BK337" s="307">
        <v>20</v>
      </c>
      <c r="BL337" s="324">
        <v>20</v>
      </c>
      <c r="BM337" s="307">
        <v>0</v>
      </c>
      <c r="BN337" s="307">
        <v>60</v>
      </c>
      <c r="BO337" s="259" t="s">
        <v>2985</v>
      </c>
      <c r="BP337" s="325"/>
      <c r="BS337" s="321"/>
    </row>
    <row r="338" spans="1:71" s="322" customFormat="1" ht="18">
      <c r="A338" s="336">
        <v>1653</v>
      </c>
      <c r="B338" s="533" t="s">
        <v>3634</v>
      </c>
      <c r="C338" s="466" t="s">
        <v>3590</v>
      </c>
      <c r="D338" s="466" t="s">
        <v>3590</v>
      </c>
      <c r="E338" s="469"/>
      <c r="F338" s="303" t="s">
        <v>2210</v>
      </c>
      <c r="G338" s="386" t="s">
        <v>2719</v>
      </c>
      <c r="H338" s="456" t="s">
        <v>256</v>
      </c>
      <c r="I338" s="338" t="s">
        <v>3377</v>
      </c>
      <c r="J338" s="324">
        <v>2005</v>
      </c>
      <c r="K338" s="304">
        <v>356</v>
      </c>
      <c r="L338" s="303" t="s">
        <v>1738</v>
      </c>
      <c r="M338" s="304" t="s">
        <v>1751</v>
      </c>
      <c r="N338" s="446">
        <f t="shared" ref="N338:N369" si="73">R338/T338</f>
        <v>0.25252525252525254</v>
      </c>
      <c r="O338" s="349">
        <v>0.27777777777777779</v>
      </c>
      <c r="P338" s="329">
        <v>2.8211805555555554</v>
      </c>
      <c r="Q338" s="310">
        <f t="shared" ref="Q338:Q369" si="74">U338/T338</f>
        <v>2.564709595959596</v>
      </c>
      <c r="R338" s="377">
        <f t="shared" ref="R338:R369" si="75">O338*S338</f>
        <v>160</v>
      </c>
      <c r="S338" s="307">
        <v>576</v>
      </c>
      <c r="T338" s="377">
        <f t="shared" ref="T338:T369" si="76">(((SUM(AI338:AR338)/100)*(S338))+S338)</f>
        <v>633.6</v>
      </c>
      <c r="U338" s="377">
        <f t="shared" si="71"/>
        <v>1625</v>
      </c>
      <c r="V338" s="495">
        <v>1060.5150000000001</v>
      </c>
      <c r="W338" s="496">
        <f t="shared" si="72"/>
        <v>564.4849999999999</v>
      </c>
      <c r="X338" s="313" t="s">
        <v>12</v>
      </c>
      <c r="Y338" s="307" t="s">
        <v>12</v>
      </c>
      <c r="Z338" s="314" t="s">
        <v>2985</v>
      </c>
      <c r="AA338" s="311" t="s">
        <v>3538</v>
      </c>
      <c r="AB338" s="304" t="s">
        <v>273</v>
      </c>
      <c r="AC338" s="518" t="s">
        <v>3346</v>
      </c>
      <c r="AD338" s="507" t="s">
        <v>2310</v>
      </c>
      <c r="AE338" s="239" t="s">
        <v>2306</v>
      </c>
      <c r="AF338" s="317" t="s">
        <v>2985</v>
      </c>
      <c r="AG338" s="262" t="s">
        <v>2985</v>
      </c>
      <c r="AH338" s="344">
        <v>90</v>
      </c>
      <c r="AI338" s="377">
        <v>10</v>
      </c>
      <c r="AJ338" s="394">
        <v>0</v>
      </c>
      <c r="AK338" s="315">
        <v>0</v>
      </c>
      <c r="AL338" s="315">
        <v>0</v>
      </c>
      <c r="AM338" s="315">
        <v>0</v>
      </c>
      <c r="AN338" s="312">
        <v>0</v>
      </c>
      <c r="AO338" s="312">
        <v>0</v>
      </c>
      <c r="AP338" s="307">
        <v>0</v>
      </c>
      <c r="AQ338" s="307">
        <v>0</v>
      </c>
      <c r="AR338" s="307">
        <v>0</v>
      </c>
      <c r="AS338" s="307">
        <v>0</v>
      </c>
      <c r="AT338" s="377">
        <v>1.7999999999999998</v>
      </c>
      <c r="AU338" s="307">
        <v>0</v>
      </c>
      <c r="AV338" s="307">
        <v>0</v>
      </c>
      <c r="AW338" s="307">
        <v>0</v>
      </c>
      <c r="AX338" s="304">
        <v>0</v>
      </c>
      <c r="AY338" s="303">
        <v>56.9</v>
      </c>
      <c r="AZ338" s="311"/>
      <c r="BA338" s="317" t="s">
        <v>2985</v>
      </c>
      <c r="BB338" s="94" t="s">
        <v>2985</v>
      </c>
      <c r="BC338" s="355" t="s">
        <v>2985</v>
      </c>
      <c r="BD338" s="348" t="s">
        <v>3544</v>
      </c>
      <c r="BE338" s="312">
        <v>100</v>
      </c>
      <c r="BF338" s="307"/>
      <c r="BG338" s="307">
        <v>400</v>
      </c>
      <c r="BH338" s="390">
        <v>22.222222222222221</v>
      </c>
      <c r="BI338" s="303">
        <v>99</v>
      </c>
      <c r="BJ338" s="323">
        <v>1</v>
      </c>
      <c r="BK338" s="307">
        <v>20</v>
      </c>
      <c r="BL338" s="324">
        <v>20</v>
      </c>
      <c r="BM338" s="307">
        <v>0</v>
      </c>
      <c r="BN338" s="307">
        <v>60</v>
      </c>
      <c r="BO338" s="259" t="s">
        <v>2985</v>
      </c>
      <c r="BP338" s="325"/>
      <c r="BS338" s="321"/>
    </row>
    <row r="339" spans="1:71" s="322" customFormat="1" ht="18">
      <c r="A339" s="336">
        <v>1655</v>
      </c>
      <c r="B339" s="533" t="s">
        <v>3634</v>
      </c>
      <c r="C339" s="466" t="s">
        <v>3590</v>
      </c>
      <c r="D339" s="466" t="s">
        <v>3590</v>
      </c>
      <c r="E339" s="469"/>
      <c r="F339" s="303" t="s">
        <v>2212</v>
      </c>
      <c r="G339" s="386" t="s">
        <v>2719</v>
      </c>
      <c r="H339" s="456" t="s">
        <v>256</v>
      </c>
      <c r="I339" s="338" t="s">
        <v>3377</v>
      </c>
      <c r="J339" s="324">
        <v>2005</v>
      </c>
      <c r="K339" s="304">
        <v>356</v>
      </c>
      <c r="L339" s="303" t="s">
        <v>1738</v>
      </c>
      <c r="M339" s="304" t="s">
        <v>1751</v>
      </c>
      <c r="N339" s="446">
        <f t="shared" si="73"/>
        <v>0.25252525252525254</v>
      </c>
      <c r="O339" s="349">
        <v>0.27777777777777779</v>
      </c>
      <c r="P339" s="329">
        <v>2.8211805555555554</v>
      </c>
      <c r="Q339" s="310">
        <f t="shared" si="74"/>
        <v>2.564709595959596</v>
      </c>
      <c r="R339" s="377">
        <f t="shared" si="75"/>
        <v>160</v>
      </c>
      <c r="S339" s="307">
        <v>576</v>
      </c>
      <c r="T339" s="377">
        <f t="shared" si="76"/>
        <v>633.6</v>
      </c>
      <c r="U339" s="377">
        <f t="shared" si="71"/>
        <v>1625</v>
      </c>
      <c r="V339" s="495">
        <v>1060.5150000000001</v>
      </c>
      <c r="W339" s="496">
        <f t="shared" si="72"/>
        <v>564.4849999999999</v>
      </c>
      <c r="X339" s="313" t="s">
        <v>12</v>
      </c>
      <c r="Y339" s="307" t="s">
        <v>12</v>
      </c>
      <c r="Z339" s="314" t="s">
        <v>2985</v>
      </c>
      <c r="AA339" s="311" t="s">
        <v>3538</v>
      </c>
      <c r="AB339" s="304" t="s">
        <v>273</v>
      </c>
      <c r="AC339" s="518" t="s">
        <v>3346</v>
      </c>
      <c r="AD339" s="507" t="s">
        <v>2310</v>
      </c>
      <c r="AE339" s="239" t="s">
        <v>2306</v>
      </c>
      <c r="AF339" s="317" t="s">
        <v>2985</v>
      </c>
      <c r="AG339" s="262" t="s">
        <v>2985</v>
      </c>
      <c r="AH339" s="344">
        <v>90</v>
      </c>
      <c r="AI339" s="377">
        <v>10</v>
      </c>
      <c r="AJ339" s="394">
        <v>0</v>
      </c>
      <c r="AK339" s="315">
        <v>0</v>
      </c>
      <c r="AL339" s="315">
        <v>0</v>
      </c>
      <c r="AM339" s="315">
        <v>0</v>
      </c>
      <c r="AN339" s="312">
        <v>0</v>
      </c>
      <c r="AO339" s="312">
        <v>0</v>
      </c>
      <c r="AP339" s="307">
        <v>0</v>
      </c>
      <c r="AQ339" s="307">
        <v>0</v>
      </c>
      <c r="AR339" s="307">
        <v>0</v>
      </c>
      <c r="AS339" s="307">
        <v>0</v>
      </c>
      <c r="AT339" s="377">
        <v>1.7999999999999998</v>
      </c>
      <c r="AU339" s="307">
        <v>0</v>
      </c>
      <c r="AV339" s="307">
        <v>0</v>
      </c>
      <c r="AW339" s="307">
        <v>0</v>
      </c>
      <c r="AX339" s="304">
        <v>0</v>
      </c>
      <c r="AY339" s="303">
        <v>56.9</v>
      </c>
      <c r="AZ339" s="311"/>
      <c r="BA339" s="317" t="s">
        <v>2985</v>
      </c>
      <c r="BB339" s="94" t="s">
        <v>2985</v>
      </c>
      <c r="BC339" s="355" t="s">
        <v>2985</v>
      </c>
      <c r="BD339" s="348" t="s">
        <v>3544</v>
      </c>
      <c r="BE339" s="312">
        <v>100</v>
      </c>
      <c r="BF339" s="307"/>
      <c r="BG339" s="307">
        <v>400</v>
      </c>
      <c r="BH339" s="390">
        <v>22.222222222222221</v>
      </c>
      <c r="BI339" s="303">
        <v>99</v>
      </c>
      <c r="BJ339" s="323">
        <v>3</v>
      </c>
      <c r="BK339" s="307">
        <v>20</v>
      </c>
      <c r="BL339" s="324">
        <v>20</v>
      </c>
      <c r="BM339" s="307">
        <v>0</v>
      </c>
      <c r="BN339" s="307">
        <v>60</v>
      </c>
      <c r="BO339" s="259" t="s">
        <v>2985</v>
      </c>
      <c r="BP339" s="325"/>
      <c r="BS339" s="321"/>
    </row>
    <row r="340" spans="1:71" s="322" customFormat="1" ht="18">
      <c r="A340" s="336">
        <v>1656</v>
      </c>
      <c r="B340" s="533" t="s">
        <v>3634</v>
      </c>
      <c r="C340" s="466" t="s">
        <v>3590</v>
      </c>
      <c r="D340" s="466" t="s">
        <v>3590</v>
      </c>
      <c r="E340" s="469"/>
      <c r="F340" s="303" t="s">
        <v>2213</v>
      </c>
      <c r="G340" s="386" t="s">
        <v>2719</v>
      </c>
      <c r="H340" s="456" t="s">
        <v>256</v>
      </c>
      <c r="I340" s="338" t="s">
        <v>3377</v>
      </c>
      <c r="J340" s="324">
        <v>2005</v>
      </c>
      <c r="K340" s="304">
        <v>356</v>
      </c>
      <c r="L340" s="303" t="s">
        <v>1738</v>
      </c>
      <c r="M340" s="304" t="s">
        <v>1751</v>
      </c>
      <c r="N340" s="446">
        <f t="shared" si="73"/>
        <v>0.25252525252525254</v>
      </c>
      <c r="O340" s="349">
        <v>0.27777777777777779</v>
      </c>
      <c r="P340" s="329">
        <v>2.8211805555555554</v>
      </c>
      <c r="Q340" s="310">
        <f t="shared" si="74"/>
        <v>2.564709595959596</v>
      </c>
      <c r="R340" s="377">
        <f t="shared" si="75"/>
        <v>160</v>
      </c>
      <c r="S340" s="307">
        <v>576</v>
      </c>
      <c r="T340" s="377">
        <f t="shared" si="76"/>
        <v>633.6</v>
      </c>
      <c r="U340" s="377">
        <f t="shared" si="71"/>
        <v>1625</v>
      </c>
      <c r="V340" s="495">
        <v>1060.5150000000001</v>
      </c>
      <c r="W340" s="496">
        <f t="shared" si="72"/>
        <v>564.4849999999999</v>
      </c>
      <c r="X340" s="313" t="s">
        <v>12</v>
      </c>
      <c r="Y340" s="307" t="s">
        <v>12</v>
      </c>
      <c r="Z340" s="314" t="s">
        <v>2985</v>
      </c>
      <c r="AA340" s="311" t="s">
        <v>3538</v>
      </c>
      <c r="AB340" s="304" t="s">
        <v>273</v>
      </c>
      <c r="AC340" s="518" t="s">
        <v>3346</v>
      </c>
      <c r="AD340" s="507" t="s">
        <v>2310</v>
      </c>
      <c r="AE340" s="239" t="s">
        <v>2306</v>
      </c>
      <c r="AF340" s="317" t="s">
        <v>2985</v>
      </c>
      <c r="AG340" s="262" t="s">
        <v>2985</v>
      </c>
      <c r="AH340" s="344">
        <v>90</v>
      </c>
      <c r="AI340" s="377">
        <v>10</v>
      </c>
      <c r="AJ340" s="394">
        <v>0</v>
      </c>
      <c r="AK340" s="315">
        <v>0</v>
      </c>
      <c r="AL340" s="315">
        <v>0</v>
      </c>
      <c r="AM340" s="315">
        <v>0</v>
      </c>
      <c r="AN340" s="312">
        <v>0</v>
      </c>
      <c r="AO340" s="312">
        <v>0</v>
      </c>
      <c r="AP340" s="307">
        <v>0</v>
      </c>
      <c r="AQ340" s="307">
        <v>0</v>
      </c>
      <c r="AR340" s="307">
        <v>0</v>
      </c>
      <c r="AS340" s="307">
        <v>0</v>
      </c>
      <c r="AT340" s="377">
        <v>1.7999999999999998</v>
      </c>
      <c r="AU340" s="307">
        <v>0</v>
      </c>
      <c r="AV340" s="307">
        <v>0</v>
      </c>
      <c r="AW340" s="307">
        <v>0</v>
      </c>
      <c r="AX340" s="304">
        <v>0</v>
      </c>
      <c r="AY340" s="303">
        <v>56.9</v>
      </c>
      <c r="AZ340" s="311"/>
      <c r="BA340" s="317" t="s">
        <v>2985</v>
      </c>
      <c r="BB340" s="94" t="s">
        <v>2985</v>
      </c>
      <c r="BC340" s="355" t="s">
        <v>2985</v>
      </c>
      <c r="BD340" s="348" t="s">
        <v>3544</v>
      </c>
      <c r="BE340" s="312">
        <v>100</v>
      </c>
      <c r="BF340" s="307"/>
      <c r="BG340" s="307">
        <v>400</v>
      </c>
      <c r="BH340" s="390">
        <v>22.222222222222221</v>
      </c>
      <c r="BI340" s="303">
        <v>99</v>
      </c>
      <c r="BJ340" s="323">
        <v>3</v>
      </c>
      <c r="BK340" s="307">
        <v>20</v>
      </c>
      <c r="BL340" s="324">
        <v>20</v>
      </c>
      <c r="BM340" s="307">
        <v>0</v>
      </c>
      <c r="BN340" s="307">
        <v>60</v>
      </c>
      <c r="BO340" s="259" t="s">
        <v>2985</v>
      </c>
      <c r="BP340" s="325"/>
      <c r="BS340" s="321"/>
    </row>
    <row r="341" spans="1:71" s="322" customFormat="1">
      <c r="A341" s="336">
        <v>1658</v>
      </c>
      <c r="B341" s="535" t="s">
        <v>3626</v>
      </c>
      <c r="C341" s="383"/>
      <c r="D341" s="466" t="s">
        <v>3590</v>
      </c>
      <c r="E341" s="469"/>
      <c r="F341" s="303" t="s">
        <v>2215</v>
      </c>
      <c r="G341" s="386" t="s">
        <v>2719</v>
      </c>
      <c r="H341" s="456" t="s">
        <v>256</v>
      </c>
      <c r="I341" s="338" t="s">
        <v>3377</v>
      </c>
      <c r="J341" s="324">
        <v>2005</v>
      </c>
      <c r="K341" s="304">
        <v>356</v>
      </c>
      <c r="L341" s="303" t="s">
        <v>1738</v>
      </c>
      <c r="M341" s="304" t="s">
        <v>1751</v>
      </c>
      <c r="N341" s="446">
        <f t="shared" si="73"/>
        <v>0.35813087346106215</v>
      </c>
      <c r="O341" s="349">
        <v>0.39386792452830188</v>
      </c>
      <c r="P341" s="329">
        <v>4.1415094339622645</v>
      </c>
      <c r="Q341" s="310">
        <f t="shared" si="74"/>
        <v>3.7657354119618276</v>
      </c>
      <c r="R341" s="377">
        <f t="shared" si="75"/>
        <v>167</v>
      </c>
      <c r="S341" s="307">
        <v>424</v>
      </c>
      <c r="T341" s="377">
        <f t="shared" si="76"/>
        <v>466.30997876857748</v>
      </c>
      <c r="U341" s="377">
        <f t="shared" si="71"/>
        <v>1756.0000000000002</v>
      </c>
      <c r="V341" s="495">
        <v>1089.202</v>
      </c>
      <c r="W341" s="496">
        <f t="shared" si="72"/>
        <v>666.79800000000023</v>
      </c>
      <c r="X341" s="313" t="s">
        <v>12</v>
      </c>
      <c r="Y341" s="307" t="s">
        <v>12</v>
      </c>
      <c r="Z341" s="311" t="s">
        <v>3618</v>
      </c>
      <c r="AA341" s="311" t="s">
        <v>3538</v>
      </c>
      <c r="AB341" s="304" t="s">
        <v>273</v>
      </c>
      <c r="AC341" s="518" t="s">
        <v>3346</v>
      </c>
      <c r="AD341" s="507" t="s">
        <v>2310</v>
      </c>
      <c r="AE341" s="239" t="s">
        <v>2306</v>
      </c>
      <c r="AF341" s="317" t="s">
        <v>2985</v>
      </c>
      <c r="AG341" s="262" t="s">
        <v>2985</v>
      </c>
      <c r="AH341" s="344">
        <v>90.021231422505309</v>
      </c>
      <c r="AI341" s="377">
        <v>9.9787685774946926</v>
      </c>
      <c r="AJ341" s="394">
        <v>0</v>
      </c>
      <c r="AK341" s="315">
        <v>0</v>
      </c>
      <c r="AL341" s="315">
        <v>0</v>
      </c>
      <c r="AM341" s="315">
        <v>0</v>
      </c>
      <c r="AN341" s="312">
        <v>0</v>
      </c>
      <c r="AO341" s="312">
        <v>0</v>
      </c>
      <c r="AP341" s="307">
        <v>0</v>
      </c>
      <c r="AQ341" s="307">
        <v>0</v>
      </c>
      <c r="AR341" s="307">
        <v>0</v>
      </c>
      <c r="AS341" s="307">
        <v>0</v>
      </c>
      <c r="AT341" s="377">
        <v>1.7999999999999998</v>
      </c>
      <c r="AU341" s="307">
        <v>0</v>
      </c>
      <c r="AV341" s="307">
        <v>0</v>
      </c>
      <c r="AW341" s="307">
        <v>0</v>
      </c>
      <c r="AX341" s="304">
        <v>0</v>
      </c>
      <c r="AY341" s="303">
        <v>78.25</v>
      </c>
      <c r="AZ341" s="311">
        <v>39.125</v>
      </c>
      <c r="BA341" s="317" t="s">
        <v>2985</v>
      </c>
      <c r="BB341" s="94" t="s">
        <v>2985</v>
      </c>
      <c r="BC341" s="355" t="s">
        <v>2985</v>
      </c>
      <c r="BD341" s="348" t="s">
        <v>3544</v>
      </c>
      <c r="BE341" s="312">
        <v>100</v>
      </c>
      <c r="BF341" s="307"/>
      <c r="BG341" s="307">
        <v>400</v>
      </c>
      <c r="BH341" s="390">
        <v>22.222222222222221</v>
      </c>
      <c r="BI341" s="303">
        <v>99</v>
      </c>
      <c r="BJ341" s="323">
        <v>0.5</v>
      </c>
      <c r="BK341" s="307">
        <v>20</v>
      </c>
      <c r="BL341" s="324">
        <v>20</v>
      </c>
      <c r="BM341" s="307">
        <v>0</v>
      </c>
      <c r="BN341" s="307">
        <v>60</v>
      </c>
      <c r="BO341" s="259" t="s">
        <v>2985</v>
      </c>
      <c r="BP341" s="325"/>
      <c r="BS341" s="321"/>
    </row>
    <row r="342" spans="1:71" s="322" customFormat="1">
      <c r="A342" s="336">
        <v>1659</v>
      </c>
      <c r="B342" s="529" t="s">
        <v>3612</v>
      </c>
      <c r="C342" s="383"/>
      <c r="D342" s="466" t="s">
        <v>3590</v>
      </c>
      <c r="E342" s="469"/>
      <c r="F342" s="303" t="s">
        <v>2216</v>
      </c>
      <c r="G342" s="386" t="s">
        <v>2719</v>
      </c>
      <c r="H342" s="456" t="s">
        <v>256</v>
      </c>
      <c r="I342" s="338" t="s">
        <v>3377</v>
      </c>
      <c r="J342" s="307">
        <v>2005</v>
      </c>
      <c r="K342" s="304">
        <v>356</v>
      </c>
      <c r="L342" s="303" t="s">
        <v>1738</v>
      </c>
      <c r="M342" s="304" t="s">
        <v>1751</v>
      </c>
      <c r="N342" s="446">
        <f t="shared" si="73"/>
        <v>0.35813087346106215</v>
      </c>
      <c r="O342" s="364">
        <v>0.39386792452830188</v>
      </c>
      <c r="P342" s="329">
        <v>4.1415094339622645</v>
      </c>
      <c r="Q342" s="310">
        <f t="shared" si="74"/>
        <v>3.7657354119618276</v>
      </c>
      <c r="R342" s="377">
        <f t="shared" si="75"/>
        <v>167</v>
      </c>
      <c r="S342" s="307">
        <v>424</v>
      </c>
      <c r="T342" s="377">
        <f t="shared" si="76"/>
        <v>466.30997876857748</v>
      </c>
      <c r="U342" s="377">
        <f t="shared" si="71"/>
        <v>1756.0000000000002</v>
      </c>
      <c r="V342" s="495">
        <v>1089.202</v>
      </c>
      <c r="W342" s="496">
        <f t="shared" si="72"/>
        <v>666.79800000000023</v>
      </c>
      <c r="X342" s="313" t="s">
        <v>12</v>
      </c>
      <c r="Y342" s="307" t="s">
        <v>12</v>
      </c>
      <c r="Z342" s="311" t="s">
        <v>3618</v>
      </c>
      <c r="AA342" s="311" t="s">
        <v>3538</v>
      </c>
      <c r="AB342" s="304" t="s">
        <v>273</v>
      </c>
      <c r="AC342" s="518" t="s">
        <v>3346</v>
      </c>
      <c r="AD342" s="507" t="s">
        <v>2310</v>
      </c>
      <c r="AE342" s="239" t="s">
        <v>2306</v>
      </c>
      <c r="AF342" s="317" t="s">
        <v>2985</v>
      </c>
      <c r="AG342" s="262" t="s">
        <v>2985</v>
      </c>
      <c r="AH342" s="344">
        <v>90.021231422505309</v>
      </c>
      <c r="AI342" s="377">
        <v>9.9787685774946926</v>
      </c>
      <c r="AJ342" s="394">
        <v>0</v>
      </c>
      <c r="AK342" s="315">
        <v>0</v>
      </c>
      <c r="AL342" s="315">
        <v>0</v>
      </c>
      <c r="AM342" s="315">
        <v>0</v>
      </c>
      <c r="AN342" s="312">
        <v>0</v>
      </c>
      <c r="AO342" s="312">
        <v>0</v>
      </c>
      <c r="AP342" s="307">
        <v>0</v>
      </c>
      <c r="AQ342" s="307">
        <v>0</v>
      </c>
      <c r="AR342" s="307">
        <v>0</v>
      </c>
      <c r="AS342" s="307">
        <v>0</v>
      </c>
      <c r="AT342" s="377">
        <v>1.7999999999999998</v>
      </c>
      <c r="AU342" s="307">
        <v>0</v>
      </c>
      <c r="AV342" s="307">
        <v>0</v>
      </c>
      <c r="AW342" s="307">
        <v>0</v>
      </c>
      <c r="AX342" s="304">
        <v>0</v>
      </c>
      <c r="AY342" s="303">
        <v>78.25</v>
      </c>
      <c r="AZ342" s="311">
        <v>39.125</v>
      </c>
      <c r="BA342" s="317" t="s">
        <v>2985</v>
      </c>
      <c r="BB342" s="94" t="s">
        <v>2985</v>
      </c>
      <c r="BC342" s="355" t="s">
        <v>2985</v>
      </c>
      <c r="BD342" s="348" t="s">
        <v>3544</v>
      </c>
      <c r="BE342" s="312">
        <v>100</v>
      </c>
      <c r="BF342" s="307"/>
      <c r="BG342" s="307">
        <v>400</v>
      </c>
      <c r="BH342" s="390">
        <v>22.222222222222221</v>
      </c>
      <c r="BI342" s="303">
        <v>99</v>
      </c>
      <c r="BJ342" s="307">
        <v>0.5</v>
      </c>
      <c r="BK342" s="307">
        <v>20</v>
      </c>
      <c r="BL342" s="307">
        <v>20</v>
      </c>
      <c r="BM342" s="307">
        <v>0</v>
      </c>
      <c r="BN342" s="307">
        <v>60</v>
      </c>
      <c r="BO342" s="259" t="s">
        <v>2985</v>
      </c>
      <c r="BP342" s="325"/>
      <c r="BS342" s="321"/>
    </row>
    <row r="343" spans="1:71" s="322" customFormat="1">
      <c r="A343" s="336">
        <v>1661</v>
      </c>
      <c r="B343" s="529" t="s">
        <v>3612</v>
      </c>
      <c r="C343" s="383"/>
      <c r="D343" s="466" t="s">
        <v>3590</v>
      </c>
      <c r="E343" s="469"/>
      <c r="F343" s="303" t="s">
        <v>2218</v>
      </c>
      <c r="G343" s="386" t="s">
        <v>2719</v>
      </c>
      <c r="H343" s="456" t="s">
        <v>256</v>
      </c>
      <c r="I343" s="338" t="s">
        <v>3377</v>
      </c>
      <c r="J343" s="307">
        <v>2005</v>
      </c>
      <c r="K343" s="304">
        <v>356</v>
      </c>
      <c r="L343" s="303" t="s">
        <v>1738</v>
      </c>
      <c r="M343" s="304" t="s">
        <v>1751</v>
      </c>
      <c r="N343" s="446">
        <f t="shared" si="73"/>
        <v>0.35813087346106215</v>
      </c>
      <c r="O343" s="364">
        <v>0.39386792452830188</v>
      </c>
      <c r="P343" s="329">
        <v>4.1415094339622645</v>
      </c>
      <c r="Q343" s="310">
        <f t="shared" si="74"/>
        <v>3.7657354119618276</v>
      </c>
      <c r="R343" s="377">
        <f t="shared" si="75"/>
        <v>167</v>
      </c>
      <c r="S343" s="307">
        <v>424</v>
      </c>
      <c r="T343" s="377">
        <f t="shared" si="76"/>
        <v>466.30997876857748</v>
      </c>
      <c r="U343" s="377">
        <f t="shared" si="71"/>
        <v>1756.0000000000002</v>
      </c>
      <c r="V343" s="495">
        <v>1089.202</v>
      </c>
      <c r="W343" s="496">
        <f t="shared" si="72"/>
        <v>666.79800000000023</v>
      </c>
      <c r="X343" s="313" t="s">
        <v>12</v>
      </c>
      <c r="Y343" s="307" t="s">
        <v>12</v>
      </c>
      <c r="Z343" s="311" t="s">
        <v>3618</v>
      </c>
      <c r="AA343" s="311" t="s">
        <v>3538</v>
      </c>
      <c r="AB343" s="304" t="s">
        <v>273</v>
      </c>
      <c r="AC343" s="518" t="s">
        <v>3346</v>
      </c>
      <c r="AD343" s="507" t="s">
        <v>2310</v>
      </c>
      <c r="AE343" s="239" t="s">
        <v>2306</v>
      </c>
      <c r="AF343" s="317" t="s">
        <v>2985</v>
      </c>
      <c r="AG343" s="262" t="s">
        <v>2985</v>
      </c>
      <c r="AH343" s="344">
        <v>90.021231422505309</v>
      </c>
      <c r="AI343" s="377">
        <v>9.9787685774946926</v>
      </c>
      <c r="AJ343" s="394">
        <v>0</v>
      </c>
      <c r="AK343" s="315">
        <v>0</v>
      </c>
      <c r="AL343" s="315">
        <v>0</v>
      </c>
      <c r="AM343" s="315">
        <v>0</v>
      </c>
      <c r="AN343" s="312">
        <v>0</v>
      </c>
      <c r="AO343" s="312">
        <v>0</v>
      </c>
      <c r="AP343" s="307">
        <v>0</v>
      </c>
      <c r="AQ343" s="307">
        <v>0</v>
      </c>
      <c r="AR343" s="307">
        <v>0</v>
      </c>
      <c r="AS343" s="307">
        <v>0</v>
      </c>
      <c r="AT343" s="377">
        <v>1.7999999999999998</v>
      </c>
      <c r="AU343" s="307">
        <v>0</v>
      </c>
      <c r="AV343" s="307">
        <v>0</v>
      </c>
      <c r="AW343" s="307">
        <v>0</v>
      </c>
      <c r="AX343" s="304">
        <v>0</v>
      </c>
      <c r="AY343" s="303">
        <v>78.25</v>
      </c>
      <c r="AZ343" s="311">
        <v>39.125</v>
      </c>
      <c r="BA343" s="317" t="s">
        <v>2985</v>
      </c>
      <c r="BB343" s="94" t="s">
        <v>2985</v>
      </c>
      <c r="BC343" s="355" t="s">
        <v>2985</v>
      </c>
      <c r="BD343" s="348" t="s">
        <v>3544</v>
      </c>
      <c r="BE343" s="312">
        <v>100</v>
      </c>
      <c r="BF343" s="307"/>
      <c r="BG343" s="307">
        <v>400</v>
      </c>
      <c r="BH343" s="390">
        <v>22.222222222222221</v>
      </c>
      <c r="BI343" s="303">
        <v>99</v>
      </c>
      <c r="BJ343" s="307">
        <v>1</v>
      </c>
      <c r="BK343" s="307">
        <v>20</v>
      </c>
      <c r="BL343" s="307">
        <v>20</v>
      </c>
      <c r="BM343" s="307">
        <v>0</v>
      </c>
      <c r="BN343" s="307">
        <v>60</v>
      </c>
      <c r="BO343" s="259" t="s">
        <v>2985</v>
      </c>
      <c r="BP343" s="325"/>
      <c r="BS343" s="321"/>
    </row>
    <row r="344" spans="1:71" s="322" customFormat="1">
      <c r="A344" s="336">
        <v>1662</v>
      </c>
      <c r="B344" s="529" t="s">
        <v>3613</v>
      </c>
      <c r="C344" s="383"/>
      <c r="D344" s="466" t="s">
        <v>3590</v>
      </c>
      <c r="E344" s="469"/>
      <c r="F344" s="303" t="s">
        <v>2219</v>
      </c>
      <c r="G344" s="386" t="s">
        <v>2719</v>
      </c>
      <c r="H344" s="456" t="s">
        <v>256</v>
      </c>
      <c r="I344" s="338" t="s">
        <v>3377</v>
      </c>
      <c r="J344" s="307">
        <v>2005</v>
      </c>
      <c r="K344" s="304">
        <v>356</v>
      </c>
      <c r="L344" s="303" t="s">
        <v>1738</v>
      </c>
      <c r="M344" s="304" t="s">
        <v>1751</v>
      </c>
      <c r="N344" s="446">
        <f t="shared" si="73"/>
        <v>0.35813087346106215</v>
      </c>
      <c r="O344" s="364">
        <v>0.39386792452830188</v>
      </c>
      <c r="P344" s="329">
        <v>4.1415094339622645</v>
      </c>
      <c r="Q344" s="310">
        <f t="shared" si="74"/>
        <v>3.7657354119618276</v>
      </c>
      <c r="R344" s="377">
        <f t="shared" si="75"/>
        <v>167</v>
      </c>
      <c r="S344" s="307">
        <v>424</v>
      </c>
      <c r="T344" s="377">
        <f t="shared" si="76"/>
        <v>466.30997876857748</v>
      </c>
      <c r="U344" s="377">
        <f t="shared" si="71"/>
        <v>1756.0000000000002</v>
      </c>
      <c r="V344" s="495">
        <v>1089.202</v>
      </c>
      <c r="W344" s="496">
        <f t="shared" si="72"/>
        <v>666.79800000000023</v>
      </c>
      <c r="X344" s="313" t="s">
        <v>12</v>
      </c>
      <c r="Y344" s="307" t="s">
        <v>12</v>
      </c>
      <c r="Z344" s="311" t="s">
        <v>3618</v>
      </c>
      <c r="AA344" s="311" t="s">
        <v>3538</v>
      </c>
      <c r="AB344" s="304" t="s">
        <v>273</v>
      </c>
      <c r="AC344" s="518" t="s">
        <v>3346</v>
      </c>
      <c r="AD344" s="507" t="s">
        <v>2310</v>
      </c>
      <c r="AE344" s="239" t="s">
        <v>2306</v>
      </c>
      <c r="AF344" s="317" t="s">
        <v>2985</v>
      </c>
      <c r="AG344" s="262" t="s">
        <v>2985</v>
      </c>
      <c r="AH344" s="344">
        <v>90.021231422505309</v>
      </c>
      <c r="AI344" s="377">
        <v>9.9787685774946926</v>
      </c>
      <c r="AJ344" s="394">
        <v>0</v>
      </c>
      <c r="AK344" s="315">
        <v>0</v>
      </c>
      <c r="AL344" s="315">
        <v>0</v>
      </c>
      <c r="AM344" s="315">
        <v>0</v>
      </c>
      <c r="AN344" s="312">
        <v>0</v>
      </c>
      <c r="AO344" s="312">
        <v>0</v>
      </c>
      <c r="AP344" s="307">
        <v>0</v>
      </c>
      <c r="AQ344" s="307">
        <v>0</v>
      </c>
      <c r="AR344" s="307">
        <v>0</v>
      </c>
      <c r="AS344" s="307">
        <v>0</v>
      </c>
      <c r="AT344" s="377">
        <v>1.7999999999999998</v>
      </c>
      <c r="AU344" s="307">
        <v>0</v>
      </c>
      <c r="AV344" s="307">
        <v>0</v>
      </c>
      <c r="AW344" s="307">
        <v>0</v>
      </c>
      <c r="AX344" s="304">
        <v>0</v>
      </c>
      <c r="AY344" s="303">
        <v>78.25</v>
      </c>
      <c r="AZ344" s="311">
        <v>39.125</v>
      </c>
      <c r="BA344" s="317" t="s">
        <v>2985</v>
      </c>
      <c r="BB344" s="94" t="s">
        <v>2985</v>
      </c>
      <c r="BC344" s="355" t="s">
        <v>2985</v>
      </c>
      <c r="BD344" s="348" t="s">
        <v>3544</v>
      </c>
      <c r="BE344" s="312">
        <v>100</v>
      </c>
      <c r="BF344" s="307"/>
      <c r="BG344" s="307">
        <v>400</v>
      </c>
      <c r="BH344" s="390">
        <v>22.222222222222221</v>
      </c>
      <c r="BI344" s="303">
        <v>99</v>
      </c>
      <c r="BJ344" s="307">
        <v>1</v>
      </c>
      <c r="BK344" s="307">
        <v>20</v>
      </c>
      <c r="BL344" s="307">
        <v>20</v>
      </c>
      <c r="BM344" s="307">
        <v>0</v>
      </c>
      <c r="BN344" s="307">
        <v>60</v>
      </c>
      <c r="BO344" s="259" t="s">
        <v>2985</v>
      </c>
      <c r="BP344" s="325"/>
      <c r="BS344" s="321"/>
    </row>
    <row r="345" spans="1:71" s="322" customFormat="1">
      <c r="A345" s="336">
        <v>1664</v>
      </c>
      <c r="B345" s="534" t="s">
        <v>3585</v>
      </c>
      <c r="C345" s="383"/>
      <c r="D345" s="466" t="s">
        <v>3590</v>
      </c>
      <c r="E345" s="469"/>
      <c r="F345" s="303" t="s">
        <v>2221</v>
      </c>
      <c r="G345" s="386" t="s">
        <v>2719</v>
      </c>
      <c r="H345" s="456" t="s">
        <v>256</v>
      </c>
      <c r="I345" s="338" t="s">
        <v>3377</v>
      </c>
      <c r="J345" s="307">
        <v>2005</v>
      </c>
      <c r="K345" s="304">
        <v>356</v>
      </c>
      <c r="L345" s="303" t="s">
        <v>1738</v>
      </c>
      <c r="M345" s="304" t="s">
        <v>1751</v>
      </c>
      <c r="N345" s="446">
        <f t="shared" si="73"/>
        <v>0.35813087346106215</v>
      </c>
      <c r="O345" s="364">
        <v>0.39386792452830188</v>
      </c>
      <c r="P345" s="329">
        <v>4.1415094339622645</v>
      </c>
      <c r="Q345" s="310">
        <f t="shared" si="74"/>
        <v>3.7657354119618276</v>
      </c>
      <c r="R345" s="377">
        <f t="shared" si="75"/>
        <v>167</v>
      </c>
      <c r="S345" s="407">
        <v>424</v>
      </c>
      <c r="T345" s="377">
        <f t="shared" si="76"/>
        <v>466.30997876857748</v>
      </c>
      <c r="U345" s="377">
        <f t="shared" si="71"/>
        <v>1756.0000000000002</v>
      </c>
      <c r="V345" s="495">
        <v>1089.202</v>
      </c>
      <c r="W345" s="496">
        <f t="shared" si="72"/>
        <v>666.79800000000023</v>
      </c>
      <c r="X345" s="313" t="s">
        <v>12</v>
      </c>
      <c r="Y345" s="307" t="s">
        <v>12</v>
      </c>
      <c r="Z345" s="311" t="s">
        <v>3618</v>
      </c>
      <c r="AA345" s="311" t="s">
        <v>3538</v>
      </c>
      <c r="AB345" s="304" t="s">
        <v>273</v>
      </c>
      <c r="AC345" s="518" t="s">
        <v>3346</v>
      </c>
      <c r="AD345" s="507" t="s">
        <v>2310</v>
      </c>
      <c r="AE345" s="239" t="s">
        <v>2306</v>
      </c>
      <c r="AF345" s="317" t="s">
        <v>2985</v>
      </c>
      <c r="AG345" s="262" t="s">
        <v>2985</v>
      </c>
      <c r="AH345" s="344">
        <v>90.021231422505309</v>
      </c>
      <c r="AI345" s="377">
        <v>9.9787685774946926</v>
      </c>
      <c r="AJ345" s="394">
        <v>0</v>
      </c>
      <c r="AK345" s="315">
        <v>0</v>
      </c>
      <c r="AL345" s="315">
        <v>0</v>
      </c>
      <c r="AM345" s="315">
        <v>0</v>
      </c>
      <c r="AN345" s="312">
        <v>0</v>
      </c>
      <c r="AO345" s="312">
        <v>0</v>
      </c>
      <c r="AP345" s="307">
        <v>0</v>
      </c>
      <c r="AQ345" s="307">
        <v>0</v>
      </c>
      <c r="AR345" s="307">
        <v>0</v>
      </c>
      <c r="AS345" s="307">
        <v>0</v>
      </c>
      <c r="AT345" s="377">
        <v>1.7999999999999998</v>
      </c>
      <c r="AU345" s="307">
        <v>0</v>
      </c>
      <c r="AV345" s="307">
        <v>0</v>
      </c>
      <c r="AW345" s="307">
        <v>0</v>
      </c>
      <c r="AX345" s="304">
        <v>0</v>
      </c>
      <c r="AY345" s="303">
        <v>78.25</v>
      </c>
      <c r="AZ345" s="311">
        <v>39.125</v>
      </c>
      <c r="BA345" s="317" t="s">
        <v>2985</v>
      </c>
      <c r="BB345" s="94" t="s">
        <v>2985</v>
      </c>
      <c r="BC345" s="355" t="s">
        <v>2985</v>
      </c>
      <c r="BD345" s="348" t="s">
        <v>3544</v>
      </c>
      <c r="BE345" s="312">
        <v>100</v>
      </c>
      <c r="BF345" s="307"/>
      <c r="BG345" s="307">
        <v>400</v>
      </c>
      <c r="BH345" s="390">
        <v>22.222222222222221</v>
      </c>
      <c r="BI345" s="303">
        <v>99</v>
      </c>
      <c r="BJ345" s="307">
        <v>3</v>
      </c>
      <c r="BK345" s="307">
        <v>20</v>
      </c>
      <c r="BL345" s="307">
        <v>20</v>
      </c>
      <c r="BM345" s="307">
        <v>0</v>
      </c>
      <c r="BN345" s="307">
        <v>60</v>
      </c>
      <c r="BO345" s="259" t="s">
        <v>2985</v>
      </c>
      <c r="BP345" s="325"/>
      <c r="BS345" s="321"/>
    </row>
    <row r="346" spans="1:71" s="322" customFormat="1">
      <c r="A346" s="336">
        <v>1665</v>
      </c>
      <c r="B346" s="534" t="s">
        <v>3585</v>
      </c>
      <c r="C346" s="383"/>
      <c r="D346" s="466" t="s">
        <v>3590</v>
      </c>
      <c r="E346" s="469"/>
      <c r="F346" s="303" t="s">
        <v>2222</v>
      </c>
      <c r="G346" s="386" t="s">
        <v>2719</v>
      </c>
      <c r="H346" s="456" t="s">
        <v>256</v>
      </c>
      <c r="I346" s="338" t="s">
        <v>3377</v>
      </c>
      <c r="J346" s="307">
        <v>2005</v>
      </c>
      <c r="K346" s="304">
        <v>356</v>
      </c>
      <c r="L346" s="303" t="s">
        <v>1738</v>
      </c>
      <c r="M346" s="304" t="s">
        <v>1751</v>
      </c>
      <c r="N346" s="446">
        <f t="shared" si="73"/>
        <v>0.35813087346106215</v>
      </c>
      <c r="O346" s="364">
        <v>0.39386792452830188</v>
      </c>
      <c r="P346" s="329">
        <v>4.1415094339622645</v>
      </c>
      <c r="Q346" s="310">
        <f t="shared" si="74"/>
        <v>3.7657354119618276</v>
      </c>
      <c r="R346" s="377">
        <f t="shared" si="75"/>
        <v>167</v>
      </c>
      <c r="S346" s="407">
        <v>424</v>
      </c>
      <c r="T346" s="377">
        <f t="shared" si="76"/>
        <v>466.30997876857748</v>
      </c>
      <c r="U346" s="377">
        <f t="shared" si="71"/>
        <v>1756.0000000000002</v>
      </c>
      <c r="V346" s="495">
        <v>1089.202</v>
      </c>
      <c r="W346" s="496">
        <f t="shared" si="72"/>
        <v>666.79800000000023</v>
      </c>
      <c r="X346" s="313" t="s">
        <v>12</v>
      </c>
      <c r="Y346" s="307" t="s">
        <v>12</v>
      </c>
      <c r="Z346" s="311" t="s">
        <v>3618</v>
      </c>
      <c r="AA346" s="311" t="s">
        <v>3538</v>
      </c>
      <c r="AB346" s="304" t="s">
        <v>273</v>
      </c>
      <c r="AC346" s="518" t="s">
        <v>3346</v>
      </c>
      <c r="AD346" s="507" t="s">
        <v>2310</v>
      </c>
      <c r="AE346" s="239" t="s">
        <v>2306</v>
      </c>
      <c r="AF346" s="317" t="s">
        <v>2985</v>
      </c>
      <c r="AG346" s="262" t="s">
        <v>2985</v>
      </c>
      <c r="AH346" s="344">
        <v>90.021231422505309</v>
      </c>
      <c r="AI346" s="377">
        <v>9.9787685774946926</v>
      </c>
      <c r="AJ346" s="394">
        <v>0</v>
      </c>
      <c r="AK346" s="315">
        <v>0</v>
      </c>
      <c r="AL346" s="315">
        <v>0</v>
      </c>
      <c r="AM346" s="315">
        <v>0</v>
      </c>
      <c r="AN346" s="312">
        <v>0</v>
      </c>
      <c r="AO346" s="312">
        <v>0</v>
      </c>
      <c r="AP346" s="307">
        <v>0</v>
      </c>
      <c r="AQ346" s="307">
        <v>0</v>
      </c>
      <c r="AR346" s="307">
        <v>0</v>
      </c>
      <c r="AS346" s="307">
        <v>0</v>
      </c>
      <c r="AT346" s="377">
        <v>1.7999999999999998</v>
      </c>
      <c r="AU346" s="307">
        <v>0</v>
      </c>
      <c r="AV346" s="307">
        <v>0</v>
      </c>
      <c r="AW346" s="307">
        <v>0</v>
      </c>
      <c r="AX346" s="304">
        <v>0</v>
      </c>
      <c r="AY346" s="303">
        <v>78.25</v>
      </c>
      <c r="AZ346" s="311">
        <v>39.125</v>
      </c>
      <c r="BA346" s="317" t="s">
        <v>2985</v>
      </c>
      <c r="BB346" s="94" t="s">
        <v>2985</v>
      </c>
      <c r="BC346" s="355" t="s">
        <v>2985</v>
      </c>
      <c r="BD346" s="348" t="s">
        <v>3544</v>
      </c>
      <c r="BE346" s="312">
        <v>100</v>
      </c>
      <c r="BF346" s="307"/>
      <c r="BG346" s="307">
        <v>400</v>
      </c>
      <c r="BH346" s="390">
        <v>22.222222222222221</v>
      </c>
      <c r="BI346" s="303">
        <v>99</v>
      </c>
      <c r="BJ346" s="307">
        <v>3</v>
      </c>
      <c r="BK346" s="307">
        <v>20</v>
      </c>
      <c r="BL346" s="307">
        <v>20</v>
      </c>
      <c r="BM346" s="307">
        <v>0</v>
      </c>
      <c r="BN346" s="307">
        <v>60</v>
      </c>
      <c r="BO346" s="259" t="s">
        <v>2985</v>
      </c>
      <c r="BP346" s="325"/>
      <c r="BS346" s="321"/>
    </row>
    <row r="347" spans="1:71" s="322" customFormat="1">
      <c r="A347" s="336">
        <v>1667</v>
      </c>
      <c r="B347" s="533" t="s">
        <v>3614</v>
      </c>
      <c r="C347" s="383"/>
      <c r="D347" s="466" t="s">
        <v>3590</v>
      </c>
      <c r="E347" s="469"/>
      <c r="F347" s="303" t="s">
        <v>2224</v>
      </c>
      <c r="G347" s="386" t="s">
        <v>2719</v>
      </c>
      <c r="H347" s="456" t="s">
        <v>256</v>
      </c>
      <c r="I347" s="338" t="s">
        <v>3377</v>
      </c>
      <c r="J347" s="307">
        <v>2005</v>
      </c>
      <c r="K347" s="304">
        <v>356</v>
      </c>
      <c r="L347" s="303" t="s">
        <v>1738</v>
      </c>
      <c r="M347" s="304" t="s">
        <v>1751</v>
      </c>
      <c r="N347" s="449">
        <f t="shared" si="73"/>
        <v>0.45432692307692307</v>
      </c>
      <c r="O347" s="349">
        <v>0.5</v>
      </c>
      <c r="P347" s="329">
        <v>5.3617647058823525</v>
      </c>
      <c r="Q347" s="310">
        <f t="shared" si="74"/>
        <v>4.8719881221719454</v>
      </c>
      <c r="R347" s="377">
        <f t="shared" si="75"/>
        <v>170</v>
      </c>
      <c r="S347" s="407">
        <v>340</v>
      </c>
      <c r="T347" s="377">
        <f t="shared" si="76"/>
        <v>374.17989417989418</v>
      </c>
      <c r="U347" s="377">
        <f t="shared" si="71"/>
        <v>1822.9999999999998</v>
      </c>
      <c r="V347" s="495">
        <v>1115.1389999999999</v>
      </c>
      <c r="W347" s="496">
        <f t="shared" si="72"/>
        <v>707.86099999999988</v>
      </c>
      <c r="X347" s="313" t="s">
        <v>12</v>
      </c>
      <c r="Y347" s="307" t="s">
        <v>12</v>
      </c>
      <c r="Z347" s="314" t="s">
        <v>2985</v>
      </c>
      <c r="AA347" s="311" t="s">
        <v>3538</v>
      </c>
      <c r="AB347" s="304" t="s">
        <v>273</v>
      </c>
      <c r="AC347" s="518" t="s">
        <v>3346</v>
      </c>
      <c r="AD347" s="507" t="s">
        <v>2310</v>
      </c>
      <c r="AE347" s="239" t="s">
        <v>2306</v>
      </c>
      <c r="AF347" s="317" t="s">
        <v>2985</v>
      </c>
      <c r="AG347" s="262" t="s">
        <v>2985</v>
      </c>
      <c r="AH347" s="344">
        <v>89.94708994708995</v>
      </c>
      <c r="AI347" s="377">
        <v>10.052910052910054</v>
      </c>
      <c r="AJ347" s="394">
        <v>0</v>
      </c>
      <c r="AK347" s="315">
        <v>0</v>
      </c>
      <c r="AL347" s="315">
        <v>0</v>
      </c>
      <c r="AM347" s="315">
        <v>0</v>
      </c>
      <c r="AN347" s="312">
        <v>0</v>
      </c>
      <c r="AO347" s="312">
        <v>0</v>
      </c>
      <c r="AP347" s="307">
        <v>0</v>
      </c>
      <c r="AQ347" s="307">
        <v>0</v>
      </c>
      <c r="AR347" s="307">
        <v>0</v>
      </c>
      <c r="AS347" s="307">
        <v>0</v>
      </c>
      <c r="AT347" s="377">
        <v>1.4000000000000001</v>
      </c>
      <c r="AU347" s="307">
        <v>0</v>
      </c>
      <c r="AV347" s="307">
        <v>0</v>
      </c>
      <c r="AW347" s="307">
        <v>0</v>
      </c>
      <c r="AX347" s="304">
        <v>0</v>
      </c>
      <c r="AY347" s="303">
        <v>99.6</v>
      </c>
      <c r="AZ347" s="311"/>
      <c r="BA347" s="317" t="s">
        <v>2985</v>
      </c>
      <c r="BB347" s="94" t="s">
        <v>2985</v>
      </c>
      <c r="BC347" s="355" t="s">
        <v>2985</v>
      </c>
      <c r="BD347" s="348" t="s">
        <v>3544</v>
      </c>
      <c r="BE347" s="312">
        <v>100</v>
      </c>
      <c r="BF347" s="307"/>
      <c r="BG347" s="307">
        <v>400</v>
      </c>
      <c r="BH347" s="390">
        <v>22.222222222222221</v>
      </c>
      <c r="BI347" s="303">
        <v>99</v>
      </c>
      <c r="BJ347" s="307">
        <v>0.5</v>
      </c>
      <c r="BK347" s="307">
        <v>20</v>
      </c>
      <c r="BL347" s="307">
        <v>20</v>
      </c>
      <c r="BM347" s="307">
        <v>0</v>
      </c>
      <c r="BN347" s="307">
        <v>60</v>
      </c>
      <c r="BO347" s="259" t="s">
        <v>2985</v>
      </c>
      <c r="BP347" s="325"/>
      <c r="BS347" s="321"/>
    </row>
    <row r="348" spans="1:71" s="322" customFormat="1">
      <c r="A348" s="336">
        <v>1668</v>
      </c>
      <c r="B348" s="533" t="s">
        <v>3614</v>
      </c>
      <c r="C348" s="383"/>
      <c r="D348" s="466" t="s">
        <v>3590</v>
      </c>
      <c r="E348" s="469"/>
      <c r="F348" s="303" t="s">
        <v>2225</v>
      </c>
      <c r="G348" s="386" t="s">
        <v>2719</v>
      </c>
      <c r="H348" s="456" t="s">
        <v>256</v>
      </c>
      <c r="I348" s="338" t="s">
        <v>3377</v>
      </c>
      <c r="J348" s="307">
        <v>2005</v>
      </c>
      <c r="K348" s="304">
        <v>356</v>
      </c>
      <c r="L348" s="303" t="s">
        <v>1738</v>
      </c>
      <c r="M348" s="304" t="s">
        <v>1751</v>
      </c>
      <c r="N348" s="449">
        <f t="shared" si="73"/>
        <v>0.45432692307692307</v>
      </c>
      <c r="O348" s="349">
        <v>0.5</v>
      </c>
      <c r="P348" s="329">
        <v>5.3617647058823525</v>
      </c>
      <c r="Q348" s="310">
        <f t="shared" si="74"/>
        <v>4.8719881221719454</v>
      </c>
      <c r="R348" s="377">
        <f t="shared" si="75"/>
        <v>170</v>
      </c>
      <c r="S348" s="307">
        <v>340</v>
      </c>
      <c r="T348" s="377">
        <f t="shared" si="76"/>
        <v>374.17989417989418</v>
      </c>
      <c r="U348" s="377">
        <f t="shared" si="71"/>
        <v>1822.9999999999998</v>
      </c>
      <c r="V348" s="495">
        <v>1115.1389999999999</v>
      </c>
      <c r="W348" s="496">
        <f t="shared" si="72"/>
        <v>707.86099999999988</v>
      </c>
      <c r="X348" s="313" t="s">
        <v>12</v>
      </c>
      <c r="Y348" s="307" t="s">
        <v>12</v>
      </c>
      <c r="Z348" s="314" t="s">
        <v>2985</v>
      </c>
      <c r="AA348" s="311" t="s">
        <v>3538</v>
      </c>
      <c r="AB348" s="304" t="s">
        <v>273</v>
      </c>
      <c r="AC348" s="518" t="s">
        <v>3346</v>
      </c>
      <c r="AD348" s="507" t="s">
        <v>2310</v>
      </c>
      <c r="AE348" s="239" t="s">
        <v>2306</v>
      </c>
      <c r="AF348" s="317" t="s">
        <v>2985</v>
      </c>
      <c r="AG348" s="262" t="s">
        <v>2985</v>
      </c>
      <c r="AH348" s="344">
        <v>89.94708994708995</v>
      </c>
      <c r="AI348" s="377">
        <v>10.052910052910054</v>
      </c>
      <c r="AJ348" s="394">
        <v>0</v>
      </c>
      <c r="AK348" s="315">
        <v>0</v>
      </c>
      <c r="AL348" s="315">
        <v>0</v>
      </c>
      <c r="AM348" s="315">
        <v>0</v>
      </c>
      <c r="AN348" s="312">
        <v>0</v>
      </c>
      <c r="AO348" s="312">
        <v>0</v>
      </c>
      <c r="AP348" s="307">
        <v>0</v>
      </c>
      <c r="AQ348" s="307">
        <v>0</v>
      </c>
      <c r="AR348" s="307">
        <v>0</v>
      </c>
      <c r="AS348" s="307">
        <v>0</v>
      </c>
      <c r="AT348" s="377">
        <v>1.4000000000000001</v>
      </c>
      <c r="AU348" s="307">
        <v>0</v>
      </c>
      <c r="AV348" s="307">
        <v>0</v>
      </c>
      <c r="AW348" s="307">
        <v>0</v>
      </c>
      <c r="AX348" s="304">
        <v>0</v>
      </c>
      <c r="AY348" s="303">
        <v>99.6</v>
      </c>
      <c r="AZ348" s="311"/>
      <c r="BA348" s="317" t="s">
        <v>2985</v>
      </c>
      <c r="BB348" s="94" t="s">
        <v>2985</v>
      </c>
      <c r="BC348" s="355" t="s">
        <v>2985</v>
      </c>
      <c r="BD348" s="348" t="s">
        <v>3544</v>
      </c>
      <c r="BE348" s="312">
        <v>100</v>
      </c>
      <c r="BF348" s="307"/>
      <c r="BG348" s="307">
        <v>400</v>
      </c>
      <c r="BH348" s="390">
        <v>22.222222222222221</v>
      </c>
      <c r="BI348" s="303">
        <v>99</v>
      </c>
      <c r="BJ348" s="307">
        <v>0.5</v>
      </c>
      <c r="BK348" s="307">
        <v>20</v>
      </c>
      <c r="BL348" s="307">
        <v>20</v>
      </c>
      <c r="BM348" s="307">
        <v>0</v>
      </c>
      <c r="BN348" s="307">
        <v>60</v>
      </c>
      <c r="BO348" s="259" t="s">
        <v>2985</v>
      </c>
      <c r="BP348" s="325"/>
      <c r="BS348" s="321"/>
    </row>
    <row r="349" spans="1:71" s="322" customFormat="1">
      <c r="A349" s="336">
        <v>1670</v>
      </c>
      <c r="B349" s="533" t="s">
        <v>3614</v>
      </c>
      <c r="C349" s="383"/>
      <c r="D349" s="466" t="s">
        <v>3590</v>
      </c>
      <c r="E349" s="469"/>
      <c r="F349" s="303" t="s">
        <v>2227</v>
      </c>
      <c r="G349" s="386" t="s">
        <v>2719</v>
      </c>
      <c r="H349" s="456" t="s">
        <v>256</v>
      </c>
      <c r="I349" s="338" t="s">
        <v>3377</v>
      </c>
      <c r="J349" s="307">
        <v>2005</v>
      </c>
      <c r="K349" s="304">
        <v>356</v>
      </c>
      <c r="L349" s="303" t="s">
        <v>1738</v>
      </c>
      <c r="M349" s="304" t="s">
        <v>1751</v>
      </c>
      <c r="N349" s="449">
        <f t="shared" si="73"/>
        <v>0.45432692307692307</v>
      </c>
      <c r="O349" s="349">
        <v>0.5</v>
      </c>
      <c r="P349" s="329">
        <v>5.3617647058823525</v>
      </c>
      <c r="Q349" s="310">
        <f t="shared" si="74"/>
        <v>4.8719881221719454</v>
      </c>
      <c r="R349" s="377">
        <f t="shared" si="75"/>
        <v>170</v>
      </c>
      <c r="S349" s="407">
        <v>340</v>
      </c>
      <c r="T349" s="377">
        <f t="shared" si="76"/>
        <v>374.17989417989418</v>
      </c>
      <c r="U349" s="377">
        <f t="shared" si="71"/>
        <v>1822.9999999999998</v>
      </c>
      <c r="V349" s="495">
        <v>1115.1389999999999</v>
      </c>
      <c r="W349" s="496">
        <f t="shared" si="72"/>
        <v>707.86099999999988</v>
      </c>
      <c r="X349" s="313" t="s">
        <v>12</v>
      </c>
      <c r="Y349" s="307" t="s">
        <v>12</v>
      </c>
      <c r="Z349" s="314" t="s">
        <v>2985</v>
      </c>
      <c r="AA349" s="311" t="s">
        <v>3538</v>
      </c>
      <c r="AB349" s="304" t="s">
        <v>273</v>
      </c>
      <c r="AC349" s="518" t="s">
        <v>3346</v>
      </c>
      <c r="AD349" s="507" t="s">
        <v>2310</v>
      </c>
      <c r="AE349" s="239" t="s">
        <v>2306</v>
      </c>
      <c r="AF349" s="317" t="s">
        <v>2985</v>
      </c>
      <c r="AG349" s="262" t="s">
        <v>2985</v>
      </c>
      <c r="AH349" s="344">
        <v>89.94708994708995</v>
      </c>
      <c r="AI349" s="377">
        <v>10.052910052910054</v>
      </c>
      <c r="AJ349" s="394">
        <v>0</v>
      </c>
      <c r="AK349" s="315">
        <v>0</v>
      </c>
      <c r="AL349" s="315">
        <v>0</v>
      </c>
      <c r="AM349" s="315">
        <v>0</v>
      </c>
      <c r="AN349" s="312">
        <v>0</v>
      </c>
      <c r="AO349" s="312">
        <v>0</v>
      </c>
      <c r="AP349" s="307">
        <v>0</v>
      </c>
      <c r="AQ349" s="307">
        <v>0</v>
      </c>
      <c r="AR349" s="307">
        <v>0</v>
      </c>
      <c r="AS349" s="307">
        <v>0</v>
      </c>
      <c r="AT349" s="377">
        <v>1.4000000000000001</v>
      </c>
      <c r="AU349" s="307">
        <v>0</v>
      </c>
      <c r="AV349" s="307">
        <v>0</v>
      </c>
      <c r="AW349" s="307">
        <v>0</v>
      </c>
      <c r="AX349" s="304">
        <v>0</v>
      </c>
      <c r="AY349" s="303">
        <v>99.6</v>
      </c>
      <c r="AZ349" s="311"/>
      <c r="BA349" s="317" t="s">
        <v>2985</v>
      </c>
      <c r="BB349" s="94" t="s">
        <v>2985</v>
      </c>
      <c r="BC349" s="355" t="s">
        <v>2985</v>
      </c>
      <c r="BD349" s="348" t="s">
        <v>3544</v>
      </c>
      <c r="BE349" s="312">
        <v>100</v>
      </c>
      <c r="BF349" s="307"/>
      <c r="BG349" s="307">
        <v>400</v>
      </c>
      <c r="BH349" s="390">
        <v>22.222222222222221</v>
      </c>
      <c r="BI349" s="303">
        <v>99</v>
      </c>
      <c r="BJ349" s="307">
        <v>1</v>
      </c>
      <c r="BK349" s="307">
        <v>20</v>
      </c>
      <c r="BL349" s="307">
        <v>20</v>
      </c>
      <c r="BM349" s="307">
        <v>0</v>
      </c>
      <c r="BN349" s="307">
        <v>60</v>
      </c>
      <c r="BO349" s="259" t="s">
        <v>2985</v>
      </c>
      <c r="BP349" s="325"/>
      <c r="BS349" s="321"/>
    </row>
    <row r="350" spans="1:71" s="322" customFormat="1">
      <c r="A350" s="336">
        <v>1671</v>
      </c>
      <c r="B350" s="533" t="s">
        <v>3614</v>
      </c>
      <c r="C350" s="383"/>
      <c r="D350" s="466" t="s">
        <v>3590</v>
      </c>
      <c r="E350" s="469"/>
      <c r="F350" s="303" t="s">
        <v>2228</v>
      </c>
      <c r="G350" s="386" t="s">
        <v>2719</v>
      </c>
      <c r="H350" s="456" t="s">
        <v>256</v>
      </c>
      <c r="I350" s="338" t="s">
        <v>3377</v>
      </c>
      <c r="J350" s="307">
        <v>2005</v>
      </c>
      <c r="K350" s="304">
        <v>356</v>
      </c>
      <c r="L350" s="303" t="s">
        <v>1738</v>
      </c>
      <c r="M350" s="304" t="s">
        <v>1751</v>
      </c>
      <c r="N350" s="449">
        <f t="shared" si="73"/>
        <v>0.45432692307692307</v>
      </c>
      <c r="O350" s="349">
        <v>0.5</v>
      </c>
      <c r="P350" s="329">
        <v>5.3617647058823525</v>
      </c>
      <c r="Q350" s="310">
        <f t="shared" si="74"/>
        <v>4.8719881221719454</v>
      </c>
      <c r="R350" s="377">
        <f t="shared" si="75"/>
        <v>170</v>
      </c>
      <c r="S350" s="407">
        <v>340</v>
      </c>
      <c r="T350" s="377">
        <f t="shared" si="76"/>
        <v>374.17989417989418</v>
      </c>
      <c r="U350" s="377">
        <f t="shared" si="71"/>
        <v>1822.9999999999998</v>
      </c>
      <c r="V350" s="495">
        <v>1115.1389999999999</v>
      </c>
      <c r="W350" s="496">
        <f t="shared" si="72"/>
        <v>707.86099999999988</v>
      </c>
      <c r="X350" s="313" t="s">
        <v>12</v>
      </c>
      <c r="Y350" s="307" t="s">
        <v>12</v>
      </c>
      <c r="Z350" s="314" t="s">
        <v>2985</v>
      </c>
      <c r="AA350" s="311" t="s">
        <v>3538</v>
      </c>
      <c r="AB350" s="304" t="s">
        <v>273</v>
      </c>
      <c r="AC350" s="518" t="s">
        <v>3346</v>
      </c>
      <c r="AD350" s="507" t="s">
        <v>2310</v>
      </c>
      <c r="AE350" s="239" t="s">
        <v>2306</v>
      </c>
      <c r="AF350" s="317" t="s">
        <v>2985</v>
      </c>
      <c r="AG350" s="262" t="s">
        <v>2985</v>
      </c>
      <c r="AH350" s="344">
        <v>89.94708994708995</v>
      </c>
      <c r="AI350" s="377">
        <v>10.052910052910054</v>
      </c>
      <c r="AJ350" s="394">
        <v>0</v>
      </c>
      <c r="AK350" s="315">
        <v>0</v>
      </c>
      <c r="AL350" s="315">
        <v>0</v>
      </c>
      <c r="AM350" s="315">
        <v>0</v>
      </c>
      <c r="AN350" s="312">
        <v>0</v>
      </c>
      <c r="AO350" s="312">
        <v>0</v>
      </c>
      <c r="AP350" s="307">
        <v>0</v>
      </c>
      <c r="AQ350" s="307">
        <v>0</v>
      </c>
      <c r="AR350" s="307">
        <v>0</v>
      </c>
      <c r="AS350" s="307">
        <v>0</v>
      </c>
      <c r="AT350" s="377">
        <v>1.4000000000000001</v>
      </c>
      <c r="AU350" s="307">
        <v>0</v>
      </c>
      <c r="AV350" s="307">
        <v>0</v>
      </c>
      <c r="AW350" s="307">
        <v>0</v>
      </c>
      <c r="AX350" s="304">
        <v>0</v>
      </c>
      <c r="AY350" s="303">
        <v>99.6</v>
      </c>
      <c r="AZ350" s="311"/>
      <c r="BA350" s="317" t="s">
        <v>2985</v>
      </c>
      <c r="BB350" s="94" t="s">
        <v>2985</v>
      </c>
      <c r="BC350" s="355" t="s">
        <v>2985</v>
      </c>
      <c r="BD350" s="348" t="s">
        <v>3544</v>
      </c>
      <c r="BE350" s="312">
        <v>100</v>
      </c>
      <c r="BF350" s="307"/>
      <c r="BG350" s="307">
        <v>400</v>
      </c>
      <c r="BH350" s="390">
        <v>22.222222222222221</v>
      </c>
      <c r="BI350" s="303">
        <v>99</v>
      </c>
      <c r="BJ350" s="307">
        <v>1</v>
      </c>
      <c r="BK350" s="307">
        <v>20</v>
      </c>
      <c r="BL350" s="307">
        <v>20</v>
      </c>
      <c r="BM350" s="307">
        <v>0</v>
      </c>
      <c r="BN350" s="307">
        <v>60</v>
      </c>
      <c r="BO350" s="259" t="s">
        <v>2985</v>
      </c>
      <c r="BP350" s="325"/>
      <c r="BS350" s="321"/>
    </row>
    <row r="351" spans="1:71" s="322" customFormat="1">
      <c r="A351" s="336">
        <v>1673</v>
      </c>
      <c r="B351" s="533" t="s">
        <v>3614</v>
      </c>
      <c r="C351" s="383"/>
      <c r="D351" s="466" t="s">
        <v>3590</v>
      </c>
      <c r="E351" s="469"/>
      <c r="F351" s="303" t="s">
        <v>2230</v>
      </c>
      <c r="G351" s="386" t="s">
        <v>2719</v>
      </c>
      <c r="H351" s="456" t="s">
        <v>256</v>
      </c>
      <c r="I351" s="338" t="s">
        <v>3377</v>
      </c>
      <c r="J351" s="307">
        <v>2005</v>
      </c>
      <c r="K351" s="304">
        <v>356</v>
      </c>
      <c r="L351" s="303" t="s">
        <v>1738</v>
      </c>
      <c r="M351" s="304" t="s">
        <v>1751</v>
      </c>
      <c r="N351" s="446">
        <f t="shared" si="73"/>
        <v>0.45432692307692307</v>
      </c>
      <c r="O351" s="364">
        <v>0.5</v>
      </c>
      <c r="P351" s="329">
        <v>5.3617647058823525</v>
      </c>
      <c r="Q351" s="310">
        <f t="shared" si="74"/>
        <v>4.8719881221719454</v>
      </c>
      <c r="R351" s="377">
        <f t="shared" si="75"/>
        <v>170</v>
      </c>
      <c r="S351" s="407">
        <v>340</v>
      </c>
      <c r="T351" s="377">
        <f t="shared" si="76"/>
        <v>374.17989417989418</v>
      </c>
      <c r="U351" s="377">
        <f t="shared" si="71"/>
        <v>1822.9999999999998</v>
      </c>
      <c r="V351" s="495">
        <v>1115.1389999999999</v>
      </c>
      <c r="W351" s="496">
        <f t="shared" si="72"/>
        <v>707.86099999999988</v>
      </c>
      <c r="X351" s="313" t="s">
        <v>12</v>
      </c>
      <c r="Y351" s="307" t="s">
        <v>12</v>
      </c>
      <c r="Z351" s="314" t="s">
        <v>2985</v>
      </c>
      <c r="AA351" s="311" t="s">
        <v>3538</v>
      </c>
      <c r="AB351" s="304" t="s">
        <v>273</v>
      </c>
      <c r="AC351" s="518" t="s">
        <v>3346</v>
      </c>
      <c r="AD351" s="507" t="s">
        <v>2310</v>
      </c>
      <c r="AE351" s="239" t="s">
        <v>2306</v>
      </c>
      <c r="AF351" s="317" t="s">
        <v>2985</v>
      </c>
      <c r="AG351" s="262" t="s">
        <v>2985</v>
      </c>
      <c r="AH351" s="344">
        <v>89.94708994708995</v>
      </c>
      <c r="AI351" s="377">
        <v>10.052910052910054</v>
      </c>
      <c r="AJ351" s="394">
        <v>0</v>
      </c>
      <c r="AK351" s="315">
        <v>0</v>
      </c>
      <c r="AL351" s="315">
        <v>0</v>
      </c>
      <c r="AM351" s="315">
        <v>0</v>
      </c>
      <c r="AN351" s="312">
        <v>0</v>
      </c>
      <c r="AO351" s="312">
        <v>0</v>
      </c>
      <c r="AP351" s="307">
        <v>0</v>
      </c>
      <c r="AQ351" s="307">
        <v>0</v>
      </c>
      <c r="AR351" s="307">
        <v>0</v>
      </c>
      <c r="AS351" s="307">
        <v>0</v>
      </c>
      <c r="AT351" s="377">
        <v>1.4000000000000001</v>
      </c>
      <c r="AU351" s="307">
        <v>0</v>
      </c>
      <c r="AV351" s="307">
        <v>0</v>
      </c>
      <c r="AW351" s="307">
        <v>0</v>
      </c>
      <c r="AX351" s="304">
        <v>0</v>
      </c>
      <c r="AY351" s="303">
        <v>99.6</v>
      </c>
      <c r="AZ351" s="311"/>
      <c r="BA351" s="317" t="s">
        <v>2985</v>
      </c>
      <c r="BB351" s="94" t="s">
        <v>2985</v>
      </c>
      <c r="BC351" s="355" t="s">
        <v>2985</v>
      </c>
      <c r="BD351" s="348" t="s">
        <v>3544</v>
      </c>
      <c r="BE351" s="312">
        <v>100</v>
      </c>
      <c r="BF351" s="307"/>
      <c r="BG351" s="307">
        <v>400</v>
      </c>
      <c r="BH351" s="390">
        <v>22.222222222222221</v>
      </c>
      <c r="BI351" s="303">
        <v>99</v>
      </c>
      <c r="BJ351" s="307">
        <v>3</v>
      </c>
      <c r="BK351" s="307">
        <v>20</v>
      </c>
      <c r="BL351" s="307">
        <v>20</v>
      </c>
      <c r="BM351" s="307">
        <v>0</v>
      </c>
      <c r="BN351" s="307">
        <v>60</v>
      </c>
      <c r="BO351" s="259" t="s">
        <v>2985</v>
      </c>
      <c r="BP351" s="325"/>
      <c r="BS351" s="321"/>
    </row>
    <row r="352" spans="1:71" s="322" customFormat="1">
      <c r="A352" s="336">
        <v>1674</v>
      </c>
      <c r="B352" s="533" t="s">
        <v>3614</v>
      </c>
      <c r="C352" s="383"/>
      <c r="D352" s="466" t="s">
        <v>3590</v>
      </c>
      <c r="E352" s="469"/>
      <c r="F352" s="303" t="s">
        <v>2231</v>
      </c>
      <c r="G352" s="386" t="s">
        <v>2719</v>
      </c>
      <c r="H352" s="456" t="s">
        <v>256</v>
      </c>
      <c r="I352" s="338" t="s">
        <v>3377</v>
      </c>
      <c r="J352" s="307">
        <v>2005</v>
      </c>
      <c r="K352" s="304">
        <v>356</v>
      </c>
      <c r="L352" s="303" t="s">
        <v>1738</v>
      </c>
      <c r="M352" s="304" t="s">
        <v>1751</v>
      </c>
      <c r="N352" s="446">
        <f t="shared" si="73"/>
        <v>0.45432692307692307</v>
      </c>
      <c r="O352" s="364">
        <v>0.5</v>
      </c>
      <c r="P352" s="329">
        <v>5.3617647058823525</v>
      </c>
      <c r="Q352" s="310">
        <f t="shared" si="74"/>
        <v>4.8719881221719454</v>
      </c>
      <c r="R352" s="377">
        <f t="shared" si="75"/>
        <v>170</v>
      </c>
      <c r="S352" s="407">
        <v>340</v>
      </c>
      <c r="T352" s="377">
        <f t="shared" si="76"/>
        <v>374.17989417989418</v>
      </c>
      <c r="U352" s="377">
        <f t="shared" si="71"/>
        <v>1822.9999999999998</v>
      </c>
      <c r="V352" s="495">
        <v>1115.1389999999999</v>
      </c>
      <c r="W352" s="496">
        <f t="shared" si="72"/>
        <v>707.86099999999988</v>
      </c>
      <c r="X352" s="313" t="s">
        <v>12</v>
      </c>
      <c r="Y352" s="307" t="s">
        <v>12</v>
      </c>
      <c r="Z352" s="314" t="s">
        <v>2985</v>
      </c>
      <c r="AA352" s="311" t="s">
        <v>3538</v>
      </c>
      <c r="AB352" s="304" t="s">
        <v>273</v>
      </c>
      <c r="AC352" s="518" t="s">
        <v>3346</v>
      </c>
      <c r="AD352" s="507" t="s">
        <v>2310</v>
      </c>
      <c r="AE352" s="239" t="s">
        <v>2306</v>
      </c>
      <c r="AF352" s="317" t="s">
        <v>2985</v>
      </c>
      <c r="AG352" s="262" t="s">
        <v>2985</v>
      </c>
      <c r="AH352" s="344">
        <v>89.94708994708995</v>
      </c>
      <c r="AI352" s="377">
        <v>10.052910052910054</v>
      </c>
      <c r="AJ352" s="394">
        <v>0</v>
      </c>
      <c r="AK352" s="315">
        <v>0</v>
      </c>
      <c r="AL352" s="315">
        <v>0</v>
      </c>
      <c r="AM352" s="315">
        <v>0</v>
      </c>
      <c r="AN352" s="312">
        <v>0</v>
      </c>
      <c r="AO352" s="312">
        <v>0</v>
      </c>
      <c r="AP352" s="307">
        <v>0</v>
      </c>
      <c r="AQ352" s="307">
        <v>0</v>
      </c>
      <c r="AR352" s="307">
        <v>0</v>
      </c>
      <c r="AS352" s="307">
        <v>0</v>
      </c>
      <c r="AT352" s="377">
        <v>1.4000000000000001</v>
      </c>
      <c r="AU352" s="307">
        <v>0</v>
      </c>
      <c r="AV352" s="307">
        <v>0</v>
      </c>
      <c r="AW352" s="307">
        <v>0</v>
      </c>
      <c r="AX352" s="304">
        <v>0</v>
      </c>
      <c r="AY352" s="303">
        <v>99.6</v>
      </c>
      <c r="AZ352" s="311"/>
      <c r="BA352" s="317" t="s">
        <v>2985</v>
      </c>
      <c r="BB352" s="94" t="s">
        <v>2985</v>
      </c>
      <c r="BC352" s="355" t="s">
        <v>2985</v>
      </c>
      <c r="BD352" s="348" t="s">
        <v>3544</v>
      </c>
      <c r="BE352" s="312">
        <v>100</v>
      </c>
      <c r="BF352" s="307"/>
      <c r="BG352" s="307">
        <v>400</v>
      </c>
      <c r="BH352" s="390">
        <v>22.222222222222221</v>
      </c>
      <c r="BI352" s="303">
        <v>99</v>
      </c>
      <c r="BJ352" s="307">
        <v>3</v>
      </c>
      <c r="BK352" s="307">
        <v>20</v>
      </c>
      <c r="BL352" s="307">
        <v>20</v>
      </c>
      <c r="BM352" s="307">
        <v>0</v>
      </c>
      <c r="BN352" s="307">
        <v>60</v>
      </c>
      <c r="BO352" s="259" t="s">
        <v>2985</v>
      </c>
      <c r="BP352" s="325"/>
      <c r="BS352" s="321"/>
    </row>
    <row r="353" spans="1:71" s="322" customFormat="1">
      <c r="A353" s="457">
        <v>1676</v>
      </c>
      <c r="B353" s="534" t="s">
        <v>3603</v>
      </c>
      <c r="C353" s="383"/>
      <c r="D353" s="466" t="s">
        <v>3590</v>
      </c>
      <c r="E353" s="469"/>
      <c r="F353" s="303" t="s">
        <v>2233</v>
      </c>
      <c r="G353" s="386" t="s">
        <v>2719</v>
      </c>
      <c r="H353" s="454" t="s">
        <v>256</v>
      </c>
      <c r="I353" s="338" t="s">
        <v>3377</v>
      </c>
      <c r="J353" s="348">
        <v>2006</v>
      </c>
      <c r="K353" s="341">
        <v>357</v>
      </c>
      <c r="L353" s="340" t="s">
        <v>1738</v>
      </c>
      <c r="M353" s="341" t="s">
        <v>1739</v>
      </c>
      <c r="N353" s="449">
        <f t="shared" si="73"/>
        <v>0.25</v>
      </c>
      <c r="O353" s="349">
        <v>0.25</v>
      </c>
      <c r="P353" s="329">
        <v>2.9241379310344828</v>
      </c>
      <c r="Q353" s="310">
        <f t="shared" si="74"/>
        <v>2.9241379310344828</v>
      </c>
      <c r="R353" s="377">
        <f t="shared" si="75"/>
        <v>145</v>
      </c>
      <c r="S353" s="407">
        <v>580</v>
      </c>
      <c r="T353" s="377">
        <f t="shared" si="76"/>
        <v>580</v>
      </c>
      <c r="U353" s="377">
        <f t="shared" si="71"/>
        <v>1696</v>
      </c>
      <c r="V353" s="408" t="s">
        <v>2985</v>
      </c>
      <c r="W353" s="408" t="s">
        <v>2985</v>
      </c>
      <c r="X353" s="313" t="s">
        <v>12</v>
      </c>
      <c r="Y353" s="307" t="s">
        <v>12</v>
      </c>
      <c r="Z353" s="314" t="s">
        <v>2985</v>
      </c>
      <c r="AA353" s="311" t="s">
        <v>1754</v>
      </c>
      <c r="AB353" s="341" t="s">
        <v>273</v>
      </c>
      <c r="AC353" s="161" t="s">
        <v>2985</v>
      </c>
      <c r="AD353" s="511" t="s">
        <v>2320</v>
      </c>
      <c r="AE353" s="316" t="s">
        <v>2985</v>
      </c>
      <c r="AF353" s="316" t="s">
        <v>2985</v>
      </c>
      <c r="AG353" s="262" t="s">
        <v>2985</v>
      </c>
      <c r="AH353" s="344">
        <v>100</v>
      </c>
      <c r="AI353" s="353">
        <v>0</v>
      </c>
      <c r="AJ353" s="395">
        <v>0</v>
      </c>
      <c r="AK353" s="365">
        <v>0</v>
      </c>
      <c r="AL353" s="365">
        <v>0</v>
      </c>
      <c r="AM353" s="365">
        <v>0</v>
      </c>
      <c r="AN353" s="353">
        <v>0</v>
      </c>
      <c r="AO353" s="353">
        <v>0</v>
      </c>
      <c r="AP353" s="348">
        <v>0</v>
      </c>
      <c r="AQ353" s="348">
        <v>0</v>
      </c>
      <c r="AR353" s="348">
        <v>0</v>
      </c>
      <c r="AS353" s="348">
        <v>0</v>
      </c>
      <c r="AT353" s="352">
        <v>1.9482758620689655</v>
      </c>
      <c r="AU353" s="348">
        <v>0</v>
      </c>
      <c r="AV353" s="348">
        <v>0</v>
      </c>
      <c r="AW353" s="348">
        <v>0</v>
      </c>
      <c r="AX353" s="341">
        <v>0</v>
      </c>
      <c r="AY353" s="340">
        <v>83.662000000000006</v>
      </c>
      <c r="AZ353" s="356"/>
      <c r="BA353" s="316" t="s">
        <v>2985</v>
      </c>
      <c r="BB353" s="94" t="s">
        <v>2985</v>
      </c>
      <c r="BC353" s="425">
        <v>43.697499999999998</v>
      </c>
      <c r="BD353" s="348" t="s">
        <v>3544</v>
      </c>
      <c r="BE353" s="353">
        <v>100</v>
      </c>
      <c r="BF353" s="348"/>
      <c r="BG353" s="348">
        <v>400</v>
      </c>
      <c r="BH353" s="390">
        <f>IF(ISBLANK(BF353),(BE353*BG353)/((4*BG353)+(2*BE353)),BE353*BF353*BG353/2/(BE353*BF353+BE353*BG353+BF353*BG353))</f>
        <v>22.222222222222221</v>
      </c>
      <c r="BI353" s="303">
        <v>99</v>
      </c>
      <c r="BJ353" s="307">
        <v>1</v>
      </c>
      <c r="BK353" s="307">
        <v>20</v>
      </c>
      <c r="BL353" s="307">
        <v>20</v>
      </c>
      <c r="BM353" s="307">
        <v>0</v>
      </c>
      <c r="BN353" s="307">
        <v>99</v>
      </c>
      <c r="BO353" s="332" t="s">
        <v>2985</v>
      </c>
      <c r="BP353" s="343" t="s">
        <v>1768</v>
      </c>
      <c r="BS353" s="321"/>
    </row>
    <row r="354" spans="1:71" s="322" customFormat="1">
      <c r="A354" s="457">
        <v>1677</v>
      </c>
      <c r="B354" s="534" t="s">
        <v>3603</v>
      </c>
      <c r="C354" s="383"/>
      <c r="D354" s="466" t="s">
        <v>3590</v>
      </c>
      <c r="E354" s="469"/>
      <c r="F354" s="303" t="s">
        <v>2234</v>
      </c>
      <c r="G354" s="386" t="s">
        <v>2719</v>
      </c>
      <c r="H354" s="454" t="s">
        <v>256</v>
      </c>
      <c r="I354" s="338" t="s">
        <v>3377</v>
      </c>
      <c r="J354" s="348">
        <v>2006</v>
      </c>
      <c r="K354" s="341">
        <v>357</v>
      </c>
      <c r="L354" s="340" t="s">
        <v>1738</v>
      </c>
      <c r="M354" s="341" t="s">
        <v>1739</v>
      </c>
      <c r="N354" s="446">
        <f t="shared" si="73"/>
        <v>0.29401088929219599</v>
      </c>
      <c r="O354" s="364">
        <v>0.29401088929219599</v>
      </c>
      <c r="P354" s="329">
        <v>3.0780399274047188</v>
      </c>
      <c r="Q354" s="310">
        <f t="shared" si="74"/>
        <v>3.0780399274047188</v>
      </c>
      <c r="R354" s="377">
        <f t="shared" si="75"/>
        <v>162</v>
      </c>
      <c r="S354" s="407">
        <v>551</v>
      </c>
      <c r="T354" s="377">
        <f t="shared" si="76"/>
        <v>551</v>
      </c>
      <c r="U354" s="377">
        <f t="shared" si="71"/>
        <v>1696</v>
      </c>
      <c r="V354" s="408" t="s">
        <v>2985</v>
      </c>
      <c r="W354" s="408" t="s">
        <v>2985</v>
      </c>
      <c r="X354" s="313" t="s">
        <v>12</v>
      </c>
      <c r="Y354" s="307" t="s">
        <v>12</v>
      </c>
      <c r="Z354" s="314" t="s">
        <v>2985</v>
      </c>
      <c r="AA354" s="311" t="s">
        <v>1754</v>
      </c>
      <c r="AB354" s="341" t="s">
        <v>273</v>
      </c>
      <c r="AC354" s="161" t="s">
        <v>2985</v>
      </c>
      <c r="AD354" s="511" t="s">
        <v>2312</v>
      </c>
      <c r="AE354" s="316" t="s">
        <v>2985</v>
      </c>
      <c r="AF354" s="316" t="s">
        <v>2985</v>
      </c>
      <c r="AG354" s="262" t="s">
        <v>2985</v>
      </c>
      <c r="AH354" s="344">
        <v>100</v>
      </c>
      <c r="AI354" s="353">
        <v>0</v>
      </c>
      <c r="AJ354" s="395">
        <v>0</v>
      </c>
      <c r="AK354" s="365">
        <v>0</v>
      </c>
      <c r="AL354" s="365">
        <v>0</v>
      </c>
      <c r="AM354" s="365">
        <v>0</v>
      </c>
      <c r="AN354" s="353">
        <v>0</v>
      </c>
      <c r="AO354" s="353">
        <v>0</v>
      </c>
      <c r="AP354" s="348">
        <v>0</v>
      </c>
      <c r="AQ354" s="348">
        <v>0</v>
      </c>
      <c r="AR354" s="348">
        <v>0</v>
      </c>
      <c r="AS354" s="348">
        <v>0</v>
      </c>
      <c r="AT354" s="352">
        <v>2.1597096188747731</v>
      </c>
      <c r="AU354" s="348">
        <v>0</v>
      </c>
      <c r="AV354" s="356">
        <v>5.26</v>
      </c>
      <c r="AW354" s="348">
        <v>0</v>
      </c>
      <c r="AX354" s="341">
        <v>0</v>
      </c>
      <c r="AY354" s="340">
        <v>73.802800000000005</v>
      </c>
      <c r="AZ354" s="356"/>
      <c r="BA354" s="316" t="s">
        <v>2985</v>
      </c>
      <c r="BB354" s="507" t="s">
        <v>2985</v>
      </c>
      <c r="BC354" s="425">
        <v>39.355699999999999</v>
      </c>
      <c r="BD354" s="348" t="s">
        <v>3544</v>
      </c>
      <c r="BE354" s="353">
        <v>100</v>
      </c>
      <c r="BF354" s="348"/>
      <c r="BG354" s="348">
        <v>400</v>
      </c>
      <c r="BH354" s="390">
        <f>IF(ISBLANK(BF354),(BE354*BG354)/((4*BG354)+(2*BE354)),BE354*BF354*BG354/2/(BE354*BF354+BE354*BG354+BF354*BG354))</f>
        <v>22.222222222222221</v>
      </c>
      <c r="BI354" s="303">
        <v>99</v>
      </c>
      <c r="BJ354" s="307">
        <v>1</v>
      </c>
      <c r="BK354" s="307">
        <v>20</v>
      </c>
      <c r="BL354" s="307">
        <v>20</v>
      </c>
      <c r="BM354" s="307">
        <v>0</v>
      </c>
      <c r="BN354" s="307">
        <v>99</v>
      </c>
      <c r="BO354" s="259" t="s">
        <v>2985</v>
      </c>
      <c r="BP354" s="350" t="s">
        <v>1768</v>
      </c>
      <c r="BS354" s="321"/>
    </row>
    <row r="355" spans="1:71" s="322" customFormat="1">
      <c r="A355" s="457">
        <v>1678</v>
      </c>
      <c r="B355" s="534" t="s">
        <v>3603</v>
      </c>
      <c r="C355" s="383"/>
      <c r="D355" s="466" t="s">
        <v>3590</v>
      </c>
      <c r="E355" s="469"/>
      <c r="F355" s="303" t="s">
        <v>2235</v>
      </c>
      <c r="G355" s="386" t="s">
        <v>2719</v>
      </c>
      <c r="H355" s="454" t="s">
        <v>256</v>
      </c>
      <c r="I355" s="338" t="s">
        <v>3377</v>
      </c>
      <c r="J355" s="348">
        <v>2006</v>
      </c>
      <c r="K355" s="341">
        <v>357</v>
      </c>
      <c r="L355" s="340" t="s">
        <v>1738</v>
      </c>
      <c r="M355" s="341" t="s">
        <v>1739</v>
      </c>
      <c r="N355" s="446">
        <f t="shared" si="73"/>
        <v>0.3258426966292135</v>
      </c>
      <c r="O355" s="364">
        <v>0.3258426966292135</v>
      </c>
      <c r="P355" s="329">
        <v>3.1760299625468167</v>
      </c>
      <c r="Q355" s="310">
        <f t="shared" si="74"/>
        <v>3.1760299625468167</v>
      </c>
      <c r="R355" s="377">
        <f t="shared" si="75"/>
        <v>174</v>
      </c>
      <c r="S355" s="407">
        <v>534</v>
      </c>
      <c r="T355" s="377">
        <f t="shared" si="76"/>
        <v>534</v>
      </c>
      <c r="U355" s="377">
        <f t="shared" si="71"/>
        <v>1696</v>
      </c>
      <c r="V355" s="408" t="s">
        <v>2985</v>
      </c>
      <c r="W355" s="408" t="s">
        <v>2985</v>
      </c>
      <c r="X355" s="313" t="s">
        <v>12</v>
      </c>
      <c r="Y355" s="307" t="s">
        <v>12</v>
      </c>
      <c r="Z355" s="314" t="s">
        <v>2985</v>
      </c>
      <c r="AA355" s="311" t="s">
        <v>1754</v>
      </c>
      <c r="AB355" s="341" t="s">
        <v>273</v>
      </c>
      <c r="AC355" s="161" t="s">
        <v>2985</v>
      </c>
      <c r="AD355" s="511" t="s">
        <v>2312</v>
      </c>
      <c r="AE355" s="316" t="s">
        <v>2985</v>
      </c>
      <c r="AF355" s="316" t="s">
        <v>2985</v>
      </c>
      <c r="AG355" s="262" t="s">
        <v>2985</v>
      </c>
      <c r="AH355" s="344">
        <v>100</v>
      </c>
      <c r="AI355" s="353">
        <v>0</v>
      </c>
      <c r="AJ355" s="395">
        <v>0</v>
      </c>
      <c r="AK355" s="365">
        <v>0</v>
      </c>
      <c r="AL355" s="365">
        <v>0</v>
      </c>
      <c r="AM355" s="365">
        <v>0</v>
      </c>
      <c r="AN355" s="353">
        <v>0</v>
      </c>
      <c r="AO355" s="353">
        <v>0</v>
      </c>
      <c r="AP355" s="348">
        <v>0</v>
      </c>
      <c r="AQ355" s="348">
        <v>0</v>
      </c>
      <c r="AR355" s="348">
        <v>0</v>
      </c>
      <c r="AS355" s="348">
        <v>0</v>
      </c>
      <c r="AT355" s="352">
        <v>2.2846441947565541</v>
      </c>
      <c r="AU355" s="348">
        <v>0</v>
      </c>
      <c r="AV355" s="356">
        <v>8.61</v>
      </c>
      <c r="AW355" s="348">
        <v>0</v>
      </c>
      <c r="AX355" s="341">
        <v>0</v>
      </c>
      <c r="AY355" s="340">
        <v>77.464799999999997</v>
      </c>
      <c r="AZ355" s="356"/>
      <c r="BA355" s="316" t="s">
        <v>2985</v>
      </c>
      <c r="BB355" s="94" t="s">
        <v>2985</v>
      </c>
      <c r="BC355" s="425">
        <v>37.395000000000003</v>
      </c>
      <c r="BD355" s="348" t="s">
        <v>3544</v>
      </c>
      <c r="BE355" s="353">
        <v>100</v>
      </c>
      <c r="BF355" s="348"/>
      <c r="BG355" s="348">
        <v>400</v>
      </c>
      <c r="BH355" s="390">
        <f>IF(ISBLANK(BF355),(BE355*BG355)/((4*BG355)+(2*BE355)),BE355*BF355*BG355/2/(BE355*BF355+BE355*BG355+BF355*BG355))</f>
        <v>22.222222222222221</v>
      </c>
      <c r="BI355" s="303">
        <v>99</v>
      </c>
      <c r="BJ355" s="307">
        <v>1</v>
      </c>
      <c r="BK355" s="307">
        <v>20</v>
      </c>
      <c r="BL355" s="307">
        <v>20</v>
      </c>
      <c r="BM355" s="307">
        <v>0</v>
      </c>
      <c r="BN355" s="307">
        <v>99</v>
      </c>
      <c r="BO355" s="332" t="s">
        <v>2985</v>
      </c>
      <c r="BP355" s="350" t="s">
        <v>1768</v>
      </c>
      <c r="BS355" s="321"/>
    </row>
    <row r="356" spans="1:71" s="322" customFormat="1">
      <c r="A356" s="336">
        <v>1679</v>
      </c>
      <c r="B356" s="534" t="s">
        <v>3603</v>
      </c>
      <c r="C356" s="383"/>
      <c r="D356" s="466" t="s">
        <v>3590</v>
      </c>
      <c r="E356" s="469"/>
      <c r="F356" s="303" t="s">
        <v>2236</v>
      </c>
      <c r="G356" s="386" t="s">
        <v>2719</v>
      </c>
      <c r="H356" s="456" t="s">
        <v>256</v>
      </c>
      <c r="I356" s="338" t="s">
        <v>3377</v>
      </c>
      <c r="J356" s="307">
        <v>2006</v>
      </c>
      <c r="K356" s="304">
        <v>357</v>
      </c>
      <c r="L356" s="303" t="s">
        <v>1738</v>
      </c>
      <c r="M356" s="304" t="s">
        <v>1751</v>
      </c>
      <c r="N356" s="446">
        <f t="shared" si="73"/>
        <v>0.25</v>
      </c>
      <c r="O356" s="364">
        <v>0.25</v>
      </c>
      <c r="P356" s="329">
        <v>2.9241379310344828</v>
      </c>
      <c r="Q356" s="310">
        <f t="shared" si="74"/>
        <v>2.9241379310344828</v>
      </c>
      <c r="R356" s="377">
        <f t="shared" si="75"/>
        <v>145</v>
      </c>
      <c r="S356" s="407">
        <v>580</v>
      </c>
      <c r="T356" s="377">
        <f t="shared" si="76"/>
        <v>580</v>
      </c>
      <c r="U356" s="377">
        <f t="shared" si="71"/>
        <v>1696</v>
      </c>
      <c r="V356" s="495">
        <v>1055.0519999999999</v>
      </c>
      <c r="W356" s="496">
        <f t="shared" ref="W356:W361" si="77">U356-V356</f>
        <v>640.94800000000009</v>
      </c>
      <c r="X356" s="313" t="s">
        <v>12</v>
      </c>
      <c r="Y356" s="307" t="s">
        <v>12</v>
      </c>
      <c r="Z356" s="311" t="s">
        <v>3618</v>
      </c>
      <c r="AA356" s="311" t="s">
        <v>1754</v>
      </c>
      <c r="AB356" s="304" t="s">
        <v>273</v>
      </c>
      <c r="AC356" s="518" t="s">
        <v>3346</v>
      </c>
      <c r="AD356" s="507" t="s">
        <v>2310</v>
      </c>
      <c r="AE356" s="507" t="s">
        <v>2985</v>
      </c>
      <c r="AF356" s="317" t="s">
        <v>2985</v>
      </c>
      <c r="AG356" s="262" t="s">
        <v>2985</v>
      </c>
      <c r="AH356" s="344">
        <v>100</v>
      </c>
      <c r="AI356" s="312">
        <v>0</v>
      </c>
      <c r="AJ356" s="394">
        <v>0</v>
      </c>
      <c r="AK356" s="315">
        <v>0</v>
      </c>
      <c r="AL356" s="315">
        <v>0</v>
      </c>
      <c r="AM356" s="315">
        <v>0</v>
      </c>
      <c r="AN356" s="312">
        <v>0</v>
      </c>
      <c r="AO356" s="312">
        <v>0</v>
      </c>
      <c r="AP356" s="307">
        <v>0</v>
      </c>
      <c r="AQ356" s="307">
        <v>0</v>
      </c>
      <c r="AR356" s="307">
        <v>0</v>
      </c>
      <c r="AS356" s="307">
        <v>0</v>
      </c>
      <c r="AT356" s="377">
        <v>1.9482758620689655</v>
      </c>
      <c r="AU356" s="307">
        <v>0</v>
      </c>
      <c r="AV356" s="307">
        <v>0</v>
      </c>
      <c r="AW356" s="307">
        <v>0</v>
      </c>
      <c r="AX356" s="304">
        <v>0</v>
      </c>
      <c r="AY356" s="303">
        <v>83.662000000000006</v>
      </c>
      <c r="AZ356" s="311">
        <v>41.831000000000003</v>
      </c>
      <c r="BA356" s="317" t="s">
        <v>2985</v>
      </c>
      <c r="BB356" s="329">
        <v>56.338000000000001</v>
      </c>
      <c r="BC356" s="426">
        <v>43.697499999999998</v>
      </c>
      <c r="BD356" s="348" t="s">
        <v>3544</v>
      </c>
      <c r="BE356" s="312">
        <v>100</v>
      </c>
      <c r="BF356" s="307"/>
      <c r="BG356" s="307">
        <v>400</v>
      </c>
      <c r="BH356" s="390">
        <v>22.222222222222221</v>
      </c>
      <c r="BI356" s="303">
        <v>99</v>
      </c>
      <c r="BJ356" s="307">
        <v>3</v>
      </c>
      <c r="BK356" s="307">
        <v>20</v>
      </c>
      <c r="BL356" s="307">
        <v>20</v>
      </c>
      <c r="BM356" s="307">
        <v>0</v>
      </c>
      <c r="BN356" s="307">
        <v>60</v>
      </c>
      <c r="BO356" s="332" t="s">
        <v>2985</v>
      </c>
      <c r="BP356" s="325" t="s">
        <v>1768</v>
      </c>
      <c r="BS356" s="321"/>
    </row>
    <row r="357" spans="1:71" s="322" customFormat="1">
      <c r="A357" s="336">
        <v>1680</v>
      </c>
      <c r="B357" s="534" t="s">
        <v>3603</v>
      </c>
      <c r="C357" s="383"/>
      <c r="D357" s="466" t="s">
        <v>3590</v>
      </c>
      <c r="E357" s="469"/>
      <c r="F357" s="303" t="s">
        <v>2237</v>
      </c>
      <c r="G357" s="386" t="s">
        <v>2719</v>
      </c>
      <c r="H357" s="456" t="s">
        <v>256</v>
      </c>
      <c r="I357" s="338" t="s">
        <v>3377</v>
      </c>
      <c r="J357" s="307">
        <v>2006</v>
      </c>
      <c r="K357" s="304">
        <v>357</v>
      </c>
      <c r="L357" s="303" t="s">
        <v>1738</v>
      </c>
      <c r="M357" s="304" t="s">
        <v>1751</v>
      </c>
      <c r="N357" s="449">
        <f t="shared" si="73"/>
        <v>0.29401088929219599</v>
      </c>
      <c r="O357" s="349">
        <v>0.29401088929219599</v>
      </c>
      <c r="P357" s="329">
        <v>3.0780399274047188</v>
      </c>
      <c r="Q357" s="310">
        <f t="shared" si="74"/>
        <v>3.0780399274047188</v>
      </c>
      <c r="R357" s="377">
        <f t="shared" si="75"/>
        <v>162</v>
      </c>
      <c r="S357" s="407">
        <v>551</v>
      </c>
      <c r="T357" s="377">
        <f t="shared" si="76"/>
        <v>551</v>
      </c>
      <c r="U357" s="377">
        <f t="shared" si="71"/>
        <v>1696</v>
      </c>
      <c r="V357" s="495">
        <v>1072.0440000000001</v>
      </c>
      <c r="W357" s="496">
        <f t="shared" si="77"/>
        <v>623.9559999999999</v>
      </c>
      <c r="X357" s="313" t="s">
        <v>12</v>
      </c>
      <c r="Y357" s="307" t="s">
        <v>12</v>
      </c>
      <c r="Z357" s="311" t="s">
        <v>3618</v>
      </c>
      <c r="AA357" s="311" t="s">
        <v>1754</v>
      </c>
      <c r="AB357" s="304" t="s">
        <v>273</v>
      </c>
      <c r="AC357" s="518" t="s">
        <v>3346</v>
      </c>
      <c r="AD357" s="507" t="s">
        <v>2310</v>
      </c>
      <c r="AE357" s="507" t="s">
        <v>2985</v>
      </c>
      <c r="AF357" s="317" t="s">
        <v>2985</v>
      </c>
      <c r="AG357" s="262" t="s">
        <v>2985</v>
      </c>
      <c r="AH357" s="344">
        <v>100</v>
      </c>
      <c r="AI357" s="312">
        <v>0</v>
      </c>
      <c r="AJ357" s="394">
        <v>0</v>
      </c>
      <c r="AK357" s="315">
        <v>0</v>
      </c>
      <c r="AL357" s="315">
        <v>0</v>
      </c>
      <c r="AM357" s="315">
        <v>0</v>
      </c>
      <c r="AN357" s="312">
        <v>0</v>
      </c>
      <c r="AO357" s="312">
        <v>0</v>
      </c>
      <c r="AP357" s="307">
        <v>0</v>
      </c>
      <c r="AQ357" s="307">
        <v>0</v>
      </c>
      <c r="AR357" s="307">
        <v>0</v>
      </c>
      <c r="AS357" s="307">
        <v>0</v>
      </c>
      <c r="AT357" s="377">
        <v>2.1597096188747731</v>
      </c>
      <c r="AU357" s="307">
        <v>0</v>
      </c>
      <c r="AV357" s="311">
        <v>5.26</v>
      </c>
      <c r="AW357" s="307">
        <v>0</v>
      </c>
      <c r="AX357" s="304">
        <v>0</v>
      </c>
      <c r="AY357" s="303">
        <v>73.802800000000005</v>
      </c>
      <c r="AZ357" s="311">
        <v>36.901400000000002</v>
      </c>
      <c r="BA357" s="317" t="s">
        <v>2985</v>
      </c>
      <c r="BB357" s="329">
        <v>49.014099999999999</v>
      </c>
      <c r="BC357" s="426">
        <v>39.355699999999999</v>
      </c>
      <c r="BD357" s="348" t="s">
        <v>3544</v>
      </c>
      <c r="BE357" s="312">
        <v>100</v>
      </c>
      <c r="BF357" s="307"/>
      <c r="BG357" s="307">
        <v>400</v>
      </c>
      <c r="BH357" s="390">
        <v>22.222222222222221</v>
      </c>
      <c r="BI357" s="303">
        <v>99</v>
      </c>
      <c r="BJ357" s="307">
        <v>3</v>
      </c>
      <c r="BK357" s="307">
        <v>20</v>
      </c>
      <c r="BL357" s="307">
        <v>20</v>
      </c>
      <c r="BM357" s="307">
        <v>0</v>
      </c>
      <c r="BN357" s="307">
        <v>60</v>
      </c>
      <c r="BO357" s="332" t="s">
        <v>2985</v>
      </c>
      <c r="BP357" s="325" t="s">
        <v>1768</v>
      </c>
      <c r="BS357" s="321"/>
    </row>
    <row r="358" spans="1:71" s="322" customFormat="1">
      <c r="A358" s="336">
        <v>1681</v>
      </c>
      <c r="B358" s="534" t="s">
        <v>3603</v>
      </c>
      <c r="C358" s="383"/>
      <c r="D358" s="466" t="s">
        <v>3590</v>
      </c>
      <c r="E358" s="469"/>
      <c r="F358" s="303" t="s">
        <v>2238</v>
      </c>
      <c r="G358" s="386" t="s">
        <v>2719</v>
      </c>
      <c r="H358" s="456" t="s">
        <v>256</v>
      </c>
      <c r="I358" s="338" t="s">
        <v>3377</v>
      </c>
      <c r="J358" s="307">
        <v>2006</v>
      </c>
      <c r="K358" s="304">
        <v>357</v>
      </c>
      <c r="L358" s="303" t="s">
        <v>1738</v>
      </c>
      <c r="M358" s="304" t="s">
        <v>1751</v>
      </c>
      <c r="N358" s="449">
        <f t="shared" si="73"/>
        <v>0.3258426966292135</v>
      </c>
      <c r="O358" s="349">
        <v>0.3258426966292135</v>
      </c>
      <c r="P358" s="329">
        <v>3.1760299625468167</v>
      </c>
      <c r="Q358" s="310">
        <f t="shared" si="74"/>
        <v>3.1760299625468167</v>
      </c>
      <c r="R358" s="377">
        <f t="shared" si="75"/>
        <v>174</v>
      </c>
      <c r="S358" s="407">
        <v>534</v>
      </c>
      <c r="T358" s="377">
        <f t="shared" si="76"/>
        <v>534</v>
      </c>
      <c r="U358" s="377">
        <f t="shared" si="71"/>
        <v>1696</v>
      </c>
      <c r="V358" s="495">
        <v>1084.5229999999999</v>
      </c>
      <c r="W358" s="496">
        <f t="shared" si="77"/>
        <v>611.47700000000009</v>
      </c>
      <c r="X358" s="313" t="s">
        <v>12</v>
      </c>
      <c r="Y358" s="307" t="s">
        <v>12</v>
      </c>
      <c r="Z358" s="311" t="s">
        <v>3618</v>
      </c>
      <c r="AA358" s="311" t="s">
        <v>1754</v>
      </c>
      <c r="AB358" s="304" t="s">
        <v>273</v>
      </c>
      <c r="AC358" s="518" t="s">
        <v>3346</v>
      </c>
      <c r="AD358" s="507" t="s">
        <v>2310</v>
      </c>
      <c r="AE358" s="507" t="s">
        <v>2985</v>
      </c>
      <c r="AF358" s="317" t="s">
        <v>2985</v>
      </c>
      <c r="AG358" s="262" t="s">
        <v>2985</v>
      </c>
      <c r="AH358" s="344">
        <v>100</v>
      </c>
      <c r="AI358" s="312">
        <v>0</v>
      </c>
      <c r="AJ358" s="394">
        <v>0</v>
      </c>
      <c r="AK358" s="315">
        <v>0</v>
      </c>
      <c r="AL358" s="315">
        <v>0</v>
      </c>
      <c r="AM358" s="315">
        <v>0</v>
      </c>
      <c r="AN358" s="312">
        <v>0</v>
      </c>
      <c r="AO358" s="312">
        <v>0</v>
      </c>
      <c r="AP358" s="307">
        <v>0</v>
      </c>
      <c r="AQ358" s="307">
        <v>0</v>
      </c>
      <c r="AR358" s="307">
        <v>0</v>
      </c>
      <c r="AS358" s="307">
        <v>0</v>
      </c>
      <c r="AT358" s="377">
        <v>2.2846441947565541</v>
      </c>
      <c r="AU358" s="307">
        <v>0</v>
      </c>
      <c r="AV358" s="311">
        <v>8.61</v>
      </c>
      <c r="AW358" s="307">
        <v>0</v>
      </c>
      <c r="AX358" s="304">
        <v>0</v>
      </c>
      <c r="AY358" s="303">
        <v>77.464799999999997</v>
      </c>
      <c r="AZ358" s="311">
        <v>38.732399999999998</v>
      </c>
      <c r="BA358" s="317" t="s">
        <v>2985</v>
      </c>
      <c r="BB358" s="329">
        <v>47.042299999999997</v>
      </c>
      <c r="BC358" s="426">
        <v>37.395000000000003</v>
      </c>
      <c r="BD358" s="348" t="s">
        <v>3544</v>
      </c>
      <c r="BE358" s="312">
        <v>100</v>
      </c>
      <c r="BF358" s="307"/>
      <c r="BG358" s="307">
        <v>400</v>
      </c>
      <c r="BH358" s="390">
        <v>22.222222222222221</v>
      </c>
      <c r="BI358" s="303">
        <v>99</v>
      </c>
      <c r="BJ358" s="307">
        <v>3</v>
      </c>
      <c r="BK358" s="307">
        <v>20</v>
      </c>
      <c r="BL358" s="307">
        <v>20</v>
      </c>
      <c r="BM358" s="307">
        <v>0</v>
      </c>
      <c r="BN358" s="307">
        <v>60</v>
      </c>
      <c r="BO358" s="332" t="s">
        <v>2985</v>
      </c>
      <c r="BP358" s="325" t="s">
        <v>1768</v>
      </c>
      <c r="BS358" s="321"/>
    </row>
    <row r="359" spans="1:71" s="322" customFormat="1">
      <c r="A359" s="336">
        <v>1682</v>
      </c>
      <c r="B359" s="534" t="s">
        <v>3603</v>
      </c>
      <c r="C359" s="383"/>
      <c r="D359" s="466" t="s">
        <v>3590</v>
      </c>
      <c r="E359" s="469"/>
      <c r="F359" s="303" t="s">
        <v>2239</v>
      </c>
      <c r="G359" s="386" t="s">
        <v>2719</v>
      </c>
      <c r="H359" s="456" t="s">
        <v>256</v>
      </c>
      <c r="I359" s="338" t="s">
        <v>3377</v>
      </c>
      <c r="J359" s="307">
        <v>2006</v>
      </c>
      <c r="K359" s="304">
        <v>357</v>
      </c>
      <c r="L359" s="303" t="s">
        <v>1738</v>
      </c>
      <c r="M359" s="304" t="s">
        <v>1751</v>
      </c>
      <c r="N359" s="449">
        <f t="shared" si="73"/>
        <v>0.25</v>
      </c>
      <c r="O359" s="349">
        <v>0.25</v>
      </c>
      <c r="P359" s="329">
        <v>2.9241379310344828</v>
      </c>
      <c r="Q359" s="310">
        <f t="shared" si="74"/>
        <v>2.9241379310344828</v>
      </c>
      <c r="R359" s="377">
        <f t="shared" si="75"/>
        <v>145</v>
      </c>
      <c r="S359" s="407">
        <v>580</v>
      </c>
      <c r="T359" s="377">
        <f t="shared" si="76"/>
        <v>580</v>
      </c>
      <c r="U359" s="377">
        <f t="shared" si="71"/>
        <v>1696</v>
      </c>
      <c r="V359" s="495">
        <v>1055.0519999999999</v>
      </c>
      <c r="W359" s="496">
        <f t="shared" si="77"/>
        <v>640.94800000000009</v>
      </c>
      <c r="X359" s="313" t="s">
        <v>12</v>
      </c>
      <c r="Y359" s="307" t="s">
        <v>12</v>
      </c>
      <c r="Z359" s="311" t="s">
        <v>3618</v>
      </c>
      <c r="AA359" s="311" t="s">
        <v>1754</v>
      </c>
      <c r="AB359" s="304" t="s">
        <v>273</v>
      </c>
      <c r="AC359" s="518" t="s">
        <v>3346</v>
      </c>
      <c r="AD359" s="507" t="s">
        <v>2310</v>
      </c>
      <c r="AE359" s="507" t="s">
        <v>2985</v>
      </c>
      <c r="AF359" s="317" t="s">
        <v>2985</v>
      </c>
      <c r="AG359" s="262" t="s">
        <v>2985</v>
      </c>
      <c r="AH359" s="344">
        <v>100</v>
      </c>
      <c r="AI359" s="312">
        <v>0</v>
      </c>
      <c r="AJ359" s="394">
        <v>0</v>
      </c>
      <c r="AK359" s="315">
        <v>0</v>
      </c>
      <c r="AL359" s="315">
        <v>0</v>
      </c>
      <c r="AM359" s="315">
        <v>0</v>
      </c>
      <c r="AN359" s="312">
        <v>0</v>
      </c>
      <c r="AO359" s="312">
        <v>0</v>
      </c>
      <c r="AP359" s="307">
        <v>0</v>
      </c>
      <c r="AQ359" s="307">
        <v>0</v>
      </c>
      <c r="AR359" s="307">
        <v>0</v>
      </c>
      <c r="AS359" s="307">
        <v>0</v>
      </c>
      <c r="AT359" s="377">
        <v>1.9482758620689655</v>
      </c>
      <c r="AU359" s="307">
        <v>0</v>
      </c>
      <c r="AV359" s="307">
        <v>0</v>
      </c>
      <c r="AW359" s="307">
        <v>0</v>
      </c>
      <c r="AX359" s="304">
        <v>0</v>
      </c>
      <c r="AY359" s="303">
        <v>83.662000000000006</v>
      </c>
      <c r="AZ359" s="311">
        <v>41.831000000000003</v>
      </c>
      <c r="BA359" s="317" t="s">
        <v>2985</v>
      </c>
      <c r="BB359" s="329">
        <v>70.7042</v>
      </c>
      <c r="BC359" s="426">
        <v>43.697499999999998</v>
      </c>
      <c r="BD359" s="348" t="s">
        <v>3544</v>
      </c>
      <c r="BE359" s="312">
        <v>100</v>
      </c>
      <c r="BF359" s="307"/>
      <c r="BG359" s="307">
        <v>400</v>
      </c>
      <c r="BH359" s="390">
        <v>22.222222222222221</v>
      </c>
      <c r="BI359" s="303">
        <v>99</v>
      </c>
      <c r="BJ359" s="307">
        <v>7</v>
      </c>
      <c r="BK359" s="307">
        <v>20</v>
      </c>
      <c r="BL359" s="307">
        <v>20</v>
      </c>
      <c r="BM359" s="307">
        <v>0</v>
      </c>
      <c r="BN359" s="307">
        <v>60</v>
      </c>
      <c r="BO359" s="332" t="s">
        <v>2985</v>
      </c>
      <c r="BP359" s="325" t="s">
        <v>1768</v>
      </c>
      <c r="BS359" s="321"/>
    </row>
    <row r="360" spans="1:71" s="322" customFormat="1">
      <c r="A360" s="336">
        <v>1683</v>
      </c>
      <c r="B360" s="534" t="s">
        <v>3603</v>
      </c>
      <c r="C360" s="383"/>
      <c r="D360" s="466" t="s">
        <v>3590</v>
      </c>
      <c r="E360" s="469"/>
      <c r="F360" s="303" t="s">
        <v>2240</v>
      </c>
      <c r="G360" s="386" t="s">
        <v>2719</v>
      </c>
      <c r="H360" s="456" t="s">
        <v>256</v>
      </c>
      <c r="I360" s="338" t="s">
        <v>3377</v>
      </c>
      <c r="J360" s="307">
        <v>2006</v>
      </c>
      <c r="K360" s="304">
        <v>357</v>
      </c>
      <c r="L360" s="303" t="s">
        <v>1738</v>
      </c>
      <c r="M360" s="304" t="s">
        <v>1751</v>
      </c>
      <c r="N360" s="449">
        <f t="shared" si="73"/>
        <v>0.29401088929219599</v>
      </c>
      <c r="O360" s="349">
        <v>0.29401088929219599</v>
      </c>
      <c r="P360" s="329">
        <v>3.0780399274047188</v>
      </c>
      <c r="Q360" s="310">
        <f t="shared" si="74"/>
        <v>3.0780399274047188</v>
      </c>
      <c r="R360" s="377">
        <f t="shared" si="75"/>
        <v>162</v>
      </c>
      <c r="S360" s="407">
        <v>551</v>
      </c>
      <c r="T360" s="377">
        <f t="shared" si="76"/>
        <v>551</v>
      </c>
      <c r="U360" s="377">
        <f t="shared" si="71"/>
        <v>1696</v>
      </c>
      <c r="V360" s="495">
        <v>1072.0440000000001</v>
      </c>
      <c r="W360" s="496">
        <f t="shared" si="77"/>
        <v>623.9559999999999</v>
      </c>
      <c r="X360" s="313" t="s">
        <v>12</v>
      </c>
      <c r="Y360" s="307" t="s">
        <v>12</v>
      </c>
      <c r="Z360" s="311" t="s">
        <v>3618</v>
      </c>
      <c r="AA360" s="311" t="s">
        <v>1754</v>
      </c>
      <c r="AB360" s="304" t="s">
        <v>273</v>
      </c>
      <c r="AC360" s="518" t="s">
        <v>3346</v>
      </c>
      <c r="AD360" s="507" t="s">
        <v>2310</v>
      </c>
      <c r="AE360" s="507" t="s">
        <v>2985</v>
      </c>
      <c r="AF360" s="317" t="s">
        <v>2985</v>
      </c>
      <c r="AG360" s="262" t="s">
        <v>2985</v>
      </c>
      <c r="AH360" s="344">
        <v>100</v>
      </c>
      <c r="AI360" s="312">
        <v>0</v>
      </c>
      <c r="AJ360" s="394">
        <v>0</v>
      </c>
      <c r="AK360" s="315">
        <v>0</v>
      </c>
      <c r="AL360" s="315">
        <v>0</v>
      </c>
      <c r="AM360" s="315">
        <v>0</v>
      </c>
      <c r="AN360" s="312">
        <v>0</v>
      </c>
      <c r="AO360" s="312">
        <v>0</v>
      </c>
      <c r="AP360" s="307">
        <v>0</v>
      </c>
      <c r="AQ360" s="307">
        <v>0</v>
      </c>
      <c r="AR360" s="307">
        <v>0</v>
      </c>
      <c r="AS360" s="307">
        <v>0</v>
      </c>
      <c r="AT360" s="377">
        <v>2.1597096188747731</v>
      </c>
      <c r="AU360" s="307">
        <v>0</v>
      </c>
      <c r="AV360" s="311">
        <v>5.26</v>
      </c>
      <c r="AW360" s="307">
        <v>0</v>
      </c>
      <c r="AX360" s="304">
        <v>0</v>
      </c>
      <c r="AY360" s="303">
        <v>73.802800000000005</v>
      </c>
      <c r="AZ360" s="311">
        <v>36.901400000000002</v>
      </c>
      <c r="BA360" s="317" t="s">
        <v>2985</v>
      </c>
      <c r="BB360" s="329">
        <v>61.690100000000001</v>
      </c>
      <c r="BC360" s="426">
        <v>39.355699999999999</v>
      </c>
      <c r="BD360" s="348" t="s">
        <v>3544</v>
      </c>
      <c r="BE360" s="312">
        <v>100</v>
      </c>
      <c r="BF360" s="307"/>
      <c r="BG360" s="307">
        <v>400</v>
      </c>
      <c r="BH360" s="390">
        <v>22.222222222222221</v>
      </c>
      <c r="BI360" s="303">
        <v>99</v>
      </c>
      <c r="BJ360" s="307">
        <v>7</v>
      </c>
      <c r="BK360" s="307">
        <v>20</v>
      </c>
      <c r="BL360" s="307">
        <v>20</v>
      </c>
      <c r="BM360" s="307">
        <v>0</v>
      </c>
      <c r="BN360" s="307">
        <v>60</v>
      </c>
      <c r="BO360" s="332" t="s">
        <v>2985</v>
      </c>
      <c r="BP360" s="325" t="s">
        <v>1768</v>
      </c>
      <c r="BS360" s="321"/>
    </row>
    <row r="361" spans="1:71" s="322" customFormat="1">
      <c r="A361" s="336">
        <v>1684</v>
      </c>
      <c r="B361" s="534" t="s">
        <v>3603</v>
      </c>
      <c r="C361" s="383"/>
      <c r="D361" s="466" t="s">
        <v>3590</v>
      </c>
      <c r="E361" s="469"/>
      <c r="F361" s="303" t="s">
        <v>2241</v>
      </c>
      <c r="G361" s="386" t="s">
        <v>2719</v>
      </c>
      <c r="H361" s="456" t="s">
        <v>256</v>
      </c>
      <c r="I361" s="338" t="s">
        <v>3377</v>
      </c>
      <c r="J361" s="307">
        <v>2006</v>
      </c>
      <c r="K361" s="304">
        <v>357</v>
      </c>
      <c r="L361" s="303" t="s">
        <v>1738</v>
      </c>
      <c r="M361" s="304" t="s">
        <v>1751</v>
      </c>
      <c r="N361" s="449">
        <f t="shared" si="73"/>
        <v>0.3258426966292135</v>
      </c>
      <c r="O361" s="349">
        <v>0.3258426966292135</v>
      </c>
      <c r="P361" s="329">
        <v>3.1760299625468167</v>
      </c>
      <c r="Q361" s="310">
        <f t="shared" si="74"/>
        <v>3.1760299625468167</v>
      </c>
      <c r="R361" s="377">
        <f t="shared" si="75"/>
        <v>174</v>
      </c>
      <c r="S361" s="407">
        <v>534</v>
      </c>
      <c r="T361" s="377">
        <f t="shared" si="76"/>
        <v>534</v>
      </c>
      <c r="U361" s="377">
        <f t="shared" si="71"/>
        <v>1696</v>
      </c>
      <c r="V361" s="495">
        <v>1084.5229999999999</v>
      </c>
      <c r="W361" s="496">
        <f t="shared" si="77"/>
        <v>611.47700000000009</v>
      </c>
      <c r="X361" s="313" t="s">
        <v>12</v>
      </c>
      <c r="Y361" s="307" t="s">
        <v>12</v>
      </c>
      <c r="Z361" s="311" t="s">
        <v>3618</v>
      </c>
      <c r="AA361" s="311" t="s">
        <v>1754</v>
      </c>
      <c r="AB361" s="304" t="s">
        <v>273</v>
      </c>
      <c r="AC361" s="518" t="s">
        <v>3346</v>
      </c>
      <c r="AD361" s="507" t="s">
        <v>2310</v>
      </c>
      <c r="AE361" s="507" t="s">
        <v>2985</v>
      </c>
      <c r="AF361" s="317" t="s">
        <v>2985</v>
      </c>
      <c r="AG361" s="262" t="s">
        <v>2985</v>
      </c>
      <c r="AH361" s="344">
        <v>100</v>
      </c>
      <c r="AI361" s="312">
        <v>0</v>
      </c>
      <c r="AJ361" s="394">
        <v>0</v>
      </c>
      <c r="AK361" s="315">
        <v>0</v>
      </c>
      <c r="AL361" s="315">
        <v>0</v>
      </c>
      <c r="AM361" s="315">
        <v>0</v>
      </c>
      <c r="AN361" s="312">
        <v>0</v>
      </c>
      <c r="AO361" s="312">
        <v>0</v>
      </c>
      <c r="AP361" s="307">
        <v>0</v>
      </c>
      <c r="AQ361" s="307">
        <v>0</v>
      </c>
      <c r="AR361" s="307">
        <v>0</v>
      </c>
      <c r="AS361" s="307">
        <v>0</v>
      </c>
      <c r="AT361" s="377">
        <v>2.2846441947565541</v>
      </c>
      <c r="AU361" s="307">
        <v>0</v>
      </c>
      <c r="AV361" s="311">
        <v>8.61</v>
      </c>
      <c r="AW361" s="307">
        <v>0</v>
      </c>
      <c r="AX361" s="304">
        <v>0</v>
      </c>
      <c r="AY361" s="303">
        <v>77.464799999999997</v>
      </c>
      <c r="AZ361" s="311">
        <v>38.732399999999998</v>
      </c>
      <c r="BA361" s="317" t="s">
        <v>2985</v>
      </c>
      <c r="BB361" s="329">
        <v>60.845100000000002</v>
      </c>
      <c r="BC361" s="426">
        <v>37.395000000000003</v>
      </c>
      <c r="BD361" s="348" t="s">
        <v>3544</v>
      </c>
      <c r="BE361" s="312">
        <v>100</v>
      </c>
      <c r="BF361" s="307"/>
      <c r="BG361" s="307">
        <v>400</v>
      </c>
      <c r="BH361" s="390">
        <v>22.222222222222221</v>
      </c>
      <c r="BI361" s="303">
        <v>99</v>
      </c>
      <c r="BJ361" s="307">
        <v>7</v>
      </c>
      <c r="BK361" s="307">
        <v>20</v>
      </c>
      <c r="BL361" s="307">
        <v>20</v>
      </c>
      <c r="BM361" s="307">
        <v>0</v>
      </c>
      <c r="BN361" s="307">
        <v>60</v>
      </c>
      <c r="BO361" s="332" t="s">
        <v>2985</v>
      </c>
      <c r="BP361" s="325" t="s">
        <v>1768</v>
      </c>
      <c r="BS361" s="321"/>
    </row>
    <row r="362" spans="1:71" s="322" customFormat="1">
      <c r="A362" s="457">
        <v>1685</v>
      </c>
      <c r="B362" s="534" t="s">
        <v>3585</v>
      </c>
      <c r="C362" s="383"/>
      <c r="D362" s="466" t="s">
        <v>3590</v>
      </c>
      <c r="E362" s="469"/>
      <c r="F362" s="303" t="s">
        <v>2242</v>
      </c>
      <c r="G362" s="386" t="s">
        <v>2720</v>
      </c>
      <c r="H362" s="454" t="s">
        <v>1769</v>
      </c>
      <c r="I362" s="338" t="s">
        <v>3377</v>
      </c>
      <c r="J362" s="348">
        <v>2003</v>
      </c>
      <c r="K362" s="341">
        <v>358</v>
      </c>
      <c r="L362" s="340" t="s">
        <v>1738</v>
      </c>
      <c r="M362" s="341" t="s">
        <v>1739</v>
      </c>
      <c r="N362" s="446">
        <f t="shared" si="73"/>
        <v>0.26</v>
      </c>
      <c r="O362" s="349">
        <v>0.26</v>
      </c>
      <c r="P362" s="329">
        <v>3.7016129032258065</v>
      </c>
      <c r="Q362" s="310">
        <f t="shared" si="74"/>
        <v>3.7016129032258065</v>
      </c>
      <c r="R362" s="377">
        <f t="shared" si="75"/>
        <v>128.96</v>
      </c>
      <c r="S362" s="407">
        <v>496</v>
      </c>
      <c r="T362" s="377">
        <f t="shared" si="76"/>
        <v>496</v>
      </c>
      <c r="U362" s="377">
        <f t="shared" ref="U362:U382" si="78">P362*S362</f>
        <v>1836</v>
      </c>
      <c r="V362" s="408" t="s">
        <v>2985</v>
      </c>
      <c r="W362" s="408" t="s">
        <v>2985</v>
      </c>
      <c r="X362" s="313" t="s">
        <v>12</v>
      </c>
      <c r="Y362" s="307" t="s">
        <v>12</v>
      </c>
      <c r="Z362" s="314" t="s">
        <v>2985</v>
      </c>
      <c r="AA362" s="311" t="s">
        <v>1754</v>
      </c>
      <c r="AB362" s="341" t="s">
        <v>523</v>
      </c>
      <c r="AC362" s="161" t="s">
        <v>2985</v>
      </c>
      <c r="AD362" s="506" t="s">
        <v>2312</v>
      </c>
      <c r="AE362" s="214" t="s">
        <v>2306</v>
      </c>
      <c r="AF362" s="365" t="s">
        <v>2727</v>
      </c>
      <c r="AG362" s="262" t="s">
        <v>2985</v>
      </c>
      <c r="AH362" s="344">
        <v>100</v>
      </c>
      <c r="AI362" s="353">
        <v>0</v>
      </c>
      <c r="AJ362" s="395">
        <v>0</v>
      </c>
      <c r="AK362" s="365">
        <v>0</v>
      </c>
      <c r="AL362" s="365">
        <v>0</v>
      </c>
      <c r="AM362" s="365">
        <v>0</v>
      </c>
      <c r="AN362" s="353">
        <v>0</v>
      </c>
      <c r="AO362" s="353">
        <v>0</v>
      </c>
      <c r="AP362" s="348">
        <v>0</v>
      </c>
      <c r="AQ362" s="348">
        <v>0</v>
      </c>
      <c r="AR362" s="348">
        <v>0</v>
      </c>
      <c r="AS362" s="348">
        <v>0</v>
      </c>
      <c r="AT362" s="352">
        <v>1.5120967741935485</v>
      </c>
      <c r="AU362" s="348">
        <v>0</v>
      </c>
      <c r="AV362" s="348">
        <v>0</v>
      </c>
      <c r="AW362" s="348">
        <v>0</v>
      </c>
      <c r="AX362" s="341">
        <v>0</v>
      </c>
      <c r="AY362" s="340">
        <v>86.6</v>
      </c>
      <c r="AZ362" s="356">
        <v>60.62</v>
      </c>
      <c r="BA362" s="316" t="s">
        <v>2985</v>
      </c>
      <c r="BB362" s="94" t="s">
        <v>2985</v>
      </c>
      <c r="BC362" s="425" t="s">
        <v>521</v>
      </c>
      <c r="BD362" s="348" t="s">
        <v>3568</v>
      </c>
      <c r="BE362" s="353">
        <v>100</v>
      </c>
      <c r="BF362" s="348"/>
      <c r="BG362" s="348">
        <v>300</v>
      </c>
      <c r="BH362" s="390">
        <f t="shared" ref="BH362:BH382" si="79">IF(ISBLANK(BF362),(BE362*BG362)/((4*BG362)+(2*BE362)),BE362*BF362*BG362/2/(BE362*BF362+BE362*BG362+BF362*BG362))</f>
        <v>21.428571428571427</v>
      </c>
      <c r="BI362" s="303">
        <v>100</v>
      </c>
      <c r="BJ362" s="307">
        <v>1</v>
      </c>
      <c r="BK362" s="307">
        <v>28</v>
      </c>
      <c r="BL362" s="307">
        <v>30</v>
      </c>
      <c r="BM362" s="307">
        <v>0</v>
      </c>
      <c r="BN362" s="307">
        <v>99</v>
      </c>
      <c r="BO362" s="332" t="s">
        <v>2985</v>
      </c>
      <c r="BP362" s="350" t="s">
        <v>1770</v>
      </c>
      <c r="BS362" s="321"/>
    </row>
    <row r="363" spans="1:71" s="322" customFormat="1">
      <c r="A363" s="457">
        <v>1686</v>
      </c>
      <c r="B363" s="534" t="s">
        <v>3585</v>
      </c>
      <c r="C363" s="383"/>
      <c r="D363" s="466" t="s">
        <v>3590</v>
      </c>
      <c r="E363" s="469"/>
      <c r="F363" s="303" t="s">
        <v>2243</v>
      </c>
      <c r="G363" s="386" t="s">
        <v>2720</v>
      </c>
      <c r="H363" s="454" t="s">
        <v>1769</v>
      </c>
      <c r="I363" s="338" t="s">
        <v>3377</v>
      </c>
      <c r="J363" s="348">
        <v>2003</v>
      </c>
      <c r="K363" s="341">
        <v>358</v>
      </c>
      <c r="L363" s="340" t="s">
        <v>1738</v>
      </c>
      <c r="M363" s="341" t="s">
        <v>1739</v>
      </c>
      <c r="N363" s="446">
        <f t="shared" si="73"/>
        <v>0.3</v>
      </c>
      <c r="O363" s="364">
        <v>0.3</v>
      </c>
      <c r="P363" s="329">
        <v>3.5995975855130786</v>
      </c>
      <c r="Q363" s="310">
        <f t="shared" si="74"/>
        <v>3.5995975855130786</v>
      </c>
      <c r="R363" s="377">
        <f t="shared" si="75"/>
        <v>149.1</v>
      </c>
      <c r="S363" s="407">
        <v>497</v>
      </c>
      <c r="T363" s="377">
        <f t="shared" si="76"/>
        <v>497</v>
      </c>
      <c r="U363" s="377">
        <f t="shared" si="78"/>
        <v>1789</v>
      </c>
      <c r="V363" s="408" t="s">
        <v>2985</v>
      </c>
      <c r="W363" s="408" t="s">
        <v>2985</v>
      </c>
      <c r="X363" s="313" t="s">
        <v>12</v>
      </c>
      <c r="Y363" s="307" t="s">
        <v>12</v>
      </c>
      <c r="Z363" s="314" t="s">
        <v>2985</v>
      </c>
      <c r="AA363" s="311" t="s">
        <v>1754</v>
      </c>
      <c r="AB363" s="341" t="s">
        <v>523</v>
      </c>
      <c r="AC363" s="161" t="s">
        <v>2985</v>
      </c>
      <c r="AD363" s="506" t="s">
        <v>2312</v>
      </c>
      <c r="AE363" s="214" t="s">
        <v>2306</v>
      </c>
      <c r="AF363" s="365" t="s">
        <v>2727</v>
      </c>
      <c r="AG363" s="262" t="s">
        <v>2985</v>
      </c>
      <c r="AH363" s="344">
        <v>100</v>
      </c>
      <c r="AI363" s="353">
        <v>0</v>
      </c>
      <c r="AJ363" s="395">
        <v>0</v>
      </c>
      <c r="AK363" s="365">
        <v>0</v>
      </c>
      <c r="AL363" s="365">
        <v>0</v>
      </c>
      <c r="AM363" s="365">
        <v>0</v>
      </c>
      <c r="AN363" s="353">
        <v>0</v>
      </c>
      <c r="AO363" s="353">
        <v>0</v>
      </c>
      <c r="AP363" s="348">
        <v>0</v>
      </c>
      <c r="AQ363" s="348">
        <v>0</v>
      </c>
      <c r="AR363" s="348">
        <v>0</v>
      </c>
      <c r="AS363" s="348">
        <v>0</v>
      </c>
      <c r="AT363" s="352">
        <v>1.2072434607645874</v>
      </c>
      <c r="AU363" s="348">
        <v>0</v>
      </c>
      <c r="AV363" s="348">
        <v>0</v>
      </c>
      <c r="AW363" s="348">
        <v>0</v>
      </c>
      <c r="AX363" s="341">
        <v>0</v>
      </c>
      <c r="AY363" s="340">
        <v>70.099999999999994</v>
      </c>
      <c r="AZ363" s="356">
        <v>49.07</v>
      </c>
      <c r="BA363" s="316" t="s">
        <v>2985</v>
      </c>
      <c r="BB363" s="94" t="s">
        <v>2985</v>
      </c>
      <c r="BC363" s="425" t="s">
        <v>521</v>
      </c>
      <c r="BD363" s="348" t="s">
        <v>3568</v>
      </c>
      <c r="BE363" s="353">
        <v>100</v>
      </c>
      <c r="BF363" s="348"/>
      <c r="BG363" s="348">
        <v>300</v>
      </c>
      <c r="BH363" s="390">
        <f t="shared" si="79"/>
        <v>21.428571428571427</v>
      </c>
      <c r="BI363" s="303">
        <v>100</v>
      </c>
      <c r="BJ363" s="307">
        <v>1</v>
      </c>
      <c r="BK363" s="307">
        <v>28</v>
      </c>
      <c r="BL363" s="307">
        <v>30</v>
      </c>
      <c r="BM363" s="307">
        <v>0</v>
      </c>
      <c r="BN363" s="307">
        <v>99</v>
      </c>
      <c r="BO363" s="332" t="s">
        <v>2985</v>
      </c>
      <c r="BP363" s="350" t="s">
        <v>1770</v>
      </c>
      <c r="BS363" s="321"/>
    </row>
    <row r="364" spans="1:71" s="322" customFormat="1">
      <c r="A364" s="457">
        <v>1687</v>
      </c>
      <c r="B364" s="534" t="s">
        <v>3621</v>
      </c>
      <c r="C364" s="466" t="s">
        <v>3590</v>
      </c>
      <c r="D364" s="466" t="s">
        <v>3590</v>
      </c>
      <c r="E364" s="469"/>
      <c r="F364" s="303" t="s">
        <v>2244</v>
      </c>
      <c r="G364" s="386" t="s">
        <v>2720</v>
      </c>
      <c r="H364" s="454" t="s">
        <v>1769</v>
      </c>
      <c r="I364" s="338" t="s">
        <v>3377</v>
      </c>
      <c r="J364" s="348">
        <v>2003</v>
      </c>
      <c r="K364" s="341">
        <v>358</v>
      </c>
      <c r="L364" s="340" t="s">
        <v>1738</v>
      </c>
      <c r="M364" s="341" t="s">
        <v>1739</v>
      </c>
      <c r="N364" s="446">
        <f t="shared" si="73"/>
        <v>0.35</v>
      </c>
      <c r="O364" s="364">
        <v>0.35</v>
      </c>
      <c r="P364" s="329">
        <v>3.5040160642570282</v>
      </c>
      <c r="Q364" s="310">
        <f t="shared" si="74"/>
        <v>3.5040160642570282</v>
      </c>
      <c r="R364" s="377">
        <f t="shared" si="75"/>
        <v>174.29999999999998</v>
      </c>
      <c r="S364" s="407">
        <v>498</v>
      </c>
      <c r="T364" s="377">
        <f t="shared" si="76"/>
        <v>498</v>
      </c>
      <c r="U364" s="377">
        <f t="shared" si="78"/>
        <v>1745</v>
      </c>
      <c r="V364" s="408" t="s">
        <v>2985</v>
      </c>
      <c r="W364" s="408" t="s">
        <v>2985</v>
      </c>
      <c r="X364" s="313" t="s">
        <v>12</v>
      </c>
      <c r="Y364" s="307" t="s">
        <v>12</v>
      </c>
      <c r="Z364" s="314" t="s">
        <v>2985</v>
      </c>
      <c r="AA364" s="311" t="s">
        <v>1754</v>
      </c>
      <c r="AB364" s="341" t="s">
        <v>523</v>
      </c>
      <c r="AC364" s="161" t="s">
        <v>2985</v>
      </c>
      <c r="AD364" s="506" t="s">
        <v>2312</v>
      </c>
      <c r="AE364" s="214" t="s">
        <v>2306</v>
      </c>
      <c r="AF364" s="365" t="s">
        <v>2727</v>
      </c>
      <c r="AG364" s="262" t="s">
        <v>2985</v>
      </c>
      <c r="AH364" s="344">
        <v>100</v>
      </c>
      <c r="AI364" s="353">
        <v>0</v>
      </c>
      <c r="AJ364" s="395">
        <v>0</v>
      </c>
      <c r="AK364" s="365">
        <v>0</v>
      </c>
      <c r="AL364" s="365">
        <v>0</v>
      </c>
      <c r="AM364" s="365">
        <v>0</v>
      </c>
      <c r="AN364" s="353">
        <v>0</v>
      </c>
      <c r="AO364" s="353">
        <v>0</v>
      </c>
      <c r="AP364" s="348">
        <v>0</v>
      </c>
      <c r="AQ364" s="348">
        <v>0</v>
      </c>
      <c r="AR364" s="348">
        <v>0</v>
      </c>
      <c r="AS364" s="348">
        <v>0</v>
      </c>
      <c r="AT364" s="352">
        <v>0.68273092369477917</v>
      </c>
      <c r="AU364" s="348">
        <v>0</v>
      </c>
      <c r="AV364" s="348">
        <v>0</v>
      </c>
      <c r="AW364" s="348">
        <v>0</v>
      </c>
      <c r="AX364" s="341">
        <v>0</v>
      </c>
      <c r="AY364" s="340">
        <v>63.7</v>
      </c>
      <c r="AZ364" s="356"/>
      <c r="BA364" s="316" t="s">
        <v>2985</v>
      </c>
      <c r="BB364" s="94" t="s">
        <v>2985</v>
      </c>
      <c r="BC364" s="425" t="s">
        <v>521</v>
      </c>
      <c r="BD364" s="348" t="s">
        <v>3568</v>
      </c>
      <c r="BE364" s="353">
        <v>100</v>
      </c>
      <c r="BF364" s="348"/>
      <c r="BG364" s="348">
        <v>300</v>
      </c>
      <c r="BH364" s="390">
        <f t="shared" si="79"/>
        <v>21.428571428571427</v>
      </c>
      <c r="BI364" s="303">
        <v>100</v>
      </c>
      <c r="BJ364" s="307">
        <v>1</v>
      </c>
      <c r="BK364" s="307">
        <v>28</v>
      </c>
      <c r="BL364" s="307">
        <v>30</v>
      </c>
      <c r="BM364" s="307">
        <v>0</v>
      </c>
      <c r="BN364" s="307">
        <v>99</v>
      </c>
      <c r="BO364" s="332" t="s">
        <v>2985</v>
      </c>
      <c r="BP364" s="350" t="s">
        <v>1770</v>
      </c>
      <c r="BS364" s="321"/>
    </row>
    <row r="365" spans="1:71" s="322" customFormat="1">
      <c r="A365" s="457">
        <v>1688</v>
      </c>
      <c r="B365" s="791" t="s">
        <v>3895</v>
      </c>
      <c r="C365" s="383"/>
      <c r="D365" s="466" t="s">
        <v>3590</v>
      </c>
      <c r="E365" s="469"/>
      <c r="F365" s="303" t="s">
        <v>2245</v>
      </c>
      <c r="G365" s="386" t="s">
        <v>2720</v>
      </c>
      <c r="H365" s="454" t="s">
        <v>1769</v>
      </c>
      <c r="I365" s="338" t="s">
        <v>3377</v>
      </c>
      <c r="J365" s="348">
        <v>2003</v>
      </c>
      <c r="K365" s="341">
        <v>358</v>
      </c>
      <c r="L365" s="340" t="s">
        <v>1738</v>
      </c>
      <c r="M365" s="341" t="s">
        <v>1739</v>
      </c>
      <c r="N365" s="446">
        <f t="shared" si="73"/>
        <v>0.24752399232245684</v>
      </c>
      <c r="O365" s="364">
        <v>0.26</v>
      </c>
      <c r="P365" s="329">
        <v>3.8322717622080678</v>
      </c>
      <c r="Q365" s="310">
        <f t="shared" si="74"/>
        <v>3.6483815624859917</v>
      </c>
      <c r="R365" s="377">
        <f t="shared" si="75"/>
        <v>122.46000000000001</v>
      </c>
      <c r="S365" s="407">
        <v>471</v>
      </c>
      <c r="T365" s="377">
        <f t="shared" si="76"/>
        <v>494.73991935483872</v>
      </c>
      <c r="U365" s="377">
        <f t="shared" si="78"/>
        <v>1805</v>
      </c>
      <c r="V365" s="408" t="s">
        <v>2985</v>
      </c>
      <c r="W365" s="408" t="s">
        <v>2985</v>
      </c>
      <c r="X365" s="313" t="s">
        <v>12</v>
      </c>
      <c r="Y365" s="307" t="s">
        <v>12</v>
      </c>
      <c r="Z365" s="314" t="s">
        <v>2985</v>
      </c>
      <c r="AA365" s="311" t="s">
        <v>1754</v>
      </c>
      <c r="AB365" s="341" t="s">
        <v>523</v>
      </c>
      <c r="AC365" s="161" t="s">
        <v>2985</v>
      </c>
      <c r="AD365" s="506" t="s">
        <v>2312</v>
      </c>
      <c r="AE365" s="214" t="s">
        <v>2306</v>
      </c>
      <c r="AF365" s="365" t="s">
        <v>2727</v>
      </c>
      <c r="AG365" s="262" t="s">
        <v>2985</v>
      </c>
      <c r="AH365" s="344">
        <v>94.959677419354833</v>
      </c>
      <c r="AI365" s="352">
        <v>5.0403225806451619</v>
      </c>
      <c r="AJ365" s="395">
        <v>0</v>
      </c>
      <c r="AK365" s="365">
        <v>0</v>
      </c>
      <c r="AL365" s="365">
        <v>0</v>
      </c>
      <c r="AM365" s="365">
        <v>0</v>
      </c>
      <c r="AN365" s="353">
        <v>0</v>
      </c>
      <c r="AO365" s="353">
        <v>0</v>
      </c>
      <c r="AP365" s="348">
        <v>0</v>
      </c>
      <c r="AQ365" s="348">
        <v>0</v>
      </c>
      <c r="AR365" s="348">
        <v>0</v>
      </c>
      <c r="AS365" s="348">
        <v>0</v>
      </c>
      <c r="AT365" s="352">
        <v>1.411290322580645</v>
      </c>
      <c r="AU365" s="348">
        <v>0</v>
      </c>
      <c r="AV365" s="348">
        <v>0</v>
      </c>
      <c r="AW365" s="348">
        <v>0</v>
      </c>
      <c r="AX365" s="341">
        <v>0</v>
      </c>
      <c r="AY365" s="340">
        <v>91.2</v>
      </c>
      <c r="AZ365" s="356">
        <v>63.84</v>
      </c>
      <c r="BA365" s="316" t="s">
        <v>2985</v>
      </c>
      <c r="BB365" s="94" t="s">
        <v>2985</v>
      </c>
      <c r="BC365" s="425" t="s">
        <v>521</v>
      </c>
      <c r="BD365" s="348" t="s">
        <v>3568</v>
      </c>
      <c r="BE365" s="353">
        <v>100</v>
      </c>
      <c r="BF365" s="348"/>
      <c r="BG365" s="348">
        <v>300</v>
      </c>
      <c r="BH365" s="390">
        <f t="shared" si="79"/>
        <v>21.428571428571427</v>
      </c>
      <c r="BI365" s="303">
        <v>100</v>
      </c>
      <c r="BJ365" s="307">
        <v>1</v>
      </c>
      <c r="BK365" s="307">
        <v>28</v>
      </c>
      <c r="BL365" s="307">
        <v>30</v>
      </c>
      <c r="BM365" s="307">
        <v>0</v>
      </c>
      <c r="BN365" s="307">
        <v>99</v>
      </c>
      <c r="BO365" s="332" t="s">
        <v>2985</v>
      </c>
      <c r="BP365" s="350" t="s">
        <v>1770</v>
      </c>
      <c r="BS365" s="321"/>
    </row>
    <row r="366" spans="1:71" s="322" customFormat="1">
      <c r="A366" s="457">
        <v>1689</v>
      </c>
      <c r="B366" s="791" t="s">
        <v>3895</v>
      </c>
      <c r="C366" s="383"/>
      <c r="D366" s="466" t="s">
        <v>3590</v>
      </c>
      <c r="E366" s="469"/>
      <c r="F366" s="303" t="s">
        <v>2246</v>
      </c>
      <c r="G366" s="386" t="s">
        <v>2720</v>
      </c>
      <c r="H366" s="454" t="s">
        <v>1769</v>
      </c>
      <c r="I366" s="338" t="s">
        <v>3377</v>
      </c>
      <c r="J366" s="348">
        <v>2003</v>
      </c>
      <c r="K366" s="341">
        <v>358</v>
      </c>
      <c r="L366" s="340" t="s">
        <v>1738</v>
      </c>
      <c r="M366" s="341" t="s">
        <v>1739</v>
      </c>
      <c r="N366" s="446">
        <f t="shared" si="73"/>
        <v>0.28560460652591169</v>
      </c>
      <c r="O366" s="349">
        <v>0.3</v>
      </c>
      <c r="P366" s="329">
        <v>3.7288135593220337</v>
      </c>
      <c r="Q366" s="310">
        <f t="shared" si="74"/>
        <v>3.549887764728846</v>
      </c>
      <c r="R366" s="377">
        <f t="shared" si="75"/>
        <v>141.29999999999998</v>
      </c>
      <c r="S366" s="407">
        <v>471</v>
      </c>
      <c r="T366" s="377">
        <f t="shared" si="76"/>
        <v>494.73991935483872</v>
      </c>
      <c r="U366" s="377">
        <f t="shared" si="78"/>
        <v>1756.2711864406779</v>
      </c>
      <c r="V366" s="408" t="s">
        <v>2985</v>
      </c>
      <c r="W366" s="408" t="s">
        <v>2985</v>
      </c>
      <c r="X366" s="313" t="s">
        <v>12</v>
      </c>
      <c r="Y366" s="307" t="s">
        <v>12</v>
      </c>
      <c r="Z366" s="314" t="s">
        <v>2985</v>
      </c>
      <c r="AA366" s="311" t="s">
        <v>1754</v>
      </c>
      <c r="AB366" s="341" t="s">
        <v>523</v>
      </c>
      <c r="AC366" s="161" t="s">
        <v>2985</v>
      </c>
      <c r="AD366" s="506" t="s">
        <v>2312</v>
      </c>
      <c r="AE366" s="214" t="s">
        <v>2306</v>
      </c>
      <c r="AF366" s="365" t="s">
        <v>2727</v>
      </c>
      <c r="AG366" s="262" t="s">
        <v>2985</v>
      </c>
      <c r="AH366" s="344">
        <v>94.959677419354833</v>
      </c>
      <c r="AI366" s="352">
        <v>5.0403225806451619</v>
      </c>
      <c r="AJ366" s="395">
        <v>0</v>
      </c>
      <c r="AK366" s="365">
        <v>0</v>
      </c>
      <c r="AL366" s="365">
        <v>0</v>
      </c>
      <c r="AM366" s="365">
        <v>0</v>
      </c>
      <c r="AN366" s="353">
        <v>0</v>
      </c>
      <c r="AO366" s="353">
        <v>0</v>
      </c>
      <c r="AP366" s="348">
        <v>0</v>
      </c>
      <c r="AQ366" s="348">
        <v>0</v>
      </c>
      <c r="AR366" s="348">
        <v>0</v>
      </c>
      <c r="AS366" s="348">
        <v>0</v>
      </c>
      <c r="AT366" s="352">
        <v>1.1668773920174957</v>
      </c>
      <c r="AU366" s="348">
        <v>0</v>
      </c>
      <c r="AV366" s="348">
        <v>0</v>
      </c>
      <c r="AW366" s="348">
        <v>0</v>
      </c>
      <c r="AX366" s="341">
        <v>0</v>
      </c>
      <c r="AY366" s="340">
        <v>83.7</v>
      </c>
      <c r="AZ366" s="356">
        <v>58.59</v>
      </c>
      <c r="BA366" s="316" t="s">
        <v>2985</v>
      </c>
      <c r="BB366" s="94" t="s">
        <v>2985</v>
      </c>
      <c r="BC366" s="425" t="s">
        <v>521</v>
      </c>
      <c r="BD366" s="348" t="s">
        <v>3568</v>
      </c>
      <c r="BE366" s="353">
        <v>100</v>
      </c>
      <c r="BF366" s="348"/>
      <c r="BG366" s="348">
        <v>300</v>
      </c>
      <c r="BH366" s="390">
        <f t="shared" si="79"/>
        <v>21.428571428571427</v>
      </c>
      <c r="BI366" s="303">
        <v>100</v>
      </c>
      <c r="BJ366" s="307">
        <v>1</v>
      </c>
      <c r="BK366" s="307">
        <v>28</v>
      </c>
      <c r="BL366" s="307">
        <v>30</v>
      </c>
      <c r="BM366" s="307">
        <v>0</v>
      </c>
      <c r="BN366" s="307">
        <v>99</v>
      </c>
      <c r="BO366" s="332" t="s">
        <v>2985</v>
      </c>
      <c r="BP366" s="350" t="s">
        <v>1770</v>
      </c>
      <c r="BS366" s="321"/>
    </row>
    <row r="367" spans="1:71" s="322" customFormat="1">
      <c r="A367" s="457">
        <v>1690</v>
      </c>
      <c r="B367" s="791" t="s">
        <v>3896</v>
      </c>
      <c r="C367" s="383"/>
      <c r="D367" s="466" t="s">
        <v>3590</v>
      </c>
      <c r="E367" s="469"/>
      <c r="F367" s="303" t="s">
        <v>2247</v>
      </c>
      <c r="G367" s="386" t="s">
        <v>2720</v>
      </c>
      <c r="H367" s="454" t="s">
        <v>1769</v>
      </c>
      <c r="I367" s="338" t="s">
        <v>3377</v>
      </c>
      <c r="J367" s="348">
        <v>2003</v>
      </c>
      <c r="K367" s="341">
        <v>358</v>
      </c>
      <c r="L367" s="340" t="s">
        <v>1738</v>
      </c>
      <c r="M367" s="341" t="s">
        <v>1739</v>
      </c>
      <c r="N367" s="446">
        <f t="shared" si="73"/>
        <v>0.33320537428023028</v>
      </c>
      <c r="O367" s="349">
        <v>0.35</v>
      </c>
      <c r="P367" s="329">
        <v>3.5750528541226214</v>
      </c>
      <c r="Q367" s="310">
        <f t="shared" si="74"/>
        <v>3.4035052123700962</v>
      </c>
      <c r="R367" s="377">
        <f t="shared" si="75"/>
        <v>164.85</v>
      </c>
      <c r="S367" s="407">
        <v>471</v>
      </c>
      <c r="T367" s="377">
        <f t="shared" si="76"/>
        <v>494.73991935483872</v>
      </c>
      <c r="U367" s="377">
        <f t="shared" si="78"/>
        <v>1683.8498942917547</v>
      </c>
      <c r="V367" s="408" t="s">
        <v>2985</v>
      </c>
      <c r="W367" s="408" t="s">
        <v>2985</v>
      </c>
      <c r="X367" s="313" t="s">
        <v>12</v>
      </c>
      <c r="Y367" s="307" t="s">
        <v>12</v>
      </c>
      <c r="Z367" s="314" t="s">
        <v>2985</v>
      </c>
      <c r="AA367" s="311" t="s">
        <v>1754</v>
      </c>
      <c r="AB367" s="341" t="s">
        <v>523</v>
      </c>
      <c r="AC367" s="161" t="s">
        <v>2985</v>
      </c>
      <c r="AD367" s="506" t="s">
        <v>2312</v>
      </c>
      <c r="AE367" s="214" t="s">
        <v>2306</v>
      </c>
      <c r="AF367" s="365" t="s">
        <v>2727</v>
      </c>
      <c r="AG367" s="262" t="s">
        <v>2985</v>
      </c>
      <c r="AH367" s="344">
        <v>94.959677419354833</v>
      </c>
      <c r="AI367" s="352">
        <v>5.0403225806451619</v>
      </c>
      <c r="AJ367" s="395">
        <v>0</v>
      </c>
      <c r="AK367" s="365">
        <v>0</v>
      </c>
      <c r="AL367" s="365">
        <v>0</v>
      </c>
      <c r="AM367" s="365">
        <v>0</v>
      </c>
      <c r="AN367" s="353">
        <v>0</v>
      </c>
      <c r="AO367" s="353">
        <v>0</v>
      </c>
      <c r="AP367" s="348">
        <v>0</v>
      </c>
      <c r="AQ367" s="348">
        <v>0</v>
      </c>
      <c r="AR367" s="348">
        <v>0</v>
      </c>
      <c r="AS367" s="348">
        <v>0</v>
      </c>
      <c r="AT367" s="352">
        <v>1.0640302120984788</v>
      </c>
      <c r="AU367" s="348">
        <v>0</v>
      </c>
      <c r="AV367" s="348">
        <v>0</v>
      </c>
      <c r="AW367" s="348">
        <v>0</v>
      </c>
      <c r="AX367" s="341">
        <v>0</v>
      </c>
      <c r="AY367" s="340">
        <v>70.3</v>
      </c>
      <c r="AZ367" s="356">
        <v>49.21</v>
      </c>
      <c r="BA367" s="316" t="s">
        <v>2985</v>
      </c>
      <c r="BB367" s="94" t="s">
        <v>2985</v>
      </c>
      <c r="BC367" s="425" t="s">
        <v>521</v>
      </c>
      <c r="BD367" s="348" t="s">
        <v>3568</v>
      </c>
      <c r="BE367" s="353">
        <v>100</v>
      </c>
      <c r="BF367" s="348"/>
      <c r="BG367" s="348">
        <v>300</v>
      </c>
      <c r="BH367" s="390">
        <f t="shared" si="79"/>
        <v>21.428571428571427</v>
      </c>
      <c r="BI367" s="303">
        <v>100</v>
      </c>
      <c r="BJ367" s="307">
        <v>1</v>
      </c>
      <c r="BK367" s="307">
        <v>28</v>
      </c>
      <c r="BL367" s="307">
        <v>30</v>
      </c>
      <c r="BM367" s="307">
        <v>0</v>
      </c>
      <c r="BN367" s="307">
        <v>99</v>
      </c>
      <c r="BO367" s="332" t="s">
        <v>2985</v>
      </c>
      <c r="BP367" s="350" t="s">
        <v>1770</v>
      </c>
      <c r="BS367" s="321"/>
    </row>
    <row r="368" spans="1:71" s="322" customFormat="1">
      <c r="A368" s="457">
        <v>1691</v>
      </c>
      <c r="B368" s="534" t="s">
        <v>3623</v>
      </c>
      <c r="C368" s="383"/>
      <c r="D368" s="466" t="s">
        <v>3590</v>
      </c>
      <c r="E368" s="469"/>
      <c r="F368" s="303" t="s">
        <v>2248</v>
      </c>
      <c r="G368" s="386" t="s">
        <v>2720</v>
      </c>
      <c r="H368" s="454" t="s">
        <v>1769</v>
      </c>
      <c r="I368" s="338" t="s">
        <v>3377</v>
      </c>
      <c r="J368" s="348">
        <v>2003</v>
      </c>
      <c r="K368" s="341">
        <v>358</v>
      </c>
      <c r="L368" s="340" t="s">
        <v>1738</v>
      </c>
      <c r="M368" s="341" t="s">
        <v>1739</v>
      </c>
      <c r="N368" s="446">
        <f t="shared" si="73"/>
        <v>0.23619047619047623</v>
      </c>
      <c r="O368" s="349">
        <v>0.26</v>
      </c>
      <c r="P368" s="329">
        <v>4.0224215246636774</v>
      </c>
      <c r="Q368" s="310">
        <f t="shared" si="74"/>
        <v>3.6540679051889819</v>
      </c>
      <c r="R368" s="377">
        <f t="shared" si="75"/>
        <v>115.96000000000001</v>
      </c>
      <c r="S368" s="407">
        <v>446</v>
      </c>
      <c r="T368" s="377">
        <f t="shared" si="76"/>
        <v>490.95967741935482</v>
      </c>
      <c r="U368" s="377">
        <f t="shared" si="78"/>
        <v>1794.0000000000002</v>
      </c>
      <c r="V368" s="408" t="s">
        <v>2985</v>
      </c>
      <c r="W368" s="408" t="s">
        <v>2985</v>
      </c>
      <c r="X368" s="313" t="s">
        <v>12</v>
      </c>
      <c r="Y368" s="307" t="s">
        <v>12</v>
      </c>
      <c r="Z368" s="314" t="s">
        <v>2985</v>
      </c>
      <c r="AA368" s="311" t="s">
        <v>3538</v>
      </c>
      <c r="AB368" s="341" t="s">
        <v>523</v>
      </c>
      <c r="AC368" s="161" t="s">
        <v>2985</v>
      </c>
      <c r="AD368" s="506" t="s">
        <v>2312</v>
      </c>
      <c r="AE368" s="214" t="s">
        <v>2306</v>
      </c>
      <c r="AF368" s="365" t="s">
        <v>2727</v>
      </c>
      <c r="AG368" s="262" t="s">
        <v>2985</v>
      </c>
      <c r="AH368" s="344">
        <v>89.91935483870968</v>
      </c>
      <c r="AI368" s="352">
        <v>10.080645161290324</v>
      </c>
      <c r="AJ368" s="395">
        <v>0</v>
      </c>
      <c r="AK368" s="365">
        <v>0</v>
      </c>
      <c r="AL368" s="365">
        <v>0</v>
      </c>
      <c r="AM368" s="365">
        <v>0</v>
      </c>
      <c r="AN368" s="353">
        <v>0</v>
      </c>
      <c r="AO368" s="353">
        <v>0</v>
      </c>
      <c r="AP368" s="348">
        <v>0</v>
      </c>
      <c r="AQ368" s="348">
        <v>0</v>
      </c>
      <c r="AR368" s="348">
        <v>0</v>
      </c>
      <c r="AS368" s="348">
        <v>0</v>
      </c>
      <c r="AT368" s="352">
        <v>1.5120967741935483</v>
      </c>
      <c r="AU368" s="348">
        <v>0</v>
      </c>
      <c r="AV368" s="348">
        <v>0</v>
      </c>
      <c r="AW368" s="348">
        <v>0</v>
      </c>
      <c r="AX368" s="341">
        <v>0</v>
      </c>
      <c r="AY368" s="340">
        <v>96.6</v>
      </c>
      <c r="AZ368" s="356">
        <v>67.62</v>
      </c>
      <c r="BA368" s="316" t="s">
        <v>2985</v>
      </c>
      <c r="BB368" s="94" t="s">
        <v>2985</v>
      </c>
      <c r="BC368" s="425" t="s">
        <v>521</v>
      </c>
      <c r="BD368" s="348" t="s">
        <v>3568</v>
      </c>
      <c r="BE368" s="353">
        <v>100</v>
      </c>
      <c r="BF368" s="348"/>
      <c r="BG368" s="348">
        <v>300</v>
      </c>
      <c r="BH368" s="390">
        <f t="shared" si="79"/>
        <v>21.428571428571427</v>
      </c>
      <c r="BI368" s="303">
        <v>100</v>
      </c>
      <c r="BJ368" s="307">
        <v>1</v>
      </c>
      <c r="BK368" s="307">
        <v>28</v>
      </c>
      <c r="BL368" s="307">
        <v>30</v>
      </c>
      <c r="BM368" s="307">
        <v>0</v>
      </c>
      <c r="BN368" s="307">
        <v>99</v>
      </c>
      <c r="BO368" s="332" t="s">
        <v>2985</v>
      </c>
      <c r="BP368" s="350" t="s">
        <v>1770</v>
      </c>
      <c r="BS368" s="321"/>
    </row>
    <row r="369" spans="1:71" s="322" customFormat="1">
      <c r="A369" s="457">
        <v>1692</v>
      </c>
      <c r="B369" s="534" t="s">
        <v>3623</v>
      </c>
      <c r="C369" s="383"/>
      <c r="D369" s="466" t="s">
        <v>3590</v>
      </c>
      <c r="E369" s="469"/>
      <c r="F369" s="303" t="s">
        <v>2249</v>
      </c>
      <c r="G369" s="386" t="s">
        <v>2720</v>
      </c>
      <c r="H369" s="454" t="s">
        <v>1769</v>
      </c>
      <c r="I369" s="338" t="s">
        <v>3377</v>
      </c>
      <c r="J369" s="348">
        <v>2003</v>
      </c>
      <c r="K369" s="341">
        <v>358</v>
      </c>
      <c r="L369" s="340" t="s">
        <v>1738</v>
      </c>
      <c r="M369" s="341" t="s">
        <v>1739</v>
      </c>
      <c r="N369" s="446">
        <f t="shared" si="73"/>
        <v>0.2725274725274725</v>
      </c>
      <c r="O369" s="364">
        <v>0.3</v>
      </c>
      <c r="P369" s="329">
        <v>3.9149888143176734</v>
      </c>
      <c r="Q369" s="310">
        <f t="shared" si="74"/>
        <v>3.5564733551310734</v>
      </c>
      <c r="R369" s="377">
        <f t="shared" si="75"/>
        <v>133.79999999999998</v>
      </c>
      <c r="S369" s="407">
        <v>446</v>
      </c>
      <c r="T369" s="377">
        <f t="shared" si="76"/>
        <v>490.95967741935482</v>
      </c>
      <c r="U369" s="377">
        <f t="shared" si="78"/>
        <v>1746.0850111856823</v>
      </c>
      <c r="V369" s="408" t="s">
        <v>2985</v>
      </c>
      <c r="W369" s="408" t="s">
        <v>2985</v>
      </c>
      <c r="X369" s="313" t="s">
        <v>12</v>
      </c>
      <c r="Y369" s="307" t="s">
        <v>12</v>
      </c>
      <c r="Z369" s="314" t="s">
        <v>2985</v>
      </c>
      <c r="AA369" s="311" t="s">
        <v>3538</v>
      </c>
      <c r="AB369" s="341" t="s">
        <v>523</v>
      </c>
      <c r="AC369" s="161" t="s">
        <v>2985</v>
      </c>
      <c r="AD369" s="506" t="s">
        <v>2312</v>
      </c>
      <c r="AE369" s="214" t="s">
        <v>2306</v>
      </c>
      <c r="AF369" s="214" t="s">
        <v>2312</v>
      </c>
      <c r="AG369" s="262" t="s">
        <v>2985</v>
      </c>
      <c r="AH369" s="344">
        <v>89.91935483870968</v>
      </c>
      <c r="AI369" s="352">
        <v>10.080645161290324</v>
      </c>
      <c r="AJ369" s="395">
        <v>0</v>
      </c>
      <c r="AK369" s="365">
        <v>0</v>
      </c>
      <c r="AL369" s="365">
        <v>0</v>
      </c>
      <c r="AM369" s="365">
        <v>0</v>
      </c>
      <c r="AN369" s="353">
        <v>0</v>
      </c>
      <c r="AO369" s="353">
        <v>0</v>
      </c>
      <c r="AP369" s="348">
        <v>0</v>
      </c>
      <c r="AQ369" s="348">
        <v>0</v>
      </c>
      <c r="AR369" s="348">
        <v>0</v>
      </c>
      <c r="AS369" s="348">
        <v>0</v>
      </c>
      <c r="AT369" s="352">
        <v>1.2270873926535324</v>
      </c>
      <c r="AU369" s="348">
        <v>0</v>
      </c>
      <c r="AV369" s="348">
        <v>0</v>
      </c>
      <c r="AW369" s="348">
        <v>0</v>
      </c>
      <c r="AX369" s="341">
        <v>0</v>
      </c>
      <c r="AY369" s="340">
        <v>91.1</v>
      </c>
      <c r="AZ369" s="356">
        <v>63.77</v>
      </c>
      <c r="BA369" s="316" t="s">
        <v>2985</v>
      </c>
      <c r="BB369" s="94" t="s">
        <v>2985</v>
      </c>
      <c r="BC369" s="425" t="s">
        <v>521</v>
      </c>
      <c r="BD369" s="348" t="s">
        <v>3568</v>
      </c>
      <c r="BE369" s="353">
        <v>100</v>
      </c>
      <c r="BF369" s="348"/>
      <c r="BG369" s="348">
        <v>300</v>
      </c>
      <c r="BH369" s="390">
        <f t="shared" si="79"/>
        <v>21.428571428571427</v>
      </c>
      <c r="BI369" s="303">
        <v>100</v>
      </c>
      <c r="BJ369" s="307">
        <v>1</v>
      </c>
      <c r="BK369" s="307">
        <v>28</v>
      </c>
      <c r="BL369" s="307">
        <v>30</v>
      </c>
      <c r="BM369" s="307">
        <v>0</v>
      </c>
      <c r="BN369" s="307">
        <v>99</v>
      </c>
      <c r="BO369" s="332" t="s">
        <v>2985</v>
      </c>
      <c r="BP369" s="350" t="s">
        <v>1770</v>
      </c>
      <c r="BS369" s="321"/>
    </row>
    <row r="370" spans="1:71" s="322" customFormat="1">
      <c r="A370" s="457">
        <v>1693</v>
      </c>
      <c r="B370" s="534" t="s">
        <v>3623</v>
      </c>
      <c r="C370" s="383"/>
      <c r="D370" s="466" t="s">
        <v>3590</v>
      </c>
      <c r="E370" s="469"/>
      <c r="F370" s="303" t="s">
        <v>2250</v>
      </c>
      <c r="G370" s="386" t="s">
        <v>2720</v>
      </c>
      <c r="H370" s="454" t="s">
        <v>1769</v>
      </c>
      <c r="I370" s="338" t="s">
        <v>3377</v>
      </c>
      <c r="J370" s="348">
        <v>2003</v>
      </c>
      <c r="K370" s="341">
        <v>358</v>
      </c>
      <c r="L370" s="340" t="s">
        <v>1738</v>
      </c>
      <c r="M370" s="341" t="s">
        <v>1739</v>
      </c>
      <c r="N370" s="446">
        <f t="shared" ref="N370:N382" si="80">R370/T370</f>
        <v>0.31794871794871793</v>
      </c>
      <c r="O370" s="364">
        <v>0.35</v>
      </c>
      <c r="P370" s="329">
        <v>3.7539149888143175</v>
      </c>
      <c r="Q370" s="310">
        <f t="shared" ref="Q370:Q382" si="81">U370/T370</f>
        <v>3.4101498799485377</v>
      </c>
      <c r="R370" s="377">
        <f t="shared" ref="R370:R382" si="82">O370*S370</f>
        <v>156.1</v>
      </c>
      <c r="S370" s="407">
        <v>446</v>
      </c>
      <c r="T370" s="377">
        <f t="shared" ref="T370:T382" si="83">(((SUM(AI370:AR370)/100)*(S370))+S370)</f>
        <v>490.95967741935482</v>
      </c>
      <c r="U370" s="377">
        <f t="shared" si="78"/>
        <v>1674.2460850111856</v>
      </c>
      <c r="V370" s="408" t="s">
        <v>2985</v>
      </c>
      <c r="W370" s="408" t="s">
        <v>2985</v>
      </c>
      <c r="X370" s="313" t="s">
        <v>12</v>
      </c>
      <c r="Y370" s="307" t="s">
        <v>12</v>
      </c>
      <c r="Z370" s="314" t="s">
        <v>2985</v>
      </c>
      <c r="AA370" s="311" t="s">
        <v>3538</v>
      </c>
      <c r="AB370" s="341" t="s">
        <v>523</v>
      </c>
      <c r="AC370" s="161" t="s">
        <v>2985</v>
      </c>
      <c r="AD370" s="506" t="s">
        <v>2312</v>
      </c>
      <c r="AE370" s="214" t="s">
        <v>2306</v>
      </c>
      <c r="AF370" s="214" t="s">
        <v>2312</v>
      </c>
      <c r="AG370" s="262" t="s">
        <v>2985</v>
      </c>
      <c r="AH370" s="344">
        <v>89.91935483870968</v>
      </c>
      <c r="AI370" s="352">
        <v>10.080645161290324</v>
      </c>
      <c r="AJ370" s="395">
        <v>0</v>
      </c>
      <c r="AK370" s="365">
        <v>0</v>
      </c>
      <c r="AL370" s="365">
        <v>0</v>
      </c>
      <c r="AM370" s="365">
        <v>0</v>
      </c>
      <c r="AN370" s="353">
        <v>0</v>
      </c>
      <c r="AO370" s="353">
        <v>0</v>
      </c>
      <c r="AP370" s="348">
        <v>0</v>
      </c>
      <c r="AQ370" s="348">
        <v>0</v>
      </c>
      <c r="AR370" s="348">
        <v>0</v>
      </c>
      <c r="AS370" s="348">
        <v>0</v>
      </c>
      <c r="AT370" s="352">
        <v>1.1265064588294724</v>
      </c>
      <c r="AU370" s="348">
        <v>0</v>
      </c>
      <c r="AV370" s="348">
        <v>0</v>
      </c>
      <c r="AW370" s="348">
        <v>0</v>
      </c>
      <c r="AX370" s="341">
        <v>0</v>
      </c>
      <c r="AY370" s="340">
        <v>75.2</v>
      </c>
      <c r="AZ370" s="356">
        <v>52.64</v>
      </c>
      <c r="BA370" s="316" t="s">
        <v>2985</v>
      </c>
      <c r="BB370" s="94" t="s">
        <v>2985</v>
      </c>
      <c r="BC370" s="425" t="s">
        <v>521</v>
      </c>
      <c r="BD370" s="360" t="s">
        <v>3568</v>
      </c>
      <c r="BE370" s="353">
        <v>100</v>
      </c>
      <c r="BF370" s="348"/>
      <c r="BG370" s="348">
        <v>300</v>
      </c>
      <c r="BH370" s="390">
        <f t="shared" si="79"/>
        <v>21.428571428571427</v>
      </c>
      <c r="BI370" s="303">
        <v>100</v>
      </c>
      <c r="BJ370" s="307">
        <v>1</v>
      </c>
      <c r="BK370" s="307">
        <v>28</v>
      </c>
      <c r="BL370" s="307">
        <v>30</v>
      </c>
      <c r="BM370" s="307">
        <v>0</v>
      </c>
      <c r="BN370" s="307">
        <v>99</v>
      </c>
      <c r="BO370" s="259" t="s">
        <v>2985</v>
      </c>
      <c r="BP370" s="350" t="s">
        <v>1770</v>
      </c>
      <c r="BS370" s="321"/>
    </row>
    <row r="371" spans="1:71" s="322" customFormat="1">
      <c r="A371" s="457">
        <v>1711</v>
      </c>
      <c r="B371" s="534" t="s">
        <v>3603</v>
      </c>
      <c r="C371" s="383"/>
      <c r="D371" s="466" t="s">
        <v>3590</v>
      </c>
      <c r="E371" s="469"/>
      <c r="F371" s="303" t="s">
        <v>2264</v>
      </c>
      <c r="G371" s="386" t="s">
        <v>2721</v>
      </c>
      <c r="H371" s="454" t="s">
        <v>2324</v>
      </c>
      <c r="I371" s="338" t="s">
        <v>3377</v>
      </c>
      <c r="J371" s="348">
        <v>2002</v>
      </c>
      <c r="K371" s="341">
        <v>360</v>
      </c>
      <c r="L371" s="340" t="s">
        <v>1738</v>
      </c>
      <c r="M371" s="341" t="s">
        <v>1739</v>
      </c>
      <c r="N371" s="446">
        <f t="shared" si="80"/>
        <v>0.33003952569169959</v>
      </c>
      <c r="O371" s="349">
        <v>0.33003952569169959</v>
      </c>
      <c r="P371" s="329">
        <v>3.3932806324110674</v>
      </c>
      <c r="Q371" s="310">
        <f t="shared" si="81"/>
        <v>3.3932806324110674</v>
      </c>
      <c r="R371" s="377">
        <f t="shared" si="82"/>
        <v>167</v>
      </c>
      <c r="S371" s="407">
        <v>506</v>
      </c>
      <c r="T371" s="377">
        <f t="shared" si="83"/>
        <v>506</v>
      </c>
      <c r="U371" s="377">
        <f t="shared" si="78"/>
        <v>1717</v>
      </c>
      <c r="V371" s="408" t="s">
        <v>2985</v>
      </c>
      <c r="W371" s="408" t="s">
        <v>2985</v>
      </c>
      <c r="X371" s="313" t="s">
        <v>12</v>
      </c>
      <c r="Y371" s="307" t="s">
        <v>12</v>
      </c>
      <c r="Z371" s="314" t="s">
        <v>2985</v>
      </c>
      <c r="AA371" s="311" t="s">
        <v>1754</v>
      </c>
      <c r="AB371" s="341" t="s">
        <v>523</v>
      </c>
      <c r="AC371" s="161" t="s">
        <v>2985</v>
      </c>
      <c r="AD371" s="348" t="s">
        <v>2315</v>
      </c>
      <c r="AE371" s="214" t="s">
        <v>2306</v>
      </c>
      <c r="AF371" s="214" t="s">
        <v>2315</v>
      </c>
      <c r="AG371" s="262" t="s">
        <v>2985</v>
      </c>
      <c r="AH371" s="313">
        <v>100</v>
      </c>
      <c r="AI371" s="348">
        <v>0</v>
      </c>
      <c r="AJ371" s="365">
        <v>0</v>
      </c>
      <c r="AK371" s="365">
        <v>0</v>
      </c>
      <c r="AL371" s="365">
        <v>0</v>
      </c>
      <c r="AM371" s="365">
        <v>0</v>
      </c>
      <c r="AN371" s="348">
        <v>0</v>
      </c>
      <c r="AO371" s="348">
        <v>0</v>
      </c>
      <c r="AP371" s="348">
        <v>0</v>
      </c>
      <c r="AQ371" s="348">
        <v>0</v>
      </c>
      <c r="AR371" s="348">
        <v>0</v>
      </c>
      <c r="AS371" s="348">
        <v>0</v>
      </c>
      <c r="AT371" s="348">
        <v>0</v>
      </c>
      <c r="AU371" s="348">
        <v>0</v>
      </c>
      <c r="AV371" s="348">
        <v>0</v>
      </c>
      <c r="AW371" s="348">
        <v>0</v>
      </c>
      <c r="AX371" s="341">
        <v>0</v>
      </c>
      <c r="AY371" s="340">
        <v>72</v>
      </c>
      <c r="AZ371" s="356"/>
      <c r="BA371" s="316" t="s">
        <v>2985</v>
      </c>
      <c r="BB371" s="94" t="s">
        <v>2985</v>
      </c>
      <c r="BC371" s="425" t="s">
        <v>521</v>
      </c>
      <c r="BD371" s="360" t="s">
        <v>3569</v>
      </c>
      <c r="BE371" s="353">
        <v>40</v>
      </c>
      <c r="BF371" s="348"/>
      <c r="BG371" s="348">
        <v>1000</v>
      </c>
      <c r="BH371" s="390">
        <f t="shared" si="79"/>
        <v>9.8039215686274517</v>
      </c>
      <c r="BI371" s="303">
        <v>99</v>
      </c>
      <c r="BJ371" s="307">
        <v>0</v>
      </c>
      <c r="BK371" s="307">
        <v>30</v>
      </c>
      <c r="BL371" s="307">
        <v>30</v>
      </c>
      <c r="BM371" s="307">
        <v>0</v>
      </c>
      <c r="BN371" s="307">
        <v>99</v>
      </c>
      <c r="BO371" s="259" t="s">
        <v>2985</v>
      </c>
      <c r="BP371" s="343"/>
      <c r="BS371" s="321"/>
    </row>
    <row r="372" spans="1:71" s="322" customFormat="1">
      <c r="A372" s="457">
        <v>1712</v>
      </c>
      <c r="B372" s="534" t="s">
        <v>3603</v>
      </c>
      <c r="C372" s="383"/>
      <c r="D372" s="466" t="s">
        <v>3590</v>
      </c>
      <c r="E372" s="469"/>
      <c r="F372" s="303" t="s">
        <v>2265</v>
      </c>
      <c r="G372" s="386" t="s">
        <v>2721</v>
      </c>
      <c r="H372" s="454" t="s">
        <v>2324</v>
      </c>
      <c r="I372" s="338" t="s">
        <v>3377</v>
      </c>
      <c r="J372" s="348">
        <v>2002</v>
      </c>
      <c r="K372" s="341">
        <v>360</v>
      </c>
      <c r="L372" s="340" t="s">
        <v>1738</v>
      </c>
      <c r="M372" s="341" t="s">
        <v>1739</v>
      </c>
      <c r="N372" s="446">
        <f t="shared" si="80"/>
        <v>0.33003952569169959</v>
      </c>
      <c r="O372" s="349">
        <v>0.33003952569169959</v>
      </c>
      <c r="P372" s="329">
        <v>3.3932806324110674</v>
      </c>
      <c r="Q372" s="310">
        <f t="shared" si="81"/>
        <v>3.3932806324110674</v>
      </c>
      <c r="R372" s="377">
        <f t="shared" si="82"/>
        <v>167</v>
      </c>
      <c r="S372" s="407">
        <v>506</v>
      </c>
      <c r="T372" s="377">
        <f t="shared" si="83"/>
        <v>506</v>
      </c>
      <c r="U372" s="377">
        <f t="shared" si="78"/>
        <v>1717</v>
      </c>
      <c r="V372" s="408" t="s">
        <v>2985</v>
      </c>
      <c r="W372" s="408" t="s">
        <v>2985</v>
      </c>
      <c r="X372" s="313" t="s">
        <v>12</v>
      </c>
      <c r="Y372" s="307" t="s">
        <v>12</v>
      </c>
      <c r="Z372" s="314" t="s">
        <v>2985</v>
      </c>
      <c r="AA372" s="311" t="s">
        <v>1754</v>
      </c>
      <c r="AB372" s="341" t="s">
        <v>523</v>
      </c>
      <c r="AC372" s="161" t="s">
        <v>2985</v>
      </c>
      <c r="AD372" s="348" t="s">
        <v>2315</v>
      </c>
      <c r="AE372" s="214" t="s">
        <v>2306</v>
      </c>
      <c r="AF372" s="214" t="s">
        <v>2315</v>
      </c>
      <c r="AG372" s="262" t="s">
        <v>2985</v>
      </c>
      <c r="AH372" s="313">
        <v>100</v>
      </c>
      <c r="AI372" s="348">
        <v>0</v>
      </c>
      <c r="AJ372" s="365">
        <v>0</v>
      </c>
      <c r="AK372" s="365">
        <v>0</v>
      </c>
      <c r="AL372" s="365">
        <v>0</v>
      </c>
      <c r="AM372" s="365">
        <v>0</v>
      </c>
      <c r="AN372" s="348">
        <v>0</v>
      </c>
      <c r="AO372" s="348">
        <v>0</v>
      </c>
      <c r="AP372" s="348">
        <v>0</v>
      </c>
      <c r="AQ372" s="348">
        <v>0</v>
      </c>
      <c r="AR372" s="348">
        <v>0</v>
      </c>
      <c r="AS372" s="348">
        <v>0</v>
      </c>
      <c r="AT372" s="348">
        <v>0</v>
      </c>
      <c r="AU372" s="348">
        <v>0</v>
      </c>
      <c r="AV372" s="348">
        <v>0</v>
      </c>
      <c r="AW372" s="348">
        <v>0</v>
      </c>
      <c r="AX372" s="341">
        <v>0</v>
      </c>
      <c r="AY372" s="340">
        <v>72</v>
      </c>
      <c r="AZ372" s="356"/>
      <c r="BA372" s="316" t="s">
        <v>2985</v>
      </c>
      <c r="BB372" s="94" t="s">
        <v>2985</v>
      </c>
      <c r="BC372" s="425" t="s">
        <v>521</v>
      </c>
      <c r="BD372" s="360" t="s">
        <v>3569</v>
      </c>
      <c r="BE372" s="353">
        <v>40</v>
      </c>
      <c r="BF372" s="348"/>
      <c r="BG372" s="348">
        <v>1000</v>
      </c>
      <c r="BH372" s="390">
        <f t="shared" si="79"/>
        <v>9.8039215686274517</v>
      </c>
      <c r="BI372" s="303">
        <v>99</v>
      </c>
      <c r="BJ372" s="307">
        <v>0</v>
      </c>
      <c r="BK372" s="307">
        <v>30</v>
      </c>
      <c r="BL372" s="307">
        <v>30</v>
      </c>
      <c r="BM372" s="307">
        <v>0</v>
      </c>
      <c r="BN372" s="307">
        <v>99</v>
      </c>
      <c r="BO372" s="259" t="s">
        <v>2985</v>
      </c>
      <c r="BP372" s="350"/>
      <c r="BS372" s="321"/>
    </row>
    <row r="373" spans="1:71" s="322" customFormat="1">
      <c r="A373" s="457">
        <v>1713</v>
      </c>
      <c r="B373" s="534" t="s">
        <v>3603</v>
      </c>
      <c r="C373" s="383"/>
      <c r="D373" s="466" t="s">
        <v>3590</v>
      </c>
      <c r="E373" s="469"/>
      <c r="F373" s="303" t="s">
        <v>2266</v>
      </c>
      <c r="G373" s="386" t="s">
        <v>2721</v>
      </c>
      <c r="H373" s="454" t="s">
        <v>2324</v>
      </c>
      <c r="I373" s="338" t="s">
        <v>3377</v>
      </c>
      <c r="J373" s="348">
        <v>2002</v>
      </c>
      <c r="K373" s="341">
        <v>360</v>
      </c>
      <c r="L373" s="340" t="s">
        <v>1738</v>
      </c>
      <c r="M373" s="341" t="s">
        <v>1739</v>
      </c>
      <c r="N373" s="446">
        <f t="shared" si="80"/>
        <v>0.33003952569169959</v>
      </c>
      <c r="O373" s="364">
        <v>0.33003952569169959</v>
      </c>
      <c r="P373" s="329">
        <v>3.0948616600790513</v>
      </c>
      <c r="Q373" s="310">
        <f t="shared" si="81"/>
        <v>3.0948616600790513</v>
      </c>
      <c r="R373" s="377">
        <f t="shared" si="82"/>
        <v>167</v>
      </c>
      <c r="S373" s="407">
        <v>506</v>
      </c>
      <c r="T373" s="377">
        <f t="shared" si="83"/>
        <v>506</v>
      </c>
      <c r="U373" s="377">
        <f t="shared" si="78"/>
        <v>1566</v>
      </c>
      <c r="V373" s="408" t="s">
        <v>2985</v>
      </c>
      <c r="W373" s="408" t="s">
        <v>2985</v>
      </c>
      <c r="X373" s="313" t="s">
        <v>12</v>
      </c>
      <c r="Y373" s="307" t="s">
        <v>12</v>
      </c>
      <c r="Z373" s="314" t="s">
        <v>2985</v>
      </c>
      <c r="AA373" s="311" t="s">
        <v>1754</v>
      </c>
      <c r="AB373" s="341" t="s">
        <v>523</v>
      </c>
      <c r="AC373" s="161" t="s">
        <v>2985</v>
      </c>
      <c r="AD373" s="348" t="s">
        <v>2315</v>
      </c>
      <c r="AE373" s="348" t="s">
        <v>2306</v>
      </c>
      <c r="AF373" s="214" t="s">
        <v>2315</v>
      </c>
      <c r="AG373" s="262" t="s">
        <v>2985</v>
      </c>
      <c r="AH373" s="313">
        <v>100</v>
      </c>
      <c r="AI373" s="348">
        <v>0</v>
      </c>
      <c r="AJ373" s="365">
        <v>0</v>
      </c>
      <c r="AK373" s="365">
        <v>0</v>
      </c>
      <c r="AL373" s="365">
        <v>0</v>
      </c>
      <c r="AM373" s="365">
        <v>0</v>
      </c>
      <c r="AN373" s="348">
        <v>0</v>
      </c>
      <c r="AO373" s="348">
        <v>0</v>
      </c>
      <c r="AP373" s="348">
        <v>0</v>
      </c>
      <c r="AQ373" s="348">
        <v>0</v>
      </c>
      <c r="AR373" s="348">
        <v>0</v>
      </c>
      <c r="AS373" s="348">
        <v>0</v>
      </c>
      <c r="AT373" s="348">
        <v>0</v>
      </c>
      <c r="AU373" s="348">
        <v>0</v>
      </c>
      <c r="AV373" s="348">
        <v>0</v>
      </c>
      <c r="AW373" s="348">
        <v>0</v>
      </c>
      <c r="AX373" s="341">
        <v>0</v>
      </c>
      <c r="AY373" s="340">
        <v>70.2</v>
      </c>
      <c r="AZ373" s="356"/>
      <c r="BA373" s="316" t="s">
        <v>2985</v>
      </c>
      <c r="BB373" s="94" t="s">
        <v>2985</v>
      </c>
      <c r="BC373" s="425" t="s">
        <v>521</v>
      </c>
      <c r="BD373" s="360" t="s">
        <v>3569</v>
      </c>
      <c r="BE373" s="353">
        <v>40</v>
      </c>
      <c r="BF373" s="348"/>
      <c r="BG373" s="348">
        <v>1000</v>
      </c>
      <c r="BH373" s="390">
        <f t="shared" si="79"/>
        <v>9.8039215686274517</v>
      </c>
      <c r="BI373" s="303">
        <v>99</v>
      </c>
      <c r="BJ373" s="307">
        <v>0</v>
      </c>
      <c r="BK373" s="307">
        <v>30</v>
      </c>
      <c r="BL373" s="307">
        <v>30</v>
      </c>
      <c r="BM373" s="307">
        <v>0</v>
      </c>
      <c r="BN373" s="307">
        <v>99</v>
      </c>
      <c r="BO373" s="332" t="s">
        <v>2985</v>
      </c>
      <c r="BP373" s="350" t="s">
        <v>2526</v>
      </c>
      <c r="BS373" s="321"/>
    </row>
    <row r="374" spans="1:71" s="322" customFormat="1">
      <c r="A374" s="457">
        <v>1714</v>
      </c>
      <c r="B374" s="534" t="s">
        <v>3603</v>
      </c>
      <c r="C374" s="383"/>
      <c r="D374" s="466" t="s">
        <v>3590</v>
      </c>
      <c r="E374" s="469"/>
      <c r="F374" s="303" t="s">
        <v>2267</v>
      </c>
      <c r="G374" s="386" t="s">
        <v>2721</v>
      </c>
      <c r="H374" s="454" t="s">
        <v>2324</v>
      </c>
      <c r="I374" s="338" t="s">
        <v>3377</v>
      </c>
      <c r="J374" s="348">
        <v>2002</v>
      </c>
      <c r="K374" s="341">
        <v>360</v>
      </c>
      <c r="L374" s="340" t="s">
        <v>1738</v>
      </c>
      <c r="M374" s="341" t="s">
        <v>1739</v>
      </c>
      <c r="N374" s="446">
        <f t="shared" si="80"/>
        <v>0.33003952569169959</v>
      </c>
      <c r="O374" s="364">
        <v>0.33003952569169959</v>
      </c>
      <c r="P374" s="329">
        <v>3.1837944664031621</v>
      </c>
      <c r="Q374" s="310">
        <f t="shared" si="81"/>
        <v>3.1837944664031621</v>
      </c>
      <c r="R374" s="377">
        <f t="shared" si="82"/>
        <v>167</v>
      </c>
      <c r="S374" s="407">
        <v>506</v>
      </c>
      <c r="T374" s="377">
        <f t="shared" si="83"/>
        <v>506</v>
      </c>
      <c r="U374" s="377">
        <f t="shared" si="78"/>
        <v>1611</v>
      </c>
      <c r="V374" s="408" t="s">
        <v>2985</v>
      </c>
      <c r="W374" s="408" t="s">
        <v>2985</v>
      </c>
      <c r="X374" s="313" t="s">
        <v>12</v>
      </c>
      <c r="Y374" s="307" t="s">
        <v>12</v>
      </c>
      <c r="Z374" s="314" t="s">
        <v>2985</v>
      </c>
      <c r="AA374" s="311" t="s">
        <v>1754</v>
      </c>
      <c r="AB374" s="341" t="s">
        <v>523</v>
      </c>
      <c r="AC374" s="161" t="s">
        <v>2985</v>
      </c>
      <c r="AD374" s="348" t="s">
        <v>2315</v>
      </c>
      <c r="AE374" s="348" t="s">
        <v>2306</v>
      </c>
      <c r="AF374" s="214" t="s">
        <v>2315</v>
      </c>
      <c r="AG374" s="262" t="s">
        <v>2985</v>
      </c>
      <c r="AH374" s="313">
        <v>100</v>
      </c>
      <c r="AI374" s="348">
        <v>0</v>
      </c>
      <c r="AJ374" s="365">
        <v>0</v>
      </c>
      <c r="AK374" s="365">
        <v>0</v>
      </c>
      <c r="AL374" s="365">
        <v>0</v>
      </c>
      <c r="AM374" s="365">
        <v>0</v>
      </c>
      <c r="AN374" s="348">
        <v>0</v>
      </c>
      <c r="AO374" s="348">
        <v>0</v>
      </c>
      <c r="AP374" s="348">
        <v>0</v>
      </c>
      <c r="AQ374" s="348">
        <v>0</v>
      </c>
      <c r="AR374" s="348">
        <v>0</v>
      </c>
      <c r="AS374" s="348">
        <v>0</v>
      </c>
      <c r="AT374" s="348">
        <v>0</v>
      </c>
      <c r="AU374" s="348">
        <v>0</v>
      </c>
      <c r="AV374" s="348">
        <v>0</v>
      </c>
      <c r="AW374" s="348">
        <v>0</v>
      </c>
      <c r="AX374" s="341">
        <v>0</v>
      </c>
      <c r="AY374" s="340">
        <v>70.2</v>
      </c>
      <c r="AZ374" s="356"/>
      <c r="BA374" s="316" t="s">
        <v>2985</v>
      </c>
      <c r="BB374" s="94" t="s">
        <v>2985</v>
      </c>
      <c r="BC374" s="425" t="s">
        <v>521</v>
      </c>
      <c r="BD374" s="360" t="s">
        <v>3569</v>
      </c>
      <c r="BE374" s="353">
        <v>40</v>
      </c>
      <c r="BF374" s="348"/>
      <c r="BG374" s="348">
        <v>1000</v>
      </c>
      <c r="BH374" s="390">
        <f t="shared" si="79"/>
        <v>9.8039215686274517</v>
      </c>
      <c r="BI374" s="303">
        <v>99</v>
      </c>
      <c r="BJ374" s="307">
        <v>0</v>
      </c>
      <c r="BK374" s="307">
        <v>30</v>
      </c>
      <c r="BL374" s="307">
        <v>30</v>
      </c>
      <c r="BM374" s="307">
        <v>0</v>
      </c>
      <c r="BN374" s="307">
        <v>99</v>
      </c>
      <c r="BO374" s="332" t="s">
        <v>2985</v>
      </c>
      <c r="BP374" s="350" t="s">
        <v>2526</v>
      </c>
      <c r="BS374" s="321"/>
    </row>
    <row r="375" spans="1:71" s="322" customFormat="1">
      <c r="A375" s="457">
        <v>1715</v>
      </c>
      <c r="B375" s="534" t="s">
        <v>3603</v>
      </c>
      <c r="C375" s="383"/>
      <c r="D375" s="466" t="s">
        <v>3590</v>
      </c>
      <c r="E375" s="469"/>
      <c r="F375" s="303" t="s">
        <v>2268</v>
      </c>
      <c r="G375" s="386" t="s">
        <v>2721</v>
      </c>
      <c r="H375" s="454" t="s">
        <v>2324</v>
      </c>
      <c r="I375" s="338" t="s">
        <v>3377</v>
      </c>
      <c r="J375" s="348">
        <v>2002</v>
      </c>
      <c r="K375" s="341">
        <v>360</v>
      </c>
      <c r="L375" s="340" t="s">
        <v>1738</v>
      </c>
      <c r="M375" s="341" t="s">
        <v>1739</v>
      </c>
      <c r="N375" s="446">
        <f t="shared" si="80"/>
        <v>0.33003952569169959</v>
      </c>
      <c r="O375" s="364">
        <v>0.33003952569169959</v>
      </c>
      <c r="P375" s="329">
        <v>3.2173913043478262</v>
      </c>
      <c r="Q375" s="310">
        <f t="shared" si="81"/>
        <v>3.2173913043478262</v>
      </c>
      <c r="R375" s="377">
        <f t="shared" si="82"/>
        <v>167</v>
      </c>
      <c r="S375" s="407">
        <v>506</v>
      </c>
      <c r="T375" s="377">
        <f t="shared" si="83"/>
        <v>506</v>
      </c>
      <c r="U375" s="377">
        <f t="shared" si="78"/>
        <v>1628</v>
      </c>
      <c r="V375" s="408" t="s">
        <v>2985</v>
      </c>
      <c r="W375" s="408" t="s">
        <v>2985</v>
      </c>
      <c r="X375" s="313" t="s">
        <v>12</v>
      </c>
      <c r="Y375" s="307" t="s">
        <v>12</v>
      </c>
      <c r="Z375" s="314" t="s">
        <v>2985</v>
      </c>
      <c r="AA375" s="311" t="s">
        <v>1754</v>
      </c>
      <c r="AB375" s="341" t="s">
        <v>523</v>
      </c>
      <c r="AC375" s="161" t="s">
        <v>2985</v>
      </c>
      <c r="AD375" s="348" t="s">
        <v>2315</v>
      </c>
      <c r="AE375" s="348" t="s">
        <v>2306</v>
      </c>
      <c r="AF375" s="214" t="s">
        <v>2315</v>
      </c>
      <c r="AG375" s="262" t="s">
        <v>2985</v>
      </c>
      <c r="AH375" s="313">
        <v>100</v>
      </c>
      <c r="AI375" s="348">
        <v>0</v>
      </c>
      <c r="AJ375" s="365">
        <v>0</v>
      </c>
      <c r="AK375" s="365">
        <v>0</v>
      </c>
      <c r="AL375" s="365">
        <v>0</v>
      </c>
      <c r="AM375" s="365">
        <v>0</v>
      </c>
      <c r="AN375" s="348">
        <v>0</v>
      </c>
      <c r="AO375" s="348">
        <v>0</v>
      </c>
      <c r="AP375" s="348">
        <v>0</v>
      </c>
      <c r="AQ375" s="348">
        <v>0</v>
      </c>
      <c r="AR375" s="348">
        <v>0</v>
      </c>
      <c r="AS375" s="348">
        <v>0</v>
      </c>
      <c r="AT375" s="348">
        <v>0</v>
      </c>
      <c r="AU375" s="348">
        <v>0</v>
      </c>
      <c r="AV375" s="348">
        <v>0</v>
      </c>
      <c r="AW375" s="348">
        <v>0</v>
      </c>
      <c r="AX375" s="341">
        <v>0</v>
      </c>
      <c r="AY375" s="340">
        <v>67.8</v>
      </c>
      <c r="AZ375" s="356"/>
      <c r="BA375" s="316" t="s">
        <v>2985</v>
      </c>
      <c r="BB375" s="94" t="s">
        <v>2985</v>
      </c>
      <c r="BC375" s="425" t="s">
        <v>521</v>
      </c>
      <c r="BD375" s="360" t="s">
        <v>3569</v>
      </c>
      <c r="BE375" s="353">
        <v>40</v>
      </c>
      <c r="BF375" s="348"/>
      <c r="BG375" s="348">
        <v>1000</v>
      </c>
      <c r="BH375" s="390">
        <f t="shared" si="79"/>
        <v>9.8039215686274517</v>
      </c>
      <c r="BI375" s="303">
        <v>99</v>
      </c>
      <c r="BJ375" s="307">
        <v>0</v>
      </c>
      <c r="BK375" s="307">
        <v>30</v>
      </c>
      <c r="BL375" s="307">
        <v>30</v>
      </c>
      <c r="BM375" s="307">
        <v>0</v>
      </c>
      <c r="BN375" s="307">
        <v>99</v>
      </c>
      <c r="BO375" s="332" t="s">
        <v>2985</v>
      </c>
      <c r="BP375" s="350" t="s">
        <v>2526</v>
      </c>
      <c r="BS375" s="321"/>
    </row>
    <row r="376" spans="1:71" s="322" customFormat="1">
      <c r="A376" s="457">
        <v>1716</v>
      </c>
      <c r="B376" s="534" t="s">
        <v>3603</v>
      </c>
      <c r="C376" s="383"/>
      <c r="D376" s="383"/>
      <c r="E376" s="469"/>
      <c r="F376" s="303" t="s">
        <v>2269</v>
      </c>
      <c r="G376" s="386" t="s">
        <v>2721</v>
      </c>
      <c r="H376" s="454" t="s">
        <v>2324</v>
      </c>
      <c r="I376" s="338" t="s">
        <v>3377</v>
      </c>
      <c r="J376" s="348">
        <v>2002</v>
      </c>
      <c r="K376" s="341">
        <v>360</v>
      </c>
      <c r="L376" s="340" t="s">
        <v>1738</v>
      </c>
      <c r="M376" s="341" t="s">
        <v>1739</v>
      </c>
      <c r="N376" s="446">
        <f t="shared" si="80"/>
        <v>0.33003952569169959</v>
      </c>
      <c r="O376" s="364">
        <v>0.33003952569169959</v>
      </c>
      <c r="P376" s="329">
        <v>3.3063241106719365</v>
      </c>
      <c r="Q376" s="310">
        <f t="shared" si="81"/>
        <v>3.3063241106719365</v>
      </c>
      <c r="R376" s="377">
        <f t="shared" si="82"/>
        <v>167</v>
      </c>
      <c r="S376" s="407">
        <v>506</v>
      </c>
      <c r="T376" s="377">
        <f t="shared" si="83"/>
        <v>506</v>
      </c>
      <c r="U376" s="377">
        <f t="shared" si="78"/>
        <v>1673</v>
      </c>
      <c r="V376" s="408" t="s">
        <v>2985</v>
      </c>
      <c r="W376" s="408" t="s">
        <v>2985</v>
      </c>
      <c r="X376" s="313" t="s">
        <v>12</v>
      </c>
      <c r="Y376" s="307" t="s">
        <v>12</v>
      </c>
      <c r="Z376" s="314" t="s">
        <v>2985</v>
      </c>
      <c r="AA376" s="311" t="s">
        <v>1754</v>
      </c>
      <c r="AB376" s="341" t="s">
        <v>523</v>
      </c>
      <c r="AC376" s="161" t="s">
        <v>2985</v>
      </c>
      <c r="AD376" s="348" t="s">
        <v>2315</v>
      </c>
      <c r="AE376" s="348" t="s">
        <v>2306</v>
      </c>
      <c r="AF376" s="214" t="s">
        <v>2315</v>
      </c>
      <c r="AG376" s="262" t="s">
        <v>2985</v>
      </c>
      <c r="AH376" s="313">
        <v>100</v>
      </c>
      <c r="AI376" s="348">
        <v>0</v>
      </c>
      <c r="AJ376" s="365">
        <v>0</v>
      </c>
      <c r="AK376" s="365">
        <v>0</v>
      </c>
      <c r="AL376" s="365">
        <v>0</v>
      </c>
      <c r="AM376" s="365">
        <v>0</v>
      </c>
      <c r="AN376" s="348">
        <v>0</v>
      </c>
      <c r="AO376" s="348">
        <v>0</v>
      </c>
      <c r="AP376" s="348">
        <v>0</v>
      </c>
      <c r="AQ376" s="348">
        <v>0</v>
      </c>
      <c r="AR376" s="348">
        <v>0</v>
      </c>
      <c r="AS376" s="348">
        <v>0</v>
      </c>
      <c r="AT376" s="348">
        <v>0</v>
      </c>
      <c r="AU376" s="348">
        <v>0</v>
      </c>
      <c r="AV376" s="348">
        <v>0</v>
      </c>
      <c r="AW376" s="348">
        <v>0</v>
      </c>
      <c r="AX376" s="341">
        <v>0</v>
      </c>
      <c r="AY376" s="354">
        <v>74.28</v>
      </c>
      <c r="AZ376" s="356"/>
      <c r="BA376" s="316" t="s">
        <v>2985</v>
      </c>
      <c r="BB376" s="94" t="s">
        <v>2985</v>
      </c>
      <c r="BC376" s="425" t="s">
        <v>521</v>
      </c>
      <c r="BD376" s="360" t="s">
        <v>3569</v>
      </c>
      <c r="BE376" s="353">
        <v>40</v>
      </c>
      <c r="BF376" s="348"/>
      <c r="BG376" s="348">
        <v>1000</v>
      </c>
      <c r="BH376" s="390">
        <f t="shared" si="79"/>
        <v>9.8039215686274517</v>
      </c>
      <c r="BI376" s="303">
        <v>99</v>
      </c>
      <c r="BJ376" s="307">
        <v>0</v>
      </c>
      <c r="BK376" s="307">
        <v>30</v>
      </c>
      <c r="BL376" s="307">
        <v>30</v>
      </c>
      <c r="BM376" s="307">
        <v>0</v>
      </c>
      <c r="BN376" s="307">
        <v>99</v>
      </c>
      <c r="BO376" s="332" t="s">
        <v>2985</v>
      </c>
      <c r="BP376" s="350" t="s">
        <v>2526</v>
      </c>
      <c r="BS376" s="321"/>
    </row>
    <row r="377" spans="1:71" s="322" customFormat="1">
      <c r="A377" s="457">
        <v>1717</v>
      </c>
      <c r="B377" s="534" t="s">
        <v>3603</v>
      </c>
      <c r="C377" s="383"/>
      <c r="D377" s="383"/>
      <c r="E377" s="469"/>
      <c r="F377" s="303" t="s">
        <v>2270</v>
      </c>
      <c r="G377" s="386" t="s">
        <v>2721</v>
      </c>
      <c r="H377" s="454" t="s">
        <v>2324</v>
      </c>
      <c r="I377" s="338" t="s">
        <v>3377</v>
      </c>
      <c r="J377" s="348">
        <v>2002</v>
      </c>
      <c r="K377" s="341">
        <v>360</v>
      </c>
      <c r="L377" s="340" t="s">
        <v>1738</v>
      </c>
      <c r="M377" s="341" t="s">
        <v>1739</v>
      </c>
      <c r="N377" s="446">
        <f t="shared" si="80"/>
        <v>0.33003952569169959</v>
      </c>
      <c r="O377" s="364">
        <v>0.33003952569169959</v>
      </c>
      <c r="P377" s="329">
        <v>3.1324110671936758</v>
      </c>
      <c r="Q377" s="310">
        <f t="shared" si="81"/>
        <v>3.1324110671936758</v>
      </c>
      <c r="R377" s="377">
        <f t="shared" si="82"/>
        <v>167</v>
      </c>
      <c r="S377" s="407">
        <v>506</v>
      </c>
      <c r="T377" s="377">
        <f t="shared" si="83"/>
        <v>506</v>
      </c>
      <c r="U377" s="377">
        <f t="shared" si="78"/>
        <v>1585</v>
      </c>
      <c r="V377" s="408" t="s">
        <v>2985</v>
      </c>
      <c r="W377" s="408" t="s">
        <v>2985</v>
      </c>
      <c r="X377" s="313" t="s">
        <v>12</v>
      </c>
      <c r="Y377" s="307" t="s">
        <v>12</v>
      </c>
      <c r="Z377" s="314" t="s">
        <v>2985</v>
      </c>
      <c r="AA377" s="311" t="s">
        <v>1754</v>
      </c>
      <c r="AB377" s="341" t="s">
        <v>523</v>
      </c>
      <c r="AC377" s="161" t="s">
        <v>2985</v>
      </c>
      <c r="AD377" s="348" t="s">
        <v>2315</v>
      </c>
      <c r="AE377" s="348" t="s">
        <v>2306</v>
      </c>
      <c r="AF377" s="214" t="s">
        <v>2315</v>
      </c>
      <c r="AG377" s="262" t="s">
        <v>2985</v>
      </c>
      <c r="AH377" s="313">
        <v>100</v>
      </c>
      <c r="AI377" s="348">
        <v>0</v>
      </c>
      <c r="AJ377" s="365">
        <v>0</v>
      </c>
      <c r="AK377" s="365">
        <v>0</v>
      </c>
      <c r="AL377" s="365">
        <v>0</v>
      </c>
      <c r="AM377" s="365">
        <v>0</v>
      </c>
      <c r="AN377" s="348">
        <v>0</v>
      </c>
      <c r="AO377" s="348">
        <v>0</v>
      </c>
      <c r="AP377" s="348">
        <v>0</v>
      </c>
      <c r="AQ377" s="348">
        <v>0</v>
      </c>
      <c r="AR377" s="348">
        <v>0</v>
      </c>
      <c r="AS377" s="348">
        <v>0</v>
      </c>
      <c r="AT377" s="348">
        <v>0</v>
      </c>
      <c r="AU377" s="348">
        <v>0</v>
      </c>
      <c r="AV377" s="348">
        <v>0</v>
      </c>
      <c r="AW377" s="348">
        <v>0</v>
      </c>
      <c r="AX377" s="341">
        <v>0</v>
      </c>
      <c r="AY377" s="354">
        <v>74.28</v>
      </c>
      <c r="AZ377" s="356"/>
      <c r="BA377" s="316" t="s">
        <v>2985</v>
      </c>
      <c r="BB377" s="94" t="s">
        <v>2985</v>
      </c>
      <c r="BC377" s="425" t="s">
        <v>521</v>
      </c>
      <c r="BD377" s="360" t="s">
        <v>3569</v>
      </c>
      <c r="BE377" s="353">
        <v>40</v>
      </c>
      <c r="BF377" s="348"/>
      <c r="BG377" s="348">
        <v>1000</v>
      </c>
      <c r="BH377" s="390">
        <f t="shared" si="79"/>
        <v>9.8039215686274517</v>
      </c>
      <c r="BI377" s="303">
        <v>99</v>
      </c>
      <c r="BJ377" s="307">
        <v>0</v>
      </c>
      <c r="BK377" s="307">
        <v>30</v>
      </c>
      <c r="BL377" s="307">
        <v>30</v>
      </c>
      <c r="BM377" s="307">
        <v>0</v>
      </c>
      <c r="BN377" s="307">
        <v>99</v>
      </c>
      <c r="BO377" s="332" t="s">
        <v>2985</v>
      </c>
      <c r="BP377" s="343" t="s">
        <v>2526</v>
      </c>
      <c r="BS377" s="321"/>
    </row>
    <row r="378" spans="1:71" s="322" customFormat="1">
      <c r="A378" s="457">
        <v>1718</v>
      </c>
      <c r="B378" s="534" t="s">
        <v>3603</v>
      </c>
      <c r="C378" s="383"/>
      <c r="D378" s="383"/>
      <c r="E378" s="469"/>
      <c r="F378" s="303" t="s">
        <v>2322</v>
      </c>
      <c r="G378" s="386" t="s">
        <v>2323</v>
      </c>
      <c r="H378" s="454" t="s">
        <v>2324</v>
      </c>
      <c r="I378" s="338" t="s">
        <v>3377</v>
      </c>
      <c r="J378" s="348">
        <v>2001</v>
      </c>
      <c r="K378" s="341">
        <v>381</v>
      </c>
      <c r="L378" s="340" t="s">
        <v>1738</v>
      </c>
      <c r="M378" s="341" t="s">
        <v>1739</v>
      </c>
      <c r="N378" s="446">
        <f t="shared" si="80"/>
        <v>0.33944954128440369</v>
      </c>
      <c r="O378" s="364">
        <v>0.37</v>
      </c>
      <c r="P378" s="410">
        <v>3.8671171171171173</v>
      </c>
      <c r="Q378" s="310">
        <f t="shared" si="81"/>
        <v>3.5478138689147865</v>
      </c>
      <c r="R378" s="377">
        <f t="shared" si="82"/>
        <v>164.28</v>
      </c>
      <c r="S378" s="407">
        <v>444</v>
      </c>
      <c r="T378" s="377">
        <f t="shared" si="83"/>
        <v>483.96</v>
      </c>
      <c r="U378" s="377">
        <f t="shared" si="78"/>
        <v>1717</v>
      </c>
      <c r="V378" s="408" t="s">
        <v>2985</v>
      </c>
      <c r="W378" s="408" t="s">
        <v>2985</v>
      </c>
      <c r="X378" s="313" t="s">
        <v>12</v>
      </c>
      <c r="Y378" s="307" t="s">
        <v>521</v>
      </c>
      <c r="Z378" s="314" t="s">
        <v>2985</v>
      </c>
      <c r="AA378" s="311" t="s">
        <v>3538</v>
      </c>
      <c r="AB378" s="341" t="s">
        <v>521</v>
      </c>
      <c r="AC378" s="161" t="s">
        <v>2985</v>
      </c>
      <c r="AD378" s="511" t="s">
        <v>2312</v>
      </c>
      <c r="AE378" s="316" t="s">
        <v>2985</v>
      </c>
      <c r="AF378" s="348" t="s">
        <v>521</v>
      </c>
      <c r="AG378" s="262" t="s">
        <v>2985</v>
      </c>
      <c r="AH378" s="313">
        <v>91</v>
      </c>
      <c r="AI378" s="356">
        <v>9</v>
      </c>
      <c r="AJ378" s="365">
        <v>0</v>
      </c>
      <c r="AK378" s="365">
        <v>0</v>
      </c>
      <c r="AL378" s="365">
        <v>0</v>
      </c>
      <c r="AM378" s="365">
        <v>0</v>
      </c>
      <c r="AN378" s="348">
        <v>0</v>
      </c>
      <c r="AO378" s="348">
        <v>0</v>
      </c>
      <c r="AP378" s="348">
        <v>0</v>
      </c>
      <c r="AQ378" s="348">
        <v>0</v>
      </c>
      <c r="AR378" s="348">
        <v>0</v>
      </c>
      <c r="AS378" s="348">
        <v>0</v>
      </c>
      <c r="AT378" s="352">
        <v>1.3636363636363635</v>
      </c>
      <c r="AU378" s="348">
        <v>0</v>
      </c>
      <c r="AV378" s="348">
        <v>0</v>
      </c>
      <c r="AW378" s="348">
        <v>0</v>
      </c>
      <c r="AX378" s="341">
        <v>0</v>
      </c>
      <c r="AY378" s="354">
        <v>72.67</v>
      </c>
      <c r="AZ378" s="356"/>
      <c r="BA378" s="316" t="s">
        <v>2985</v>
      </c>
      <c r="BB378" s="94" t="s">
        <v>2985</v>
      </c>
      <c r="BC378" s="425" t="s">
        <v>521</v>
      </c>
      <c r="BD378" s="360" t="s">
        <v>3569</v>
      </c>
      <c r="BE378" s="353">
        <v>40</v>
      </c>
      <c r="BF378" s="348"/>
      <c r="BG378" s="348">
        <v>1000</v>
      </c>
      <c r="BH378" s="390">
        <f t="shared" si="79"/>
        <v>9.8039215686274517</v>
      </c>
      <c r="BI378" s="303">
        <v>99</v>
      </c>
      <c r="BJ378" s="307">
        <v>0</v>
      </c>
      <c r="BK378" s="307">
        <v>30</v>
      </c>
      <c r="BL378" s="307">
        <v>30</v>
      </c>
      <c r="BM378" s="507" t="s">
        <v>2985</v>
      </c>
      <c r="BN378" s="307">
        <v>99</v>
      </c>
      <c r="BO378" s="332" t="s">
        <v>2985</v>
      </c>
      <c r="BP378" s="350" t="s">
        <v>2325</v>
      </c>
      <c r="BS378" s="321"/>
    </row>
    <row r="379" spans="1:71" s="322" customFormat="1">
      <c r="A379" s="457">
        <v>1719</v>
      </c>
      <c r="B379" s="534" t="s">
        <v>3603</v>
      </c>
      <c r="C379" s="383"/>
      <c r="D379" s="383"/>
      <c r="E379" s="469"/>
      <c r="F379" s="303" t="s">
        <v>2326</v>
      </c>
      <c r="G379" s="386" t="s">
        <v>2323</v>
      </c>
      <c r="H379" s="454" t="s">
        <v>2324</v>
      </c>
      <c r="I379" s="338" t="s">
        <v>3377</v>
      </c>
      <c r="J379" s="348">
        <v>2001</v>
      </c>
      <c r="K379" s="341">
        <v>381</v>
      </c>
      <c r="L379" s="340" t="s">
        <v>1738</v>
      </c>
      <c r="M379" s="341" t="s">
        <v>1739</v>
      </c>
      <c r="N379" s="446">
        <f t="shared" si="80"/>
        <v>0.33944954128440369</v>
      </c>
      <c r="O379" s="349">
        <v>0.37</v>
      </c>
      <c r="P379" s="410">
        <v>2.599099099099099</v>
      </c>
      <c r="Q379" s="310">
        <f t="shared" si="81"/>
        <v>2.3844945863294487</v>
      </c>
      <c r="R379" s="377">
        <f t="shared" si="82"/>
        <v>164.28</v>
      </c>
      <c r="S379" s="407">
        <v>444</v>
      </c>
      <c r="T379" s="377">
        <f t="shared" si="83"/>
        <v>483.96</v>
      </c>
      <c r="U379" s="377">
        <f t="shared" si="78"/>
        <v>1154</v>
      </c>
      <c r="V379" s="408" t="s">
        <v>2985</v>
      </c>
      <c r="W379" s="408" t="s">
        <v>2985</v>
      </c>
      <c r="X379" s="313" t="s">
        <v>12</v>
      </c>
      <c r="Y379" s="307" t="s">
        <v>521</v>
      </c>
      <c r="Z379" s="314" t="s">
        <v>2985</v>
      </c>
      <c r="AA379" s="311" t="s">
        <v>3538</v>
      </c>
      <c r="AB379" s="341" t="s">
        <v>521</v>
      </c>
      <c r="AC379" s="161" t="s">
        <v>2985</v>
      </c>
      <c r="AD379" s="511" t="s">
        <v>2312</v>
      </c>
      <c r="AE379" s="316" t="s">
        <v>2985</v>
      </c>
      <c r="AF379" s="348" t="s">
        <v>521</v>
      </c>
      <c r="AG379" s="262" t="s">
        <v>2985</v>
      </c>
      <c r="AH379" s="313">
        <v>91</v>
      </c>
      <c r="AI379" s="356">
        <v>9</v>
      </c>
      <c r="AJ379" s="365">
        <v>0</v>
      </c>
      <c r="AK379" s="365">
        <v>0</v>
      </c>
      <c r="AL379" s="365">
        <v>0</v>
      </c>
      <c r="AM379" s="365">
        <v>0</v>
      </c>
      <c r="AN379" s="348">
        <v>0</v>
      </c>
      <c r="AO379" s="348">
        <v>0</v>
      </c>
      <c r="AP379" s="348">
        <v>0</v>
      </c>
      <c r="AQ379" s="348">
        <v>0</v>
      </c>
      <c r="AR379" s="348">
        <v>0</v>
      </c>
      <c r="AS379" s="348">
        <v>0</v>
      </c>
      <c r="AT379" s="352">
        <v>2</v>
      </c>
      <c r="AU379" s="348">
        <v>0</v>
      </c>
      <c r="AV379" s="348">
        <v>0</v>
      </c>
      <c r="AW379" s="348">
        <v>0</v>
      </c>
      <c r="AX379" s="341">
        <v>0</v>
      </c>
      <c r="AY379" s="354">
        <v>72.67</v>
      </c>
      <c r="AZ379" s="356"/>
      <c r="BA379" s="316" t="s">
        <v>2985</v>
      </c>
      <c r="BB379" s="94" t="s">
        <v>2985</v>
      </c>
      <c r="BC379" s="425" t="s">
        <v>521</v>
      </c>
      <c r="BD379" s="360" t="s">
        <v>3569</v>
      </c>
      <c r="BE379" s="353">
        <v>40</v>
      </c>
      <c r="BF379" s="348"/>
      <c r="BG379" s="348">
        <v>1000</v>
      </c>
      <c r="BH379" s="390">
        <f t="shared" si="79"/>
        <v>9.8039215686274517</v>
      </c>
      <c r="BI379" s="303">
        <v>99</v>
      </c>
      <c r="BJ379" s="307">
        <v>0</v>
      </c>
      <c r="BK379" s="307">
        <v>30</v>
      </c>
      <c r="BL379" s="307">
        <v>30</v>
      </c>
      <c r="BM379" s="507" t="s">
        <v>2985</v>
      </c>
      <c r="BN379" s="307">
        <v>99</v>
      </c>
      <c r="BO379" s="332" t="s">
        <v>2985</v>
      </c>
      <c r="BP379" s="350" t="s">
        <v>2327</v>
      </c>
      <c r="BS379" s="321"/>
    </row>
    <row r="380" spans="1:71" s="322" customFormat="1">
      <c r="A380" s="457">
        <v>1720</v>
      </c>
      <c r="B380" s="534" t="s">
        <v>3603</v>
      </c>
      <c r="C380" s="383"/>
      <c r="D380" s="383"/>
      <c r="E380" s="469"/>
      <c r="F380" s="303" t="s">
        <v>2328</v>
      </c>
      <c r="G380" s="386" t="s">
        <v>2323</v>
      </c>
      <c r="H380" s="454" t="s">
        <v>2324</v>
      </c>
      <c r="I380" s="338" t="s">
        <v>3377</v>
      </c>
      <c r="J380" s="348">
        <v>2001</v>
      </c>
      <c r="K380" s="341">
        <v>381</v>
      </c>
      <c r="L380" s="340" t="s">
        <v>1738</v>
      </c>
      <c r="M380" s="341" t="s">
        <v>1739</v>
      </c>
      <c r="N380" s="446">
        <f t="shared" si="80"/>
        <v>0.33944954128440369</v>
      </c>
      <c r="O380" s="349">
        <v>0.37</v>
      </c>
      <c r="P380" s="410">
        <v>2.5495495495495497</v>
      </c>
      <c r="Q380" s="310">
        <f t="shared" si="81"/>
        <v>2.3390362839904126</v>
      </c>
      <c r="R380" s="377">
        <f t="shared" si="82"/>
        <v>164.28</v>
      </c>
      <c r="S380" s="407">
        <v>444</v>
      </c>
      <c r="T380" s="377">
        <f t="shared" si="83"/>
        <v>483.96</v>
      </c>
      <c r="U380" s="377">
        <f t="shared" si="78"/>
        <v>1132</v>
      </c>
      <c r="V380" s="408" t="s">
        <v>2985</v>
      </c>
      <c r="W380" s="408" t="s">
        <v>2985</v>
      </c>
      <c r="X380" s="313" t="s">
        <v>12</v>
      </c>
      <c r="Y380" s="307" t="s">
        <v>521</v>
      </c>
      <c r="Z380" s="314" t="s">
        <v>2985</v>
      </c>
      <c r="AA380" s="311" t="s">
        <v>3538</v>
      </c>
      <c r="AB380" s="341" t="s">
        <v>521</v>
      </c>
      <c r="AC380" s="161" t="s">
        <v>2985</v>
      </c>
      <c r="AD380" s="511" t="s">
        <v>2312</v>
      </c>
      <c r="AE380" s="316" t="s">
        <v>2985</v>
      </c>
      <c r="AF380" s="348" t="s">
        <v>521</v>
      </c>
      <c r="AG380" s="262" t="s">
        <v>2985</v>
      </c>
      <c r="AH380" s="313">
        <v>91</v>
      </c>
      <c r="AI380" s="356">
        <v>9</v>
      </c>
      <c r="AJ380" s="365">
        <v>0</v>
      </c>
      <c r="AK380" s="365">
        <v>0</v>
      </c>
      <c r="AL380" s="365">
        <v>0</v>
      </c>
      <c r="AM380" s="365">
        <v>0</v>
      </c>
      <c r="AN380" s="348">
        <v>0</v>
      </c>
      <c r="AO380" s="348">
        <v>0</v>
      </c>
      <c r="AP380" s="348">
        <v>0</v>
      </c>
      <c r="AQ380" s="348">
        <v>0</v>
      </c>
      <c r="AR380" s="348">
        <v>0</v>
      </c>
      <c r="AS380" s="348">
        <v>0</v>
      </c>
      <c r="AT380" s="352">
        <v>1.6363636363636365</v>
      </c>
      <c r="AU380" s="348">
        <v>0</v>
      </c>
      <c r="AV380" s="348">
        <v>0</v>
      </c>
      <c r="AW380" s="348">
        <v>0</v>
      </c>
      <c r="AX380" s="341">
        <v>0</v>
      </c>
      <c r="AY380" s="354">
        <v>72.67</v>
      </c>
      <c r="AZ380" s="356"/>
      <c r="BA380" s="316" t="s">
        <v>2985</v>
      </c>
      <c r="BB380" s="94" t="s">
        <v>2985</v>
      </c>
      <c r="BC380" s="425" t="s">
        <v>521</v>
      </c>
      <c r="BD380" s="360" t="s">
        <v>3569</v>
      </c>
      <c r="BE380" s="353">
        <v>40</v>
      </c>
      <c r="BF380" s="348"/>
      <c r="BG380" s="348">
        <v>1000</v>
      </c>
      <c r="BH380" s="390">
        <f t="shared" si="79"/>
        <v>9.8039215686274517</v>
      </c>
      <c r="BI380" s="303">
        <v>99</v>
      </c>
      <c r="BJ380" s="307">
        <v>0</v>
      </c>
      <c r="BK380" s="307">
        <v>30</v>
      </c>
      <c r="BL380" s="307">
        <v>30</v>
      </c>
      <c r="BM380" s="507" t="s">
        <v>2985</v>
      </c>
      <c r="BN380" s="307">
        <v>99</v>
      </c>
      <c r="BO380" s="332" t="s">
        <v>2985</v>
      </c>
      <c r="BP380" s="350" t="s">
        <v>2329</v>
      </c>
      <c r="BS380" s="321"/>
    </row>
    <row r="381" spans="1:71" s="322" customFormat="1">
      <c r="A381" s="457">
        <v>1721</v>
      </c>
      <c r="B381" s="534" t="s">
        <v>3603</v>
      </c>
      <c r="C381" s="383"/>
      <c r="D381" s="383"/>
      <c r="E381" s="469"/>
      <c r="F381" s="303" t="s">
        <v>2330</v>
      </c>
      <c r="G381" s="386" t="s">
        <v>2323</v>
      </c>
      <c r="H381" s="454" t="s">
        <v>2324</v>
      </c>
      <c r="I381" s="338" t="s">
        <v>3377</v>
      </c>
      <c r="J381" s="348">
        <v>2001</v>
      </c>
      <c r="K381" s="341">
        <v>381</v>
      </c>
      <c r="L381" s="340" t="s">
        <v>1738</v>
      </c>
      <c r="M381" s="341" t="s">
        <v>1739</v>
      </c>
      <c r="N381" s="446">
        <f t="shared" si="80"/>
        <v>0.33944954128440369</v>
      </c>
      <c r="O381" s="349">
        <v>0.37</v>
      </c>
      <c r="P381" s="410">
        <v>3.3896396396396398</v>
      </c>
      <c r="Q381" s="310">
        <f t="shared" si="81"/>
        <v>3.1097611372840732</v>
      </c>
      <c r="R381" s="377">
        <f t="shared" si="82"/>
        <v>164.28</v>
      </c>
      <c r="S381" s="407">
        <v>444</v>
      </c>
      <c r="T381" s="377">
        <f t="shared" si="83"/>
        <v>483.96</v>
      </c>
      <c r="U381" s="377">
        <f t="shared" si="78"/>
        <v>1505</v>
      </c>
      <c r="V381" s="408" t="s">
        <v>2985</v>
      </c>
      <c r="W381" s="408" t="s">
        <v>2985</v>
      </c>
      <c r="X381" s="313" t="s">
        <v>12</v>
      </c>
      <c r="Y381" s="307" t="s">
        <v>521</v>
      </c>
      <c r="Z381" s="314" t="s">
        <v>2985</v>
      </c>
      <c r="AA381" s="311" t="s">
        <v>3538</v>
      </c>
      <c r="AB381" s="341" t="s">
        <v>521</v>
      </c>
      <c r="AC381" s="161" t="s">
        <v>2985</v>
      </c>
      <c r="AD381" s="511" t="s">
        <v>2312</v>
      </c>
      <c r="AE381" s="316" t="s">
        <v>2985</v>
      </c>
      <c r="AF381" s="348" t="s">
        <v>521</v>
      </c>
      <c r="AG381" s="262" t="s">
        <v>2985</v>
      </c>
      <c r="AH381" s="313">
        <v>91</v>
      </c>
      <c r="AI381" s="356">
        <v>9</v>
      </c>
      <c r="AJ381" s="365">
        <v>0</v>
      </c>
      <c r="AK381" s="365">
        <v>0</v>
      </c>
      <c r="AL381" s="365">
        <v>0</v>
      </c>
      <c r="AM381" s="365">
        <v>0</v>
      </c>
      <c r="AN381" s="348">
        <v>0</v>
      </c>
      <c r="AO381" s="348">
        <v>0</v>
      </c>
      <c r="AP381" s="348">
        <v>0</v>
      </c>
      <c r="AQ381" s="348">
        <v>0</v>
      </c>
      <c r="AR381" s="348">
        <v>0</v>
      </c>
      <c r="AS381" s="348">
        <v>0</v>
      </c>
      <c r="AT381" s="352">
        <v>1.8181818181818181</v>
      </c>
      <c r="AU381" s="348">
        <v>0</v>
      </c>
      <c r="AV381" s="348">
        <v>0</v>
      </c>
      <c r="AW381" s="348">
        <v>0</v>
      </c>
      <c r="AX381" s="341">
        <v>0</v>
      </c>
      <c r="AY381" s="354">
        <v>72.67</v>
      </c>
      <c r="AZ381" s="356"/>
      <c r="BA381" s="316" t="s">
        <v>2985</v>
      </c>
      <c r="BB381" s="507" t="s">
        <v>2985</v>
      </c>
      <c r="BC381" s="425" t="s">
        <v>521</v>
      </c>
      <c r="BD381" s="360" t="s">
        <v>3569</v>
      </c>
      <c r="BE381" s="353">
        <v>40</v>
      </c>
      <c r="BF381" s="348"/>
      <c r="BG381" s="348">
        <v>1000</v>
      </c>
      <c r="BH381" s="390">
        <f t="shared" si="79"/>
        <v>9.8039215686274517</v>
      </c>
      <c r="BI381" s="303">
        <v>99</v>
      </c>
      <c r="BJ381" s="307">
        <v>0</v>
      </c>
      <c r="BK381" s="307">
        <v>30</v>
      </c>
      <c r="BL381" s="307">
        <v>30</v>
      </c>
      <c r="BM381" s="507" t="s">
        <v>2985</v>
      </c>
      <c r="BN381" s="307">
        <v>99</v>
      </c>
      <c r="BO381" s="332" t="s">
        <v>2985</v>
      </c>
      <c r="BP381" s="350" t="s">
        <v>2331</v>
      </c>
      <c r="BS381" s="321"/>
    </row>
    <row r="382" spans="1:71" s="322" customFormat="1">
      <c r="A382" s="457">
        <v>1722</v>
      </c>
      <c r="B382" s="534" t="s">
        <v>3603</v>
      </c>
      <c r="C382" s="383"/>
      <c r="D382" s="383"/>
      <c r="E382" s="469"/>
      <c r="F382" s="303" t="s">
        <v>2332</v>
      </c>
      <c r="G382" s="386" t="s">
        <v>2323</v>
      </c>
      <c r="H382" s="454" t="s">
        <v>2324</v>
      </c>
      <c r="I382" s="338" t="s">
        <v>3377</v>
      </c>
      <c r="J382" s="348">
        <v>2001</v>
      </c>
      <c r="K382" s="341">
        <v>381</v>
      </c>
      <c r="L382" s="340" t="s">
        <v>1738</v>
      </c>
      <c r="M382" s="341" t="s">
        <v>1739</v>
      </c>
      <c r="N382" s="446">
        <f t="shared" si="80"/>
        <v>0.33944954128440369</v>
      </c>
      <c r="O382" s="349">
        <v>0.37</v>
      </c>
      <c r="P382" s="410">
        <v>3.3716216216216215</v>
      </c>
      <c r="Q382" s="310">
        <f t="shared" si="81"/>
        <v>3.0932308455244235</v>
      </c>
      <c r="R382" s="377">
        <f t="shared" si="82"/>
        <v>164.28</v>
      </c>
      <c r="S382" s="407">
        <v>444</v>
      </c>
      <c r="T382" s="377">
        <f t="shared" si="83"/>
        <v>483.96</v>
      </c>
      <c r="U382" s="377">
        <f t="shared" si="78"/>
        <v>1497</v>
      </c>
      <c r="V382" s="408" t="s">
        <v>2985</v>
      </c>
      <c r="W382" s="408" t="s">
        <v>2985</v>
      </c>
      <c r="X382" s="313" t="s">
        <v>12</v>
      </c>
      <c r="Y382" s="307" t="s">
        <v>521</v>
      </c>
      <c r="Z382" s="314" t="s">
        <v>2985</v>
      </c>
      <c r="AA382" s="311" t="s">
        <v>3538</v>
      </c>
      <c r="AB382" s="341" t="s">
        <v>521</v>
      </c>
      <c r="AC382" s="161" t="s">
        <v>2985</v>
      </c>
      <c r="AD382" s="511" t="s">
        <v>2312</v>
      </c>
      <c r="AE382" s="316" t="s">
        <v>2985</v>
      </c>
      <c r="AF382" s="348" t="s">
        <v>521</v>
      </c>
      <c r="AG382" s="262" t="s">
        <v>2985</v>
      </c>
      <c r="AH382" s="313">
        <v>91</v>
      </c>
      <c r="AI382" s="356">
        <v>9</v>
      </c>
      <c r="AJ382" s="365">
        <v>0</v>
      </c>
      <c r="AK382" s="365">
        <v>0</v>
      </c>
      <c r="AL382" s="365">
        <v>0</v>
      </c>
      <c r="AM382" s="365">
        <v>0</v>
      </c>
      <c r="AN382" s="348">
        <v>0</v>
      </c>
      <c r="AO382" s="348">
        <v>0</v>
      </c>
      <c r="AP382" s="348">
        <v>0</v>
      </c>
      <c r="AQ382" s="348">
        <v>0</v>
      </c>
      <c r="AR382" s="348">
        <v>0</v>
      </c>
      <c r="AS382" s="348">
        <v>0</v>
      </c>
      <c r="AT382" s="352">
        <v>1.8181818181818181</v>
      </c>
      <c r="AU382" s="348">
        <v>0</v>
      </c>
      <c r="AV382" s="348">
        <v>0</v>
      </c>
      <c r="AW382" s="348">
        <v>0</v>
      </c>
      <c r="AX382" s="341">
        <v>0</v>
      </c>
      <c r="AY382" s="354">
        <v>72.67</v>
      </c>
      <c r="AZ382" s="356"/>
      <c r="BA382" s="316" t="s">
        <v>2985</v>
      </c>
      <c r="BB382" s="507" t="s">
        <v>2985</v>
      </c>
      <c r="BC382" s="425" t="s">
        <v>521</v>
      </c>
      <c r="BD382" s="360" t="s">
        <v>3569</v>
      </c>
      <c r="BE382" s="353">
        <v>40</v>
      </c>
      <c r="BF382" s="348"/>
      <c r="BG382" s="348">
        <v>1000</v>
      </c>
      <c r="BH382" s="390">
        <f t="shared" si="79"/>
        <v>9.8039215686274517</v>
      </c>
      <c r="BI382" s="303">
        <v>99</v>
      </c>
      <c r="BJ382" s="307">
        <v>0</v>
      </c>
      <c r="BK382" s="307">
        <v>30</v>
      </c>
      <c r="BL382" s="307">
        <v>30</v>
      </c>
      <c r="BM382" s="507" t="s">
        <v>2985</v>
      </c>
      <c r="BN382" s="307">
        <v>99</v>
      </c>
      <c r="BO382" s="332" t="s">
        <v>2985</v>
      </c>
      <c r="BP382" s="350" t="s">
        <v>2333</v>
      </c>
      <c r="BS382" s="321"/>
    </row>
    <row r="383" spans="1:71" s="322" customFormat="1">
      <c r="A383" s="457">
        <v>1723</v>
      </c>
      <c r="B383" s="534" t="s">
        <v>3624</v>
      </c>
      <c r="C383" s="383"/>
      <c r="D383" s="383"/>
      <c r="E383" s="469"/>
      <c r="F383" s="303" t="s">
        <v>2334</v>
      </c>
      <c r="G383" s="386" t="s">
        <v>2335</v>
      </c>
      <c r="H383" s="454" t="s">
        <v>1747</v>
      </c>
      <c r="I383" s="338" t="s">
        <v>3377</v>
      </c>
      <c r="J383" s="348">
        <v>2001</v>
      </c>
      <c r="K383" s="355" t="s">
        <v>2985</v>
      </c>
      <c r="L383" s="340" t="s">
        <v>1745</v>
      </c>
      <c r="M383" s="341" t="s">
        <v>1739</v>
      </c>
      <c r="N383" s="447" t="s">
        <v>2985</v>
      </c>
      <c r="O383" s="349">
        <v>0.35</v>
      </c>
      <c r="P383" s="408" t="s">
        <v>2985</v>
      </c>
      <c r="Q383" s="408" t="s">
        <v>2985</v>
      </c>
      <c r="R383" s="317" t="s">
        <v>2985</v>
      </c>
      <c r="S383" s="411" t="s">
        <v>2985</v>
      </c>
      <c r="T383" s="318" t="s">
        <v>2985</v>
      </c>
      <c r="U383" s="318" t="s">
        <v>2985</v>
      </c>
      <c r="V383" s="408" t="s">
        <v>2985</v>
      </c>
      <c r="W383" s="408" t="s">
        <v>2985</v>
      </c>
      <c r="X383" s="313" t="s">
        <v>12</v>
      </c>
      <c r="Y383" s="307" t="s">
        <v>521</v>
      </c>
      <c r="Z383" s="314" t="s">
        <v>2985</v>
      </c>
      <c r="AA383" s="311" t="s">
        <v>1754</v>
      </c>
      <c r="AB383" s="341" t="s">
        <v>521</v>
      </c>
      <c r="AC383" s="161" t="s">
        <v>2985</v>
      </c>
      <c r="AD383" s="511" t="s">
        <v>2985</v>
      </c>
      <c r="AE383" s="316" t="s">
        <v>2985</v>
      </c>
      <c r="AF383" s="348" t="s">
        <v>521</v>
      </c>
      <c r="AG383" s="262" t="s">
        <v>2985</v>
      </c>
      <c r="AH383" s="344">
        <v>100</v>
      </c>
      <c r="AI383" s="353">
        <v>0</v>
      </c>
      <c r="AJ383" s="395">
        <v>0</v>
      </c>
      <c r="AK383" s="365">
        <v>0</v>
      </c>
      <c r="AL383" s="365">
        <v>0</v>
      </c>
      <c r="AM383" s="365">
        <v>0</v>
      </c>
      <c r="AN383" s="353">
        <v>0</v>
      </c>
      <c r="AO383" s="353">
        <v>0</v>
      </c>
      <c r="AP383" s="348">
        <v>0</v>
      </c>
      <c r="AQ383" s="348">
        <v>0</v>
      </c>
      <c r="AR383" s="348">
        <v>0</v>
      </c>
      <c r="AS383" s="348">
        <v>0</v>
      </c>
      <c r="AT383" s="353">
        <v>0</v>
      </c>
      <c r="AU383" s="348">
        <v>0</v>
      </c>
      <c r="AV383" s="348">
        <v>0</v>
      </c>
      <c r="AW383" s="348">
        <v>0</v>
      </c>
      <c r="AX383" s="341">
        <v>0</v>
      </c>
      <c r="AY383" s="354" t="s">
        <v>2985</v>
      </c>
      <c r="AZ383" s="316"/>
      <c r="BA383" s="316" t="s">
        <v>2985</v>
      </c>
      <c r="BB383" s="507" t="s">
        <v>2985</v>
      </c>
      <c r="BC383" s="341" t="s">
        <v>521</v>
      </c>
      <c r="BD383" s="360" t="s">
        <v>3570</v>
      </c>
      <c r="BE383" s="353">
        <v>11</v>
      </c>
      <c r="BF383" s="348"/>
      <c r="BG383" s="348">
        <v>300</v>
      </c>
      <c r="BH383" s="390">
        <f>(BE383*BG383)/((2*BG383)+(2*BE383))</f>
        <v>5.305466237942122</v>
      </c>
      <c r="BI383" s="303">
        <v>99</v>
      </c>
      <c r="BJ383" s="307">
        <v>0</v>
      </c>
      <c r="BK383" s="307">
        <v>30</v>
      </c>
      <c r="BL383" s="307">
        <v>30</v>
      </c>
      <c r="BM383" s="507" t="s">
        <v>2985</v>
      </c>
      <c r="BN383" s="307">
        <v>99</v>
      </c>
      <c r="BO383" s="332" t="s">
        <v>2985</v>
      </c>
      <c r="BP383" s="350" t="s">
        <v>2337</v>
      </c>
      <c r="BS383" s="321"/>
    </row>
    <row r="384" spans="1:71" s="322" customFormat="1">
      <c r="A384" s="457">
        <v>1724</v>
      </c>
      <c r="B384" s="534" t="s">
        <v>3624</v>
      </c>
      <c r="C384" s="383"/>
      <c r="D384" s="383"/>
      <c r="E384" s="469"/>
      <c r="F384" s="303" t="s">
        <v>2338</v>
      </c>
      <c r="G384" s="386" t="s">
        <v>2335</v>
      </c>
      <c r="H384" s="454" t="s">
        <v>1747</v>
      </c>
      <c r="I384" s="338" t="s">
        <v>3377</v>
      </c>
      <c r="J384" s="348">
        <v>2001</v>
      </c>
      <c r="K384" s="355" t="s">
        <v>2985</v>
      </c>
      <c r="L384" s="340" t="s">
        <v>1745</v>
      </c>
      <c r="M384" s="341" t="s">
        <v>1739</v>
      </c>
      <c r="N384" s="447" t="s">
        <v>2985</v>
      </c>
      <c r="O384" s="349">
        <v>0.35</v>
      </c>
      <c r="P384" s="408" t="s">
        <v>2985</v>
      </c>
      <c r="Q384" s="408" t="s">
        <v>2985</v>
      </c>
      <c r="R384" s="317" t="s">
        <v>2985</v>
      </c>
      <c r="S384" s="411" t="s">
        <v>2985</v>
      </c>
      <c r="T384" s="318" t="s">
        <v>2985</v>
      </c>
      <c r="U384" s="318" t="s">
        <v>2985</v>
      </c>
      <c r="V384" s="408" t="s">
        <v>2985</v>
      </c>
      <c r="W384" s="408" t="s">
        <v>2985</v>
      </c>
      <c r="X384" s="313" t="s">
        <v>12</v>
      </c>
      <c r="Y384" s="307" t="s">
        <v>521</v>
      </c>
      <c r="Z384" s="314" t="s">
        <v>2985</v>
      </c>
      <c r="AA384" s="311" t="s">
        <v>1754</v>
      </c>
      <c r="AB384" s="341" t="s">
        <v>521</v>
      </c>
      <c r="AC384" s="161" t="s">
        <v>2985</v>
      </c>
      <c r="AD384" s="511" t="s">
        <v>2985</v>
      </c>
      <c r="AE384" s="316" t="s">
        <v>2985</v>
      </c>
      <c r="AF384" s="348" t="s">
        <v>521</v>
      </c>
      <c r="AG384" s="262" t="s">
        <v>2985</v>
      </c>
      <c r="AH384" s="344">
        <v>100</v>
      </c>
      <c r="AI384" s="353">
        <v>0</v>
      </c>
      <c r="AJ384" s="395">
        <v>0</v>
      </c>
      <c r="AK384" s="365">
        <v>0</v>
      </c>
      <c r="AL384" s="365">
        <v>0</v>
      </c>
      <c r="AM384" s="365">
        <v>0</v>
      </c>
      <c r="AN384" s="353">
        <v>0</v>
      </c>
      <c r="AO384" s="353">
        <v>0</v>
      </c>
      <c r="AP384" s="348">
        <v>0</v>
      </c>
      <c r="AQ384" s="348">
        <v>0</v>
      </c>
      <c r="AR384" s="348">
        <v>0</v>
      </c>
      <c r="AS384" s="348">
        <v>0</v>
      </c>
      <c r="AT384" s="353">
        <v>0</v>
      </c>
      <c r="AU384" s="348">
        <v>0</v>
      </c>
      <c r="AV384" s="348">
        <v>0</v>
      </c>
      <c r="AW384" s="348">
        <v>0</v>
      </c>
      <c r="AX384" s="341">
        <v>0</v>
      </c>
      <c r="AY384" s="354" t="s">
        <v>2985</v>
      </c>
      <c r="AZ384" s="316"/>
      <c r="BA384" s="316" t="s">
        <v>2985</v>
      </c>
      <c r="BB384" s="507" t="s">
        <v>2985</v>
      </c>
      <c r="BC384" s="341" t="s">
        <v>521</v>
      </c>
      <c r="BD384" s="360" t="s">
        <v>3570</v>
      </c>
      <c r="BE384" s="353">
        <v>11</v>
      </c>
      <c r="BF384" s="348"/>
      <c r="BG384" s="348">
        <v>300</v>
      </c>
      <c r="BH384" s="390">
        <f>(BE384*BG384)/((2*BG384)+(2*BE384))</f>
        <v>5.305466237942122</v>
      </c>
      <c r="BI384" s="303">
        <v>99</v>
      </c>
      <c r="BJ384" s="307">
        <v>0</v>
      </c>
      <c r="BK384" s="307">
        <v>30</v>
      </c>
      <c r="BL384" s="307">
        <v>30</v>
      </c>
      <c r="BM384" s="507" t="s">
        <v>2985</v>
      </c>
      <c r="BN384" s="307">
        <v>99</v>
      </c>
      <c r="BO384" s="332" t="s">
        <v>2985</v>
      </c>
      <c r="BP384" s="350" t="s">
        <v>2339</v>
      </c>
      <c r="BS384" s="321"/>
    </row>
    <row r="385" spans="1:71" s="322" customFormat="1">
      <c r="A385" s="457">
        <v>1725</v>
      </c>
      <c r="B385" s="534" t="s">
        <v>3624</v>
      </c>
      <c r="C385" s="383"/>
      <c r="D385" s="383"/>
      <c r="E385" s="469"/>
      <c r="F385" s="303" t="s">
        <v>2340</v>
      </c>
      <c r="G385" s="386" t="s">
        <v>2335</v>
      </c>
      <c r="H385" s="454" t="s">
        <v>1747</v>
      </c>
      <c r="I385" s="338" t="s">
        <v>3377</v>
      </c>
      <c r="J385" s="348">
        <v>2001</v>
      </c>
      <c r="K385" s="355" t="s">
        <v>2985</v>
      </c>
      <c r="L385" s="340" t="s">
        <v>1745</v>
      </c>
      <c r="M385" s="341" t="s">
        <v>1739</v>
      </c>
      <c r="N385" s="447" t="s">
        <v>2985</v>
      </c>
      <c r="O385" s="349">
        <v>0.35</v>
      </c>
      <c r="P385" s="408" t="s">
        <v>2985</v>
      </c>
      <c r="Q385" s="408" t="s">
        <v>2985</v>
      </c>
      <c r="R385" s="317" t="s">
        <v>2985</v>
      </c>
      <c r="S385" s="411" t="s">
        <v>2985</v>
      </c>
      <c r="T385" s="318" t="s">
        <v>2985</v>
      </c>
      <c r="U385" s="318" t="s">
        <v>2985</v>
      </c>
      <c r="V385" s="408" t="s">
        <v>2985</v>
      </c>
      <c r="W385" s="408" t="s">
        <v>2985</v>
      </c>
      <c r="X385" s="313" t="s">
        <v>12</v>
      </c>
      <c r="Y385" s="307" t="s">
        <v>521</v>
      </c>
      <c r="Z385" s="314" t="s">
        <v>2985</v>
      </c>
      <c r="AA385" s="311" t="s">
        <v>1754</v>
      </c>
      <c r="AB385" s="341" t="s">
        <v>521</v>
      </c>
      <c r="AC385" s="161" t="s">
        <v>2985</v>
      </c>
      <c r="AD385" s="511" t="s">
        <v>2985</v>
      </c>
      <c r="AE385" s="316" t="s">
        <v>2985</v>
      </c>
      <c r="AF385" s="348" t="s">
        <v>521</v>
      </c>
      <c r="AG385" s="262" t="s">
        <v>2985</v>
      </c>
      <c r="AH385" s="344">
        <v>100</v>
      </c>
      <c r="AI385" s="353">
        <v>0</v>
      </c>
      <c r="AJ385" s="395">
        <v>0</v>
      </c>
      <c r="AK385" s="365">
        <v>0</v>
      </c>
      <c r="AL385" s="365">
        <v>0</v>
      </c>
      <c r="AM385" s="365">
        <v>0</v>
      </c>
      <c r="AN385" s="353">
        <v>0</v>
      </c>
      <c r="AO385" s="353">
        <v>0</v>
      </c>
      <c r="AP385" s="348">
        <v>0</v>
      </c>
      <c r="AQ385" s="348">
        <v>0</v>
      </c>
      <c r="AR385" s="348">
        <v>0</v>
      </c>
      <c r="AS385" s="348">
        <v>0</v>
      </c>
      <c r="AT385" s="353">
        <v>0</v>
      </c>
      <c r="AU385" s="348">
        <v>0</v>
      </c>
      <c r="AV385" s="348">
        <v>0</v>
      </c>
      <c r="AW385" s="348">
        <v>0</v>
      </c>
      <c r="AX385" s="341">
        <v>0</v>
      </c>
      <c r="AY385" s="354" t="s">
        <v>2985</v>
      </c>
      <c r="AZ385" s="316"/>
      <c r="BA385" s="316" t="s">
        <v>2985</v>
      </c>
      <c r="BB385" s="507" t="s">
        <v>2985</v>
      </c>
      <c r="BC385" s="341" t="s">
        <v>521</v>
      </c>
      <c r="BD385" s="360" t="s">
        <v>3570</v>
      </c>
      <c r="BE385" s="353">
        <v>11</v>
      </c>
      <c r="BF385" s="348"/>
      <c r="BG385" s="348">
        <v>300</v>
      </c>
      <c r="BH385" s="390">
        <f>(BE385*BG385)/((2*BG385)+(2*BE385))</f>
        <v>5.305466237942122</v>
      </c>
      <c r="BI385" s="303">
        <v>99</v>
      </c>
      <c r="BJ385" s="307">
        <v>0</v>
      </c>
      <c r="BK385" s="307">
        <v>30</v>
      </c>
      <c r="BL385" s="307">
        <v>30</v>
      </c>
      <c r="BM385" s="507" t="s">
        <v>2985</v>
      </c>
      <c r="BN385" s="307">
        <v>99</v>
      </c>
      <c r="BO385" s="332" t="s">
        <v>2985</v>
      </c>
      <c r="BP385" s="350" t="s">
        <v>2341</v>
      </c>
      <c r="BS385" s="321"/>
    </row>
    <row r="386" spans="1:71" s="322" customFormat="1">
      <c r="A386" s="457">
        <v>1726</v>
      </c>
      <c r="B386" s="534" t="s">
        <v>3624</v>
      </c>
      <c r="C386" s="383"/>
      <c r="D386" s="383"/>
      <c r="E386" s="469"/>
      <c r="F386" s="303" t="s">
        <v>2342</v>
      </c>
      <c r="G386" s="386" t="s">
        <v>2335</v>
      </c>
      <c r="H386" s="454" t="s">
        <v>1747</v>
      </c>
      <c r="I386" s="338" t="s">
        <v>3377</v>
      </c>
      <c r="J386" s="348">
        <v>2001</v>
      </c>
      <c r="K386" s="355" t="s">
        <v>2985</v>
      </c>
      <c r="L386" s="340" t="s">
        <v>1745</v>
      </c>
      <c r="M386" s="341" t="s">
        <v>1739</v>
      </c>
      <c r="N386" s="447" t="s">
        <v>2985</v>
      </c>
      <c r="O386" s="349">
        <v>0.35</v>
      </c>
      <c r="P386" s="408" t="s">
        <v>2985</v>
      </c>
      <c r="Q386" s="408" t="s">
        <v>2985</v>
      </c>
      <c r="R386" s="317" t="s">
        <v>2985</v>
      </c>
      <c r="S386" s="411" t="s">
        <v>2985</v>
      </c>
      <c r="T386" s="318" t="s">
        <v>2985</v>
      </c>
      <c r="U386" s="318" t="s">
        <v>2985</v>
      </c>
      <c r="V386" s="408" t="s">
        <v>2985</v>
      </c>
      <c r="W386" s="408" t="s">
        <v>2985</v>
      </c>
      <c r="X386" s="313" t="s">
        <v>12</v>
      </c>
      <c r="Y386" s="307" t="s">
        <v>521</v>
      </c>
      <c r="Z386" s="314" t="s">
        <v>2985</v>
      </c>
      <c r="AA386" s="311" t="s">
        <v>1754</v>
      </c>
      <c r="AB386" s="341" t="s">
        <v>521</v>
      </c>
      <c r="AC386" s="161" t="s">
        <v>2985</v>
      </c>
      <c r="AD386" s="511" t="s">
        <v>2985</v>
      </c>
      <c r="AE386" s="316" t="s">
        <v>2985</v>
      </c>
      <c r="AF386" s="348" t="s">
        <v>521</v>
      </c>
      <c r="AG386" s="262" t="s">
        <v>2985</v>
      </c>
      <c r="AH386" s="344">
        <v>100</v>
      </c>
      <c r="AI386" s="353">
        <v>0</v>
      </c>
      <c r="AJ386" s="395">
        <v>0</v>
      </c>
      <c r="AK386" s="365">
        <v>0</v>
      </c>
      <c r="AL386" s="365">
        <v>0</v>
      </c>
      <c r="AM386" s="365">
        <v>0</v>
      </c>
      <c r="AN386" s="353">
        <v>0</v>
      </c>
      <c r="AO386" s="353">
        <v>0</v>
      </c>
      <c r="AP386" s="348">
        <v>0</v>
      </c>
      <c r="AQ386" s="348">
        <v>0</v>
      </c>
      <c r="AR386" s="348">
        <v>0</v>
      </c>
      <c r="AS386" s="348">
        <v>0</v>
      </c>
      <c r="AT386" s="353">
        <v>0</v>
      </c>
      <c r="AU386" s="348">
        <v>0</v>
      </c>
      <c r="AV386" s="348">
        <v>0</v>
      </c>
      <c r="AW386" s="348">
        <v>0</v>
      </c>
      <c r="AX386" s="341">
        <v>0</v>
      </c>
      <c r="AY386" s="354" t="s">
        <v>2985</v>
      </c>
      <c r="AZ386" s="316"/>
      <c r="BA386" s="316" t="s">
        <v>2985</v>
      </c>
      <c r="BB386" s="507" t="s">
        <v>2985</v>
      </c>
      <c r="BC386" s="341" t="s">
        <v>521</v>
      </c>
      <c r="BD386" s="360" t="s">
        <v>3570</v>
      </c>
      <c r="BE386" s="353">
        <v>11</v>
      </c>
      <c r="BF386" s="348"/>
      <c r="BG386" s="348">
        <v>300</v>
      </c>
      <c r="BH386" s="390">
        <f>(BE386*BG386)/((2*BG386)+(2*BE386))</f>
        <v>5.305466237942122</v>
      </c>
      <c r="BI386" s="303">
        <v>99</v>
      </c>
      <c r="BJ386" s="307">
        <v>0</v>
      </c>
      <c r="BK386" s="307">
        <v>30</v>
      </c>
      <c r="BL386" s="307">
        <v>30</v>
      </c>
      <c r="BM386" s="507" t="s">
        <v>2985</v>
      </c>
      <c r="BN386" s="307">
        <v>99</v>
      </c>
      <c r="BO386" s="332" t="s">
        <v>2985</v>
      </c>
      <c r="BP386" s="350" t="s">
        <v>2343</v>
      </c>
      <c r="BS386" s="321"/>
    </row>
    <row r="387" spans="1:71" s="322" customFormat="1">
      <c r="A387" s="457">
        <v>1727</v>
      </c>
      <c r="B387" s="534" t="s">
        <v>3624</v>
      </c>
      <c r="C387" s="383"/>
      <c r="D387" s="383"/>
      <c r="E387" s="469"/>
      <c r="F387" s="303" t="s">
        <v>2344</v>
      </c>
      <c r="G387" s="386" t="s">
        <v>2345</v>
      </c>
      <c r="H387" s="454" t="s">
        <v>445</v>
      </c>
      <c r="I387" s="338" t="s">
        <v>3377</v>
      </c>
      <c r="J387" s="348">
        <v>2008</v>
      </c>
      <c r="K387" s="341">
        <v>382</v>
      </c>
      <c r="L387" s="340" t="s">
        <v>1738</v>
      </c>
      <c r="M387" s="341" t="s">
        <v>1739</v>
      </c>
      <c r="N387" s="447" t="s">
        <v>2985</v>
      </c>
      <c r="O387" s="703">
        <v>0.34</v>
      </c>
      <c r="P387" s="408" t="s">
        <v>2985</v>
      </c>
      <c r="Q387" s="408" t="s">
        <v>2985</v>
      </c>
      <c r="R387" s="317" t="s">
        <v>2985</v>
      </c>
      <c r="S387" s="411" t="s">
        <v>2985</v>
      </c>
      <c r="T387" s="318" t="s">
        <v>2985</v>
      </c>
      <c r="U387" s="318" t="s">
        <v>2985</v>
      </c>
      <c r="V387" s="408" t="s">
        <v>2985</v>
      </c>
      <c r="W387" s="408" t="s">
        <v>2985</v>
      </c>
      <c r="X387" s="313" t="s">
        <v>12</v>
      </c>
      <c r="Y387" s="239" t="s">
        <v>12</v>
      </c>
      <c r="Z387" s="317" t="s">
        <v>2985</v>
      </c>
      <c r="AA387" s="311" t="s">
        <v>1754</v>
      </c>
      <c r="AB387" s="341" t="s">
        <v>2346</v>
      </c>
      <c r="AC387" s="161" t="s">
        <v>2985</v>
      </c>
      <c r="AD387" s="512" t="s">
        <v>2307</v>
      </c>
      <c r="AE387" s="316" t="s">
        <v>2985</v>
      </c>
      <c r="AF387" s="214" t="s">
        <v>2729</v>
      </c>
      <c r="AG387" s="262" t="s">
        <v>2985</v>
      </c>
      <c r="AH387" s="344">
        <v>100</v>
      </c>
      <c r="AI387" s="353">
        <v>0</v>
      </c>
      <c r="AJ387" s="395">
        <v>0</v>
      </c>
      <c r="AK387" s="365">
        <v>0</v>
      </c>
      <c r="AL387" s="365">
        <v>0</v>
      </c>
      <c r="AM387" s="365">
        <v>0</v>
      </c>
      <c r="AN387" s="353">
        <v>0</v>
      </c>
      <c r="AO387" s="353">
        <v>0</v>
      </c>
      <c r="AP387" s="348">
        <v>0</v>
      </c>
      <c r="AQ387" s="348">
        <v>0</v>
      </c>
      <c r="AR387" s="348">
        <v>0</v>
      </c>
      <c r="AS387" s="348">
        <v>0</v>
      </c>
      <c r="AT387" s="404">
        <v>3.3600000000000003</v>
      </c>
      <c r="AU387" s="348">
        <v>0</v>
      </c>
      <c r="AV387" s="348">
        <v>0</v>
      </c>
      <c r="AW387" s="348">
        <v>0</v>
      </c>
      <c r="AX387" s="341">
        <v>0</v>
      </c>
      <c r="AY387" s="354" t="s">
        <v>2985</v>
      </c>
      <c r="AZ387" s="316"/>
      <c r="BA387" s="316" t="s">
        <v>2985</v>
      </c>
      <c r="BB387" s="507" t="s">
        <v>2985</v>
      </c>
      <c r="BC387" s="341">
        <v>31.6</v>
      </c>
      <c r="BD387" s="360" t="s">
        <v>3571</v>
      </c>
      <c r="BE387" s="353">
        <v>200</v>
      </c>
      <c r="BF387" s="348"/>
      <c r="BG387" s="348">
        <v>1000</v>
      </c>
      <c r="BH387" s="390">
        <f>IF(ISBLANK(BF387),(BE387*BG387)/((4*BG387)+(2*BE387)),BE387*BF387*BG387/2/(BE387*BF387+BE387*BG387+BF387*BG387))</f>
        <v>45.454545454545453</v>
      </c>
      <c r="BI387" s="303">
        <v>99</v>
      </c>
      <c r="BJ387" s="307">
        <v>0</v>
      </c>
      <c r="BK387" s="307">
        <v>25</v>
      </c>
      <c r="BL387" s="307">
        <v>25</v>
      </c>
      <c r="BM387" s="507" t="s">
        <v>2985</v>
      </c>
      <c r="BN387" s="307">
        <v>99</v>
      </c>
      <c r="BO387" s="332" t="s">
        <v>2985</v>
      </c>
      <c r="BP387" s="350" t="s">
        <v>2349</v>
      </c>
      <c r="BS387" s="321"/>
    </row>
    <row r="388" spans="1:71" s="322" customFormat="1">
      <c r="A388" s="457">
        <v>1728</v>
      </c>
      <c r="B388" s="534" t="s">
        <v>3624</v>
      </c>
      <c r="C388" s="383"/>
      <c r="D388" s="383"/>
      <c r="E388" s="469"/>
      <c r="F388" s="303" t="s">
        <v>2350</v>
      </c>
      <c r="G388" s="386" t="s">
        <v>2345</v>
      </c>
      <c r="H388" s="454" t="s">
        <v>445</v>
      </c>
      <c r="I388" s="338" t="s">
        <v>3377</v>
      </c>
      <c r="J388" s="348">
        <v>2008</v>
      </c>
      <c r="K388" s="341">
        <v>382</v>
      </c>
      <c r="L388" s="340" t="s">
        <v>1738</v>
      </c>
      <c r="M388" s="341" t="s">
        <v>1739</v>
      </c>
      <c r="N388" s="447" t="s">
        <v>2985</v>
      </c>
      <c r="O388" s="349">
        <v>0.34</v>
      </c>
      <c r="P388" s="408" t="s">
        <v>2985</v>
      </c>
      <c r="Q388" s="408" t="s">
        <v>2985</v>
      </c>
      <c r="R388" s="317" t="s">
        <v>2985</v>
      </c>
      <c r="S388" s="411" t="s">
        <v>2985</v>
      </c>
      <c r="T388" s="318" t="s">
        <v>2985</v>
      </c>
      <c r="U388" s="318" t="s">
        <v>2985</v>
      </c>
      <c r="V388" s="408" t="s">
        <v>2985</v>
      </c>
      <c r="W388" s="408" t="s">
        <v>2985</v>
      </c>
      <c r="X388" s="313" t="s">
        <v>12</v>
      </c>
      <c r="Y388" s="239" t="s">
        <v>12</v>
      </c>
      <c r="Z388" s="317" t="s">
        <v>2985</v>
      </c>
      <c r="AA388" s="311" t="s">
        <v>1754</v>
      </c>
      <c r="AB388" s="341" t="s">
        <v>2346</v>
      </c>
      <c r="AC388" s="161" t="s">
        <v>2985</v>
      </c>
      <c r="AD388" s="512" t="s">
        <v>2307</v>
      </c>
      <c r="AE388" s="316" t="s">
        <v>2985</v>
      </c>
      <c r="AF388" s="214" t="s">
        <v>2729</v>
      </c>
      <c r="AG388" s="262" t="s">
        <v>2985</v>
      </c>
      <c r="AH388" s="344">
        <v>100</v>
      </c>
      <c r="AI388" s="353">
        <v>0</v>
      </c>
      <c r="AJ388" s="395">
        <v>0</v>
      </c>
      <c r="AK388" s="365">
        <v>0</v>
      </c>
      <c r="AL388" s="365">
        <v>0</v>
      </c>
      <c r="AM388" s="365">
        <v>0</v>
      </c>
      <c r="AN388" s="353">
        <v>0</v>
      </c>
      <c r="AO388" s="353">
        <v>0</v>
      </c>
      <c r="AP388" s="348">
        <v>0</v>
      </c>
      <c r="AQ388" s="348">
        <v>0</v>
      </c>
      <c r="AR388" s="353">
        <v>0</v>
      </c>
      <c r="AS388" s="348">
        <v>0</v>
      </c>
      <c r="AT388" s="404">
        <v>4</v>
      </c>
      <c r="AU388" s="348">
        <v>0</v>
      </c>
      <c r="AV388" s="348">
        <v>0</v>
      </c>
      <c r="AW388" s="348">
        <v>0</v>
      </c>
      <c r="AX388" s="341">
        <v>0</v>
      </c>
      <c r="AY388" s="354" t="s">
        <v>2985</v>
      </c>
      <c r="AZ388" s="316"/>
      <c r="BA388" s="316" t="s">
        <v>2985</v>
      </c>
      <c r="BB388" s="507" t="s">
        <v>2985</v>
      </c>
      <c r="BC388" s="341">
        <v>31.2</v>
      </c>
      <c r="BD388" s="360" t="s">
        <v>3571</v>
      </c>
      <c r="BE388" s="353">
        <v>200</v>
      </c>
      <c r="BF388" s="348"/>
      <c r="BG388" s="348">
        <v>1000</v>
      </c>
      <c r="BH388" s="390">
        <f>IF(ISBLANK(BF388),(BE388*BG388)/((4*BG388)+(2*BE388)),BE388*BF388*BG388/2/(BE388*BF388+BE388*BG388+BF388*BG388))</f>
        <v>45.454545454545453</v>
      </c>
      <c r="BI388" s="303">
        <v>99</v>
      </c>
      <c r="BJ388" s="307">
        <v>0</v>
      </c>
      <c r="BK388" s="307">
        <v>25</v>
      </c>
      <c r="BL388" s="307">
        <v>25</v>
      </c>
      <c r="BM388" s="507" t="s">
        <v>2985</v>
      </c>
      <c r="BN388" s="307">
        <v>99</v>
      </c>
      <c r="BO388" s="332" t="s">
        <v>2985</v>
      </c>
      <c r="BP388" s="350" t="s">
        <v>2351</v>
      </c>
      <c r="BS388" s="321"/>
    </row>
    <row r="389" spans="1:71" s="322" customFormat="1">
      <c r="A389" s="457">
        <v>1729</v>
      </c>
      <c r="B389" s="534" t="s">
        <v>3624</v>
      </c>
      <c r="C389" s="383"/>
      <c r="D389" s="383"/>
      <c r="E389" s="469"/>
      <c r="F389" s="303" t="s">
        <v>2352</v>
      </c>
      <c r="G389" s="386" t="s">
        <v>2345</v>
      </c>
      <c r="H389" s="454" t="s">
        <v>445</v>
      </c>
      <c r="I389" s="338" t="s">
        <v>3377</v>
      </c>
      <c r="J389" s="348">
        <v>2008</v>
      </c>
      <c r="K389" s="341">
        <v>382</v>
      </c>
      <c r="L389" s="340" t="s">
        <v>1738</v>
      </c>
      <c r="M389" s="341" t="s">
        <v>1739</v>
      </c>
      <c r="N389" s="447" t="s">
        <v>2985</v>
      </c>
      <c r="O389" s="349">
        <v>0.34</v>
      </c>
      <c r="P389" s="408" t="s">
        <v>2985</v>
      </c>
      <c r="Q389" s="408" t="s">
        <v>2985</v>
      </c>
      <c r="R389" s="317" t="s">
        <v>2985</v>
      </c>
      <c r="S389" s="411" t="s">
        <v>2985</v>
      </c>
      <c r="T389" s="318" t="s">
        <v>2985</v>
      </c>
      <c r="U389" s="318" t="s">
        <v>2985</v>
      </c>
      <c r="V389" s="408" t="s">
        <v>2985</v>
      </c>
      <c r="W389" s="408" t="s">
        <v>2985</v>
      </c>
      <c r="X389" s="313" t="s">
        <v>12</v>
      </c>
      <c r="Y389" s="239" t="s">
        <v>12</v>
      </c>
      <c r="Z389" s="317" t="s">
        <v>2985</v>
      </c>
      <c r="AA389" s="311" t="s">
        <v>1754</v>
      </c>
      <c r="AB389" s="341" t="s">
        <v>2346</v>
      </c>
      <c r="AC389" s="161" t="s">
        <v>2985</v>
      </c>
      <c r="AD389" s="512" t="s">
        <v>2307</v>
      </c>
      <c r="AE389" s="316" t="s">
        <v>2985</v>
      </c>
      <c r="AF389" s="214" t="s">
        <v>2729</v>
      </c>
      <c r="AG389" s="262" t="s">
        <v>2985</v>
      </c>
      <c r="AH389" s="344">
        <v>100</v>
      </c>
      <c r="AI389" s="353">
        <v>0</v>
      </c>
      <c r="AJ389" s="395">
        <v>0</v>
      </c>
      <c r="AK389" s="365">
        <v>0</v>
      </c>
      <c r="AL389" s="365">
        <v>0</v>
      </c>
      <c r="AM389" s="365">
        <v>0</v>
      </c>
      <c r="AN389" s="353">
        <v>0</v>
      </c>
      <c r="AO389" s="353">
        <v>0</v>
      </c>
      <c r="AP389" s="348">
        <v>0</v>
      </c>
      <c r="AQ389" s="348">
        <v>0</v>
      </c>
      <c r="AR389" s="348">
        <v>0</v>
      </c>
      <c r="AS389" s="348">
        <v>0</v>
      </c>
      <c r="AT389" s="404">
        <v>3.3600000000000003</v>
      </c>
      <c r="AU389" s="348">
        <v>0</v>
      </c>
      <c r="AV389" s="348">
        <v>0</v>
      </c>
      <c r="AW389" s="348">
        <v>0</v>
      </c>
      <c r="AX389" s="341">
        <v>0</v>
      </c>
      <c r="AY389" s="354" t="s">
        <v>2985</v>
      </c>
      <c r="AZ389" s="316"/>
      <c r="BA389" s="316" t="s">
        <v>2985</v>
      </c>
      <c r="BB389" s="507" t="s">
        <v>2985</v>
      </c>
      <c r="BC389" s="341">
        <v>32</v>
      </c>
      <c r="BD389" s="360" t="s">
        <v>3571</v>
      </c>
      <c r="BE389" s="353">
        <v>200</v>
      </c>
      <c r="BF389" s="348"/>
      <c r="BG389" s="348">
        <v>1000</v>
      </c>
      <c r="BH389" s="390">
        <f>IF(ISBLANK(BF389),(BE389*BG389)/((4*BG389)+(2*BE389)),BE389*BF389*BG389/2/(BE389*BF389+BE389*BG389+BF389*BG389))</f>
        <v>45.454545454545453</v>
      </c>
      <c r="BI389" s="303">
        <v>99</v>
      </c>
      <c r="BJ389" s="307">
        <v>0</v>
      </c>
      <c r="BK389" s="307">
        <v>25</v>
      </c>
      <c r="BL389" s="307">
        <v>25</v>
      </c>
      <c r="BM389" s="507" t="s">
        <v>2985</v>
      </c>
      <c r="BN389" s="307">
        <v>99</v>
      </c>
      <c r="BO389" s="332" t="s">
        <v>2985</v>
      </c>
      <c r="BP389" s="350" t="s">
        <v>2353</v>
      </c>
      <c r="BS389" s="321"/>
    </row>
    <row r="390" spans="1:71" s="322" customFormat="1">
      <c r="A390" s="457">
        <v>1730</v>
      </c>
      <c r="B390" s="534" t="s">
        <v>3624</v>
      </c>
      <c r="C390" s="383"/>
      <c r="D390" s="383"/>
      <c r="E390" s="469"/>
      <c r="F390" s="303" t="s">
        <v>2354</v>
      </c>
      <c r="G390" s="386" t="s">
        <v>2345</v>
      </c>
      <c r="H390" s="454" t="s">
        <v>445</v>
      </c>
      <c r="I390" s="338" t="s">
        <v>3377</v>
      </c>
      <c r="J390" s="348">
        <v>2008</v>
      </c>
      <c r="K390" s="341">
        <v>382</v>
      </c>
      <c r="L390" s="340" t="s">
        <v>1738</v>
      </c>
      <c r="M390" s="341" t="s">
        <v>1739</v>
      </c>
      <c r="N390" s="447" t="s">
        <v>2985</v>
      </c>
      <c r="O390" s="349">
        <v>0.34</v>
      </c>
      <c r="P390" s="408" t="s">
        <v>2985</v>
      </c>
      <c r="Q390" s="408" t="s">
        <v>2985</v>
      </c>
      <c r="R390" s="317" t="s">
        <v>2985</v>
      </c>
      <c r="S390" s="411" t="s">
        <v>2985</v>
      </c>
      <c r="T390" s="318" t="s">
        <v>2985</v>
      </c>
      <c r="U390" s="318" t="s">
        <v>2985</v>
      </c>
      <c r="V390" s="408" t="s">
        <v>2985</v>
      </c>
      <c r="W390" s="408" t="s">
        <v>2985</v>
      </c>
      <c r="X390" s="313" t="s">
        <v>12</v>
      </c>
      <c r="Y390" s="239" t="s">
        <v>12</v>
      </c>
      <c r="Z390" s="317" t="s">
        <v>2985</v>
      </c>
      <c r="AA390" s="311" t="s">
        <v>1754</v>
      </c>
      <c r="AB390" s="341" t="s">
        <v>2346</v>
      </c>
      <c r="AC390" s="161" t="s">
        <v>2985</v>
      </c>
      <c r="AD390" s="512" t="s">
        <v>2307</v>
      </c>
      <c r="AE390" s="316" t="s">
        <v>2985</v>
      </c>
      <c r="AF390" s="214" t="s">
        <v>2729</v>
      </c>
      <c r="AG390" s="262" t="s">
        <v>2985</v>
      </c>
      <c r="AH390" s="344">
        <v>100</v>
      </c>
      <c r="AI390" s="353">
        <v>0</v>
      </c>
      <c r="AJ390" s="395">
        <v>0</v>
      </c>
      <c r="AK390" s="365">
        <v>0</v>
      </c>
      <c r="AL390" s="365">
        <v>0</v>
      </c>
      <c r="AM390" s="365">
        <v>0</v>
      </c>
      <c r="AN390" s="353">
        <v>0</v>
      </c>
      <c r="AO390" s="353">
        <v>0</v>
      </c>
      <c r="AP390" s="348">
        <v>0</v>
      </c>
      <c r="AQ390" s="348">
        <v>0</v>
      </c>
      <c r="AR390" s="348">
        <v>0</v>
      </c>
      <c r="AS390" s="348">
        <v>0</v>
      </c>
      <c r="AT390" s="404">
        <v>4.32</v>
      </c>
      <c r="AU390" s="348">
        <v>0</v>
      </c>
      <c r="AV390" s="348">
        <v>0</v>
      </c>
      <c r="AW390" s="348">
        <v>0</v>
      </c>
      <c r="AX390" s="341">
        <v>0</v>
      </c>
      <c r="AY390" s="354" t="s">
        <v>2985</v>
      </c>
      <c r="AZ390" s="316"/>
      <c r="BA390" s="316" t="s">
        <v>2985</v>
      </c>
      <c r="BB390" s="94" t="s">
        <v>2985</v>
      </c>
      <c r="BC390" s="341">
        <v>31.4</v>
      </c>
      <c r="BD390" s="360" t="s">
        <v>3571</v>
      </c>
      <c r="BE390" s="353">
        <v>200</v>
      </c>
      <c r="BF390" s="348"/>
      <c r="BG390" s="348">
        <v>1000</v>
      </c>
      <c r="BH390" s="390">
        <f>IF(ISBLANK(BF390),(BE390*BG390)/((4*BG390)+(2*BE390)),BE390*BF390*BG390/2/(BE390*BF390+BE390*BG390+BF390*BG390))</f>
        <v>45.454545454545453</v>
      </c>
      <c r="BI390" s="303">
        <v>99</v>
      </c>
      <c r="BJ390" s="307">
        <v>0</v>
      </c>
      <c r="BK390" s="307">
        <v>25</v>
      </c>
      <c r="BL390" s="307">
        <v>25</v>
      </c>
      <c r="BM390" s="507" t="s">
        <v>2985</v>
      </c>
      <c r="BN390" s="307">
        <v>99</v>
      </c>
      <c r="BO390" s="332" t="s">
        <v>2985</v>
      </c>
      <c r="BP390" s="350" t="s">
        <v>2355</v>
      </c>
      <c r="BS390" s="321"/>
    </row>
    <row r="391" spans="1:71" s="322" customFormat="1">
      <c r="A391" s="457">
        <v>1731</v>
      </c>
      <c r="B391" s="534" t="s">
        <v>3624</v>
      </c>
      <c r="C391" s="383"/>
      <c r="D391" s="383"/>
      <c r="E391" s="469"/>
      <c r="F391" s="303" t="s">
        <v>2356</v>
      </c>
      <c r="G391" s="386" t="s">
        <v>2357</v>
      </c>
      <c r="H391" s="454" t="s">
        <v>254</v>
      </c>
      <c r="I391" s="338" t="s">
        <v>3377</v>
      </c>
      <c r="J391" s="348">
        <v>1997</v>
      </c>
      <c r="K391" s="341">
        <v>383</v>
      </c>
      <c r="L391" s="340" t="s">
        <v>1738</v>
      </c>
      <c r="M391" s="341" t="s">
        <v>1739</v>
      </c>
      <c r="N391" s="447" t="s">
        <v>2985</v>
      </c>
      <c r="O391" s="349">
        <v>0.42</v>
      </c>
      <c r="P391" s="408" t="s">
        <v>2985</v>
      </c>
      <c r="Q391" s="408" t="s">
        <v>2985</v>
      </c>
      <c r="R391" s="408" t="s">
        <v>2985</v>
      </c>
      <c r="S391" s="411" t="s">
        <v>2985</v>
      </c>
      <c r="T391" s="318" t="s">
        <v>2985</v>
      </c>
      <c r="U391" s="318" t="s">
        <v>2985</v>
      </c>
      <c r="V391" s="408" t="s">
        <v>2985</v>
      </c>
      <c r="W391" s="408" t="s">
        <v>2985</v>
      </c>
      <c r="X391" s="313" t="s">
        <v>12</v>
      </c>
      <c r="Y391" s="307" t="s">
        <v>521</v>
      </c>
      <c r="Z391" s="314" t="s">
        <v>2985</v>
      </c>
      <c r="AA391" s="311" t="s">
        <v>1754</v>
      </c>
      <c r="AB391" s="341" t="s">
        <v>521</v>
      </c>
      <c r="AC391" s="161" t="s">
        <v>2985</v>
      </c>
      <c r="AD391" s="511" t="s">
        <v>2985</v>
      </c>
      <c r="AE391" s="316" t="s">
        <v>2985</v>
      </c>
      <c r="AF391" s="348" t="s">
        <v>521</v>
      </c>
      <c r="AG391" s="262" t="s">
        <v>2985</v>
      </c>
      <c r="AH391" s="344">
        <v>100</v>
      </c>
      <c r="AI391" s="353">
        <v>0</v>
      </c>
      <c r="AJ391" s="395">
        <v>0</v>
      </c>
      <c r="AK391" s="365">
        <v>0</v>
      </c>
      <c r="AL391" s="348">
        <v>0</v>
      </c>
      <c r="AM391" s="348">
        <v>0</v>
      </c>
      <c r="AN391" s="353">
        <v>0</v>
      </c>
      <c r="AO391" s="353">
        <v>0</v>
      </c>
      <c r="AP391" s="348">
        <v>0</v>
      </c>
      <c r="AQ391" s="348">
        <v>0</v>
      </c>
      <c r="AR391" s="348">
        <v>0</v>
      </c>
      <c r="AS391" s="348">
        <v>0</v>
      </c>
      <c r="AT391" s="353">
        <v>0</v>
      </c>
      <c r="AU391" s="348">
        <v>0</v>
      </c>
      <c r="AV391" s="348">
        <v>0</v>
      </c>
      <c r="AW391" s="348">
        <v>0</v>
      </c>
      <c r="AX391" s="341">
        <v>0</v>
      </c>
      <c r="AY391" s="354" t="s">
        <v>2985</v>
      </c>
      <c r="AZ391" s="316"/>
      <c r="BA391" s="316" t="s">
        <v>2985</v>
      </c>
      <c r="BB391" s="94" t="s">
        <v>2985</v>
      </c>
      <c r="BC391" s="341">
        <v>17.63</v>
      </c>
      <c r="BD391" s="520" t="s">
        <v>2985</v>
      </c>
      <c r="BE391" s="316" t="s">
        <v>2985</v>
      </c>
      <c r="BF391" s="316"/>
      <c r="BG391" s="391" t="s">
        <v>2985</v>
      </c>
      <c r="BH391" s="429" t="s">
        <v>2985</v>
      </c>
      <c r="BI391" s="330" t="s">
        <v>2985</v>
      </c>
      <c r="BJ391" s="507" t="s">
        <v>2985</v>
      </c>
      <c r="BK391" s="507" t="s">
        <v>2985</v>
      </c>
      <c r="BL391" s="507" t="s">
        <v>2985</v>
      </c>
      <c r="BM391" s="507" t="s">
        <v>2985</v>
      </c>
      <c r="BN391" s="507" t="s">
        <v>2985</v>
      </c>
      <c r="BO391" s="332" t="s">
        <v>2985</v>
      </c>
      <c r="BP391" s="228"/>
      <c r="BS391" s="321"/>
    </row>
    <row r="392" spans="1:71" s="322" customFormat="1">
      <c r="A392" s="457">
        <v>1732</v>
      </c>
      <c r="B392" s="534" t="s">
        <v>3603</v>
      </c>
      <c r="C392" s="383"/>
      <c r="D392" s="383"/>
      <c r="E392" s="469"/>
      <c r="F392" s="303" t="s">
        <v>2358</v>
      </c>
      <c r="G392" s="386" t="s">
        <v>2359</v>
      </c>
      <c r="H392" s="454" t="s">
        <v>2324</v>
      </c>
      <c r="I392" s="338" t="s">
        <v>3377</v>
      </c>
      <c r="J392" s="348">
        <v>2000</v>
      </c>
      <c r="K392" s="341">
        <v>384</v>
      </c>
      <c r="L392" s="340" t="s">
        <v>1738</v>
      </c>
      <c r="M392" s="341" t="s">
        <v>1739</v>
      </c>
      <c r="N392" s="449">
        <f>R392/T392</f>
        <v>0.25</v>
      </c>
      <c r="O392" s="412">
        <v>0.25</v>
      </c>
      <c r="P392" s="410">
        <v>2.9809027777777777</v>
      </c>
      <c r="Q392" s="310">
        <f>U392/T392</f>
        <v>2.9809027777777777</v>
      </c>
      <c r="R392" s="377">
        <f>O392*S392</f>
        <v>144</v>
      </c>
      <c r="S392" s="407">
        <v>576</v>
      </c>
      <c r="T392" s="377">
        <f>(((SUM(AI392:AR392)/100)*(S392))+S392)</f>
        <v>576</v>
      </c>
      <c r="U392" s="377">
        <f>P392*S392</f>
        <v>1717</v>
      </c>
      <c r="V392" s="408" t="s">
        <v>2985</v>
      </c>
      <c r="W392" s="408" t="s">
        <v>2985</v>
      </c>
      <c r="X392" s="313" t="s">
        <v>12</v>
      </c>
      <c r="Y392" s="239" t="s">
        <v>12</v>
      </c>
      <c r="Z392" s="314" t="s">
        <v>2985</v>
      </c>
      <c r="AA392" s="311" t="s">
        <v>1754</v>
      </c>
      <c r="AB392" s="341" t="s">
        <v>273</v>
      </c>
      <c r="AC392" s="161" t="s">
        <v>2985</v>
      </c>
      <c r="AD392" s="348" t="s">
        <v>2315</v>
      </c>
      <c r="AE392" s="214" t="s">
        <v>2306</v>
      </c>
      <c r="AF392" s="214" t="s">
        <v>2315</v>
      </c>
      <c r="AG392" s="262" t="s">
        <v>2985</v>
      </c>
      <c r="AH392" s="313">
        <v>100</v>
      </c>
      <c r="AI392" s="214">
        <v>0</v>
      </c>
      <c r="AJ392" s="365">
        <v>0</v>
      </c>
      <c r="AK392" s="365">
        <v>0</v>
      </c>
      <c r="AL392" s="365">
        <v>0</v>
      </c>
      <c r="AM392" s="365">
        <v>0</v>
      </c>
      <c r="AN392" s="348">
        <v>0</v>
      </c>
      <c r="AO392" s="348">
        <v>0</v>
      </c>
      <c r="AP392" s="348">
        <v>0</v>
      </c>
      <c r="AQ392" s="348">
        <v>0</v>
      </c>
      <c r="AR392" s="348">
        <v>0</v>
      </c>
      <c r="AS392" s="348">
        <v>0</v>
      </c>
      <c r="AT392" s="356">
        <v>5</v>
      </c>
      <c r="AU392" s="348">
        <v>0</v>
      </c>
      <c r="AV392" s="348">
        <v>0</v>
      </c>
      <c r="AW392" s="348">
        <v>0</v>
      </c>
      <c r="AX392" s="341">
        <v>0</v>
      </c>
      <c r="AY392" s="354">
        <v>98.24</v>
      </c>
      <c r="AZ392" s="356"/>
      <c r="BA392" s="316" t="s">
        <v>2985</v>
      </c>
      <c r="BB392" s="94" t="s">
        <v>2985</v>
      </c>
      <c r="BC392" s="341" t="s">
        <v>521</v>
      </c>
      <c r="BD392" s="360" t="s">
        <v>3569</v>
      </c>
      <c r="BE392" s="353">
        <v>40</v>
      </c>
      <c r="BF392" s="348"/>
      <c r="BG392" s="348">
        <v>1000</v>
      </c>
      <c r="BH392" s="390">
        <f>IF(ISBLANK(BF392),(BE392*BG392)/((4*BG392)+(2*BE392)),BE392*BF392*BG392/2/(BE392*BF392+BE392*BG392+BF392*BG392))</f>
        <v>9.8039215686274517</v>
      </c>
      <c r="BI392" s="303">
        <v>99</v>
      </c>
      <c r="BJ392" s="307">
        <v>0</v>
      </c>
      <c r="BK392" s="307">
        <v>30</v>
      </c>
      <c r="BL392" s="307">
        <v>30</v>
      </c>
      <c r="BM392" s="507" t="s">
        <v>2985</v>
      </c>
      <c r="BN392" s="307">
        <v>99</v>
      </c>
      <c r="BO392" s="332" t="s">
        <v>2985</v>
      </c>
      <c r="BP392" s="228"/>
      <c r="BS392" s="321"/>
    </row>
    <row r="393" spans="1:71" s="322" customFormat="1">
      <c r="A393" s="457">
        <v>1733</v>
      </c>
      <c r="B393" s="534" t="s">
        <v>3603</v>
      </c>
      <c r="C393" s="383"/>
      <c r="D393" s="383"/>
      <c r="E393" s="469"/>
      <c r="F393" s="303" t="s">
        <v>2360</v>
      </c>
      <c r="G393" s="386" t="s">
        <v>2359</v>
      </c>
      <c r="H393" s="454" t="s">
        <v>2324</v>
      </c>
      <c r="I393" s="338" t="s">
        <v>3377</v>
      </c>
      <c r="J393" s="348">
        <v>2000</v>
      </c>
      <c r="K393" s="341">
        <v>384</v>
      </c>
      <c r="L393" s="340" t="s">
        <v>1738</v>
      </c>
      <c r="M393" s="341" t="s">
        <v>1739</v>
      </c>
      <c r="N393" s="449">
        <f>R393/T393</f>
        <v>0.25202520252025201</v>
      </c>
      <c r="O393" s="412">
        <v>0.27722772277227725</v>
      </c>
      <c r="P393" s="410">
        <v>3.4</v>
      </c>
      <c r="Q393" s="310">
        <f>U393/T393</f>
        <v>3.0909090909090908</v>
      </c>
      <c r="R393" s="377">
        <f>O393*S393</f>
        <v>140</v>
      </c>
      <c r="S393" s="407">
        <v>505</v>
      </c>
      <c r="T393" s="377">
        <f>(((SUM(AI393:AR393)/100)*(S393))+S393)</f>
        <v>555.5</v>
      </c>
      <c r="U393" s="377">
        <f>P393*S393</f>
        <v>1717</v>
      </c>
      <c r="V393" s="408" t="s">
        <v>2985</v>
      </c>
      <c r="W393" s="408" t="s">
        <v>2985</v>
      </c>
      <c r="X393" s="313" t="s">
        <v>12</v>
      </c>
      <c r="Y393" s="239" t="s">
        <v>12</v>
      </c>
      <c r="Z393" s="314" t="s">
        <v>2985</v>
      </c>
      <c r="AA393" s="311" t="s">
        <v>3538</v>
      </c>
      <c r="AB393" s="341" t="s">
        <v>273</v>
      </c>
      <c r="AC393" s="161" t="s">
        <v>2985</v>
      </c>
      <c r="AD393" s="348" t="s">
        <v>2315</v>
      </c>
      <c r="AE393" s="214" t="s">
        <v>2306</v>
      </c>
      <c r="AF393" s="214" t="s">
        <v>2315</v>
      </c>
      <c r="AG393" s="262" t="s">
        <v>2985</v>
      </c>
      <c r="AH393" s="313">
        <v>90</v>
      </c>
      <c r="AI393" s="358">
        <v>10</v>
      </c>
      <c r="AJ393" s="365">
        <v>0</v>
      </c>
      <c r="AK393" s="365">
        <v>0</v>
      </c>
      <c r="AL393" s="365">
        <v>0</v>
      </c>
      <c r="AM393" s="365">
        <v>0</v>
      </c>
      <c r="AN393" s="348">
        <v>0</v>
      </c>
      <c r="AO393" s="348">
        <v>0</v>
      </c>
      <c r="AP393" s="348">
        <v>0</v>
      </c>
      <c r="AQ393" s="348">
        <v>0</v>
      </c>
      <c r="AR393" s="348">
        <v>0</v>
      </c>
      <c r="AS393" s="348">
        <v>0</v>
      </c>
      <c r="AT393" s="396">
        <v>4.500855162480871</v>
      </c>
      <c r="AU393" s="348">
        <v>0</v>
      </c>
      <c r="AV393" s="348">
        <v>0</v>
      </c>
      <c r="AW393" s="348">
        <v>0</v>
      </c>
      <c r="AX393" s="341">
        <v>0</v>
      </c>
      <c r="AY393" s="354">
        <v>97.26</v>
      </c>
      <c r="AZ393" s="356"/>
      <c r="BA393" s="316" t="s">
        <v>2985</v>
      </c>
      <c r="BB393" s="94" t="s">
        <v>2985</v>
      </c>
      <c r="BC393" s="341" t="s">
        <v>521</v>
      </c>
      <c r="BD393" s="360" t="s">
        <v>3569</v>
      </c>
      <c r="BE393" s="353">
        <v>40</v>
      </c>
      <c r="BF393" s="348"/>
      <c r="BG393" s="348">
        <v>1000</v>
      </c>
      <c r="BH393" s="390">
        <f>IF(ISBLANK(BF393),(BE393*BG393)/((4*BG393)+(2*BE393)),BE393*BF393*BG393/2/(BE393*BF393+BE393*BG393+BF393*BG393))</f>
        <v>9.8039215686274517</v>
      </c>
      <c r="BI393" s="303">
        <v>99</v>
      </c>
      <c r="BJ393" s="307">
        <v>0</v>
      </c>
      <c r="BK393" s="307">
        <v>30</v>
      </c>
      <c r="BL393" s="307">
        <v>30</v>
      </c>
      <c r="BM393" s="507" t="s">
        <v>2985</v>
      </c>
      <c r="BN393" s="307">
        <v>99</v>
      </c>
      <c r="BO393" s="332" t="s">
        <v>2985</v>
      </c>
      <c r="BP393" s="228"/>
      <c r="BS393" s="321"/>
    </row>
    <row r="394" spans="1:71" s="322" customFormat="1">
      <c r="A394" s="457">
        <v>1734</v>
      </c>
      <c r="B394" s="534" t="s">
        <v>3603</v>
      </c>
      <c r="C394" s="383"/>
      <c r="D394" s="383"/>
      <c r="E394" s="469"/>
      <c r="F394" s="303" t="s">
        <v>2361</v>
      </c>
      <c r="G394" s="386" t="s">
        <v>2359</v>
      </c>
      <c r="H394" s="454" t="s">
        <v>2324</v>
      </c>
      <c r="I394" s="338" t="s">
        <v>3377</v>
      </c>
      <c r="J394" s="348">
        <v>2000</v>
      </c>
      <c r="K394" s="341">
        <v>384</v>
      </c>
      <c r="L394" s="340" t="s">
        <v>1738</v>
      </c>
      <c r="M394" s="341" t="s">
        <v>1739</v>
      </c>
      <c r="N394" s="449">
        <f>R394/T394</f>
        <v>0.33003952569169959</v>
      </c>
      <c r="O394" s="412">
        <v>0.33003952569169959</v>
      </c>
      <c r="P394" s="410">
        <v>3.3932806324110674</v>
      </c>
      <c r="Q394" s="310">
        <f>U394/T394</f>
        <v>3.3932806324110674</v>
      </c>
      <c r="R394" s="377">
        <f>O394*S394</f>
        <v>167</v>
      </c>
      <c r="S394" s="407">
        <v>506</v>
      </c>
      <c r="T394" s="377">
        <f>(((SUM(AI394:AR394)/100)*(S394))+S394)</f>
        <v>506</v>
      </c>
      <c r="U394" s="377">
        <f>P394*S394</f>
        <v>1717</v>
      </c>
      <c r="V394" s="408" t="s">
        <v>2985</v>
      </c>
      <c r="W394" s="408" t="s">
        <v>2985</v>
      </c>
      <c r="X394" s="313" t="s">
        <v>12</v>
      </c>
      <c r="Y394" s="239" t="s">
        <v>12</v>
      </c>
      <c r="Z394" s="314" t="s">
        <v>2985</v>
      </c>
      <c r="AA394" s="311" t="s">
        <v>1754</v>
      </c>
      <c r="AB394" s="341" t="s">
        <v>273</v>
      </c>
      <c r="AC394" s="161" t="s">
        <v>2985</v>
      </c>
      <c r="AD394" s="348" t="s">
        <v>2315</v>
      </c>
      <c r="AE394" s="214" t="s">
        <v>2306</v>
      </c>
      <c r="AF394" s="214" t="s">
        <v>2315</v>
      </c>
      <c r="AG394" s="262" t="s">
        <v>2985</v>
      </c>
      <c r="AH394" s="313">
        <v>100</v>
      </c>
      <c r="AI394" s="214">
        <v>0</v>
      </c>
      <c r="AJ394" s="365">
        <v>0</v>
      </c>
      <c r="AK394" s="365">
        <v>0</v>
      </c>
      <c r="AL394" s="365">
        <v>0</v>
      </c>
      <c r="AM394" s="365">
        <v>0</v>
      </c>
      <c r="AN394" s="348">
        <v>0</v>
      </c>
      <c r="AO394" s="348">
        <v>0</v>
      </c>
      <c r="AP394" s="348">
        <v>0</v>
      </c>
      <c r="AQ394" s="348">
        <v>0</v>
      </c>
      <c r="AR394" s="348">
        <v>0</v>
      </c>
      <c r="AS394" s="348">
        <v>0</v>
      </c>
      <c r="AT394" s="356">
        <v>1.5</v>
      </c>
      <c r="AU394" s="348">
        <v>0</v>
      </c>
      <c r="AV394" s="348">
        <v>0</v>
      </c>
      <c r="AW394" s="348">
        <v>0</v>
      </c>
      <c r="AX394" s="341">
        <v>0</v>
      </c>
      <c r="AY394" s="354">
        <v>74.28</v>
      </c>
      <c r="AZ394" s="356"/>
      <c r="BA394" s="316" t="s">
        <v>2985</v>
      </c>
      <c r="BB394" s="94" t="s">
        <v>2985</v>
      </c>
      <c r="BC394" s="341" t="s">
        <v>521</v>
      </c>
      <c r="BD394" s="360" t="s">
        <v>3569</v>
      </c>
      <c r="BE394" s="353">
        <v>40</v>
      </c>
      <c r="BF394" s="348"/>
      <c r="BG394" s="348">
        <v>1000</v>
      </c>
      <c r="BH394" s="390">
        <f>IF(ISBLANK(BF394),(BE394*BG394)/((4*BG394)+(2*BE394)),BE394*BF394*BG394/2/(BE394*BF394+BE394*BG394+BF394*BG394))</f>
        <v>9.8039215686274517</v>
      </c>
      <c r="BI394" s="303">
        <v>99</v>
      </c>
      <c r="BJ394" s="307">
        <v>0</v>
      </c>
      <c r="BK394" s="307">
        <v>30</v>
      </c>
      <c r="BL394" s="307">
        <v>30</v>
      </c>
      <c r="BM394" s="507" t="s">
        <v>2985</v>
      </c>
      <c r="BN394" s="307">
        <v>99</v>
      </c>
      <c r="BO394" s="332" t="s">
        <v>2985</v>
      </c>
      <c r="BP394" s="228"/>
      <c r="BS394" s="321"/>
    </row>
    <row r="395" spans="1:71" s="322" customFormat="1">
      <c r="A395" s="457">
        <v>1735</v>
      </c>
      <c r="B395" s="534" t="s">
        <v>3603</v>
      </c>
      <c r="C395" s="383"/>
      <c r="D395" s="383"/>
      <c r="E395" s="469"/>
      <c r="F395" s="303" t="s">
        <v>2362</v>
      </c>
      <c r="G395" s="386" t="s">
        <v>2359</v>
      </c>
      <c r="H395" s="454" t="s">
        <v>2324</v>
      </c>
      <c r="I395" s="338" t="s">
        <v>3377</v>
      </c>
      <c r="J395" s="348">
        <v>2000</v>
      </c>
      <c r="K395" s="341">
        <v>384</v>
      </c>
      <c r="L395" s="340" t="s">
        <v>1738</v>
      </c>
      <c r="M395" s="341" t="s">
        <v>1739</v>
      </c>
      <c r="N395" s="449">
        <f>R395/T395</f>
        <v>0.33374283374283376</v>
      </c>
      <c r="O395" s="412">
        <v>0.36711711711711714</v>
      </c>
      <c r="P395" s="410">
        <v>3.8671171171171173</v>
      </c>
      <c r="Q395" s="310">
        <f>U395/T395</f>
        <v>3.5155610155610155</v>
      </c>
      <c r="R395" s="377">
        <f>O395*S395</f>
        <v>163</v>
      </c>
      <c r="S395" s="407">
        <v>444</v>
      </c>
      <c r="T395" s="377">
        <f>(((SUM(AI395:AR395)/100)*(S395))+S395)</f>
        <v>488.4</v>
      </c>
      <c r="U395" s="377">
        <f>P395*S395</f>
        <v>1717</v>
      </c>
      <c r="V395" s="408" t="s">
        <v>2985</v>
      </c>
      <c r="W395" s="408" t="s">
        <v>2985</v>
      </c>
      <c r="X395" s="313" t="s">
        <v>12</v>
      </c>
      <c r="Y395" s="239" t="s">
        <v>12</v>
      </c>
      <c r="Z395" s="314" t="s">
        <v>2985</v>
      </c>
      <c r="AA395" s="311" t="s">
        <v>3538</v>
      </c>
      <c r="AB395" s="341" t="s">
        <v>273</v>
      </c>
      <c r="AC395" s="161" t="s">
        <v>2985</v>
      </c>
      <c r="AD395" s="348" t="s">
        <v>2315</v>
      </c>
      <c r="AE395" s="214" t="s">
        <v>2306</v>
      </c>
      <c r="AF395" s="214" t="s">
        <v>2315</v>
      </c>
      <c r="AG395" s="262" t="s">
        <v>2985</v>
      </c>
      <c r="AH395" s="313">
        <v>90</v>
      </c>
      <c r="AI395" s="358">
        <v>10</v>
      </c>
      <c r="AJ395" s="365">
        <v>0</v>
      </c>
      <c r="AK395" s="365">
        <v>0</v>
      </c>
      <c r="AL395" s="365">
        <v>0</v>
      </c>
      <c r="AM395" s="365">
        <v>0</v>
      </c>
      <c r="AN395" s="348">
        <v>0</v>
      </c>
      <c r="AO395" s="348">
        <v>0</v>
      </c>
      <c r="AP395" s="348">
        <v>0</v>
      </c>
      <c r="AQ395" s="348">
        <v>0</v>
      </c>
      <c r="AR395" s="348">
        <v>0</v>
      </c>
      <c r="AS395" s="348">
        <v>0</v>
      </c>
      <c r="AT395" s="352">
        <v>1.350864553314121</v>
      </c>
      <c r="AU395" s="348">
        <v>0</v>
      </c>
      <c r="AV395" s="348">
        <v>0</v>
      </c>
      <c r="AW395" s="348">
        <v>0</v>
      </c>
      <c r="AX395" s="341">
        <v>0</v>
      </c>
      <c r="AY395" s="354">
        <v>74</v>
      </c>
      <c r="AZ395" s="356"/>
      <c r="BA395" s="316" t="s">
        <v>2985</v>
      </c>
      <c r="BB395" s="94" t="s">
        <v>2985</v>
      </c>
      <c r="BC395" s="341" t="s">
        <v>521</v>
      </c>
      <c r="BD395" s="360" t="s">
        <v>3569</v>
      </c>
      <c r="BE395" s="353">
        <v>40</v>
      </c>
      <c r="BF395" s="348"/>
      <c r="BG395" s="348">
        <v>1000</v>
      </c>
      <c r="BH395" s="390">
        <f>IF(ISBLANK(BF395),(BE395*BG395)/((4*BG395)+(2*BE395)),BE395*BF395*BG395/2/(BE395*BF395+BE395*BG395+BF395*BG395))</f>
        <v>9.8039215686274517</v>
      </c>
      <c r="BI395" s="303">
        <v>99</v>
      </c>
      <c r="BJ395" s="307">
        <v>0</v>
      </c>
      <c r="BK395" s="307">
        <v>30</v>
      </c>
      <c r="BL395" s="307">
        <v>30</v>
      </c>
      <c r="BM395" s="507" t="s">
        <v>2985</v>
      </c>
      <c r="BN395" s="307">
        <v>99</v>
      </c>
      <c r="BO395" s="332" t="s">
        <v>2985</v>
      </c>
      <c r="BP395" s="228"/>
      <c r="BS395" s="321"/>
    </row>
    <row r="396" spans="1:71" s="322" customFormat="1">
      <c r="A396" s="457">
        <v>1736</v>
      </c>
      <c r="B396" s="534" t="s">
        <v>3624</v>
      </c>
      <c r="C396" s="383"/>
      <c r="D396" s="383"/>
      <c r="E396" s="469"/>
      <c r="F396" s="303" t="s">
        <v>2363</v>
      </c>
      <c r="G396" s="386" t="s">
        <v>1746</v>
      </c>
      <c r="H396" s="454" t="s">
        <v>1747</v>
      </c>
      <c r="I396" s="338" t="s">
        <v>3377</v>
      </c>
      <c r="J396" s="348">
        <v>1996</v>
      </c>
      <c r="K396" s="355" t="s">
        <v>2985</v>
      </c>
      <c r="L396" s="340" t="s">
        <v>1738</v>
      </c>
      <c r="M396" s="341" t="s">
        <v>1739</v>
      </c>
      <c r="N396" s="517" t="s">
        <v>2985</v>
      </c>
      <c r="O396" s="412">
        <v>0.35</v>
      </c>
      <c r="P396" s="408" t="s">
        <v>2985</v>
      </c>
      <c r="Q396" s="408" t="s">
        <v>2985</v>
      </c>
      <c r="R396" s="408" t="s">
        <v>2985</v>
      </c>
      <c r="S396" s="411" t="s">
        <v>2985</v>
      </c>
      <c r="T396" s="318" t="s">
        <v>2985</v>
      </c>
      <c r="U396" s="318" t="s">
        <v>2985</v>
      </c>
      <c r="V396" s="408" t="s">
        <v>2985</v>
      </c>
      <c r="W396" s="408" t="s">
        <v>2985</v>
      </c>
      <c r="X396" s="313" t="s">
        <v>12</v>
      </c>
      <c r="Y396" s="239" t="s">
        <v>12</v>
      </c>
      <c r="Z396" s="314" t="s">
        <v>2985</v>
      </c>
      <c r="AA396" s="311" t="s">
        <v>1754</v>
      </c>
      <c r="AB396" s="341" t="s">
        <v>2364</v>
      </c>
      <c r="AC396" s="161" t="s">
        <v>2985</v>
      </c>
      <c r="AD396" s="511" t="s">
        <v>2985</v>
      </c>
      <c r="AE396" s="316" t="s">
        <v>2985</v>
      </c>
      <c r="AF396" s="348" t="s">
        <v>521</v>
      </c>
      <c r="AG396" s="262" t="s">
        <v>2985</v>
      </c>
      <c r="AH396" s="344">
        <v>100</v>
      </c>
      <c r="AI396" s="353">
        <v>0</v>
      </c>
      <c r="AJ396" s="395">
        <v>0</v>
      </c>
      <c r="AK396" s="365">
        <v>0</v>
      </c>
      <c r="AL396" s="365">
        <v>0</v>
      </c>
      <c r="AM396" s="365">
        <v>0</v>
      </c>
      <c r="AN396" s="353">
        <v>0</v>
      </c>
      <c r="AO396" s="353">
        <v>0</v>
      </c>
      <c r="AP396" s="348">
        <v>0</v>
      </c>
      <c r="AQ396" s="348">
        <v>0</v>
      </c>
      <c r="AR396" s="348">
        <v>0</v>
      </c>
      <c r="AS396" s="348">
        <v>0</v>
      </c>
      <c r="AT396" s="352">
        <v>3.5000000000000004</v>
      </c>
      <c r="AU396" s="348">
        <v>0</v>
      </c>
      <c r="AV396" s="348">
        <v>0</v>
      </c>
      <c r="AW396" s="348">
        <v>0</v>
      </c>
      <c r="AX396" s="341">
        <v>0</v>
      </c>
      <c r="AY396" s="354" t="s">
        <v>2985</v>
      </c>
      <c r="AZ396" s="316"/>
      <c r="BA396" s="316" t="s">
        <v>2985</v>
      </c>
      <c r="BB396" s="94" t="s">
        <v>2985</v>
      </c>
      <c r="BC396" s="341" t="s">
        <v>521</v>
      </c>
      <c r="BD396" s="520" t="s">
        <v>2985</v>
      </c>
      <c r="BE396" s="316" t="s">
        <v>2985</v>
      </c>
      <c r="BF396" s="316"/>
      <c r="BG396" s="391" t="s">
        <v>2985</v>
      </c>
      <c r="BH396" s="429" t="s">
        <v>2985</v>
      </c>
      <c r="BI396" s="303">
        <v>99</v>
      </c>
      <c r="BJ396" s="307">
        <v>0.23</v>
      </c>
      <c r="BK396" s="307">
        <v>30</v>
      </c>
      <c r="BL396" s="307">
        <v>30</v>
      </c>
      <c r="BM396" s="507" t="s">
        <v>2985</v>
      </c>
      <c r="BN396" s="307">
        <v>99</v>
      </c>
      <c r="BO396" s="332" t="s">
        <v>2985</v>
      </c>
      <c r="BP396" s="228"/>
      <c r="BS396" s="321"/>
    </row>
    <row r="397" spans="1:71" s="322" customFormat="1">
      <c r="A397" s="457">
        <v>1737</v>
      </c>
      <c r="B397" s="534" t="s">
        <v>3624</v>
      </c>
      <c r="C397" s="383"/>
      <c r="D397" s="383"/>
      <c r="E397" s="469"/>
      <c r="F397" s="303" t="s">
        <v>2365</v>
      </c>
      <c r="G397" s="386" t="s">
        <v>1746</v>
      </c>
      <c r="H397" s="454" t="s">
        <v>1747</v>
      </c>
      <c r="I397" s="338" t="s">
        <v>3377</v>
      </c>
      <c r="J397" s="348">
        <v>1996</v>
      </c>
      <c r="K397" s="355" t="s">
        <v>2985</v>
      </c>
      <c r="L397" s="340" t="s">
        <v>1738</v>
      </c>
      <c r="M397" s="341" t="s">
        <v>1739</v>
      </c>
      <c r="N397" s="517" t="s">
        <v>2985</v>
      </c>
      <c r="O397" s="412">
        <v>0.35</v>
      </c>
      <c r="P397" s="408" t="s">
        <v>2985</v>
      </c>
      <c r="Q397" s="408" t="s">
        <v>2985</v>
      </c>
      <c r="R397" s="408" t="s">
        <v>2985</v>
      </c>
      <c r="S397" s="411" t="s">
        <v>2985</v>
      </c>
      <c r="T397" s="318" t="s">
        <v>2985</v>
      </c>
      <c r="U397" s="318" t="s">
        <v>2985</v>
      </c>
      <c r="V397" s="408" t="s">
        <v>2985</v>
      </c>
      <c r="W397" s="408" t="s">
        <v>2985</v>
      </c>
      <c r="X397" s="313" t="s">
        <v>12</v>
      </c>
      <c r="Y397" s="239" t="s">
        <v>12</v>
      </c>
      <c r="Z397" s="314" t="s">
        <v>2985</v>
      </c>
      <c r="AA397" s="311" t="s">
        <v>1754</v>
      </c>
      <c r="AB397" s="341" t="s">
        <v>2364</v>
      </c>
      <c r="AC397" s="161" t="s">
        <v>2985</v>
      </c>
      <c r="AD397" s="511" t="s">
        <v>2985</v>
      </c>
      <c r="AE397" s="316" t="s">
        <v>2985</v>
      </c>
      <c r="AF397" s="348" t="s">
        <v>521</v>
      </c>
      <c r="AG397" s="262" t="s">
        <v>2985</v>
      </c>
      <c r="AH397" s="344">
        <v>97.087378640776706</v>
      </c>
      <c r="AI397" s="352">
        <v>2.912621359223301</v>
      </c>
      <c r="AJ397" s="395">
        <v>0</v>
      </c>
      <c r="AK397" s="365">
        <v>0</v>
      </c>
      <c r="AL397" s="365">
        <v>0</v>
      </c>
      <c r="AM397" s="365">
        <v>0</v>
      </c>
      <c r="AN397" s="353">
        <v>0</v>
      </c>
      <c r="AO397" s="353">
        <v>0</v>
      </c>
      <c r="AP397" s="348">
        <v>0</v>
      </c>
      <c r="AQ397" s="348">
        <v>0</v>
      </c>
      <c r="AR397" s="348">
        <v>0</v>
      </c>
      <c r="AS397" s="348">
        <v>0</v>
      </c>
      <c r="AT397" s="352">
        <v>3.3980582524271843</v>
      </c>
      <c r="AU397" s="348">
        <v>0</v>
      </c>
      <c r="AV397" s="348">
        <v>0</v>
      </c>
      <c r="AW397" s="348">
        <v>0</v>
      </c>
      <c r="AX397" s="341">
        <v>0</v>
      </c>
      <c r="AY397" s="354" t="s">
        <v>2985</v>
      </c>
      <c r="AZ397" s="316"/>
      <c r="BA397" s="316" t="s">
        <v>2985</v>
      </c>
      <c r="BB397" s="94" t="s">
        <v>2985</v>
      </c>
      <c r="BC397" s="341" t="s">
        <v>521</v>
      </c>
      <c r="BD397" s="520" t="s">
        <v>2985</v>
      </c>
      <c r="BE397" s="316" t="s">
        <v>2985</v>
      </c>
      <c r="BF397" s="316"/>
      <c r="BG397" s="391" t="s">
        <v>2985</v>
      </c>
      <c r="BH397" s="429" t="s">
        <v>2985</v>
      </c>
      <c r="BI397" s="303">
        <v>99</v>
      </c>
      <c r="BJ397" s="307">
        <v>0.23</v>
      </c>
      <c r="BK397" s="307">
        <v>30</v>
      </c>
      <c r="BL397" s="307">
        <v>30</v>
      </c>
      <c r="BM397" s="507" t="s">
        <v>2985</v>
      </c>
      <c r="BN397" s="307">
        <v>99</v>
      </c>
      <c r="BO397" s="332" t="s">
        <v>2985</v>
      </c>
      <c r="BP397" s="228"/>
      <c r="BS397" s="321"/>
    </row>
    <row r="398" spans="1:71" s="322" customFormat="1">
      <c r="A398" s="457">
        <v>1738</v>
      </c>
      <c r="B398" s="534" t="s">
        <v>3624</v>
      </c>
      <c r="C398" s="383"/>
      <c r="D398" s="383"/>
      <c r="E398" s="469"/>
      <c r="F398" s="303" t="s">
        <v>2366</v>
      </c>
      <c r="G398" s="386" t="s">
        <v>1746</v>
      </c>
      <c r="H398" s="454" t="s">
        <v>1747</v>
      </c>
      <c r="I398" s="338" t="s">
        <v>3377</v>
      </c>
      <c r="J398" s="348">
        <v>1996</v>
      </c>
      <c r="K398" s="355" t="s">
        <v>2985</v>
      </c>
      <c r="L398" s="340" t="s">
        <v>1738</v>
      </c>
      <c r="M398" s="341" t="s">
        <v>1739</v>
      </c>
      <c r="N398" s="517" t="s">
        <v>2985</v>
      </c>
      <c r="O398" s="412">
        <v>0.35</v>
      </c>
      <c r="P398" s="408" t="s">
        <v>2985</v>
      </c>
      <c r="Q398" s="408" t="s">
        <v>2985</v>
      </c>
      <c r="R398" s="408" t="s">
        <v>2985</v>
      </c>
      <c r="S398" s="411" t="s">
        <v>2985</v>
      </c>
      <c r="T398" s="318" t="s">
        <v>2985</v>
      </c>
      <c r="U398" s="318" t="s">
        <v>2985</v>
      </c>
      <c r="V398" s="408" t="s">
        <v>2985</v>
      </c>
      <c r="W398" s="408" t="s">
        <v>2985</v>
      </c>
      <c r="X398" s="313" t="s">
        <v>12</v>
      </c>
      <c r="Y398" s="239" t="s">
        <v>12</v>
      </c>
      <c r="Z398" s="314" t="s">
        <v>2985</v>
      </c>
      <c r="AA398" s="311" t="s">
        <v>3538</v>
      </c>
      <c r="AB398" s="341" t="s">
        <v>2364</v>
      </c>
      <c r="AC398" s="161" t="s">
        <v>2985</v>
      </c>
      <c r="AD398" s="511" t="s">
        <v>2985</v>
      </c>
      <c r="AE398" s="316" t="s">
        <v>2985</v>
      </c>
      <c r="AF398" s="348" t="s">
        <v>521</v>
      </c>
      <c r="AG398" s="262" t="s">
        <v>2985</v>
      </c>
      <c r="AH398" s="344">
        <v>94.339622641509436</v>
      </c>
      <c r="AI398" s="352">
        <v>5.6603773584905666</v>
      </c>
      <c r="AJ398" s="395">
        <v>0</v>
      </c>
      <c r="AK398" s="365">
        <v>0</v>
      </c>
      <c r="AL398" s="365">
        <v>0</v>
      </c>
      <c r="AM398" s="365">
        <v>0</v>
      </c>
      <c r="AN398" s="353">
        <v>0</v>
      </c>
      <c r="AO398" s="353">
        <v>0</v>
      </c>
      <c r="AP398" s="348">
        <v>0</v>
      </c>
      <c r="AQ398" s="348">
        <v>0</v>
      </c>
      <c r="AR398" s="348">
        <v>0</v>
      </c>
      <c r="AS398" s="348">
        <v>0</v>
      </c>
      <c r="AT398" s="352">
        <v>3.3018867924528301</v>
      </c>
      <c r="AU398" s="348">
        <v>0</v>
      </c>
      <c r="AV398" s="348">
        <v>0</v>
      </c>
      <c r="AW398" s="348">
        <v>0</v>
      </c>
      <c r="AX398" s="341">
        <v>0</v>
      </c>
      <c r="AY398" s="354" t="s">
        <v>2985</v>
      </c>
      <c r="AZ398" s="316"/>
      <c r="BA398" s="316" t="s">
        <v>2985</v>
      </c>
      <c r="BB398" s="94" t="s">
        <v>2985</v>
      </c>
      <c r="BC398" s="341" t="s">
        <v>521</v>
      </c>
      <c r="BD398" s="520" t="s">
        <v>2985</v>
      </c>
      <c r="BE398" s="316" t="s">
        <v>2985</v>
      </c>
      <c r="BF398" s="316"/>
      <c r="BG398" s="391" t="s">
        <v>2985</v>
      </c>
      <c r="BH398" s="429" t="s">
        <v>2985</v>
      </c>
      <c r="BI398" s="303">
        <v>99</v>
      </c>
      <c r="BJ398" s="307">
        <v>0.22</v>
      </c>
      <c r="BK398" s="307">
        <v>30</v>
      </c>
      <c r="BL398" s="307">
        <v>30</v>
      </c>
      <c r="BM398" s="507" t="s">
        <v>2985</v>
      </c>
      <c r="BN398" s="307">
        <v>99</v>
      </c>
      <c r="BO398" s="332" t="s">
        <v>2985</v>
      </c>
      <c r="BP398" s="228"/>
      <c r="BS398" s="321"/>
    </row>
    <row r="399" spans="1:71" s="322" customFormat="1">
      <c r="A399" s="457">
        <v>1739</v>
      </c>
      <c r="B399" s="534" t="s">
        <v>3624</v>
      </c>
      <c r="C399" s="383"/>
      <c r="D399" s="383"/>
      <c r="E399" s="469"/>
      <c r="F399" s="303" t="s">
        <v>2367</v>
      </c>
      <c r="G399" s="386" t="s">
        <v>1746</v>
      </c>
      <c r="H399" s="454" t="s">
        <v>1747</v>
      </c>
      <c r="I399" s="338" t="s">
        <v>3377</v>
      </c>
      <c r="J399" s="348">
        <v>1996</v>
      </c>
      <c r="K399" s="355" t="s">
        <v>2985</v>
      </c>
      <c r="L399" s="340" t="s">
        <v>1738</v>
      </c>
      <c r="M399" s="341" t="s">
        <v>1739</v>
      </c>
      <c r="N399" s="447" t="s">
        <v>2985</v>
      </c>
      <c r="O399" s="703">
        <v>0.35</v>
      </c>
      <c r="P399" s="408" t="s">
        <v>2985</v>
      </c>
      <c r="Q399" s="408" t="s">
        <v>2985</v>
      </c>
      <c r="R399" s="408" t="s">
        <v>2985</v>
      </c>
      <c r="S399" s="411" t="s">
        <v>2985</v>
      </c>
      <c r="T399" s="318" t="s">
        <v>2985</v>
      </c>
      <c r="U399" s="318" t="s">
        <v>2985</v>
      </c>
      <c r="V399" s="408" t="s">
        <v>2985</v>
      </c>
      <c r="W399" s="408" t="s">
        <v>2985</v>
      </c>
      <c r="X399" s="313" t="s">
        <v>12</v>
      </c>
      <c r="Y399" s="239" t="s">
        <v>12</v>
      </c>
      <c r="Z399" s="314" t="s">
        <v>2985</v>
      </c>
      <c r="AA399" s="311" t="s">
        <v>3538</v>
      </c>
      <c r="AB399" s="341" t="s">
        <v>2364</v>
      </c>
      <c r="AC399" s="161" t="s">
        <v>2985</v>
      </c>
      <c r="AD399" s="511" t="s">
        <v>2985</v>
      </c>
      <c r="AE399" s="316" t="s">
        <v>2985</v>
      </c>
      <c r="AF399" s="348" t="s">
        <v>521</v>
      </c>
      <c r="AG399" s="262" t="s">
        <v>2985</v>
      </c>
      <c r="AH399" s="344">
        <v>90.909090909090907</v>
      </c>
      <c r="AI399" s="352">
        <v>9.0909090909090917</v>
      </c>
      <c r="AJ399" s="395">
        <v>0</v>
      </c>
      <c r="AK399" s="365">
        <v>0</v>
      </c>
      <c r="AL399" s="365">
        <v>0</v>
      </c>
      <c r="AM399" s="365">
        <v>0</v>
      </c>
      <c r="AN399" s="353">
        <v>0</v>
      </c>
      <c r="AO399" s="353">
        <v>0</v>
      </c>
      <c r="AP399" s="348">
        <v>0</v>
      </c>
      <c r="AQ399" s="348">
        <v>0</v>
      </c>
      <c r="AR399" s="348">
        <v>0</v>
      </c>
      <c r="AS399" s="348">
        <v>0</v>
      </c>
      <c r="AT399" s="352">
        <v>3.1818181818181817</v>
      </c>
      <c r="AU399" s="348">
        <v>0</v>
      </c>
      <c r="AV399" s="348">
        <v>0</v>
      </c>
      <c r="AW399" s="348">
        <v>0</v>
      </c>
      <c r="AX399" s="341">
        <v>0</v>
      </c>
      <c r="AY399" s="354" t="s">
        <v>2985</v>
      </c>
      <c r="AZ399" s="316"/>
      <c r="BA399" s="316" t="s">
        <v>2985</v>
      </c>
      <c r="BB399" s="507" t="s">
        <v>2985</v>
      </c>
      <c r="BC399" s="341" t="s">
        <v>521</v>
      </c>
      <c r="BD399" s="520" t="s">
        <v>2985</v>
      </c>
      <c r="BE399" s="316" t="s">
        <v>2985</v>
      </c>
      <c r="BF399" s="316"/>
      <c r="BG399" s="391" t="s">
        <v>2985</v>
      </c>
      <c r="BH399" s="429" t="s">
        <v>2985</v>
      </c>
      <c r="BI399" s="303">
        <v>99</v>
      </c>
      <c r="BJ399" s="307">
        <v>0.22</v>
      </c>
      <c r="BK399" s="307">
        <v>30</v>
      </c>
      <c r="BL399" s="307">
        <v>30</v>
      </c>
      <c r="BM399" s="507" t="s">
        <v>2985</v>
      </c>
      <c r="BN399" s="307">
        <v>99</v>
      </c>
      <c r="BO399" s="332" t="s">
        <v>2985</v>
      </c>
      <c r="BP399" s="228"/>
      <c r="BS399" s="321"/>
    </row>
    <row r="400" spans="1:71" s="322" customFormat="1">
      <c r="A400" s="457">
        <v>1740</v>
      </c>
      <c r="B400" s="533" t="s">
        <v>3614</v>
      </c>
      <c r="C400" s="383"/>
      <c r="D400" s="383"/>
      <c r="E400" s="469"/>
      <c r="F400" s="303" t="s">
        <v>2368</v>
      </c>
      <c r="G400" s="386" t="s">
        <v>2369</v>
      </c>
      <c r="H400" s="454" t="s">
        <v>256</v>
      </c>
      <c r="I400" s="338" t="s">
        <v>3377</v>
      </c>
      <c r="J400" s="348">
        <v>2011</v>
      </c>
      <c r="K400" s="355" t="s">
        <v>2985</v>
      </c>
      <c r="L400" s="340" t="s">
        <v>1738</v>
      </c>
      <c r="M400" s="341" t="s">
        <v>1739</v>
      </c>
      <c r="N400" s="446">
        <f>R400/T400</f>
        <v>0.52499999999999991</v>
      </c>
      <c r="O400" s="323">
        <v>0.63</v>
      </c>
      <c r="P400" s="308">
        <v>6.42</v>
      </c>
      <c r="Q400" s="310">
        <f>U400/T400</f>
        <v>5.35</v>
      </c>
      <c r="R400" s="377">
        <f>O400*S400</f>
        <v>181.44</v>
      </c>
      <c r="S400" s="407">
        <v>288</v>
      </c>
      <c r="T400" s="377">
        <f>(((SUM(AI400:AR400)/100)*(S400))+S400)</f>
        <v>345.6</v>
      </c>
      <c r="U400" s="377">
        <f>P400*S400</f>
        <v>1848.96</v>
      </c>
      <c r="V400" s="408" t="s">
        <v>2985</v>
      </c>
      <c r="W400" s="408" t="s">
        <v>2985</v>
      </c>
      <c r="X400" s="303" t="s">
        <v>12</v>
      </c>
      <c r="Y400" s="307" t="s">
        <v>12</v>
      </c>
      <c r="Z400" s="317" t="s">
        <v>2985</v>
      </c>
      <c r="AA400" s="311" t="s">
        <v>3525</v>
      </c>
      <c r="AB400" s="304" t="s">
        <v>2370</v>
      </c>
      <c r="AC400" s="441" t="s">
        <v>2985</v>
      </c>
      <c r="AD400" s="515" t="s">
        <v>2985</v>
      </c>
      <c r="AE400" s="348" t="s">
        <v>2306</v>
      </c>
      <c r="AF400" s="348" t="s">
        <v>2347</v>
      </c>
      <c r="AG400" s="262" t="s">
        <v>2985</v>
      </c>
      <c r="AH400" s="351">
        <v>80</v>
      </c>
      <c r="AI400" s="348">
        <v>0</v>
      </c>
      <c r="AJ400" s="356">
        <v>20</v>
      </c>
      <c r="AK400" s="348">
        <v>0</v>
      </c>
      <c r="AL400" s="348">
        <v>0</v>
      </c>
      <c r="AM400" s="348">
        <v>0</v>
      </c>
      <c r="AN400" s="348">
        <v>0</v>
      </c>
      <c r="AO400" s="348">
        <v>0</v>
      </c>
      <c r="AP400" s="307">
        <v>0</v>
      </c>
      <c r="AQ400" s="348">
        <v>0</v>
      </c>
      <c r="AR400" s="348">
        <v>0</v>
      </c>
      <c r="AS400" s="365">
        <v>0</v>
      </c>
      <c r="AT400" s="356">
        <v>0</v>
      </c>
      <c r="AU400" s="365">
        <v>0</v>
      </c>
      <c r="AV400" s="365">
        <v>0</v>
      </c>
      <c r="AW400" s="348">
        <v>0</v>
      </c>
      <c r="AX400" s="341">
        <v>0</v>
      </c>
      <c r="AY400" s="340">
        <v>34.1</v>
      </c>
      <c r="AZ400" s="348"/>
      <c r="BA400" s="316" t="s">
        <v>2985</v>
      </c>
      <c r="BB400" s="348">
        <v>24.2</v>
      </c>
      <c r="BC400" s="341" t="s">
        <v>521</v>
      </c>
      <c r="BD400" s="360" t="s">
        <v>3544</v>
      </c>
      <c r="BE400" s="348">
        <v>100</v>
      </c>
      <c r="BF400" s="348"/>
      <c r="BG400" s="348">
        <v>400</v>
      </c>
      <c r="BH400" s="427">
        <v>22.222222222222221</v>
      </c>
      <c r="BI400" s="303">
        <v>99</v>
      </c>
      <c r="BJ400" s="307">
        <v>0</v>
      </c>
      <c r="BK400" s="312" t="s">
        <v>521</v>
      </c>
      <c r="BL400" s="307" t="s">
        <v>521</v>
      </c>
      <c r="BM400" s="312" t="s">
        <v>521</v>
      </c>
      <c r="BN400" s="307">
        <v>99</v>
      </c>
      <c r="BO400" s="433" t="s">
        <v>2985</v>
      </c>
      <c r="BP400" s="343" t="s">
        <v>3460</v>
      </c>
      <c r="BS400" s="321"/>
    </row>
    <row r="401" spans="1:71" s="322" customFormat="1">
      <c r="A401" s="457">
        <v>1741</v>
      </c>
      <c r="B401" s="534" t="s">
        <v>3603</v>
      </c>
      <c r="C401" s="383"/>
      <c r="D401" s="383"/>
      <c r="E401" s="469"/>
      <c r="F401" s="303" t="s">
        <v>2371</v>
      </c>
      <c r="G401" s="386" t="s">
        <v>2369</v>
      </c>
      <c r="H401" s="454" t="s">
        <v>256</v>
      </c>
      <c r="I401" s="338" t="s">
        <v>3377</v>
      </c>
      <c r="J401" s="348">
        <v>2011</v>
      </c>
      <c r="K401" s="355" t="s">
        <v>2985</v>
      </c>
      <c r="L401" s="340" t="s">
        <v>1738</v>
      </c>
      <c r="M401" s="341" t="s">
        <v>1739</v>
      </c>
      <c r="N401" s="449">
        <f>R401/T401</f>
        <v>0.30024590163934428</v>
      </c>
      <c r="O401" s="412">
        <v>0.33</v>
      </c>
      <c r="P401" s="410">
        <v>3.82</v>
      </c>
      <c r="Q401" s="310">
        <f>U401/T401</f>
        <v>3.4755737704918035</v>
      </c>
      <c r="R401" s="377">
        <f>O401*S401</f>
        <v>148.5</v>
      </c>
      <c r="S401" s="708">
        <v>450</v>
      </c>
      <c r="T401" s="377">
        <f>(((SUM(AI401:AR401)/100)*(S401))+S401)</f>
        <v>494.59459459459458</v>
      </c>
      <c r="U401" s="377">
        <f>P401*S401</f>
        <v>1719</v>
      </c>
      <c r="V401" s="408" t="s">
        <v>2985</v>
      </c>
      <c r="W401" s="408" t="s">
        <v>2985</v>
      </c>
      <c r="X401" s="313" t="s">
        <v>12</v>
      </c>
      <c r="Y401" s="239" t="s">
        <v>12</v>
      </c>
      <c r="Z401" s="314" t="s">
        <v>2985</v>
      </c>
      <c r="AA401" s="311" t="s">
        <v>3538</v>
      </c>
      <c r="AB401" s="341" t="s">
        <v>2370</v>
      </c>
      <c r="AC401" s="161" t="s">
        <v>2985</v>
      </c>
      <c r="AD401" s="512" t="s">
        <v>2307</v>
      </c>
      <c r="AE401" s="214" t="s">
        <v>2306</v>
      </c>
      <c r="AF401" s="348" t="s">
        <v>2347</v>
      </c>
      <c r="AG401" s="262" t="s">
        <v>2985</v>
      </c>
      <c r="AH401" s="344">
        <v>90.090090090090087</v>
      </c>
      <c r="AI401" s="404">
        <v>9.9099099099099099</v>
      </c>
      <c r="AJ401" s="395">
        <v>0</v>
      </c>
      <c r="AK401" s="365">
        <v>0</v>
      </c>
      <c r="AL401" s="365">
        <v>0</v>
      </c>
      <c r="AM401" s="365">
        <v>0</v>
      </c>
      <c r="AN401" s="353">
        <v>0</v>
      </c>
      <c r="AO401" s="353">
        <v>0</v>
      </c>
      <c r="AP401" s="348">
        <v>0</v>
      </c>
      <c r="AQ401" s="348">
        <v>0</v>
      </c>
      <c r="AR401" s="348">
        <v>0</v>
      </c>
      <c r="AS401" s="348">
        <v>0</v>
      </c>
      <c r="AT401" s="353">
        <v>0</v>
      </c>
      <c r="AU401" s="348">
        <v>0</v>
      </c>
      <c r="AV401" s="348">
        <v>0</v>
      </c>
      <c r="AW401" s="348">
        <v>0</v>
      </c>
      <c r="AX401" s="341">
        <v>0</v>
      </c>
      <c r="AY401" s="227">
        <v>88.7</v>
      </c>
      <c r="AZ401" s="358"/>
      <c r="BA401" s="316" t="s">
        <v>2985</v>
      </c>
      <c r="BB401" s="507" t="s">
        <v>2985</v>
      </c>
      <c r="BC401" s="341" t="s">
        <v>521</v>
      </c>
      <c r="BD401" s="360" t="s">
        <v>3544</v>
      </c>
      <c r="BE401" s="229">
        <v>100</v>
      </c>
      <c r="BF401" s="214"/>
      <c r="BG401" s="214">
        <v>400</v>
      </c>
      <c r="BH401" s="390">
        <f>IF(ISBLANK(BF401),(BE401*BG401)/((4*BG401)+(2*BE401)),BE401*BF401*BG401/2/(BE401*BF401+BE401*BG401+BF401*BG401))</f>
        <v>22.222222222222221</v>
      </c>
      <c r="BI401" s="303">
        <v>99</v>
      </c>
      <c r="BJ401" s="307">
        <v>0</v>
      </c>
      <c r="BK401" s="507" t="s">
        <v>2985</v>
      </c>
      <c r="BL401" s="507">
        <v>23.394310000000001</v>
      </c>
      <c r="BM401" s="507" t="s">
        <v>2985</v>
      </c>
      <c r="BN401" s="307">
        <v>99</v>
      </c>
      <c r="BO401" s="332" t="s">
        <v>2985</v>
      </c>
      <c r="BP401" s="350" t="s">
        <v>3460</v>
      </c>
      <c r="BS401" s="321"/>
    </row>
    <row r="402" spans="1:71" s="322" customFormat="1">
      <c r="A402" s="457">
        <v>1742</v>
      </c>
      <c r="B402" s="534" t="s">
        <v>3624</v>
      </c>
      <c r="C402" s="383"/>
      <c r="D402" s="383"/>
      <c r="E402" s="469"/>
      <c r="F402" s="303" t="s">
        <v>2372</v>
      </c>
      <c r="G402" s="386" t="s">
        <v>2373</v>
      </c>
      <c r="H402" s="454" t="s">
        <v>253</v>
      </c>
      <c r="I402" s="338" t="s">
        <v>3377</v>
      </c>
      <c r="J402" s="348">
        <v>1997</v>
      </c>
      <c r="K402" s="355" t="s">
        <v>2985</v>
      </c>
      <c r="L402" s="340" t="s">
        <v>1738</v>
      </c>
      <c r="M402" s="341" t="s">
        <v>1739</v>
      </c>
      <c r="N402" s="517" t="s">
        <v>2985</v>
      </c>
      <c r="O402" s="412">
        <v>0.3</v>
      </c>
      <c r="P402" s="408" t="s">
        <v>2985</v>
      </c>
      <c r="Q402" s="408" t="s">
        <v>2985</v>
      </c>
      <c r="R402" s="408" t="s">
        <v>2985</v>
      </c>
      <c r="S402" s="411" t="s">
        <v>2985</v>
      </c>
      <c r="T402" s="318" t="s">
        <v>2985</v>
      </c>
      <c r="U402" s="318" t="s">
        <v>2985</v>
      </c>
      <c r="V402" s="408" t="s">
        <v>2985</v>
      </c>
      <c r="W402" s="408" t="s">
        <v>2985</v>
      </c>
      <c r="X402" s="313" t="s">
        <v>12</v>
      </c>
      <c r="Y402" s="307" t="s">
        <v>521</v>
      </c>
      <c r="Z402" s="314" t="s">
        <v>2985</v>
      </c>
      <c r="AA402" s="311" t="s">
        <v>1754</v>
      </c>
      <c r="AB402" s="341" t="s">
        <v>521</v>
      </c>
      <c r="AC402" s="161" t="s">
        <v>2985</v>
      </c>
      <c r="AD402" s="511" t="s">
        <v>2985</v>
      </c>
      <c r="AE402" s="316" t="s">
        <v>2985</v>
      </c>
      <c r="AF402" s="348" t="s">
        <v>521</v>
      </c>
      <c r="AG402" s="262" t="s">
        <v>2985</v>
      </c>
      <c r="AH402" s="344">
        <v>100</v>
      </c>
      <c r="AI402" s="353">
        <v>0</v>
      </c>
      <c r="AJ402" s="395">
        <v>0</v>
      </c>
      <c r="AK402" s="365">
        <v>0</v>
      </c>
      <c r="AL402" s="365">
        <v>0</v>
      </c>
      <c r="AM402" s="365">
        <v>0</v>
      </c>
      <c r="AN402" s="353">
        <v>0</v>
      </c>
      <c r="AO402" s="353">
        <v>0</v>
      </c>
      <c r="AP402" s="348">
        <v>0</v>
      </c>
      <c r="AQ402" s="348">
        <v>0</v>
      </c>
      <c r="AR402" s="348">
        <v>0</v>
      </c>
      <c r="AS402" s="348">
        <v>0</v>
      </c>
      <c r="AT402" s="353">
        <v>0</v>
      </c>
      <c r="AU402" s="348">
        <v>0</v>
      </c>
      <c r="AV402" s="348">
        <v>0</v>
      </c>
      <c r="AW402" s="348">
        <v>0</v>
      </c>
      <c r="AX402" s="341">
        <v>0</v>
      </c>
      <c r="AY402" s="354" t="s">
        <v>2985</v>
      </c>
      <c r="AZ402" s="316"/>
      <c r="BA402" s="316" t="s">
        <v>2985</v>
      </c>
      <c r="BB402" s="507" t="s">
        <v>2985</v>
      </c>
      <c r="BC402" s="341" t="s">
        <v>521</v>
      </c>
      <c r="BD402" s="520" t="s">
        <v>2985</v>
      </c>
      <c r="BE402" s="316" t="s">
        <v>2985</v>
      </c>
      <c r="BF402" s="316"/>
      <c r="BG402" s="391" t="s">
        <v>2985</v>
      </c>
      <c r="BH402" s="429" t="s">
        <v>2985</v>
      </c>
      <c r="BI402" s="330" t="s">
        <v>2985</v>
      </c>
      <c r="BJ402" s="507" t="s">
        <v>2985</v>
      </c>
      <c r="BK402" s="507" t="s">
        <v>2985</v>
      </c>
      <c r="BL402" s="507" t="s">
        <v>2985</v>
      </c>
      <c r="BM402" s="507" t="s">
        <v>2985</v>
      </c>
      <c r="BN402" s="507" t="s">
        <v>2985</v>
      </c>
      <c r="BO402" s="332" t="s">
        <v>2985</v>
      </c>
      <c r="BP402" s="228"/>
      <c r="BS402" s="321"/>
    </row>
    <row r="403" spans="1:71" s="322" customFormat="1">
      <c r="A403" s="457">
        <v>1743</v>
      </c>
      <c r="B403" s="534" t="s">
        <v>3624</v>
      </c>
      <c r="C403" s="383"/>
      <c r="D403" s="383"/>
      <c r="E403" s="469"/>
      <c r="F403" s="303" t="s">
        <v>2374</v>
      </c>
      <c r="G403" s="386" t="s">
        <v>2373</v>
      </c>
      <c r="H403" s="454" t="s">
        <v>253</v>
      </c>
      <c r="I403" s="338" t="s">
        <v>3377</v>
      </c>
      <c r="J403" s="348">
        <v>1997</v>
      </c>
      <c r="K403" s="355" t="s">
        <v>2985</v>
      </c>
      <c r="L403" s="340" t="s">
        <v>1738</v>
      </c>
      <c r="M403" s="341" t="s">
        <v>1739</v>
      </c>
      <c r="N403" s="517" t="s">
        <v>2985</v>
      </c>
      <c r="O403" s="412">
        <v>0.4</v>
      </c>
      <c r="P403" s="408" t="s">
        <v>2985</v>
      </c>
      <c r="Q403" s="408" t="s">
        <v>2985</v>
      </c>
      <c r="R403" s="408" t="s">
        <v>2985</v>
      </c>
      <c r="S403" s="411" t="s">
        <v>2985</v>
      </c>
      <c r="T403" s="318" t="s">
        <v>2985</v>
      </c>
      <c r="U403" s="318" t="s">
        <v>2985</v>
      </c>
      <c r="V403" s="408" t="s">
        <v>2985</v>
      </c>
      <c r="W403" s="408" t="s">
        <v>2985</v>
      </c>
      <c r="X403" s="313" t="s">
        <v>12</v>
      </c>
      <c r="Y403" s="307" t="s">
        <v>521</v>
      </c>
      <c r="Z403" s="314" t="s">
        <v>2985</v>
      </c>
      <c r="AA403" s="311" t="s">
        <v>1754</v>
      </c>
      <c r="AB403" s="341" t="s">
        <v>521</v>
      </c>
      <c r="AC403" s="161" t="s">
        <v>2985</v>
      </c>
      <c r="AD403" s="511" t="s">
        <v>2985</v>
      </c>
      <c r="AE403" s="316" t="s">
        <v>2985</v>
      </c>
      <c r="AF403" s="348" t="s">
        <v>521</v>
      </c>
      <c r="AG403" s="262" t="s">
        <v>2985</v>
      </c>
      <c r="AH403" s="344">
        <v>100</v>
      </c>
      <c r="AI403" s="353">
        <v>0</v>
      </c>
      <c r="AJ403" s="395">
        <v>0</v>
      </c>
      <c r="AK403" s="365">
        <v>0</v>
      </c>
      <c r="AL403" s="365">
        <v>0</v>
      </c>
      <c r="AM403" s="365">
        <v>0</v>
      </c>
      <c r="AN403" s="353">
        <v>0</v>
      </c>
      <c r="AO403" s="353">
        <v>0</v>
      </c>
      <c r="AP403" s="348">
        <v>0</v>
      </c>
      <c r="AQ403" s="348">
        <v>0</v>
      </c>
      <c r="AR403" s="348">
        <v>0</v>
      </c>
      <c r="AS403" s="348">
        <v>0</v>
      </c>
      <c r="AT403" s="353">
        <v>0</v>
      </c>
      <c r="AU403" s="348">
        <v>0</v>
      </c>
      <c r="AV403" s="348">
        <v>0</v>
      </c>
      <c r="AW403" s="348">
        <v>0</v>
      </c>
      <c r="AX403" s="341">
        <v>0</v>
      </c>
      <c r="AY403" s="354" t="s">
        <v>2985</v>
      </c>
      <c r="AZ403" s="316"/>
      <c r="BA403" s="316" t="s">
        <v>2985</v>
      </c>
      <c r="BB403" s="507" t="s">
        <v>2985</v>
      </c>
      <c r="BC403" s="341" t="s">
        <v>521</v>
      </c>
      <c r="BD403" s="520" t="s">
        <v>2985</v>
      </c>
      <c r="BE403" s="316" t="s">
        <v>2985</v>
      </c>
      <c r="BF403" s="316"/>
      <c r="BG403" s="391" t="s">
        <v>2985</v>
      </c>
      <c r="BH403" s="429" t="s">
        <v>2985</v>
      </c>
      <c r="BI403" s="330" t="s">
        <v>2985</v>
      </c>
      <c r="BJ403" s="507" t="s">
        <v>2985</v>
      </c>
      <c r="BK403" s="507" t="s">
        <v>2985</v>
      </c>
      <c r="BL403" s="507" t="s">
        <v>2985</v>
      </c>
      <c r="BM403" s="507" t="s">
        <v>2985</v>
      </c>
      <c r="BN403" s="507" t="s">
        <v>2985</v>
      </c>
      <c r="BO403" s="332" t="s">
        <v>2985</v>
      </c>
      <c r="BP403" s="228"/>
      <c r="BS403" s="321"/>
    </row>
    <row r="404" spans="1:71" s="322" customFormat="1">
      <c r="A404" s="457">
        <v>1745</v>
      </c>
      <c r="B404" s="533" t="s">
        <v>3614</v>
      </c>
      <c r="C404" s="383"/>
      <c r="D404" s="466" t="s">
        <v>3590</v>
      </c>
      <c r="E404" s="469"/>
      <c r="F404" s="303" t="s">
        <v>2376</v>
      </c>
      <c r="G404" s="386" t="s">
        <v>433</v>
      </c>
      <c r="H404" s="454" t="s">
        <v>446</v>
      </c>
      <c r="I404" s="338" t="s">
        <v>3377</v>
      </c>
      <c r="J404" s="348">
        <v>2003</v>
      </c>
      <c r="K404" s="355" t="s">
        <v>2985</v>
      </c>
      <c r="L404" s="340" t="s">
        <v>1738</v>
      </c>
      <c r="M404" s="341" t="s">
        <v>1739</v>
      </c>
      <c r="N404" s="449">
        <f t="shared" ref="N404:N415" si="84">R404/T404</f>
        <v>0.5</v>
      </c>
      <c r="O404" s="307">
        <v>0.5</v>
      </c>
      <c r="P404" s="308">
        <v>4.6567567567567565</v>
      </c>
      <c r="Q404" s="310">
        <f t="shared" ref="Q404:Q415" si="85">U404/T404</f>
        <v>4.6567567567567565</v>
      </c>
      <c r="R404" s="377">
        <f t="shared" ref="R404:R415" si="86">O404*S404</f>
        <v>185</v>
      </c>
      <c r="S404" s="407">
        <v>370</v>
      </c>
      <c r="T404" s="377">
        <f t="shared" ref="T404:T415" si="87">(((SUM(AI404:AR404)/100)*(S404))+S404)</f>
        <v>370</v>
      </c>
      <c r="U404" s="377">
        <f t="shared" ref="U404:U415" si="88">P404*S404</f>
        <v>1723</v>
      </c>
      <c r="V404" s="408" t="s">
        <v>2985</v>
      </c>
      <c r="W404" s="408" t="s">
        <v>2985</v>
      </c>
      <c r="X404" s="303" t="s">
        <v>12</v>
      </c>
      <c r="Y404" s="307" t="s">
        <v>12</v>
      </c>
      <c r="Z404" s="317" t="s">
        <v>2985</v>
      </c>
      <c r="AA404" s="311" t="s">
        <v>1754</v>
      </c>
      <c r="AB404" s="304" t="s">
        <v>2377</v>
      </c>
      <c r="AC404" s="441" t="s">
        <v>2985</v>
      </c>
      <c r="AD404" s="515" t="s">
        <v>2985</v>
      </c>
      <c r="AE404" s="348" t="s">
        <v>2306</v>
      </c>
      <c r="AF404" s="348" t="s">
        <v>2312</v>
      </c>
      <c r="AG404" s="262" t="s">
        <v>2985</v>
      </c>
      <c r="AH404" s="351">
        <v>100</v>
      </c>
      <c r="AI404" s="348">
        <v>0</v>
      </c>
      <c r="AJ404" s="348">
        <v>0</v>
      </c>
      <c r="AK404" s="348">
        <v>0</v>
      </c>
      <c r="AL404" s="348">
        <v>0</v>
      </c>
      <c r="AM404" s="348">
        <v>0</v>
      </c>
      <c r="AN404" s="348">
        <v>0</v>
      </c>
      <c r="AO404" s="348">
        <v>0</v>
      </c>
      <c r="AP404" s="307">
        <v>0</v>
      </c>
      <c r="AQ404" s="348">
        <v>0</v>
      </c>
      <c r="AR404" s="348">
        <v>0</v>
      </c>
      <c r="AS404" s="365">
        <v>0</v>
      </c>
      <c r="AT404" s="365">
        <v>0</v>
      </c>
      <c r="AU404" s="365">
        <v>0</v>
      </c>
      <c r="AV404" s="365">
        <v>0</v>
      </c>
      <c r="AW404" s="348">
        <v>0</v>
      </c>
      <c r="AX404" s="341">
        <v>0</v>
      </c>
      <c r="AY404" s="340">
        <v>31.1</v>
      </c>
      <c r="AZ404" s="348"/>
      <c r="BA404" s="316" t="s">
        <v>2985</v>
      </c>
      <c r="BB404" s="348">
        <v>9.6</v>
      </c>
      <c r="BC404" s="341">
        <v>26.9</v>
      </c>
      <c r="BD404" s="360" t="s">
        <v>3544</v>
      </c>
      <c r="BE404" s="348">
        <v>100</v>
      </c>
      <c r="BF404" s="348"/>
      <c r="BG404" s="348">
        <v>400</v>
      </c>
      <c r="BH404" s="427">
        <v>22.222222222222221</v>
      </c>
      <c r="BI404" s="303">
        <v>99</v>
      </c>
      <c r="BJ404" s="307">
        <v>0.25</v>
      </c>
      <c r="BK404" s="312">
        <v>20</v>
      </c>
      <c r="BL404" s="307">
        <v>20</v>
      </c>
      <c r="BM404" s="312" t="s">
        <v>521</v>
      </c>
      <c r="BN404" s="307">
        <v>99</v>
      </c>
      <c r="BO404" s="433" t="s">
        <v>2985</v>
      </c>
      <c r="BP404" s="343" t="s">
        <v>2378</v>
      </c>
      <c r="BS404" s="321"/>
    </row>
    <row r="405" spans="1:71" s="322" customFormat="1" ht="18">
      <c r="A405" s="457">
        <v>1746</v>
      </c>
      <c r="B405" s="533" t="s">
        <v>3634</v>
      </c>
      <c r="C405" s="383"/>
      <c r="D405" s="466" t="s">
        <v>3590</v>
      </c>
      <c r="E405" s="469"/>
      <c r="F405" s="303" t="s">
        <v>2379</v>
      </c>
      <c r="G405" s="386" t="s">
        <v>433</v>
      </c>
      <c r="H405" s="454" t="s">
        <v>446</v>
      </c>
      <c r="I405" s="338" t="s">
        <v>3377</v>
      </c>
      <c r="J405" s="348">
        <v>2003</v>
      </c>
      <c r="K405" s="355" t="s">
        <v>2985</v>
      </c>
      <c r="L405" s="340" t="s">
        <v>1738</v>
      </c>
      <c r="M405" s="341" t="s">
        <v>1739</v>
      </c>
      <c r="N405" s="449">
        <f t="shared" si="84"/>
        <v>0.3511111111111111</v>
      </c>
      <c r="O405" s="412">
        <v>0.3511111111111111</v>
      </c>
      <c r="P405" s="410">
        <v>3.8511111111111109</v>
      </c>
      <c r="Q405" s="310">
        <f t="shared" si="85"/>
        <v>3.8511111111111109</v>
      </c>
      <c r="R405" s="377">
        <f t="shared" si="86"/>
        <v>158</v>
      </c>
      <c r="S405" s="407">
        <v>450</v>
      </c>
      <c r="T405" s="377">
        <f t="shared" si="87"/>
        <v>450</v>
      </c>
      <c r="U405" s="377">
        <f t="shared" si="88"/>
        <v>1733</v>
      </c>
      <c r="V405" s="408" t="s">
        <v>2985</v>
      </c>
      <c r="W405" s="408" t="s">
        <v>2985</v>
      </c>
      <c r="X405" s="313" t="s">
        <v>12</v>
      </c>
      <c r="Y405" s="239" t="s">
        <v>12</v>
      </c>
      <c r="Z405" s="317" t="s">
        <v>2985</v>
      </c>
      <c r="AA405" s="311" t="s">
        <v>1754</v>
      </c>
      <c r="AB405" s="230" t="s">
        <v>2377</v>
      </c>
      <c r="AC405" s="161" t="s">
        <v>2985</v>
      </c>
      <c r="AD405" s="506" t="s">
        <v>2312</v>
      </c>
      <c r="AE405" s="214" t="s">
        <v>2306</v>
      </c>
      <c r="AF405" s="214" t="s">
        <v>2727</v>
      </c>
      <c r="AG405" s="262" t="s">
        <v>2985</v>
      </c>
      <c r="AH405" s="344">
        <v>100</v>
      </c>
      <c r="AI405" s="353">
        <v>0</v>
      </c>
      <c r="AJ405" s="405">
        <v>0</v>
      </c>
      <c r="AK405" s="365">
        <v>0</v>
      </c>
      <c r="AL405" s="365">
        <v>0</v>
      </c>
      <c r="AM405" s="365">
        <v>0</v>
      </c>
      <c r="AN405" s="353">
        <v>0</v>
      </c>
      <c r="AO405" s="353">
        <v>0</v>
      </c>
      <c r="AP405" s="348">
        <v>0</v>
      </c>
      <c r="AQ405" s="348">
        <v>0</v>
      </c>
      <c r="AR405" s="348">
        <v>0</v>
      </c>
      <c r="AS405" s="348">
        <v>0</v>
      </c>
      <c r="AT405" s="353">
        <v>0</v>
      </c>
      <c r="AU405" s="348">
        <v>0</v>
      </c>
      <c r="AV405" s="348">
        <v>0</v>
      </c>
      <c r="AW405" s="348">
        <v>0</v>
      </c>
      <c r="AX405" s="341">
        <v>0</v>
      </c>
      <c r="AY405" s="227">
        <v>47.1</v>
      </c>
      <c r="AZ405" s="214"/>
      <c r="BA405" s="316" t="s">
        <v>2985</v>
      </c>
      <c r="BB405" s="94" t="s">
        <v>2985</v>
      </c>
      <c r="BC405" s="230">
        <v>32.9</v>
      </c>
      <c r="BD405" s="360" t="s">
        <v>3544</v>
      </c>
      <c r="BE405" s="229">
        <v>100</v>
      </c>
      <c r="BF405" s="214"/>
      <c r="BG405" s="214">
        <v>400</v>
      </c>
      <c r="BH405" s="390">
        <f>IF(ISBLANK(BF405),(BE405*BG405)/((4*BG405)+(2*BE405)),BE405*BF405*BG405/2/(BE405*BF405+BE405*BG405+BF405*BG405))</f>
        <v>22.222222222222221</v>
      </c>
      <c r="BI405" s="303">
        <v>99</v>
      </c>
      <c r="BJ405" s="239">
        <v>0.25</v>
      </c>
      <c r="BK405" s="239">
        <v>20</v>
      </c>
      <c r="BL405" s="239">
        <v>20</v>
      </c>
      <c r="BM405" s="507" t="s">
        <v>2985</v>
      </c>
      <c r="BN405" s="307">
        <v>99</v>
      </c>
      <c r="BO405" s="332" t="s">
        <v>2985</v>
      </c>
      <c r="BP405" s="228" t="s">
        <v>2380</v>
      </c>
      <c r="BS405" s="321"/>
    </row>
    <row r="406" spans="1:71" s="322" customFormat="1" ht="18">
      <c r="A406" s="457">
        <v>1747</v>
      </c>
      <c r="B406" s="533" t="s">
        <v>3634</v>
      </c>
      <c r="C406" s="383"/>
      <c r="D406" s="466" t="s">
        <v>3590</v>
      </c>
      <c r="E406" s="469"/>
      <c r="F406" s="303" t="s">
        <v>2381</v>
      </c>
      <c r="G406" s="386" t="s">
        <v>433</v>
      </c>
      <c r="H406" s="454" t="s">
        <v>446</v>
      </c>
      <c r="I406" s="338" t="s">
        <v>3377</v>
      </c>
      <c r="J406" s="348">
        <v>2003</v>
      </c>
      <c r="K406" s="355" t="s">
        <v>2985</v>
      </c>
      <c r="L406" s="340" t="s">
        <v>1738</v>
      </c>
      <c r="M406" s="341" t="s">
        <v>1739</v>
      </c>
      <c r="N406" s="449">
        <f t="shared" si="84"/>
        <v>0.31</v>
      </c>
      <c r="O406" s="412">
        <v>0.31</v>
      </c>
      <c r="P406" s="410">
        <v>3.4</v>
      </c>
      <c r="Q406" s="310">
        <f t="shared" si="85"/>
        <v>3.4</v>
      </c>
      <c r="R406" s="377">
        <f t="shared" si="86"/>
        <v>155</v>
      </c>
      <c r="S406" s="407">
        <v>500</v>
      </c>
      <c r="T406" s="377">
        <f t="shared" si="87"/>
        <v>500</v>
      </c>
      <c r="U406" s="377">
        <f t="shared" si="88"/>
        <v>1700</v>
      </c>
      <c r="V406" s="408" t="s">
        <v>2985</v>
      </c>
      <c r="W406" s="408" t="s">
        <v>2985</v>
      </c>
      <c r="X406" s="313" t="s">
        <v>12</v>
      </c>
      <c r="Y406" s="239" t="s">
        <v>12</v>
      </c>
      <c r="Z406" s="317" t="s">
        <v>2985</v>
      </c>
      <c r="AA406" s="311" t="s">
        <v>1754</v>
      </c>
      <c r="AB406" s="230" t="s">
        <v>2377</v>
      </c>
      <c r="AC406" s="161" t="s">
        <v>2985</v>
      </c>
      <c r="AD406" s="506" t="s">
        <v>2312</v>
      </c>
      <c r="AE406" s="214" t="s">
        <v>2306</v>
      </c>
      <c r="AF406" s="214" t="s">
        <v>2727</v>
      </c>
      <c r="AG406" s="262" t="s">
        <v>2985</v>
      </c>
      <c r="AH406" s="344">
        <v>100</v>
      </c>
      <c r="AI406" s="353">
        <v>0</v>
      </c>
      <c r="AJ406" s="405">
        <v>0</v>
      </c>
      <c r="AK406" s="365">
        <v>0</v>
      </c>
      <c r="AL406" s="365">
        <v>0</v>
      </c>
      <c r="AM406" s="365">
        <v>0</v>
      </c>
      <c r="AN406" s="353">
        <v>0</v>
      </c>
      <c r="AO406" s="353">
        <v>0</v>
      </c>
      <c r="AP406" s="348">
        <v>0</v>
      </c>
      <c r="AQ406" s="348">
        <v>0</v>
      </c>
      <c r="AR406" s="348">
        <v>0</v>
      </c>
      <c r="AS406" s="348">
        <v>0</v>
      </c>
      <c r="AT406" s="353">
        <v>0</v>
      </c>
      <c r="AU406" s="348">
        <v>0</v>
      </c>
      <c r="AV406" s="348">
        <v>0</v>
      </c>
      <c r="AW406" s="348">
        <v>0</v>
      </c>
      <c r="AX406" s="341">
        <v>0</v>
      </c>
      <c r="AY406" s="227">
        <v>55.5</v>
      </c>
      <c r="AZ406" s="214"/>
      <c r="BA406" s="316" t="s">
        <v>2985</v>
      </c>
      <c r="BB406" s="94" t="s">
        <v>2985</v>
      </c>
      <c r="BC406" s="230">
        <v>34.299999999999997</v>
      </c>
      <c r="BD406" s="360" t="s">
        <v>3544</v>
      </c>
      <c r="BE406" s="229">
        <v>100</v>
      </c>
      <c r="BF406" s="214"/>
      <c r="BG406" s="214">
        <v>400</v>
      </c>
      <c r="BH406" s="390">
        <f>IF(ISBLANK(BF406),(BE406*BG406)/((4*BG406)+(2*BE406)),BE406*BF406*BG406/2/(BE406*BF406+BE406*BG406+BF406*BG406))</f>
        <v>22.222222222222221</v>
      </c>
      <c r="BI406" s="303">
        <v>99</v>
      </c>
      <c r="BJ406" s="239">
        <v>0.25</v>
      </c>
      <c r="BK406" s="239">
        <v>20</v>
      </c>
      <c r="BL406" s="239">
        <v>20</v>
      </c>
      <c r="BM406" s="507" t="s">
        <v>2985</v>
      </c>
      <c r="BN406" s="307">
        <v>99</v>
      </c>
      <c r="BO406" s="332" t="s">
        <v>2985</v>
      </c>
      <c r="BP406" s="228" t="s">
        <v>2382</v>
      </c>
      <c r="BS406" s="321"/>
    </row>
    <row r="407" spans="1:71" s="322" customFormat="1">
      <c r="A407" s="457">
        <v>1748</v>
      </c>
      <c r="B407" s="534" t="s">
        <v>3585</v>
      </c>
      <c r="C407" s="383"/>
      <c r="D407" s="466" t="s">
        <v>3590</v>
      </c>
      <c r="E407" s="469"/>
      <c r="F407" s="303" t="s">
        <v>2383</v>
      </c>
      <c r="G407" s="386" t="s">
        <v>433</v>
      </c>
      <c r="H407" s="454" t="s">
        <v>446</v>
      </c>
      <c r="I407" s="338" t="s">
        <v>3377</v>
      </c>
      <c r="J407" s="348">
        <v>2003</v>
      </c>
      <c r="K407" s="355" t="s">
        <v>2985</v>
      </c>
      <c r="L407" s="340" t="s">
        <v>1738</v>
      </c>
      <c r="M407" s="341" t="s">
        <v>1739</v>
      </c>
      <c r="N407" s="449">
        <f t="shared" si="84"/>
        <v>0.2690909090909091</v>
      </c>
      <c r="O407" s="412">
        <v>0.2690909090909091</v>
      </c>
      <c r="P407" s="410">
        <v>3.0490909090909093</v>
      </c>
      <c r="Q407" s="310">
        <f t="shared" si="85"/>
        <v>3.0490909090909093</v>
      </c>
      <c r="R407" s="377">
        <f t="shared" si="86"/>
        <v>148</v>
      </c>
      <c r="S407" s="407">
        <v>550</v>
      </c>
      <c r="T407" s="377">
        <f t="shared" si="87"/>
        <v>550</v>
      </c>
      <c r="U407" s="377">
        <f t="shared" si="88"/>
        <v>1677</v>
      </c>
      <c r="V407" s="408" t="s">
        <v>2985</v>
      </c>
      <c r="W407" s="408" t="s">
        <v>2985</v>
      </c>
      <c r="X407" s="313" t="s">
        <v>12</v>
      </c>
      <c r="Y407" s="239" t="s">
        <v>12</v>
      </c>
      <c r="Z407" s="317" t="s">
        <v>2985</v>
      </c>
      <c r="AA407" s="311" t="s">
        <v>1754</v>
      </c>
      <c r="AB407" s="230" t="s">
        <v>2377</v>
      </c>
      <c r="AC407" s="161" t="s">
        <v>2985</v>
      </c>
      <c r="AD407" s="506" t="s">
        <v>2312</v>
      </c>
      <c r="AE407" s="214" t="s">
        <v>2306</v>
      </c>
      <c r="AF407" s="214" t="s">
        <v>2727</v>
      </c>
      <c r="AG407" s="262" t="s">
        <v>2985</v>
      </c>
      <c r="AH407" s="344">
        <v>100</v>
      </c>
      <c r="AI407" s="353">
        <v>0</v>
      </c>
      <c r="AJ407" s="405">
        <v>0</v>
      </c>
      <c r="AK407" s="365">
        <v>0</v>
      </c>
      <c r="AL407" s="365">
        <v>0</v>
      </c>
      <c r="AM407" s="365">
        <v>0</v>
      </c>
      <c r="AN407" s="353">
        <v>0</v>
      </c>
      <c r="AO407" s="353">
        <v>0</v>
      </c>
      <c r="AP407" s="348">
        <v>0</v>
      </c>
      <c r="AQ407" s="348">
        <v>0</v>
      </c>
      <c r="AR407" s="348">
        <v>0</v>
      </c>
      <c r="AS407" s="348">
        <v>0</v>
      </c>
      <c r="AT407" s="353">
        <v>0</v>
      </c>
      <c r="AU407" s="348">
        <v>0</v>
      </c>
      <c r="AV407" s="348">
        <v>0</v>
      </c>
      <c r="AW407" s="348">
        <v>0</v>
      </c>
      <c r="AX407" s="341">
        <v>0</v>
      </c>
      <c r="AY407" s="227">
        <v>66.2</v>
      </c>
      <c r="AZ407" s="358">
        <v>33.1</v>
      </c>
      <c r="BA407" s="316" t="s">
        <v>2985</v>
      </c>
      <c r="BB407" s="94" t="s">
        <v>2985</v>
      </c>
      <c r="BC407" s="230">
        <v>36.200000000000003</v>
      </c>
      <c r="BD407" s="360" t="s">
        <v>3544</v>
      </c>
      <c r="BE407" s="229">
        <v>100</v>
      </c>
      <c r="BF407" s="214"/>
      <c r="BG407" s="214">
        <v>400</v>
      </c>
      <c r="BH407" s="390">
        <f>IF(ISBLANK(BF407),(BE407*BG407)/((4*BG407)+(2*BE407)),BE407*BF407*BG407/2/(BE407*BF407+BE407*BG407+BF407*BG407))</f>
        <v>22.222222222222221</v>
      </c>
      <c r="BI407" s="303">
        <v>99</v>
      </c>
      <c r="BJ407" s="239">
        <v>0.25</v>
      </c>
      <c r="BK407" s="239">
        <v>20</v>
      </c>
      <c r="BL407" s="239">
        <v>20</v>
      </c>
      <c r="BM407" s="507" t="s">
        <v>2985</v>
      </c>
      <c r="BN407" s="307">
        <v>99</v>
      </c>
      <c r="BO407" s="332" t="s">
        <v>2985</v>
      </c>
      <c r="BP407" s="228" t="s">
        <v>2384</v>
      </c>
      <c r="BS407" s="321"/>
    </row>
    <row r="408" spans="1:71" s="322" customFormat="1" ht="18">
      <c r="A408" s="457">
        <v>1749</v>
      </c>
      <c r="B408" s="533" t="s">
        <v>3634</v>
      </c>
      <c r="C408" s="383"/>
      <c r="D408" s="466" t="s">
        <v>3590</v>
      </c>
      <c r="E408" s="469"/>
      <c r="F408" s="303" t="s">
        <v>2385</v>
      </c>
      <c r="G408" s="386" t="s">
        <v>433</v>
      </c>
      <c r="H408" s="454" t="s">
        <v>446</v>
      </c>
      <c r="I408" s="338" t="s">
        <v>3377</v>
      </c>
      <c r="J408" s="348">
        <v>2003</v>
      </c>
      <c r="K408" s="355" t="s">
        <v>2985</v>
      </c>
      <c r="L408" s="340" t="s">
        <v>1738</v>
      </c>
      <c r="M408" s="341" t="s">
        <v>1739</v>
      </c>
      <c r="N408" s="449">
        <f t="shared" si="84"/>
        <v>0.31313131313131315</v>
      </c>
      <c r="O408" s="412">
        <v>0.34444444444444444</v>
      </c>
      <c r="P408" s="410">
        <v>3.7422222222222223</v>
      </c>
      <c r="Q408" s="310">
        <f t="shared" si="85"/>
        <v>3.4020202020202022</v>
      </c>
      <c r="R408" s="377">
        <f t="shared" si="86"/>
        <v>155</v>
      </c>
      <c r="S408" s="407">
        <v>450</v>
      </c>
      <c r="T408" s="377">
        <f t="shared" si="87"/>
        <v>495</v>
      </c>
      <c r="U408" s="377">
        <f t="shared" si="88"/>
        <v>1684</v>
      </c>
      <c r="V408" s="408" t="s">
        <v>2985</v>
      </c>
      <c r="W408" s="408" t="s">
        <v>2985</v>
      </c>
      <c r="X408" s="313" t="s">
        <v>12</v>
      </c>
      <c r="Y408" s="239" t="s">
        <v>12</v>
      </c>
      <c r="Z408" s="317" t="s">
        <v>2985</v>
      </c>
      <c r="AA408" s="516" t="s">
        <v>3525</v>
      </c>
      <c r="AB408" s="230" t="s">
        <v>2377</v>
      </c>
      <c r="AC408" s="161" t="s">
        <v>2985</v>
      </c>
      <c r="AD408" s="506" t="s">
        <v>2312</v>
      </c>
      <c r="AE408" s="214" t="s">
        <v>2306</v>
      </c>
      <c r="AF408" s="214" t="s">
        <v>2727</v>
      </c>
      <c r="AG408" s="262" t="s">
        <v>2985</v>
      </c>
      <c r="AH408" s="344">
        <v>90</v>
      </c>
      <c r="AI408" s="353">
        <v>0</v>
      </c>
      <c r="AJ408" s="404">
        <v>10</v>
      </c>
      <c r="AK408" s="365">
        <v>0</v>
      </c>
      <c r="AL408" s="365">
        <v>0</v>
      </c>
      <c r="AM408" s="365">
        <v>0</v>
      </c>
      <c r="AN408" s="353">
        <v>0</v>
      </c>
      <c r="AO408" s="353">
        <v>0</v>
      </c>
      <c r="AP408" s="348">
        <v>0</v>
      </c>
      <c r="AQ408" s="348">
        <v>0</v>
      </c>
      <c r="AR408" s="348">
        <v>0</v>
      </c>
      <c r="AS408" s="348">
        <v>0</v>
      </c>
      <c r="AT408" s="353">
        <v>0</v>
      </c>
      <c r="AU408" s="348">
        <v>0</v>
      </c>
      <c r="AV408" s="348">
        <v>0</v>
      </c>
      <c r="AW408" s="348">
        <v>0</v>
      </c>
      <c r="AX408" s="341">
        <v>0</v>
      </c>
      <c r="AY408" s="227">
        <v>53.4</v>
      </c>
      <c r="AZ408" s="214"/>
      <c r="BA408" s="316" t="s">
        <v>2985</v>
      </c>
      <c r="BB408" s="94" t="s">
        <v>2985</v>
      </c>
      <c r="BC408" s="230">
        <v>34</v>
      </c>
      <c r="BD408" s="360" t="s">
        <v>3544</v>
      </c>
      <c r="BE408" s="229">
        <v>100</v>
      </c>
      <c r="BF408" s="214"/>
      <c r="BG408" s="214">
        <v>400</v>
      </c>
      <c r="BH408" s="390">
        <f>IF(ISBLANK(BF408),(BE408*BG408)/((4*BG408)+(2*BE408)),BE408*BF408*BG408/2/(BE408*BF408+BE408*BG408+BF408*BG408))</f>
        <v>22.222222222222221</v>
      </c>
      <c r="BI408" s="303">
        <v>99</v>
      </c>
      <c r="BJ408" s="239">
        <v>0.25</v>
      </c>
      <c r="BK408" s="239">
        <v>20</v>
      </c>
      <c r="BL408" s="239">
        <v>20</v>
      </c>
      <c r="BM408" s="507" t="s">
        <v>2985</v>
      </c>
      <c r="BN408" s="307">
        <v>99</v>
      </c>
      <c r="BO408" s="332" t="s">
        <v>2985</v>
      </c>
      <c r="BP408" s="228" t="s">
        <v>2386</v>
      </c>
      <c r="BS408" s="321"/>
    </row>
    <row r="409" spans="1:71" s="322" customFormat="1">
      <c r="A409" s="457">
        <v>1750</v>
      </c>
      <c r="B409" s="534" t="s">
        <v>3603</v>
      </c>
      <c r="C409" s="383"/>
      <c r="D409" s="466" t="s">
        <v>3590</v>
      </c>
      <c r="E409" s="469"/>
      <c r="F409" s="303" t="s">
        <v>2387</v>
      </c>
      <c r="G409" s="386" t="s">
        <v>433</v>
      </c>
      <c r="H409" s="454" t="s">
        <v>446</v>
      </c>
      <c r="I409" s="338" t="s">
        <v>3377</v>
      </c>
      <c r="J409" s="348">
        <v>2003</v>
      </c>
      <c r="K409" s="355" t="s">
        <v>2985</v>
      </c>
      <c r="L409" s="340" t="s">
        <v>1738</v>
      </c>
      <c r="M409" s="341" t="s">
        <v>1739</v>
      </c>
      <c r="N409" s="449">
        <f t="shared" si="84"/>
        <v>0.27180899908172634</v>
      </c>
      <c r="O409" s="412">
        <v>0.29898989898989897</v>
      </c>
      <c r="P409" s="410">
        <v>3.3555555555555556</v>
      </c>
      <c r="Q409" s="310">
        <f t="shared" si="85"/>
        <v>3.0505050505050506</v>
      </c>
      <c r="R409" s="377">
        <f t="shared" si="86"/>
        <v>148</v>
      </c>
      <c r="S409" s="407">
        <v>495</v>
      </c>
      <c r="T409" s="377">
        <f t="shared" si="87"/>
        <v>544.5</v>
      </c>
      <c r="U409" s="377">
        <f t="shared" si="88"/>
        <v>1661</v>
      </c>
      <c r="V409" s="408" t="s">
        <v>2985</v>
      </c>
      <c r="W409" s="408" t="s">
        <v>2985</v>
      </c>
      <c r="X409" s="313" t="s">
        <v>12</v>
      </c>
      <c r="Y409" s="239" t="s">
        <v>12</v>
      </c>
      <c r="Z409" s="317" t="s">
        <v>2985</v>
      </c>
      <c r="AA409" s="516" t="s">
        <v>3525</v>
      </c>
      <c r="AB409" s="230" t="s">
        <v>2377</v>
      </c>
      <c r="AC409" s="161" t="s">
        <v>2985</v>
      </c>
      <c r="AD409" s="506" t="s">
        <v>2312</v>
      </c>
      <c r="AE409" s="214" t="s">
        <v>2306</v>
      </c>
      <c r="AF409" s="214" t="s">
        <v>2727</v>
      </c>
      <c r="AG409" s="262" t="s">
        <v>2985</v>
      </c>
      <c r="AH409" s="344">
        <v>90</v>
      </c>
      <c r="AI409" s="353">
        <v>0</v>
      </c>
      <c r="AJ409" s="404">
        <v>10</v>
      </c>
      <c r="AK409" s="365">
        <v>0</v>
      </c>
      <c r="AL409" s="365">
        <v>0</v>
      </c>
      <c r="AM409" s="365">
        <v>0</v>
      </c>
      <c r="AN409" s="353">
        <v>0</v>
      </c>
      <c r="AO409" s="353">
        <v>0</v>
      </c>
      <c r="AP409" s="348">
        <v>0</v>
      </c>
      <c r="AQ409" s="348">
        <v>0</v>
      </c>
      <c r="AR409" s="348">
        <v>0</v>
      </c>
      <c r="AS409" s="348">
        <v>0</v>
      </c>
      <c r="AT409" s="353">
        <v>0</v>
      </c>
      <c r="AU409" s="348">
        <v>0</v>
      </c>
      <c r="AV409" s="348">
        <v>0</v>
      </c>
      <c r="AW409" s="348">
        <v>0</v>
      </c>
      <c r="AX409" s="341">
        <v>0</v>
      </c>
      <c r="AY409" s="227">
        <v>63.6</v>
      </c>
      <c r="AZ409" s="358"/>
      <c r="BA409" s="316" t="s">
        <v>2985</v>
      </c>
      <c r="BB409" s="94" t="s">
        <v>2985</v>
      </c>
      <c r="BC409" s="230">
        <v>35.1</v>
      </c>
      <c r="BD409" s="360" t="s">
        <v>3544</v>
      </c>
      <c r="BE409" s="229">
        <v>100</v>
      </c>
      <c r="BF409" s="214"/>
      <c r="BG409" s="214">
        <v>400</v>
      </c>
      <c r="BH409" s="390">
        <f>IF(ISBLANK(BF409),(BE409*BG409)/((4*BG409)+(2*BE409)),BE409*BF409*BG409/2/(BE409*BF409+BE409*BG409+BF409*BG409))</f>
        <v>22.222222222222221</v>
      </c>
      <c r="BI409" s="303">
        <v>99</v>
      </c>
      <c r="BJ409" s="239">
        <v>0.25</v>
      </c>
      <c r="BK409" s="239">
        <v>20</v>
      </c>
      <c r="BL409" s="239">
        <v>20</v>
      </c>
      <c r="BM409" s="507" t="s">
        <v>2985</v>
      </c>
      <c r="BN409" s="307">
        <v>99</v>
      </c>
      <c r="BO409" s="332" t="s">
        <v>2985</v>
      </c>
      <c r="BP409" s="228" t="s">
        <v>2388</v>
      </c>
      <c r="BS409" s="321"/>
    </row>
    <row r="410" spans="1:71" s="322" customFormat="1">
      <c r="A410" s="457">
        <v>1751</v>
      </c>
      <c r="B410" s="533" t="s">
        <v>3614</v>
      </c>
      <c r="C410" s="383"/>
      <c r="D410" s="466" t="s">
        <v>3590</v>
      </c>
      <c r="E410" s="469"/>
      <c r="F410" s="303" t="s">
        <v>2389</v>
      </c>
      <c r="G410" s="386" t="s">
        <v>433</v>
      </c>
      <c r="H410" s="454" t="s">
        <v>446</v>
      </c>
      <c r="I410" s="338" t="s">
        <v>3377</v>
      </c>
      <c r="J410" s="348">
        <v>2003</v>
      </c>
      <c r="K410" s="355" t="s">
        <v>2985</v>
      </c>
      <c r="L410" s="340" t="s">
        <v>1738</v>
      </c>
      <c r="M410" s="341" t="s">
        <v>1739</v>
      </c>
      <c r="N410" s="446">
        <f t="shared" si="84"/>
        <v>0.52083333333333337</v>
      </c>
      <c r="O410" s="323">
        <v>0.625</v>
      </c>
      <c r="P410" s="308">
        <v>5.743243243243243</v>
      </c>
      <c r="Q410" s="310">
        <f t="shared" si="85"/>
        <v>4.7860360360360366</v>
      </c>
      <c r="R410" s="377">
        <f t="shared" si="86"/>
        <v>185</v>
      </c>
      <c r="S410" s="407">
        <v>296</v>
      </c>
      <c r="T410" s="377">
        <f t="shared" si="87"/>
        <v>355.2</v>
      </c>
      <c r="U410" s="377">
        <f t="shared" si="88"/>
        <v>1700</v>
      </c>
      <c r="V410" s="408" t="s">
        <v>2985</v>
      </c>
      <c r="W410" s="408" t="s">
        <v>2985</v>
      </c>
      <c r="X410" s="303" t="s">
        <v>12</v>
      </c>
      <c r="Y410" s="307" t="s">
        <v>12</v>
      </c>
      <c r="Z410" s="317" t="s">
        <v>2985</v>
      </c>
      <c r="AA410" s="311" t="s">
        <v>3525</v>
      </c>
      <c r="AB410" s="304" t="s">
        <v>2377</v>
      </c>
      <c r="AC410" s="441" t="s">
        <v>2985</v>
      </c>
      <c r="AD410" s="515" t="s">
        <v>2985</v>
      </c>
      <c r="AE410" s="348" t="s">
        <v>2306</v>
      </c>
      <c r="AF410" s="348" t="s">
        <v>2312</v>
      </c>
      <c r="AG410" s="262" t="s">
        <v>2985</v>
      </c>
      <c r="AH410" s="351">
        <v>80</v>
      </c>
      <c r="AI410" s="348">
        <v>0</v>
      </c>
      <c r="AJ410" s="356">
        <v>20</v>
      </c>
      <c r="AK410" s="348">
        <v>0</v>
      </c>
      <c r="AL410" s="348">
        <v>0</v>
      </c>
      <c r="AM410" s="348">
        <v>0</v>
      </c>
      <c r="AN410" s="348">
        <v>0</v>
      </c>
      <c r="AO410" s="348">
        <v>0</v>
      </c>
      <c r="AP410" s="307">
        <v>0</v>
      </c>
      <c r="AQ410" s="348">
        <v>0</v>
      </c>
      <c r="AR410" s="348">
        <v>0</v>
      </c>
      <c r="AS410" s="365">
        <v>0</v>
      </c>
      <c r="AT410" s="365">
        <v>0</v>
      </c>
      <c r="AU410" s="365">
        <v>0</v>
      </c>
      <c r="AV410" s="365">
        <v>0</v>
      </c>
      <c r="AW410" s="348">
        <v>0</v>
      </c>
      <c r="AX410" s="341">
        <v>0</v>
      </c>
      <c r="AY410" s="340">
        <v>29.3</v>
      </c>
      <c r="AZ410" s="348"/>
      <c r="BA410" s="316" t="s">
        <v>2985</v>
      </c>
      <c r="BB410" s="348">
        <v>6.1</v>
      </c>
      <c r="BC410" s="341">
        <v>26.7</v>
      </c>
      <c r="BD410" s="360" t="s">
        <v>3544</v>
      </c>
      <c r="BE410" s="348">
        <v>100</v>
      </c>
      <c r="BF410" s="348"/>
      <c r="BG410" s="348">
        <v>400</v>
      </c>
      <c r="BH410" s="427">
        <v>22.222222222222221</v>
      </c>
      <c r="BI410" s="303">
        <v>99</v>
      </c>
      <c r="BJ410" s="307">
        <v>0.25</v>
      </c>
      <c r="BK410" s="312">
        <v>20</v>
      </c>
      <c r="BL410" s="307">
        <v>20</v>
      </c>
      <c r="BM410" s="312" t="s">
        <v>521</v>
      </c>
      <c r="BN410" s="307">
        <v>99</v>
      </c>
      <c r="BO410" s="433" t="s">
        <v>2985</v>
      </c>
      <c r="BP410" s="343" t="s">
        <v>2390</v>
      </c>
      <c r="BS410" s="321"/>
    </row>
    <row r="411" spans="1:71" s="322" customFormat="1" ht="18">
      <c r="A411" s="457">
        <v>1752</v>
      </c>
      <c r="B411" s="533" t="s">
        <v>3634</v>
      </c>
      <c r="C411" s="383"/>
      <c r="D411" s="466" t="s">
        <v>3590</v>
      </c>
      <c r="E411" s="469"/>
      <c r="F411" s="303" t="s">
        <v>2391</v>
      </c>
      <c r="G411" s="386" t="s">
        <v>433</v>
      </c>
      <c r="H411" s="454" t="s">
        <v>446</v>
      </c>
      <c r="I411" s="338" t="s">
        <v>3377</v>
      </c>
      <c r="J411" s="348">
        <v>2003</v>
      </c>
      <c r="K411" s="355" t="s">
        <v>2985</v>
      </c>
      <c r="L411" s="340" t="s">
        <v>1738</v>
      </c>
      <c r="M411" s="341" t="s">
        <v>1739</v>
      </c>
      <c r="N411" s="446">
        <f t="shared" si="84"/>
        <v>0.36574074074074076</v>
      </c>
      <c r="O411" s="307">
        <v>0.43888888888888888</v>
      </c>
      <c r="P411" s="329">
        <v>4.7333333333333334</v>
      </c>
      <c r="Q411" s="310">
        <f t="shared" si="85"/>
        <v>3.9444444444444446</v>
      </c>
      <c r="R411" s="377">
        <f t="shared" si="86"/>
        <v>158</v>
      </c>
      <c r="S411" s="407">
        <v>360</v>
      </c>
      <c r="T411" s="377">
        <f t="shared" si="87"/>
        <v>432</v>
      </c>
      <c r="U411" s="377">
        <f t="shared" si="88"/>
        <v>1704</v>
      </c>
      <c r="V411" s="408" t="s">
        <v>2985</v>
      </c>
      <c r="W411" s="408" t="s">
        <v>2985</v>
      </c>
      <c r="X411" s="303" t="s">
        <v>12</v>
      </c>
      <c r="Y411" s="307" t="s">
        <v>12</v>
      </c>
      <c r="Z411" s="317" t="s">
        <v>2985</v>
      </c>
      <c r="AA411" s="311" t="s">
        <v>3525</v>
      </c>
      <c r="AB411" s="304" t="s">
        <v>2377</v>
      </c>
      <c r="AC411" s="441" t="s">
        <v>2985</v>
      </c>
      <c r="AD411" s="515" t="s">
        <v>2985</v>
      </c>
      <c r="AE411" s="348" t="s">
        <v>2306</v>
      </c>
      <c r="AF411" s="348" t="s">
        <v>2312</v>
      </c>
      <c r="AG411" s="262" t="s">
        <v>2985</v>
      </c>
      <c r="AH411" s="351">
        <v>80</v>
      </c>
      <c r="AI411" s="348">
        <v>0</v>
      </c>
      <c r="AJ411" s="356">
        <v>20</v>
      </c>
      <c r="AK411" s="348">
        <v>0</v>
      </c>
      <c r="AL411" s="348">
        <v>0</v>
      </c>
      <c r="AM411" s="348">
        <v>0</v>
      </c>
      <c r="AN411" s="348">
        <v>0</v>
      </c>
      <c r="AO411" s="348">
        <v>0</v>
      </c>
      <c r="AP411" s="307">
        <v>0</v>
      </c>
      <c r="AQ411" s="348">
        <v>0</v>
      </c>
      <c r="AR411" s="348">
        <v>0</v>
      </c>
      <c r="AS411" s="365">
        <v>0</v>
      </c>
      <c r="AT411" s="365">
        <v>0</v>
      </c>
      <c r="AU411" s="365">
        <v>0</v>
      </c>
      <c r="AV411" s="365">
        <v>0</v>
      </c>
      <c r="AW411" s="348">
        <v>0</v>
      </c>
      <c r="AX411" s="341">
        <v>0</v>
      </c>
      <c r="AY411" s="340">
        <v>45.9</v>
      </c>
      <c r="AZ411" s="348"/>
      <c r="BA411" s="316" t="s">
        <v>2985</v>
      </c>
      <c r="BB411" s="348">
        <v>14</v>
      </c>
      <c r="BC411" s="341">
        <v>32.4</v>
      </c>
      <c r="BD411" s="360" t="s">
        <v>3544</v>
      </c>
      <c r="BE411" s="348">
        <v>100</v>
      </c>
      <c r="BF411" s="348"/>
      <c r="BG411" s="348">
        <v>400</v>
      </c>
      <c r="BH411" s="427">
        <v>22.222222222222221</v>
      </c>
      <c r="BI411" s="303">
        <v>99</v>
      </c>
      <c r="BJ411" s="307">
        <v>0.25</v>
      </c>
      <c r="BK411" s="312">
        <v>20</v>
      </c>
      <c r="BL411" s="307">
        <v>20</v>
      </c>
      <c r="BM411" s="312" t="s">
        <v>521</v>
      </c>
      <c r="BN411" s="307">
        <v>99</v>
      </c>
      <c r="BO411" s="433" t="s">
        <v>2985</v>
      </c>
      <c r="BP411" s="343" t="s">
        <v>2392</v>
      </c>
      <c r="BS411" s="321"/>
    </row>
    <row r="412" spans="1:71" s="322" customFormat="1" ht="18">
      <c r="A412" s="457">
        <v>1753</v>
      </c>
      <c r="B412" s="533" t="s">
        <v>3634</v>
      </c>
      <c r="C412" s="383"/>
      <c r="D412" s="466" t="s">
        <v>3590</v>
      </c>
      <c r="E412" s="469"/>
      <c r="F412" s="303" t="s">
        <v>2393</v>
      </c>
      <c r="G412" s="386" t="s">
        <v>433</v>
      </c>
      <c r="H412" s="454" t="s">
        <v>446</v>
      </c>
      <c r="I412" s="338" t="s">
        <v>3377</v>
      </c>
      <c r="J412" s="348">
        <v>2003</v>
      </c>
      <c r="K412" s="355" t="s">
        <v>2985</v>
      </c>
      <c r="L412" s="340" t="s">
        <v>1738</v>
      </c>
      <c r="M412" s="341" t="s">
        <v>1739</v>
      </c>
      <c r="N412" s="446">
        <f t="shared" si="84"/>
        <v>0.32291666666666669</v>
      </c>
      <c r="O412" s="412">
        <v>0.38750000000000001</v>
      </c>
      <c r="P412" s="410">
        <v>4.17</v>
      </c>
      <c r="Q412" s="310">
        <f t="shared" si="85"/>
        <v>3.4750000000000001</v>
      </c>
      <c r="R412" s="377">
        <f t="shared" si="86"/>
        <v>155</v>
      </c>
      <c r="S412" s="407">
        <v>400</v>
      </c>
      <c r="T412" s="377">
        <f t="shared" si="87"/>
        <v>480</v>
      </c>
      <c r="U412" s="377">
        <f t="shared" si="88"/>
        <v>1668</v>
      </c>
      <c r="V412" s="408" t="s">
        <v>2985</v>
      </c>
      <c r="W412" s="408" t="s">
        <v>2985</v>
      </c>
      <c r="X412" s="313" t="s">
        <v>12</v>
      </c>
      <c r="Y412" s="239" t="s">
        <v>12</v>
      </c>
      <c r="Z412" s="317" t="s">
        <v>2985</v>
      </c>
      <c r="AA412" s="516" t="s">
        <v>3525</v>
      </c>
      <c r="AB412" s="230" t="s">
        <v>2377</v>
      </c>
      <c r="AC412" s="161" t="s">
        <v>2985</v>
      </c>
      <c r="AD412" s="506" t="s">
        <v>2312</v>
      </c>
      <c r="AE412" s="214" t="s">
        <v>2306</v>
      </c>
      <c r="AF412" s="214" t="s">
        <v>2727</v>
      </c>
      <c r="AG412" s="262" t="s">
        <v>2985</v>
      </c>
      <c r="AH412" s="344">
        <v>80</v>
      </c>
      <c r="AI412" s="353">
        <v>0</v>
      </c>
      <c r="AJ412" s="404">
        <v>20</v>
      </c>
      <c r="AK412" s="365">
        <v>0</v>
      </c>
      <c r="AL412" s="365">
        <v>0</v>
      </c>
      <c r="AM412" s="365">
        <v>0</v>
      </c>
      <c r="AN412" s="353">
        <v>0</v>
      </c>
      <c r="AO412" s="353">
        <v>0</v>
      </c>
      <c r="AP412" s="348">
        <v>0</v>
      </c>
      <c r="AQ412" s="348">
        <v>0</v>
      </c>
      <c r="AR412" s="348">
        <v>0</v>
      </c>
      <c r="AS412" s="348">
        <v>0</v>
      </c>
      <c r="AT412" s="353">
        <v>0</v>
      </c>
      <c r="AU412" s="348">
        <v>0</v>
      </c>
      <c r="AV412" s="348">
        <v>0</v>
      </c>
      <c r="AW412" s="348">
        <v>0</v>
      </c>
      <c r="AX412" s="341">
        <v>0</v>
      </c>
      <c r="AY412" s="227">
        <v>52.6</v>
      </c>
      <c r="AZ412" s="214"/>
      <c r="BA412" s="316" t="s">
        <v>2985</v>
      </c>
      <c r="BB412" s="94" t="s">
        <v>2985</v>
      </c>
      <c r="BC412" s="230">
        <v>33.6</v>
      </c>
      <c r="BD412" s="360" t="s">
        <v>3544</v>
      </c>
      <c r="BE412" s="229">
        <v>100</v>
      </c>
      <c r="BF412" s="214"/>
      <c r="BG412" s="214">
        <v>400</v>
      </c>
      <c r="BH412" s="390">
        <f>IF(ISBLANK(BF412),(BE412*BG412)/((4*BG412)+(2*BE412)),BE412*BF412*BG412/2/(BE412*BF412+BE412*BG412+BF412*BG412))</f>
        <v>22.222222222222221</v>
      </c>
      <c r="BI412" s="303">
        <v>99</v>
      </c>
      <c r="BJ412" s="239">
        <v>0.25</v>
      </c>
      <c r="BK412" s="239">
        <v>20</v>
      </c>
      <c r="BL412" s="239">
        <v>20</v>
      </c>
      <c r="BM412" s="507" t="s">
        <v>2985</v>
      </c>
      <c r="BN412" s="307">
        <v>99</v>
      </c>
      <c r="BO412" s="332" t="s">
        <v>2985</v>
      </c>
      <c r="BP412" s="228" t="s">
        <v>2394</v>
      </c>
      <c r="BS412" s="321"/>
    </row>
    <row r="413" spans="1:71" s="322" customFormat="1">
      <c r="A413" s="457">
        <v>1754</v>
      </c>
      <c r="B413" s="534" t="s">
        <v>3585</v>
      </c>
      <c r="C413" s="383"/>
      <c r="D413" s="466" t="s">
        <v>3590</v>
      </c>
      <c r="E413" s="469"/>
      <c r="F413" s="303" t="s">
        <v>2395</v>
      </c>
      <c r="G413" s="386" t="s">
        <v>433</v>
      </c>
      <c r="H413" s="454" t="s">
        <v>446</v>
      </c>
      <c r="I413" s="338" t="s">
        <v>3377</v>
      </c>
      <c r="J413" s="348">
        <v>2003</v>
      </c>
      <c r="K413" s="355" t="s">
        <v>2985</v>
      </c>
      <c r="L413" s="340" t="s">
        <v>1738</v>
      </c>
      <c r="M413" s="341" t="s">
        <v>1739</v>
      </c>
      <c r="N413" s="446">
        <f t="shared" si="84"/>
        <v>0.28030303030303028</v>
      </c>
      <c r="O413" s="412">
        <v>0.33636363636363636</v>
      </c>
      <c r="P413" s="410">
        <v>3.7340909090909089</v>
      </c>
      <c r="Q413" s="310">
        <f t="shared" si="85"/>
        <v>3.1117424242424243</v>
      </c>
      <c r="R413" s="377">
        <f t="shared" si="86"/>
        <v>148</v>
      </c>
      <c r="S413" s="407">
        <v>440</v>
      </c>
      <c r="T413" s="377">
        <f t="shared" si="87"/>
        <v>528</v>
      </c>
      <c r="U413" s="377">
        <f t="shared" si="88"/>
        <v>1643</v>
      </c>
      <c r="V413" s="408" t="s">
        <v>2985</v>
      </c>
      <c r="W413" s="408" t="s">
        <v>2985</v>
      </c>
      <c r="X413" s="313" t="s">
        <v>12</v>
      </c>
      <c r="Y413" s="239" t="s">
        <v>12</v>
      </c>
      <c r="Z413" s="317" t="s">
        <v>2985</v>
      </c>
      <c r="AA413" s="516" t="s">
        <v>3525</v>
      </c>
      <c r="AB413" s="230" t="s">
        <v>2377</v>
      </c>
      <c r="AC413" s="161" t="s">
        <v>2985</v>
      </c>
      <c r="AD413" s="506" t="s">
        <v>2312</v>
      </c>
      <c r="AE413" s="214" t="s">
        <v>2306</v>
      </c>
      <c r="AF413" s="214" t="s">
        <v>2727</v>
      </c>
      <c r="AG413" s="262" t="s">
        <v>2985</v>
      </c>
      <c r="AH413" s="344">
        <v>80</v>
      </c>
      <c r="AI413" s="353">
        <v>0</v>
      </c>
      <c r="AJ413" s="404">
        <v>20</v>
      </c>
      <c r="AK413" s="365">
        <v>0</v>
      </c>
      <c r="AL413" s="365">
        <v>0</v>
      </c>
      <c r="AM413" s="365">
        <v>0</v>
      </c>
      <c r="AN413" s="353">
        <v>0</v>
      </c>
      <c r="AO413" s="353">
        <v>0</v>
      </c>
      <c r="AP413" s="348">
        <v>0</v>
      </c>
      <c r="AQ413" s="348">
        <v>0</v>
      </c>
      <c r="AR413" s="348">
        <v>0</v>
      </c>
      <c r="AS413" s="348">
        <v>0</v>
      </c>
      <c r="AT413" s="353">
        <v>0</v>
      </c>
      <c r="AU413" s="348">
        <v>0</v>
      </c>
      <c r="AV413" s="348">
        <v>0</v>
      </c>
      <c r="AW413" s="348">
        <v>0</v>
      </c>
      <c r="AX413" s="341">
        <v>0</v>
      </c>
      <c r="AY413" s="227">
        <v>62.4</v>
      </c>
      <c r="AZ413" s="358">
        <v>31.2</v>
      </c>
      <c r="BA413" s="316" t="s">
        <v>2985</v>
      </c>
      <c r="BB413" s="94" t="s">
        <v>2985</v>
      </c>
      <c r="BC413" s="230">
        <v>34.5</v>
      </c>
      <c r="BD413" s="360" t="s">
        <v>3544</v>
      </c>
      <c r="BE413" s="229">
        <v>100</v>
      </c>
      <c r="BF413" s="214"/>
      <c r="BG413" s="214">
        <v>400</v>
      </c>
      <c r="BH413" s="390">
        <f>IF(ISBLANK(BF413),(BE413*BG413)/((4*BG413)+(2*BE413)),BE413*BF413*BG413/2/(BE413*BF413+BE413*BG413+BF413*BG413))</f>
        <v>22.222222222222221</v>
      </c>
      <c r="BI413" s="303">
        <v>99</v>
      </c>
      <c r="BJ413" s="239">
        <v>0.25</v>
      </c>
      <c r="BK413" s="239">
        <v>20</v>
      </c>
      <c r="BL413" s="239">
        <v>20</v>
      </c>
      <c r="BM413" s="507" t="s">
        <v>2985</v>
      </c>
      <c r="BN413" s="307">
        <v>99</v>
      </c>
      <c r="BO413" s="332" t="s">
        <v>2985</v>
      </c>
      <c r="BP413" s="228" t="s">
        <v>2396</v>
      </c>
      <c r="BS413" s="321"/>
    </row>
    <row r="414" spans="1:71" s="322" customFormat="1" ht="18">
      <c r="A414" s="457">
        <v>1755</v>
      </c>
      <c r="B414" s="533" t="s">
        <v>3634</v>
      </c>
      <c r="C414" s="383"/>
      <c r="D414" s="466" t="s">
        <v>3590</v>
      </c>
      <c r="E414" s="469"/>
      <c r="F414" s="303" t="s">
        <v>2397</v>
      </c>
      <c r="G414" s="386" t="s">
        <v>433</v>
      </c>
      <c r="H414" s="454" t="s">
        <v>446</v>
      </c>
      <c r="I414" s="338" t="s">
        <v>3377</v>
      </c>
      <c r="J414" s="348">
        <v>2003</v>
      </c>
      <c r="K414" s="355" t="s">
        <v>2985</v>
      </c>
      <c r="L414" s="340" t="s">
        <v>1738</v>
      </c>
      <c r="M414" s="341" t="s">
        <v>1739</v>
      </c>
      <c r="N414" s="446">
        <f t="shared" si="84"/>
        <v>0.34065934065934067</v>
      </c>
      <c r="O414" s="307">
        <v>0.44285714285714284</v>
      </c>
      <c r="P414" s="329">
        <v>4.72</v>
      </c>
      <c r="Q414" s="310">
        <f t="shared" si="85"/>
        <v>3.6307692307692307</v>
      </c>
      <c r="R414" s="377">
        <f t="shared" si="86"/>
        <v>155</v>
      </c>
      <c r="S414" s="407">
        <v>350</v>
      </c>
      <c r="T414" s="377">
        <f t="shared" si="87"/>
        <v>455</v>
      </c>
      <c r="U414" s="377">
        <f t="shared" si="88"/>
        <v>1652</v>
      </c>
      <c r="V414" s="408" t="s">
        <v>2985</v>
      </c>
      <c r="W414" s="408" t="s">
        <v>2985</v>
      </c>
      <c r="X414" s="303" t="s">
        <v>12</v>
      </c>
      <c r="Y414" s="307" t="s">
        <v>12</v>
      </c>
      <c r="Z414" s="317" t="s">
        <v>2985</v>
      </c>
      <c r="AA414" s="311" t="s">
        <v>3545</v>
      </c>
      <c r="AB414" s="304" t="s">
        <v>2377</v>
      </c>
      <c r="AC414" s="441" t="s">
        <v>2985</v>
      </c>
      <c r="AD414" s="515" t="s">
        <v>2985</v>
      </c>
      <c r="AE414" s="348" t="s">
        <v>2306</v>
      </c>
      <c r="AF414" s="348" t="s">
        <v>2312</v>
      </c>
      <c r="AG414" s="262" t="s">
        <v>2985</v>
      </c>
      <c r="AH414" s="351">
        <v>70</v>
      </c>
      <c r="AI414" s="348">
        <v>0</v>
      </c>
      <c r="AJ414" s="356">
        <v>30</v>
      </c>
      <c r="AK414" s="348">
        <v>0</v>
      </c>
      <c r="AL414" s="348">
        <v>0</v>
      </c>
      <c r="AM414" s="348">
        <v>0</v>
      </c>
      <c r="AN414" s="348">
        <v>0</v>
      </c>
      <c r="AO414" s="348">
        <v>0</v>
      </c>
      <c r="AP414" s="307">
        <v>0</v>
      </c>
      <c r="AQ414" s="348">
        <v>0</v>
      </c>
      <c r="AR414" s="348">
        <v>0</v>
      </c>
      <c r="AS414" s="365">
        <v>0</v>
      </c>
      <c r="AT414" s="365">
        <v>0</v>
      </c>
      <c r="AU414" s="365">
        <v>0</v>
      </c>
      <c r="AV414" s="365">
        <v>0</v>
      </c>
      <c r="AW414" s="348">
        <v>0</v>
      </c>
      <c r="AX414" s="341">
        <v>0</v>
      </c>
      <c r="AY414" s="340">
        <v>49.3</v>
      </c>
      <c r="AZ414" s="348"/>
      <c r="BA414" s="316" t="s">
        <v>2985</v>
      </c>
      <c r="BB414" s="348">
        <v>5.6</v>
      </c>
      <c r="BC414" s="341">
        <v>32.799999999999997</v>
      </c>
      <c r="BD414" s="360" t="s">
        <v>3544</v>
      </c>
      <c r="BE414" s="348">
        <v>100</v>
      </c>
      <c r="BF414" s="348"/>
      <c r="BG414" s="348">
        <v>400</v>
      </c>
      <c r="BH414" s="427">
        <v>22.222222222222221</v>
      </c>
      <c r="BI414" s="303">
        <v>99</v>
      </c>
      <c r="BJ414" s="307">
        <v>0.25</v>
      </c>
      <c r="BK414" s="312">
        <v>20</v>
      </c>
      <c r="BL414" s="307">
        <v>20</v>
      </c>
      <c r="BM414" s="312" t="s">
        <v>521</v>
      </c>
      <c r="BN414" s="307">
        <v>99</v>
      </c>
      <c r="BO414" s="433" t="s">
        <v>2985</v>
      </c>
      <c r="BP414" s="343" t="s">
        <v>2398</v>
      </c>
      <c r="BS414" s="321"/>
    </row>
    <row r="415" spans="1:71" s="322" customFormat="1" ht="18">
      <c r="A415" s="457">
        <v>1756</v>
      </c>
      <c r="B415" s="533" t="s">
        <v>3634</v>
      </c>
      <c r="C415" s="383"/>
      <c r="D415" s="466" t="s">
        <v>3590</v>
      </c>
      <c r="E415" s="469"/>
      <c r="F415" s="303" t="s">
        <v>2399</v>
      </c>
      <c r="G415" s="386" t="s">
        <v>433</v>
      </c>
      <c r="H415" s="454" t="s">
        <v>446</v>
      </c>
      <c r="I415" s="338" t="s">
        <v>3377</v>
      </c>
      <c r="J415" s="348">
        <v>2003</v>
      </c>
      <c r="K415" s="355" t="s">
        <v>2985</v>
      </c>
      <c r="L415" s="340" t="s">
        <v>1738</v>
      </c>
      <c r="M415" s="341" t="s">
        <v>1739</v>
      </c>
      <c r="N415" s="446">
        <f t="shared" si="84"/>
        <v>0.29570429570429568</v>
      </c>
      <c r="O415" s="412">
        <v>0.38441558441558443</v>
      </c>
      <c r="P415" s="410">
        <v>4.220779220779221</v>
      </c>
      <c r="Q415" s="310">
        <f t="shared" si="85"/>
        <v>3.2467532467532467</v>
      </c>
      <c r="R415" s="377">
        <f t="shared" si="86"/>
        <v>148</v>
      </c>
      <c r="S415" s="407">
        <v>385</v>
      </c>
      <c r="T415" s="377">
        <f t="shared" si="87"/>
        <v>500.5</v>
      </c>
      <c r="U415" s="377">
        <f t="shared" si="88"/>
        <v>1625</v>
      </c>
      <c r="V415" s="408" t="s">
        <v>2985</v>
      </c>
      <c r="W415" s="408" t="s">
        <v>2985</v>
      </c>
      <c r="X415" s="313" t="s">
        <v>12</v>
      </c>
      <c r="Y415" s="239" t="s">
        <v>12</v>
      </c>
      <c r="Z415" s="317" t="s">
        <v>2985</v>
      </c>
      <c r="AA415" s="516" t="s">
        <v>3545</v>
      </c>
      <c r="AB415" s="230" t="s">
        <v>2377</v>
      </c>
      <c r="AC415" s="161" t="s">
        <v>2985</v>
      </c>
      <c r="AD415" s="506" t="s">
        <v>2312</v>
      </c>
      <c r="AE415" s="214" t="s">
        <v>2306</v>
      </c>
      <c r="AF415" s="214" t="s">
        <v>2727</v>
      </c>
      <c r="AG415" s="262" t="s">
        <v>2985</v>
      </c>
      <c r="AH415" s="344">
        <v>70</v>
      </c>
      <c r="AI415" s="353">
        <v>0</v>
      </c>
      <c r="AJ415" s="404">
        <v>30</v>
      </c>
      <c r="AK415" s="365">
        <v>0</v>
      </c>
      <c r="AL415" s="365">
        <v>0</v>
      </c>
      <c r="AM415" s="365">
        <v>0</v>
      </c>
      <c r="AN415" s="353">
        <v>0</v>
      </c>
      <c r="AO415" s="353">
        <v>0</v>
      </c>
      <c r="AP415" s="348">
        <v>0</v>
      </c>
      <c r="AQ415" s="348">
        <v>0</v>
      </c>
      <c r="AR415" s="348">
        <v>0</v>
      </c>
      <c r="AS415" s="348">
        <v>0</v>
      </c>
      <c r="AT415" s="353">
        <v>0</v>
      </c>
      <c r="AU415" s="348">
        <v>0</v>
      </c>
      <c r="AV415" s="348">
        <v>0</v>
      </c>
      <c r="AW415" s="348">
        <v>0</v>
      </c>
      <c r="AX415" s="341">
        <v>0</v>
      </c>
      <c r="AY415" s="227">
        <v>55.8</v>
      </c>
      <c r="AZ415" s="214"/>
      <c r="BA415" s="316" t="s">
        <v>2985</v>
      </c>
      <c r="BB415" s="94" t="s">
        <v>2985</v>
      </c>
      <c r="BC415" s="230">
        <v>35</v>
      </c>
      <c r="BD415" s="360" t="s">
        <v>3544</v>
      </c>
      <c r="BE415" s="229">
        <v>100</v>
      </c>
      <c r="BF415" s="214"/>
      <c r="BG415" s="214">
        <v>400</v>
      </c>
      <c r="BH415" s="390">
        <f>IF(ISBLANK(BF415),(BE415*BG415)/((4*BG415)+(2*BE415)),BE415*BF415*BG415/2/(BE415*BF415+BE415*BG415+BF415*BG415))</f>
        <v>22.222222222222221</v>
      </c>
      <c r="BI415" s="303">
        <v>99</v>
      </c>
      <c r="BJ415" s="239">
        <v>0.25</v>
      </c>
      <c r="BK415" s="239">
        <v>20</v>
      </c>
      <c r="BL415" s="239">
        <v>20</v>
      </c>
      <c r="BM415" s="507" t="s">
        <v>2985</v>
      </c>
      <c r="BN415" s="307">
        <v>99</v>
      </c>
      <c r="BO415" s="332" t="s">
        <v>2985</v>
      </c>
      <c r="BP415" s="228" t="s">
        <v>2400</v>
      </c>
      <c r="BS415" s="321"/>
    </row>
    <row r="416" spans="1:71" s="322" customFormat="1">
      <c r="A416" s="457">
        <v>1757</v>
      </c>
      <c r="B416" s="534" t="s">
        <v>3624</v>
      </c>
      <c r="C416" s="383"/>
      <c r="D416" s="383"/>
      <c r="E416" s="469"/>
      <c r="F416" s="303" t="s">
        <v>2401</v>
      </c>
      <c r="G416" s="386" t="s">
        <v>2402</v>
      </c>
      <c r="H416" s="454" t="s">
        <v>253</v>
      </c>
      <c r="I416" s="338" t="s">
        <v>3377</v>
      </c>
      <c r="J416" s="348">
        <v>2002</v>
      </c>
      <c r="K416" s="355" t="s">
        <v>2985</v>
      </c>
      <c r="L416" s="340" t="s">
        <v>1738</v>
      </c>
      <c r="M416" s="341" t="s">
        <v>1739</v>
      </c>
      <c r="N416" s="447" t="s">
        <v>2985</v>
      </c>
      <c r="O416" s="412">
        <v>0.37</v>
      </c>
      <c r="P416" s="408" t="s">
        <v>2985</v>
      </c>
      <c r="Q416" s="408" t="s">
        <v>2985</v>
      </c>
      <c r="R416" s="408" t="s">
        <v>2985</v>
      </c>
      <c r="S416" s="411" t="s">
        <v>2985</v>
      </c>
      <c r="T416" s="318" t="s">
        <v>2985</v>
      </c>
      <c r="U416" s="318" t="s">
        <v>2985</v>
      </c>
      <c r="V416" s="408" t="s">
        <v>2985</v>
      </c>
      <c r="W416" s="408" t="s">
        <v>2985</v>
      </c>
      <c r="X416" s="313" t="s">
        <v>12</v>
      </c>
      <c r="Y416" s="307" t="s">
        <v>521</v>
      </c>
      <c r="Z416" s="314" t="s">
        <v>2985</v>
      </c>
      <c r="AA416" s="311" t="s">
        <v>1754</v>
      </c>
      <c r="AB416" s="341" t="s">
        <v>521</v>
      </c>
      <c r="AC416" s="161" t="s">
        <v>2985</v>
      </c>
      <c r="AD416" s="511" t="s">
        <v>2985</v>
      </c>
      <c r="AE416" s="316" t="s">
        <v>2985</v>
      </c>
      <c r="AF416" s="348" t="s">
        <v>521</v>
      </c>
      <c r="AG416" s="262" t="s">
        <v>2985</v>
      </c>
      <c r="AH416" s="344">
        <v>95.057034220532316</v>
      </c>
      <c r="AI416" s="404">
        <v>4.9429657794676807</v>
      </c>
      <c r="AJ416" s="395">
        <v>0</v>
      </c>
      <c r="AK416" s="365">
        <v>0</v>
      </c>
      <c r="AL416" s="365">
        <v>0</v>
      </c>
      <c r="AM416" s="365">
        <v>0</v>
      </c>
      <c r="AN416" s="353">
        <v>0</v>
      </c>
      <c r="AO416" s="353">
        <v>0</v>
      </c>
      <c r="AP416" s="348">
        <v>0</v>
      </c>
      <c r="AQ416" s="348">
        <v>0</v>
      </c>
      <c r="AR416" s="348">
        <v>0</v>
      </c>
      <c r="AS416" s="348">
        <v>0</v>
      </c>
      <c r="AT416" s="404">
        <v>1.6159695817490494</v>
      </c>
      <c r="AU416" s="348">
        <v>0.19011406844106463</v>
      </c>
      <c r="AV416" s="348">
        <v>0</v>
      </c>
      <c r="AW416" s="348">
        <v>0</v>
      </c>
      <c r="AX416" s="341">
        <v>0</v>
      </c>
      <c r="AY416" s="354" t="s">
        <v>2985</v>
      </c>
      <c r="AZ416" s="316"/>
      <c r="BA416" s="316" t="s">
        <v>2985</v>
      </c>
      <c r="BB416" s="94" t="s">
        <v>2985</v>
      </c>
      <c r="BC416" s="341" t="s">
        <v>521</v>
      </c>
      <c r="BD416" s="520" t="s">
        <v>2985</v>
      </c>
      <c r="BE416" s="316" t="s">
        <v>2985</v>
      </c>
      <c r="BF416" s="316"/>
      <c r="BG416" s="391" t="s">
        <v>2985</v>
      </c>
      <c r="BH416" s="429" t="s">
        <v>2985</v>
      </c>
      <c r="BI416" s="303">
        <v>99</v>
      </c>
      <c r="BJ416" s="239">
        <v>0.31</v>
      </c>
      <c r="BK416" s="239">
        <v>20</v>
      </c>
      <c r="BL416" s="239">
        <v>21</v>
      </c>
      <c r="BM416" s="507" t="s">
        <v>2985</v>
      </c>
      <c r="BN416" s="307">
        <v>99</v>
      </c>
      <c r="BO416" s="332" t="s">
        <v>2985</v>
      </c>
      <c r="BP416" s="228" t="s">
        <v>2403</v>
      </c>
      <c r="BS416" s="321"/>
    </row>
    <row r="417" spans="1:71" s="322" customFormat="1">
      <c r="A417" s="457">
        <v>1768</v>
      </c>
      <c r="B417" s="534" t="s">
        <v>3585</v>
      </c>
      <c r="C417" s="383"/>
      <c r="D417" s="466" t="s">
        <v>3590</v>
      </c>
      <c r="E417" s="469"/>
      <c r="F417" s="303" t="s">
        <v>2427</v>
      </c>
      <c r="G417" s="386" t="s">
        <v>441</v>
      </c>
      <c r="H417" s="454" t="s">
        <v>266</v>
      </c>
      <c r="I417" s="338" t="s">
        <v>3377</v>
      </c>
      <c r="J417" s="348">
        <v>2002</v>
      </c>
      <c r="K417" s="341">
        <v>371</v>
      </c>
      <c r="L417" s="340" t="s">
        <v>1745</v>
      </c>
      <c r="M417" s="341" t="s">
        <v>1739</v>
      </c>
      <c r="N417" s="449">
        <f t="shared" ref="N417:N434" si="89">R417/T417</f>
        <v>0.35354956268221571</v>
      </c>
      <c r="O417" s="412">
        <v>0.37</v>
      </c>
      <c r="P417" s="410">
        <v>4</v>
      </c>
      <c r="Q417" s="310">
        <f t="shared" ref="Q417:Q434" si="90">U417/T417</f>
        <v>3.8221574344023321</v>
      </c>
      <c r="R417" s="377">
        <f t="shared" ref="R417:R434" si="91">O417*S417</f>
        <v>159.1</v>
      </c>
      <c r="S417" s="708">
        <v>430</v>
      </c>
      <c r="T417" s="377">
        <f t="shared" ref="T417:T434" si="92">(((SUM(AI417:AR417)/100)*(S417))+S417)</f>
        <v>450.00762776506485</v>
      </c>
      <c r="U417" s="377">
        <f t="shared" ref="U417:U434" si="93">P417*S417</f>
        <v>1720</v>
      </c>
      <c r="V417" s="408" t="s">
        <v>2985</v>
      </c>
      <c r="W417" s="408" t="s">
        <v>2985</v>
      </c>
      <c r="X417" s="313" t="s">
        <v>12</v>
      </c>
      <c r="Y417" s="239" t="s">
        <v>12</v>
      </c>
      <c r="Z417" s="314" t="s">
        <v>2985</v>
      </c>
      <c r="AA417" s="311" t="s">
        <v>1754</v>
      </c>
      <c r="AB417" s="230" t="s">
        <v>2423</v>
      </c>
      <c r="AC417" s="161" t="s">
        <v>2985</v>
      </c>
      <c r="AD417" s="506" t="s">
        <v>2320</v>
      </c>
      <c r="AE417" s="316" t="s">
        <v>2985</v>
      </c>
      <c r="AF417" s="214" t="s">
        <v>2320</v>
      </c>
      <c r="AG417" s="262" t="s">
        <v>2985</v>
      </c>
      <c r="AH417" s="344">
        <v>95.347063310450039</v>
      </c>
      <c r="AI417" s="404">
        <v>4.6529366895499624</v>
      </c>
      <c r="AJ417" s="405">
        <v>0</v>
      </c>
      <c r="AK417" s="365">
        <v>0</v>
      </c>
      <c r="AL417" s="365">
        <v>0</v>
      </c>
      <c r="AM417" s="365">
        <v>0</v>
      </c>
      <c r="AN417" s="229">
        <v>0</v>
      </c>
      <c r="AO417" s="353">
        <v>0</v>
      </c>
      <c r="AP417" s="348">
        <v>0</v>
      </c>
      <c r="AQ417" s="214">
        <v>0</v>
      </c>
      <c r="AR417" s="348">
        <v>0</v>
      </c>
      <c r="AS417" s="214">
        <v>0</v>
      </c>
      <c r="AT417" s="404">
        <v>0.57208237986270016</v>
      </c>
      <c r="AU417" s="214">
        <v>0</v>
      </c>
      <c r="AV417" s="348">
        <v>0</v>
      </c>
      <c r="AW417" s="214">
        <v>0</v>
      </c>
      <c r="AX417" s="437">
        <v>4.7673531655225022E-3</v>
      </c>
      <c r="AY417" s="227">
        <v>89</v>
      </c>
      <c r="AZ417" s="358"/>
      <c r="BA417" s="316" t="s">
        <v>2985</v>
      </c>
      <c r="BB417" s="94" t="s">
        <v>2985</v>
      </c>
      <c r="BC417" s="230" t="s">
        <v>521</v>
      </c>
      <c r="BD417" s="423" t="s">
        <v>3560</v>
      </c>
      <c r="BE417" s="229">
        <v>27.5</v>
      </c>
      <c r="BF417" s="214"/>
      <c r="BG417" s="214">
        <v>300</v>
      </c>
      <c r="BH417" s="390">
        <f t="shared" ref="BH417:BH434" si="94">(BE417*BG417)/((2*BG417)+(2*BE417))</f>
        <v>12.595419847328245</v>
      </c>
      <c r="BI417" s="303">
        <v>99</v>
      </c>
      <c r="BJ417" s="239">
        <v>2</v>
      </c>
      <c r="BK417" s="239">
        <v>20</v>
      </c>
      <c r="BL417" s="239">
        <v>20</v>
      </c>
      <c r="BM417" s="507" t="s">
        <v>2985</v>
      </c>
      <c r="BN417" s="307">
        <v>99</v>
      </c>
      <c r="BO417" s="332" t="s">
        <v>2985</v>
      </c>
      <c r="BP417" s="228" t="s">
        <v>2428</v>
      </c>
      <c r="BS417" s="321"/>
    </row>
    <row r="418" spans="1:71" s="322" customFormat="1">
      <c r="A418" s="457">
        <v>1772</v>
      </c>
      <c r="B418" s="791" t="s">
        <v>3897</v>
      </c>
      <c r="C418" s="383"/>
      <c r="D418" s="466" t="s">
        <v>3590</v>
      </c>
      <c r="E418" s="469"/>
      <c r="F418" s="303" t="s">
        <v>2435</v>
      </c>
      <c r="G418" s="386" t="s">
        <v>441</v>
      </c>
      <c r="H418" s="454" t="s">
        <v>266</v>
      </c>
      <c r="I418" s="338" t="s">
        <v>3377</v>
      </c>
      <c r="J418" s="348">
        <v>2002</v>
      </c>
      <c r="K418" s="341">
        <v>371</v>
      </c>
      <c r="L418" s="340" t="s">
        <v>1745</v>
      </c>
      <c r="M418" s="341" t="s">
        <v>1739</v>
      </c>
      <c r="N418" s="446">
        <f t="shared" si="89"/>
        <v>0.33916666666666667</v>
      </c>
      <c r="O418" s="412">
        <v>0.37</v>
      </c>
      <c r="P418" s="410">
        <v>4.0599999999999996</v>
      </c>
      <c r="Q418" s="310">
        <f t="shared" si="90"/>
        <v>3.7216666666666662</v>
      </c>
      <c r="R418" s="377">
        <f t="shared" si="91"/>
        <v>162.80000000000001</v>
      </c>
      <c r="S418" s="708">
        <v>440</v>
      </c>
      <c r="T418" s="377">
        <f t="shared" si="92"/>
        <v>480</v>
      </c>
      <c r="U418" s="377">
        <f t="shared" si="93"/>
        <v>1786.3999999999999</v>
      </c>
      <c r="V418" s="408" t="s">
        <v>2985</v>
      </c>
      <c r="W418" s="408" t="s">
        <v>2985</v>
      </c>
      <c r="X418" s="313" t="s">
        <v>12</v>
      </c>
      <c r="Y418" s="239" t="s">
        <v>12</v>
      </c>
      <c r="Z418" s="314" t="s">
        <v>2985</v>
      </c>
      <c r="AA418" s="311" t="s">
        <v>3538</v>
      </c>
      <c r="AB418" s="230" t="s">
        <v>2423</v>
      </c>
      <c r="AC418" s="161" t="s">
        <v>2985</v>
      </c>
      <c r="AD418" s="506" t="s">
        <v>2320</v>
      </c>
      <c r="AE418" s="316" t="s">
        <v>2985</v>
      </c>
      <c r="AF418" s="214" t="s">
        <v>2320</v>
      </c>
      <c r="AG418" s="262" t="s">
        <v>2985</v>
      </c>
      <c r="AH418" s="344">
        <v>90.909090909090907</v>
      </c>
      <c r="AI418" s="404">
        <v>9.0909090909090917</v>
      </c>
      <c r="AJ418" s="405">
        <v>0</v>
      </c>
      <c r="AK418" s="365">
        <v>0</v>
      </c>
      <c r="AL418" s="365">
        <v>0</v>
      </c>
      <c r="AM418" s="365">
        <v>0</v>
      </c>
      <c r="AN418" s="229">
        <v>0</v>
      </c>
      <c r="AO418" s="353">
        <v>0</v>
      </c>
      <c r="AP418" s="348">
        <v>0</v>
      </c>
      <c r="AQ418" s="214">
        <v>0</v>
      </c>
      <c r="AR418" s="348">
        <v>0</v>
      </c>
      <c r="AS418" s="214">
        <v>0</v>
      </c>
      <c r="AT418" s="404">
        <v>0.92727272727272725</v>
      </c>
      <c r="AU418" s="214">
        <v>0</v>
      </c>
      <c r="AV418" s="348">
        <v>0</v>
      </c>
      <c r="AW418" s="214">
        <v>0</v>
      </c>
      <c r="AX418" s="230">
        <v>0</v>
      </c>
      <c r="AY418" s="227">
        <v>105</v>
      </c>
      <c r="AZ418" s="358">
        <v>52.5</v>
      </c>
      <c r="BA418" s="316" t="s">
        <v>2985</v>
      </c>
      <c r="BB418" s="94" t="s">
        <v>2985</v>
      </c>
      <c r="BC418" s="230" t="s">
        <v>521</v>
      </c>
      <c r="BD418" s="423" t="s">
        <v>3560</v>
      </c>
      <c r="BE418" s="229">
        <v>27.5</v>
      </c>
      <c r="BF418" s="214"/>
      <c r="BG418" s="214">
        <v>300</v>
      </c>
      <c r="BH418" s="390">
        <f t="shared" si="94"/>
        <v>12.595419847328245</v>
      </c>
      <c r="BI418" s="303">
        <v>99</v>
      </c>
      <c r="BJ418" s="239">
        <v>2</v>
      </c>
      <c r="BK418" s="239">
        <v>20</v>
      </c>
      <c r="BL418" s="239">
        <v>20</v>
      </c>
      <c r="BM418" s="507" t="s">
        <v>2985</v>
      </c>
      <c r="BN418" s="307">
        <v>99</v>
      </c>
      <c r="BO418" s="259" t="s">
        <v>2985</v>
      </c>
      <c r="BP418" s="228" t="s">
        <v>2436</v>
      </c>
      <c r="BS418" s="321"/>
    </row>
    <row r="419" spans="1:71" s="322" customFormat="1">
      <c r="A419" s="457">
        <v>1774</v>
      </c>
      <c r="B419" s="791" t="s">
        <v>3897</v>
      </c>
      <c r="C419" s="383"/>
      <c r="D419" s="466" t="s">
        <v>3590</v>
      </c>
      <c r="E419" s="469"/>
      <c r="F419" s="303" t="s">
        <v>2439</v>
      </c>
      <c r="G419" s="386" t="s">
        <v>441</v>
      </c>
      <c r="H419" s="454" t="s">
        <v>266</v>
      </c>
      <c r="I419" s="338" t="s">
        <v>3377</v>
      </c>
      <c r="J419" s="348">
        <v>2002</v>
      </c>
      <c r="K419" s="341">
        <v>371</v>
      </c>
      <c r="L419" s="340" t="s">
        <v>1745</v>
      </c>
      <c r="M419" s="341" t="s">
        <v>1739</v>
      </c>
      <c r="N419" s="449">
        <f t="shared" si="89"/>
        <v>0.33916666666666667</v>
      </c>
      <c r="O419" s="412">
        <v>0.37</v>
      </c>
      <c r="P419" s="410">
        <v>4.0599999999999996</v>
      </c>
      <c r="Q419" s="310">
        <f t="shared" si="90"/>
        <v>3.7216666666666662</v>
      </c>
      <c r="R419" s="377">
        <f t="shared" si="91"/>
        <v>162.80000000000001</v>
      </c>
      <c r="S419" s="708">
        <v>440</v>
      </c>
      <c r="T419" s="377">
        <f t="shared" si="92"/>
        <v>480</v>
      </c>
      <c r="U419" s="377">
        <f t="shared" si="93"/>
        <v>1786.3999999999999</v>
      </c>
      <c r="V419" s="408" t="s">
        <v>2985</v>
      </c>
      <c r="W419" s="408" t="s">
        <v>2985</v>
      </c>
      <c r="X419" s="313" t="s">
        <v>12</v>
      </c>
      <c r="Y419" s="239" t="s">
        <v>12</v>
      </c>
      <c r="Z419" s="314" t="s">
        <v>2985</v>
      </c>
      <c r="AA419" s="311" t="s">
        <v>3538</v>
      </c>
      <c r="AB419" s="230" t="s">
        <v>2423</v>
      </c>
      <c r="AC419" s="161" t="s">
        <v>2985</v>
      </c>
      <c r="AD419" s="506" t="s">
        <v>2320</v>
      </c>
      <c r="AE419" s="316" t="s">
        <v>2985</v>
      </c>
      <c r="AF419" s="214" t="s">
        <v>2320</v>
      </c>
      <c r="AG419" s="262" t="s">
        <v>2985</v>
      </c>
      <c r="AH419" s="344">
        <v>90.909090909090907</v>
      </c>
      <c r="AI419" s="404">
        <v>9.0909090909090917</v>
      </c>
      <c r="AJ419" s="405">
        <v>0</v>
      </c>
      <c r="AK419" s="365">
        <v>0</v>
      </c>
      <c r="AL419" s="365">
        <v>0</v>
      </c>
      <c r="AM419" s="365">
        <v>0</v>
      </c>
      <c r="AN419" s="229">
        <v>0</v>
      </c>
      <c r="AO419" s="353">
        <v>0</v>
      </c>
      <c r="AP419" s="348">
        <v>0</v>
      </c>
      <c r="AQ419" s="214">
        <v>0</v>
      </c>
      <c r="AR419" s="348">
        <v>0</v>
      </c>
      <c r="AS419" s="214">
        <v>0</v>
      </c>
      <c r="AT419" s="404">
        <v>0.92727272727272725</v>
      </c>
      <c r="AU419" s="214">
        <v>0</v>
      </c>
      <c r="AV419" s="348">
        <v>0</v>
      </c>
      <c r="AW419" s="214">
        <v>0</v>
      </c>
      <c r="AX419" s="230">
        <v>0</v>
      </c>
      <c r="AY419" s="227">
        <v>105</v>
      </c>
      <c r="AZ419" s="358">
        <v>52.5</v>
      </c>
      <c r="BA419" s="316" t="s">
        <v>2985</v>
      </c>
      <c r="BB419" s="94" t="s">
        <v>2985</v>
      </c>
      <c r="BC419" s="230" t="s">
        <v>521</v>
      </c>
      <c r="BD419" s="423" t="s">
        <v>3560</v>
      </c>
      <c r="BE419" s="229">
        <v>27.5</v>
      </c>
      <c r="BF419" s="214"/>
      <c r="BG419" s="214">
        <v>300</v>
      </c>
      <c r="BH419" s="390">
        <f t="shared" si="94"/>
        <v>12.595419847328245</v>
      </c>
      <c r="BI419" s="303">
        <v>99</v>
      </c>
      <c r="BJ419" s="239">
        <v>1</v>
      </c>
      <c r="BK419" s="239">
        <v>20</v>
      </c>
      <c r="BL419" s="239">
        <v>20</v>
      </c>
      <c r="BM419" s="507" t="s">
        <v>2985</v>
      </c>
      <c r="BN419" s="307">
        <v>99</v>
      </c>
      <c r="BO419" s="259" t="s">
        <v>2985</v>
      </c>
      <c r="BP419" s="228" t="s">
        <v>2440</v>
      </c>
      <c r="BS419" s="321"/>
    </row>
    <row r="420" spans="1:71" s="322" customFormat="1">
      <c r="A420" s="457">
        <v>1776</v>
      </c>
      <c r="B420" s="791" t="s">
        <v>3897</v>
      </c>
      <c r="C420" s="383"/>
      <c r="D420" s="466" t="s">
        <v>3590</v>
      </c>
      <c r="E420" s="469"/>
      <c r="F420" s="303" t="s">
        <v>2443</v>
      </c>
      <c r="G420" s="386" t="s">
        <v>441</v>
      </c>
      <c r="H420" s="454" t="s">
        <v>266</v>
      </c>
      <c r="I420" s="338" t="s">
        <v>3377</v>
      </c>
      <c r="J420" s="348">
        <v>2002</v>
      </c>
      <c r="K420" s="341">
        <v>371</v>
      </c>
      <c r="L420" s="340" t="s">
        <v>1745</v>
      </c>
      <c r="M420" s="341" t="s">
        <v>1739</v>
      </c>
      <c r="N420" s="446">
        <f t="shared" si="89"/>
        <v>0.33916666666666667</v>
      </c>
      <c r="O420" s="703">
        <v>0.37</v>
      </c>
      <c r="P420" s="410">
        <v>4.0599999999999996</v>
      </c>
      <c r="Q420" s="310">
        <f t="shared" si="90"/>
        <v>3.7216666666666662</v>
      </c>
      <c r="R420" s="377">
        <f t="shared" si="91"/>
        <v>162.80000000000001</v>
      </c>
      <c r="S420" s="708">
        <v>440</v>
      </c>
      <c r="T420" s="377">
        <f t="shared" si="92"/>
        <v>480</v>
      </c>
      <c r="U420" s="377">
        <f t="shared" si="93"/>
        <v>1786.3999999999999</v>
      </c>
      <c r="V420" s="408" t="s">
        <v>2985</v>
      </c>
      <c r="W420" s="408" t="s">
        <v>2985</v>
      </c>
      <c r="X420" s="313" t="s">
        <v>12</v>
      </c>
      <c r="Y420" s="239" t="s">
        <v>12</v>
      </c>
      <c r="Z420" s="314" t="s">
        <v>2985</v>
      </c>
      <c r="AA420" s="311" t="s">
        <v>3538</v>
      </c>
      <c r="AB420" s="230" t="s">
        <v>2423</v>
      </c>
      <c r="AC420" s="161" t="s">
        <v>2985</v>
      </c>
      <c r="AD420" s="506" t="s">
        <v>2320</v>
      </c>
      <c r="AE420" s="316" t="s">
        <v>2985</v>
      </c>
      <c r="AF420" s="214" t="s">
        <v>2320</v>
      </c>
      <c r="AG420" s="262" t="s">
        <v>2985</v>
      </c>
      <c r="AH420" s="344">
        <v>90.909090909090907</v>
      </c>
      <c r="AI420" s="404">
        <v>9.0909090909090917</v>
      </c>
      <c r="AJ420" s="405">
        <v>0</v>
      </c>
      <c r="AK420" s="365">
        <v>0</v>
      </c>
      <c r="AL420" s="365">
        <v>0</v>
      </c>
      <c r="AM420" s="365">
        <v>0</v>
      </c>
      <c r="AN420" s="229">
        <v>0</v>
      </c>
      <c r="AO420" s="353">
        <v>0</v>
      </c>
      <c r="AP420" s="348">
        <v>0</v>
      </c>
      <c r="AQ420" s="214">
        <v>0</v>
      </c>
      <c r="AR420" s="348">
        <v>0</v>
      </c>
      <c r="AS420" s="214">
        <v>0</v>
      </c>
      <c r="AT420" s="404">
        <v>0.92727272727272725</v>
      </c>
      <c r="AU420" s="214">
        <v>0</v>
      </c>
      <c r="AV420" s="348">
        <v>0</v>
      </c>
      <c r="AW420" s="214">
        <v>0</v>
      </c>
      <c r="AX420" s="230">
        <v>0</v>
      </c>
      <c r="AY420" s="227">
        <v>105</v>
      </c>
      <c r="AZ420" s="358">
        <v>52.5</v>
      </c>
      <c r="BA420" s="316" t="s">
        <v>2985</v>
      </c>
      <c r="BB420" s="94" t="s">
        <v>2985</v>
      </c>
      <c r="BC420" s="230" t="s">
        <v>521</v>
      </c>
      <c r="BD420" s="423" t="s">
        <v>3560</v>
      </c>
      <c r="BE420" s="229">
        <v>27.5</v>
      </c>
      <c r="BF420" s="214"/>
      <c r="BG420" s="214">
        <v>300</v>
      </c>
      <c r="BH420" s="390">
        <f t="shared" si="94"/>
        <v>12.595419847328245</v>
      </c>
      <c r="BI420" s="303">
        <v>99</v>
      </c>
      <c r="BJ420" s="239">
        <v>3</v>
      </c>
      <c r="BK420" s="239">
        <v>20</v>
      </c>
      <c r="BL420" s="239">
        <v>20</v>
      </c>
      <c r="BM420" s="507" t="s">
        <v>2985</v>
      </c>
      <c r="BN420" s="307">
        <v>99</v>
      </c>
      <c r="BO420" s="259" t="s">
        <v>2985</v>
      </c>
      <c r="BP420" s="228" t="s">
        <v>2444</v>
      </c>
      <c r="BS420" s="321"/>
    </row>
    <row r="421" spans="1:71" s="322" customFormat="1">
      <c r="A421" s="457">
        <v>1778</v>
      </c>
      <c r="B421" s="791" t="s">
        <v>3898</v>
      </c>
      <c r="C421" s="383"/>
      <c r="D421" s="466" t="s">
        <v>3590</v>
      </c>
      <c r="E421" s="469"/>
      <c r="F421" s="303" t="s">
        <v>2447</v>
      </c>
      <c r="G421" s="386" t="s">
        <v>441</v>
      </c>
      <c r="H421" s="454" t="s">
        <v>266</v>
      </c>
      <c r="I421" s="338" t="s">
        <v>3377</v>
      </c>
      <c r="J421" s="348">
        <v>2002</v>
      </c>
      <c r="K421" s="341">
        <v>371</v>
      </c>
      <c r="L421" s="340" t="s">
        <v>1745</v>
      </c>
      <c r="M421" s="341" t="s">
        <v>1739</v>
      </c>
      <c r="N421" s="449">
        <f t="shared" si="89"/>
        <v>0.3302755050926699</v>
      </c>
      <c r="O421" s="412">
        <v>0.36</v>
      </c>
      <c r="P421" s="410">
        <v>3.82</v>
      </c>
      <c r="Q421" s="310">
        <f t="shared" si="90"/>
        <v>3.5045900818166635</v>
      </c>
      <c r="R421" s="377">
        <f t="shared" si="91"/>
        <v>160.19999999999999</v>
      </c>
      <c r="S421" s="708">
        <v>445</v>
      </c>
      <c r="T421" s="377">
        <f t="shared" si="92"/>
        <v>485.04959504959504</v>
      </c>
      <c r="U421" s="377">
        <f t="shared" si="93"/>
        <v>1699.8999999999999</v>
      </c>
      <c r="V421" s="408" t="s">
        <v>2985</v>
      </c>
      <c r="W421" s="408" t="s">
        <v>2985</v>
      </c>
      <c r="X421" s="313" t="s">
        <v>12</v>
      </c>
      <c r="Y421" s="239" t="s">
        <v>12</v>
      </c>
      <c r="Z421" s="314" t="s">
        <v>2985</v>
      </c>
      <c r="AA421" s="311" t="s">
        <v>3538</v>
      </c>
      <c r="AB421" s="230" t="s">
        <v>2423</v>
      </c>
      <c r="AC421" s="161" t="s">
        <v>2985</v>
      </c>
      <c r="AD421" s="506" t="s">
        <v>2320</v>
      </c>
      <c r="AE421" s="316" t="s">
        <v>2985</v>
      </c>
      <c r="AF421" s="214" t="s">
        <v>2320</v>
      </c>
      <c r="AG421" s="262" t="s">
        <v>2985</v>
      </c>
      <c r="AH421" s="344">
        <v>91.000091000091004</v>
      </c>
      <c r="AI421" s="404">
        <v>8.9999089999090014</v>
      </c>
      <c r="AJ421" s="405">
        <v>0</v>
      </c>
      <c r="AK421" s="365">
        <v>0</v>
      </c>
      <c r="AL421" s="365">
        <v>0</v>
      </c>
      <c r="AM421" s="365">
        <v>0</v>
      </c>
      <c r="AN421" s="229">
        <v>0</v>
      </c>
      <c r="AO421" s="353">
        <v>0</v>
      </c>
      <c r="AP421" s="348">
        <v>0</v>
      </c>
      <c r="AQ421" s="214">
        <v>0</v>
      </c>
      <c r="AR421" s="348">
        <v>0</v>
      </c>
      <c r="AS421" s="214">
        <v>0</v>
      </c>
      <c r="AT421" s="404">
        <v>0.77350077350077351</v>
      </c>
      <c r="AU421" s="214">
        <v>0</v>
      </c>
      <c r="AV421" s="348">
        <v>0</v>
      </c>
      <c r="AW421" s="214">
        <v>0</v>
      </c>
      <c r="AX421" s="437">
        <v>4.5500045500045496E-3</v>
      </c>
      <c r="AY421" s="227">
        <v>95</v>
      </c>
      <c r="AZ421" s="358">
        <v>47.5</v>
      </c>
      <c r="BA421" s="316" t="s">
        <v>2985</v>
      </c>
      <c r="BB421" s="94" t="s">
        <v>2985</v>
      </c>
      <c r="BC421" s="230" t="s">
        <v>521</v>
      </c>
      <c r="BD421" s="423" t="s">
        <v>3560</v>
      </c>
      <c r="BE421" s="229">
        <v>27.5</v>
      </c>
      <c r="BF421" s="214"/>
      <c r="BG421" s="214">
        <v>300</v>
      </c>
      <c r="BH421" s="390">
        <f t="shared" si="94"/>
        <v>12.595419847328245</v>
      </c>
      <c r="BI421" s="303">
        <v>99</v>
      </c>
      <c r="BJ421" s="239">
        <v>2</v>
      </c>
      <c r="BK421" s="239">
        <v>20</v>
      </c>
      <c r="BL421" s="239">
        <v>20</v>
      </c>
      <c r="BM421" s="94" t="s">
        <v>2985</v>
      </c>
      <c r="BN421" s="307">
        <v>99</v>
      </c>
      <c r="BO421" s="259" t="s">
        <v>2985</v>
      </c>
      <c r="BP421" s="228" t="s">
        <v>2448</v>
      </c>
      <c r="BS421" s="321"/>
    </row>
    <row r="422" spans="1:71" s="322" customFormat="1">
      <c r="A422" s="457">
        <v>1779</v>
      </c>
      <c r="B422" s="791" t="s">
        <v>3898</v>
      </c>
      <c r="C422" s="383"/>
      <c r="D422" s="466" t="s">
        <v>3590</v>
      </c>
      <c r="E422" s="469"/>
      <c r="F422" s="303" t="s">
        <v>2449</v>
      </c>
      <c r="G422" s="386" t="s">
        <v>441</v>
      </c>
      <c r="H422" s="454" t="s">
        <v>266</v>
      </c>
      <c r="I422" s="338" t="s">
        <v>3377</v>
      </c>
      <c r="J422" s="348">
        <v>2002</v>
      </c>
      <c r="K422" s="341">
        <v>371</v>
      </c>
      <c r="L422" s="340" t="s">
        <v>1745</v>
      </c>
      <c r="M422" s="341" t="s">
        <v>1739</v>
      </c>
      <c r="N422" s="449">
        <f t="shared" si="89"/>
        <v>0.3302755050926699</v>
      </c>
      <c r="O422" s="412">
        <v>0.36</v>
      </c>
      <c r="P422" s="410">
        <v>3.82</v>
      </c>
      <c r="Q422" s="310">
        <f t="shared" si="90"/>
        <v>3.5045900818166635</v>
      </c>
      <c r="R422" s="377">
        <f t="shared" si="91"/>
        <v>160.19999999999999</v>
      </c>
      <c r="S422" s="708">
        <v>445</v>
      </c>
      <c r="T422" s="377">
        <f t="shared" si="92"/>
        <v>485.04959504959504</v>
      </c>
      <c r="U422" s="377">
        <f t="shared" si="93"/>
        <v>1699.8999999999999</v>
      </c>
      <c r="V422" s="408" t="s">
        <v>2985</v>
      </c>
      <c r="W422" s="408" t="s">
        <v>2985</v>
      </c>
      <c r="X422" s="313" t="s">
        <v>12</v>
      </c>
      <c r="Y422" s="239" t="s">
        <v>12</v>
      </c>
      <c r="Z422" s="314" t="s">
        <v>2985</v>
      </c>
      <c r="AA422" s="311" t="s">
        <v>3538</v>
      </c>
      <c r="AB422" s="230" t="s">
        <v>2423</v>
      </c>
      <c r="AC422" s="161" t="s">
        <v>2985</v>
      </c>
      <c r="AD422" s="506" t="s">
        <v>2320</v>
      </c>
      <c r="AE422" s="316" t="s">
        <v>2985</v>
      </c>
      <c r="AF422" s="214" t="s">
        <v>2320</v>
      </c>
      <c r="AG422" s="262" t="s">
        <v>2985</v>
      </c>
      <c r="AH422" s="344">
        <v>91.000091000091004</v>
      </c>
      <c r="AI422" s="404">
        <v>8.9999089999090014</v>
      </c>
      <c r="AJ422" s="405">
        <v>0</v>
      </c>
      <c r="AK422" s="365">
        <v>0</v>
      </c>
      <c r="AL422" s="365">
        <v>0</v>
      </c>
      <c r="AM422" s="365">
        <v>0</v>
      </c>
      <c r="AN422" s="229">
        <v>0</v>
      </c>
      <c r="AO422" s="353">
        <v>0</v>
      </c>
      <c r="AP422" s="348">
        <v>0</v>
      </c>
      <c r="AQ422" s="214">
        <v>0</v>
      </c>
      <c r="AR422" s="348">
        <v>0</v>
      </c>
      <c r="AS422" s="214">
        <v>0</v>
      </c>
      <c r="AT422" s="404">
        <v>0.77350077350077351</v>
      </c>
      <c r="AU422" s="214">
        <v>0</v>
      </c>
      <c r="AV422" s="348">
        <v>0</v>
      </c>
      <c r="AW422" s="214">
        <v>0</v>
      </c>
      <c r="AX422" s="437">
        <v>4.5500045500045496E-3</v>
      </c>
      <c r="AY422" s="227">
        <v>95</v>
      </c>
      <c r="AZ422" s="358">
        <v>47.5</v>
      </c>
      <c r="BA422" s="316" t="s">
        <v>2985</v>
      </c>
      <c r="BB422" s="94" t="s">
        <v>2985</v>
      </c>
      <c r="BC422" s="230" t="s">
        <v>521</v>
      </c>
      <c r="BD422" s="423" t="s">
        <v>3560</v>
      </c>
      <c r="BE422" s="229">
        <v>27.5</v>
      </c>
      <c r="BF422" s="214"/>
      <c r="BG422" s="214">
        <v>300</v>
      </c>
      <c r="BH422" s="390">
        <f t="shared" si="94"/>
        <v>12.595419847328245</v>
      </c>
      <c r="BI422" s="303">
        <v>99</v>
      </c>
      <c r="BJ422" s="239">
        <v>1</v>
      </c>
      <c r="BK422" s="239">
        <v>20</v>
      </c>
      <c r="BL422" s="239">
        <v>20</v>
      </c>
      <c r="BM422" s="507" t="s">
        <v>2985</v>
      </c>
      <c r="BN422" s="307">
        <v>99</v>
      </c>
      <c r="BO422" s="259" t="s">
        <v>2985</v>
      </c>
      <c r="BP422" s="228" t="s">
        <v>2450</v>
      </c>
      <c r="BS422" s="321"/>
    </row>
    <row r="423" spans="1:71" s="322" customFormat="1">
      <c r="A423" s="457">
        <v>1783</v>
      </c>
      <c r="B423" s="791" t="s">
        <v>3896</v>
      </c>
      <c r="C423" s="383"/>
      <c r="D423" s="466" t="s">
        <v>3590</v>
      </c>
      <c r="E423" s="469"/>
      <c r="F423" s="303" t="s">
        <v>2457</v>
      </c>
      <c r="G423" s="386" t="s">
        <v>441</v>
      </c>
      <c r="H423" s="454" t="s">
        <v>266</v>
      </c>
      <c r="I423" s="338" t="s">
        <v>3377</v>
      </c>
      <c r="J423" s="348">
        <v>2002</v>
      </c>
      <c r="K423" s="341">
        <v>371</v>
      </c>
      <c r="L423" s="340" t="s">
        <v>1745</v>
      </c>
      <c r="M423" s="341" t="s">
        <v>1739</v>
      </c>
      <c r="N423" s="449">
        <f t="shared" si="89"/>
        <v>0.30532243415077204</v>
      </c>
      <c r="O423" s="412">
        <v>0.32</v>
      </c>
      <c r="P423" s="410">
        <v>4.12</v>
      </c>
      <c r="Q423" s="310">
        <f t="shared" si="90"/>
        <v>3.9310263396911904</v>
      </c>
      <c r="R423" s="377">
        <f t="shared" si="91"/>
        <v>145.6</v>
      </c>
      <c r="S423" s="708">
        <v>455</v>
      </c>
      <c r="T423" s="377">
        <f t="shared" si="92"/>
        <v>476.87291765825796</v>
      </c>
      <c r="U423" s="377">
        <f t="shared" si="93"/>
        <v>1874.6000000000001</v>
      </c>
      <c r="V423" s="408" t="s">
        <v>2985</v>
      </c>
      <c r="W423" s="408" t="s">
        <v>2985</v>
      </c>
      <c r="X423" s="313" t="s">
        <v>12</v>
      </c>
      <c r="Y423" s="239" t="s">
        <v>12</v>
      </c>
      <c r="Z423" s="314" t="s">
        <v>2985</v>
      </c>
      <c r="AA423" s="311" t="s">
        <v>1754</v>
      </c>
      <c r="AB423" s="230" t="s">
        <v>2423</v>
      </c>
      <c r="AC423" s="161" t="s">
        <v>2985</v>
      </c>
      <c r="AD423" s="507" t="s">
        <v>2312</v>
      </c>
      <c r="AE423" s="316" t="s">
        <v>2985</v>
      </c>
      <c r="AF423" s="214" t="s">
        <v>2308</v>
      </c>
      <c r="AG423" s="262" t="s">
        <v>2985</v>
      </c>
      <c r="AH423" s="344">
        <v>95.192765349833408</v>
      </c>
      <c r="AI423" s="404">
        <v>4.8072346501665875</v>
      </c>
      <c r="AJ423" s="405">
        <v>0</v>
      </c>
      <c r="AK423" s="365">
        <v>0</v>
      </c>
      <c r="AL423" s="365">
        <v>0</v>
      </c>
      <c r="AM423" s="365">
        <v>0</v>
      </c>
      <c r="AN423" s="229">
        <v>0</v>
      </c>
      <c r="AO423" s="353">
        <v>0</v>
      </c>
      <c r="AP423" s="348">
        <v>0</v>
      </c>
      <c r="AQ423" s="214">
        <v>0</v>
      </c>
      <c r="AR423" s="348">
        <v>0</v>
      </c>
      <c r="AS423" s="214">
        <v>0</v>
      </c>
      <c r="AT423" s="404">
        <v>1.0661589719181344</v>
      </c>
      <c r="AU423" s="214">
        <v>0</v>
      </c>
      <c r="AV423" s="348">
        <v>0</v>
      </c>
      <c r="AW423" s="214">
        <v>0</v>
      </c>
      <c r="AX423" s="230">
        <v>0</v>
      </c>
      <c r="AY423" s="227">
        <v>101</v>
      </c>
      <c r="AZ423" s="358">
        <v>50.5</v>
      </c>
      <c r="BA423" s="316" t="s">
        <v>2985</v>
      </c>
      <c r="BB423" s="94" t="s">
        <v>2985</v>
      </c>
      <c r="BC423" s="230" t="s">
        <v>521</v>
      </c>
      <c r="BD423" s="423" t="s">
        <v>3560</v>
      </c>
      <c r="BE423" s="229">
        <v>27.5</v>
      </c>
      <c r="BF423" s="214"/>
      <c r="BG423" s="214">
        <v>300</v>
      </c>
      <c r="BH423" s="390">
        <f t="shared" si="94"/>
        <v>12.595419847328245</v>
      </c>
      <c r="BI423" s="303">
        <v>99</v>
      </c>
      <c r="BJ423" s="239">
        <v>1</v>
      </c>
      <c r="BK423" s="239">
        <v>20</v>
      </c>
      <c r="BL423" s="239">
        <v>20</v>
      </c>
      <c r="BM423" s="507" t="s">
        <v>2985</v>
      </c>
      <c r="BN423" s="307">
        <v>99</v>
      </c>
      <c r="BO423" s="259" t="s">
        <v>2985</v>
      </c>
      <c r="BP423" s="228" t="s">
        <v>2458</v>
      </c>
      <c r="BS423" s="321"/>
    </row>
    <row r="424" spans="1:71" s="322" customFormat="1">
      <c r="A424" s="457">
        <v>1784</v>
      </c>
      <c r="B424" s="532" t="s">
        <v>3622</v>
      </c>
      <c r="C424" s="383"/>
      <c r="D424" s="466" t="s">
        <v>3590</v>
      </c>
      <c r="E424" s="469"/>
      <c r="F424" s="303" t="s">
        <v>2459</v>
      </c>
      <c r="G424" s="386" t="s">
        <v>441</v>
      </c>
      <c r="H424" s="454" t="s">
        <v>266</v>
      </c>
      <c r="I424" s="338" t="s">
        <v>3377</v>
      </c>
      <c r="J424" s="348">
        <v>2002</v>
      </c>
      <c r="K424" s="341">
        <v>371</v>
      </c>
      <c r="L424" s="340" t="s">
        <v>1745</v>
      </c>
      <c r="M424" s="341" t="s">
        <v>1739</v>
      </c>
      <c r="N424" s="449">
        <f t="shared" si="89"/>
        <v>0.30532243415077204</v>
      </c>
      <c r="O424" s="412">
        <v>0.32</v>
      </c>
      <c r="P424" s="410">
        <v>4.12</v>
      </c>
      <c r="Q424" s="310">
        <f t="shared" si="90"/>
        <v>3.9310263396911904</v>
      </c>
      <c r="R424" s="377">
        <f t="shared" si="91"/>
        <v>145.6</v>
      </c>
      <c r="S424" s="708">
        <v>455</v>
      </c>
      <c r="T424" s="377">
        <f t="shared" si="92"/>
        <v>476.87291765825796</v>
      </c>
      <c r="U424" s="377">
        <f t="shared" si="93"/>
        <v>1874.6000000000001</v>
      </c>
      <c r="V424" s="408" t="s">
        <v>2985</v>
      </c>
      <c r="W424" s="408" t="s">
        <v>2985</v>
      </c>
      <c r="X424" s="313" t="s">
        <v>12</v>
      </c>
      <c r="Y424" s="239" t="s">
        <v>12</v>
      </c>
      <c r="Z424" s="314" t="s">
        <v>2985</v>
      </c>
      <c r="AA424" s="311" t="s">
        <v>1754</v>
      </c>
      <c r="AB424" s="230" t="s">
        <v>2423</v>
      </c>
      <c r="AC424" s="161" t="s">
        <v>2985</v>
      </c>
      <c r="AD424" s="507" t="s">
        <v>2312</v>
      </c>
      <c r="AE424" s="316" t="s">
        <v>2985</v>
      </c>
      <c r="AF424" s="214" t="s">
        <v>2308</v>
      </c>
      <c r="AG424" s="262" t="s">
        <v>2985</v>
      </c>
      <c r="AH424" s="344">
        <v>95.192765349833408</v>
      </c>
      <c r="AI424" s="404">
        <v>4.8072346501665875</v>
      </c>
      <c r="AJ424" s="405">
        <v>0</v>
      </c>
      <c r="AK424" s="365">
        <v>0</v>
      </c>
      <c r="AL424" s="365">
        <v>0</v>
      </c>
      <c r="AM424" s="365">
        <v>0</v>
      </c>
      <c r="AN424" s="229">
        <v>0</v>
      </c>
      <c r="AO424" s="353">
        <v>0</v>
      </c>
      <c r="AP424" s="348">
        <v>0</v>
      </c>
      <c r="AQ424" s="214">
        <v>0</v>
      </c>
      <c r="AR424" s="348">
        <v>0</v>
      </c>
      <c r="AS424" s="214">
        <v>0</v>
      </c>
      <c r="AT424" s="404">
        <v>1.0661589719181344</v>
      </c>
      <c r="AU424" s="214">
        <v>0</v>
      </c>
      <c r="AV424" s="348">
        <v>0</v>
      </c>
      <c r="AW424" s="214">
        <v>0</v>
      </c>
      <c r="AX424" s="230">
        <v>0</v>
      </c>
      <c r="AY424" s="227">
        <v>101</v>
      </c>
      <c r="AZ424" s="358">
        <v>50.5</v>
      </c>
      <c r="BA424" s="316" t="s">
        <v>2985</v>
      </c>
      <c r="BB424" s="94" t="s">
        <v>2985</v>
      </c>
      <c r="BC424" s="230" t="s">
        <v>521</v>
      </c>
      <c r="BD424" s="423" t="s">
        <v>3560</v>
      </c>
      <c r="BE424" s="229">
        <v>27.5</v>
      </c>
      <c r="BF424" s="214"/>
      <c r="BG424" s="214">
        <v>300</v>
      </c>
      <c r="BH424" s="390">
        <f t="shared" si="94"/>
        <v>12.595419847328245</v>
      </c>
      <c r="BI424" s="303">
        <v>99</v>
      </c>
      <c r="BJ424" s="239">
        <v>3</v>
      </c>
      <c r="BK424" s="239">
        <v>20</v>
      </c>
      <c r="BL424" s="239">
        <v>20</v>
      </c>
      <c r="BM424" s="94" t="s">
        <v>2985</v>
      </c>
      <c r="BN424" s="307">
        <v>99</v>
      </c>
      <c r="BO424" s="259" t="s">
        <v>2985</v>
      </c>
      <c r="BP424" s="228" t="s">
        <v>2460</v>
      </c>
      <c r="BS424" s="321"/>
    </row>
    <row r="425" spans="1:71" s="322" customFormat="1">
      <c r="A425" s="457">
        <v>1785</v>
      </c>
      <c r="B425" s="791" t="s">
        <v>3896</v>
      </c>
      <c r="C425" s="383"/>
      <c r="D425" s="383"/>
      <c r="E425" s="469"/>
      <c r="F425" s="303" t="s">
        <v>2461</v>
      </c>
      <c r="G425" s="386" t="s">
        <v>441</v>
      </c>
      <c r="H425" s="454" t="s">
        <v>266</v>
      </c>
      <c r="I425" s="338" t="s">
        <v>3377</v>
      </c>
      <c r="J425" s="348">
        <v>2002</v>
      </c>
      <c r="K425" s="341">
        <v>371</v>
      </c>
      <c r="L425" s="340" t="s">
        <v>1745</v>
      </c>
      <c r="M425" s="341" t="s">
        <v>1739</v>
      </c>
      <c r="N425" s="449">
        <f t="shared" si="89"/>
        <v>0.30532243415077204</v>
      </c>
      <c r="O425" s="412">
        <v>0.32</v>
      </c>
      <c r="P425" s="410">
        <v>4.12</v>
      </c>
      <c r="Q425" s="310">
        <f t="shared" si="90"/>
        <v>3.9310263396911904</v>
      </c>
      <c r="R425" s="377">
        <f t="shared" si="91"/>
        <v>145.6</v>
      </c>
      <c r="S425" s="708">
        <v>455</v>
      </c>
      <c r="T425" s="377">
        <f t="shared" si="92"/>
        <v>476.87291765825796</v>
      </c>
      <c r="U425" s="377">
        <f t="shared" si="93"/>
        <v>1874.6000000000001</v>
      </c>
      <c r="V425" s="408" t="s">
        <v>2985</v>
      </c>
      <c r="W425" s="408" t="s">
        <v>2985</v>
      </c>
      <c r="X425" s="313" t="s">
        <v>12</v>
      </c>
      <c r="Y425" s="239" t="s">
        <v>12</v>
      </c>
      <c r="Z425" s="314" t="s">
        <v>2985</v>
      </c>
      <c r="AA425" s="311" t="s">
        <v>1754</v>
      </c>
      <c r="AB425" s="230" t="s">
        <v>2423</v>
      </c>
      <c r="AC425" s="161" t="s">
        <v>2985</v>
      </c>
      <c r="AD425" s="507" t="s">
        <v>2312</v>
      </c>
      <c r="AE425" s="316" t="s">
        <v>2985</v>
      </c>
      <c r="AF425" s="214" t="s">
        <v>2308</v>
      </c>
      <c r="AG425" s="262" t="s">
        <v>2985</v>
      </c>
      <c r="AH425" s="344">
        <v>95.192765349833408</v>
      </c>
      <c r="AI425" s="404">
        <v>4.8072346501665875</v>
      </c>
      <c r="AJ425" s="405">
        <v>0</v>
      </c>
      <c r="AK425" s="365">
        <v>0</v>
      </c>
      <c r="AL425" s="365">
        <v>0</v>
      </c>
      <c r="AM425" s="365">
        <v>0</v>
      </c>
      <c r="AN425" s="229">
        <v>0</v>
      </c>
      <c r="AO425" s="353">
        <v>0</v>
      </c>
      <c r="AP425" s="348">
        <v>0</v>
      </c>
      <c r="AQ425" s="214">
        <v>0</v>
      </c>
      <c r="AR425" s="348">
        <v>0</v>
      </c>
      <c r="AS425" s="214">
        <v>0</v>
      </c>
      <c r="AT425" s="404">
        <v>1.0661589719181344</v>
      </c>
      <c r="AU425" s="214">
        <v>0</v>
      </c>
      <c r="AV425" s="348">
        <v>0</v>
      </c>
      <c r="AW425" s="214">
        <v>0</v>
      </c>
      <c r="AX425" s="230">
        <v>0</v>
      </c>
      <c r="AY425" s="227">
        <v>101</v>
      </c>
      <c r="AZ425" s="358">
        <v>50.5</v>
      </c>
      <c r="BA425" s="316" t="s">
        <v>2985</v>
      </c>
      <c r="BB425" s="94" t="s">
        <v>2985</v>
      </c>
      <c r="BC425" s="230" t="s">
        <v>521</v>
      </c>
      <c r="BD425" s="423" t="s">
        <v>3560</v>
      </c>
      <c r="BE425" s="229">
        <v>27.5</v>
      </c>
      <c r="BF425" s="214"/>
      <c r="BG425" s="214">
        <v>300</v>
      </c>
      <c r="BH425" s="390">
        <f t="shared" si="94"/>
        <v>12.595419847328245</v>
      </c>
      <c r="BI425" s="303">
        <v>99</v>
      </c>
      <c r="BJ425" s="239">
        <v>28</v>
      </c>
      <c r="BK425" s="239">
        <v>20</v>
      </c>
      <c r="BL425" s="239">
        <v>20</v>
      </c>
      <c r="BM425" s="94" t="s">
        <v>2985</v>
      </c>
      <c r="BN425" s="307">
        <v>99</v>
      </c>
      <c r="BO425" s="259" t="s">
        <v>2985</v>
      </c>
      <c r="BP425" s="228" t="s">
        <v>2462</v>
      </c>
      <c r="BS425" s="321"/>
    </row>
    <row r="426" spans="1:71" s="322" customFormat="1">
      <c r="A426" s="457">
        <v>1790</v>
      </c>
      <c r="B426" s="532" t="s">
        <v>3622</v>
      </c>
      <c r="C426" s="383"/>
      <c r="D426" s="466" t="s">
        <v>3590</v>
      </c>
      <c r="E426" s="469"/>
      <c r="F426" s="303" t="s">
        <v>2471</v>
      </c>
      <c r="G426" s="386" t="s">
        <v>441</v>
      </c>
      <c r="H426" s="454" t="s">
        <v>266</v>
      </c>
      <c r="I426" s="338" t="s">
        <v>3377</v>
      </c>
      <c r="J426" s="348">
        <v>2002</v>
      </c>
      <c r="K426" s="341">
        <v>371</v>
      </c>
      <c r="L426" s="340" t="s">
        <v>1745</v>
      </c>
      <c r="M426" s="341" t="s">
        <v>1739</v>
      </c>
      <c r="N426" s="449">
        <f t="shared" si="89"/>
        <v>0.28395174708818638</v>
      </c>
      <c r="O426" s="412">
        <v>0.31</v>
      </c>
      <c r="P426" s="410">
        <v>3.56</v>
      </c>
      <c r="Q426" s="310">
        <f t="shared" si="90"/>
        <v>3.2608652246256242</v>
      </c>
      <c r="R426" s="377">
        <f t="shared" si="91"/>
        <v>153.44999999999999</v>
      </c>
      <c r="S426" s="708">
        <v>495</v>
      </c>
      <c r="T426" s="377">
        <f t="shared" si="92"/>
        <v>540.408719346049</v>
      </c>
      <c r="U426" s="377">
        <f t="shared" si="93"/>
        <v>1762.2</v>
      </c>
      <c r="V426" s="408" t="s">
        <v>2985</v>
      </c>
      <c r="W426" s="408" t="s">
        <v>2985</v>
      </c>
      <c r="X426" s="313" t="s">
        <v>12</v>
      </c>
      <c r="Y426" s="239" t="s">
        <v>12</v>
      </c>
      <c r="Z426" s="314" t="s">
        <v>2985</v>
      </c>
      <c r="AA426" s="311" t="s">
        <v>3538</v>
      </c>
      <c r="AB426" s="230" t="s">
        <v>2423</v>
      </c>
      <c r="AC426" s="161" t="s">
        <v>2985</v>
      </c>
      <c r="AD426" s="506" t="s">
        <v>2320</v>
      </c>
      <c r="AE426" s="316" t="s">
        <v>2985</v>
      </c>
      <c r="AF426" s="214" t="s">
        <v>2320</v>
      </c>
      <c r="AG426" s="262" t="s">
        <v>2985</v>
      </c>
      <c r="AH426" s="344">
        <v>90.826521344232518</v>
      </c>
      <c r="AI426" s="404">
        <v>9.1734786557674841</v>
      </c>
      <c r="AJ426" s="405">
        <v>0</v>
      </c>
      <c r="AK426" s="365">
        <v>0</v>
      </c>
      <c r="AL426" s="365">
        <v>0</v>
      </c>
      <c r="AM426" s="365">
        <v>0</v>
      </c>
      <c r="AN426" s="229">
        <v>0</v>
      </c>
      <c r="AO426" s="353">
        <v>0</v>
      </c>
      <c r="AP426" s="348">
        <v>0</v>
      </c>
      <c r="AQ426" s="214">
        <v>0</v>
      </c>
      <c r="AR426" s="348">
        <v>0</v>
      </c>
      <c r="AS426" s="214">
        <v>0</v>
      </c>
      <c r="AT426" s="404">
        <v>0.84468664850136255</v>
      </c>
      <c r="AU426" s="214">
        <v>0</v>
      </c>
      <c r="AV426" s="348">
        <v>0</v>
      </c>
      <c r="AW426" s="214">
        <v>0</v>
      </c>
      <c r="AX426" s="230">
        <v>0</v>
      </c>
      <c r="AY426" s="227">
        <v>121</v>
      </c>
      <c r="AZ426" s="358">
        <v>60.5</v>
      </c>
      <c r="BA426" s="316" t="s">
        <v>2985</v>
      </c>
      <c r="BB426" s="94" t="s">
        <v>2985</v>
      </c>
      <c r="BC426" s="230" t="s">
        <v>521</v>
      </c>
      <c r="BD426" s="423" t="s">
        <v>3560</v>
      </c>
      <c r="BE426" s="229">
        <v>27.5</v>
      </c>
      <c r="BF426" s="214"/>
      <c r="BG426" s="214">
        <v>300</v>
      </c>
      <c r="BH426" s="390">
        <f t="shared" si="94"/>
        <v>12.595419847328245</v>
      </c>
      <c r="BI426" s="303">
        <v>99</v>
      </c>
      <c r="BJ426" s="239">
        <v>2</v>
      </c>
      <c r="BK426" s="239">
        <v>20</v>
      </c>
      <c r="BL426" s="239">
        <v>20</v>
      </c>
      <c r="BM426" s="507" t="s">
        <v>2985</v>
      </c>
      <c r="BN426" s="307">
        <v>99</v>
      </c>
      <c r="BO426" s="259" t="s">
        <v>2985</v>
      </c>
      <c r="BP426" s="228" t="s">
        <v>2472</v>
      </c>
      <c r="BS426" s="321"/>
    </row>
    <row r="427" spans="1:71" s="322" customFormat="1">
      <c r="A427" s="457">
        <v>1791</v>
      </c>
      <c r="B427" s="791" t="s">
        <v>3899</v>
      </c>
      <c r="C427" s="383"/>
      <c r="D427" s="466" t="s">
        <v>3590</v>
      </c>
      <c r="E427" s="469"/>
      <c r="F427" s="303" t="s">
        <v>2473</v>
      </c>
      <c r="G427" s="386" t="s">
        <v>441</v>
      </c>
      <c r="H427" s="454" t="s">
        <v>266</v>
      </c>
      <c r="I427" s="338" t="s">
        <v>3377</v>
      </c>
      <c r="J427" s="348">
        <v>2002</v>
      </c>
      <c r="K427" s="341">
        <v>371</v>
      </c>
      <c r="L427" s="340" t="s">
        <v>1745</v>
      </c>
      <c r="M427" s="341" t="s">
        <v>1739</v>
      </c>
      <c r="N427" s="449">
        <f t="shared" si="89"/>
        <v>0.28395174708818638</v>
      </c>
      <c r="O427" s="412">
        <v>0.31</v>
      </c>
      <c r="P427" s="410">
        <v>3.56</v>
      </c>
      <c r="Q427" s="310">
        <f t="shared" si="90"/>
        <v>3.2608652246256242</v>
      </c>
      <c r="R427" s="707">
        <f t="shared" si="91"/>
        <v>153.44999999999999</v>
      </c>
      <c r="S427" s="708">
        <v>495</v>
      </c>
      <c r="T427" s="707">
        <f t="shared" si="92"/>
        <v>540.408719346049</v>
      </c>
      <c r="U427" s="707">
        <f t="shared" si="93"/>
        <v>1762.2</v>
      </c>
      <c r="V427" s="408" t="s">
        <v>2985</v>
      </c>
      <c r="W427" s="408" t="s">
        <v>2985</v>
      </c>
      <c r="X427" s="313" t="s">
        <v>12</v>
      </c>
      <c r="Y427" s="239" t="s">
        <v>12</v>
      </c>
      <c r="Z427" s="314" t="s">
        <v>2985</v>
      </c>
      <c r="AA427" s="311" t="s">
        <v>3538</v>
      </c>
      <c r="AB427" s="230" t="s">
        <v>2423</v>
      </c>
      <c r="AC427" s="161" t="s">
        <v>2985</v>
      </c>
      <c r="AD427" s="506" t="s">
        <v>2320</v>
      </c>
      <c r="AE427" s="316" t="s">
        <v>2985</v>
      </c>
      <c r="AF427" s="214" t="s">
        <v>2320</v>
      </c>
      <c r="AG427" s="262" t="s">
        <v>2985</v>
      </c>
      <c r="AH427" s="344">
        <v>90.826521344232518</v>
      </c>
      <c r="AI427" s="404">
        <v>9.1734786557674841</v>
      </c>
      <c r="AJ427" s="405">
        <v>0</v>
      </c>
      <c r="AK427" s="365">
        <v>0</v>
      </c>
      <c r="AL427" s="365">
        <v>0</v>
      </c>
      <c r="AM427" s="365">
        <v>0</v>
      </c>
      <c r="AN427" s="229">
        <v>0</v>
      </c>
      <c r="AO427" s="353">
        <v>0</v>
      </c>
      <c r="AP427" s="348">
        <v>0</v>
      </c>
      <c r="AQ427" s="214">
        <v>0</v>
      </c>
      <c r="AR427" s="348">
        <v>0</v>
      </c>
      <c r="AS427" s="214">
        <v>0</v>
      </c>
      <c r="AT427" s="404">
        <v>0.84468664850136255</v>
      </c>
      <c r="AU427" s="214">
        <v>0</v>
      </c>
      <c r="AV427" s="348">
        <v>0</v>
      </c>
      <c r="AW427" s="214">
        <v>0</v>
      </c>
      <c r="AX427" s="230">
        <v>0</v>
      </c>
      <c r="AY427" s="227">
        <v>121</v>
      </c>
      <c r="AZ427" s="358">
        <v>60.5</v>
      </c>
      <c r="BA427" s="316" t="s">
        <v>2985</v>
      </c>
      <c r="BB427" s="94" t="s">
        <v>2985</v>
      </c>
      <c r="BC427" s="230" t="s">
        <v>521</v>
      </c>
      <c r="BD427" s="423" t="s">
        <v>3560</v>
      </c>
      <c r="BE427" s="229">
        <v>27.5</v>
      </c>
      <c r="BF427" s="214"/>
      <c r="BG427" s="214">
        <v>300</v>
      </c>
      <c r="BH427" s="390">
        <f t="shared" si="94"/>
        <v>12.595419847328245</v>
      </c>
      <c r="BI427" s="303">
        <v>99</v>
      </c>
      <c r="BJ427" s="239">
        <v>1</v>
      </c>
      <c r="BK427" s="239">
        <v>20</v>
      </c>
      <c r="BL427" s="239">
        <v>20</v>
      </c>
      <c r="BM427" s="94" t="s">
        <v>2985</v>
      </c>
      <c r="BN427" s="307">
        <v>99</v>
      </c>
      <c r="BO427" s="332" t="s">
        <v>2985</v>
      </c>
      <c r="BP427" s="228" t="s">
        <v>2474</v>
      </c>
      <c r="BS427" s="321"/>
    </row>
    <row r="428" spans="1:71" s="322" customFormat="1">
      <c r="A428" s="457">
        <v>1795</v>
      </c>
      <c r="B428" s="791" t="s">
        <v>3899</v>
      </c>
      <c r="C428" s="383"/>
      <c r="D428" s="466" t="s">
        <v>3590</v>
      </c>
      <c r="E428" s="469"/>
      <c r="F428" s="303" t="s">
        <v>2481</v>
      </c>
      <c r="G428" s="386" t="s">
        <v>441</v>
      </c>
      <c r="H428" s="454" t="s">
        <v>266</v>
      </c>
      <c r="I428" s="338" t="s">
        <v>3377</v>
      </c>
      <c r="J428" s="348">
        <v>2002</v>
      </c>
      <c r="K428" s="341">
        <v>371</v>
      </c>
      <c r="L428" s="340" t="s">
        <v>1745</v>
      </c>
      <c r="M428" s="341" t="s">
        <v>1739</v>
      </c>
      <c r="N428" s="449">
        <f t="shared" si="89"/>
        <v>0.2757967125125797</v>
      </c>
      <c r="O428" s="412">
        <v>0.3</v>
      </c>
      <c r="P428" s="410">
        <v>3.28</v>
      </c>
      <c r="Q428" s="310">
        <f t="shared" si="90"/>
        <v>3.0153773901375378</v>
      </c>
      <c r="R428" s="707">
        <f t="shared" si="91"/>
        <v>159</v>
      </c>
      <c r="S428" s="708">
        <v>530</v>
      </c>
      <c r="T428" s="707">
        <f t="shared" si="92"/>
        <v>576.5115854771027</v>
      </c>
      <c r="U428" s="707">
        <f t="shared" si="93"/>
        <v>1738.3999999999999</v>
      </c>
      <c r="V428" s="408" t="s">
        <v>2985</v>
      </c>
      <c r="W428" s="408" t="s">
        <v>2985</v>
      </c>
      <c r="X428" s="313" t="s">
        <v>12</v>
      </c>
      <c r="Y428" s="239" t="s">
        <v>12</v>
      </c>
      <c r="Z428" s="314" t="s">
        <v>2985</v>
      </c>
      <c r="AA428" s="311" t="s">
        <v>3538</v>
      </c>
      <c r="AB428" s="230" t="s">
        <v>2423</v>
      </c>
      <c r="AC428" s="161" t="s">
        <v>2985</v>
      </c>
      <c r="AD428" s="506" t="s">
        <v>2320</v>
      </c>
      <c r="AE428" s="316" t="s">
        <v>2985</v>
      </c>
      <c r="AF428" s="214" t="s">
        <v>2320</v>
      </c>
      <c r="AG428" s="262" t="s">
        <v>2985</v>
      </c>
      <c r="AH428" s="344">
        <v>91.224229155263643</v>
      </c>
      <c r="AI428" s="404">
        <v>8.7757708447363605</v>
      </c>
      <c r="AJ428" s="405">
        <v>0</v>
      </c>
      <c r="AK428" s="365">
        <v>0</v>
      </c>
      <c r="AL428" s="365">
        <v>0</v>
      </c>
      <c r="AM428" s="365">
        <v>0</v>
      </c>
      <c r="AN428" s="229">
        <v>0</v>
      </c>
      <c r="AO428" s="353">
        <v>0</v>
      </c>
      <c r="AP428" s="348">
        <v>0</v>
      </c>
      <c r="AQ428" s="214">
        <v>0</v>
      </c>
      <c r="AR428" s="348">
        <v>0</v>
      </c>
      <c r="AS428" s="214">
        <v>0</v>
      </c>
      <c r="AT428" s="404">
        <v>1.3045064769202699</v>
      </c>
      <c r="AU428" s="214">
        <v>0</v>
      </c>
      <c r="AV428" s="348">
        <v>0</v>
      </c>
      <c r="AW428" s="214">
        <v>0</v>
      </c>
      <c r="AX428" s="230">
        <v>0</v>
      </c>
      <c r="AY428" s="227">
        <v>126</v>
      </c>
      <c r="AZ428" s="358">
        <v>63</v>
      </c>
      <c r="BA428" s="316" t="s">
        <v>2985</v>
      </c>
      <c r="BB428" s="94" t="s">
        <v>2985</v>
      </c>
      <c r="BC428" s="230" t="s">
        <v>521</v>
      </c>
      <c r="BD428" s="423" t="s">
        <v>3560</v>
      </c>
      <c r="BE428" s="229">
        <v>27.5</v>
      </c>
      <c r="BF428" s="214"/>
      <c r="BG428" s="214">
        <v>300</v>
      </c>
      <c r="BH428" s="390">
        <f t="shared" si="94"/>
        <v>12.595419847328245</v>
      </c>
      <c r="BI428" s="303">
        <v>99</v>
      </c>
      <c r="BJ428" s="239">
        <v>2</v>
      </c>
      <c r="BK428" s="239">
        <v>20</v>
      </c>
      <c r="BL428" s="239">
        <v>20</v>
      </c>
      <c r="BM428" s="94" t="s">
        <v>2985</v>
      </c>
      <c r="BN428" s="307">
        <v>99</v>
      </c>
      <c r="BO428" s="332" t="s">
        <v>2985</v>
      </c>
      <c r="BP428" s="228" t="s">
        <v>2482</v>
      </c>
      <c r="BS428" s="321"/>
    </row>
    <row r="429" spans="1:71" s="322" customFormat="1">
      <c r="A429" s="457">
        <v>1796</v>
      </c>
      <c r="B429" s="791" t="s">
        <v>3899</v>
      </c>
      <c r="C429" s="383"/>
      <c r="D429" s="466" t="s">
        <v>3590</v>
      </c>
      <c r="E429" s="469"/>
      <c r="F429" s="303" t="s">
        <v>2483</v>
      </c>
      <c r="G429" s="386" t="s">
        <v>441</v>
      </c>
      <c r="H429" s="454" t="s">
        <v>266</v>
      </c>
      <c r="I429" s="338" t="s">
        <v>3377</v>
      </c>
      <c r="J429" s="348">
        <v>2002</v>
      </c>
      <c r="K429" s="341">
        <v>371</v>
      </c>
      <c r="L429" s="340" t="s">
        <v>1745</v>
      </c>
      <c r="M429" s="341" t="s">
        <v>1739</v>
      </c>
      <c r="N429" s="449">
        <f t="shared" si="89"/>
        <v>0.2757967125125797</v>
      </c>
      <c r="O429" s="412">
        <v>0.3</v>
      </c>
      <c r="P429" s="410">
        <v>3.28</v>
      </c>
      <c r="Q429" s="310">
        <f t="shared" si="90"/>
        <v>3.0153773901375378</v>
      </c>
      <c r="R429" s="707">
        <f t="shared" si="91"/>
        <v>159</v>
      </c>
      <c r="S429" s="708">
        <v>530</v>
      </c>
      <c r="T429" s="707">
        <f t="shared" si="92"/>
        <v>576.5115854771027</v>
      </c>
      <c r="U429" s="707">
        <f t="shared" si="93"/>
        <v>1738.3999999999999</v>
      </c>
      <c r="V429" s="408" t="s">
        <v>2985</v>
      </c>
      <c r="W429" s="408" t="s">
        <v>2985</v>
      </c>
      <c r="X429" s="313" t="s">
        <v>12</v>
      </c>
      <c r="Y429" s="239" t="s">
        <v>12</v>
      </c>
      <c r="Z429" s="314" t="s">
        <v>2985</v>
      </c>
      <c r="AA429" s="311" t="s">
        <v>3538</v>
      </c>
      <c r="AB429" s="230" t="s">
        <v>2423</v>
      </c>
      <c r="AC429" s="161" t="s">
        <v>2985</v>
      </c>
      <c r="AD429" s="506" t="s">
        <v>2320</v>
      </c>
      <c r="AE429" s="316" t="s">
        <v>2985</v>
      </c>
      <c r="AF429" s="214" t="s">
        <v>2320</v>
      </c>
      <c r="AG429" s="262" t="s">
        <v>2985</v>
      </c>
      <c r="AH429" s="344">
        <v>91.224229155263643</v>
      </c>
      <c r="AI429" s="404">
        <v>8.7757708447363605</v>
      </c>
      <c r="AJ429" s="405">
        <v>0</v>
      </c>
      <c r="AK429" s="365">
        <v>0</v>
      </c>
      <c r="AL429" s="365">
        <v>0</v>
      </c>
      <c r="AM429" s="365">
        <v>0</v>
      </c>
      <c r="AN429" s="229">
        <v>0</v>
      </c>
      <c r="AO429" s="353">
        <v>0</v>
      </c>
      <c r="AP429" s="348">
        <v>0</v>
      </c>
      <c r="AQ429" s="214">
        <v>0</v>
      </c>
      <c r="AR429" s="348">
        <v>0</v>
      </c>
      <c r="AS429" s="214">
        <v>0</v>
      </c>
      <c r="AT429" s="404">
        <v>1.3045064769202699</v>
      </c>
      <c r="AU429" s="214">
        <v>0</v>
      </c>
      <c r="AV429" s="348">
        <v>0</v>
      </c>
      <c r="AW429" s="214">
        <v>0</v>
      </c>
      <c r="AX429" s="230">
        <v>0</v>
      </c>
      <c r="AY429" s="227">
        <v>126</v>
      </c>
      <c r="AZ429" s="358">
        <v>63</v>
      </c>
      <c r="BA429" s="316" t="s">
        <v>2985</v>
      </c>
      <c r="BB429" s="94" t="s">
        <v>2985</v>
      </c>
      <c r="BC429" s="230" t="s">
        <v>521</v>
      </c>
      <c r="BD429" s="423" t="s">
        <v>3560</v>
      </c>
      <c r="BE429" s="229">
        <v>27.5</v>
      </c>
      <c r="BF429" s="214"/>
      <c r="BG429" s="214">
        <v>300</v>
      </c>
      <c r="BH429" s="390">
        <f t="shared" si="94"/>
        <v>12.595419847328245</v>
      </c>
      <c r="BI429" s="303">
        <v>99</v>
      </c>
      <c r="BJ429" s="239">
        <v>3</v>
      </c>
      <c r="BK429" s="239">
        <v>20</v>
      </c>
      <c r="BL429" s="239">
        <v>20</v>
      </c>
      <c r="BM429" s="507" t="s">
        <v>2985</v>
      </c>
      <c r="BN429" s="307">
        <v>99</v>
      </c>
      <c r="BO429" s="332" t="s">
        <v>2985</v>
      </c>
      <c r="BP429" s="228" t="s">
        <v>2484</v>
      </c>
      <c r="BS429" s="321"/>
    </row>
    <row r="430" spans="1:71" s="322" customFormat="1">
      <c r="A430" s="457">
        <v>1800</v>
      </c>
      <c r="B430" s="532" t="s">
        <v>3622</v>
      </c>
      <c r="C430" s="383"/>
      <c r="D430" s="466" t="s">
        <v>3590</v>
      </c>
      <c r="E430" s="469"/>
      <c r="F430" s="303" t="s">
        <v>2491</v>
      </c>
      <c r="G430" s="386" t="s">
        <v>441</v>
      </c>
      <c r="H430" s="454" t="s">
        <v>266</v>
      </c>
      <c r="I430" s="338" t="s">
        <v>3377</v>
      </c>
      <c r="J430" s="348">
        <v>2002</v>
      </c>
      <c r="K430" s="341">
        <v>371</v>
      </c>
      <c r="L430" s="340" t="s">
        <v>1745</v>
      </c>
      <c r="M430" s="341" t="s">
        <v>1739</v>
      </c>
      <c r="N430" s="449">
        <f t="shared" si="89"/>
        <v>0.27500000000000002</v>
      </c>
      <c r="O430" s="412">
        <v>0.3</v>
      </c>
      <c r="P430" s="410">
        <v>3.69</v>
      </c>
      <c r="Q430" s="310">
        <f t="shared" si="90"/>
        <v>3.3825000000000003</v>
      </c>
      <c r="R430" s="707">
        <f t="shared" si="91"/>
        <v>147</v>
      </c>
      <c r="S430" s="708">
        <v>490</v>
      </c>
      <c r="T430" s="707">
        <f t="shared" si="92"/>
        <v>534.5454545454545</v>
      </c>
      <c r="U430" s="707">
        <f t="shared" si="93"/>
        <v>1808.1</v>
      </c>
      <c r="V430" s="408" t="s">
        <v>2985</v>
      </c>
      <c r="W430" s="408" t="s">
        <v>2985</v>
      </c>
      <c r="X430" s="313" t="s">
        <v>12</v>
      </c>
      <c r="Y430" s="239" t="s">
        <v>12</v>
      </c>
      <c r="Z430" s="314" t="s">
        <v>2985</v>
      </c>
      <c r="AA430" s="311" t="s">
        <v>3538</v>
      </c>
      <c r="AB430" s="230" t="s">
        <v>2423</v>
      </c>
      <c r="AC430" s="161" t="s">
        <v>2985</v>
      </c>
      <c r="AD430" s="506" t="s">
        <v>2312</v>
      </c>
      <c r="AE430" s="316" t="s">
        <v>2985</v>
      </c>
      <c r="AF430" s="214" t="s">
        <v>2312</v>
      </c>
      <c r="AG430" s="262" t="s">
        <v>2985</v>
      </c>
      <c r="AH430" s="344">
        <v>90.909090909090907</v>
      </c>
      <c r="AI430" s="404">
        <v>9.0909090909090917</v>
      </c>
      <c r="AJ430" s="405">
        <v>0</v>
      </c>
      <c r="AK430" s="365">
        <v>0</v>
      </c>
      <c r="AL430" s="365">
        <v>0</v>
      </c>
      <c r="AM430" s="365">
        <v>0</v>
      </c>
      <c r="AN430" s="229">
        <v>0</v>
      </c>
      <c r="AO430" s="353">
        <v>0</v>
      </c>
      <c r="AP430" s="348">
        <v>0</v>
      </c>
      <c r="AQ430" s="214">
        <v>0</v>
      </c>
      <c r="AR430" s="348">
        <v>0</v>
      </c>
      <c r="AS430" s="214">
        <v>0</v>
      </c>
      <c r="AT430" s="404">
        <v>1.6</v>
      </c>
      <c r="AU430" s="214">
        <v>0</v>
      </c>
      <c r="AV430" s="348">
        <v>0</v>
      </c>
      <c r="AW430" s="214">
        <v>0</v>
      </c>
      <c r="AX430" s="230">
        <v>0</v>
      </c>
      <c r="AY430" s="227">
        <v>122</v>
      </c>
      <c r="AZ430" s="358">
        <v>61</v>
      </c>
      <c r="BA430" s="316" t="s">
        <v>2985</v>
      </c>
      <c r="BB430" s="94" t="s">
        <v>2985</v>
      </c>
      <c r="BC430" s="230" t="s">
        <v>521</v>
      </c>
      <c r="BD430" s="423" t="s">
        <v>3560</v>
      </c>
      <c r="BE430" s="229">
        <v>27.5</v>
      </c>
      <c r="BF430" s="214"/>
      <c r="BG430" s="214">
        <v>300</v>
      </c>
      <c r="BH430" s="390">
        <f t="shared" si="94"/>
        <v>12.595419847328245</v>
      </c>
      <c r="BI430" s="303">
        <v>99</v>
      </c>
      <c r="BJ430" s="239">
        <v>2</v>
      </c>
      <c r="BK430" s="239">
        <v>20</v>
      </c>
      <c r="BL430" s="239">
        <v>20</v>
      </c>
      <c r="BM430" s="507" t="s">
        <v>2985</v>
      </c>
      <c r="BN430" s="307">
        <v>99</v>
      </c>
      <c r="BO430" s="259" t="s">
        <v>2985</v>
      </c>
      <c r="BP430" s="228" t="s">
        <v>2492</v>
      </c>
      <c r="BS430" s="321"/>
    </row>
    <row r="431" spans="1:71" s="322" customFormat="1">
      <c r="A431" s="457">
        <v>1801</v>
      </c>
      <c r="B431" s="791" t="s">
        <v>3900</v>
      </c>
      <c r="C431" s="383"/>
      <c r="D431" s="466" t="s">
        <v>3590</v>
      </c>
      <c r="E431" s="469"/>
      <c r="F431" s="303" t="s">
        <v>2493</v>
      </c>
      <c r="G431" s="386" t="s">
        <v>441</v>
      </c>
      <c r="H431" s="454" t="s">
        <v>266</v>
      </c>
      <c r="I431" s="338" t="s">
        <v>3377</v>
      </c>
      <c r="J431" s="348">
        <v>2002</v>
      </c>
      <c r="K431" s="341">
        <v>371</v>
      </c>
      <c r="L431" s="340" t="s">
        <v>1745</v>
      </c>
      <c r="M431" s="341" t="s">
        <v>1739</v>
      </c>
      <c r="N431" s="446">
        <f t="shared" si="89"/>
        <v>0.27500000000000002</v>
      </c>
      <c r="O431" s="703">
        <v>0.3</v>
      </c>
      <c r="P431" s="410">
        <v>3.69</v>
      </c>
      <c r="Q431" s="310">
        <f t="shared" si="90"/>
        <v>3.3825000000000003</v>
      </c>
      <c r="R431" s="377">
        <f t="shared" si="91"/>
        <v>147</v>
      </c>
      <c r="S431" s="708">
        <v>490</v>
      </c>
      <c r="T431" s="377">
        <f t="shared" si="92"/>
        <v>534.5454545454545</v>
      </c>
      <c r="U431" s="707">
        <f t="shared" si="93"/>
        <v>1808.1</v>
      </c>
      <c r="V431" s="408" t="s">
        <v>2985</v>
      </c>
      <c r="W431" s="408" t="s">
        <v>2985</v>
      </c>
      <c r="X431" s="313" t="s">
        <v>12</v>
      </c>
      <c r="Y431" s="239" t="s">
        <v>12</v>
      </c>
      <c r="Z431" s="314" t="s">
        <v>2985</v>
      </c>
      <c r="AA431" s="311" t="s">
        <v>3538</v>
      </c>
      <c r="AB431" s="230" t="s">
        <v>2423</v>
      </c>
      <c r="AC431" s="161" t="s">
        <v>2985</v>
      </c>
      <c r="AD431" s="506" t="s">
        <v>2312</v>
      </c>
      <c r="AE431" s="316" t="s">
        <v>2985</v>
      </c>
      <c r="AF431" s="214" t="s">
        <v>2312</v>
      </c>
      <c r="AG431" s="262" t="s">
        <v>2985</v>
      </c>
      <c r="AH431" s="344">
        <v>90.909090909090907</v>
      </c>
      <c r="AI431" s="404">
        <v>9.0909090909090917</v>
      </c>
      <c r="AJ431" s="405">
        <v>0</v>
      </c>
      <c r="AK431" s="365">
        <v>0</v>
      </c>
      <c r="AL431" s="365">
        <v>0</v>
      </c>
      <c r="AM431" s="365">
        <v>0</v>
      </c>
      <c r="AN431" s="229">
        <v>0</v>
      </c>
      <c r="AO431" s="353">
        <v>0</v>
      </c>
      <c r="AP431" s="348">
        <v>0</v>
      </c>
      <c r="AQ431" s="214">
        <v>0</v>
      </c>
      <c r="AR431" s="348">
        <v>0</v>
      </c>
      <c r="AS431" s="214">
        <v>0</v>
      </c>
      <c r="AT431" s="404">
        <v>1.6</v>
      </c>
      <c r="AU431" s="214">
        <v>0</v>
      </c>
      <c r="AV431" s="348">
        <v>0</v>
      </c>
      <c r="AW431" s="214">
        <v>0</v>
      </c>
      <c r="AX431" s="230">
        <v>0</v>
      </c>
      <c r="AY431" s="227">
        <v>122</v>
      </c>
      <c r="AZ431" s="358">
        <v>61</v>
      </c>
      <c r="BA431" s="316" t="s">
        <v>2985</v>
      </c>
      <c r="BB431" s="94" t="s">
        <v>2985</v>
      </c>
      <c r="BC431" s="230" t="s">
        <v>521</v>
      </c>
      <c r="BD431" s="423" t="s">
        <v>3560</v>
      </c>
      <c r="BE431" s="229">
        <v>27.5</v>
      </c>
      <c r="BF431" s="214"/>
      <c r="BG431" s="214">
        <v>300</v>
      </c>
      <c r="BH431" s="390">
        <f t="shared" si="94"/>
        <v>12.595419847328245</v>
      </c>
      <c r="BI431" s="303">
        <v>99</v>
      </c>
      <c r="BJ431" s="239">
        <v>3</v>
      </c>
      <c r="BK431" s="239">
        <v>20</v>
      </c>
      <c r="BL431" s="239">
        <v>20</v>
      </c>
      <c r="BM431" s="94" t="s">
        <v>2985</v>
      </c>
      <c r="BN431" s="307">
        <v>99</v>
      </c>
      <c r="BO431" s="259" t="s">
        <v>2985</v>
      </c>
      <c r="BP431" s="228" t="s">
        <v>2494</v>
      </c>
      <c r="BS431" s="321"/>
    </row>
    <row r="432" spans="1:71" s="322" customFormat="1">
      <c r="A432" s="457">
        <v>1802</v>
      </c>
      <c r="B432" s="791" t="s">
        <v>3900</v>
      </c>
      <c r="C432" s="383"/>
      <c r="D432" s="383"/>
      <c r="E432" s="469"/>
      <c r="F432" s="303" t="s">
        <v>2495</v>
      </c>
      <c r="G432" s="386" t="s">
        <v>441</v>
      </c>
      <c r="H432" s="454" t="s">
        <v>266</v>
      </c>
      <c r="I432" s="338" t="s">
        <v>3377</v>
      </c>
      <c r="J432" s="348">
        <v>2002</v>
      </c>
      <c r="K432" s="341">
        <v>371</v>
      </c>
      <c r="L432" s="340" t="s">
        <v>1745</v>
      </c>
      <c r="M432" s="341" t="s">
        <v>1739</v>
      </c>
      <c r="N432" s="446">
        <f t="shared" si="89"/>
        <v>0.27500000000000002</v>
      </c>
      <c r="O432" s="703">
        <v>0.3</v>
      </c>
      <c r="P432" s="410">
        <v>3.69</v>
      </c>
      <c r="Q432" s="310">
        <f t="shared" si="90"/>
        <v>3.3825000000000003</v>
      </c>
      <c r="R432" s="377">
        <f t="shared" si="91"/>
        <v>147</v>
      </c>
      <c r="S432" s="708">
        <v>490</v>
      </c>
      <c r="T432" s="377">
        <f t="shared" si="92"/>
        <v>534.5454545454545</v>
      </c>
      <c r="U432" s="707">
        <f t="shared" si="93"/>
        <v>1808.1</v>
      </c>
      <c r="V432" s="408" t="s">
        <v>2985</v>
      </c>
      <c r="W432" s="408" t="s">
        <v>2985</v>
      </c>
      <c r="X432" s="313" t="s">
        <v>12</v>
      </c>
      <c r="Y432" s="239" t="s">
        <v>12</v>
      </c>
      <c r="Z432" s="314" t="s">
        <v>2985</v>
      </c>
      <c r="AA432" s="311" t="s">
        <v>3538</v>
      </c>
      <c r="AB432" s="230" t="s">
        <v>2423</v>
      </c>
      <c r="AC432" s="161" t="s">
        <v>2985</v>
      </c>
      <c r="AD432" s="506" t="s">
        <v>2312</v>
      </c>
      <c r="AE432" s="316" t="s">
        <v>2985</v>
      </c>
      <c r="AF432" s="214" t="s">
        <v>2312</v>
      </c>
      <c r="AG432" s="262" t="s">
        <v>2985</v>
      </c>
      <c r="AH432" s="344">
        <v>90.909090909090907</v>
      </c>
      <c r="AI432" s="404">
        <v>9.0909090909090917</v>
      </c>
      <c r="AJ432" s="405">
        <v>0</v>
      </c>
      <c r="AK432" s="365">
        <v>0</v>
      </c>
      <c r="AL432" s="365">
        <v>0</v>
      </c>
      <c r="AM432" s="365">
        <v>0</v>
      </c>
      <c r="AN432" s="229">
        <v>0</v>
      </c>
      <c r="AO432" s="353">
        <v>0</v>
      </c>
      <c r="AP432" s="348">
        <v>0</v>
      </c>
      <c r="AQ432" s="214">
        <v>0</v>
      </c>
      <c r="AR432" s="348">
        <v>0</v>
      </c>
      <c r="AS432" s="214">
        <v>0</v>
      </c>
      <c r="AT432" s="404">
        <v>1.6</v>
      </c>
      <c r="AU432" s="214">
        <v>0</v>
      </c>
      <c r="AV432" s="348">
        <v>0</v>
      </c>
      <c r="AW432" s="214">
        <v>0</v>
      </c>
      <c r="AX432" s="230">
        <v>0</v>
      </c>
      <c r="AY432" s="227">
        <v>122</v>
      </c>
      <c r="AZ432" s="358">
        <v>61</v>
      </c>
      <c r="BA432" s="316" t="s">
        <v>2985</v>
      </c>
      <c r="BB432" s="94" t="s">
        <v>2985</v>
      </c>
      <c r="BC432" s="230" t="s">
        <v>521</v>
      </c>
      <c r="BD432" s="423" t="s">
        <v>3560</v>
      </c>
      <c r="BE432" s="229">
        <v>27.5</v>
      </c>
      <c r="BF432" s="214"/>
      <c r="BG432" s="214">
        <v>300</v>
      </c>
      <c r="BH432" s="390">
        <f t="shared" si="94"/>
        <v>12.595419847328245</v>
      </c>
      <c r="BI432" s="303">
        <v>99</v>
      </c>
      <c r="BJ432" s="239">
        <v>28</v>
      </c>
      <c r="BK432" s="239">
        <v>20</v>
      </c>
      <c r="BL432" s="239">
        <v>20</v>
      </c>
      <c r="BM432" s="94" t="s">
        <v>2985</v>
      </c>
      <c r="BN432" s="307">
        <v>99</v>
      </c>
      <c r="BO432" s="259" t="s">
        <v>2985</v>
      </c>
      <c r="BP432" s="228" t="s">
        <v>2496</v>
      </c>
      <c r="BS432" s="321"/>
    </row>
    <row r="433" spans="1:71" s="322" customFormat="1">
      <c r="A433" s="457">
        <v>1806</v>
      </c>
      <c r="B433" s="791" t="s">
        <v>3901</v>
      </c>
      <c r="C433" s="383"/>
      <c r="D433" s="466" t="s">
        <v>3590</v>
      </c>
      <c r="E433" s="469"/>
      <c r="F433" s="303" t="s">
        <v>2503</v>
      </c>
      <c r="G433" s="386" t="s">
        <v>441</v>
      </c>
      <c r="H433" s="340" t="s">
        <v>266</v>
      </c>
      <c r="I433" s="366" t="s">
        <v>3377</v>
      </c>
      <c r="J433" s="348">
        <v>2002</v>
      </c>
      <c r="K433" s="341">
        <v>371</v>
      </c>
      <c r="L433" s="340" t="s">
        <v>1745</v>
      </c>
      <c r="M433" s="341" t="s">
        <v>1739</v>
      </c>
      <c r="N433" s="446">
        <f t="shared" si="89"/>
        <v>0.2290106506906307</v>
      </c>
      <c r="O433" s="412">
        <v>0.25</v>
      </c>
      <c r="P433" s="410">
        <v>3.22</v>
      </c>
      <c r="Q433" s="310">
        <f t="shared" si="90"/>
        <v>2.9496571808953238</v>
      </c>
      <c r="R433" s="377">
        <f t="shared" si="91"/>
        <v>136.25</v>
      </c>
      <c r="S433" s="239">
        <v>545</v>
      </c>
      <c r="T433" s="377">
        <f t="shared" si="92"/>
        <v>594.95049504950498</v>
      </c>
      <c r="U433" s="707">
        <f t="shared" si="93"/>
        <v>1754.9</v>
      </c>
      <c r="V433" s="408" t="s">
        <v>2985</v>
      </c>
      <c r="W433" s="408" t="s">
        <v>2985</v>
      </c>
      <c r="X433" s="313" t="s">
        <v>12</v>
      </c>
      <c r="Y433" s="239" t="s">
        <v>12</v>
      </c>
      <c r="Z433" s="314" t="s">
        <v>2985</v>
      </c>
      <c r="AA433" s="311" t="s">
        <v>3538</v>
      </c>
      <c r="AB433" s="230" t="s">
        <v>2423</v>
      </c>
      <c r="AC433" s="161" t="s">
        <v>2985</v>
      </c>
      <c r="AD433" s="506" t="s">
        <v>2320</v>
      </c>
      <c r="AE433" s="316" t="s">
        <v>2985</v>
      </c>
      <c r="AF433" s="214" t="s">
        <v>2320</v>
      </c>
      <c r="AG433" s="262" t="s">
        <v>2985</v>
      </c>
      <c r="AH433" s="344">
        <v>90.834771550549547</v>
      </c>
      <c r="AI433" s="404">
        <v>9.1652284494504492</v>
      </c>
      <c r="AJ433" s="405">
        <v>0</v>
      </c>
      <c r="AK433" s="365">
        <v>0</v>
      </c>
      <c r="AL433" s="365">
        <v>0</v>
      </c>
      <c r="AM433" s="365">
        <v>0</v>
      </c>
      <c r="AN433" s="229">
        <v>0</v>
      </c>
      <c r="AO433" s="353">
        <v>0</v>
      </c>
      <c r="AP433" s="348">
        <v>0</v>
      </c>
      <c r="AQ433" s="214">
        <v>0</v>
      </c>
      <c r="AR433" s="348">
        <v>0</v>
      </c>
      <c r="AS433" s="214">
        <v>0</v>
      </c>
      <c r="AT433" s="404">
        <v>1.7985284767008811</v>
      </c>
      <c r="AU433" s="214">
        <v>0</v>
      </c>
      <c r="AV433" s="348">
        <v>0</v>
      </c>
      <c r="AW433" s="214">
        <v>0</v>
      </c>
      <c r="AX433" s="230">
        <v>0</v>
      </c>
      <c r="AY433" s="227">
        <v>129</v>
      </c>
      <c r="AZ433" s="358">
        <v>64.5</v>
      </c>
      <c r="BA433" s="316" t="s">
        <v>2985</v>
      </c>
      <c r="BB433" s="94" t="s">
        <v>2985</v>
      </c>
      <c r="BC433" s="230" t="s">
        <v>521</v>
      </c>
      <c r="BD433" s="423" t="s">
        <v>3560</v>
      </c>
      <c r="BE433" s="229">
        <v>27.5</v>
      </c>
      <c r="BF433" s="214"/>
      <c r="BG433" s="214">
        <v>300</v>
      </c>
      <c r="BH433" s="390">
        <f t="shared" si="94"/>
        <v>12.595419847328245</v>
      </c>
      <c r="BI433" s="303">
        <v>99</v>
      </c>
      <c r="BJ433" s="239">
        <v>2</v>
      </c>
      <c r="BK433" s="239">
        <v>20</v>
      </c>
      <c r="BL433" s="239">
        <v>20</v>
      </c>
      <c r="BM433" s="94" t="s">
        <v>2985</v>
      </c>
      <c r="BN433" s="307">
        <v>99</v>
      </c>
      <c r="BO433" s="259" t="s">
        <v>2985</v>
      </c>
      <c r="BP433" s="228" t="s">
        <v>2504</v>
      </c>
      <c r="BS433" s="321"/>
    </row>
    <row r="434" spans="1:71" s="322" customFormat="1">
      <c r="A434" s="457">
        <v>1807</v>
      </c>
      <c r="B434" s="791" t="s">
        <v>3901</v>
      </c>
      <c r="C434" s="383"/>
      <c r="D434" s="466" t="s">
        <v>3590</v>
      </c>
      <c r="E434" s="469"/>
      <c r="F434" s="303" t="s">
        <v>2505</v>
      </c>
      <c r="G434" s="386" t="s">
        <v>441</v>
      </c>
      <c r="H434" s="340" t="s">
        <v>266</v>
      </c>
      <c r="I434" s="366" t="s">
        <v>3377</v>
      </c>
      <c r="J434" s="348">
        <v>2002</v>
      </c>
      <c r="K434" s="341">
        <v>371</v>
      </c>
      <c r="L434" s="340" t="s">
        <v>1745</v>
      </c>
      <c r="M434" s="341" t="s">
        <v>1739</v>
      </c>
      <c r="N434" s="446">
        <f t="shared" si="89"/>
        <v>0.2290106506906307</v>
      </c>
      <c r="O434" s="412">
        <v>0.25</v>
      </c>
      <c r="P434" s="410">
        <v>3.22</v>
      </c>
      <c r="Q434" s="310">
        <f t="shared" si="90"/>
        <v>2.9496571808953238</v>
      </c>
      <c r="R434" s="377">
        <f t="shared" si="91"/>
        <v>136.25</v>
      </c>
      <c r="S434" s="239">
        <v>545</v>
      </c>
      <c r="T434" s="377">
        <f t="shared" si="92"/>
        <v>594.95049504950498</v>
      </c>
      <c r="U434" s="377">
        <f t="shared" si="93"/>
        <v>1754.9</v>
      </c>
      <c r="V434" s="408" t="s">
        <v>2985</v>
      </c>
      <c r="W434" s="408" t="s">
        <v>2985</v>
      </c>
      <c r="X434" s="313" t="s">
        <v>12</v>
      </c>
      <c r="Y434" s="239" t="s">
        <v>12</v>
      </c>
      <c r="Z434" s="314" t="s">
        <v>2985</v>
      </c>
      <c r="AA434" s="311" t="s">
        <v>3538</v>
      </c>
      <c r="AB434" s="230" t="s">
        <v>2423</v>
      </c>
      <c r="AC434" s="161" t="s">
        <v>2985</v>
      </c>
      <c r="AD434" s="506" t="s">
        <v>2320</v>
      </c>
      <c r="AE434" s="316" t="s">
        <v>2985</v>
      </c>
      <c r="AF434" s="214" t="s">
        <v>2320</v>
      </c>
      <c r="AG434" s="262" t="s">
        <v>2985</v>
      </c>
      <c r="AH434" s="344">
        <v>90.834771550549547</v>
      </c>
      <c r="AI434" s="404">
        <v>9.1652284494504492</v>
      </c>
      <c r="AJ434" s="405">
        <v>0</v>
      </c>
      <c r="AK434" s="365">
        <v>0</v>
      </c>
      <c r="AL434" s="365">
        <v>0</v>
      </c>
      <c r="AM434" s="365">
        <v>0</v>
      </c>
      <c r="AN434" s="229">
        <v>0</v>
      </c>
      <c r="AO434" s="353">
        <v>0</v>
      </c>
      <c r="AP434" s="348">
        <v>0</v>
      </c>
      <c r="AQ434" s="214">
        <v>0</v>
      </c>
      <c r="AR434" s="348">
        <v>0</v>
      </c>
      <c r="AS434" s="214">
        <v>0</v>
      </c>
      <c r="AT434" s="404">
        <v>1.7985284767008811</v>
      </c>
      <c r="AU434" s="214">
        <v>0</v>
      </c>
      <c r="AV434" s="348">
        <v>0</v>
      </c>
      <c r="AW434" s="214">
        <v>0</v>
      </c>
      <c r="AX434" s="230">
        <v>0</v>
      </c>
      <c r="AY434" s="227">
        <v>129</v>
      </c>
      <c r="AZ434" s="358">
        <v>64.5</v>
      </c>
      <c r="BA434" s="316" t="s">
        <v>2985</v>
      </c>
      <c r="BB434" s="94" t="s">
        <v>2985</v>
      </c>
      <c r="BC434" s="230" t="s">
        <v>521</v>
      </c>
      <c r="BD434" s="423" t="s">
        <v>3560</v>
      </c>
      <c r="BE434" s="229">
        <v>27.5</v>
      </c>
      <c r="BF434" s="214"/>
      <c r="BG434" s="214">
        <v>300</v>
      </c>
      <c r="BH434" s="390">
        <f t="shared" si="94"/>
        <v>12.595419847328245</v>
      </c>
      <c r="BI434" s="303">
        <v>99</v>
      </c>
      <c r="BJ434" s="239">
        <v>1</v>
      </c>
      <c r="BK434" s="239">
        <v>20</v>
      </c>
      <c r="BL434" s="239">
        <v>20</v>
      </c>
      <c r="BM434" s="507" t="s">
        <v>2985</v>
      </c>
      <c r="BN434" s="307">
        <v>99</v>
      </c>
      <c r="BO434" s="259" t="s">
        <v>2985</v>
      </c>
      <c r="BP434" s="228" t="s">
        <v>2506</v>
      </c>
      <c r="BS434" s="321"/>
    </row>
    <row r="435" spans="1:71" s="322" customFormat="1">
      <c r="A435" s="458">
        <v>1870</v>
      </c>
      <c r="B435" s="535" t="s">
        <v>3585</v>
      </c>
      <c r="C435" s="383"/>
      <c r="D435" s="383"/>
      <c r="E435" s="469"/>
      <c r="F435" s="303">
        <v>3</v>
      </c>
      <c r="G435" s="386" t="s">
        <v>3378</v>
      </c>
      <c r="H435" s="303" t="s">
        <v>119</v>
      </c>
      <c r="I435" s="698" t="s">
        <v>3476</v>
      </c>
      <c r="J435" s="307">
        <v>2011</v>
      </c>
      <c r="K435" s="304">
        <v>385</v>
      </c>
      <c r="L435" s="303" t="s">
        <v>1738</v>
      </c>
      <c r="M435" s="304" t="s">
        <v>1751</v>
      </c>
      <c r="N435" s="473">
        <v>0.33</v>
      </c>
      <c r="O435" s="309">
        <f t="shared" ref="O435:O466" si="95">R435/S435</f>
        <v>0.43974057444230635</v>
      </c>
      <c r="P435" s="513">
        <f t="shared" ref="P435:P466" si="96">U435/S435</f>
        <v>7.0105480721260074</v>
      </c>
      <c r="Q435" s="311">
        <v>5.25</v>
      </c>
      <c r="R435" s="394">
        <v>123.4</v>
      </c>
      <c r="S435" s="307">
        <v>280.62</v>
      </c>
      <c r="T435" s="377">
        <f t="shared" ref="T435:T466" si="97">U435/Q435</f>
        <v>374.72380952380956</v>
      </c>
      <c r="U435" s="377">
        <f t="shared" ref="U435:U466" si="98">V435+W435</f>
        <v>1967.3000000000002</v>
      </c>
      <c r="V435" s="394">
        <v>1039.42</v>
      </c>
      <c r="W435" s="312">
        <v>927.88</v>
      </c>
      <c r="X435" s="313" t="s">
        <v>12</v>
      </c>
      <c r="Y435" s="314" t="s">
        <v>2985</v>
      </c>
      <c r="Z435" s="516" t="s">
        <v>3618</v>
      </c>
      <c r="AA435" s="516" t="s">
        <v>3516</v>
      </c>
      <c r="AB435" s="304" t="s">
        <v>526</v>
      </c>
      <c r="AC435" s="313" t="s">
        <v>2312</v>
      </c>
      <c r="AD435" s="311" t="s">
        <v>2312</v>
      </c>
      <c r="AE435" s="307" t="s">
        <v>2306</v>
      </c>
      <c r="AF435" s="315" t="s">
        <v>3517</v>
      </c>
      <c r="AG435" s="443">
        <v>2.69</v>
      </c>
      <c r="AH435" s="313">
        <v>75</v>
      </c>
      <c r="AI435" s="307">
        <v>0</v>
      </c>
      <c r="AJ435" s="315">
        <v>20</v>
      </c>
      <c r="AK435" s="315">
        <v>0</v>
      </c>
      <c r="AL435" s="315">
        <v>0</v>
      </c>
      <c r="AM435" s="315">
        <v>0</v>
      </c>
      <c r="AN435" s="307">
        <v>0</v>
      </c>
      <c r="AO435" s="307">
        <v>0</v>
      </c>
      <c r="AP435" s="307">
        <v>5</v>
      </c>
      <c r="AQ435" s="307">
        <v>0</v>
      </c>
      <c r="AR435" s="307">
        <v>0</v>
      </c>
      <c r="AS435" s="307">
        <v>0</v>
      </c>
      <c r="AT435" s="307">
        <v>0.6</v>
      </c>
      <c r="AU435" s="307">
        <v>0</v>
      </c>
      <c r="AV435" s="307">
        <v>0</v>
      </c>
      <c r="AW435" s="307">
        <v>0</v>
      </c>
      <c r="AX435" s="304">
        <v>0</v>
      </c>
      <c r="AY435" s="303">
        <v>73.256795999999994</v>
      </c>
      <c r="AZ435" s="311">
        <v>45.41921352</v>
      </c>
      <c r="BA435" s="317" t="s">
        <v>2985</v>
      </c>
      <c r="BB435" s="94" t="s">
        <v>2985</v>
      </c>
      <c r="BC435" s="355" t="s">
        <v>2985</v>
      </c>
      <c r="BD435" s="323" t="s">
        <v>3518</v>
      </c>
      <c r="BE435" s="312">
        <v>50</v>
      </c>
      <c r="BF435" s="307" t="s">
        <v>246</v>
      </c>
      <c r="BG435" s="307">
        <v>200</v>
      </c>
      <c r="BH435" s="505">
        <v>20</v>
      </c>
      <c r="BI435" s="303">
        <v>100</v>
      </c>
      <c r="BJ435" s="307">
        <v>7</v>
      </c>
      <c r="BK435" s="311">
        <v>23</v>
      </c>
      <c r="BL435" s="307">
        <v>23</v>
      </c>
      <c r="BM435" s="317" t="s">
        <v>2985</v>
      </c>
      <c r="BN435" s="307">
        <v>50</v>
      </c>
      <c r="BO435" s="319" t="s">
        <v>2990</v>
      </c>
      <c r="BP435" s="320"/>
      <c r="BS435" s="321"/>
    </row>
    <row r="436" spans="1:71" s="322" customFormat="1">
      <c r="A436" s="458">
        <v>1871</v>
      </c>
      <c r="B436" s="528" t="s">
        <v>3593</v>
      </c>
      <c r="C436" s="383"/>
      <c r="D436" s="466" t="s">
        <v>3590</v>
      </c>
      <c r="E436" s="469"/>
      <c r="F436" s="303">
        <v>7</v>
      </c>
      <c r="G436" s="386" t="s">
        <v>3378</v>
      </c>
      <c r="H436" s="303" t="s">
        <v>119</v>
      </c>
      <c r="I436" s="698" t="s">
        <v>3476</v>
      </c>
      <c r="J436" s="307">
        <v>2011</v>
      </c>
      <c r="K436" s="304">
        <v>385</v>
      </c>
      <c r="L436" s="303" t="s">
        <v>1738</v>
      </c>
      <c r="M436" s="304" t="s">
        <v>1751</v>
      </c>
      <c r="N436" s="473">
        <v>0.33</v>
      </c>
      <c r="O436" s="309">
        <f t="shared" si="95"/>
        <v>0.4716584489546306</v>
      </c>
      <c r="P436" s="513">
        <f t="shared" si="96"/>
        <v>7.5193976225967978</v>
      </c>
      <c r="Q436" s="311">
        <v>5.25</v>
      </c>
      <c r="R436" s="394">
        <v>123.4</v>
      </c>
      <c r="S436" s="307">
        <v>261.63</v>
      </c>
      <c r="T436" s="377">
        <f t="shared" si="97"/>
        <v>374.72380952380956</v>
      </c>
      <c r="U436" s="377">
        <f t="shared" si="98"/>
        <v>1967.3000000000002</v>
      </c>
      <c r="V436" s="394">
        <v>1039.42</v>
      </c>
      <c r="W436" s="312">
        <v>927.88</v>
      </c>
      <c r="X436" s="313" t="s">
        <v>12</v>
      </c>
      <c r="Y436" s="314" t="s">
        <v>2985</v>
      </c>
      <c r="Z436" s="516" t="s">
        <v>3618</v>
      </c>
      <c r="AA436" s="516" t="s">
        <v>3516</v>
      </c>
      <c r="AB436" s="304" t="s">
        <v>526</v>
      </c>
      <c r="AC436" s="313" t="s">
        <v>2312</v>
      </c>
      <c r="AD436" s="311" t="s">
        <v>2312</v>
      </c>
      <c r="AE436" s="307" t="s">
        <v>2561</v>
      </c>
      <c r="AF436" s="315" t="s">
        <v>3517</v>
      </c>
      <c r="AG436" s="443">
        <v>2.69</v>
      </c>
      <c r="AH436" s="313">
        <v>70</v>
      </c>
      <c r="AI436" s="307">
        <v>5</v>
      </c>
      <c r="AJ436" s="315">
        <v>25</v>
      </c>
      <c r="AK436" s="315">
        <v>0</v>
      </c>
      <c r="AL436" s="315">
        <v>0</v>
      </c>
      <c r="AM436" s="315">
        <v>0</v>
      </c>
      <c r="AN436" s="307">
        <v>0</v>
      </c>
      <c r="AO436" s="307">
        <v>0</v>
      </c>
      <c r="AP436" s="307">
        <v>0</v>
      </c>
      <c r="AQ436" s="307">
        <v>0</v>
      </c>
      <c r="AR436" s="307">
        <v>0</v>
      </c>
      <c r="AS436" s="307">
        <v>0</v>
      </c>
      <c r="AT436" s="307">
        <v>0.6</v>
      </c>
      <c r="AU436" s="307">
        <v>0</v>
      </c>
      <c r="AV436" s="307">
        <v>0.5</v>
      </c>
      <c r="AW436" s="307">
        <v>0</v>
      </c>
      <c r="AX436" s="304">
        <v>0</v>
      </c>
      <c r="AY436" s="303">
        <v>71.298685000000006</v>
      </c>
      <c r="AZ436" s="311">
        <v>44.205184700000004</v>
      </c>
      <c r="BA436" s="317" t="s">
        <v>2985</v>
      </c>
      <c r="BB436" s="94" t="s">
        <v>2985</v>
      </c>
      <c r="BC436" s="355" t="s">
        <v>2985</v>
      </c>
      <c r="BD436" s="323" t="s">
        <v>3518</v>
      </c>
      <c r="BE436" s="312">
        <v>50</v>
      </c>
      <c r="BF436" s="307" t="s">
        <v>246</v>
      </c>
      <c r="BG436" s="307">
        <v>200</v>
      </c>
      <c r="BH436" s="505">
        <v>20</v>
      </c>
      <c r="BI436" s="303">
        <v>100</v>
      </c>
      <c r="BJ436" s="307">
        <v>7</v>
      </c>
      <c r="BK436" s="311">
        <v>23</v>
      </c>
      <c r="BL436" s="307">
        <v>23</v>
      </c>
      <c r="BM436" s="317" t="s">
        <v>2985</v>
      </c>
      <c r="BN436" s="307">
        <v>50</v>
      </c>
      <c r="BO436" s="319" t="s">
        <v>2990</v>
      </c>
      <c r="BP436" s="325"/>
      <c r="BS436" s="321"/>
    </row>
    <row r="437" spans="1:71" s="322" customFormat="1">
      <c r="A437" s="458">
        <v>1872</v>
      </c>
      <c r="B437" s="535" t="s">
        <v>3585</v>
      </c>
      <c r="C437" s="466" t="s">
        <v>3590</v>
      </c>
      <c r="D437" s="466" t="s">
        <v>3590</v>
      </c>
      <c r="E437" s="469"/>
      <c r="F437" s="303">
        <v>12</v>
      </c>
      <c r="G437" s="386" t="s">
        <v>3378</v>
      </c>
      <c r="H437" s="303" t="s">
        <v>119</v>
      </c>
      <c r="I437" s="698" t="s">
        <v>3476</v>
      </c>
      <c r="J437" s="307">
        <v>2011</v>
      </c>
      <c r="K437" s="304">
        <v>385</v>
      </c>
      <c r="L437" s="303" t="s">
        <v>1738</v>
      </c>
      <c r="M437" s="304" t="s">
        <v>1751</v>
      </c>
      <c r="N437" s="473">
        <v>0.33</v>
      </c>
      <c r="O437" s="309">
        <f t="shared" si="95"/>
        <v>0.50731787534944905</v>
      </c>
      <c r="P437" s="513">
        <f t="shared" si="96"/>
        <v>8.0878967275119233</v>
      </c>
      <c r="Q437" s="311">
        <v>5.25</v>
      </c>
      <c r="R437" s="394">
        <v>123.4</v>
      </c>
      <c r="S437" s="307">
        <v>243.24</v>
      </c>
      <c r="T437" s="377">
        <f t="shared" si="97"/>
        <v>374.72380952380956</v>
      </c>
      <c r="U437" s="377">
        <f t="shared" si="98"/>
        <v>1967.3000000000002</v>
      </c>
      <c r="V437" s="394">
        <v>1039.42</v>
      </c>
      <c r="W437" s="312">
        <v>927.88</v>
      </c>
      <c r="X437" s="313" t="s">
        <v>12</v>
      </c>
      <c r="Y437" s="314" t="s">
        <v>2985</v>
      </c>
      <c r="Z437" s="516" t="s">
        <v>3618</v>
      </c>
      <c r="AA437" s="516" t="s">
        <v>3516</v>
      </c>
      <c r="AB437" s="304" t="s">
        <v>526</v>
      </c>
      <c r="AC437" s="313" t="s">
        <v>2312</v>
      </c>
      <c r="AD437" s="311" t="s">
        <v>2312</v>
      </c>
      <c r="AE437" s="307" t="s">
        <v>2561</v>
      </c>
      <c r="AF437" s="315" t="s">
        <v>3517</v>
      </c>
      <c r="AG437" s="443">
        <v>2.69</v>
      </c>
      <c r="AH437" s="313">
        <v>65</v>
      </c>
      <c r="AI437" s="307">
        <v>5</v>
      </c>
      <c r="AJ437" s="315">
        <v>30</v>
      </c>
      <c r="AK437" s="315">
        <v>0</v>
      </c>
      <c r="AL437" s="315">
        <v>0</v>
      </c>
      <c r="AM437" s="315">
        <v>0</v>
      </c>
      <c r="AN437" s="307">
        <v>0</v>
      </c>
      <c r="AO437" s="307">
        <v>0</v>
      </c>
      <c r="AP437" s="307">
        <v>0</v>
      </c>
      <c r="AQ437" s="307">
        <v>0</v>
      </c>
      <c r="AR437" s="307">
        <v>0</v>
      </c>
      <c r="AS437" s="307">
        <v>0</v>
      </c>
      <c r="AT437" s="307">
        <v>0.6</v>
      </c>
      <c r="AU437" s="307">
        <v>0</v>
      </c>
      <c r="AV437" s="307">
        <v>0.5</v>
      </c>
      <c r="AW437" s="307">
        <v>0</v>
      </c>
      <c r="AX437" s="304">
        <v>0</v>
      </c>
      <c r="AY437" s="303">
        <v>68.023679999999999</v>
      </c>
      <c r="AZ437" s="311">
        <v>42.1746816</v>
      </c>
      <c r="BA437" s="317" t="s">
        <v>2985</v>
      </c>
      <c r="BB437" s="94" t="s">
        <v>2985</v>
      </c>
      <c r="BC437" s="355" t="s">
        <v>2985</v>
      </c>
      <c r="BD437" s="323" t="s">
        <v>3518</v>
      </c>
      <c r="BE437" s="312">
        <v>50</v>
      </c>
      <c r="BF437" s="307" t="s">
        <v>246</v>
      </c>
      <c r="BG437" s="307">
        <v>200</v>
      </c>
      <c r="BH437" s="505">
        <v>20</v>
      </c>
      <c r="BI437" s="303">
        <v>100</v>
      </c>
      <c r="BJ437" s="307">
        <v>7</v>
      </c>
      <c r="BK437" s="311">
        <v>23</v>
      </c>
      <c r="BL437" s="307">
        <v>23</v>
      </c>
      <c r="BM437" s="317" t="s">
        <v>2985</v>
      </c>
      <c r="BN437" s="307">
        <v>50</v>
      </c>
      <c r="BO437" s="319" t="s">
        <v>2990</v>
      </c>
      <c r="BP437" s="325"/>
      <c r="BS437" s="321"/>
    </row>
    <row r="438" spans="1:71" s="322" customFormat="1">
      <c r="A438" s="458">
        <v>1873</v>
      </c>
      <c r="B438" s="528" t="s">
        <v>3594</v>
      </c>
      <c r="C438" s="466" t="s">
        <v>3590</v>
      </c>
      <c r="D438" s="466" t="s">
        <v>3590</v>
      </c>
      <c r="E438" s="469"/>
      <c r="F438" s="303">
        <v>17</v>
      </c>
      <c r="G438" s="386" t="s">
        <v>3378</v>
      </c>
      <c r="H438" s="303" t="s">
        <v>119</v>
      </c>
      <c r="I438" s="698" t="s">
        <v>3476</v>
      </c>
      <c r="J438" s="307">
        <v>2011</v>
      </c>
      <c r="K438" s="304">
        <v>385</v>
      </c>
      <c r="L438" s="303" t="s">
        <v>1738</v>
      </c>
      <c r="M438" s="304" t="s">
        <v>1751</v>
      </c>
      <c r="N438" s="473">
        <v>0.33</v>
      </c>
      <c r="O438" s="309">
        <f t="shared" si="95"/>
        <v>0.50731787534944905</v>
      </c>
      <c r="P438" s="513">
        <f t="shared" si="96"/>
        <v>8.0878967275119233</v>
      </c>
      <c r="Q438" s="311">
        <v>5.25</v>
      </c>
      <c r="R438" s="394">
        <v>123.4</v>
      </c>
      <c r="S438" s="307">
        <v>243.24</v>
      </c>
      <c r="T438" s="377">
        <f t="shared" si="97"/>
        <v>374.72380952380956</v>
      </c>
      <c r="U438" s="377">
        <f t="shared" si="98"/>
        <v>1967.3000000000002</v>
      </c>
      <c r="V438" s="394">
        <v>1039.42</v>
      </c>
      <c r="W438" s="312">
        <v>927.88</v>
      </c>
      <c r="X438" s="313" t="s">
        <v>12</v>
      </c>
      <c r="Y438" s="314" t="s">
        <v>2985</v>
      </c>
      <c r="Z438" s="516" t="s">
        <v>3618</v>
      </c>
      <c r="AA438" s="516" t="s">
        <v>3516</v>
      </c>
      <c r="AB438" s="304" t="s">
        <v>526</v>
      </c>
      <c r="AC438" s="313" t="s">
        <v>2312</v>
      </c>
      <c r="AD438" s="311" t="s">
        <v>2312</v>
      </c>
      <c r="AE438" s="307" t="s">
        <v>2561</v>
      </c>
      <c r="AF438" s="315" t="s">
        <v>3517</v>
      </c>
      <c r="AG438" s="443">
        <v>2.69</v>
      </c>
      <c r="AH438" s="313">
        <v>70</v>
      </c>
      <c r="AI438" s="307">
        <v>5</v>
      </c>
      <c r="AJ438" s="315">
        <v>25</v>
      </c>
      <c r="AK438" s="315">
        <v>0</v>
      </c>
      <c r="AL438" s="315">
        <v>0</v>
      </c>
      <c r="AM438" s="315">
        <v>0</v>
      </c>
      <c r="AN438" s="307">
        <v>0</v>
      </c>
      <c r="AO438" s="307">
        <v>0</v>
      </c>
      <c r="AP438" s="307">
        <v>0</v>
      </c>
      <c r="AQ438" s="307">
        <v>0</v>
      </c>
      <c r="AR438" s="307">
        <v>0</v>
      </c>
      <c r="AS438" s="307">
        <v>0</v>
      </c>
      <c r="AT438" s="307">
        <v>0.4</v>
      </c>
      <c r="AU438" s="307">
        <v>0.2</v>
      </c>
      <c r="AV438" s="307">
        <v>0</v>
      </c>
      <c r="AW438" s="307">
        <v>0</v>
      </c>
      <c r="AX438" s="304">
        <v>0</v>
      </c>
      <c r="AY438" s="303">
        <v>64.790030000000002</v>
      </c>
      <c r="AZ438" s="311">
        <v>40.169818599999999</v>
      </c>
      <c r="BA438" s="317" t="s">
        <v>2985</v>
      </c>
      <c r="BB438" s="94" t="s">
        <v>2985</v>
      </c>
      <c r="BC438" s="355" t="s">
        <v>2985</v>
      </c>
      <c r="BD438" s="323" t="s">
        <v>3518</v>
      </c>
      <c r="BE438" s="312">
        <v>50</v>
      </c>
      <c r="BF438" s="307" t="s">
        <v>246</v>
      </c>
      <c r="BG438" s="307">
        <v>200</v>
      </c>
      <c r="BH438" s="724">
        <v>20</v>
      </c>
      <c r="BI438" s="303">
        <v>100</v>
      </c>
      <c r="BJ438" s="307">
        <v>7</v>
      </c>
      <c r="BK438" s="311">
        <v>23</v>
      </c>
      <c r="BL438" s="307">
        <v>23</v>
      </c>
      <c r="BM438" s="317" t="s">
        <v>2985</v>
      </c>
      <c r="BN438" s="307">
        <v>50</v>
      </c>
      <c r="BO438" s="319" t="s">
        <v>2990</v>
      </c>
      <c r="BP438" s="325"/>
      <c r="BS438" s="321"/>
    </row>
    <row r="439" spans="1:71" s="322" customFormat="1">
      <c r="A439" s="458">
        <v>1874</v>
      </c>
      <c r="B439" s="528" t="s">
        <v>3595</v>
      </c>
      <c r="C439" s="466" t="s">
        <v>3590</v>
      </c>
      <c r="D439" s="466" t="s">
        <v>3590</v>
      </c>
      <c r="E439" s="469"/>
      <c r="F439" s="303">
        <v>21</v>
      </c>
      <c r="G439" s="386" t="s">
        <v>3378</v>
      </c>
      <c r="H439" s="303" t="s">
        <v>119</v>
      </c>
      <c r="I439" s="698" t="s">
        <v>3476</v>
      </c>
      <c r="J439" s="307">
        <v>2011</v>
      </c>
      <c r="K439" s="304">
        <v>385</v>
      </c>
      <c r="L439" s="303" t="s">
        <v>1738</v>
      </c>
      <c r="M439" s="304" t="s">
        <v>1751</v>
      </c>
      <c r="N439" s="473">
        <v>0.33</v>
      </c>
      <c r="O439" s="309">
        <f t="shared" si="95"/>
        <v>0.50731787534944905</v>
      </c>
      <c r="P439" s="310">
        <f t="shared" si="96"/>
        <v>8.0878967275119233</v>
      </c>
      <c r="Q439" s="311">
        <v>5.25</v>
      </c>
      <c r="R439" s="394">
        <v>123.4</v>
      </c>
      <c r="S439" s="307">
        <v>243.24</v>
      </c>
      <c r="T439" s="377">
        <f t="shared" si="97"/>
        <v>374.72380952380956</v>
      </c>
      <c r="U439" s="377">
        <f t="shared" si="98"/>
        <v>1967.3000000000002</v>
      </c>
      <c r="V439" s="394">
        <v>1039.42</v>
      </c>
      <c r="W439" s="312">
        <v>927.88</v>
      </c>
      <c r="X439" s="313" t="s">
        <v>12</v>
      </c>
      <c r="Y439" s="314" t="s">
        <v>2985</v>
      </c>
      <c r="Z439" s="516" t="s">
        <v>3618</v>
      </c>
      <c r="AA439" s="516" t="s">
        <v>3516</v>
      </c>
      <c r="AB439" s="304" t="s">
        <v>526</v>
      </c>
      <c r="AC439" s="313" t="s">
        <v>2312</v>
      </c>
      <c r="AD439" s="311" t="s">
        <v>2312</v>
      </c>
      <c r="AE439" s="307" t="s">
        <v>2561</v>
      </c>
      <c r="AF439" s="315" t="s">
        <v>3517</v>
      </c>
      <c r="AG439" s="443">
        <v>2.69</v>
      </c>
      <c r="AH439" s="313">
        <v>70</v>
      </c>
      <c r="AI439" s="307">
        <v>5</v>
      </c>
      <c r="AJ439" s="315">
        <v>25</v>
      </c>
      <c r="AK439" s="315">
        <v>0</v>
      </c>
      <c r="AL439" s="315">
        <v>0</v>
      </c>
      <c r="AM439" s="315">
        <v>0</v>
      </c>
      <c r="AN439" s="307">
        <v>0</v>
      </c>
      <c r="AO439" s="307">
        <v>0</v>
      </c>
      <c r="AP439" s="307">
        <v>0</v>
      </c>
      <c r="AQ439" s="307">
        <v>0</v>
      </c>
      <c r="AR439" s="307">
        <v>0</v>
      </c>
      <c r="AS439" s="307">
        <v>0</v>
      </c>
      <c r="AT439" s="307">
        <v>0.4</v>
      </c>
      <c r="AU439" s="307">
        <v>0.2</v>
      </c>
      <c r="AV439" s="307">
        <v>2</v>
      </c>
      <c r="AW439" s="307">
        <v>0</v>
      </c>
      <c r="AX439" s="304">
        <v>0</v>
      </c>
      <c r="AY439" s="303">
        <v>64.679720000000003</v>
      </c>
      <c r="AZ439" s="311">
        <v>40.101426400000001</v>
      </c>
      <c r="BA439" s="317" t="s">
        <v>2985</v>
      </c>
      <c r="BB439" s="94" t="s">
        <v>2985</v>
      </c>
      <c r="BC439" s="355" t="s">
        <v>2985</v>
      </c>
      <c r="BD439" s="323" t="s">
        <v>3518</v>
      </c>
      <c r="BE439" s="312">
        <v>50</v>
      </c>
      <c r="BF439" s="307" t="s">
        <v>246</v>
      </c>
      <c r="BG439" s="307">
        <v>200</v>
      </c>
      <c r="BH439" s="505">
        <v>20</v>
      </c>
      <c r="BI439" s="303">
        <v>100</v>
      </c>
      <c r="BJ439" s="307">
        <v>7</v>
      </c>
      <c r="BK439" s="311">
        <v>23</v>
      </c>
      <c r="BL439" s="307">
        <v>23</v>
      </c>
      <c r="BM439" s="317" t="s">
        <v>2985</v>
      </c>
      <c r="BN439" s="307">
        <v>50</v>
      </c>
      <c r="BO439" s="319" t="s">
        <v>2990</v>
      </c>
      <c r="BP439" s="325"/>
      <c r="BS439" s="321"/>
    </row>
    <row r="440" spans="1:71" s="322" customFormat="1">
      <c r="A440" s="458">
        <v>1875</v>
      </c>
      <c r="B440" s="528" t="s">
        <v>3597</v>
      </c>
      <c r="C440" s="466" t="s">
        <v>3590</v>
      </c>
      <c r="D440" s="466" t="s">
        <v>3590</v>
      </c>
      <c r="E440" s="469"/>
      <c r="F440" s="303">
        <v>30</v>
      </c>
      <c r="G440" s="386" t="s">
        <v>3378</v>
      </c>
      <c r="H440" s="303" t="s">
        <v>119</v>
      </c>
      <c r="I440" s="698" t="s">
        <v>3476</v>
      </c>
      <c r="J440" s="307">
        <v>2011</v>
      </c>
      <c r="K440" s="304">
        <v>385</v>
      </c>
      <c r="L440" s="303" t="s">
        <v>1738</v>
      </c>
      <c r="M440" s="304" t="s">
        <v>1751</v>
      </c>
      <c r="N440" s="473">
        <v>0.33</v>
      </c>
      <c r="O440" s="309">
        <f t="shared" si="95"/>
        <v>0.50731787534944905</v>
      </c>
      <c r="P440" s="310">
        <f t="shared" si="96"/>
        <v>8.0878967275119233</v>
      </c>
      <c r="Q440" s="311">
        <v>5.25</v>
      </c>
      <c r="R440" s="394">
        <v>123.4</v>
      </c>
      <c r="S440" s="307">
        <v>243.24</v>
      </c>
      <c r="T440" s="377">
        <f t="shared" si="97"/>
        <v>374.72380952380956</v>
      </c>
      <c r="U440" s="377">
        <f t="shared" si="98"/>
        <v>1967.3000000000002</v>
      </c>
      <c r="V440" s="394">
        <v>1039.42</v>
      </c>
      <c r="W440" s="312">
        <v>927.88</v>
      </c>
      <c r="X440" s="313" t="s">
        <v>12</v>
      </c>
      <c r="Y440" s="314" t="s">
        <v>2985</v>
      </c>
      <c r="Z440" s="516" t="s">
        <v>3618</v>
      </c>
      <c r="AA440" s="516" t="s">
        <v>3516</v>
      </c>
      <c r="AB440" s="304" t="s">
        <v>526</v>
      </c>
      <c r="AC440" s="313" t="s">
        <v>2312</v>
      </c>
      <c r="AD440" s="311" t="s">
        <v>2312</v>
      </c>
      <c r="AE440" s="307" t="s">
        <v>2561</v>
      </c>
      <c r="AF440" s="315" t="s">
        <v>3517</v>
      </c>
      <c r="AG440" s="443">
        <v>2.69</v>
      </c>
      <c r="AH440" s="313">
        <v>70</v>
      </c>
      <c r="AI440" s="307">
        <v>5</v>
      </c>
      <c r="AJ440" s="315">
        <v>25</v>
      </c>
      <c r="AK440" s="315">
        <v>0</v>
      </c>
      <c r="AL440" s="315">
        <v>0</v>
      </c>
      <c r="AM440" s="315">
        <v>0</v>
      </c>
      <c r="AN440" s="307">
        <v>0</v>
      </c>
      <c r="AO440" s="307">
        <v>0</v>
      </c>
      <c r="AP440" s="307">
        <v>0</v>
      </c>
      <c r="AQ440" s="307">
        <v>0</v>
      </c>
      <c r="AR440" s="307">
        <v>0</v>
      </c>
      <c r="AS440" s="307">
        <v>0</v>
      </c>
      <c r="AT440" s="307">
        <v>0.4</v>
      </c>
      <c r="AU440" s="307">
        <v>0.2</v>
      </c>
      <c r="AV440" s="307">
        <v>2.5</v>
      </c>
      <c r="AW440" s="307">
        <v>0</v>
      </c>
      <c r="AX440" s="304">
        <v>0</v>
      </c>
      <c r="AY440" s="303">
        <v>65.376090000000005</v>
      </c>
      <c r="AZ440" s="311">
        <v>40.533175800000002</v>
      </c>
      <c r="BA440" s="317" t="s">
        <v>2985</v>
      </c>
      <c r="BB440" s="94" t="s">
        <v>2985</v>
      </c>
      <c r="BC440" s="355" t="s">
        <v>2985</v>
      </c>
      <c r="BD440" s="323" t="s">
        <v>3518</v>
      </c>
      <c r="BE440" s="312">
        <v>50</v>
      </c>
      <c r="BF440" s="307" t="s">
        <v>246</v>
      </c>
      <c r="BG440" s="307">
        <v>200</v>
      </c>
      <c r="BH440" s="505">
        <v>20</v>
      </c>
      <c r="BI440" s="303">
        <v>100</v>
      </c>
      <c r="BJ440" s="307">
        <v>7</v>
      </c>
      <c r="BK440" s="311">
        <v>23</v>
      </c>
      <c r="BL440" s="307">
        <v>23</v>
      </c>
      <c r="BM440" s="317" t="s">
        <v>2985</v>
      </c>
      <c r="BN440" s="307">
        <v>50</v>
      </c>
      <c r="BO440" s="319" t="s">
        <v>2990</v>
      </c>
      <c r="BP440" s="325"/>
      <c r="BS440" s="321"/>
    </row>
    <row r="441" spans="1:71" s="322" customFormat="1">
      <c r="A441" s="458">
        <v>1876</v>
      </c>
      <c r="B441" s="528" t="s">
        <v>3598</v>
      </c>
      <c r="C441" s="466" t="s">
        <v>3590</v>
      </c>
      <c r="D441" s="383"/>
      <c r="E441" s="469"/>
      <c r="F441" s="303">
        <v>31</v>
      </c>
      <c r="G441" s="386" t="s">
        <v>3378</v>
      </c>
      <c r="H441" s="303" t="s">
        <v>119</v>
      </c>
      <c r="I441" s="698" t="s">
        <v>3476</v>
      </c>
      <c r="J441" s="307">
        <v>2011</v>
      </c>
      <c r="K441" s="304">
        <v>385</v>
      </c>
      <c r="L441" s="303" t="s">
        <v>1738</v>
      </c>
      <c r="M441" s="304" t="s">
        <v>1751</v>
      </c>
      <c r="N441" s="473">
        <v>0.33</v>
      </c>
      <c r="O441" s="309">
        <f t="shared" si="95"/>
        <v>0.47046691084954312</v>
      </c>
      <c r="P441" s="310">
        <f t="shared" si="96"/>
        <v>6.8292023754489533</v>
      </c>
      <c r="Q441" s="311">
        <v>4.8</v>
      </c>
      <c r="R441" s="394">
        <v>132.30000000000001</v>
      </c>
      <c r="S441" s="312">
        <v>281.20999999999998</v>
      </c>
      <c r="T441" s="377">
        <f t="shared" si="97"/>
        <v>400.0916666666667</v>
      </c>
      <c r="U441" s="377">
        <f t="shared" si="98"/>
        <v>1920.44</v>
      </c>
      <c r="V441" s="394">
        <v>1039.42</v>
      </c>
      <c r="W441" s="312">
        <v>881.02</v>
      </c>
      <c r="X441" s="313" t="s">
        <v>12</v>
      </c>
      <c r="Y441" s="314" t="s">
        <v>2985</v>
      </c>
      <c r="Z441" s="516" t="s">
        <v>3618</v>
      </c>
      <c r="AA441" s="516" t="s">
        <v>3516</v>
      </c>
      <c r="AB441" s="304" t="s">
        <v>526</v>
      </c>
      <c r="AC441" s="313" t="s">
        <v>2312</v>
      </c>
      <c r="AD441" s="311" t="s">
        <v>2312</v>
      </c>
      <c r="AE441" s="307" t="s">
        <v>2561</v>
      </c>
      <c r="AF441" s="315" t="s">
        <v>3517</v>
      </c>
      <c r="AG441" s="443">
        <v>2.69</v>
      </c>
      <c r="AH441" s="313">
        <v>70</v>
      </c>
      <c r="AI441" s="307">
        <v>0</v>
      </c>
      <c r="AJ441" s="315">
        <v>25</v>
      </c>
      <c r="AK441" s="315">
        <v>0</v>
      </c>
      <c r="AL441" s="315">
        <v>0</v>
      </c>
      <c r="AM441" s="315">
        <v>0</v>
      </c>
      <c r="AN441" s="307">
        <v>0</v>
      </c>
      <c r="AO441" s="307">
        <v>0</v>
      </c>
      <c r="AP441" s="307">
        <v>5</v>
      </c>
      <c r="AQ441" s="307">
        <v>0</v>
      </c>
      <c r="AR441" s="307">
        <v>0</v>
      </c>
      <c r="AS441" s="307">
        <v>0</v>
      </c>
      <c r="AT441" s="307">
        <v>0.4</v>
      </c>
      <c r="AU441" s="307">
        <v>0.2</v>
      </c>
      <c r="AV441" s="307">
        <v>0</v>
      </c>
      <c r="AW441" s="307">
        <v>0</v>
      </c>
      <c r="AX441" s="304">
        <v>0</v>
      </c>
      <c r="AY441" s="303">
        <v>68.44426</v>
      </c>
      <c r="AZ441" s="311">
        <v>42.4354412</v>
      </c>
      <c r="BA441" s="317" t="s">
        <v>2985</v>
      </c>
      <c r="BB441" s="94" t="s">
        <v>2985</v>
      </c>
      <c r="BC441" s="355" t="s">
        <v>2985</v>
      </c>
      <c r="BD441" s="323" t="s">
        <v>3519</v>
      </c>
      <c r="BE441" s="312">
        <v>75</v>
      </c>
      <c r="BF441" s="307" t="s">
        <v>246</v>
      </c>
      <c r="BG441" s="307">
        <v>300</v>
      </c>
      <c r="BH441" s="505">
        <v>30</v>
      </c>
      <c r="BI441" s="303">
        <v>100</v>
      </c>
      <c r="BJ441" s="307">
        <v>7</v>
      </c>
      <c r="BK441" s="311">
        <v>23</v>
      </c>
      <c r="BL441" s="307">
        <v>23</v>
      </c>
      <c r="BM441" s="317" t="s">
        <v>2985</v>
      </c>
      <c r="BN441" s="307">
        <v>50</v>
      </c>
      <c r="BO441" s="319" t="s">
        <v>2990</v>
      </c>
      <c r="BP441" s="325"/>
      <c r="BS441" s="321"/>
    </row>
    <row r="442" spans="1:71" s="322" customFormat="1">
      <c r="A442" s="458">
        <v>1877</v>
      </c>
      <c r="B442" s="535" t="s">
        <v>3585</v>
      </c>
      <c r="C442" s="466" t="s">
        <v>3590</v>
      </c>
      <c r="D442" s="383"/>
      <c r="E442" s="469"/>
      <c r="F442" s="303">
        <v>32</v>
      </c>
      <c r="G442" s="386" t="s">
        <v>3378</v>
      </c>
      <c r="H442" s="303" t="s">
        <v>119</v>
      </c>
      <c r="I442" s="698" t="s">
        <v>3476</v>
      </c>
      <c r="J442" s="307">
        <v>2011</v>
      </c>
      <c r="K442" s="304">
        <v>385</v>
      </c>
      <c r="L442" s="303" t="s">
        <v>1738</v>
      </c>
      <c r="M442" s="304" t="s">
        <v>1751</v>
      </c>
      <c r="N442" s="303">
        <v>0.34</v>
      </c>
      <c r="O442" s="309">
        <f t="shared" si="95"/>
        <v>0.48522456527150526</v>
      </c>
      <c r="P442" s="310">
        <f t="shared" si="96"/>
        <v>6.7764304256605383</v>
      </c>
      <c r="Q442" s="311">
        <v>4.76</v>
      </c>
      <c r="R442" s="394">
        <v>136.44999999999999</v>
      </c>
      <c r="S442" s="312">
        <v>281.20999999999998</v>
      </c>
      <c r="T442" s="377">
        <f t="shared" si="97"/>
        <v>400.33613445378154</v>
      </c>
      <c r="U442" s="377">
        <f t="shared" si="98"/>
        <v>1905.6</v>
      </c>
      <c r="V442" s="394">
        <v>1039.42</v>
      </c>
      <c r="W442" s="312">
        <v>866.18</v>
      </c>
      <c r="X442" s="313" t="s">
        <v>12</v>
      </c>
      <c r="Y442" s="314" t="s">
        <v>2985</v>
      </c>
      <c r="Z442" s="516" t="s">
        <v>3618</v>
      </c>
      <c r="AA442" s="516" t="s">
        <v>3516</v>
      </c>
      <c r="AB442" s="304" t="s">
        <v>526</v>
      </c>
      <c r="AC442" s="313" t="s">
        <v>2312</v>
      </c>
      <c r="AD442" s="311" t="s">
        <v>2312</v>
      </c>
      <c r="AE442" s="307" t="s">
        <v>2561</v>
      </c>
      <c r="AF442" s="315" t="s">
        <v>3517</v>
      </c>
      <c r="AG442" s="443">
        <v>2.69</v>
      </c>
      <c r="AH442" s="313">
        <v>70</v>
      </c>
      <c r="AI442" s="307">
        <v>0</v>
      </c>
      <c r="AJ442" s="315">
        <v>25</v>
      </c>
      <c r="AK442" s="315">
        <v>0</v>
      </c>
      <c r="AL442" s="315">
        <v>0</v>
      </c>
      <c r="AM442" s="315">
        <v>0</v>
      </c>
      <c r="AN442" s="307">
        <v>0</v>
      </c>
      <c r="AO442" s="307">
        <v>0</v>
      </c>
      <c r="AP442" s="307">
        <v>5</v>
      </c>
      <c r="AQ442" s="307">
        <v>0</v>
      </c>
      <c r="AR442" s="307">
        <v>0</v>
      </c>
      <c r="AS442" s="307">
        <v>0</v>
      </c>
      <c r="AT442" s="307">
        <v>0.4</v>
      </c>
      <c r="AU442" s="307">
        <v>0.2</v>
      </c>
      <c r="AV442" s="307">
        <v>0</v>
      </c>
      <c r="AW442" s="307">
        <v>0</v>
      </c>
      <c r="AX442" s="304">
        <v>0</v>
      </c>
      <c r="AY442" s="303">
        <v>64.07987</v>
      </c>
      <c r="AZ442" s="311">
        <v>39.729519400000001</v>
      </c>
      <c r="BA442" s="317" t="s">
        <v>2985</v>
      </c>
      <c r="BB442" s="94" t="s">
        <v>2985</v>
      </c>
      <c r="BC442" s="355" t="s">
        <v>2985</v>
      </c>
      <c r="BD442" s="323" t="s">
        <v>3519</v>
      </c>
      <c r="BE442" s="312">
        <v>75</v>
      </c>
      <c r="BF442" s="307" t="s">
        <v>246</v>
      </c>
      <c r="BG442" s="307">
        <v>300</v>
      </c>
      <c r="BH442" s="505">
        <v>30</v>
      </c>
      <c r="BI442" s="303">
        <v>100</v>
      </c>
      <c r="BJ442" s="307">
        <v>7</v>
      </c>
      <c r="BK442" s="311">
        <v>23</v>
      </c>
      <c r="BL442" s="307">
        <v>23</v>
      </c>
      <c r="BM442" s="317" t="s">
        <v>2985</v>
      </c>
      <c r="BN442" s="307">
        <v>50</v>
      </c>
      <c r="BO442" s="319" t="s">
        <v>2990</v>
      </c>
      <c r="BP442" s="325"/>
      <c r="BS442" s="321"/>
    </row>
    <row r="443" spans="1:71" s="322" customFormat="1">
      <c r="A443" s="458">
        <v>1878</v>
      </c>
      <c r="B443" s="528" t="s">
        <v>3598</v>
      </c>
      <c r="C443" s="383"/>
      <c r="D443" s="383"/>
      <c r="E443" s="469"/>
      <c r="F443" s="303">
        <v>33</v>
      </c>
      <c r="G443" s="386" t="s">
        <v>3378</v>
      </c>
      <c r="H443" s="303" t="s">
        <v>119</v>
      </c>
      <c r="I443" s="698" t="s">
        <v>3476</v>
      </c>
      <c r="J443" s="307">
        <v>2011</v>
      </c>
      <c r="K443" s="304">
        <v>385</v>
      </c>
      <c r="L443" s="303" t="s">
        <v>1738</v>
      </c>
      <c r="M443" s="304" t="s">
        <v>1751</v>
      </c>
      <c r="N443" s="303">
        <v>0.34</v>
      </c>
      <c r="O443" s="309">
        <f t="shared" si="95"/>
        <v>0.48531387982338264</v>
      </c>
      <c r="P443" s="310">
        <f t="shared" si="96"/>
        <v>7.553465156459974</v>
      </c>
      <c r="Q443" s="311">
        <v>5.28</v>
      </c>
      <c r="R443" s="394">
        <v>126.4</v>
      </c>
      <c r="S443" s="307">
        <v>260.45</v>
      </c>
      <c r="T443" s="377">
        <f t="shared" si="97"/>
        <v>372.594696969697</v>
      </c>
      <c r="U443" s="377">
        <f t="shared" si="98"/>
        <v>1967.3000000000002</v>
      </c>
      <c r="V443" s="394">
        <v>1039.42</v>
      </c>
      <c r="W443" s="312">
        <v>927.88</v>
      </c>
      <c r="X443" s="313" t="s">
        <v>12</v>
      </c>
      <c r="Y443" s="314" t="s">
        <v>2985</v>
      </c>
      <c r="Z443" s="516" t="s">
        <v>3618</v>
      </c>
      <c r="AA443" s="516" t="s">
        <v>3516</v>
      </c>
      <c r="AB443" s="304" t="s">
        <v>526</v>
      </c>
      <c r="AC443" s="313" t="s">
        <v>2312</v>
      </c>
      <c r="AD443" s="311" t="s">
        <v>2312</v>
      </c>
      <c r="AE443" s="307" t="s">
        <v>2561</v>
      </c>
      <c r="AF443" s="315" t="s">
        <v>3517</v>
      </c>
      <c r="AG443" s="443">
        <v>2.69</v>
      </c>
      <c r="AH443" s="313">
        <v>70</v>
      </c>
      <c r="AI443" s="307">
        <v>0</v>
      </c>
      <c r="AJ443" s="315">
        <v>25</v>
      </c>
      <c r="AK443" s="315">
        <v>0</v>
      </c>
      <c r="AL443" s="315">
        <v>0</v>
      </c>
      <c r="AM443" s="315">
        <v>0</v>
      </c>
      <c r="AN443" s="307">
        <v>0</v>
      </c>
      <c r="AO443" s="307">
        <v>0</v>
      </c>
      <c r="AP443" s="307">
        <v>5</v>
      </c>
      <c r="AQ443" s="307">
        <v>0</v>
      </c>
      <c r="AR443" s="307">
        <v>0</v>
      </c>
      <c r="AS443" s="307">
        <v>0</v>
      </c>
      <c r="AT443" s="307">
        <v>0.4</v>
      </c>
      <c r="AU443" s="307">
        <v>0.2</v>
      </c>
      <c r="AV443" s="307">
        <v>0</v>
      </c>
      <c r="AW443" s="307">
        <v>0</v>
      </c>
      <c r="AX443" s="304">
        <v>0</v>
      </c>
      <c r="AY443" s="303">
        <v>73.146479999999997</v>
      </c>
      <c r="AZ443" s="311">
        <v>45.350817599999999</v>
      </c>
      <c r="BA443" s="317" t="s">
        <v>2985</v>
      </c>
      <c r="BB443" s="507" t="s">
        <v>2985</v>
      </c>
      <c r="BC443" s="355" t="s">
        <v>2985</v>
      </c>
      <c r="BD443" s="323" t="s">
        <v>3519</v>
      </c>
      <c r="BE443" s="312">
        <v>75</v>
      </c>
      <c r="BF443" s="307" t="s">
        <v>246</v>
      </c>
      <c r="BG443" s="307">
        <v>300</v>
      </c>
      <c r="BH443" s="505">
        <v>30</v>
      </c>
      <c r="BI443" s="303">
        <v>100</v>
      </c>
      <c r="BJ443" s="307">
        <v>7</v>
      </c>
      <c r="BK443" s="311">
        <v>23</v>
      </c>
      <c r="BL443" s="307">
        <v>23</v>
      </c>
      <c r="BM443" s="317" t="s">
        <v>2985</v>
      </c>
      <c r="BN443" s="307">
        <v>50</v>
      </c>
      <c r="BO443" s="319" t="s">
        <v>2990</v>
      </c>
      <c r="BP443" s="325"/>
      <c r="BS443" s="321"/>
    </row>
    <row r="444" spans="1:71" s="322" customFormat="1">
      <c r="A444" s="458">
        <v>1879</v>
      </c>
      <c r="B444" s="535" t="s">
        <v>3585</v>
      </c>
      <c r="C444" s="383"/>
      <c r="D444" s="383"/>
      <c r="E444" s="469"/>
      <c r="F444" s="303">
        <v>2</v>
      </c>
      <c r="G444" s="386" t="s">
        <v>3378</v>
      </c>
      <c r="H444" s="303" t="s">
        <v>119</v>
      </c>
      <c r="I444" s="698" t="s">
        <v>3476</v>
      </c>
      <c r="J444" s="307">
        <v>2011</v>
      </c>
      <c r="K444" s="304">
        <v>385</v>
      </c>
      <c r="L444" s="303" t="s">
        <v>1738</v>
      </c>
      <c r="M444" s="304" t="s">
        <v>1751</v>
      </c>
      <c r="N444" s="473">
        <v>0.33</v>
      </c>
      <c r="O444" s="309">
        <f t="shared" si="95"/>
        <v>0.43974097069339341</v>
      </c>
      <c r="P444" s="513">
        <f t="shared" si="96"/>
        <v>7.010554389344513</v>
      </c>
      <c r="Q444" s="311">
        <v>5.25</v>
      </c>
      <c r="R444" s="394">
        <v>123.4</v>
      </c>
      <c r="S444" s="329">
        <v>280.61974713299998</v>
      </c>
      <c r="T444" s="377">
        <f t="shared" si="97"/>
        <v>374.72380952380956</v>
      </c>
      <c r="U444" s="377">
        <f t="shared" si="98"/>
        <v>1967.3000000000002</v>
      </c>
      <c r="V444" s="394">
        <v>1039.42</v>
      </c>
      <c r="W444" s="312">
        <v>927.88</v>
      </c>
      <c r="X444" s="313" t="s">
        <v>12</v>
      </c>
      <c r="Y444" s="314" t="s">
        <v>2985</v>
      </c>
      <c r="Z444" s="516" t="s">
        <v>3618</v>
      </c>
      <c r="AA444" s="516" t="s">
        <v>3516</v>
      </c>
      <c r="AB444" s="304" t="s">
        <v>526</v>
      </c>
      <c r="AC444" s="313" t="s">
        <v>2312</v>
      </c>
      <c r="AD444" s="311" t="s">
        <v>2312</v>
      </c>
      <c r="AE444" s="307" t="s">
        <v>2561</v>
      </c>
      <c r="AF444" s="315" t="s">
        <v>3517</v>
      </c>
      <c r="AG444" s="443">
        <v>2.69</v>
      </c>
      <c r="AH444" s="313">
        <v>75</v>
      </c>
      <c r="AI444" s="307">
        <v>5</v>
      </c>
      <c r="AJ444" s="315">
        <v>20</v>
      </c>
      <c r="AK444" s="315">
        <v>0</v>
      </c>
      <c r="AL444" s="315">
        <v>0</v>
      </c>
      <c r="AM444" s="315">
        <v>0</v>
      </c>
      <c r="AN444" s="307">
        <v>0</v>
      </c>
      <c r="AO444" s="307">
        <v>0</v>
      </c>
      <c r="AP444" s="307">
        <v>0</v>
      </c>
      <c r="AQ444" s="307">
        <v>0</v>
      </c>
      <c r="AR444" s="307">
        <v>0</v>
      </c>
      <c r="AS444" s="307">
        <v>0</v>
      </c>
      <c r="AT444" s="307">
        <v>0.6</v>
      </c>
      <c r="AU444" s="307">
        <v>0</v>
      </c>
      <c r="AV444" s="307">
        <v>0</v>
      </c>
      <c r="AW444" s="307">
        <v>0</v>
      </c>
      <c r="AX444" s="304">
        <v>0</v>
      </c>
      <c r="AY444" s="354">
        <v>68.385109999999997</v>
      </c>
      <c r="AZ444" s="356">
        <v>42.398768199999999</v>
      </c>
      <c r="BA444" s="317" t="s">
        <v>2985</v>
      </c>
      <c r="BB444" s="94" t="s">
        <v>2985</v>
      </c>
      <c r="BC444" s="355" t="s">
        <v>2985</v>
      </c>
      <c r="BD444" s="323" t="s">
        <v>3518</v>
      </c>
      <c r="BE444" s="312">
        <v>50</v>
      </c>
      <c r="BF444" s="307" t="s">
        <v>246</v>
      </c>
      <c r="BG444" s="307">
        <v>200</v>
      </c>
      <c r="BH444" s="505">
        <v>20</v>
      </c>
      <c r="BI444" s="303">
        <v>100</v>
      </c>
      <c r="BJ444" s="307">
        <v>7</v>
      </c>
      <c r="BK444" s="311">
        <v>23</v>
      </c>
      <c r="BL444" s="307">
        <v>23</v>
      </c>
      <c r="BM444" s="317" t="s">
        <v>2985</v>
      </c>
      <c r="BN444" s="307">
        <v>50</v>
      </c>
      <c r="BO444" s="319" t="s">
        <v>2990</v>
      </c>
      <c r="BP444" s="320"/>
      <c r="BS444" s="321"/>
    </row>
    <row r="445" spans="1:71" s="322" customFormat="1">
      <c r="A445" s="458">
        <v>1880</v>
      </c>
      <c r="B445" s="535" t="s">
        <v>3585</v>
      </c>
      <c r="C445" s="383"/>
      <c r="D445" s="383"/>
      <c r="E445" s="469"/>
      <c r="F445" s="303">
        <v>4</v>
      </c>
      <c r="G445" s="386" t="s">
        <v>3378</v>
      </c>
      <c r="H445" s="303" t="s">
        <v>119</v>
      </c>
      <c r="I445" s="698" t="s">
        <v>3476</v>
      </c>
      <c r="J445" s="307">
        <v>2011</v>
      </c>
      <c r="K445" s="304">
        <v>385</v>
      </c>
      <c r="L445" s="303" t="s">
        <v>1738</v>
      </c>
      <c r="M445" s="304" t="s">
        <v>1751</v>
      </c>
      <c r="N445" s="473">
        <v>0.33</v>
      </c>
      <c r="O445" s="309">
        <f t="shared" si="95"/>
        <v>0.43974097069339341</v>
      </c>
      <c r="P445" s="513">
        <f t="shared" si="96"/>
        <v>7.010554389344513</v>
      </c>
      <c r="Q445" s="311">
        <v>5.25</v>
      </c>
      <c r="R445" s="394">
        <v>123.4</v>
      </c>
      <c r="S445" s="329">
        <v>280.61974713299998</v>
      </c>
      <c r="T445" s="377">
        <f t="shared" si="97"/>
        <v>374.72380952380956</v>
      </c>
      <c r="U445" s="377">
        <f t="shared" si="98"/>
        <v>1967.3000000000002</v>
      </c>
      <c r="V445" s="394">
        <v>1039.42</v>
      </c>
      <c r="W445" s="312">
        <v>927.88</v>
      </c>
      <c r="X445" s="313" t="s">
        <v>12</v>
      </c>
      <c r="Y445" s="314" t="s">
        <v>2985</v>
      </c>
      <c r="Z445" s="516" t="s">
        <v>3618</v>
      </c>
      <c r="AA445" s="516" t="s">
        <v>3516</v>
      </c>
      <c r="AB445" s="304" t="s">
        <v>526</v>
      </c>
      <c r="AC445" s="313" t="s">
        <v>2312</v>
      </c>
      <c r="AD445" s="311" t="s">
        <v>2312</v>
      </c>
      <c r="AE445" s="307" t="s">
        <v>2561</v>
      </c>
      <c r="AF445" s="315" t="s">
        <v>3517</v>
      </c>
      <c r="AG445" s="443">
        <v>2.69</v>
      </c>
      <c r="AH445" s="313">
        <v>75</v>
      </c>
      <c r="AI445" s="307">
        <v>0</v>
      </c>
      <c r="AJ445" s="315">
        <v>20</v>
      </c>
      <c r="AK445" s="315">
        <v>0</v>
      </c>
      <c r="AL445" s="315">
        <v>0</v>
      </c>
      <c r="AM445" s="315">
        <v>0</v>
      </c>
      <c r="AN445" s="307">
        <v>0</v>
      </c>
      <c r="AO445" s="307">
        <v>0</v>
      </c>
      <c r="AP445" s="307">
        <v>5</v>
      </c>
      <c r="AQ445" s="307">
        <v>0</v>
      </c>
      <c r="AR445" s="307">
        <v>0</v>
      </c>
      <c r="AS445" s="307">
        <v>0</v>
      </c>
      <c r="AT445" s="307">
        <v>0.6</v>
      </c>
      <c r="AU445" s="307">
        <v>0</v>
      </c>
      <c r="AV445" s="307">
        <v>0.5</v>
      </c>
      <c r="AW445" s="307">
        <v>0</v>
      </c>
      <c r="AX445" s="304">
        <v>0</v>
      </c>
      <c r="AY445" s="354">
        <v>68.385109999999997</v>
      </c>
      <c r="AZ445" s="356">
        <v>42.398768199999999</v>
      </c>
      <c r="BA445" s="317" t="s">
        <v>2985</v>
      </c>
      <c r="BB445" s="94" t="s">
        <v>2985</v>
      </c>
      <c r="BC445" s="355" t="s">
        <v>2985</v>
      </c>
      <c r="BD445" s="323" t="s">
        <v>3518</v>
      </c>
      <c r="BE445" s="312">
        <v>50</v>
      </c>
      <c r="BF445" s="307" t="s">
        <v>246</v>
      </c>
      <c r="BG445" s="307">
        <v>200</v>
      </c>
      <c r="BH445" s="505">
        <v>20</v>
      </c>
      <c r="BI445" s="303">
        <v>100</v>
      </c>
      <c r="BJ445" s="307">
        <v>7</v>
      </c>
      <c r="BK445" s="311">
        <v>23</v>
      </c>
      <c r="BL445" s="307">
        <v>23</v>
      </c>
      <c r="BM445" s="317" t="s">
        <v>2985</v>
      </c>
      <c r="BN445" s="307">
        <v>50</v>
      </c>
      <c r="BO445" s="319" t="s">
        <v>2990</v>
      </c>
      <c r="BP445" s="325"/>
      <c r="BS445" s="321"/>
    </row>
    <row r="446" spans="1:71" s="322" customFormat="1">
      <c r="A446" s="458">
        <v>1881</v>
      </c>
      <c r="B446" s="528" t="s">
        <v>3591</v>
      </c>
      <c r="C446" s="383"/>
      <c r="D446" s="383"/>
      <c r="E446" s="469"/>
      <c r="F446" s="303">
        <v>5</v>
      </c>
      <c r="G446" s="386" t="s">
        <v>3378</v>
      </c>
      <c r="H446" s="303" t="s">
        <v>119</v>
      </c>
      <c r="I446" s="698" t="s">
        <v>3476</v>
      </c>
      <c r="J446" s="307">
        <v>2011</v>
      </c>
      <c r="K446" s="304">
        <v>385</v>
      </c>
      <c r="L446" s="303" t="s">
        <v>1738</v>
      </c>
      <c r="M446" s="304" t="s">
        <v>1751</v>
      </c>
      <c r="N446" s="473">
        <v>0.33</v>
      </c>
      <c r="O446" s="309">
        <f t="shared" si="95"/>
        <v>0.47164961255776655</v>
      </c>
      <c r="P446" s="513">
        <f t="shared" si="96"/>
        <v>7.519256748662027</v>
      </c>
      <c r="Q446" s="311">
        <v>5.25</v>
      </c>
      <c r="R446" s="394">
        <v>123.4</v>
      </c>
      <c r="S446" s="329">
        <v>261.63490166100001</v>
      </c>
      <c r="T446" s="377">
        <f t="shared" si="97"/>
        <v>374.72380952380956</v>
      </c>
      <c r="U446" s="377">
        <f t="shared" si="98"/>
        <v>1967.3000000000002</v>
      </c>
      <c r="V446" s="394">
        <v>1039.42</v>
      </c>
      <c r="W446" s="312">
        <v>927.88</v>
      </c>
      <c r="X446" s="313" t="s">
        <v>12</v>
      </c>
      <c r="Y446" s="314" t="s">
        <v>2985</v>
      </c>
      <c r="Z446" s="516" t="s">
        <v>3618</v>
      </c>
      <c r="AA446" s="516" t="s">
        <v>3516</v>
      </c>
      <c r="AB446" s="304" t="s">
        <v>526</v>
      </c>
      <c r="AC446" s="313" t="s">
        <v>2312</v>
      </c>
      <c r="AD446" s="311" t="s">
        <v>2312</v>
      </c>
      <c r="AE446" s="307" t="s">
        <v>2561</v>
      </c>
      <c r="AF446" s="315" t="s">
        <v>3517</v>
      </c>
      <c r="AG446" s="443">
        <v>2.69</v>
      </c>
      <c r="AH446" s="313">
        <v>70</v>
      </c>
      <c r="AI446" s="307">
        <v>5</v>
      </c>
      <c r="AJ446" s="315">
        <v>25</v>
      </c>
      <c r="AK446" s="315">
        <v>0</v>
      </c>
      <c r="AL446" s="315">
        <v>0</v>
      </c>
      <c r="AM446" s="315">
        <v>0</v>
      </c>
      <c r="AN446" s="307">
        <v>0</v>
      </c>
      <c r="AO446" s="307">
        <v>0</v>
      </c>
      <c r="AP446" s="307">
        <v>0</v>
      </c>
      <c r="AQ446" s="307">
        <v>0</v>
      </c>
      <c r="AR446" s="307">
        <v>0</v>
      </c>
      <c r="AS446" s="307">
        <v>0</v>
      </c>
      <c r="AT446" s="307">
        <v>0.6</v>
      </c>
      <c r="AU446" s="307">
        <v>0</v>
      </c>
      <c r="AV446" s="307">
        <v>0</v>
      </c>
      <c r="AW446" s="307">
        <v>0</v>
      </c>
      <c r="AX446" s="304">
        <v>0</v>
      </c>
      <c r="AY446" s="354">
        <v>68.385109999999997</v>
      </c>
      <c r="AZ446" s="356">
        <v>42.398768199999999</v>
      </c>
      <c r="BA446" s="317" t="s">
        <v>2985</v>
      </c>
      <c r="BB446" s="94" t="s">
        <v>2985</v>
      </c>
      <c r="BC446" s="355" t="s">
        <v>2985</v>
      </c>
      <c r="BD446" s="323" t="s">
        <v>3518</v>
      </c>
      <c r="BE446" s="312">
        <v>50</v>
      </c>
      <c r="BF446" s="307" t="s">
        <v>246</v>
      </c>
      <c r="BG446" s="307">
        <v>200</v>
      </c>
      <c r="BH446" s="505">
        <v>20</v>
      </c>
      <c r="BI446" s="303">
        <v>100</v>
      </c>
      <c r="BJ446" s="307">
        <v>7</v>
      </c>
      <c r="BK446" s="311">
        <v>23</v>
      </c>
      <c r="BL446" s="307">
        <v>23</v>
      </c>
      <c r="BM446" s="317" t="s">
        <v>2985</v>
      </c>
      <c r="BN446" s="307">
        <v>50</v>
      </c>
      <c r="BO446" s="319" t="s">
        <v>2990</v>
      </c>
      <c r="BP446" s="325"/>
      <c r="BS446" s="321"/>
    </row>
    <row r="447" spans="1:71" s="322" customFormat="1">
      <c r="A447" s="458">
        <v>1882</v>
      </c>
      <c r="B447" s="528" t="s">
        <v>3592</v>
      </c>
      <c r="C447" s="383"/>
      <c r="D447" s="383"/>
      <c r="E447" s="469"/>
      <c r="F447" s="303">
        <v>6</v>
      </c>
      <c r="G447" s="386" t="s">
        <v>3378</v>
      </c>
      <c r="H447" s="303" t="s">
        <v>119</v>
      </c>
      <c r="I447" s="698" t="s">
        <v>3476</v>
      </c>
      <c r="J447" s="307">
        <v>2011</v>
      </c>
      <c r="K447" s="304">
        <v>385</v>
      </c>
      <c r="L447" s="303" t="s">
        <v>1738</v>
      </c>
      <c r="M447" s="304" t="s">
        <v>1751</v>
      </c>
      <c r="N447" s="473">
        <v>0.33</v>
      </c>
      <c r="O447" s="309">
        <f t="shared" si="95"/>
        <v>0.47164961255776655</v>
      </c>
      <c r="P447" s="513">
        <f t="shared" si="96"/>
        <v>7.519256748662027</v>
      </c>
      <c r="Q447" s="311">
        <v>5.25</v>
      </c>
      <c r="R447" s="394">
        <v>123.4</v>
      </c>
      <c r="S447" s="329">
        <v>261.63490166100001</v>
      </c>
      <c r="T447" s="377">
        <f t="shared" si="97"/>
        <v>374.72380952380956</v>
      </c>
      <c r="U447" s="377">
        <f t="shared" si="98"/>
        <v>1967.3000000000002</v>
      </c>
      <c r="V447" s="394">
        <v>1039.42</v>
      </c>
      <c r="W447" s="312">
        <v>927.88</v>
      </c>
      <c r="X447" s="313" t="s">
        <v>12</v>
      </c>
      <c r="Y447" s="314" t="s">
        <v>2985</v>
      </c>
      <c r="Z447" s="516" t="s">
        <v>3618</v>
      </c>
      <c r="AA447" s="516" t="s">
        <v>3516</v>
      </c>
      <c r="AB447" s="304" t="s">
        <v>526</v>
      </c>
      <c r="AC447" s="313" t="s">
        <v>2312</v>
      </c>
      <c r="AD447" s="311" t="s">
        <v>2312</v>
      </c>
      <c r="AE447" s="307" t="s">
        <v>2561</v>
      </c>
      <c r="AF447" s="315" t="s">
        <v>3517</v>
      </c>
      <c r="AG447" s="443">
        <v>2.69</v>
      </c>
      <c r="AH447" s="313">
        <v>70</v>
      </c>
      <c r="AI447" s="307">
        <v>0</v>
      </c>
      <c r="AJ447" s="315">
        <v>25</v>
      </c>
      <c r="AK447" s="315">
        <v>0</v>
      </c>
      <c r="AL447" s="315">
        <v>0</v>
      </c>
      <c r="AM447" s="315">
        <v>0</v>
      </c>
      <c r="AN447" s="307">
        <v>0</v>
      </c>
      <c r="AO447" s="307">
        <v>0</v>
      </c>
      <c r="AP447" s="307">
        <v>5</v>
      </c>
      <c r="AQ447" s="307">
        <v>0</v>
      </c>
      <c r="AR447" s="307">
        <v>0</v>
      </c>
      <c r="AS447" s="307">
        <v>0</v>
      </c>
      <c r="AT447" s="307">
        <v>0.6</v>
      </c>
      <c r="AU447" s="307">
        <v>0</v>
      </c>
      <c r="AV447" s="307">
        <v>0</v>
      </c>
      <c r="AW447" s="307">
        <v>0</v>
      </c>
      <c r="AX447" s="304">
        <v>0</v>
      </c>
      <c r="AY447" s="354">
        <v>68.385109999999997</v>
      </c>
      <c r="AZ447" s="356">
        <v>42.398768199999999</v>
      </c>
      <c r="BA447" s="317" t="s">
        <v>2985</v>
      </c>
      <c r="BB447" s="507" t="s">
        <v>2985</v>
      </c>
      <c r="BC447" s="355" t="s">
        <v>2985</v>
      </c>
      <c r="BD447" s="323" t="s">
        <v>3518</v>
      </c>
      <c r="BE447" s="312">
        <v>50</v>
      </c>
      <c r="BF447" s="307" t="s">
        <v>246</v>
      </c>
      <c r="BG447" s="307">
        <v>200</v>
      </c>
      <c r="BH447" s="505">
        <v>20</v>
      </c>
      <c r="BI447" s="303">
        <v>100</v>
      </c>
      <c r="BJ447" s="307">
        <v>7</v>
      </c>
      <c r="BK447" s="311">
        <v>23</v>
      </c>
      <c r="BL447" s="307">
        <v>23</v>
      </c>
      <c r="BM447" s="317" t="s">
        <v>2985</v>
      </c>
      <c r="BN447" s="307">
        <v>50</v>
      </c>
      <c r="BO447" s="319" t="s">
        <v>2990</v>
      </c>
      <c r="BP447" s="325"/>
      <c r="BS447" s="321"/>
    </row>
    <row r="448" spans="1:71" s="322" customFormat="1">
      <c r="A448" s="458">
        <v>1883</v>
      </c>
      <c r="B448" s="535" t="s">
        <v>3585</v>
      </c>
      <c r="C448" s="383"/>
      <c r="D448" s="383"/>
      <c r="E448" s="469"/>
      <c r="F448" s="303">
        <v>8</v>
      </c>
      <c r="G448" s="386" t="s">
        <v>3378</v>
      </c>
      <c r="H448" s="303" t="s">
        <v>119</v>
      </c>
      <c r="I448" s="698" t="s">
        <v>3476</v>
      </c>
      <c r="J448" s="307">
        <v>2011</v>
      </c>
      <c r="K448" s="304">
        <v>385</v>
      </c>
      <c r="L448" s="303" t="s">
        <v>1738</v>
      </c>
      <c r="M448" s="304" t="s">
        <v>1751</v>
      </c>
      <c r="N448" s="473">
        <v>0.33</v>
      </c>
      <c r="O448" s="309">
        <f t="shared" si="95"/>
        <v>0.47164961255776655</v>
      </c>
      <c r="P448" s="513">
        <f t="shared" si="96"/>
        <v>7.519256748662027</v>
      </c>
      <c r="Q448" s="311">
        <v>5.25</v>
      </c>
      <c r="R448" s="394">
        <v>123.4</v>
      </c>
      <c r="S448" s="329">
        <v>261.63490166100001</v>
      </c>
      <c r="T448" s="377">
        <f t="shared" si="97"/>
        <v>374.72380952380956</v>
      </c>
      <c r="U448" s="377">
        <f t="shared" si="98"/>
        <v>1967.3000000000002</v>
      </c>
      <c r="V448" s="394">
        <v>1039.42</v>
      </c>
      <c r="W448" s="312">
        <v>927.88</v>
      </c>
      <c r="X448" s="313" t="s">
        <v>12</v>
      </c>
      <c r="Y448" s="314" t="s">
        <v>2985</v>
      </c>
      <c r="Z448" s="516" t="s">
        <v>3618</v>
      </c>
      <c r="AA448" s="516" t="s">
        <v>3516</v>
      </c>
      <c r="AB448" s="304" t="s">
        <v>526</v>
      </c>
      <c r="AC448" s="313" t="s">
        <v>2312</v>
      </c>
      <c r="AD448" s="311" t="s">
        <v>2312</v>
      </c>
      <c r="AE448" s="307" t="s">
        <v>2561</v>
      </c>
      <c r="AF448" s="315" t="s">
        <v>3517</v>
      </c>
      <c r="AG448" s="443">
        <v>2.69</v>
      </c>
      <c r="AH448" s="313">
        <v>70</v>
      </c>
      <c r="AI448" s="307">
        <v>0</v>
      </c>
      <c r="AJ448" s="315">
        <v>25</v>
      </c>
      <c r="AK448" s="315">
        <v>0</v>
      </c>
      <c r="AL448" s="315">
        <v>0</v>
      </c>
      <c r="AM448" s="315">
        <v>0</v>
      </c>
      <c r="AN448" s="307">
        <v>0</v>
      </c>
      <c r="AO448" s="307">
        <v>0</v>
      </c>
      <c r="AP448" s="307">
        <v>5</v>
      </c>
      <c r="AQ448" s="307">
        <v>0</v>
      </c>
      <c r="AR448" s="307">
        <v>0</v>
      </c>
      <c r="AS448" s="307">
        <v>0</v>
      </c>
      <c r="AT448" s="307">
        <v>0.6</v>
      </c>
      <c r="AU448" s="307">
        <v>0</v>
      </c>
      <c r="AV448" s="307">
        <v>0.5</v>
      </c>
      <c r="AW448" s="307">
        <v>0</v>
      </c>
      <c r="AX448" s="304">
        <v>0</v>
      </c>
      <c r="AY448" s="354">
        <v>68.385109999999997</v>
      </c>
      <c r="AZ448" s="356">
        <v>42.398768199999999</v>
      </c>
      <c r="BA448" s="317" t="s">
        <v>2985</v>
      </c>
      <c r="BB448" s="94" t="s">
        <v>2985</v>
      </c>
      <c r="BC448" s="355" t="s">
        <v>2985</v>
      </c>
      <c r="BD448" s="323" t="s">
        <v>3518</v>
      </c>
      <c r="BE448" s="312">
        <v>50</v>
      </c>
      <c r="BF448" s="307" t="s">
        <v>246</v>
      </c>
      <c r="BG448" s="307">
        <v>200</v>
      </c>
      <c r="BH448" s="505">
        <v>20</v>
      </c>
      <c r="BI448" s="303">
        <v>100</v>
      </c>
      <c r="BJ448" s="307">
        <v>7</v>
      </c>
      <c r="BK448" s="311">
        <v>23</v>
      </c>
      <c r="BL448" s="307">
        <v>23</v>
      </c>
      <c r="BM448" s="317" t="s">
        <v>2985</v>
      </c>
      <c r="BN448" s="307">
        <v>50</v>
      </c>
      <c r="BO448" s="319" t="s">
        <v>2990</v>
      </c>
      <c r="BP448" s="325"/>
      <c r="BS448" s="321"/>
    </row>
    <row r="449" spans="1:71" s="322" customFormat="1">
      <c r="A449" s="458">
        <v>1884</v>
      </c>
      <c r="B449" s="528" t="s">
        <v>3591</v>
      </c>
      <c r="C449" s="383"/>
      <c r="D449" s="383"/>
      <c r="E449" s="469"/>
      <c r="F449" s="303">
        <v>9</v>
      </c>
      <c r="G449" s="386" t="s">
        <v>3378</v>
      </c>
      <c r="H449" s="303" t="s">
        <v>119</v>
      </c>
      <c r="I449" s="698" t="s">
        <v>3476</v>
      </c>
      <c r="J449" s="307">
        <v>2011</v>
      </c>
      <c r="K449" s="304">
        <v>385</v>
      </c>
      <c r="L449" s="303" t="s">
        <v>1738</v>
      </c>
      <c r="M449" s="304" t="s">
        <v>1751</v>
      </c>
      <c r="N449" s="473">
        <v>0.33</v>
      </c>
      <c r="O449" s="309">
        <f t="shared" si="95"/>
        <v>0.50731092472676842</v>
      </c>
      <c r="P449" s="513">
        <f t="shared" si="96"/>
        <v>8.087785917463302</v>
      </c>
      <c r="Q449" s="311">
        <v>5.25</v>
      </c>
      <c r="R449" s="394">
        <v>123.4</v>
      </c>
      <c r="S449" s="329">
        <v>243.24333261000001</v>
      </c>
      <c r="T449" s="377">
        <f t="shared" si="97"/>
        <v>374.72380952380956</v>
      </c>
      <c r="U449" s="377">
        <f t="shared" si="98"/>
        <v>1967.3000000000002</v>
      </c>
      <c r="V449" s="394">
        <v>1039.42</v>
      </c>
      <c r="W449" s="312">
        <v>927.88</v>
      </c>
      <c r="X449" s="313" t="s">
        <v>12</v>
      </c>
      <c r="Y449" s="314" t="s">
        <v>2985</v>
      </c>
      <c r="Z449" s="516" t="s">
        <v>3618</v>
      </c>
      <c r="AA449" s="516" t="s">
        <v>3516</v>
      </c>
      <c r="AB449" s="304" t="s">
        <v>526</v>
      </c>
      <c r="AC449" s="313" t="s">
        <v>2312</v>
      </c>
      <c r="AD449" s="311" t="s">
        <v>2312</v>
      </c>
      <c r="AE449" s="307" t="s">
        <v>2561</v>
      </c>
      <c r="AF449" s="315" t="s">
        <v>3517</v>
      </c>
      <c r="AG449" s="443">
        <v>2.69</v>
      </c>
      <c r="AH449" s="313">
        <v>65</v>
      </c>
      <c r="AI449" s="307">
        <v>5</v>
      </c>
      <c r="AJ449" s="315">
        <v>30</v>
      </c>
      <c r="AK449" s="315">
        <v>0</v>
      </c>
      <c r="AL449" s="315">
        <v>0</v>
      </c>
      <c r="AM449" s="315">
        <v>0</v>
      </c>
      <c r="AN449" s="307">
        <v>0</v>
      </c>
      <c r="AO449" s="307">
        <v>0</v>
      </c>
      <c r="AP449" s="307">
        <v>0</v>
      </c>
      <c r="AQ449" s="307">
        <v>0</v>
      </c>
      <c r="AR449" s="307">
        <v>0</v>
      </c>
      <c r="AS449" s="307">
        <v>0</v>
      </c>
      <c r="AT449" s="307">
        <v>0.6</v>
      </c>
      <c r="AU449" s="307">
        <v>0</v>
      </c>
      <c r="AV449" s="307">
        <v>0</v>
      </c>
      <c r="AW449" s="307">
        <v>0</v>
      </c>
      <c r="AX449" s="304">
        <v>0</v>
      </c>
      <c r="AY449" s="354">
        <v>68.385109999999997</v>
      </c>
      <c r="AZ449" s="356">
        <v>42.398768199999999</v>
      </c>
      <c r="BA449" s="317" t="s">
        <v>2985</v>
      </c>
      <c r="BB449" s="94" t="s">
        <v>2985</v>
      </c>
      <c r="BC449" s="355" t="s">
        <v>2985</v>
      </c>
      <c r="BD449" s="323" t="s">
        <v>3518</v>
      </c>
      <c r="BE449" s="312">
        <v>50</v>
      </c>
      <c r="BF449" s="307" t="s">
        <v>246</v>
      </c>
      <c r="BG449" s="307">
        <v>200</v>
      </c>
      <c r="BH449" s="505">
        <v>20</v>
      </c>
      <c r="BI449" s="303">
        <v>100</v>
      </c>
      <c r="BJ449" s="307">
        <v>7</v>
      </c>
      <c r="BK449" s="311">
        <v>23</v>
      </c>
      <c r="BL449" s="307">
        <v>23</v>
      </c>
      <c r="BM449" s="317" t="s">
        <v>2985</v>
      </c>
      <c r="BN449" s="307">
        <v>50</v>
      </c>
      <c r="BO449" s="319" t="s">
        <v>2990</v>
      </c>
      <c r="BP449" s="325"/>
      <c r="BS449" s="321"/>
    </row>
    <row r="450" spans="1:71" s="322" customFormat="1">
      <c r="A450" s="458">
        <v>1885</v>
      </c>
      <c r="B450" s="528" t="s">
        <v>3592</v>
      </c>
      <c r="C450" s="383"/>
      <c r="D450" s="383"/>
      <c r="E450" s="469"/>
      <c r="F450" s="303">
        <v>10</v>
      </c>
      <c r="G450" s="386" t="s">
        <v>3378</v>
      </c>
      <c r="H450" s="303" t="s">
        <v>119</v>
      </c>
      <c r="I450" s="698" t="s">
        <v>3476</v>
      </c>
      <c r="J450" s="307">
        <v>2011</v>
      </c>
      <c r="K450" s="304">
        <v>385</v>
      </c>
      <c r="L450" s="303" t="s">
        <v>1738</v>
      </c>
      <c r="M450" s="304" t="s">
        <v>1751</v>
      </c>
      <c r="N450" s="473">
        <v>0.33</v>
      </c>
      <c r="O450" s="309">
        <f t="shared" si="95"/>
        <v>0.50731092472676842</v>
      </c>
      <c r="P450" s="513">
        <f t="shared" si="96"/>
        <v>8.087785917463302</v>
      </c>
      <c r="Q450" s="311">
        <v>5.25</v>
      </c>
      <c r="R450" s="394">
        <v>123.4</v>
      </c>
      <c r="S450" s="329">
        <v>243.24333261000001</v>
      </c>
      <c r="T450" s="377">
        <f t="shared" si="97"/>
        <v>374.72380952380956</v>
      </c>
      <c r="U450" s="377">
        <f t="shared" si="98"/>
        <v>1967.3000000000002</v>
      </c>
      <c r="V450" s="394">
        <v>1039.42</v>
      </c>
      <c r="W450" s="312">
        <v>927.88</v>
      </c>
      <c r="X450" s="313" t="s">
        <v>12</v>
      </c>
      <c r="Y450" s="314" t="s">
        <v>2985</v>
      </c>
      <c r="Z450" s="516" t="s">
        <v>3618</v>
      </c>
      <c r="AA450" s="516" t="s">
        <v>3516</v>
      </c>
      <c r="AB450" s="304" t="s">
        <v>526</v>
      </c>
      <c r="AC450" s="313" t="s">
        <v>2312</v>
      </c>
      <c r="AD450" s="311" t="s">
        <v>2312</v>
      </c>
      <c r="AE450" s="307" t="s">
        <v>2561</v>
      </c>
      <c r="AF450" s="315" t="s">
        <v>3517</v>
      </c>
      <c r="AG450" s="443">
        <v>2.69</v>
      </c>
      <c r="AH450" s="313">
        <v>65</v>
      </c>
      <c r="AI450" s="307">
        <v>0</v>
      </c>
      <c r="AJ450" s="315">
        <v>30</v>
      </c>
      <c r="AK450" s="315">
        <v>0</v>
      </c>
      <c r="AL450" s="315">
        <v>0</v>
      </c>
      <c r="AM450" s="315">
        <v>0</v>
      </c>
      <c r="AN450" s="307">
        <v>0</v>
      </c>
      <c r="AO450" s="307">
        <v>0</v>
      </c>
      <c r="AP450" s="307">
        <v>5</v>
      </c>
      <c r="AQ450" s="307">
        <v>0</v>
      </c>
      <c r="AR450" s="307">
        <v>0</v>
      </c>
      <c r="AS450" s="307">
        <v>0</v>
      </c>
      <c r="AT450" s="307">
        <v>0.6</v>
      </c>
      <c r="AU450" s="307">
        <v>0</v>
      </c>
      <c r="AV450" s="307">
        <v>0</v>
      </c>
      <c r="AW450" s="307">
        <v>0</v>
      </c>
      <c r="AX450" s="304">
        <v>0</v>
      </c>
      <c r="AY450" s="354">
        <v>68.385109999999997</v>
      </c>
      <c r="AZ450" s="356">
        <v>42.398768199999999</v>
      </c>
      <c r="BA450" s="317" t="s">
        <v>2985</v>
      </c>
      <c r="BB450" s="94" t="s">
        <v>2985</v>
      </c>
      <c r="BC450" s="355" t="s">
        <v>2985</v>
      </c>
      <c r="BD450" s="323" t="s">
        <v>3518</v>
      </c>
      <c r="BE450" s="312">
        <v>50</v>
      </c>
      <c r="BF450" s="307" t="s">
        <v>246</v>
      </c>
      <c r="BG450" s="307">
        <v>200</v>
      </c>
      <c r="BH450" s="505">
        <v>20</v>
      </c>
      <c r="BI450" s="303">
        <v>100</v>
      </c>
      <c r="BJ450" s="307">
        <v>7</v>
      </c>
      <c r="BK450" s="311">
        <v>23</v>
      </c>
      <c r="BL450" s="307">
        <v>23</v>
      </c>
      <c r="BM450" s="317" t="s">
        <v>2985</v>
      </c>
      <c r="BN450" s="307">
        <v>50</v>
      </c>
      <c r="BO450" s="319" t="s">
        <v>2990</v>
      </c>
      <c r="BP450" s="325"/>
      <c r="BS450" s="321"/>
    </row>
    <row r="451" spans="1:71" s="322" customFormat="1" ht="18">
      <c r="A451" s="458">
        <v>1886</v>
      </c>
      <c r="B451" s="533" t="s">
        <v>3634</v>
      </c>
      <c r="C451" s="466" t="s">
        <v>3590</v>
      </c>
      <c r="D451" s="383"/>
      <c r="E451" s="469"/>
      <c r="F451" s="303">
        <v>11</v>
      </c>
      <c r="G451" s="386" t="s">
        <v>3378</v>
      </c>
      <c r="H451" s="303" t="s">
        <v>119</v>
      </c>
      <c r="I451" s="698" t="s">
        <v>3476</v>
      </c>
      <c r="J451" s="307">
        <v>2011</v>
      </c>
      <c r="K451" s="304">
        <v>385</v>
      </c>
      <c r="L451" s="303" t="s">
        <v>1738</v>
      </c>
      <c r="M451" s="304" t="s">
        <v>1751</v>
      </c>
      <c r="N451" s="473">
        <v>0.33</v>
      </c>
      <c r="O451" s="309">
        <f t="shared" si="95"/>
        <v>0.50731092472676842</v>
      </c>
      <c r="P451" s="513">
        <f t="shared" si="96"/>
        <v>8.087785917463302</v>
      </c>
      <c r="Q451" s="311">
        <v>5.25</v>
      </c>
      <c r="R451" s="394">
        <v>123.4</v>
      </c>
      <c r="S451" s="329">
        <v>243.24333261000001</v>
      </c>
      <c r="T451" s="377">
        <f t="shared" si="97"/>
        <v>374.72380952380956</v>
      </c>
      <c r="U451" s="377">
        <f t="shared" si="98"/>
        <v>1967.3000000000002</v>
      </c>
      <c r="V451" s="394">
        <v>1039.42</v>
      </c>
      <c r="W451" s="312">
        <v>927.88</v>
      </c>
      <c r="X451" s="313" t="s">
        <v>12</v>
      </c>
      <c r="Y451" s="314" t="s">
        <v>2985</v>
      </c>
      <c r="Z451" s="516" t="s">
        <v>3618</v>
      </c>
      <c r="AA451" s="516" t="s">
        <v>3516</v>
      </c>
      <c r="AB451" s="304" t="s">
        <v>526</v>
      </c>
      <c r="AC451" s="313" t="s">
        <v>2312</v>
      </c>
      <c r="AD451" s="311" t="s">
        <v>2312</v>
      </c>
      <c r="AE451" s="307" t="s">
        <v>2561</v>
      </c>
      <c r="AF451" s="315" t="s">
        <v>3517</v>
      </c>
      <c r="AG451" s="443">
        <v>2.69</v>
      </c>
      <c r="AH451" s="313">
        <v>65</v>
      </c>
      <c r="AI451" s="307">
        <v>0</v>
      </c>
      <c r="AJ451" s="315">
        <v>30</v>
      </c>
      <c r="AK451" s="315">
        <v>0</v>
      </c>
      <c r="AL451" s="315">
        <v>0</v>
      </c>
      <c r="AM451" s="315">
        <v>0</v>
      </c>
      <c r="AN451" s="307">
        <v>0</v>
      </c>
      <c r="AO451" s="307">
        <v>0</v>
      </c>
      <c r="AP451" s="307">
        <v>5</v>
      </c>
      <c r="AQ451" s="307">
        <v>0</v>
      </c>
      <c r="AR451" s="307">
        <v>0</v>
      </c>
      <c r="AS451" s="307">
        <v>0</v>
      </c>
      <c r="AT451" s="307">
        <v>0.6</v>
      </c>
      <c r="AU451" s="307">
        <v>0</v>
      </c>
      <c r="AV451" s="307">
        <v>0.5</v>
      </c>
      <c r="AW451" s="307">
        <v>0</v>
      </c>
      <c r="AX451" s="304">
        <v>0</v>
      </c>
      <c r="AY451" s="303">
        <v>58.34</v>
      </c>
      <c r="AZ451" s="311"/>
      <c r="BA451" s="317" t="s">
        <v>2985</v>
      </c>
      <c r="BB451" s="94" t="s">
        <v>2985</v>
      </c>
      <c r="BC451" s="355" t="s">
        <v>2985</v>
      </c>
      <c r="BD451" s="323" t="s">
        <v>3518</v>
      </c>
      <c r="BE451" s="312">
        <v>50</v>
      </c>
      <c r="BF451" s="307" t="s">
        <v>246</v>
      </c>
      <c r="BG451" s="307">
        <v>200</v>
      </c>
      <c r="BH451" s="483">
        <v>20</v>
      </c>
      <c r="BI451" s="303">
        <v>100</v>
      </c>
      <c r="BJ451" s="307">
        <v>7</v>
      </c>
      <c r="BK451" s="317" t="s">
        <v>2985</v>
      </c>
      <c r="BL451" s="307">
        <v>23</v>
      </c>
      <c r="BM451" s="317" t="s">
        <v>2985</v>
      </c>
      <c r="BN451" s="307">
        <v>50</v>
      </c>
      <c r="BO451" s="319" t="s">
        <v>2990</v>
      </c>
      <c r="BP451" s="325"/>
      <c r="BS451" s="321"/>
    </row>
    <row r="452" spans="1:71" s="322" customFormat="1">
      <c r="A452" s="458">
        <v>1887</v>
      </c>
      <c r="B452" s="528" t="s">
        <v>3593</v>
      </c>
      <c r="C452" s="383"/>
      <c r="D452" s="383"/>
      <c r="E452" s="469"/>
      <c r="F452" s="303">
        <v>13</v>
      </c>
      <c r="G452" s="386" t="s">
        <v>3378</v>
      </c>
      <c r="H452" s="303" t="s">
        <v>119</v>
      </c>
      <c r="I452" s="698" t="s">
        <v>3476</v>
      </c>
      <c r="J452" s="307">
        <v>2011</v>
      </c>
      <c r="K452" s="304">
        <v>385</v>
      </c>
      <c r="L452" s="303" t="s">
        <v>1738</v>
      </c>
      <c r="M452" s="304" t="s">
        <v>1751</v>
      </c>
      <c r="N452" s="473">
        <v>0.33</v>
      </c>
      <c r="O452" s="309">
        <f t="shared" si="95"/>
        <v>0.47164961255776655</v>
      </c>
      <c r="P452" s="513">
        <f t="shared" si="96"/>
        <v>7.519256748662027</v>
      </c>
      <c r="Q452" s="311">
        <v>5.25</v>
      </c>
      <c r="R452" s="394">
        <v>123.4</v>
      </c>
      <c r="S452" s="329">
        <v>261.63490166100001</v>
      </c>
      <c r="T452" s="377">
        <f t="shared" si="97"/>
        <v>374.72380952380956</v>
      </c>
      <c r="U452" s="377">
        <f t="shared" si="98"/>
        <v>1967.3000000000002</v>
      </c>
      <c r="V452" s="394">
        <v>1039.42</v>
      </c>
      <c r="W452" s="312">
        <v>927.88</v>
      </c>
      <c r="X452" s="313" t="s">
        <v>12</v>
      </c>
      <c r="Y452" s="314" t="s">
        <v>2985</v>
      </c>
      <c r="Z452" s="516" t="s">
        <v>3618</v>
      </c>
      <c r="AA452" s="516" t="s">
        <v>3516</v>
      </c>
      <c r="AB452" s="304" t="s">
        <v>526</v>
      </c>
      <c r="AC452" s="313" t="s">
        <v>2312</v>
      </c>
      <c r="AD452" s="311" t="s">
        <v>2312</v>
      </c>
      <c r="AE452" s="307" t="s">
        <v>2561</v>
      </c>
      <c r="AF452" s="315" t="s">
        <v>3517</v>
      </c>
      <c r="AG452" s="443">
        <v>2.69</v>
      </c>
      <c r="AH452" s="313">
        <v>70</v>
      </c>
      <c r="AI452" s="307">
        <v>5</v>
      </c>
      <c r="AJ452" s="315">
        <v>25</v>
      </c>
      <c r="AK452" s="315">
        <v>0</v>
      </c>
      <c r="AL452" s="315">
        <v>0</v>
      </c>
      <c r="AM452" s="315">
        <v>0</v>
      </c>
      <c r="AN452" s="307">
        <v>0</v>
      </c>
      <c r="AO452" s="307">
        <v>0</v>
      </c>
      <c r="AP452" s="307">
        <v>0</v>
      </c>
      <c r="AQ452" s="307">
        <v>0</v>
      </c>
      <c r="AR452" s="307">
        <v>0</v>
      </c>
      <c r="AS452" s="307">
        <v>0</v>
      </c>
      <c r="AT452" s="307">
        <v>0.6</v>
      </c>
      <c r="AU452" s="307">
        <v>0</v>
      </c>
      <c r="AV452" s="307">
        <v>1</v>
      </c>
      <c r="AW452" s="307">
        <v>0</v>
      </c>
      <c r="AX452" s="304">
        <v>0</v>
      </c>
      <c r="AY452" s="354">
        <v>68.385109999999997</v>
      </c>
      <c r="AZ452" s="356">
        <v>42.398768199999999</v>
      </c>
      <c r="BA452" s="317" t="s">
        <v>2985</v>
      </c>
      <c r="BB452" s="94" t="s">
        <v>2985</v>
      </c>
      <c r="BC452" s="355" t="s">
        <v>2985</v>
      </c>
      <c r="BD452" s="323" t="s">
        <v>3518</v>
      </c>
      <c r="BE452" s="312">
        <v>50</v>
      </c>
      <c r="BF452" s="307" t="s">
        <v>246</v>
      </c>
      <c r="BG452" s="307">
        <v>200</v>
      </c>
      <c r="BH452" s="505">
        <v>20</v>
      </c>
      <c r="BI452" s="303">
        <v>100</v>
      </c>
      <c r="BJ452" s="307">
        <v>7</v>
      </c>
      <c r="BK452" s="311">
        <v>23</v>
      </c>
      <c r="BL452" s="307">
        <v>23</v>
      </c>
      <c r="BM452" s="317" t="s">
        <v>2985</v>
      </c>
      <c r="BN452" s="307">
        <v>50</v>
      </c>
      <c r="BO452" s="319" t="s">
        <v>2990</v>
      </c>
      <c r="BP452" s="325"/>
      <c r="BS452" s="321"/>
    </row>
    <row r="453" spans="1:71" s="322" customFormat="1">
      <c r="A453" s="458">
        <v>1888</v>
      </c>
      <c r="B453" s="528" t="s">
        <v>3596</v>
      </c>
      <c r="C453" s="383"/>
      <c r="D453" s="383"/>
      <c r="E453" s="469"/>
      <c r="F453" s="303">
        <v>14</v>
      </c>
      <c r="G453" s="386" t="s">
        <v>3378</v>
      </c>
      <c r="H453" s="303" t="s">
        <v>119</v>
      </c>
      <c r="I453" s="698" t="s">
        <v>3476</v>
      </c>
      <c r="J453" s="307">
        <v>2011</v>
      </c>
      <c r="K453" s="304">
        <v>385</v>
      </c>
      <c r="L453" s="303" t="s">
        <v>1738</v>
      </c>
      <c r="M453" s="304" t="s">
        <v>1751</v>
      </c>
      <c r="N453" s="473">
        <v>0.33</v>
      </c>
      <c r="O453" s="309">
        <f t="shared" si="95"/>
        <v>0.47164961255776655</v>
      </c>
      <c r="P453" s="513">
        <f t="shared" si="96"/>
        <v>7.519256748662027</v>
      </c>
      <c r="Q453" s="311">
        <v>5.25</v>
      </c>
      <c r="R453" s="394">
        <v>123.4</v>
      </c>
      <c r="S453" s="329">
        <v>261.63490166100001</v>
      </c>
      <c r="T453" s="377">
        <f t="shared" si="97"/>
        <v>374.72380952380956</v>
      </c>
      <c r="U453" s="377">
        <f t="shared" si="98"/>
        <v>1967.3000000000002</v>
      </c>
      <c r="V453" s="394">
        <v>1039.42</v>
      </c>
      <c r="W453" s="312">
        <v>927.88</v>
      </c>
      <c r="X453" s="313" t="s">
        <v>12</v>
      </c>
      <c r="Y453" s="314" t="s">
        <v>2985</v>
      </c>
      <c r="Z453" s="516" t="s">
        <v>3618</v>
      </c>
      <c r="AA453" s="516" t="s">
        <v>3516</v>
      </c>
      <c r="AB453" s="304" t="s">
        <v>526</v>
      </c>
      <c r="AC453" s="313" t="s">
        <v>2312</v>
      </c>
      <c r="AD453" s="311" t="s">
        <v>2312</v>
      </c>
      <c r="AE453" s="307" t="s">
        <v>2561</v>
      </c>
      <c r="AF453" s="315" t="s">
        <v>3517</v>
      </c>
      <c r="AG453" s="443">
        <v>2.69</v>
      </c>
      <c r="AH453" s="313">
        <v>70</v>
      </c>
      <c r="AI453" s="307">
        <v>5</v>
      </c>
      <c r="AJ453" s="315">
        <v>25</v>
      </c>
      <c r="AK453" s="315">
        <v>0</v>
      </c>
      <c r="AL453" s="315">
        <v>0</v>
      </c>
      <c r="AM453" s="315">
        <v>0</v>
      </c>
      <c r="AN453" s="307">
        <v>0</v>
      </c>
      <c r="AO453" s="307">
        <v>0</v>
      </c>
      <c r="AP453" s="307">
        <v>0</v>
      </c>
      <c r="AQ453" s="307">
        <v>0</v>
      </c>
      <c r="AR453" s="307">
        <v>0</v>
      </c>
      <c r="AS453" s="307">
        <v>0</v>
      </c>
      <c r="AT453" s="307">
        <v>0.6</v>
      </c>
      <c r="AU453" s="307">
        <v>0</v>
      </c>
      <c r="AV453" s="307">
        <v>1.5</v>
      </c>
      <c r="AW453" s="307">
        <v>0</v>
      </c>
      <c r="AX453" s="304">
        <v>0</v>
      </c>
      <c r="AY453" s="354">
        <v>68.385109999999997</v>
      </c>
      <c r="AZ453" s="356">
        <v>42.398768199999999</v>
      </c>
      <c r="BA453" s="317" t="s">
        <v>2985</v>
      </c>
      <c r="BB453" s="507" t="s">
        <v>2985</v>
      </c>
      <c r="BC453" s="355" t="s">
        <v>2985</v>
      </c>
      <c r="BD453" s="323" t="s">
        <v>3518</v>
      </c>
      <c r="BE453" s="312">
        <v>50</v>
      </c>
      <c r="BF453" s="307" t="s">
        <v>246</v>
      </c>
      <c r="BG453" s="307">
        <v>200</v>
      </c>
      <c r="BH453" s="505">
        <v>20</v>
      </c>
      <c r="BI453" s="303">
        <v>100</v>
      </c>
      <c r="BJ453" s="307">
        <v>7</v>
      </c>
      <c r="BK453" s="311">
        <v>23</v>
      </c>
      <c r="BL453" s="307">
        <v>23</v>
      </c>
      <c r="BM453" s="317" t="s">
        <v>2985</v>
      </c>
      <c r="BN453" s="307">
        <v>50</v>
      </c>
      <c r="BO453" s="319" t="s">
        <v>2990</v>
      </c>
      <c r="BP453" s="325"/>
      <c r="BS453" s="321"/>
    </row>
    <row r="454" spans="1:71" s="322" customFormat="1">
      <c r="A454" s="458">
        <v>1889</v>
      </c>
      <c r="B454" s="528" t="s">
        <v>3593</v>
      </c>
      <c r="C454" s="383"/>
      <c r="D454" s="383"/>
      <c r="E454" s="469"/>
      <c r="F454" s="303">
        <v>15</v>
      </c>
      <c r="G454" s="386" t="s">
        <v>3378</v>
      </c>
      <c r="H454" s="303" t="s">
        <v>119</v>
      </c>
      <c r="I454" s="698" t="s">
        <v>3476</v>
      </c>
      <c r="J454" s="307">
        <v>2011</v>
      </c>
      <c r="K454" s="304">
        <v>385</v>
      </c>
      <c r="L454" s="303" t="s">
        <v>1738</v>
      </c>
      <c r="M454" s="304" t="s">
        <v>1751</v>
      </c>
      <c r="N454" s="473">
        <v>0.33</v>
      </c>
      <c r="O454" s="309">
        <f t="shared" si="95"/>
        <v>0.47164961255776655</v>
      </c>
      <c r="P454" s="513">
        <f t="shared" si="96"/>
        <v>7.519256748662027</v>
      </c>
      <c r="Q454" s="311">
        <v>5.25</v>
      </c>
      <c r="R454" s="394">
        <v>123.4</v>
      </c>
      <c r="S454" s="329">
        <v>261.63490166100001</v>
      </c>
      <c r="T454" s="377">
        <f t="shared" si="97"/>
        <v>374.72380952380956</v>
      </c>
      <c r="U454" s="377">
        <f t="shared" si="98"/>
        <v>1967.3000000000002</v>
      </c>
      <c r="V454" s="394">
        <v>1039.42</v>
      </c>
      <c r="W454" s="312">
        <v>927.88</v>
      </c>
      <c r="X454" s="313" t="s">
        <v>12</v>
      </c>
      <c r="Y454" s="314" t="s">
        <v>2985</v>
      </c>
      <c r="Z454" s="516" t="s">
        <v>3618</v>
      </c>
      <c r="AA454" s="516" t="s">
        <v>3516</v>
      </c>
      <c r="AB454" s="304" t="s">
        <v>526</v>
      </c>
      <c r="AC454" s="313" t="s">
        <v>2312</v>
      </c>
      <c r="AD454" s="311" t="s">
        <v>2312</v>
      </c>
      <c r="AE454" s="307" t="s">
        <v>2561</v>
      </c>
      <c r="AF454" s="315" t="s">
        <v>3517</v>
      </c>
      <c r="AG454" s="443">
        <v>2.69</v>
      </c>
      <c r="AH454" s="313">
        <v>70</v>
      </c>
      <c r="AI454" s="307">
        <v>5</v>
      </c>
      <c r="AJ454" s="315">
        <v>25</v>
      </c>
      <c r="AK454" s="315">
        <v>0</v>
      </c>
      <c r="AL454" s="315">
        <v>0</v>
      </c>
      <c r="AM454" s="315">
        <v>0</v>
      </c>
      <c r="AN454" s="307">
        <v>0</v>
      </c>
      <c r="AO454" s="307">
        <v>0</v>
      </c>
      <c r="AP454" s="307">
        <v>0</v>
      </c>
      <c r="AQ454" s="307">
        <v>0</v>
      </c>
      <c r="AR454" s="307">
        <v>0</v>
      </c>
      <c r="AS454" s="307">
        <v>0</v>
      </c>
      <c r="AT454" s="307">
        <v>0.6</v>
      </c>
      <c r="AU454" s="307">
        <v>0</v>
      </c>
      <c r="AV454" s="307">
        <v>2</v>
      </c>
      <c r="AW454" s="307">
        <v>0</v>
      </c>
      <c r="AX454" s="304">
        <v>0</v>
      </c>
      <c r="AY454" s="354">
        <v>68.385109999999997</v>
      </c>
      <c r="AZ454" s="356">
        <v>42.398768199999999</v>
      </c>
      <c r="BA454" s="317" t="s">
        <v>2985</v>
      </c>
      <c r="BB454" s="507" t="s">
        <v>2985</v>
      </c>
      <c r="BC454" s="355" t="s">
        <v>2985</v>
      </c>
      <c r="BD454" s="323" t="s">
        <v>3518</v>
      </c>
      <c r="BE454" s="312">
        <v>50</v>
      </c>
      <c r="BF454" s="307" t="s">
        <v>246</v>
      </c>
      <c r="BG454" s="307">
        <v>200</v>
      </c>
      <c r="BH454" s="505">
        <v>20</v>
      </c>
      <c r="BI454" s="303">
        <v>100</v>
      </c>
      <c r="BJ454" s="307">
        <v>7</v>
      </c>
      <c r="BK454" s="311">
        <v>23</v>
      </c>
      <c r="BL454" s="307">
        <v>23</v>
      </c>
      <c r="BM454" s="317" t="s">
        <v>2985</v>
      </c>
      <c r="BN454" s="307">
        <v>50</v>
      </c>
      <c r="BO454" s="319" t="s">
        <v>2990</v>
      </c>
      <c r="BP454" s="325"/>
      <c r="BS454" s="321"/>
    </row>
    <row r="455" spans="1:71" s="322" customFormat="1">
      <c r="A455" s="458">
        <v>1890</v>
      </c>
      <c r="B455" s="528" t="s">
        <v>3593</v>
      </c>
      <c r="C455" s="383"/>
      <c r="D455" s="383"/>
      <c r="E455" s="469"/>
      <c r="F455" s="303">
        <v>16</v>
      </c>
      <c r="G455" s="386" t="s">
        <v>3378</v>
      </c>
      <c r="H455" s="303" t="s">
        <v>119</v>
      </c>
      <c r="I455" s="698" t="s">
        <v>3476</v>
      </c>
      <c r="J455" s="307">
        <v>2011</v>
      </c>
      <c r="K455" s="304">
        <v>385</v>
      </c>
      <c r="L455" s="303" t="s">
        <v>1738</v>
      </c>
      <c r="M455" s="304" t="s">
        <v>1751</v>
      </c>
      <c r="N455" s="473">
        <v>0.33</v>
      </c>
      <c r="O455" s="309">
        <f t="shared" si="95"/>
        <v>0.47164961255776655</v>
      </c>
      <c r="P455" s="513">
        <f t="shared" si="96"/>
        <v>7.519256748662027</v>
      </c>
      <c r="Q455" s="311">
        <v>5.25</v>
      </c>
      <c r="R455" s="394">
        <v>123.4</v>
      </c>
      <c r="S455" s="329">
        <v>261.63490166100001</v>
      </c>
      <c r="T455" s="377">
        <f t="shared" si="97"/>
        <v>374.72380952380956</v>
      </c>
      <c r="U455" s="377">
        <f t="shared" si="98"/>
        <v>1967.3000000000002</v>
      </c>
      <c r="V455" s="394">
        <v>1039.42</v>
      </c>
      <c r="W455" s="312">
        <v>927.88</v>
      </c>
      <c r="X455" s="313" t="s">
        <v>12</v>
      </c>
      <c r="Y455" s="314" t="s">
        <v>2985</v>
      </c>
      <c r="Z455" s="516" t="s">
        <v>3618</v>
      </c>
      <c r="AA455" s="516" t="s">
        <v>3516</v>
      </c>
      <c r="AB455" s="304" t="s">
        <v>526</v>
      </c>
      <c r="AC455" s="313" t="s">
        <v>2312</v>
      </c>
      <c r="AD455" s="311" t="s">
        <v>2312</v>
      </c>
      <c r="AE455" s="307" t="s">
        <v>2561</v>
      </c>
      <c r="AF455" s="315" t="s">
        <v>3517</v>
      </c>
      <c r="AG455" s="443">
        <v>2.69</v>
      </c>
      <c r="AH455" s="313">
        <v>70</v>
      </c>
      <c r="AI455" s="307">
        <v>5</v>
      </c>
      <c r="AJ455" s="315">
        <v>25</v>
      </c>
      <c r="AK455" s="315">
        <v>0</v>
      </c>
      <c r="AL455" s="315">
        <v>0</v>
      </c>
      <c r="AM455" s="315">
        <v>0</v>
      </c>
      <c r="AN455" s="307">
        <v>0</v>
      </c>
      <c r="AO455" s="307">
        <v>0</v>
      </c>
      <c r="AP455" s="307">
        <v>0</v>
      </c>
      <c r="AQ455" s="307">
        <v>0</v>
      </c>
      <c r="AR455" s="307">
        <v>0</v>
      </c>
      <c r="AS455" s="307">
        <v>0</v>
      </c>
      <c r="AT455" s="307">
        <v>0.6</v>
      </c>
      <c r="AU455" s="307">
        <v>0</v>
      </c>
      <c r="AV455" s="307">
        <v>2.5</v>
      </c>
      <c r="AW455" s="307">
        <v>0</v>
      </c>
      <c r="AX455" s="304">
        <v>0</v>
      </c>
      <c r="AY455" s="354">
        <v>68.385109999999997</v>
      </c>
      <c r="AZ455" s="356">
        <v>42.398768199999999</v>
      </c>
      <c r="BA455" s="317" t="s">
        <v>2985</v>
      </c>
      <c r="BB455" s="94" t="s">
        <v>2985</v>
      </c>
      <c r="BC455" s="355" t="s">
        <v>2985</v>
      </c>
      <c r="BD455" s="323" t="s">
        <v>3518</v>
      </c>
      <c r="BE455" s="312">
        <v>50</v>
      </c>
      <c r="BF455" s="307" t="s">
        <v>246</v>
      </c>
      <c r="BG455" s="307">
        <v>200</v>
      </c>
      <c r="BH455" s="505">
        <v>20</v>
      </c>
      <c r="BI455" s="303">
        <v>100</v>
      </c>
      <c r="BJ455" s="307">
        <v>7</v>
      </c>
      <c r="BK455" s="311">
        <v>23</v>
      </c>
      <c r="BL455" s="307">
        <v>23</v>
      </c>
      <c r="BM455" s="317" t="s">
        <v>2985</v>
      </c>
      <c r="BN455" s="307">
        <v>50</v>
      </c>
      <c r="BO455" s="319" t="s">
        <v>2990</v>
      </c>
      <c r="BP455" s="325"/>
      <c r="BS455" s="321"/>
    </row>
    <row r="456" spans="1:71" s="322" customFormat="1" ht="15" customHeight="1">
      <c r="A456" s="458">
        <v>1891</v>
      </c>
      <c r="B456" s="533" t="s">
        <v>3634</v>
      </c>
      <c r="C456" s="466" t="s">
        <v>3590</v>
      </c>
      <c r="D456" s="466" t="s">
        <v>3590</v>
      </c>
      <c r="E456" s="469"/>
      <c r="F456" s="303">
        <v>18</v>
      </c>
      <c r="G456" s="386" t="s">
        <v>3378</v>
      </c>
      <c r="H456" s="303" t="s">
        <v>119</v>
      </c>
      <c r="I456" s="698" t="s">
        <v>3476</v>
      </c>
      <c r="J456" s="307">
        <v>2011</v>
      </c>
      <c r="K456" s="304">
        <v>385</v>
      </c>
      <c r="L456" s="303" t="s">
        <v>1738</v>
      </c>
      <c r="M456" s="304" t="s">
        <v>1751</v>
      </c>
      <c r="N456" s="473">
        <v>0.33</v>
      </c>
      <c r="O456" s="309">
        <f t="shared" si="95"/>
        <v>0.47164961255776655</v>
      </c>
      <c r="P456" s="513">
        <f t="shared" si="96"/>
        <v>7.519256748662027</v>
      </c>
      <c r="Q456" s="311">
        <v>5.25</v>
      </c>
      <c r="R456" s="394">
        <v>123.4</v>
      </c>
      <c r="S456" s="329">
        <v>261.63490166100001</v>
      </c>
      <c r="T456" s="377">
        <f t="shared" si="97"/>
        <v>374.72380952380956</v>
      </c>
      <c r="U456" s="377">
        <f t="shared" si="98"/>
        <v>1967.3000000000002</v>
      </c>
      <c r="V456" s="394">
        <v>1039.42</v>
      </c>
      <c r="W456" s="312">
        <v>927.88</v>
      </c>
      <c r="X456" s="313" t="s">
        <v>12</v>
      </c>
      <c r="Y456" s="314" t="s">
        <v>2985</v>
      </c>
      <c r="Z456" s="516" t="s">
        <v>3618</v>
      </c>
      <c r="AA456" s="516" t="s">
        <v>3516</v>
      </c>
      <c r="AB456" s="304" t="s">
        <v>526</v>
      </c>
      <c r="AC456" s="313" t="s">
        <v>2312</v>
      </c>
      <c r="AD456" s="311" t="s">
        <v>2312</v>
      </c>
      <c r="AE456" s="307" t="s">
        <v>2561</v>
      </c>
      <c r="AF456" s="315" t="s">
        <v>3517</v>
      </c>
      <c r="AG456" s="443">
        <v>2.69</v>
      </c>
      <c r="AH456" s="313">
        <v>70</v>
      </c>
      <c r="AI456" s="307">
        <v>5</v>
      </c>
      <c r="AJ456" s="315">
        <v>25</v>
      </c>
      <c r="AK456" s="315">
        <v>0</v>
      </c>
      <c r="AL456" s="315">
        <v>0</v>
      </c>
      <c r="AM456" s="315">
        <v>0</v>
      </c>
      <c r="AN456" s="307">
        <v>0</v>
      </c>
      <c r="AO456" s="307">
        <v>0</v>
      </c>
      <c r="AP456" s="307">
        <v>0</v>
      </c>
      <c r="AQ456" s="307">
        <v>0</v>
      </c>
      <c r="AR456" s="307">
        <v>0</v>
      </c>
      <c r="AS456" s="307">
        <v>0</v>
      </c>
      <c r="AT456" s="307">
        <v>0.4</v>
      </c>
      <c r="AU456" s="307">
        <v>0.2</v>
      </c>
      <c r="AV456" s="307">
        <v>0.5</v>
      </c>
      <c r="AW456" s="307">
        <v>0</v>
      </c>
      <c r="AX456" s="304">
        <v>0</v>
      </c>
      <c r="AY456" s="303">
        <v>52.41</v>
      </c>
      <c r="AZ456" s="311"/>
      <c r="BA456" s="317" t="s">
        <v>2985</v>
      </c>
      <c r="BB456" s="94" t="s">
        <v>2985</v>
      </c>
      <c r="BC456" s="355" t="s">
        <v>2985</v>
      </c>
      <c r="BD456" s="323" t="s">
        <v>3518</v>
      </c>
      <c r="BE456" s="312">
        <v>50</v>
      </c>
      <c r="BF456" s="307" t="s">
        <v>246</v>
      </c>
      <c r="BG456" s="307">
        <v>200</v>
      </c>
      <c r="BH456" s="483">
        <v>20</v>
      </c>
      <c r="BI456" s="303">
        <v>100</v>
      </c>
      <c r="BJ456" s="307">
        <v>7</v>
      </c>
      <c r="BK456" s="317" t="s">
        <v>2985</v>
      </c>
      <c r="BL456" s="307">
        <v>23</v>
      </c>
      <c r="BM456" s="317" t="s">
        <v>2985</v>
      </c>
      <c r="BN456" s="307">
        <v>50</v>
      </c>
      <c r="BO456" s="319" t="s">
        <v>2990</v>
      </c>
      <c r="BP456" s="325"/>
      <c r="BS456" s="321"/>
    </row>
    <row r="457" spans="1:71" s="322" customFormat="1">
      <c r="A457" s="458">
        <v>1892</v>
      </c>
      <c r="B457" s="528" t="s">
        <v>3595</v>
      </c>
      <c r="C457" s="383"/>
      <c r="D457" s="383"/>
      <c r="E457" s="469"/>
      <c r="F457" s="303">
        <v>19</v>
      </c>
      <c r="G457" s="386" t="s">
        <v>3378</v>
      </c>
      <c r="H457" s="303" t="s">
        <v>119</v>
      </c>
      <c r="I457" s="698" t="s">
        <v>3476</v>
      </c>
      <c r="J457" s="307">
        <v>2011</v>
      </c>
      <c r="K457" s="304">
        <v>385</v>
      </c>
      <c r="L457" s="303" t="s">
        <v>1738</v>
      </c>
      <c r="M457" s="304" t="s">
        <v>1751</v>
      </c>
      <c r="N457" s="473">
        <v>0.33</v>
      </c>
      <c r="O457" s="309">
        <f t="shared" si="95"/>
        <v>0.47164961255776655</v>
      </c>
      <c r="P457" s="513">
        <f t="shared" si="96"/>
        <v>7.519256748662027</v>
      </c>
      <c r="Q457" s="311">
        <v>5.25</v>
      </c>
      <c r="R457" s="394">
        <v>123.4</v>
      </c>
      <c r="S457" s="329">
        <v>261.63490166100001</v>
      </c>
      <c r="T457" s="377">
        <f t="shared" si="97"/>
        <v>374.72380952380956</v>
      </c>
      <c r="U457" s="377">
        <f t="shared" si="98"/>
        <v>1967.3000000000002</v>
      </c>
      <c r="V457" s="394">
        <v>1039.42</v>
      </c>
      <c r="W457" s="312">
        <v>927.88</v>
      </c>
      <c r="X457" s="313" t="s">
        <v>12</v>
      </c>
      <c r="Y457" s="314" t="s">
        <v>2985</v>
      </c>
      <c r="Z457" s="516" t="s">
        <v>3618</v>
      </c>
      <c r="AA457" s="516" t="s">
        <v>3516</v>
      </c>
      <c r="AB457" s="304" t="s">
        <v>526</v>
      </c>
      <c r="AC457" s="313" t="s">
        <v>2312</v>
      </c>
      <c r="AD457" s="311" t="s">
        <v>2312</v>
      </c>
      <c r="AE457" s="307" t="s">
        <v>2561</v>
      </c>
      <c r="AF457" s="315" t="s">
        <v>3517</v>
      </c>
      <c r="AG457" s="443">
        <v>2.69</v>
      </c>
      <c r="AH457" s="313">
        <v>70</v>
      </c>
      <c r="AI457" s="307">
        <v>5</v>
      </c>
      <c r="AJ457" s="315">
        <v>25</v>
      </c>
      <c r="AK457" s="315">
        <v>0</v>
      </c>
      <c r="AL457" s="315">
        <v>0</v>
      </c>
      <c r="AM457" s="315">
        <v>0</v>
      </c>
      <c r="AN457" s="307">
        <v>0</v>
      </c>
      <c r="AO457" s="307">
        <v>0</v>
      </c>
      <c r="AP457" s="307">
        <v>0</v>
      </c>
      <c r="AQ457" s="307">
        <v>0</v>
      </c>
      <c r="AR457" s="307">
        <v>0</v>
      </c>
      <c r="AS457" s="307">
        <v>0</v>
      </c>
      <c r="AT457" s="307">
        <v>0.4</v>
      </c>
      <c r="AU457" s="307">
        <v>0.2</v>
      </c>
      <c r="AV457" s="307">
        <v>1</v>
      </c>
      <c r="AW457" s="307">
        <v>0</v>
      </c>
      <c r="AX457" s="304">
        <v>0</v>
      </c>
      <c r="AY457" s="354">
        <v>68.385109999999997</v>
      </c>
      <c r="AZ457" s="356">
        <v>42.398768199999999</v>
      </c>
      <c r="BA457" s="317" t="s">
        <v>2985</v>
      </c>
      <c r="BB457" s="507" t="s">
        <v>2985</v>
      </c>
      <c r="BC457" s="355" t="s">
        <v>2985</v>
      </c>
      <c r="BD457" s="323" t="s">
        <v>3518</v>
      </c>
      <c r="BE457" s="312">
        <v>50</v>
      </c>
      <c r="BF457" s="307" t="s">
        <v>246</v>
      </c>
      <c r="BG457" s="307">
        <v>200</v>
      </c>
      <c r="BH457" s="505">
        <v>20</v>
      </c>
      <c r="BI457" s="303">
        <v>100</v>
      </c>
      <c r="BJ457" s="307">
        <v>7</v>
      </c>
      <c r="BK457" s="311">
        <v>23</v>
      </c>
      <c r="BL457" s="307">
        <v>23</v>
      </c>
      <c r="BM457" s="317" t="s">
        <v>2985</v>
      </c>
      <c r="BN457" s="307">
        <v>50</v>
      </c>
      <c r="BO457" s="319" t="s">
        <v>2990</v>
      </c>
      <c r="BP457" s="325"/>
      <c r="BS457" s="321"/>
    </row>
    <row r="458" spans="1:71" s="322" customFormat="1">
      <c r="A458" s="458">
        <v>1893</v>
      </c>
      <c r="B458" s="528" t="s">
        <v>3596</v>
      </c>
      <c r="C458" s="383"/>
      <c r="D458" s="383"/>
      <c r="E458" s="469"/>
      <c r="F458" s="303">
        <v>20</v>
      </c>
      <c r="G458" s="386" t="s">
        <v>3378</v>
      </c>
      <c r="H458" s="303" t="s">
        <v>119</v>
      </c>
      <c r="I458" s="698" t="s">
        <v>3476</v>
      </c>
      <c r="J458" s="307">
        <v>2011</v>
      </c>
      <c r="K458" s="304">
        <v>385</v>
      </c>
      <c r="L458" s="303" t="s">
        <v>1738</v>
      </c>
      <c r="M458" s="304" t="s">
        <v>1751</v>
      </c>
      <c r="N458" s="473">
        <v>0.33</v>
      </c>
      <c r="O458" s="309">
        <f t="shared" si="95"/>
        <v>0.47164961255776655</v>
      </c>
      <c r="P458" s="310">
        <f t="shared" si="96"/>
        <v>7.519256748662027</v>
      </c>
      <c r="Q458" s="311">
        <v>5.25</v>
      </c>
      <c r="R458" s="394">
        <v>123.4</v>
      </c>
      <c r="S458" s="329">
        <v>261.63490166100001</v>
      </c>
      <c r="T458" s="377">
        <f t="shared" si="97"/>
        <v>374.72380952380956</v>
      </c>
      <c r="U458" s="377">
        <f t="shared" si="98"/>
        <v>1967.3000000000002</v>
      </c>
      <c r="V458" s="394">
        <v>1039.42</v>
      </c>
      <c r="W458" s="312">
        <v>927.88</v>
      </c>
      <c r="X458" s="313" t="s">
        <v>12</v>
      </c>
      <c r="Y458" s="314" t="s">
        <v>2985</v>
      </c>
      <c r="Z458" s="516" t="s">
        <v>3618</v>
      </c>
      <c r="AA458" s="516" t="s">
        <v>3516</v>
      </c>
      <c r="AB458" s="304" t="s">
        <v>526</v>
      </c>
      <c r="AC458" s="313" t="s">
        <v>2312</v>
      </c>
      <c r="AD458" s="311" t="s">
        <v>2312</v>
      </c>
      <c r="AE458" s="307" t="s">
        <v>2561</v>
      </c>
      <c r="AF458" s="315" t="s">
        <v>3517</v>
      </c>
      <c r="AG458" s="443">
        <v>2.69</v>
      </c>
      <c r="AH458" s="313">
        <v>70</v>
      </c>
      <c r="AI458" s="307">
        <v>5</v>
      </c>
      <c r="AJ458" s="315">
        <v>25</v>
      </c>
      <c r="AK458" s="315">
        <v>0</v>
      </c>
      <c r="AL458" s="315">
        <v>0</v>
      </c>
      <c r="AM458" s="315">
        <v>0</v>
      </c>
      <c r="AN458" s="307">
        <v>0</v>
      </c>
      <c r="AO458" s="307">
        <v>0</v>
      </c>
      <c r="AP458" s="307">
        <v>0</v>
      </c>
      <c r="AQ458" s="307">
        <v>0</v>
      </c>
      <c r="AR458" s="307">
        <v>0</v>
      </c>
      <c r="AS458" s="307">
        <v>0</v>
      </c>
      <c r="AT458" s="307">
        <v>0.4</v>
      </c>
      <c r="AU458" s="307">
        <v>0.2</v>
      </c>
      <c r="AV458" s="307">
        <v>1.5</v>
      </c>
      <c r="AW458" s="307">
        <v>0</v>
      </c>
      <c r="AX458" s="304">
        <v>0</v>
      </c>
      <c r="AY458" s="354">
        <v>68.385109999999997</v>
      </c>
      <c r="AZ458" s="356">
        <v>42.398768199999999</v>
      </c>
      <c r="BA458" s="317" t="s">
        <v>2985</v>
      </c>
      <c r="BB458" s="94" t="s">
        <v>2985</v>
      </c>
      <c r="BC458" s="355" t="s">
        <v>2985</v>
      </c>
      <c r="BD458" s="323" t="s">
        <v>3518</v>
      </c>
      <c r="BE458" s="312">
        <v>50</v>
      </c>
      <c r="BF458" s="307" t="s">
        <v>246</v>
      </c>
      <c r="BG458" s="307">
        <v>200</v>
      </c>
      <c r="BH458" s="505">
        <v>20</v>
      </c>
      <c r="BI458" s="303">
        <v>100</v>
      </c>
      <c r="BJ458" s="307">
        <v>7</v>
      </c>
      <c r="BK458" s="311">
        <v>23</v>
      </c>
      <c r="BL458" s="307">
        <v>23</v>
      </c>
      <c r="BM458" s="317" t="s">
        <v>2985</v>
      </c>
      <c r="BN458" s="307">
        <v>50</v>
      </c>
      <c r="BO458" s="319" t="s">
        <v>2990</v>
      </c>
      <c r="BP458" s="325"/>
      <c r="BS458" s="321"/>
    </row>
    <row r="459" spans="1:71" s="322" customFormat="1">
      <c r="A459" s="458">
        <v>1894</v>
      </c>
      <c r="B459" s="528" t="s">
        <v>3595</v>
      </c>
      <c r="C459" s="383"/>
      <c r="D459" s="383"/>
      <c r="E459" s="469"/>
      <c r="F459" s="303">
        <v>22</v>
      </c>
      <c r="G459" s="386" t="s">
        <v>3378</v>
      </c>
      <c r="H459" s="303" t="s">
        <v>119</v>
      </c>
      <c r="I459" s="698" t="s">
        <v>3476</v>
      </c>
      <c r="J459" s="307">
        <v>2011</v>
      </c>
      <c r="K459" s="304">
        <v>385</v>
      </c>
      <c r="L459" s="303" t="s">
        <v>1738</v>
      </c>
      <c r="M459" s="304" t="s">
        <v>1751</v>
      </c>
      <c r="N459" s="473">
        <v>0.33</v>
      </c>
      <c r="O459" s="309">
        <f t="shared" si="95"/>
        <v>0.47164961255776655</v>
      </c>
      <c r="P459" s="310">
        <f t="shared" si="96"/>
        <v>7.519256748662027</v>
      </c>
      <c r="Q459" s="311">
        <v>5.25</v>
      </c>
      <c r="R459" s="394">
        <v>123.4</v>
      </c>
      <c r="S459" s="329">
        <v>261.63490166100001</v>
      </c>
      <c r="T459" s="377">
        <f t="shared" si="97"/>
        <v>374.72380952380956</v>
      </c>
      <c r="U459" s="377">
        <f t="shared" si="98"/>
        <v>1967.3000000000002</v>
      </c>
      <c r="V459" s="394">
        <v>1039.42</v>
      </c>
      <c r="W459" s="312">
        <v>927.88</v>
      </c>
      <c r="X459" s="313" t="s">
        <v>12</v>
      </c>
      <c r="Y459" s="314" t="s">
        <v>2985</v>
      </c>
      <c r="Z459" s="516" t="s">
        <v>3618</v>
      </c>
      <c r="AA459" s="516" t="s">
        <v>3516</v>
      </c>
      <c r="AB459" s="304" t="s">
        <v>526</v>
      </c>
      <c r="AC459" s="313" t="s">
        <v>2312</v>
      </c>
      <c r="AD459" s="311" t="s">
        <v>2312</v>
      </c>
      <c r="AE459" s="307" t="s">
        <v>2561</v>
      </c>
      <c r="AF459" s="315" t="s">
        <v>3517</v>
      </c>
      <c r="AG459" s="443">
        <v>2.69</v>
      </c>
      <c r="AH459" s="313">
        <v>70</v>
      </c>
      <c r="AI459" s="307">
        <v>5</v>
      </c>
      <c r="AJ459" s="315">
        <v>25</v>
      </c>
      <c r="AK459" s="315">
        <v>0</v>
      </c>
      <c r="AL459" s="315">
        <v>0</v>
      </c>
      <c r="AM459" s="315">
        <v>0</v>
      </c>
      <c r="AN459" s="307">
        <v>0</v>
      </c>
      <c r="AO459" s="307">
        <v>0</v>
      </c>
      <c r="AP459" s="307">
        <v>0</v>
      </c>
      <c r="AQ459" s="307">
        <v>0</v>
      </c>
      <c r="AR459" s="307">
        <v>0</v>
      </c>
      <c r="AS459" s="307">
        <v>0</v>
      </c>
      <c r="AT459" s="307">
        <v>0.4</v>
      </c>
      <c r="AU459" s="307">
        <v>0.2</v>
      </c>
      <c r="AV459" s="307">
        <v>2.5</v>
      </c>
      <c r="AW459" s="307">
        <v>0</v>
      </c>
      <c r="AX459" s="304">
        <v>0</v>
      </c>
      <c r="AY459" s="354">
        <v>68.385109999999997</v>
      </c>
      <c r="AZ459" s="356">
        <v>42.398768199999999</v>
      </c>
      <c r="BA459" s="317" t="s">
        <v>2985</v>
      </c>
      <c r="BB459" s="94" t="s">
        <v>2985</v>
      </c>
      <c r="BC459" s="355" t="s">
        <v>2985</v>
      </c>
      <c r="BD459" s="323" t="s">
        <v>3518</v>
      </c>
      <c r="BE459" s="312">
        <v>50</v>
      </c>
      <c r="BF459" s="307" t="s">
        <v>246</v>
      </c>
      <c r="BG459" s="307">
        <v>200</v>
      </c>
      <c r="BH459" s="505">
        <v>20</v>
      </c>
      <c r="BI459" s="303">
        <v>100</v>
      </c>
      <c r="BJ459" s="307">
        <v>7</v>
      </c>
      <c r="BK459" s="311">
        <v>23</v>
      </c>
      <c r="BL459" s="307">
        <v>23</v>
      </c>
      <c r="BM459" s="317" t="s">
        <v>2985</v>
      </c>
      <c r="BN459" s="307">
        <v>50</v>
      </c>
      <c r="BO459" s="319" t="s">
        <v>2990</v>
      </c>
      <c r="BP459" s="325"/>
      <c r="BS459" s="321"/>
    </row>
    <row r="460" spans="1:71" s="322" customFormat="1">
      <c r="A460" s="458">
        <v>1895</v>
      </c>
      <c r="B460" s="535" t="s">
        <v>3585</v>
      </c>
      <c r="C460" s="383"/>
      <c r="D460" s="383"/>
      <c r="E460" s="469"/>
      <c r="F460" s="303">
        <v>23</v>
      </c>
      <c r="G460" s="386" t="s">
        <v>3378</v>
      </c>
      <c r="H460" s="303" t="s">
        <v>119</v>
      </c>
      <c r="I460" s="698" t="s">
        <v>3476</v>
      </c>
      <c r="J460" s="307">
        <v>2011</v>
      </c>
      <c r="K460" s="304">
        <v>385</v>
      </c>
      <c r="L460" s="303" t="s">
        <v>1738</v>
      </c>
      <c r="M460" s="304" t="s">
        <v>1751</v>
      </c>
      <c r="N460" s="473">
        <v>0.33</v>
      </c>
      <c r="O460" s="309">
        <f t="shared" si="95"/>
        <v>0.47164961255776655</v>
      </c>
      <c r="P460" s="310">
        <f t="shared" si="96"/>
        <v>7.519256748662027</v>
      </c>
      <c r="Q460" s="311">
        <v>5.25</v>
      </c>
      <c r="R460" s="394">
        <v>123.4</v>
      </c>
      <c r="S460" s="329">
        <v>261.63490166100001</v>
      </c>
      <c r="T460" s="377">
        <f t="shared" si="97"/>
        <v>374.72380952380956</v>
      </c>
      <c r="U460" s="377">
        <f t="shared" si="98"/>
        <v>1967.3000000000002</v>
      </c>
      <c r="V460" s="394">
        <v>1039.42</v>
      </c>
      <c r="W460" s="312">
        <v>927.88</v>
      </c>
      <c r="X460" s="313" t="s">
        <v>12</v>
      </c>
      <c r="Y460" s="314" t="s">
        <v>2985</v>
      </c>
      <c r="Z460" s="516" t="s">
        <v>3618</v>
      </c>
      <c r="AA460" s="516" t="s">
        <v>3516</v>
      </c>
      <c r="AB460" s="304" t="s">
        <v>526</v>
      </c>
      <c r="AC460" s="313" t="s">
        <v>2312</v>
      </c>
      <c r="AD460" s="311" t="s">
        <v>2312</v>
      </c>
      <c r="AE460" s="307" t="s">
        <v>2561</v>
      </c>
      <c r="AF460" s="315" t="s">
        <v>3517</v>
      </c>
      <c r="AG460" s="443">
        <v>2.69</v>
      </c>
      <c r="AH460" s="313">
        <v>70</v>
      </c>
      <c r="AI460" s="307">
        <v>5</v>
      </c>
      <c r="AJ460" s="315">
        <v>25</v>
      </c>
      <c r="AK460" s="315">
        <v>0</v>
      </c>
      <c r="AL460" s="315">
        <v>0</v>
      </c>
      <c r="AM460" s="315">
        <v>0</v>
      </c>
      <c r="AN460" s="307">
        <v>0</v>
      </c>
      <c r="AO460" s="307">
        <v>0</v>
      </c>
      <c r="AP460" s="307">
        <v>0</v>
      </c>
      <c r="AQ460" s="307">
        <v>0</v>
      </c>
      <c r="AR460" s="307">
        <v>0</v>
      </c>
      <c r="AS460" s="307">
        <v>0</v>
      </c>
      <c r="AT460" s="307">
        <v>0.6</v>
      </c>
      <c r="AU460" s="307">
        <v>0</v>
      </c>
      <c r="AV460" s="307">
        <v>0</v>
      </c>
      <c r="AW460" s="307">
        <v>0</v>
      </c>
      <c r="AX460" s="304">
        <v>0</v>
      </c>
      <c r="AY460" s="354">
        <v>68.385109999999997</v>
      </c>
      <c r="AZ460" s="356">
        <v>42.398768199999999</v>
      </c>
      <c r="BA460" s="317" t="s">
        <v>2985</v>
      </c>
      <c r="BB460" s="94" t="s">
        <v>2985</v>
      </c>
      <c r="BC460" s="355" t="s">
        <v>2985</v>
      </c>
      <c r="BD460" s="323" t="s">
        <v>3518</v>
      </c>
      <c r="BE460" s="312">
        <v>50</v>
      </c>
      <c r="BF460" s="307" t="s">
        <v>246</v>
      </c>
      <c r="BG460" s="307">
        <v>200</v>
      </c>
      <c r="BH460" s="505">
        <v>20</v>
      </c>
      <c r="BI460" s="303">
        <v>100</v>
      </c>
      <c r="BJ460" s="307">
        <v>7</v>
      </c>
      <c r="BK460" s="311">
        <v>23</v>
      </c>
      <c r="BL460" s="307">
        <v>23</v>
      </c>
      <c r="BM460" s="317" t="s">
        <v>2985</v>
      </c>
      <c r="BN460" s="307">
        <v>50</v>
      </c>
      <c r="BO460" s="319" t="s">
        <v>2990</v>
      </c>
      <c r="BP460" s="325"/>
      <c r="BS460" s="321"/>
    </row>
    <row r="461" spans="1:71" s="322" customFormat="1">
      <c r="A461" s="458">
        <v>1896</v>
      </c>
      <c r="B461" s="535" t="s">
        <v>3585</v>
      </c>
      <c r="C461" s="383"/>
      <c r="D461" s="383"/>
      <c r="E461" s="469"/>
      <c r="F461" s="303">
        <v>24</v>
      </c>
      <c r="G461" s="386" t="s">
        <v>3378</v>
      </c>
      <c r="H461" s="303" t="s">
        <v>119</v>
      </c>
      <c r="I461" s="698" t="s">
        <v>3476</v>
      </c>
      <c r="J461" s="307">
        <v>2011</v>
      </c>
      <c r="K461" s="304">
        <v>385</v>
      </c>
      <c r="L461" s="303" t="s">
        <v>1738</v>
      </c>
      <c r="M461" s="304" t="s">
        <v>1751</v>
      </c>
      <c r="N461" s="473">
        <v>0.33</v>
      </c>
      <c r="O461" s="309">
        <f t="shared" si="95"/>
        <v>0.47164961255776655</v>
      </c>
      <c r="P461" s="310">
        <f t="shared" si="96"/>
        <v>7.519256748662027</v>
      </c>
      <c r="Q461" s="311">
        <v>5.25</v>
      </c>
      <c r="R461" s="394">
        <v>123.4</v>
      </c>
      <c r="S461" s="329">
        <v>261.63490166100001</v>
      </c>
      <c r="T461" s="377">
        <f t="shared" si="97"/>
        <v>374.72380952380956</v>
      </c>
      <c r="U461" s="377">
        <f t="shared" si="98"/>
        <v>1967.3000000000002</v>
      </c>
      <c r="V461" s="394">
        <v>1039.42</v>
      </c>
      <c r="W461" s="312">
        <v>927.88</v>
      </c>
      <c r="X461" s="313" t="s">
        <v>12</v>
      </c>
      <c r="Y461" s="314" t="s">
        <v>2985</v>
      </c>
      <c r="Z461" s="516" t="s">
        <v>3618</v>
      </c>
      <c r="AA461" s="516" t="s">
        <v>3516</v>
      </c>
      <c r="AB461" s="304" t="s">
        <v>526</v>
      </c>
      <c r="AC461" s="313" t="s">
        <v>2312</v>
      </c>
      <c r="AD461" s="311" t="s">
        <v>2312</v>
      </c>
      <c r="AE461" s="307" t="s">
        <v>2561</v>
      </c>
      <c r="AF461" s="315" t="s">
        <v>3517</v>
      </c>
      <c r="AG461" s="443">
        <v>2.69</v>
      </c>
      <c r="AH461" s="313">
        <v>70</v>
      </c>
      <c r="AI461" s="307">
        <v>5</v>
      </c>
      <c r="AJ461" s="315">
        <v>25</v>
      </c>
      <c r="AK461" s="315">
        <v>0</v>
      </c>
      <c r="AL461" s="315">
        <v>0</v>
      </c>
      <c r="AM461" s="315">
        <v>0</v>
      </c>
      <c r="AN461" s="307">
        <v>0</v>
      </c>
      <c r="AO461" s="307">
        <v>0</v>
      </c>
      <c r="AP461" s="307">
        <v>0</v>
      </c>
      <c r="AQ461" s="307">
        <v>0</v>
      </c>
      <c r="AR461" s="307">
        <v>0</v>
      </c>
      <c r="AS461" s="307">
        <v>0</v>
      </c>
      <c r="AT461" s="307">
        <v>0.6</v>
      </c>
      <c r="AU461" s="307">
        <v>0</v>
      </c>
      <c r="AV461" s="307">
        <v>0.5</v>
      </c>
      <c r="AW461" s="307">
        <v>0</v>
      </c>
      <c r="AX461" s="304">
        <v>0</v>
      </c>
      <c r="AY461" s="354">
        <v>68.385109999999997</v>
      </c>
      <c r="AZ461" s="356">
        <v>42.398768199999999</v>
      </c>
      <c r="BA461" s="317" t="s">
        <v>2985</v>
      </c>
      <c r="BB461" s="94" t="s">
        <v>2985</v>
      </c>
      <c r="BC461" s="355" t="s">
        <v>2985</v>
      </c>
      <c r="BD461" s="323" t="s">
        <v>3518</v>
      </c>
      <c r="BE461" s="312">
        <v>50</v>
      </c>
      <c r="BF461" s="307" t="s">
        <v>246</v>
      </c>
      <c r="BG461" s="307">
        <v>200</v>
      </c>
      <c r="BH461" s="505">
        <v>20</v>
      </c>
      <c r="BI461" s="303">
        <v>100</v>
      </c>
      <c r="BJ461" s="307">
        <v>7</v>
      </c>
      <c r="BK461" s="311">
        <v>23</v>
      </c>
      <c r="BL461" s="307">
        <v>23</v>
      </c>
      <c r="BM461" s="317" t="s">
        <v>2985</v>
      </c>
      <c r="BN461" s="307">
        <v>50</v>
      </c>
      <c r="BO461" s="319" t="s">
        <v>2990</v>
      </c>
      <c r="BP461" s="325"/>
      <c r="BS461" s="321"/>
    </row>
    <row r="462" spans="1:71" s="322" customFormat="1">
      <c r="A462" s="458">
        <v>1897</v>
      </c>
      <c r="B462" s="528" t="s">
        <v>3594</v>
      </c>
      <c r="C462" s="383"/>
      <c r="D462" s="383"/>
      <c r="E462" s="469"/>
      <c r="F462" s="303">
        <v>25</v>
      </c>
      <c r="G462" s="386" t="s">
        <v>3378</v>
      </c>
      <c r="H462" s="303" t="s">
        <v>119</v>
      </c>
      <c r="I462" s="698" t="s">
        <v>3476</v>
      </c>
      <c r="J462" s="307">
        <v>2011</v>
      </c>
      <c r="K462" s="304">
        <v>385</v>
      </c>
      <c r="L462" s="303" t="s">
        <v>1738</v>
      </c>
      <c r="M462" s="304" t="s">
        <v>1751</v>
      </c>
      <c r="N462" s="473">
        <v>0.33</v>
      </c>
      <c r="O462" s="309">
        <f t="shared" si="95"/>
        <v>0.47164961255776655</v>
      </c>
      <c r="P462" s="310">
        <f t="shared" si="96"/>
        <v>7.519256748662027</v>
      </c>
      <c r="Q462" s="311">
        <v>5.25</v>
      </c>
      <c r="R462" s="394">
        <v>123.4</v>
      </c>
      <c r="S462" s="329">
        <v>261.63490166100001</v>
      </c>
      <c r="T462" s="377">
        <f t="shared" si="97"/>
        <v>374.72380952380956</v>
      </c>
      <c r="U462" s="377">
        <f t="shared" si="98"/>
        <v>1967.3000000000002</v>
      </c>
      <c r="V462" s="394">
        <v>1039.42</v>
      </c>
      <c r="W462" s="312">
        <v>927.88</v>
      </c>
      <c r="X462" s="313" t="s">
        <v>12</v>
      </c>
      <c r="Y462" s="314" t="s">
        <v>2985</v>
      </c>
      <c r="Z462" s="516" t="s">
        <v>3618</v>
      </c>
      <c r="AA462" s="516" t="s">
        <v>3516</v>
      </c>
      <c r="AB462" s="304" t="s">
        <v>526</v>
      </c>
      <c r="AC462" s="313" t="s">
        <v>2312</v>
      </c>
      <c r="AD462" s="311" t="s">
        <v>2312</v>
      </c>
      <c r="AE462" s="307" t="s">
        <v>2561</v>
      </c>
      <c r="AF462" s="315" t="s">
        <v>3517</v>
      </c>
      <c r="AG462" s="443">
        <v>2.69</v>
      </c>
      <c r="AH462" s="313">
        <v>70</v>
      </c>
      <c r="AI462" s="307">
        <v>5</v>
      </c>
      <c r="AJ462" s="315">
        <v>25</v>
      </c>
      <c r="AK462" s="315">
        <v>0</v>
      </c>
      <c r="AL462" s="315">
        <v>0</v>
      </c>
      <c r="AM462" s="315">
        <v>0</v>
      </c>
      <c r="AN462" s="307">
        <v>0</v>
      </c>
      <c r="AO462" s="307">
        <v>0</v>
      </c>
      <c r="AP462" s="307">
        <v>0</v>
      </c>
      <c r="AQ462" s="307">
        <v>0</v>
      </c>
      <c r="AR462" s="307">
        <v>0</v>
      </c>
      <c r="AS462" s="307">
        <v>0</v>
      </c>
      <c r="AT462" s="307">
        <v>0.4</v>
      </c>
      <c r="AU462" s="307">
        <v>0.2</v>
      </c>
      <c r="AV462" s="307">
        <v>0</v>
      </c>
      <c r="AW462" s="307">
        <v>0</v>
      </c>
      <c r="AX462" s="304">
        <v>0</v>
      </c>
      <c r="AY462" s="354">
        <v>68.385109999999997</v>
      </c>
      <c r="AZ462" s="356">
        <v>42.398768199999999</v>
      </c>
      <c r="BA462" s="317" t="s">
        <v>2985</v>
      </c>
      <c r="BB462" s="94" t="s">
        <v>2985</v>
      </c>
      <c r="BC462" s="355" t="s">
        <v>2985</v>
      </c>
      <c r="BD462" s="323" t="s">
        <v>3518</v>
      </c>
      <c r="BE462" s="312">
        <v>50</v>
      </c>
      <c r="BF462" s="307" t="s">
        <v>246</v>
      </c>
      <c r="BG462" s="307">
        <v>200</v>
      </c>
      <c r="BH462" s="505">
        <v>20</v>
      </c>
      <c r="BI462" s="303">
        <v>100</v>
      </c>
      <c r="BJ462" s="307">
        <v>7</v>
      </c>
      <c r="BK462" s="311">
        <v>23</v>
      </c>
      <c r="BL462" s="307">
        <v>23</v>
      </c>
      <c r="BM462" s="317" t="s">
        <v>2985</v>
      </c>
      <c r="BN462" s="307">
        <v>50</v>
      </c>
      <c r="BO462" s="319" t="s">
        <v>2990</v>
      </c>
      <c r="BP462" s="325"/>
      <c r="BS462" s="321"/>
    </row>
    <row r="463" spans="1:71" s="322" customFormat="1">
      <c r="A463" s="458">
        <v>1898</v>
      </c>
      <c r="B463" s="528" t="s">
        <v>3597</v>
      </c>
      <c r="C463" s="383"/>
      <c r="D463" s="383"/>
      <c r="E463" s="469"/>
      <c r="F463" s="303">
        <v>27</v>
      </c>
      <c r="G463" s="386" t="s">
        <v>3378</v>
      </c>
      <c r="H463" s="303" t="s">
        <v>119</v>
      </c>
      <c r="I463" s="698" t="s">
        <v>3476</v>
      </c>
      <c r="J463" s="307">
        <v>2011</v>
      </c>
      <c r="K463" s="304">
        <v>385</v>
      </c>
      <c r="L463" s="303" t="s">
        <v>1738</v>
      </c>
      <c r="M463" s="304" t="s">
        <v>1751</v>
      </c>
      <c r="N463" s="473">
        <v>0.33</v>
      </c>
      <c r="O463" s="309">
        <f t="shared" si="95"/>
        <v>0.47164961255776655</v>
      </c>
      <c r="P463" s="310">
        <f t="shared" si="96"/>
        <v>7.519256748662027</v>
      </c>
      <c r="Q463" s="311">
        <v>5.25</v>
      </c>
      <c r="R463" s="394">
        <v>123.4</v>
      </c>
      <c r="S463" s="329">
        <v>261.63490166100001</v>
      </c>
      <c r="T463" s="377">
        <f t="shared" si="97"/>
        <v>374.72380952380956</v>
      </c>
      <c r="U463" s="377">
        <f t="shared" si="98"/>
        <v>1967.3000000000002</v>
      </c>
      <c r="V463" s="394">
        <v>1039.42</v>
      </c>
      <c r="W463" s="312">
        <v>927.88</v>
      </c>
      <c r="X463" s="313" t="s">
        <v>12</v>
      </c>
      <c r="Y463" s="314" t="s">
        <v>2985</v>
      </c>
      <c r="Z463" s="516" t="s">
        <v>3618</v>
      </c>
      <c r="AA463" s="516" t="s">
        <v>3516</v>
      </c>
      <c r="AB463" s="304" t="s">
        <v>526</v>
      </c>
      <c r="AC463" s="313" t="s">
        <v>2312</v>
      </c>
      <c r="AD463" s="311" t="s">
        <v>2312</v>
      </c>
      <c r="AE463" s="307" t="s">
        <v>2561</v>
      </c>
      <c r="AF463" s="315" t="s">
        <v>3517</v>
      </c>
      <c r="AG463" s="443">
        <v>2.69</v>
      </c>
      <c r="AH463" s="313">
        <v>70</v>
      </c>
      <c r="AI463" s="307">
        <v>5</v>
      </c>
      <c r="AJ463" s="315">
        <v>25</v>
      </c>
      <c r="AK463" s="315">
        <v>0</v>
      </c>
      <c r="AL463" s="315">
        <v>0</v>
      </c>
      <c r="AM463" s="315">
        <v>0</v>
      </c>
      <c r="AN463" s="307">
        <v>0</v>
      </c>
      <c r="AO463" s="307">
        <v>0</v>
      </c>
      <c r="AP463" s="307">
        <v>0</v>
      </c>
      <c r="AQ463" s="307">
        <v>0</v>
      </c>
      <c r="AR463" s="307">
        <v>0</v>
      </c>
      <c r="AS463" s="307">
        <v>0</v>
      </c>
      <c r="AT463" s="307">
        <v>0.4</v>
      </c>
      <c r="AU463" s="307">
        <v>0.2</v>
      </c>
      <c r="AV463" s="307">
        <v>1</v>
      </c>
      <c r="AW463" s="307">
        <v>0</v>
      </c>
      <c r="AX463" s="304">
        <v>0</v>
      </c>
      <c r="AY463" s="354">
        <v>68.385109999999997</v>
      </c>
      <c r="AZ463" s="356">
        <v>42.398768199999999</v>
      </c>
      <c r="BA463" s="317" t="s">
        <v>2985</v>
      </c>
      <c r="BB463" s="94" t="s">
        <v>2985</v>
      </c>
      <c r="BC463" s="355" t="s">
        <v>2985</v>
      </c>
      <c r="BD463" s="323" t="s">
        <v>3518</v>
      </c>
      <c r="BE463" s="312">
        <v>50</v>
      </c>
      <c r="BF463" s="307" t="s">
        <v>246</v>
      </c>
      <c r="BG463" s="307">
        <v>200</v>
      </c>
      <c r="BH463" s="505">
        <v>20</v>
      </c>
      <c r="BI463" s="303">
        <v>100</v>
      </c>
      <c r="BJ463" s="307">
        <v>7</v>
      </c>
      <c r="BK463" s="311">
        <v>23</v>
      </c>
      <c r="BL463" s="307">
        <v>23</v>
      </c>
      <c r="BM463" s="317" t="s">
        <v>2985</v>
      </c>
      <c r="BN463" s="307">
        <v>50</v>
      </c>
      <c r="BO463" s="319" t="s">
        <v>2990</v>
      </c>
      <c r="BP463" s="325"/>
      <c r="BS463" s="321"/>
    </row>
    <row r="464" spans="1:71" s="322" customFormat="1">
      <c r="A464" s="458">
        <v>1899</v>
      </c>
      <c r="B464" s="528" t="s">
        <v>3597</v>
      </c>
      <c r="C464" s="383"/>
      <c r="D464" s="383"/>
      <c r="E464" s="469"/>
      <c r="F464" s="303">
        <v>28</v>
      </c>
      <c r="G464" s="386" t="s">
        <v>3378</v>
      </c>
      <c r="H464" s="303" t="s">
        <v>119</v>
      </c>
      <c r="I464" s="698" t="s">
        <v>3476</v>
      </c>
      <c r="J464" s="307">
        <v>2011</v>
      </c>
      <c r="K464" s="304">
        <v>385</v>
      </c>
      <c r="L464" s="303" t="s">
        <v>1738</v>
      </c>
      <c r="M464" s="304" t="s">
        <v>1751</v>
      </c>
      <c r="N464" s="473">
        <v>0.33</v>
      </c>
      <c r="O464" s="309">
        <f t="shared" si="95"/>
        <v>0.47164961255776655</v>
      </c>
      <c r="P464" s="310">
        <f t="shared" si="96"/>
        <v>7.519256748662027</v>
      </c>
      <c r="Q464" s="311">
        <v>5.25</v>
      </c>
      <c r="R464" s="394">
        <v>123.4</v>
      </c>
      <c r="S464" s="329">
        <v>261.63490166100001</v>
      </c>
      <c r="T464" s="377">
        <f t="shared" si="97"/>
        <v>374.72380952380956</v>
      </c>
      <c r="U464" s="377">
        <f t="shared" si="98"/>
        <v>1967.3000000000002</v>
      </c>
      <c r="V464" s="394">
        <v>1039.42</v>
      </c>
      <c r="W464" s="312">
        <v>927.88</v>
      </c>
      <c r="X464" s="313" t="s">
        <v>12</v>
      </c>
      <c r="Y464" s="314" t="s">
        <v>2985</v>
      </c>
      <c r="Z464" s="516" t="s">
        <v>3618</v>
      </c>
      <c r="AA464" s="516" t="s">
        <v>3516</v>
      </c>
      <c r="AB464" s="304" t="s">
        <v>526</v>
      </c>
      <c r="AC464" s="313" t="s">
        <v>2312</v>
      </c>
      <c r="AD464" s="311" t="s">
        <v>2312</v>
      </c>
      <c r="AE464" s="307" t="s">
        <v>2561</v>
      </c>
      <c r="AF464" s="315" t="s">
        <v>3517</v>
      </c>
      <c r="AG464" s="443">
        <v>2.69</v>
      </c>
      <c r="AH464" s="313">
        <v>70</v>
      </c>
      <c r="AI464" s="307">
        <v>5</v>
      </c>
      <c r="AJ464" s="315">
        <v>25</v>
      </c>
      <c r="AK464" s="315">
        <v>0</v>
      </c>
      <c r="AL464" s="315">
        <v>0</v>
      </c>
      <c r="AM464" s="315">
        <v>0</v>
      </c>
      <c r="AN464" s="307">
        <v>0</v>
      </c>
      <c r="AO464" s="307">
        <v>0</v>
      </c>
      <c r="AP464" s="307">
        <v>0</v>
      </c>
      <c r="AQ464" s="307">
        <v>0</v>
      </c>
      <c r="AR464" s="307">
        <v>0</v>
      </c>
      <c r="AS464" s="307">
        <v>0</v>
      </c>
      <c r="AT464" s="307">
        <v>0.4</v>
      </c>
      <c r="AU464" s="307">
        <v>0.2</v>
      </c>
      <c r="AV464" s="307">
        <v>1.5</v>
      </c>
      <c r="AW464" s="307">
        <v>0</v>
      </c>
      <c r="AX464" s="304">
        <v>0</v>
      </c>
      <c r="AY464" s="354">
        <v>68.385109999999997</v>
      </c>
      <c r="AZ464" s="356">
        <v>42.398768199999999</v>
      </c>
      <c r="BA464" s="317" t="s">
        <v>2985</v>
      </c>
      <c r="BB464" s="94" t="s">
        <v>2985</v>
      </c>
      <c r="BC464" s="355" t="s">
        <v>2985</v>
      </c>
      <c r="BD464" s="323" t="s">
        <v>3518</v>
      </c>
      <c r="BE464" s="312">
        <v>50</v>
      </c>
      <c r="BF464" s="307" t="s">
        <v>246</v>
      </c>
      <c r="BG464" s="307">
        <v>200</v>
      </c>
      <c r="BH464" s="505">
        <v>20</v>
      </c>
      <c r="BI464" s="303">
        <v>100</v>
      </c>
      <c r="BJ464" s="307">
        <v>7</v>
      </c>
      <c r="BK464" s="311">
        <v>23</v>
      </c>
      <c r="BL464" s="307">
        <v>23</v>
      </c>
      <c r="BM464" s="317" t="s">
        <v>2985</v>
      </c>
      <c r="BN464" s="307">
        <v>50</v>
      </c>
      <c r="BO464" s="319" t="s">
        <v>2990</v>
      </c>
      <c r="BP464" s="325"/>
      <c r="BS464" s="321"/>
    </row>
    <row r="465" spans="1:71" s="322" customFormat="1">
      <c r="A465" s="458">
        <v>1900</v>
      </c>
      <c r="B465" s="528" t="s">
        <v>3597</v>
      </c>
      <c r="C465" s="383"/>
      <c r="D465" s="383"/>
      <c r="E465" s="469"/>
      <c r="F465" s="303">
        <v>29</v>
      </c>
      <c r="G465" s="386" t="s">
        <v>3378</v>
      </c>
      <c r="H465" s="303" t="s">
        <v>119</v>
      </c>
      <c r="I465" s="698" t="s">
        <v>3476</v>
      </c>
      <c r="J465" s="307">
        <v>2011</v>
      </c>
      <c r="K465" s="304">
        <v>385</v>
      </c>
      <c r="L465" s="303" t="s">
        <v>1738</v>
      </c>
      <c r="M465" s="304" t="s">
        <v>1751</v>
      </c>
      <c r="N465" s="473">
        <v>0.33</v>
      </c>
      <c r="O465" s="309">
        <f t="shared" si="95"/>
        <v>0.47164961255776655</v>
      </c>
      <c r="P465" s="310">
        <f t="shared" si="96"/>
        <v>7.519256748662027</v>
      </c>
      <c r="Q465" s="311">
        <v>5.25</v>
      </c>
      <c r="R465" s="394">
        <v>123.4</v>
      </c>
      <c r="S465" s="329">
        <v>261.63490166100001</v>
      </c>
      <c r="T465" s="377">
        <f t="shared" si="97"/>
        <v>374.72380952380956</v>
      </c>
      <c r="U465" s="377">
        <f t="shared" si="98"/>
        <v>1967.3000000000002</v>
      </c>
      <c r="V465" s="394">
        <v>1039.42</v>
      </c>
      <c r="W465" s="312">
        <v>927.88</v>
      </c>
      <c r="X465" s="313" t="s">
        <v>12</v>
      </c>
      <c r="Y465" s="314" t="s">
        <v>2985</v>
      </c>
      <c r="Z465" s="516" t="s">
        <v>3618</v>
      </c>
      <c r="AA465" s="516" t="s">
        <v>3516</v>
      </c>
      <c r="AB465" s="304" t="s">
        <v>526</v>
      </c>
      <c r="AC465" s="313" t="s">
        <v>2312</v>
      </c>
      <c r="AD465" s="311" t="s">
        <v>2312</v>
      </c>
      <c r="AE465" s="307" t="s">
        <v>2561</v>
      </c>
      <c r="AF465" s="315" t="s">
        <v>3517</v>
      </c>
      <c r="AG465" s="443">
        <v>2.69</v>
      </c>
      <c r="AH465" s="313">
        <v>70</v>
      </c>
      <c r="AI465" s="307">
        <v>5</v>
      </c>
      <c r="AJ465" s="315">
        <v>25</v>
      </c>
      <c r="AK465" s="315">
        <v>0</v>
      </c>
      <c r="AL465" s="315">
        <v>0</v>
      </c>
      <c r="AM465" s="315">
        <v>0</v>
      </c>
      <c r="AN465" s="307">
        <v>0</v>
      </c>
      <c r="AO465" s="307">
        <v>0</v>
      </c>
      <c r="AP465" s="307">
        <v>0</v>
      </c>
      <c r="AQ465" s="307">
        <v>0</v>
      </c>
      <c r="AR465" s="307">
        <v>0</v>
      </c>
      <c r="AS465" s="307">
        <v>0</v>
      </c>
      <c r="AT465" s="307">
        <v>0.4</v>
      </c>
      <c r="AU465" s="307">
        <v>0.2</v>
      </c>
      <c r="AV465" s="307">
        <v>2</v>
      </c>
      <c r="AW465" s="307">
        <v>0</v>
      </c>
      <c r="AX465" s="304">
        <v>0</v>
      </c>
      <c r="AY465" s="354">
        <v>68.385109999999997</v>
      </c>
      <c r="AZ465" s="356">
        <v>42.398768199999999</v>
      </c>
      <c r="BA465" s="317" t="s">
        <v>2985</v>
      </c>
      <c r="BB465" s="94" t="s">
        <v>2985</v>
      </c>
      <c r="BC465" s="355" t="s">
        <v>2985</v>
      </c>
      <c r="BD465" s="323" t="s">
        <v>3518</v>
      </c>
      <c r="BE465" s="312">
        <v>50</v>
      </c>
      <c r="BF465" s="307" t="s">
        <v>246</v>
      </c>
      <c r="BG465" s="307">
        <v>200</v>
      </c>
      <c r="BH465" s="505">
        <v>20</v>
      </c>
      <c r="BI465" s="303">
        <v>100</v>
      </c>
      <c r="BJ465" s="307">
        <v>7</v>
      </c>
      <c r="BK465" s="311">
        <v>23</v>
      </c>
      <c r="BL465" s="307">
        <v>23</v>
      </c>
      <c r="BM465" s="317" t="s">
        <v>2985</v>
      </c>
      <c r="BN465" s="307">
        <v>50</v>
      </c>
      <c r="BO465" s="319" t="s">
        <v>2990</v>
      </c>
      <c r="BP465" s="325"/>
      <c r="BS465" s="321"/>
    </row>
    <row r="466" spans="1:71" s="322" customFormat="1">
      <c r="A466" s="458">
        <v>1901</v>
      </c>
      <c r="B466" s="535" t="s">
        <v>3585</v>
      </c>
      <c r="C466" s="383"/>
      <c r="D466" s="383"/>
      <c r="E466" s="469"/>
      <c r="F466" s="303">
        <v>34</v>
      </c>
      <c r="G466" s="386" t="s">
        <v>3378</v>
      </c>
      <c r="H466" s="303" t="s">
        <v>119</v>
      </c>
      <c r="I466" s="698" t="s">
        <v>3476</v>
      </c>
      <c r="J466" s="307">
        <v>2011</v>
      </c>
      <c r="K466" s="304">
        <v>385</v>
      </c>
      <c r="L466" s="303" t="s">
        <v>1738</v>
      </c>
      <c r="M466" s="304" t="s">
        <v>1751</v>
      </c>
      <c r="N466" s="473">
        <v>0.33</v>
      </c>
      <c r="O466" s="309">
        <f t="shared" si="95"/>
        <v>0.48580832353993281</v>
      </c>
      <c r="P466" s="310">
        <f t="shared" si="96"/>
        <v>6.406883026249492</v>
      </c>
      <c r="Q466" s="311">
        <v>5.25</v>
      </c>
      <c r="R466" s="394">
        <v>142.38</v>
      </c>
      <c r="S466" s="329">
        <v>293.07855197399999</v>
      </c>
      <c r="T466" s="377">
        <f t="shared" si="97"/>
        <v>357.66095238095238</v>
      </c>
      <c r="U466" s="377">
        <f t="shared" si="98"/>
        <v>1877.72</v>
      </c>
      <c r="V466" s="394">
        <v>1039.42</v>
      </c>
      <c r="W466" s="312">
        <v>838.3</v>
      </c>
      <c r="X466" s="313" t="s">
        <v>12</v>
      </c>
      <c r="Y466" s="314" t="s">
        <v>2985</v>
      </c>
      <c r="Z466" s="516" t="s">
        <v>3618</v>
      </c>
      <c r="AA466" s="516" t="s">
        <v>3516</v>
      </c>
      <c r="AB466" s="304" t="s">
        <v>526</v>
      </c>
      <c r="AC466" s="313" t="s">
        <v>2312</v>
      </c>
      <c r="AD466" s="311" t="s">
        <v>2312</v>
      </c>
      <c r="AE466" s="307" t="s">
        <v>2561</v>
      </c>
      <c r="AF466" s="315" t="s">
        <v>3517</v>
      </c>
      <c r="AG466" s="443">
        <v>2.69</v>
      </c>
      <c r="AH466" s="313">
        <v>70</v>
      </c>
      <c r="AI466" s="307">
        <v>0</v>
      </c>
      <c r="AJ466" s="315">
        <v>25</v>
      </c>
      <c r="AK466" s="315">
        <v>0</v>
      </c>
      <c r="AL466" s="315">
        <v>0</v>
      </c>
      <c r="AM466" s="315">
        <v>0</v>
      </c>
      <c r="AN466" s="307">
        <v>0</v>
      </c>
      <c r="AO466" s="307">
        <v>0</v>
      </c>
      <c r="AP466" s="307">
        <v>5</v>
      </c>
      <c r="AQ466" s="307">
        <v>0</v>
      </c>
      <c r="AR466" s="307">
        <v>0</v>
      </c>
      <c r="AS466" s="307">
        <v>0</v>
      </c>
      <c r="AT466" s="307">
        <v>0.4</v>
      </c>
      <c r="AU466" s="307">
        <v>0.2</v>
      </c>
      <c r="AV466" s="307">
        <v>0</v>
      </c>
      <c r="AW466" s="307">
        <v>0</v>
      </c>
      <c r="AX466" s="304">
        <v>0</v>
      </c>
      <c r="AY466" s="354">
        <v>68.385109999999997</v>
      </c>
      <c r="AZ466" s="356">
        <v>42.398768199999999</v>
      </c>
      <c r="BA466" s="317" t="s">
        <v>2985</v>
      </c>
      <c r="BB466" s="94" t="s">
        <v>2985</v>
      </c>
      <c r="BC466" s="355" t="s">
        <v>2985</v>
      </c>
      <c r="BD466" s="307" t="s">
        <v>3519</v>
      </c>
      <c r="BE466" s="312">
        <v>75</v>
      </c>
      <c r="BF466" s="307" t="s">
        <v>246</v>
      </c>
      <c r="BG466" s="307">
        <v>300</v>
      </c>
      <c r="BH466" s="505">
        <v>30</v>
      </c>
      <c r="BI466" s="303">
        <v>100</v>
      </c>
      <c r="BJ466" s="307">
        <v>7</v>
      </c>
      <c r="BK466" s="311">
        <v>23</v>
      </c>
      <c r="BL466" s="307">
        <v>23</v>
      </c>
      <c r="BM466" s="317" t="s">
        <v>2985</v>
      </c>
      <c r="BN466" s="307">
        <v>50</v>
      </c>
      <c r="BO466" s="319" t="s">
        <v>2990</v>
      </c>
      <c r="BP466" s="325"/>
      <c r="BS466" s="321"/>
    </row>
    <row r="467" spans="1:71" s="322" customFormat="1">
      <c r="A467" s="458">
        <v>1912</v>
      </c>
      <c r="B467" s="528" t="s">
        <v>3596</v>
      </c>
      <c r="C467" s="383"/>
      <c r="D467" s="383"/>
      <c r="E467" s="470" t="s">
        <v>3590</v>
      </c>
      <c r="F467" s="303" t="s">
        <v>3009</v>
      </c>
      <c r="G467" s="386" t="s">
        <v>3292</v>
      </c>
      <c r="H467" s="303" t="s">
        <v>3290</v>
      </c>
      <c r="I467" s="697" t="s">
        <v>3379</v>
      </c>
      <c r="J467" s="307">
        <v>2000</v>
      </c>
      <c r="K467" s="304">
        <v>2</v>
      </c>
      <c r="L467" s="303" t="s">
        <v>1738</v>
      </c>
      <c r="M467" s="304" t="s">
        <v>1751</v>
      </c>
      <c r="N467" s="450">
        <v>0.41984732824427479</v>
      </c>
      <c r="O467" s="309">
        <f t="shared" ref="O467:O498" si="99">R467/S467</f>
        <v>0.41984732824427479</v>
      </c>
      <c r="P467" s="310">
        <f t="shared" ref="P467:P498" si="100">U467/S467</f>
        <v>3.4274809160305342</v>
      </c>
      <c r="Q467" s="329">
        <v>3.4274809160305342</v>
      </c>
      <c r="R467" s="312">
        <v>220</v>
      </c>
      <c r="S467" s="307">
        <v>524</v>
      </c>
      <c r="T467" s="377">
        <f t="shared" ref="T467:T498" si="101">U467/Q467</f>
        <v>524</v>
      </c>
      <c r="U467" s="377">
        <f t="shared" ref="U467:U498" si="102">V467+W467</f>
        <v>1796</v>
      </c>
      <c r="V467" s="307">
        <v>1106</v>
      </c>
      <c r="W467" s="307">
        <v>690</v>
      </c>
      <c r="X467" s="313" t="s">
        <v>3449</v>
      </c>
      <c r="Y467" s="314" t="s">
        <v>2985</v>
      </c>
      <c r="Z467" s="315" t="s">
        <v>3450</v>
      </c>
      <c r="AA467" s="315" t="s">
        <v>1754</v>
      </c>
      <c r="AB467" s="304" t="s">
        <v>1754</v>
      </c>
      <c r="AC467" s="303" t="s">
        <v>2315</v>
      </c>
      <c r="AD467" s="307" t="s">
        <v>3345</v>
      </c>
      <c r="AE467" s="317" t="s">
        <v>2985</v>
      </c>
      <c r="AF467" s="315" t="s">
        <v>3345</v>
      </c>
      <c r="AG467" s="443">
        <v>2.98</v>
      </c>
      <c r="AH467" s="313">
        <v>100</v>
      </c>
      <c r="AI467" s="307">
        <v>0</v>
      </c>
      <c r="AJ467" s="315">
        <v>0</v>
      </c>
      <c r="AK467" s="315">
        <v>0</v>
      </c>
      <c r="AL467" s="315">
        <v>0</v>
      </c>
      <c r="AM467" s="315">
        <v>0</v>
      </c>
      <c r="AN467" s="307">
        <v>0</v>
      </c>
      <c r="AO467" s="307">
        <v>0</v>
      </c>
      <c r="AP467" s="307">
        <v>0</v>
      </c>
      <c r="AQ467" s="307">
        <v>0</v>
      </c>
      <c r="AR467" s="307">
        <v>0</v>
      </c>
      <c r="AS467" s="307">
        <v>0</v>
      </c>
      <c r="AT467" s="307">
        <v>0</v>
      </c>
      <c r="AU467" s="307">
        <v>0</v>
      </c>
      <c r="AV467" s="307">
        <v>0</v>
      </c>
      <c r="AW467" s="307">
        <v>0</v>
      </c>
      <c r="AX467" s="304">
        <v>0</v>
      </c>
      <c r="AY467" s="303">
        <v>78.5</v>
      </c>
      <c r="AZ467" s="356">
        <v>43.175000000000004</v>
      </c>
      <c r="BA467" s="307">
        <v>65</v>
      </c>
      <c r="BB467" s="94" t="s">
        <v>2985</v>
      </c>
      <c r="BC467" s="426">
        <v>45.01</v>
      </c>
      <c r="BD467" s="307" t="s">
        <v>3520</v>
      </c>
      <c r="BE467" s="312">
        <v>100</v>
      </c>
      <c r="BF467" s="307" t="s">
        <v>246</v>
      </c>
      <c r="BG467" s="307">
        <v>200</v>
      </c>
      <c r="BH467" s="430">
        <v>25</v>
      </c>
      <c r="BI467" s="330" t="s">
        <v>2985</v>
      </c>
      <c r="BJ467" s="307">
        <v>31</v>
      </c>
      <c r="BK467" s="311">
        <v>23</v>
      </c>
      <c r="BL467" s="307">
        <v>23</v>
      </c>
      <c r="BM467" s="317" t="s">
        <v>2985</v>
      </c>
      <c r="BN467" s="307">
        <v>65</v>
      </c>
      <c r="BO467" s="259" t="s">
        <v>2985</v>
      </c>
      <c r="BP467" s="320" t="s">
        <v>3309</v>
      </c>
      <c r="BS467" s="321"/>
    </row>
    <row r="468" spans="1:71" s="322" customFormat="1">
      <c r="A468" s="458">
        <v>1914</v>
      </c>
      <c r="B468" s="535" t="s">
        <v>3585</v>
      </c>
      <c r="C468" s="466" t="s">
        <v>3590</v>
      </c>
      <c r="D468" s="383"/>
      <c r="E468" s="470" t="s">
        <v>3590</v>
      </c>
      <c r="F468" s="303" t="s">
        <v>3011</v>
      </c>
      <c r="G468" s="386" t="s">
        <v>3292</v>
      </c>
      <c r="H468" s="303" t="s">
        <v>3290</v>
      </c>
      <c r="I468" s="697" t="s">
        <v>3379</v>
      </c>
      <c r="J468" s="307">
        <v>2000</v>
      </c>
      <c r="K468" s="304">
        <v>2</v>
      </c>
      <c r="L468" s="303" t="s">
        <v>1738</v>
      </c>
      <c r="M468" s="304" t="s">
        <v>1751</v>
      </c>
      <c r="N468" s="450">
        <v>0.42</v>
      </c>
      <c r="O468" s="309">
        <f t="shared" si="99"/>
        <v>0.48275862068965519</v>
      </c>
      <c r="P468" s="310">
        <f t="shared" si="100"/>
        <v>4.195402298850575</v>
      </c>
      <c r="Q468" s="329">
        <v>3.65</v>
      </c>
      <c r="R468" s="312">
        <v>210</v>
      </c>
      <c r="S468" s="307">
        <v>435</v>
      </c>
      <c r="T468" s="377">
        <f t="shared" si="101"/>
        <v>500</v>
      </c>
      <c r="U468" s="377">
        <f t="shared" si="102"/>
        <v>1825</v>
      </c>
      <c r="V468" s="307">
        <v>1106</v>
      </c>
      <c r="W468" s="307">
        <v>719</v>
      </c>
      <c r="X468" s="313" t="s">
        <v>3449</v>
      </c>
      <c r="Y468" s="314" t="s">
        <v>2985</v>
      </c>
      <c r="Z468" s="315" t="s">
        <v>3447</v>
      </c>
      <c r="AA468" s="307" t="s">
        <v>3521</v>
      </c>
      <c r="AB468" s="304" t="s">
        <v>522</v>
      </c>
      <c r="AC468" s="303" t="s">
        <v>2315</v>
      </c>
      <c r="AD468" s="307" t="s">
        <v>3345</v>
      </c>
      <c r="AE468" s="317" t="s">
        <v>2985</v>
      </c>
      <c r="AF468" s="315" t="s">
        <v>3345</v>
      </c>
      <c r="AG468" s="443">
        <v>2.98</v>
      </c>
      <c r="AH468" s="313">
        <v>87</v>
      </c>
      <c r="AI468" s="307">
        <v>0</v>
      </c>
      <c r="AJ468" s="315">
        <v>0</v>
      </c>
      <c r="AK468" s="315">
        <v>0</v>
      </c>
      <c r="AL468" s="315">
        <v>0</v>
      </c>
      <c r="AM468" s="315">
        <v>0</v>
      </c>
      <c r="AN468" s="315">
        <v>0</v>
      </c>
      <c r="AO468" s="382">
        <v>13</v>
      </c>
      <c r="AP468" s="307">
        <v>0</v>
      </c>
      <c r="AQ468" s="307">
        <v>0</v>
      </c>
      <c r="AR468" s="307">
        <v>0</v>
      </c>
      <c r="AS468" s="307">
        <v>0</v>
      </c>
      <c r="AT468" s="307">
        <v>0</v>
      </c>
      <c r="AU468" s="307">
        <v>0</v>
      </c>
      <c r="AV468" s="307">
        <v>0</v>
      </c>
      <c r="AW468" s="307">
        <v>0</v>
      </c>
      <c r="AX468" s="304">
        <v>0</v>
      </c>
      <c r="AY468" s="303">
        <v>63.5</v>
      </c>
      <c r="AZ468" s="311">
        <v>39.369999999999997</v>
      </c>
      <c r="BA468" s="307">
        <v>70</v>
      </c>
      <c r="BB468" s="94" t="s">
        <v>2985</v>
      </c>
      <c r="BC468" s="426">
        <v>42.46</v>
      </c>
      <c r="BD468" s="307" t="s">
        <v>3520</v>
      </c>
      <c r="BE468" s="312">
        <v>100</v>
      </c>
      <c r="BF468" s="307" t="s">
        <v>246</v>
      </c>
      <c r="BG468" s="307">
        <v>200</v>
      </c>
      <c r="BH468" s="430">
        <v>25</v>
      </c>
      <c r="BI468" s="330" t="s">
        <v>2985</v>
      </c>
      <c r="BJ468" s="307">
        <v>28</v>
      </c>
      <c r="BK468" s="311">
        <v>23</v>
      </c>
      <c r="BL468" s="307">
        <v>23</v>
      </c>
      <c r="BM468" s="317" t="s">
        <v>2985</v>
      </c>
      <c r="BN468" s="307">
        <v>65</v>
      </c>
      <c r="BO468" s="259" t="s">
        <v>2985</v>
      </c>
      <c r="BP468" s="320" t="s">
        <v>3380</v>
      </c>
      <c r="BS468" s="321"/>
    </row>
    <row r="469" spans="1:71" s="322" customFormat="1">
      <c r="A469" s="458">
        <v>1916</v>
      </c>
      <c r="B469" s="528" t="s">
        <v>3615</v>
      </c>
      <c r="C469" s="383"/>
      <c r="D469" s="383"/>
      <c r="E469" s="470" t="s">
        <v>3590</v>
      </c>
      <c r="F469" s="303" t="s">
        <v>3013</v>
      </c>
      <c r="G469" s="386" t="s">
        <v>3292</v>
      </c>
      <c r="H469" s="303" t="s">
        <v>3290</v>
      </c>
      <c r="I469" s="697" t="s">
        <v>3379</v>
      </c>
      <c r="J469" s="307">
        <v>2000</v>
      </c>
      <c r="K469" s="304">
        <v>2</v>
      </c>
      <c r="L469" s="303" t="s">
        <v>1738</v>
      </c>
      <c r="M469" s="304" t="s">
        <v>1751</v>
      </c>
      <c r="N469" s="450">
        <v>0.41977611940298498</v>
      </c>
      <c r="O469" s="309">
        <f t="shared" si="99"/>
        <v>0.41977611940298509</v>
      </c>
      <c r="P469" s="310">
        <f t="shared" si="100"/>
        <v>3.3041044776119404</v>
      </c>
      <c r="Q469" s="329">
        <v>3.3041044776119404</v>
      </c>
      <c r="R469" s="312">
        <v>225</v>
      </c>
      <c r="S469" s="307">
        <v>536</v>
      </c>
      <c r="T469" s="377">
        <f t="shared" si="101"/>
        <v>536</v>
      </c>
      <c r="U469" s="377">
        <f t="shared" si="102"/>
        <v>1771</v>
      </c>
      <c r="V469" s="307">
        <v>1106</v>
      </c>
      <c r="W469" s="307">
        <v>665</v>
      </c>
      <c r="X469" s="313" t="s">
        <v>3449</v>
      </c>
      <c r="Y469" s="314" t="s">
        <v>2985</v>
      </c>
      <c r="Z469" s="315" t="s">
        <v>3448</v>
      </c>
      <c r="AA469" s="315" t="s">
        <v>1754</v>
      </c>
      <c r="AB469" s="304" t="s">
        <v>1754</v>
      </c>
      <c r="AC469" s="303" t="s">
        <v>2315</v>
      </c>
      <c r="AD469" s="307" t="s">
        <v>3345</v>
      </c>
      <c r="AE469" s="317" t="s">
        <v>2985</v>
      </c>
      <c r="AF469" s="315" t="s">
        <v>3345</v>
      </c>
      <c r="AG469" s="443">
        <v>2.98</v>
      </c>
      <c r="AH469" s="313">
        <v>100</v>
      </c>
      <c r="AI469" s="307">
        <v>0</v>
      </c>
      <c r="AJ469" s="315">
        <v>0</v>
      </c>
      <c r="AK469" s="315">
        <v>0</v>
      </c>
      <c r="AL469" s="315">
        <v>0</v>
      </c>
      <c r="AM469" s="315">
        <v>0</v>
      </c>
      <c r="AN469" s="307">
        <v>0</v>
      </c>
      <c r="AO469" s="307">
        <v>0</v>
      </c>
      <c r="AP469" s="307">
        <v>0</v>
      </c>
      <c r="AQ469" s="307">
        <v>0</v>
      </c>
      <c r="AR469" s="307">
        <v>0</v>
      </c>
      <c r="AS469" s="307">
        <v>0</v>
      </c>
      <c r="AT469" s="307">
        <v>0</v>
      </c>
      <c r="AU469" s="307">
        <v>0</v>
      </c>
      <c r="AV469" s="307">
        <v>0</v>
      </c>
      <c r="AW469" s="307">
        <v>0</v>
      </c>
      <c r="AX469" s="304">
        <v>0</v>
      </c>
      <c r="AY469" s="303">
        <v>72</v>
      </c>
      <c r="AZ469" s="311">
        <v>39.6</v>
      </c>
      <c r="BA469" s="307">
        <v>70</v>
      </c>
      <c r="BB469" s="94" t="s">
        <v>2985</v>
      </c>
      <c r="BC469" s="426">
        <v>43.14</v>
      </c>
      <c r="BD469" s="307" t="s">
        <v>3520</v>
      </c>
      <c r="BE469" s="312">
        <v>100</v>
      </c>
      <c r="BF469" s="307" t="s">
        <v>246</v>
      </c>
      <c r="BG469" s="307">
        <v>200</v>
      </c>
      <c r="BH469" s="430">
        <v>25</v>
      </c>
      <c r="BI469" s="330" t="s">
        <v>2985</v>
      </c>
      <c r="BJ469" s="307">
        <v>30</v>
      </c>
      <c r="BK469" s="311">
        <v>23</v>
      </c>
      <c r="BL469" s="307">
        <v>23</v>
      </c>
      <c r="BM469" s="317" t="s">
        <v>2985</v>
      </c>
      <c r="BN469" s="307">
        <v>65</v>
      </c>
      <c r="BO469" s="259" t="s">
        <v>2985</v>
      </c>
      <c r="BP469" s="320" t="s">
        <v>3310</v>
      </c>
      <c r="BS469" s="321"/>
    </row>
    <row r="470" spans="1:71" s="322" customFormat="1">
      <c r="A470" s="458">
        <v>1917</v>
      </c>
      <c r="B470" s="533" t="s">
        <v>3614</v>
      </c>
      <c r="C470" s="466" t="s">
        <v>3590</v>
      </c>
      <c r="D470" s="383"/>
      <c r="E470" s="470" t="s">
        <v>3590</v>
      </c>
      <c r="F470" s="303" t="s">
        <v>3014</v>
      </c>
      <c r="G470" s="386" t="s">
        <v>3292</v>
      </c>
      <c r="H470" s="303" t="s">
        <v>3290</v>
      </c>
      <c r="I470" s="697" t="s">
        <v>3379</v>
      </c>
      <c r="J470" s="307">
        <v>2000</v>
      </c>
      <c r="K470" s="304">
        <v>2</v>
      </c>
      <c r="L470" s="303" t="s">
        <v>1738</v>
      </c>
      <c r="M470" s="304" t="s">
        <v>1751</v>
      </c>
      <c r="N470" s="476">
        <v>0.58238636363636365</v>
      </c>
      <c r="O470" s="309">
        <f t="shared" si="99"/>
        <v>0.58238636363636365</v>
      </c>
      <c r="P470" s="310">
        <f t="shared" si="100"/>
        <v>5.7357954545454541</v>
      </c>
      <c r="Q470" s="329">
        <v>5.7357954545454541</v>
      </c>
      <c r="R470" s="312">
        <v>205</v>
      </c>
      <c r="S470" s="307">
        <v>352</v>
      </c>
      <c r="T470" s="377">
        <f t="shared" si="101"/>
        <v>352</v>
      </c>
      <c r="U470" s="377">
        <f t="shared" si="102"/>
        <v>2019</v>
      </c>
      <c r="V470" s="307">
        <v>1106</v>
      </c>
      <c r="W470" s="307">
        <v>913</v>
      </c>
      <c r="X470" s="313" t="s">
        <v>3449</v>
      </c>
      <c r="Y470" s="314" t="s">
        <v>2985</v>
      </c>
      <c r="Z470" s="315" t="s">
        <v>3448</v>
      </c>
      <c r="AA470" s="315" t="s">
        <v>1754</v>
      </c>
      <c r="AB470" s="304" t="s">
        <v>1754</v>
      </c>
      <c r="AC470" s="303" t="s">
        <v>2315</v>
      </c>
      <c r="AD470" s="307" t="s">
        <v>3345</v>
      </c>
      <c r="AE470" s="317" t="s">
        <v>2985</v>
      </c>
      <c r="AF470" s="315" t="s">
        <v>3345</v>
      </c>
      <c r="AG470" s="443">
        <v>2.98</v>
      </c>
      <c r="AH470" s="313">
        <v>100</v>
      </c>
      <c r="AI470" s="307">
        <v>0</v>
      </c>
      <c r="AJ470" s="315">
        <v>0</v>
      </c>
      <c r="AK470" s="315">
        <v>0</v>
      </c>
      <c r="AL470" s="315">
        <v>0</v>
      </c>
      <c r="AM470" s="315">
        <v>0</v>
      </c>
      <c r="AN470" s="307">
        <v>0</v>
      </c>
      <c r="AO470" s="307">
        <v>0</v>
      </c>
      <c r="AP470" s="307">
        <v>0</v>
      </c>
      <c r="AQ470" s="307">
        <v>0</v>
      </c>
      <c r="AR470" s="307">
        <v>0</v>
      </c>
      <c r="AS470" s="307">
        <v>0</v>
      </c>
      <c r="AT470" s="307">
        <v>0</v>
      </c>
      <c r="AU470" s="307">
        <v>0</v>
      </c>
      <c r="AV470" s="307">
        <v>0</v>
      </c>
      <c r="AW470" s="307">
        <v>0</v>
      </c>
      <c r="AX470" s="304">
        <v>0</v>
      </c>
      <c r="AY470" s="303">
        <v>47</v>
      </c>
      <c r="AZ470" s="311"/>
      <c r="BA470" s="307">
        <v>100</v>
      </c>
      <c r="BB470" s="94" t="s">
        <v>2985</v>
      </c>
      <c r="BC470" s="426">
        <v>38.94</v>
      </c>
      <c r="BD470" s="307" t="s">
        <v>3520</v>
      </c>
      <c r="BE470" s="312">
        <v>100</v>
      </c>
      <c r="BF470" s="307" t="s">
        <v>246</v>
      </c>
      <c r="BG470" s="307">
        <v>200</v>
      </c>
      <c r="BH470" s="430">
        <v>25</v>
      </c>
      <c r="BI470" s="330" t="s">
        <v>2985</v>
      </c>
      <c r="BJ470" s="307">
        <v>30</v>
      </c>
      <c r="BK470" s="317" t="s">
        <v>2985</v>
      </c>
      <c r="BL470" s="307">
        <v>23</v>
      </c>
      <c r="BM470" s="317" t="s">
        <v>2985</v>
      </c>
      <c r="BN470" s="307">
        <v>65</v>
      </c>
      <c r="BO470" s="259" t="s">
        <v>2985</v>
      </c>
      <c r="BP470" s="320" t="s">
        <v>3310</v>
      </c>
      <c r="BS470" s="321"/>
    </row>
    <row r="471" spans="1:71" s="322" customFormat="1">
      <c r="A471" s="458">
        <v>1918</v>
      </c>
      <c r="B471" s="535" t="s">
        <v>3585</v>
      </c>
      <c r="C471" s="383"/>
      <c r="D471" s="383"/>
      <c r="E471" s="470" t="s">
        <v>3590</v>
      </c>
      <c r="F471" s="303" t="s">
        <v>3015</v>
      </c>
      <c r="G471" s="386" t="s">
        <v>3292</v>
      </c>
      <c r="H471" s="303" t="s">
        <v>3290</v>
      </c>
      <c r="I471" s="697" t="s">
        <v>3379</v>
      </c>
      <c r="J471" s="307">
        <v>2000</v>
      </c>
      <c r="K471" s="304">
        <v>2</v>
      </c>
      <c r="L471" s="303" t="s">
        <v>1738</v>
      </c>
      <c r="M471" s="304" t="s">
        <v>1751</v>
      </c>
      <c r="N471" s="450">
        <v>0.42008196721311475</v>
      </c>
      <c r="O471" s="309">
        <f t="shared" si="99"/>
        <v>0.48285283587714339</v>
      </c>
      <c r="P471" s="310">
        <f t="shared" si="100"/>
        <v>4.3527416619559069</v>
      </c>
      <c r="Q471" s="329">
        <v>3.7868852459016393</v>
      </c>
      <c r="R471" s="312">
        <v>205</v>
      </c>
      <c r="S471" s="307">
        <v>424.56</v>
      </c>
      <c r="T471" s="377">
        <f t="shared" si="101"/>
        <v>488</v>
      </c>
      <c r="U471" s="377">
        <f t="shared" si="102"/>
        <v>1848</v>
      </c>
      <c r="V471" s="307">
        <v>1106</v>
      </c>
      <c r="W471" s="307">
        <v>742</v>
      </c>
      <c r="X471" s="313" t="s">
        <v>3449</v>
      </c>
      <c r="Y471" s="314" t="s">
        <v>2985</v>
      </c>
      <c r="Z471" s="315" t="s">
        <v>3447</v>
      </c>
      <c r="AA471" s="307" t="s">
        <v>3522</v>
      </c>
      <c r="AB471" s="304" t="s">
        <v>522</v>
      </c>
      <c r="AC471" s="303" t="s">
        <v>2315</v>
      </c>
      <c r="AD471" s="307" t="s">
        <v>3345</v>
      </c>
      <c r="AE471" s="317" t="s">
        <v>2985</v>
      </c>
      <c r="AF471" s="315" t="s">
        <v>3345</v>
      </c>
      <c r="AG471" s="443">
        <v>2.98</v>
      </c>
      <c r="AH471" s="313">
        <v>87</v>
      </c>
      <c r="AI471" s="307">
        <v>0</v>
      </c>
      <c r="AJ471" s="406">
        <v>13</v>
      </c>
      <c r="AK471" s="315">
        <v>0</v>
      </c>
      <c r="AL471" s="315">
        <v>0</v>
      </c>
      <c r="AM471" s="315">
        <v>0</v>
      </c>
      <c r="AN471" s="307">
        <v>0</v>
      </c>
      <c r="AO471" s="307">
        <v>0</v>
      </c>
      <c r="AP471" s="307">
        <v>0</v>
      </c>
      <c r="AQ471" s="307">
        <v>0</v>
      </c>
      <c r="AR471" s="307">
        <v>0</v>
      </c>
      <c r="AS471" s="307">
        <v>0</v>
      </c>
      <c r="AT471" s="307">
        <v>0</v>
      </c>
      <c r="AU471" s="307">
        <v>0</v>
      </c>
      <c r="AV471" s="307">
        <v>0</v>
      </c>
      <c r="AW471" s="307">
        <v>0</v>
      </c>
      <c r="AX471" s="304">
        <v>0</v>
      </c>
      <c r="AY471" s="303">
        <v>72</v>
      </c>
      <c r="AZ471" s="311">
        <v>44.64</v>
      </c>
      <c r="BA471" s="307">
        <v>65</v>
      </c>
      <c r="BB471" s="94" t="s">
        <v>2985</v>
      </c>
      <c r="BC471" s="426">
        <v>45.06</v>
      </c>
      <c r="BD471" s="307" t="s">
        <v>3520</v>
      </c>
      <c r="BE471" s="312">
        <v>100</v>
      </c>
      <c r="BF471" s="307" t="s">
        <v>246</v>
      </c>
      <c r="BG471" s="307">
        <v>200</v>
      </c>
      <c r="BH471" s="430">
        <v>25</v>
      </c>
      <c r="BI471" s="330" t="s">
        <v>2985</v>
      </c>
      <c r="BJ471" s="307">
        <v>29</v>
      </c>
      <c r="BK471" s="311">
        <v>23</v>
      </c>
      <c r="BL471" s="307">
        <v>23</v>
      </c>
      <c r="BM471" s="317" t="s">
        <v>2985</v>
      </c>
      <c r="BN471" s="307">
        <v>65</v>
      </c>
      <c r="BO471" s="259" t="s">
        <v>2985</v>
      </c>
      <c r="BP471" s="320" t="s">
        <v>3381</v>
      </c>
      <c r="BS471" s="321"/>
    </row>
    <row r="472" spans="1:71" s="322" customFormat="1" ht="18">
      <c r="A472" s="458">
        <v>1920</v>
      </c>
      <c r="B472" s="533" t="s">
        <v>3634</v>
      </c>
      <c r="C472" s="466" t="s">
        <v>3590</v>
      </c>
      <c r="D472" s="383"/>
      <c r="E472" s="470" t="s">
        <v>3590</v>
      </c>
      <c r="F472" s="303" t="s">
        <v>3017</v>
      </c>
      <c r="G472" s="386" t="s">
        <v>3292</v>
      </c>
      <c r="H472" s="303" t="s">
        <v>3290</v>
      </c>
      <c r="I472" s="697" t="s">
        <v>3379</v>
      </c>
      <c r="J472" s="307">
        <v>2000</v>
      </c>
      <c r="K472" s="304">
        <v>2</v>
      </c>
      <c r="L472" s="303" t="s">
        <v>1738</v>
      </c>
      <c r="M472" s="304" t="s">
        <v>1751</v>
      </c>
      <c r="N472" s="450">
        <v>0.42025862068965519</v>
      </c>
      <c r="O472" s="309">
        <f t="shared" si="99"/>
        <v>0.6</v>
      </c>
      <c r="P472" s="310">
        <f t="shared" si="100"/>
        <v>5.781538461538462</v>
      </c>
      <c r="Q472" s="329">
        <v>4.0495689655172411</v>
      </c>
      <c r="R472" s="312">
        <v>195</v>
      </c>
      <c r="S472" s="307">
        <v>325</v>
      </c>
      <c r="T472" s="377">
        <f t="shared" si="101"/>
        <v>464.00000000000006</v>
      </c>
      <c r="U472" s="377">
        <f t="shared" si="102"/>
        <v>1879</v>
      </c>
      <c r="V472" s="307">
        <v>1106</v>
      </c>
      <c r="W472" s="307">
        <v>773</v>
      </c>
      <c r="X472" s="313" t="s">
        <v>3449</v>
      </c>
      <c r="Y472" s="314" t="s">
        <v>2985</v>
      </c>
      <c r="Z472" s="315" t="s">
        <v>3446</v>
      </c>
      <c r="AA472" s="315" t="s">
        <v>3523</v>
      </c>
      <c r="AB472" s="304" t="s">
        <v>1754</v>
      </c>
      <c r="AC472" s="303" t="s">
        <v>2315</v>
      </c>
      <c r="AD472" s="307" t="s">
        <v>3345</v>
      </c>
      <c r="AE472" s="317" t="s">
        <v>2985</v>
      </c>
      <c r="AF472" s="315" t="s">
        <v>3345</v>
      </c>
      <c r="AG472" s="443">
        <v>2.98</v>
      </c>
      <c r="AH472" s="313">
        <v>70</v>
      </c>
      <c r="AI472" s="307">
        <v>0</v>
      </c>
      <c r="AJ472" s="315">
        <v>30</v>
      </c>
      <c r="AK472" s="315">
        <v>0</v>
      </c>
      <c r="AL472" s="315">
        <v>0</v>
      </c>
      <c r="AM472" s="315">
        <v>0</v>
      </c>
      <c r="AN472" s="307">
        <v>0</v>
      </c>
      <c r="AO472" s="307">
        <v>0</v>
      </c>
      <c r="AP472" s="307">
        <v>0</v>
      </c>
      <c r="AQ472" s="307">
        <v>0</v>
      </c>
      <c r="AR472" s="307">
        <v>0</v>
      </c>
      <c r="AS472" s="307">
        <v>0</v>
      </c>
      <c r="AT472" s="307">
        <v>0</v>
      </c>
      <c r="AU472" s="307">
        <v>0</v>
      </c>
      <c r="AV472" s="307">
        <v>0</v>
      </c>
      <c r="AW472" s="307">
        <v>0</v>
      </c>
      <c r="AX472" s="304">
        <v>0</v>
      </c>
      <c r="AY472" s="303">
        <v>55</v>
      </c>
      <c r="AZ472" s="311"/>
      <c r="BA472" s="307">
        <v>70</v>
      </c>
      <c r="BB472" s="507" t="s">
        <v>2985</v>
      </c>
      <c r="BC472" s="426">
        <v>44.04</v>
      </c>
      <c r="BD472" s="307" t="s">
        <v>3520</v>
      </c>
      <c r="BE472" s="312">
        <v>100</v>
      </c>
      <c r="BF472" s="307" t="s">
        <v>246</v>
      </c>
      <c r="BG472" s="307">
        <v>200</v>
      </c>
      <c r="BH472" s="430">
        <v>25</v>
      </c>
      <c r="BI472" s="330" t="s">
        <v>2985</v>
      </c>
      <c r="BJ472" s="307">
        <v>30</v>
      </c>
      <c r="BK472" s="317" t="s">
        <v>2985</v>
      </c>
      <c r="BL472" s="307">
        <v>23</v>
      </c>
      <c r="BM472" s="317" t="s">
        <v>2985</v>
      </c>
      <c r="BN472" s="307">
        <v>65</v>
      </c>
      <c r="BO472" s="259" t="s">
        <v>2985</v>
      </c>
      <c r="BP472" s="320" t="s">
        <v>3311</v>
      </c>
      <c r="BS472" s="321"/>
    </row>
    <row r="473" spans="1:71" s="322" customFormat="1" ht="18">
      <c r="A473" s="458">
        <v>1922</v>
      </c>
      <c r="B473" s="533" t="s">
        <v>3634</v>
      </c>
      <c r="C473" s="466" t="s">
        <v>3590</v>
      </c>
      <c r="D473" s="383"/>
      <c r="E473" s="470" t="s">
        <v>3590</v>
      </c>
      <c r="F473" s="303" t="s">
        <v>3019</v>
      </c>
      <c r="G473" s="386" t="s">
        <v>3292</v>
      </c>
      <c r="H473" s="303" t="s">
        <v>3290</v>
      </c>
      <c r="I473" s="697" t="s">
        <v>3379</v>
      </c>
      <c r="J473" s="307">
        <v>2000</v>
      </c>
      <c r="K473" s="304">
        <v>2</v>
      </c>
      <c r="L473" s="303" t="s">
        <v>1738</v>
      </c>
      <c r="M473" s="304" t="s">
        <v>1751</v>
      </c>
      <c r="N473" s="450">
        <v>0.42008196721311475</v>
      </c>
      <c r="O473" s="309">
        <f t="shared" si="99"/>
        <v>0.58344717668488155</v>
      </c>
      <c r="P473" s="310">
        <f t="shared" si="100"/>
        <v>5.2937158469945356</v>
      </c>
      <c r="Q473" s="329">
        <v>3.8114754098360657</v>
      </c>
      <c r="R473" s="312">
        <v>205</v>
      </c>
      <c r="S473" s="307">
        <v>351.36</v>
      </c>
      <c r="T473" s="377">
        <f t="shared" si="101"/>
        <v>488</v>
      </c>
      <c r="U473" s="377">
        <f t="shared" si="102"/>
        <v>1860</v>
      </c>
      <c r="V473" s="307">
        <v>1106</v>
      </c>
      <c r="W473" s="307">
        <v>754</v>
      </c>
      <c r="X473" s="313" t="s">
        <v>3449</v>
      </c>
      <c r="Y473" s="314" t="s">
        <v>2985</v>
      </c>
      <c r="Z473" s="315" t="s">
        <v>3447</v>
      </c>
      <c r="AA473" s="307" t="s">
        <v>3523</v>
      </c>
      <c r="AB473" s="304" t="s">
        <v>522</v>
      </c>
      <c r="AC473" s="303" t="s">
        <v>2315</v>
      </c>
      <c r="AD473" s="307" t="s">
        <v>3345</v>
      </c>
      <c r="AE473" s="317" t="s">
        <v>2985</v>
      </c>
      <c r="AF473" s="315" t="s">
        <v>3345</v>
      </c>
      <c r="AG473" s="443">
        <v>2.98</v>
      </c>
      <c r="AH473" s="313">
        <v>72</v>
      </c>
      <c r="AI473" s="307">
        <v>0</v>
      </c>
      <c r="AJ473" s="315">
        <v>28</v>
      </c>
      <c r="AK473" s="315">
        <v>0</v>
      </c>
      <c r="AL473" s="315">
        <v>0</v>
      </c>
      <c r="AM473" s="315">
        <v>0</v>
      </c>
      <c r="AN473" s="307">
        <v>0</v>
      </c>
      <c r="AO473" s="307">
        <v>0</v>
      </c>
      <c r="AP473" s="307">
        <v>0</v>
      </c>
      <c r="AQ473" s="307">
        <v>0</v>
      </c>
      <c r="AR473" s="307">
        <v>0</v>
      </c>
      <c r="AS473" s="307">
        <v>0</v>
      </c>
      <c r="AT473" s="307">
        <v>0</v>
      </c>
      <c r="AU473" s="307">
        <v>0</v>
      </c>
      <c r="AV473" s="307">
        <v>0</v>
      </c>
      <c r="AW473" s="307">
        <v>0</v>
      </c>
      <c r="AX473" s="304">
        <v>0</v>
      </c>
      <c r="AY473" s="303">
        <v>56.5</v>
      </c>
      <c r="AZ473" s="311"/>
      <c r="BA473" s="307">
        <v>75</v>
      </c>
      <c r="BB473" s="94" t="s">
        <v>2985</v>
      </c>
      <c r="BC473" s="426">
        <v>38.99</v>
      </c>
      <c r="BD473" s="307" t="s">
        <v>3520</v>
      </c>
      <c r="BE473" s="312">
        <v>100</v>
      </c>
      <c r="BF473" s="307" t="s">
        <v>246</v>
      </c>
      <c r="BG473" s="307">
        <v>200</v>
      </c>
      <c r="BH473" s="312">
        <v>25</v>
      </c>
      <c r="BI473" s="330" t="s">
        <v>2985</v>
      </c>
      <c r="BJ473" s="307">
        <v>31</v>
      </c>
      <c r="BK473" s="317" t="s">
        <v>2985</v>
      </c>
      <c r="BL473" s="307">
        <v>23</v>
      </c>
      <c r="BM473" s="317" t="s">
        <v>2985</v>
      </c>
      <c r="BN473" s="307">
        <v>65</v>
      </c>
      <c r="BO473" s="259" t="s">
        <v>2985</v>
      </c>
      <c r="BP473" s="320" t="s">
        <v>3382</v>
      </c>
      <c r="BS473" s="321"/>
    </row>
    <row r="474" spans="1:71" s="322" customFormat="1" ht="18">
      <c r="A474" s="458">
        <v>1924</v>
      </c>
      <c r="B474" s="533" t="s">
        <v>3634</v>
      </c>
      <c r="C474" s="466" t="s">
        <v>3590</v>
      </c>
      <c r="D474" s="383"/>
      <c r="E474" s="470" t="s">
        <v>3590</v>
      </c>
      <c r="F474" s="303" t="s">
        <v>3021</v>
      </c>
      <c r="G474" s="386" t="s">
        <v>3292</v>
      </c>
      <c r="H474" s="303" t="s">
        <v>3290</v>
      </c>
      <c r="I474" s="697" t="s">
        <v>3379</v>
      </c>
      <c r="J474" s="307">
        <v>2000</v>
      </c>
      <c r="K474" s="304">
        <v>2</v>
      </c>
      <c r="L474" s="303" t="s">
        <v>1738</v>
      </c>
      <c r="M474" s="304" t="s">
        <v>1751</v>
      </c>
      <c r="N474" s="450">
        <v>0.419921875</v>
      </c>
      <c r="O474" s="309">
        <f t="shared" si="99"/>
        <v>0.83984375</v>
      </c>
      <c r="P474" s="310">
        <f t="shared" si="100"/>
        <v>7.03125</v>
      </c>
      <c r="Q474" s="329">
        <v>3.515625</v>
      </c>
      <c r="R474" s="312">
        <v>215</v>
      </c>
      <c r="S474" s="307">
        <v>256</v>
      </c>
      <c r="T474" s="377">
        <f t="shared" si="101"/>
        <v>512</v>
      </c>
      <c r="U474" s="377">
        <f t="shared" si="102"/>
        <v>1800</v>
      </c>
      <c r="V474" s="307">
        <v>1106</v>
      </c>
      <c r="W474" s="307">
        <v>694</v>
      </c>
      <c r="X474" s="313" t="s">
        <v>3449</v>
      </c>
      <c r="Y474" s="314" t="s">
        <v>2985</v>
      </c>
      <c r="Z474" s="315" t="s">
        <v>3446</v>
      </c>
      <c r="AA474" s="315" t="s">
        <v>3524</v>
      </c>
      <c r="AB474" s="304" t="s">
        <v>1754</v>
      </c>
      <c r="AC474" s="303" t="s">
        <v>2315</v>
      </c>
      <c r="AD474" s="307" t="s">
        <v>3345</v>
      </c>
      <c r="AE474" s="317" t="s">
        <v>2985</v>
      </c>
      <c r="AF474" s="315" t="s">
        <v>3345</v>
      </c>
      <c r="AG474" s="443">
        <v>2.98</v>
      </c>
      <c r="AH474" s="313">
        <v>50</v>
      </c>
      <c r="AI474" s="307">
        <v>0</v>
      </c>
      <c r="AJ474" s="315">
        <v>0</v>
      </c>
      <c r="AK474" s="315">
        <v>50</v>
      </c>
      <c r="AL474" s="315">
        <v>0</v>
      </c>
      <c r="AM474" s="315">
        <v>0</v>
      </c>
      <c r="AN474" s="307">
        <v>0</v>
      </c>
      <c r="AO474" s="307">
        <v>0</v>
      </c>
      <c r="AP474" s="307">
        <v>0</v>
      </c>
      <c r="AQ474" s="307">
        <v>0</v>
      </c>
      <c r="AR474" s="307">
        <v>0</v>
      </c>
      <c r="AS474" s="307">
        <v>0</v>
      </c>
      <c r="AT474" s="307">
        <v>0</v>
      </c>
      <c r="AU474" s="307">
        <v>0</v>
      </c>
      <c r="AV474" s="307">
        <v>0</v>
      </c>
      <c r="AW474" s="307">
        <v>0</v>
      </c>
      <c r="AX474" s="304">
        <v>0</v>
      </c>
      <c r="AY474" s="303">
        <v>45.5</v>
      </c>
      <c r="AZ474" s="311"/>
      <c r="BA474" s="307">
        <v>70</v>
      </c>
      <c r="BB474" s="94" t="s">
        <v>2985</v>
      </c>
      <c r="BC474" s="426">
        <v>34.5</v>
      </c>
      <c r="BD474" s="307" t="s">
        <v>3520</v>
      </c>
      <c r="BE474" s="312">
        <v>100</v>
      </c>
      <c r="BF474" s="307" t="s">
        <v>246</v>
      </c>
      <c r="BG474" s="307">
        <v>200</v>
      </c>
      <c r="BH474" s="312">
        <v>25</v>
      </c>
      <c r="BI474" s="330" t="s">
        <v>2985</v>
      </c>
      <c r="BJ474" s="307">
        <v>30</v>
      </c>
      <c r="BK474" s="317" t="s">
        <v>2985</v>
      </c>
      <c r="BL474" s="307">
        <v>23</v>
      </c>
      <c r="BM474" s="317" t="s">
        <v>2985</v>
      </c>
      <c r="BN474" s="307">
        <v>65</v>
      </c>
      <c r="BO474" s="259" t="s">
        <v>2985</v>
      </c>
      <c r="BP474" s="320" t="s">
        <v>3312</v>
      </c>
      <c r="BS474" s="321"/>
    </row>
    <row r="475" spans="1:71" ht="18">
      <c r="A475" s="458">
        <v>1926</v>
      </c>
      <c r="B475" s="533" t="s">
        <v>3634</v>
      </c>
      <c r="C475" s="466" t="s">
        <v>3590</v>
      </c>
      <c r="D475" s="383"/>
      <c r="E475" s="470" t="s">
        <v>3590</v>
      </c>
      <c r="F475" s="303" t="s">
        <v>3023</v>
      </c>
      <c r="G475" s="386" t="s">
        <v>3292</v>
      </c>
      <c r="H475" s="303" t="s">
        <v>3290</v>
      </c>
      <c r="I475" s="697" t="s">
        <v>3379</v>
      </c>
      <c r="J475" s="307">
        <v>2000</v>
      </c>
      <c r="K475" s="304">
        <v>2</v>
      </c>
      <c r="L475" s="303" t="s">
        <v>1738</v>
      </c>
      <c r="M475" s="304" t="s">
        <v>1751</v>
      </c>
      <c r="N475" s="450">
        <v>0.42016806722689076</v>
      </c>
      <c r="O475" s="309">
        <f t="shared" si="99"/>
        <v>0.60060060060060061</v>
      </c>
      <c r="P475" s="310">
        <f t="shared" si="100"/>
        <v>5.5645645645645647</v>
      </c>
      <c r="Q475" s="329">
        <v>3.8928571428571428</v>
      </c>
      <c r="R475" s="312">
        <v>200</v>
      </c>
      <c r="S475" s="307">
        <v>333</v>
      </c>
      <c r="T475" s="377">
        <f t="shared" si="101"/>
        <v>476</v>
      </c>
      <c r="U475" s="377">
        <f t="shared" si="102"/>
        <v>1853</v>
      </c>
      <c r="V475" s="307">
        <v>1106</v>
      </c>
      <c r="W475" s="307">
        <v>747</v>
      </c>
      <c r="X475" s="313" t="s">
        <v>3449</v>
      </c>
      <c r="Y475" s="314" t="s">
        <v>2985</v>
      </c>
      <c r="Z475" s="315" t="s">
        <v>3446</v>
      </c>
      <c r="AA475" s="315" t="s">
        <v>3523</v>
      </c>
      <c r="AB475" s="304" t="s">
        <v>1754</v>
      </c>
      <c r="AC475" s="303" t="s">
        <v>2315</v>
      </c>
      <c r="AD475" s="307" t="s">
        <v>3345</v>
      </c>
      <c r="AE475" s="317" t="s">
        <v>2985</v>
      </c>
      <c r="AF475" s="315" t="s">
        <v>3345</v>
      </c>
      <c r="AG475" s="443">
        <v>2.98</v>
      </c>
      <c r="AH475" s="313">
        <v>70</v>
      </c>
      <c r="AI475" s="307">
        <v>0</v>
      </c>
      <c r="AJ475" s="315">
        <v>30</v>
      </c>
      <c r="AK475" s="315">
        <v>0</v>
      </c>
      <c r="AL475" s="315">
        <v>0</v>
      </c>
      <c r="AM475" s="315">
        <v>0</v>
      </c>
      <c r="AN475" s="307">
        <v>0</v>
      </c>
      <c r="AO475" s="307">
        <v>0</v>
      </c>
      <c r="AP475" s="307">
        <v>0</v>
      </c>
      <c r="AQ475" s="307">
        <v>0</v>
      </c>
      <c r="AR475" s="307">
        <v>0</v>
      </c>
      <c r="AS475" s="307">
        <v>0</v>
      </c>
      <c r="AT475" s="307">
        <v>0</v>
      </c>
      <c r="AU475" s="307">
        <v>0</v>
      </c>
      <c r="AV475" s="307">
        <v>0</v>
      </c>
      <c r="AW475" s="307">
        <v>0</v>
      </c>
      <c r="AX475" s="304">
        <v>0</v>
      </c>
      <c r="AY475" s="303">
        <v>59.5</v>
      </c>
      <c r="AZ475" s="311">
        <v>36.89</v>
      </c>
      <c r="BA475" s="307">
        <v>75</v>
      </c>
      <c r="BB475" s="94" t="s">
        <v>2985</v>
      </c>
      <c r="BC475" s="426">
        <v>40.200000000000003</v>
      </c>
      <c r="BD475" s="307" t="s">
        <v>3520</v>
      </c>
      <c r="BE475" s="312">
        <v>100</v>
      </c>
      <c r="BF475" s="307" t="s">
        <v>246</v>
      </c>
      <c r="BG475" s="307">
        <v>200</v>
      </c>
      <c r="BH475" s="312">
        <v>25</v>
      </c>
      <c r="BI475" s="330" t="s">
        <v>2985</v>
      </c>
      <c r="BJ475" s="307">
        <v>28</v>
      </c>
      <c r="BK475" s="317" t="s">
        <v>2985</v>
      </c>
      <c r="BL475" s="307">
        <v>23</v>
      </c>
      <c r="BM475" s="317" t="s">
        <v>2985</v>
      </c>
      <c r="BN475" s="307">
        <v>65</v>
      </c>
      <c r="BO475" s="259" t="s">
        <v>2985</v>
      </c>
      <c r="BP475" s="320" t="s">
        <v>3313</v>
      </c>
    </row>
    <row r="476" spans="1:71" ht="18">
      <c r="A476" s="458">
        <v>1928</v>
      </c>
      <c r="B476" s="533" t="s">
        <v>3634</v>
      </c>
      <c r="C476" s="466" t="s">
        <v>3590</v>
      </c>
      <c r="D476" s="383"/>
      <c r="E476" s="470" t="s">
        <v>3590</v>
      </c>
      <c r="F476" s="303" t="s">
        <v>3025</v>
      </c>
      <c r="G476" s="386" t="s">
        <v>3292</v>
      </c>
      <c r="H476" s="303" t="s">
        <v>3290</v>
      </c>
      <c r="I476" s="697" t="s">
        <v>3379</v>
      </c>
      <c r="J476" s="307">
        <v>2000</v>
      </c>
      <c r="K476" s="304">
        <v>2</v>
      </c>
      <c r="L476" s="303" t="s">
        <v>1738</v>
      </c>
      <c r="M476" s="304" t="s">
        <v>1751</v>
      </c>
      <c r="N476" s="450">
        <v>0.42008196721311475</v>
      </c>
      <c r="O476" s="309">
        <f t="shared" si="99"/>
        <v>0.59941520467836262</v>
      </c>
      <c r="P476" s="310">
        <f t="shared" si="100"/>
        <v>5.3421052631578947</v>
      </c>
      <c r="Q476" s="329">
        <v>3.7438524590163933</v>
      </c>
      <c r="R476" s="312">
        <v>205</v>
      </c>
      <c r="S476" s="307">
        <v>342</v>
      </c>
      <c r="T476" s="377">
        <f t="shared" si="101"/>
        <v>488</v>
      </c>
      <c r="U476" s="377">
        <f t="shared" si="102"/>
        <v>1827</v>
      </c>
      <c r="V476" s="307">
        <v>1106</v>
      </c>
      <c r="W476" s="307">
        <v>721</v>
      </c>
      <c r="X476" s="313" t="s">
        <v>3449</v>
      </c>
      <c r="Y476" s="314" t="s">
        <v>2985</v>
      </c>
      <c r="Z476" s="315" t="s">
        <v>3446</v>
      </c>
      <c r="AA476" s="315" t="s">
        <v>3523</v>
      </c>
      <c r="AB476" s="304" t="s">
        <v>1754</v>
      </c>
      <c r="AC476" s="303" t="s">
        <v>2315</v>
      </c>
      <c r="AD476" s="307" t="s">
        <v>3345</v>
      </c>
      <c r="AE476" s="317" t="s">
        <v>2985</v>
      </c>
      <c r="AF476" s="315" t="s">
        <v>3345</v>
      </c>
      <c r="AG476" s="443">
        <v>2.98</v>
      </c>
      <c r="AH476" s="313">
        <v>70</v>
      </c>
      <c r="AI476" s="307">
        <v>0</v>
      </c>
      <c r="AJ476" s="394">
        <v>30</v>
      </c>
      <c r="AK476" s="315">
        <v>0</v>
      </c>
      <c r="AL476" s="315">
        <v>0</v>
      </c>
      <c r="AM476" s="315">
        <v>0</v>
      </c>
      <c r="AN476" s="307">
        <v>0</v>
      </c>
      <c r="AO476" s="307">
        <v>0</v>
      </c>
      <c r="AP476" s="307">
        <v>0</v>
      </c>
      <c r="AQ476" s="307">
        <v>0</v>
      </c>
      <c r="AR476" s="307">
        <v>0</v>
      </c>
      <c r="AS476" s="307">
        <v>0</v>
      </c>
      <c r="AT476" s="307">
        <v>0</v>
      </c>
      <c r="AU476" s="307">
        <v>0</v>
      </c>
      <c r="AV476" s="307">
        <v>0</v>
      </c>
      <c r="AW476" s="307">
        <v>0</v>
      </c>
      <c r="AX476" s="304">
        <v>0</v>
      </c>
      <c r="AY476" s="303">
        <v>50</v>
      </c>
      <c r="AZ476" s="311"/>
      <c r="BA476" s="307">
        <v>70</v>
      </c>
      <c r="BB476" s="94" t="s">
        <v>2985</v>
      </c>
      <c r="BC476" s="426">
        <v>39.409999999999997</v>
      </c>
      <c r="BD476" s="307" t="s">
        <v>3520</v>
      </c>
      <c r="BE476" s="312">
        <v>100</v>
      </c>
      <c r="BF476" s="307" t="s">
        <v>246</v>
      </c>
      <c r="BG476" s="307">
        <v>200</v>
      </c>
      <c r="BH476" s="312">
        <v>25</v>
      </c>
      <c r="BI476" s="330" t="s">
        <v>2985</v>
      </c>
      <c r="BJ476" s="307">
        <v>29</v>
      </c>
      <c r="BK476" s="317" t="s">
        <v>2985</v>
      </c>
      <c r="BL476" s="307">
        <v>23</v>
      </c>
      <c r="BM476" s="317" t="s">
        <v>2985</v>
      </c>
      <c r="BN476" s="307">
        <v>65</v>
      </c>
      <c r="BO476" s="259" t="s">
        <v>2985</v>
      </c>
      <c r="BP476" s="320" t="s">
        <v>3314</v>
      </c>
    </row>
    <row r="477" spans="1:71" ht="18">
      <c r="A477" s="458">
        <v>1930</v>
      </c>
      <c r="B477" s="533" t="s">
        <v>3634</v>
      </c>
      <c r="C477" s="466" t="s">
        <v>3590</v>
      </c>
      <c r="D477" s="383"/>
      <c r="E477" s="470" t="s">
        <v>3590</v>
      </c>
      <c r="F477" s="303" t="s">
        <v>3027</v>
      </c>
      <c r="G477" s="386" t="s">
        <v>3292</v>
      </c>
      <c r="H477" s="303" t="s">
        <v>3290</v>
      </c>
      <c r="I477" s="697" t="s">
        <v>3379</v>
      </c>
      <c r="J477" s="307">
        <v>2000</v>
      </c>
      <c r="K477" s="304">
        <v>2</v>
      </c>
      <c r="L477" s="303" t="s">
        <v>1738</v>
      </c>
      <c r="M477" s="304" t="s">
        <v>1751</v>
      </c>
      <c r="N477" s="450">
        <v>0.419921875</v>
      </c>
      <c r="O477" s="309">
        <f t="shared" si="99"/>
        <v>0.83984375</v>
      </c>
      <c r="P477" s="310">
        <f t="shared" si="100"/>
        <v>7.03125</v>
      </c>
      <c r="Q477" s="329">
        <v>3.515625</v>
      </c>
      <c r="R477" s="312">
        <v>215</v>
      </c>
      <c r="S477" s="307">
        <v>256</v>
      </c>
      <c r="T477" s="377">
        <f t="shared" si="101"/>
        <v>512</v>
      </c>
      <c r="U477" s="377">
        <f t="shared" si="102"/>
        <v>1800</v>
      </c>
      <c r="V477" s="307">
        <v>1106</v>
      </c>
      <c r="W477" s="307">
        <v>694</v>
      </c>
      <c r="X477" s="313" t="s">
        <v>3449</v>
      </c>
      <c r="Y477" s="314" t="s">
        <v>2985</v>
      </c>
      <c r="Z477" s="315" t="s">
        <v>3446</v>
      </c>
      <c r="AA477" s="315" t="s">
        <v>3524</v>
      </c>
      <c r="AB477" s="304" t="s">
        <v>1754</v>
      </c>
      <c r="AC477" s="303" t="s">
        <v>2315</v>
      </c>
      <c r="AD477" s="307" t="s">
        <v>3345</v>
      </c>
      <c r="AE477" s="317" t="s">
        <v>2985</v>
      </c>
      <c r="AF477" s="315" t="s">
        <v>3345</v>
      </c>
      <c r="AG477" s="443">
        <v>2.98</v>
      </c>
      <c r="AH477" s="313">
        <v>50</v>
      </c>
      <c r="AI477" s="307">
        <v>0</v>
      </c>
      <c r="AJ477" s="315">
        <v>0</v>
      </c>
      <c r="AK477" s="315">
        <v>50</v>
      </c>
      <c r="AL477" s="315">
        <v>0</v>
      </c>
      <c r="AM477" s="315">
        <v>0</v>
      </c>
      <c r="AN477" s="307">
        <v>0</v>
      </c>
      <c r="AO477" s="307">
        <v>0</v>
      </c>
      <c r="AP477" s="307">
        <v>0</v>
      </c>
      <c r="AQ477" s="307">
        <v>0</v>
      </c>
      <c r="AR477" s="307">
        <v>0</v>
      </c>
      <c r="AS477" s="307">
        <v>0</v>
      </c>
      <c r="AT477" s="307">
        <v>0</v>
      </c>
      <c r="AU477" s="307">
        <v>0</v>
      </c>
      <c r="AV477" s="307">
        <v>0</v>
      </c>
      <c r="AW477" s="307">
        <v>0</v>
      </c>
      <c r="AX477" s="304">
        <v>0</v>
      </c>
      <c r="AY477" s="303">
        <v>46.5</v>
      </c>
      <c r="AZ477" s="311"/>
      <c r="BA477" s="307">
        <v>50</v>
      </c>
      <c r="BB477" s="94" t="s">
        <v>2985</v>
      </c>
      <c r="BC477" s="426">
        <v>36.869999999999997</v>
      </c>
      <c r="BD477" s="307" t="s">
        <v>3520</v>
      </c>
      <c r="BE477" s="312">
        <v>100</v>
      </c>
      <c r="BF477" s="307" t="s">
        <v>246</v>
      </c>
      <c r="BG477" s="307">
        <v>200</v>
      </c>
      <c r="BH477" s="312">
        <v>25</v>
      </c>
      <c r="BI477" s="330" t="s">
        <v>2985</v>
      </c>
      <c r="BJ477" s="307">
        <v>30</v>
      </c>
      <c r="BK477" s="317" t="s">
        <v>2985</v>
      </c>
      <c r="BL477" s="307">
        <v>23</v>
      </c>
      <c r="BM477" s="317" t="s">
        <v>2985</v>
      </c>
      <c r="BN477" s="307">
        <v>65</v>
      </c>
      <c r="BO477" s="259" t="s">
        <v>2985</v>
      </c>
      <c r="BP477" s="320" t="s">
        <v>3315</v>
      </c>
    </row>
    <row r="478" spans="1:71">
      <c r="A478" s="458">
        <v>1932</v>
      </c>
      <c r="B478" s="528" t="s">
        <v>3615</v>
      </c>
      <c r="C478" s="383"/>
      <c r="D478" s="383"/>
      <c r="E478" s="470" t="s">
        <v>3590</v>
      </c>
      <c r="F478" s="303" t="s">
        <v>3029</v>
      </c>
      <c r="G478" s="386" t="s">
        <v>3292</v>
      </c>
      <c r="H478" s="303" t="s">
        <v>3290</v>
      </c>
      <c r="I478" s="697" t="s">
        <v>3379</v>
      </c>
      <c r="J478" s="307">
        <v>2001</v>
      </c>
      <c r="K478" s="304">
        <v>3</v>
      </c>
      <c r="L478" s="303" t="s">
        <v>1738</v>
      </c>
      <c r="M478" s="304" t="s">
        <v>1751</v>
      </c>
      <c r="N478" s="450">
        <v>0.41977611940298509</v>
      </c>
      <c r="O478" s="309">
        <f t="shared" si="99"/>
        <v>0.41977611940298509</v>
      </c>
      <c r="P478" s="310">
        <f t="shared" si="100"/>
        <v>3.3041044776119404</v>
      </c>
      <c r="Q478" s="329">
        <v>3.3041044776119404</v>
      </c>
      <c r="R478" s="312">
        <v>225</v>
      </c>
      <c r="S478" s="307">
        <v>536</v>
      </c>
      <c r="T478" s="377">
        <f t="shared" si="101"/>
        <v>536</v>
      </c>
      <c r="U478" s="377">
        <f t="shared" si="102"/>
        <v>1771</v>
      </c>
      <c r="V478" s="307">
        <v>1106</v>
      </c>
      <c r="W478" s="307">
        <v>665</v>
      </c>
      <c r="X478" s="313" t="s">
        <v>3449</v>
      </c>
      <c r="Y478" s="314" t="s">
        <v>2985</v>
      </c>
      <c r="Z478" s="315" t="s">
        <v>3448</v>
      </c>
      <c r="AA478" s="315" t="s">
        <v>1754</v>
      </c>
      <c r="AB478" s="304" t="s">
        <v>1754</v>
      </c>
      <c r="AC478" s="303" t="s">
        <v>2315</v>
      </c>
      <c r="AD478" s="307" t="s">
        <v>3345</v>
      </c>
      <c r="AE478" s="317" t="s">
        <v>2985</v>
      </c>
      <c r="AF478" s="315" t="s">
        <v>3345</v>
      </c>
      <c r="AG478" s="443">
        <v>2.98</v>
      </c>
      <c r="AH478" s="313">
        <v>100</v>
      </c>
      <c r="AI478" s="307">
        <v>0</v>
      </c>
      <c r="AJ478" s="315">
        <v>0</v>
      </c>
      <c r="AK478" s="315">
        <v>0</v>
      </c>
      <c r="AL478" s="315">
        <v>0</v>
      </c>
      <c r="AM478" s="315">
        <v>0</v>
      </c>
      <c r="AN478" s="307">
        <v>0</v>
      </c>
      <c r="AO478" s="307">
        <v>0</v>
      </c>
      <c r="AP478" s="307">
        <v>0</v>
      </c>
      <c r="AQ478" s="307">
        <v>0</v>
      </c>
      <c r="AR478" s="307">
        <v>0</v>
      </c>
      <c r="AS478" s="307">
        <v>0</v>
      </c>
      <c r="AT478" s="307">
        <v>0</v>
      </c>
      <c r="AU478" s="307">
        <v>0</v>
      </c>
      <c r="AV478" s="307">
        <v>0</v>
      </c>
      <c r="AW478" s="307">
        <v>0</v>
      </c>
      <c r="AX478" s="304">
        <v>0</v>
      </c>
      <c r="AY478" s="303">
        <v>71</v>
      </c>
      <c r="AZ478" s="311">
        <v>32.660000000000004</v>
      </c>
      <c r="BA478" s="307">
        <v>75</v>
      </c>
      <c r="BB478" s="507" t="s">
        <v>2985</v>
      </c>
      <c r="BC478" s="426">
        <v>43</v>
      </c>
      <c r="BD478" s="307" t="s">
        <v>3520</v>
      </c>
      <c r="BE478" s="312">
        <v>100</v>
      </c>
      <c r="BF478" s="307" t="s">
        <v>246</v>
      </c>
      <c r="BG478" s="307">
        <v>200</v>
      </c>
      <c r="BH478" s="430">
        <v>25</v>
      </c>
      <c r="BI478" s="330" t="s">
        <v>2985</v>
      </c>
      <c r="BJ478" s="307">
        <v>34</v>
      </c>
      <c r="BK478" s="311">
        <v>21</v>
      </c>
      <c r="BL478" s="307">
        <v>21</v>
      </c>
      <c r="BM478" s="317" t="s">
        <v>2985</v>
      </c>
      <c r="BN478" s="307">
        <v>65</v>
      </c>
      <c r="BO478" s="259" t="s">
        <v>2985</v>
      </c>
      <c r="BP478" s="320" t="s">
        <v>3316</v>
      </c>
    </row>
    <row r="479" spans="1:71">
      <c r="A479" s="458">
        <v>1933</v>
      </c>
      <c r="B479" s="533" t="s">
        <v>3614</v>
      </c>
      <c r="C479" s="466" t="s">
        <v>3590</v>
      </c>
      <c r="D479" s="383"/>
      <c r="E479" s="470" t="s">
        <v>3590</v>
      </c>
      <c r="F479" s="303" t="s">
        <v>3030</v>
      </c>
      <c r="G479" s="386" t="s">
        <v>3292</v>
      </c>
      <c r="H479" s="303" t="s">
        <v>3290</v>
      </c>
      <c r="I479" s="697" t="s">
        <v>3379</v>
      </c>
      <c r="J479" s="307">
        <v>2001</v>
      </c>
      <c r="K479" s="304">
        <v>3</v>
      </c>
      <c r="L479" s="303" t="s">
        <v>1738</v>
      </c>
      <c r="M479" s="304" t="s">
        <v>1751</v>
      </c>
      <c r="N479" s="476">
        <v>0.63091482649842268</v>
      </c>
      <c r="O479" s="309">
        <f t="shared" si="99"/>
        <v>0.63091482649842268</v>
      </c>
      <c r="P479" s="310">
        <f t="shared" si="100"/>
        <v>6.4353312302839116</v>
      </c>
      <c r="Q479" s="329">
        <v>6.4353312302839116</v>
      </c>
      <c r="R479" s="312">
        <v>200</v>
      </c>
      <c r="S479" s="307">
        <v>317</v>
      </c>
      <c r="T479" s="377">
        <f t="shared" si="101"/>
        <v>317</v>
      </c>
      <c r="U479" s="377">
        <f t="shared" si="102"/>
        <v>2040</v>
      </c>
      <c r="V479" s="307">
        <v>1106</v>
      </c>
      <c r="W479" s="307">
        <v>934</v>
      </c>
      <c r="X479" s="313" t="s">
        <v>3449</v>
      </c>
      <c r="Y479" s="314" t="s">
        <v>2985</v>
      </c>
      <c r="Z479" s="315" t="s">
        <v>3448</v>
      </c>
      <c r="AA479" s="315" t="s">
        <v>1754</v>
      </c>
      <c r="AB479" s="304" t="s">
        <v>1754</v>
      </c>
      <c r="AC479" s="303" t="s">
        <v>2315</v>
      </c>
      <c r="AD479" s="307" t="s">
        <v>3345</v>
      </c>
      <c r="AE479" s="317" t="s">
        <v>2985</v>
      </c>
      <c r="AF479" s="315" t="s">
        <v>3345</v>
      </c>
      <c r="AG479" s="443">
        <v>2.98</v>
      </c>
      <c r="AH479" s="313">
        <v>100</v>
      </c>
      <c r="AI479" s="307">
        <v>0</v>
      </c>
      <c r="AJ479" s="315">
        <v>0</v>
      </c>
      <c r="AK479" s="315">
        <v>0</v>
      </c>
      <c r="AL479" s="315">
        <v>0</v>
      </c>
      <c r="AM479" s="315">
        <v>0</v>
      </c>
      <c r="AN479" s="307">
        <v>0</v>
      </c>
      <c r="AO479" s="307">
        <v>0</v>
      </c>
      <c r="AP479" s="307">
        <v>0</v>
      </c>
      <c r="AQ479" s="307">
        <v>0</v>
      </c>
      <c r="AR479" s="307">
        <v>0</v>
      </c>
      <c r="AS479" s="307">
        <v>0</v>
      </c>
      <c r="AT479" s="307">
        <v>0</v>
      </c>
      <c r="AU479" s="307">
        <v>0</v>
      </c>
      <c r="AV479" s="307">
        <v>0</v>
      </c>
      <c r="AW479" s="307">
        <v>0</v>
      </c>
      <c r="AX479" s="304">
        <v>0</v>
      </c>
      <c r="AY479" s="303">
        <v>46</v>
      </c>
      <c r="AZ479" s="311"/>
      <c r="BA479" s="307">
        <v>70</v>
      </c>
      <c r="BB479" s="507" t="s">
        <v>2985</v>
      </c>
      <c r="BC479" s="426">
        <v>39</v>
      </c>
      <c r="BD479" s="307" t="s">
        <v>3520</v>
      </c>
      <c r="BE479" s="312">
        <v>100</v>
      </c>
      <c r="BF479" s="307" t="s">
        <v>246</v>
      </c>
      <c r="BG479" s="307">
        <v>200</v>
      </c>
      <c r="BH479" s="430">
        <v>25</v>
      </c>
      <c r="BI479" s="330" t="s">
        <v>2985</v>
      </c>
      <c r="BJ479" s="307">
        <v>34</v>
      </c>
      <c r="BK479" s="317" t="s">
        <v>2985</v>
      </c>
      <c r="BL479" s="307">
        <v>21</v>
      </c>
      <c r="BM479" s="317" t="s">
        <v>2985</v>
      </c>
      <c r="BN479" s="307">
        <v>65</v>
      </c>
      <c r="BO479" s="259" t="s">
        <v>2985</v>
      </c>
      <c r="BP479" s="320" t="s">
        <v>3316</v>
      </c>
    </row>
    <row r="480" spans="1:71">
      <c r="A480" s="458">
        <v>1934</v>
      </c>
      <c r="B480" s="528" t="s">
        <v>3615</v>
      </c>
      <c r="C480" s="466" t="s">
        <v>3590</v>
      </c>
      <c r="D480" s="383"/>
      <c r="E480" s="470" t="s">
        <v>3590</v>
      </c>
      <c r="F480" s="303" t="s">
        <v>3031</v>
      </c>
      <c r="G480" s="386" t="s">
        <v>3292</v>
      </c>
      <c r="H480" s="303" t="s">
        <v>3290</v>
      </c>
      <c r="I480" s="697" t="s">
        <v>3379</v>
      </c>
      <c r="J480" s="307">
        <v>2001</v>
      </c>
      <c r="K480" s="304">
        <v>3</v>
      </c>
      <c r="L480" s="303" t="s">
        <v>1738</v>
      </c>
      <c r="M480" s="304" t="s">
        <v>1751</v>
      </c>
      <c r="N480" s="450">
        <v>0.41984732824427479</v>
      </c>
      <c r="O480" s="309">
        <f t="shared" si="99"/>
        <v>0.41984732824427479</v>
      </c>
      <c r="P480" s="310">
        <f t="shared" si="100"/>
        <v>3.3797709923664123</v>
      </c>
      <c r="Q480" s="329">
        <v>3.3797709923664123</v>
      </c>
      <c r="R480" s="312">
        <v>220</v>
      </c>
      <c r="S480" s="307">
        <v>524</v>
      </c>
      <c r="T480" s="377">
        <f t="shared" si="101"/>
        <v>524</v>
      </c>
      <c r="U480" s="377">
        <f t="shared" si="102"/>
        <v>1771</v>
      </c>
      <c r="V480" s="307">
        <v>1106</v>
      </c>
      <c r="W480" s="307">
        <v>665</v>
      </c>
      <c r="X480" s="313" t="s">
        <v>3449</v>
      </c>
      <c r="Y480" s="314" t="s">
        <v>2985</v>
      </c>
      <c r="Z480" s="315" t="s">
        <v>3450</v>
      </c>
      <c r="AA480" s="315" t="s">
        <v>1754</v>
      </c>
      <c r="AB480" s="304" t="s">
        <v>1754</v>
      </c>
      <c r="AC480" s="303" t="s">
        <v>2315</v>
      </c>
      <c r="AD480" s="307" t="s">
        <v>3345</v>
      </c>
      <c r="AE480" s="317" t="s">
        <v>2985</v>
      </c>
      <c r="AF480" s="315" t="s">
        <v>3345</v>
      </c>
      <c r="AG480" s="443">
        <v>2.98</v>
      </c>
      <c r="AH480" s="313">
        <v>100</v>
      </c>
      <c r="AI480" s="307">
        <v>0</v>
      </c>
      <c r="AJ480" s="315">
        <v>0</v>
      </c>
      <c r="AK480" s="315">
        <v>0</v>
      </c>
      <c r="AL480" s="315">
        <v>0</v>
      </c>
      <c r="AM480" s="315">
        <v>0</v>
      </c>
      <c r="AN480" s="307">
        <v>0</v>
      </c>
      <c r="AO480" s="307">
        <v>0</v>
      </c>
      <c r="AP480" s="307">
        <v>0</v>
      </c>
      <c r="AQ480" s="307">
        <v>0</v>
      </c>
      <c r="AR480" s="307">
        <v>0</v>
      </c>
      <c r="AS480" s="307">
        <v>0</v>
      </c>
      <c r="AT480" s="307">
        <v>0</v>
      </c>
      <c r="AU480" s="307">
        <v>0</v>
      </c>
      <c r="AV480" s="307">
        <v>0</v>
      </c>
      <c r="AW480" s="307">
        <v>0</v>
      </c>
      <c r="AX480" s="304">
        <v>0</v>
      </c>
      <c r="AY480" s="303">
        <v>69.5</v>
      </c>
      <c r="AZ480" s="311">
        <v>31.970000000000002</v>
      </c>
      <c r="BA480" s="307">
        <v>65</v>
      </c>
      <c r="BB480" s="507" t="s">
        <v>2985</v>
      </c>
      <c r="BC480" s="426">
        <v>46</v>
      </c>
      <c r="BD480" s="307" t="s">
        <v>3520</v>
      </c>
      <c r="BE480" s="312">
        <v>100</v>
      </c>
      <c r="BF480" s="307" t="s">
        <v>246</v>
      </c>
      <c r="BG480" s="307">
        <v>200</v>
      </c>
      <c r="BH480" s="430">
        <v>25</v>
      </c>
      <c r="BI480" s="330" t="s">
        <v>2985</v>
      </c>
      <c r="BJ480" s="307">
        <v>33</v>
      </c>
      <c r="BK480" s="311">
        <v>21</v>
      </c>
      <c r="BL480" s="307">
        <v>21</v>
      </c>
      <c r="BM480" s="317" t="s">
        <v>2985</v>
      </c>
      <c r="BN480" s="307">
        <v>65</v>
      </c>
      <c r="BO480" s="259" t="s">
        <v>2985</v>
      </c>
      <c r="BP480" s="320" t="s">
        <v>3317</v>
      </c>
    </row>
    <row r="481" spans="1:96" ht="18">
      <c r="A481" s="458">
        <v>1936</v>
      </c>
      <c r="B481" s="533" t="s">
        <v>3634</v>
      </c>
      <c r="C481" s="466" t="s">
        <v>3590</v>
      </c>
      <c r="D481" s="383"/>
      <c r="E481" s="470" t="s">
        <v>3590</v>
      </c>
      <c r="F481" s="303" t="s">
        <v>3033</v>
      </c>
      <c r="G481" s="386" t="s">
        <v>3292</v>
      </c>
      <c r="H481" s="303" t="s">
        <v>3290</v>
      </c>
      <c r="I481" s="697" t="s">
        <v>3379</v>
      </c>
      <c r="J481" s="307">
        <v>2001</v>
      </c>
      <c r="K481" s="304">
        <v>3</v>
      </c>
      <c r="L481" s="303" t="s">
        <v>1738</v>
      </c>
      <c r="M481" s="304" t="s">
        <v>1751</v>
      </c>
      <c r="N481" s="450">
        <v>0.419921875</v>
      </c>
      <c r="O481" s="309">
        <f t="shared" si="99"/>
        <v>0.48266882183908044</v>
      </c>
      <c r="P481" s="310">
        <f t="shared" si="100"/>
        <v>4.0409482758620694</v>
      </c>
      <c r="Q481" s="329">
        <v>3.515625</v>
      </c>
      <c r="R481" s="312">
        <v>215</v>
      </c>
      <c r="S481" s="307">
        <v>445.44</v>
      </c>
      <c r="T481" s="377">
        <f t="shared" si="101"/>
        <v>512</v>
      </c>
      <c r="U481" s="377">
        <f t="shared" si="102"/>
        <v>1800</v>
      </c>
      <c r="V481" s="307">
        <v>1106</v>
      </c>
      <c r="W481" s="307">
        <v>694</v>
      </c>
      <c r="X481" s="313" t="s">
        <v>3449</v>
      </c>
      <c r="Y481" s="314" t="s">
        <v>2985</v>
      </c>
      <c r="Z481" s="315" t="s">
        <v>3447</v>
      </c>
      <c r="AA481" s="307" t="s">
        <v>3525</v>
      </c>
      <c r="AB481" s="304" t="s">
        <v>522</v>
      </c>
      <c r="AC481" s="303" t="s">
        <v>2315</v>
      </c>
      <c r="AD481" s="307" t="s">
        <v>3345</v>
      </c>
      <c r="AE481" s="317" t="s">
        <v>2985</v>
      </c>
      <c r="AF481" s="315" t="s">
        <v>3345</v>
      </c>
      <c r="AG481" s="443">
        <v>2.98</v>
      </c>
      <c r="AH481" s="313">
        <v>87</v>
      </c>
      <c r="AI481" s="307">
        <v>0</v>
      </c>
      <c r="AJ481" s="406">
        <v>13</v>
      </c>
      <c r="AK481" s="315">
        <v>0</v>
      </c>
      <c r="AL481" s="315">
        <v>0</v>
      </c>
      <c r="AM481" s="315">
        <v>0</v>
      </c>
      <c r="AN481" s="307">
        <v>0</v>
      </c>
      <c r="AO481" s="307">
        <v>0</v>
      </c>
      <c r="AP481" s="307">
        <v>0</v>
      </c>
      <c r="AQ481" s="307">
        <v>0</v>
      </c>
      <c r="AR481" s="307">
        <v>0</v>
      </c>
      <c r="AS481" s="307">
        <v>0</v>
      </c>
      <c r="AT481" s="307">
        <v>0</v>
      </c>
      <c r="AU481" s="307">
        <v>0</v>
      </c>
      <c r="AV481" s="307">
        <v>0</v>
      </c>
      <c r="AW481" s="307">
        <v>0</v>
      </c>
      <c r="AX481" s="304">
        <v>0</v>
      </c>
      <c r="AY481" s="303">
        <v>57</v>
      </c>
      <c r="AZ481" s="311"/>
      <c r="BA481" s="307">
        <v>70</v>
      </c>
      <c r="BB481" s="507" t="s">
        <v>2985</v>
      </c>
      <c r="BC481" s="426">
        <v>38</v>
      </c>
      <c r="BD481" s="307" t="s">
        <v>3520</v>
      </c>
      <c r="BE481" s="312">
        <v>100</v>
      </c>
      <c r="BF481" s="307" t="s">
        <v>246</v>
      </c>
      <c r="BG481" s="307">
        <v>200</v>
      </c>
      <c r="BH481" s="430">
        <v>25</v>
      </c>
      <c r="BI481" s="330" t="s">
        <v>2985</v>
      </c>
      <c r="BJ481" s="307">
        <v>30</v>
      </c>
      <c r="BK481" s="317" t="s">
        <v>2985</v>
      </c>
      <c r="BL481" s="307">
        <v>22</v>
      </c>
      <c r="BM481" s="317" t="s">
        <v>2985</v>
      </c>
      <c r="BN481" s="307">
        <v>66</v>
      </c>
      <c r="BO481" s="259" t="s">
        <v>2985</v>
      </c>
      <c r="BP481" s="320" t="s">
        <v>3383</v>
      </c>
    </row>
    <row r="482" spans="1:96" ht="18">
      <c r="A482" s="458">
        <v>1938</v>
      </c>
      <c r="B482" s="533" t="s">
        <v>3634</v>
      </c>
      <c r="C482" s="466" t="s">
        <v>3590</v>
      </c>
      <c r="D482" s="383"/>
      <c r="E482" s="470" t="s">
        <v>3590</v>
      </c>
      <c r="F482" s="303" t="s">
        <v>3035</v>
      </c>
      <c r="G482" s="386" t="s">
        <v>3292</v>
      </c>
      <c r="H482" s="303" t="s">
        <v>3290</v>
      </c>
      <c r="I482" s="697" t="s">
        <v>3379</v>
      </c>
      <c r="J482" s="307">
        <v>2001</v>
      </c>
      <c r="K482" s="304">
        <v>3</v>
      </c>
      <c r="L482" s="303" t="s">
        <v>1738</v>
      </c>
      <c r="M482" s="304" t="s">
        <v>1751</v>
      </c>
      <c r="N482" s="450">
        <v>0.42008196721311475</v>
      </c>
      <c r="O482" s="309">
        <f t="shared" si="99"/>
        <v>0.48285283587714339</v>
      </c>
      <c r="P482" s="310">
        <f t="shared" si="100"/>
        <v>4.3598078010175243</v>
      </c>
      <c r="Q482" s="329">
        <v>3.793032786885246</v>
      </c>
      <c r="R482" s="312">
        <v>205</v>
      </c>
      <c r="S482" s="307">
        <v>424.56</v>
      </c>
      <c r="T482" s="377">
        <f t="shared" si="101"/>
        <v>488</v>
      </c>
      <c r="U482" s="377">
        <f t="shared" si="102"/>
        <v>1851</v>
      </c>
      <c r="V482" s="307">
        <v>1106</v>
      </c>
      <c r="W482" s="307">
        <v>745</v>
      </c>
      <c r="X482" s="313" t="s">
        <v>3449</v>
      </c>
      <c r="Y482" s="314" t="s">
        <v>2985</v>
      </c>
      <c r="Z482" s="315" t="s">
        <v>3447</v>
      </c>
      <c r="AA482" s="307" t="s">
        <v>3526</v>
      </c>
      <c r="AB482" s="304" t="s">
        <v>522</v>
      </c>
      <c r="AC482" s="303" t="s">
        <v>2315</v>
      </c>
      <c r="AD482" s="307" t="s">
        <v>3345</v>
      </c>
      <c r="AE482" s="317" t="s">
        <v>2985</v>
      </c>
      <c r="AF482" s="315" t="s">
        <v>3345</v>
      </c>
      <c r="AG482" s="443">
        <v>2.98</v>
      </c>
      <c r="AH482" s="313">
        <v>87</v>
      </c>
      <c r="AI482" s="307">
        <v>0</v>
      </c>
      <c r="AJ482" s="315">
        <v>0</v>
      </c>
      <c r="AK482" s="315">
        <v>0</v>
      </c>
      <c r="AL482" s="315">
        <v>0</v>
      </c>
      <c r="AM482" s="315">
        <v>0</v>
      </c>
      <c r="AN482" s="315">
        <v>0</v>
      </c>
      <c r="AO482" s="382">
        <v>13</v>
      </c>
      <c r="AP482" s="307">
        <v>0</v>
      </c>
      <c r="AQ482" s="307">
        <v>0</v>
      </c>
      <c r="AR482" s="307">
        <v>0</v>
      </c>
      <c r="AS482" s="307">
        <v>0</v>
      </c>
      <c r="AT482" s="307">
        <v>0</v>
      </c>
      <c r="AU482" s="307">
        <v>0</v>
      </c>
      <c r="AV482" s="307">
        <v>0</v>
      </c>
      <c r="AW482" s="307">
        <v>0</v>
      </c>
      <c r="AX482" s="304">
        <v>0</v>
      </c>
      <c r="AY482" s="303">
        <v>52</v>
      </c>
      <c r="AZ482" s="311"/>
      <c r="BA482" s="307">
        <v>85</v>
      </c>
      <c r="BB482" s="507" t="s">
        <v>2985</v>
      </c>
      <c r="BC482" s="426">
        <v>40</v>
      </c>
      <c r="BD482" s="307" t="s">
        <v>3520</v>
      </c>
      <c r="BE482" s="312">
        <v>100</v>
      </c>
      <c r="BF482" s="307" t="s">
        <v>246</v>
      </c>
      <c r="BG482" s="307">
        <v>200</v>
      </c>
      <c r="BH482" s="430">
        <v>25</v>
      </c>
      <c r="BI482" s="330" t="s">
        <v>2985</v>
      </c>
      <c r="BJ482" s="307">
        <v>29</v>
      </c>
      <c r="BK482" s="317" t="s">
        <v>2985</v>
      </c>
      <c r="BL482" s="307">
        <v>21</v>
      </c>
      <c r="BM482" s="317" t="s">
        <v>2985</v>
      </c>
      <c r="BN482" s="307">
        <v>66</v>
      </c>
      <c r="BO482" s="259" t="s">
        <v>2985</v>
      </c>
      <c r="BP482" s="320" t="s">
        <v>3384</v>
      </c>
    </row>
    <row r="483" spans="1:96" ht="18">
      <c r="A483" s="458">
        <v>1940</v>
      </c>
      <c r="B483" s="533" t="s">
        <v>3634</v>
      </c>
      <c r="C483" s="466" t="s">
        <v>3590</v>
      </c>
      <c r="D483" s="383"/>
      <c r="E483" s="470" t="s">
        <v>3590</v>
      </c>
      <c r="F483" s="303" t="s">
        <v>3037</v>
      </c>
      <c r="G483" s="386" t="s">
        <v>3292</v>
      </c>
      <c r="H483" s="303" t="s">
        <v>3290</v>
      </c>
      <c r="I483" s="697" t="s">
        <v>3379</v>
      </c>
      <c r="J483" s="307">
        <v>2001</v>
      </c>
      <c r="K483" s="304">
        <v>3</v>
      </c>
      <c r="L483" s="303" t="s">
        <v>1738</v>
      </c>
      <c r="M483" s="304" t="s">
        <v>1751</v>
      </c>
      <c r="N483" s="450">
        <v>0.419921875</v>
      </c>
      <c r="O483" s="309">
        <f t="shared" si="99"/>
        <v>0.83984375</v>
      </c>
      <c r="P483" s="310">
        <f t="shared" si="100"/>
        <v>7.03125</v>
      </c>
      <c r="Q483" s="329">
        <v>3.515625</v>
      </c>
      <c r="R483" s="312">
        <v>215</v>
      </c>
      <c r="S483" s="307">
        <v>256</v>
      </c>
      <c r="T483" s="377">
        <f t="shared" si="101"/>
        <v>512</v>
      </c>
      <c r="U483" s="377">
        <f t="shared" si="102"/>
        <v>1800</v>
      </c>
      <c r="V483" s="307">
        <v>1106</v>
      </c>
      <c r="W483" s="307">
        <v>694</v>
      </c>
      <c r="X483" s="313" t="s">
        <v>3449</v>
      </c>
      <c r="Y483" s="314" t="s">
        <v>2985</v>
      </c>
      <c r="Z483" s="315" t="s">
        <v>3450</v>
      </c>
      <c r="AA483" s="315" t="s">
        <v>3524</v>
      </c>
      <c r="AB483" s="304" t="s">
        <v>1754</v>
      </c>
      <c r="AC483" s="303" t="s">
        <v>2315</v>
      </c>
      <c r="AD483" s="307" t="s">
        <v>3345</v>
      </c>
      <c r="AE483" s="317" t="s">
        <v>2985</v>
      </c>
      <c r="AF483" s="315" t="s">
        <v>3345</v>
      </c>
      <c r="AG483" s="443">
        <v>2.98</v>
      </c>
      <c r="AH483" s="313">
        <v>50</v>
      </c>
      <c r="AI483" s="307">
        <v>0</v>
      </c>
      <c r="AJ483" s="315">
        <v>0</v>
      </c>
      <c r="AK483" s="315">
        <v>50</v>
      </c>
      <c r="AL483" s="315">
        <v>0</v>
      </c>
      <c r="AM483" s="315">
        <v>0</v>
      </c>
      <c r="AN483" s="307">
        <v>0</v>
      </c>
      <c r="AO483" s="307">
        <v>0</v>
      </c>
      <c r="AP483" s="307">
        <v>0</v>
      </c>
      <c r="AQ483" s="307">
        <v>0</v>
      </c>
      <c r="AR483" s="307">
        <v>0</v>
      </c>
      <c r="AS483" s="307">
        <v>0</v>
      </c>
      <c r="AT483" s="307">
        <v>0</v>
      </c>
      <c r="AU483" s="307">
        <v>0</v>
      </c>
      <c r="AV483" s="307">
        <v>0</v>
      </c>
      <c r="AW483" s="307">
        <v>0</v>
      </c>
      <c r="AX483" s="304">
        <v>0</v>
      </c>
      <c r="AY483" s="303">
        <v>51.5</v>
      </c>
      <c r="AZ483" s="311"/>
      <c r="BA483" s="307">
        <v>75</v>
      </c>
      <c r="BB483" s="507" t="s">
        <v>2985</v>
      </c>
      <c r="BC483" s="426">
        <v>40</v>
      </c>
      <c r="BD483" s="307" t="s">
        <v>3520</v>
      </c>
      <c r="BE483" s="312">
        <v>100</v>
      </c>
      <c r="BF483" s="307" t="s">
        <v>246</v>
      </c>
      <c r="BG483" s="307">
        <v>200</v>
      </c>
      <c r="BH483" s="430">
        <v>25</v>
      </c>
      <c r="BI483" s="330" t="s">
        <v>2985</v>
      </c>
      <c r="BJ483" s="307">
        <v>29</v>
      </c>
      <c r="BK483" s="317" t="s">
        <v>2985</v>
      </c>
      <c r="BL483" s="307">
        <v>21</v>
      </c>
      <c r="BM483" s="317" t="s">
        <v>2985</v>
      </c>
      <c r="BN483" s="307">
        <v>64</v>
      </c>
      <c r="BO483" s="259" t="s">
        <v>2985</v>
      </c>
      <c r="BP483" s="320" t="s">
        <v>3318</v>
      </c>
    </row>
    <row r="484" spans="1:96" ht="18">
      <c r="A484" s="458">
        <v>1942</v>
      </c>
      <c r="B484" s="533" t="s">
        <v>3634</v>
      </c>
      <c r="C484" s="466" t="s">
        <v>3590</v>
      </c>
      <c r="D484" s="383"/>
      <c r="E484" s="470" t="s">
        <v>3590</v>
      </c>
      <c r="F484" s="303" t="s">
        <v>3039</v>
      </c>
      <c r="G484" s="386" t="s">
        <v>3292</v>
      </c>
      <c r="H484" s="303" t="s">
        <v>3290</v>
      </c>
      <c r="I484" s="697" t="s">
        <v>3379</v>
      </c>
      <c r="J484" s="307">
        <v>2001</v>
      </c>
      <c r="K484" s="304">
        <v>3</v>
      </c>
      <c r="L484" s="303" t="s">
        <v>1738</v>
      </c>
      <c r="M484" s="304" t="s">
        <v>1751</v>
      </c>
      <c r="N484" s="450">
        <v>0.42</v>
      </c>
      <c r="O484" s="309">
        <f t="shared" si="99"/>
        <v>0.84</v>
      </c>
      <c r="P484" s="310">
        <f t="shared" si="100"/>
        <v>7.3040000000000003</v>
      </c>
      <c r="Q484" s="329">
        <v>3.6520000000000001</v>
      </c>
      <c r="R484" s="312">
        <v>210</v>
      </c>
      <c r="S484" s="307">
        <v>250</v>
      </c>
      <c r="T484" s="377">
        <f t="shared" si="101"/>
        <v>500</v>
      </c>
      <c r="U484" s="377">
        <f t="shared" si="102"/>
        <v>1826</v>
      </c>
      <c r="V484" s="307">
        <v>1106</v>
      </c>
      <c r="W484" s="307">
        <v>720</v>
      </c>
      <c r="X484" s="313" t="s">
        <v>3449</v>
      </c>
      <c r="Y484" s="314" t="s">
        <v>2985</v>
      </c>
      <c r="Z484" s="315" t="s">
        <v>3450</v>
      </c>
      <c r="AA484" s="315" t="s">
        <v>3524</v>
      </c>
      <c r="AB484" s="304" t="s">
        <v>1754</v>
      </c>
      <c r="AC484" s="303" t="s">
        <v>2315</v>
      </c>
      <c r="AD484" s="307" t="s">
        <v>3345</v>
      </c>
      <c r="AE484" s="317" t="s">
        <v>2985</v>
      </c>
      <c r="AF484" s="315" t="s">
        <v>3345</v>
      </c>
      <c r="AG484" s="443">
        <v>2.98</v>
      </c>
      <c r="AH484" s="313">
        <v>50</v>
      </c>
      <c r="AI484" s="307">
        <v>0</v>
      </c>
      <c r="AJ484" s="315">
        <v>0</v>
      </c>
      <c r="AK484" s="315">
        <v>50</v>
      </c>
      <c r="AL484" s="315">
        <v>0</v>
      </c>
      <c r="AM484" s="315">
        <v>0</v>
      </c>
      <c r="AN484" s="307">
        <v>0</v>
      </c>
      <c r="AO484" s="307">
        <v>0</v>
      </c>
      <c r="AP484" s="307">
        <v>0</v>
      </c>
      <c r="AQ484" s="307">
        <v>0</v>
      </c>
      <c r="AR484" s="307">
        <v>0</v>
      </c>
      <c r="AS484" s="307">
        <v>0</v>
      </c>
      <c r="AT484" s="307">
        <v>0</v>
      </c>
      <c r="AU484" s="307">
        <v>0</v>
      </c>
      <c r="AV484" s="307">
        <v>0</v>
      </c>
      <c r="AW484" s="307">
        <v>0</v>
      </c>
      <c r="AX484" s="304">
        <v>0</v>
      </c>
      <c r="AY484" s="303">
        <v>42</v>
      </c>
      <c r="AZ484" s="311"/>
      <c r="BA484" s="307">
        <v>75</v>
      </c>
      <c r="BB484" s="507" t="s">
        <v>2985</v>
      </c>
      <c r="BC484" s="426">
        <v>37</v>
      </c>
      <c r="BD484" s="307" t="s">
        <v>3520</v>
      </c>
      <c r="BE484" s="312">
        <v>100</v>
      </c>
      <c r="BF484" s="307" t="s">
        <v>246</v>
      </c>
      <c r="BG484" s="307">
        <v>200</v>
      </c>
      <c r="BH484" s="430">
        <v>25</v>
      </c>
      <c r="BI484" s="330" t="s">
        <v>2985</v>
      </c>
      <c r="BJ484" s="307">
        <v>28</v>
      </c>
      <c r="BK484" s="317" t="s">
        <v>2985</v>
      </c>
      <c r="BL484" s="307">
        <v>21</v>
      </c>
      <c r="BM484" s="317" t="s">
        <v>2985</v>
      </c>
      <c r="BN484" s="307">
        <v>64</v>
      </c>
      <c r="BO484" s="259" t="s">
        <v>2985</v>
      </c>
      <c r="BP484" s="320" t="s">
        <v>3319</v>
      </c>
    </row>
    <row r="485" spans="1:96" ht="18">
      <c r="A485" s="458">
        <v>1944</v>
      </c>
      <c r="B485" s="533" t="s">
        <v>3634</v>
      </c>
      <c r="C485" s="466" t="s">
        <v>3590</v>
      </c>
      <c r="D485" s="383"/>
      <c r="E485" s="470" t="s">
        <v>3590</v>
      </c>
      <c r="F485" s="303" t="s">
        <v>3041</v>
      </c>
      <c r="G485" s="386" t="s">
        <v>3292</v>
      </c>
      <c r="H485" s="486" t="s">
        <v>3290</v>
      </c>
      <c r="I485" s="697" t="s">
        <v>3379</v>
      </c>
      <c r="J485" s="306">
        <v>2001</v>
      </c>
      <c r="K485" s="304">
        <v>3</v>
      </c>
      <c r="L485" s="303" t="s">
        <v>1738</v>
      </c>
      <c r="M485" s="304" t="s">
        <v>1751</v>
      </c>
      <c r="N485" s="450">
        <v>0.42016806722689076</v>
      </c>
      <c r="O485" s="309">
        <f t="shared" si="99"/>
        <v>0.58356676003734831</v>
      </c>
      <c r="P485" s="310">
        <f t="shared" si="100"/>
        <v>5.4796918767507004</v>
      </c>
      <c r="Q485" s="329">
        <v>3.9453781512605044</v>
      </c>
      <c r="R485" s="312">
        <v>200</v>
      </c>
      <c r="S485" s="307">
        <v>342.71999999999997</v>
      </c>
      <c r="T485" s="377">
        <f t="shared" si="101"/>
        <v>476</v>
      </c>
      <c r="U485" s="377">
        <f t="shared" si="102"/>
        <v>1878</v>
      </c>
      <c r="V485" s="307">
        <v>1106</v>
      </c>
      <c r="W485" s="307">
        <v>772</v>
      </c>
      <c r="X485" s="313" t="s">
        <v>3449</v>
      </c>
      <c r="Y485" s="314" t="s">
        <v>2985</v>
      </c>
      <c r="Z485" s="315" t="s">
        <v>3447</v>
      </c>
      <c r="AA485" s="307" t="s">
        <v>3523</v>
      </c>
      <c r="AB485" s="304" t="s">
        <v>522</v>
      </c>
      <c r="AC485" s="303" t="s">
        <v>2315</v>
      </c>
      <c r="AD485" s="307" t="s">
        <v>3345</v>
      </c>
      <c r="AE485" s="317" t="s">
        <v>2985</v>
      </c>
      <c r="AF485" s="315" t="s">
        <v>3345</v>
      </c>
      <c r="AG485" s="443">
        <v>2.98</v>
      </c>
      <c r="AH485" s="313">
        <v>72</v>
      </c>
      <c r="AI485" s="307">
        <v>0</v>
      </c>
      <c r="AJ485" s="315">
        <v>28</v>
      </c>
      <c r="AK485" s="315">
        <v>0</v>
      </c>
      <c r="AL485" s="315">
        <v>0</v>
      </c>
      <c r="AM485" s="315">
        <v>0</v>
      </c>
      <c r="AN485" s="307">
        <v>0</v>
      </c>
      <c r="AO485" s="307">
        <v>0</v>
      </c>
      <c r="AP485" s="307">
        <v>0</v>
      </c>
      <c r="AQ485" s="307">
        <v>0</v>
      </c>
      <c r="AR485" s="307">
        <v>0</v>
      </c>
      <c r="AS485" s="307">
        <v>0</v>
      </c>
      <c r="AT485" s="307">
        <v>0</v>
      </c>
      <c r="AU485" s="307">
        <v>0</v>
      </c>
      <c r="AV485" s="307">
        <v>0</v>
      </c>
      <c r="AW485" s="307">
        <v>0</v>
      </c>
      <c r="AX485" s="304">
        <v>0</v>
      </c>
      <c r="AY485" s="303">
        <v>50.5</v>
      </c>
      <c r="AZ485" s="311"/>
      <c r="BA485" s="307">
        <v>75</v>
      </c>
      <c r="BB485" s="507" t="s">
        <v>2985</v>
      </c>
      <c r="BC485" s="426">
        <v>39</v>
      </c>
      <c r="BD485" s="307" t="s">
        <v>3520</v>
      </c>
      <c r="BE485" s="312">
        <v>100</v>
      </c>
      <c r="BF485" s="307" t="s">
        <v>246</v>
      </c>
      <c r="BG485" s="307">
        <v>200</v>
      </c>
      <c r="BH485" s="426">
        <v>25</v>
      </c>
      <c r="BI485" s="330" t="s">
        <v>2985</v>
      </c>
      <c r="BJ485" s="305">
        <v>33</v>
      </c>
      <c r="BK485" s="730" t="s">
        <v>2985</v>
      </c>
      <c r="BL485" s="306">
        <v>21</v>
      </c>
      <c r="BM485" s="317" t="s">
        <v>2985</v>
      </c>
      <c r="BN485" s="307">
        <v>65</v>
      </c>
      <c r="BO485" s="259" t="s">
        <v>2985</v>
      </c>
      <c r="BP485" s="320" t="s">
        <v>3385</v>
      </c>
    </row>
    <row r="486" spans="1:96" ht="18">
      <c r="A486" s="458">
        <v>1946</v>
      </c>
      <c r="B486" s="533" t="s">
        <v>3634</v>
      </c>
      <c r="C486" s="466" t="s">
        <v>3590</v>
      </c>
      <c r="D486" s="383"/>
      <c r="E486" s="470" t="s">
        <v>3590</v>
      </c>
      <c r="F486" s="303" t="s">
        <v>3043</v>
      </c>
      <c r="G486" s="386" t="s">
        <v>3292</v>
      </c>
      <c r="H486" s="486" t="s">
        <v>3290</v>
      </c>
      <c r="I486" s="697" t="s">
        <v>3379</v>
      </c>
      <c r="J486" s="306">
        <v>2001</v>
      </c>
      <c r="K486" s="304">
        <v>3</v>
      </c>
      <c r="L486" s="303" t="s">
        <v>1738</v>
      </c>
      <c r="M486" s="304" t="s">
        <v>1751</v>
      </c>
      <c r="N486" s="450">
        <v>0.419921875</v>
      </c>
      <c r="O486" s="309">
        <f t="shared" si="99"/>
        <v>0.84832702020202022</v>
      </c>
      <c r="P486" s="310">
        <f t="shared" si="100"/>
        <v>7.0115214646464645</v>
      </c>
      <c r="Q486" s="329">
        <v>3.470703125</v>
      </c>
      <c r="R486" s="312">
        <v>215</v>
      </c>
      <c r="S486" s="307">
        <v>253.44</v>
      </c>
      <c r="T486" s="377">
        <f t="shared" si="101"/>
        <v>512</v>
      </c>
      <c r="U486" s="377">
        <f t="shared" si="102"/>
        <v>1777</v>
      </c>
      <c r="V486" s="307">
        <v>1106</v>
      </c>
      <c r="W486" s="307">
        <v>671</v>
      </c>
      <c r="X486" s="313" t="s">
        <v>3449</v>
      </c>
      <c r="Y486" s="314" t="s">
        <v>2985</v>
      </c>
      <c r="Z486" s="315" t="s">
        <v>3447</v>
      </c>
      <c r="AA486" s="307" t="s">
        <v>3524</v>
      </c>
      <c r="AB486" s="304" t="s">
        <v>3340</v>
      </c>
      <c r="AC486" s="303" t="s">
        <v>2315</v>
      </c>
      <c r="AD486" s="307" t="s">
        <v>3345</v>
      </c>
      <c r="AE486" s="317" t="s">
        <v>2985</v>
      </c>
      <c r="AF486" s="315" t="s">
        <v>3345</v>
      </c>
      <c r="AG486" s="443">
        <v>2.98</v>
      </c>
      <c r="AH486" s="313">
        <v>49</v>
      </c>
      <c r="AI486" s="307">
        <v>0</v>
      </c>
      <c r="AJ486" s="315">
        <v>0</v>
      </c>
      <c r="AK486" s="315">
        <v>51</v>
      </c>
      <c r="AL486" s="315">
        <v>0</v>
      </c>
      <c r="AM486" s="315">
        <v>0</v>
      </c>
      <c r="AN486" s="307">
        <v>0</v>
      </c>
      <c r="AO486" s="307">
        <v>0</v>
      </c>
      <c r="AP486" s="307">
        <v>0</v>
      </c>
      <c r="AQ486" s="307">
        <v>0</v>
      </c>
      <c r="AR486" s="307">
        <v>0</v>
      </c>
      <c r="AS486" s="307">
        <v>0</v>
      </c>
      <c r="AT486" s="307">
        <v>0</v>
      </c>
      <c r="AU486" s="307">
        <v>0</v>
      </c>
      <c r="AV486" s="307">
        <v>0</v>
      </c>
      <c r="AW486" s="307">
        <v>0</v>
      </c>
      <c r="AX486" s="304">
        <v>0</v>
      </c>
      <c r="AY486" s="303">
        <v>47.5</v>
      </c>
      <c r="AZ486" s="311"/>
      <c r="BA486" s="307">
        <v>45</v>
      </c>
      <c r="BB486" s="507" t="s">
        <v>2985</v>
      </c>
      <c r="BC486" s="426">
        <v>37</v>
      </c>
      <c r="BD486" s="307" t="s">
        <v>3520</v>
      </c>
      <c r="BE486" s="312">
        <v>100</v>
      </c>
      <c r="BF486" s="307" t="s">
        <v>246</v>
      </c>
      <c r="BG486" s="307">
        <v>200</v>
      </c>
      <c r="BH486" s="426">
        <v>25</v>
      </c>
      <c r="BI486" s="330" t="s">
        <v>2985</v>
      </c>
      <c r="BJ486" s="305">
        <v>32</v>
      </c>
      <c r="BK486" s="317" t="s">
        <v>2985</v>
      </c>
      <c r="BL486" s="306">
        <v>21</v>
      </c>
      <c r="BM486" s="317" t="s">
        <v>2985</v>
      </c>
      <c r="BN486" s="307">
        <v>65</v>
      </c>
      <c r="BO486" s="259" t="s">
        <v>2985</v>
      </c>
      <c r="BP486" s="320" t="s">
        <v>3387</v>
      </c>
    </row>
    <row r="487" spans="1:96">
      <c r="A487" s="458">
        <v>1948</v>
      </c>
      <c r="B487" s="535" t="s">
        <v>3585</v>
      </c>
      <c r="C487" s="466" t="s">
        <v>3590</v>
      </c>
      <c r="D487" s="383"/>
      <c r="E487" s="470" t="s">
        <v>3590</v>
      </c>
      <c r="F487" s="303" t="s">
        <v>3045</v>
      </c>
      <c r="G487" s="386" t="s">
        <v>3292</v>
      </c>
      <c r="H487" s="486" t="s">
        <v>3290</v>
      </c>
      <c r="I487" s="697" t="s">
        <v>3379</v>
      </c>
      <c r="J487" s="306">
        <v>2001</v>
      </c>
      <c r="K487" s="304">
        <v>3</v>
      </c>
      <c r="L487" s="303" t="s">
        <v>1738</v>
      </c>
      <c r="M487" s="304" t="s">
        <v>1751</v>
      </c>
      <c r="N487" s="450">
        <v>0.41984732824427479</v>
      </c>
      <c r="O487" s="309">
        <f t="shared" si="99"/>
        <v>0.48258313591295954</v>
      </c>
      <c r="P487" s="310">
        <f t="shared" si="100"/>
        <v>3.9220847591471442</v>
      </c>
      <c r="Q487" s="329">
        <v>3.4122137404580153</v>
      </c>
      <c r="R487" s="312">
        <v>220</v>
      </c>
      <c r="S487" s="307">
        <v>455.88</v>
      </c>
      <c r="T487" s="377">
        <f t="shared" si="101"/>
        <v>524</v>
      </c>
      <c r="U487" s="377">
        <f t="shared" si="102"/>
        <v>1788</v>
      </c>
      <c r="V487" s="307">
        <v>1106</v>
      </c>
      <c r="W487" s="307">
        <v>682</v>
      </c>
      <c r="X487" s="313" t="s">
        <v>3449</v>
      </c>
      <c r="Y487" s="314" t="s">
        <v>2985</v>
      </c>
      <c r="Z487" s="315" t="s">
        <v>3446</v>
      </c>
      <c r="AA487" s="307" t="s">
        <v>3527</v>
      </c>
      <c r="AB487" s="304" t="s">
        <v>522</v>
      </c>
      <c r="AC487" s="303" t="s">
        <v>2315</v>
      </c>
      <c r="AD487" s="307" t="s">
        <v>3345</v>
      </c>
      <c r="AE487" s="317" t="s">
        <v>2985</v>
      </c>
      <c r="AF487" s="315" t="s">
        <v>3345</v>
      </c>
      <c r="AG487" s="443">
        <v>2.98</v>
      </c>
      <c r="AH487" s="313">
        <v>87</v>
      </c>
      <c r="AI487" s="307">
        <v>0</v>
      </c>
      <c r="AJ487" s="315">
        <v>0</v>
      </c>
      <c r="AK487" s="406">
        <v>13</v>
      </c>
      <c r="AL487" s="315">
        <v>0</v>
      </c>
      <c r="AM487" s="315">
        <v>0</v>
      </c>
      <c r="AN487" s="307">
        <v>0</v>
      </c>
      <c r="AO487" s="307">
        <v>0</v>
      </c>
      <c r="AP487" s="307">
        <v>0</v>
      </c>
      <c r="AQ487" s="307">
        <v>0</v>
      </c>
      <c r="AR487" s="307">
        <v>0</v>
      </c>
      <c r="AS487" s="307">
        <v>0</v>
      </c>
      <c r="AT487" s="307">
        <v>0</v>
      </c>
      <c r="AU487" s="307">
        <v>0</v>
      </c>
      <c r="AV487" s="307">
        <v>0</v>
      </c>
      <c r="AW487" s="307">
        <v>0</v>
      </c>
      <c r="AX487" s="304">
        <v>0</v>
      </c>
      <c r="AY487" s="303">
        <v>65.5</v>
      </c>
      <c r="AZ487" s="311">
        <v>32.75</v>
      </c>
      <c r="BA487" s="307">
        <v>70</v>
      </c>
      <c r="BB487" s="507" t="s">
        <v>2985</v>
      </c>
      <c r="BC487" s="426">
        <v>44</v>
      </c>
      <c r="BD487" s="307" t="s">
        <v>3520</v>
      </c>
      <c r="BE487" s="312">
        <v>100</v>
      </c>
      <c r="BF487" s="307" t="s">
        <v>246</v>
      </c>
      <c r="BG487" s="307">
        <v>200</v>
      </c>
      <c r="BH487" s="426">
        <v>25</v>
      </c>
      <c r="BI487" s="330" t="s">
        <v>2985</v>
      </c>
      <c r="BJ487" s="305">
        <v>29</v>
      </c>
      <c r="BK487" s="311">
        <v>21</v>
      </c>
      <c r="BL487" s="306">
        <v>21</v>
      </c>
      <c r="BM487" s="317" t="s">
        <v>2985</v>
      </c>
      <c r="BN487" s="307">
        <v>61</v>
      </c>
      <c r="BO487" s="259" t="s">
        <v>2985</v>
      </c>
      <c r="BP487" s="320" t="s">
        <v>3388</v>
      </c>
    </row>
    <row r="488" spans="1:96">
      <c r="A488" s="458">
        <v>1950</v>
      </c>
      <c r="B488" s="535" t="s">
        <v>3585</v>
      </c>
      <c r="C488" s="466" t="s">
        <v>3590</v>
      </c>
      <c r="D488" s="383"/>
      <c r="E488" s="470" t="s">
        <v>3590</v>
      </c>
      <c r="F488" s="303" t="s">
        <v>3047</v>
      </c>
      <c r="G488" s="386" t="s">
        <v>3292</v>
      </c>
      <c r="H488" s="696" t="s">
        <v>3290</v>
      </c>
      <c r="I488" s="697" t="s">
        <v>3379</v>
      </c>
      <c r="J488" s="700">
        <v>2001</v>
      </c>
      <c r="K488" s="304">
        <v>3</v>
      </c>
      <c r="L488" s="303" t="s">
        <v>1738</v>
      </c>
      <c r="M488" s="304" t="s">
        <v>1751</v>
      </c>
      <c r="N488" s="450">
        <v>0.41984732824427479</v>
      </c>
      <c r="O488" s="309">
        <f t="shared" si="99"/>
        <v>0.58312128922815953</v>
      </c>
      <c r="P488" s="310">
        <f t="shared" si="100"/>
        <v>4.6994274809160306</v>
      </c>
      <c r="Q488" s="329">
        <v>3.3835877862595418</v>
      </c>
      <c r="R488" s="312">
        <v>220</v>
      </c>
      <c r="S488" s="307">
        <v>377.28</v>
      </c>
      <c r="T488" s="377">
        <f t="shared" si="101"/>
        <v>524</v>
      </c>
      <c r="U488" s="377">
        <f t="shared" si="102"/>
        <v>1773</v>
      </c>
      <c r="V488" s="307">
        <v>1106</v>
      </c>
      <c r="W488" s="307">
        <v>667</v>
      </c>
      <c r="X488" s="313" t="s">
        <v>3449</v>
      </c>
      <c r="Y488" s="314" t="s">
        <v>2985</v>
      </c>
      <c r="Z488" s="315" t="s">
        <v>3446</v>
      </c>
      <c r="AA488" s="307" t="s">
        <v>3528</v>
      </c>
      <c r="AB488" s="304" t="s">
        <v>522</v>
      </c>
      <c r="AC488" s="303" t="s">
        <v>2315</v>
      </c>
      <c r="AD488" s="307" t="s">
        <v>3345</v>
      </c>
      <c r="AE488" s="317" t="s">
        <v>2985</v>
      </c>
      <c r="AF488" s="315" t="s">
        <v>3345</v>
      </c>
      <c r="AG488" s="443">
        <v>2.98</v>
      </c>
      <c r="AH488" s="313">
        <v>72</v>
      </c>
      <c r="AI488" s="307">
        <v>0</v>
      </c>
      <c r="AJ488" s="315">
        <v>0</v>
      </c>
      <c r="AK488" s="315">
        <v>28</v>
      </c>
      <c r="AL488" s="315">
        <v>0</v>
      </c>
      <c r="AM488" s="315">
        <v>0</v>
      </c>
      <c r="AN488" s="307">
        <v>0</v>
      </c>
      <c r="AO488" s="307">
        <v>0</v>
      </c>
      <c r="AP488" s="307">
        <v>0</v>
      </c>
      <c r="AQ488" s="307">
        <v>0</v>
      </c>
      <c r="AR488" s="307">
        <v>0</v>
      </c>
      <c r="AS488" s="307">
        <v>0</v>
      </c>
      <c r="AT488" s="307">
        <v>0</v>
      </c>
      <c r="AU488" s="307">
        <v>0</v>
      </c>
      <c r="AV488" s="307">
        <v>0</v>
      </c>
      <c r="AW488" s="307">
        <v>0</v>
      </c>
      <c r="AX488" s="304">
        <v>0</v>
      </c>
      <c r="AY488" s="303">
        <v>60.5</v>
      </c>
      <c r="AZ488" s="311">
        <v>30.25</v>
      </c>
      <c r="BA488" s="307">
        <v>45</v>
      </c>
      <c r="BB488" s="94" t="s">
        <v>2985</v>
      </c>
      <c r="BC488" s="426">
        <v>46</v>
      </c>
      <c r="BD488" s="324" t="s">
        <v>3520</v>
      </c>
      <c r="BE488" s="312">
        <v>100</v>
      </c>
      <c r="BF488" s="307" t="s">
        <v>246</v>
      </c>
      <c r="BG488" s="307">
        <v>200</v>
      </c>
      <c r="BH488" s="723">
        <v>25</v>
      </c>
      <c r="BI488" s="330" t="s">
        <v>2985</v>
      </c>
      <c r="BJ488" s="726">
        <v>28</v>
      </c>
      <c r="BK488" s="311">
        <v>21</v>
      </c>
      <c r="BL488" s="700">
        <v>21</v>
      </c>
      <c r="BM488" s="317" t="s">
        <v>2985</v>
      </c>
      <c r="BN488" s="307">
        <v>61</v>
      </c>
      <c r="BO488" s="497" t="s">
        <v>2985</v>
      </c>
      <c r="BP488" s="320" t="s">
        <v>3389</v>
      </c>
    </row>
    <row r="489" spans="1:96" s="378" customFormat="1" ht="18">
      <c r="A489" s="458">
        <v>1952</v>
      </c>
      <c r="B489" s="533" t="s">
        <v>3634</v>
      </c>
      <c r="C489" s="466" t="s">
        <v>3590</v>
      </c>
      <c r="D489" s="383"/>
      <c r="E489" s="470" t="s">
        <v>3590</v>
      </c>
      <c r="F489" s="303" t="s">
        <v>3049</v>
      </c>
      <c r="G489" s="386" t="s">
        <v>3292</v>
      </c>
      <c r="H489" s="303" t="s">
        <v>3290</v>
      </c>
      <c r="I489" s="697" t="s">
        <v>3379</v>
      </c>
      <c r="J489" s="307">
        <v>2001</v>
      </c>
      <c r="K489" s="304">
        <v>3</v>
      </c>
      <c r="L489" s="303" t="s">
        <v>1738</v>
      </c>
      <c r="M489" s="304" t="s">
        <v>1751</v>
      </c>
      <c r="N489" s="450">
        <v>0.42</v>
      </c>
      <c r="O489" s="309">
        <f t="shared" si="99"/>
        <v>0.6</v>
      </c>
      <c r="P489" s="310">
        <f t="shared" si="100"/>
        <v>5.0685714285714285</v>
      </c>
      <c r="Q489" s="329">
        <v>3.548</v>
      </c>
      <c r="R489" s="312">
        <v>210</v>
      </c>
      <c r="S489" s="307">
        <v>350</v>
      </c>
      <c r="T489" s="377">
        <f t="shared" si="101"/>
        <v>500</v>
      </c>
      <c r="U489" s="377">
        <f t="shared" si="102"/>
        <v>1774</v>
      </c>
      <c r="V489" s="307">
        <v>1106</v>
      </c>
      <c r="W489" s="307">
        <v>668</v>
      </c>
      <c r="X489" s="313" t="s">
        <v>3449</v>
      </c>
      <c r="Y489" s="314" t="s">
        <v>2985</v>
      </c>
      <c r="Z489" s="315" t="s">
        <v>3450</v>
      </c>
      <c r="AA489" s="315" t="s">
        <v>3523</v>
      </c>
      <c r="AB489" s="304" t="s">
        <v>1754</v>
      </c>
      <c r="AC489" s="303" t="s">
        <v>2315</v>
      </c>
      <c r="AD489" s="307" t="s">
        <v>3345</v>
      </c>
      <c r="AE489" s="317" t="s">
        <v>2985</v>
      </c>
      <c r="AF489" s="315" t="s">
        <v>3345</v>
      </c>
      <c r="AG489" s="443">
        <v>2.98</v>
      </c>
      <c r="AH489" s="313">
        <v>70</v>
      </c>
      <c r="AI489" s="307">
        <v>0</v>
      </c>
      <c r="AJ489" s="315">
        <v>30</v>
      </c>
      <c r="AK489" s="315">
        <v>0</v>
      </c>
      <c r="AL489" s="315">
        <v>0</v>
      </c>
      <c r="AM489" s="315">
        <v>0</v>
      </c>
      <c r="AN489" s="307">
        <v>0</v>
      </c>
      <c r="AO489" s="307">
        <v>0</v>
      </c>
      <c r="AP489" s="307">
        <v>0</v>
      </c>
      <c r="AQ489" s="307">
        <v>0</v>
      </c>
      <c r="AR489" s="307">
        <v>0</v>
      </c>
      <c r="AS489" s="307">
        <v>0</v>
      </c>
      <c r="AT489" s="307">
        <v>0</v>
      </c>
      <c r="AU489" s="307">
        <v>0</v>
      </c>
      <c r="AV489" s="307">
        <v>0</v>
      </c>
      <c r="AW489" s="307">
        <v>0</v>
      </c>
      <c r="AX489" s="304">
        <v>0</v>
      </c>
      <c r="AY489" s="303">
        <v>52</v>
      </c>
      <c r="AZ489" s="311"/>
      <c r="BA489" s="307">
        <v>75</v>
      </c>
      <c r="BB489" s="94" t="s">
        <v>2985</v>
      </c>
      <c r="BC489" s="426">
        <v>36</v>
      </c>
      <c r="BD489" s="324" t="s">
        <v>3520</v>
      </c>
      <c r="BE489" s="312">
        <v>100</v>
      </c>
      <c r="BF489" s="307" t="s">
        <v>246</v>
      </c>
      <c r="BG489" s="307">
        <v>200</v>
      </c>
      <c r="BH489" s="723">
        <v>25</v>
      </c>
      <c r="BI489" s="330" t="s">
        <v>2985</v>
      </c>
      <c r="BJ489" s="307">
        <v>29</v>
      </c>
      <c r="BK489" s="317" t="s">
        <v>2985</v>
      </c>
      <c r="BL489" s="307">
        <v>21</v>
      </c>
      <c r="BM489" s="317" t="s">
        <v>2985</v>
      </c>
      <c r="BN489" s="307">
        <v>66</v>
      </c>
      <c r="BO489" s="332" t="s">
        <v>2985</v>
      </c>
      <c r="BP489" s="320" t="s">
        <v>3320</v>
      </c>
      <c r="BQ489" s="333"/>
      <c r="BR489" s="333"/>
      <c r="BS489" s="334"/>
      <c r="BT489" s="333"/>
      <c r="BU489" s="333"/>
      <c r="BV489" s="333"/>
      <c r="BW489" s="333"/>
      <c r="BX489" s="333"/>
      <c r="BY489" s="333"/>
      <c r="BZ489" s="333"/>
      <c r="CA489" s="333"/>
      <c r="CB489" s="333"/>
      <c r="CC489" s="333"/>
      <c r="CD489" s="333"/>
      <c r="CE489" s="333"/>
      <c r="CF489" s="333"/>
      <c r="CG489" s="333"/>
      <c r="CH489" s="333"/>
      <c r="CI489" s="333"/>
      <c r="CJ489" s="333"/>
      <c r="CK489" s="333"/>
      <c r="CL489" s="333"/>
      <c r="CM489" s="333"/>
      <c r="CN489" s="333"/>
    </row>
    <row r="490" spans="1:96">
      <c r="A490" s="458">
        <v>1954</v>
      </c>
      <c r="B490" s="535" t="s">
        <v>3585</v>
      </c>
      <c r="C490" s="466" t="s">
        <v>3590</v>
      </c>
      <c r="D490" s="383"/>
      <c r="E490" s="470" t="s">
        <v>3590</v>
      </c>
      <c r="F490" s="303" t="s">
        <v>3051</v>
      </c>
      <c r="G490" s="386" t="s">
        <v>3292</v>
      </c>
      <c r="H490" s="303" t="s">
        <v>3290</v>
      </c>
      <c r="I490" s="697" t="s">
        <v>3379</v>
      </c>
      <c r="J490" s="307">
        <v>2001</v>
      </c>
      <c r="K490" s="304">
        <v>3</v>
      </c>
      <c r="L490" s="303" t="s">
        <v>1738</v>
      </c>
      <c r="M490" s="304" t="s">
        <v>1751</v>
      </c>
      <c r="N490" s="450">
        <v>0.42</v>
      </c>
      <c r="O490" s="309">
        <f t="shared" si="99"/>
        <v>0.42</v>
      </c>
      <c r="P490" s="310">
        <f t="shared" si="100"/>
        <v>3.6920000000000002</v>
      </c>
      <c r="Q490" s="329">
        <v>3.6920000000000002</v>
      </c>
      <c r="R490" s="312">
        <v>210</v>
      </c>
      <c r="S490" s="307">
        <v>500</v>
      </c>
      <c r="T490" s="377">
        <f t="shared" si="101"/>
        <v>500</v>
      </c>
      <c r="U490" s="377">
        <f t="shared" si="102"/>
        <v>1846</v>
      </c>
      <c r="V490" s="307">
        <v>1106</v>
      </c>
      <c r="W490" s="307">
        <v>740</v>
      </c>
      <c r="X490" s="313" t="s">
        <v>3449</v>
      </c>
      <c r="Y490" s="314" t="s">
        <v>2985</v>
      </c>
      <c r="Z490" s="315" t="s">
        <v>3450</v>
      </c>
      <c r="AA490" s="315" t="s">
        <v>1754</v>
      </c>
      <c r="AB490" s="304" t="s">
        <v>1754</v>
      </c>
      <c r="AC490" s="303" t="s">
        <v>2315</v>
      </c>
      <c r="AD490" s="307" t="s">
        <v>3345</v>
      </c>
      <c r="AE490" s="317" t="s">
        <v>2985</v>
      </c>
      <c r="AF490" s="315" t="s">
        <v>3345</v>
      </c>
      <c r="AG490" s="443">
        <v>2.98</v>
      </c>
      <c r="AH490" s="313">
        <v>100</v>
      </c>
      <c r="AI490" s="307">
        <v>0</v>
      </c>
      <c r="AJ490" s="315">
        <v>0</v>
      </c>
      <c r="AK490" s="315">
        <v>0</v>
      </c>
      <c r="AL490" s="315">
        <v>0</v>
      </c>
      <c r="AM490" s="315">
        <v>0</v>
      </c>
      <c r="AN490" s="307">
        <v>0</v>
      </c>
      <c r="AO490" s="307">
        <v>0</v>
      </c>
      <c r="AP490" s="307">
        <v>0</v>
      </c>
      <c r="AQ490" s="307">
        <v>0</v>
      </c>
      <c r="AR490" s="307">
        <v>0</v>
      </c>
      <c r="AS490" s="307">
        <v>0</v>
      </c>
      <c r="AT490" s="307">
        <v>0</v>
      </c>
      <c r="AU490" s="307">
        <v>0</v>
      </c>
      <c r="AV490" s="307">
        <v>0</v>
      </c>
      <c r="AW490" s="307">
        <v>0</v>
      </c>
      <c r="AX490" s="304">
        <v>0</v>
      </c>
      <c r="AY490" s="303">
        <v>63</v>
      </c>
      <c r="AZ490" s="311">
        <v>28.98</v>
      </c>
      <c r="BA490" s="307">
        <v>70</v>
      </c>
      <c r="BB490" s="94" t="s">
        <v>2985</v>
      </c>
      <c r="BC490" s="426">
        <v>42</v>
      </c>
      <c r="BD490" s="324" t="s">
        <v>3520</v>
      </c>
      <c r="BE490" s="312">
        <v>100</v>
      </c>
      <c r="BF490" s="307" t="s">
        <v>246</v>
      </c>
      <c r="BG490" s="307">
        <v>200</v>
      </c>
      <c r="BH490" s="723">
        <v>25</v>
      </c>
      <c r="BI490" s="330" t="s">
        <v>2985</v>
      </c>
      <c r="BJ490" s="307">
        <v>30</v>
      </c>
      <c r="BK490" s="311">
        <v>21</v>
      </c>
      <c r="BL490" s="307">
        <v>21</v>
      </c>
      <c r="BM490" s="317" t="s">
        <v>2985</v>
      </c>
      <c r="BN490" s="307">
        <v>66</v>
      </c>
      <c r="BO490" s="332" t="s">
        <v>2985</v>
      </c>
      <c r="BP490" s="320" t="s">
        <v>3321</v>
      </c>
      <c r="BQ490" s="348"/>
      <c r="BR490" s="307"/>
      <c r="BS490" s="320"/>
      <c r="BT490" s="321"/>
      <c r="CO490" s="322"/>
      <c r="CP490" s="322"/>
      <c r="CQ490" s="322"/>
      <c r="CR490" s="322"/>
    </row>
    <row r="491" spans="1:96">
      <c r="A491" s="458">
        <v>1956</v>
      </c>
      <c r="B491" s="535" t="s">
        <v>3626</v>
      </c>
      <c r="C491" s="383"/>
      <c r="D491" s="383"/>
      <c r="E491" s="469"/>
      <c r="F491" s="303" t="s">
        <v>3053</v>
      </c>
      <c r="G491" s="757" t="s">
        <v>3293</v>
      </c>
      <c r="H491" s="303" t="s">
        <v>3290</v>
      </c>
      <c r="I491" s="697" t="s">
        <v>3379</v>
      </c>
      <c r="J491" s="307">
        <v>2002</v>
      </c>
      <c r="K491" s="304">
        <v>4</v>
      </c>
      <c r="L491" s="303" t="s">
        <v>1738</v>
      </c>
      <c r="M491" s="304" t="s">
        <v>1751</v>
      </c>
      <c r="N491" s="450">
        <v>0.42003198720511797</v>
      </c>
      <c r="O491" s="309">
        <f t="shared" si="99"/>
        <v>0.42003198720511797</v>
      </c>
      <c r="P491" s="310">
        <f t="shared" si="100"/>
        <v>3.5415833666533389</v>
      </c>
      <c r="Q491" s="329">
        <v>3.5405837664934028</v>
      </c>
      <c r="R491" s="312">
        <v>210.1</v>
      </c>
      <c r="S491" s="307">
        <v>500.2</v>
      </c>
      <c r="T491" s="377">
        <f t="shared" si="101"/>
        <v>500.34121964991527</v>
      </c>
      <c r="U491" s="377">
        <f t="shared" si="102"/>
        <v>1771.5</v>
      </c>
      <c r="V491" s="307">
        <v>1129.5</v>
      </c>
      <c r="W491" s="307">
        <v>642</v>
      </c>
      <c r="X491" s="313" t="s">
        <v>3449</v>
      </c>
      <c r="Y491" s="314" t="s">
        <v>2985</v>
      </c>
      <c r="Z491" s="311" t="s">
        <v>3618</v>
      </c>
      <c r="AA491" s="307" t="s">
        <v>522</v>
      </c>
      <c r="AB491" s="304" t="s">
        <v>522</v>
      </c>
      <c r="AC491" s="303" t="s">
        <v>2312</v>
      </c>
      <c r="AD491" s="307" t="s">
        <v>3346</v>
      </c>
      <c r="AE491" s="317" t="s">
        <v>2985</v>
      </c>
      <c r="AF491" s="315" t="s">
        <v>3346</v>
      </c>
      <c r="AG491" s="443">
        <v>2.89</v>
      </c>
      <c r="AH491" s="313">
        <v>100</v>
      </c>
      <c r="AI491" s="307">
        <v>0</v>
      </c>
      <c r="AJ491" s="315">
        <v>0</v>
      </c>
      <c r="AK491" s="315">
        <v>0</v>
      </c>
      <c r="AL491" s="315">
        <v>0</v>
      </c>
      <c r="AM491" s="315">
        <v>0</v>
      </c>
      <c r="AN491" s="307">
        <v>0</v>
      </c>
      <c r="AO491" s="307">
        <v>0</v>
      </c>
      <c r="AP491" s="307">
        <v>0</v>
      </c>
      <c r="AQ491" s="307">
        <v>0</v>
      </c>
      <c r="AR491" s="307">
        <v>0</v>
      </c>
      <c r="AS491" s="307">
        <v>0</v>
      </c>
      <c r="AT491" s="307">
        <v>0</v>
      </c>
      <c r="AU491" s="307">
        <v>0</v>
      </c>
      <c r="AV491" s="307">
        <v>0</v>
      </c>
      <c r="AW491" s="307">
        <v>0</v>
      </c>
      <c r="AX491" s="304">
        <v>0</v>
      </c>
      <c r="AY491" s="303">
        <v>64</v>
      </c>
      <c r="AZ491" s="311">
        <v>39.68</v>
      </c>
      <c r="BA491" s="307">
        <v>65</v>
      </c>
      <c r="BB491" s="94" t="s">
        <v>2985</v>
      </c>
      <c r="BC491" s="426">
        <v>41.133171639913449</v>
      </c>
      <c r="BD491" s="324" t="s">
        <v>3520</v>
      </c>
      <c r="BE491" s="312">
        <v>100</v>
      </c>
      <c r="BF491" s="307" t="s">
        <v>246</v>
      </c>
      <c r="BG491" s="307">
        <v>200</v>
      </c>
      <c r="BH491" s="723">
        <v>25</v>
      </c>
      <c r="BI491" s="330" t="s">
        <v>2985</v>
      </c>
      <c r="BJ491" s="307">
        <v>35</v>
      </c>
      <c r="BK491" s="311">
        <v>22</v>
      </c>
      <c r="BL491" s="307">
        <v>22</v>
      </c>
      <c r="BM491" s="317" t="s">
        <v>2985</v>
      </c>
      <c r="BN491" s="307">
        <v>62</v>
      </c>
      <c r="BO491" s="332" t="s">
        <v>2985</v>
      </c>
      <c r="BP491" s="320" t="s">
        <v>3473</v>
      </c>
      <c r="BQ491" s="348"/>
      <c r="BR491" s="307"/>
      <c r="BS491" s="320"/>
      <c r="BT491" s="321"/>
      <c r="CO491" s="322"/>
      <c r="CP491" s="322"/>
      <c r="CQ491" s="322"/>
      <c r="CR491" s="322"/>
    </row>
    <row r="492" spans="1:96">
      <c r="A492" s="458">
        <v>1958</v>
      </c>
      <c r="B492" s="535" t="s">
        <v>3626</v>
      </c>
      <c r="C492" s="383"/>
      <c r="D492" s="383"/>
      <c r="E492" s="469"/>
      <c r="F492" s="303" t="s">
        <v>3055</v>
      </c>
      <c r="G492" s="757" t="s">
        <v>3293</v>
      </c>
      <c r="H492" s="303" t="s">
        <v>3290</v>
      </c>
      <c r="I492" s="697" t="s">
        <v>3379</v>
      </c>
      <c r="J492" s="307">
        <v>2002</v>
      </c>
      <c r="K492" s="304">
        <v>4</v>
      </c>
      <c r="L492" s="303" t="s">
        <v>1738</v>
      </c>
      <c r="M492" s="304" t="s">
        <v>1751</v>
      </c>
      <c r="N492" s="450">
        <v>0.42003198720511797</v>
      </c>
      <c r="O492" s="309">
        <f t="shared" si="99"/>
        <v>0.42003198720511797</v>
      </c>
      <c r="P492" s="310">
        <f t="shared" si="100"/>
        <v>3.5415833666533389</v>
      </c>
      <c r="Q492" s="329">
        <v>3.5405837664934028</v>
      </c>
      <c r="R492" s="312">
        <v>210.1</v>
      </c>
      <c r="S492" s="307">
        <v>500.2</v>
      </c>
      <c r="T492" s="377">
        <f t="shared" si="101"/>
        <v>500.34121964991527</v>
      </c>
      <c r="U492" s="377">
        <f t="shared" si="102"/>
        <v>1771.5</v>
      </c>
      <c r="V492" s="307">
        <v>1129.5</v>
      </c>
      <c r="W492" s="307">
        <v>642</v>
      </c>
      <c r="X492" s="313" t="s">
        <v>3449</v>
      </c>
      <c r="Y492" s="314" t="s">
        <v>2985</v>
      </c>
      <c r="Z492" s="311" t="s">
        <v>3618</v>
      </c>
      <c r="AA492" s="307" t="s">
        <v>522</v>
      </c>
      <c r="AB492" s="304" t="s">
        <v>522</v>
      </c>
      <c r="AC492" s="303" t="s">
        <v>2312</v>
      </c>
      <c r="AD492" s="307" t="s">
        <v>3346</v>
      </c>
      <c r="AE492" s="317" t="s">
        <v>2985</v>
      </c>
      <c r="AF492" s="315" t="s">
        <v>3346</v>
      </c>
      <c r="AG492" s="443">
        <v>2.89</v>
      </c>
      <c r="AH492" s="313">
        <v>100</v>
      </c>
      <c r="AI492" s="307">
        <v>0</v>
      </c>
      <c r="AJ492" s="315">
        <v>0</v>
      </c>
      <c r="AK492" s="315">
        <v>0</v>
      </c>
      <c r="AL492" s="315">
        <v>0</v>
      </c>
      <c r="AM492" s="315">
        <v>0</v>
      </c>
      <c r="AN492" s="307">
        <v>0</v>
      </c>
      <c r="AO492" s="307">
        <v>0</v>
      </c>
      <c r="AP492" s="307">
        <v>0</v>
      </c>
      <c r="AQ492" s="307">
        <v>0</v>
      </c>
      <c r="AR492" s="307">
        <v>0</v>
      </c>
      <c r="AS492" s="307">
        <v>0</v>
      </c>
      <c r="AT492" s="307">
        <v>0</v>
      </c>
      <c r="AU492" s="307">
        <v>0</v>
      </c>
      <c r="AV492" s="307">
        <v>0</v>
      </c>
      <c r="AW492" s="307">
        <v>0</v>
      </c>
      <c r="AX492" s="304">
        <v>0</v>
      </c>
      <c r="AY492" s="303">
        <v>64.5</v>
      </c>
      <c r="AZ492" s="311">
        <v>39.99</v>
      </c>
      <c r="BA492" s="307">
        <v>60</v>
      </c>
      <c r="BB492" s="94" t="s">
        <v>2985</v>
      </c>
      <c r="BC492" s="426">
        <v>36.528712127982836</v>
      </c>
      <c r="BD492" s="324" t="s">
        <v>3520</v>
      </c>
      <c r="BE492" s="312">
        <v>100</v>
      </c>
      <c r="BF492" s="307" t="s">
        <v>246</v>
      </c>
      <c r="BG492" s="307">
        <v>200</v>
      </c>
      <c r="BH492" s="723">
        <v>25</v>
      </c>
      <c r="BI492" s="330" t="s">
        <v>2985</v>
      </c>
      <c r="BJ492" s="307">
        <v>31</v>
      </c>
      <c r="BK492" s="311">
        <v>22</v>
      </c>
      <c r="BL492" s="307">
        <v>22</v>
      </c>
      <c r="BM492" s="317" t="s">
        <v>2985</v>
      </c>
      <c r="BN492" s="307">
        <v>62</v>
      </c>
      <c r="BO492" s="332" t="s">
        <v>2985</v>
      </c>
      <c r="BP492" s="320" t="s">
        <v>3473</v>
      </c>
      <c r="BQ492" s="348"/>
      <c r="BR492" s="307"/>
      <c r="BS492" s="320"/>
      <c r="BT492" s="321"/>
      <c r="CO492" s="322"/>
      <c r="CP492" s="322"/>
      <c r="CQ492" s="322"/>
      <c r="CR492" s="322"/>
    </row>
    <row r="493" spans="1:96">
      <c r="A493" s="458">
        <v>1960</v>
      </c>
      <c r="B493" s="535" t="s">
        <v>3626</v>
      </c>
      <c r="C493" s="383"/>
      <c r="D493" s="383"/>
      <c r="E493" s="469"/>
      <c r="F493" s="303" t="s">
        <v>3057</v>
      </c>
      <c r="G493" s="757" t="s">
        <v>3293</v>
      </c>
      <c r="H493" s="303" t="s">
        <v>3290</v>
      </c>
      <c r="I493" s="697" t="s">
        <v>3379</v>
      </c>
      <c r="J493" s="307">
        <v>2002</v>
      </c>
      <c r="K493" s="304">
        <v>4</v>
      </c>
      <c r="L493" s="303" t="s">
        <v>1738</v>
      </c>
      <c r="M493" s="304" t="s">
        <v>1751</v>
      </c>
      <c r="N493" s="450">
        <v>0.42003198720511797</v>
      </c>
      <c r="O493" s="309">
        <f t="shared" si="99"/>
        <v>0.42003198720511797</v>
      </c>
      <c r="P493" s="310">
        <f t="shared" si="100"/>
        <v>3.5415833666533389</v>
      </c>
      <c r="Q493" s="329">
        <v>3.5405837664934028</v>
      </c>
      <c r="R493" s="312">
        <v>210.1</v>
      </c>
      <c r="S493" s="307">
        <v>500.2</v>
      </c>
      <c r="T493" s="377">
        <f t="shared" si="101"/>
        <v>500.34121964991527</v>
      </c>
      <c r="U493" s="377">
        <f t="shared" si="102"/>
        <v>1771.5</v>
      </c>
      <c r="V493" s="307">
        <v>1129.5</v>
      </c>
      <c r="W493" s="307">
        <v>642</v>
      </c>
      <c r="X493" s="313" t="s">
        <v>3449</v>
      </c>
      <c r="Y493" s="314" t="s">
        <v>2985</v>
      </c>
      <c r="Z493" s="311" t="s">
        <v>3618</v>
      </c>
      <c r="AA493" s="307" t="s">
        <v>522</v>
      </c>
      <c r="AB493" s="304" t="s">
        <v>522</v>
      </c>
      <c r="AC493" s="303" t="s">
        <v>2312</v>
      </c>
      <c r="AD493" s="307" t="s">
        <v>3346</v>
      </c>
      <c r="AE493" s="317" t="s">
        <v>2985</v>
      </c>
      <c r="AF493" s="315" t="s">
        <v>3346</v>
      </c>
      <c r="AG493" s="443">
        <v>2.89</v>
      </c>
      <c r="AH493" s="313">
        <v>100</v>
      </c>
      <c r="AI493" s="307">
        <v>0</v>
      </c>
      <c r="AJ493" s="315">
        <v>0</v>
      </c>
      <c r="AK493" s="315">
        <v>0</v>
      </c>
      <c r="AL493" s="315">
        <v>0</v>
      </c>
      <c r="AM493" s="315">
        <v>0</v>
      </c>
      <c r="AN493" s="307">
        <v>0</v>
      </c>
      <c r="AO493" s="307">
        <v>0</v>
      </c>
      <c r="AP493" s="307">
        <v>0</v>
      </c>
      <c r="AQ493" s="307">
        <v>0</v>
      </c>
      <c r="AR493" s="307">
        <v>0</v>
      </c>
      <c r="AS493" s="307">
        <v>0</v>
      </c>
      <c r="AT493" s="307">
        <v>0</v>
      </c>
      <c r="AU493" s="307">
        <v>0</v>
      </c>
      <c r="AV493" s="307">
        <v>0</v>
      </c>
      <c r="AW493" s="307">
        <v>0</v>
      </c>
      <c r="AX493" s="304">
        <v>0</v>
      </c>
      <c r="AY493" s="303">
        <v>64</v>
      </c>
      <c r="AZ493" s="311">
        <v>32</v>
      </c>
      <c r="BA493" s="307">
        <v>75</v>
      </c>
      <c r="BB493" s="94" t="s">
        <v>2985</v>
      </c>
      <c r="BC493" s="426">
        <v>38.229194070874641</v>
      </c>
      <c r="BD493" s="324" t="s">
        <v>3520</v>
      </c>
      <c r="BE493" s="312">
        <v>100</v>
      </c>
      <c r="BF493" s="307" t="s">
        <v>246</v>
      </c>
      <c r="BG493" s="307">
        <v>200</v>
      </c>
      <c r="BH493" s="723">
        <v>25</v>
      </c>
      <c r="BI493" s="330" t="s">
        <v>2985</v>
      </c>
      <c r="BJ493" s="307">
        <v>28</v>
      </c>
      <c r="BK493" s="311">
        <v>21</v>
      </c>
      <c r="BL493" s="307">
        <v>21</v>
      </c>
      <c r="BM493" s="317" t="s">
        <v>2985</v>
      </c>
      <c r="BN493" s="307">
        <v>63</v>
      </c>
      <c r="BO493" s="332" t="s">
        <v>2985</v>
      </c>
      <c r="BP493" s="320" t="s">
        <v>3473</v>
      </c>
      <c r="BQ493" s="348"/>
      <c r="BR493" s="307"/>
      <c r="BS493" s="320"/>
      <c r="BT493" s="321"/>
      <c r="CO493" s="322"/>
      <c r="CP493" s="322"/>
      <c r="CQ493" s="322"/>
      <c r="CR493" s="322"/>
    </row>
    <row r="494" spans="1:96">
      <c r="A494" s="458">
        <v>1962</v>
      </c>
      <c r="B494" s="535" t="s">
        <v>3626</v>
      </c>
      <c r="C494" s="383"/>
      <c r="D494" s="383"/>
      <c r="E494" s="469"/>
      <c r="F494" s="303" t="s">
        <v>3059</v>
      </c>
      <c r="G494" s="757" t="s">
        <v>3293</v>
      </c>
      <c r="H494" s="303" t="s">
        <v>3290</v>
      </c>
      <c r="I494" s="697" t="s">
        <v>3379</v>
      </c>
      <c r="J494" s="307">
        <v>2002</v>
      </c>
      <c r="K494" s="304">
        <v>4</v>
      </c>
      <c r="L494" s="303" t="s">
        <v>1738</v>
      </c>
      <c r="M494" s="304" t="s">
        <v>1751</v>
      </c>
      <c r="N494" s="450">
        <v>0.41987179487179488</v>
      </c>
      <c r="O494" s="309">
        <f t="shared" si="99"/>
        <v>0.41987179487179488</v>
      </c>
      <c r="P494" s="310">
        <f t="shared" si="100"/>
        <v>3.5661057692307696</v>
      </c>
      <c r="Q494" s="329">
        <v>3.5655048076923079</v>
      </c>
      <c r="R494" s="312">
        <v>209.6</v>
      </c>
      <c r="S494" s="307">
        <v>499.2</v>
      </c>
      <c r="T494" s="377">
        <f t="shared" si="101"/>
        <v>499.28413955840216</v>
      </c>
      <c r="U494" s="377">
        <f t="shared" si="102"/>
        <v>1780.2</v>
      </c>
      <c r="V494" s="307">
        <v>1127.2</v>
      </c>
      <c r="W494" s="307">
        <v>653</v>
      </c>
      <c r="X494" s="313" t="s">
        <v>3449</v>
      </c>
      <c r="Y494" s="314" t="s">
        <v>2985</v>
      </c>
      <c r="Z494" s="311" t="s">
        <v>3618</v>
      </c>
      <c r="AA494" s="307" t="s">
        <v>522</v>
      </c>
      <c r="AB494" s="304" t="s">
        <v>522</v>
      </c>
      <c r="AC494" s="303" t="s">
        <v>2312</v>
      </c>
      <c r="AD494" s="307" t="s">
        <v>3346</v>
      </c>
      <c r="AE494" s="317" t="s">
        <v>2985</v>
      </c>
      <c r="AF494" s="315" t="s">
        <v>3346</v>
      </c>
      <c r="AG494" s="443">
        <v>2.89</v>
      </c>
      <c r="AH494" s="313">
        <v>100</v>
      </c>
      <c r="AI494" s="307">
        <v>0</v>
      </c>
      <c r="AJ494" s="315">
        <v>0</v>
      </c>
      <c r="AK494" s="315">
        <v>0</v>
      </c>
      <c r="AL494" s="315">
        <v>0</v>
      </c>
      <c r="AM494" s="315">
        <v>0</v>
      </c>
      <c r="AN494" s="307">
        <v>0</v>
      </c>
      <c r="AO494" s="307">
        <v>0</v>
      </c>
      <c r="AP494" s="307">
        <v>0</v>
      </c>
      <c r="AQ494" s="307">
        <v>0</v>
      </c>
      <c r="AR494" s="307">
        <v>0</v>
      </c>
      <c r="AS494" s="307">
        <v>0</v>
      </c>
      <c r="AT494" s="307">
        <v>0</v>
      </c>
      <c r="AU494" s="307">
        <v>0</v>
      </c>
      <c r="AV494" s="307">
        <v>0</v>
      </c>
      <c r="AW494" s="307">
        <v>0</v>
      </c>
      <c r="AX494" s="304">
        <v>0</v>
      </c>
      <c r="AY494" s="303">
        <v>76</v>
      </c>
      <c r="AZ494" s="311">
        <v>38</v>
      </c>
      <c r="BA494" s="307">
        <v>70</v>
      </c>
      <c r="BB494" s="94" t="s">
        <v>2985</v>
      </c>
      <c r="BC494" s="426">
        <v>37.646109985910535</v>
      </c>
      <c r="BD494" s="324" t="s">
        <v>3520</v>
      </c>
      <c r="BE494" s="312">
        <v>100</v>
      </c>
      <c r="BF494" s="307" t="s">
        <v>246</v>
      </c>
      <c r="BG494" s="307">
        <v>200</v>
      </c>
      <c r="BH494" s="723">
        <v>25</v>
      </c>
      <c r="BI494" s="330" t="s">
        <v>2985</v>
      </c>
      <c r="BJ494" s="307">
        <v>28</v>
      </c>
      <c r="BK494" s="311">
        <v>21</v>
      </c>
      <c r="BL494" s="307">
        <v>21</v>
      </c>
      <c r="BM494" s="317" t="s">
        <v>2985</v>
      </c>
      <c r="BN494" s="307">
        <v>61</v>
      </c>
      <c r="BO494" s="332" t="s">
        <v>2985</v>
      </c>
      <c r="BP494" s="320" t="s">
        <v>3473</v>
      </c>
      <c r="BQ494" s="348"/>
      <c r="BR494" s="307"/>
      <c r="BS494" s="320"/>
      <c r="BT494" s="321"/>
      <c r="CO494" s="322"/>
      <c r="CP494" s="322"/>
      <c r="CQ494" s="322"/>
      <c r="CR494" s="322"/>
    </row>
    <row r="495" spans="1:96">
      <c r="A495" s="458">
        <v>1964</v>
      </c>
      <c r="B495" s="535" t="s">
        <v>3626</v>
      </c>
      <c r="C495" s="383"/>
      <c r="D495" s="383"/>
      <c r="E495" s="469"/>
      <c r="F495" s="303" t="s">
        <v>3061</v>
      </c>
      <c r="G495" s="757" t="s">
        <v>3293</v>
      </c>
      <c r="H495" s="303" t="s">
        <v>3290</v>
      </c>
      <c r="I495" s="697" t="s">
        <v>3379</v>
      </c>
      <c r="J495" s="307">
        <v>2002</v>
      </c>
      <c r="K495" s="304">
        <v>4</v>
      </c>
      <c r="L495" s="303" t="s">
        <v>1738</v>
      </c>
      <c r="M495" s="304" t="s">
        <v>1751</v>
      </c>
      <c r="N495" s="450">
        <v>0.4199559206571829</v>
      </c>
      <c r="O495" s="309">
        <f t="shared" si="99"/>
        <v>0.4199559206571829</v>
      </c>
      <c r="P495" s="310">
        <f t="shared" si="100"/>
        <v>3.5527950310559007</v>
      </c>
      <c r="Q495" s="329">
        <v>3.5519935884592266</v>
      </c>
      <c r="R495" s="312">
        <v>209.6</v>
      </c>
      <c r="S495" s="307">
        <v>499.1</v>
      </c>
      <c r="T495" s="377">
        <f t="shared" si="101"/>
        <v>499.21261281588448</v>
      </c>
      <c r="U495" s="377">
        <f t="shared" si="102"/>
        <v>1773.2</v>
      </c>
      <c r="V495" s="307">
        <v>1127.2</v>
      </c>
      <c r="W495" s="307">
        <v>646</v>
      </c>
      <c r="X495" s="313" t="s">
        <v>3449</v>
      </c>
      <c r="Y495" s="314" t="s">
        <v>2985</v>
      </c>
      <c r="Z495" s="311" t="s">
        <v>3618</v>
      </c>
      <c r="AA495" s="307" t="s">
        <v>522</v>
      </c>
      <c r="AB495" s="304" t="s">
        <v>522</v>
      </c>
      <c r="AC495" s="303" t="s">
        <v>2312</v>
      </c>
      <c r="AD495" s="307" t="s">
        <v>3346</v>
      </c>
      <c r="AE495" s="317" t="s">
        <v>2985</v>
      </c>
      <c r="AF495" s="315" t="s">
        <v>3346</v>
      </c>
      <c r="AG495" s="443">
        <v>2.89</v>
      </c>
      <c r="AH495" s="313">
        <v>100</v>
      </c>
      <c r="AI495" s="307">
        <v>0</v>
      </c>
      <c r="AJ495" s="315">
        <v>0</v>
      </c>
      <c r="AK495" s="315">
        <v>0</v>
      </c>
      <c r="AL495" s="315">
        <v>0</v>
      </c>
      <c r="AM495" s="315">
        <v>0</v>
      </c>
      <c r="AN495" s="307">
        <v>0</v>
      </c>
      <c r="AO495" s="307">
        <v>0</v>
      </c>
      <c r="AP495" s="307">
        <v>0</v>
      </c>
      <c r="AQ495" s="307">
        <v>0</v>
      </c>
      <c r="AR495" s="307">
        <v>0</v>
      </c>
      <c r="AS495" s="307">
        <v>0</v>
      </c>
      <c r="AT495" s="307">
        <v>0</v>
      </c>
      <c r="AU495" s="307">
        <v>0</v>
      </c>
      <c r="AV495" s="307">
        <v>0</v>
      </c>
      <c r="AW495" s="307">
        <v>0</v>
      </c>
      <c r="AX495" s="304">
        <v>0</v>
      </c>
      <c r="AY495" s="303">
        <v>67</v>
      </c>
      <c r="AZ495" s="311">
        <v>33.5</v>
      </c>
      <c r="BA495" s="307">
        <v>60</v>
      </c>
      <c r="BB495" s="94" t="s">
        <v>2985</v>
      </c>
      <c r="BC495" s="426">
        <v>39.383622754491022</v>
      </c>
      <c r="BD495" s="324" t="s">
        <v>3520</v>
      </c>
      <c r="BE495" s="312">
        <v>100</v>
      </c>
      <c r="BF495" s="307" t="s">
        <v>246</v>
      </c>
      <c r="BG495" s="307">
        <v>200</v>
      </c>
      <c r="BH495" s="723">
        <v>25</v>
      </c>
      <c r="BI495" s="330" t="s">
        <v>2985</v>
      </c>
      <c r="BJ495" s="307">
        <v>28</v>
      </c>
      <c r="BK495" s="311">
        <v>21</v>
      </c>
      <c r="BL495" s="307">
        <v>21</v>
      </c>
      <c r="BM495" s="317" t="s">
        <v>2985</v>
      </c>
      <c r="BN495" s="307">
        <v>61</v>
      </c>
      <c r="BO495" s="332" t="s">
        <v>2985</v>
      </c>
      <c r="BP495" s="320" t="s">
        <v>3473</v>
      </c>
      <c r="BQ495" s="348"/>
      <c r="BR495" s="307"/>
      <c r="BS495" s="320"/>
      <c r="BT495" s="321"/>
      <c r="CO495" s="322"/>
      <c r="CP495" s="322"/>
      <c r="CQ495" s="322"/>
      <c r="CR495" s="322"/>
    </row>
    <row r="496" spans="1:96" ht="18">
      <c r="A496" s="458">
        <v>1966</v>
      </c>
      <c r="B496" s="533" t="s">
        <v>3634</v>
      </c>
      <c r="C496" s="383"/>
      <c r="D496" s="383"/>
      <c r="E496" s="469"/>
      <c r="F496" s="303" t="s">
        <v>3063</v>
      </c>
      <c r="G496" s="757" t="s">
        <v>3293</v>
      </c>
      <c r="H496" s="303" t="s">
        <v>3290</v>
      </c>
      <c r="I496" s="697" t="s">
        <v>3379</v>
      </c>
      <c r="J496" s="307">
        <v>2002</v>
      </c>
      <c r="K496" s="304">
        <v>4</v>
      </c>
      <c r="L496" s="303" t="s">
        <v>1738</v>
      </c>
      <c r="M496" s="304" t="s">
        <v>1751</v>
      </c>
      <c r="N496" s="450">
        <v>0.4200798151648813</v>
      </c>
      <c r="O496" s="309">
        <f t="shared" si="99"/>
        <v>0.4200798151648813</v>
      </c>
      <c r="P496" s="310">
        <f t="shared" si="100"/>
        <v>3.5437933207309387</v>
      </c>
      <c r="Q496" s="329">
        <v>3.5429531611006095</v>
      </c>
      <c r="R496" s="312">
        <v>200</v>
      </c>
      <c r="S496" s="307">
        <v>476.1</v>
      </c>
      <c r="T496" s="377">
        <f t="shared" si="101"/>
        <v>476.21290016599471</v>
      </c>
      <c r="U496" s="377">
        <f t="shared" si="102"/>
        <v>1687.2</v>
      </c>
      <c r="V496" s="307">
        <v>1075.2</v>
      </c>
      <c r="W496" s="307">
        <v>612</v>
      </c>
      <c r="X496" s="313" t="s">
        <v>3449</v>
      </c>
      <c r="Y496" s="314" t="s">
        <v>2985</v>
      </c>
      <c r="Z496" s="315">
        <v>42.5</v>
      </c>
      <c r="AA496" s="307" t="s">
        <v>522</v>
      </c>
      <c r="AB496" s="304" t="s">
        <v>522</v>
      </c>
      <c r="AC496" s="303" t="s">
        <v>2312</v>
      </c>
      <c r="AD496" s="307" t="s">
        <v>3346</v>
      </c>
      <c r="AE496" s="317" t="s">
        <v>2985</v>
      </c>
      <c r="AF496" s="315" t="s">
        <v>3346</v>
      </c>
      <c r="AG496" s="443">
        <v>2.89</v>
      </c>
      <c r="AH496" s="313">
        <v>100</v>
      </c>
      <c r="AI496" s="307">
        <v>0</v>
      </c>
      <c r="AJ496" s="315">
        <v>0</v>
      </c>
      <c r="AK496" s="315">
        <v>0</v>
      </c>
      <c r="AL496" s="315">
        <v>0</v>
      </c>
      <c r="AM496" s="315">
        <v>0</v>
      </c>
      <c r="AN496" s="307">
        <v>0</v>
      </c>
      <c r="AO496" s="307">
        <v>0</v>
      </c>
      <c r="AP496" s="307">
        <v>0</v>
      </c>
      <c r="AQ496" s="307">
        <v>0</v>
      </c>
      <c r="AR496" s="307">
        <v>0</v>
      </c>
      <c r="AS496" s="307">
        <v>0</v>
      </c>
      <c r="AT496" s="307">
        <v>0</v>
      </c>
      <c r="AU496" s="307">
        <v>0</v>
      </c>
      <c r="AV496" s="307">
        <v>0</v>
      </c>
      <c r="AW496" s="307">
        <v>0</v>
      </c>
      <c r="AX496" s="304">
        <v>0</v>
      </c>
      <c r="AY496" s="303">
        <v>57.5</v>
      </c>
      <c r="AZ496" s="311"/>
      <c r="BA496" s="307">
        <v>45</v>
      </c>
      <c r="BB496" s="94" t="s">
        <v>2985</v>
      </c>
      <c r="BC496" s="426">
        <v>36.437200598802391</v>
      </c>
      <c r="BD496" s="307" t="s">
        <v>3520</v>
      </c>
      <c r="BE496" s="312">
        <v>100</v>
      </c>
      <c r="BF496" s="307" t="s">
        <v>246</v>
      </c>
      <c r="BG496" s="307">
        <v>200</v>
      </c>
      <c r="BH496" s="426">
        <v>25</v>
      </c>
      <c r="BI496" s="330" t="s">
        <v>2985</v>
      </c>
      <c r="BJ496" s="307">
        <v>28</v>
      </c>
      <c r="BK496" s="317" t="s">
        <v>2985</v>
      </c>
      <c r="BL496" s="307">
        <v>21</v>
      </c>
      <c r="BM496" s="317" t="s">
        <v>2985</v>
      </c>
      <c r="BN496" s="307">
        <v>63</v>
      </c>
      <c r="BO496" s="332" t="s">
        <v>2985</v>
      </c>
      <c r="BP496" s="320" t="s">
        <v>3473</v>
      </c>
      <c r="BQ496" s="348"/>
      <c r="BR496" s="307"/>
      <c r="BS496" s="320"/>
      <c r="BT496" s="321"/>
      <c r="CO496" s="322"/>
      <c r="CP496" s="322"/>
      <c r="CQ496" s="322"/>
      <c r="CR496" s="322"/>
    </row>
    <row r="497" spans="1:96" ht="18">
      <c r="A497" s="458">
        <v>1978</v>
      </c>
      <c r="B497" s="533" t="s">
        <v>3634</v>
      </c>
      <c r="C497" s="383"/>
      <c r="D497" s="383"/>
      <c r="E497" s="470" t="s">
        <v>3590</v>
      </c>
      <c r="F497" s="303" t="s">
        <v>3075</v>
      </c>
      <c r="G497" s="757" t="s">
        <v>3294</v>
      </c>
      <c r="H497" s="303" t="s">
        <v>3290</v>
      </c>
      <c r="I497" s="697" t="s">
        <v>3379</v>
      </c>
      <c r="J497" s="307" t="s">
        <v>3295</v>
      </c>
      <c r="K497" s="304">
        <v>5</v>
      </c>
      <c r="L497" s="303" t="s">
        <v>1738</v>
      </c>
      <c r="M497" s="304" t="s">
        <v>1751</v>
      </c>
      <c r="N497" s="450">
        <v>0.41984732824427479</v>
      </c>
      <c r="O497" s="309">
        <f t="shared" si="99"/>
        <v>0.48258313591295954</v>
      </c>
      <c r="P497" s="310">
        <f t="shared" si="100"/>
        <v>3.7707291392471705</v>
      </c>
      <c r="Q497" s="329">
        <v>3.2805343511450382</v>
      </c>
      <c r="R497" s="312">
        <v>220</v>
      </c>
      <c r="S497" s="307">
        <v>455.88</v>
      </c>
      <c r="T497" s="377">
        <f t="shared" si="101"/>
        <v>524</v>
      </c>
      <c r="U497" s="377">
        <f t="shared" si="102"/>
        <v>1719</v>
      </c>
      <c r="V497" s="307">
        <v>1050</v>
      </c>
      <c r="W497" s="307">
        <v>669</v>
      </c>
      <c r="X497" s="313" t="s">
        <v>3449</v>
      </c>
      <c r="Y497" s="314" t="s">
        <v>2985</v>
      </c>
      <c r="Z497" s="315" t="s">
        <v>3448</v>
      </c>
      <c r="AA497" s="307" t="s">
        <v>3521</v>
      </c>
      <c r="AB497" s="304" t="s">
        <v>522</v>
      </c>
      <c r="AC497" s="303" t="s">
        <v>2312</v>
      </c>
      <c r="AD497" s="307" t="s">
        <v>3346</v>
      </c>
      <c r="AE497" s="317" t="s">
        <v>2985</v>
      </c>
      <c r="AF497" s="315" t="s">
        <v>3346</v>
      </c>
      <c r="AG497" s="443">
        <v>2.92</v>
      </c>
      <c r="AH497" s="313">
        <v>87</v>
      </c>
      <c r="AI497" s="307">
        <v>0</v>
      </c>
      <c r="AJ497" s="315">
        <v>0</v>
      </c>
      <c r="AK497" s="315">
        <v>0</v>
      </c>
      <c r="AL497" s="315">
        <v>0</v>
      </c>
      <c r="AM497" s="315">
        <v>0</v>
      </c>
      <c r="AN497" s="315">
        <v>0</v>
      </c>
      <c r="AO497" s="382">
        <v>13</v>
      </c>
      <c r="AP497" s="307">
        <v>0</v>
      </c>
      <c r="AQ497" s="307">
        <v>0</v>
      </c>
      <c r="AR497" s="307">
        <v>0</v>
      </c>
      <c r="AS497" s="307">
        <v>0</v>
      </c>
      <c r="AT497" s="307">
        <v>0</v>
      </c>
      <c r="AU497" s="307">
        <v>0</v>
      </c>
      <c r="AV497" s="307">
        <v>0</v>
      </c>
      <c r="AW497" s="307">
        <v>0</v>
      </c>
      <c r="AX497" s="304">
        <v>0</v>
      </c>
      <c r="AY497" s="303">
        <v>59</v>
      </c>
      <c r="AZ497" s="311"/>
      <c r="BA497" s="307">
        <v>40</v>
      </c>
      <c r="BB497" s="94" t="s">
        <v>2985</v>
      </c>
      <c r="BC497" s="426">
        <v>36.630000000000003</v>
      </c>
      <c r="BD497" s="307" t="s">
        <v>3520</v>
      </c>
      <c r="BE497" s="312">
        <v>100</v>
      </c>
      <c r="BF497" s="307" t="s">
        <v>246</v>
      </c>
      <c r="BG497" s="307">
        <v>200</v>
      </c>
      <c r="BH497" s="426">
        <v>25</v>
      </c>
      <c r="BI497" s="330" t="s">
        <v>2985</v>
      </c>
      <c r="BJ497" s="307">
        <v>29</v>
      </c>
      <c r="BK497" s="317" t="s">
        <v>2985</v>
      </c>
      <c r="BL497" s="307">
        <v>23</v>
      </c>
      <c r="BM497" s="317" t="s">
        <v>2985</v>
      </c>
      <c r="BN497" s="307">
        <v>65</v>
      </c>
      <c r="BO497" s="332" t="s">
        <v>2985</v>
      </c>
      <c r="BP497" s="320" t="s">
        <v>3390</v>
      </c>
      <c r="BQ497" s="348"/>
      <c r="BR497" s="307"/>
      <c r="BS497" s="320"/>
      <c r="BT497" s="321"/>
      <c r="CO497" s="322"/>
      <c r="CP497" s="322"/>
      <c r="CQ497" s="322"/>
      <c r="CR497" s="322"/>
    </row>
    <row r="498" spans="1:96">
      <c r="A498" s="458">
        <v>1979</v>
      </c>
      <c r="B498" s="533" t="s">
        <v>3614</v>
      </c>
      <c r="C498" s="383"/>
      <c r="D498" s="383"/>
      <c r="E498" s="470" t="s">
        <v>3590</v>
      </c>
      <c r="F498" s="303" t="s">
        <v>3076</v>
      </c>
      <c r="G498" s="757" t="s">
        <v>3294</v>
      </c>
      <c r="H498" s="303" t="s">
        <v>3290</v>
      </c>
      <c r="I498" s="697" t="s">
        <v>3379</v>
      </c>
      <c r="J498" s="307" t="s">
        <v>3295</v>
      </c>
      <c r="K498" s="304">
        <v>5</v>
      </c>
      <c r="L498" s="303" t="s">
        <v>1738</v>
      </c>
      <c r="M498" s="304" t="s">
        <v>1751</v>
      </c>
      <c r="N498" s="476">
        <v>0.63091482649842268</v>
      </c>
      <c r="O498" s="309">
        <f t="shared" si="99"/>
        <v>0.72518945574531346</v>
      </c>
      <c r="P498" s="310">
        <f t="shared" si="100"/>
        <v>7.0669712462380794</v>
      </c>
      <c r="Q498" s="329">
        <v>6.1482649842271293</v>
      </c>
      <c r="R498" s="312">
        <v>200</v>
      </c>
      <c r="S498" s="307">
        <v>275.79000000000002</v>
      </c>
      <c r="T498" s="377">
        <f t="shared" si="101"/>
        <v>317</v>
      </c>
      <c r="U498" s="377">
        <f t="shared" si="102"/>
        <v>1949</v>
      </c>
      <c r="V498" s="307">
        <v>1050</v>
      </c>
      <c r="W498" s="307">
        <v>899</v>
      </c>
      <c r="X498" s="313" t="s">
        <v>3449</v>
      </c>
      <c r="Y498" s="314" t="s">
        <v>2985</v>
      </c>
      <c r="Z498" s="315" t="s">
        <v>3448</v>
      </c>
      <c r="AA498" s="307" t="s">
        <v>3521</v>
      </c>
      <c r="AB498" s="304" t="s">
        <v>522</v>
      </c>
      <c r="AC498" s="303" t="s">
        <v>2312</v>
      </c>
      <c r="AD498" s="307" t="s">
        <v>3346</v>
      </c>
      <c r="AE498" s="317" t="s">
        <v>2985</v>
      </c>
      <c r="AF498" s="315" t="s">
        <v>3346</v>
      </c>
      <c r="AG498" s="443">
        <v>2.92</v>
      </c>
      <c r="AH498" s="313">
        <v>87</v>
      </c>
      <c r="AI498" s="307">
        <v>0</v>
      </c>
      <c r="AJ498" s="315">
        <v>0</v>
      </c>
      <c r="AK498" s="315">
        <v>0</v>
      </c>
      <c r="AL498" s="315">
        <v>0</v>
      </c>
      <c r="AM498" s="315">
        <v>0</v>
      </c>
      <c r="AN498" s="315">
        <v>0</v>
      </c>
      <c r="AO498" s="382">
        <v>13</v>
      </c>
      <c r="AP498" s="307">
        <v>0</v>
      </c>
      <c r="AQ498" s="307">
        <v>0</v>
      </c>
      <c r="AR498" s="307">
        <v>0</v>
      </c>
      <c r="AS498" s="307">
        <v>0</v>
      </c>
      <c r="AT498" s="307">
        <v>0</v>
      </c>
      <c r="AU498" s="307">
        <v>0</v>
      </c>
      <c r="AV498" s="307">
        <v>0</v>
      </c>
      <c r="AW498" s="307">
        <v>0</v>
      </c>
      <c r="AX498" s="304">
        <v>0</v>
      </c>
      <c r="AY498" s="303">
        <v>37</v>
      </c>
      <c r="AZ498" s="311"/>
      <c r="BA498" s="307">
        <v>100</v>
      </c>
      <c r="BB498" s="94" t="s">
        <v>2985</v>
      </c>
      <c r="BC498" s="426">
        <v>32.43</v>
      </c>
      <c r="BD498" s="307" t="s">
        <v>3520</v>
      </c>
      <c r="BE498" s="312">
        <v>100</v>
      </c>
      <c r="BF498" s="307" t="s">
        <v>246</v>
      </c>
      <c r="BG498" s="307">
        <v>200</v>
      </c>
      <c r="BH498" s="426">
        <v>25</v>
      </c>
      <c r="BI498" s="330" t="s">
        <v>2985</v>
      </c>
      <c r="BJ498" s="307">
        <v>30</v>
      </c>
      <c r="BK498" s="317" t="s">
        <v>2985</v>
      </c>
      <c r="BL498" s="307">
        <v>23</v>
      </c>
      <c r="BM498" s="317" t="s">
        <v>2985</v>
      </c>
      <c r="BN498" s="307">
        <v>65</v>
      </c>
      <c r="BO498" s="332" t="s">
        <v>2985</v>
      </c>
      <c r="BP498" s="320" t="s">
        <v>3390</v>
      </c>
      <c r="BQ498" s="348"/>
      <c r="BR498" s="307"/>
      <c r="BS498" s="320"/>
      <c r="BT498" s="321"/>
      <c r="CO498" s="322"/>
      <c r="CP498" s="322"/>
      <c r="CQ498" s="322"/>
      <c r="CR498" s="322"/>
    </row>
    <row r="499" spans="1:96">
      <c r="A499" s="458">
        <v>1980</v>
      </c>
      <c r="B499" s="528" t="s">
        <v>3599</v>
      </c>
      <c r="C499" s="383"/>
      <c r="D499" s="383"/>
      <c r="E499" s="470" t="s">
        <v>3590</v>
      </c>
      <c r="F499" s="303" t="s">
        <v>3077</v>
      </c>
      <c r="G499" s="757" t="s">
        <v>3294</v>
      </c>
      <c r="H499" s="303" t="s">
        <v>3290</v>
      </c>
      <c r="I499" s="697" t="s">
        <v>3379</v>
      </c>
      <c r="J499" s="307" t="s">
        <v>3295</v>
      </c>
      <c r="K499" s="304">
        <v>5</v>
      </c>
      <c r="L499" s="303" t="s">
        <v>1738</v>
      </c>
      <c r="M499" s="304" t="s">
        <v>1751</v>
      </c>
      <c r="N499" s="450">
        <v>0.41984732824427479</v>
      </c>
      <c r="O499" s="309">
        <f t="shared" ref="O499:O530" si="103">R499/S499</f>
        <v>0.41984732824427479</v>
      </c>
      <c r="P499" s="310">
        <f t="shared" ref="P499:P530" si="104">U499/S499</f>
        <v>3.2900763358778624</v>
      </c>
      <c r="Q499" s="329">
        <v>3.2900763358778624</v>
      </c>
      <c r="R499" s="312">
        <v>220</v>
      </c>
      <c r="S499" s="307">
        <v>524</v>
      </c>
      <c r="T499" s="377">
        <f t="shared" ref="T499:T530" si="105">U499/Q499</f>
        <v>524</v>
      </c>
      <c r="U499" s="377">
        <f t="shared" ref="U499:U530" si="106">V499+W499</f>
        <v>1724</v>
      </c>
      <c r="V499" s="307">
        <v>1050</v>
      </c>
      <c r="W499" s="307">
        <v>674</v>
      </c>
      <c r="X499" s="313" t="s">
        <v>3449</v>
      </c>
      <c r="Y499" s="314" t="s">
        <v>2985</v>
      </c>
      <c r="Z499" s="315" t="s">
        <v>3448</v>
      </c>
      <c r="AA499" s="315" t="s">
        <v>1754</v>
      </c>
      <c r="AB499" s="304" t="s">
        <v>1754</v>
      </c>
      <c r="AC499" s="303" t="s">
        <v>2312</v>
      </c>
      <c r="AD499" s="307" t="s">
        <v>3346</v>
      </c>
      <c r="AE499" s="317" t="s">
        <v>2985</v>
      </c>
      <c r="AF499" s="315" t="s">
        <v>3346</v>
      </c>
      <c r="AG499" s="443">
        <v>2.92</v>
      </c>
      <c r="AH499" s="313">
        <v>100</v>
      </c>
      <c r="AI499" s="307">
        <v>0</v>
      </c>
      <c r="AJ499" s="315">
        <v>0</v>
      </c>
      <c r="AK499" s="315">
        <v>0</v>
      </c>
      <c r="AL499" s="315">
        <v>0</v>
      </c>
      <c r="AM499" s="315">
        <v>0</v>
      </c>
      <c r="AN499" s="307">
        <v>0</v>
      </c>
      <c r="AO499" s="307">
        <v>0</v>
      </c>
      <c r="AP499" s="307">
        <v>0</v>
      </c>
      <c r="AQ499" s="307">
        <v>0</v>
      </c>
      <c r="AR499" s="307">
        <v>0</v>
      </c>
      <c r="AS499" s="307">
        <v>0</v>
      </c>
      <c r="AT499" s="307">
        <v>0</v>
      </c>
      <c r="AU499" s="307">
        <v>0</v>
      </c>
      <c r="AV499" s="307">
        <v>0</v>
      </c>
      <c r="AW499" s="307">
        <v>0</v>
      </c>
      <c r="AX499" s="304">
        <v>0</v>
      </c>
      <c r="AY499" s="303">
        <v>62.5</v>
      </c>
      <c r="AZ499" s="311">
        <v>34.375</v>
      </c>
      <c r="BA499" s="307">
        <v>35</v>
      </c>
      <c r="BB499" s="94" t="s">
        <v>2985</v>
      </c>
      <c r="BC499" s="426">
        <v>36.07</v>
      </c>
      <c r="BD499" s="307" t="s">
        <v>3520</v>
      </c>
      <c r="BE499" s="312">
        <v>100</v>
      </c>
      <c r="BF499" s="307" t="s">
        <v>246</v>
      </c>
      <c r="BG499" s="307">
        <v>200</v>
      </c>
      <c r="BH499" s="426">
        <v>25</v>
      </c>
      <c r="BI499" s="330" t="s">
        <v>2985</v>
      </c>
      <c r="BJ499" s="307">
        <v>28</v>
      </c>
      <c r="BK499" s="311">
        <v>23</v>
      </c>
      <c r="BL499" s="307">
        <v>23</v>
      </c>
      <c r="BM499" s="317" t="s">
        <v>2985</v>
      </c>
      <c r="BN499" s="307">
        <v>65</v>
      </c>
      <c r="BO499" s="332" t="s">
        <v>2985</v>
      </c>
      <c r="BP499" s="320" t="s">
        <v>3322</v>
      </c>
      <c r="BQ499" s="348"/>
      <c r="BR499" s="307"/>
      <c r="BS499" s="320"/>
      <c r="BT499" s="321"/>
      <c r="CO499" s="322"/>
      <c r="CP499" s="322"/>
      <c r="CQ499" s="322"/>
      <c r="CR499" s="322"/>
    </row>
    <row r="500" spans="1:96">
      <c r="A500" s="458">
        <v>1981</v>
      </c>
      <c r="B500" s="533" t="s">
        <v>3614</v>
      </c>
      <c r="C500" s="383"/>
      <c r="D500" s="383"/>
      <c r="E500" s="470" t="s">
        <v>3590</v>
      </c>
      <c r="F500" s="303" t="s">
        <v>3078</v>
      </c>
      <c r="G500" s="757" t="s">
        <v>3294</v>
      </c>
      <c r="H500" s="303" t="s">
        <v>3290</v>
      </c>
      <c r="I500" s="697" t="s">
        <v>3379</v>
      </c>
      <c r="J500" s="307" t="s">
        <v>3295</v>
      </c>
      <c r="K500" s="304">
        <v>5</v>
      </c>
      <c r="L500" s="303" t="s">
        <v>1738</v>
      </c>
      <c r="M500" s="304" t="s">
        <v>1751</v>
      </c>
      <c r="N500" s="476">
        <v>0.63063063063063063</v>
      </c>
      <c r="O500" s="309">
        <f t="shared" si="103"/>
        <v>0.63063063063063063</v>
      </c>
      <c r="P500" s="310">
        <f t="shared" si="104"/>
        <v>5.741741741741742</v>
      </c>
      <c r="Q500" s="329">
        <v>5.741741741741742</v>
      </c>
      <c r="R500" s="312">
        <v>210</v>
      </c>
      <c r="S500" s="307">
        <v>333</v>
      </c>
      <c r="T500" s="377">
        <f t="shared" si="105"/>
        <v>333</v>
      </c>
      <c r="U500" s="377">
        <f t="shared" si="106"/>
        <v>1912</v>
      </c>
      <c r="V500" s="307">
        <v>1050</v>
      </c>
      <c r="W500" s="307">
        <v>862</v>
      </c>
      <c r="X500" s="313" t="s">
        <v>3449</v>
      </c>
      <c r="Y500" s="314" t="s">
        <v>2985</v>
      </c>
      <c r="Z500" s="315" t="s">
        <v>3448</v>
      </c>
      <c r="AA500" s="315" t="s">
        <v>1754</v>
      </c>
      <c r="AB500" s="304" t="s">
        <v>1754</v>
      </c>
      <c r="AC500" s="303" t="s">
        <v>2312</v>
      </c>
      <c r="AD500" s="307" t="s">
        <v>3346</v>
      </c>
      <c r="AE500" s="317" t="s">
        <v>2985</v>
      </c>
      <c r="AF500" s="315" t="s">
        <v>3346</v>
      </c>
      <c r="AG500" s="443">
        <v>2.92</v>
      </c>
      <c r="AH500" s="313">
        <v>100</v>
      </c>
      <c r="AI500" s="307">
        <v>0</v>
      </c>
      <c r="AJ500" s="315">
        <v>0</v>
      </c>
      <c r="AK500" s="315">
        <v>0</v>
      </c>
      <c r="AL500" s="315">
        <v>0</v>
      </c>
      <c r="AM500" s="315">
        <v>0</v>
      </c>
      <c r="AN500" s="307">
        <v>0</v>
      </c>
      <c r="AO500" s="307">
        <v>0</v>
      </c>
      <c r="AP500" s="307">
        <v>0</v>
      </c>
      <c r="AQ500" s="307">
        <v>0</v>
      </c>
      <c r="AR500" s="307">
        <v>0</v>
      </c>
      <c r="AS500" s="307">
        <v>0</v>
      </c>
      <c r="AT500" s="307">
        <v>0</v>
      </c>
      <c r="AU500" s="307">
        <v>0</v>
      </c>
      <c r="AV500" s="307">
        <v>0</v>
      </c>
      <c r="AW500" s="307">
        <v>0</v>
      </c>
      <c r="AX500" s="304">
        <v>0</v>
      </c>
      <c r="AY500" s="303">
        <v>40</v>
      </c>
      <c r="AZ500" s="311"/>
      <c r="BA500" s="307">
        <v>55</v>
      </c>
      <c r="BB500" s="94" t="s">
        <v>2985</v>
      </c>
      <c r="BC500" s="426">
        <v>32.43</v>
      </c>
      <c r="BD500" s="307" t="s">
        <v>3520</v>
      </c>
      <c r="BE500" s="312">
        <v>100</v>
      </c>
      <c r="BF500" s="307" t="s">
        <v>246</v>
      </c>
      <c r="BG500" s="307">
        <v>200</v>
      </c>
      <c r="BH500" s="426">
        <v>25</v>
      </c>
      <c r="BI500" s="330" t="s">
        <v>2985</v>
      </c>
      <c r="BJ500" s="307">
        <v>31</v>
      </c>
      <c r="BK500" s="317" t="s">
        <v>2985</v>
      </c>
      <c r="BL500" s="307">
        <v>23</v>
      </c>
      <c r="BM500" s="317" t="s">
        <v>2985</v>
      </c>
      <c r="BN500" s="307">
        <v>65</v>
      </c>
      <c r="BO500" s="332" t="s">
        <v>2985</v>
      </c>
      <c r="BP500" s="320" t="s">
        <v>3322</v>
      </c>
      <c r="BQ500" s="348"/>
      <c r="BR500" s="307"/>
      <c r="BS500" s="320"/>
      <c r="BT500" s="321"/>
      <c r="CO500" s="322"/>
      <c r="CP500" s="322"/>
      <c r="CQ500" s="322"/>
      <c r="CR500" s="322"/>
    </row>
    <row r="501" spans="1:96">
      <c r="A501" s="458">
        <v>1982</v>
      </c>
      <c r="B501" s="528" t="s">
        <v>3599</v>
      </c>
      <c r="C501" s="383"/>
      <c r="D501" s="383"/>
      <c r="E501" s="470" t="s">
        <v>3590</v>
      </c>
      <c r="F501" s="303" t="s">
        <v>3079</v>
      </c>
      <c r="G501" s="757" t="s">
        <v>3294</v>
      </c>
      <c r="H501" s="303" t="s">
        <v>3290</v>
      </c>
      <c r="I501" s="697" t="s">
        <v>3379</v>
      </c>
      <c r="J501" s="307" t="s">
        <v>3295</v>
      </c>
      <c r="K501" s="304">
        <v>5</v>
      </c>
      <c r="L501" s="303" t="s">
        <v>1738</v>
      </c>
      <c r="M501" s="304" t="s">
        <v>1751</v>
      </c>
      <c r="N501" s="450">
        <v>0.42</v>
      </c>
      <c r="O501" s="309">
        <f t="shared" si="103"/>
        <v>0.42</v>
      </c>
      <c r="P501" s="310">
        <f t="shared" si="104"/>
        <v>3.5419999999999998</v>
      </c>
      <c r="Q501" s="329">
        <v>3.5419999999999998</v>
      </c>
      <c r="R501" s="312">
        <v>210</v>
      </c>
      <c r="S501" s="307">
        <v>500</v>
      </c>
      <c r="T501" s="377">
        <f t="shared" si="105"/>
        <v>500</v>
      </c>
      <c r="U501" s="377">
        <f t="shared" si="106"/>
        <v>1771</v>
      </c>
      <c r="V501" s="307">
        <v>1050</v>
      </c>
      <c r="W501" s="307">
        <v>721</v>
      </c>
      <c r="X501" s="313" t="s">
        <v>3449</v>
      </c>
      <c r="Y501" s="314" t="s">
        <v>2985</v>
      </c>
      <c r="Z501" s="311" t="s">
        <v>3619</v>
      </c>
      <c r="AA501" s="315" t="s">
        <v>1754</v>
      </c>
      <c r="AB501" s="304" t="s">
        <v>1754</v>
      </c>
      <c r="AC501" s="303" t="s">
        <v>2312</v>
      </c>
      <c r="AD501" s="307" t="s">
        <v>3346</v>
      </c>
      <c r="AE501" s="317" t="s">
        <v>2985</v>
      </c>
      <c r="AF501" s="315" t="s">
        <v>3346</v>
      </c>
      <c r="AG501" s="443">
        <v>2.92</v>
      </c>
      <c r="AH501" s="313">
        <v>100</v>
      </c>
      <c r="AI501" s="307">
        <v>0</v>
      </c>
      <c r="AJ501" s="315">
        <v>0</v>
      </c>
      <c r="AK501" s="315">
        <v>0</v>
      </c>
      <c r="AL501" s="315">
        <v>0</v>
      </c>
      <c r="AM501" s="315">
        <v>0</v>
      </c>
      <c r="AN501" s="307">
        <v>0</v>
      </c>
      <c r="AO501" s="307">
        <v>0</v>
      </c>
      <c r="AP501" s="307">
        <v>0</v>
      </c>
      <c r="AQ501" s="307">
        <v>0</v>
      </c>
      <c r="AR501" s="307">
        <v>0</v>
      </c>
      <c r="AS501" s="307">
        <v>0</v>
      </c>
      <c r="AT501" s="307">
        <v>0</v>
      </c>
      <c r="AU501" s="307">
        <v>0</v>
      </c>
      <c r="AV501" s="307">
        <v>0</v>
      </c>
      <c r="AW501" s="307">
        <v>0</v>
      </c>
      <c r="AX501" s="304">
        <v>0</v>
      </c>
      <c r="AY501" s="303">
        <v>61</v>
      </c>
      <c r="AZ501" s="311">
        <v>33.550000000000004</v>
      </c>
      <c r="BA501" s="307">
        <v>85</v>
      </c>
      <c r="BB501" s="94" t="s">
        <v>2985</v>
      </c>
      <c r="BC501" s="426">
        <v>33.29</v>
      </c>
      <c r="BD501" s="307" t="s">
        <v>3520</v>
      </c>
      <c r="BE501" s="312">
        <v>100</v>
      </c>
      <c r="BF501" s="307" t="s">
        <v>246</v>
      </c>
      <c r="BG501" s="307">
        <v>200</v>
      </c>
      <c r="BH501" s="426">
        <v>25</v>
      </c>
      <c r="BI501" s="330" t="s">
        <v>2985</v>
      </c>
      <c r="BJ501" s="307">
        <v>29</v>
      </c>
      <c r="BK501" s="311">
        <v>23</v>
      </c>
      <c r="BL501" s="307">
        <v>23</v>
      </c>
      <c r="BM501" s="317" t="s">
        <v>2985</v>
      </c>
      <c r="BN501" s="307">
        <v>65</v>
      </c>
      <c r="BO501" s="332" t="s">
        <v>2985</v>
      </c>
      <c r="BP501" s="320" t="s">
        <v>3323</v>
      </c>
      <c r="BQ501" s="348"/>
      <c r="BR501" s="307"/>
      <c r="BS501" s="320"/>
      <c r="BT501" s="321"/>
      <c r="CO501" s="322"/>
      <c r="CP501" s="322"/>
      <c r="CQ501" s="322"/>
      <c r="CR501" s="322"/>
    </row>
    <row r="502" spans="1:96">
      <c r="A502" s="458">
        <v>1984</v>
      </c>
      <c r="B502" s="528" t="s">
        <v>3599</v>
      </c>
      <c r="C502" s="383"/>
      <c r="D502" s="383"/>
      <c r="E502" s="470" t="s">
        <v>3590</v>
      </c>
      <c r="F502" s="303" t="s">
        <v>3081</v>
      </c>
      <c r="G502" s="757" t="s">
        <v>3294</v>
      </c>
      <c r="H502" s="303" t="s">
        <v>3290</v>
      </c>
      <c r="I502" s="697" t="s">
        <v>3379</v>
      </c>
      <c r="J502" s="307" t="s">
        <v>3295</v>
      </c>
      <c r="K502" s="304">
        <v>5</v>
      </c>
      <c r="L502" s="303" t="s">
        <v>1738</v>
      </c>
      <c r="M502" s="304" t="s">
        <v>1751</v>
      </c>
      <c r="N502" s="450">
        <v>0.41984732824427479</v>
      </c>
      <c r="O502" s="309">
        <f t="shared" si="103"/>
        <v>0.41984732824427479</v>
      </c>
      <c r="P502" s="310">
        <f t="shared" si="104"/>
        <v>3.2900763358778624</v>
      </c>
      <c r="Q502" s="329">
        <v>3.2900763358778624</v>
      </c>
      <c r="R502" s="312">
        <v>220</v>
      </c>
      <c r="S502" s="307">
        <v>524</v>
      </c>
      <c r="T502" s="377">
        <f t="shared" si="105"/>
        <v>524</v>
      </c>
      <c r="U502" s="377">
        <f t="shared" si="106"/>
        <v>1724</v>
      </c>
      <c r="V502" s="307">
        <v>1050</v>
      </c>
      <c r="W502" s="307">
        <v>674</v>
      </c>
      <c r="X502" s="313" t="s">
        <v>3449</v>
      </c>
      <c r="Y502" s="314" t="s">
        <v>2985</v>
      </c>
      <c r="Z502" s="311" t="s">
        <v>3618</v>
      </c>
      <c r="AA502" s="315" t="s">
        <v>1754</v>
      </c>
      <c r="AB502" s="304" t="s">
        <v>1754</v>
      </c>
      <c r="AC502" s="303" t="s">
        <v>2312</v>
      </c>
      <c r="AD502" s="307" t="s">
        <v>3346</v>
      </c>
      <c r="AE502" s="317" t="s">
        <v>2985</v>
      </c>
      <c r="AF502" s="315" t="s">
        <v>3346</v>
      </c>
      <c r="AG502" s="443">
        <v>2.92</v>
      </c>
      <c r="AH502" s="313">
        <v>100</v>
      </c>
      <c r="AI502" s="307">
        <v>0</v>
      </c>
      <c r="AJ502" s="315">
        <v>0</v>
      </c>
      <c r="AK502" s="315">
        <v>0</v>
      </c>
      <c r="AL502" s="315">
        <v>0</v>
      </c>
      <c r="AM502" s="315">
        <v>0</v>
      </c>
      <c r="AN502" s="307">
        <v>0</v>
      </c>
      <c r="AO502" s="307">
        <v>0</v>
      </c>
      <c r="AP502" s="307">
        <v>0</v>
      </c>
      <c r="AQ502" s="307">
        <v>0</v>
      </c>
      <c r="AR502" s="307">
        <v>0</v>
      </c>
      <c r="AS502" s="307">
        <v>0</v>
      </c>
      <c r="AT502" s="307">
        <v>0</v>
      </c>
      <c r="AU502" s="307">
        <v>0</v>
      </c>
      <c r="AV502" s="307">
        <v>0</v>
      </c>
      <c r="AW502" s="307">
        <v>0</v>
      </c>
      <c r="AX502" s="304">
        <v>0</v>
      </c>
      <c r="AY502" s="303">
        <v>64.5</v>
      </c>
      <c r="AZ502" s="311">
        <v>35.475000000000001</v>
      </c>
      <c r="BA502" s="307">
        <v>95</v>
      </c>
      <c r="BB502" s="94" t="s">
        <v>2985</v>
      </c>
      <c r="BC502" s="426">
        <v>36.57</v>
      </c>
      <c r="BD502" s="307" t="s">
        <v>3520</v>
      </c>
      <c r="BE502" s="312">
        <v>100</v>
      </c>
      <c r="BF502" s="307" t="s">
        <v>246</v>
      </c>
      <c r="BG502" s="307">
        <v>200</v>
      </c>
      <c r="BH502" s="426">
        <v>25</v>
      </c>
      <c r="BI502" s="330" t="s">
        <v>2985</v>
      </c>
      <c r="BJ502" s="307">
        <v>29</v>
      </c>
      <c r="BK502" s="311">
        <v>23</v>
      </c>
      <c r="BL502" s="307">
        <v>23</v>
      </c>
      <c r="BM502" s="317" t="s">
        <v>2985</v>
      </c>
      <c r="BN502" s="307">
        <v>65</v>
      </c>
      <c r="BO502" s="332" t="s">
        <v>2985</v>
      </c>
      <c r="BP502" s="320" t="s">
        <v>3323</v>
      </c>
      <c r="BQ502" s="348"/>
      <c r="BR502" s="307"/>
      <c r="BS502" s="320"/>
      <c r="BT502" s="321"/>
      <c r="CO502" s="322"/>
      <c r="CP502" s="322"/>
      <c r="CQ502" s="322"/>
      <c r="CR502" s="322"/>
    </row>
    <row r="503" spans="1:96" ht="18">
      <c r="A503" s="458">
        <v>1986</v>
      </c>
      <c r="B503" s="533" t="s">
        <v>3634</v>
      </c>
      <c r="C503" s="383"/>
      <c r="D503" s="383"/>
      <c r="E503" s="470" t="s">
        <v>3590</v>
      </c>
      <c r="F503" s="303" t="s">
        <v>3083</v>
      </c>
      <c r="G503" s="757" t="s">
        <v>3294</v>
      </c>
      <c r="H503" s="303" t="s">
        <v>3290</v>
      </c>
      <c r="I503" s="697" t="s">
        <v>3379</v>
      </c>
      <c r="J503" s="307" t="s">
        <v>3295</v>
      </c>
      <c r="K503" s="304">
        <v>5</v>
      </c>
      <c r="L503" s="303" t="s">
        <v>1738</v>
      </c>
      <c r="M503" s="304" t="s">
        <v>1751</v>
      </c>
      <c r="N503" s="450">
        <v>0.41984732824427479</v>
      </c>
      <c r="O503" s="309">
        <f t="shared" si="103"/>
        <v>0.41984732824427479</v>
      </c>
      <c r="P503" s="310">
        <f t="shared" si="104"/>
        <v>3.2900763358778624</v>
      </c>
      <c r="Q503" s="329">
        <v>3.2900763358778624</v>
      </c>
      <c r="R503" s="312">
        <v>220</v>
      </c>
      <c r="S503" s="307">
        <v>524</v>
      </c>
      <c r="T503" s="377">
        <f t="shared" si="105"/>
        <v>524</v>
      </c>
      <c r="U503" s="377">
        <f t="shared" si="106"/>
        <v>1724</v>
      </c>
      <c r="V503" s="307">
        <v>1050</v>
      </c>
      <c r="W503" s="307">
        <v>674</v>
      </c>
      <c r="X503" s="313" t="s">
        <v>3449</v>
      </c>
      <c r="Y503" s="314" t="s">
        <v>2985</v>
      </c>
      <c r="Z503" s="315" t="s">
        <v>3446</v>
      </c>
      <c r="AA503" s="315" t="s">
        <v>1754</v>
      </c>
      <c r="AB503" s="304" t="s">
        <v>1754</v>
      </c>
      <c r="AC503" s="303" t="s">
        <v>2312</v>
      </c>
      <c r="AD503" s="307" t="s">
        <v>3346</v>
      </c>
      <c r="AE503" s="317" t="s">
        <v>2985</v>
      </c>
      <c r="AF503" s="315" t="s">
        <v>3346</v>
      </c>
      <c r="AG503" s="443">
        <v>2.92</v>
      </c>
      <c r="AH503" s="313">
        <v>100</v>
      </c>
      <c r="AI503" s="307">
        <v>0</v>
      </c>
      <c r="AJ503" s="315">
        <v>0</v>
      </c>
      <c r="AK503" s="315">
        <v>0</v>
      </c>
      <c r="AL503" s="315">
        <v>0</v>
      </c>
      <c r="AM503" s="315">
        <v>0</v>
      </c>
      <c r="AN503" s="307">
        <v>0</v>
      </c>
      <c r="AO503" s="307">
        <v>0</v>
      </c>
      <c r="AP503" s="307">
        <v>0</v>
      </c>
      <c r="AQ503" s="307">
        <v>0</v>
      </c>
      <c r="AR503" s="307">
        <v>0</v>
      </c>
      <c r="AS503" s="307">
        <v>0</v>
      </c>
      <c r="AT503" s="307">
        <v>0</v>
      </c>
      <c r="AU503" s="307">
        <v>0</v>
      </c>
      <c r="AV503" s="307">
        <v>0</v>
      </c>
      <c r="AW503" s="307">
        <v>0</v>
      </c>
      <c r="AX503" s="304">
        <v>0</v>
      </c>
      <c r="AY503" s="303">
        <v>54.5</v>
      </c>
      <c r="AZ503" s="311"/>
      <c r="BA503" s="307">
        <v>95</v>
      </c>
      <c r="BB503" s="94" t="s">
        <v>2985</v>
      </c>
      <c r="BC503" s="426">
        <v>38.630000000000003</v>
      </c>
      <c r="BD503" s="307" t="s">
        <v>3520</v>
      </c>
      <c r="BE503" s="312">
        <v>100</v>
      </c>
      <c r="BF503" s="307" t="s">
        <v>246</v>
      </c>
      <c r="BG503" s="307">
        <v>200</v>
      </c>
      <c r="BH503" s="426">
        <v>25</v>
      </c>
      <c r="BI503" s="330" t="s">
        <v>2985</v>
      </c>
      <c r="BJ503" s="307">
        <v>30</v>
      </c>
      <c r="BK503" s="317" t="s">
        <v>2985</v>
      </c>
      <c r="BL503" s="307">
        <v>23</v>
      </c>
      <c r="BM503" s="317" t="s">
        <v>2985</v>
      </c>
      <c r="BN503" s="307">
        <v>65</v>
      </c>
      <c r="BO503" s="332" t="s">
        <v>2985</v>
      </c>
      <c r="BP503" s="320" t="s">
        <v>3323</v>
      </c>
      <c r="BQ503" s="348"/>
      <c r="BR503" s="307"/>
      <c r="BS503" s="320"/>
      <c r="BT503" s="321"/>
      <c r="CO503" s="322"/>
      <c r="CP503" s="322"/>
      <c r="CQ503" s="322"/>
      <c r="CR503" s="322"/>
    </row>
    <row r="504" spans="1:96" ht="18">
      <c r="A504" s="458">
        <v>1988</v>
      </c>
      <c r="B504" s="533" t="s">
        <v>3634</v>
      </c>
      <c r="C504" s="383"/>
      <c r="D504" s="383"/>
      <c r="E504" s="470" t="s">
        <v>3590</v>
      </c>
      <c r="F504" s="303" t="s">
        <v>3085</v>
      </c>
      <c r="G504" s="757" t="s">
        <v>3294</v>
      </c>
      <c r="H504" s="303" t="s">
        <v>3290</v>
      </c>
      <c r="I504" s="697" t="s">
        <v>3379</v>
      </c>
      <c r="J504" s="307" t="s">
        <v>3295</v>
      </c>
      <c r="K504" s="304">
        <v>5</v>
      </c>
      <c r="L504" s="303" t="s">
        <v>1738</v>
      </c>
      <c r="M504" s="304" t="s">
        <v>1751</v>
      </c>
      <c r="N504" s="450">
        <v>0.41984732824427479</v>
      </c>
      <c r="O504" s="309">
        <f t="shared" si="103"/>
        <v>0.41984732824427479</v>
      </c>
      <c r="P504" s="310">
        <f t="shared" si="104"/>
        <v>3.2805343511450382</v>
      </c>
      <c r="Q504" s="329">
        <v>3.2805343511450382</v>
      </c>
      <c r="R504" s="312">
        <v>220</v>
      </c>
      <c r="S504" s="307">
        <v>524</v>
      </c>
      <c r="T504" s="377">
        <f t="shared" si="105"/>
        <v>524</v>
      </c>
      <c r="U504" s="377">
        <f t="shared" si="106"/>
        <v>1719</v>
      </c>
      <c r="V504" s="307">
        <v>1050</v>
      </c>
      <c r="W504" s="307">
        <v>669</v>
      </c>
      <c r="X504" s="313" t="s">
        <v>3449</v>
      </c>
      <c r="Y504" s="314" t="s">
        <v>2985</v>
      </c>
      <c r="Z504" s="315" t="s">
        <v>3446</v>
      </c>
      <c r="AA504" s="307" t="s">
        <v>3529</v>
      </c>
      <c r="AB504" s="304" t="s">
        <v>522</v>
      </c>
      <c r="AC504" s="303" t="s">
        <v>2312</v>
      </c>
      <c r="AD504" s="307" t="s">
        <v>3346</v>
      </c>
      <c r="AE504" s="317" t="s">
        <v>2985</v>
      </c>
      <c r="AF504" s="315" t="s">
        <v>3346</v>
      </c>
      <c r="AG504" s="443">
        <v>2.92</v>
      </c>
      <c r="AH504" s="313">
        <v>100</v>
      </c>
      <c r="AI504" s="307">
        <v>0</v>
      </c>
      <c r="AJ504" s="315">
        <v>0</v>
      </c>
      <c r="AK504" s="315">
        <v>0</v>
      </c>
      <c r="AL504" s="315">
        <v>0</v>
      </c>
      <c r="AM504" s="315">
        <v>0</v>
      </c>
      <c r="AN504" s="307">
        <v>0</v>
      </c>
      <c r="AO504" s="307">
        <v>0</v>
      </c>
      <c r="AP504" s="307">
        <v>0</v>
      </c>
      <c r="AQ504" s="307">
        <v>0</v>
      </c>
      <c r="AR504" s="307">
        <v>0</v>
      </c>
      <c r="AS504" s="307">
        <v>0</v>
      </c>
      <c r="AT504" s="307">
        <v>0</v>
      </c>
      <c r="AU504" s="307">
        <v>0</v>
      </c>
      <c r="AV504" s="307">
        <v>0</v>
      </c>
      <c r="AW504" s="307">
        <v>0</v>
      </c>
      <c r="AX504" s="304">
        <v>0</v>
      </c>
      <c r="AY504" s="303">
        <v>56.5</v>
      </c>
      <c r="AZ504" s="311"/>
      <c r="BA504" s="307">
        <v>65</v>
      </c>
      <c r="BB504" s="94" t="s">
        <v>2985</v>
      </c>
      <c r="BC504" s="426">
        <v>37.61</v>
      </c>
      <c r="BD504" s="307" t="s">
        <v>3520</v>
      </c>
      <c r="BE504" s="312">
        <v>100</v>
      </c>
      <c r="BF504" s="307" t="s">
        <v>246</v>
      </c>
      <c r="BG504" s="307">
        <v>200</v>
      </c>
      <c r="BH504" s="426">
        <v>25</v>
      </c>
      <c r="BI504" s="330" t="s">
        <v>2985</v>
      </c>
      <c r="BJ504" s="307">
        <v>29</v>
      </c>
      <c r="BK504" s="317" t="s">
        <v>2985</v>
      </c>
      <c r="BL504" s="307">
        <v>23</v>
      </c>
      <c r="BM504" s="317" t="s">
        <v>2985</v>
      </c>
      <c r="BN504" s="307">
        <v>65</v>
      </c>
      <c r="BO504" s="332" t="s">
        <v>2985</v>
      </c>
      <c r="BP504" s="320" t="s">
        <v>3324</v>
      </c>
      <c r="BQ504" s="348"/>
      <c r="BR504" s="307"/>
      <c r="BS504" s="320"/>
      <c r="BT504" s="321"/>
      <c r="CO504" s="322"/>
      <c r="CP504" s="322"/>
      <c r="CQ504" s="322"/>
      <c r="CR504" s="322"/>
    </row>
    <row r="505" spans="1:96" ht="18">
      <c r="A505" s="458">
        <v>1990</v>
      </c>
      <c r="B505" s="533" t="s">
        <v>3634</v>
      </c>
      <c r="C505" s="383"/>
      <c r="D505" s="383"/>
      <c r="E505" s="469"/>
      <c r="F505" s="303" t="s">
        <v>3087</v>
      </c>
      <c r="G505" s="757" t="s">
        <v>3294</v>
      </c>
      <c r="H505" s="303" t="s">
        <v>3290</v>
      </c>
      <c r="I505" s="697" t="s">
        <v>3379</v>
      </c>
      <c r="J505" s="307" t="s">
        <v>3295</v>
      </c>
      <c r="K505" s="304">
        <v>5</v>
      </c>
      <c r="L505" s="303" t="s">
        <v>1738</v>
      </c>
      <c r="M505" s="304" t="s">
        <v>1751</v>
      </c>
      <c r="N505" s="450">
        <v>0.42016806722689076</v>
      </c>
      <c r="O505" s="309">
        <f t="shared" si="103"/>
        <v>0.48295180141021926</v>
      </c>
      <c r="P505" s="310">
        <f t="shared" si="104"/>
        <v>4.3393219356708199</v>
      </c>
      <c r="Q505" s="329">
        <v>3.7752100840336134</v>
      </c>
      <c r="R505" s="312">
        <v>200</v>
      </c>
      <c r="S505" s="307">
        <v>414.12</v>
      </c>
      <c r="T505" s="377">
        <f t="shared" si="105"/>
        <v>476</v>
      </c>
      <c r="U505" s="377">
        <f t="shared" si="106"/>
        <v>1797</v>
      </c>
      <c r="V505" s="307">
        <v>1050</v>
      </c>
      <c r="W505" s="307">
        <v>747</v>
      </c>
      <c r="X505" s="313" t="s">
        <v>3449</v>
      </c>
      <c r="Y505" s="314" t="s">
        <v>2985</v>
      </c>
      <c r="Z505" s="315" t="s">
        <v>3446</v>
      </c>
      <c r="AA505" s="307" t="s">
        <v>3530</v>
      </c>
      <c r="AB505" s="304" t="s">
        <v>522</v>
      </c>
      <c r="AC505" s="303" t="s">
        <v>2312</v>
      </c>
      <c r="AD505" s="307" t="s">
        <v>3346</v>
      </c>
      <c r="AE505" s="317" t="s">
        <v>2985</v>
      </c>
      <c r="AF505" s="315" t="s">
        <v>3346</v>
      </c>
      <c r="AG505" s="443">
        <v>2.92</v>
      </c>
      <c r="AH505" s="313">
        <v>87</v>
      </c>
      <c r="AI505" s="307">
        <v>0</v>
      </c>
      <c r="AJ505" s="406">
        <v>13</v>
      </c>
      <c r="AK505" s="315">
        <v>0</v>
      </c>
      <c r="AL505" s="315">
        <v>0</v>
      </c>
      <c r="AM505" s="315">
        <v>0</v>
      </c>
      <c r="AN505" s="307">
        <v>0</v>
      </c>
      <c r="AO505" s="307">
        <v>0</v>
      </c>
      <c r="AP505" s="307">
        <v>0</v>
      </c>
      <c r="AQ505" s="307">
        <v>0</v>
      </c>
      <c r="AR505" s="307">
        <v>0</v>
      </c>
      <c r="AS505" s="307">
        <v>0</v>
      </c>
      <c r="AT505" s="307">
        <v>0</v>
      </c>
      <c r="AU505" s="307">
        <v>0</v>
      </c>
      <c r="AV505" s="307">
        <v>0</v>
      </c>
      <c r="AW505" s="307">
        <v>0</v>
      </c>
      <c r="AX505" s="304">
        <v>0</v>
      </c>
      <c r="AY505" s="303">
        <v>53</v>
      </c>
      <c r="AZ505" s="311"/>
      <c r="BA505" s="307">
        <v>90</v>
      </c>
      <c r="BB505" s="94" t="s">
        <v>2985</v>
      </c>
      <c r="BC505" s="426">
        <v>34.340000000000003</v>
      </c>
      <c r="BD505" s="307" t="s">
        <v>3520</v>
      </c>
      <c r="BE505" s="312">
        <v>100</v>
      </c>
      <c r="BF505" s="307" t="s">
        <v>246</v>
      </c>
      <c r="BG505" s="307">
        <v>200</v>
      </c>
      <c r="BH505" s="426">
        <v>25</v>
      </c>
      <c r="BI505" s="330" t="s">
        <v>2985</v>
      </c>
      <c r="BJ505" s="307">
        <v>29</v>
      </c>
      <c r="BK505" s="317" t="s">
        <v>2985</v>
      </c>
      <c r="BL505" s="307">
        <v>23</v>
      </c>
      <c r="BM505" s="317" t="s">
        <v>2985</v>
      </c>
      <c r="BN505" s="307">
        <v>65</v>
      </c>
      <c r="BO505" s="332" t="s">
        <v>2985</v>
      </c>
      <c r="BP505" s="320" t="s">
        <v>3391</v>
      </c>
      <c r="BQ505" s="348"/>
      <c r="BR505" s="307"/>
      <c r="BS505" s="320"/>
      <c r="BT505" s="321"/>
      <c r="CO505" s="322"/>
      <c r="CP505" s="322"/>
      <c r="CQ505" s="322"/>
      <c r="CR505" s="322"/>
    </row>
    <row r="506" spans="1:96" ht="18">
      <c r="A506" s="458">
        <v>1992</v>
      </c>
      <c r="B506" s="533" t="s">
        <v>3634</v>
      </c>
      <c r="C506" s="383"/>
      <c r="D506" s="383"/>
      <c r="E506" s="470" t="s">
        <v>3590</v>
      </c>
      <c r="F506" s="303" t="s">
        <v>3089</v>
      </c>
      <c r="G506" s="757" t="s">
        <v>3294</v>
      </c>
      <c r="H506" s="303" t="s">
        <v>3290</v>
      </c>
      <c r="I506" s="697" t="s">
        <v>3379</v>
      </c>
      <c r="J506" s="307" t="s">
        <v>3295</v>
      </c>
      <c r="K506" s="304">
        <v>5</v>
      </c>
      <c r="L506" s="303" t="s">
        <v>1738</v>
      </c>
      <c r="M506" s="304" t="s">
        <v>1751</v>
      </c>
      <c r="N506" s="450">
        <v>0.42016806722689076</v>
      </c>
      <c r="O506" s="309">
        <f t="shared" si="103"/>
        <v>0.42016806722689076</v>
      </c>
      <c r="P506" s="310">
        <f t="shared" si="104"/>
        <v>3.7373949579831933</v>
      </c>
      <c r="Q506" s="329">
        <v>3.7373949579831933</v>
      </c>
      <c r="R506" s="312">
        <v>200</v>
      </c>
      <c r="S506" s="307">
        <v>476</v>
      </c>
      <c r="T506" s="377">
        <f t="shared" si="105"/>
        <v>476</v>
      </c>
      <c r="U506" s="377">
        <f t="shared" si="106"/>
        <v>1779</v>
      </c>
      <c r="V506" s="307">
        <v>1050</v>
      </c>
      <c r="W506" s="307">
        <v>729</v>
      </c>
      <c r="X506" s="313" t="s">
        <v>3449</v>
      </c>
      <c r="Y506" s="314" t="s">
        <v>2985</v>
      </c>
      <c r="Z506" s="315" t="s">
        <v>3446</v>
      </c>
      <c r="AA506" s="307" t="s">
        <v>3531</v>
      </c>
      <c r="AB506" s="304" t="s">
        <v>522</v>
      </c>
      <c r="AC506" s="303" t="s">
        <v>2312</v>
      </c>
      <c r="AD506" s="307" t="s">
        <v>3346</v>
      </c>
      <c r="AE506" s="317" t="s">
        <v>2985</v>
      </c>
      <c r="AF506" s="315" t="s">
        <v>3346</v>
      </c>
      <c r="AG506" s="443">
        <v>2.92</v>
      </c>
      <c r="AH506" s="313">
        <v>100</v>
      </c>
      <c r="AI506" s="307">
        <v>0</v>
      </c>
      <c r="AJ506" s="315">
        <v>0</v>
      </c>
      <c r="AK506" s="315">
        <v>0</v>
      </c>
      <c r="AL506" s="315">
        <v>0</v>
      </c>
      <c r="AM506" s="315">
        <v>0</v>
      </c>
      <c r="AN506" s="307">
        <v>0</v>
      </c>
      <c r="AO506" s="307">
        <v>0</v>
      </c>
      <c r="AP506" s="307">
        <v>0</v>
      </c>
      <c r="AQ506" s="307">
        <v>0</v>
      </c>
      <c r="AR506" s="307">
        <v>0</v>
      </c>
      <c r="AS506" s="307">
        <v>0</v>
      </c>
      <c r="AT506" s="307">
        <v>0</v>
      </c>
      <c r="AU506" s="307">
        <v>0</v>
      </c>
      <c r="AV506" s="307">
        <v>0</v>
      </c>
      <c r="AW506" s="307">
        <v>0</v>
      </c>
      <c r="AX506" s="304">
        <v>0</v>
      </c>
      <c r="AY506" s="303">
        <v>54</v>
      </c>
      <c r="AZ506" s="311"/>
      <c r="BA506" s="307">
        <v>95</v>
      </c>
      <c r="BB506" s="94" t="s">
        <v>2985</v>
      </c>
      <c r="BC506" s="426">
        <v>32.590000000000003</v>
      </c>
      <c r="BD506" s="307" t="s">
        <v>3520</v>
      </c>
      <c r="BE506" s="312">
        <v>100</v>
      </c>
      <c r="BF506" s="307" t="s">
        <v>246</v>
      </c>
      <c r="BG506" s="307">
        <v>200</v>
      </c>
      <c r="BH506" s="426">
        <v>25</v>
      </c>
      <c r="BI506" s="330" t="s">
        <v>2985</v>
      </c>
      <c r="BJ506" s="307">
        <v>28</v>
      </c>
      <c r="BK506" s="317" t="s">
        <v>2985</v>
      </c>
      <c r="BL506" s="307">
        <v>23</v>
      </c>
      <c r="BM506" s="317" t="s">
        <v>2985</v>
      </c>
      <c r="BN506" s="307">
        <v>65</v>
      </c>
      <c r="BO506" s="332" t="s">
        <v>2985</v>
      </c>
      <c r="BP506" s="320" t="s">
        <v>3325</v>
      </c>
      <c r="BQ506" s="348"/>
      <c r="BR506" s="307"/>
      <c r="BS506" s="320"/>
      <c r="BT506" s="321"/>
      <c r="CO506" s="322"/>
      <c r="CP506" s="322"/>
      <c r="CQ506" s="322"/>
      <c r="CR506" s="322"/>
    </row>
    <row r="507" spans="1:96" ht="18">
      <c r="A507" s="458">
        <v>1994</v>
      </c>
      <c r="B507" s="533" t="s">
        <v>3634</v>
      </c>
      <c r="C507" s="383"/>
      <c r="D507" s="383"/>
      <c r="E507" s="470" t="s">
        <v>3590</v>
      </c>
      <c r="F507" s="303" t="s">
        <v>3091</v>
      </c>
      <c r="G507" s="757" t="s">
        <v>3294</v>
      </c>
      <c r="H507" s="303" t="s">
        <v>3290</v>
      </c>
      <c r="I507" s="697" t="s">
        <v>3379</v>
      </c>
      <c r="J507" s="307" t="s">
        <v>3295</v>
      </c>
      <c r="K507" s="304">
        <v>5</v>
      </c>
      <c r="L507" s="303" t="s">
        <v>1738</v>
      </c>
      <c r="M507" s="304" t="s">
        <v>1751</v>
      </c>
      <c r="N507" s="450">
        <v>0.42</v>
      </c>
      <c r="O507" s="309">
        <f t="shared" si="103"/>
        <v>0.80769230769230771</v>
      </c>
      <c r="P507" s="310">
        <f t="shared" si="104"/>
        <v>6.6384615384615389</v>
      </c>
      <c r="Q507" s="329">
        <v>3.452</v>
      </c>
      <c r="R507" s="312">
        <v>210</v>
      </c>
      <c r="S507" s="307">
        <v>260</v>
      </c>
      <c r="T507" s="377">
        <f t="shared" si="105"/>
        <v>500</v>
      </c>
      <c r="U507" s="377">
        <f t="shared" si="106"/>
        <v>1726</v>
      </c>
      <c r="V507" s="307">
        <v>1050</v>
      </c>
      <c r="W507" s="307">
        <v>676</v>
      </c>
      <c r="X507" s="313" t="s">
        <v>3449</v>
      </c>
      <c r="Y507" s="314" t="s">
        <v>2985</v>
      </c>
      <c r="Z507" s="315" t="s">
        <v>3447</v>
      </c>
      <c r="AA507" s="307" t="s">
        <v>3532</v>
      </c>
      <c r="AB507" s="304" t="s">
        <v>3341</v>
      </c>
      <c r="AC507" s="303" t="s">
        <v>2312</v>
      </c>
      <c r="AD507" s="307" t="s">
        <v>3346</v>
      </c>
      <c r="AE507" s="317" t="s">
        <v>2985</v>
      </c>
      <c r="AF507" s="315" t="s">
        <v>3346</v>
      </c>
      <c r="AG507" s="443">
        <v>2.92</v>
      </c>
      <c r="AH507" s="313">
        <v>52</v>
      </c>
      <c r="AI507" s="307">
        <v>0</v>
      </c>
      <c r="AJ507" s="315">
        <v>24</v>
      </c>
      <c r="AK507" s="315">
        <v>24</v>
      </c>
      <c r="AL507" s="315">
        <v>0</v>
      </c>
      <c r="AM507" s="315">
        <v>0</v>
      </c>
      <c r="AN507" s="307">
        <v>0</v>
      </c>
      <c r="AO507" s="307">
        <v>0</v>
      </c>
      <c r="AP507" s="307">
        <v>0</v>
      </c>
      <c r="AQ507" s="307">
        <v>0</v>
      </c>
      <c r="AR507" s="307">
        <v>0</v>
      </c>
      <c r="AS507" s="307">
        <v>0</v>
      </c>
      <c r="AT507" s="307">
        <v>0</v>
      </c>
      <c r="AU507" s="307">
        <v>0</v>
      </c>
      <c r="AV507" s="307">
        <v>0</v>
      </c>
      <c r="AW507" s="307">
        <v>0</v>
      </c>
      <c r="AX507" s="304">
        <v>0</v>
      </c>
      <c r="AY507" s="303">
        <v>44.5</v>
      </c>
      <c r="AZ507" s="311"/>
      <c r="BA507" s="307">
        <v>90</v>
      </c>
      <c r="BB507" s="94" t="s">
        <v>2985</v>
      </c>
      <c r="BC507" s="426">
        <v>31.18</v>
      </c>
      <c r="BD507" s="307" t="s">
        <v>3520</v>
      </c>
      <c r="BE507" s="312">
        <v>100</v>
      </c>
      <c r="BF507" s="307" t="s">
        <v>246</v>
      </c>
      <c r="BG507" s="307">
        <v>200</v>
      </c>
      <c r="BH507" s="426">
        <v>25</v>
      </c>
      <c r="BI507" s="330" t="s">
        <v>2985</v>
      </c>
      <c r="BJ507" s="307">
        <v>29</v>
      </c>
      <c r="BK507" s="317" t="s">
        <v>2985</v>
      </c>
      <c r="BL507" s="307">
        <v>23</v>
      </c>
      <c r="BM507" s="317" t="s">
        <v>2985</v>
      </c>
      <c r="BN507" s="307">
        <v>65</v>
      </c>
      <c r="BO507" s="332" t="s">
        <v>2985</v>
      </c>
      <c r="BP507" s="320" t="s">
        <v>3392</v>
      </c>
      <c r="BQ507" s="348"/>
      <c r="BR507" s="307"/>
      <c r="BS507" s="320"/>
      <c r="BT507" s="321"/>
      <c r="CO507" s="322"/>
      <c r="CP507" s="322"/>
      <c r="CQ507" s="322"/>
      <c r="CR507" s="322"/>
    </row>
    <row r="508" spans="1:96" ht="18">
      <c r="A508" s="458">
        <v>1996</v>
      </c>
      <c r="B508" s="533" t="s">
        <v>3634</v>
      </c>
      <c r="C508" s="383"/>
      <c r="D508" s="383"/>
      <c r="E508" s="470" t="s">
        <v>3590</v>
      </c>
      <c r="F508" s="303" t="s">
        <v>3093</v>
      </c>
      <c r="G508" s="757" t="s">
        <v>3294</v>
      </c>
      <c r="H508" s="303" t="s">
        <v>3290</v>
      </c>
      <c r="I508" s="697" t="s">
        <v>3379</v>
      </c>
      <c r="J508" s="307" t="s">
        <v>3295</v>
      </c>
      <c r="K508" s="304">
        <v>5</v>
      </c>
      <c r="L508" s="303" t="s">
        <v>1738</v>
      </c>
      <c r="M508" s="304" t="s">
        <v>1751</v>
      </c>
      <c r="N508" s="450">
        <v>0.42016806722689076</v>
      </c>
      <c r="O508" s="309">
        <f t="shared" si="103"/>
        <v>0.60060060060060061</v>
      </c>
      <c r="P508" s="310">
        <f t="shared" si="104"/>
        <v>5.2702702702702702</v>
      </c>
      <c r="Q508" s="329">
        <v>3.6869747899159662</v>
      </c>
      <c r="R508" s="312">
        <v>200</v>
      </c>
      <c r="S508" s="307">
        <v>333</v>
      </c>
      <c r="T508" s="377">
        <f t="shared" si="105"/>
        <v>476.00000000000006</v>
      </c>
      <c r="U508" s="377">
        <f t="shared" si="106"/>
        <v>1755</v>
      </c>
      <c r="V508" s="307">
        <v>1100</v>
      </c>
      <c r="W508" s="307">
        <v>655</v>
      </c>
      <c r="X508" s="313" t="s">
        <v>3449</v>
      </c>
      <c r="Y508" s="314" t="s">
        <v>2985</v>
      </c>
      <c r="Z508" s="315" t="s">
        <v>3446</v>
      </c>
      <c r="AA508" s="315" t="s">
        <v>3533</v>
      </c>
      <c r="AB508" s="304" t="s">
        <v>1754</v>
      </c>
      <c r="AC508" s="303" t="s">
        <v>2312</v>
      </c>
      <c r="AD508" s="307" t="s">
        <v>3346</v>
      </c>
      <c r="AE508" s="317" t="s">
        <v>2985</v>
      </c>
      <c r="AF508" s="315" t="s">
        <v>3346</v>
      </c>
      <c r="AG508" s="443">
        <v>2.92</v>
      </c>
      <c r="AH508" s="313">
        <v>70</v>
      </c>
      <c r="AI508" s="307">
        <v>0</v>
      </c>
      <c r="AJ508" s="315">
        <v>30</v>
      </c>
      <c r="AK508" s="315">
        <v>0</v>
      </c>
      <c r="AL508" s="315">
        <v>0</v>
      </c>
      <c r="AM508" s="315">
        <v>0</v>
      </c>
      <c r="AN508" s="307">
        <v>0</v>
      </c>
      <c r="AO508" s="307">
        <v>0</v>
      </c>
      <c r="AP508" s="307">
        <v>0</v>
      </c>
      <c r="AQ508" s="307">
        <v>0</v>
      </c>
      <c r="AR508" s="307">
        <v>0</v>
      </c>
      <c r="AS508" s="307">
        <v>0</v>
      </c>
      <c r="AT508" s="307">
        <v>0</v>
      </c>
      <c r="AU508" s="307">
        <v>0</v>
      </c>
      <c r="AV508" s="307">
        <v>0</v>
      </c>
      <c r="AW508" s="307">
        <v>0</v>
      </c>
      <c r="AX508" s="304">
        <v>0</v>
      </c>
      <c r="AY508" s="303">
        <v>45.5</v>
      </c>
      <c r="AZ508" s="311"/>
      <c r="BA508" s="307">
        <v>85</v>
      </c>
      <c r="BB508" s="94" t="s">
        <v>2985</v>
      </c>
      <c r="BC508" s="426">
        <v>39.979999999999997</v>
      </c>
      <c r="BD508" s="307" t="s">
        <v>3520</v>
      </c>
      <c r="BE508" s="312">
        <v>100</v>
      </c>
      <c r="BF508" s="307" t="s">
        <v>246</v>
      </c>
      <c r="BG508" s="307">
        <v>200</v>
      </c>
      <c r="BH508" s="426">
        <v>25</v>
      </c>
      <c r="BI508" s="330" t="s">
        <v>2985</v>
      </c>
      <c r="BJ508" s="307">
        <v>29</v>
      </c>
      <c r="BK508" s="317" t="s">
        <v>2985</v>
      </c>
      <c r="BL508" s="307">
        <v>23</v>
      </c>
      <c r="BM508" s="317" t="s">
        <v>2985</v>
      </c>
      <c r="BN508" s="307">
        <v>65</v>
      </c>
      <c r="BO508" s="332" t="s">
        <v>2985</v>
      </c>
      <c r="BP508" s="320" t="s">
        <v>3326</v>
      </c>
      <c r="BQ508" s="348"/>
      <c r="BR508" s="307"/>
      <c r="BS508" s="320"/>
      <c r="BT508" s="321"/>
      <c r="CO508" s="322"/>
      <c r="CP508" s="322"/>
      <c r="CQ508" s="322"/>
      <c r="CR508" s="322"/>
    </row>
    <row r="509" spans="1:96" ht="18">
      <c r="A509" s="458">
        <v>1998</v>
      </c>
      <c r="B509" s="533" t="s">
        <v>3634</v>
      </c>
      <c r="C509" s="383"/>
      <c r="D509" s="383"/>
      <c r="E509" s="470" t="s">
        <v>3590</v>
      </c>
      <c r="F509" s="303" t="s">
        <v>3095</v>
      </c>
      <c r="G509" s="757" t="s">
        <v>3294</v>
      </c>
      <c r="H509" s="303" t="s">
        <v>3290</v>
      </c>
      <c r="I509" s="697" t="s">
        <v>3379</v>
      </c>
      <c r="J509" s="307" t="s">
        <v>3295</v>
      </c>
      <c r="K509" s="304">
        <v>5</v>
      </c>
      <c r="L509" s="303" t="s">
        <v>1738</v>
      </c>
      <c r="M509" s="304" t="s">
        <v>1751</v>
      </c>
      <c r="N509" s="450">
        <v>0.41984732824427479</v>
      </c>
      <c r="O509" s="309">
        <f t="shared" si="103"/>
        <v>0.83969465648854957</v>
      </c>
      <c r="P509" s="310">
        <f t="shared" si="104"/>
        <v>6.5038167938931295</v>
      </c>
      <c r="Q509" s="329">
        <v>3.2519083969465647</v>
      </c>
      <c r="R509" s="312">
        <v>220</v>
      </c>
      <c r="S509" s="307">
        <v>262</v>
      </c>
      <c r="T509" s="377">
        <f t="shared" si="105"/>
        <v>524</v>
      </c>
      <c r="U509" s="377">
        <f t="shared" si="106"/>
        <v>1704</v>
      </c>
      <c r="V509" s="307">
        <v>1050</v>
      </c>
      <c r="W509" s="307">
        <v>654</v>
      </c>
      <c r="X509" s="313" t="s">
        <v>3449</v>
      </c>
      <c r="Y509" s="314" t="s">
        <v>2985</v>
      </c>
      <c r="Z509" s="315" t="s">
        <v>3446</v>
      </c>
      <c r="AA509" s="315" t="s">
        <v>3524</v>
      </c>
      <c r="AB509" s="304" t="s">
        <v>1754</v>
      </c>
      <c r="AC509" s="303" t="s">
        <v>2312</v>
      </c>
      <c r="AD509" s="307" t="s">
        <v>3346</v>
      </c>
      <c r="AE509" s="317" t="s">
        <v>2985</v>
      </c>
      <c r="AF509" s="315" t="s">
        <v>3346</v>
      </c>
      <c r="AG509" s="443">
        <v>2.92</v>
      </c>
      <c r="AH509" s="313">
        <f>100-SUM(AI509:AQ509)</f>
        <v>50</v>
      </c>
      <c r="AI509" s="307">
        <v>0</v>
      </c>
      <c r="AJ509" s="394">
        <v>0</v>
      </c>
      <c r="AK509" s="315">
        <v>50</v>
      </c>
      <c r="AL509" s="315">
        <v>0</v>
      </c>
      <c r="AM509" s="315">
        <v>0</v>
      </c>
      <c r="AN509" s="307">
        <v>0</v>
      </c>
      <c r="AO509" s="307">
        <v>0</v>
      </c>
      <c r="AP509" s="307">
        <v>0</v>
      </c>
      <c r="AQ509" s="307">
        <v>0</v>
      </c>
      <c r="AR509" s="307">
        <v>0</v>
      </c>
      <c r="AS509" s="307">
        <v>0</v>
      </c>
      <c r="AT509" s="307">
        <v>0</v>
      </c>
      <c r="AU509" s="307">
        <v>0</v>
      </c>
      <c r="AV509" s="307">
        <v>0</v>
      </c>
      <c r="AW509" s="307">
        <v>0</v>
      </c>
      <c r="AX509" s="304">
        <v>0</v>
      </c>
      <c r="AY509" s="303">
        <v>45.5</v>
      </c>
      <c r="AZ509" s="311"/>
      <c r="BA509" s="307">
        <v>95</v>
      </c>
      <c r="BB509" s="94" t="s">
        <v>2985</v>
      </c>
      <c r="BC509" s="426">
        <v>29.52</v>
      </c>
      <c r="BD509" s="307" t="s">
        <v>3520</v>
      </c>
      <c r="BE509" s="312">
        <v>100</v>
      </c>
      <c r="BF509" s="307" t="s">
        <v>246</v>
      </c>
      <c r="BG509" s="307">
        <v>200</v>
      </c>
      <c r="BH509" s="426">
        <v>25</v>
      </c>
      <c r="BI509" s="330" t="s">
        <v>2985</v>
      </c>
      <c r="BJ509" s="307">
        <v>28</v>
      </c>
      <c r="BK509" s="317" t="s">
        <v>2985</v>
      </c>
      <c r="BL509" s="307">
        <v>23</v>
      </c>
      <c r="BM509" s="317" t="s">
        <v>2985</v>
      </c>
      <c r="BN509" s="307">
        <v>65</v>
      </c>
      <c r="BO509" s="332" t="s">
        <v>2985</v>
      </c>
      <c r="BP509" s="320" t="s">
        <v>3327</v>
      </c>
      <c r="BQ509" s="348"/>
      <c r="BR509" s="307"/>
      <c r="BS509" s="320"/>
      <c r="BT509" s="321"/>
      <c r="CO509" s="322"/>
      <c r="CP509" s="322"/>
      <c r="CQ509" s="322"/>
      <c r="CR509" s="322"/>
    </row>
    <row r="510" spans="1:96">
      <c r="A510" s="458">
        <v>2006</v>
      </c>
      <c r="B510" s="528" t="s">
        <v>3596</v>
      </c>
      <c r="C510" s="383"/>
      <c r="D510" s="383"/>
      <c r="E510" s="470" t="s">
        <v>3590</v>
      </c>
      <c r="F510" s="303" t="s">
        <v>3103</v>
      </c>
      <c r="G510" s="386" t="s">
        <v>3291</v>
      </c>
      <c r="H510" s="303" t="s">
        <v>3290</v>
      </c>
      <c r="I510" s="697" t="s">
        <v>3379</v>
      </c>
      <c r="J510" s="307" t="s">
        <v>3296</v>
      </c>
      <c r="K510" s="304">
        <v>7</v>
      </c>
      <c r="L510" s="303" t="s">
        <v>1738</v>
      </c>
      <c r="M510" s="304" t="s">
        <v>1751</v>
      </c>
      <c r="N510" s="450">
        <v>0.41666666666666669</v>
      </c>
      <c r="O510" s="309">
        <f t="shared" si="103"/>
        <v>0.41666666666666669</v>
      </c>
      <c r="P510" s="310">
        <f t="shared" si="104"/>
        <v>3.9104166666666669</v>
      </c>
      <c r="Q510" s="329">
        <v>3.9104166666666669</v>
      </c>
      <c r="R510" s="312">
        <v>200</v>
      </c>
      <c r="S510" s="307">
        <v>480</v>
      </c>
      <c r="T510" s="377">
        <f t="shared" si="105"/>
        <v>480</v>
      </c>
      <c r="U510" s="377">
        <f t="shared" si="106"/>
        <v>1877</v>
      </c>
      <c r="V510" s="307">
        <v>1005</v>
      </c>
      <c r="W510" s="307">
        <v>872</v>
      </c>
      <c r="X510" s="313" t="s">
        <v>3449</v>
      </c>
      <c r="Y510" s="314" t="s">
        <v>2985</v>
      </c>
      <c r="Z510" s="516" t="s">
        <v>3618</v>
      </c>
      <c r="AA510" s="315" t="s">
        <v>1754</v>
      </c>
      <c r="AB510" s="304" t="s">
        <v>1754</v>
      </c>
      <c r="AC510" s="303" t="s">
        <v>3346</v>
      </c>
      <c r="AD510" s="307" t="s">
        <v>3346</v>
      </c>
      <c r="AE510" s="317" t="s">
        <v>2985</v>
      </c>
      <c r="AF510" s="315" t="s">
        <v>3346</v>
      </c>
      <c r="AG510" s="443">
        <v>2.85</v>
      </c>
      <c r="AH510" s="313">
        <v>100</v>
      </c>
      <c r="AI510" s="307">
        <v>0</v>
      </c>
      <c r="AJ510" s="315">
        <v>0</v>
      </c>
      <c r="AK510" s="315">
        <v>0</v>
      </c>
      <c r="AL510" s="315">
        <v>0</v>
      </c>
      <c r="AM510" s="315">
        <v>0</v>
      </c>
      <c r="AN510" s="307">
        <v>0</v>
      </c>
      <c r="AO510" s="307">
        <v>0</v>
      </c>
      <c r="AP510" s="307">
        <v>0</v>
      </c>
      <c r="AQ510" s="307">
        <v>0</v>
      </c>
      <c r="AR510" s="307">
        <v>0</v>
      </c>
      <c r="AS510" s="307">
        <v>0</v>
      </c>
      <c r="AT510" s="307">
        <v>0</v>
      </c>
      <c r="AU510" s="307">
        <v>0</v>
      </c>
      <c r="AV510" s="307">
        <v>0</v>
      </c>
      <c r="AW510" s="307">
        <v>0</v>
      </c>
      <c r="AX510" s="304">
        <v>0</v>
      </c>
      <c r="AY510" s="303">
        <v>65.099999999999994</v>
      </c>
      <c r="AZ510" s="311">
        <v>29.945999999999998</v>
      </c>
      <c r="BA510" s="317" t="s">
        <v>2985</v>
      </c>
      <c r="BB510" s="94" t="s">
        <v>2985</v>
      </c>
      <c r="BC510" s="426">
        <v>40</v>
      </c>
      <c r="BD510" s="307" t="s">
        <v>3534</v>
      </c>
      <c r="BE510" s="312">
        <v>102</v>
      </c>
      <c r="BF510" s="307" t="s">
        <v>246</v>
      </c>
      <c r="BG510" s="307">
        <v>230</v>
      </c>
      <c r="BH510" s="426">
        <v>25.5</v>
      </c>
      <c r="BI510" s="330" t="s">
        <v>2985</v>
      </c>
      <c r="BJ510" s="307">
        <v>49</v>
      </c>
      <c r="BK510" s="311">
        <v>21</v>
      </c>
      <c r="BL510" s="307">
        <v>21</v>
      </c>
      <c r="BM510" s="317" t="s">
        <v>2985</v>
      </c>
      <c r="BN510" s="307">
        <v>43</v>
      </c>
      <c r="BO510" s="332" t="s">
        <v>2985</v>
      </c>
      <c r="BP510" s="320" t="s">
        <v>273</v>
      </c>
      <c r="BQ510" s="348"/>
      <c r="BR510" s="307"/>
      <c r="BS510" s="320"/>
      <c r="BT510" s="321"/>
      <c r="CO510" s="322"/>
      <c r="CP510" s="322"/>
      <c r="CQ510" s="322"/>
      <c r="CR510" s="322"/>
    </row>
    <row r="511" spans="1:96">
      <c r="A511" s="458">
        <v>2009</v>
      </c>
      <c r="B511" s="528" t="s">
        <v>3600</v>
      </c>
      <c r="C511" s="466" t="s">
        <v>3590</v>
      </c>
      <c r="D511" s="383"/>
      <c r="E511" s="470" t="s">
        <v>3590</v>
      </c>
      <c r="F511" s="303" t="s">
        <v>3106</v>
      </c>
      <c r="G511" s="386" t="s">
        <v>3291</v>
      </c>
      <c r="H511" s="303" t="s">
        <v>3290</v>
      </c>
      <c r="I511" s="697" t="s">
        <v>3379</v>
      </c>
      <c r="J511" s="307" t="s">
        <v>3296</v>
      </c>
      <c r="K511" s="304">
        <v>7</v>
      </c>
      <c r="L511" s="303" t="s">
        <v>1738</v>
      </c>
      <c r="M511" s="304" t="s">
        <v>1751</v>
      </c>
      <c r="N511" s="450">
        <v>0.41666666666666669</v>
      </c>
      <c r="O511" s="309">
        <f t="shared" si="103"/>
        <v>0.41666666666666669</v>
      </c>
      <c r="P511" s="310">
        <f t="shared" si="104"/>
        <v>3.373015873015873</v>
      </c>
      <c r="Q511" s="329">
        <v>3.373015873015873</v>
      </c>
      <c r="R511" s="312">
        <v>210</v>
      </c>
      <c r="S511" s="307">
        <v>504</v>
      </c>
      <c r="T511" s="377">
        <f t="shared" si="105"/>
        <v>504</v>
      </c>
      <c r="U511" s="377">
        <f t="shared" si="106"/>
        <v>1700</v>
      </c>
      <c r="V511" s="307">
        <v>1036</v>
      </c>
      <c r="W511" s="307">
        <v>664</v>
      </c>
      <c r="X511" s="313" t="s">
        <v>3449</v>
      </c>
      <c r="Y511" s="314" t="s">
        <v>2985</v>
      </c>
      <c r="Z511" s="311" t="s">
        <v>3619</v>
      </c>
      <c r="AA511" s="315" t="s">
        <v>1754</v>
      </c>
      <c r="AB511" s="304" t="s">
        <v>1754</v>
      </c>
      <c r="AC511" s="303" t="s">
        <v>3342</v>
      </c>
      <c r="AD511" s="307" t="s">
        <v>3535</v>
      </c>
      <c r="AE511" s="317" t="s">
        <v>2985</v>
      </c>
      <c r="AF511" s="315" t="s">
        <v>3342</v>
      </c>
      <c r="AG511" s="443">
        <v>2.74</v>
      </c>
      <c r="AH511" s="313">
        <v>100</v>
      </c>
      <c r="AI511" s="307">
        <v>0</v>
      </c>
      <c r="AJ511" s="315">
        <v>0</v>
      </c>
      <c r="AK511" s="315">
        <v>0</v>
      </c>
      <c r="AL511" s="315">
        <v>0</v>
      </c>
      <c r="AM511" s="315">
        <v>0</v>
      </c>
      <c r="AN511" s="307">
        <v>0</v>
      </c>
      <c r="AO511" s="307">
        <v>0</v>
      </c>
      <c r="AP511" s="307">
        <v>0</v>
      </c>
      <c r="AQ511" s="307">
        <v>0</v>
      </c>
      <c r="AR511" s="307">
        <v>0</v>
      </c>
      <c r="AS511" s="307">
        <v>0</v>
      </c>
      <c r="AT511" s="307">
        <v>0</v>
      </c>
      <c r="AU511" s="307">
        <v>0</v>
      </c>
      <c r="AV511" s="307">
        <v>0</v>
      </c>
      <c r="AW511" s="307">
        <v>0</v>
      </c>
      <c r="AX511" s="304">
        <v>0</v>
      </c>
      <c r="AY511" s="303">
        <v>61.6</v>
      </c>
      <c r="AZ511" s="311">
        <v>28.336000000000002</v>
      </c>
      <c r="BA511" s="317" t="s">
        <v>2985</v>
      </c>
      <c r="BB511" s="94" t="s">
        <v>2985</v>
      </c>
      <c r="BC511" s="426">
        <v>31.1</v>
      </c>
      <c r="BD511" s="307" t="s">
        <v>3534</v>
      </c>
      <c r="BE511" s="312">
        <v>102</v>
      </c>
      <c r="BF511" s="307" t="s">
        <v>246</v>
      </c>
      <c r="BG511" s="307">
        <v>230</v>
      </c>
      <c r="BH511" s="426">
        <v>25.5</v>
      </c>
      <c r="BI511" s="330" t="s">
        <v>2985</v>
      </c>
      <c r="BJ511" s="307">
        <v>49</v>
      </c>
      <c r="BK511" s="311">
        <v>21</v>
      </c>
      <c r="BL511" s="307">
        <v>21</v>
      </c>
      <c r="BM511" s="317" t="s">
        <v>2985</v>
      </c>
      <c r="BN511" s="307">
        <v>43</v>
      </c>
      <c r="BO511" s="332" t="s">
        <v>2985</v>
      </c>
      <c r="BP511" s="320" t="s">
        <v>273</v>
      </c>
      <c r="BQ511" s="348"/>
      <c r="BR511" s="307"/>
      <c r="BS511" s="320"/>
      <c r="BT511" s="321"/>
      <c r="CO511" s="322"/>
      <c r="CP511" s="322"/>
      <c r="CQ511" s="322"/>
      <c r="CR511" s="322"/>
    </row>
    <row r="512" spans="1:96">
      <c r="A512" s="458">
        <v>2010</v>
      </c>
      <c r="B512" s="528" t="s">
        <v>3601</v>
      </c>
      <c r="C512" s="466" t="s">
        <v>3590</v>
      </c>
      <c r="D512" s="466" t="s">
        <v>3590</v>
      </c>
      <c r="E512" s="470" t="s">
        <v>3590</v>
      </c>
      <c r="F512" s="303" t="s">
        <v>3107</v>
      </c>
      <c r="G512" s="386" t="s">
        <v>3298</v>
      </c>
      <c r="H512" s="303" t="s">
        <v>3290</v>
      </c>
      <c r="I512" s="697" t="s">
        <v>3379</v>
      </c>
      <c r="J512" s="307">
        <v>2001</v>
      </c>
      <c r="K512" s="304">
        <v>8</v>
      </c>
      <c r="L512" s="303" t="s">
        <v>1738</v>
      </c>
      <c r="M512" s="304" t="s">
        <v>1751</v>
      </c>
      <c r="N512" s="474">
        <v>0.4</v>
      </c>
      <c r="O512" s="309">
        <f t="shared" si="103"/>
        <v>0.4</v>
      </c>
      <c r="P512" s="310">
        <f t="shared" si="104"/>
        <v>4.0888888888888886</v>
      </c>
      <c r="Q512" s="329">
        <v>4.0888888888888886</v>
      </c>
      <c r="R512" s="312">
        <v>180</v>
      </c>
      <c r="S512" s="307">
        <v>450</v>
      </c>
      <c r="T512" s="377">
        <f t="shared" si="105"/>
        <v>450.00000000000006</v>
      </c>
      <c r="U512" s="377">
        <f t="shared" si="106"/>
        <v>1840</v>
      </c>
      <c r="V512" s="307">
        <v>1100</v>
      </c>
      <c r="W512" s="307">
        <v>740</v>
      </c>
      <c r="X512" s="313" t="s">
        <v>3449</v>
      </c>
      <c r="Y512" s="314" t="s">
        <v>2985</v>
      </c>
      <c r="Z512" s="311" t="s">
        <v>3619</v>
      </c>
      <c r="AA512" s="315" t="s">
        <v>1754</v>
      </c>
      <c r="AB512" s="304" t="s">
        <v>1754</v>
      </c>
      <c r="AC512" s="303" t="s">
        <v>3354</v>
      </c>
      <c r="AD512" s="311" t="s">
        <v>3536</v>
      </c>
      <c r="AE512" s="317" t="s">
        <v>2985</v>
      </c>
      <c r="AF512" s="315" t="s">
        <v>3347</v>
      </c>
      <c r="AG512" s="443">
        <v>2.72</v>
      </c>
      <c r="AH512" s="313">
        <v>100</v>
      </c>
      <c r="AI512" s="307">
        <v>0</v>
      </c>
      <c r="AJ512" s="315">
        <v>0</v>
      </c>
      <c r="AK512" s="315">
        <v>0</v>
      </c>
      <c r="AL512" s="315">
        <v>0</v>
      </c>
      <c r="AM512" s="315">
        <v>0</v>
      </c>
      <c r="AN512" s="307">
        <v>0</v>
      </c>
      <c r="AO512" s="307">
        <v>0</v>
      </c>
      <c r="AP512" s="307">
        <v>0</v>
      </c>
      <c r="AQ512" s="307">
        <v>0</v>
      </c>
      <c r="AR512" s="307">
        <v>0</v>
      </c>
      <c r="AS512" s="307">
        <v>0</v>
      </c>
      <c r="AT512" s="329">
        <v>0.3487792725460887</v>
      </c>
      <c r="AU512" s="307">
        <v>0</v>
      </c>
      <c r="AV512" s="307">
        <v>0</v>
      </c>
      <c r="AW512" s="307">
        <v>0</v>
      </c>
      <c r="AX512" s="304">
        <v>0</v>
      </c>
      <c r="AY512" s="303">
        <v>60</v>
      </c>
      <c r="AZ512" s="311">
        <v>37.200000000000003</v>
      </c>
      <c r="BA512" s="307">
        <v>30</v>
      </c>
      <c r="BB512" s="94" t="s">
        <v>2985</v>
      </c>
      <c r="BC512" s="426">
        <v>40.6</v>
      </c>
      <c r="BD512" s="307" t="s">
        <v>3520</v>
      </c>
      <c r="BE512" s="312">
        <v>100</v>
      </c>
      <c r="BF512" s="307" t="s">
        <v>246</v>
      </c>
      <c r="BG512" s="307">
        <v>200</v>
      </c>
      <c r="BH512" s="426">
        <v>25</v>
      </c>
      <c r="BI512" s="330" t="s">
        <v>2985</v>
      </c>
      <c r="BJ512" s="307">
        <v>14</v>
      </c>
      <c r="BK512" s="311">
        <v>22</v>
      </c>
      <c r="BL512" s="307">
        <v>22</v>
      </c>
      <c r="BM512" s="317" t="s">
        <v>2985</v>
      </c>
      <c r="BN512" s="307">
        <v>65</v>
      </c>
      <c r="BO512" s="332" t="s">
        <v>2985</v>
      </c>
      <c r="BP512" s="320" t="s">
        <v>3537</v>
      </c>
      <c r="BQ512" s="348"/>
      <c r="BR512" s="307"/>
      <c r="BS512" s="320"/>
      <c r="BT512" s="321"/>
      <c r="CO512" s="322"/>
      <c r="CP512" s="322"/>
      <c r="CQ512" s="322"/>
      <c r="CR512" s="322"/>
    </row>
    <row r="513" spans="1:96">
      <c r="A513" s="458">
        <v>2011</v>
      </c>
      <c r="B513" s="535" t="s">
        <v>3585</v>
      </c>
      <c r="C513" s="466" t="s">
        <v>3590</v>
      </c>
      <c r="D513" s="466" t="s">
        <v>3590</v>
      </c>
      <c r="E513" s="470" t="s">
        <v>3590</v>
      </c>
      <c r="F513" s="303" t="s">
        <v>3108</v>
      </c>
      <c r="G513" s="386" t="s">
        <v>3298</v>
      </c>
      <c r="H513" s="303" t="s">
        <v>3290</v>
      </c>
      <c r="I513" s="697" t="s">
        <v>3379</v>
      </c>
      <c r="J513" s="307">
        <v>2001</v>
      </c>
      <c r="K513" s="304">
        <v>8</v>
      </c>
      <c r="L513" s="303" t="s">
        <v>1738</v>
      </c>
      <c r="M513" s="304" t="s">
        <v>1751</v>
      </c>
      <c r="N513" s="474">
        <v>0.4</v>
      </c>
      <c r="O513" s="309">
        <f t="shared" si="103"/>
        <v>0.8</v>
      </c>
      <c r="P513" s="310">
        <f t="shared" si="104"/>
        <v>8.0888888888888886</v>
      </c>
      <c r="Q513" s="329">
        <v>4.0444444444444443</v>
      </c>
      <c r="R513" s="312">
        <v>180</v>
      </c>
      <c r="S513" s="307">
        <v>225</v>
      </c>
      <c r="T513" s="377">
        <f t="shared" si="105"/>
        <v>450</v>
      </c>
      <c r="U513" s="377">
        <f t="shared" si="106"/>
        <v>1820</v>
      </c>
      <c r="V513" s="307">
        <v>1100</v>
      </c>
      <c r="W513" s="307">
        <v>720</v>
      </c>
      <c r="X513" s="313" t="s">
        <v>3449</v>
      </c>
      <c r="Y513" s="314" t="s">
        <v>2985</v>
      </c>
      <c r="Z513" s="516" t="s">
        <v>3618</v>
      </c>
      <c r="AA513" s="315" t="s">
        <v>3524</v>
      </c>
      <c r="AB513" s="304" t="s">
        <v>1754</v>
      </c>
      <c r="AC513" s="303" t="s">
        <v>3354</v>
      </c>
      <c r="AD513" s="311" t="s">
        <v>3536</v>
      </c>
      <c r="AE513" s="317" t="s">
        <v>2985</v>
      </c>
      <c r="AF513" s="315" t="s">
        <v>3347</v>
      </c>
      <c r="AG513" s="443">
        <v>2.72</v>
      </c>
      <c r="AH513" s="313">
        <v>50</v>
      </c>
      <c r="AI513" s="307">
        <v>0</v>
      </c>
      <c r="AJ513" s="315">
        <v>0</v>
      </c>
      <c r="AK513" s="315">
        <v>0</v>
      </c>
      <c r="AL513" s="315">
        <v>50</v>
      </c>
      <c r="AM513" s="315">
        <v>0</v>
      </c>
      <c r="AN513" s="307">
        <v>0</v>
      </c>
      <c r="AO513" s="307">
        <v>0</v>
      </c>
      <c r="AP513" s="307">
        <v>0</v>
      </c>
      <c r="AQ513" s="307">
        <v>0</v>
      </c>
      <c r="AR513" s="307">
        <v>0</v>
      </c>
      <c r="AS513" s="307">
        <v>0</v>
      </c>
      <c r="AT513" s="329">
        <v>0.3487792725460887</v>
      </c>
      <c r="AU513" s="307">
        <v>0</v>
      </c>
      <c r="AV513" s="307">
        <v>0</v>
      </c>
      <c r="AW513" s="307">
        <v>0</v>
      </c>
      <c r="AX513" s="304">
        <v>0</v>
      </c>
      <c r="AY513" s="303">
        <v>66</v>
      </c>
      <c r="AZ513" s="311">
        <v>40.92</v>
      </c>
      <c r="BA513" s="307">
        <v>35</v>
      </c>
      <c r="BB513" s="94" t="s">
        <v>2985</v>
      </c>
      <c r="BC513" s="426">
        <v>42.2</v>
      </c>
      <c r="BD513" s="307" t="s">
        <v>3520</v>
      </c>
      <c r="BE513" s="312">
        <v>100</v>
      </c>
      <c r="BF513" s="307" t="s">
        <v>246</v>
      </c>
      <c r="BG513" s="307">
        <v>200</v>
      </c>
      <c r="BH513" s="426">
        <v>25</v>
      </c>
      <c r="BI513" s="330" t="s">
        <v>2985</v>
      </c>
      <c r="BJ513" s="307">
        <v>14</v>
      </c>
      <c r="BK513" s="311">
        <v>22</v>
      </c>
      <c r="BL513" s="307">
        <v>22</v>
      </c>
      <c r="BM513" s="317" t="s">
        <v>2985</v>
      </c>
      <c r="BN513" s="307">
        <v>65</v>
      </c>
      <c r="BO513" s="332" t="s">
        <v>2985</v>
      </c>
      <c r="BP513" s="320" t="s">
        <v>3537</v>
      </c>
      <c r="BQ513" s="348"/>
      <c r="BR513" s="307"/>
      <c r="BS513" s="320"/>
      <c r="BT513" s="321"/>
      <c r="CO513" s="322"/>
      <c r="CP513" s="322"/>
      <c r="CQ513" s="322"/>
      <c r="CR513" s="322"/>
    </row>
    <row r="514" spans="1:96" ht="18">
      <c r="A514" s="458">
        <v>2012</v>
      </c>
      <c r="B514" s="533" t="s">
        <v>3634</v>
      </c>
      <c r="C514" s="466" t="s">
        <v>3590</v>
      </c>
      <c r="D514" s="466" t="s">
        <v>3590</v>
      </c>
      <c r="E514" s="470" t="s">
        <v>3590</v>
      </c>
      <c r="F514" s="303" t="s">
        <v>3109</v>
      </c>
      <c r="G514" s="386" t="s">
        <v>3298</v>
      </c>
      <c r="H514" s="303" t="s">
        <v>3290</v>
      </c>
      <c r="I514" s="697" t="s">
        <v>3379</v>
      </c>
      <c r="J514" s="307">
        <v>2001</v>
      </c>
      <c r="K514" s="304">
        <v>8</v>
      </c>
      <c r="L514" s="303" t="s">
        <v>1738</v>
      </c>
      <c r="M514" s="304" t="s">
        <v>1751</v>
      </c>
      <c r="N514" s="474">
        <v>0.4</v>
      </c>
      <c r="O514" s="309">
        <f t="shared" si="103"/>
        <v>0.8</v>
      </c>
      <c r="P514" s="310">
        <f t="shared" si="104"/>
        <v>8.0888888888888886</v>
      </c>
      <c r="Q514" s="329">
        <v>4.0444444444444443</v>
      </c>
      <c r="R514" s="312">
        <v>180</v>
      </c>
      <c r="S514" s="307">
        <v>225</v>
      </c>
      <c r="T514" s="377">
        <f t="shared" si="105"/>
        <v>450</v>
      </c>
      <c r="U514" s="377">
        <f t="shared" si="106"/>
        <v>1820</v>
      </c>
      <c r="V514" s="307">
        <v>1100</v>
      </c>
      <c r="W514" s="307">
        <v>720</v>
      </c>
      <c r="X514" s="313" t="s">
        <v>3449</v>
      </c>
      <c r="Y514" s="314" t="s">
        <v>2985</v>
      </c>
      <c r="Z514" s="315">
        <v>42.5</v>
      </c>
      <c r="AA514" s="315" t="s">
        <v>3524</v>
      </c>
      <c r="AB514" s="304" t="s">
        <v>1754</v>
      </c>
      <c r="AC514" s="303" t="s">
        <v>3354</v>
      </c>
      <c r="AD514" s="311" t="s">
        <v>3536</v>
      </c>
      <c r="AE514" s="317" t="s">
        <v>2985</v>
      </c>
      <c r="AF514" s="315" t="s">
        <v>3347</v>
      </c>
      <c r="AG514" s="443">
        <v>2.72</v>
      </c>
      <c r="AH514" s="313">
        <v>50</v>
      </c>
      <c r="AI514" s="307">
        <v>0</v>
      </c>
      <c r="AJ514" s="315">
        <v>0</v>
      </c>
      <c r="AK514" s="315">
        <v>50</v>
      </c>
      <c r="AL514" s="315">
        <v>0</v>
      </c>
      <c r="AM514" s="315">
        <v>0</v>
      </c>
      <c r="AN514" s="307">
        <v>0</v>
      </c>
      <c r="AO514" s="307">
        <v>0</v>
      </c>
      <c r="AP514" s="307">
        <v>0</v>
      </c>
      <c r="AQ514" s="307">
        <v>0</v>
      </c>
      <c r="AR514" s="307">
        <v>0</v>
      </c>
      <c r="AS514" s="307">
        <v>0</v>
      </c>
      <c r="AT514" s="329">
        <v>0.3487792725460887</v>
      </c>
      <c r="AU514" s="307">
        <v>0</v>
      </c>
      <c r="AV514" s="307">
        <v>0</v>
      </c>
      <c r="AW514" s="307">
        <v>0</v>
      </c>
      <c r="AX514" s="304">
        <v>0</v>
      </c>
      <c r="AY514" s="303">
        <v>58.8</v>
      </c>
      <c r="AZ514" s="311"/>
      <c r="BA514" s="307">
        <v>60</v>
      </c>
      <c r="BB514" s="94" t="s">
        <v>2985</v>
      </c>
      <c r="BC514" s="426">
        <v>38.4</v>
      </c>
      <c r="BD514" s="307" t="s">
        <v>3520</v>
      </c>
      <c r="BE514" s="312">
        <v>100</v>
      </c>
      <c r="BF514" s="307" t="s">
        <v>246</v>
      </c>
      <c r="BG514" s="307">
        <v>200</v>
      </c>
      <c r="BH514" s="426">
        <v>25</v>
      </c>
      <c r="BI514" s="330" t="s">
        <v>2985</v>
      </c>
      <c r="BJ514" s="307">
        <v>14</v>
      </c>
      <c r="BK514" s="317" t="s">
        <v>2985</v>
      </c>
      <c r="BL514" s="307">
        <v>22</v>
      </c>
      <c r="BM514" s="317" t="s">
        <v>2985</v>
      </c>
      <c r="BN514" s="307">
        <v>65</v>
      </c>
      <c r="BO514" s="332" t="s">
        <v>2985</v>
      </c>
      <c r="BP514" s="320" t="s">
        <v>3537</v>
      </c>
      <c r="BQ514" s="348"/>
      <c r="BR514" s="307"/>
      <c r="BS514" s="320"/>
      <c r="BT514" s="321"/>
      <c r="CO514" s="322"/>
      <c r="CP514" s="322"/>
      <c r="CQ514" s="322"/>
      <c r="CR514" s="322"/>
    </row>
    <row r="515" spans="1:96">
      <c r="A515" s="458">
        <v>2020</v>
      </c>
      <c r="B515" s="533" t="s">
        <v>3614</v>
      </c>
      <c r="C515" s="383"/>
      <c r="D515" s="383"/>
      <c r="E515" s="470" t="s">
        <v>3590</v>
      </c>
      <c r="F515" s="303" t="s">
        <v>3117</v>
      </c>
      <c r="G515" s="386" t="s">
        <v>425</v>
      </c>
      <c r="H515" s="303" t="s">
        <v>3290</v>
      </c>
      <c r="I515" s="697" t="s">
        <v>3379</v>
      </c>
      <c r="J515" s="307">
        <v>1993</v>
      </c>
      <c r="K515" s="304">
        <v>9</v>
      </c>
      <c r="L515" s="303" t="s">
        <v>1738</v>
      </c>
      <c r="M515" s="304" t="s">
        <v>1751</v>
      </c>
      <c r="N515" s="475">
        <v>0.42576419213973798</v>
      </c>
      <c r="O515" s="309">
        <f t="shared" si="103"/>
        <v>0.42576419213973798</v>
      </c>
      <c r="P515" s="310">
        <f t="shared" si="104"/>
        <v>4.1157205240174672</v>
      </c>
      <c r="Q515" s="329">
        <v>4.1157205240174672</v>
      </c>
      <c r="R515" s="312">
        <v>195</v>
      </c>
      <c r="S515" s="307">
        <v>458</v>
      </c>
      <c r="T515" s="377">
        <f t="shared" si="105"/>
        <v>458</v>
      </c>
      <c r="U515" s="377">
        <f t="shared" si="106"/>
        <v>1885</v>
      </c>
      <c r="V515" s="307">
        <v>1200</v>
      </c>
      <c r="W515" s="307">
        <v>685</v>
      </c>
      <c r="X515" s="313" t="s">
        <v>3449</v>
      </c>
      <c r="Y515" s="314" t="s">
        <v>2985</v>
      </c>
      <c r="Z515" s="317" t="s">
        <v>2985</v>
      </c>
      <c r="AA515" s="315" t="s">
        <v>1754</v>
      </c>
      <c r="AB515" s="304" t="s">
        <v>1754</v>
      </c>
      <c r="AC515" s="303" t="s">
        <v>3346</v>
      </c>
      <c r="AD515" s="307" t="s">
        <v>3346</v>
      </c>
      <c r="AE515" s="317" t="s">
        <v>2985</v>
      </c>
      <c r="AF515" s="315" t="s">
        <v>3346</v>
      </c>
      <c r="AG515" s="443">
        <v>2.89</v>
      </c>
      <c r="AH515" s="313">
        <v>100</v>
      </c>
      <c r="AI515" s="307">
        <v>0</v>
      </c>
      <c r="AJ515" s="315">
        <v>0</v>
      </c>
      <c r="AK515" s="315">
        <v>0</v>
      </c>
      <c r="AL515" s="315">
        <v>0</v>
      </c>
      <c r="AM515" s="315">
        <v>0</v>
      </c>
      <c r="AN515" s="307">
        <v>0</v>
      </c>
      <c r="AO515" s="307">
        <v>0</v>
      </c>
      <c r="AP515" s="307">
        <v>0</v>
      </c>
      <c r="AQ515" s="307">
        <v>0</v>
      </c>
      <c r="AR515" s="307">
        <v>0</v>
      </c>
      <c r="AS515" s="307">
        <v>0</v>
      </c>
      <c r="AT515" s="307">
        <v>0</v>
      </c>
      <c r="AU515" s="307">
        <v>0</v>
      </c>
      <c r="AV515" s="307">
        <v>0</v>
      </c>
      <c r="AW515" s="307">
        <v>0</v>
      </c>
      <c r="AX515" s="304">
        <v>0</v>
      </c>
      <c r="AY515" s="303">
        <v>61</v>
      </c>
      <c r="AZ515" s="311"/>
      <c r="BA515" s="307">
        <v>60</v>
      </c>
      <c r="BB515" s="94" t="s">
        <v>2985</v>
      </c>
      <c r="BC515" s="426">
        <v>44</v>
      </c>
      <c r="BD515" s="307" t="s">
        <v>3520</v>
      </c>
      <c r="BE515" s="312">
        <v>100</v>
      </c>
      <c r="BF515" s="307" t="s">
        <v>246</v>
      </c>
      <c r="BG515" s="307">
        <v>200</v>
      </c>
      <c r="BH515" s="426">
        <v>25</v>
      </c>
      <c r="BI515" s="330" t="s">
        <v>2985</v>
      </c>
      <c r="BJ515" s="307">
        <v>28</v>
      </c>
      <c r="BK515" s="317" t="s">
        <v>2985</v>
      </c>
      <c r="BL515" s="307">
        <v>23</v>
      </c>
      <c r="BM515" s="317" t="s">
        <v>2985</v>
      </c>
      <c r="BN515" s="307">
        <v>60</v>
      </c>
      <c r="BO515" s="332" t="s">
        <v>2985</v>
      </c>
      <c r="BP515" s="320" t="s">
        <v>3329</v>
      </c>
      <c r="BQ515" s="348"/>
      <c r="BR515" s="307"/>
      <c r="BS515" s="320"/>
      <c r="BT515" s="321"/>
      <c r="CO515" s="322"/>
      <c r="CP515" s="322"/>
      <c r="CQ515" s="322"/>
      <c r="CR515" s="322"/>
    </row>
    <row r="516" spans="1:96">
      <c r="A516" s="458">
        <v>2022</v>
      </c>
      <c r="B516" s="533" t="s">
        <v>3614</v>
      </c>
      <c r="C516" s="466" t="s">
        <v>3590</v>
      </c>
      <c r="D516" s="383"/>
      <c r="E516" s="469"/>
      <c r="F516" s="303" t="s">
        <v>3119</v>
      </c>
      <c r="G516" s="386" t="s">
        <v>425</v>
      </c>
      <c r="H516" s="303" t="s">
        <v>3290</v>
      </c>
      <c r="I516" s="697" t="s">
        <v>3379</v>
      </c>
      <c r="J516" s="307">
        <v>1993</v>
      </c>
      <c r="K516" s="304">
        <v>9</v>
      </c>
      <c r="L516" s="303" t="s">
        <v>1738</v>
      </c>
      <c r="M516" s="304" t="s">
        <v>1751</v>
      </c>
      <c r="N516" s="475">
        <v>0.42596810933940776</v>
      </c>
      <c r="O516" s="309">
        <f t="shared" si="103"/>
        <v>0.42596810933940776</v>
      </c>
      <c r="P516" s="310">
        <f t="shared" si="104"/>
        <v>4.5261958997722092</v>
      </c>
      <c r="Q516" s="329">
        <v>4.5261958997722092</v>
      </c>
      <c r="R516" s="312">
        <v>187</v>
      </c>
      <c r="S516" s="307">
        <v>439</v>
      </c>
      <c r="T516" s="377">
        <f t="shared" si="105"/>
        <v>439.00000000000006</v>
      </c>
      <c r="U516" s="377">
        <f t="shared" si="106"/>
        <v>1987</v>
      </c>
      <c r="V516" s="307">
        <v>1320</v>
      </c>
      <c r="W516" s="307">
        <v>667</v>
      </c>
      <c r="X516" s="313" t="s">
        <v>3449</v>
      </c>
      <c r="Y516" s="314" t="s">
        <v>2985</v>
      </c>
      <c r="Z516" s="317" t="s">
        <v>2985</v>
      </c>
      <c r="AA516" s="315" t="s">
        <v>1754</v>
      </c>
      <c r="AB516" s="304" t="s">
        <v>1754</v>
      </c>
      <c r="AC516" s="303" t="s">
        <v>3355</v>
      </c>
      <c r="AD516" s="307" t="s">
        <v>3345</v>
      </c>
      <c r="AE516" s="317" t="s">
        <v>2985</v>
      </c>
      <c r="AF516" s="315" t="s">
        <v>3345</v>
      </c>
      <c r="AG516" s="443">
        <v>3.06</v>
      </c>
      <c r="AH516" s="313">
        <v>100</v>
      </c>
      <c r="AI516" s="307">
        <v>0</v>
      </c>
      <c r="AJ516" s="315">
        <v>0</v>
      </c>
      <c r="AK516" s="315">
        <v>0</v>
      </c>
      <c r="AL516" s="315">
        <v>0</v>
      </c>
      <c r="AM516" s="315">
        <v>0</v>
      </c>
      <c r="AN516" s="307">
        <v>0</v>
      </c>
      <c r="AO516" s="307">
        <v>0</v>
      </c>
      <c r="AP516" s="307">
        <v>0</v>
      </c>
      <c r="AQ516" s="307">
        <v>0</v>
      </c>
      <c r="AR516" s="307">
        <v>0</v>
      </c>
      <c r="AS516" s="307">
        <v>0</v>
      </c>
      <c r="AT516" s="307">
        <v>0</v>
      </c>
      <c r="AU516" s="307">
        <v>0</v>
      </c>
      <c r="AV516" s="307">
        <v>0</v>
      </c>
      <c r="AW516" s="307">
        <v>0</v>
      </c>
      <c r="AX516" s="304">
        <v>0</v>
      </c>
      <c r="AY516" s="303">
        <v>61.5</v>
      </c>
      <c r="AZ516" s="311"/>
      <c r="BA516" s="307">
        <v>35</v>
      </c>
      <c r="BB516" s="94" t="s">
        <v>2985</v>
      </c>
      <c r="BC516" s="426">
        <v>44</v>
      </c>
      <c r="BD516" s="307" t="s">
        <v>3520</v>
      </c>
      <c r="BE516" s="312">
        <v>100</v>
      </c>
      <c r="BF516" s="307" t="s">
        <v>246</v>
      </c>
      <c r="BG516" s="307">
        <v>200</v>
      </c>
      <c r="BH516" s="426">
        <v>25</v>
      </c>
      <c r="BI516" s="330" t="s">
        <v>2985</v>
      </c>
      <c r="BJ516" s="307">
        <v>28</v>
      </c>
      <c r="BK516" s="317" t="s">
        <v>2985</v>
      </c>
      <c r="BL516" s="307">
        <v>23</v>
      </c>
      <c r="BM516" s="317" t="s">
        <v>2985</v>
      </c>
      <c r="BN516" s="307">
        <v>60</v>
      </c>
      <c r="BO516" s="332" t="s">
        <v>2985</v>
      </c>
      <c r="BP516" s="320" t="s">
        <v>3329</v>
      </c>
      <c r="BQ516" s="348"/>
      <c r="BR516" s="307"/>
      <c r="BS516" s="320"/>
      <c r="BT516" s="321"/>
      <c r="CO516" s="322"/>
      <c r="CP516" s="322"/>
      <c r="CQ516" s="322"/>
      <c r="CR516" s="322"/>
    </row>
    <row r="517" spans="1:96">
      <c r="A517" s="458">
        <v>2024</v>
      </c>
      <c r="B517" s="533" t="s">
        <v>3614</v>
      </c>
      <c r="C517" s="383"/>
      <c r="D517" s="383"/>
      <c r="E517" s="470" t="s">
        <v>3590</v>
      </c>
      <c r="F517" s="303" t="s">
        <v>3121</v>
      </c>
      <c r="G517" s="386" t="s">
        <v>425</v>
      </c>
      <c r="H517" s="303" t="s">
        <v>3290</v>
      </c>
      <c r="I517" s="697" t="s">
        <v>3379</v>
      </c>
      <c r="J517" s="307">
        <v>1993</v>
      </c>
      <c r="K517" s="304">
        <v>9</v>
      </c>
      <c r="L517" s="303" t="s">
        <v>1738</v>
      </c>
      <c r="M517" s="304" t="s">
        <v>1751</v>
      </c>
      <c r="N517" s="450">
        <v>0.42499999999999999</v>
      </c>
      <c r="O517" s="309">
        <f t="shared" si="103"/>
        <v>0.42499999999999999</v>
      </c>
      <c r="P517" s="310">
        <f t="shared" si="104"/>
        <v>4.9775</v>
      </c>
      <c r="Q517" s="329">
        <v>4.9775</v>
      </c>
      <c r="R517" s="312">
        <v>170</v>
      </c>
      <c r="S517" s="307">
        <v>400</v>
      </c>
      <c r="T517" s="377">
        <f t="shared" si="105"/>
        <v>400</v>
      </c>
      <c r="U517" s="377">
        <f t="shared" si="106"/>
        <v>1991</v>
      </c>
      <c r="V517" s="307">
        <v>1280</v>
      </c>
      <c r="W517" s="307">
        <v>711</v>
      </c>
      <c r="X517" s="313" t="s">
        <v>3449</v>
      </c>
      <c r="Y517" s="314" t="s">
        <v>2985</v>
      </c>
      <c r="Z517" s="317" t="s">
        <v>2985</v>
      </c>
      <c r="AA517" s="315" t="s">
        <v>1754</v>
      </c>
      <c r="AB517" s="304" t="s">
        <v>1754</v>
      </c>
      <c r="AC517" s="303" t="s">
        <v>2315</v>
      </c>
      <c r="AD517" s="307" t="s">
        <v>2315</v>
      </c>
      <c r="AE517" s="317" t="s">
        <v>2985</v>
      </c>
      <c r="AF517" s="315" t="s">
        <v>2315</v>
      </c>
      <c r="AG517" s="443">
        <v>2.84</v>
      </c>
      <c r="AH517" s="313">
        <v>100</v>
      </c>
      <c r="AI517" s="307">
        <v>0</v>
      </c>
      <c r="AJ517" s="315">
        <v>0</v>
      </c>
      <c r="AK517" s="315">
        <v>0</v>
      </c>
      <c r="AL517" s="315">
        <v>0</v>
      </c>
      <c r="AM517" s="315">
        <v>0</v>
      </c>
      <c r="AN517" s="307">
        <v>0</v>
      </c>
      <c r="AO517" s="307">
        <v>0</v>
      </c>
      <c r="AP517" s="307">
        <v>0</v>
      </c>
      <c r="AQ517" s="307">
        <v>0</v>
      </c>
      <c r="AR517" s="307">
        <v>0</v>
      </c>
      <c r="AS517" s="307">
        <v>0</v>
      </c>
      <c r="AT517" s="307">
        <v>0</v>
      </c>
      <c r="AU517" s="307">
        <v>0</v>
      </c>
      <c r="AV517" s="307">
        <v>0</v>
      </c>
      <c r="AW517" s="307">
        <v>0</v>
      </c>
      <c r="AX517" s="304">
        <v>0</v>
      </c>
      <c r="AY517" s="303">
        <v>60.5</v>
      </c>
      <c r="AZ517" s="311"/>
      <c r="BA517" s="307">
        <v>55</v>
      </c>
      <c r="BB517" s="94" t="s">
        <v>2985</v>
      </c>
      <c r="BC517" s="426">
        <v>51.5</v>
      </c>
      <c r="BD517" s="307" t="s">
        <v>3520</v>
      </c>
      <c r="BE517" s="312">
        <v>100</v>
      </c>
      <c r="BF517" s="307" t="s">
        <v>246</v>
      </c>
      <c r="BG517" s="307">
        <v>200</v>
      </c>
      <c r="BH517" s="426">
        <v>25</v>
      </c>
      <c r="BI517" s="330" t="s">
        <v>2985</v>
      </c>
      <c r="BJ517" s="307">
        <v>28</v>
      </c>
      <c r="BK517" s="317" t="s">
        <v>2985</v>
      </c>
      <c r="BL517" s="307">
        <v>23</v>
      </c>
      <c r="BM517" s="317" t="s">
        <v>2985</v>
      </c>
      <c r="BN517" s="307">
        <v>60</v>
      </c>
      <c r="BO517" s="332" t="s">
        <v>2985</v>
      </c>
      <c r="BP517" s="320" t="s">
        <v>3329</v>
      </c>
      <c r="BQ517" s="348"/>
      <c r="BR517" s="307"/>
      <c r="BS517" s="320"/>
      <c r="BT517" s="321"/>
      <c r="CO517" s="322"/>
      <c r="CP517" s="322"/>
      <c r="CQ517" s="322"/>
      <c r="CR517" s="322"/>
    </row>
    <row r="518" spans="1:96">
      <c r="A518" s="458">
        <v>2026</v>
      </c>
      <c r="B518" s="533" t="s">
        <v>3614</v>
      </c>
      <c r="C518" s="383"/>
      <c r="D518" s="383"/>
      <c r="E518" s="469"/>
      <c r="F518" s="303" t="s">
        <v>3123</v>
      </c>
      <c r="G518" s="386" t="s">
        <v>425</v>
      </c>
      <c r="H518" s="303" t="s">
        <v>3290</v>
      </c>
      <c r="I518" s="697" t="s">
        <v>3379</v>
      </c>
      <c r="J518" s="307">
        <v>1993</v>
      </c>
      <c r="K518" s="304">
        <v>9</v>
      </c>
      <c r="L518" s="303" t="s">
        <v>1738</v>
      </c>
      <c r="M518" s="304" t="s">
        <v>1751</v>
      </c>
      <c r="N518" s="475">
        <v>0.43</v>
      </c>
      <c r="O518" s="309">
        <f t="shared" si="103"/>
        <v>0.38144329896907214</v>
      </c>
      <c r="P518" s="310">
        <f t="shared" si="104"/>
        <v>3.645360824742268</v>
      </c>
      <c r="Q518" s="329">
        <v>3.645360824742268</v>
      </c>
      <c r="R518" s="312">
        <v>185</v>
      </c>
      <c r="S518" s="307">
        <v>485</v>
      </c>
      <c r="T518" s="377">
        <f t="shared" si="105"/>
        <v>485</v>
      </c>
      <c r="U518" s="377">
        <f t="shared" si="106"/>
        <v>1768</v>
      </c>
      <c r="V518" s="307">
        <v>1180</v>
      </c>
      <c r="W518" s="307">
        <v>588</v>
      </c>
      <c r="X518" s="313" t="s">
        <v>3449</v>
      </c>
      <c r="Y518" s="314" t="s">
        <v>2985</v>
      </c>
      <c r="Z518" s="317" t="s">
        <v>2985</v>
      </c>
      <c r="AA518" s="315" t="s">
        <v>1754</v>
      </c>
      <c r="AB518" s="304" t="s">
        <v>1754</v>
      </c>
      <c r="AC518" s="303" t="s">
        <v>3348</v>
      </c>
      <c r="AD518" s="307" t="s">
        <v>3348</v>
      </c>
      <c r="AE518" s="317" t="s">
        <v>2985</v>
      </c>
      <c r="AF518" s="315" t="s">
        <v>3348</v>
      </c>
      <c r="AG518" s="443">
        <v>2.6</v>
      </c>
      <c r="AH518" s="313">
        <v>100</v>
      </c>
      <c r="AI518" s="307">
        <v>0</v>
      </c>
      <c r="AJ518" s="315">
        <v>0</v>
      </c>
      <c r="AK518" s="315">
        <v>0</v>
      </c>
      <c r="AL518" s="315">
        <v>0</v>
      </c>
      <c r="AM518" s="315">
        <v>0</v>
      </c>
      <c r="AN518" s="307">
        <v>0</v>
      </c>
      <c r="AO518" s="307">
        <v>0</v>
      </c>
      <c r="AP518" s="307">
        <v>0</v>
      </c>
      <c r="AQ518" s="307">
        <v>0</v>
      </c>
      <c r="AR518" s="307">
        <v>0</v>
      </c>
      <c r="AS518" s="307">
        <v>0</v>
      </c>
      <c r="AT518" s="307">
        <v>0</v>
      </c>
      <c r="AU518" s="307">
        <v>0</v>
      </c>
      <c r="AV518" s="307">
        <v>0</v>
      </c>
      <c r="AW518" s="307">
        <v>0</v>
      </c>
      <c r="AX518" s="304">
        <v>0</v>
      </c>
      <c r="AY518" s="303">
        <v>65</v>
      </c>
      <c r="AZ518" s="311"/>
      <c r="BA518" s="307">
        <v>25</v>
      </c>
      <c r="BB518" s="94" t="s">
        <v>2985</v>
      </c>
      <c r="BC518" s="426">
        <v>41</v>
      </c>
      <c r="BD518" s="307" t="s">
        <v>3520</v>
      </c>
      <c r="BE518" s="312">
        <v>100</v>
      </c>
      <c r="BF518" s="307" t="s">
        <v>246</v>
      </c>
      <c r="BG518" s="307">
        <v>200</v>
      </c>
      <c r="BH518" s="426">
        <v>25</v>
      </c>
      <c r="BI518" s="330" t="s">
        <v>2985</v>
      </c>
      <c r="BJ518" s="307">
        <v>28</v>
      </c>
      <c r="BK518" s="317" t="s">
        <v>2985</v>
      </c>
      <c r="BL518" s="307">
        <v>23</v>
      </c>
      <c r="BM518" s="317" t="s">
        <v>2985</v>
      </c>
      <c r="BN518" s="307">
        <v>60</v>
      </c>
      <c r="BO518" s="332" t="s">
        <v>2985</v>
      </c>
      <c r="BP518" s="320" t="s">
        <v>3329</v>
      </c>
      <c r="BQ518" s="348"/>
      <c r="BR518" s="307"/>
      <c r="BS518" s="320"/>
      <c r="BT518" s="321"/>
      <c r="CO518" s="322"/>
      <c r="CP518" s="322"/>
      <c r="CQ518" s="322"/>
      <c r="CR518" s="322"/>
    </row>
    <row r="519" spans="1:96">
      <c r="A519" s="458">
        <v>2028</v>
      </c>
      <c r="B519" s="533" t="s">
        <v>3614</v>
      </c>
      <c r="C519" s="466" t="s">
        <v>3590</v>
      </c>
      <c r="D519" s="383"/>
      <c r="E519" s="470" t="s">
        <v>3590</v>
      </c>
      <c r="F519" s="303" t="s">
        <v>3125</v>
      </c>
      <c r="G519" s="386" t="s">
        <v>425</v>
      </c>
      <c r="H519" s="303" t="s">
        <v>3290</v>
      </c>
      <c r="I519" s="697" t="s">
        <v>3379</v>
      </c>
      <c r="J519" s="307">
        <v>1993</v>
      </c>
      <c r="K519" s="304">
        <v>9</v>
      </c>
      <c r="L519" s="303" t="s">
        <v>1738</v>
      </c>
      <c r="M519" s="304" t="s">
        <v>1751</v>
      </c>
      <c r="N519" s="475">
        <v>0.42572062084257206</v>
      </c>
      <c r="O519" s="309">
        <f t="shared" si="103"/>
        <v>0.42572062084257206</v>
      </c>
      <c r="P519" s="310">
        <f t="shared" si="104"/>
        <v>3.8980044345898004</v>
      </c>
      <c r="Q519" s="329">
        <v>3.8980044345898004</v>
      </c>
      <c r="R519" s="312">
        <v>192</v>
      </c>
      <c r="S519" s="307">
        <v>451</v>
      </c>
      <c r="T519" s="377">
        <f t="shared" si="105"/>
        <v>451</v>
      </c>
      <c r="U519" s="377">
        <f t="shared" si="106"/>
        <v>1758</v>
      </c>
      <c r="V519" s="307">
        <v>1163</v>
      </c>
      <c r="W519" s="307">
        <v>595</v>
      </c>
      <c r="X519" s="313" t="s">
        <v>3449</v>
      </c>
      <c r="Y519" s="314" t="s">
        <v>2985</v>
      </c>
      <c r="Z519" s="317" t="s">
        <v>2985</v>
      </c>
      <c r="AA519" s="315" t="s">
        <v>1754</v>
      </c>
      <c r="AB519" s="304" t="s">
        <v>1754</v>
      </c>
      <c r="AC519" s="303" t="s">
        <v>2312</v>
      </c>
      <c r="AD519" s="506" t="s">
        <v>2312</v>
      </c>
      <c r="AE519" s="317" t="s">
        <v>2985</v>
      </c>
      <c r="AF519" s="315" t="s">
        <v>2312</v>
      </c>
      <c r="AG519" s="443">
        <v>2.67</v>
      </c>
      <c r="AH519" s="313">
        <v>100</v>
      </c>
      <c r="AI519" s="307">
        <v>0</v>
      </c>
      <c r="AJ519" s="315">
        <v>0</v>
      </c>
      <c r="AK519" s="315">
        <v>0</v>
      </c>
      <c r="AL519" s="315">
        <v>0</v>
      </c>
      <c r="AM519" s="315">
        <v>0</v>
      </c>
      <c r="AN519" s="307">
        <v>0</v>
      </c>
      <c r="AO519" s="307">
        <v>0</v>
      </c>
      <c r="AP519" s="307">
        <v>0</v>
      </c>
      <c r="AQ519" s="307">
        <v>0</v>
      </c>
      <c r="AR519" s="307">
        <v>0</v>
      </c>
      <c r="AS519" s="307">
        <v>0</v>
      </c>
      <c r="AT519" s="307">
        <v>0</v>
      </c>
      <c r="AU519" s="307">
        <v>0</v>
      </c>
      <c r="AV519" s="307">
        <v>0</v>
      </c>
      <c r="AW519" s="307">
        <v>0</v>
      </c>
      <c r="AX519" s="304">
        <v>0</v>
      </c>
      <c r="AY519" s="303">
        <v>60</v>
      </c>
      <c r="AZ519" s="311"/>
      <c r="BA519" s="307">
        <v>85</v>
      </c>
      <c r="BB519" s="94" t="s">
        <v>2985</v>
      </c>
      <c r="BC519" s="426">
        <v>32</v>
      </c>
      <c r="BD519" s="307" t="s">
        <v>3520</v>
      </c>
      <c r="BE519" s="312">
        <v>100</v>
      </c>
      <c r="BF519" s="307" t="s">
        <v>246</v>
      </c>
      <c r="BG519" s="307">
        <v>200</v>
      </c>
      <c r="BH519" s="426">
        <v>25</v>
      </c>
      <c r="BI519" s="330" t="s">
        <v>2985</v>
      </c>
      <c r="BJ519" s="307">
        <v>28</v>
      </c>
      <c r="BK519" s="317" t="s">
        <v>2985</v>
      </c>
      <c r="BL519" s="307">
        <v>23</v>
      </c>
      <c r="BM519" s="317" t="s">
        <v>2985</v>
      </c>
      <c r="BN519" s="307">
        <v>60</v>
      </c>
      <c r="BO519" s="332" t="s">
        <v>2985</v>
      </c>
      <c r="BP519" s="320" t="s">
        <v>3329</v>
      </c>
      <c r="BQ519" s="348"/>
      <c r="BR519" s="307"/>
      <c r="BS519" s="320"/>
      <c r="BT519" s="321"/>
      <c r="CO519" s="322"/>
      <c r="CP519" s="322"/>
      <c r="CQ519" s="322"/>
      <c r="CR519" s="322"/>
    </row>
    <row r="520" spans="1:96">
      <c r="A520" s="458">
        <v>2032</v>
      </c>
      <c r="B520" s="533" t="s">
        <v>3614</v>
      </c>
      <c r="C520" s="466" t="s">
        <v>3590</v>
      </c>
      <c r="D520" s="383"/>
      <c r="E520" s="470"/>
      <c r="F520" s="303" t="s">
        <v>3129</v>
      </c>
      <c r="G520" s="386" t="s">
        <v>425</v>
      </c>
      <c r="H520" s="303" t="s">
        <v>3290</v>
      </c>
      <c r="I520" s="697" t="s">
        <v>3379</v>
      </c>
      <c r="J520" s="307">
        <v>1993</v>
      </c>
      <c r="K520" s="304">
        <v>9</v>
      </c>
      <c r="L520" s="303" t="s">
        <v>1738</v>
      </c>
      <c r="M520" s="304" t="s">
        <v>1751</v>
      </c>
      <c r="N520" s="475">
        <v>0.42553191489361702</v>
      </c>
      <c r="O520" s="309">
        <f t="shared" si="103"/>
        <v>0.42553191489361702</v>
      </c>
      <c r="P520" s="310">
        <f t="shared" si="104"/>
        <v>3.6510638297872342</v>
      </c>
      <c r="Q520" s="329">
        <v>3.6510638297872342</v>
      </c>
      <c r="R520" s="312">
        <v>200</v>
      </c>
      <c r="S520" s="307">
        <v>470</v>
      </c>
      <c r="T520" s="377">
        <f t="shared" si="105"/>
        <v>470</v>
      </c>
      <c r="U520" s="377">
        <f t="shared" si="106"/>
        <v>1716</v>
      </c>
      <c r="V520" s="307">
        <v>1090</v>
      </c>
      <c r="W520" s="307">
        <v>626</v>
      </c>
      <c r="X520" s="313" t="s">
        <v>3449</v>
      </c>
      <c r="Y520" s="314" t="s">
        <v>2985</v>
      </c>
      <c r="Z520" s="317" t="s">
        <v>2985</v>
      </c>
      <c r="AA520" s="315" t="s">
        <v>1754</v>
      </c>
      <c r="AB520" s="304" t="s">
        <v>1754</v>
      </c>
      <c r="AC520" s="303" t="s">
        <v>2320</v>
      </c>
      <c r="AD520" s="307" t="s">
        <v>2320</v>
      </c>
      <c r="AE520" s="317" t="s">
        <v>2985</v>
      </c>
      <c r="AF520" s="315" t="s">
        <v>3349</v>
      </c>
      <c r="AG520" s="443">
        <v>2.64</v>
      </c>
      <c r="AH520" s="313">
        <v>100</v>
      </c>
      <c r="AI520" s="307">
        <v>0</v>
      </c>
      <c r="AJ520" s="315">
        <v>0</v>
      </c>
      <c r="AK520" s="315">
        <v>0</v>
      </c>
      <c r="AL520" s="315">
        <v>0</v>
      </c>
      <c r="AM520" s="315">
        <v>0</v>
      </c>
      <c r="AN520" s="307">
        <v>0</v>
      </c>
      <c r="AO520" s="307">
        <v>0</v>
      </c>
      <c r="AP520" s="307">
        <v>0</v>
      </c>
      <c r="AQ520" s="307">
        <v>0</v>
      </c>
      <c r="AR520" s="307">
        <v>0</v>
      </c>
      <c r="AS520" s="307">
        <v>0</v>
      </c>
      <c r="AT520" s="307">
        <v>0</v>
      </c>
      <c r="AU520" s="307">
        <v>0</v>
      </c>
      <c r="AV520" s="307">
        <v>0</v>
      </c>
      <c r="AW520" s="307">
        <v>0</v>
      </c>
      <c r="AX520" s="304">
        <v>0</v>
      </c>
      <c r="AY520" s="303">
        <v>63</v>
      </c>
      <c r="AZ520" s="311"/>
      <c r="BA520" s="307">
        <v>50</v>
      </c>
      <c r="BB520" s="94" t="s">
        <v>2985</v>
      </c>
      <c r="BC520" s="426">
        <v>32.5</v>
      </c>
      <c r="BD520" s="307" t="s">
        <v>3520</v>
      </c>
      <c r="BE520" s="312">
        <v>100</v>
      </c>
      <c r="BF520" s="307" t="s">
        <v>246</v>
      </c>
      <c r="BG520" s="307">
        <v>200</v>
      </c>
      <c r="BH520" s="426">
        <v>25</v>
      </c>
      <c r="BI520" s="330" t="s">
        <v>2985</v>
      </c>
      <c r="BJ520" s="307">
        <v>28</v>
      </c>
      <c r="BK520" s="317" t="s">
        <v>2985</v>
      </c>
      <c r="BL520" s="307">
        <v>23</v>
      </c>
      <c r="BM520" s="317" t="s">
        <v>2985</v>
      </c>
      <c r="BN520" s="307">
        <v>60</v>
      </c>
      <c r="BO520" s="332" t="s">
        <v>2985</v>
      </c>
      <c r="BP520" s="320" t="s">
        <v>3329</v>
      </c>
      <c r="BQ520" s="348"/>
      <c r="BR520" s="307"/>
      <c r="BS520" s="320"/>
      <c r="BT520" s="321"/>
      <c r="CO520" s="322"/>
      <c r="CP520" s="322"/>
      <c r="CQ520" s="322"/>
      <c r="CR520" s="322"/>
    </row>
    <row r="521" spans="1:96">
      <c r="A521" s="458">
        <v>2040</v>
      </c>
      <c r="B521" s="534" t="s">
        <v>3603</v>
      </c>
      <c r="C521" s="466" t="s">
        <v>3590</v>
      </c>
      <c r="D521" s="466" t="s">
        <v>3590</v>
      </c>
      <c r="E521" s="469"/>
      <c r="F521" s="303" t="s">
        <v>3137</v>
      </c>
      <c r="G521" s="386" t="s">
        <v>3299</v>
      </c>
      <c r="H521" s="303" t="s">
        <v>3290</v>
      </c>
      <c r="I521" s="697" t="s">
        <v>3379</v>
      </c>
      <c r="J521" s="307">
        <v>2000</v>
      </c>
      <c r="K521" s="304">
        <v>10</v>
      </c>
      <c r="L521" s="303" t="s">
        <v>1738</v>
      </c>
      <c r="M521" s="304" t="s">
        <v>1751</v>
      </c>
      <c r="N521" s="450">
        <v>0.3</v>
      </c>
      <c r="O521" s="309">
        <f t="shared" si="103"/>
        <v>0.3</v>
      </c>
      <c r="P521" s="310">
        <f t="shared" si="104"/>
        <v>2.1842857142857142</v>
      </c>
      <c r="Q521" s="329">
        <v>2.1842857142857142</v>
      </c>
      <c r="R521" s="312">
        <v>210</v>
      </c>
      <c r="S521" s="307">
        <v>700</v>
      </c>
      <c r="T521" s="377">
        <f t="shared" si="105"/>
        <v>700</v>
      </c>
      <c r="U521" s="377">
        <f t="shared" si="106"/>
        <v>1529</v>
      </c>
      <c r="V521" s="307">
        <v>1175</v>
      </c>
      <c r="W521" s="307">
        <v>354</v>
      </c>
      <c r="X521" s="313" t="s">
        <v>3449</v>
      </c>
      <c r="Y521" s="314" t="s">
        <v>2985</v>
      </c>
      <c r="Z521" s="501" t="s">
        <v>3619</v>
      </c>
      <c r="AA521" s="315" t="s">
        <v>1754</v>
      </c>
      <c r="AB521" s="304" t="s">
        <v>1754</v>
      </c>
      <c r="AC521" s="162" t="s">
        <v>3346</v>
      </c>
      <c r="AD521" s="116" t="s">
        <v>3345</v>
      </c>
      <c r="AE521" s="317" t="s">
        <v>2985</v>
      </c>
      <c r="AF521" s="317" t="s">
        <v>2985</v>
      </c>
      <c r="AG521" s="262" t="s">
        <v>2985</v>
      </c>
      <c r="AH521" s="313">
        <v>100</v>
      </c>
      <c r="AI521" s="307">
        <v>0</v>
      </c>
      <c r="AJ521" s="315">
        <v>0</v>
      </c>
      <c r="AK521" s="315">
        <v>0</v>
      </c>
      <c r="AL521" s="315">
        <v>0</v>
      </c>
      <c r="AM521" s="315">
        <v>0</v>
      </c>
      <c r="AN521" s="307">
        <v>0</v>
      </c>
      <c r="AO521" s="307">
        <v>0</v>
      </c>
      <c r="AP521" s="307">
        <v>0</v>
      </c>
      <c r="AQ521" s="307">
        <v>0</v>
      </c>
      <c r="AR521" s="307">
        <v>0</v>
      </c>
      <c r="AS521" s="307">
        <v>0</v>
      </c>
      <c r="AT521" s="335">
        <v>5.7110222729868647E-2</v>
      </c>
      <c r="AU521" s="307">
        <v>0</v>
      </c>
      <c r="AV521" s="307">
        <v>0</v>
      </c>
      <c r="AW521" s="307">
        <v>0</v>
      </c>
      <c r="AX521" s="304">
        <v>0</v>
      </c>
      <c r="AY521" s="303">
        <v>60.9</v>
      </c>
      <c r="AZ521" s="311">
        <v>37.757999999999996</v>
      </c>
      <c r="BA521" s="307">
        <v>35</v>
      </c>
      <c r="BB521" s="94" t="s">
        <v>2985</v>
      </c>
      <c r="BC521" s="355" t="s">
        <v>2985</v>
      </c>
      <c r="BD521" s="307" t="s">
        <v>3520</v>
      </c>
      <c r="BE521" s="312">
        <v>100</v>
      </c>
      <c r="BF521" s="307" t="s">
        <v>246</v>
      </c>
      <c r="BG521" s="307">
        <v>200</v>
      </c>
      <c r="BH521" s="426">
        <v>25</v>
      </c>
      <c r="BI521" s="330" t="s">
        <v>2985</v>
      </c>
      <c r="BJ521" s="307">
        <v>14</v>
      </c>
      <c r="BK521" s="311">
        <v>22</v>
      </c>
      <c r="BL521" s="307">
        <v>22</v>
      </c>
      <c r="BM521" s="317" t="s">
        <v>2985</v>
      </c>
      <c r="BN521" s="307">
        <v>50</v>
      </c>
      <c r="BO521" s="332" t="s">
        <v>2985</v>
      </c>
      <c r="BP521" s="320" t="s">
        <v>3395</v>
      </c>
      <c r="BQ521" s="348"/>
      <c r="BR521" s="307"/>
      <c r="BS521" s="320"/>
      <c r="BT521" s="321"/>
      <c r="CO521" s="322"/>
      <c r="CP521" s="322"/>
      <c r="CQ521" s="322"/>
      <c r="CR521" s="322"/>
    </row>
    <row r="522" spans="1:96">
      <c r="A522" s="458">
        <v>2042</v>
      </c>
      <c r="B522" s="534" t="s">
        <v>3603</v>
      </c>
      <c r="C522" s="466" t="s">
        <v>3590</v>
      </c>
      <c r="D522" s="466" t="s">
        <v>3590</v>
      </c>
      <c r="E522" s="469"/>
      <c r="F522" s="303" t="s">
        <v>3139</v>
      </c>
      <c r="G522" s="386" t="s">
        <v>3299</v>
      </c>
      <c r="H522" s="303" t="s">
        <v>3290</v>
      </c>
      <c r="I522" s="697" t="s">
        <v>3379</v>
      </c>
      <c r="J522" s="307">
        <v>2000</v>
      </c>
      <c r="K522" s="304">
        <v>10</v>
      </c>
      <c r="L522" s="303" t="s">
        <v>1738</v>
      </c>
      <c r="M522" s="304" t="s">
        <v>1751</v>
      </c>
      <c r="N522" s="450">
        <v>0.2999985000075</v>
      </c>
      <c r="O522" s="309">
        <f t="shared" si="103"/>
        <v>0.33333333333333331</v>
      </c>
      <c r="P522" s="310">
        <f t="shared" si="104"/>
        <v>2.5966666666666667</v>
      </c>
      <c r="Q522" s="329">
        <v>2.336988315058425</v>
      </c>
      <c r="R522" s="312">
        <v>200</v>
      </c>
      <c r="S522" s="307">
        <v>600</v>
      </c>
      <c r="T522" s="377">
        <f t="shared" si="105"/>
        <v>666.67</v>
      </c>
      <c r="U522" s="377">
        <f t="shared" si="106"/>
        <v>1558</v>
      </c>
      <c r="V522" s="307">
        <v>1175</v>
      </c>
      <c r="W522" s="307">
        <v>383</v>
      </c>
      <c r="X522" s="313" t="s">
        <v>3449</v>
      </c>
      <c r="Y522" s="314" t="s">
        <v>2985</v>
      </c>
      <c r="Z522" s="501" t="s">
        <v>3618</v>
      </c>
      <c r="AA522" s="315" t="s">
        <v>3538</v>
      </c>
      <c r="AB522" s="304" t="s">
        <v>1754</v>
      </c>
      <c r="AC522" s="162" t="s">
        <v>3346</v>
      </c>
      <c r="AD522" s="116" t="s">
        <v>3345</v>
      </c>
      <c r="AE522" s="317" t="s">
        <v>2985</v>
      </c>
      <c r="AF522" s="317" t="s">
        <v>2985</v>
      </c>
      <c r="AG522" s="262" t="s">
        <v>2985</v>
      </c>
      <c r="AH522" s="313">
        <v>90</v>
      </c>
      <c r="AI522" s="312">
        <v>10</v>
      </c>
      <c r="AJ522" s="315">
        <v>0</v>
      </c>
      <c r="AK522" s="315">
        <v>0</v>
      </c>
      <c r="AL522" s="315">
        <v>0</v>
      </c>
      <c r="AM522" s="315">
        <v>0</v>
      </c>
      <c r="AN522" s="307">
        <v>0</v>
      </c>
      <c r="AO522" s="307">
        <v>0</v>
      </c>
      <c r="AP522" s="307">
        <v>0</v>
      </c>
      <c r="AQ522" s="307">
        <v>0</v>
      </c>
      <c r="AR522" s="307">
        <v>0</v>
      </c>
      <c r="AS522" s="307">
        <v>0</v>
      </c>
      <c r="AT522" s="335">
        <v>5.9963721948221332E-2</v>
      </c>
      <c r="AU522" s="307">
        <v>0</v>
      </c>
      <c r="AV522" s="307">
        <v>0</v>
      </c>
      <c r="AW522" s="307">
        <v>0</v>
      </c>
      <c r="AX522" s="304">
        <v>0</v>
      </c>
      <c r="AY522" s="303">
        <v>63.4</v>
      </c>
      <c r="AZ522" s="311">
        <v>39.308</v>
      </c>
      <c r="BA522" s="307">
        <v>40</v>
      </c>
      <c r="BB522" s="94" t="s">
        <v>2985</v>
      </c>
      <c r="BC522" s="355" t="s">
        <v>2985</v>
      </c>
      <c r="BD522" s="307" t="s">
        <v>3520</v>
      </c>
      <c r="BE522" s="312">
        <v>100</v>
      </c>
      <c r="BF522" s="307" t="s">
        <v>246</v>
      </c>
      <c r="BG522" s="307">
        <v>200</v>
      </c>
      <c r="BH522" s="426">
        <v>25</v>
      </c>
      <c r="BI522" s="330" t="s">
        <v>2985</v>
      </c>
      <c r="BJ522" s="307">
        <v>14</v>
      </c>
      <c r="BK522" s="311">
        <v>22</v>
      </c>
      <c r="BL522" s="307">
        <v>22</v>
      </c>
      <c r="BM522" s="317" t="s">
        <v>2985</v>
      </c>
      <c r="BN522" s="307">
        <v>50</v>
      </c>
      <c r="BO522" s="332" t="s">
        <v>2985</v>
      </c>
      <c r="BP522" s="320" t="s">
        <v>3395</v>
      </c>
      <c r="BQ522" s="348"/>
      <c r="BR522" s="307"/>
      <c r="BS522" s="320"/>
      <c r="BT522" s="321"/>
      <c r="CO522" s="322"/>
      <c r="CP522" s="322"/>
      <c r="CQ522" s="322"/>
      <c r="CR522" s="322"/>
    </row>
    <row r="523" spans="1:96">
      <c r="A523" s="458">
        <v>2043</v>
      </c>
      <c r="B523" s="534" t="s">
        <v>3603</v>
      </c>
      <c r="C523" s="466" t="s">
        <v>3590</v>
      </c>
      <c r="D523" s="466" t="s">
        <v>3590</v>
      </c>
      <c r="E523" s="469"/>
      <c r="F523" s="303" t="s">
        <v>3140</v>
      </c>
      <c r="G523" s="386" t="s">
        <v>3299</v>
      </c>
      <c r="H523" s="303" t="s">
        <v>3290</v>
      </c>
      <c r="I523" s="697" t="s">
        <v>3379</v>
      </c>
      <c r="J523" s="307">
        <v>2000</v>
      </c>
      <c r="K523" s="304">
        <v>10</v>
      </c>
      <c r="L523" s="303" t="s">
        <v>1738</v>
      </c>
      <c r="M523" s="304" t="s">
        <v>1751</v>
      </c>
      <c r="N523" s="450">
        <v>0.3</v>
      </c>
      <c r="O523" s="309">
        <f t="shared" si="103"/>
        <v>0.6</v>
      </c>
      <c r="P523" s="310">
        <f t="shared" si="104"/>
        <v>4.28</v>
      </c>
      <c r="Q523" s="329">
        <v>2.14</v>
      </c>
      <c r="R523" s="312">
        <v>210</v>
      </c>
      <c r="S523" s="307">
        <v>350</v>
      </c>
      <c r="T523" s="377">
        <f t="shared" si="105"/>
        <v>700</v>
      </c>
      <c r="U523" s="377">
        <f t="shared" si="106"/>
        <v>1498</v>
      </c>
      <c r="V523" s="307">
        <v>1175</v>
      </c>
      <c r="W523" s="307">
        <v>323</v>
      </c>
      <c r="X523" s="313" t="s">
        <v>3449</v>
      </c>
      <c r="Y523" s="314" t="s">
        <v>2985</v>
      </c>
      <c r="Z523" s="501" t="s">
        <v>3618</v>
      </c>
      <c r="AA523" s="315" t="s">
        <v>3524</v>
      </c>
      <c r="AB523" s="304" t="s">
        <v>1754</v>
      </c>
      <c r="AC523" s="162" t="s">
        <v>3346</v>
      </c>
      <c r="AD523" s="116" t="s">
        <v>3345</v>
      </c>
      <c r="AE523" s="317" t="s">
        <v>2985</v>
      </c>
      <c r="AF523" s="317" t="s">
        <v>2985</v>
      </c>
      <c r="AG523" s="262" t="s">
        <v>2985</v>
      </c>
      <c r="AH523" s="313">
        <v>50</v>
      </c>
      <c r="AI523" s="307">
        <v>0</v>
      </c>
      <c r="AJ523" s="315">
        <v>0</v>
      </c>
      <c r="AK523" s="315">
        <v>0</v>
      </c>
      <c r="AL523" s="315">
        <v>50</v>
      </c>
      <c r="AM523" s="315">
        <v>0</v>
      </c>
      <c r="AN523" s="307">
        <v>0</v>
      </c>
      <c r="AO523" s="307">
        <v>0</v>
      </c>
      <c r="AP523" s="307">
        <v>0</v>
      </c>
      <c r="AQ523" s="307">
        <v>0</v>
      </c>
      <c r="AR523" s="307">
        <v>0</v>
      </c>
      <c r="AS523" s="307">
        <v>0</v>
      </c>
      <c r="AT523" s="307">
        <v>0</v>
      </c>
      <c r="AU523" s="307">
        <v>0</v>
      </c>
      <c r="AV523" s="307">
        <v>0</v>
      </c>
      <c r="AW523" s="307">
        <v>0</v>
      </c>
      <c r="AX523" s="304">
        <v>0</v>
      </c>
      <c r="AY523" s="303">
        <v>65.7</v>
      </c>
      <c r="AZ523" s="311">
        <v>40.734000000000002</v>
      </c>
      <c r="BA523" s="307">
        <v>40</v>
      </c>
      <c r="BB523" s="94" t="s">
        <v>2985</v>
      </c>
      <c r="BC523" s="355" t="s">
        <v>2985</v>
      </c>
      <c r="BD523" s="307" t="s">
        <v>3520</v>
      </c>
      <c r="BE523" s="312">
        <v>100</v>
      </c>
      <c r="BF523" s="307" t="s">
        <v>246</v>
      </c>
      <c r="BG523" s="307">
        <v>200</v>
      </c>
      <c r="BH523" s="426">
        <v>25</v>
      </c>
      <c r="BI523" s="330" t="s">
        <v>2985</v>
      </c>
      <c r="BJ523" s="307">
        <v>14</v>
      </c>
      <c r="BK523" s="311">
        <v>22</v>
      </c>
      <c r="BL523" s="307">
        <v>22</v>
      </c>
      <c r="BM523" s="317" t="s">
        <v>2985</v>
      </c>
      <c r="BN523" s="307">
        <v>50</v>
      </c>
      <c r="BO523" s="332" t="s">
        <v>2985</v>
      </c>
      <c r="BP523" s="320" t="s">
        <v>273</v>
      </c>
      <c r="BQ523" s="348"/>
      <c r="BR523" s="307"/>
      <c r="BS523" s="320"/>
      <c r="BT523" s="321"/>
      <c r="CO523" s="322"/>
      <c r="CP523" s="322"/>
      <c r="CQ523" s="322"/>
      <c r="CR523" s="322"/>
    </row>
    <row r="524" spans="1:96">
      <c r="A524" s="458">
        <v>2049</v>
      </c>
      <c r="B524" s="535" t="s">
        <v>3620</v>
      </c>
      <c r="C524" s="383"/>
      <c r="D524" s="383"/>
      <c r="E524" s="470" t="s">
        <v>3590</v>
      </c>
      <c r="F524" s="303" t="s">
        <v>3146</v>
      </c>
      <c r="G524" s="386" t="s">
        <v>425</v>
      </c>
      <c r="H524" s="303" t="s">
        <v>3290</v>
      </c>
      <c r="I524" s="697" t="s">
        <v>3379</v>
      </c>
      <c r="J524" s="307">
        <v>1990</v>
      </c>
      <c r="K524" s="304">
        <v>12</v>
      </c>
      <c r="L524" s="303" t="s">
        <v>1738</v>
      </c>
      <c r="M524" s="304" t="s">
        <v>1751</v>
      </c>
      <c r="N524" s="475">
        <v>0.43429844097995546</v>
      </c>
      <c r="O524" s="309">
        <f t="shared" si="103"/>
        <v>0.43429844097995546</v>
      </c>
      <c r="P524" s="310">
        <f t="shared" si="104"/>
        <v>4.291759465478842</v>
      </c>
      <c r="Q524" s="329">
        <v>4.291759465478842</v>
      </c>
      <c r="R524" s="312">
        <v>195</v>
      </c>
      <c r="S524" s="307">
        <v>449</v>
      </c>
      <c r="T524" s="377">
        <f t="shared" si="105"/>
        <v>449</v>
      </c>
      <c r="U524" s="377">
        <f t="shared" si="106"/>
        <v>1927</v>
      </c>
      <c r="V524" s="307">
        <v>1240</v>
      </c>
      <c r="W524" s="307">
        <v>687</v>
      </c>
      <c r="X524" s="313" t="s">
        <v>3449</v>
      </c>
      <c r="Y524" s="314" t="s">
        <v>2985</v>
      </c>
      <c r="Z524" s="317" t="s">
        <v>2985</v>
      </c>
      <c r="AA524" s="315" t="s">
        <v>1754</v>
      </c>
      <c r="AB524" s="304" t="s">
        <v>1754</v>
      </c>
      <c r="AC524" s="303" t="s">
        <v>3346</v>
      </c>
      <c r="AD524" s="307" t="s">
        <v>3346</v>
      </c>
      <c r="AE524" s="317" t="s">
        <v>2985</v>
      </c>
      <c r="AF524" s="315" t="s">
        <v>3346</v>
      </c>
      <c r="AG524" s="443">
        <v>2.91</v>
      </c>
      <c r="AH524" s="313">
        <v>100</v>
      </c>
      <c r="AI524" s="307">
        <v>0</v>
      </c>
      <c r="AJ524" s="315">
        <v>0</v>
      </c>
      <c r="AK524" s="315">
        <v>0</v>
      </c>
      <c r="AL524" s="315">
        <v>0</v>
      </c>
      <c r="AM524" s="315">
        <v>0</v>
      </c>
      <c r="AN524" s="307">
        <v>0</v>
      </c>
      <c r="AO524" s="307">
        <v>0</v>
      </c>
      <c r="AP524" s="307">
        <v>0</v>
      </c>
      <c r="AQ524" s="307">
        <v>0</v>
      </c>
      <c r="AR524" s="307">
        <v>0</v>
      </c>
      <c r="AS524" s="307">
        <v>0</v>
      </c>
      <c r="AT524" s="307">
        <v>0</v>
      </c>
      <c r="AU524" s="307">
        <v>0</v>
      </c>
      <c r="AV524" s="307">
        <v>0</v>
      </c>
      <c r="AW524" s="307">
        <v>0</v>
      </c>
      <c r="AX524" s="304">
        <v>0</v>
      </c>
      <c r="AY524" s="303">
        <v>68</v>
      </c>
      <c r="AZ524" s="311"/>
      <c r="BA524" s="307">
        <v>70</v>
      </c>
      <c r="BB524" s="94" t="s">
        <v>2985</v>
      </c>
      <c r="BC524" s="426">
        <v>45</v>
      </c>
      <c r="BD524" s="307" t="s">
        <v>3520</v>
      </c>
      <c r="BE524" s="312">
        <v>100</v>
      </c>
      <c r="BF524" s="307" t="s">
        <v>246</v>
      </c>
      <c r="BG524" s="307">
        <v>200</v>
      </c>
      <c r="BH524" s="426">
        <v>25</v>
      </c>
      <c r="BI524" s="330" t="s">
        <v>2985</v>
      </c>
      <c r="BJ524" s="307">
        <v>28</v>
      </c>
      <c r="BK524" s="317" t="s">
        <v>2985</v>
      </c>
      <c r="BL524" s="307">
        <v>23</v>
      </c>
      <c r="BM524" s="317" t="s">
        <v>2985</v>
      </c>
      <c r="BN524" s="307">
        <v>60</v>
      </c>
      <c r="BO524" s="332" t="s">
        <v>2985</v>
      </c>
      <c r="BP524" s="320" t="s">
        <v>3329</v>
      </c>
      <c r="BQ524" s="348"/>
      <c r="BR524" s="307"/>
      <c r="BS524" s="320"/>
      <c r="BT524" s="321"/>
      <c r="CO524" s="322"/>
      <c r="CP524" s="322"/>
      <c r="CQ524" s="322"/>
      <c r="CR524" s="322"/>
    </row>
    <row r="525" spans="1:96">
      <c r="A525" s="458">
        <v>2051</v>
      </c>
      <c r="B525" s="535" t="s">
        <v>3620</v>
      </c>
      <c r="C525" s="466" t="s">
        <v>3590</v>
      </c>
      <c r="D525" s="383"/>
      <c r="E525" s="470" t="s">
        <v>3590</v>
      </c>
      <c r="F525" s="303" t="s">
        <v>3148</v>
      </c>
      <c r="G525" s="386" t="s">
        <v>425</v>
      </c>
      <c r="H525" s="303" t="s">
        <v>3290</v>
      </c>
      <c r="I525" s="697" t="s">
        <v>3379</v>
      </c>
      <c r="J525" s="307">
        <v>1990</v>
      </c>
      <c r="K525" s="304">
        <v>12</v>
      </c>
      <c r="L525" s="303" t="s">
        <v>1738</v>
      </c>
      <c r="M525" s="304" t="s">
        <v>1751</v>
      </c>
      <c r="N525" s="475">
        <v>0.43487394957983194</v>
      </c>
      <c r="O525" s="309">
        <f t="shared" si="103"/>
        <v>0.43487394957983194</v>
      </c>
      <c r="P525" s="310">
        <f t="shared" si="104"/>
        <v>3.8991596638655461</v>
      </c>
      <c r="Q525" s="329">
        <v>3.8991596638655461</v>
      </c>
      <c r="R525" s="312">
        <v>207</v>
      </c>
      <c r="S525" s="307">
        <v>476</v>
      </c>
      <c r="T525" s="377">
        <f t="shared" si="105"/>
        <v>476</v>
      </c>
      <c r="U525" s="377">
        <f t="shared" si="106"/>
        <v>1856</v>
      </c>
      <c r="V525" s="307">
        <v>1285</v>
      </c>
      <c r="W525" s="307">
        <v>571</v>
      </c>
      <c r="X525" s="313" t="s">
        <v>3449</v>
      </c>
      <c r="Y525" s="314" t="s">
        <v>2985</v>
      </c>
      <c r="Z525" s="317" t="s">
        <v>2985</v>
      </c>
      <c r="AA525" s="315" t="s">
        <v>1754</v>
      </c>
      <c r="AB525" s="304" t="s">
        <v>1754</v>
      </c>
      <c r="AC525" s="303" t="s">
        <v>3359</v>
      </c>
      <c r="AD525" s="307" t="s">
        <v>3345</v>
      </c>
      <c r="AE525" s="317" t="s">
        <v>2985</v>
      </c>
      <c r="AF525" s="315" t="s">
        <v>3345</v>
      </c>
      <c r="AG525" s="443">
        <v>3</v>
      </c>
      <c r="AH525" s="313">
        <v>100</v>
      </c>
      <c r="AI525" s="307">
        <v>0</v>
      </c>
      <c r="AJ525" s="315">
        <v>0</v>
      </c>
      <c r="AK525" s="315">
        <v>0</v>
      </c>
      <c r="AL525" s="315">
        <v>0</v>
      </c>
      <c r="AM525" s="315">
        <v>0</v>
      </c>
      <c r="AN525" s="307">
        <v>0</v>
      </c>
      <c r="AO525" s="307">
        <v>0</v>
      </c>
      <c r="AP525" s="307">
        <v>0</v>
      </c>
      <c r="AQ525" s="307">
        <v>0</v>
      </c>
      <c r="AR525" s="307">
        <v>0</v>
      </c>
      <c r="AS525" s="307">
        <v>0</v>
      </c>
      <c r="AT525" s="307">
        <v>0</v>
      </c>
      <c r="AU525" s="307">
        <v>0</v>
      </c>
      <c r="AV525" s="307">
        <v>0</v>
      </c>
      <c r="AW525" s="307">
        <v>0</v>
      </c>
      <c r="AX525" s="304">
        <v>0</v>
      </c>
      <c r="AY525" s="303">
        <v>63</v>
      </c>
      <c r="AZ525" s="311"/>
      <c r="BA525" s="307">
        <v>30</v>
      </c>
      <c r="BB525" s="94" t="s">
        <v>2985</v>
      </c>
      <c r="BC525" s="426">
        <v>36.5</v>
      </c>
      <c r="BD525" s="307" t="s">
        <v>3520</v>
      </c>
      <c r="BE525" s="312">
        <v>100</v>
      </c>
      <c r="BF525" s="307" t="s">
        <v>246</v>
      </c>
      <c r="BG525" s="307">
        <v>200</v>
      </c>
      <c r="BH525" s="426">
        <v>25</v>
      </c>
      <c r="BI525" s="330" t="s">
        <v>2985</v>
      </c>
      <c r="BJ525" s="307">
        <v>28</v>
      </c>
      <c r="BK525" s="317" t="s">
        <v>2985</v>
      </c>
      <c r="BL525" s="307">
        <v>23</v>
      </c>
      <c r="BM525" s="317" t="s">
        <v>2985</v>
      </c>
      <c r="BN525" s="307">
        <v>60</v>
      </c>
      <c r="BO525" s="332" t="s">
        <v>2985</v>
      </c>
      <c r="BP525" s="320" t="s">
        <v>3329</v>
      </c>
      <c r="BQ525" s="348"/>
      <c r="BR525" s="307"/>
      <c r="BS525" s="320"/>
      <c r="BT525" s="321"/>
      <c r="CO525" s="322"/>
      <c r="CP525" s="322"/>
      <c r="CQ525" s="322"/>
      <c r="CR525" s="322"/>
    </row>
    <row r="526" spans="1:96">
      <c r="A526" s="458">
        <v>2053</v>
      </c>
      <c r="B526" s="535" t="s">
        <v>3620</v>
      </c>
      <c r="C526" s="466" t="s">
        <v>3590</v>
      </c>
      <c r="D526" s="383"/>
      <c r="E526" s="469"/>
      <c r="F526" s="303" t="s">
        <v>3150</v>
      </c>
      <c r="G526" s="386" t="s">
        <v>425</v>
      </c>
      <c r="H526" s="303" t="s">
        <v>3290</v>
      </c>
      <c r="I526" s="697" t="s">
        <v>3379</v>
      </c>
      <c r="J526" s="307">
        <v>1990</v>
      </c>
      <c r="K526" s="304">
        <v>12</v>
      </c>
      <c r="L526" s="303" t="s">
        <v>1738</v>
      </c>
      <c r="M526" s="304" t="s">
        <v>1751</v>
      </c>
      <c r="N526" s="475">
        <v>0.44387755102040816</v>
      </c>
      <c r="O526" s="309">
        <f t="shared" si="103"/>
        <v>0.44387755102040816</v>
      </c>
      <c r="P526" s="310">
        <f t="shared" si="104"/>
        <v>5.204081632653061</v>
      </c>
      <c r="Q526" s="329">
        <v>5.204081632653061</v>
      </c>
      <c r="R526" s="312">
        <v>174</v>
      </c>
      <c r="S526" s="307">
        <v>392</v>
      </c>
      <c r="T526" s="377">
        <f t="shared" si="105"/>
        <v>392</v>
      </c>
      <c r="U526" s="377">
        <f t="shared" si="106"/>
        <v>2040</v>
      </c>
      <c r="V526" s="307">
        <v>1250</v>
      </c>
      <c r="W526" s="307">
        <v>790</v>
      </c>
      <c r="X526" s="313" t="s">
        <v>3449</v>
      </c>
      <c r="Y526" s="314" t="s">
        <v>2985</v>
      </c>
      <c r="Z526" s="317" t="s">
        <v>2985</v>
      </c>
      <c r="AA526" s="315" t="s">
        <v>1754</v>
      </c>
      <c r="AB526" s="304" t="s">
        <v>1754</v>
      </c>
      <c r="AC526" s="303" t="s">
        <v>3360</v>
      </c>
      <c r="AD526" s="307" t="s">
        <v>3345</v>
      </c>
      <c r="AE526" s="317" t="s">
        <v>2985</v>
      </c>
      <c r="AF526" s="315" t="s">
        <v>3345</v>
      </c>
      <c r="AG526" s="443">
        <v>2.97</v>
      </c>
      <c r="AH526" s="313">
        <v>100</v>
      </c>
      <c r="AI526" s="307">
        <v>0</v>
      </c>
      <c r="AJ526" s="315">
        <v>0</v>
      </c>
      <c r="AK526" s="315">
        <v>0</v>
      </c>
      <c r="AL526" s="315">
        <v>0</v>
      </c>
      <c r="AM526" s="315">
        <v>0</v>
      </c>
      <c r="AN526" s="307">
        <v>0</v>
      </c>
      <c r="AO526" s="307">
        <v>0</v>
      </c>
      <c r="AP526" s="307">
        <v>0</v>
      </c>
      <c r="AQ526" s="307">
        <v>0</v>
      </c>
      <c r="AR526" s="307">
        <v>0</v>
      </c>
      <c r="AS526" s="307">
        <v>0</v>
      </c>
      <c r="AT526" s="307">
        <v>0</v>
      </c>
      <c r="AU526" s="307">
        <v>0</v>
      </c>
      <c r="AV526" s="307">
        <v>0</v>
      </c>
      <c r="AW526" s="307">
        <v>0</v>
      </c>
      <c r="AX526" s="304">
        <v>0</v>
      </c>
      <c r="AY526" s="303">
        <v>68</v>
      </c>
      <c r="AZ526" s="311"/>
      <c r="BA526" s="317" t="s">
        <v>2985</v>
      </c>
      <c r="BB526" s="507" t="s">
        <v>2985</v>
      </c>
      <c r="BC526" s="426">
        <v>45.5</v>
      </c>
      <c r="BD526" s="307" t="s">
        <v>3520</v>
      </c>
      <c r="BE526" s="312">
        <v>100</v>
      </c>
      <c r="BF526" s="307" t="s">
        <v>246</v>
      </c>
      <c r="BG526" s="307">
        <v>200</v>
      </c>
      <c r="BH526" s="426">
        <v>25</v>
      </c>
      <c r="BI526" s="330" t="s">
        <v>2985</v>
      </c>
      <c r="BJ526" s="307">
        <v>28</v>
      </c>
      <c r="BK526" s="317" t="s">
        <v>2985</v>
      </c>
      <c r="BL526" s="307">
        <v>23</v>
      </c>
      <c r="BM526" s="317" t="s">
        <v>2985</v>
      </c>
      <c r="BN526" s="307">
        <v>60</v>
      </c>
      <c r="BO526" s="332" t="s">
        <v>2985</v>
      </c>
      <c r="BP526" s="320" t="s">
        <v>3329</v>
      </c>
      <c r="BQ526" s="348"/>
      <c r="BR526" s="307"/>
      <c r="BS526" s="320"/>
      <c r="BT526" s="321"/>
      <c r="CO526" s="322"/>
      <c r="CP526" s="322"/>
      <c r="CQ526" s="322"/>
      <c r="CR526" s="322"/>
    </row>
    <row r="527" spans="1:96">
      <c r="A527" s="458">
        <v>2055</v>
      </c>
      <c r="B527" s="535" t="s">
        <v>3620</v>
      </c>
      <c r="C527" s="383"/>
      <c r="D527" s="383"/>
      <c r="E527" s="470" t="s">
        <v>3590</v>
      </c>
      <c r="F527" s="303" t="s">
        <v>3152</v>
      </c>
      <c r="G527" s="386" t="s">
        <v>425</v>
      </c>
      <c r="H527" s="303" t="s">
        <v>3290</v>
      </c>
      <c r="I527" s="697" t="s">
        <v>3379</v>
      </c>
      <c r="J527" s="307">
        <v>1990</v>
      </c>
      <c r="K527" s="304">
        <v>12</v>
      </c>
      <c r="L527" s="303" t="s">
        <v>1738</v>
      </c>
      <c r="M527" s="304" t="s">
        <v>1751</v>
      </c>
      <c r="N527" s="475">
        <v>0.42553191489361702</v>
      </c>
      <c r="O527" s="309">
        <f t="shared" si="103"/>
        <v>0.42553191489361702</v>
      </c>
      <c r="P527" s="310">
        <f t="shared" si="104"/>
        <v>4.6335697399527183</v>
      </c>
      <c r="Q527" s="329">
        <v>4.6335697399527183</v>
      </c>
      <c r="R527" s="312">
        <v>180</v>
      </c>
      <c r="S527" s="307">
        <v>423</v>
      </c>
      <c r="T527" s="377">
        <f t="shared" si="105"/>
        <v>423.00000000000006</v>
      </c>
      <c r="U527" s="377">
        <f t="shared" si="106"/>
        <v>1960</v>
      </c>
      <c r="V527" s="307">
        <v>1060</v>
      </c>
      <c r="W527" s="307">
        <v>900</v>
      </c>
      <c r="X527" s="313" t="s">
        <v>3449</v>
      </c>
      <c r="Y527" s="314" t="s">
        <v>2985</v>
      </c>
      <c r="Z527" s="317" t="s">
        <v>2985</v>
      </c>
      <c r="AA527" s="315" t="s">
        <v>1754</v>
      </c>
      <c r="AB527" s="304" t="s">
        <v>1754</v>
      </c>
      <c r="AC527" s="303" t="s">
        <v>2315</v>
      </c>
      <c r="AD527" s="307" t="s">
        <v>2315</v>
      </c>
      <c r="AE527" s="317" t="s">
        <v>2985</v>
      </c>
      <c r="AF527" s="315" t="s">
        <v>2315</v>
      </c>
      <c r="AG527" s="443">
        <v>2.86</v>
      </c>
      <c r="AH527" s="313">
        <v>100</v>
      </c>
      <c r="AI527" s="307">
        <v>0</v>
      </c>
      <c r="AJ527" s="315">
        <v>0</v>
      </c>
      <c r="AK527" s="315">
        <v>0</v>
      </c>
      <c r="AL527" s="315">
        <v>0</v>
      </c>
      <c r="AM527" s="315">
        <v>0</v>
      </c>
      <c r="AN527" s="307">
        <v>0</v>
      </c>
      <c r="AO527" s="307">
        <v>0</v>
      </c>
      <c r="AP527" s="307">
        <v>0</v>
      </c>
      <c r="AQ527" s="307">
        <v>0</v>
      </c>
      <c r="AR527" s="307">
        <v>0</v>
      </c>
      <c r="AS527" s="307">
        <v>0</v>
      </c>
      <c r="AT527" s="307">
        <v>0</v>
      </c>
      <c r="AU527" s="307">
        <v>0</v>
      </c>
      <c r="AV527" s="307">
        <v>0</v>
      </c>
      <c r="AW527" s="307">
        <v>0</v>
      </c>
      <c r="AX527" s="304">
        <v>0</v>
      </c>
      <c r="AY527" s="303">
        <v>61.5</v>
      </c>
      <c r="AZ527" s="311"/>
      <c r="BA527" s="307">
        <v>50</v>
      </c>
      <c r="BB527" s="507" t="s">
        <v>2985</v>
      </c>
      <c r="BC527" s="426">
        <v>51</v>
      </c>
      <c r="BD527" s="307" t="s">
        <v>3520</v>
      </c>
      <c r="BE527" s="312">
        <v>100</v>
      </c>
      <c r="BF527" s="307" t="s">
        <v>246</v>
      </c>
      <c r="BG527" s="307">
        <v>200</v>
      </c>
      <c r="BH527" s="426">
        <v>25</v>
      </c>
      <c r="BI527" s="330" t="s">
        <v>2985</v>
      </c>
      <c r="BJ527" s="307">
        <v>28</v>
      </c>
      <c r="BK527" s="317" t="s">
        <v>2985</v>
      </c>
      <c r="BL527" s="307">
        <v>23</v>
      </c>
      <c r="BM527" s="317" t="s">
        <v>2985</v>
      </c>
      <c r="BN527" s="307">
        <v>60</v>
      </c>
      <c r="BO527" s="332" t="s">
        <v>2985</v>
      </c>
      <c r="BP527" s="320" t="s">
        <v>3329</v>
      </c>
      <c r="BQ527" s="348"/>
      <c r="BR527" s="307"/>
      <c r="BS527" s="320"/>
      <c r="BT527" s="321"/>
      <c r="CO527" s="322"/>
      <c r="CP527" s="322"/>
      <c r="CQ527" s="322"/>
      <c r="CR527" s="322"/>
    </row>
    <row r="528" spans="1:96">
      <c r="A528" s="458">
        <v>2057</v>
      </c>
      <c r="B528" s="535" t="s">
        <v>3620</v>
      </c>
      <c r="C528" s="383"/>
      <c r="D528" s="383"/>
      <c r="E528" s="469"/>
      <c r="F528" s="303" t="s">
        <v>3154</v>
      </c>
      <c r="G528" s="386" t="s">
        <v>425</v>
      </c>
      <c r="H528" s="303" t="s">
        <v>3290</v>
      </c>
      <c r="I528" s="697" t="s">
        <v>3379</v>
      </c>
      <c r="J528" s="307">
        <v>1990</v>
      </c>
      <c r="K528" s="304">
        <v>12</v>
      </c>
      <c r="L528" s="303" t="s">
        <v>1738</v>
      </c>
      <c r="M528" s="304" t="s">
        <v>1751</v>
      </c>
      <c r="N528" s="450">
        <v>0.45454545454545453</v>
      </c>
      <c r="O528" s="309">
        <f t="shared" si="103"/>
        <v>0.45454545454545453</v>
      </c>
      <c r="P528" s="310">
        <f t="shared" si="104"/>
        <v>4.4545454545454541</v>
      </c>
      <c r="Q528" s="329">
        <v>4.4545454545454541</v>
      </c>
      <c r="R528" s="312">
        <v>185</v>
      </c>
      <c r="S528" s="307">
        <v>407</v>
      </c>
      <c r="T528" s="377">
        <f t="shared" si="105"/>
        <v>407.00000000000006</v>
      </c>
      <c r="U528" s="377">
        <f t="shared" si="106"/>
        <v>1813</v>
      </c>
      <c r="V528" s="307">
        <v>1140</v>
      </c>
      <c r="W528" s="307">
        <v>673</v>
      </c>
      <c r="X528" s="313" t="s">
        <v>3449</v>
      </c>
      <c r="Y528" s="314" t="s">
        <v>2985</v>
      </c>
      <c r="Z528" s="317" t="s">
        <v>2985</v>
      </c>
      <c r="AA528" s="315" t="s">
        <v>1754</v>
      </c>
      <c r="AB528" s="304" t="s">
        <v>1754</v>
      </c>
      <c r="AC528" s="303" t="s">
        <v>3361</v>
      </c>
      <c r="AD528" s="307" t="s">
        <v>3348</v>
      </c>
      <c r="AE528" s="317" t="s">
        <v>2985</v>
      </c>
      <c r="AF528" s="315" t="s">
        <v>3348</v>
      </c>
      <c r="AG528" s="443">
        <v>2.64</v>
      </c>
      <c r="AH528" s="313">
        <v>100</v>
      </c>
      <c r="AI528" s="307">
        <v>0</v>
      </c>
      <c r="AJ528" s="315">
        <v>0</v>
      </c>
      <c r="AK528" s="315">
        <v>0</v>
      </c>
      <c r="AL528" s="315">
        <v>0</v>
      </c>
      <c r="AM528" s="315">
        <v>0</v>
      </c>
      <c r="AN528" s="307">
        <v>0</v>
      </c>
      <c r="AO528" s="307">
        <v>0</v>
      </c>
      <c r="AP528" s="307">
        <v>0</v>
      </c>
      <c r="AQ528" s="307">
        <v>0</v>
      </c>
      <c r="AR528" s="307">
        <v>0</v>
      </c>
      <c r="AS528" s="307">
        <v>0</v>
      </c>
      <c r="AT528" s="307">
        <v>0</v>
      </c>
      <c r="AU528" s="307">
        <v>0</v>
      </c>
      <c r="AV528" s="307">
        <v>0</v>
      </c>
      <c r="AW528" s="307">
        <v>0</v>
      </c>
      <c r="AX528" s="304">
        <v>0</v>
      </c>
      <c r="AY528" s="303">
        <v>63</v>
      </c>
      <c r="AZ528" s="311"/>
      <c r="BA528" s="307">
        <v>60</v>
      </c>
      <c r="BB528" s="507" t="s">
        <v>2985</v>
      </c>
      <c r="BC528" s="426">
        <v>42</v>
      </c>
      <c r="BD528" s="307" t="s">
        <v>3520</v>
      </c>
      <c r="BE528" s="312">
        <v>100</v>
      </c>
      <c r="BF528" s="307" t="s">
        <v>246</v>
      </c>
      <c r="BG528" s="307">
        <v>200</v>
      </c>
      <c r="BH528" s="426">
        <v>25</v>
      </c>
      <c r="BI528" s="330" t="s">
        <v>2985</v>
      </c>
      <c r="BJ528" s="307">
        <v>28</v>
      </c>
      <c r="BK528" s="317" t="s">
        <v>2985</v>
      </c>
      <c r="BL528" s="307">
        <v>23</v>
      </c>
      <c r="BM528" s="317" t="s">
        <v>2985</v>
      </c>
      <c r="BN528" s="307">
        <v>60</v>
      </c>
      <c r="BO528" s="332" t="s">
        <v>2985</v>
      </c>
      <c r="BP528" s="320" t="s">
        <v>3329</v>
      </c>
      <c r="BQ528" s="348"/>
      <c r="BR528" s="307"/>
      <c r="BS528" s="320"/>
      <c r="BT528" s="321"/>
      <c r="CO528" s="322"/>
      <c r="CP528" s="322"/>
      <c r="CQ528" s="322"/>
      <c r="CR528" s="322"/>
    </row>
    <row r="529" spans="1:96">
      <c r="A529" s="458">
        <v>2059</v>
      </c>
      <c r="B529" s="528" t="s">
        <v>3604</v>
      </c>
      <c r="C529" s="466" t="s">
        <v>3590</v>
      </c>
      <c r="D529" s="383"/>
      <c r="E529" s="470" t="s">
        <v>3590</v>
      </c>
      <c r="F529" s="303" t="s">
        <v>3156</v>
      </c>
      <c r="G529" s="386" t="s">
        <v>425</v>
      </c>
      <c r="H529" s="303" t="s">
        <v>3290</v>
      </c>
      <c r="I529" s="697" t="s">
        <v>3379</v>
      </c>
      <c r="J529" s="307">
        <v>1990</v>
      </c>
      <c r="K529" s="304">
        <v>12</v>
      </c>
      <c r="L529" s="303" t="s">
        <v>1738</v>
      </c>
      <c r="M529" s="304" t="s">
        <v>1751</v>
      </c>
      <c r="N529" s="477">
        <v>0.38476190476190475</v>
      </c>
      <c r="O529" s="309">
        <f t="shared" si="103"/>
        <v>0.38476190476190475</v>
      </c>
      <c r="P529" s="310">
        <f t="shared" si="104"/>
        <v>3.1828571428571428</v>
      </c>
      <c r="Q529" s="329">
        <v>3.1828571428571428</v>
      </c>
      <c r="R529" s="312">
        <v>202</v>
      </c>
      <c r="S529" s="307">
        <v>525</v>
      </c>
      <c r="T529" s="377">
        <f t="shared" si="105"/>
        <v>525</v>
      </c>
      <c r="U529" s="377">
        <f t="shared" si="106"/>
        <v>1671</v>
      </c>
      <c r="V529" s="307">
        <v>1160</v>
      </c>
      <c r="W529" s="307">
        <v>511</v>
      </c>
      <c r="X529" s="313" t="s">
        <v>3449</v>
      </c>
      <c r="Y529" s="314" t="s">
        <v>2985</v>
      </c>
      <c r="Z529" s="311" t="s">
        <v>3618</v>
      </c>
      <c r="AA529" s="315" t="s">
        <v>1754</v>
      </c>
      <c r="AB529" s="304" t="s">
        <v>1754</v>
      </c>
      <c r="AC529" s="303" t="s">
        <v>2312</v>
      </c>
      <c r="AD529" s="506" t="s">
        <v>2312</v>
      </c>
      <c r="AE529" s="317" t="s">
        <v>2985</v>
      </c>
      <c r="AF529" s="315" t="s">
        <v>2312</v>
      </c>
      <c r="AG529" s="443">
        <v>2.65</v>
      </c>
      <c r="AH529" s="313">
        <v>100</v>
      </c>
      <c r="AI529" s="307">
        <v>0</v>
      </c>
      <c r="AJ529" s="315">
        <v>0</v>
      </c>
      <c r="AK529" s="315">
        <v>0</v>
      </c>
      <c r="AL529" s="315">
        <v>0</v>
      </c>
      <c r="AM529" s="315">
        <v>0</v>
      </c>
      <c r="AN529" s="307">
        <v>0</v>
      </c>
      <c r="AO529" s="307">
        <v>0</v>
      </c>
      <c r="AP529" s="307">
        <v>0</v>
      </c>
      <c r="AQ529" s="307">
        <v>0</v>
      </c>
      <c r="AR529" s="307">
        <v>0</v>
      </c>
      <c r="AS529" s="307">
        <v>0</v>
      </c>
      <c r="AT529" s="307">
        <v>0</v>
      </c>
      <c r="AU529" s="307">
        <v>0</v>
      </c>
      <c r="AV529" s="307">
        <v>0</v>
      </c>
      <c r="AW529" s="307">
        <v>0</v>
      </c>
      <c r="AX529" s="304">
        <v>0</v>
      </c>
      <c r="AY529" s="303">
        <v>65.5</v>
      </c>
      <c r="AZ529" s="311">
        <v>36.025000000000006</v>
      </c>
      <c r="BA529" s="307">
        <v>85</v>
      </c>
      <c r="BB529" s="507" t="s">
        <v>2985</v>
      </c>
      <c r="BC529" s="426">
        <v>32.5</v>
      </c>
      <c r="BD529" s="307" t="s">
        <v>3520</v>
      </c>
      <c r="BE529" s="312">
        <v>100</v>
      </c>
      <c r="BF529" s="307" t="s">
        <v>246</v>
      </c>
      <c r="BG529" s="307">
        <v>200</v>
      </c>
      <c r="BH529" s="426">
        <v>25</v>
      </c>
      <c r="BI529" s="330" t="s">
        <v>2985</v>
      </c>
      <c r="BJ529" s="307">
        <v>28</v>
      </c>
      <c r="BK529" s="311">
        <v>23</v>
      </c>
      <c r="BL529" s="307">
        <v>23</v>
      </c>
      <c r="BM529" s="317" t="s">
        <v>2985</v>
      </c>
      <c r="BN529" s="307">
        <v>60</v>
      </c>
      <c r="BO529" s="332" t="s">
        <v>2985</v>
      </c>
      <c r="BP529" s="320" t="s">
        <v>3329</v>
      </c>
      <c r="BQ529" s="348"/>
      <c r="BR529" s="307"/>
      <c r="BS529" s="320"/>
      <c r="BT529" s="321"/>
      <c r="CO529" s="322"/>
      <c r="CP529" s="322"/>
      <c r="CQ529" s="322"/>
      <c r="CR529" s="322"/>
    </row>
    <row r="530" spans="1:96">
      <c r="A530" s="458">
        <v>2061</v>
      </c>
      <c r="B530" s="535" t="s">
        <v>3616</v>
      </c>
      <c r="C530" s="466" t="s">
        <v>3590</v>
      </c>
      <c r="D530" s="383"/>
      <c r="E530" s="469"/>
      <c r="F530" s="303" t="s">
        <v>3158</v>
      </c>
      <c r="G530" s="386" t="s">
        <v>425</v>
      </c>
      <c r="H530" s="303" t="s">
        <v>3290</v>
      </c>
      <c r="I530" s="697" t="s">
        <v>3379</v>
      </c>
      <c r="J530" s="307">
        <v>1990</v>
      </c>
      <c r="K530" s="304">
        <v>12</v>
      </c>
      <c r="L530" s="303" t="s">
        <v>1738</v>
      </c>
      <c r="M530" s="304" t="s">
        <v>1751</v>
      </c>
      <c r="N530" s="477">
        <v>0.38349514563106796</v>
      </c>
      <c r="O530" s="309">
        <f t="shared" si="103"/>
        <v>0.38349514563106796</v>
      </c>
      <c r="P530" s="310">
        <f t="shared" si="104"/>
        <v>4.5509708737864081</v>
      </c>
      <c r="Q530" s="329">
        <v>4.5509708737864081</v>
      </c>
      <c r="R530" s="312">
        <v>158</v>
      </c>
      <c r="S530" s="307">
        <v>412</v>
      </c>
      <c r="T530" s="377">
        <f t="shared" si="105"/>
        <v>412</v>
      </c>
      <c r="U530" s="377">
        <f t="shared" si="106"/>
        <v>1875</v>
      </c>
      <c r="V530" s="307">
        <v>1260</v>
      </c>
      <c r="W530" s="307">
        <v>615</v>
      </c>
      <c r="X530" s="313" t="s">
        <v>3449</v>
      </c>
      <c r="Y530" s="314" t="s">
        <v>2985</v>
      </c>
      <c r="Z530" s="311" t="s">
        <v>3619</v>
      </c>
      <c r="AA530" s="315" t="s">
        <v>1754</v>
      </c>
      <c r="AB530" s="304" t="s">
        <v>1754</v>
      </c>
      <c r="AC530" s="303" t="s">
        <v>3354</v>
      </c>
      <c r="AD530" s="506" t="s">
        <v>2312</v>
      </c>
      <c r="AE530" s="317" t="s">
        <v>2985</v>
      </c>
      <c r="AF530" s="315" t="s">
        <v>2312</v>
      </c>
      <c r="AG530" s="443">
        <v>2.63</v>
      </c>
      <c r="AH530" s="313">
        <v>100</v>
      </c>
      <c r="AI530" s="307">
        <v>0</v>
      </c>
      <c r="AJ530" s="315">
        <v>0</v>
      </c>
      <c r="AK530" s="315">
        <v>0</v>
      </c>
      <c r="AL530" s="315">
        <v>0</v>
      </c>
      <c r="AM530" s="315">
        <v>0</v>
      </c>
      <c r="AN530" s="307">
        <v>0</v>
      </c>
      <c r="AO530" s="307">
        <v>0</v>
      </c>
      <c r="AP530" s="307">
        <v>0</v>
      </c>
      <c r="AQ530" s="307">
        <v>0</v>
      </c>
      <c r="AR530" s="307">
        <v>0</v>
      </c>
      <c r="AS530" s="307">
        <v>0</v>
      </c>
      <c r="AT530" s="307">
        <v>0</v>
      </c>
      <c r="AU530" s="307">
        <v>0</v>
      </c>
      <c r="AV530" s="307">
        <v>0</v>
      </c>
      <c r="AW530" s="307">
        <v>0</v>
      </c>
      <c r="AX530" s="304">
        <v>0</v>
      </c>
      <c r="AY530" s="303">
        <v>60.5</v>
      </c>
      <c r="AZ530" s="311">
        <v>33.275000000000006</v>
      </c>
      <c r="BA530" s="307">
        <v>75</v>
      </c>
      <c r="BB530" s="507" t="s">
        <v>2985</v>
      </c>
      <c r="BC530" s="426">
        <v>36</v>
      </c>
      <c r="BD530" s="307" t="s">
        <v>3520</v>
      </c>
      <c r="BE530" s="312">
        <v>100</v>
      </c>
      <c r="BF530" s="307" t="s">
        <v>246</v>
      </c>
      <c r="BG530" s="307">
        <v>200</v>
      </c>
      <c r="BH530" s="426">
        <v>25</v>
      </c>
      <c r="BI530" s="330" t="s">
        <v>2985</v>
      </c>
      <c r="BJ530" s="307">
        <v>28</v>
      </c>
      <c r="BK530" s="311">
        <v>23</v>
      </c>
      <c r="BL530" s="307">
        <v>23</v>
      </c>
      <c r="BM530" s="317" t="s">
        <v>2985</v>
      </c>
      <c r="BN530" s="307">
        <v>60</v>
      </c>
      <c r="BO530" s="332" t="s">
        <v>2985</v>
      </c>
      <c r="BP530" s="320" t="s">
        <v>3329</v>
      </c>
      <c r="BQ530" s="348"/>
      <c r="BR530" s="307"/>
      <c r="BS530" s="320"/>
      <c r="BT530" s="321"/>
      <c r="CO530" s="322"/>
      <c r="CP530" s="322"/>
      <c r="CQ530" s="322"/>
      <c r="CR530" s="322"/>
    </row>
    <row r="531" spans="1:96">
      <c r="A531" s="458">
        <v>2063</v>
      </c>
      <c r="B531" s="535" t="s">
        <v>3616</v>
      </c>
      <c r="C531" s="466" t="s">
        <v>3590</v>
      </c>
      <c r="D531" s="383"/>
      <c r="E531" s="469"/>
      <c r="F531" s="303" t="s">
        <v>3160</v>
      </c>
      <c r="G531" s="386" t="s">
        <v>425</v>
      </c>
      <c r="H531" s="303" t="s">
        <v>3290</v>
      </c>
      <c r="I531" s="697" t="s">
        <v>3379</v>
      </c>
      <c r="J531" s="307">
        <v>1990</v>
      </c>
      <c r="K531" s="304">
        <v>12</v>
      </c>
      <c r="L531" s="303" t="s">
        <v>1738</v>
      </c>
      <c r="M531" s="304" t="s">
        <v>1751</v>
      </c>
      <c r="N531" s="450">
        <v>0.42499999999999999</v>
      </c>
      <c r="O531" s="309">
        <f t="shared" ref="O531:O563" si="107">R531/S531</f>
        <v>0.42499999999999999</v>
      </c>
      <c r="P531" s="310">
        <f t="shared" ref="P531:P563" si="108">U531/S531</f>
        <v>4.7324999999999999</v>
      </c>
      <c r="Q531" s="329">
        <v>4.7324999999999999</v>
      </c>
      <c r="R531" s="312">
        <v>170</v>
      </c>
      <c r="S531" s="307">
        <v>400</v>
      </c>
      <c r="T531" s="377">
        <f t="shared" ref="T531:T562" si="109">U531/Q531</f>
        <v>400</v>
      </c>
      <c r="U531" s="377">
        <f t="shared" ref="U531:U562" si="110">V531+W531</f>
        <v>1893</v>
      </c>
      <c r="V531" s="307">
        <v>1245</v>
      </c>
      <c r="W531" s="307">
        <v>648</v>
      </c>
      <c r="X531" s="313" t="s">
        <v>3449</v>
      </c>
      <c r="Y531" s="314" t="s">
        <v>2985</v>
      </c>
      <c r="Z531" s="317" t="s">
        <v>2985</v>
      </c>
      <c r="AA531" s="315" t="s">
        <v>1754</v>
      </c>
      <c r="AB531" s="304" t="s">
        <v>1754</v>
      </c>
      <c r="AC531" s="303" t="s">
        <v>3362</v>
      </c>
      <c r="AD531" s="311" t="s">
        <v>3536</v>
      </c>
      <c r="AE531" s="317" t="s">
        <v>2985</v>
      </c>
      <c r="AF531" s="315" t="s">
        <v>3347</v>
      </c>
      <c r="AG531" s="443">
        <v>2.71</v>
      </c>
      <c r="AH531" s="313">
        <v>100</v>
      </c>
      <c r="AI531" s="307">
        <v>0</v>
      </c>
      <c r="AJ531" s="315">
        <v>0</v>
      </c>
      <c r="AK531" s="315">
        <v>0</v>
      </c>
      <c r="AL531" s="315">
        <v>0</v>
      </c>
      <c r="AM531" s="315">
        <v>0</v>
      </c>
      <c r="AN531" s="307">
        <v>0</v>
      </c>
      <c r="AO531" s="307">
        <v>0</v>
      </c>
      <c r="AP531" s="307">
        <v>0</v>
      </c>
      <c r="AQ531" s="307">
        <v>0</v>
      </c>
      <c r="AR531" s="307">
        <v>0</v>
      </c>
      <c r="AS531" s="307">
        <v>0</v>
      </c>
      <c r="AT531" s="307">
        <v>0</v>
      </c>
      <c r="AU531" s="307">
        <v>0</v>
      </c>
      <c r="AV531" s="307">
        <v>0</v>
      </c>
      <c r="AW531" s="307">
        <v>0</v>
      </c>
      <c r="AX531" s="304">
        <v>0</v>
      </c>
      <c r="AY531" s="303">
        <v>65.5</v>
      </c>
      <c r="AZ531" s="311"/>
      <c r="BA531" s="307">
        <v>70</v>
      </c>
      <c r="BB531" s="507" t="s">
        <v>2985</v>
      </c>
      <c r="BC531" s="426">
        <v>40.5</v>
      </c>
      <c r="BD531" s="307" t="s">
        <v>3520</v>
      </c>
      <c r="BE531" s="312">
        <v>100</v>
      </c>
      <c r="BF531" s="307" t="s">
        <v>246</v>
      </c>
      <c r="BG531" s="307">
        <v>200</v>
      </c>
      <c r="BH531" s="426">
        <v>25</v>
      </c>
      <c r="BI531" s="330" t="s">
        <v>2985</v>
      </c>
      <c r="BJ531" s="307">
        <v>28</v>
      </c>
      <c r="BK531" s="311">
        <v>23</v>
      </c>
      <c r="BL531" s="307">
        <v>23</v>
      </c>
      <c r="BM531" s="317" t="s">
        <v>2985</v>
      </c>
      <c r="BN531" s="307">
        <v>60</v>
      </c>
      <c r="BO531" s="332" t="s">
        <v>2985</v>
      </c>
      <c r="BP531" s="320" t="s">
        <v>3329</v>
      </c>
      <c r="BQ531" s="348"/>
      <c r="BR531" s="307"/>
      <c r="BS531" s="320"/>
      <c r="BT531" s="321"/>
      <c r="CO531" s="322"/>
      <c r="CP531" s="322"/>
      <c r="CQ531" s="322"/>
      <c r="CR531" s="322"/>
    </row>
    <row r="532" spans="1:96">
      <c r="A532" s="458">
        <v>2065</v>
      </c>
      <c r="B532" s="535" t="s">
        <v>3616</v>
      </c>
      <c r="C532" s="466" t="s">
        <v>3590</v>
      </c>
      <c r="D532" s="383"/>
      <c r="E532" s="469"/>
      <c r="F532" s="303" t="s">
        <v>3162</v>
      </c>
      <c r="G532" s="386" t="s">
        <v>425</v>
      </c>
      <c r="H532" s="303" t="s">
        <v>3290</v>
      </c>
      <c r="I532" s="697" t="s">
        <v>3379</v>
      </c>
      <c r="J532" s="307">
        <v>1990</v>
      </c>
      <c r="K532" s="304">
        <v>12</v>
      </c>
      <c r="L532" s="303" t="s">
        <v>1738</v>
      </c>
      <c r="M532" s="304" t="s">
        <v>1751</v>
      </c>
      <c r="N532" s="477">
        <v>0.35714285714285715</v>
      </c>
      <c r="O532" s="309">
        <f t="shared" si="107"/>
        <v>0.35714285714285715</v>
      </c>
      <c r="P532" s="310">
        <f t="shared" si="108"/>
        <v>3.0410714285714286</v>
      </c>
      <c r="Q532" s="329">
        <v>3.0410714285714286</v>
      </c>
      <c r="R532" s="312">
        <v>200</v>
      </c>
      <c r="S532" s="307">
        <v>560</v>
      </c>
      <c r="T532" s="377">
        <f t="shared" si="109"/>
        <v>560</v>
      </c>
      <c r="U532" s="377">
        <f t="shared" si="110"/>
        <v>1703</v>
      </c>
      <c r="V532" s="307">
        <v>1180</v>
      </c>
      <c r="W532" s="307">
        <v>523</v>
      </c>
      <c r="X532" s="313" t="s">
        <v>3449</v>
      </c>
      <c r="Y532" s="314" t="s">
        <v>2985</v>
      </c>
      <c r="Z532" s="501" t="s">
        <v>3618</v>
      </c>
      <c r="AA532" s="315" t="s">
        <v>1754</v>
      </c>
      <c r="AB532" s="304" t="s">
        <v>1754</v>
      </c>
      <c r="AC532" s="303" t="s">
        <v>3342</v>
      </c>
      <c r="AD532" s="307" t="s">
        <v>3535</v>
      </c>
      <c r="AE532" s="317" t="s">
        <v>2985</v>
      </c>
      <c r="AF532" s="315" t="s">
        <v>3342</v>
      </c>
      <c r="AG532" s="443">
        <v>2.74</v>
      </c>
      <c r="AH532" s="313">
        <v>100</v>
      </c>
      <c r="AI532" s="307">
        <v>0</v>
      </c>
      <c r="AJ532" s="315">
        <v>0</v>
      </c>
      <c r="AK532" s="315">
        <v>0</v>
      </c>
      <c r="AL532" s="315">
        <v>0</v>
      </c>
      <c r="AM532" s="315">
        <v>0</v>
      </c>
      <c r="AN532" s="307">
        <v>0</v>
      </c>
      <c r="AO532" s="307">
        <v>0</v>
      </c>
      <c r="AP532" s="307">
        <v>0</v>
      </c>
      <c r="AQ532" s="307">
        <v>0</v>
      </c>
      <c r="AR532" s="307">
        <v>0</v>
      </c>
      <c r="AS532" s="307">
        <v>0</v>
      </c>
      <c r="AT532" s="307">
        <v>0</v>
      </c>
      <c r="AU532" s="307">
        <v>0</v>
      </c>
      <c r="AV532" s="307">
        <v>0</v>
      </c>
      <c r="AW532" s="307">
        <v>0</v>
      </c>
      <c r="AX532" s="304">
        <v>0</v>
      </c>
      <c r="AY532" s="303">
        <v>66</v>
      </c>
      <c r="AZ532" s="311">
        <v>36.300000000000004</v>
      </c>
      <c r="BA532" s="307">
        <v>60</v>
      </c>
      <c r="BB532" s="94" t="s">
        <v>2985</v>
      </c>
      <c r="BC532" s="426">
        <v>37</v>
      </c>
      <c r="BD532" s="307" t="s">
        <v>3520</v>
      </c>
      <c r="BE532" s="312">
        <v>100</v>
      </c>
      <c r="BF532" s="307" t="s">
        <v>246</v>
      </c>
      <c r="BG532" s="307">
        <v>200</v>
      </c>
      <c r="BH532" s="426">
        <v>25</v>
      </c>
      <c r="BI532" s="330" t="s">
        <v>2985</v>
      </c>
      <c r="BJ532" s="307">
        <v>28</v>
      </c>
      <c r="BK532" s="311">
        <v>23</v>
      </c>
      <c r="BL532" s="307">
        <v>23</v>
      </c>
      <c r="BM532" s="317" t="s">
        <v>2985</v>
      </c>
      <c r="BN532" s="307">
        <v>60</v>
      </c>
      <c r="BO532" s="332" t="s">
        <v>2985</v>
      </c>
      <c r="BP532" s="320" t="s">
        <v>3329</v>
      </c>
      <c r="BQ532" s="348"/>
      <c r="BR532" s="307"/>
      <c r="BS532" s="320"/>
      <c r="BT532" s="321"/>
      <c r="CO532" s="322"/>
      <c r="CP532" s="322"/>
      <c r="CQ532" s="322"/>
      <c r="CR532" s="322"/>
    </row>
    <row r="533" spans="1:96">
      <c r="A533" s="458">
        <v>2067</v>
      </c>
      <c r="B533" s="535" t="s">
        <v>3616</v>
      </c>
      <c r="C533" s="466" t="s">
        <v>3590</v>
      </c>
      <c r="D533" s="383"/>
      <c r="E533" s="469"/>
      <c r="F533" s="303" t="s">
        <v>3164</v>
      </c>
      <c r="G533" s="386" t="s">
        <v>425</v>
      </c>
      <c r="H533" s="303" t="s">
        <v>3290</v>
      </c>
      <c r="I533" s="697" t="s">
        <v>3379</v>
      </c>
      <c r="J533" s="307">
        <v>1990</v>
      </c>
      <c r="K533" s="304">
        <v>12</v>
      </c>
      <c r="L533" s="303" t="s">
        <v>1738</v>
      </c>
      <c r="M533" s="304" t="s">
        <v>1751</v>
      </c>
      <c r="N533" s="450">
        <v>0.41686182669789229</v>
      </c>
      <c r="O533" s="309">
        <f t="shared" si="107"/>
        <v>0.41686182669789229</v>
      </c>
      <c r="P533" s="310">
        <f t="shared" si="108"/>
        <v>4.2997658079625296</v>
      </c>
      <c r="Q533" s="329">
        <v>4.2997658079625296</v>
      </c>
      <c r="R533" s="312">
        <v>178</v>
      </c>
      <c r="S533" s="307">
        <v>427</v>
      </c>
      <c r="T533" s="377">
        <f t="shared" si="109"/>
        <v>426.99999999999994</v>
      </c>
      <c r="U533" s="377">
        <f t="shared" si="110"/>
        <v>1836</v>
      </c>
      <c r="V533" s="307">
        <v>1200</v>
      </c>
      <c r="W533" s="307">
        <v>636</v>
      </c>
      <c r="X533" s="313" t="s">
        <v>3449</v>
      </c>
      <c r="Y533" s="314" t="s">
        <v>2985</v>
      </c>
      <c r="Z533" s="311" t="s">
        <v>3618</v>
      </c>
      <c r="AA533" s="315" t="s">
        <v>1754</v>
      </c>
      <c r="AB533" s="304" t="s">
        <v>1754</v>
      </c>
      <c r="AC533" s="303" t="s">
        <v>3363</v>
      </c>
      <c r="AD533" s="307" t="s">
        <v>2320</v>
      </c>
      <c r="AE533" s="317" t="s">
        <v>2985</v>
      </c>
      <c r="AF533" s="315" t="s">
        <v>2320</v>
      </c>
      <c r="AG533" s="443">
        <v>2.69</v>
      </c>
      <c r="AH533" s="313">
        <v>100</v>
      </c>
      <c r="AI533" s="307">
        <v>0</v>
      </c>
      <c r="AJ533" s="315">
        <v>0</v>
      </c>
      <c r="AK533" s="315">
        <v>0</v>
      </c>
      <c r="AL533" s="315">
        <v>0</v>
      </c>
      <c r="AM533" s="315">
        <v>0</v>
      </c>
      <c r="AN533" s="307">
        <v>0</v>
      </c>
      <c r="AO533" s="307">
        <v>0</v>
      </c>
      <c r="AP533" s="307">
        <v>0</v>
      </c>
      <c r="AQ533" s="307">
        <v>0</v>
      </c>
      <c r="AR533" s="307">
        <v>0</v>
      </c>
      <c r="AS533" s="307">
        <v>0</v>
      </c>
      <c r="AT533" s="307">
        <v>0</v>
      </c>
      <c r="AU533" s="307">
        <v>0</v>
      </c>
      <c r="AV533" s="307">
        <v>0</v>
      </c>
      <c r="AW533" s="307">
        <v>0</v>
      </c>
      <c r="AX533" s="304">
        <v>0</v>
      </c>
      <c r="AY533" s="303">
        <v>68.5</v>
      </c>
      <c r="AZ533" s="311">
        <v>37.675000000000004</v>
      </c>
      <c r="BA533" s="307">
        <v>65</v>
      </c>
      <c r="BB533" s="94" t="s">
        <v>2985</v>
      </c>
      <c r="BC533" s="426">
        <v>40</v>
      </c>
      <c r="BD533" s="307" t="s">
        <v>3520</v>
      </c>
      <c r="BE533" s="312">
        <v>100</v>
      </c>
      <c r="BF533" s="307" t="s">
        <v>246</v>
      </c>
      <c r="BG533" s="307">
        <v>200</v>
      </c>
      <c r="BH533" s="426">
        <v>25</v>
      </c>
      <c r="BI533" s="330" t="s">
        <v>2985</v>
      </c>
      <c r="BJ533" s="307">
        <v>28</v>
      </c>
      <c r="BK533" s="311">
        <v>23</v>
      </c>
      <c r="BL533" s="307">
        <v>23</v>
      </c>
      <c r="BM533" s="317" t="s">
        <v>2985</v>
      </c>
      <c r="BN533" s="307">
        <v>60</v>
      </c>
      <c r="BO533" s="332" t="s">
        <v>2985</v>
      </c>
      <c r="BP533" s="320" t="s">
        <v>3329</v>
      </c>
      <c r="BQ533" s="348"/>
      <c r="BR533" s="307"/>
      <c r="BS533" s="320"/>
      <c r="BT533" s="321"/>
      <c r="CO533" s="322"/>
      <c r="CP533" s="322"/>
      <c r="CQ533" s="322"/>
      <c r="CR533" s="322"/>
    </row>
    <row r="534" spans="1:96">
      <c r="A534" s="458">
        <v>2069</v>
      </c>
      <c r="B534" s="535" t="s">
        <v>3616</v>
      </c>
      <c r="C534" s="466" t="s">
        <v>3590</v>
      </c>
      <c r="D534" s="383"/>
      <c r="E534" s="469"/>
      <c r="F534" s="303" t="s">
        <v>3166</v>
      </c>
      <c r="G534" s="386" t="s">
        <v>425</v>
      </c>
      <c r="H534" s="303" t="s">
        <v>3290</v>
      </c>
      <c r="I534" s="697" t="s">
        <v>3379</v>
      </c>
      <c r="J534" s="307">
        <v>1990</v>
      </c>
      <c r="K534" s="304">
        <v>12</v>
      </c>
      <c r="L534" s="303" t="s">
        <v>1738</v>
      </c>
      <c r="M534" s="304" t="s">
        <v>1751</v>
      </c>
      <c r="N534" s="475">
        <v>0.44416243654822335</v>
      </c>
      <c r="O534" s="309">
        <f t="shared" si="107"/>
        <v>0.44416243654822335</v>
      </c>
      <c r="P534" s="310">
        <f t="shared" si="108"/>
        <v>4.7055837563451774</v>
      </c>
      <c r="Q534" s="329">
        <v>4.7055837563451774</v>
      </c>
      <c r="R534" s="312">
        <v>175</v>
      </c>
      <c r="S534" s="307">
        <v>394</v>
      </c>
      <c r="T534" s="377">
        <f t="shared" si="109"/>
        <v>394</v>
      </c>
      <c r="U534" s="377">
        <f t="shared" si="110"/>
        <v>1854</v>
      </c>
      <c r="V534" s="307">
        <v>1160</v>
      </c>
      <c r="W534" s="307">
        <v>694</v>
      </c>
      <c r="X534" s="313" t="s">
        <v>3449</v>
      </c>
      <c r="Y534" s="314" t="s">
        <v>2985</v>
      </c>
      <c r="Z534" s="317" t="s">
        <v>2985</v>
      </c>
      <c r="AA534" s="315" t="s">
        <v>1754</v>
      </c>
      <c r="AB534" s="304" t="s">
        <v>1754</v>
      </c>
      <c r="AC534" s="303" t="s">
        <v>3364</v>
      </c>
      <c r="AD534" s="307" t="s">
        <v>2320</v>
      </c>
      <c r="AE534" s="317" t="s">
        <v>2985</v>
      </c>
      <c r="AF534" s="315" t="s">
        <v>2320</v>
      </c>
      <c r="AG534" s="443">
        <v>2.65</v>
      </c>
      <c r="AH534" s="313">
        <v>100</v>
      </c>
      <c r="AI534" s="307">
        <v>0</v>
      </c>
      <c r="AJ534" s="315">
        <v>0</v>
      </c>
      <c r="AK534" s="315">
        <v>0</v>
      </c>
      <c r="AL534" s="315">
        <v>0</v>
      </c>
      <c r="AM534" s="315">
        <v>0</v>
      </c>
      <c r="AN534" s="307">
        <v>0</v>
      </c>
      <c r="AO534" s="307">
        <v>0</v>
      </c>
      <c r="AP534" s="307">
        <v>0</v>
      </c>
      <c r="AQ534" s="307">
        <v>0</v>
      </c>
      <c r="AR534" s="307">
        <v>0</v>
      </c>
      <c r="AS534" s="307">
        <v>0</v>
      </c>
      <c r="AT534" s="307">
        <v>0</v>
      </c>
      <c r="AU534" s="307">
        <v>0</v>
      </c>
      <c r="AV534" s="307">
        <v>0</v>
      </c>
      <c r="AW534" s="307">
        <v>0</v>
      </c>
      <c r="AX534" s="304">
        <v>0</v>
      </c>
      <c r="AY534" s="303">
        <v>69.5</v>
      </c>
      <c r="AZ534" s="311"/>
      <c r="BA534" s="317" t="s">
        <v>2985</v>
      </c>
      <c r="BB534" s="94" t="s">
        <v>2985</v>
      </c>
      <c r="BC534" s="426">
        <v>40</v>
      </c>
      <c r="BD534" s="307" t="s">
        <v>3520</v>
      </c>
      <c r="BE534" s="312">
        <v>100</v>
      </c>
      <c r="BF534" s="307" t="s">
        <v>246</v>
      </c>
      <c r="BG534" s="307">
        <v>200</v>
      </c>
      <c r="BH534" s="426">
        <v>25</v>
      </c>
      <c r="BI534" s="330" t="s">
        <v>2985</v>
      </c>
      <c r="BJ534" s="307">
        <v>28</v>
      </c>
      <c r="BK534" s="311">
        <v>23</v>
      </c>
      <c r="BL534" s="307">
        <v>23</v>
      </c>
      <c r="BM534" s="317" t="s">
        <v>2985</v>
      </c>
      <c r="BN534" s="307">
        <v>60</v>
      </c>
      <c r="BO534" s="332" t="s">
        <v>2985</v>
      </c>
      <c r="BP534" s="320" t="s">
        <v>3329</v>
      </c>
      <c r="BQ534" s="348"/>
      <c r="BR534" s="307"/>
      <c r="BS534" s="320"/>
      <c r="BT534" s="321"/>
      <c r="CO534" s="322"/>
      <c r="CP534" s="322"/>
      <c r="CQ534" s="322"/>
      <c r="CR534" s="322"/>
    </row>
    <row r="535" spans="1:96">
      <c r="A535" s="458">
        <v>2071</v>
      </c>
      <c r="B535" s="535" t="s">
        <v>3616</v>
      </c>
      <c r="C535" s="466" t="s">
        <v>3590</v>
      </c>
      <c r="D535" s="383"/>
      <c r="E535" s="470" t="s">
        <v>3590</v>
      </c>
      <c r="F535" s="303" t="s">
        <v>3168</v>
      </c>
      <c r="G535" s="386" t="s">
        <v>425</v>
      </c>
      <c r="H535" s="303" t="s">
        <v>3290</v>
      </c>
      <c r="I535" s="697" t="s">
        <v>3379</v>
      </c>
      <c r="J535" s="307">
        <v>1990</v>
      </c>
      <c r="K535" s="304">
        <v>12</v>
      </c>
      <c r="L535" s="303" t="s">
        <v>1738</v>
      </c>
      <c r="M535" s="304" t="s">
        <v>1751</v>
      </c>
      <c r="N535" s="450">
        <v>0.41491841491841491</v>
      </c>
      <c r="O535" s="309">
        <f t="shared" si="107"/>
        <v>0.41491841491841491</v>
      </c>
      <c r="P535" s="310">
        <f t="shared" si="108"/>
        <v>4.2144522144522147</v>
      </c>
      <c r="Q535" s="329">
        <v>4.2144522144522147</v>
      </c>
      <c r="R535" s="312">
        <v>178</v>
      </c>
      <c r="S535" s="307">
        <v>429</v>
      </c>
      <c r="T535" s="377">
        <f t="shared" si="109"/>
        <v>428.99999999999994</v>
      </c>
      <c r="U535" s="377">
        <f t="shared" si="110"/>
        <v>1808</v>
      </c>
      <c r="V535" s="307">
        <v>1230</v>
      </c>
      <c r="W535" s="307">
        <v>578</v>
      </c>
      <c r="X535" s="313" t="s">
        <v>3449</v>
      </c>
      <c r="Y535" s="314" t="s">
        <v>2985</v>
      </c>
      <c r="Z535" s="317" t="s">
        <v>2985</v>
      </c>
      <c r="AA535" s="315" t="s">
        <v>1754</v>
      </c>
      <c r="AB535" s="304" t="s">
        <v>1754</v>
      </c>
      <c r="AC535" s="303" t="s">
        <v>3351</v>
      </c>
      <c r="AD535" s="506" t="s">
        <v>2320</v>
      </c>
      <c r="AE535" s="317" t="s">
        <v>2985</v>
      </c>
      <c r="AF535" s="315" t="s">
        <v>3351</v>
      </c>
      <c r="AG535" s="443">
        <v>2.64</v>
      </c>
      <c r="AH535" s="313">
        <v>100</v>
      </c>
      <c r="AI535" s="307">
        <v>0</v>
      </c>
      <c r="AJ535" s="315">
        <v>0</v>
      </c>
      <c r="AK535" s="315">
        <v>0</v>
      </c>
      <c r="AL535" s="315">
        <v>0</v>
      </c>
      <c r="AM535" s="315">
        <v>0</v>
      </c>
      <c r="AN535" s="307">
        <v>0</v>
      </c>
      <c r="AO535" s="307">
        <v>0</v>
      </c>
      <c r="AP535" s="307">
        <v>0</v>
      </c>
      <c r="AQ535" s="307">
        <v>0</v>
      </c>
      <c r="AR535" s="307">
        <v>0</v>
      </c>
      <c r="AS535" s="307">
        <v>0</v>
      </c>
      <c r="AT535" s="307">
        <v>0</v>
      </c>
      <c r="AU535" s="307">
        <v>0</v>
      </c>
      <c r="AV535" s="307">
        <v>0</v>
      </c>
      <c r="AW535" s="307">
        <v>0</v>
      </c>
      <c r="AX535" s="304">
        <v>0</v>
      </c>
      <c r="AY535" s="303">
        <v>57</v>
      </c>
      <c r="AZ535" s="311"/>
      <c r="BA535" s="307">
        <v>85</v>
      </c>
      <c r="BB535" s="94" t="s">
        <v>2985</v>
      </c>
      <c r="BC535" s="426">
        <v>39</v>
      </c>
      <c r="BD535" s="307" t="s">
        <v>3520</v>
      </c>
      <c r="BE535" s="312">
        <v>100</v>
      </c>
      <c r="BF535" s="307" t="s">
        <v>246</v>
      </c>
      <c r="BG535" s="307">
        <v>200</v>
      </c>
      <c r="BH535" s="426">
        <v>25</v>
      </c>
      <c r="BI535" s="330" t="s">
        <v>2985</v>
      </c>
      <c r="BJ535" s="307">
        <v>28</v>
      </c>
      <c r="BK535" s="311">
        <v>23</v>
      </c>
      <c r="BL535" s="307">
        <v>23</v>
      </c>
      <c r="BM535" s="317" t="s">
        <v>2985</v>
      </c>
      <c r="BN535" s="307">
        <v>60</v>
      </c>
      <c r="BO535" s="332" t="s">
        <v>2985</v>
      </c>
      <c r="BP535" s="320" t="s">
        <v>3329</v>
      </c>
      <c r="BQ535" s="348"/>
      <c r="BR535" s="307"/>
      <c r="BS535" s="320"/>
      <c r="BT535" s="321"/>
      <c r="CO535" s="322"/>
      <c r="CP535" s="322"/>
      <c r="CQ535" s="322"/>
      <c r="CR535" s="322"/>
    </row>
    <row r="536" spans="1:96">
      <c r="A536" s="458">
        <v>2073</v>
      </c>
      <c r="B536" s="535" t="s">
        <v>3616</v>
      </c>
      <c r="C536" s="383"/>
      <c r="D536" s="383"/>
      <c r="E536" s="469"/>
      <c r="F536" s="303" t="s">
        <v>3170</v>
      </c>
      <c r="G536" s="386" t="s">
        <v>425</v>
      </c>
      <c r="H536" s="303" t="s">
        <v>3290</v>
      </c>
      <c r="I536" s="697" t="s">
        <v>3379</v>
      </c>
      <c r="J536" s="307">
        <v>1990</v>
      </c>
      <c r="K536" s="304">
        <v>12</v>
      </c>
      <c r="L536" s="303" t="s">
        <v>1738</v>
      </c>
      <c r="M536" s="304" t="s">
        <v>1751</v>
      </c>
      <c r="N536" s="450">
        <v>0.42274678111587982</v>
      </c>
      <c r="O536" s="309">
        <f t="shared" si="107"/>
        <v>0.42274678111587982</v>
      </c>
      <c r="P536" s="310">
        <f t="shared" si="108"/>
        <v>3.6952789699570814</v>
      </c>
      <c r="Q536" s="329">
        <v>3.6952789699570814</v>
      </c>
      <c r="R536" s="312">
        <v>197</v>
      </c>
      <c r="S536" s="307">
        <v>466</v>
      </c>
      <c r="T536" s="377">
        <f t="shared" si="109"/>
        <v>466</v>
      </c>
      <c r="U536" s="377">
        <f t="shared" si="110"/>
        <v>1722</v>
      </c>
      <c r="V536" s="307">
        <v>1111</v>
      </c>
      <c r="W536" s="307">
        <v>611</v>
      </c>
      <c r="X536" s="313" t="s">
        <v>3449</v>
      </c>
      <c r="Y536" s="314" t="s">
        <v>2985</v>
      </c>
      <c r="Z536" s="311" t="s">
        <v>3618</v>
      </c>
      <c r="AA536" s="315" t="s">
        <v>1754</v>
      </c>
      <c r="AB536" s="304" t="s">
        <v>1754</v>
      </c>
      <c r="AC536" s="303" t="s">
        <v>3365</v>
      </c>
      <c r="AD536" s="307" t="s">
        <v>3352</v>
      </c>
      <c r="AE536" s="317" t="s">
        <v>2985</v>
      </c>
      <c r="AF536" s="315" t="s">
        <v>3352</v>
      </c>
      <c r="AG536" s="443">
        <v>2.5499999999999998</v>
      </c>
      <c r="AH536" s="313">
        <f>100-SUM(AI536:AQ536)</f>
        <v>100</v>
      </c>
      <c r="AI536" s="307">
        <v>0</v>
      </c>
      <c r="AJ536" s="315">
        <v>0</v>
      </c>
      <c r="AK536" s="315">
        <v>0</v>
      </c>
      <c r="AL536" s="315">
        <v>0</v>
      </c>
      <c r="AM536" s="315">
        <v>0</v>
      </c>
      <c r="AN536" s="307">
        <v>0</v>
      </c>
      <c r="AO536" s="307">
        <v>0</v>
      </c>
      <c r="AP536" s="307">
        <v>0</v>
      </c>
      <c r="AQ536" s="307">
        <v>0</v>
      </c>
      <c r="AR536" s="307">
        <v>0</v>
      </c>
      <c r="AS536" s="307">
        <v>0</v>
      </c>
      <c r="AT536" s="307">
        <v>0</v>
      </c>
      <c r="AU536" s="307">
        <v>0</v>
      </c>
      <c r="AV536" s="307">
        <v>0</v>
      </c>
      <c r="AW536" s="307">
        <v>0</v>
      </c>
      <c r="AX536" s="304">
        <v>0</v>
      </c>
      <c r="AY536" s="303">
        <v>66.5</v>
      </c>
      <c r="AZ536" s="311">
        <v>36.575000000000003</v>
      </c>
      <c r="BA536" s="307">
        <v>65</v>
      </c>
      <c r="BB536" s="94" t="s">
        <v>2985</v>
      </c>
      <c r="BC536" s="426">
        <v>29.5</v>
      </c>
      <c r="BD536" s="307" t="s">
        <v>3520</v>
      </c>
      <c r="BE536" s="312">
        <v>100</v>
      </c>
      <c r="BF536" s="307" t="s">
        <v>246</v>
      </c>
      <c r="BG536" s="307">
        <v>200</v>
      </c>
      <c r="BH536" s="426">
        <v>25</v>
      </c>
      <c r="BI536" s="330" t="s">
        <v>2985</v>
      </c>
      <c r="BJ536" s="307">
        <v>28</v>
      </c>
      <c r="BK536" s="311">
        <v>23</v>
      </c>
      <c r="BL536" s="307">
        <v>23</v>
      </c>
      <c r="BM536" s="317" t="s">
        <v>2985</v>
      </c>
      <c r="BN536" s="307">
        <v>60</v>
      </c>
      <c r="BO536" s="332" t="s">
        <v>2985</v>
      </c>
      <c r="BP536" s="320" t="s">
        <v>3329</v>
      </c>
      <c r="BQ536" s="348"/>
      <c r="BR536" s="307"/>
      <c r="BS536" s="320"/>
      <c r="BT536" s="321"/>
      <c r="CO536" s="322"/>
      <c r="CP536" s="322"/>
      <c r="CQ536" s="322"/>
      <c r="CR536" s="322"/>
    </row>
    <row r="537" spans="1:96">
      <c r="A537" s="458">
        <v>2118</v>
      </c>
      <c r="B537" s="528" t="s">
        <v>3600</v>
      </c>
      <c r="C537" s="466" t="s">
        <v>3590</v>
      </c>
      <c r="D537" s="383"/>
      <c r="E537" s="470" t="s">
        <v>3590</v>
      </c>
      <c r="F537" s="303" t="s">
        <v>3215</v>
      </c>
      <c r="G537" s="386" t="s">
        <v>3304</v>
      </c>
      <c r="H537" s="303" t="s">
        <v>3290</v>
      </c>
      <c r="I537" s="697" t="s">
        <v>3379</v>
      </c>
      <c r="J537" s="307">
        <v>1998</v>
      </c>
      <c r="K537" s="304">
        <v>17</v>
      </c>
      <c r="L537" s="303" t="s">
        <v>1738</v>
      </c>
      <c r="M537" s="304" t="s">
        <v>1751</v>
      </c>
      <c r="N537" s="477">
        <v>0.39959016393442626</v>
      </c>
      <c r="O537" s="309">
        <f t="shared" si="107"/>
        <v>0.39959016393442626</v>
      </c>
      <c r="P537" s="310">
        <f t="shared" si="108"/>
        <v>3.5040983606557377</v>
      </c>
      <c r="Q537" s="329">
        <v>3.5040983606557377</v>
      </c>
      <c r="R537" s="312">
        <v>195</v>
      </c>
      <c r="S537" s="307">
        <v>488</v>
      </c>
      <c r="T537" s="377">
        <f t="shared" si="109"/>
        <v>488</v>
      </c>
      <c r="U537" s="377">
        <f t="shared" si="110"/>
        <v>1710</v>
      </c>
      <c r="V537" s="307">
        <v>1015</v>
      </c>
      <c r="W537" s="307">
        <v>695</v>
      </c>
      <c r="X537" s="313" t="s">
        <v>3449</v>
      </c>
      <c r="Y537" s="314" t="s">
        <v>2985</v>
      </c>
      <c r="Z537" s="311" t="s">
        <v>3618</v>
      </c>
      <c r="AA537" s="315" t="s">
        <v>1754</v>
      </c>
      <c r="AB537" s="304" t="s">
        <v>1754</v>
      </c>
      <c r="AC537" s="303" t="s">
        <v>3351</v>
      </c>
      <c r="AD537" s="506" t="s">
        <v>2320</v>
      </c>
      <c r="AE537" s="317" t="s">
        <v>2985</v>
      </c>
      <c r="AF537" s="315" t="s">
        <v>3351</v>
      </c>
      <c r="AG537" s="443">
        <v>2.65</v>
      </c>
      <c r="AH537" s="313">
        <v>100</v>
      </c>
      <c r="AI537" s="307">
        <v>0</v>
      </c>
      <c r="AJ537" s="315">
        <v>0</v>
      </c>
      <c r="AK537" s="315">
        <v>0</v>
      </c>
      <c r="AL537" s="315">
        <v>0</v>
      </c>
      <c r="AM537" s="315">
        <v>0</v>
      </c>
      <c r="AN537" s="307">
        <v>0</v>
      </c>
      <c r="AO537" s="307">
        <v>0</v>
      </c>
      <c r="AP537" s="307">
        <v>0</v>
      </c>
      <c r="AQ537" s="307">
        <v>0</v>
      </c>
      <c r="AR537" s="307">
        <v>0</v>
      </c>
      <c r="AS537" s="307">
        <v>0</v>
      </c>
      <c r="AT537" s="307">
        <v>0</v>
      </c>
      <c r="AU537" s="307">
        <v>0</v>
      </c>
      <c r="AV537" s="307">
        <v>0</v>
      </c>
      <c r="AW537" s="307">
        <v>0</v>
      </c>
      <c r="AX537" s="304">
        <v>0</v>
      </c>
      <c r="AY537" s="303">
        <v>65.3</v>
      </c>
      <c r="AZ537" s="311">
        <v>35.914999999999999</v>
      </c>
      <c r="BA537" s="307">
        <v>50</v>
      </c>
      <c r="BB537" s="94" t="s">
        <v>2985</v>
      </c>
      <c r="BC537" s="426">
        <v>35.100999999999999</v>
      </c>
      <c r="BD537" s="307" t="s">
        <v>3539</v>
      </c>
      <c r="BE537" s="329">
        <v>101.6</v>
      </c>
      <c r="BF537" s="307" t="s">
        <v>246</v>
      </c>
      <c r="BG537" s="307">
        <v>200</v>
      </c>
      <c r="BH537" s="426">
        <v>25.4</v>
      </c>
      <c r="BI537" s="330" t="s">
        <v>2985</v>
      </c>
      <c r="BJ537" s="307">
        <v>28</v>
      </c>
      <c r="BK537" s="311">
        <v>23</v>
      </c>
      <c r="BL537" s="307">
        <v>23</v>
      </c>
      <c r="BM537" s="317" t="s">
        <v>2985</v>
      </c>
      <c r="BN537" s="307">
        <v>67</v>
      </c>
      <c r="BO537" s="332" t="s">
        <v>2985</v>
      </c>
      <c r="BP537" s="320" t="s">
        <v>3332</v>
      </c>
      <c r="BQ537" s="348"/>
      <c r="BR537" s="307"/>
      <c r="BS537" s="320"/>
      <c r="BT537" s="321"/>
      <c r="CO537" s="322"/>
      <c r="CP537" s="322"/>
      <c r="CQ537" s="322"/>
      <c r="CR537" s="322"/>
    </row>
    <row r="538" spans="1:96">
      <c r="A538" s="458">
        <v>2120</v>
      </c>
      <c r="B538" s="528" t="s">
        <v>3604</v>
      </c>
      <c r="C538" s="466" t="s">
        <v>3590</v>
      </c>
      <c r="D538" s="383"/>
      <c r="E538" s="470" t="s">
        <v>3590</v>
      </c>
      <c r="F538" s="303" t="s">
        <v>3217</v>
      </c>
      <c r="G538" s="386" t="s">
        <v>3304</v>
      </c>
      <c r="H538" s="303" t="s">
        <v>3290</v>
      </c>
      <c r="I538" s="697" t="s">
        <v>3379</v>
      </c>
      <c r="J538" s="307">
        <v>1998</v>
      </c>
      <c r="K538" s="304">
        <v>17</v>
      </c>
      <c r="L538" s="303" t="s">
        <v>1738</v>
      </c>
      <c r="M538" s="304" t="s">
        <v>1751</v>
      </c>
      <c r="N538" s="477">
        <v>0.39959016393442626</v>
      </c>
      <c r="O538" s="309">
        <f t="shared" si="107"/>
        <v>0.39959016393442626</v>
      </c>
      <c r="P538" s="310">
        <f t="shared" si="108"/>
        <v>3.5450819672131146</v>
      </c>
      <c r="Q538" s="329">
        <v>3.5450819672131146</v>
      </c>
      <c r="R538" s="312">
        <v>195</v>
      </c>
      <c r="S538" s="307">
        <v>488</v>
      </c>
      <c r="T538" s="377">
        <f t="shared" si="109"/>
        <v>488</v>
      </c>
      <c r="U538" s="377">
        <f t="shared" si="110"/>
        <v>1730</v>
      </c>
      <c r="V538" s="307">
        <v>965</v>
      </c>
      <c r="W538" s="307">
        <v>765</v>
      </c>
      <c r="X538" s="313" t="s">
        <v>3449</v>
      </c>
      <c r="Y538" s="314" t="s">
        <v>2985</v>
      </c>
      <c r="Z538" s="311" t="s">
        <v>3618</v>
      </c>
      <c r="AA538" s="315" t="s">
        <v>1754</v>
      </c>
      <c r="AB538" s="304" t="s">
        <v>1754</v>
      </c>
      <c r="AC538" s="303" t="s">
        <v>2312</v>
      </c>
      <c r="AD538" s="506" t="s">
        <v>2312</v>
      </c>
      <c r="AE538" s="317" t="s">
        <v>2985</v>
      </c>
      <c r="AF538" s="315" t="s">
        <v>2312</v>
      </c>
      <c r="AG538" s="443">
        <v>2.65</v>
      </c>
      <c r="AH538" s="313">
        <v>100</v>
      </c>
      <c r="AI538" s="307">
        <v>0</v>
      </c>
      <c r="AJ538" s="315">
        <v>0</v>
      </c>
      <c r="AK538" s="315">
        <v>0</v>
      </c>
      <c r="AL538" s="315">
        <v>0</v>
      </c>
      <c r="AM538" s="315">
        <v>0</v>
      </c>
      <c r="AN538" s="307">
        <v>0</v>
      </c>
      <c r="AO538" s="307">
        <v>0</v>
      </c>
      <c r="AP538" s="307">
        <v>0</v>
      </c>
      <c r="AQ538" s="307">
        <v>0</v>
      </c>
      <c r="AR538" s="307">
        <v>0</v>
      </c>
      <c r="AS538" s="307">
        <v>0</v>
      </c>
      <c r="AT538" s="307">
        <v>0</v>
      </c>
      <c r="AU538" s="307">
        <v>0</v>
      </c>
      <c r="AV538" s="307">
        <v>0</v>
      </c>
      <c r="AW538" s="307">
        <v>0</v>
      </c>
      <c r="AX538" s="304">
        <v>0</v>
      </c>
      <c r="AY538" s="303">
        <v>65.2</v>
      </c>
      <c r="AZ538" s="311">
        <v>35.860000000000007</v>
      </c>
      <c r="BA538" s="307">
        <v>70</v>
      </c>
      <c r="BB538" s="94" t="s">
        <v>2985</v>
      </c>
      <c r="BC538" s="426">
        <v>35.100999999999999</v>
      </c>
      <c r="BD538" s="307" t="s">
        <v>3539</v>
      </c>
      <c r="BE538" s="329">
        <v>101.6</v>
      </c>
      <c r="BF538" s="307" t="s">
        <v>246</v>
      </c>
      <c r="BG538" s="307">
        <v>200</v>
      </c>
      <c r="BH538" s="426">
        <v>25.4</v>
      </c>
      <c r="BI538" s="330" t="s">
        <v>2985</v>
      </c>
      <c r="BJ538" s="307">
        <v>28</v>
      </c>
      <c r="BK538" s="311">
        <v>22</v>
      </c>
      <c r="BL538" s="307">
        <v>22</v>
      </c>
      <c r="BM538" s="317" t="s">
        <v>2985</v>
      </c>
      <c r="BN538" s="307">
        <v>72</v>
      </c>
      <c r="BO538" s="332" t="s">
        <v>2985</v>
      </c>
      <c r="BP538" s="320" t="s">
        <v>3332</v>
      </c>
      <c r="BQ538" s="348"/>
      <c r="BR538" s="307"/>
      <c r="BS538" s="320"/>
      <c r="BT538" s="321"/>
      <c r="CO538" s="322"/>
      <c r="CP538" s="322"/>
      <c r="CQ538" s="322"/>
      <c r="CR538" s="322"/>
    </row>
    <row r="539" spans="1:96">
      <c r="A539" s="458">
        <v>2122</v>
      </c>
      <c r="B539" s="528" t="s">
        <v>3599</v>
      </c>
      <c r="C539" s="383"/>
      <c r="D539" s="383"/>
      <c r="E539" s="470" t="s">
        <v>3590</v>
      </c>
      <c r="F539" s="303" t="s">
        <v>3219</v>
      </c>
      <c r="G539" s="386" t="s">
        <v>3304</v>
      </c>
      <c r="H539" s="303" t="s">
        <v>3290</v>
      </c>
      <c r="I539" s="697" t="s">
        <v>3379</v>
      </c>
      <c r="J539" s="307">
        <v>1998</v>
      </c>
      <c r="K539" s="304">
        <v>17</v>
      </c>
      <c r="L539" s="303" t="s">
        <v>1738</v>
      </c>
      <c r="M539" s="304" t="s">
        <v>1751</v>
      </c>
      <c r="N539" s="477">
        <v>0.39959016393442626</v>
      </c>
      <c r="O539" s="309">
        <f t="shared" si="107"/>
        <v>0.39959016393442626</v>
      </c>
      <c r="P539" s="310">
        <f t="shared" si="108"/>
        <v>3.8258196721311477</v>
      </c>
      <c r="Q539" s="329">
        <v>3.8258196721311477</v>
      </c>
      <c r="R539" s="312">
        <v>195</v>
      </c>
      <c r="S539" s="307">
        <v>488</v>
      </c>
      <c r="T539" s="377">
        <f t="shared" si="109"/>
        <v>488</v>
      </c>
      <c r="U539" s="377">
        <f t="shared" si="110"/>
        <v>1867</v>
      </c>
      <c r="V539" s="307">
        <v>1135</v>
      </c>
      <c r="W539" s="307">
        <v>732</v>
      </c>
      <c r="X539" s="313" t="s">
        <v>3449</v>
      </c>
      <c r="Y539" s="314" t="s">
        <v>2985</v>
      </c>
      <c r="Z539" s="311" t="s">
        <v>3618</v>
      </c>
      <c r="AA539" s="315" t="s">
        <v>1754</v>
      </c>
      <c r="AB539" s="304" t="s">
        <v>1754</v>
      </c>
      <c r="AC539" s="303" t="s">
        <v>3346</v>
      </c>
      <c r="AD539" s="307" t="s">
        <v>3346</v>
      </c>
      <c r="AE539" s="317" t="s">
        <v>2985</v>
      </c>
      <c r="AF539" s="315" t="s">
        <v>3346</v>
      </c>
      <c r="AG539" s="443">
        <v>2.89</v>
      </c>
      <c r="AH539" s="313">
        <v>100</v>
      </c>
      <c r="AI539" s="307">
        <v>0</v>
      </c>
      <c r="AJ539" s="315">
        <v>0</v>
      </c>
      <c r="AK539" s="315">
        <v>0</v>
      </c>
      <c r="AL539" s="315">
        <v>0</v>
      </c>
      <c r="AM539" s="315">
        <v>0</v>
      </c>
      <c r="AN539" s="307">
        <v>0</v>
      </c>
      <c r="AO539" s="307">
        <v>0</v>
      </c>
      <c r="AP539" s="307">
        <v>0</v>
      </c>
      <c r="AQ539" s="307">
        <v>0</v>
      </c>
      <c r="AR539" s="307">
        <v>0</v>
      </c>
      <c r="AS539" s="307">
        <v>0</v>
      </c>
      <c r="AT539" s="307">
        <v>0</v>
      </c>
      <c r="AU539" s="307">
        <v>0</v>
      </c>
      <c r="AV539" s="307">
        <v>0</v>
      </c>
      <c r="AW539" s="307">
        <v>0</v>
      </c>
      <c r="AX539" s="304">
        <v>0</v>
      </c>
      <c r="AY539" s="303">
        <v>73.900000000000006</v>
      </c>
      <c r="AZ539" s="311">
        <v>40.645000000000003</v>
      </c>
      <c r="BA539" s="307">
        <v>55</v>
      </c>
      <c r="BB539" s="94" t="s">
        <v>2985</v>
      </c>
      <c r="BC539" s="426">
        <v>37.476999999999997</v>
      </c>
      <c r="BD539" s="307" t="s">
        <v>3539</v>
      </c>
      <c r="BE539" s="329">
        <v>101.6</v>
      </c>
      <c r="BF539" s="307" t="s">
        <v>246</v>
      </c>
      <c r="BG539" s="307">
        <v>200</v>
      </c>
      <c r="BH539" s="426">
        <v>25.4</v>
      </c>
      <c r="BI539" s="330" t="s">
        <v>2985</v>
      </c>
      <c r="BJ539" s="307">
        <v>28</v>
      </c>
      <c r="BK539" s="311">
        <v>22</v>
      </c>
      <c r="BL539" s="307">
        <v>22</v>
      </c>
      <c r="BM539" s="317" t="s">
        <v>2985</v>
      </c>
      <c r="BN539" s="307">
        <v>71</v>
      </c>
      <c r="BO539" s="332" t="s">
        <v>2985</v>
      </c>
      <c r="BP539" s="320" t="s">
        <v>3332</v>
      </c>
      <c r="BQ539" s="348"/>
      <c r="BR539" s="307"/>
      <c r="BS539" s="320"/>
      <c r="BT539" s="321"/>
      <c r="CO539" s="322"/>
      <c r="CP539" s="322"/>
      <c r="CQ539" s="322"/>
      <c r="CR539" s="322"/>
    </row>
    <row r="540" spans="1:96">
      <c r="A540" s="458">
        <v>2126</v>
      </c>
      <c r="B540" s="528" t="s">
        <v>3599</v>
      </c>
      <c r="C540" s="383"/>
      <c r="D540" s="383"/>
      <c r="E540" s="470" t="s">
        <v>3590</v>
      </c>
      <c r="F540" s="303" t="s">
        <v>3223</v>
      </c>
      <c r="G540" s="386" t="s">
        <v>3306</v>
      </c>
      <c r="H540" s="303" t="s">
        <v>3290</v>
      </c>
      <c r="I540" s="697" t="s">
        <v>3379</v>
      </c>
      <c r="J540" s="307">
        <v>2007</v>
      </c>
      <c r="K540" s="304">
        <v>19</v>
      </c>
      <c r="L540" s="303" t="s">
        <v>1738</v>
      </c>
      <c r="M540" s="304" t="s">
        <v>1751</v>
      </c>
      <c r="N540" s="477">
        <v>0.39959016393442626</v>
      </c>
      <c r="O540" s="309">
        <f t="shared" si="107"/>
        <v>0.39959016393442626</v>
      </c>
      <c r="P540" s="310">
        <f t="shared" si="108"/>
        <v>3.5245901639344264</v>
      </c>
      <c r="Q540" s="329">
        <v>3.5245901639344264</v>
      </c>
      <c r="R540" s="312">
        <v>195</v>
      </c>
      <c r="S540" s="307">
        <v>488</v>
      </c>
      <c r="T540" s="377">
        <f t="shared" si="109"/>
        <v>488</v>
      </c>
      <c r="U540" s="377">
        <f t="shared" si="110"/>
        <v>1720</v>
      </c>
      <c r="V540" s="307">
        <v>1104</v>
      </c>
      <c r="W540" s="307">
        <v>616</v>
      </c>
      <c r="X540" s="313" t="s">
        <v>3449</v>
      </c>
      <c r="Y540" s="314" t="s">
        <v>2985</v>
      </c>
      <c r="Z540" s="311" t="s">
        <v>3618</v>
      </c>
      <c r="AA540" s="315" t="s">
        <v>1754</v>
      </c>
      <c r="AB540" s="304" t="s">
        <v>1754</v>
      </c>
      <c r="AC540" s="303" t="s">
        <v>3359</v>
      </c>
      <c r="AD540" s="307" t="s">
        <v>3346</v>
      </c>
      <c r="AE540" s="317" t="s">
        <v>2985</v>
      </c>
      <c r="AF540" s="315" t="s">
        <v>3346</v>
      </c>
      <c r="AG540" s="443">
        <v>2.91</v>
      </c>
      <c r="AH540" s="313">
        <v>100</v>
      </c>
      <c r="AI540" s="307">
        <v>0</v>
      </c>
      <c r="AJ540" s="315">
        <v>0</v>
      </c>
      <c r="AK540" s="315">
        <v>0</v>
      </c>
      <c r="AL540" s="315">
        <v>0</v>
      </c>
      <c r="AM540" s="315">
        <v>0</v>
      </c>
      <c r="AN540" s="307">
        <v>0</v>
      </c>
      <c r="AO540" s="307">
        <v>0</v>
      </c>
      <c r="AP540" s="307">
        <v>0</v>
      </c>
      <c r="AQ540" s="307">
        <v>0</v>
      </c>
      <c r="AR540" s="307">
        <v>0</v>
      </c>
      <c r="AS540" s="307">
        <v>0</v>
      </c>
      <c r="AT540" s="307">
        <v>0</v>
      </c>
      <c r="AU540" s="307">
        <v>0</v>
      </c>
      <c r="AV540" s="307">
        <v>0</v>
      </c>
      <c r="AW540" s="307">
        <v>0</v>
      </c>
      <c r="AX540" s="304">
        <v>0</v>
      </c>
      <c r="AY540" s="303">
        <v>68</v>
      </c>
      <c r="AZ540" s="311">
        <v>37.400000000000006</v>
      </c>
      <c r="BA540" s="307">
        <v>70</v>
      </c>
      <c r="BB540" s="94" t="s">
        <v>2985</v>
      </c>
      <c r="BC540" s="426">
        <v>41.2</v>
      </c>
      <c r="BD540" s="307" t="s">
        <v>3518</v>
      </c>
      <c r="BE540" s="312">
        <v>50</v>
      </c>
      <c r="BF540" s="307" t="s">
        <v>246</v>
      </c>
      <c r="BG540" s="307">
        <v>200</v>
      </c>
      <c r="BH540" s="426">
        <v>20</v>
      </c>
      <c r="BI540" s="330" t="s">
        <v>2985</v>
      </c>
      <c r="BJ540" s="307">
        <v>28</v>
      </c>
      <c r="BK540" s="311">
        <v>24</v>
      </c>
      <c r="BL540" s="307">
        <v>24</v>
      </c>
      <c r="BM540" s="317" t="s">
        <v>2985</v>
      </c>
      <c r="BN540" s="307">
        <v>50</v>
      </c>
      <c r="BO540" s="332" t="s">
        <v>2985</v>
      </c>
      <c r="BP540" s="320" t="s">
        <v>3334</v>
      </c>
      <c r="BQ540" s="348"/>
      <c r="BR540" s="307"/>
      <c r="BS540" s="320"/>
      <c r="BT540" s="321"/>
      <c r="CO540" s="322"/>
      <c r="CP540" s="322"/>
      <c r="CQ540" s="322"/>
      <c r="CR540" s="322"/>
    </row>
    <row r="541" spans="1:96">
      <c r="A541" s="458">
        <v>2129</v>
      </c>
      <c r="B541" s="528" t="s">
        <v>3605</v>
      </c>
      <c r="C541" s="383"/>
      <c r="D541" s="383"/>
      <c r="E541" s="470" t="s">
        <v>3590</v>
      </c>
      <c r="F541" s="303" t="s">
        <v>3226</v>
      </c>
      <c r="G541" s="386" t="s">
        <v>3306</v>
      </c>
      <c r="H541" s="303" t="s">
        <v>3290</v>
      </c>
      <c r="I541" s="697" t="s">
        <v>3379</v>
      </c>
      <c r="J541" s="307">
        <v>2007</v>
      </c>
      <c r="K541" s="304">
        <v>19</v>
      </c>
      <c r="L541" s="303" t="s">
        <v>1738</v>
      </c>
      <c r="M541" s="304" t="s">
        <v>1751</v>
      </c>
      <c r="N541" s="477">
        <v>0.3995901639344262</v>
      </c>
      <c r="O541" s="309">
        <f t="shared" si="107"/>
        <v>0.49948770491803274</v>
      </c>
      <c r="P541" s="310">
        <f t="shared" si="108"/>
        <v>4.4057377049180326</v>
      </c>
      <c r="Q541" s="329">
        <v>3.5245901639344259</v>
      </c>
      <c r="R541" s="312">
        <v>195</v>
      </c>
      <c r="S541" s="307">
        <v>390.40000000000003</v>
      </c>
      <c r="T541" s="377">
        <f t="shared" si="109"/>
        <v>488.00000000000006</v>
      </c>
      <c r="U541" s="377">
        <f t="shared" si="110"/>
        <v>1720</v>
      </c>
      <c r="V541" s="307">
        <v>1104</v>
      </c>
      <c r="W541" s="307">
        <v>616</v>
      </c>
      <c r="X541" s="313" t="s">
        <v>3449</v>
      </c>
      <c r="Y541" s="314" t="s">
        <v>2985</v>
      </c>
      <c r="Z541" s="311" t="s">
        <v>3618</v>
      </c>
      <c r="AA541" s="315" t="s">
        <v>3527</v>
      </c>
      <c r="AB541" s="304" t="s">
        <v>1754</v>
      </c>
      <c r="AC541" s="303" t="s">
        <v>3359</v>
      </c>
      <c r="AD541" s="307" t="s">
        <v>3346</v>
      </c>
      <c r="AE541" s="317" t="s">
        <v>2985</v>
      </c>
      <c r="AF541" s="315" t="s">
        <v>3346</v>
      </c>
      <c r="AG541" s="443">
        <v>2.91</v>
      </c>
      <c r="AH541" s="313">
        <v>80</v>
      </c>
      <c r="AI541" s="307">
        <v>0</v>
      </c>
      <c r="AJ541" s="315">
        <v>0</v>
      </c>
      <c r="AK541" s="315">
        <v>0</v>
      </c>
      <c r="AL541" s="315">
        <v>20</v>
      </c>
      <c r="AM541" s="315">
        <v>0</v>
      </c>
      <c r="AN541" s="307">
        <v>0</v>
      </c>
      <c r="AO541" s="307">
        <v>0</v>
      </c>
      <c r="AP541" s="307">
        <v>0</v>
      </c>
      <c r="AQ541" s="307">
        <v>0</v>
      </c>
      <c r="AR541" s="307">
        <v>0</v>
      </c>
      <c r="AS541" s="307">
        <v>0</v>
      </c>
      <c r="AT541" s="307">
        <v>0</v>
      </c>
      <c r="AU541" s="307">
        <v>0</v>
      </c>
      <c r="AV541" s="307">
        <v>0</v>
      </c>
      <c r="AW541" s="307">
        <v>0</v>
      </c>
      <c r="AX541" s="304">
        <v>0</v>
      </c>
      <c r="AY541" s="303">
        <v>71</v>
      </c>
      <c r="AZ541" s="311">
        <v>44.02</v>
      </c>
      <c r="BA541" s="307">
        <v>70</v>
      </c>
      <c r="BB541" s="507" t="s">
        <v>2985</v>
      </c>
      <c r="BC541" s="426">
        <v>39.299999999999997</v>
      </c>
      <c r="BD541" s="307" t="s">
        <v>3518</v>
      </c>
      <c r="BE541" s="312">
        <v>50</v>
      </c>
      <c r="BF541" s="307" t="s">
        <v>246</v>
      </c>
      <c r="BG541" s="307">
        <v>200</v>
      </c>
      <c r="BH541" s="426">
        <v>20</v>
      </c>
      <c r="BI541" s="330" t="s">
        <v>2985</v>
      </c>
      <c r="BJ541" s="307">
        <v>28</v>
      </c>
      <c r="BK541" s="311">
        <v>24</v>
      </c>
      <c r="BL541" s="307">
        <v>24</v>
      </c>
      <c r="BM541" s="317" t="s">
        <v>2985</v>
      </c>
      <c r="BN541" s="307">
        <v>50</v>
      </c>
      <c r="BO541" s="332" t="s">
        <v>2985</v>
      </c>
      <c r="BP541" s="320" t="s">
        <v>3334</v>
      </c>
      <c r="BQ541" s="348"/>
      <c r="BR541" s="307"/>
      <c r="BS541" s="320"/>
      <c r="BT541" s="321"/>
      <c r="CO541" s="322"/>
      <c r="CP541" s="322"/>
      <c r="CQ541" s="322"/>
      <c r="CR541" s="322"/>
    </row>
    <row r="542" spans="1:96">
      <c r="A542" s="458">
        <v>2132</v>
      </c>
      <c r="B542" s="528" t="s">
        <v>3606</v>
      </c>
      <c r="C542" s="383"/>
      <c r="D542" s="383"/>
      <c r="E542" s="470" t="s">
        <v>3590</v>
      </c>
      <c r="F542" s="303" t="s">
        <v>3229</v>
      </c>
      <c r="G542" s="386" t="s">
        <v>3306</v>
      </c>
      <c r="H542" s="303" t="s">
        <v>3290</v>
      </c>
      <c r="I542" s="697" t="s">
        <v>3379</v>
      </c>
      <c r="J542" s="307">
        <v>2007</v>
      </c>
      <c r="K542" s="304">
        <v>19</v>
      </c>
      <c r="L542" s="303" t="s">
        <v>1738</v>
      </c>
      <c r="M542" s="304" t="s">
        <v>1751</v>
      </c>
      <c r="N542" s="477">
        <v>0.39959016393442626</v>
      </c>
      <c r="O542" s="309">
        <f t="shared" si="107"/>
        <v>0.61475409836065575</v>
      </c>
      <c r="P542" s="310">
        <f t="shared" si="108"/>
        <v>5.4224464060529636</v>
      </c>
      <c r="Q542" s="329">
        <v>3.5245901639344264</v>
      </c>
      <c r="R542" s="312">
        <v>195</v>
      </c>
      <c r="S542" s="307">
        <v>317.2</v>
      </c>
      <c r="T542" s="377">
        <f t="shared" si="109"/>
        <v>488</v>
      </c>
      <c r="U542" s="377">
        <f t="shared" si="110"/>
        <v>1720</v>
      </c>
      <c r="V542" s="307">
        <v>1104</v>
      </c>
      <c r="W542" s="307">
        <v>616</v>
      </c>
      <c r="X542" s="313" t="s">
        <v>3449</v>
      </c>
      <c r="Y542" s="314" t="s">
        <v>2985</v>
      </c>
      <c r="Z542" s="516" t="s">
        <v>3618</v>
      </c>
      <c r="AA542" s="315" t="s">
        <v>3528</v>
      </c>
      <c r="AB542" s="304" t="s">
        <v>1754</v>
      </c>
      <c r="AC542" s="303" t="s">
        <v>3359</v>
      </c>
      <c r="AD542" s="307" t="s">
        <v>3346</v>
      </c>
      <c r="AE542" s="317" t="s">
        <v>2985</v>
      </c>
      <c r="AF542" s="315" t="s">
        <v>3346</v>
      </c>
      <c r="AG542" s="443">
        <v>2.91</v>
      </c>
      <c r="AH542" s="313">
        <v>65</v>
      </c>
      <c r="AI542" s="307">
        <v>0</v>
      </c>
      <c r="AJ542" s="315">
        <v>0</v>
      </c>
      <c r="AK542" s="315">
        <v>0</v>
      </c>
      <c r="AL542" s="315">
        <v>35</v>
      </c>
      <c r="AM542" s="315">
        <v>0</v>
      </c>
      <c r="AN542" s="307">
        <v>0</v>
      </c>
      <c r="AO542" s="307">
        <v>0</v>
      </c>
      <c r="AP542" s="307">
        <v>0</v>
      </c>
      <c r="AQ542" s="307">
        <v>0</v>
      </c>
      <c r="AR542" s="307">
        <v>0</v>
      </c>
      <c r="AS542" s="307">
        <v>0</v>
      </c>
      <c r="AT542" s="307">
        <v>0</v>
      </c>
      <c r="AU542" s="307">
        <v>0</v>
      </c>
      <c r="AV542" s="307">
        <v>0</v>
      </c>
      <c r="AW542" s="307">
        <v>0</v>
      </c>
      <c r="AX542" s="304">
        <v>0</v>
      </c>
      <c r="AY542" s="303">
        <v>75</v>
      </c>
      <c r="AZ542" s="311">
        <v>46.5</v>
      </c>
      <c r="BA542" s="307">
        <v>80</v>
      </c>
      <c r="BB542" s="507" t="s">
        <v>2985</v>
      </c>
      <c r="BC542" s="426">
        <v>42.9</v>
      </c>
      <c r="BD542" s="307" t="s">
        <v>3518</v>
      </c>
      <c r="BE542" s="312">
        <v>50</v>
      </c>
      <c r="BF542" s="307" t="s">
        <v>246</v>
      </c>
      <c r="BG542" s="307">
        <v>200</v>
      </c>
      <c r="BH542" s="426">
        <v>20</v>
      </c>
      <c r="BI542" s="330" t="s">
        <v>2985</v>
      </c>
      <c r="BJ542" s="307">
        <v>28</v>
      </c>
      <c r="BK542" s="311">
        <v>24</v>
      </c>
      <c r="BL542" s="307">
        <v>24</v>
      </c>
      <c r="BM542" s="317" t="s">
        <v>2985</v>
      </c>
      <c r="BN542" s="307">
        <v>50</v>
      </c>
      <c r="BO542" s="332" t="s">
        <v>2985</v>
      </c>
      <c r="BP542" s="320" t="s">
        <v>3334</v>
      </c>
      <c r="BQ542" s="348"/>
      <c r="BR542" s="307"/>
      <c r="BS542" s="320"/>
      <c r="BT542" s="321"/>
      <c r="CO542" s="322"/>
      <c r="CP542" s="322"/>
      <c r="CQ542" s="322"/>
      <c r="CR542" s="322"/>
    </row>
    <row r="543" spans="1:96">
      <c r="A543" s="458">
        <v>2135</v>
      </c>
      <c r="B543" s="528" t="s">
        <v>3607</v>
      </c>
      <c r="C543" s="383"/>
      <c r="D543" s="383"/>
      <c r="E543" s="470" t="s">
        <v>3590</v>
      </c>
      <c r="F543" s="303" t="s">
        <v>3232</v>
      </c>
      <c r="G543" s="386" t="s">
        <v>3306</v>
      </c>
      <c r="H543" s="303" t="s">
        <v>3290</v>
      </c>
      <c r="I543" s="697" t="s">
        <v>3379</v>
      </c>
      <c r="J543" s="307">
        <v>2007</v>
      </c>
      <c r="K543" s="304">
        <v>19</v>
      </c>
      <c r="L543" s="303" t="s">
        <v>1738</v>
      </c>
      <c r="M543" s="304" t="s">
        <v>1751</v>
      </c>
      <c r="N543" s="477">
        <v>0.39959016393442626</v>
      </c>
      <c r="O543" s="309">
        <f t="shared" si="107"/>
        <v>0.79918032786885251</v>
      </c>
      <c r="P543" s="310">
        <f t="shared" si="108"/>
        <v>7.0491803278688527</v>
      </c>
      <c r="Q543" s="329">
        <v>3.5245901639344264</v>
      </c>
      <c r="R543" s="312">
        <v>195</v>
      </c>
      <c r="S543" s="307">
        <v>244</v>
      </c>
      <c r="T543" s="377">
        <f t="shared" si="109"/>
        <v>488</v>
      </c>
      <c r="U543" s="377">
        <f t="shared" si="110"/>
        <v>1720</v>
      </c>
      <c r="V543" s="307">
        <v>1104</v>
      </c>
      <c r="W543" s="307">
        <v>616</v>
      </c>
      <c r="X543" s="313" t="s">
        <v>3449</v>
      </c>
      <c r="Y543" s="314" t="s">
        <v>2985</v>
      </c>
      <c r="Z543" s="311" t="s">
        <v>3618</v>
      </c>
      <c r="AA543" s="315" t="s">
        <v>3524</v>
      </c>
      <c r="AB543" s="304" t="s">
        <v>1754</v>
      </c>
      <c r="AC543" s="303" t="s">
        <v>3359</v>
      </c>
      <c r="AD543" s="307" t="s">
        <v>3346</v>
      </c>
      <c r="AE543" s="317" t="s">
        <v>2985</v>
      </c>
      <c r="AF543" s="315" t="s">
        <v>3346</v>
      </c>
      <c r="AG543" s="443">
        <v>2.91</v>
      </c>
      <c r="AH543" s="313">
        <v>50</v>
      </c>
      <c r="AI543" s="307">
        <v>0</v>
      </c>
      <c r="AJ543" s="315">
        <v>0</v>
      </c>
      <c r="AK543" s="315">
        <v>0</v>
      </c>
      <c r="AL543" s="315">
        <v>50</v>
      </c>
      <c r="AM543" s="315">
        <v>0</v>
      </c>
      <c r="AN543" s="307">
        <v>0</v>
      </c>
      <c r="AO543" s="307">
        <v>0</v>
      </c>
      <c r="AP543" s="307">
        <v>0</v>
      </c>
      <c r="AQ543" s="307">
        <v>0</v>
      </c>
      <c r="AR543" s="307">
        <v>0</v>
      </c>
      <c r="AS543" s="307">
        <v>0</v>
      </c>
      <c r="AT543" s="307">
        <v>0</v>
      </c>
      <c r="AU543" s="307">
        <v>0</v>
      </c>
      <c r="AV543" s="307">
        <v>0</v>
      </c>
      <c r="AW543" s="307">
        <v>0</v>
      </c>
      <c r="AX543" s="304">
        <v>0</v>
      </c>
      <c r="AY543" s="303">
        <v>72</v>
      </c>
      <c r="AZ543" s="311">
        <v>44.64</v>
      </c>
      <c r="BA543" s="307">
        <v>70</v>
      </c>
      <c r="BB543" s="94" t="s">
        <v>2985</v>
      </c>
      <c r="BC543" s="426">
        <v>40.799999999999997</v>
      </c>
      <c r="BD543" s="307" t="s">
        <v>3518</v>
      </c>
      <c r="BE543" s="312">
        <v>50</v>
      </c>
      <c r="BF543" s="307" t="s">
        <v>246</v>
      </c>
      <c r="BG543" s="307">
        <v>200</v>
      </c>
      <c r="BH543" s="426">
        <v>20</v>
      </c>
      <c r="BI543" s="330" t="s">
        <v>2985</v>
      </c>
      <c r="BJ543" s="307">
        <v>28</v>
      </c>
      <c r="BK543" s="311">
        <v>24</v>
      </c>
      <c r="BL543" s="307">
        <v>24</v>
      </c>
      <c r="BM543" s="317" t="s">
        <v>2985</v>
      </c>
      <c r="BN543" s="307">
        <v>50</v>
      </c>
      <c r="BO543" s="332" t="s">
        <v>2985</v>
      </c>
      <c r="BP543" s="320" t="s">
        <v>3334</v>
      </c>
      <c r="BQ543" s="348"/>
      <c r="BR543" s="307"/>
      <c r="BS543" s="320"/>
      <c r="BT543" s="321"/>
      <c r="CO543" s="322"/>
      <c r="CP543" s="322"/>
      <c r="CQ543" s="322"/>
      <c r="CR543" s="322"/>
    </row>
    <row r="544" spans="1:96">
      <c r="A544" s="458">
        <v>2138</v>
      </c>
      <c r="B544" s="528" t="s">
        <v>3605</v>
      </c>
      <c r="C544" s="383"/>
      <c r="D544" s="383"/>
      <c r="E544" s="470" t="s">
        <v>3590</v>
      </c>
      <c r="F544" s="303" t="s">
        <v>3235</v>
      </c>
      <c r="G544" s="386" t="s">
        <v>3306</v>
      </c>
      <c r="H544" s="303" t="s">
        <v>3290</v>
      </c>
      <c r="I544" s="697" t="s">
        <v>3379</v>
      </c>
      <c r="J544" s="307">
        <v>2007</v>
      </c>
      <c r="K544" s="304">
        <v>19</v>
      </c>
      <c r="L544" s="303" t="s">
        <v>1738</v>
      </c>
      <c r="M544" s="304" t="s">
        <v>1751</v>
      </c>
      <c r="N544" s="477">
        <v>0.3995901639344262</v>
      </c>
      <c r="O544" s="309">
        <f t="shared" si="107"/>
        <v>0.49948770491803274</v>
      </c>
      <c r="P544" s="310">
        <f t="shared" si="108"/>
        <v>4.4057377049180326</v>
      </c>
      <c r="Q544" s="329">
        <v>3.5245901639344259</v>
      </c>
      <c r="R544" s="312">
        <v>195</v>
      </c>
      <c r="S544" s="307">
        <v>390.40000000000003</v>
      </c>
      <c r="T544" s="377">
        <f t="shared" si="109"/>
        <v>488.00000000000006</v>
      </c>
      <c r="U544" s="377">
        <f t="shared" si="110"/>
        <v>1720</v>
      </c>
      <c r="V544" s="307">
        <v>1104</v>
      </c>
      <c r="W544" s="307">
        <v>616</v>
      </c>
      <c r="X544" s="313" t="s">
        <v>3449</v>
      </c>
      <c r="Y544" s="314" t="s">
        <v>2985</v>
      </c>
      <c r="Z544" s="311" t="s">
        <v>3618</v>
      </c>
      <c r="AA544" s="315" t="s">
        <v>3527</v>
      </c>
      <c r="AB544" s="304" t="s">
        <v>1754</v>
      </c>
      <c r="AC544" s="303" t="s">
        <v>3359</v>
      </c>
      <c r="AD544" s="307" t="s">
        <v>3346</v>
      </c>
      <c r="AE544" s="317" t="s">
        <v>2985</v>
      </c>
      <c r="AF544" s="315" t="s">
        <v>3346</v>
      </c>
      <c r="AG544" s="443">
        <v>2.91</v>
      </c>
      <c r="AH544" s="313">
        <v>80</v>
      </c>
      <c r="AI544" s="307">
        <v>0</v>
      </c>
      <c r="AJ544" s="315">
        <v>0</v>
      </c>
      <c r="AK544" s="315">
        <v>20</v>
      </c>
      <c r="AL544" s="315">
        <v>0</v>
      </c>
      <c r="AM544" s="315">
        <v>0</v>
      </c>
      <c r="AN544" s="307">
        <v>0</v>
      </c>
      <c r="AO544" s="307">
        <v>0</v>
      </c>
      <c r="AP544" s="307">
        <v>0</v>
      </c>
      <c r="AQ544" s="307">
        <v>0</v>
      </c>
      <c r="AR544" s="307">
        <v>0</v>
      </c>
      <c r="AS544" s="307">
        <v>0</v>
      </c>
      <c r="AT544" s="307">
        <v>0</v>
      </c>
      <c r="AU544" s="307">
        <v>0</v>
      </c>
      <c r="AV544" s="307">
        <v>0</v>
      </c>
      <c r="AW544" s="307">
        <v>0</v>
      </c>
      <c r="AX544" s="304">
        <v>0</v>
      </c>
      <c r="AY544" s="303">
        <v>63</v>
      </c>
      <c r="AZ544" s="311">
        <v>39.06</v>
      </c>
      <c r="BA544" s="307">
        <v>80</v>
      </c>
      <c r="BB544" s="94" t="s">
        <v>2985</v>
      </c>
      <c r="BC544" s="426">
        <v>40</v>
      </c>
      <c r="BD544" s="307" t="s">
        <v>3518</v>
      </c>
      <c r="BE544" s="312">
        <v>50</v>
      </c>
      <c r="BF544" s="307" t="s">
        <v>246</v>
      </c>
      <c r="BG544" s="307">
        <v>200</v>
      </c>
      <c r="BH544" s="426">
        <v>20</v>
      </c>
      <c r="BI544" s="330" t="s">
        <v>2985</v>
      </c>
      <c r="BJ544" s="307">
        <v>28</v>
      </c>
      <c r="BK544" s="311">
        <v>24</v>
      </c>
      <c r="BL544" s="307">
        <v>24</v>
      </c>
      <c r="BM544" s="317" t="s">
        <v>2985</v>
      </c>
      <c r="BN544" s="307">
        <v>50</v>
      </c>
      <c r="BO544" s="332" t="s">
        <v>2985</v>
      </c>
      <c r="BP544" s="320" t="s">
        <v>3334</v>
      </c>
      <c r="BQ544" s="348"/>
      <c r="BR544" s="307"/>
      <c r="BS544" s="320"/>
      <c r="BT544" s="321"/>
      <c r="CO544" s="322"/>
      <c r="CP544" s="322"/>
      <c r="CQ544" s="322"/>
      <c r="CR544" s="322"/>
    </row>
    <row r="545" spans="1:96">
      <c r="A545" s="458">
        <v>2141</v>
      </c>
      <c r="B545" s="528" t="s">
        <v>3602</v>
      </c>
      <c r="C545" s="383"/>
      <c r="D545" s="383"/>
      <c r="E545" s="470" t="s">
        <v>3590</v>
      </c>
      <c r="F545" s="303" t="s">
        <v>3238</v>
      </c>
      <c r="G545" s="386" t="s">
        <v>3306</v>
      </c>
      <c r="H545" s="303" t="s">
        <v>3290</v>
      </c>
      <c r="I545" s="697" t="s">
        <v>3379</v>
      </c>
      <c r="J545" s="307">
        <v>2007</v>
      </c>
      <c r="K545" s="304">
        <v>19</v>
      </c>
      <c r="L545" s="303" t="s">
        <v>1738</v>
      </c>
      <c r="M545" s="304" t="s">
        <v>1751</v>
      </c>
      <c r="N545" s="477">
        <v>0.39959016393442626</v>
      </c>
      <c r="O545" s="309">
        <f t="shared" si="107"/>
        <v>0.61475409836065575</v>
      </c>
      <c r="P545" s="310">
        <f t="shared" si="108"/>
        <v>5.4224464060529636</v>
      </c>
      <c r="Q545" s="329">
        <v>3.5245901639344264</v>
      </c>
      <c r="R545" s="312">
        <v>195</v>
      </c>
      <c r="S545" s="307">
        <v>317.2</v>
      </c>
      <c r="T545" s="377">
        <f t="shared" si="109"/>
        <v>488</v>
      </c>
      <c r="U545" s="377">
        <f t="shared" si="110"/>
        <v>1720</v>
      </c>
      <c r="V545" s="307">
        <v>1104</v>
      </c>
      <c r="W545" s="307">
        <v>616</v>
      </c>
      <c r="X545" s="313" t="s">
        <v>3449</v>
      </c>
      <c r="Y545" s="314" t="s">
        <v>2985</v>
      </c>
      <c r="Z545" s="311" t="s">
        <v>3619</v>
      </c>
      <c r="AA545" s="315" t="s">
        <v>3528</v>
      </c>
      <c r="AB545" s="304" t="s">
        <v>1754</v>
      </c>
      <c r="AC545" s="303" t="s">
        <v>3359</v>
      </c>
      <c r="AD545" s="307" t="s">
        <v>3346</v>
      </c>
      <c r="AE545" s="317" t="s">
        <v>2985</v>
      </c>
      <c r="AF545" s="315" t="s">
        <v>3346</v>
      </c>
      <c r="AG545" s="443">
        <v>2.91</v>
      </c>
      <c r="AH545" s="313">
        <v>65</v>
      </c>
      <c r="AI545" s="307">
        <v>0</v>
      </c>
      <c r="AJ545" s="315">
        <v>0</v>
      </c>
      <c r="AK545" s="315">
        <v>35</v>
      </c>
      <c r="AL545" s="315">
        <v>0</v>
      </c>
      <c r="AM545" s="315">
        <v>0</v>
      </c>
      <c r="AN545" s="307">
        <v>0</v>
      </c>
      <c r="AO545" s="307">
        <v>0</v>
      </c>
      <c r="AP545" s="307">
        <v>0</v>
      </c>
      <c r="AQ545" s="307">
        <v>0</v>
      </c>
      <c r="AR545" s="307">
        <v>0</v>
      </c>
      <c r="AS545" s="307">
        <v>0</v>
      </c>
      <c r="AT545" s="307">
        <v>0</v>
      </c>
      <c r="AU545" s="307">
        <v>0</v>
      </c>
      <c r="AV545" s="307">
        <v>0</v>
      </c>
      <c r="AW545" s="307">
        <v>0</v>
      </c>
      <c r="AX545" s="304">
        <v>0</v>
      </c>
      <c r="AY545" s="303">
        <v>60.5</v>
      </c>
      <c r="AZ545" s="311">
        <v>37.51</v>
      </c>
      <c r="BA545" s="307">
        <v>70</v>
      </c>
      <c r="BB545" s="94" t="s">
        <v>2985</v>
      </c>
      <c r="BC545" s="426">
        <v>39.1</v>
      </c>
      <c r="BD545" s="307" t="s">
        <v>3518</v>
      </c>
      <c r="BE545" s="312">
        <v>50</v>
      </c>
      <c r="BF545" s="307" t="s">
        <v>246</v>
      </c>
      <c r="BG545" s="307">
        <v>200</v>
      </c>
      <c r="BH545" s="426">
        <v>20</v>
      </c>
      <c r="BI545" s="330" t="s">
        <v>2985</v>
      </c>
      <c r="BJ545" s="307">
        <v>28</v>
      </c>
      <c r="BK545" s="311">
        <v>24</v>
      </c>
      <c r="BL545" s="307">
        <v>24</v>
      </c>
      <c r="BM545" s="317" t="s">
        <v>2985</v>
      </c>
      <c r="BN545" s="307">
        <v>50</v>
      </c>
      <c r="BO545" s="332" t="s">
        <v>2985</v>
      </c>
      <c r="BP545" s="320" t="s">
        <v>3334</v>
      </c>
      <c r="BQ545" s="348"/>
      <c r="BR545" s="307"/>
      <c r="BS545" s="320"/>
      <c r="BT545" s="321"/>
      <c r="CO545" s="322"/>
      <c r="CP545" s="322"/>
      <c r="CQ545" s="322"/>
      <c r="CR545" s="322"/>
    </row>
    <row r="546" spans="1:96" ht="18">
      <c r="A546" s="458">
        <v>2144</v>
      </c>
      <c r="B546" s="533" t="s">
        <v>3634</v>
      </c>
      <c r="C546" s="383"/>
      <c r="D546" s="383"/>
      <c r="E546" s="470" t="s">
        <v>3590</v>
      </c>
      <c r="F546" s="303" t="s">
        <v>3241</v>
      </c>
      <c r="G546" s="386" t="s">
        <v>3306</v>
      </c>
      <c r="H546" s="303" t="s">
        <v>3290</v>
      </c>
      <c r="I546" s="697" t="s">
        <v>3379</v>
      </c>
      <c r="J546" s="307">
        <v>2007</v>
      </c>
      <c r="K546" s="304">
        <v>19</v>
      </c>
      <c r="L546" s="303" t="s">
        <v>1738</v>
      </c>
      <c r="M546" s="304" t="s">
        <v>1751</v>
      </c>
      <c r="N546" s="477">
        <v>0.39959016393442626</v>
      </c>
      <c r="O546" s="309">
        <f t="shared" si="107"/>
        <v>0.79918032786885251</v>
      </c>
      <c r="P546" s="310">
        <f t="shared" si="108"/>
        <v>7.0491803278688527</v>
      </c>
      <c r="Q546" s="329">
        <v>3.5245901639344264</v>
      </c>
      <c r="R546" s="312">
        <v>195</v>
      </c>
      <c r="S546" s="307">
        <v>244</v>
      </c>
      <c r="T546" s="377">
        <f t="shared" si="109"/>
        <v>488</v>
      </c>
      <c r="U546" s="377">
        <f t="shared" si="110"/>
        <v>1720</v>
      </c>
      <c r="V546" s="307">
        <v>1104</v>
      </c>
      <c r="W546" s="307">
        <v>616</v>
      </c>
      <c r="X546" s="313" t="s">
        <v>3449</v>
      </c>
      <c r="Y546" s="314" t="s">
        <v>2985</v>
      </c>
      <c r="Z546" s="315" t="s">
        <v>3446</v>
      </c>
      <c r="AA546" s="315" t="s">
        <v>3524</v>
      </c>
      <c r="AB546" s="304" t="s">
        <v>1754</v>
      </c>
      <c r="AC546" s="303" t="s">
        <v>3359</v>
      </c>
      <c r="AD546" s="307" t="s">
        <v>3346</v>
      </c>
      <c r="AE546" s="317" t="s">
        <v>2985</v>
      </c>
      <c r="AF546" s="315" t="s">
        <v>3346</v>
      </c>
      <c r="AG546" s="443">
        <v>2.91</v>
      </c>
      <c r="AH546" s="313">
        <v>50</v>
      </c>
      <c r="AI546" s="307">
        <v>0</v>
      </c>
      <c r="AJ546" s="315">
        <v>0</v>
      </c>
      <c r="AK546" s="315">
        <v>50</v>
      </c>
      <c r="AL546" s="315">
        <v>0</v>
      </c>
      <c r="AM546" s="315">
        <v>0</v>
      </c>
      <c r="AN546" s="307">
        <v>0</v>
      </c>
      <c r="AO546" s="307">
        <v>0</v>
      </c>
      <c r="AP546" s="307">
        <v>0</v>
      </c>
      <c r="AQ546" s="307">
        <v>0</v>
      </c>
      <c r="AR546" s="307">
        <v>0</v>
      </c>
      <c r="AS546" s="307">
        <v>0</v>
      </c>
      <c r="AT546" s="307">
        <v>0</v>
      </c>
      <c r="AU546" s="307">
        <v>0</v>
      </c>
      <c r="AV546" s="307">
        <v>0</v>
      </c>
      <c r="AW546" s="307">
        <v>0</v>
      </c>
      <c r="AX546" s="304">
        <v>0</v>
      </c>
      <c r="AY546" s="303">
        <v>55.5</v>
      </c>
      <c r="AZ546" s="311"/>
      <c r="BA546" s="307">
        <v>80</v>
      </c>
      <c r="BB546" s="94" t="s">
        <v>2985</v>
      </c>
      <c r="BC546" s="426">
        <v>37.700000000000003</v>
      </c>
      <c r="BD546" s="307" t="s">
        <v>3518</v>
      </c>
      <c r="BE546" s="312">
        <v>50</v>
      </c>
      <c r="BF546" s="307" t="s">
        <v>246</v>
      </c>
      <c r="BG546" s="307">
        <v>200</v>
      </c>
      <c r="BH546" s="426">
        <v>20</v>
      </c>
      <c r="BI546" s="330" t="s">
        <v>2985</v>
      </c>
      <c r="BJ546" s="307">
        <v>28</v>
      </c>
      <c r="BK546" s="317" t="s">
        <v>2985</v>
      </c>
      <c r="BL546" s="307">
        <v>24</v>
      </c>
      <c r="BM546" s="317" t="s">
        <v>2985</v>
      </c>
      <c r="BN546" s="307">
        <v>50</v>
      </c>
      <c r="BO546" s="332" t="s">
        <v>2985</v>
      </c>
      <c r="BP546" s="320" t="s">
        <v>3334</v>
      </c>
      <c r="BQ546" s="348"/>
      <c r="BR546" s="307"/>
      <c r="BS546" s="320"/>
      <c r="BT546" s="321"/>
      <c r="CO546" s="322"/>
      <c r="CP546" s="322"/>
      <c r="CQ546" s="322"/>
      <c r="CR546" s="322"/>
    </row>
    <row r="547" spans="1:96">
      <c r="A547" s="458">
        <v>2147</v>
      </c>
      <c r="B547" s="528" t="s">
        <v>3605</v>
      </c>
      <c r="C547" s="383"/>
      <c r="D547" s="383"/>
      <c r="E547" s="470" t="s">
        <v>3590</v>
      </c>
      <c r="F547" s="303" t="s">
        <v>3244</v>
      </c>
      <c r="G547" s="386" t="s">
        <v>3306</v>
      </c>
      <c r="H547" s="303" t="s">
        <v>3290</v>
      </c>
      <c r="I547" s="697" t="s">
        <v>3379</v>
      </c>
      <c r="J547" s="307">
        <v>2007</v>
      </c>
      <c r="K547" s="304">
        <v>19</v>
      </c>
      <c r="L547" s="303" t="s">
        <v>1738</v>
      </c>
      <c r="M547" s="304" t="s">
        <v>1751</v>
      </c>
      <c r="N547" s="477">
        <v>0.3995901639344262</v>
      </c>
      <c r="O547" s="309">
        <f t="shared" si="107"/>
        <v>0.49948770491803274</v>
      </c>
      <c r="P547" s="310">
        <f t="shared" si="108"/>
        <v>4.4057377049180326</v>
      </c>
      <c r="Q547" s="329">
        <v>3.5245901639344259</v>
      </c>
      <c r="R547" s="312">
        <v>195</v>
      </c>
      <c r="S547" s="307">
        <v>390.40000000000003</v>
      </c>
      <c r="T547" s="377">
        <f t="shared" si="109"/>
        <v>488.00000000000006</v>
      </c>
      <c r="U547" s="377">
        <f t="shared" si="110"/>
        <v>1720</v>
      </c>
      <c r="V547" s="307">
        <v>1104</v>
      </c>
      <c r="W547" s="307">
        <v>616</v>
      </c>
      <c r="X547" s="313" t="s">
        <v>3449</v>
      </c>
      <c r="Y547" s="314" t="s">
        <v>2985</v>
      </c>
      <c r="Z547" s="311" t="s">
        <v>3618</v>
      </c>
      <c r="AA547" s="315" t="s">
        <v>3527</v>
      </c>
      <c r="AB547" s="304" t="s">
        <v>1754</v>
      </c>
      <c r="AC547" s="303" t="s">
        <v>3359</v>
      </c>
      <c r="AD547" s="307" t="s">
        <v>3346</v>
      </c>
      <c r="AE547" s="317" t="s">
        <v>2985</v>
      </c>
      <c r="AF547" s="315" t="s">
        <v>3346</v>
      </c>
      <c r="AG547" s="443">
        <v>2.91</v>
      </c>
      <c r="AH547" s="313">
        <v>80</v>
      </c>
      <c r="AI547" s="307">
        <v>0</v>
      </c>
      <c r="AJ547" s="315">
        <v>0</v>
      </c>
      <c r="AK547" s="315">
        <v>0</v>
      </c>
      <c r="AL547" s="315">
        <v>0</v>
      </c>
      <c r="AM547" s="315">
        <v>20</v>
      </c>
      <c r="AN547" s="307">
        <v>0</v>
      </c>
      <c r="AO547" s="307">
        <v>0</v>
      </c>
      <c r="AP547" s="307">
        <v>0</v>
      </c>
      <c r="AQ547" s="307">
        <v>0</v>
      </c>
      <c r="AR547" s="307">
        <v>0</v>
      </c>
      <c r="AS547" s="307">
        <v>0</v>
      </c>
      <c r="AT547" s="307">
        <v>0</v>
      </c>
      <c r="AU547" s="307">
        <v>0</v>
      </c>
      <c r="AV547" s="307">
        <v>0</v>
      </c>
      <c r="AW547" s="307">
        <v>0</v>
      </c>
      <c r="AX547" s="304">
        <v>0</v>
      </c>
      <c r="AY547" s="303">
        <v>68</v>
      </c>
      <c r="AZ547" s="311">
        <v>42.16</v>
      </c>
      <c r="BA547" s="307">
        <v>85</v>
      </c>
      <c r="BB547" s="94" t="s">
        <v>2985</v>
      </c>
      <c r="BC547" s="426">
        <v>47.6</v>
      </c>
      <c r="BD547" s="307" t="s">
        <v>3518</v>
      </c>
      <c r="BE547" s="312">
        <v>50</v>
      </c>
      <c r="BF547" s="307" t="s">
        <v>246</v>
      </c>
      <c r="BG547" s="307">
        <v>200</v>
      </c>
      <c r="BH547" s="426">
        <v>20</v>
      </c>
      <c r="BI547" s="330" t="s">
        <v>2985</v>
      </c>
      <c r="BJ547" s="307">
        <v>28</v>
      </c>
      <c r="BK547" s="311">
        <v>24</v>
      </c>
      <c r="BL547" s="307">
        <v>24</v>
      </c>
      <c r="BM547" s="317" t="s">
        <v>2985</v>
      </c>
      <c r="BN547" s="307">
        <v>50</v>
      </c>
      <c r="BO547" s="332" t="s">
        <v>2985</v>
      </c>
      <c r="BP547" s="320" t="s">
        <v>3334</v>
      </c>
      <c r="BQ547" s="348"/>
      <c r="BR547" s="307"/>
      <c r="BS547" s="320"/>
      <c r="BT547" s="321"/>
      <c r="CO547" s="322"/>
      <c r="CP547" s="322"/>
      <c r="CQ547" s="322"/>
      <c r="CR547" s="322"/>
    </row>
    <row r="548" spans="1:96">
      <c r="A548" s="458">
        <v>2150</v>
      </c>
      <c r="B548" s="528" t="s">
        <v>3602</v>
      </c>
      <c r="C548" s="383"/>
      <c r="D548" s="383"/>
      <c r="E548" s="470" t="s">
        <v>3590</v>
      </c>
      <c r="F548" s="303" t="s">
        <v>3247</v>
      </c>
      <c r="G548" s="386" t="s">
        <v>3306</v>
      </c>
      <c r="H548" s="303" t="s">
        <v>3290</v>
      </c>
      <c r="I548" s="697" t="s">
        <v>3379</v>
      </c>
      <c r="J548" s="307">
        <v>2007</v>
      </c>
      <c r="K548" s="304">
        <v>19</v>
      </c>
      <c r="L548" s="303" t="s">
        <v>1738</v>
      </c>
      <c r="M548" s="304" t="s">
        <v>1751</v>
      </c>
      <c r="N548" s="477">
        <v>0.39959016393442626</v>
      </c>
      <c r="O548" s="309">
        <f t="shared" si="107"/>
        <v>0.61475409836065575</v>
      </c>
      <c r="P548" s="310">
        <f t="shared" si="108"/>
        <v>5.4224464060529636</v>
      </c>
      <c r="Q548" s="329">
        <v>3.5245901639344264</v>
      </c>
      <c r="R548" s="312">
        <v>195</v>
      </c>
      <c r="S548" s="307">
        <v>317.2</v>
      </c>
      <c r="T548" s="377">
        <f t="shared" si="109"/>
        <v>488</v>
      </c>
      <c r="U548" s="377">
        <f t="shared" si="110"/>
        <v>1720</v>
      </c>
      <c r="V548" s="307">
        <v>1104</v>
      </c>
      <c r="W548" s="307">
        <v>616</v>
      </c>
      <c r="X548" s="313" t="s">
        <v>3449</v>
      </c>
      <c r="Y548" s="314" t="s">
        <v>2985</v>
      </c>
      <c r="Z548" s="311" t="s">
        <v>3618</v>
      </c>
      <c r="AA548" s="315" t="s">
        <v>3528</v>
      </c>
      <c r="AB548" s="304" t="s">
        <v>1754</v>
      </c>
      <c r="AC548" s="303" t="s">
        <v>3359</v>
      </c>
      <c r="AD548" s="307" t="s">
        <v>3346</v>
      </c>
      <c r="AE548" s="317" t="s">
        <v>2985</v>
      </c>
      <c r="AF548" s="315" t="s">
        <v>3346</v>
      </c>
      <c r="AG548" s="443">
        <v>2.91</v>
      </c>
      <c r="AH548" s="313">
        <v>65</v>
      </c>
      <c r="AI548" s="307">
        <v>0</v>
      </c>
      <c r="AJ548" s="315">
        <v>0</v>
      </c>
      <c r="AK548" s="315">
        <v>0</v>
      </c>
      <c r="AL548" s="315">
        <v>0</v>
      </c>
      <c r="AM548" s="315">
        <v>35</v>
      </c>
      <c r="AN548" s="307">
        <v>0</v>
      </c>
      <c r="AO548" s="307">
        <v>0</v>
      </c>
      <c r="AP548" s="307">
        <v>0</v>
      </c>
      <c r="AQ548" s="307">
        <v>0</v>
      </c>
      <c r="AR548" s="307">
        <v>0</v>
      </c>
      <c r="AS548" s="307">
        <v>0</v>
      </c>
      <c r="AT548" s="307">
        <v>0</v>
      </c>
      <c r="AU548" s="307">
        <v>0</v>
      </c>
      <c r="AV548" s="307">
        <v>0</v>
      </c>
      <c r="AW548" s="307">
        <v>0</v>
      </c>
      <c r="AX548" s="304">
        <v>0</v>
      </c>
      <c r="AY548" s="303">
        <v>65</v>
      </c>
      <c r="AZ548" s="311">
        <v>40.299999999999997</v>
      </c>
      <c r="BA548" s="307">
        <v>80</v>
      </c>
      <c r="BB548" s="94" t="s">
        <v>2985</v>
      </c>
      <c r="BC548" s="426">
        <v>37.299999999999997</v>
      </c>
      <c r="BD548" s="307" t="s">
        <v>3518</v>
      </c>
      <c r="BE548" s="312">
        <v>50</v>
      </c>
      <c r="BF548" s="307" t="s">
        <v>246</v>
      </c>
      <c r="BG548" s="307">
        <v>200</v>
      </c>
      <c r="BH548" s="426">
        <v>20</v>
      </c>
      <c r="BI548" s="330" t="s">
        <v>2985</v>
      </c>
      <c r="BJ548" s="307">
        <v>28</v>
      </c>
      <c r="BK548" s="311">
        <v>24</v>
      </c>
      <c r="BL548" s="307">
        <v>24</v>
      </c>
      <c r="BM548" s="317" t="s">
        <v>2985</v>
      </c>
      <c r="BN548" s="307">
        <v>50</v>
      </c>
      <c r="BO548" s="332" t="s">
        <v>2985</v>
      </c>
      <c r="BP548" s="320" t="s">
        <v>3334</v>
      </c>
      <c r="BQ548" s="348"/>
      <c r="BR548" s="307"/>
      <c r="BS548" s="320"/>
      <c r="BT548" s="321"/>
      <c r="CO548" s="322"/>
      <c r="CP548" s="322"/>
      <c r="CQ548" s="322"/>
      <c r="CR548" s="322"/>
    </row>
    <row r="549" spans="1:96">
      <c r="A549" s="458">
        <v>2153</v>
      </c>
      <c r="B549" s="528" t="s">
        <v>3607</v>
      </c>
      <c r="C549" s="383"/>
      <c r="D549" s="383"/>
      <c r="E549" s="470" t="s">
        <v>3590</v>
      </c>
      <c r="F549" s="303" t="s">
        <v>3250</v>
      </c>
      <c r="G549" s="386" t="s">
        <v>3306</v>
      </c>
      <c r="H549" s="303" t="s">
        <v>3290</v>
      </c>
      <c r="I549" s="697" t="s">
        <v>3379</v>
      </c>
      <c r="J549" s="307">
        <v>2007</v>
      </c>
      <c r="K549" s="304">
        <v>19</v>
      </c>
      <c r="L549" s="303" t="s">
        <v>1738</v>
      </c>
      <c r="M549" s="304" t="s">
        <v>1751</v>
      </c>
      <c r="N549" s="477">
        <v>0.39959016393442626</v>
      </c>
      <c r="O549" s="309">
        <f t="shared" si="107"/>
        <v>0.79918032786885251</v>
      </c>
      <c r="P549" s="310">
        <f t="shared" si="108"/>
        <v>7.0491803278688527</v>
      </c>
      <c r="Q549" s="329">
        <v>3.5245901639344264</v>
      </c>
      <c r="R549" s="312">
        <v>195</v>
      </c>
      <c r="S549" s="307">
        <v>244</v>
      </c>
      <c r="T549" s="377">
        <f t="shared" si="109"/>
        <v>488</v>
      </c>
      <c r="U549" s="377">
        <f t="shared" si="110"/>
        <v>1720</v>
      </c>
      <c r="V549" s="307">
        <v>1104</v>
      </c>
      <c r="W549" s="307">
        <v>616</v>
      </c>
      <c r="X549" s="313" t="s">
        <v>3449</v>
      </c>
      <c r="Y549" s="314" t="s">
        <v>2985</v>
      </c>
      <c r="Z549" s="311" t="s">
        <v>3619</v>
      </c>
      <c r="AA549" s="315" t="s">
        <v>3524</v>
      </c>
      <c r="AB549" s="304" t="s">
        <v>1754</v>
      </c>
      <c r="AC549" s="303" t="s">
        <v>3359</v>
      </c>
      <c r="AD549" s="307" t="s">
        <v>3346</v>
      </c>
      <c r="AE549" s="317" t="s">
        <v>2985</v>
      </c>
      <c r="AF549" s="315" t="s">
        <v>3346</v>
      </c>
      <c r="AG549" s="443">
        <v>2.91</v>
      </c>
      <c r="AH549" s="313">
        <v>50</v>
      </c>
      <c r="AI549" s="307">
        <v>0</v>
      </c>
      <c r="AJ549" s="315">
        <v>0</v>
      </c>
      <c r="AK549" s="315">
        <v>0</v>
      </c>
      <c r="AL549" s="315">
        <v>0</v>
      </c>
      <c r="AM549" s="315">
        <v>50</v>
      </c>
      <c r="AN549" s="307">
        <v>0</v>
      </c>
      <c r="AO549" s="307">
        <v>0</v>
      </c>
      <c r="AP549" s="307">
        <v>0</v>
      </c>
      <c r="AQ549" s="307">
        <v>0</v>
      </c>
      <c r="AR549" s="307">
        <v>0</v>
      </c>
      <c r="AS549" s="307">
        <v>0</v>
      </c>
      <c r="AT549" s="307">
        <v>0</v>
      </c>
      <c r="AU549" s="307">
        <v>0</v>
      </c>
      <c r="AV549" s="307">
        <v>0</v>
      </c>
      <c r="AW549" s="307">
        <v>0</v>
      </c>
      <c r="AX549" s="304">
        <v>0</v>
      </c>
      <c r="AY549" s="303">
        <v>62.5</v>
      </c>
      <c r="AZ549" s="311">
        <v>38.75</v>
      </c>
      <c r="BA549" s="307">
        <v>80</v>
      </c>
      <c r="BB549" s="94" t="s">
        <v>2985</v>
      </c>
      <c r="BC549" s="426">
        <v>36.9</v>
      </c>
      <c r="BD549" s="307" t="s">
        <v>3518</v>
      </c>
      <c r="BE549" s="312">
        <v>50</v>
      </c>
      <c r="BF549" s="307" t="s">
        <v>246</v>
      </c>
      <c r="BG549" s="307">
        <v>200</v>
      </c>
      <c r="BH549" s="426">
        <v>20</v>
      </c>
      <c r="BI549" s="330" t="s">
        <v>2985</v>
      </c>
      <c r="BJ549" s="307">
        <v>28</v>
      </c>
      <c r="BK549" s="311">
        <v>24</v>
      </c>
      <c r="BL549" s="307">
        <v>24</v>
      </c>
      <c r="BM549" s="317" t="s">
        <v>2985</v>
      </c>
      <c r="BN549" s="307">
        <v>50</v>
      </c>
      <c r="BO549" s="332" t="s">
        <v>2985</v>
      </c>
      <c r="BP549" s="320" t="s">
        <v>3334</v>
      </c>
      <c r="BQ549" s="348"/>
      <c r="BR549" s="307"/>
      <c r="BS549" s="320"/>
      <c r="BT549" s="321"/>
      <c r="CO549" s="322"/>
      <c r="CP549" s="322"/>
      <c r="CQ549" s="322"/>
      <c r="CR549" s="322"/>
    </row>
    <row r="550" spans="1:96">
      <c r="A550" s="458">
        <v>2156</v>
      </c>
      <c r="B550" s="528" t="s">
        <v>3601</v>
      </c>
      <c r="C550" s="466" t="s">
        <v>3590</v>
      </c>
      <c r="D550" s="466" t="s">
        <v>3590</v>
      </c>
      <c r="E550" s="470" t="s">
        <v>3590</v>
      </c>
      <c r="F550" s="303" t="s">
        <v>3253</v>
      </c>
      <c r="G550" s="386" t="s">
        <v>3307</v>
      </c>
      <c r="H550" s="303" t="s">
        <v>3290</v>
      </c>
      <c r="I550" s="697" t="s">
        <v>3379</v>
      </c>
      <c r="J550" s="307">
        <v>2007</v>
      </c>
      <c r="K550" s="304">
        <v>20</v>
      </c>
      <c r="L550" s="303" t="s">
        <v>1738</v>
      </c>
      <c r="M550" s="304" t="s">
        <v>1751</v>
      </c>
      <c r="N550" s="474">
        <v>0.4</v>
      </c>
      <c r="O550" s="309">
        <f t="shared" si="107"/>
        <v>0.4</v>
      </c>
      <c r="P550" s="310">
        <f t="shared" si="108"/>
        <v>4.8099999999999996</v>
      </c>
      <c r="Q550" s="329">
        <v>4.8101273885350322</v>
      </c>
      <c r="R550" s="312">
        <v>160</v>
      </c>
      <c r="S550" s="307">
        <v>400</v>
      </c>
      <c r="T550" s="377">
        <f t="shared" si="109"/>
        <v>399.98940663938873</v>
      </c>
      <c r="U550" s="377">
        <f t="shared" si="110"/>
        <v>1924</v>
      </c>
      <c r="V550" s="307">
        <v>900</v>
      </c>
      <c r="W550" s="307">
        <v>1024</v>
      </c>
      <c r="X550" s="313" t="s">
        <v>3449</v>
      </c>
      <c r="Y550" s="314" t="s">
        <v>2985</v>
      </c>
      <c r="Z550" s="311" t="s">
        <v>3618</v>
      </c>
      <c r="AA550" s="315" t="s">
        <v>1754</v>
      </c>
      <c r="AB550" s="304" t="s">
        <v>1754</v>
      </c>
      <c r="AC550" s="303" t="s">
        <v>3354</v>
      </c>
      <c r="AD550" s="311" t="s">
        <v>3536</v>
      </c>
      <c r="AE550" s="317" t="s">
        <v>2985</v>
      </c>
      <c r="AF550" s="315" t="s">
        <v>3347</v>
      </c>
      <c r="AG550" s="443">
        <v>2.71</v>
      </c>
      <c r="AH550" s="313">
        <v>100</v>
      </c>
      <c r="AI550" s="307">
        <v>0</v>
      </c>
      <c r="AJ550" s="315">
        <v>0</v>
      </c>
      <c r="AK550" s="315">
        <v>0</v>
      </c>
      <c r="AL550" s="315">
        <v>0</v>
      </c>
      <c r="AM550" s="315">
        <v>0</v>
      </c>
      <c r="AN550" s="307">
        <v>0</v>
      </c>
      <c r="AO550" s="307">
        <v>0</v>
      </c>
      <c r="AP550" s="307">
        <v>0</v>
      </c>
      <c r="AQ550" s="307">
        <v>0</v>
      </c>
      <c r="AR550" s="307">
        <v>0</v>
      </c>
      <c r="AS550" s="307">
        <v>0</v>
      </c>
      <c r="AT550" s="335">
        <v>0.82644628099173556</v>
      </c>
      <c r="AU550" s="307">
        <v>0</v>
      </c>
      <c r="AV550" s="307">
        <v>0</v>
      </c>
      <c r="AW550" s="307">
        <v>0</v>
      </c>
      <c r="AX550" s="304">
        <v>0</v>
      </c>
      <c r="AY550" s="307">
        <v>67.3</v>
      </c>
      <c r="AZ550" s="311">
        <v>41.725999999999999</v>
      </c>
      <c r="BA550" s="307">
        <v>20</v>
      </c>
      <c r="BB550" s="507" t="s">
        <v>2985</v>
      </c>
      <c r="BC550" s="355" t="s">
        <v>2985</v>
      </c>
      <c r="BD550" s="307" t="s">
        <v>3540</v>
      </c>
      <c r="BE550" s="312">
        <v>75</v>
      </c>
      <c r="BF550" s="307" t="s">
        <v>246</v>
      </c>
      <c r="BG550" s="307">
        <v>285</v>
      </c>
      <c r="BH550" s="426">
        <v>16.569767441860463</v>
      </c>
      <c r="BI550" s="330" t="s">
        <v>2985</v>
      </c>
      <c r="BJ550" s="307">
        <v>7</v>
      </c>
      <c r="BK550" s="311">
        <v>25</v>
      </c>
      <c r="BL550" s="307">
        <v>25</v>
      </c>
      <c r="BM550" s="317" t="s">
        <v>2985</v>
      </c>
      <c r="BN550" s="307">
        <v>50</v>
      </c>
      <c r="BO550" s="332" t="s">
        <v>2985</v>
      </c>
      <c r="BP550" s="320" t="s">
        <v>3541</v>
      </c>
      <c r="BQ550" s="348"/>
      <c r="BR550" s="307"/>
      <c r="BS550" s="320"/>
      <c r="BT550" s="321"/>
      <c r="CO550" s="322"/>
      <c r="CP550" s="322"/>
      <c r="CQ550" s="322"/>
      <c r="CR550" s="322"/>
    </row>
    <row r="551" spans="1:96">
      <c r="A551" s="458">
        <v>2159</v>
      </c>
      <c r="B551" s="528" t="s">
        <v>3596</v>
      </c>
      <c r="C551" s="466" t="s">
        <v>3590</v>
      </c>
      <c r="D551" s="466" t="s">
        <v>3590</v>
      </c>
      <c r="E551" s="470" t="s">
        <v>3590</v>
      </c>
      <c r="F551" s="303" t="s">
        <v>3256</v>
      </c>
      <c r="G551" s="386" t="s">
        <v>3307</v>
      </c>
      <c r="H551" s="303" t="s">
        <v>3290</v>
      </c>
      <c r="I551" s="697" t="s">
        <v>3379</v>
      </c>
      <c r="J551" s="307">
        <v>2007</v>
      </c>
      <c r="K551" s="304">
        <v>20</v>
      </c>
      <c r="L551" s="303" t="s">
        <v>1738</v>
      </c>
      <c r="M551" s="304" t="s">
        <v>1751</v>
      </c>
      <c r="N551" s="474">
        <v>0.4</v>
      </c>
      <c r="O551" s="309">
        <f t="shared" si="107"/>
        <v>0.4</v>
      </c>
      <c r="P551" s="310">
        <f t="shared" si="108"/>
        <v>4.4141176470588235</v>
      </c>
      <c r="Q551" s="329">
        <v>4.4130685650056201</v>
      </c>
      <c r="R551" s="312">
        <v>170</v>
      </c>
      <c r="S551" s="307">
        <v>425</v>
      </c>
      <c r="T551" s="377">
        <f t="shared" si="109"/>
        <v>425.10103171207152</v>
      </c>
      <c r="U551" s="377">
        <f t="shared" si="110"/>
        <v>1876</v>
      </c>
      <c r="V551" s="307">
        <v>1200</v>
      </c>
      <c r="W551" s="307">
        <v>676</v>
      </c>
      <c r="X551" s="313" t="s">
        <v>3449</v>
      </c>
      <c r="Y551" s="314" t="s">
        <v>2985</v>
      </c>
      <c r="Z551" s="516" t="s">
        <v>3618</v>
      </c>
      <c r="AA551" s="315" t="s">
        <v>1754</v>
      </c>
      <c r="AB551" s="304" t="s">
        <v>1754</v>
      </c>
      <c r="AC551" s="303" t="s">
        <v>3354</v>
      </c>
      <c r="AD551" s="311" t="s">
        <v>3536</v>
      </c>
      <c r="AE551" s="317" t="s">
        <v>2985</v>
      </c>
      <c r="AF551" s="315" t="s">
        <v>3347</v>
      </c>
      <c r="AG551" s="443">
        <v>2.71</v>
      </c>
      <c r="AH551" s="313">
        <v>100</v>
      </c>
      <c r="AI551" s="307">
        <v>0</v>
      </c>
      <c r="AJ551" s="315">
        <v>0</v>
      </c>
      <c r="AK551" s="315">
        <v>0</v>
      </c>
      <c r="AL551" s="315">
        <v>0</v>
      </c>
      <c r="AM551" s="315">
        <v>0</v>
      </c>
      <c r="AN551" s="307">
        <v>0</v>
      </c>
      <c r="AO551" s="307">
        <v>0</v>
      </c>
      <c r="AP551" s="307">
        <v>0</v>
      </c>
      <c r="AQ551" s="307">
        <v>0</v>
      </c>
      <c r="AR551" s="307">
        <v>0</v>
      </c>
      <c r="AS551" s="307">
        <v>0</v>
      </c>
      <c r="AT551" s="335">
        <v>0.15661707126076743</v>
      </c>
      <c r="AU551" s="307">
        <v>0</v>
      </c>
      <c r="AV551" s="307">
        <v>0</v>
      </c>
      <c r="AW551" s="307">
        <v>0</v>
      </c>
      <c r="AX551" s="304">
        <v>0</v>
      </c>
      <c r="AY551" s="307">
        <v>62.9</v>
      </c>
      <c r="AZ551" s="311">
        <v>38.997999999999998</v>
      </c>
      <c r="BA551" s="307">
        <v>45</v>
      </c>
      <c r="BB551" s="507" t="s">
        <v>2985</v>
      </c>
      <c r="BC551" s="355" t="s">
        <v>2985</v>
      </c>
      <c r="BD551" s="307" t="s">
        <v>3540</v>
      </c>
      <c r="BE551" s="312">
        <v>75</v>
      </c>
      <c r="BF551" s="307" t="s">
        <v>246</v>
      </c>
      <c r="BG551" s="307">
        <v>285</v>
      </c>
      <c r="BH551" s="426">
        <v>16.569767441860463</v>
      </c>
      <c r="BI551" s="330" t="s">
        <v>2985</v>
      </c>
      <c r="BJ551" s="307">
        <v>7</v>
      </c>
      <c r="BK551" s="311">
        <v>25</v>
      </c>
      <c r="BL551" s="307">
        <v>25</v>
      </c>
      <c r="BM551" s="317" t="s">
        <v>2985</v>
      </c>
      <c r="BN551" s="307">
        <v>50</v>
      </c>
      <c r="BO551" s="332" t="s">
        <v>2985</v>
      </c>
      <c r="BP551" s="320" t="s">
        <v>3541</v>
      </c>
      <c r="BQ551" s="348"/>
      <c r="BR551" s="307"/>
      <c r="BS551" s="320"/>
      <c r="BT551" s="321"/>
      <c r="CO551" s="322"/>
      <c r="CP551" s="322"/>
      <c r="CQ551" s="322"/>
      <c r="CR551" s="322"/>
    </row>
    <row r="552" spans="1:96">
      <c r="A552" s="458">
        <v>2162</v>
      </c>
      <c r="B552" s="528" t="s">
        <v>3608</v>
      </c>
      <c r="C552" s="466" t="s">
        <v>3590</v>
      </c>
      <c r="D552" s="466" t="s">
        <v>3590</v>
      </c>
      <c r="E552" s="470" t="s">
        <v>3590</v>
      </c>
      <c r="F552" s="303" t="s">
        <v>3259</v>
      </c>
      <c r="G552" s="386" t="s">
        <v>3307</v>
      </c>
      <c r="H552" s="303" t="s">
        <v>3290</v>
      </c>
      <c r="I552" s="697" t="s">
        <v>3379</v>
      </c>
      <c r="J552" s="307">
        <v>2007</v>
      </c>
      <c r="K552" s="304">
        <v>20</v>
      </c>
      <c r="L552" s="303" t="s">
        <v>1738</v>
      </c>
      <c r="M552" s="304" t="s">
        <v>1751</v>
      </c>
      <c r="N552" s="474">
        <v>0.4</v>
      </c>
      <c r="O552" s="309">
        <f t="shared" si="107"/>
        <v>0.4</v>
      </c>
      <c r="P552" s="310">
        <f t="shared" si="108"/>
        <v>4.0599999999999996</v>
      </c>
      <c r="Q552" s="329">
        <v>4.0601273885350322</v>
      </c>
      <c r="R552" s="312">
        <v>180</v>
      </c>
      <c r="S552" s="307">
        <v>450</v>
      </c>
      <c r="T552" s="377">
        <f t="shared" si="109"/>
        <v>449.98588102409633</v>
      </c>
      <c r="U552" s="377">
        <f t="shared" si="110"/>
        <v>1827</v>
      </c>
      <c r="V552" s="307">
        <v>1000</v>
      </c>
      <c r="W552" s="307">
        <v>827</v>
      </c>
      <c r="X552" s="313" t="s">
        <v>3449</v>
      </c>
      <c r="Y552" s="314" t="s">
        <v>2985</v>
      </c>
      <c r="Z552" s="311" t="s">
        <v>3618</v>
      </c>
      <c r="AA552" s="315" t="s">
        <v>1754</v>
      </c>
      <c r="AB552" s="304" t="s">
        <v>1754</v>
      </c>
      <c r="AC552" s="303" t="s">
        <v>3354</v>
      </c>
      <c r="AD552" s="311" t="s">
        <v>3536</v>
      </c>
      <c r="AE552" s="317" t="s">
        <v>2985</v>
      </c>
      <c r="AF552" s="315" t="s">
        <v>3347</v>
      </c>
      <c r="AG552" s="443">
        <v>2.71</v>
      </c>
      <c r="AH552" s="313">
        <v>100</v>
      </c>
      <c r="AI552" s="307">
        <v>0</v>
      </c>
      <c r="AJ552" s="315">
        <v>0</v>
      </c>
      <c r="AK552" s="315">
        <v>0</v>
      </c>
      <c r="AL552" s="315">
        <v>0</v>
      </c>
      <c r="AM552" s="315">
        <v>0</v>
      </c>
      <c r="AN552" s="307">
        <v>0</v>
      </c>
      <c r="AO552" s="307">
        <v>0</v>
      </c>
      <c r="AP552" s="307">
        <v>0</v>
      </c>
      <c r="AQ552" s="307">
        <v>0</v>
      </c>
      <c r="AR552" s="307">
        <v>0</v>
      </c>
      <c r="AS552" s="307">
        <v>0</v>
      </c>
      <c r="AT552" s="307">
        <v>0</v>
      </c>
      <c r="AU552" s="307">
        <v>0</v>
      </c>
      <c r="AV552" s="307">
        <v>0</v>
      </c>
      <c r="AW552" s="307">
        <v>0</v>
      </c>
      <c r="AX552" s="304">
        <v>0</v>
      </c>
      <c r="AY552" s="303">
        <v>65.5</v>
      </c>
      <c r="AZ552" s="311">
        <v>36.025000000000006</v>
      </c>
      <c r="BA552" s="307">
        <v>40</v>
      </c>
      <c r="BB552" s="94" t="s">
        <v>2985</v>
      </c>
      <c r="BC552" s="355" t="s">
        <v>2985</v>
      </c>
      <c r="BD552" s="307" t="s">
        <v>3540</v>
      </c>
      <c r="BE552" s="312">
        <v>75</v>
      </c>
      <c r="BF552" s="307" t="s">
        <v>246</v>
      </c>
      <c r="BG552" s="307">
        <v>285</v>
      </c>
      <c r="BH552" s="426">
        <v>16.569767441860463</v>
      </c>
      <c r="BI552" s="330" t="s">
        <v>2985</v>
      </c>
      <c r="BJ552" s="307">
        <v>7</v>
      </c>
      <c r="BK552" s="311">
        <v>25</v>
      </c>
      <c r="BL552" s="307">
        <v>25</v>
      </c>
      <c r="BM552" s="317" t="s">
        <v>2985</v>
      </c>
      <c r="BN552" s="307">
        <v>50</v>
      </c>
      <c r="BO552" s="332" t="s">
        <v>2985</v>
      </c>
      <c r="BP552" s="320" t="s">
        <v>3542</v>
      </c>
      <c r="BQ552" s="348"/>
      <c r="BR552" s="307"/>
      <c r="BS552" s="320"/>
      <c r="BT552" s="321"/>
      <c r="CO552" s="322"/>
      <c r="CP552" s="322"/>
      <c r="CQ552" s="322"/>
      <c r="CR552" s="322"/>
    </row>
    <row r="553" spans="1:96">
      <c r="A553" s="458">
        <v>2165</v>
      </c>
      <c r="B553" s="528" t="s">
        <v>3608</v>
      </c>
      <c r="C553" s="466" t="s">
        <v>3590</v>
      </c>
      <c r="D553" s="466" t="s">
        <v>3590</v>
      </c>
      <c r="E553" s="470" t="s">
        <v>3590</v>
      </c>
      <c r="F553" s="303" t="s">
        <v>3262</v>
      </c>
      <c r="G553" s="386" t="s">
        <v>3307</v>
      </c>
      <c r="H553" s="303" t="s">
        <v>3290</v>
      </c>
      <c r="I553" s="697" t="s">
        <v>3379</v>
      </c>
      <c r="J553" s="307">
        <v>2007</v>
      </c>
      <c r="K553" s="304">
        <v>20</v>
      </c>
      <c r="L553" s="303" t="s">
        <v>1738</v>
      </c>
      <c r="M553" s="304" t="s">
        <v>1751</v>
      </c>
      <c r="N553" s="474">
        <v>0.4</v>
      </c>
      <c r="O553" s="309">
        <f t="shared" si="107"/>
        <v>0.4</v>
      </c>
      <c r="P553" s="310">
        <f t="shared" si="108"/>
        <v>4.1031578947368423</v>
      </c>
      <c r="Q553" s="329">
        <v>4.1022326516929271</v>
      </c>
      <c r="R553" s="312">
        <v>190</v>
      </c>
      <c r="S553" s="307">
        <v>475</v>
      </c>
      <c r="T553" s="377">
        <f t="shared" si="109"/>
        <v>475.10713445169381</v>
      </c>
      <c r="U553" s="377">
        <f t="shared" si="110"/>
        <v>1949</v>
      </c>
      <c r="V553" s="307">
        <v>1300</v>
      </c>
      <c r="W553" s="307">
        <v>649</v>
      </c>
      <c r="X553" s="313" t="s">
        <v>3449</v>
      </c>
      <c r="Y553" s="314" t="s">
        <v>2985</v>
      </c>
      <c r="Z553" s="311" t="s">
        <v>3619</v>
      </c>
      <c r="AA553" s="315" t="s">
        <v>1754</v>
      </c>
      <c r="AB553" s="304" t="s">
        <v>1754</v>
      </c>
      <c r="AC553" s="303" t="s">
        <v>3354</v>
      </c>
      <c r="AD553" s="311" t="s">
        <v>3536</v>
      </c>
      <c r="AE553" s="317" t="s">
        <v>2985</v>
      </c>
      <c r="AF553" s="315" t="s">
        <v>3347</v>
      </c>
      <c r="AG553" s="443">
        <v>2.71</v>
      </c>
      <c r="AH553" s="313">
        <v>100</v>
      </c>
      <c r="AI553" s="307">
        <v>0</v>
      </c>
      <c r="AJ553" s="315">
        <v>0</v>
      </c>
      <c r="AK553" s="315">
        <v>0</v>
      </c>
      <c r="AL553" s="315">
        <v>0</v>
      </c>
      <c r="AM553" s="315">
        <v>0</v>
      </c>
      <c r="AN553" s="307">
        <v>0</v>
      </c>
      <c r="AO553" s="307">
        <v>0</v>
      </c>
      <c r="AP553" s="307">
        <v>0</v>
      </c>
      <c r="AQ553" s="307">
        <v>0</v>
      </c>
      <c r="AR553" s="307">
        <v>0</v>
      </c>
      <c r="AS553" s="307">
        <v>0</v>
      </c>
      <c r="AT553" s="307">
        <v>0</v>
      </c>
      <c r="AU553" s="307">
        <v>0</v>
      </c>
      <c r="AV553" s="307">
        <v>0</v>
      </c>
      <c r="AW553" s="307">
        <v>0</v>
      </c>
      <c r="AX553" s="304">
        <v>0</v>
      </c>
      <c r="AY553" s="303">
        <v>62.5</v>
      </c>
      <c r="AZ553" s="311">
        <v>34.375</v>
      </c>
      <c r="BA553" s="307">
        <v>55</v>
      </c>
      <c r="BB553" s="94" t="s">
        <v>2985</v>
      </c>
      <c r="BC553" s="355" t="s">
        <v>2985</v>
      </c>
      <c r="BD553" s="307" t="s">
        <v>3540</v>
      </c>
      <c r="BE553" s="312">
        <v>75</v>
      </c>
      <c r="BF553" s="307" t="s">
        <v>246</v>
      </c>
      <c r="BG553" s="307">
        <v>285</v>
      </c>
      <c r="BH553" s="426">
        <v>16.569767441860463</v>
      </c>
      <c r="BI553" s="330" t="s">
        <v>2985</v>
      </c>
      <c r="BJ553" s="307">
        <v>7</v>
      </c>
      <c r="BK553" s="311">
        <v>25</v>
      </c>
      <c r="BL553" s="307">
        <v>25</v>
      </c>
      <c r="BM553" s="317" t="s">
        <v>2985</v>
      </c>
      <c r="BN553" s="307">
        <v>50</v>
      </c>
      <c r="BO553" s="332" t="s">
        <v>2985</v>
      </c>
      <c r="BP553" s="320" t="s">
        <v>3542</v>
      </c>
      <c r="BQ553" s="348"/>
      <c r="BR553" s="307"/>
      <c r="BS553" s="320"/>
      <c r="BT553" s="321"/>
      <c r="CO553" s="322"/>
      <c r="CP553" s="322"/>
      <c r="CQ553" s="322"/>
      <c r="CR553" s="322"/>
    </row>
    <row r="554" spans="1:96" ht="18">
      <c r="A554" s="458">
        <v>2168</v>
      </c>
      <c r="B554" s="533" t="s">
        <v>3634</v>
      </c>
      <c r="C554" s="466" t="s">
        <v>3590</v>
      </c>
      <c r="D554" s="466" t="s">
        <v>3590</v>
      </c>
      <c r="E554" s="470" t="s">
        <v>3590</v>
      </c>
      <c r="F554" s="303" t="s">
        <v>3265</v>
      </c>
      <c r="G554" s="386" t="s">
        <v>3307</v>
      </c>
      <c r="H554" s="303" t="s">
        <v>3290</v>
      </c>
      <c r="I554" s="697" t="s">
        <v>3379</v>
      </c>
      <c r="J554" s="307">
        <v>2007</v>
      </c>
      <c r="K554" s="304">
        <v>20</v>
      </c>
      <c r="L554" s="303" t="s">
        <v>1738</v>
      </c>
      <c r="M554" s="304" t="s">
        <v>1751</v>
      </c>
      <c r="N554" s="474">
        <v>0.4</v>
      </c>
      <c r="O554" s="309">
        <f t="shared" si="107"/>
        <v>0.4</v>
      </c>
      <c r="P554" s="310">
        <f t="shared" si="108"/>
        <v>3.46</v>
      </c>
      <c r="Q554" s="329">
        <v>3.4601273885350321</v>
      </c>
      <c r="R554" s="312">
        <v>200</v>
      </c>
      <c r="S554" s="307">
        <v>500</v>
      </c>
      <c r="T554" s="377">
        <f t="shared" si="109"/>
        <v>499.98159192990204</v>
      </c>
      <c r="U554" s="377">
        <f t="shared" si="110"/>
        <v>1730</v>
      </c>
      <c r="V554" s="307">
        <v>1100</v>
      </c>
      <c r="W554" s="307">
        <v>630</v>
      </c>
      <c r="X554" s="313" t="s">
        <v>3449</v>
      </c>
      <c r="Y554" s="314" t="s">
        <v>2985</v>
      </c>
      <c r="Z554" s="315" t="s">
        <v>3446</v>
      </c>
      <c r="AA554" s="315" t="s">
        <v>1754</v>
      </c>
      <c r="AB554" s="304" t="s">
        <v>1754</v>
      </c>
      <c r="AC554" s="303" t="s">
        <v>3354</v>
      </c>
      <c r="AD554" s="311" t="s">
        <v>3536</v>
      </c>
      <c r="AE554" s="317" t="s">
        <v>2985</v>
      </c>
      <c r="AF554" s="315" t="s">
        <v>3347</v>
      </c>
      <c r="AG554" s="443">
        <v>2.71</v>
      </c>
      <c r="AH554" s="313">
        <v>100</v>
      </c>
      <c r="AI554" s="307">
        <v>0</v>
      </c>
      <c r="AJ554" s="315">
        <v>0</v>
      </c>
      <c r="AK554" s="315">
        <v>0</v>
      </c>
      <c r="AL554" s="315">
        <v>0</v>
      </c>
      <c r="AM554" s="315">
        <v>0</v>
      </c>
      <c r="AN554" s="307">
        <v>0</v>
      </c>
      <c r="AO554" s="307">
        <v>0</v>
      </c>
      <c r="AP554" s="307">
        <v>0</v>
      </c>
      <c r="AQ554" s="307">
        <v>0</v>
      </c>
      <c r="AR554" s="307">
        <v>0</v>
      </c>
      <c r="AS554" s="307">
        <v>0</v>
      </c>
      <c r="AT554" s="307">
        <v>0</v>
      </c>
      <c r="AU554" s="307">
        <v>0</v>
      </c>
      <c r="AV554" s="307">
        <v>0</v>
      </c>
      <c r="AW554" s="307">
        <v>0</v>
      </c>
      <c r="AX554" s="304">
        <v>0</v>
      </c>
      <c r="AY554" s="303">
        <v>57.3</v>
      </c>
      <c r="AZ554" s="311"/>
      <c r="BA554" s="307">
        <v>60</v>
      </c>
      <c r="BB554" s="94" t="s">
        <v>2985</v>
      </c>
      <c r="BC554" s="355" t="s">
        <v>2985</v>
      </c>
      <c r="BD554" s="307" t="s">
        <v>3540</v>
      </c>
      <c r="BE554" s="312">
        <v>75</v>
      </c>
      <c r="BF554" s="307" t="s">
        <v>246</v>
      </c>
      <c r="BG554" s="307">
        <v>285</v>
      </c>
      <c r="BH554" s="426">
        <v>16.569767441860463</v>
      </c>
      <c r="BI554" s="330" t="s">
        <v>2985</v>
      </c>
      <c r="BJ554" s="307">
        <v>7</v>
      </c>
      <c r="BK554" s="317" t="s">
        <v>2985</v>
      </c>
      <c r="BL554" s="307">
        <v>25</v>
      </c>
      <c r="BM554" s="317" t="s">
        <v>2985</v>
      </c>
      <c r="BN554" s="307">
        <v>50</v>
      </c>
      <c r="BO554" s="332" t="s">
        <v>2985</v>
      </c>
      <c r="BP554" s="320" t="s">
        <v>3542</v>
      </c>
      <c r="BQ554" s="348"/>
      <c r="BR554" s="307"/>
      <c r="BS554" s="320"/>
      <c r="BT554" s="321"/>
      <c r="CO554" s="322"/>
      <c r="CP554" s="322"/>
      <c r="CQ554" s="322"/>
      <c r="CR554" s="322"/>
    </row>
    <row r="555" spans="1:96" ht="18">
      <c r="A555" s="458">
        <v>2171</v>
      </c>
      <c r="B555" s="533" t="s">
        <v>3634</v>
      </c>
      <c r="C555" s="466" t="s">
        <v>3590</v>
      </c>
      <c r="D555" s="466" t="s">
        <v>3590</v>
      </c>
      <c r="E555" s="470" t="s">
        <v>3590</v>
      </c>
      <c r="F555" s="303" t="s">
        <v>3268</v>
      </c>
      <c r="G555" s="386" t="s">
        <v>3307</v>
      </c>
      <c r="H555" s="303" t="s">
        <v>3290</v>
      </c>
      <c r="I555" s="697" t="s">
        <v>3379</v>
      </c>
      <c r="J555" s="307">
        <v>2007</v>
      </c>
      <c r="K555" s="304">
        <v>20</v>
      </c>
      <c r="L555" s="303" t="s">
        <v>1738</v>
      </c>
      <c r="M555" s="304" t="s">
        <v>1751</v>
      </c>
      <c r="N555" s="474">
        <v>0.4</v>
      </c>
      <c r="O555" s="309">
        <f t="shared" si="107"/>
        <v>0.4</v>
      </c>
      <c r="P555" s="310">
        <f t="shared" si="108"/>
        <v>4.1428571428571432</v>
      </c>
      <c r="Q555" s="329">
        <v>4.1428571428571432</v>
      </c>
      <c r="R555" s="312">
        <v>210</v>
      </c>
      <c r="S555" s="307">
        <v>525</v>
      </c>
      <c r="T555" s="377">
        <f t="shared" si="109"/>
        <v>525</v>
      </c>
      <c r="U555" s="377">
        <f t="shared" si="110"/>
        <v>2175</v>
      </c>
      <c r="V555" s="307">
        <v>1400</v>
      </c>
      <c r="W555" s="307">
        <v>775</v>
      </c>
      <c r="X555" s="313" t="s">
        <v>3449</v>
      </c>
      <c r="Y555" s="314" t="s">
        <v>2985</v>
      </c>
      <c r="Z555" s="315" t="s">
        <v>3446</v>
      </c>
      <c r="AA555" s="315" t="s">
        <v>1754</v>
      </c>
      <c r="AB555" s="304" t="s">
        <v>1754</v>
      </c>
      <c r="AC555" s="303" t="s">
        <v>3354</v>
      </c>
      <c r="AD555" s="311" t="s">
        <v>3536</v>
      </c>
      <c r="AE555" s="317" t="s">
        <v>2985</v>
      </c>
      <c r="AF555" s="315" t="s">
        <v>3347</v>
      </c>
      <c r="AG555" s="443">
        <v>2.71</v>
      </c>
      <c r="AH555" s="313">
        <v>100</v>
      </c>
      <c r="AI555" s="307">
        <v>0</v>
      </c>
      <c r="AJ555" s="315">
        <v>0</v>
      </c>
      <c r="AK555" s="315">
        <v>0</v>
      </c>
      <c r="AL555" s="315">
        <v>0</v>
      </c>
      <c r="AM555" s="315">
        <v>0</v>
      </c>
      <c r="AN555" s="307">
        <v>0</v>
      </c>
      <c r="AO555" s="307">
        <v>0</v>
      </c>
      <c r="AP555" s="307">
        <v>0</v>
      </c>
      <c r="AQ555" s="307">
        <v>0</v>
      </c>
      <c r="AR555" s="307">
        <v>0</v>
      </c>
      <c r="AS555" s="307">
        <v>0</v>
      </c>
      <c r="AT555" s="307">
        <v>0</v>
      </c>
      <c r="AU555" s="307">
        <v>0</v>
      </c>
      <c r="AV555" s="307">
        <v>0</v>
      </c>
      <c r="AW555" s="307">
        <v>0</v>
      </c>
      <c r="AX555" s="304">
        <v>0</v>
      </c>
      <c r="AY555" s="303">
        <v>59.3</v>
      </c>
      <c r="AZ555" s="311"/>
      <c r="BA555" s="307">
        <v>65</v>
      </c>
      <c r="BB555" s="94" t="s">
        <v>2985</v>
      </c>
      <c r="BC555" s="355" t="s">
        <v>2985</v>
      </c>
      <c r="BD555" s="307" t="s">
        <v>3540</v>
      </c>
      <c r="BE555" s="312">
        <v>75</v>
      </c>
      <c r="BF555" s="307" t="s">
        <v>246</v>
      </c>
      <c r="BG555" s="307">
        <v>285</v>
      </c>
      <c r="BH555" s="426">
        <v>16.569767441860499</v>
      </c>
      <c r="BI555" s="330" t="s">
        <v>2985</v>
      </c>
      <c r="BJ555" s="307">
        <v>7</v>
      </c>
      <c r="BK555" s="317" t="s">
        <v>2985</v>
      </c>
      <c r="BL555" s="307">
        <v>25</v>
      </c>
      <c r="BM555" s="317" t="s">
        <v>2985</v>
      </c>
      <c r="BN555" s="307">
        <v>50</v>
      </c>
      <c r="BO555" s="332" t="s">
        <v>2985</v>
      </c>
      <c r="BP555" s="320" t="s">
        <v>3542</v>
      </c>
      <c r="BQ555" s="348"/>
      <c r="BR555" s="307"/>
      <c r="BS555" s="320"/>
      <c r="BT555" s="321"/>
      <c r="CO555" s="322"/>
      <c r="CP555" s="322"/>
      <c r="CQ555" s="322"/>
      <c r="CR555" s="322"/>
    </row>
    <row r="556" spans="1:96">
      <c r="A556" s="458">
        <v>2177</v>
      </c>
      <c r="B556" s="533" t="s">
        <v>3614</v>
      </c>
      <c r="C556" s="466" t="s">
        <v>3590</v>
      </c>
      <c r="D556" s="383"/>
      <c r="E556" s="470" t="s">
        <v>3590</v>
      </c>
      <c r="F556" s="303" t="s">
        <v>3274</v>
      </c>
      <c r="G556" s="386" t="s">
        <v>425</v>
      </c>
      <c r="H556" s="303" t="s">
        <v>3290</v>
      </c>
      <c r="I556" s="697" t="s">
        <v>3379</v>
      </c>
      <c r="J556" s="307">
        <v>1994</v>
      </c>
      <c r="K556" s="304">
        <v>22</v>
      </c>
      <c r="L556" s="303" t="s">
        <v>1738</v>
      </c>
      <c r="M556" s="304" t="s">
        <v>1751</v>
      </c>
      <c r="N556" s="450">
        <v>0.5757575757575758</v>
      </c>
      <c r="O556" s="309">
        <f t="shared" si="107"/>
        <v>0.5757575757575758</v>
      </c>
      <c r="P556" s="310">
        <f t="shared" si="108"/>
        <v>5.8484848484848486</v>
      </c>
      <c r="Q556" s="329">
        <v>5.8484848484848486</v>
      </c>
      <c r="R556" s="312">
        <v>190</v>
      </c>
      <c r="S556" s="307">
        <v>330</v>
      </c>
      <c r="T556" s="377">
        <f t="shared" si="109"/>
        <v>330</v>
      </c>
      <c r="U556" s="377">
        <f t="shared" si="110"/>
        <v>1930</v>
      </c>
      <c r="V556" s="307">
        <v>1150</v>
      </c>
      <c r="W556" s="307">
        <v>780</v>
      </c>
      <c r="X556" s="313" t="s">
        <v>3449</v>
      </c>
      <c r="Y556" s="314" t="s">
        <v>2985</v>
      </c>
      <c r="Z556" s="315" t="s">
        <v>12</v>
      </c>
      <c r="AA556" s="315" t="s">
        <v>1754</v>
      </c>
      <c r="AB556" s="304" t="s">
        <v>1754</v>
      </c>
      <c r="AC556" s="303" t="s">
        <v>3376</v>
      </c>
      <c r="AD556" s="307" t="s">
        <v>3535</v>
      </c>
      <c r="AE556" s="317" t="s">
        <v>2985</v>
      </c>
      <c r="AF556" s="315" t="s">
        <v>3342</v>
      </c>
      <c r="AG556" s="443">
        <v>2.74</v>
      </c>
      <c r="AH556" s="313">
        <v>100</v>
      </c>
      <c r="AI556" s="307">
        <v>0</v>
      </c>
      <c r="AJ556" s="315">
        <v>0</v>
      </c>
      <c r="AK556" s="315">
        <v>0</v>
      </c>
      <c r="AL556" s="315">
        <v>0</v>
      </c>
      <c r="AM556" s="315">
        <v>0</v>
      </c>
      <c r="AN556" s="307">
        <v>0</v>
      </c>
      <c r="AO556" s="307">
        <v>0</v>
      </c>
      <c r="AP556" s="307">
        <v>0</v>
      </c>
      <c r="AQ556" s="307">
        <v>0</v>
      </c>
      <c r="AR556" s="307">
        <v>0</v>
      </c>
      <c r="AS556" s="307">
        <v>0</v>
      </c>
      <c r="AT556" s="307">
        <v>0</v>
      </c>
      <c r="AU556" s="307">
        <v>0</v>
      </c>
      <c r="AV556" s="307">
        <v>0</v>
      </c>
      <c r="AW556" s="307">
        <v>0</v>
      </c>
      <c r="AX556" s="304">
        <v>0</v>
      </c>
      <c r="AY556" s="303">
        <v>46</v>
      </c>
      <c r="AZ556" s="311"/>
      <c r="BA556" s="307">
        <v>30</v>
      </c>
      <c r="BB556" s="94" t="s">
        <v>2985</v>
      </c>
      <c r="BC556" s="426">
        <v>34.5</v>
      </c>
      <c r="BD556" s="307" t="s">
        <v>3520</v>
      </c>
      <c r="BE556" s="312">
        <v>100</v>
      </c>
      <c r="BF556" s="307" t="s">
        <v>246</v>
      </c>
      <c r="BG556" s="307">
        <v>200</v>
      </c>
      <c r="BH556" s="426">
        <v>25</v>
      </c>
      <c r="BI556" s="330" t="s">
        <v>2985</v>
      </c>
      <c r="BJ556" s="307">
        <v>28</v>
      </c>
      <c r="BK556" s="317" t="s">
        <v>2985</v>
      </c>
      <c r="BL556" s="307">
        <v>23</v>
      </c>
      <c r="BM556" s="317" t="s">
        <v>2985</v>
      </c>
      <c r="BN556" s="307">
        <v>60</v>
      </c>
      <c r="BO556" s="332" t="s">
        <v>2985</v>
      </c>
      <c r="BP556" s="320" t="s">
        <v>3337</v>
      </c>
      <c r="BQ556" s="348"/>
      <c r="BR556" s="307"/>
      <c r="BS556" s="320"/>
      <c r="BT556" s="321"/>
      <c r="CO556" s="322"/>
      <c r="CP556" s="322"/>
      <c r="CQ556" s="322"/>
      <c r="CR556" s="322"/>
    </row>
    <row r="557" spans="1:96">
      <c r="A557" s="458">
        <v>2179</v>
      </c>
      <c r="B557" s="533" t="s">
        <v>3614</v>
      </c>
      <c r="C557" s="383"/>
      <c r="D557" s="383"/>
      <c r="E557" s="470" t="s">
        <v>3590</v>
      </c>
      <c r="F557" s="303" t="s">
        <v>3276</v>
      </c>
      <c r="G557" s="386" t="s">
        <v>425</v>
      </c>
      <c r="H557" s="303" t="s">
        <v>3290</v>
      </c>
      <c r="I557" s="697" t="s">
        <v>3379</v>
      </c>
      <c r="J557" s="307">
        <v>1994</v>
      </c>
      <c r="K557" s="304">
        <v>22</v>
      </c>
      <c r="L557" s="303" t="s">
        <v>1738</v>
      </c>
      <c r="M557" s="304" t="s">
        <v>1751</v>
      </c>
      <c r="N557" s="450">
        <v>0.5485714285714286</v>
      </c>
      <c r="O557" s="309">
        <f t="shared" si="107"/>
        <v>1.0971428571428572</v>
      </c>
      <c r="P557" s="310">
        <f t="shared" si="108"/>
        <v>10.828571428571429</v>
      </c>
      <c r="Q557" s="329">
        <v>5.4142857142857146</v>
      </c>
      <c r="R557" s="312">
        <v>192</v>
      </c>
      <c r="S557" s="307">
        <v>175</v>
      </c>
      <c r="T557" s="377">
        <f t="shared" si="109"/>
        <v>350</v>
      </c>
      <c r="U557" s="377">
        <f t="shared" si="110"/>
        <v>1895</v>
      </c>
      <c r="V557" s="307">
        <v>1250</v>
      </c>
      <c r="W557" s="307">
        <v>645</v>
      </c>
      <c r="X557" s="313" t="s">
        <v>3449</v>
      </c>
      <c r="Y557" s="314" t="s">
        <v>2985</v>
      </c>
      <c r="Z557" s="315" t="s">
        <v>12</v>
      </c>
      <c r="AA557" s="315" t="s">
        <v>3524</v>
      </c>
      <c r="AB557" s="304" t="s">
        <v>1754</v>
      </c>
      <c r="AC557" s="303" t="s">
        <v>3376</v>
      </c>
      <c r="AD557" s="307" t="s">
        <v>3535</v>
      </c>
      <c r="AE557" s="317" t="s">
        <v>2985</v>
      </c>
      <c r="AF557" s="315" t="s">
        <v>3342</v>
      </c>
      <c r="AG557" s="443">
        <v>2.74</v>
      </c>
      <c r="AH557" s="313">
        <f>100-SUM(AI557:AQ557)</f>
        <v>50</v>
      </c>
      <c r="AI557" s="307">
        <v>0</v>
      </c>
      <c r="AJ557" s="315">
        <v>0</v>
      </c>
      <c r="AK557" s="315">
        <v>50</v>
      </c>
      <c r="AL557" s="315">
        <v>0</v>
      </c>
      <c r="AM557" s="315">
        <v>0</v>
      </c>
      <c r="AN557" s="307">
        <v>0</v>
      </c>
      <c r="AO557" s="307">
        <v>0</v>
      </c>
      <c r="AP557" s="307">
        <v>0</v>
      </c>
      <c r="AQ557" s="307">
        <v>0</v>
      </c>
      <c r="AR557" s="307">
        <v>0</v>
      </c>
      <c r="AS557" s="307">
        <v>0</v>
      </c>
      <c r="AT557" s="307">
        <v>0</v>
      </c>
      <c r="AU557" s="307">
        <v>0</v>
      </c>
      <c r="AV557" s="307">
        <v>0</v>
      </c>
      <c r="AW557" s="307">
        <v>0</v>
      </c>
      <c r="AX557" s="304">
        <v>0</v>
      </c>
      <c r="AY557" s="303">
        <v>42.5</v>
      </c>
      <c r="AZ557" s="311"/>
      <c r="BA557" s="307">
        <v>32</v>
      </c>
      <c r="BB557" s="94" t="s">
        <v>2985</v>
      </c>
      <c r="BC557" s="426">
        <v>29.5</v>
      </c>
      <c r="BD557" s="307" t="s">
        <v>3520</v>
      </c>
      <c r="BE557" s="312">
        <v>100</v>
      </c>
      <c r="BF557" s="307" t="s">
        <v>246</v>
      </c>
      <c r="BG557" s="307">
        <v>200</v>
      </c>
      <c r="BH557" s="426">
        <v>25</v>
      </c>
      <c r="BI557" s="330" t="s">
        <v>2985</v>
      </c>
      <c r="BJ557" s="307">
        <v>28</v>
      </c>
      <c r="BK557" s="317" t="s">
        <v>2985</v>
      </c>
      <c r="BL557" s="307">
        <v>23</v>
      </c>
      <c r="BM557" s="317" t="s">
        <v>2985</v>
      </c>
      <c r="BN557" s="307">
        <v>60</v>
      </c>
      <c r="BO557" s="332" t="s">
        <v>2985</v>
      </c>
      <c r="BP557" s="320" t="s">
        <v>3337</v>
      </c>
      <c r="BQ557" s="348"/>
      <c r="BR557" s="307"/>
      <c r="BS557" s="320"/>
      <c r="BT557" s="321"/>
      <c r="CO557" s="322"/>
      <c r="CP557" s="322"/>
      <c r="CQ557" s="322"/>
      <c r="CR557" s="322"/>
    </row>
    <row r="558" spans="1:96">
      <c r="A558" s="458">
        <v>2181</v>
      </c>
      <c r="B558" s="533" t="s">
        <v>3614</v>
      </c>
      <c r="C558" s="466" t="s">
        <v>3590</v>
      </c>
      <c r="D558" s="383"/>
      <c r="E558" s="470" t="s">
        <v>3590</v>
      </c>
      <c r="F558" s="303" t="s">
        <v>3278</v>
      </c>
      <c r="G558" s="386" t="s">
        <v>425</v>
      </c>
      <c r="H558" s="303" t="s">
        <v>3290</v>
      </c>
      <c r="I558" s="697" t="s">
        <v>3379</v>
      </c>
      <c r="J558" s="307">
        <v>1994</v>
      </c>
      <c r="K558" s="304">
        <v>22</v>
      </c>
      <c r="L558" s="303" t="s">
        <v>1738</v>
      </c>
      <c r="M558" s="304" t="s">
        <v>1751</v>
      </c>
      <c r="N558" s="450">
        <v>0.5757575757575758</v>
      </c>
      <c r="O558" s="309">
        <f t="shared" si="107"/>
        <v>0.5757575757575758</v>
      </c>
      <c r="P558" s="310">
        <f t="shared" si="108"/>
        <v>5.8424242424242427</v>
      </c>
      <c r="Q558" s="329">
        <v>5.8424242424242427</v>
      </c>
      <c r="R558" s="312">
        <v>190</v>
      </c>
      <c r="S558" s="307">
        <v>330</v>
      </c>
      <c r="T558" s="377">
        <f t="shared" si="109"/>
        <v>330</v>
      </c>
      <c r="U558" s="377">
        <f t="shared" si="110"/>
        <v>1928</v>
      </c>
      <c r="V558" s="307">
        <v>1150</v>
      </c>
      <c r="W558" s="307">
        <v>778</v>
      </c>
      <c r="X558" s="313" t="s">
        <v>3449</v>
      </c>
      <c r="Y558" s="314" t="s">
        <v>2985</v>
      </c>
      <c r="Z558" s="315" t="s">
        <v>12</v>
      </c>
      <c r="AA558" s="315" t="s">
        <v>1754</v>
      </c>
      <c r="AB558" s="304" t="s">
        <v>1754</v>
      </c>
      <c r="AC558" s="303" t="s">
        <v>3376</v>
      </c>
      <c r="AD558" s="307" t="s">
        <v>3535</v>
      </c>
      <c r="AE558" s="317" t="s">
        <v>2985</v>
      </c>
      <c r="AF558" s="315" t="s">
        <v>3342</v>
      </c>
      <c r="AG558" s="443">
        <v>2.74</v>
      </c>
      <c r="AH558" s="313">
        <v>100</v>
      </c>
      <c r="AI558" s="307">
        <v>0</v>
      </c>
      <c r="AJ558" s="315">
        <v>0</v>
      </c>
      <c r="AK558" s="315">
        <v>0</v>
      </c>
      <c r="AL558" s="315">
        <v>0</v>
      </c>
      <c r="AM558" s="315">
        <v>0</v>
      </c>
      <c r="AN558" s="307">
        <v>0</v>
      </c>
      <c r="AO558" s="307">
        <v>0</v>
      </c>
      <c r="AP558" s="307">
        <v>0</v>
      </c>
      <c r="AQ558" s="307">
        <v>0</v>
      </c>
      <c r="AR558" s="307">
        <v>0</v>
      </c>
      <c r="AS558" s="307">
        <v>0</v>
      </c>
      <c r="AT558" s="307">
        <v>0</v>
      </c>
      <c r="AU558" s="307">
        <v>0</v>
      </c>
      <c r="AV558" s="307">
        <v>0</v>
      </c>
      <c r="AW558" s="307">
        <v>0</v>
      </c>
      <c r="AX558" s="304">
        <v>0</v>
      </c>
      <c r="AY558" s="303">
        <v>42.5</v>
      </c>
      <c r="AZ558" s="311"/>
      <c r="BA558" s="307">
        <v>40</v>
      </c>
      <c r="BB558" s="94" t="s">
        <v>2985</v>
      </c>
      <c r="BC558" s="426">
        <v>32.799999999999997</v>
      </c>
      <c r="BD558" s="307" t="s">
        <v>3520</v>
      </c>
      <c r="BE558" s="312">
        <v>100</v>
      </c>
      <c r="BF558" s="307" t="s">
        <v>246</v>
      </c>
      <c r="BG558" s="307">
        <v>200</v>
      </c>
      <c r="BH558" s="426">
        <v>25</v>
      </c>
      <c r="BI558" s="330" t="s">
        <v>2985</v>
      </c>
      <c r="BJ558" s="307">
        <v>28</v>
      </c>
      <c r="BK558" s="317" t="s">
        <v>2985</v>
      </c>
      <c r="BL558" s="307">
        <v>23</v>
      </c>
      <c r="BM558" s="317" t="s">
        <v>2985</v>
      </c>
      <c r="BN558" s="307">
        <v>60</v>
      </c>
      <c r="BO558" s="332" t="s">
        <v>2985</v>
      </c>
      <c r="BP558" s="320" t="s">
        <v>3338</v>
      </c>
      <c r="BQ558" s="348"/>
      <c r="BR558" s="307"/>
      <c r="BS558" s="320"/>
      <c r="BT558" s="321"/>
      <c r="CO558" s="322"/>
      <c r="CP558" s="322"/>
      <c r="CQ558" s="322"/>
      <c r="CR558" s="322"/>
    </row>
    <row r="559" spans="1:96">
      <c r="A559" s="458">
        <v>2183</v>
      </c>
      <c r="B559" s="533" t="s">
        <v>3614</v>
      </c>
      <c r="C559" s="383"/>
      <c r="D559" s="383"/>
      <c r="E559" s="470" t="s">
        <v>3590</v>
      </c>
      <c r="F559" s="303" t="s">
        <v>3280</v>
      </c>
      <c r="G559" s="386" t="s">
        <v>425</v>
      </c>
      <c r="H559" s="303" t="s">
        <v>3290</v>
      </c>
      <c r="I559" s="697" t="s">
        <v>3379</v>
      </c>
      <c r="J559" s="307">
        <v>1994</v>
      </c>
      <c r="K559" s="304">
        <v>22</v>
      </c>
      <c r="L559" s="303" t="s">
        <v>1738</v>
      </c>
      <c r="M559" s="304" t="s">
        <v>1751</v>
      </c>
      <c r="N559" s="450">
        <v>0.55813953488372092</v>
      </c>
      <c r="O559" s="309">
        <f t="shared" si="107"/>
        <v>1.1162790697674418</v>
      </c>
      <c r="P559" s="310">
        <f t="shared" si="108"/>
        <v>11.040697674418604</v>
      </c>
      <c r="Q559" s="329">
        <v>5.5203488372093021</v>
      </c>
      <c r="R559" s="312">
        <v>192</v>
      </c>
      <c r="S559" s="307">
        <v>172</v>
      </c>
      <c r="T559" s="377">
        <f t="shared" si="109"/>
        <v>344</v>
      </c>
      <c r="U559" s="377">
        <f t="shared" si="110"/>
        <v>1899</v>
      </c>
      <c r="V559" s="307">
        <v>1250</v>
      </c>
      <c r="W559" s="307">
        <v>649</v>
      </c>
      <c r="X559" s="313" t="s">
        <v>3449</v>
      </c>
      <c r="Y559" s="314" t="s">
        <v>2985</v>
      </c>
      <c r="Z559" s="315" t="s">
        <v>12</v>
      </c>
      <c r="AA559" s="315" t="s">
        <v>3524</v>
      </c>
      <c r="AB559" s="304" t="s">
        <v>1754</v>
      </c>
      <c r="AC559" s="303" t="s">
        <v>3376</v>
      </c>
      <c r="AD559" s="307" t="s">
        <v>3535</v>
      </c>
      <c r="AE559" s="317" t="s">
        <v>2985</v>
      </c>
      <c r="AF559" s="315" t="s">
        <v>3342</v>
      </c>
      <c r="AG559" s="443">
        <v>2.74</v>
      </c>
      <c r="AH559" s="313">
        <v>50</v>
      </c>
      <c r="AI559" s="307">
        <v>0</v>
      </c>
      <c r="AJ559" s="315">
        <v>0</v>
      </c>
      <c r="AK559" s="315">
        <v>50</v>
      </c>
      <c r="AL559" s="315">
        <v>0</v>
      </c>
      <c r="AM559" s="315">
        <v>0</v>
      </c>
      <c r="AN559" s="307">
        <v>0</v>
      </c>
      <c r="AO559" s="307">
        <v>0</v>
      </c>
      <c r="AP559" s="307">
        <v>0</v>
      </c>
      <c r="AQ559" s="307">
        <v>0</v>
      </c>
      <c r="AR559" s="307">
        <v>0</v>
      </c>
      <c r="AS559" s="307">
        <v>0</v>
      </c>
      <c r="AT559" s="307">
        <v>0</v>
      </c>
      <c r="AU559" s="307">
        <v>0</v>
      </c>
      <c r="AV559" s="307">
        <v>0</v>
      </c>
      <c r="AW559" s="307">
        <v>0</v>
      </c>
      <c r="AX559" s="304">
        <v>0</v>
      </c>
      <c r="AY559" s="303">
        <v>38.5</v>
      </c>
      <c r="AZ559" s="311"/>
      <c r="BA559" s="307">
        <v>35</v>
      </c>
      <c r="BB559" s="94" t="s">
        <v>2985</v>
      </c>
      <c r="BC559" s="355" t="s">
        <v>2985</v>
      </c>
      <c r="BD559" s="307" t="s">
        <v>3520</v>
      </c>
      <c r="BE559" s="312">
        <v>100</v>
      </c>
      <c r="BF559" s="307" t="s">
        <v>246</v>
      </c>
      <c r="BG559" s="307">
        <v>200</v>
      </c>
      <c r="BH559" s="426">
        <v>25</v>
      </c>
      <c r="BI559" s="330" t="s">
        <v>2985</v>
      </c>
      <c r="BJ559" s="307">
        <v>28</v>
      </c>
      <c r="BK559" s="317" t="s">
        <v>2985</v>
      </c>
      <c r="BL559" s="307">
        <v>23</v>
      </c>
      <c r="BM559" s="317" t="s">
        <v>2985</v>
      </c>
      <c r="BN559" s="307">
        <v>60</v>
      </c>
      <c r="BO559" s="332" t="s">
        <v>2985</v>
      </c>
      <c r="BP559" s="320" t="s">
        <v>3338</v>
      </c>
      <c r="BQ559" s="348"/>
      <c r="BR559" s="307"/>
      <c r="BS559" s="320"/>
      <c r="BT559" s="321"/>
      <c r="CO559" s="322"/>
      <c r="CP559" s="322"/>
      <c r="CQ559" s="322"/>
      <c r="CR559" s="322"/>
    </row>
    <row r="560" spans="1:96">
      <c r="A560" s="458">
        <v>2184</v>
      </c>
      <c r="B560" s="533" t="s">
        <v>3614</v>
      </c>
      <c r="C560" s="466" t="s">
        <v>3590</v>
      </c>
      <c r="D560" s="383"/>
      <c r="E560" s="470" t="s">
        <v>3590</v>
      </c>
      <c r="F560" s="303" t="s">
        <v>3281</v>
      </c>
      <c r="G560" s="386" t="s">
        <v>425</v>
      </c>
      <c r="H560" s="303" t="s">
        <v>3290</v>
      </c>
      <c r="I560" s="697" t="s">
        <v>3379</v>
      </c>
      <c r="J560" s="307">
        <v>1994</v>
      </c>
      <c r="K560" s="304">
        <v>22</v>
      </c>
      <c r="L560" s="303" t="s">
        <v>1738</v>
      </c>
      <c r="M560" s="304" t="s">
        <v>1751</v>
      </c>
      <c r="N560" s="450">
        <v>0.5757575757575758</v>
      </c>
      <c r="O560" s="309">
        <f t="shared" si="107"/>
        <v>0.5757575757575758</v>
      </c>
      <c r="P560" s="310">
        <f t="shared" si="108"/>
        <v>5.8424242424242427</v>
      </c>
      <c r="Q560" s="329">
        <v>5.8424242424242427</v>
      </c>
      <c r="R560" s="312">
        <v>190</v>
      </c>
      <c r="S560" s="307">
        <v>330</v>
      </c>
      <c r="T560" s="377">
        <f t="shared" si="109"/>
        <v>330</v>
      </c>
      <c r="U560" s="377">
        <f t="shared" si="110"/>
        <v>1928</v>
      </c>
      <c r="V560" s="307">
        <v>1150</v>
      </c>
      <c r="W560" s="307">
        <v>778</v>
      </c>
      <c r="X560" s="313" t="s">
        <v>3449</v>
      </c>
      <c r="Y560" s="314" t="s">
        <v>2985</v>
      </c>
      <c r="Z560" s="315" t="s">
        <v>12</v>
      </c>
      <c r="AA560" s="315" t="s">
        <v>1754</v>
      </c>
      <c r="AB560" s="304" t="s">
        <v>1754</v>
      </c>
      <c r="AC560" s="303" t="s">
        <v>3376</v>
      </c>
      <c r="AD560" s="307" t="s">
        <v>3535</v>
      </c>
      <c r="AE560" s="317" t="s">
        <v>2985</v>
      </c>
      <c r="AF560" s="315" t="s">
        <v>3342</v>
      </c>
      <c r="AG560" s="443">
        <v>2.74</v>
      </c>
      <c r="AH560" s="313">
        <v>100</v>
      </c>
      <c r="AI560" s="307">
        <v>0</v>
      </c>
      <c r="AJ560" s="315">
        <v>0</v>
      </c>
      <c r="AK560" s="315">
        <v>0</v>
      </c>
      <c r="AL560" s="315">
        <v>0</v>
      </c>
      <c r="AM560" s="315">
        <v>0</v>
      </c>
      <c r="AN560" s="307">
        <v>0</v>
      </c>
      <c r="AO560" s="307">
        <v>0</v>
      </c>
      <c r="AP560" s="307">
        <v>0</v>
      </c>
      <c r="AQ560" s="307">
        <v>0</v>
      </c>
      <c r="AR560" s="307">
        <v>0</v>
      </c>
      <c r="AS560" s="307">
        <v>0</v>
      </c>
      <c r="AT560" s="307">
        <v>0</v>
      </c>
      <c r="AU560" s="307">
        <v>0</v>
      </c>
      <c r="AV560" s="307">
        <v>0</v>
      </c>
      <c r="AW560" s="307">
        <v>0</v>
      </c>
      <c r="AX560" s="304">
        <v>0</v>
      </c>
      <c r="AY560" s="303">
        <v>51</v>
      </c>
      <c r="AZ560" s="311"/>
      <c r="BA560" s="317" t="s">
        <v>2985</v>
      </c>
      <c r="BB560" s="94" t="s">
        <v>2985</v>
      </c>
      <c r="BC560" s="419" t="s">
        <v>2985</v>
      </c>
      <c r="BD560" s="307" t="s">
        <v>3520</v>
      </c>
      <c r="BE560" s="312">
        <v>100</v>
      </c>
      <c r="BF560" s="307" t="s">
        <v>246</v>
      </c>
      <c r="BG560" s="307">
        <v>200</v>
      </c>
      <c r="BH560" s="426">
        <v>25</v>
      </c>
      <c r="BI560" s="330" t="s">
        <v>2985</v>
      </c>
      <c r="BJ560" s="307">
        <v>28</v>
      </c>
      <c r="BK560" s="317" t="s">
        <v>2985</v>
      </c>
      <c r="BL560" s="307">
        <v>23</v>
      </c>
      <c r="BM560" s="317" t="s">
        <v>2985</v>
      </c>
      <c r="BN560" s="307">
        <v>60</v>
      </c>
      <c r="BO560" s="332" t="s">
        <v>2985</v>
      </c>
      <c r="BP560" s="320" t="s">
        <v>3337</v>
      </c>
      <c r="BQ560" s="348"/>
      <c r="BR560" s="307"/>
      <c r="BS560" s="320"/>
      <c r="BT560" s="321"/>
      <c r="CO560" s="322"/>
      <c r="CP560" s="322"/>
      <c r="CQ560" s="322"/>
      <c r="CR560" s="322"/>
    </row>
    <row r="561" spans="1:99">
      <c r="A561" s="458">
        <v>2185</v>
      </c>
      <c r="B561" s="533" t="s">
        <v>3614</v>
      </c>
      <c r="C561" s="383"/>
      <c r="D561" s="383"/>
      <c r="E561" s="470" t="s">
        <v>3590</v>
      </c>
      <c r="F561" s="303" t="s">
        <v>3282</v>
      </c>
      <c r="G561" s="386" t="s">
        <v>425</v>
      </c>
      <c r="H561" s="303" t="s">
        <v>3290</v>
      </c>
      <c r="I561" s="697" t="s">
        <v>3379</v>
      </c>
      <c r="J561" s="307">
        <v>1994</v>
      </c>
      <c r="K561" s="304">
        <v>22</v>
      </c>
      <c r="L561" s="303" t="s">
        <v>1738</v>
      </c>
      <c r="M561" s="304" t="s">
        <v>1751</v>
      </c>
      <c r="N561" s="450">
        <v>0.55813953488372092</v>
      </c>
      <c r="O561" s="309">
        <f t="shared" si="107"/>
        <v>1.1162790697674418</v>
      </c>
      <c r="P561" s="310">
        <f t="shared" si="108"/>
        <v>11.040697674418604</v>
      </c>
      <c r="Q561" s="329">
        <v>5.5203488372093021</v>
      </c>
      <c r="R561" s="312">
        <v>192</v>
      </c>
      <c r="S561" s="307">
        <v>172</v>
      </c>
      <c r="T561" s="377">
        <f t="shared" si="109"/>
        <v>344</v>
      </c>
      <c r="U561" s="377">
        <f t="shared" si="110"/>
        <v>1899</v>
      </c>
      <c r="V561" s="307">
        <v>1250</v>
      </c>
      <c r="W561" s="307">
        <v>649</v>
      </c>
      <c r="X561" s="313" t="s">
        <v>3449</v>
      </c>
      <c r="Y561" s="314" t="s">
        <v>2985</v>
      </c>
      <c r="Z561" s="315" t="s">
        <v>12</v>
      </c>
      <c r="AA561" s="315" t="s">
        <v>3524</v>
      </c>
      <c r="AB561" s="304" t="s">
        <v>1754</v>
      </c>
      <c r="AC561" s="303" t="s">
        <v>3376</v>
      </c>
      <c r="AD561" s="307" t="s">
        <v>3535</v>
      </c>
      <c r="AE561" s="317" t="s">
        <v>2985</v>
      </c>
      <c r="AF561" s="315" t="s">
        <v>3342</v>
      </c>
      <c r="AG561" s="443">
        <v>2.74</v>
      </c>
      <c r="AH561" s="313">
        <v>50</v>
      </c>
      <c r="AI561" s="307">
        <v>0</v>
      </c>
      <c r="AJ561" s="315">
        <v>0</v>
      </c>
      <c r="AK561" s="315">
        <v>50</v>
      </c>
      <c r="AL561" s="315">
        <v>0</v>
      </c>
      <c r="AM561" s="315">
        <v>0</v>
      </c>
      <c r="AN561" s="307">
        <v>0</v>
      </c>
      <c r="AO561" s="307">
        <v>0</v>
      </c>
      <c r="AP561" s="307">
        <v>0</v>
      </c>
      <c r="AQ561" s="307">
        <v>0</v>
      </c>
      <c r="AR561" s="307">
        <v>0</v>
      </c>
      <c r="AS561" s="307">
        <v>0</v>
      </c>
      <c r="AT561" s="307">
        <v>0</v>
      </c>
      <c r="AU561" s="307">
        <v>0</v>
      </c>
      <c r="AV561" s="307">
        <v>0</v>
      </c>
      <c r="AW561" s="307">
        <v>0</v>
      </c>
      <c r="AX561" s="304">
        <v>0</v>
      </c>
      <c r="AY561" s="303">
        <v>41</v>
      </c>
      <c r="AZ561" s="311"/>
      <c r="BA561" s="317" t="s">
        <v>2985</v>
      </c>
      <c r="BB561" s="94" t="s">
        <v>2985</v>
      </c>
      <c r="BC561" s="426">
        <v>25.5</v>
      </c>
      <c r="BD561" s="307" t="s">
        <v>3520</v>
      </c>
      <c r="BE561" s="312">
        <v>100</v>
      </c>
      <c r="BF561" s="307" t="s">
        <v>246</v>
      </c>
      <c r="BG561" s="307">
        <v>200</v>
      </c>
      <c r="BH561" s="426">
        <v>25</v>
      </c>
      <c r="BI561" s="330" t="s">
        <v>2985</v>
      </c>
      <c r="BJ561" s="307">
        <v>28</v>
      </c>
      <c r="BK561" s="317" t="s">
        <v>2985</v>
      </c>
      <c r="BL561" s="307">
        <v>23</v>
      </c>
      <c r="BM561" s="317" t="s">
        <v>2985</v>
      </c>
      <c r="BN561" s="307">
        <v>60</v>
      </c>
      <c r="BO561" s="332" t="s">
        <v>2985</v>
      </c>
      <c r="BP561" s="320" t="s">
        <v>3337</v>
      </c>
      <c r="BQ561" s="348"/>
      <c r="BR561" s="307"/>
      <c r="BS561" s="320"/>
      <c r="BT561" s="321"/>
      <c r="CO561" s="322"/>
      <c r="CP561" s="322"/>
      <c r="CQ561" s="322"/>
      <c r="CR561" s="322"/>
    </row>
    <row r="562" spans="1:99">
      <c r="A562" s="458">
        <v>2187</v>
      </c>
      <c r="B562" s="533" t="s">
        <v>3614</v>
      </c>
      <c r="C562" s="383"/>
      <c r="D562" s="383"/>
      <c r="E562" s="470" t="s">
        <v>3590</v>
      </c>
      <c r="F562" s="303" t="s">
        <v>3284</v>
      </c>
      <c r="G562" s="386" t="s">
        <v>425</v>
      </c>
      <c r="H562" s="303" t="s">
        <v>3290</v>
      </c>
      <c r="I562" s="697" t="s">
        <v>3379</v>
      </c>
      <c r="J562" s="307">
        <v>1994</v>
      </c>
      <c r="K562" s="304">
        <v>22</v>
      </c>
      <c r="L562" s="303" t="s">
        <v>1738</v>
      </c>
      <c r="M562" s="304" t="s">
        <v>1751</v>
      </c>
      <c r="N562" s="474">
        <v>0.676056338028169</v>
      </c>
      <c r="O562" s="309">
        <f t="shared" si="107"/>
        <v>1.4222222222222223</v>
      </c>
      <c r="P562" s="310">
        <f t="shared" si="108"/>
        <v>14.407407407407407</v>
      </c>
      <c r="Q562" s="329">
        <v>6.848591549295775</v>
      </c>
      <c r="R562" s="312">
        <v>192</v>
      </c>
      <c r="S562" s="307">
        <v>135</v>
      </c>
      <c r="T562" s="377">
        <f t="shared" si="109"/>
        <v>284</v>
      </c>
      <c r="U562" s="377">
        <f t="shared" si="110"/>
        <v>1945</v>
      </c>
      <c r="V562" s="307">
        <v>1250</v>
      </c>
      <c r="W562" s="307">
        <v>695</v>
      </c>
      <c r="X562" s="313" t="s">
        <v>3449</v>
      </c>
      <c r="Y562" s="314" t="s">
        <v>2985</v>
      </c>
      <c r="Z562" s="315" t="s">
        <v>12</v>
      </c>
      <c r="AA562" s="311" t="s">
        <v>3524</v>
      </c>
      <c r="AB562" s="304" t="s">
        <v>1754</v>
      </c>
      <c r="AC562" s="303" t="s">
        <v>3376</v>
      </c>
      <c r="AD562" s="307" t="s">
        <v>3535</v>
      </c>
      <c r="AE562" s="317" t="s">
        <v>2985</v>
      </c>
      <c r="AF562" s="315" t="s">
        <v>3342</v>
      </c>
      <c r="AG562" s="443">
        <v>2.74</v>
      </c>
      <c r="AH562" s="313">
        <v>47</v>
      </c>
      <c r="AI562" s="312">
        <v>5</v>
      </c>
      <c r="AJ562" s="315">
        <v>0</v>
      </c>
      <c r="AK562" s="315">
        <v>48</v>
      </c>
      <c r="AL562" s="315">
        <v>0</v>
      </c>
      <c r="AM562" s="315">
        <v>0</v>
      </c>
      <c r="AN562" s="307">
        <v>0</v>
      </c>
      <c r="AO562" s="307">
        <v>0</v>
      </c>
      <c r="AP562" s="307">
        <v>0</v>
      </c>
      <c r="AQ562" s="307">
        <v>0</v>
      </c>
      <c r="AR562" s="307">
        <v>0</v>
      </c>
      <c r="AS562" s="307">
        <v>0</v>
      </c>
      <c r="AT562" s="307">
        <v>0</v>
      </c>
      <c r="AU562" s="307">
        <v>0</v>
      </c>
      <c r="AV562" s="307">
        <v>0</v>
      </c>
      <c r="AW562" s="307">
        <v>0</v>
      </c>
      <c r="AX562" s="304">
        <v>0</v>
      </c>
      <c r="AY562" s="303">
        <v>34</v>
      </c>
      <c r="AZ562" s="311"/>
      <c r="BA562" s="317" t="s">
        <v>2985</v>
      </c>
      <c r="BB562" s="94" t="s">
        <v>2985</v>
      </c>
      <c r="BC562" s="426">
        <v>28.5</v>
      </c>
      <c r="BD562" s="307" t="s">
        <v>3520</v>
      </c>
      <c r="BE562" s="312">
        <v>100</v>
      </c>
      <c r="BF562" s="307" t="s">
        <v>246</v>
      </c>
      <c r="BG562" s="307">
        <v>200</v>
      </c>
      <c r="BH562" s="426">
        <v>25</v>
      </c>
      <c r="BI562" s="330" t="s">
        <v>2985</v>
      </c>
      <c r="BJ562" s="307">
        <v>28</v>
      </c>
      <c r="BK562" s="317" t="s">
        <v>2985</v>
      </c>
      <c r="BL562" s="307">
        <v>23</v>
      </c>
      <c r="BM562" s="317" t="s">
        <v>2985</v>
      </c>
      <c r="BN562" s="307">
        <v>60</v>
      </c>
      <c r="BO562" s="332" t="s">
        <v>2985</v>
      </c>
      <c r="BP562" s="320" t="s">
        <v>3337</v>
      </c>
      <c r="BQ562" s="348"/>
      <c r="BR562" s="348"/>
      <c r="BS562" s="343"/>
      <c r="BT562" s="348"/>
      <c r="BU562" s="307"/>
      <c r="BV562" s="320"/>
      <c r="BW562" s="321"/>
      <c r="CO562" s="322"/>
      <c r="CP562" s="322"/>
      <c r="CQ562" s="322"/>
      <c r="CR562" s="322"/>
      <c r="CS562" s="322"/>
      <c r="CT562" s="322"/>
      <c r="CU562" s="322"/>
    </row>
    <row r="563" spans="1:99" ht="18.75" thickBot="1">
      <c r="A563" s="692">
        <v>2190</v>
      </c>
      <c r="B563" s="536" t="s">
        <v>3634</v>
      </c>
      <c r="C563" s="471" t="s">
        <v>3590</v>
      </c>
      <c r="D563" s="471" t="s">
        <v>3590</v>
      </c>
      <c r="E563" s="472"/>
      <c r="F563" s="420" t="s">
        <v>3287</v>
      </c>
      <c r="G563" s="542" t="s">
        <v>3306</v>
      </c>
      <c r="H563" s="420" t="s">
        <v>3290</v>
      </c>
      <c r="I563" s="699" t="s">
        <v>3379</v>
      </c>
      <c r="J563" s="421">
        <v>2006</v>
      </c>
      <c r="K563" s="422">
        <v>23</v>
      </c>
      <c r="L563" s="420" t="s">
        <v>1738</v>
      </c>
      <c r="M563" s="422" t="s">
        <v>1751</v>
      </c>
      <c r="N563" s="702">
        <v>0.35011441647597252</v>
      </c>
      <c r="O563" s="704">
        <f t="shared" si="107"/>
        <v>0.5</v>
      </c>
      <c r="P563" s="451">
        <f t="shared" si="108"/>
        <v>5.9673202614379086</v>
      </c>
      <c r="Q563" s="487">
        <v>4.1784897025171626</v>
      </c>
      <c r="R563" s="488">
        <v>153</v>
      </c>
      <c r="S563" s="421">
        <v>306</v>
      </c>
      <c r="T563" s="452">
        <f t="shared" ref="T563" si="111">U563/Q563</f>
        <v>437</v>
      </c>
      <c r="U563" s="452">
        <f t="shared" ref="U563" si="112">V563+W563</f>
        <v>1826</v>
      </c>
      <c r="V563" s="421">
        <v>1050</v>
      </c>
      <c r="W563" s="421">
        <v>776</v>
      </c>
      <c r="X563" s="438" t="s">
        <v>3449</v>
      </c>
      <c r="Y563" s="711" t="s">
        <v>2985</v>
      </c>
      <c r="Z563" s="481" t="s">
        <v>2985</v>
      </c>
      <c r="AA563" s="489" t="s">
        <v>3543</v>
      </c>
      <c r="AB563" s="422" t="s">
        <v>1754</v>
      </c>
      <c r="AC563" s="165" t="s">
        <v>2315</v>
      </c>
      <c r="AD563" s="714" t="s">
        <v>3536</v>
      </c>
      <c r="AE563" s="481" t="s">
        <v>2985</v>
      </c>
      <c r="AF563" s="489" t="s">
        <v>3347</v>
      </c>
      <c r="AG563" s="718">
        <v>2.71</v>
      </c>
      <c r="AH563" s="438">
        <v>70</v>
      </c>
      <c r="AI563" s="421">
        <v>0</v>
      </c>
      <c r="AJ563" s="489">
        <v>0</v>
      </c>
      <c r="AK563" s="489">
        <v>0</v>
      </c>
      <c r="AL563" s="489">
        <v>30</v>
      </c>
      <c r="AM563" s="489">
        <v>0</v>
      </c>
      <c r="AN563" s="421">
        <v>0</v>
      </c>
      <c r="AO563" s="421">
        <v>0</v>
      </c>
      <c r="AP563" s="421">
        <v>0</v>
      </c>
      <c r="AQ563" s="421">
        <v>0</v>
      </c>
      <c r="AR563" s="421">
        <v>0</v>
      </c>
      <c r="AS563" s="421">
        <v>0</v>
      </c>
      <c r="AT563" s="421">
        <v>0</v>
      </c>
      <c r="AU563" s="487">
        <v>0.39886039886039887</v>
      </c>
      <c r="AV563" s="421">
        <v>0</v>
      </c>
      <c r="AW563" s="421">
        <v>0</v>
      </c>
      <c r="AX563" s="422">
        <v>0</v>
      </c>
      <c r="AY563" s="420">
        <v>58.5</v>
      </c>
      <c r="AZ563" s="714"/>
      <c r="BA563" s="481" t="s">
        <v>2985</v>
      </c>
      <c r="BB563" s="481" t="s">
        <v>2985</v>
      </c>
      <c r="BC563" s="719">
        <v>38.700000000000003</v>
      </c>
      <c r="BD563" s="421" t="s">
        <v>3518</v>
      </c>
      <c r="BE563" s="488">
        <v>50</v>
      </c>
      <c r="BF563" s="421" t="s">
        <v>246</v>
      </c>
      <c r="BG563" s="421">
        <v>200</v>
      </c>
      <c r="BH563" s="719">
        <v>20</v>
      </c>
      <c r="BI563" s="490" t="s">
        <v>2985</v>
      </c>
      <c r="BJ563" s="421">
        <v>7</v>
      </c>
      <c r="BK563" s="481" t="s">
        <v>2985</v>
      </c>
      <c r="BL563" s="421">
        <v>25</v>
      </c>
      <c r="BM563" s="481" t="s">
        <v>2985</v>
      </c>
      <c r="BN563" s="421">
        <v>65</v>
      </c>
      <c r="BO563" s="526" t="s">
        <v>2985</v>
      </c>
      <c r="BP563" s="320" t="s">
        <v>3401</v>
      </c>
      <c r="BQ563" s="348"/>
      <c r="BR563" s="348"/>
      <c r="BS563" s="343"/>
      <c r="BT563" s="348"/>
      <c r="BU563" s="307"/>
      <c r="BV563" s="320"/>
      <c r="BW563" s="321"/>
      <c r="CO563" s="322"/>
      <c r="CP563" s="322"/>
      <c r="CQ563" s="322"/>
      <c r="CR563" s="322"/>
      <c r="CS563" s="322"/>
      <c r="CT563" s="322"/>
      <c r="CU563" s="322"/>
    </row>
  </sheetData>
  <pageMargins left="0.7" right="0.7" top="0.75" bottom="0.75" header="0.3" footer="0.3"/>
  <pageSetup paperSize="9" orientation="portrait" horizontalDpi="4294967293"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317"/>
  <sheetViews>
    <sheetView workbookViewId="0"/>
  </sheetViews>
  <sheetFormatPr defaultRowHeight="15"/>
  <cols>
    <col min="1" max="1" width="10" style="48" bestFit="1" customWidth="1"/>
    <col min="2" max="2" width="9.5703125" style="549" bestFit="1" customWidth="1"/>
    <col min="3" max="3" width="10.140625" style="549" customWidth="1"/>
  </cols>
  <sheetData>
    <row r="1" spans="1:3" ht="30">
      <c r="A1" s="577" t="s">
        <v>3432</v>
      </c>
      <c r="B1" s="577" t="s">
        <v>3729</v>
      </c>
      <c r="C1" s="577" t="s">
        <v>3747</v>
      </c>
    </row>
    <row r="2" spans="1:3">
      <c r="A2" s="555">
        <v>2</v>
      </c>
      <c r="B2" s="556">
        <v>0</v>
      </c>
      <c r="C2" s="556">
        <v>0</v>
      </c>
    </row>
    <row r="3" spans="1:3">
      <c r="A3" s="555">
        <v>2</v>
      </c>
      <c r="B3" s="556">
        <v>7</v>
      </c>
      <c r="C3" s="556">
        <v>130</v>
      </c>
    </row>
    <row r="4" spans="1:3">
      <c r="A4" s="555">
        <v>2</v>
      </c>
      <c r="B4" s="556">
        <v>15</v>
      </c>
      <c r="C4" s="556">
        <v>186.7</v>
      </c>
    </row>
    <row r="5" spans="1:3">
      <c r="A5" s="555">
        <v>2</v>
      </c>
      <c r="B5" s="556">
        <v>22</v>
      </c>
      <c r="C5" s="556">
        <v>226.7</v>
      </c>
    </row>
    <row r="6" spans="1:3">
      <c r="A6" s="555">
        <v>2</v>
      </c>
      <c r="B6" s="556">
        <v>28</v>
      </c>
      <c r="C6" s="556">
        <v>226.7</v>
      </c>
    </row>
    <row r="7" spans="1:3">
      <c r="A7" s="555">
        <v>2</v>
      </c>
      <c r="B7" s="556">
        <v>35</v>
      </c>
      <c r="C7" s="556">
        <v>293.29999999999995</v>
      </c>
    </row>
    <row r="8" spans="1:3">
      <c r="A8" s="555">
        <v>2</v>
      </c>
      <c r="B8" s="556">
        <v>69</v>
      </c>
      <c r="C8" s="556">
        <v>356.70000000000005</v>
      </c>
    </row>
    <row r="9" spans="1:3">
      <c r="A9" s="555">
        <v>2</v>
      </c>
      <c r="B9" s="556">
        <v>82</v>
      </c>
      <c r="C9" s="556">
        <v>366.70000000000005</v>
      </c>
    </row>
    <row r="10" spans="1:3">
      <c r="A10" s="555">
        <v>2</v>
      </c>
      <c r="B10" s="556">
        <v>96</v>
      </c>
      <c r="C10" s="556">
        <v>346.7</v>
      </c>
    </row>
    <row r="11" spans="1:3">
      <c r="A11" s="557">
        <v>2</v>
      </c>
      <c r="B11" s="558">
        <v>117</v>
      </c>
      <c r="C11" s="558">
        <v>356.70000000000005</v>
      </c>
    </row>
    <row r="12" spans="1:3">
      <c r="A12" s="557">
        <v>2</v>
      </c>
      <c r="B12" s="558">
        <v>124</v>
      </c>
      <c r="C12" s="558">
        <v>343.29999999999995</v>
      </c>
    </row>
    <row r="13" spans="1:3">
      <c r="A13" s="557">
        <v>2</v>
      </c>
      <c r="B13" s="558">
        <v>132</v>
      </c>
      <c r="C13" s="558">
        <v>366.70000000000005</v>
      </c>
    </row>
    <row r="14" spans="1:3">
      <c r="A14" s="557">
        <v>2</v>
      </c>
      <c r="B14" s="558">
        <v>145</v>
      </c>
      <c r="C14" s="558">
        <v>323.29999999999995</v>
      </c>
    </row>
    <row r="15" spans="1:3">
      <c r="A15" s="557">
        <v>2</v>
      </c>
      <c r="B15" s="558">
        <v>152</v>
      </c>
      <c r="C15" s="558">
        <v>320</v>
      </c>
    </row>
    <row r="16" spans="1:3">
      <c r="A16" s="557">
        <v>2</v>
      </c>
      <c r="B16" s="558">
        <v>159</v>
      </c>
      <c r="C16" s="558">
        <v>330</v>
      </c>
    </row>
    <row r="17" spans="1:3">
      <c r="A17" s="557">
        <v>2</v>
      </c>
      <c r="B17" s="558">
        <v>166</v>
      </c>
      <c r="C17" s="558">
        <v>343.29999999999995</v>
      </c>
    </row>
    <row r="18" spans="1:3">
      <c r="A18" s="557">
        <v>2</v>
      </c>
      <c r="B18" s="558">
        <v>173</v>
      </c>
      <c r="C18" s="558">
        <v>350.00000000000006</v>
      </c>
    </row>
    <row r="19" spans="1:3">
      <c r="A19" s="557">
        <v>2</v>
      </c>
      <c r="B19" s="558">
        <v>180</v>
      </c>
      <c r="C19" s="558">
        <v>343.29999999999995</v>
      </c>
    </row>
    <row r="20" spans="1:3">
      <c r="A20" s="557">
        <v>2</v>
      </c>
      <c r="B20" s="558">
        <v>187</v>
      </c>
      <c r="C20" s="558">
        <v>336.7</v>
      </c>
    </row>
    <row r="21" spans="1:3">
      <c r="A21" s="557">
        <v>2</v>
      </c>
      <c r="B21" s="558">
        <v>245</v>
      </c>
      <c r="C21" s="558">
        <v>310</v>
      </c>
    </row>
    <row r="22" spans="1:3">
      <c r="A22" s="557">
        <v>2</v>
      </c>
      <c r="B22" s="558">
        <v>306</v>
      </c>
      <c r="C22" s="558">
        <v>276.7</v>
      </c>
    </row>
    <row r="23" spans="1:3">
      <c r="A23" s="557">
        <v>2</v>
      </c>
      <c r="B23" s="558">
        <v>368</v>
      </c>
      <c r="C23" s="558">
        <v>316.7</v>
      </c>
    </row>
    <row r="24" spans="1:3">
      <c r="A24" s="557">
        <v>2</v>
      </c>
      <c r="B24" s="558">
        <v>427</v>
      </c>
      <c r="C24" s="558">
        <v>320</v>
      </c>
    </row>
    <row r="25" spans="1:3">
      <c r="A25" s="557">
        <v>2</v>
      </c>
      <c r="B25" s="558">
        <v>488</v>
      </c>
      <c r="C25" s="558">
        <v>323.29999999999995</v>
      </c>
    </row>
    <row r="26" spans="1:3">
      <c r="A26" s="559">
        <v>2</v>
      </c>
      <c r="B26" s="560">
        <v>549</v>
      </c>
      <c r="C26" s="560">
        <v>313.29999999999995</v>
      </c>
    </row>
    <row r="27" spans="1:3">
      <c r="A27" s="559">
        <v>2</v>
      </c>
      <c r="B27" s="560">
        <v>610</v>
      </c>
      <c r="C27" s="560">
        <v>316.7</v>
      </c>
    </row>
    <row r="28" spans="1:3">
      <c r="A28" s="559">
        <v>2</v>
      </c>
      <c r="B28" s="560">
        <v>671</v>
      </c>
      <c r="C28" s="560">
        <v>320</v>
      </c>
    </row>
    <row r="29" spans="1:3">
      <c r="A29" s="559">
        <v>2</v>
      </c>
      <c r="B29" s="560">
        <v>733</v>
      </c>
      <c r="C29" s="560">
        <v>323.29999999999995</v>
      </c>
    </row>
    <row r="30" spans="1:3">
      <c r="A30" s="559">
        <v>2</v>
      </c>
      <c r="B30" s="560">
        <v>793</v>
      </c>
      <c r="C30" s="560">
        <v>313.29999999999995</v>
      </c>
    </row>
    <row r="31" spans="1:3">
      <c r="A31" s="559">
        <v>2</v>
      </c>
      <c r="B31" s="560">
        <v>1167</v>
      </c>
      <c r="C31" s="560">
        <v>325.59999999999997</v>
      </c>
    </row>
    <row r="32" spans="1:3">
      <c r="A32" s="559">
        <v>2</v>
      </c>
      <c r="B32" s="560">
        <v>1195</v>
      </c>
      <c r="C32" s="560">
        <v>330</v>
      </c>
    </row>
    <row r="33" spans="1:3">
      <c r="A33" s="559">
        <v>2</v>
      </c>
      <c r="B33" s="560">
        <v>1256</v>
      </c>
      <c r="C33" s="560">
        <v>326.7</v>
      </c>
    </row>
    <row r="34" spans="1:3">
      <c r="A34" s="559">
        <v>2</v>
      </c>
      <c r="B34" s="560">
        <v>1321</v>
      </c>
      <c r="C34" s="560">
        <v>326.7</v>
      </c>
    </row>
    <row r="35" spans="1:3">
      <c r="A35" s="559">
        <v>2</v>
      </c>
      <c r="B35" s="560">
        <v>1395</v>
      </c>
      <c r="C35" s="560">
        <v>323.29999999999995</v>
      </c>
    </row>
    <row r="36" spans="1:3">
      <c r="A36" s="559">
        <v>2</v>
      </c>
      <c r="B36" s="560">
        <v>1454</v>
      </c>
      <c r="C36" s="560">
        <v>315.59999999999997</v>
      </c>
    </row>
    <row r="37" spans="1:3">
      <c r="A37" s="559">
        <v>2</v>
      </c>
      <c r="B37" s="560">
        <v>1553</v>
      </c>
      <c r="C37" s="560">
        <v>308.89999999999998</v>
      </c>
    </row>
    <row r="38" spans="1:3">
      <c r="A38" s="559">
        <v>2</v>
      </c>
      <c r="B38" s="560">
        <v>1644</v>
      </c>
      <c r="C38" s="560">
        <v>300</v>
      </c>
    </row>
    <row r="39" spans="1:3">
      <c r="A39" s="559">
        <v>2</v>
      </c>
      <c r="B39" s="560">
        <v>1736</v>
      </c>
      <c r="C39" s="560">
        <v>292.2</v>
      </c>
    </row>
    <row r="40" spans="1:3">
      <c r="A40" s="559">
        <v>2</v>
      </c>
      <c r="B40" s="560">
        <v>1828</v>
      </c>
      <c r="C40" s="560">
        <v>281.10000000000002</v>
      </c>
    </row>
    <row r="41" spans="1:3">
      <c r="A41" s="559">
        <v>2</v>
      </c>
      <c r="B41" s="560">
        <v>1959</v>
      </c>
      <c r="C41" s="560">
        <v>273.3</v>
      </c>
    </row>
    <row r="42" spans="1:3">
      <c r="A42" s="559">
        <v>2</v>
      </c>
      <c r="B42" s="560">
        <v>2050</v>
      </c>
      <c r="C42" s="560">
        <v>275.60000000000002</v>
      </c>
    </row>
    <row r="43" spans="1:3">
      <c r="A43" s="559">
        <v>2</v>
      </c>
      <c r="B43" s="560">
        <v>2153</v>
      </c>
      <c r="C43" s="560">
        <v>297.8</v>
      </c>
    </row>
    <row r="44" spans="1:3">
      <c r="A44" s="559">
        <v>2</v>
      </c>
      <c r="B44" s="560">
        <v>2251</v>
      </c>
      <c r="C44" s="560">
        <v>320</v>
      </c>
    </row>
    <row r="45" spans="1:3">
      <c r="A45" s="559">
        <v>2</v>
      </c>
      <c r="B45" s="560">
        <v>2357</v>
      </c>
      <c r="C45" s="560">
        <v>310</v>
      </c>
    </row>
    <row r="46" spans="1:3">
      <c r="A46" s="559">
        <v>2</v>
      </c>
      <c r="B46" s="560">
        <v>2520</v>
      </c>
      <c r="C46" s="560">
        <v>316.7</v>
      </c>
    </row>
    <row r="47" spans="1:3">
      <c r="A47" s="559">
        <v>2</v>
      </c>
      <c r="B47" s="560">
        <v>2630</v>
      </c>
      <c r="C47" s="560">
        <v>318.89999999999998</v>
      </c>
    </row>
    <row r="48" spans="1:3">
      <c r="A48" s="559">
        <v>2</v>
      </c>
      <c r="B48" s="560">
        <v>2784</v>
      </c>
      <c r="C48" s="560">
        <v>298.89999999999998</v>
      </c>
    </row>
    <row r="49" spans="1:3">
      <c r="A49" s="559">
        <v>2</v>
      </c>
      <c r="B49" s="560">
        <v>2898</v>
      </c>
      <c r="C49" s="560">
        <v>294.39999999999998</v>
      </c>
    </row>
    <row r="50" spans="1:3">
      <c r="A50" s="559">
        <v>2</v>
      </c>
      <c r="B50" s="560">
        <v>3003</v>
      </c>
      <c r="C50" s="560">
        <v>292.2</v>
      </c>
    </row>
    <row r="51" spans="1:3">
      <c r="A51" s="559">
        <v>2</v>
      </c>
      <c r="B51" s="560">
        <v>3085</v>
      </c>
      <c r="C51" s="560">
        <v>292.2</v>
      </c>
    </row>
    <row r="52" spans="1:3">
      <c r="A52" s="559">
        <v>2</v>
      </c>
      <c r="B52" s="560">
        <v>3248</v>
      </c>
      <c r="C52" s="560">
        <v>293.29999999999995</v>
      </c>
    </row>
    <row r="53" spans="1:3">
      <c r="A53" s="559">
        <v>2</v>
      </c>
      <c r="B53" s="560">
        <v>3334</v>
      </c>
      <c r="C53" s="560">
        <v>290.00000000000006</v>
      </c>
    </row>
    <row r="54" spans="1:3">
      <c r="A54" s="561">
        <v>3</v>
      </c>
      <c r="B54" s="562">
        <v>0</v>
      </c>
      <c r="C54" s="562">
        <v>0</v>
      </c>
    </row>
    <row r="55" spans="1:3">
      <c r="A55" s="561">
        <v>3</v>
      </c>
      <c r="B55" s="562">
        <v>14</v>
      </c>
      <c r="C55" s="562">
        <v>223.3</v>
      </c>
    </row>
    <row r="56" spans="1:3">
      <c r="A56" s="561">
        <v>3</v>
      </c>
      <c r="B56" s="562">
        <v>35</v>
      </c>
      <c r="C56" s="562">
        <v>290.00000000000006</v>
      </c>
    </row>
    <row r="57" spans="1:3">
      <c r="A57" s="561">
        <v>3</v>
      </c>
      <c r="B57" s="562">
        <v>50</v>
      </c>
      <c r="C57" s="562">
        <v>286.7</v>
      </c>
    </row>
    <row r="58" spans="1:3">
      <c r="A58" s="561">
        <v>3</v>
      </c>
      <c r="B58" s="562">
        <v>66</v>
      </c>
      <c r="C58" s="562">
        <v>300</v>
      </c>
    </row>
    <row r="59" spans="1:3">
      <c r="A59" s="561">
        <v>3</v>
      </c>
      <c r="B59" s="562">
        <v>78</v>
      </c>
      <c r="C59" s="562">
        <v>326.7</v>
      </c>
    </row>
    <row r="60" spans="1:3">
      <c r="A60" s="561">
        <v>3</v>
      </c>
      <c r="B60" s="562">
        <v>99</v>
      </c>
      <c r="C60" s="562">
        <v>343.29999999999995</v>
      </c>
    </row>
    <row r="61" spans="1:3">
      <c r="A61" s="563">
        <v>3</v>
      </c>
      <c r="B61" s="564">
        <v>106</v>
      </c>
      <c r="C61" s="564">
        <v>333.29999999999995</v>
      </c>
    </row>
    <row r="62" spans="1:3">
      <c r="A62" s="563">
        <v>3</v>
      </c>
      <c r="B62" s="564">
        <v>127</v>
      </c>
      <c r="C62" s="564">
        <v>313.29999999999995</v>
      </c>
    </row>
    <row r="63" spans="1:3">
      <c r="A63" s="563">
        <v>3</v>
      </c>
      <c r="B63" s="564">
        <v>134</v>
      </c>
      <c r="C63" s="564">
        <v>313.29999999999995</v>
      </c>
    </row>
    <row r="64" spans="1:3">
      <c r="A64" s="563">
        <v>3</v>
      </c>
      <c r="B64" s="564">
        <v>141</v>
      </c>
      <c r="C64" s="564">
        <v>313.29999999999995</v>
      </c>
    </row>
    <row r="65" spans="1:3">
      <c r="A65" s="563">
        <v>3</v>
      </c>
      <c r="B65" s="564">
        <v>148</v>
      </c>
      <c r="C65" s="564">
        <v>316.7</v>
      </c>
    </row>
    <row r="66" spans="1:3">
      <c r="A66" s="563">
        <v>3</v>
      </c>
      <c r="B66" s="564">
        <v>155</v>
      </c>
      <c r="C66" s="564">
        <v>336.7</v>
      </c>
    </row>
    <row r="67" spans="1:3">
      <c r="A67" s="563">
        <v>3</v>
      </c>
      <c r="B67" s="564">
        <v>162</v>
      </c>
      <c r="C67" s="564">
        <v>330</v>
      </c>
    </row>
    <row r="68" spans="1:3">
      <c r="A68" s="563">
        <v>3</v>
      </c>
      <c r="B68" s="564">
        <v>169</v>
      </c>
      <c r="C68" s="564">
        <v>333.29999999999995</v>
      </c>
    </row>
    <row r="69" spans="1:3">
      <c r="A69" s="563">
        <v>3</v>
      </c>
      <c r="B69" s="564">
        <v>176</v>
      </c>
      <c r="C69" s="564">
        <v>316.7</v>
      </c>
    </row>
    <row r="70" spans="1:3">
      <c r="A70" s="563">
        <v>3</v>
      </c>
      <c r="B70" s="564">
        <v>183</v>
      </c>
      <c r="C70" s="564">
        <v>330</v>
      </c>
    </row>
    <row r="71" spans="1:3">
      <c r="A71" s="563">
        <v>3</v>
      </c>
      <c r="B71" s="564">
        <v>246</v>
      </c>
      <c r="C71" s="564">
        <v>300</v>
      </c>
    </row>
    <row r="72" spans="1:3">
      <c r="A72" s="563">
        <v>3</v>
      </c>
      <c r="B72" s="564">
        <v>307</v>
      </c>
      <c r="C72" s="564">
        <v>306.7</v>
      </c>
    </row>
    <row r="73" spans="1:3">
      <c r="A73" s="563">
        <v>3</v>
      </c>
      <c r="B73" s="564">
        <v>369</v>
      </c>
      <c r="C73" s="564">
        <v>340.00000000000006</v>
      </c>
    </row>
    <row r="74" spans="1:3">
      <c r="A74" s="563">
        <v>3</v>
      </c>
      <c r="B74" s="564">
        <v>428</v>
      </c>
      <c r="C74" s="564">
        <v>346.7</v>
      </c>
    </row>
    <row r="75" spans="1:3">
      <c r="A75" s="563">
        <v>3</v>
      </c>
      <c r="B75" s="564">
        <v>489</v>
      </c>
      <c r="C75" s="564">
        <v>346.7</v>
      </c>
    </row>
    <row r="76" spans="1:3">
      <c r="A76" s="565">
        <v>3</v>
      </c>
      <c r="B76" s="566">
        <v>550</v>
      </c>
      <c r="C76" s="566">
        <v>340.00000000000006</v>
      </c>
    </row>
    <row r="77" spans="1:3">
      <c r="A77" s="565">
        <v>3</v>
      </c>
      <c r="B77" s="566">
        <v>611</v>
      </c>
      <c r="C77" s="566">
        <v>340.00000000000006</v>
      </c>
    </row>
    <row r="78" spans="1:3">
      <c r="A78" s="565">
        <v>3</v>
      </c>
      <c r="B78" s="566">
        <v>672</v>
      </c>
      <c r="C78" s="566">
        <v>346.7</v>
      </c>
    </row>
    <row r="79" spans="1:3">
      <c r="A79" s="565">
        <v>3</v>
      </c>
      <c r="B79" s="566">
        <v>734</v>
      </c>
      <c r="C79" s="566">
        <v>346.7</v>
      </c>
    </row>
    <row r="80" spans="1:3">
      <c r="A80" s="565">
        <v>3</v>
      </c>
      <c r="B80" s="566">
        <v>794</v>
      </c>
      <c r="C80" s="566">
        <v>346.7</v>
      </c>
    </row>
    <row r="81" spans="1:3">
      <c r="A81" s="565">
        <v>3</v>
      </c>
      <c r="B81" s="566">
        <v>1148</v>
      </c>
      <c r="C81" s="566">
        <v>334.4</v>
      </c>
    </row>
    <row r="82" spans="1:3">
      <c r="A82" s="565">
        <v>3</v>
      </c>
      <c r="B82" s="566">
        <v>1176</v>
      </c>
      <c r="C82" s="566">
        <v>338.90000000000003</v>
      </c>
    </row>
    <row r="83" spans="1:3">
      <c r="A83" s="565">
        <v>3</v>
      </c>
      <c r="B83" s="566">
        <v>1237</v>
      </c>
      <c r="C83" s="566">
        <v>343.29999999999995</v>
      </c>
    </row>
    <row r="84" spans="1:3">
      <c r="A84" s="565">
        <v>3</v>
      </c>
      <c r="B84" s="566">
        <v>1302</v>
      </c>
      <c r="C84" s="566">
        <v>350.00000000000006</v>
      </c>
    </row>
    <row r="85" spans="1:3">
      <c r="A85" s="565">
        <v>3</v>
      </c>
      <c r="B85" s="566">
        <v>1376</v>
      </c>
      <c r="C85" s="566">
        <v>356.70000000000005</v>
      </c>
    </row>
    <row r="86" spans="1:3">
      <c r="A86" s="565">
        <v>3</v>
      </c>
      <c r="B86" s="566">
        <v>1435</v>
      </c>
      <c r="C86" s="566">
        <v>347.79999999999995</v>
      </c>
    </row>
    <row r="87" spans="1:3">
      <c r="A87" s="565">
        <v>3</v>
      </c>
      <c r="B87" s="566">
        <v>1534</v>
      </c>
      <c r="C87" s="566">
        <v>344.4</v>
      </c>
    </row>
    <row r="88" spans="1:3">
      <c r="A88" s="565">
        <v>3</v>
      </c>
      <c r="B88" s="566">
        <v>1625</v>
      </c>
      <c r="C88" s="566">
        <v>345.6</v>
      </c>
    </row>
    <row r="89" spans="1:3">
      <c r="A89" s="565">
        <v>3</v>
      </c>
      <c r="B89" s="566">
        <v>1717</v>
      </c>
      <c r="C89" s="566">
        <v>344.4</v>
      </c>
    </row>
    <row r="90" spans="1:3">
      <c r="A90" s="565">
        <v>3</v>
      </c>
      <c r="B90" s="566">
        <v>1809</v>
      </c>
      <c r="C90" s="566">
        <v>331.1</v>
      </c>
    </row>
    <row r="91" spans="1:3">
      <c r="A91" s="565">
        <v>3</v>
      </c>
      <c r="B91" s="566">
        <v>1940</v>
      </c>
      <c r="C91" s="566">
        <v>312.20000000000005</v>
      </c>
    </row>
    <row r="92" spans="1:3">
      <c r="A92" s="565">
        <v>3</v>
      </c>
      <c r="B92" s="566">
        <v>2031</v>
      </c>
      <c r="C92" s="566">
        <v>324.39999999999998</v>
      </c>
    </row>
    <row r="93" spans="1:3">
      <c r="A93" s="565">
        <v>3</v>
      </c>
      <c r="B93" s="566">
        <v>2134</v>
      </c>
      <c r="C93" s="566">
        <v>342.2</v>
      </c>
    </row>
    <row r="94" spans="1:3">
      <c r="A94" s="565">
        <v>3</v>
      </c>
      <c r="B94" s="566">
        <v>2232</v>
      </c>
      <c r="C94" s="566">
        <v>335.59999999999997</v>
      </c>
    </row>
    <row r="95" spans="1:3">
      <c r="A95" s="565">
        <v>3</v>
      </c>
      <c r="B95" s="566">
        <v>2338</v>
      </c>
      <c r="C95" s="566">
        <v>330</v>
      </c>
    </row>
    <row r="96" spans="1:3">
      <c r="A96" s="565">
        <v>3</v>
      </c>
      <c r="B96" s="566">
        <v>2501</v>
      </c>
      <c r="C96" s="566">
        <v>332.2</v>
      </c>
    </row>
    <row r="97" spans="1:3">
      <c r="A97" s="565">
        <v>3</v>
      </c>
      <c r="B97" s="566">
        <v>2611</v>
      </c>
      <c r="C97" s="566">
        <v>330</v>
      </c>
    </row>
    <row r="98" spans="1:3">
      <c r="A98" s="565">
        <v>3</v>
      </c>
      <c r="B98" s="566">
        <v>2765</v>
      </c>
      <c r="C98" s="566">
        <v>327.79999999999995</v>
      </c>
    </row>
    <row r="99" spans="1:3">
      <c r="A99" s="565">
        <v>3</v>
      </c>
      <c r="B99" s="566">
        <v>2879</v>
      </c>
      <c r="C99" s="566">
        <v>327.79999999999995</v>
      </c>
    </row>
    <row r="100" spans="1:3">
      <c r="A100" s="565">
        <v>3</v>
      </c>
      <c r="B100" s="566">
        <v>2984</v>
      </c>
      <c r="C100" s="566">
        <v>332.2</v>
      </c>
    </row>
    <row r="101" spans="1:3">
      <c r="A101" s="565">
        <v>3</v>
      </c>
      <c r="B101" s="566">
        <v>3066</v>
      </c>
      <c r="C101" s="566">
        <v>332.2</v>
      </c>
    </row>
    <row r="102" spans="1:3">
      <c r="A102" s="565">
        <v>3</v>
      </c>
      <c r="B102" s="566">
        <v>3229</v>
      </c>
      <c r="C102" s="566">
        <v>330</v>
      </c>
    </row>
    <row r="103" spans="1:3">
      <c r="A103" s="565">
        <v>3</v>
      </c>
      <c r="B103" s="566">
        <v>3315</v>
      </c>
      <c r="C103" s="566">
        <v>321.09999999999997</v>
      </c>
    </row>
    <row r="104" spans="1:3">
      <c r="A104" s="561">
        <v>4</v>
      </c>
      <c r="B104" s="562">
        <v>0</v>
      </c>
      <c r="C104" s="562">
        <v>0</v>
      </c>
    </row>
    <row r="105" spans="1:3">
      <c r="A105" s="561">
        <v>4</v>
      </c>
      <c r="B105" s="562">
        <v>7</v>
      </c>
      <c r="C105" s="562">
        <v>86.700000000000017</v>
      </c>
    </row>
    <row r="106" spans="1:3">
      <c r="A106" s="561">
        <v>4</v>
      </c>
      <c r="B106" s="562">
        <v>14</v>
      </c>
      <c r="C106" s="562">
        <v>123.30000000000001</v>
      </c>
    </row>
    <row r="107" spans="1:3">
      <c r="A107" s="561">
        <v>4</v>
      </c>
      <c r="B107" s="562">
        <v>29</v>
      </c>
      <c r="C107" s="562">
        <v>140</v>
      </c>
    </row>
    <row r="108" spans="1:3">
      <c r="A108" s="561">
        <v>4</v>
      </c>
      <c r="B108" s="562">
        <v>36</v>
      </c>
      <c r="C108" s="562">
        <v>150</v>
      </c>
    </row>
    <row r="109" spans="1:3">
      <c r="A109" s="561">
        <v>4</v>
      </c>
      <c r="B109" s="562">
        <v>42</v>
      </c>
      <c r="C109" s="562">
        <v>219.99999999999997</v>
      </c>
    </row>
    <row r="110" spans="1:3">
      <c r="A110" s="561">
        <v>4</v>
      </c>
      <c r="B110" s="562">
        <v>56</v>
      </c>
      <c r="C110" s="562">
        <v>210</v>
      </c>
    </row>
    <row r="111" spans="1:3">
      <c r="A111" s="561">
        <v>4</v>
      </c>
      <c r="B111" s="562">
        <v>67</v>
      </c>
      <c r="C111" s="562">
        <v>206.70000000000002</v>
      </c>
    </row>
    <row r="112" spans="1:3">
      <c r="A112" s="561">
        <v>4</v>
      </c>
      <c r="B112" s="562">
        <v>76</v>
      </c>
      <c r="C112" s="562">
        <v>226.7</v>
      </c>
    </row>
    <row r="113" spans="1:3">
      <c r="A113" s="561">
        <v>4</v>
      </c>
      <c r="B113" s="562">
        <v>83</v>
      </c>
      <c r="C113" s="562">
        <v>280</v>
      </c>
    </row>
    <row r="114" spans="1:3">
      <c r="A114" s="561">
        <v>4</v>
      </c>
      <c r="B114" s="562">
        <v>97</v>
      </c>
      <c r="C114" s="562">
        <v>266.7</v>
      </c>
    </row>
    <row r="115" spans="1:3">
      <c r="A115" s="563">
        <v>4</v>
      </c>
      <c r="B115" s="564">
        <v>118</v>
      </c>
      <c r="C115" s="564">
        <v>276.7</v>
      </c>
    </row>
    <row r="116" spans="1:3">
      <c r="A116" s="563">
        <v>4</v>
      </c>
      <c r="B116" s="564">
        <v>125</v>
      </c>
      <c r="C116" s="564">
        <v>266.7</v>
      </c>
    </row>
    <row r="117" spans="1:3">
      <c r="A117" s="563">
        <v>4</v>
      </c>
      <c r="B117" s="564">
        <v>134</v>
      </c>
      <c r="C117" s="564">
        <v>253.29999999999998</v>
      </c>
    </row>
    <row r="118" spans="1:3">
      <c r="A118" s="563">
        <v>4</v>
      </c>
      <c r="B118" s="564">
        <v>146</v>
      </c>
      <c r="C118" s="564">
        <v>250</v>
      </c>
    </row>
    <row r="119" spans="1:3">
      <c r="A119" s="563">
        <v>4</v>
      </c>
      <c r="B119" s="564">
        <v>153</v>
      </c>
      <c r="C119" s="564">
        <v>246.70000000000002</v>
      </c>
    </row>
    <row r="120" spans="1:3">
      <c r="A120" s="563">
        <v>4</v>
      </c>
      <c r="B120" s="564">
        <v>160</v>
      </c>
      <c r="C120" s="564">
        <v>250</v>
      </c>
    </row>
    <row r="121" spans="1:3">
      <c r="A121" s="563">
        <v>4</v>
      </c>
      <c r="B121" s="564">
        <v>167</v>
      </c>
      <c r="C121" s="564">
        <v>253.29999999999998</v>
      </c>
    </row>
    <row r="122" spans="1:3">
      <c r="A122" s="563">
        <v>4</v>
      </c>
      <c r="B122" s="564">
        <v>174</v>
      </c>
      <c r="C122" s="564">
        <v>260</v>
      </c>
    </row>
    <row r="123" spans="1:3">
      <c r="A123" s="563">
        <v>4</v>
      </c>
      <c r="B123" s="564">
        <v>181</v>
      </c>
      <c r="C123" s="564">
        <v>263.3</v>
      </c>
    </row>
    <row r="124" spans="1:3">
      <c r="A124" s="563">
        <v>4</v>
      </c>
      <c r="B124" s="564">
        <v>188</v>
      </c>
      <c r="C124" s="564">
        <v>250</v>
      </c>
    </row>
    <row r="125" spans="1:3">
      <c r="A125" s="563">
        <v>4</v>
      </c>
      <c r="B125" s="564">
        <v>243</v>
      </c>
      <c r="C125" s="564">
        <v>243.30000000000004</v>
      </c>
    </row>
    <row r="126" spans="1:3">
      <c r="A126" s="563">
        <v>4</v>
      </c>
      <c r="B126" s="564">
        <v>304</v>
      </c>
      <c r="C126" s="564">
        <v>263.3</v>
      </c>
    </row>
    <row r="127" spans="1:3">
      <c r="A127" s="563">
        <v>4</v>
      </c>
      <c r="B127" s="564">
        <v>366</v>
      </c>
      <c r="C127" s="564">
        <v>266.7</v>
      </c>
    </row>
    <row r="128" spans="1:3">
      <c r="A128" s="563">
        <v>4</v>
      </c>
      <c r="B128" s="564">
        <v>425</v>
      </c>
      <c r="C128" s="564">
        <v>286.7</v>
      </c>
    </row>
    <row r="129" spans="1:3">
      <c r="A129" s="563">
        <v>4</v>
      </c>
      <c r="B129" s="564">
        <v>486</v>
      </c>
      <c r="C129" s="564">
        <v>296.7</v>
      </c>
    </row>
    <row r="130" spans="1:3">
      <c r="A130" s="565">
        <v>4</v>
      </c>
      <c r="B130" s="566">
        <v>547</v>
      </c>
      <c r="C130" s="566">
        <v>293.29999999999995</v>
      </c>
    </row>
    <row r="131" spans="1:3">
      <c r="A131" s="565">
        <v>4</v>
      </c>
      <c r="B131" s="566">
        <v>608</v>
      </c>
      <c r="C131" s="566">
        <v>283.3</v>
      </c>
    </row>
    <row r="132" spans="1:3">
      <c r="A132" s="565">
        <v>4</v>
      </c>
      <c r="B132" s="566">
        <v>669</v>
      </c>
      <c r="C132" s="566">
        <v>286.7</v>
      </c>
    </row>
    <row r="133" spans="1:3">
      <c r="A133" s="565">
        <v>4</v>
      </c>
      <c r="B133" s="566">
        <v>731</v>
      </c>
      <c r="C133" s="566">
        <v>283.3</v>
      </c>
    </row>
    <row r="134" spans="1:3">
      <c r="A134" s="565">
        <v>4</v>
      </c>
      <c r="B134" s="566">
        <v>791</v>
      </c>
      <c r="C134" s="566">
        <v>286.7</v>
      </c>
    </row>
    <row r="135" spans="1:3">
      <c r="A135" s="565">
        <v>4</v>
      </c>
      <c r="B135" s="566">
        <v>1165</v>
      </c>
      <c r="C135" s="566">
        <v>258.89999999999998</v>
      </c>
    </row>
    <row r="136" spans="1:3">
      <c r="A136" s="565">
        <v>4</v>
      </c>
      <c r="B136" s="566">
        <v>1193</v>
      </c>
      <c r="C136" s="566">
        <v>260</v>
      </c>
    </row>
    <row r="137" spans="1:3">
      <c r="A137" s="565">
        <v>4</v>
      </c>
      <c r="B137" s="566">
        <v>1254</v>
      </c>
      <c r="C137" s="566">
        <v>260</v>
      </c>
    </row>
    <row r="138" spans="1:3">
      <c r="A138" s="565">
        <v>4</v>
      </c>
      <c r="B138" s="566">
        <v>1319</v>
      </c>
      <c r="C138" s="566">
        <v>256.7</v>
      </c>
    </row>
    <row r="139" spans="1:3">
      <c r="A139" s="565">
        <v>4</v>
      </c>
      <c r="B139" s="566">
        <v>1393</v>
      </c>
      <c r="C139" s="566">
        <v>267.8</v>
      </c>
    </row>
    <row r="140" spans="1:3">
      <c r="A140" s="565">
        <v>4</v>
      </c>
      <c r="B140" s="566">
        <v>1452</v>
      </c>
      <c r="C140" s="566">
        <v>266.7</v>
      </c>
    </row>
    <row r="141" spans="1:3">
      <c r="A141" s="565">
        <v>4</v>
      </c>
      <c r="B141" s="566">
        <v>1551</v>
      </c>
      <c r="C141" s="566">
        <v>271.09999999999997</v>
      </c>
    </row>
    <row r="142" spans="1:3">
      <c r="A142" s="565">
        <v>4</v>
      </c>
      <c r="B142" s="566">
        <v>1642</v>
      </c>
      <c r="C142" s="566">
        <v>278.90000000000003</v>
      </c>
    </row>
    <row r="143" spans="1:3">
      <c r="A143" s="565">
        <v>4</v>
      </c>
      <c r="B143" s="566">
        <v>1734</v>
      </c>
      <c r="C143" s="566">
        <v>271.09999999999997</v>
      </c>
    </row>
    <row r="144" spans="1:3">
      <c r="A144" s="565">
        <v>4</v>
      </c>
      <c r="B144" s="566">
        <v>1826</v>
      </c>
      <c r="C144" s="566">
        <v>247.8</v>
      </c>
    </row>
    <row r="145" spans="1:3">
      <c r="A145" s="565">
        <v>4</v>
      </c>
      <c r="B145" s="566">
        <v>1957</v>
      </c>
      <c r="C145" s="566">
        <v>236.7</v>
      </c>
    </row>
    <row r="146" spans="1:3">
      <c r="A146" s="565">
        <v>4</v>
      </c>
      <c r="B146" s="566">
        <v>2048</v>
      </c>
      <c r="C146" s="566">
        <v>258.89999999999998</v>
      </c>
    </row>
    <row r="147" spans="1:3">
      <c r="A147" s="565">
        <v>4</v>
      </c>
      <c r="B147" s="566">
        <v>2151</v>
      </c>
      <c r="C147" s="566">
        <v>263.3</v>
      </c>
    </row>
    <row r="148" spans="1:3">
      <c r="A148" s="565">
        <v>4</v>
      </c>
      <c r="B148" s="566">
        <v>2249</v>
      </c>
      <c r="C148" s="566">
        <v>261.10000000000002</v>
      </c>
    </row>
    <row r="149" spans="1:3">
      <c r="A149" s="565">
        <v>4</v>
      </c>
      <c r="B149" s="566">
        <v>2355</v>
      </c>
      <c r="C149" s="566">
        <v>255.6</v>
      </c>
    </row>
    <row r="150" spans="1:3">
      <c r="A150" s="565">
        <v>4</v>
      </c>
      <c r="B150" s="566">
        <v>2518</v>
      </c>
      <c r="C150" s="566">
        <v>248.89999999999998</v>
      </c>
    </row>
    <row r="151" spans="1:3">
      <c r="A151" s="565">
        <v>4</v>
      </c>
      <c r="B151" s="566">
        <v>2628</v>
      </c>
      <c r="C151" s="566">
        <v>257.8</v>
      </c>
    </row>
    <row r="152" spans="1:3">
      <c r="A152" s="565">
        <v>4</v>
      </c>
      <c r="B152" s="566">
        <v>2782</v>
      </c>
      <c r="C152" s="566">
        <v>255.6</v>
      </c>
    </row>
    <row r="153" spans="1:3">
      <c r="A153" s="565">
        <v>4</v>
      </c>
      <c r="B153" s="566">
        <v>2896</v>
      </c>
      <c r="C153" s="566">
        <v>260</v>
      </c>
    </row>
    <row r="154" spans="1:3">
      <c r="A154" s="565">
        <v>4</v>
      </c>
      <c r="B154" s="566">
        <v>3001</v>
      </c>
      <c r="C154" s="566">
        <v>257.8</v>
      </c>
    </row>
    <row r="155" spans="1:3">
      <c r="A155" s="565">
        <v>4</v>
      </c>
      <c r="B155" s="566">
        <v>3083</v>
      </c>
      <c r="C155" s="566">
        <v>257.8</v>
      </c>
    </row>
    <row r="156" spans="1:3">
      <c r="A156" s="565">
        <v>4</v>
      </c>
      <c r="B156" s="566">
        <v>3246</v>
      </c>
      <c r="C156" s="566">
        <v>258.89999999999998</v>
      </c>
    </row>
    <row r="157" spans="1:3">
      <c r="A157" s="565">
        <v>4</v>
      </c>
      <c r="B157" s="566">
        <v>3332</v>
      </c>
      <c r="C157" s="566">
        <v>260</v>
      </c>
    </row>
    <row r="158" spans="1:3">
      <c r="A158" s="561">
        <v>5</v>
      </c>
      <c r="B158" s="562">
        <v>0</v>
      </c>
      <c r="C158" s="562">
        <v>0</v>
      </c>
    </row>
    <row r="159" spans="1:3">
      <c r="A159" s="561">
        <v>5</v>
      </c>
      <c r="B159" s="562">
        <v>6</v>
      </c>
      <c r="C159" s="562">
        <v>120</v>
      </c>
    </row>
    <row r="160" spans="1:3">
      <c r="A160" s="561">
        <v>5</v>
      </c>
      <c r="B160" s="562">
        <v>14</v>
      </c>
      <c r="C160" s="562">
        <v>179.99999999999997</v>
      </c>
    </row>
    <row r="161" spans="1:3">
      <c r="A161" s="561">
        <v>5</v>
      </c>
      <c r="B161" s="562">
        <v>21</v>
      </c>
      <c r="C161" s="562">
        <v>270</v>
      </c>
    </row>
    <row r="162" spans="1:3">
      <c r="A162" s="561">
        <v>5</v>
      </c>
      <c r="B162" s="562">
        <v>28</v>
      </c>
      <c r="C162" s="562">
        <v>320</v>
      </c>
    </row>
    <row r="163" spans="1:3">
      <c r="A163" s="561">
        <v>5</v>
      </c>
      <c r="B163" s="562">
        <v>35</v>
      </c>
      <c r="C163" s="562">
        <v>353.3</v>
      </c>
    </row>
    <row r="164" spans="1:3">
      <c r="A164" s="561">
        <v>5</v>
      </c>
      <c r="B164" s="562">
        <v>66</v>
      </c>
      <c r="C164" s="562">
        <v>366.70000000000005</v>
      </c>
    </row>
    <row r="165" spans="1:3">
      <c r="A165" s="561">
        <v>5</v>
      </c>
      <c r="B165" s="562">
        <v>82</v>
      </c>
      <c r="C165" s="562">
        <v>390</v>
      </c>
    </row>
    <row r="166" spans="1:3">
      <c r="A166" s="561">
        <v>5</v>
      </c>
      <c r="B166" s="562">
        <v>96</v>
      </c>
      <c r="C166" s="562">
        <v>393.29999999999995</v>
      </c>
    </row>
    <row r="167" spans="1:3">
      <c r="A167" s="563">
        <v>5</v>
      </c>
      <c r="B167" s="564">
        <v>117</v>
      </c>
      <c r="C167" s="564">
        <v>403.29999999999995</v>
      </c>
    </row>
    <row r="168" spans="1:3">
      <c r="A168" s="563">
        <v>5</v>
      </c>
      <c r="B168" s="564">
        <v>124</v>
      </c>
      <c r="C168" s="564">
        <v>396.7</v>
      </c>
    </row>
    <row r="169" spans="1:3">
      <c r="A169" s="563">
        <v>5</v>
      </c>
      <c r="B169" s="564">
        <v>132</v>
      </c>
      <c r="C169" s="564">
        <v>370</v>
      </c>
    </row>
    <row r="170" spans="1:3">
      <c r="A170" s="563">
        <v>5</v>
      </c>
      <c r="B170" s="564">
        <v>145</v>
      </c>
      <c r="C170" s="564">
        <v>366.70000000000005</v>
      </c>
    </row>
    <row r="171" spans="1:3">
      <c r="A171" s="563">
        <v>5</v>
      </c>
      <c r="B171" s="564">
        <v>152</v>
      </c>
      <c r="C171" s="564">
        <v>363.3</v>
      </c>
    </row>
    <row r="172" spans="1:3">
      <c r="A172" s="563">
        <v>5</v>
      </c>
      <c r="B172" s="564">
        <v>159</v>
      </c>
      <c r="C172" s="564">
        <v>370</v>
      </c>
    </row>
    <row r="173" spans="1:3">
      <c r="A173" s="563">
        <v>5</v>
      </c>
      <c r="B173" s="564">
        <v>166</v>
      </c>
      <c r="C173" s="564">
        <v>370</v>
      </c>
    </row>
    <row r="174" spans="1:3">
      <c r="A174" s="563">
        <v>5</v>
      </c>
      <c r="B174" s="564">
        <v>173</v>
      </c>
      <c r="C174" s="564">
        <v>386.70000000000005</v>
      </c>
    </row>
    <row r="175" spans="1:3">
      <c r="A175" s="563">
        <v>5</v>
      </c>
      <c r="B175" s="564">
        <v>180</v>
      </c>
      <c r="C175" s="564">
        <v>380</v>
      </c>
    </row>
    <row r="176" spans="1:3">
      <c r="A176" s="563">
        <v>5</v>
      </c>
      <c r="B176" s="564">
        <v>187</v>
      </c>
      <c r="C176" s="564">
        <v>383.3</v>
      </c>
    </row>
    <row r="177" spans="1:3">
      <c r="A177" s="563">
        <v>5</v>
      </c>
      <c r="B177" s="564">
        <v>241</v>
      </c>
      <c r="C177" s="564">
        <v>353.3</v>
      </c>
    </row>
    <row r="178" spans="1:3">
      <c r="A178" s="563">
        <v>5</v>
      </c>
      <c r="B178" s="564">
        <v>302</v>
      </c>
      <c r="C178" s="564">
        <v>346.7</v>
      </c>
    </row>
    <row r="179" spans="1:3">
      <c r="A179" s="563">
        <v>5</v>
      </c>
      <c r="B179" s="564">
        <v>364</v>
      </c>
      <c r="C179" s="564">
        <v>353.3</v>
      </c>
    </row>
    <row r="180" spans="1:3">
      <c r="A180" s="563">
        <v>5</v>
      </c>
      <c r="B180" s="564">
        <v>423</v>
      </c>
      <c r="C180" s="564">
        <v>350.00000000000006</v>
      </c>
    </row>
    <row r="181" spans="1:3">
      <c r="A181" s="563">
        <v>5</v>
      </c>
      <c r="B181" s="564">
        <v>484</v>
      </c>
      <c r="C181" s="564">
        <v>356.70000000000005</v>
      </c>
    </row>
    <row r="182" spans="1:3">
      <c r="A182" s="565">
        <v>5</v>
      </c>
      <c r="B182" s="566">
        <v>545</v>
      </c>
      <c r="C182" s="566">
        <v>356.70000000000005</v>
      </c>
    </row>
    <row r="183" spans="1:3">
      <c r="A183" s="565">
        <v>5</v>
      </c>
      <c r="B183" s="566">
        <v>606</v>
      </c>
      <c r="C183" s="566">
        <v>350.00000000000006</v>
      </c>
    </row>
    <row r="184" spans="1:3">
      <c r="A184" s="565">
        <v>5</v>
      </c>
      <c r="B184" s="566">
        <v>667</v>
      </c>
      <c r="C184" s="566">
        <v>350.00000000000006</v>
      </c>
    </row>
    <row r="185" spans="1:3">
      <c r="A185" s="565">
        <v>5</v>
      </c>
      <c r="B185" s="566">
        <v>729</v>
      </c>
      <c r="C185" s="566">
        <v>350.00000000000006</v>
      </c>
    </row>
    <row r="186" spans="1:3">
      <c r="A186" s="565">
        <v>5</v>
      </c>
      <c r="B186" s="566">
        <v>789</v>
      </c>
      <c r="C186" s="566">
        <v>353.3</v>
      </c>
    </row>
    <row r="187" spans="1:3">
      <c r="A187" s="565">
        <v>5</v>
      </c>
      <c r="B187" s="566">
        <v>1163</v>
      </c>
      <c r="C187" s="566">
        <v>366.70000000000005</v>
      </c>
    </row>
    <row r="188" spans="1:3">
      <c r="A188" s="565">
        <v>5</v>
      </c>
      <c r="B188" s="566">
        <v>1191</v>
      </c>
      <c r="C188" s="566">
        <v>359.99999999999994</v>
      </c>
    </row>
    <row r="189" spans="1:3">
      <c r="A189" s="565">
        <v>5</v>
      </c>
      <c r="B189" s="566">
        <v>1252</v>
      </c>
      <c r="C189" s="566">
        <v>367.8</v>
      </c>
    </row>
    <row r="190" spans="1:3">
      <c r="A190" s="565">
        <v>5</v>
      </c>
      <c r="B190" s="566">
        <v>1317</v>
      </c>
      <c r="C190" s="566">
        <v>370</v>
      </c>
    </row>
    <row r="191" spans="1:3">
      <c r="A191" s="565">
        <v>5</v>
      </c>
      <c r="B191" s="566">
        <v>1391</v>
      </c>
      <c r="C191" s="566">
        <v>356.70000000000005</v>
      </c>
    </row>
    <row r="192" spans="1:3">
      <c r="A192" s="565">
        <v>5</v>
      </c>
      <c r="B192" s="566">
        <v>1450</v>
      </c>
      <c r="C192" s="566">
        <v>363.3</v>
      </c>
    </row>
    <row r="193" spans="1:3">
      <c r="A193" s="565">
        <v>5</v>
      </c>
      <c r="B193" s="566">
        <v>1549</v>
      </c>
      <c r="C193" s="566">
        <v>354.4</v>
      </c>
    </row>
    <row r="194" spans="1:3">
      <c r="A194" s="565">
        <v>5</v>
      </c>
      <c r="B194" s="566">
        <v>1640</v>
      </c>
      <c r="C194" s="566">
        <v>346.7</v>
      </c>
    </row>
    <row r="195" spans="1:3">
      <c r="A195" s="565">
        <v>5</v>
      </c>
      <c r="B195" s="566">
        <v>1732</v>
      </c>
      <c r="C195" s="566">
        <v>338.90000000000003</v>
      </c>
    </row>
    <row r="196" spans="1:3">
      <c r="A196" s="565">
        <v>5</v>
      </c>
      <c r="B196" s="566">
        <v>1824</v>
      </c>
      <c r="C196" s="566">
        <v>344.4</v>
      </c>
    </row>
    <row r="197" spans="1:3">
      <c r="A197" s="565">
        <v>5</v>
      </c>
      <c r="B197" s="566">
        <v>1955</v>
      </c>
      <c r="C197" s="566">
        <v>342.2</v>
      </c>
    </row>
    <row r="198" spans="1:3">
      <c r="A198" s="565">
        <v>5</v>
      </c>
      <c r="B198" s="566">
        <v>2046</v>
      </c>
      <c r="C198" s="566">
        <v>344.4</v>
      </c>
    </row>
    <row r="199" spans="1:3">
      <c r="A199" s="565">
        <v>5</v>
      </c>
      <c r="B199" s="566">
        <v>2149</v>
      </c>
      <c r="C199" s="566">
        <v>342.2</v>
      </c>
    </row>
    <row r="200" spans="1:3">
      <c r="A200" s="565">
        <v>5</v>
      </c>
      <c r="B200" s="566">
        <v>2247</v>
      </c>
      <c r="C200" s="566">
        <v>347.79999999999995</v>
      </c>
    </row>
    <row r="201" spans="1:3">
      <c r="A201" s="565">
        <v>5</v>
      </c>
      <c r="B201" s="566">
        <v>2353</v>
      </c>
      <c r="C201" s="566">
        <v>353.3</v>
      </c>
    </row>
    <row r="202" spans="1:3">
      <c r="A202" s="565">
        <v>5</v>
      </c>
      <c r="B202" s="566">
        <v>2516</v>
      </c>
      <c r="C202" s="566">
        <v>353.3</v>
      </c>
    </row>
    <row r="203" spans="1:3">
      <c r="A203" s="565">
        <v>5</v>
      </c>
      <c r="B203" s="566">
        <v>2626</v>
      </c>
      <c r="C203" s="566">
        <v>353.3</v>
      </c>
    </row>
    <row r="204" spans="1:3">
      <c r="A204" s="565">
        <v>5</v>
      </c>
      <c r="B204" s="566">
        <v>2780</v>
      </c>
      <c r="C204" s="566">
        <v>353.3</v>
      </c>
    </row>
    <row r="205" spans="1:3">
      <c r="A205" s="565">
        <v>5</v>
      </c>
      <c r="B205" s="566">
        <v>2894</v>
      </c>
      <c r="C205" s="566">
        <v>368.9</v>
      </c>
    </row>
    <row r="206" spans="1:3">
      <c r="A206" s="565">
        <v>5</v>
      </c>
      <c r="B206" s="566">
        <v>2999</v>
      </c>
      <c r="C206" s="566">
        <v>372.20000000000005</v>
      </c>
    </row>
    <row r="207" spans="1:3">
      <c r="A207" s="565">
        <v>5</v>
      </c>
      <c r="B207" s="566">
        <v>3081</v>
      </c>
      <c r="C207" s="566">
        <v>373.3</v>
      </c>
    </row>
    <row r="208" spans="1:3">
      <c r="A208" s="565">
        <v>5</v>
      </c>
      <c r="B208" s="566">
        <v>3244</v>
      </c>
      <c r="C208" s="566">
        <v>368.9</v>
      </c>
    </row>
    <row r="209" spans="1:3">
      <c r="A209" s="565">
        <v>5</v>
      </c>
      <c r="B209" s="566">
        <v>3330</v>
      </c>
      <c r="C209" s="566">
        <v>370</v>
      </c>
    </row>
    <row r="210" spans="1:3">
      <c r="A210" s="561">
        <v>6</v>
      </c>
      <c r="B210" s="562">
        <v>0</v>
      </c>
      <c r="C210" s="562">
        <v>0</v>
      </c>
    </row>
    <row r="211" spans="1:3">
      <c r="A211" s="561">
        <v>6</v>
      </c>
      <c r="B211" s="562">
        <v>6</v>
      </c>
      <c r="C211" s="562">
        <v>86.700000000000017</v>
      </c>
    </row>
    <row r="212" spans="1:3">
      <c r="A212" s="561">
        <v>6</v>
      </c>
      <c r="B212" s="562">
        <v>14</v>
      </c>
      <c r="C212" s="562">
        <v>133.29999999999998</v>
      </c>
    </row>
    <row r="213" spans="1:3">
      <c r="A213" s="561">
        <v>6</v>
      </c>
      <c r="B213" s="562">
        <v>20</v>
      </c>
      <c r="C213" s="562">
        <v>166.70000000000002</v>
      </c>
    </row>
    <row r="214" spans="1:3">
      <c r="A214" s="561">
        <v>6</v>
      </c>
      <c r="B214" s="562">
        <v>27</v>
      </c>
      <c r="C214" s="562">
        <v>243.30000000000004</v>
      </c>
    </row>
    <row r="215" spans="1:3">
      <c r="A215" s="561">
        <v>6</v>
      </c>
      <c r="B215" s="562">
        <v>34</v>
      </c>
      <c r="C215" s="562">
        <v>243.30000000000004</v>
      </c>
    </row>
    <row r="216" spans="1:3">
      <c r="A216" s="561">
        <v>6</v>
      </c>
      <c r="B216" s="562">
        <v>65</v>
      </c>
      <c r="C216" s="562">
        <v>250</v>
      </c>
    </row>
    <row r="217" spans="1:3">
      <c r="A217" s="561">
        <v>6</v>
      </c>
      <c r="B217" s="562">
        <v>78</v>
      </c>
      <c r="C217" s="562">
        <v>276.7</v>
      </c>
    </row>
    <row r="218" spans="1:3">
      <c r="A218" s="561">
        <v>6</v>
      </c>
      <c r="B218" s="562">
        <v>92</v>
      </c>
      <c r="C218" s="562">
        <v>263.3</v>
      </c>
    </row>
    <row r="219" spans="1:3">
      <c r="A219" s="563">
        <v>6</v>
      </c>
      <c r="B219" s="564">
        <v>113</v>
      </c>
      <c r="C219" s="564">
        <v>280</v>
      </c>
    </row>
    <row r="220" spans="1:3">
      <c r="A220" s="563">
        <v>6</v>
      </c>
      <c r="B220" s="564">
        <v>120</v>
      </c>
      <c r="C220" s="564">
        <v>260</v>
      </c>
    </row>
    <row r="221" spans="1:3">
      <c r="A221" s="563">
        <v>6</v>
      </c>
      <c r="B221" s="564">
        <v>129</v>
      </c>
      <c r="C221" s="564">
        <v>246.70000000000002</v>
      </c>
    </row>
    <row r="222" spans="1:3">
      <c r="A222" s="563">
        <v>6</v>
      </c>
      <c r="B222" s="564">
        <v>141</v>
      </c>
      <c r="C222" s="564">
        <v>236.7</v>
      </c>
    </row>
    <row r="223" spans="1:3">
      <c r="A223" s="563">
        <v>6</v>
      </c>
      <c r="B223" s="564">
        <v>148</v>
      </c>
      <c r="C223" s="564">
        <v>229.99999999999997</v>
      </c>
    </row>
    <row r="224" spans="1:3">
      <c r="A224" s="563">
        <v>6</v>
      </c>
      <c r="B224" s="564">
        <v>155</v>
      </c>
      <c r="C224" s="564">
        <v>236.7</v>
      </c>
    </row>
    <row r="225" spans="1:3">
      <c r="A225" s="563">
        <v>6</v>
      </c>
      <c r="B225" s="564">
        <v>161</v>
      </c>
      <c r="C225" s="564">
        <v>246.70000000000002</v>
      </c>
    </row>
    <row r="226" spans="1:3">
      <c r="A226" s="563">
        <v>6</v>
      </c>
      <c r="B226" s="564">
        <v>168</v>
      </c>
      <c r="C226" s="564">
        <v>250</v>
      </c>
    </row>
    <row r="227" spans="1:3">
      <c r="A227" s="563">
        <v>6</v>
      </c>
      <c r="B227" s="564">
        <v>175</v>
      </c>
      <c r="C227" s="564">
        <v>253.29999999999998</v>
      </c>
    </row>
    <row r="228" spans="1:3">
      <c r="A228" s="563">
        <v>6</v>
      </c>
      <c r="B228" s="564">
        <v>182</v>
      </c>
      <c r="C228" s="564">
        <v>253.29999999999998</v>
      </c>
    </row>
    <row r="229" spans="1:3">
      <c r="A229" s="563">
        <v>6</v>
      </c>
      <c r="B229" s="564">
        <v>247</v>
      </c>
      <c r="C229" s="564">
        <v>219.99999999999997</v>
      </c>
    </row>
    <row r="230" spans="1:3">
      <c r="A230" s="563">
        <v>6</v>
      </c>
      <c r="B230" s="564">
        <v>308</v>
      </c>
      <c r="C230" s="564">
        <v>233.3</v>
      </c>
    </row>
    <row r="231" spans="1:3">
      <c r="A231" s="563">
        <v>6</v>
      </c>
      <c r="B231" s="564">
        <v>370</v>
      </c>
      <c r="C231" s="564">
        <v>236.7</v>
      </c>
    </row>
    <row r="232" spans="1:3">
      <c r="A232" s="563">
        <v>6</v>
      </c>
      <c r="B232" s="564">
        <v>429</v>
      </c>
      <c r="C232" s="564">
        <v>240</v>
      </c>
    </row>
    <row r="233" spans="1:3">
      <c r="A233" s="563">
        <v>6</v>
      </c>
      <c r="B233" s="564">
        <v>490</v>
      </c>
      <c r="C233" s="564">
        <v>236.7</v>
      </c>
    </row>
    <row r="234" spans="1:3">
      <c r="A234" s="565">
        <v>6</v>
      </c>
      <c r="B234" s="566">
        <v>551</v>
      </c>
      <c r="C234" s="566">
        <v>236.7</v>
      </c>
    </row>
    <row r="235" spans="1:3">
      <c r="A235" s="565">
        <v>6</v>
      </c>
      <c r="B235" s="566">
        <v>612</v>
      </c>
      <c r="C235" s="566">
        <v>236.7</v>
      </c>
    </row>
    <row r="236" spans="1:3">
      <c r="A236" s="565">
        <v>6</v>
      </c>
      <c r="B236" s="566">
        <v>673</v>
      </c>
      <c r="C236" s="566">
        <v>240</v>
      </c>
    </row>
    <row r="237" spans="1:3">
      <c r="A237" s="565">
        <v>6</v>
      </c>
      <c r="B237" s="566">
        <v>735</v>
      </c>
      <c r="C237" s="566">
        <v>240</v>
      </c>
    </row>
    <row r="238" spans="1:3">
      <c r="A238" s="565">
        <v>6</v>
      </c>
      <c r="B238" s="566">
        <v>795</v>
      </c>
      <c r="C238" s="566">
        <v>240</v>
      </c>
    </row>
    <row r="239" spans="1:3">
      <c r="A239" s="565">
        <v>6</v>
      </c>
      <c r="B239" s="566">
        <v>1163</v>
      </c>
      <c r="C239" s="566">
        <v>236.7</v>
      </c>
    </row>
    <row r="240" spans="1:3">
      <c r="A240" s="565">
        <v>6</v>
      </c>
      <c r="B240" s="566">
        <v>1191</v>
      </c>
      <c r="C240" s="566">
        <v>228.9</v>
      </c>
    </row>
    <row r="241" spans="1:3">
      <c r="A241" s="565">
        <v>6</v>
      </c>
      <c r="B241" s="566">
        <v>1252</v>
      </c>
      <c r="C241" s="566">
        <v>225.60000000000002</v>
      </c>
    </row>
    <row r="242" spans="1:3">
      <c r="A242" s="565">
        <v>6</v>
      </c>
      <c r="B242" s="566">
        <v>1317</v>
      </c>
      <c r="C242" s="566">
        <v>236.7</v>
      </c>
    </row>
    <row r="243" spans="1:3">
      <c r="A243" s="565">
        <v>6</v>
      </c>
      <c r="B243" s="566">
        <v>1391</v>
      </c>
      <c r="C243" s="566">
        <v>227.5</v>
      </c>
    </row>
    <row r="244" spans="1:3">
      <c r="A244" s="565">
        <v>6</v>
      </c>
      <c r="B244" s="566">
        <v>1450</v>
      </c>
      <c r="C244" s="566">
        <v>226.7</v>
      </c>
    </row>
    <row r="245" spans="1:3">
      <c r="A245" s="565">
        <v>6</v>
      </c>
      <c r="B245" s="566">
        <v>1549</v>
      </c>
      <c r="C245" s="566">
        <v>217.79999999999998</v>
      </c>
    </row>
    <row r="246" spans="1:3">
      <c r="A246" s="565">
        <v>6</v>
      </c>
      <c r="B246" s="566">
        <v>1640</v>
      </c>
      <c r="C246" s="566">
        <v>222.2</v>
      </c>
    </row>
    <row r="247" spans="1:3">
      <c r="A247" s="565">
        <v>6</v>
      </c>
      <c r="B247" s="566">
        <v>1732</v>
      </c>
      <c r="C247" s="566">
        <v>213.3</v>
      </c>
    </row>
    <row r="248" spans="1:3">
      <c r="A248" s="565">
        <v>6</v>
      </c>
      <c r="B248" s="566">
        <v>1824</v>
      </c>
      <c r="C248" s="566">
        <v>211.10000000000002</v>
      </c>
    </row>
    <row r="249" spans="1:3">
      <c r="A249" s="565">
        <v>6</v>
      </c>
      <c r="B249" s="566">
        <v>1955</v>
      </c>
      <c r="C249" s="566">
        <v>219.99999999999997</v>
      </c>
    </row>
    <row r="250" spans="1:3">
      <c r="A250" s="565">
        <v>6</v>
      </c>
      <c r="B250" s="566">
        <v>2046</v>
      </c>
      <c r="C250" s="566">
        <v>214.4</v>
      </c>
    </row>
    <row r="251" spans="1:3">
      <c r="A251" s="565">
        <v>6</v>
      </c>
      <c r="B251" s="566">
        <v>2149</v>
      </c>
      <c r="C251" s="566">
        <v>205.6</v>
      </c>
    </row>
    <row r="252" spans="1:3">
      <c r="A252" s="565">
        <v>6</v>
      </c>
      <c r="B252" s="566">
        <v>2247</v>
      </c>
      <c r="C252" s="566">
        <v>206.70000000000002</v>
      </c>
    </row>
    <row r="253" spans="1:3">
      <c r="A253" s="565">
        <v>6</v>
      </c>
      <c r="B253" s="566">
        <v>2353</v>
      </c>
      <c r="C253" s="566">
        <v>212.2</v>
      </c>
    </row>
    <row r="254" spans="1:3">
      <c r="A254" s="565">
        <v>6</v>
      </c>
      <c r="B254" s="566">
        <v>2516</v>
      </c>
      <c r="C254" s="566">
        <v>206.70000000000002</v>
      </c>
    </row>
    <row r="255" spans="1:3">
      <c r="A255" s="565">
        <v>6</v>
      </c>
      <c r="B255" s="566">
        <v>2626</v>
      </c>
      <c r="C255" s="566">
        <v>213.3</v>
      </c>
    </row>
    <row r="256" spans="1:3">
      <c r="A256" s="565">
        <v>6</v>
      </c>
      <c r="B256" s="566">
        <v>2780</v>
      </c>
      <c r="C256" s="566">
        <v>203.29999999999998</v>
      </c>
    </row>
    <row r="257" spans="1:3">
      <c r="A257" s="565">
        <v>6</v>
      </c>
      <c r="B257" s="566">
        <v>2894</v>
      </c>
      <c r="C257" s="566">
        <v>205.6</v>
      </c>
    </row>
    <row r="258" spans="1:3">
      <c r="A258" s="565">
        <v>6</v>
      </c>
      <c r="B258" s="566">
        <v>2999</v>
      </c>
      <c r="C258" s="566">
        <v>206.70000000000002</v>
      </c>
    </row>
    <row r="259" spans="1:3">
      <c r="A259" s="565">
        <v>6</v>
      </c>
      <c r="B259" s="566">
        <v>3081</v>
      </c>
      <c r="C259" s="566">
        <v>206.70000000000002</v>
      </c>
    </row>
    <row r="260" spans="1:3">
      <c r="A260" s="565">
        <v>6</v>
      </c>
      <c r="B260" s="566">
        <v>3244</v>
      </c>
      <c r="C260" s="566">
        <v>206.70000000000002</v>
      </c>
    </row>
    <row r="261" spans="1:3">
      <c r="A261" s="565">
        <v>6</v>
      </c>
      <c r="B261" s="566">
        <v>3330</v>
      </c>
      <c r="C261" s="566">
        <v>202.2</v>
      </c>
    </row>
    <row r="262" spans="1:3">
      <c r="A262" s="561">
        <v>7</v>
      </c>
      <c r="B262" s="562">
        <v>0</v>
      </c>
      <c r="C262" s="562">
        <v>0</v>
      </c>
    </row>
    <row r="263" spans="1:3">
      <c r="A263" s="561">
        <v>7</v>
      </c>
      <c r="B263" s="562">
        <v>7</v>
      </c>
      <c r="C263" s="562">
        <v>44.999999999999993</v>
      </c>
    </row>
    <row r="264" spans="1:3">
      <c r="A264" s="561">
        <v>7</v>
      </c>
      <c r="B264" s="562">
        <v>14</v>
      </c>
      <c r="C264" s="562">
        <v>89.999999999999986</v>
      </c>
    </row>
    <row r="265" spans="1:3">
      <c r="A265" s="561">
        <v>7</v>
      </c>
      <c r="B265" s="562">
        <v>17</v>
      </c>
      <c r="C265" s="562">
        <v>229.99999999999997</v>
      </c>
    </row>
    <row r="266" spans="1:3">
      <c r="A266" s="561">
        <v>7</v>
      </c>
      <c r="B266" s="562">
        <v>28</v>
      </c>
      <c r="C266" s="562">
        <v>150</v>
      </c>
    </row>
    <row r="267" spans="1:3">
      <c r="A267" s="561">
        <v>7</v>
      </c>
      <c r="B267" s="562">
        <v>49</v>
      </c>
      <c r="C267" s="562">
        <v>210</v>
      </c>
    </row>
    <row r="268" spans="1:3">
      <c r="A268" s="561">
        <v>7</v>
      </c>
      <c r="B268" s="562">
        <v>58</v>
      </c>
      <c r="C268" s="562">
        <v>219.99999999999997</v>
      </c>
    </row>
    <row r="269" spans="1:3">
      <c r="A269" s="561">
        <v>7</v>
      </c>
      <c r="B269" s="562">
        <v>82</v>
      </c>
      <c r="C269" s="562">
        <v>229.99999999999997</v>
      </c>
    </row>
    <row r="270" spans="1:3">
      <c r="A270" s="561">
        <v>7</v>
      </c>
      <c r="B270" s="562">
        <v>94</v>
      </c>
      <c r="C270" s="562">
        <v>250</v>
      </c>
    </row>
    <row r="271" spans="1:3">
      <c r="A271" s="563">
        <v>7</v>
      </c>
      <c r="B271" s="564">
        <v>115</v>
      </c>
      <c r="C271" s="564">
        <v>260</v>
      </c>
    </row>
    <row r="272" spans="1:3">
      <c r="A272" s="563">
        <v>7</v>
      </c>
      <c r="B272" s="564">
        <v>122</v>
      </c>
      <c r="C272" s="564">
        <v>250</v>
      </c>
    </row>
    <row r="273" spans="1:3">
      <c r="A273" s="563">
        <v>7</v>
      </c>
      <c r="B273" s="564">
        <v>130</v>
      </c>
      <c r="C273" s="564">
        <v>235</v>
      </c>
    </row>
    <row r="274" spans="1:3">
      <c r="A274" s="563">
        <v>7</v>
      </c>
      <c r="B274" s="564">
        <v>143</v>
      </c>
      <c r="C274" s="564">
        <v>225</v>
      </c>
    </row>
    <row r="275" spans="1:3">
      <c r="A275" s="563">
        <v>7</v>
      </c>
      <c r="B275" s="564">
        <v>150</v>
      </c>
      <c r="C275" s="564">
        <v>225</v>
      </c>
    </row>
    <row r="276" spans="1:3">
      <c r="A276" s="563">
        <v>7</v>
      </c>
      <c r="B276" s="564">
        <v>164</v>
      </c>
      <c r="C276" s="564">
        <v>240</v>
      </c>
    </row>
    <row r="277" spans="1:3">
      <c r="A277" s="563">
        <v>7</v>
      </c>
      <c r="B277" s="564">
        <v>172</v>
      </c>
      <c r="C277" s="564">
        <v>270</v>
      </c>
    </row>
    <row r="278" spans="1:3">
      <c r="A278" s="563">
        <v>7</v>
      </c>
      <c r="B278" s="564">
        <v>174</v>
      </c>
      <c r="C278" s="564">
        <v>260</v>
      </c>
    </row>
    <row r="279" spans="1:3">
      <c r="A279" s="563">
        <v>7</v>
      </c>
      <c r="B279" s="564">
        <v>178</v>
      </c>
      <c r="C279" s="564">
        <v>260</v>
      </c>
    </row>
    <row r="280" spans="1:3">
      <c r="A280" s="563">
        <v>7</v>
      </c>
      <c r="B280" s="564">
        <v>185</v>
      </c>
      <c r="C280" s="564">
        <v>245.00000000000003</v>
      </c>
    </row>
    <row r="281" spans="1:3">
      <c r="A281" s="563">
        <v>7</v>
      </c>
      <c r="B281" s="564">
        <v>246</v>
      </c>
      <c r="C281" s="564">
        <v>225</v>
      </c>
    </row>
    <row r="282" spans="1:3">
      <c r="A282" s="563">
        <v>7</v>
      </c>
      <c r="B282" s="564">
        <v>307</v>
      </c>
      <c r="C282" s="564">
        <v>245.00000000000003</v>
      </c>
    </row>
    <row r="283" spans="1:3">
      <c r="A283" s="563">
        <v>7</v>
      </c>
      <c r="B283" s="564">
        <v>369</v>
      </c>
      <c r="C283" s="564">
        <v>240</v>
      </c>
    </row>
    <row r="284" spans="1:3">
      <c r="A284" s="563">
        <v>7</v>
      </c>
      <c r="B284" s="564">
        <v>428</v>
      </c>
      <c r="C284" s="564">
        <v>235</v>
      </c>
    </row>
    <row r="285" spans="1:3">
      <c r="A285" s="563">
        <v>7</v>
      </c>
      <c r="B285" s="564">
        <v>489</v>
      </c>
      <c r="C285" s="564">
        <v>245.00000000000003</v>
      </c>
    </row>
    <row r="286" spans="1:3">
      <c r="A286" s="565">
        <v>7</v>
      </c>
      <c r="B286" s="566">
        <v>550</v>
      </c>
      <c r="C286" s="566">
        <v>240</v>
      </c>
    </row>
    <row r="287" spans="1:3">
      <c r="A287" s="565">
        <v>7</v>
      </c>
      <c r="B287" s="566">
        <v>611</v>
      </c>
      <c r="C287" s="566">
        <v>245.00000000000003</v>
      </c>
    </row>
    <row r="288" spans="1:3">
      <c r="A288" s="565">
        <v>7</v>
      </c>
      <c r="B288" s="566">
        <v>672</v>
      </c>
      <c r="C288" s="566">
        <v>240</v>
      </c>
    </row>
    <row r="289" spans="1:3">
      <c r="A289" s="565">
        <v>7</v>
      </c>
      <c r="B289" s="566">
        <v>734</v>
      </c>
      <c r="C289" s="566">
        <v>245.00000000000003</v>
      </c>
    </row>
    <row r="290" spans="1:3">
      <c r="A290" s="565">
        <v>7</v>
      </c>
      <c r="B290" s="566">
        <v>794</v>
      </c>
      <c r="C290" s="566">
        <v>235</v>
      </c>
    </row>
    <row r="291" spans="1:3">
      <c r="A291" s="565">
        <v>7</v>
      </c>
      <c r="B291" s="566">
        <v>1162</v>
      </c>
      <c r="C291" s="566">
        <v>250</v>
      </c>
    </row>
    <row r="292" spans="1:3">
      <c r="A292" s="565">
        <v>7</v>
      </c>
      <c r="B292" s="566">
        <v>1190</v>
      </c>
      <c r="C292" s="566">
        <v>229.99999999999997</v>
      </c>
    </row>
    <row r="293" spans="1:3">
      <c r="A293" s="565">
        <v>7</v>
      </c>
      <c r="B293" s="566">
        <v>1251</v>
      </c>
      <c r="C293" s="566">
        <v>236.7</v>
      </c>
    </row>
    <row r="294" spans="1:3">
      <c r="A294" s="565">
        <v>7</v>
      </c>
      <c r="B294" s="566">
        <v>1316</v>
      </c>
      <c r="C294" s="566">
        <v>254.99999999999997</v>
      </c>
    </row>
    <row r="295" spans="1:3">
      <c r="A295" s="565">
        <v>7</v>
      </c>
      <c r="B295" s="566">
        <v>1390</v>
      </c>
      <c r="C295" s="566">
        <v>238.3</v>
      </c>
    </row>
    <row r="296" spans="1:3">
      <c r="A296" s="565">
        <v>7</v>
      </c>
      <c r="B296" s="566">
        <v>1449</v>
      </c>
      <c r="C296" s="566">
        <v>226.7</v>
      </c>
    </row>
    <row r="297" spans="1:3">
      <c r="A297" s="565">
        <v>7</v>
      </c>
      <c r="B297" s="566">
        <v>1458</v>
      </c>
      <c r="C297" s="566">
        <v>216.73</v>
      </c>
    </row>
    <row r="298" spans="1:3">
      <c r="A298" s="565">
        <v>7</v>
      </c>
      <c r="B298" s="566">
        <v>1548</v>
      </c>
      <c r="C298" s="566">
        <v>210</v>
      </c>
    </row>
    <row r="299" spans="1:3">
      <c r="A299" s="565">
        <v>7</v>
      </c>
      <c r="B299" s="566">
        <v>1639</v>
      </c>
      <c r="C299" s="566">
        <v>218.29999999999998</v>
      </c>
    </row>
    <row r="300" spans="1:3">
      <c r="A300" s="565">
        <v>7</v>
      </c>
      <c r="B300" s="566">
        <v>1731</v>
      </c>
      <c r="C300" s="566">
        <v>218.29999999999998</v>
      </c>
    </row>
    <row r="301" spans="1:3">
      <c r="A301" s="565">
        <v>7</v>
      </c>
      <c r="B301" s="566">
        <v>1954</v>
      </c>
      <c r="C301" s="566">
        <v>211.7</v>
      </c>
    </row>
    <row r="302" spans="1:3">
      <c r="A302" s="565">
        <v>7</v>
      </c>
      <c r="B302" s="566">
        <v>2045</v>
      </c>
      <c r="C302" s="566">
        <v>219.99999999999997</v>
      </c>
    </row>
    <row r="303" spans="1:3">
      <c r="A303" s="565">
        <v>7</v>
      </c>
      <c r="B303" s="566">
        <v>2148</v>
      </c>
      <c r="C303" s="566">
        <v>225</v>
      </c>
    </row>
    <row r="304" spans="1:3">
      <c r="A304" s="565">
        <v>7</v>
      </c>
      <c r="B304" s="566">
        <v>2246</v>
      </c>
      <c r="C304" s="566">
        <v>223.3</v>
      </c>
    </row>
    <row r="305" spans="1:3">
      <c r="A305" s="565">
        <v>7</v>
      </c>
      <c r="B305" s="566">
        <v>2352</v>
      </c>
      <c r="C305" s="566">
        <v>226.7</v>
      </c>
    </row>
    <row r="306" spans="1:3">
      <c r="A306" s="565">
        <v>7</v>
      </c>
      <c r="B306" s="566">
        <v>2515</v>
      </c>
      <c r="C306" s="566">
        <v>219.99999999999997</v>
      </c>
    </row>
    <row r="307" spans="1:3">
      <c r="A307" s="565">
        <v>7</v>
      </c>
      <c r="B307" s="566">
        <v>2625</v>
      </c>
      <c r="C307" s="566">
        <v>225</v>
      </c>
    </row>
    <row r="308" spans="1:3">
      <c r="A308" s="565">
        <v>7</v>
      </c>
      <c r="B308" s="566">
        <v>2779</v>
      </c>
      <c r="C308" s="566">
        <v>229.99999999999997</v>
      </c>
    </row>
    <row r="309" spans="1:3">
      <c r="A309" s="565">
        <v>7</v>
      </c>
      <c r="B309" s="566">
        <v>2893</v>
      </c>
      <c r="C309" s="566">
        <v>219.99999999999997</v>
      </c>
    </row>
    <row r="310" spans="1:3">
      <c r="A310" s="565">
        <v>7</v>
      </c>
      <c r="B310" s="566">
        <v>2998</v>
      </c>
      <c r="C310" s="566">
        <v>208.3</v>
      </c>
    </row>
    <row r="311" spans="1:3">
      <c r="A311" s="565">
        <v>7</v>
      </c>
      <c r="B311" s="566">
        <v>3080</v>
      </c>
      <c r="C311" s="566">
        <v>208.3</v>
      </c>
    </row>
    <row r="312" spans="1:3">
      <c r="A312" s="565">
        <v>7</v>
      </c>
      <c r="B312" s="566">
        <v>3243</v>
      </c>
      <c r="C312" s="566">
        <v>213.3</v>
      </c>
    </row>
    <row r="313" spans="1:3">
      <c r="A313" s="565">
        <v>7</v>
      </c>
      <c r="B313" s="566">
        <v>3329</v>
      </c>
      <c r="C313" s="566">
        <v>208.3</v>
      </c>
    </row>
    <row r="314" spans="1:3">
      <c r="A314" s="561">
        <v>8</v>
      </c>
      <c r="B314" s="562">
        <v>0</v>
      </c>
      <c r="C314" s="562">
        <v>0</v>
      </c>
    </row>
    <row r="315" spans="1:3">
      <c r="A315" s="561">
        <v>8</v>
      </c>
      <c r="B315" s="562">
        <v>7</v>
      </c>
      <c r="C315" s="562">
        <v>73.3</v>
      </c>
    </row>
    <row r="316" spans="1:3">
      <c r="A316" s="561">
        <v>8</v>
      </c>
      <c r="B316" s="562">
        <v>13</v>
      </c>
      <c r="C316" s="562">
        <v>96.7</v>
      </c>
    </row>
    <row r="317" spans="1:3">
      <c r="A317" s="561">
        <v>8</v>
      </c>
      <c r="B317" s="562">
        <v>28</v>
      </c>
      <c r="C317" s="562">
        <v>120</v>
      </c>
    </row>
    <row r="318" spans="1:3">
      <c r="A318" s="561">
        <v>8</v>
      </c>
      <c r="B318" s="562">
        <v>49</v>
      </c>
      <c r="C318" s="562">
        <v>183.29999999999998</v>
      </c>
    </row>
    <row r="319" spans="1:3">
      <c r="A319" s="561">
        <v>8</v>
      </c>
      <c r="B319" s="562">
        <v>58</v>
      </c>
      <c r="C319" s="562">
        <v>186.7</v>
      </c>
    </row>
    <row r="320" spans="1:3">
      <c r="A320" s="561">
        <v>8</v>
      </c>
      <c r="B320" s="562">
        <v>64</v>
      </c>
      <c r="C320" s="562">
        <v>179.99999999999997</v>
      </c>
    </row>
    <row r="321" spans="1:3">
      <c r="A321" s="561">
        <v>8</v>
      </c>
      <c r="B321" s="562">
        <v>82</v>
      </c>
      <c r="C321" s="562">
        <v>203.29999999999998</v>
      </c>
    </row>
    <row r="322" spans="1:3">
      <c r="A322" s="561">
        <v>8</v>
      </c>
      <c r="B322" s="562">
        <v>94</v>
      </c>
      <c r="C322" s="562">
        <v>233.3</v>
      </c>
    </row>
    <row r="323" spans="1:3">
      <c r="A323" s="563">
        <v>8</v>
      </c>
      <c r="B323" s="564">
        <v>115</v>
      </c>
      <c r="C323" s="564">
        <v>216.7</v>
      </c>
    </row>
    <row r="324" spans="1:3">
      <c r="A324" s="563">
        <v>8</v>
      </c>
      <c r="B324" s="564">
        <v>122</v>
      </c>
      <c r="C324" s="564">
        <v>200</v>
      </c>
    </row>
    <row r="325" spans="1:3">
      <c r="A325" s="563">
        <v>8</v>
      </c>
      <c r="B325" s="564">
        <v>130</v>
      </c>
      <c r="C325" s="564">
        <v>206.70000000000002</v>
      </c>
    </row>
    <row r="326" spans="1:3">
      <c r="A326" s="563">
        <v>8</v>
      </c>
      <c r="B326" s="564">
        <v>143</v>
      </c>
      <c r="C326" s="564">
        <v>173.3</v>
      </c>
    </row>
    <row r="327" spans="1:3">
      <c r="A327" s="563">
        <v>8</v>
      </c>
      <c r="B327" s="564">
        <v>150</v>
      </c>
      <c r="C327" s="564">
        <v>170.00000000000003</v>
      </c>
    </row>
    <row r="328" spans="1:3">
      <c r="A328" s="563">
        <v>8</v>
      </c>
      <c r="B328" s="564">
        <v>157</v>
      </c>
      <c r="C328" s="564">
        <v>173.3</v>
      </c>
    </row>
    <row r="329" spans="1:3">
      <c r="A329" s="563">
        <v>8</v>
      </c>
      <c r="B329" s="564">
        <v>164</v>
      </c>
      <c r="C329" s="564">
        <v>183.29999999999998</v>
      </c>
    </row>
    <row r="330" spans="1:3">
      <c r="A330" s="563">
        <v>8</v>
      </c>
      <c r="B330" s="564">
        <v>171</v>
      </c>
      <c r="C330" s="564">
        <v>200</v>
      </c>
    </row>
    <row r="331" spans="1:3">
      <c r="A331" s="563">
        <v>8</v>
      </c>
      <c r="B331" s="564">
        <v>178</v>
      </c>
      <c r="C331" s="564">
        <v>203.29999999999998</v>
      </c>
    </row>
    <row r="332" spans="1:3">
      <c r="A332" s="563">
        <v>8</v>
      </c>
      <c r="B332" s="564">
        <v>185</v>
      </c>
      <c r="C332" s="564">
        <v>196.70000000000002</v>
      </c>
    </row>
    <row r="333" spans="1:3">
      <c r="A333" s="563">
        <v>8</v>
      </c>
      <c r="B333" s="564">
        <v>192</v>
      </c>
      <c r="C333" s="564">
        <v>203.29999999999998</v>
      </c>
    </row>
    <row r="334" spans="1:3">
      <c r="A334" s="563">
        <v>8</v>
      </c>
      <c r="B334" s="564">
        <v>246</v>
      </c>
      <c r="C334" s="564">
        <v>173.3</v>
      </c>
    </row>
    <row r="335" spans="1:3">
      <c r="A335" s="563">
        <v>8</v>
      </c>
      <c r="B335" s="564">
        <v>307</v>
      </c>
      <c r="C335" s="564">
        <v>183.29999999999998</v>
      </c>
    </row>
    <row r="336" spans="1:3">
      <c r="A336" s="563">
        <v>8</v>
      </c>
      <c r="B336" s="564">
        <v>369</v>
      </c>
      <c r="C336" s="564">
        <v>183.29999999999998</v>
      </c>
    </row>
    <row r="337" spans="1:3">
      <c r="A337" s="563">
        <v>8</v>
      </c>
      <c r="B337" s="564">
        <v>428</v>
      </c>
      <c r="C337" s="564">
        <v>183.29999999999998</v>
      </c>
    </row>
    <row r="338" spans="1:3">
      <c r="A338" s="563">
        <v>8</v>
      </c>
      <c r="B338" s="564">
        <v>489</v>
      </c>
      <c r="C338" s="564">
        <v>183.29999999999998</v>
      </c>
    </row>
    <row r="339" spans="1:3">
      <c r="A339" s="565">
        <v>8</v>
      </c>
      <c r="B339" s="566">
        <v>550</v>
      </c>
      <c r="C339" s="566">
        <v>179.99999999999997</v>
      </c>
    </row>
    <row r="340" spans="1:3">
      <c r="A340" s="565">
        <v>8</v>
      </c>
      <c r="B340" s="566">
        <v>611</v>
      </c>
      <c r="C340" s="566">
        <v>179.99999999999997</v>
      </c>
    </row>
    <row r="341" spans="1:3">
      <c r="A341" s="565">
        <v>8</v>
      </c>
      <c r="B341" s="566">
        <v>672</v>
      </c>
      <c r="C341" s="566">
        <v>176.70000000000002</v>
      </c>
    </row>
    <row r="342" spans="1:3">
      <c r="A342" s="565">
        <v>8</v>
      </c>
      <c r="B342" s="566">
        <v>734</v>
      </c>
      <c r="C342" s="566">
        <v>183.29999999999998</v>
      </c>
    </row>
    <row r="343" spans="1:3">
      <c r="A343" s="565">
        <v>8</v>
      </c>
      <c r="B343" s="566">
        <v>794</v>
      </c>
      <c r="C343" s="566">
        <v>186.7</v>
      </c>
    </row>
    <row r="344" spans="1:3">
      <c r="A344" s="565">
        <v>8</v>
      </c>
      <c r="B344" s="566">
        <v>1162</v>
      </c>
      <c r="C344" s="566">
        <v>186.7</v>
      </c>
    </row>
    <row r="345" spans="1:3">
      <c r="A345" s="565">
        <v>8</v>
      </c>
      <c r="B345" s="566">
        <v>1190</v>
      </c>
      <c r="C345" s="566">
        <v>179.99999999999997</v>
      </c>
    </row>
    <row r="346" spans="1:3">
      <c r="A346" s="565">
        <v>8</v>
      </c>
      <c r="B346" s="566">
        <v>1251</v>
      </c>
      <c r="C346" s="566">
        <v>184.4</v>
      </c>
    </row>
    <row r="347" spans="1:3">
      <c r="A347" s="565">
        <v>8</v>
      </c>
      <c r="B347" s="566">
        <v>1316</v>
      </c>
      <c r="C347" s="566">
        <v>190</v>
      </c>
    </row>
    <row r="348" spans="1:3">
      <c r="A348" s="565">
        <v>8</v>
      </c>
      <c r="B348" s="566">
        <v>1390</v>
      </c>
      <c r="C348" s="566">
        <v>184.4</v>
      </c>
    </row>
    <row r="349" spans="1:3">
      <c r="A349" s="565">
        <v>8</v>
      </c>
      <c r="B349" s="566">
        <v>1449</v>
      </c>
      <c r="C349" s="566">
        <v>175.6</v>
      </c>
    </row>
    <row r="350" spans="1:3">
      <c r="A350" s="565">
        <v>8</v>
      </c>
      <c r="B350" s="566">
        <v>1548</v>
      </c>
      <c r="C350" s="566">
        <v>171.9</v>
      </c>
    </row>
    <row r="351" spans="1:3">
      <c r="A351" s="565">
        <v>8</v>
      </c>
      <c r="B351" s="566">
        <v>1639</v>
      </c>
      <c r="C351" s="566">
        <v>170.00000000000003</v>
      </c>
    </row>
    <row r="352" spans="1:3">
      <c r="A352" s="565">
        <v>8</v>
      </c>
      <c r="B352" s="566">
        <v>1731</v>
      </c>
      <c r="C352" s="566">
        <v>175.6</v>
      </c>
    </row>
    <row r="353" spans="1:3">
      <c r="A353" s="565">
        <v>8</v>
      </c>
      <c r="B353" s="566">
        <v>1823</v>
      </c>
      <c r="C353" s="566">
        <v>162.19999999999999</v>
      </c>
    </row>
    <row r="354" spans="1:3">
      <c r="A354" s="565">
        <v>8</v>
      </c>
      <c r="B354" s="566">
        <v>1954</v>
      </c>
      <c r="C354" s="566">
        <v>164.39999999999998</v>
      </c>
    </row>
    <row r="355" spans="1:3">
      <c r="A355" s="565">
        <v>8</v>
      </c>
      <c r="B355" s="566">
        <v>2045</v>
      </c>
      <c r="C355" s="566">
        <v>171.1</v>
      </c>
    </row>
    <row r="356" spans="1:3">
      <c r="A356" s="565">
        <v>8</v>
      </c>
      <c r="B356" s="566">
        <v>2148</v>
      </c>
      <c r="C356" s="566">
        <v>173.3</v>
      </c>
    </row>
    <row r="357" spans="1:3">
      <c r="A357" s="565">
        <v>8</v>
      </c>
      <c r="B357" s="566">
        <v>2246</v>
      </c>
      <c r="C357" s="566">
        <v>175.6</v>
      </c>
    </row>
    <row r="358" spans="1:3">
      <c r="A358" s="565">
        <v>8</v>
      </c>
      <c r="B358" s="566">
        <v>2352</v>
      </c>
      <c r="C358" s="566">
        <v>175.6</v>
      </c>
    </row>
    <row r="359" spans="1:3">
      <c r="A359" s="565">
        <v>8</v>
      </c>
      <c r="B359" s="566">
        <v>2515</v>
      </c>
      <c r="C359" s="566">
        <v>166.70000000000002</v>
      </c>
    </row>
    <row r="360" spans="1:3">
      <c r="A360" s="565">
        <v>8</v>
      </c>
      <c r="B360" s="566">
        <v>2625</v>
      </c>
      <c r="C360" s="566">
        <v>166.70000000000002</v>
      </c>
    </row>
    <row r="361" spans="1:3">
      <c r="A361" s="565">
        <v>8</v>
      </c>
      <c r="B361" s="566">
        <v>2779</v>
      </c>
      <c r="C361" s="566">
        <v>179.99999999999997</v>
      </c>
    </row>
    <row r="362" spans="1:3">
      <c r="A362" s="565">
        <v>8</v>
      </c>
      <c r="B362" s="566">
        <v>2893</v>
      </c>
      <c r="C362" s="566">
        <v>191.1</v>
      </c>
    </row>
    <row r="363" spans="1:3">
      <c r="A363" s="565">
        <v>8</v>
      </c>
      <c r="B363" s="566">
        <v>2998</v>
      </c>
      <c r="C363" s="566">
        <v>193.3</v>
      </c>
    </row>
    <row r="364" spans="1:3">
      <c r="A364" s="565">
        <v>8</v>
      </c>
      <c r="B364" s="566">
        <v>3080</v>
      </c>
      <c r="C364" s="566">
        <v>193.3</v>
      </c>
    </row>
    <row r="365" spans="1:3">
      <c r="A365" s="565">
        <v>8</v>
      </c>
      <c r="B365" s="566">
        <v>3243</v>
      </c>
      <c r="C365" s="566">
        <v>192.20000000000002</v>
      </c>
    </row>
    <row r="366" spans="1:3">
      <c r="A366" s="565">
        <v>8</v>
      </c>
      <c r="B366" s="566">
        <v>3329</v>
      </c>
      <c r="C366" s="566">
        <v>191.1</v>
      </c>
    </row>
    <row r="367" spans="1:3">
      <c r="A367" s="561">
        <v>9</v>
      </c>
      <c r="B367" s="562">
        <v>0</v>
      </c>
      <c r="C367" s="562">
        <v>0</v>
      </c>
    </row>
    <row r="368" spans="1:3">
      <c r="A368" s="561">
        <v>9</v>
      </c>
      <c r="B368" s="562">
        <v>7</v>
      </c>
      <c r="C368" s="562">
        <v>166.70000000000002</v>
      </c>
    </row>
    <row r="369" spans="1:3">
      <c r="A369" s="561">
        <v>9</v>
      </c>
      <c r="B369" s="562">
        <v>14</v>
      </c>
      <c r="C369" s="562">
        <v>223.3</v>
      </c>
    </row>
    <row r="370" spans="1:3">
      <c r="A370" s="561">
        <v>9</v>
      </c>
      <c r="B370" s="562">
        <v>28</v>
      </c>
      <c r="C370" s="562">
        <v>296.7</v>
      </c>
    </row>
    <row r="371" spans="1:3">
      <c r="A371" s="561">
        <v>9</v>
      </c>
      <c r="B371" s="562">
        <v>36</v>
      </c>
      <c r="C371" s="562">
        <v>350.00000000000006</v>
      </c>
    </row>
    <row r="372" spans="1:3">
      <c r="A372" s="561">
        <v>9</v>
      </c>
      <c r="B372" s="562">
        <v>50</v>
      </c>
      <c r="C372" s="562">
        <v>363.3</v>
      </c>
    </row>
    <row r="373" spans="1:3">
      <c r="A373" s="561">
        <v>9</v>
      </c>
      <c r="B373" s="562">
        <v>61</v>
      </c>
      <c r="C373" s="562">
        <v>406.70000000000005</v>
      </c>
    </row>
    <row r="374" spans="1:3">
      <c r="A374" s="561">
        <v>9</v>
      </c>
      <c r="B374" s="562">
        <v>79</v>
      </c>
      <c r="C374" s="562">
        <v>400</v>
      </c>
    </row>
    <row r="375" spans="1:3">
      <c r="A375" s="561">
        <v>9</v>
      </c>
      <c r="B375" s="562">
        <v>91</v>
      </c>
      <c r="C375" s="562">
        <v>396.7</v>
      </c>
    </row>
    <row r="376" spans="1:3">
      <c r="A376" s="563">
        <v>9</v>
      </c>
      <c r="B376" s="564">
        <v>112</v>
      </c>
      <c r="C376" s="564">
        <v>413.3</v>
      </c>
    </row>
    <row r="377" spans="1:3">
      <c r="A377" s="563">
        <v>9</v>
      </c>
      <c r="B377" s="564">
        <v>119</v>
      </c>
      <c r="C377" s="564">
        <v>396.7</v>
      </c>
    </row>
    <row r="378" spans="1:3">
      <c r="A378" s="563">
        <v>9</v>
      </c>
      <c r="B378" s="564">
        <v>127</v>
      </c>
      <c r="C378" s="564">
        <v>390</v>
      </c>
    </row>
    <row r="379" spans="1:3">
      <c r="A379" s="563">
        <v>9</v>
      </c>
      <c r="B379" s="564">
        <v>140</v>
      </c>
      <c r="C379" s="564">
        <v>370</v>
      </c>
    </row>
    <row r="380" spans="1:3">
      <c r="A380" s="563">
        <v>9</v>
      </c>
      <c r="B380" s="564">
        <v>147</v>
      </c>
      <c r="C380" s="564">
        <v>366.70000000000005</v>
      </c>
    </row>
    <row r="381" spans="1:3">
      <c r="A381" s="563">
        <v>9</v>
      </c>
      <c r="B381" s="564">
        <v>154</v>
      </c>
      <c r="C381" s="564">
        <v>363.3</v>
      </c>
    </row>
    <row r="382" spans="1:3">
      <c r="A382" s="563">
        <v>9</v>
      </c>
      <c r="B382" s="564">
        <v>161</v>
      </c>
      <c r="C382" s="564">
        <v>370</v>
      </c>
    </row>
    <row r="383" spans="1:3">
      <c r="A383" s="563">
        <v>9</v>
      </c>
      <c r="B383" s="564">
        <v>168</v>
      </c>
      <c r="C383" s="564">
        <v>380</v>
      </c>
    </row>
    <row r="384" spans="1:3">
      <c r="A384" s="563">
        <v>9</v>
      </c>
      <c r="B384" s="564">
        <v>175</v>
      </c>
      <c r="C384" s="564">
        <v>386.70000000000005</v>
      </c>
    </row>
    <row r="385" spans="1:3">
      <c r="A385" s="563">
        <v>9</v>
      </c>
      <c r="B385" s="564">
        <v>182</v>
      </c>
      <c r="C385" s="564">
        <v>380</v>
      </c>
    </row>
    <row r="386" spans="1:3">
      <c r="A386" s="563">
        <v>9</v>
      </c>
      <c r="B386" s="564">
        <v>189</v>
      </c>
      <c r="C386" s="564">
        <v>376.70000000000005</v>
      </c>
    </row>
    <row r="387" spans="1:3">
      <c r="A387" s="563">
        <v>9</v>
      </c>
      <c r="B387" s="564">
        <v>243</v>
      </c>
      <c r="C387" s="564">
        <v>346.7</v>
      </c>
    </row>
    <row r="388" spans="1:3">
      <c r="A388" s="563">
        <v>9</v>
      </c>
      <c r="B388" s="564">
        <v>304</v>
      </c>
      <c r="C388" s="564">
        <v>359.99999999999994</v>
      </c>
    </row>
    <row r="389" spans="1:3">
      <c r="A389" s="563">
        <v>9</v>
      </c>
      <c r="B389" s="564">
        <v>366</v>
      </c>
      <c r="C389" s="564">
        <v>370</v>
      </c>
    </row>
    <row r="390" spans="1:3">
      <c r="A390" s="563">
        <v>9</v>
      </c>
      <c r="B390" s="564">
        <v>425</v>
      </c>
      <c r="C390" s="564">
        <v>370</v>
      </c>
    </row>
    <row r="391" spans="1:3">
      <c r="A391" s="563">
        <v>9</v>
      </c>
      <c r="B391" s="564">
        <v>486</v>
      </c>
      <c r="C391" s="564">
        <v>376.70000000000005</v>
      </c>
    </row>
    <row r="392" spans="1:3">
      <c r="A392" s="565">
        <v>9</v>
      </c>
      <c r="B392" s="566">
        <v>547</v>
      </c>
      <c r="C392" s="566">
        <v>376.70000000000005</v>
      </c>
    </row>
    <row r="393" spans="1:3">
      <c r="A393" s="565">
        <v>9</v>
      </c>
      <c r="B393" s="566">
        <v>608</v>
      </c>
      <c r="C393" s="566">
        <v>370</v>
      </c>
    </row>
    <row r="394" spans="1:3">
      <c r="A394" s="565">
        <v>9</v>
      </c>
      <c r="B394" s="566">
        <v>669</v>
      </c>
      <c r="C394" s="566">
        <v>370</v>
      </c>
    </row>
    <row r="395" spans="1:3">
      <c r="A395" s="565">
        <v>9</v>
      </c>
      <c r="B395" s="566">
        <v>731</v>
      </c>
      <c r="C395" s="566">
        <v>359.99999999999994</v>
      </c>
    </row>
    <row r="396" spans="1:3">
      <c r="A396" s="565">
        <v>9</v>
      </c>
      <c r="B396" s="566">
        <v>791</v>
      </c>
      <c r="C396" s="566">
        <v>359.99999999999994</v>
      </c>
    </row>
    <row r="397" spans="1:3">
      <c r="A397" s="565">
        <v>9</v>
      </c>
      <c r="B397" s="566">
        <v>1159</v>
      </c>
      <c r="C397" s="566">
        <v>353.3</v>
      </c>
    </row>
    <row r="398" spans="1:3">
      <c r="A398" s="565">
        <v>9</v>
      </c>
      <c r="B398" s="566">
        <v>1187</v>
      </c>
      <c r="C398" s="566">
        <v>354.4</v>
      </c>
    </row>
    <row r="399" spans="1:3">
      <c r="A399" s="565">
        <v>9</v>
      </c>
      <c r="B399" s="566">
        <v>1248</v>
      </c>
      <c r="C399" s="566">
        <v>359.99999999999994</v>
      </c>
    </row>
    <row r="400" spans="1:3">
      <c r="A400" s="565">
        <v>9</v>
      </c>
      <c r="B400" s="566">
        <v>1313</v>
      </c>
      <c r="C400" s="566">
        <v>359.99999999999994</v>
      </c>
    </row>
    <row r="401" spans="1:3">
      <c r="A401" s="565">
        <v>9</v>
      </c>
      <c r="B401" s="566">
        <v>1387</v>
      </c>
      <c r="C401" s="566">
        <v>373.3</v>
      </c>
    </row>
    <row r="402" spans="1:3">
      <c r="A402" s="565">
        <v>9</v>
      </c>
      <c r="B402" s="566">
        <v>1446</v>
      </c>
      <c r="C402" s="566">
        <v>372.20000000000005</v>
      </c>
    </row>
    <row r="403" spans="1:3">
      <c r="A403" s="565">
        <v>9</v>
      </c>
      <c r="B403" s="566">
        <v>1545</v>
      </c>
      <c r="C403" s="566">
        <v>356.70000000000005</v>
      </c>
    </row>
    <row r="404" spans="1:3">
      <c r="A404" s="565">
        <v>9</v>
      </c>
      <c r="B404" s="566">
        <v>1636</v>
      </c>
      <c r="C404" s="566">
        <v>358.9</v>
      </c>
    </row>
    <row r="405" spans="1:3">
      <c r="A405" s="565">
        <v>9</v>
      </c>
      <c r="B405" s="566">
        <v>1728</v>
      </c>
      <c r="C405" s="566">
        <v>359.99999999999994</v>
      </c>
    </row>
    <row r="406" spans="1:3">
      <c r="A406" s="565">
        <v>9</v>
      </c>
      <c r="B406" s="566">
        <v>1820</v>
      </c>
      <c r="C406" s="566">
        <v>351.1</v>
      </c>
    </row>
    <row r="407" spans="1:3">
      <c r="A407" s="565">
        <v>9</v>
      </c>
      <c r="B407" s="566">
        <v>1951</v>
      </c>
      <c r="C407" s="566">
        <v>364.40000000000003</v>
      </c>
    </row>
    <row r="408" spans="1:3">
      <c r="A408" s="565">
        <v>9</v>
      </c>
      <c r="B408" s="566">
        <v>2042</v>
      </c>
      <c r="C408" s="566">
        <v>357.8</v>
      </c>
    </row>
    <row r="409" spans="1:3">
      <c r="A409" s="565">
        <v>9</v>
      </c>
      <c r="B409" s="566">
        <v>2145</v>
      </c>
      <c r="C409" s="566">
        <v>353.3</v>
      </c>
    </row>
    <row r="410" spans="1:3">
      <c r="A410" s="565">
        <v>9</v>
      </c>
      <c r="B410" s="566">
        <v>2243</v>
      </c>
      <c r="C410" s="566">
        <v>355.6</v>
      </c>
    </row>
    <row r="411" spans="1:3">
      <c r="A411" s="565">
        <v>9</v>
      </c>
      <c r="B411" s="566">
        <v>2349</v>
      </c>
      <c r="C411" s="566">
        <v>350.00000000000006</v>
      </c>
    </row>
    <row r="412" spans="1:3">
      <c r="A412" s="565">
        <v>9</v>
      </c>
      <c r="B412" s="566">
        <v>2512</v>
      </c>
      <c r="C412" s="566">
        <v>356.70000000000005</v>
      </c>
    </row>
    <row r="413" spans="1:3">
      <c r="A413" s="565">
        <v>9</v>
      </c>
      <c r="B413" s="566">
        <v>2622</v>
      </c>
      <c r="C413" s="566">
        <v>356.70000000000005</v>
      </c>
    </row>
    <row r="414" spans="1:3">
      <c r="A414" s="565">
        <v>9</v>
      </c>
      <c r="B414" s="566">
        <v>2776</v>
      </c>
      <c r="C414" s="566">
        <v>359.99999999999994</v>
      </c>
    </row>
    <row r="415" spans="1:3">
      <c r="A415" s="565">
        <v>9</v>
      </c>
      <c r="B415" s="566">
        <v>2890</v>
      </c>
      <c r="C415" s="566">
        <v>368.9</v>
      </c>
    </row>
    <row r="416" spans="1:3">
      <c r="A416" s="565">
        <v>9</v>
      </c>
      <c r="B416" s="566">
        <v>2995</v>
      </c>
      <c r="C416" s="566">
        <v>368.9</v>
      </c>
    </row>
    <row r="417" spans="1:3">
      <c r="A417" s="565">
        <v>9</v>
      </c>
      <c r="B417" s="566">
        <v>3077</v>
      </c>
      <c r="C417" s="566">
        <v>368.9</v>
      </c>
    </row>
    <row r="418" spans="1:3">
      <c r="A418" s="565">
        <v>9</v>
      </c>
      <c r="B418" s="566">
        <v>3240</v>
      </c>
      <c r="C418" s="566">
        <v>368.9</v>
      </c>
    </row>
    <row r="419" spans="1:3">
      <c r="A419" s="561">
        <v>10</v>
      </c>
      <c r="B419" s="562">
        <v>0</v>
      </c>
      <c r="C419" s="562">
        <v>0</v>
      </c>
    </row>
    <row r="420" spans="1:3">
      <c r="A420" s="561">
        <v>10</v>
      </c>
      <c r="B420" s="562">
        <v>7</v>
      </c>
      <c r="C420" s="562">
        <v>65</v>
      </c>
    </row>
    <row r="421" spans="1:3">
      <c r="A421" s="561">
        <v>10</v>
      </c>
      <c r="B421" s="562">
        <v>14</v>
      </c>
      <c r="C421" s="562">
        <v>125</v>
      </c>
    </row>
    <row r="422" spans="1:3">
      <c r="A422" s="561">
        <v>10</v>
      </c>
      <c r="B422" s="562">
        <v>28</v>
      </c>
      <c r="C422" s="562">
        <v>185</v>
      </c>
    </row>
    <row r="423" spans="1:3">
      <c r="A423" s="561">
        <v>10</v>
      </c>
      <c r="B423" s="562">
        <v>36</v>
      </c>
      <c r="C423" s="562">
        <v>205.00000000000003</v>
      </c>
    </row>
    <row r="424" spans="1:3">
      <c r="A424" s="561">
        <v>10</v>
      </c>
      <c r="B424" s="562">
        <v>50</v>
      </c>
      <c r="C424" s="562">
        <v>219.99999999999997</v>
      </c>
    </row>
    <row r="425" spans="1:3">
      <c r="A425" s="561">
        <v>10</v>
      </c>
      <c r="B425" s="562">
        <v>61</v>
      </c>
      <c r="C425" s="562">
        <v>265</v>
      </c>
    </row>
    <row r="426" spans="1:3">
      <c r="A426" s="561">
        <v>10</v>
      </c>
      <c r="B426" s="562">
        <v>79</v>
      </c>
      <c r="C426" s="562">
        <v>265</v>
      </c>
    </row>
    <row r="427" spans="1:3">
      <c r="A427" s="561">
        <v>10</v>
      </c>
      <c r="B427" s="562">
        <v>91</v>
      </c>
      <c r="C427" s="562">
        <v>275</v>
      </c>
    </row>
    <row r="428" spans="1:3">
      <c r="A428" s="563">
        <v>10</v>
      </c>
      <c r="B428" s="564">
        <v>112</v>
      </c>
      <c r="C428" s="564">
        <v>270</v>
      </c>
    </row>
    <row r="429" spans="1:3">
      <c r="A429" s="563">
        <v>10</v>
      </c>
      <c r="B429" s="564">
        <v>119</v>
      </c>
      <c r="C429" s="564">
        <v>275</v>
      </c>
    </row>
    <row r="430" spans="1:3">
      <c r="A430" s="563">
        <v>10</v>
      </c>
      <c r="B430" s="564">
        <v>140</v>
      </c>
      <c r="C430" s="564">
        <v>245.00000000000003</v>
      </c>
    </row>
    <row r="431" spans="1:3">
      <c r="A431" s="563">
        <v>10</v>
      </c>
      <c r="B431" s="564">
        <v>147</v>
      </c>
      <c r="C431" s="564">
        <v>240</v>
      </c>
    </row>
    <row r="432" spans="1:3">
      <c r="A432" s="563">
        <v>10</v>
      </c>
      <c r="B432" s="564">
        <v>154</v>
      </c>
      <c r="C432" s="564">
        <v>245.00000000000003</v>
      </c>
    </row>
    <row r="433" spans="1:3">
      <c r="A433" s="563">
        <v>10</v>
      </c>
      <c r="B433" s="564">
        <v>161</v>
      </c>
      <c r="C433" s="564">
        <v>240</v>
      </c>
    </row>
    <row r="434" spans="1:3">
      <c r="A434" s="563">
        <v>10</v>
      </c>
      <c r="B434" s="564">
        <v>168</v>
      </c>
      <c r="C434" s="564">
        <v>275</v>
      </c>
    </row>
    <row r="435" spans="1:3">
      <c r="A435" s="563">
        <v>10</v>
      </c>
      <c r="B435" s="564">
        <v>175</v>
      </c>
      <c r="C435" s="564">
        <v>254.99999999999997</v>
      </c>
    </row>
    <row r="436" spans="1:3">
      <c r="A436" s="563">
        <v>10</v>
      </c>
      <c r="B436" s="564">
        <v>182</v>
      </c>
      <c r="C436" s="564">
        <v>254.99999999999997</v>
      </c>
    </row>
    <row r="437" spans="1:3">
      <c r="A437" s="563">
        <v>10</v>
      </c>
      <c r="B437" s="564">
        <v>189</v>
      </c>
      <c r="C437" s="564">
        <v>240</v>
      </c>
    </row>
    <row r="438" spans="1:3">
      <c r="A438" s="563">
        <v>10</v>
      </c>
      <c r="B438" s="564">
        <v>243</v>
      </c>
      <c r="C438" s="564">
        <v>225</v>
      </c>
    </row>
    <row r="439" spans="1:3">
      <c r="A439" s="563">
        <v>10</v>
      </c>
      <c r="B439" s="564">
        <v>304</v>
      </c>
      <c r="C439" s="564">
        <v>260</v>
      </c>
    </row>
    <row r="440" spans="1:3">
      <c r="A440" s="563">
        <v>10</v>
      </c>
      <c r="B440" s="564">
        <v>366</v>
      </c>
      <c r="C440" s="564">
        <v>245.00000000000003</v>
      </c>
    </row>
    <row r="441" spans="1:3">
      <c r="A441" s="563">
        <v>10</v>
      </c>
      <c r="B441" s="564">
        <v>425</v>
      </c>
      <c r="C441" s="564">
        <v>240</v>
      </c>
    </row>
    <row r="442" spans="1:3">
      <c r="A442" s="563">
        <v>10</v>
      </c>
      <c r="B442" s="564">
        <v>486</v>
      </c>
      <c r="C442" s="564">
        <v>229.99999999999997</v>
      </c>
    </row>
    <row r="443" spans="1:3">
      <c r="A443" s="565">
        <v>10</v>
      </c>
      <c r="B443" s="566">
        <v>547</v>
      </c>
      <c r="C443" s="566">
        <v>229.99999999999997</v>
      </c>
    </row>
    <row r="444" spans="1:3">
      <c r="A444" s="565">
        <v>10</v>
      </c>
      <c r="B444" s="566">
        <v>608</v>
      </c>
      <c r="C444" s="566">
        <v>240</v>
      </c>
    </row>
    <row r="445" spans="1:3">
      <c r="A445" s="565">
        <v>10</v>
      </c>
      <c r="B445" s="566">
        <v>669</v>
      </c>
      <c r="C445" s="566">
        <v>229.99999999999997</v>
      </c>
    </row>
    <row r="446" spans="1:3">
      <c r="A446" s="565">
        <v>10</v>
      </c>
      <c r="B446" s="566">
        <v>731</v>
      </c>
      <c r="C446" s="566">
        <v>229.99999999999997</v>
      </c>
    </row>
    <row r="447" spans="1:3">
      <c r="A447" s="565">
        <v>10</v>
      </c>
      <c r="B447" s="566">
        <v>791</v>
      </c>
      <c r="C447" s="566">
        <v>240</v>
      </c>
    </row>
    <row r="448" spans="1:3">
      <c r="A448" s="565">
        <v>10</v>
      </c>
      <c r="B448" s="566">
        <v>1159</v>
      </c>
      <c r="C448" s="566">
        <v>246.70000000000002</v>
      </c>
    </row>
    <row r="449" spans="1:3">
      <c r="A449" s="565">
        <v>10</v>
      </c>
      <c r="B449" s="566">
        <v>1187</v>
      </c>
      <c r="C449" s="566">
        <v>233.3</v>
      </c>
    </row>
    <row r="450" spans="1:3">
      <c r="A450" s="565">
        <v>10</v>
      </c>
      <c r="B450" s="566">
        <v>1248</v>
      </c>
      <c r="C450" s="566">
        <v>243.30000000000004</v>
      </c>
    </row>
    <row r="451" spans="1:3">
      <c r="A451" s="565">
        <v>10</v>
      </c>
      <c r="B451" s="566">
        <v>1313</v>
      </c>
      <c r="C451" s="566">
        <v>245.00000000000003</v>
      </c>
    </row>
    <row r="452" spans="1:3">
      <c r="A452" s="565">
        <v>10</v>
      </c>
      <c r="B452" s="566">
        <v>1387</v>
      </c>
      <c r="C452" s="566">
        <v>258.29999999999995</v>
      </c>
    </row>
    <row r="453" spans="1:3">
      <c r="A453" s="565">
        <v>10</v>
      </c>
      <c r="B453" s="566">
        <v>1446</v>
      </c>
      <c r="C453" s="566">
        <v>245.00000000000003</v>
      </c>
    </row>
    <row r="454" spans="1:3">
      <c r="A454" s="565">
        <v>10</v>
      </c>
      <c r="B454" s="566">
        <v>1545</v>
      </c>
      <c r="C454" s="566">
        <v>229.99999999999997</v>
      </c>
    </row>
    <row r="455" spans="1:3">
      <c r="A455" s="565">
        <v>10</v>
      </c>
      <c r="B455" s="566">
        <v>1636</v>
      </c>
      <c r="C455" s="566">
        <v>226.7</v>
      </c>
    </row>
    <row r="456" spans="1:3">
      <c r="A456" s="565">
        <v>10</v>
      </c>
      <c r="B456" s="566">
        <v>1728</v>
      </c>
      <c r="C456" s="566">
        <v>223.3</v>
      </c>
    </row>
    <row r="457" spans="1:3">
      <c r="A457" s="565">
        <v>10</v>
      </c>
      <c r="B457" s="566">
        <v>1820</v>
      </c>
      <c r="C457" s="566">
        <v>215</v>
      </c>
    </row>
    <row r="458" spans="1:3">
      <c r="A458" s="565">
        <v>10</v>
      </c>
      <c r="B458" s="566">
        <v>1951</v>
      </c>
      <c r="C458" s="566">
        <v>219.99999999999997</v>
      </c>
    </row>
    <row r="459" spans="1:3">
      <c r="A459" s="565">
        <v>10</v>
      </c>
      <c r="B459" s="566">
        <v>2042</v>
      </c>
      <c r="C459" s="566">
        <v>213.3</v>
      </c>
    </row>
    <row r="460" spans="1:3">
      <c r="A460" s="565">
        <v>10</v>
      </c>
      <c r="B460" s="566">
        <v>2145</v>
      </c>
      <c r="C460" s="566">
        <v>216.7</v>
      </c>
    </row>
    <row r="461" spans="1:3">
      <c r="A461" s="565">
        <v>10</v>
      </c>
      <c r="B461" s="566">
        <v>2243</v>
      </c>
      <c r="C461" s="566">
        <v>215</v>
      </c>
    </row>
    <row r="462" spans="1:3">
      <c r="A462" s="565">
        <v>10</v>
      </c>
      <c r="B462" s="566">
        <v>2349</v>
      </c>
      <c r="C462" s="566">
        <v>216.7</v>
      </c>
    </row>
    <row r="463" spans="1:3">
      <c r="A463" s="565">
        <v>10</v>
      </c>
      <c r="B463" s="566">
        <v>2512</v>
      </c>
      <c r="C463" s="566">
        <v>219.99999999999997</v>
      </c>
    </row>
    <row r="464" spans="1:3">
      <c r="A464" s="565">
        <v>10</v>
      </c>
      <c r="B464" s="566">
        <v>2622</v>
      </c>
      <c r="C464" s="566">
        <v>210</v>
      </c>
    </row>
    <row r="465" spans="1:3">
      <c r="A465" s="565">
        <v>10</v>
      </c>
      <c r="B465" s="566">
        <v>2776</v>
      </c>
      <c r="C465" s="566">
        <v>215</v>
      </c>
    </row>
    <row r="466" spans="1:3">
      <c r="A466" s="565">
        <v>10</v>
      </c>
      <c r="B466" s="566">
        <v>2890</v>
      </c>
      <c r="C466" s="566">
        <v>215</v>
      </c>
    </row>
    <row r="467" spans="1:3">
      <c r="A467" s="565">
        <v>10</v>
      </c>
      <c r="B467" s="566">
        <v>2995</v>
      </c>
      <c r="C467" s="566">
        <v>221.70000000000002</v>
      </c>
    </row>
    <row r="468" spans="1:3">
      <c r="A468" s="565">
        <v>10</v>
      </c>
      <c r="B468" s="566">
        <v>3077</v>
      </c>
      <c r="C468" s="566">
        <v>221.70000000000002</v>
      </c>
    </row>
    <row r="469" spans="1:3">
      <c r="A469" s="565">
        <v>10</v>
      </c>
      <c r="B469" s="566">
        <v>3240</v>
      </c>
      <c r="C469" s="566">
        <v>218.29999999999998</v>
      </c>
    </row>
    <row r="470" spans="1:3">
      <c r="A470" s="565">
        <v>10</v>
      </c>
      <c r="B470" s="566">
        <v>3326</v>
      </c>
      <c r="C470" s="566">
        <v>215</v>
      </c>
    </row>
    <row r="471" spans="1:3">
      <c r="A471" s="561">
        <v>11</v>
      </c>
      <c r="B471" s="562">
        <v>0</v>
      </c>
      <c r="C471" s="562">
        <v>0</v>
      </c>
    </row>
    <row r="472" spans="1:3">
      <c r="A472" s="561">
        <v>11</v>
      </c>
      <c r="B472" s="562">
        <v>7</v>
      </c>
      <c r="C472" s="562">
        <v>30</v>
      </c>
    </row>
    <row r="473" spans="1:3">
      <c r="A473" s="561">
        <v>11</v>
      </c>
      <c r="B473" s="562">
        <v>21</v>
      </c>
      <c r="C473" s="562">
        <v>150</v>
      </c>
    </row>
    <row r="474" spans="1:3">
      <c r="A474" s="561">
        <v>11</v>
      </c>
      <c r="B474" s="562">
        <v>29</v>
      </c>
      <c r="C474" s="562">
        <v>160</v>
      </c>
    </row>
    <row r="475" spans="1:3">
      <c r="A475" s="561">
        <v>11</v>
      </c>
      <c r="B475" s="562">
        <v>43</v>
      </c>
      <c r="C475" s="562">
        <v>170.00000000000003</v>
      </c>
    </row>
    <row r="476" spans="1:3">
      <c r="A476" s="561">
        <v>11</v>
      </c>
      <c r="B476" s="562">
        <v>49</v>
      </c>
      <c r="C476" s="562">
        <v>200</v>
      </c>
    </row>
    <row r="477" spans="1:3">
      <c r="A477" s="561">
        <v>11</v>
      </c>
      <c r="B477" s="562">
        <v>54</v>
      </c>
      <c r="C477" s="562">
        <v>243.30000000000004</v>
      </c>
    </row>
    <row r="478" spans="1:3">
      <c r="A478" s="561">
        <v>11</v>
      </c>
      <c r="B478" s="562">
        <v>72</v>
      </c>
      <c r="C478" s="562">
        <v>266.7</v>
      </c>
    </row>
    <row r="479" spans="1:3">
      <c r="A479" s="561">
        <v>11</v>
      </c>
      <c r="B479" s="562">
        <v>84</v>
      </c>
      <c r="C479" s="562">
        <v>286.7</v>
      </c>
    </row>
    <row r="480" spans="1:3">
      <c r="A480" s="563">
        <v>11</v>
      </c>
      <c r="B480" s="564">
        <v>105</v>
      </c>
      <c r="C480" s="564">
        <v>263.3</v>
      </c>
    </row>
    <row r="481" spans="1:3">
      <c r="A481" s="563">
        <v>11</v>
      </c>
      <c r="B481" s="564">
        <v>112</v>
      </c>
      <c r="C481" s="564">
        <v>253.29999999999998</v>
      </c>
    </row>
    <row r="482" spans="1:3">
      <c r="A482" s="563">
        <v>11</v>
      </c>
      <c r="B482" s="564">
        <v>121</v>
      </c>
      <c r="C482" s="564">
        <v>226.7</v>
      </c>
    </row>
    <row r="483" spans="1:3">
      <c r="A483" s="563">
        <v>11</v>
      </c>
      <c r="B483" s="564">
        <v>133</v>
      </c>
      <c r="C483" s="564">
        <v>219.99999999999997</v>
      </c>
    </row>
    <row r="484" spans="1:3">
      <c r="A484" s="563">
        <v>11</v>
      </c>
      <c r="B484" s="564">
        <v>140</v>
      </c>
      <c r="C484" s="564">
        <v>219.99999999999997</v>
      </c>
    </row>
    <row r="485" spans="1:3">
      <c r="A485" s="563">
        <v>11</v>
      </c>
      <c r="B485" s="564">
        <v>147</v>
      </c>
      <c r="C485" s="564">
        <v>219.99999999999997</v>
      </c>
    </row>
    <row r="486" spans="1:3">
      <c r="A486" s="563">
        <v>11</v>
      </c>
      <c r="B486" s="564">
        <v>154</v>
      </c>
      <c r="C486" s="564">
        <v>236.7</v>
      </c>
    </row>
    <row r="487" spans="1:3">
      <c r="A487" s="563">
        <v>11</v>
      </c>
      <c r="B487" s="564">
        <v>161</v>
      </c>
      <c r="C487" s="564">
        <v>246.70000000000002</v>
      </c>
    </row>
    <row r="488" spans="1:3">
      <c r="A488" s="563">
        <v>11</v>
      </c>
      <c r="B488" s="564">
        <v>168</v>
      </c>
      <c r="C488" s="564">
        <v>246.70000000000002</v>
      </c>
    </row>
    <row r="489" spans="1:3">
      <c r="A489" s="563">
        <v>11</v>
      </c>
      <c r="B489" s="564">
        <v>175</v>
      </c>
      <c r="C489" s="564">
        <v>246.70000000000002</v>
      </c>
    </row>
    <row r="490" spans="1:3">
      <c r="A490" s="563">
        <v>11</v>
      </c>
      <c r="B490" s="564">
        <v>182</v>
      </c>
      <c r="C490" s="564">
        <v>240</v>
      </c>
    </row>
    <row r="491" spans="1:3">
      <c r="A491" s="563">
        <v>11</v>
      </c>
      <c r="B491" s="564">
        <v>243</v>
      </c>
      <c r="C491" s="564">
        <v>216.73999999999998</v>
      </c>
    </row>
    <row r="492" spans="1:3">
      <c r="A492" s="563">
        <v>11</v>
      </c>
      <c r="B492" s="564">
        <v>304</v>
      </c>
      <c r="C492" s="564">
        <v>246.70000000000002</v>
      </c>
    </row>
    <row r="493" spans="1:3">
      <c r="A493" s="563">
        <v>11</v>
      </c>
      <c r="B493" s="564">
        <v>366</v>
      </c>
      <c r="C493" s="564">
        <v>243.30000000000004</v>
      </c>
    </row>
    <row r="494" spans="1:3">
      <c r="A494" s="563">
        <v>11</v>
      </c>
      <c r="B494" s="564">
        <v>425</v>
      </c>
      <c r="C494" s="564">
        <v>253.29999999999998</v>
      </c>
    </row>
    <row r="495" spans="1:3">
      <c r="A495" s="563">
        <v>11</v>
      </c>
      <c r="B495" s="564">
        <v>486</v>
      </c>
      <c r="C495" s="564">
        <v>266.7</v>
      </c>
    </row>
    <row r="496" spans="1:3">
      <c r="A496" s="565">
        <v>11</v>
      </c>
      <c r="B496" s="566">
        <v>547</v>
      </c>
      <c r="C496" s="566">
        <v>250</v>
      </c>
    </row>
    <row r="497" spans="1:3">
      <c r="A497" s="565">
        <v>11</v>
      </c>
      <c r="B497" s="566">
        <v>608</v>
      </c>
      <c r="C497" s="566">
        <v>243.30000000000004</v>
      </c>
    </row>
    <row r="498" spans="1:3">
      <c r="A498" s="565">
        <v>11</v>
      </c>
      <c r="B498" s="566">
        <v>669</v>
      </c>
      <c r="C498" s="566">
        <v>256.7</v>
      </c>
    </row>
    <row r="499" spans="1:3">
      <c r="A499" s="565">
        <v>11</v>
      </c>
      <c r="B499" s="566">
        <v>731</v>
      </c>
      <c r="C499" s="566">
        <v>253.29999999999998</v>
      </c>
    </row>
    <row r="500" spans="1:3">
      <c r="A500" s="565">
        <v>11</v>
      </c>
      <c r="B500" s="566">
        <v>791</v>
      </c>
      <c r="C500" s="566">
        <v>263.3</v>
      </c>
    </row>
    <row r="501" spans="1:3">
      <c r="A501" s="565">
        <v>11</v>
      </c>
      <c r="B501" s="566">
        <v>1152</v>
      </c>
      <c r="C501" s="566">
        <v>253.29999999999998</v>
      </c>
    </row>
    <row r="502" spans="1:3">
      <c r="A502" s="565">
        <v>11</v>
      </c>
      <c r="B502" s="566">
        <v>1180</v>
      </c>
      <c r="C502" s="566">
        <v>243.30000000000004</v>
      </c>
    </row>
    <row r="503" spans="1:3">
      <c r="A503" s="565">
        <v>11</v>
      </c>
      <c r="B503" s="566">
        <v>1241</v>
      </c>
      <c r="C503" s="566">
        <v>253.29999999999998</v>
      </c>
    </row>
    <row r="504" spans="1:3">
      <c r="A504" s="565">
        <v>11</v>
      </c>
      <c r="B504" s="566">
        <v>1306</v>
      </c>
      <c r="C504" s="566">
        <v>246.70000000000002</v>
      </c>
    </row>
    <row r="505" spans="1:3">
      <c r="A505" s="565">
        <v>11</v>
      </c>
      <c r="B505" s="566">
        <v>1380</v>
      </c>
      <c r="C505" s="566">
        <v>245.6</v>
      </c>
    </row>
    <row r="506" spans="1:3">
      <c r="A506" s="565">
        <v>11</v>
      </c>
      <c r="B506" s="566">
        <v>1439</v>
      </c>
      <c r="C506" s="566">
        <v>237.8</v>
      </c>
    </row>
    <row r="507" spans="1:3">
      <c r="A507" s="565">
        <v>11</v>
      </c>
      <c r="B507" s="566">
        <v>1538</v>
      </c>
      <c r="C507" s="566">
        <v>245.6</v>
      </c>
    </row>
    <row r="508" spans="1:3">
      <c r="A508" s="565">
        <v>11</v>
      </c>
      <c r="B508" s="566">
        <v>1629</v>
      </c>
      <c r="C508" s="566">
        <v>236.7</v>
      </c>
    </row>
    <row r="509" spans="1:3">
      <c r="A509" s="565">
        <v>11</v>
      </c>
      <c r="B509" s="566">
        <v>1721</v>
      </c>
      <c r="C509" s="566">
        <v>236.7</v>
      </c>
    </row>
    <row r="510" spans="1:3">
      <c r="A510" s="565">
        <v>11</v>
      </c>
      <c r="B510" s="566">
        <v>1813</v>
      </c>
      <c r="C510" s="566">
        <v>240</v>
      </c>
    </row>
    <row r="511" spans="1:3">
      <c r="A511" s="565">
        <v>11</v>
      </c>
      <c r="B511" s="566">
        <v>1944</v>
      </c>
      <c r="C511" s="566">
        <v>252.2</v>
      </c>
    </row>
    <row r="512" spans="1:3">
      <c r="A512" s="565">
        <v>11</v>
      </c>
      <c r="B512" s="566">
        <v>2035</v>
      </c>
      <c r="C512" s="566">
        <v>243.30000000000004</v>
      </c>
    </row>
    <row r="513" spans="1:3">
      <c r="A513" s="565">
        <v>11</v>
      </c>
      <c r="B513" s="566">
        <v>2138</v>
      </c>
      <c r="C513" s="566">
        <v>246.70000000000002</v>
      </c>
    </row>
    <row r="514" spans="1:3">
      <c r="A514" s="565">
        <v>11</v>
      </c>
      <c r="B514" s="566">
        <v>2236</v>
      </c>
      <c r="C514" s="566">
        <v>246.70000000000002</v>
      </c>
    </row>
    <row r="515" spans="1:3">
      <c r="A515" s="565">
        <v>11</v>
      </c>
      <c r="B515" s="566">
        <v>2342</v>
      </c>
      <c r="C515" s="566">
        <v>253.29999999999998</v>
      </c>
    </row>
    <row r="516" spans="1:3">
      <c r="A516" s="565">
        <v>11</v>
      </c>
      <c r="B516" s="566">
        <v>2505</v>
      </c>
      <c r="C516" s="566">
        <v>243.30000000000004</v>
      </c>
    </row>
    <row r="517" spans="1:3">
      <c r="A517" s="565">
        <v>11</v>
      </c>
      <c r="B517" s="566">
        <v>2615</v>
      </c>
      <c r="C517" s="566">
        <v>250</v>
      </c>
    </row>
    <row r="518" spans="1:3">
      <c r="A518" s="565">
        <v>11</v>
      </c>
      <c r="B518" s="566">
        <v>2769</v>
      </c>
      <c r="C518" s="566">
        <v>256.7</v>
      </c>
    </row>
    <row r="519" spans="1:3">
      <c r="A519" s="565">
        <v>11</v>
      </c>
      <c r="B519" s="566">
        <v>2883</v>
      </c>
      <c r="C519" s="566">
        <v>247.8</v>
      </c>
    </row>
    <row r="520" spans="1:3">
      <c r="A520" s="565">
        <v>11</v>
      </c>
      <c r="B520" s="566">
        <v>2988</v>
      </c>
      <c r="C520" s="566">
        <v>246.70000000000002</v>
      </c>
    </row>
    <row r="521" spans="1:3">
      <c r="A521" s="565">
        <v>11</v>
      </c>
      <c r="B521" s="566">
        <v>3070</v>
      </c>
      <c r="C521" s="566">
        <v>246.70000000000002</v>
      </c>
    </row>
    <row r="522" spans="1:3">
      <c r="A522" s="565">
        <v>11</v>
      </c>
      <c r="B522" s="566">
        <v>3233</v>
      </c>
      <c r="C522" s="566">
        <v>242.19999999999996</v>
      </c>
    </row>
    <row r="523" spans="1:3">
      <c r="A523" s="565">
        <v>11</v>
      </c>
      <c r="B523" s="566">
        <v>3319</v>
      </c>
      <c r="C523" s="566">
        <v>243.30000000000004</v>
      </c>
    </row>
    <row r="524" spans="1:3">
      <c r="A524" s="561">
        <v>12</v>
      </c>
      <c r="B524" s="562">
        <v>0</v>
      </c>
      <c r="C524" s="562">
        <v>0</v>
      </c>
    </row>
    <row r="525" spans="1:3">
      <c r="A525" s="561">
        <v>12</v>
      </c>
      <c r="B525" s="562">
        <v>7</v>
      </c>
      <c r="C525" s="562">
        <v>33.300000000000004</v>
      </c>
    </row>
    <row r="526" spans="1:3">
      <c r="A526" s="561">
        <v>12</v>
      </c>
      <c r="B526" s="562">
        <v>21</v>
      </c>
      <c r="C526" s="562">
        <v>130</v>
      </c>
    </row>
    <row r="527" spans="1:3">
      <c r="A527" s="561">
        <v>12</v>
      </c>
      <c r="B527" s="562">
        <v>29</v>
      </c>
      <c r="C527" s="562">
        <v>163.30000000000001</v>
      </c>
    </row>
    <row r="528" spans="1:3">
      <c r="A528" s="561">
        <v>12</v>
      </c>
      <c r="B528" s="562">
        <v>43</v>
      </c>
      <c r="C528" s="562">
        <v>206.70000000000002</v>
      </c>
    </row>
    <row r="529" spans="1:3">
      <c r="A529" s="561">
        <v>12</v>
      </c>
      <c r="B529" s="562">
        <v>49</v>
      </c>
      <c r="C529" s="562">
        <v>223.3</v>
      </c>
    </row>
    <row r="530" spans="1:3">
      <c r="A530" s="561">
        <v>12</v>
      </c>
      <c r="B530" s="562">
        <v>54</v>
      </c>
      <c r="C530" s="562">
        <v>256.7</v>
      </c>
    </row>
    <row r="531" spans="1:3">
      <c r="A531" s="561">
        <v>12</v>
      </c>
      <c r="B531" s="562">
        <v>72</v>
      </c>
      <c r="C531" s="562">
        <v>263.3</v>
      </c>
    </row>
    <row r="532" spans="1:3">
      <c r="A532" s="561">
        <v>12</v>
      </c>
      <c r="B532" s="562">
        <v>84</v>
      </c>
      <c r="C532" s="562">
        <v>266.7</v>
      </c>
    </row>
    <row r="533" spans="1:3">
      <c r="A533" s="563">
        <v>12</v>
      </c>
      <c r="B533" s="564">
        <v>105</v>
      </c>
      <c r="C533" s="564">
        <v>263.3</v>
      </c>
    </row>
    <row r="534" spans="1:3">
      <c r="A534" s="563">
        <v>12</v>
      </c>
      <c r="B534" s="564">
        <v>112</v>
      </c>
      <c r="C534" s="564">
        <v>256.7</v>
      </c>
    </row>
    <row r="535" spans="1:3">
      <c r="A535" s="563">
        <v>12</v>
      </c>
      <c r="B535" s="564">
        <v>120</v>
      </c>
      <c r="C535" s="564">
        <v>260</v>
      </c>
    </row>
    <row r="536" spans="1:3">
      <c r="A536" s="563">
        <v>12</v>
      </c>
      <c r="B536" s="564">
        <v>133</v>
      </c>
      <c r="C536" s="564">
        <v>229.99999999999997</v>
      </c>
    </row>
    <row r="537" spans="1:3">
      <c r="A537" s="563">
        <v>12</v>
      </c>
      <c r="B537" s="564">
        <v>140</v>
      </c>
      <c r="C537" s="564">
        <v>219.99999999999997</v>
      </c>
    </row>
    <row r="538" spans="1:3">
      <c r="A538" s="563">
        <v>12</v>
      </c>
      <c r="B538" s="564">
        <v>147</v>
      </c>
      <c r="C538" s="564">
        <v>219.99999999999997</v>
      </c>
    </row>
    <row r="539" spans="1:3">
      <c r="A539" s="563">
        <v>12</v>
      </c>
      <c r="B539" s="564">
        <v>154</v>
      </c>
      <c r="C539" s="564">
        <v>236.7</v>
      </c>
    </row>
    <row r="540" spans="1:3">
      <c r="A540" s="563">
        <v>12</v>
      </c>
      <c r="B540" s="564">
        <v>161</v>
      </c>
      <c r="C540" s="564">
        <v>250</v>
      </c>
    </row>
    <row r="541" spans="1:3">
      <c r="A541" s="563">
        <v>12</v>
      </c>
      <c r="B541" s="564">
        <v>168</v>
      </c>
      <c r="C541" s="564">
        <v>243.30000000000004</v>
      </c>
    </row>
    <row r="542" spans="1:3">
      <c r="A542" s="563">
        <v>12</v>
      </c>
      <c r="B542" s="564">
        <v>175</v>
      </c>
      <c r="C542" s="564">
        <v>250</v>
      </c>
    </row>
    <row r="543" spans="1:3">
      <c r="A543" s="563">
        <v>12</v>
      </c>
      <c r="B543" s="564">
        <v>182</v>
      </c>
      <c r="C543" s="564">
        <v>243.30000000000004</v>
      </c>
    </row>
    <row r="544" spans="1:3">
      <c r="A544" s="563">
        <v>12</v>
      </c>
      <c r="B544" s="564">
        <v>243</v>
      </c>
      <c r="C544" s="564">
        <v>223.3</v>
      </c>
    </row>
    <row r="545" spans="1:3">
      <c r="A545" s="563">
        <v>12</v>
      </c>
      <c r="B545" s="564">
        <v>304</v>
      </c>
      <c r="C545" s="564">
        <v>260</v>
      </c>
    </row>
    <row r="546" spans="1:3">
      <c r="A546" s="563">
        <v>12</v>
      </c>
      <c r="B546" s="564">
        <v>366</v>
      </c>
      <c r="C546" s="564">
        <v>256.7</v>
      </c>
    </row>
    <row r="547" spans="1:3">
      <c r="A547" s="563">
        <v>12</v>
      </c>
      <c r="B547" s="564">
        <v>425</v>
      </c>
      <c r="C547" s="564">
        <v>253.29999999999998</v>
      </c>
    </row>
    <row r="548" spans="1:3">
      <c r="A548" s="563">
        <v>12</v>
      </c>
      <c r="B548" s="564">
        <v>486</v>
      </c>
      <c r="C548" s="564">
        <v>243.30000000000004</v>
      </c>
    </row>
    <row r="549" spans="1:3">
      <c r="A549" s="565">
        <v>12</v>
      </c>
      <c r="B549" s="566">
        <v>547</v>
      </c>
      <c r="C549" s="566">
        <v>246.70000000000002</v>
      </c>
    </row>
    <row r="550" spans="1:3">
      <c r="A550" s="565">
        <v>12</v>
      </c>
      <c r="B550" s="566">
        <v>608</v>
      </c>
      <c r="C550" s="566">
        <v>243.30000000000004</v>
      </c>
    </row>
    <row r="551" spans="1:3">
      <c r="A551" s="565">
        <v>12</v>
      </c>
      <c r="B551" s="566">
        <v>669</v>
      </c>
      <c r="C551" s="566">
        <v>246.70000000000002</v>
      </c>
    </row>
    <row r="552" spans="1:3">
      <c r="A552" s="565">
        <v>12</v>
      </c>
      <c r="B552" s="566">
        <v>731</v>
      </c>
      <c r="C552" s="566">
        <v>246.70000000000002</v>
      </c>
    </row>
    <row r="553" spans="1:3">
      <c r="A553" s="565">
        <v>12</v>
      </c>
      <c r="B553" s="566">
        <v>791</v>
      </c>
      <c r="C553" s="566">
        <v>243.30000000000004</v>
      </c>
    </row>
    <row r="554" spans="1:3">
      <c r="A554" s="565">
        <v>12</v>
      </c>
      <c r="B554" s="566">
        <v>1152</v>
      </c>
      <c r="C554" s="566">
        <v>260</v>
      </c>
    </row>
    <row r="555" spans="1:3">
      <c r="A555" s="565">
        <v>12</v>
      </c>
      <c r="B555" s="566">
        <v>1180</v>
      </c>
      <c r="C555" s="566">
        <v>256.7</v>
      </c>
    </row>
    <row r="556" spans="1:3">
      <c r="A556" s="565">
        <v>12</v>
      </c>
      <c r="B556" s="566">
        <v>1241</v>
      </c>
      <c r="C556" s="566">
        <v>267.8</v>
      </c>
    </row>
    <row r="557" spans="1:3">
      <c r="A557" s="565">
        <v>12</v>
      </c>
      <c r="B557" s="566">
        <v>1306</v>
      </c>
      <c r="C557" s="566">
        <v>270</v>
      </c>
    </row>
    <row r="558" spans="1:3">
      <c r="A558" s="565">
        <v>12</v>
      </c>
      <c r="B558" s="566">
        <v>1380</v>
      </c>
      <c r="C558" s="566">
        <v>268.29999999999995</v>
      </c>
    </row>
    <row r="559" spans="1:3">
      <c r="A559" s="565">
        <v>12</v>
      </c>
      <c r="B559" s="566">
        <v>1439</v>
      </c>
      <c r="C559" s="566">
        <v>261.10000000000002</v>
      </c>
    </row>
    <row r="560" spans="1:3">
      <c r="A560" s="565">
        <v>12</v>
      </c>
      <c r="B560" s="566">
        <v>1538</v>
      </c>
      <c r="C560" s="566">
        <v>260</v>
      </c>
    </row>
    <row r="561" spans="1:3">
      <c r="A561" s="565">
        <v>12</v>
      </c>
      <c r="B561" s="566">
        <v>1629</v>
      </c>
      <c r="C561" s="566">
        <v>264.40000000000003</v>
      </c>
    </row>
    <row r="562" spans="1:3">
      <c r="A562" s="565">
        <v>12</v>
      </c>
      <c r="B562" s="566">
        <v>1721</v>
      </c>
      <c r="C562" s="566">
        <v>258.89999999999998</v>
      </c>
    </row>
    <row r="563" spans="1:3">
      <c r="A563" s="565">
        <v>12</v>
      </c>
      <c r="B563" s="566">
        <v>1813</v>
      </c>
      <c r="C563" s="566">
        <v>255.6</v>
      </c>
    </row>
    <row r="564" spans="1:3">
      <c r="A564" s="565">
        <v>12</v>
      </c>
      <c r="B564" s="566">
        <v>1944</v>
      </c>
      <c r="C564" s="566">
        <v>256.7</v>
      </c>
    </row>
    <row r="565" spans="1:3">
      <c r="A565" s="565">
        <v>12</v>
      </c>
      <c r="B565" s="566">
        <v>2035</v>
      </c>
      <c r="C565" s="566">
        <v>264.40000000000003</v>
      </c>
    </row>
    <row r="566" spans="1:3">
      <c r="A566" s="565">
        <v>12</v>
      </c>
      <c r="B566" s="566">
        <v>2138</v>
      </c>
      <c r="C566" s="566">
        <v>265.60000000000002</v>
      </c>
    </row>
    <row r="567" spans="1:3">
      <c r="A567" s="565">
        <v>12</v>
      </c>
      <c r="B567" s="566">
        <v>2236</v>
      </c>
      <c r="C567" s="566">
        <v>258.89999999999998</v>
      </c>
    </row>
    <row r="568" spans="1:3">
      <c r="A568" s="565">
        <v>12</v>
      </c>
      <c r="B568" s="566">
        <v>2342</v>
      </c>
      <c r="C568" s="566">
        <v>254.4</v>
      </c>
    </row>
    <row r="569" spans="1:3">
      <c r="A569" s="565">
        <v>12</v>
      </c>
      <c r="B569" s="566">
        <v>2505</v>
      </c>
      <c r="C569" s="566">
        <v>256.7</v>
      </c>
    </row>
    <row r="570" spans="1:3">
      <c r="A570" s="565">
        <v>12</v>
      </c>
      <c r="B570" s="566">
        <v>2615</v>
      </c>
      <c r="C570" s="566">
        <v>260</v>
      </c>
    </row>
    <row r="571" spans="1:3">
      <c r="A571" s="565">
        <v>12</v>
      </c>
      <c r="B571" s="566">
        <v>2769</v>
      </c>
      <c r="C571" s="566">
        <v>260</v>
      </c>
    </row>
    <row r="572" spans="1:3">
      <c r="A572" s="565">
        <v>12</v>
      </c>
      <c r="B572" s="566">
        <v>2884</v>
      </c>
      <c r="C572" s="566">
        <v>253.29999999999998</v>
      </c>
    </row>
    <row r="573" spans="1:3">
      <c r="A573" s="565">
        <v>12</v>
      </c>
      <c r="B573" s="566">
        <v>2988</v>
      </c>
      <c r="C573" s="566">
        <v>260</v>
      </c>
    </row>
    <row r="574" spans="1:3">
      <c r="A574" s="565">
        <v>12</v>
      </c>
      <c r="B574" s="566">
        <v>3070</v>
      </c>
      <c r="C574" s="566">
        <v>260</v>
      </c>
    </row>
    <row r="575" spans="1:3">
      <c r="A575" s="565">
        <v>12</v>
      </c>
      <c r="B575" s="566">
        <v>3233</v>
      </c>
      <c r="C575" s="566">
        <v>261.10000000000002</v>
      </c>
    </row>
    <row r="576" spans="1:3">
      <c r="A576" s="565">
        <v>12</v>
      </c>
      <c r="B576" s="566">
        <v>3319</v>
      </c>
      <c r="C576" s="566">
        <v>263.3</v>
      </c>
    </row>
    <row r="577" spans="1:3">
      <c r="A577" s="561">
        <v>13</v>
      </c>
      <c r="B577" s="562">
        <v>0</v>
      </c>
      <c r="C577" s="562">
        <v>0</v>
      </c>
    </row>
    <row r="578" spans="1:3">
      <c r="A578" s="561">
        <v>13</v>
      </c>
      <c r="B578" s="562">
        <v>8</v>
      </c>
      <c r="C578" s="562">
        <v>93.3</v>
      </c>
    </row>
    <row r="579" spans="1:3">
      <c r="A579" s="561">
        <v>13</v>
      </c>
      <c r="B579" s="562">
        <v>15</v>
      </c>
      <c r="C579" s="562">
        <v>116.7</v>
      </c>
    </row>
    <row r="580" spans="1:3">
      <c r="A580" s="561">
        <v>13</v>
      </c>
      <c r="B580" s="562">
        <v>22</v>
      </c>
      <c r="C580" s="562">
        <v>140</v>
      </c>
    </row>
    <row r="581" spans="1:3">
      <c r="A581" s="561">
        <v>13</v>
      </c>
      <c r="B581" s="562">
        <v>29</v>
      </c>
      <c r="C581" s="562">
        <v>186.7</v>
      </c>
    </row>
    <row r="582" spans="1:3">
      <c r="A582" s="561">
        <v>13</v>
      </c>
      <c r="B582" s="562">
        <v>44</v>
      </c>
      <c r="C582" s="562">
        <v>203.29999999999998</v>
      </c>
    </row>
    <row r="583" spans="1:3">
      <c r="A583" s="561">
        <v>13</v>
      </c>
      <c r="B583" s="562">
        <v>62</v>
      </c>
      <c r="C583" s="562">
        <v>240</v>
      </c>
    </row>
    <row r="584" spans="1:3">
      <c r="A584" s="561">
        <v>13</v>
      </c>
      <c r="B584" s="562">
        <v>74</v>
      </c>
      <c r="C584" s="562">
        <v>236.7</v>
      </c>
    </row>
    <row r="585" spans="1:3">
      <c r="A585" s="561">
        <v>13</v>
      </c>
      <c r="B585" s="562">
        <v>95</v>
      </c>
      <c r="C585" s="562">
        <v>266.7</v>
      </c>
    </row>
    <row r="586" spans="1:3">
      <c r="A586" s="563">
        <v>13</v>
      </c>
      <c r="B586" s="564">
        <v>102</v>
      </c>
      <c r="C586" s="564">
        <v>250</v>
      </c>
    </row>
    <row r="587" spans="1:3">
      <c r="A587" s="563">
        <v>13</v>
      </c>
      <c r="B587" s="564">
        <v>110</v>
      </c>
      <c r="C587" s="564">
        <v>266.7</v>
      </c>
    </row>
    <row r="588" spans="1:3">
      <c r="A588" s="563">
        <v>13</v>
      </c>
      <c r="B588" s="564">
        <v>123</v>
      </c>
      <c r="C588" s="564">
        <v>203.29999999999998</v>
      </c>
    </row>
    <row r="589" spans="1:3">
      <c r="A589" s="563">
        <v>13</v>
      </c>
      <c r="B589" s="564">
        <v>130</v>
      </c>
      <c r="C589" s="564">
        <v>219.99999999999997</v>
      </c>
    </row>
    <row r="590" spans="1:3">
      <c r="A590" s="563">
        <v>13</v>
      </c>
      <c r="B590" s="564">
        <v>137</v>
      </c>
      <c r="C590" s="564">
        <v>213.3</v>
      </c>
    </row>
    <row r="591" spans="1:3">
      <c r="A591" s="563">
        <v>13</v>
      </c>
      <c r="B591" s="564">
        <v>144</v>
      </c>
      <c r="C591" s="564">
        <v>229.99999999999997</v>
      </c>
    </row>
    <row r="592" spans="1:3">
      <c r="A592" s="563">
        <v>13</v>
      </c>
      <c r="B592" s="564">
        <v>151</v>
      </c>
      <c r="C592" s="564">
        <v>236.7</v>
      </c>
    </row>
    <row r="593" spans="1:3">
      <c r="A593" s="563">
        <v>13</v>
      </c>
      <c r="B593" s="564">
        <v>158</v>
      </c>
      <c r="C593" s="564">
        <v>233.3</v>
      </c>
    </row>
    <row r="594" spans="1:3">
      <c r="A594" s="563">
        <v>13</v>
      </c>
      <c r="B594" s="564">
        <v>165</v>
      </c>
      <c r="C594" s="564">
        <v>233.3</v>
      </c>
    </row>
    <row r="595" spans="1:3">
      <c r="A595" s="563">
        <v>13</v>
      </c>
      <c r="B595" s="564">
        <v>172</v>
      </c>
      <c r="C595" s="564">
        <v>226.7</v>
      </c>
    </row>
    <row r="596" spans="1:3">
      <c r="A596" s="563">
        <v>13</v>
      </c>
      <c r="B596" s="564">
        <v>179</v>
      </c>
      <c r="C596" s="564">
        <v>233.3</v>
      </c>
    </row>
    <row r="597" spans="1:3">
      <c r="A597" s="563">
        <v>13</v>
      </c>
      <c r="B597" s="564">
        <v>240</v>
      </c>
      <c r="C597" s="564">
        <v>243.30000000000004</v>
      </c>
    </row>
    <row r="598" spans="1:3">
      <c r="A598" s="563">
        <v>13</v>
      </c>
      <c r="B598" s="564">
        <v>301</v>
      </c>
      <c r="C598" s="564">
        <v>273.3</v>
      </c>
    </row>
    <row r="599" spans="1:3">
      <c r="A599" s="563">
        <v>13</v>
      </c>
      <c r="B599" s="564">
        <v>363</v>
      </c>
      <c r="C599" s="564">
        <v>263.3</v>
      </c>
    </row>
    <row r="600" spans="1:3">
      <c r="A600" s="563">
        <v>13</v>
      </c>
      <c r="B600" s="564">
        <v>422</v>
      </c>
      <c r="C600" s="564">
        <v>270</v>
      </c>
    </row>
    <row r="601" spans="1:3">
      <c r="A601" s="563">
        <v>13</v>
      </c>
      <c r="B601" s="564">
        <v>483</v>
      </c>
      <c r="C601" s="564">
        <v>276.7</v>
      </c>
    </row>
    <row r="602" spans="1:3">
      <c r="A602" s="565">
        <v>13</v>
      </c>
      <c r="B602" s="566">
        <v>544</v>
      </c>
      <c r="C602" s="566">
        <v>263.3</v>
      </c>
    </row>
    <row r="603" spans="1:3">
      <c r="A603" s="565">
        <v>13</v>
      </c>
      <c r="B603" s="566">
        <v>605</v>
      </c>
      <c r="C603" s="566">
        <v>270</v>
      </c>
    </row>
    <row r="604" spans="1:3">
      <c r="A604" s="565">
        <v>13</v>
      </c>
      <c r="B604" s="566">
        <v>666</v>
      </c>
      <c r="C604" s="566">
        <v>266.7</v>
      </c>
    </row>
    <row r="605" spans="1:3">
      <c r="A605" s="565">
        <v>13</v>
      </c>
      <c r="B605" s="566">
        <v>728</v>
      </c>
      <c r="C605" s="566">
        <v>266.7</v>
      </c>
    </row>
    <row r="606" spans="1:3">
      <c r="A606" s="565">
        <v>13</v>
      </c>
      <c r="B606" s="566">
        <v>788</v>
      </c>
      <c r="C606" s="566">
        <v>263.3</v>
      </c>
    </row>
    <row r="607" spans="1:3">
      <c r="A607" s="565">
        <v>13</v>
      </c>
      <c r="B607" s="566">
        <v>1142</v>
      </c>
      <c r="C607" s="566">
        <v>273.3</v>
      </c>
    </row>
    <row r="608" spans="1:3">
      <c r="A608" s="565">
        <v>13</v>
      </c>
      <c r="B608" s="566">
        <v>1170</v>
      </c>
      <c r="C608" s="566">
        <v>266.7</v>
      </c>
    </row>
    <row r="609" spans="1:3">
      <c r="A609" s="565">
        <v>13</v>
      </c>
      <c r="B609" s="566">
        <v>1231</v>
      </c>
      <c r="C609" s="566">
        <v>272.2</v>
      </c>
    </row>
    <row r="610" spans="1:3">
      <c r="A610" s="565">
        <v>13</v>
      </c>
      <c r="B610" s="566">
        <v>1296</v>
      </c>
      <c r="C610" s="566">
        <v>270</v>
      </c>
    </row>
    <row r="611" spans="1:3">
      <c r="A611" s="565">
        <v>13</v>
      </c>
      <c r="B611" s="566">
        <v>1370</v>
      </c>
      <c r="C611" s="566">
        <v>272.79999999999995</v>
      </c>
    </row>
    <row r="612" spans="1:3">
      <c r="A612" s="565">
        <v>13</v>
      </c>
      <c r="B612" s="566">
        <v>1429</v>
      </c>
      <c r="C612" s="566">
        <v>261.10000000000002</v>
      </c>
    </row>
    <row r="613" spans="1:3">
      <c r="A613" s="565">
        <v>13</v>
      </c>
      <c r="B613" s="566">
        <v>1528</v>
      </c>
      <c r="C613" s="566">
        <v>261.10000000000002</v>
      </c>
    </row>
    <row r="614" spans="1:3">
      <c r="A614" s="565">
        <v>13</v>
      </c>
      <c r="B614" s="566">
        <v>1619</v>
      </c>
      <c r="C614" s="566">
        <v>248.89999999999998</v>
      </c>
    </row>
    <row r="615" spans="1:3">
      <c r="A615" s="565">
        <v>13</v>
      </c>
      <c r="B615" s="566">
        <v>1711</v>
      </c>
      <c r="C615" s="566">
        <v>246.70000000000002</v>
      </c>
    </row>
    <row r="616" spans="1:3">
      <c r="A616" s="565">
        <v>13</v>
      </c>
      <c r="B616" s="566">
        <v>1803</v>
      </c>
      <c r="C616" s="566">
        <v>247.8</v>
      </c>
    </row>
    <row r="617" spans="1:3">
      <c r="A617" s="565">
        <v>13</v>
      </c>
      <c r="B617" s="566">
        <v>1934</v>
      </c>
      <c r="C617" s="566">
        <v>257.8</v>
      </c>
    </row>
    <row r="618" spans="1:3">
      <c r="A618" s="565">
        <v>13</v>
      </c>
      <c r="B618" s="566">
        <v>2025</v>
      </c>
      <c r="C618" s="566">
        <v>252.2</v>
      </c>
    </row>
    <row r="619" spans="1:3">
      <c r="A619" s="565">
        <v>13</v>
      </c>
      <c r="B619" s="566">
        <v>2128</v>
      </c>
      <c r="C619" s="566">
        <v>253.29999999999998</v>
      </c>
    </row>
    <row r="620" spans="1:3">
      <c r="A620" s="565">
        <v>13</v>
      </c>
      <c r="B620" s="566">
        <v>2226</v>
      </c>
      <c r="C620" s="566">
        <v>255.6</v>
      </c>
    </row>
    <row r="621" spans="1:3">
      <c r="A621" s="565">
        <v>13</v>
      </c>
      <c r="B621" s="566">
        <v>2332</v>
      </c>
      <c r="C621" s="566">
        <v>260</v>
      </c>
    </row>
    <row r="622" spans="1:3">
      <c r="A622" s="565">
        <v>13</v>
      </c>
      <c r="B622" s="566">
        <v>2495</v>
      </c>
      <c r="C622" s="566">
        <v>260</v>
      </c>
    </row>
    <row r="623" spans="1:3">
      <c r="A623" s="565">
        <v>13</v>
      </c>
      <c r="B623" s="566">
        <v>2605</v>
      </c>
      <c r="C623" s="566">
        <v>250</v>
      </c>
    </row>
    <row r="624" spans="1:3">
      <c r="A624" s="565">
        <v>13</v>
      </c>
      <c r="B624" s="566">
        <v>2759</v>
      </c>
      <c r="C624" s="566">
        <v>260</v>
      </c>
    </row>
    <row r="625" spans="1:3">
      <c r="A625" s="565">
        <v>13</v>
      </c>
      <c r="B625" s="566">
        <v>2874</v>
      </c>
      <c r="C625" s="566">
        <v>258.89999999999998</v>
      </c>
    </row>
    <row r="626" spans="1:3">
      <c r="A626" s="565">
        <v>13</v>
      </c>
      <c r="B626" s="566">
        <v>2978</v>
      </c>
      <c r="C626" s="566">
        <v>258.89999999999998</v>
      </c>
    </row>
    <row r="627" spans="1:3">
      <c r="A627" s="565">
        <v>13</v>
      </c>
      <c r="B627" s="566">
        <v>3060</v>
      </c>
      <c r="C627" s="566">
        <v>258.89999999999998</v>
      </c>
    </row>
    <row r="628" spans="1:3">
      <c r="A628" s="565">
        <v>13</v>
      </c>
      <c r="B628" s="566">
        <v>3223</v>
      </c>
      <c r="C628" s="566">
        <v>260</v>
      </c>
    </row>
    <row r="629" spans="1:3">
      <c r="A629" s="565">
        <v>13</v>
      </c>
      <c r="B629" s="566">
        <v>3309</v>
      </c>
      <c r="C629" s="566">
        <v>264.40000000000003</v>
      </c>
    </row>
    <row r="630" spans="1:3">
      <c r="A630" s="561">
        <v>14</v>
      </c>
      <c r="B630" s="562">
        <v>0</v>
      </c>
      <c r="C630" s="562">
        <v>0</v>
      </c>
    </row>
    <row r="631" spans="1:3">
      <c r="A631" s="561">
        <v>14</v>
      </c>
      <c r="B631" s="562">
        <v>8</v>
      </c>
      <c r="C631" s="562">
        <v>56.699999999999996</v>
      </c>
    </row>
    <row r="632" spans="1:3">
      <c r="A632" s="561">
        <v>14</v>
      </c>
      <c r="B632" s="562">
        <v>15</v>
      </c>
      <c r="C632" s="562">
        <v>83.300000000000011</v>
      </c>
    </row>
    <row r="633" spans="1:3">
      <c r="A633" s="561">
        <v>14</v>
      </c>
      <c r="B633" s="562">
        <v>22</v>
      </c>
      <c r="C633" s="562">
        <v>106.70000000000002</v>
      </c>
    </row>
    <row r="634" spans="1:3">
      <c r="A634" s="561">
        <v>14</v>
      </c>
      <c r="B634" s="562">
        <v>29</v>
      </c>
      <c r="C634" s="562">
        <v>140</v>
      </c>
    </row>
    <row r="635" spans="1:3">
      <c r="A635" s="561">
        <v>14</v>
      </c>
      <c r="B635" s="562">
        <v>44</v>
      </c>
      <c r="C635" s="562">
        <v>140</v>
      </c>
    </row>
    <row r="636" spans="1:3">
      <c r="A636" s="561">
        <v>14</v>
      </c>
      <c r="B636" s="562">
        <v>62</v>
      </c>
      <c r="C636" s="562">
        <v>183.29999999999998</v>
      </c>
    </row>
    <row r="637" spans="1:3">
      <c r="A637" s="561">
        <v>14</v>
      </c>
      <c r="B637" s="562">
        <v>74</v>
      </c>
      <c r="C637" s="562">
        <v>190</v>
      </c>
    </row>
    <row r="638" spans="1:3">
      <c r="A638" s="561">
        <v>14</v>
      </c>
      <c r="B638" s="562">
        <v>95</v>
      </c>
      <c r="C638" s="562">
        <v>196.70000000000002</v>
      </c>
    </row>
    <row r="639" spans="1:3">
      <c r="A639" s="563">
        <v>14</v>
      </c>
      <c r="B639" s="564">
        <v>102</v>
      </c>
      <c r="C639" s="564">
        <v>196.70000000000002</v>
      </c>
    </row>
    <row r="640" spans="1:3">
      <c r="A640" s="563">
        <v>14</v>
      </c>
      <c r="B640" s="564">
        <v>110</v>
      </c>
      <c r="C640" s="564">
        <v>183.29999999999998</v>
      </c>
    </row>
    <row r="641" spans="1:3">
      <c r="A641" s="563">
        <v>14</v>
      </c>
      <c r="B641" s="564">
        <v>123</v>
      </c>
      <c r="C641" s="564">
        <v>163.30000000000001</v>
      </c>
    </row>
    <row r="642" spans="1:3">
      <c r="A642" s="563">
        <v>14</v>
      </c>
      <c r="B642" s="564">
        <v>130</v>
      </c>
      <c r="C642" s="564">
        <v>160</v>
      </c>
    </row>
    <row r="643" spans="1:3">
      <c r="A643" s="563">
        <v>14</v>
      </c>
      <c r="B643" s="564">
        <v>137</v>
      </c>
      <c r="C643" s="564">
        <v>163.30000000000001</v>
      </c>
    </row>
    <row r="644" spans="1:3">
      <c r="A644" s="563">
        <v>14</v>
      </c>
      <c r="B644" s="564">
        <v>144</v>
      </c>
      <c r="C644" s="564">
        <v>176.70000000000002</v>
      </c>
    </row>
    <row r="645" spans="1:3">
      <c r="A645" s="563">
        <v>14</v>
      </c>
      <c r="B645" s="564">
        <v>151</v>
      </c>
      <c r="C645" s="564">
        <v>190</v>
      </c>
    </row>
    <row r="646" spans="1:3">
      <c r="A646" s="563">
        <v>14</v>
      </c>
      <c r="B646" s="564">
        <v>158</v>
      </c>
      <c r="C646" s="564">
        <v>179.99999999999997</v>
      </c>
    </row>
    <row r="647" spans="1:3">
      <c r="A647" s="563">
        <v>14</v>
      </c>
      <c r="B647" s="564">
        <v>165</v>
      </c>
      <c r="C647" s="564">
        <v>183.29999999999998</v>
      </c>
    </row>
    <row r="648" spans="1:3">
      <c r="A648" s="563">
        <v>14</v>
      </c>
      <c r="B648" s="564">
        <v>172</v>
      </c>
      <c r="C648" s="564">
        <v>173.3</v>
      </c>
    </row>
    <row r="649" spans="1:3">
      <c r="A649" s="563">
        <v>14</v>
      </c>
      <c r="B649" s="564">
        <v>179</v>
      </c>
      <c r="C649" s="564">
        <v>170.00000000000003</v>
      </c>
    </row>
    <row r="650" spans="1:3">
      <c r="A650" s="563">
        <v>14</v>
      </c>
      <c r="B650" s="564">
        <v>240</v>
      </c>
      <c r="C650" s="564">
        <v>176.70000000000002</v>
      </c>
    </row>
    <row r="651" spans="1:3">
      <c r="A651" s="563">
        <v>14</v>
      </c>
      <c r="B651" s="564">
        <v>301</v>
      </c>
      <c r="C651" s="564">
        <v>213.3</v>
      </c>
    </row>
    <row r="652" spans="1:3">
      <c r="A652" s="563">
        <v>14</v>
      </c>
      <c r="B652" s="564">
        <v>363</v>
      </c>
      <c r="C652" s="564">
        <v>206.70000000000002</v>
      </c>
    </row>
    <row r="653" spans="1:3">
      <c r="A653" s="563">
        <v>14</v>
      </c>
      <c r="B653" s="564">
        <v>422</v>
      </c>
      <c r="C653" s="564">
        <v>206.70000000000002</v>
      </c>
    </row>
    <row r="654" spans="1:3">
      <c r="A654" s="563">
        <v>14</v>
      </c>
      <c r="B654" s="564">
        <v>483</v>
      </c>
      <c r="C654" s="564">
        <v>200</v>
      </c>
    </row>
    <row r="655" spans="1:3">
      <c r="A655" s="565">
        <v>14</v>
      </c>
      <c r="B655" s="566">
        <v>544</v>
      </c>
      <c r="C655" s="566">
        <v>176.70000000000002</v>
      </c>
    </row>
    <row r="656" spans="1:3">
      <c r="A656" s="565">
        <v>14</v>
      </c>
      <c r="B656" s="566">
        <v>605</v>
      </c>
      <c r="C656" s="566">
        <v>203.29999999999998</v>
      </c>
    </row>
    <row r="657" spans="1:3">
      <c r="A657" s="565">
        <v>14</v>
      </c>
      <c r="B657" s="566">
        <v>666</v>
      </c>
      <c r="C657" s="566">
        <v>196.70000000000002</v>
      </c>
    </row>
    <row r="658" spans="1:3">
      <c r="A658" s="565">
        <v>14</v>
      </c>
      <c r="B658" s="566">
        <v>728</v>
      </c>
      <c r="C658" s="566">
        <v>193.3</v>
      </c>
    </row>
    <row r="659" spans="1:3">
      <c r="A659" s="565">
        <v>14</v>
      </c>
      <c r="B659" s="566">
        <v>788</v>
      </c>
      <c r="C659" s="566">
        <v>203.29999999999998</v>
      </c>
    </row>
    <row r="660" spans="1:3">
      <c r="A660" s="565">
        <v>14</v>
      </c>
      <c r="B660" s="566">
        <v>1142</v>
      </c>
      <c r="C660" s="566">
        <v>207.79999999999998</v>
      </c>
    </row>
    <row r="661" spans="1:3">
      <c r="A661" s="565">
        <v>14</v>
      </c>
      <c r="B661" s="566">
        <v>1170</v>
      </c>
      <c r="C661" s="566">
        <v>203.29999999999998</v>
      </c>
    </row>
    <row r="662" spans="1:3">
      <c r="A662" s="565">
        <v>14</v>
      </c>
      <c r="B662" s="566">
        <v>1231</v>
      </c>
      <c r="C662" s="566">
        <v>210</v>
      </c>
    </row>
    <row r="663" spans="1:3">
      <c r="A663" s="565">
        <v>14</v>
      </c>
      <c r="B663" s="566">
        <v>1296</v>
      </c>
      <c r="C663" s="566">
        <v>206.70000000000002</v>
      </c>
    </row>
    <row r="664" spans="1:3">
      <c r="A664" s="565">
        <v>14</v>
      </c>
      <c r="B664" s="566">
        <v>1370</v>
      </c>
      <c r="C664" s="566">
        <v>201.7</v>
      </c>
    </row>
    <row r="665" spans="1:3">
      <c r="A665" s="565">
        <v>14</v>
      </c>
      <c r="B665" s="566">
        <v>1429</v>
      </c>
      <c r="C665" s="566">
        <v>201.10000000000002</v>
      </c>
    </row>
    <row r="666" spans="1:3">
      <c r="A666" s="565">
        <v>14</v>
      </c>
      <c r="B666" s="566">
        <v>1528</v>
      </c>
      <c r="C666" s="566">
        <v>194.4</v>
      </c>
    </row>
    <row r="667" spans="1:3">
      <c r="A667" s="565">
        <v>14</v>
      </c>
      <c r="B667" s="566">
        <v>1619</v>
      </c>
      <c r="C667" s="566">
        <v>193.3</v>
      </c>
    </row>
    <row r="668" spans="1:3">
      <c r="A668" s="565">
        <v>14</v>
      </c>
      <c r="B668" s="566">
        <v>1711</v>
      </c>
      <c r="C668" s="566">
        <v>191.1</v>
      </c>
    </row>
    <row r="669" spans="1:3">
      <c r="A669" s="565">
        <v>14</v>
      </c>
      <c r="B669" s="566">
        <v>1803</v>
      </c>
      <c r="C669" s="566">
        <v>182.20000000000002</v>
      </c>
    </row>
    <row r="670" spans="1:3">
      <c r="A670" s="565">
        <v>14</v>
      </c>
      <c r="B670" s="566">
        <v>1934</v>
      </c>
      <c r="C670" s="566">
        <v>174.4</v>
      </c>
    </row>
    <row r="671" spans="1:3">
      <c r="A671" s="565">
        <v>14</v>
      </c>
      <c r="B671" s="566">
        <v>2025</v>
      </c>
      <c r="C671" s="566">
        <v>181.10000000000002</v>
      </c>
    </row>
    <row r="672" spans="1:3">
      <c r="A672" s="565">
        <v>14</v>
      </c>
      <c r="B672" s="566">
        <v>2128</v>
      </c>
      <c r="C672" s="566">
        <v>175.6</v>
      </c>
    </row>
    <row r="673" spans="1:3">
      <c r="A673" s="565">
        <v>14</v>
      </c>
      <c r="B673" s="566">
        <v>2226</v>
      </c>
      <c r="C673" s="566">
        <v>174.4</v>
      </c>
    </row>
    <row r="674" spans="1:3">
      <c r="A674" s="565">
        <v>14</v>
      </c>
      <c r="B674" s="566">
        <v>2332</v>
      </c>
      <c r="C674" s="566">
        <v>166.70000000000002</v>
      </c>
    </row>
    <row r="675" spans="1:3">
      <c r="A675" s="565">
        <v>14</v>
      </c>
      <c r="B675" s="566">
        <v>2495</v>
      </c>
      <c r="C675" s="566">
        <v>170.00000000000003</v>
      </c>
    </row>
    <row r="676" spans="1:3">
      <c r="A676" s="565">
        <v>14</v>
      </c>
      <c r="B676" s="566">
        <v>2605</v>
      </c>
      <c r="C676" s="566">
        <v>170.00000000000003</v>
      </c>
    </row>
    <row r="677" spans="1:3">
      <c r="A677" s="565">
        <v>14</v>
      </c>
      <c r="B677" s="566">
        <v>2759</v>
      </c>
      <c r="C677" s="566">
        <v>173.3</v>
      </c>
    </row>
    <row r="678" spans="1:3">
      <c r="A678" s="565">
        <v>14</v>
      </c>
      <c r="B678" s="566">
        <v>2874</v>
      </c>
      <c r="C678" s="566">
        <v>167.79999999999998</v>
      </c>
    </row>
    <row r="679" spans="1:3">
      <c r="A679" s="565">
        <v>14</v>
      </c>
      <c r="B679" s="566">
        <v>2978</v>
      </c>
      <c r="C679" s="566">
        <v>168.89999999999998</v>
      </c>
    </row>
    <row r="680" spans="1:3">
      <c r="A680" s="565">
        <v>14</v>
      </c>
      <c r="B680" s="566">
        <v>3060</v>
      </c>
      <c r="C680" s="566">
        <v>168.89999999999998</v>
      </c>
    </row>
    <row r="681" spans="1:3">
      <c r="A681" s="565">
        <v>14</v>
      </c>
      <c r="B681" s="566">
        <v>3223</v>
      </c>
      <c r="C681" s="566">
        <v>170.00000000000003</v>
      </c>
    </row>
    <row r="682" spans="1:3">
      <c r="A682" s="565">
        <v>14</v>
      </c>
      <c r="B682" s="566">
        <v>3309</v>
      </c>
      <c r="C682" s="566">
        <v>170.00000000000003</v>
      </c>
    </row>
    <row r="683" spans="1:3">
      <c r="A683" s="561">
        <v>15</v>
      </c>
      <c r="B683" s="562">
        <v>0</v>
      </c>
      <c r="C683" s="562">
        <v>0</v>
      </c>
    </row>
    <row r="684" spans="1:3">
      <c r="A684" s="561">
        <v>15</v>
      </c>
      <c r="B684" s="562">
        <v>7</v>
      </c>
      <c r="C684" s="562">
        <v>13.3</v>
      </c>
    </row>
    <row r="685" spans="1:3">
      <c r="A685" s="561">
        <v>15</v>
      </c>
      <c r="B685" s="562">
        <v>14</v>
      </c>
      <c r="C685" s="562">
        <v>60</v>
      </c>
    </row>
    <row r="686" spans="1:3">
      <c r="A686" s="561">
        <v>15</v>
      </c>
      <c r="B686" s="562">
        <v>22</v>
      </c>
      <c r="C686" s="562">
        <v>60</v>
      </c>
    </row>
    <row r="687" spans="1:3">
      <c r="A687" s="561">
        <v>15</v>
      </c>
      <c r="B687" s="562">
        <v>28</v>
      </c>
      <c r="C687" s="562">
        <v>80</v>
      </c>
    </row>
    <row r="688" spans="1:3">
      <c r="A688" s="561">
        <v>15</v>
      </c>
      <c r="B688" s="562">
        <v>36</v>
      </c>
      <c r="C688" s="562">
        <v>86.700000000000017</v>
      </c>
    </row>
    <row r="689" spans="1:3">
      <c r="A689" s="561">
        <v>15</v>
      </c>
      <c r="B689" s="562">
        <v>42</v>
      </c>
      <c r="C689" s="562">
        <v>86.700000000000017</v>
      </c>
    </row>
    <row r="690" spans="1:3">
      <c r="A690" s="561">
        <v>15</v>
      </c>
      <c r="B690" s="562">
        <v>60</v>
      </c>
      <c r="C690" s="562">
        <v>150</v>
      </c>
    </row>
    <row r="691" spans="1:3">
      <c r="A691" s="561">
        <v>15</v>
      </c>
      <c r="B691" s="562">
        <v>72</v>
      </c>
      <c r="C691" s="562">
        <v>160</v>
      </c>
    </row>
    <row r="692" spans="1:3">
      <c r="A692" s="561">
        <v>15</v>
      </c>
      <c r="B692" s="562">
        <v>93</v>
      </c>
      <c r="C692" s="562">
        <v>150</v>
      </c>
    </row>
    <row r="693" spans="1:3">
      <c r="A693" s="563">
        <v>15</v>
      </c>
      <c r="B693" s="564">
        <v>100</v>
      </c>
      <c r="C693" s="564">
        <v>146.70000000000002</v>
      </c>
    </row>
    <row r="694" spans="1:3">
      <c r="A694" s="563">
        <v>15</v>
      </c>
      <c r="B694" s="564">
        <v>121</v>
      </c>
      <c r="C694" s="564">
        <v>133.29999999999998</v>
      </c>
    </row>
    <row r="695" spans="1:3">
      <c r="A695" s="563">
        <v>15</v>
      </c>
      <c r="B695" s="564">
        <v>128</v>
      </c>
      <c r="C695" s="564">
        <v>120</v>
      </c>
    </row>
    <row r="696" spans="1:3">
      <c r="A696" s="563">
        <v>15</v>
      </c>
      <c r="B696" s="564">
        <v>135</v>
      </c>
      <c r="C696" s="564">
        <v>126.70000000000002</v>
      </c>
    </row>
    <row r="697" spans="1:3">
      <c r="A697" s="563">
        <v>15</v>
      </c>
      <c r="B697" s="564">
        <v>142</v>
      </c>
      <c r="C697" s="564">
        <v>150</v>
      </c>
    </row>
    <row r="698" spans="1:3">
      <c r="A698" s="563">
        <v>15</v>
      </c>
      <c r="B698" s="564">
        <v>149</v>
      </c>
      <c r="C698" s="564">
        <v>143.30000000000001</v>
      </c>
    </row>
    <row r="699" spans="1:3">
      <c r="A699" s="563">
        <v>15</v>
      </c>
      <c r="B699" s="564">
        <v>156</v>
      </c>
      <c r="C699" s="564">
        <v>150</v>
      </c>
    </row>
    <row r="700" spans="1:3">
      <c r="A700" s="563">
        <v>15</v>
      </c>
      <c r="B700" s="564">
        <v>163</v>
      </c>
      <c r="C700" s="564">
        <v>140</v>
      </c>
    </row>
    <row r="701" spans="1:3">
      <c r="A701" s="563">
        <v>15</v>
      </c>
      <c r="B701" s="564">
        <v>170</v>
      </c>
      <c r="C701" s="564">
        <v>130</v>
      </c>
    </row>
    <row r="702" spans="1:3">
      <c r="A702" s="563">
        <v>15</v>
      </c>
      <c r="B702" s="564">
        <v>177</v>
      </c>
      <c r="C702" s="564">
        <v>130</v>
      </c>
    </row>
    <row r="703" spans="1:3">
      <c r="A703" s="563">
        <v>15</v>
      </c>
      <c r="B703" s="564">
        <v>184</v>
      </c>
      <c r="C703" s="564">
        <v>140</v>
      </c>
    </row>
    <row r="704" spans="1:3">
      <c r="A704" s="563">
        <v>15</v>
      </c>
      <c r="B704" s="564">
        <v>245</v>
      </c>
      <c r="C704" s="564">
        <v>146.70000000000002</v>
      </c>
    </row>
    <row r="705" spans="1:3">
      <c r="A705" s="563">
        <v>15</v>
      </c>
      <c r="B705" s="564">
        <v>306</v>
      </c>
      <c r="C705" s="564">
        <v>163.30000000000001</v>
      </c>
    </row>
    <row r="706" spans="1:3">
      <c r="A706" s="563">
        <v>15</v>
      </c>
      <c r="B706" s="564">
        <v>368</v>
      </c>
      <c r="C706" s="564">
        <v>163.30000000000001</v>
      </c>
    </row>
    <row r="707" spans="1:3">
      <c r="A707" s="563">
        <v>15</v>
      </c>
      <c r="B707" s="564">
        <v>427</v>
      </c>
      <c r="C707" s="564">
        <v>153.29999999999998</v>
      </c>
    </row>
    <row r="708" spans="1:3">
      <c r="A708" s="563">
        <v>15</v>
      </c>
      <c r="B708" s="564">
        <v>488</v>
      </c>
      <c r="C708" s="564">
        <v>136.69999999999999</v>
      </c>
    </row>
    <row r="709" spans="1:3">
      <c r="A709" s="565">
        <v>15</v>
      </c>
      <c r="B709" s="566">
        <v>549</v>
      </c>
      <c r="C709" s="566">
        <v>136.69999999999999</v>
      </c>
    </row>
    <row r="710" spans="1:3">
      <c r="A710" s="565">
        <v>15</v>
      </c>
      <c r="B710" s="566">
        <v>610</v>
      </c>
      <c r="C710" s="566">
        <v>140</v>
      </c>
    </row>
    <row r="711" spans="1:3">
      <c r="A711" s="565">
        <v>15</v>
      </c>
      <c r="B711" s="566">
        <v>671</v>
      </c>
      <c r="C711" s="566">
        <v>146.70000000000002</v>
      </c>
    </row>
    <row r="712" spans="1:3">
      <c r="A712" s="565">
        <v>15</v>
      </c>
      <c r="B712" s="566">
        <v>733</v>
      </c>
      <c r="C712" s="566">
        <v>146.70000000000002</v>
      </c>
    </row>
    <row r="713" spans="1:3">
      <c r="A713" s="565">
        <v>15</v>
      </c>
      <c r="B713" s="566">
        <v>793</v>
      </c>
      <c r="C713" s="566">
        <v>156.69999999999999</v>
      </c>
    </row>
    <row r="714" spans="1:3">
      <c r="A714" s="565">
        <v>15</v>
      </c>
      <c r="B714" s="566">
        <v>1140</v>
      </c>
      <c r="C714" s="566">
        <v>171.1</v>
      </c>
    </row>
    <row r="715" spans="1:3">
      <c r="A715" s="565">
        <v>15</v>
      </c>
      <c r="B715" s="566">
        <v>1168</v>
      </c>
      <c r="C715" s="566">
        <v>173.3</v>
      </c>
    </row>
    <row r="716" spans="1:3">
      <c r="A716" s="565">
        <v>15</v>
      </c>
      <c r="B716" s="566">
        <v>1229</v>
      </c>
      <c r="C716" s="566">
        <v>176.70000000000002</v>
      </c>
    </row>
    <row r="717" spans="1:3">
      <c r="A717" s="565">
        <v>15</v>
      </c>
      <c r="B717" s="566">
        <v>1294</v>
      </c>
      <c r="C717" s="566">
        <v>168.3</v>
      </c>
    </row>
    <row r="718" spans="1:3">
      <c r="A718" s="565">
        <v>15</v>
      </c>
      <c r="B718" s="566">
        <v>1368</v>
      </c>
      <c r="C718" s="566">
        <v>175.00000000000003</v>
      </c>
    </row>
    <row r="719" spans="1:3">
      <c r="A719" s="565">
        <v>15</v>
      </c>
      <c r="B719" s="566">
        <v>1427</v>
      </c>
      <c r="C719" s="566">
        <v>174.4</v>
      </c>
    </row>
    <row r="720" spans="1:3">
      <c r="A720" s="565">
        <v>15</v>
      </c>
      <c r="B720" s="566">
        <v>1526</v>
      </c>
      <c r="C720" s="566">
        <v>182.20000000000002</v>
      </c>
    </row>
    <row r="721" spans="1:3">
      <c r="A721" s="565">
        <v>15</v>
      </c>
      <c r="B721" s="566">
        <v>1617</v>
      </c>
      <c r="C721" s="566">
        <v>175.6</v>
      </c>
    </row>
    <row r="722" spans="1:3">
      <c r="A722" s="565">
        <v>15</v>
      </c>
      <c r="B722" s="566">
        <v>1709</v>
      </c>
      <c r="C722" s="566">
        <v>181.10000000000002</v>
      </c>
    </row>
    <row r="723" spans="1:3">
      <c r="A723" s="565">
        <v>15</v>
      </c>
      <c r="B723" s="566">
        <v>1801</v>
      </c>
      <c r="C723" s="566">
        <v>179.99999999999997</v>
      </c>
    </row>
    <row r="724" spans="1:3">
      <c r="A724" s="565">
        <v>15</v>
      </c>
      <c r="B724" s="566">
        <v>1932</v>
      </c>
      <c r="C724" s="566">
        <v>184.4</v>
      </c>
    </row>
    <row r="725" spans="1:3">
      <c r="A725" s="565">
        <v>15</v>
      </c>
      <c r="B725" s="566">
        <v>2023</v>
      </c>
      <c r="C725" s="566">
        <v>177.8</v>
      </c>
    </row>
    <row r="726" spans="1:3">
      <c r="A726" s="565">
        <v>15</v>
      </c>
      <c r="B726" s="566">
        <v>2126</v>
      </c>
      <c r="C726" s="566">
        <v>174.4</v>
      </c>
    </row>
    <row r="727" spans="1:3">
      <c r="A727" s="565">
        <v>15</v>
      </c>
      <c r="B727" s="566">
        <v>2224</v>
      </c>
      <c r="C727" s="566">
        <v>170.00000000000003</v>
      </c>
    </row>
    <row r="728" spans="1:3">
      <c r="A728" s="565">
        <v>15</v>
      </c>
      <c r="B728" s="566">
        <v>2330</v>
      </c>
      <c r="C728" s="566">
        <v>168.89999999999998</v>
      </c>
    </row>
    <row r="729" spans="1:3">
      <c r="A729" s="565">
        <v>15</v>
      </c>
      <c r="B729" s="566">
        <v>2493</v>
      </c>
      <c r="C729" s="566">
        <v>173.3</v>
      </c>
    </row>
    <row r="730" spans="1:3">
      <c r="A730" s="565">
        <v>15</v>
      </c>
      <c r="B730" s="566">
        <v>2603</v>
      </c>
      <c r="C730" s="566">
        <v>176.70000000000002</v>
      </c>
    </row>
    <row r="731" spans="1:3">
      <c r="A731" s="565">
        <v>15</v>
      </c>
      <c r="B731" s="566">
        <v>2757</v>
      </c>
      <c r="C731" s="566">
        <v>176.70000000000002</v>
      </c>
    </row>
    <row r="732" spans="1:3">
      <c r="A732" s="565">
        <v>15</v>
      </c>
      <c r="B732" s="566">
        <v>2872</v>
      </c>
      <c r="C732" s="566">
        <v>174.4</v>
      </c>
    </row>
    <row r="733" spans="1:3">
      <c r="A733" s="565">
        <v>15</v>
      </c>
      <c r="B733" s="566">
        <v>2976</v>
      </c>
      <c r="C733" s="566">
        <v>175.6</v>
      </c>
    </row>
    <row r="734" spans="1:3">
      <c r="A734" s="565">
        <v>15</v>
      </c>
      <c r="B734" s="566">
        <v>3058</v>
      </c>
      <c r="C734" s="566">
        <v>170.00000000000003</v>
      </c>
    </row>
    <row r="735" spans="1:3">
      <c r="A735" s="565">
        <v>15</v>
      </c>
      <c r="B735" s="566">
        <v>3221</v>
      </c>
      <c r="C735" s="566">
        <v>170.00000000000003</v>
      </c>
    </row>
    <row r="736" spans="1:3">
      <c r="A736" s="565">
        <v>15</v>
      </c>
      <c r="B736" s="566">
        <v>3305</v>
      </c>
      <c r="C736" s="566">
        <v>163.30000000000001</v>
      </c>
    </row>
    <row r="737" spans="1:3">
      <c r="A737" s="561">
        <v>16</v>
      </c>
      <c r="B737" s="562">
        <v>0</v>
      </c>
      <c r="C737" s="562">
        <v>0</v>
      </c>
    </row>
    <row r="738" spans="1:3">
      <c r="A738" s="561">
        <v>16</v>
      </c>
      <c r="B738" s="562">
        <v>7</v>
      </c>
      <c r="C738" s="562">
        <v>26.700000000000003</v>
      </c>
    </row>
    <row r="739" spans="1:3">
      <c r="A739" s="561">
        <v>16</v>
      </c>
      <c r="B739" s="562">
        <v>14</v>
      </c>
      <c r="C739" s="562">
        <v>63.3</v>
      </c>
    </row>
    <row r="740" spans="1:3">
      <c r="A740" s="561">
        <v>16</v>
      </c>
      <c r="B740" s="562">
        <v>22</v>
      </c>
      <c r="C740" s="562">
        <v>66.699999999999989</v>
      </c>
    </row>
    <row r="741" spans="1:3">
      <c r="A741" s="561">
        <v>16</v>
      </c>
      <c r="B741" s="562">
        <v>28</v>
      </c>
      <c r="C741" s="562">
        <v>89.999999999999986</v>
      </c>
    </row>
    <row r="742" spans="1:3">
      <c r="A742" s="561">
        <v>16</v>
      </c>
      <c r="B742" s="562">
        <v>36</v>
      </c>
      <c r="C742" s="562">
        <v>86.700000000000017</v>
      </c>
    </row>
    <row r="743" spans="1:3">
      <c r="A743" s="561">
        <v>16</v>
      </c>
      <c r="B743" s="562">
        <v>42</v>
      </c>
      <c r="C743" s="562">
        <v>89.999999999999986</v>
      </c>
    </row>
    <row r="744" spans="1:3">
      <c r="A744" s="561">
        <v>16</v>
      </c>
      <c r="B744" s="562">
        <v>58</v>
      </c>
      <c r="C744" s="562">
        <v>140</v>
      </c>
    </row>
    <row r="745" spans="1:3">
      <c r="A745" s="561">
        <v>16</v>
      </c>
      <c r="B745" s="562">
        <v>70</v>
      </c>
      <c r="C745" s="562">
        <v>146.70000000000002</v>
      </c>
    </row>
    <row r="746" spans="1:3">
      <c r="A746" s="561">
        <v>16</v>
      </c>
      <c r="B746" s="562">
        <v>91</v>
      </c>
      <c r="C746" s="562">
        <v>153.29999999999998</v>
      </c>
    </row>
    <row r="747" spans="1:3">
      <c r="A747" s="561">
        <v>16</v>
      </c>
      <c r="B747" s="562">
        <v>98</v>
      </c>
      <c r="C747" s="562">
        <v>140</v>
      </c>
    </row>
    <row r="748" spans="1:3">
      <c r="A748" s="563">
        <v>16</v>
      </c>
      <c r="B748" s="564">
        <v>119</v>
      </c>
      <c r="C748" s="564">
        <v>126.70000000000002</v>
      </c>
    </row>
    <row r="749" spans="1:3">
      <c r="A749" s="563">
        <v>16</v>
      </c>
      <c r="B749" s="564">
        <v>126</v>
      </c>
      <c r="C749" s="564">
        <v>120</v>
      </c>
    </row>
    <row r="750" spans="1:3">
      <c r="A750" s="563">
        <v>16</v>
      </c>
      <c r="B750" s="564">
        <v>133</v>
      </c>
      <c r="C750" s="564">
        <v>136.69999999999999</v>
      </c>
    </row>
    <row r="751" spans="1:3">
      <c r="A751" s="563">
        <v>16</v>
      </c>
      <c r="B751" s="564">
        <v>140</v>
      </c>
      <c r="C751" s="564">
        <v>150</v>
      </c>
    </row>
    <row r="752" spans="1:3">
      <c r="A752" s="563">
        <v>16</v>
      </c>
      <c r="B752" s="564">
        <v>147</v>
      </c>
      <c r="C752" s="564">
        <v>170.00000000000003</v>
      </c>
    </row>
    <row r="753" spans="1:3">
      <c r="A753" s="563">
        <v>16</v>
      </c>
      <c r="B753" s="564">
        <v>154</v>
      </c>
      <c r="C753" s="564">
        <v>160</v>
      </c>
    </row>
    <row r="754" spans="1:3">
      <c r="A754" s="563">
        <v>16</v>
      </c>
      <c r="B754" s="564">
        <v>161</v>
      </c>
      <c r="C754" s="564">
        <v>160</v>
      </c>
    </row>
    <row r="755" spans="1:3">
      <c r="A755" s="563">
        <v>16</v>
      </c>
      <c r="B755" s="564">
        <v>168</v>
      </c>
      <c r="C755" s="564">
        <v>140</v>
      </c>
    </row>
    <row r="756" spans="1:3">
      <c r="A756" s="563">
        <v>16</v>
      </c>
      <c r="B756" s="564">
        <v>175</v>
      </c>
      <c r="C756" s="564">
        <v>146.70000000000002</v>
      </c>
    </row>
    <row r="757" spans="1:3">
      <c r="A757" s="563">
        <v>16</v>
      </c>
      <c r="B757" s="564">
        <v>182</v>
      </c>
      <c r="C757" s="564">
        <v>163.30000000000001</v>
      </c>
    </row>
    <row r="758" spans="1:3">
      <c r="A758" s="563">
        <v>16</v>
      </c>
      <c r="B758" s="564">
        <v>245</v>
      </c>
      <c r="C758" s="564">
        <v>160</v>
      </c>
    </row>
    <row r="759" spans="1:3">
      <c r="A759" s="563">
        <v>16</v>
      </c>
      <c r="B759" s="564">
        <v>306</v>
      </c>
      <c r="C759" s="564">
        <v>163.30000000000001</v>
      </c>
    </row>
    <row r="760" spans="1:3">
      <c r="A760" s="563">
        <v>16</v>
      </c>
      <c r="B760" s="564">
        <v>368</v>
      </c>
      <c r="C760" s="564">
        <v>173.3</v>
      </c>
    </row>
    <row r="761" spans="1:3">
      <c r="A761" s="563">
        <v>16</v>
      </c>
      <c r="B761" s="564">
        <v>427</v>
      </c>
      <c r="C761" s="564">
        <v>170.00000000000003</v>
      </c>
    </row>
    <row r="762" spans="1:3">
      <c r="A762" s="563">
        <v>16</v>
      </c>
      <c r="B762" s="564">
        <v>488</v>
      </c>
      <c r="C762" s="564">
        <v>170.00000000000003</v>
      </c>
    </row>
    <row r="763" spans="1:3">
      <c r="A763" s="565">
        <v>16</v>
      </c>
      <c r="B763" s="566">
        <v>549</v>
      </c>
      <c r="C763" s="566">
        <v>176.70000000000002</v>
      </c>
    </row>
    <row r="764" spans="1:3">
      <c r="A764" s="565">
        <v>16</v>
      </c>
      <c r="B764" s="566">
        <v>610</v>
      </c>
      <c r="C764" s="566">
        <v>156.69999999999999</v>
      </c>
    </row>
    <row r="765" spans="1:3">
      <c r="A765" s="565">
        <v>16</v>
      </c>
      <c r="B765" s="566">
        <v>671</v>
      </c>
      <c r="C765" s="566">
        <v>170.00000000000003</v>
      </c>
    </row>
    <row r="766" spans="1:3">
      <c r="A766" s="565">
        <v>16</v>
      </c>
      <c r="B766" s="566">
        <v>733</v>
      </c>
      <c r="C766" s="566">
        <v>163.30000000000001</v>
      </c>
    </row>
    <row r="767" spans="1:3">
      <c r="A767" s="565">
        <v>16</v>
      </c>
      <c r="B767" s="566">
        <v>793</v>
      </c>
      <c r="C767" s="566">
        <v>166.70000000000002</v>
      </c>
    </row>
    <row r="768" spans="1:3">
      <c r="A768" s="565">
        <v>16</v>
      </c>
      <c r="B768" s="566">
        <v>1140</v>
      </c>
      <c r="C768" s="566">
        <v>183.29999999999998</v>
      </c>
    </row>
    <row r="769" spans="1:3">
      <c r="A769" s="565">
        <v>16</v>
      </c>
      <c r="B769" s="566">
        <v>1168</v>
      </c>
      <c r="C769" s="566">
        <v>176.70000000000002</v>
      </c>
    </row>
    <row r="770" spans="1:3">
      <c r="A770" s="565">
        <v>16</v>
      </c>
      <c r="B770" s="566">
        <v>1229</v>
      </c>
      <c r="C770" s="566">
        <v>183.29999999999998</v>
      </c>
    </row>
    <row r="771" spans="1:3">
      <c r="A771" s="565">
        <v>16</v>
      </c>
      <c r="B771" s="566">
        <v>1294</v>
      </c>
      <c r="C771" s="566">
        <v>190</v>
      </c>
    </row>
    <row r="772" spans="1:3">
      <c r="A772" s="565">
        <v>16</v>
      </c>
      <c r="B772" s="566">
        <v>1368</v>
      </c>
      <c r="C772" s="566">
        <v>193.3</v>
      </c>
    </row>
    <row r="773" spans="1:3">
      <c r="A773" s="565">
        <v>16</v>
      </c>
      <c r="B773" s="566">
        <v>1427</v>
      </c>
      <c r="C773" s="566">
        <v>176.70000000000002</v>
      </c>
    </row>
    <row r="774" spans="1:3">
      <c r="A774" s="565">
        <v>16</v>
      </c>
      <c r="B774" s="566">
        <v>1526</v>
      </c>
      <c r="C774" s="566">
        <v>184.4</v>
      </c>
    </row>
    <row r="775" spans="1:3">
      <c r="A775" s="565">
        <v>16</v>
      </c>
      <c r="B775" s="566">
        <v>1617</v>
      </c>
      <c r="C775" s="566">
        <v>179.99999999999997</v>
      </c>
    </row>
    <row r="776" spans="1:3">
      <c r="A776" s="565">
        <v>16</v>
      </c>
      <c r="B776" s="566">
        <v>1709</v>
      </c>
      <c r="C776" s="566">
        <v>182.20000000000002</v>
      </c>
    </row>
    <row r="777" spans="1:3">
      <c r="A777" s="565">
        <v>16</v>
      </c>
      <c r="B777" s="566">
        <v>1801</v>
      </c>
      <c r="C777" s="566">
        <v>185.60000000000002</v>
      </c>
    </row>
    <row r="778" spans="1:3">
      <c r="A778" s="565">
        <v>16</v>
      </c>
      <c r="B778" s="566">
        <v>1932</v>
      </c>
      <c r="C778" s="566">
        <v>192.20000000000002</v>
      </c>
    </row>
    <row r="779" spans="1:3">
      <c r="A779" s="565">
        <v>16</v>
      </c>
      <c r="B779" s="566">
        <v>2023</v>
      </c>
      <c r="C779" s="566">
        <v>184.4</v>
      </c>
    </row>
    <row r="780" spans="1:3">
      <c r="A780" s="565">
        <v>16</v>
      </c>
      <c r="B780" s="566">
        <v>2126</v>
      </c>
      <c r="C780" s="566">
        <v>183.29999999999998</v>
      </c>
    </row>
    <row r="781" spans="1:3">
      <c r="A781" s="565">
        <v>16</v>
      </c>
      <c r="B781" s="566">
        <v>2224</v>
      </c>
      <c r="C781" s="566">
        <v>178.9</v>
      </c>
    </row>
    <row r="782" spans="1:3">
      <c r="A782" s="565">
        <v>16</v>
      </c>
      <c r="B782" s="566">
        <v>2330</v>
      </c>
      <c r="C782" s="566">
        <v>182.20000000000002</v>
      </c>
    </row>
    <row r="783" spans="1:3">
      <c r="A783" s="565">
        <v>16</v>
      </c>
      <c r="B783" s="566">
        <v>2493</v>
      </c>
      <c r="C783" s="566">
        <v>183.29999999999998</v>
      </c>
    </row>
    <row r="784" spans="1:3">
      <c r="A784" s="565">
        <v>16</v>
      </c>
      <c r="B784" s="566">
        <v>2603</v>
      </c>
      <c r="C784" s="566">
        <v>173.3</v>
      </c>
    </row>
    <row r="785" spans="1:3">
      <c r="A785" s="565">
        <v>16</v>
      </c>
      <c r="B785" s="566">
        <v>2757</v>
      </c>
      <c r="C785" s="566">
        <v>186.7</v>
      </c>
    </row>
    <row r="786" spans="1:3">
      <c r="A786" s="565">
        <v>16</v>
      </c>
      <c r="B786" s="566">
        <v>2872</v>
      </c>
      <c r="C786" s="566">
        <v>186.7</v>
      </c>
    </row>
    <row r="787" spans="1:3">
      <c r="A787" s="565">
        <v>16</v>
      </c>
      <c r="B787" s="566">
        <v>2976</v>
      </c>
      <c r="C787" s="566">
        <v>183.29999999999998</v>
      </c>
    </row>
    <row r="788" spans="1:3">
      <c r="A788" s="565">
        <v>16</v>
      </c>
      <c r="B788" s="566">
        <v>3058</v>
      </c>
      <c r="C788" s="566">
        <v>183.29999999999998</v>
      </c>
    </row>
    <row r="789" spans="1:3">
      <c r="A789" s="565">
        <v>16</v>
      </c>
      <c r="B789" s="566">
        <v>3221</v>
      </c>
      <c r="C789" s="566">
        <v>181.10000000000002</v>
      </c>
    </row>
    <row r="790" spans="1:3">
      <c r="A790" s="561">
        <v>17</v>
      </c>
      <c r="B790" s="562">
        <v>0</v>
      </c>
      <c r="C790" s="562">
        <v>0</v>
      </c>
    </row>
    <row r="791" spans="1:3">
      <c r="A791" s="561">
        <v>17</v>
      </c>
      <c r="B791" s="562">
        <v>6</v>
      </c>
      <c r="C791" s="562">
        <v>210</v>
      </c>
    </row>
    <row r="792" spans="1:3">
      <c r="A792" s="561">
        <v>17</v>
      </c>
      <c r="B792" s="562">
        <v>13</v>
      </c>
      <c r="C792" s="562">
        <v>253.29999999999998</v>
      </c>
    </row>
    <row r="793" spans="1:3">
      <c r="A793" s="561">
        <v>17</v>
      </c>
      <c r="B793" s="562">
        <v>22</v>
      </c>
      <c r="C793" s="562">
        <v>316.7</v>
      </c>
    </row>
    <row r="794" spans="1:3">
      <c r="A794" s="561">
        <v>17</v>
      </c>
      <c r="B794" s="562">
        <v>44</v>
      </c>
      <c r="C794" s="562">
        <v>386.70000000000005</v>
      </c>
    </row>
    <row r="795" spans="1:3">
      <c r="A795" s="561">
        <v>17</v>
      </c>
      <c r="B795" s="562">
        <v>62</v>
      </c>
      <c r="C795" s="562">
        <v>413.3</v>
      </c>
    </row>
    <row r="796" spans="1:3">
      <c r="A796" s="561">
        <v>17</v>
      </c>
      <c r="B796" s="562">
        <v>74</v>
      </c>
      <c r="C796" s="562">
        <v>430</v>
      </c>
    </row>
    <row r="797" spans="1:3">
      <c r="A797" s="561">
        <v>17</v>
      </c>
      <c r="B797" s="562">
        <v>95</v>
      </c>
      <c r="C797" s="562">
        <v>436.7</v>
      </c>
    </row>
    <row r="798" spans="1:3">
      <c r="A798" s="563">
        <v>17</v>
      </c>
      <c r="B798" s="564">
        <v>102</v>
      </c>
      <c r="C798" s="564">
        <v>439.99999999999994</v>
      </c>
    </row>
    <row r="799" spans="1:3">
      <c r="A799" s="563">
        <v>17</v>
      </c>
      <c r="B799" s="564">
        <v>111</v>
      </c>
      <c r="C799" s="564">
        <v>413.3</v>
      </c>
    </row>
    <row r="800" spans="1:3">
      <c r="A800" s="563">
        <v>17</v>
      </c>
      <c r="B800" s="564">
        <v>124</v>
      </c>
      <c r="C800" s="564">
        <v>410.00000000000006</v>
      </c>
    </row>
    <row r="801" spans="1:3">
      <c r="A801" s="563">
        <v>17</v>
      </c>
      <c r="B801" s="564">
        <v>131</v>
      </c>
      <c r="C801" s="564">
        <v>400</v>
      </c>
    </row>
    <row r="802" spans="1:3">
      <c r="A802" s="563">
        <v>17</v>
      </c>
      <c r="B802" s="564">
        <v>138</v>
      </c>
      <c r="C802" s="564">
        <v>410.00000000000006</v>
      </c>
    </row>
    <row r="803" spans="1:3">
      <c r="A803" s="563">
        <v>17</v>
      </c>
      <c r="B803" s="564">
        <v>145</v>
      </c>
      <c r="C803" s="564">
        <v>413.3</v>
      </c>
    </row>
    <row r="804" spans="1:3">
      <c r="A804" s="563">
        <v>17</v>
      </c>
      <c r="B804" s="564">
        <v>152</v>
      </c>
      <c r="C804" s="564">
        <v>436.7</v>
      </c>
    </row>
    <row r="805" spans="1:3">
      <c r="A805" s="563">
        <v>17</v>
      </c>
      <c r="B805" s="564">
        <v>159</v>
      </c>
      <c r="C805" s="564">
        <v>423.29999999999995</v>
      </c>
    </row>
    <row r="806" spans="1:3">
      <c r="A806" s="563">
        <v>17</v>
      </c>
      <c r="B806" s="564">
        <v>166</v>
      </c>
      <c r="C806" s="564">
        <v>436.7</v>
      </c>
    </row>
    <row r="807" spans="1:3">
      <c r="A807" s="563">
        <v>17</v>
      </c>
      <c r="B807" s="564">
        <v>173</v>
      </c>
      <c r="C807" s="564">
        <v>420</v>
      </c>
    </row>
    <row r="808" spans="1:3">
      <c r="A808" s="563">
        <v>17</v>
      </c>
      <c r="B808" s="564">
        <v>180</v>
      </c>
      <c r="C808" s="564">
        <v>423.29999999999995</v>
      </c>
    </row>
    <row r="809" spans="1:3">
      <c r="A809" s="563">
        <v>17</v>
      </c>
      <c r="B809" s="564">
        <v>240</v>
      </c>
      <c r="C809" s="564">
        <v>383.3</v>
      </c>
    </row>
    <row r="810" spans="1:3">
      <c r="A810" s="563">
        <v>17</v>
      </c>
      <c r="B810" s="564">
        <v>301</v>
      </c>
      <c r="C810" s="564">
        <v>406.70000000000005</v>
      </c>
    </row>
    <row r="811" spans="1:3">
      <c r="A811" s="563">
        <v>17</v>
      </c>
      <c r="B811" s="564">
        <v>363</v>
      </c>
      <c r="C811" s="564">
        <v>416.7</v>
      </c>
    </row>
    <row r="812" spans="1:3">
      <c r="A812" s="563">
        <v>17</v>
      </c>
      <c r="B812" s="564">
        <v>422</v>
      </c>
      <c r="C812" s="564">
        <v>420</v>
      </c>
    </row>
    <row r="813" spans="1:3">
      <c r="A813" s="563">
        <v>17</v>
      </c>
      <c r="B813" s="564">
        <v>483</v>
      </c>
      <c r="C813" s="564">
        <v>420</v>
      </c>
    </row>
    <row r="814" spans="1:3">
      <c r="A814" s="565">
        <v>17</v>
      </c>
      <c r="B814" s="566">
        <v>544</v>
      </c>
      <c r="C814" s="566">
        <v>386.70000000000005</v>
      </c>
    </row>
    <row r="815" spans="1:3">
      <c r="A815" s="565">
        <v>17</v>
      </c>
      <c r="B815" s="566">
        <v>605</v>
      </c>
      <c r="C815" s="566">
        <v>410.00000000000006</v>
      </c>
    </row>
    <row r="816" spans="1:3">
      <c r="A816" s="565">
        <v>17</v>
      </c>
      <c r="B816" s="566">
        <v>666</v>
      </c>
      <c r="C816" s="566">
        <v>410.00000000000006</v>
      </c>
    </row>
    <row r="817" spans="1:3">
      <c r="A817" s="565">
        <v>17</v>
      </c>
      <c r="B817" s="566">
        <v>728</v>
      </c>
      <c r="C817" s="566">
        <v>413.3</v>
      </c>
    </row>
    <row r="818" spans="1:3">
      <c r="A818" s="565">
        <v>17</v>
      </c>
      <c r="B818" s="566">
        <v>788</v>
      </c>
      <c r="C818" s="566">
        <v>410.00000000000006</v>
      </c>
    </row>
    <row r="819" spans="1:3">
      <c r="A819" s="565">
        <v>17</v>
      </c>
      <c r="B819" s="566">
        <v>1142</v>
      </c>
      <c r="C819" s="566">
        <v>416.7</v>
      </c>
    </row>
    <row r="820" spans="1:3">
      <c r="A820" s="565">
        <v>17</v>
      </c>
      <c r="B820" s="566">
        <v>1170</v>
      </c>
      <c r="C820" s="566">
        <v>403.29999999999995</v>
      </c>
    </row>
    <row r="821" spans="1:3">
      <c r="A821" s="565">
        <v>17</v>
      </c>
      <c r="B821" s="566">
        <v>1231</v>
      </c>
      <c r="C821" s="566">
        <v>416.7</v>
      </c>
    </row>
    <row r="822" spans="1:3">
      <c r="A822" s="565">
        <v>17</v>
      </c>
      <c r="B822" s="566">
        <v>1296</v>
      </c>
      <c r="C822" s="566">
        <v>403.29999999999995</v>
      </c>
    </row>
    <row r="823" spans="1:3">
      <c r="A823" s="565">
        <v>17</v>
      </c>
      <c r="B823" s="566">
        <v>1370</v>
      </c>
      <c r="C823" s="566">
        <v>405.6</v>
      </c>
    </row>
    <row r="824" spans="1:3">
      <c r="A824" s="565">
        <v>17</v>
      </c>
      <c r="B824" s="566">
        <v>1429</v>
      </c>
      <c r="C824" s="566">
        <v>401.1</v>
      </c>
    </row>
    <row r="825" spans="1:3">
      <c r="A825" s="565">
        <v>17</v>
      </c>
      <c r="B825" s="566">
        <v>1528</v>
      </c>
      <c r="C825" s="566">
        <v>398.90000000000003</v>
      </c>
    </row>
    <row r="826" spans="1:3">
      <c r="A826" s="565">
        <v>17</v>
      </c>
      <c r="B826" s="566">
        <v>1619</v>
      </c>
      <c r="C826" s="566">
        <v>390</v>
      </c>
    </row>
    <row r="827" spans="1:3">
      <c r="A827" s="565">
        <v>17</v>
      </c>
      <c r="B827" s="566">
        <v>1711</v>
      </c>
      <c r="C827" s="566">
        <v>393.29999999999995</v>
      </c>
    </row>
    <row r="828" spans="1:3">
      <c r="A828" s="565">
        <v>17</v>
      </c>
      <c r="B828" s="566">
        <v>1803</v>
      </c>
      <c r="C828" s="566">
        <v>387.8</v>
      </c>
    </row>
    <row r="829" spans="1:3">
      <c r="A829" s="565">
        <v>17</v>
      </c>
      <c r="B829" s="566">
        <v>1934</v>
      </c>
      <c r="C829" s="566">
        <v>398.90000000000003</v>
      </c>
    </row>
    <row r="830" spans="1:3">
      <c r="A830" s="565">
        <v>17</v>
      </c>
      <c r="B830" s="566">
        <v>2025</v>
      </c>
      <c r="C830" s="566">
        <v>391.1</v>
      </c>
    </row>
    <row r="831" spans="1:3">
      <c r="A831" s="565">
        <v>17</v>
      </c>
      <c r="B831" s="566">
        <v>2128</v>
      </c>
      <c r="C831" s="566">
        <v>390</v>
      </c>
    </row>
    <row r="832" spans="1:3">
      <c r="A832" s="565">
        <v>17</v>
      </c>
      <c r="B832" s="566">
        <v>2226</v>
      </c>
      <c r="C832" s="566">
        <v>387.8</v>
      </c>
    </row>
    <row r="833" spans="1:3">
      <c r="A833" s="565">
        <v>17</v>
      </c>
      <c r="B833" s="566">
        <v>2332</v>
      </c>
      <c r="C833" s="566">
        <v>387.8</v>
      </c>
    </row>
    <row r="834" spans="1:3">
      <c r="A834" s="565">
        <v>17</v>
      </c>
      <c r="B834" s="566">
        <v>2495</v>
      </c>
      <c r="C834" s="566">
        <v>380</v>
      </c>
    </row>
    <row r="835" spans="1:3">
      <c r="A835" s="565">
        <v>17</v>
      </c>
      <c r="B835" s="566">
        <v>2605</v>
      </c>
      <c r="C835" s="566">
        <v>383.3</v>
      </c>
    </row>
    <row r="836" spans="1:3">
      <c r="A836" s="565">
        <v>17</v>
      </c>
      <c r="B836" s="566">
        <v>2759</v>
      </c>
      <c r="C836" s="566">
        <v>390</v>
      </c>
    </row>
    <row r="837" spans="1:3">
      <c r="A837" s="565">
        <v>17</v>
      </c>
      <c r="B837" s="566">
        <v>2874</v>
      </c>
      <c r="C837" s="566">
        <v>387.8</v>
      </c>
    </row>
    <row r="838" spans="1:3">
      <c r="A838" s="565">
        <v>17</v>
      </c>
      <c r="B838" s="566">
        <v>2978</v>
      </c>
      <c r="C838" s="566">
        <v>388.90000000000003</v>
      </c>
    </row>
    <row r="839" spans="1:3">
      <c r="A839" s="565">
        <v>17</v>
      </c>
      <c r="B839" s="566">
        <v>3060</v>
      </c>
      <c r="C839" s="566">
        <v>388.90000000000003</v>
      </c>
    </row>
    <row r="840" spans="1:3">
      <c r="A840" s="565">
        <v>17</v>
      </c>
      <c r="B840" s="566">
        <v>3223</v>
      </c>
      <c r="C840" s="566">
        <v>390</v>
      </c>
    </row>
    <row r="841" spans="1:3">
      <c r="A841" s="565">
        <v>17</v>
      </c>
      <c r="B841" s="566">
        <v>3309</v>
      </c>
      <c r="C841" s="566">
        <v>386.70000000000005</v>
      </c>
    </row>
    <row r="842" spans="1:3">
      <c r="A842" s="561">
        <v>18</v>
      </c>
      <c r="B842" s="562">
        <v>0</v>
      </c>
      <c r="C842" s="562">
        <v>0</v>
      </c>
    </row>
    <row r="843" spans="1:3">
      <c r="A843" s="561">
        <v>18</v>
      </c>
      <c r="B843" s="562">
        <v>7</v>
      </c>
      <c r="C843" s="562">
        <v>93.3</v>
      </c>
    </row>
    <row r="844" spans="1:3">
      <c r="A844" s="561">
        <v>18</v>
      </c>
      <c r="B844" s="562">
        <v>15</v>
      </c>
      <c r="C844" s="562">
        <v>173.3</v>
      </c>
    </row>
    <row r="845" spans="1:3">
      <c r="A845" s="561">
        <v>18</v>
      </c>
      <c r="B845" s="562">
        <v>21</v>
      </c>
      <c r="C845" s="562">
        <v>229.99999999999997</v>
      </c>
    </row>
    <row r="846" spans="1:3">
      <c r="A846" s="561">
        <v>18</v>
      </c>
      <c r="B846" s="562">
        <v>29</v>
      </c>
      <c r="C846" s="562">
        <v>253.29999999999998</v>
      </c>
    </row>
    <row r="847" spans="1:3">
      <c r="A847" s="561">
        <v>18</v>
      </c>
      <c r="B847" s="562">
        <v>35</v>
      </c>
      <c r="C847" s="562">
        <v>270</v>
      </c>
    </row>
    <row r="848" spans="1:3">
      <c r="A848" s="561">
        <v>18</v>
      </c>
      <c r="B848" s="562">
        <v>53</v>
      </c>
      <c r="C848" s="562">
        <v>320</v>
      </c>
    </row>
    <row r="849" spans="1:3">
      <c r="A849" s="561">
        <v>18</v>
      </c>
      <c r="B849" s="562">
        <v>65</v>
      </c>
      <c r="C849" s="562">
        <v>336.7</v>
      </c>
    </row>
    <row r="850" spans="1:3">
      <c r="A850" s="561">
        <v>18</v>
      </c>
      <c r="B850" s="562">
        <v>86</v>
      </c>
      <c r="C850" s="562">
        <v>350.00000000000006</v>
      </c>
    </row>
    <row r="851" spans="1:3">
      <c r="A851" s="561">
        <v>18</v>
      </c>
      <c r="B851" s="562">
        <v>93</v>
      </c>
      <c r="C851" s="562">
        <v>350.00000000000006</v>
      </c>
    </row>
    <row r="852" spans="1:3">
      <c r="A852" s="563">
        <v>18</v>
      </c>
      <c r="B852" s="564">
        <v>102</v>
      </c>
      <c r="C852" s="564">
        <v>330</v>
      </c>
    </row>
    <row r="853" spans="1:3">
      <c r="A853" s="563">
        <v>18</v>
      </c>
      <c r="B853" s="564">
        <v>114</v>
      </c>
      <c r="C853" s="564">
        <v>330</v>
      </c>
    </row>
    <row r="854" spans="1:3">
      <c r="A854" s="563">
        <v>18</v>
      </c>
      <c r="B854" s="564">
        <v>121</v>
      </c>
      <c r="C854" s="564">
        <v>330</v>
      </c>
    </row>
    <row r="855" spans="1:3">
      <c r="A855" s="563">
        <v>18</v>
      </c>
      <c r="B855" s="564">
        <v>128</v>
      </c>
      <c r="C855" s="564">
        <v>350.00000000000006</v>
      </c>
    </row>
    <row r="856" spans="1:3">
      <c r="A856" s="563">
        <v>18</v>
      </c>
      <c r="B856" s="564">
        <v>135</v>
      </c>
      <c r="C856" s="564">
        <v>363.3</v>
      </c>
    </row>
    <row r="857" spans="1:3">
      <c r="A857" s="563">
        <v>18</v>
      </c>
      <c r="B857" s="564">
        <v>142</v>
      </c>
      <c r="C857" s="564">
        <v>383.3</v>
      </c>
    </row>
    <row r="858" spans="1:3">
      <c r="A858" s="563">
        <v>18</v>
      </c>
      <c r="B858" s="564">
        <v>149</v>
      </c>
      <c r="C858" s="564">
        <v>376.70000000000005</v>
      </c>
    </row>
    <row r="859" spans="1:3">
      <c r="A859" s="563">
        <v>18</v>
      </c>
      <c r="B859" s="564">
        <v>156</v>
      </c>
      <c r="C859" s="564">
        <v>376.70000000000005</v>
      </c>
    </row>
    <row r="860" spans="1:3">
      <c r="A860" s="563">
        <v>18</v>
      </c>
      <c r="B860" s="564">
        <v>163</v>
      </c>
      <c r="C860" s="564">
        <v>356.70000000000005</v>
      </c>
    </row>
    <row r="861" spans="1:3">
      <c r="A861" s="563">
        <v>18</v>
      </c>
      <c r="B861" s="564">
        <v>170</v>
      </c>
      <c r="C861" s="564">
        <v>363.3</v>
      </c>
    </row>
    <row r="862" spans="1:3">
      <c r="A862" s="563">
        <v>18</v>
      </c>
      <c r="B862" s="564">
        <v>177</v>
      </c>
      <c r="C862" s="564">
        <v>373.3</v>
      </c>
    </row>
    <row r="863" spans="1:3">
      <c r="A863" s="563">
        <v>18</v>
      </c>
      <c r="B863" s="564">
        <v>184</v>
      </c>
      <c r="C863" s="564">
        <v>353.3</v>
      </c>
    </row>
    <row r="864" spans="1:3">
      <c r="A864" s="563">
        <v>18</v>
      </c>
      <c r="B864" s="564">
        <v>191</v>
      </c>
      <c r="C864" s="564">
        <v>359.99999999999994</v>
      </c>
    </row>
    <row r="865" spans="1:3">
      <c r="A865" s="563">
        <v>18</v>
      </c>
      <c r="B865" s="564">
        <v>245</v>
      </c>
      <c r="C865" s="564">
        <v>376.70000000000005</v>
      </c>
    </row>
    <row r="866" spans="1:3">
      <c r="A866" s="563">
        <v>18</v>
      </c>
      <c r="B866" s="564">
        <v>306</v>
      </c>
      <c r="C866" s="564">
        <v>370</v>
      </c>
    </row>
    <row r="867" spans="1:3">
      <c r="A867" s="563">
        <v>18</v>
      </c>
      <c r="B867" s="564">
        <v>365</v>
      </c>
      <c r="C867" s="564">
        <v>363.3</v>
      </c>
    </row>
    <row r="868" spans="1:3">
      <c r="A868" s="563">
        <v>18</v>
      </c>
      <c r="B868" s="564">
        <v>426</v>
      </c>
      <c r="C868" s="564">
        <v>363.3</v>
      </c>
    </row>
    <row r="869" spans="1:3">
      <c r="A869" s="563">
        <v>18</v>
      </c>
      <c r="B869" s="564">
        <v>487</v>
      </c>
      <c r="C869" s="564">
        <v>366.70000000000005</v>
      </c>
    </row>
    <row r="870" spans="1:3">
      <c r="A870" s="565">
        <v>18</v>
      </c>
      <c r="B870" s="566">
        <v>549</v>
      </c>
      <c r="C870" s="566">
        <v>363.3</v>
      </c>
    </row>
    <row r="871" spans="1:3">
      <c r="A871" s="565">
        <v>18</v>
      </c>
      <c r="B871" s="566">
        <v>610</v>
      </c>
      <c r="C871" s="566">
        <v>370</v>
      </c>
    </row>
    <row r="872" spans="1:3">
      <c r="A872" s="565">
        <v>18</v>
      </c>
      <c r="B872" s="566">
        <v>671</v>
      </c>
      <c r="C872" s="566">
        <v>356.70000000000005</v>
      </c>
    </row>
    <row r="873" spans="1:3">
      <c r="A873" s="565">
        <v>18</v>
      </c>
      <c r="B873" s="566">
        <v>731</v>
      </c>
      <c r="C873" s="566">
        <v>363.3</v>
      </c>
    </row>
    <row r="874" spans="1:3">
      <c r="A874" s="565">
        <v>18</v>
      </c>
      <c r="B874" s="566">
        <v>1133</v>
      </c>
      <c r="C874" s="566">
        <v>372.20000000000005</v>
      </c>
    </row>
    <row r="875" spans="1:3">
      <c r="A875" s="565">
        <v>18</v>
      </c>
      <c r="B875" s="566">
        <v>1161</v>
      </c>
      <c r="C875" s="566">
        <v>352.20000000000005</v>
      </c>
    </row>
    <row r="876" spans="1:3">
      <c r="A876" s="565">
        <v>18</v>
      </c>
      <c r="B876" s="566">
        <v>1222</v>
      </c>
      <c r="C876" s="566">
        <v>366.70000000000005</v>
      </c>
    </row>
    <row r="877" spans="1:3">
      <c r="A877" s="565">
        <v>18</v>
      </c>
      <c r="B877" s="566">
        <v>1287</v>
      </c>
      <c r="C877" s="566">
        <v>371.09999999999997</v>
      </c>
    </row>
    <row r="878" spans="1:3">
      <c r="A878" s="565">
        <v>18</v>
      </c>
      <c r="B878" s="566">
        <v>1361</v>
      </c>
      <c r="C878" s="566">
        <v>377.2</v>
      </c>
    </row>
    <row r="879" spans="1:3">
      <c r="A879" s="565">
        <v>18</v>
      </c>
      <c r="B879" s="566">
        <v>1420</v>
      </c>
      <c r="C879" s="566">
        <v>364.40000000000003</v>
      </c>
    </row>
    <row r="880" spans="1:3">
      <c r="A880" s="565">
        <v>18</v>
      </c>
      <c r="B880" s="566">
        <v>1519</v>
      </c>
      <c r="C880" s="566">
        <v>361.1</v>
      </c>
    </row>
    <row r="881" spans="1:3">
      <c r="A881" s="565">
        <v>18</v>
      </c>
      <c r="B881" s="566">
        <v>1610</v>
      </c>
      <c r="C881" s="566">
        <v>367.8</v>
      </c>
    </row>
    <row r="882" spans="1:3">
      <c r="A882" s="565">
        <v>18</v>
      </c>
      <c r="B882" s="566">
        <v>1702</v>
      </c>
      <c r="C882" s="566">
        <v>375.6</v>
      </c>
    </row>
    <row r="883" spans="1:3">
      <c r="A883" s="565">
        <v>18</v>
      </c>
      <c r="B883" s="566">
        <v>1794</v>
      </c>
      <c r="C883" s="566">
        <v>361.1</v>
      </c>
    </row>
    <row r="884" spans="1:3">
      <c r="A884" s="565">
        <v>18</v>
      </c>
      <c r="B884" s="566">
        <v>1925</v>
      </c>
      <c r="C884" s="566">
        <v>365.6</v>
      </c>
    </row>
    <row r="885" spans="1:3">
      <c r="A885" s="565">
        <v>18</v>
      </c>
      <c r="B885" s="566">
        <v>2016</v>
      </c>
      <c r="C885" s="566">
        <v>370</v>
      </c>
    </row>
    <row r="886" spans="1:3">
      <c r="A886" s="565">
        <v>18</v>
      </c>
      <c r="B886" s="566">
        <v>2119</v>
      </c>
      <c r="C886" s="566">
        <v>385.59999999999997</v>
      </c>
    </row>
    <row r="887" spans="1:3">
      <c r="A887" s="565">
        <v>18</v>
      </c>
      <c r="B887" s="566">
        <v>2217</v>
      </c>
      <c r="C887" s="566">
        <v>385.59999999999997</v>
      </c>
    </row>
    <row r="888" spans="1:3">
      <c r="A888" s="565">
        <v>18</v>
      </c>
      <c r="B888" s="566">
        <v>2323</v>
      </c>
      <c r="C888" s="566">
        <v>384.40000000000003</v>
      </c>
    </row>
    <row r="889" spans="1:3">
      <c r="A889" s="565">
        <v>18</v>
      </c>
      <c r="B889" s="566">
        <v>2486</v>
      </c>
      <c r="C889" s="566">
        <v>380</v>
      </c>
    </row>
    <row r="890" spans="1:3">
      <c r="A890" s="565">
        <v>18</v>
      </c>
      <c r="B890" s="566">
        <v>2596</v>
      </c>
      <c r="C890" s="566">
        <v>383.3</v>
      </c>
    </row>
    <row r="891" spans="1:3">
      <c r="A891" s="565">
        <v>18</v>
      </c>
      <c r="B891" s="566">
        <v>2750</v>
      </c>
      <c r="C891" s="566">
        <v>376.70000000000005</v>
      </c>
    </row>
    <row r="892" spans="1:3">
      <c r="A892" s="565">
        <v>18</v>
      </c>
      <c r="B892" s="566">
        <v>2865</v>
      </c>
      <c r="C892" s="566">
        <v>373.3</v>
      </c>
    </row>
    <row r="893" spans="1:3">
      <c r="A893" s="565">
        <v>18</v>
      </c>
      <c r="B893" s="566">
        <v>2969</v>
      </c>
      <c r="C893" s="566">
        <v>373.3</v>
      </c>
    </row>
    <row r="894" spans="1:3">
      <c r="A894" s="565">
        <v>18</v>
      </c>
      <c r="B894" s="566">
        <v>3051</v>
      </c>
      <c r="C894" s="566">
        <v>373.3</v>
      </c>
    </row>
    <row r="895" spans="1:3">
      <c r="A895" s="565">
        <v>18</v>
      </c>
      <c r="B895" s="566">
        <v>3214</v>
      </c>
      <c r="C895" s="566">
        <v>374.40000000000003</v>
      </c>
    </row>
    <row r="896" spans="1:3">
      <c r="A896" s="565">
        <v>18</v>
      </c>
      <c r="B896" s="566">
        <v>3298</v>
      </c>
      <c r="C896" s="566">
        <v>374.40000000000003</v>
      </c>
    </row>
    <row r="897" spans="1:3">
      <c r="A897" s="561">
        <v>19</v>
      </c>
      <c r="B897" s="562">
        <v>0</v>
      </c>
      <c r="C897" s="562">
        <v>0</v>
      </c>
    </row>
    <row r="898" spans="1:3">
      <c r="A898" s="561">
        <v>19</v>
      </c>
      <c r="B898" s="562">
        <v>6</v>
      </c>
      <c r="C898" s="562">
        <v>103.30000000000001</v>
      </c>
    </row>
    <row r="899" spans="1:3">
      <c r="A899" s="561">
        <v>19</v>
      </c>
      <c r="B899" s="562">
        <v>13</v>
      </c>
      <c r="C899" s="562">
        <v>136.69999999999999</v>
      </c>
    </row>
    <row r="900" spans="1:3">
      <c r="A900" s="561">
        <v>19</v>
      </c>
      <c r="B900" s="562">
        <v>22</v>
      </c>
      <c r="C900" s="562">
        <v>213.3</v>
      </c>
    </row>
    <row r="901" spans="1:3">
      <c r="A901" s="561">
        <v>19</v>
      </c>
      <c r="B901" s="562">
        <v>44</v>
      </c>
      <c r="C901" s="562">
        <v>246.70000000000002</v>
      </c>
    </row>
    <row r="902" spans="1:3">
      <c r="A902" s="561">
        <v>19</v>
      </c>
      <c r="B902" s="562">
        <v>62</v>
      </c>
      <c r="C902" s="562">
        <v>266.7</v>
      </c>
    </row>
    <row r="903" spans="1:3">
      <c r="A903" s="561">
        <v>19</v>
      </c>
      <c r="B903" s="562">
        <v>74</v>
      </c>
      <c r="C903" s="562">
        <v>290.00000000000006</v>
      </c>
    </row>
    <row r="904" spans="1:3">
      <c r="A904" s="561">
        <v>19</v>
      </c>
      <c r="B904" s="562">
        <v>95</v>
      </c>
      <c r="C904" s="562">
        <v>303.3</v>
      </c>
    </row>
    <row r="905" spans="1:3">
      <c r="A905" s="563">
        <v>19</v>
      </c>
      <c r="B905" s="564">
        <v>102</v>
      </c>
      <c r="C905" s="564">
        <v>300</v>
      </c>
    </row>
    <row r="906" spans="1:3">
      <c r="A906" s="563">
        <v>19</v>
      </c>
      <c r="B906" s="564">
        <v>110</v>
      </c>
      <c r="C906" s="564">
        <v>300</v>
      </c>
    </row>
    <row r="907" spans="1:3">
      <c r="A907" s="563">
        <v>19</v>
      </c>
      <c r="B907" s="564">
        <v>123</v>
      </c>
      <c r="C907" s="564">
        <v>276.7</v>
      </c>
    </row>
    <row r="908" spans="1:3">
      <c r="A908" s="563">
        <v>19</v>
      </c>
      <c r="B908" s="564">
        <v>130</v>
      </c>
      <c r="C908" s="564">
        <v>263.3</v>
      </c>
    </row>
    <row r="909" spans="1:3">
      <c r="A909" s="563">
        <v>19</v>
      </c>
      <c r="B909" s="564">
        <v>137</v>
      </c>
      <c r="C909" s="564">
        <v>266.7</v>
      </c>
    </row>
    <row r="910" spans="1:3">
      <c r="A910" s="563">
        <v>19</v>
      </c>
      <c r="B910" s="564">
        <v>144</v>
      </c>
      <c r="C910" s="564">
        <v>280</v>
      </c>
    </row>
    <row r="911" spans="1:3">
      <c r="A911" s="563">
        <v>19</v>
      </c>
      <c r="B911" s="564">
        <v>151</v>
      </c>
      <c r="C911" s="564">
        <v>300</v>
      </c>
    </row>
    <row r="912" spans="1:3">
      <c r="A912" s="563">
        <v>19</v>
      </c>
      <c r="B912" s="564">
        <v>158</v>
      </c>
      <c r="C912" s="564">
        <v>293.29999999999995</v>
      </c>
    </row>
    <row r="913" spans="1:3">
      <c r="A913" s="563">
        <v>19</v>
      </c>
      <c r="B913" s="564">
        <v>165</v>
      </c>
      <c r="C913" s="564">
        <v>290.00000000000006</v>
      </c>
    </row>
    <row r="914" spans="1:3">
      <c r="A914" s="563">
        <v>19</v>
      </c>
      <c r="B914" s="564">
        <v>172</v>
      </c>
      <c r="C914" s="564">
        <v>286.7</v>
      </c>
    </row>
    <row r="915" spans="1:3">
      <c r="A915" s="563">
        <v>19</v>
      </c>
      <c r="B915" s="564">
        <v>179</v>
      </c>
      <c r="C915" s="564">
        <v>296.7</v>
      </c>
    </row>
    <row r="916" spans="1:3">
      <c r="A916" s="563">
        <v>19</v>
      </c>
      <c r="B916" s="564">
        <v>240</v>
      </c>
      <c r="C916" s="564">
        <v>276.7</v>
      </c>
    </row>
    <row r="917" spans="1:3">
      <c r="A917" s="563">
        <v>19</v>
      </c>
      <c r="B917" s="564">
        <v>301</v>
      </c>
      <c r="C917" s="564">
        <v>313.29999999999995</v>
      </c>
    </row>
    <row r="918" spans="1:3">
      <c r="A918" s="563">
        <v>19</v>
      </c>
      <c r="B918" s="564">
        <v>363</v>
      </c>
      <c r="C918" s="564">
        <v>320</v>
      </c>
    </row>
    <row r="919" spans="1:3">
      <c r="A919" s="563">
        <v>19</v>
      </c>
      <c r="B919" s="564">
        <v>422</v>
      </c>
      <c r="C919" s="564">
        <v>320</v>
      </c>
    </row>
    <row r="920" spans="1:3">
      <c r="A920" s="563">
        <v>19</v>
      </c>
      <c r="B920" s="564">
        <v>483</v>
      </c>
      <c r="C920" s="564">
        <v>316.7</v>
      </c>
    </row>
    <row r="921" spans="1:3">
      <c r="A921" s="565">
        <v>19</v>
      </c>
      <c r="B921" s="566">
        <v>544</v>
      </c>
      <c r="C921" s="566">
        <v>320</v>
      </c>
    </row>
    <row r="922" spans="1:3">
      <c r="A922" s="565">
        <v>19</v>
      </c>
      <c r="B922" s="566">
        <v>605</v>
      </c>
      <c r="C922" s="566">
        <v>310</v>
      </c>
    </row>
    <row r="923" spans="1:3">
      <c r="A923" s="565">
        <v>19</v>
      </c>
      <c r="B923" s="566">
        <v>666</v>
      </c>
      <c r="C923" s="566">
        <v>316.7</v>
      </c>
    </row>
    <row r="924" spans="1:3">
      <c r="A924" s="565">
        <v>19</v>
      </c>
      <c r="B924" s="566">
        <v>728</v>
      </c>
      <c r="C924" s="566">
        <v>320</v>
      </c>
    </row>
    <row r="925" spans="1:3">
      <c r="A925" s="565">
        <v>19</v>
      </c>
      <c r="B925" s="566">
        <v>788</v>
      </c>
      <c r="C925" s="566">
        <v>313.29999999999995</v>
      </c>
    </row>
    <row r="926" spans="1:3">
      <c r="A926" s="565">
        <v>19</v>
      </c>
      <c r="B926" s="566">
        <v>1142</v>
      </c>
      <c r="C926" s="566">
        <v>340.00000000000006</v>
      </c>
    </row>
    <row r="927" spans="1:3">
      <c r="A927" s="565">
        <v>19</v>
      </c>
      <c r="B927" s="566">
        <v>1170</v>
      </c>
      <c r="C927" s="566">
        <v>318.89999999999998</v>
      </c>
    </row>
    <row r="928" spans="1:3">
      <c r="A928" s="565">
        <v>19</v>
      </c>
      <c r="B928" s="566">
        <v>1231</v>
      </c>
      <c r="C928" s="566">
        <v>335.59999999999997</v>
      </c>
    </row>
    <row r="929" spans="1:3">
      <c r="A929" s="565">
        <v>19</v>
      </c>
      <c r="B929" s="566">
        <v>1296</v>
      </c>
      <c r="C929" s="566">
        <v>330</v>
      </c>
    </row>
    <row r="930" spans="1:3">
      <c r="A930" s="565">
        <v>19</v>
      </c>
      <c r="B930" s="566">
        <v>1370</v>
      </c>
      <c r="C930" s="566">
        <v>333.90000000000003</v>
      </c>
    </row>
    <row r="931" spans="1:3">
      <c r="A931" s="565">
        <v>19</v>
      </c>
      <c r="B931" s="566">
        <v>1429</v>
      </c>
      <c r="C931" s="566">
        <v>326.7</v>
      </c>
    </row>
    <row r="932" spans="1:3">
      <c r="A932" s="565">
        <v>19</v>
      </c>
      <c r="B932" s="566">
        <v>1528</v>
      </c>
      <c r="C932" s="566">
        <v>322.2</v>
      </c>
    </row>
    <row r="933" spans="1:3">
      <c r="A933" s="565">
        <v>19</v>
      </c>
      <c r="B933" s="566">
        <v>1619</v>
      </c>
      <c r="C933" s="566">
        <v>307.8</v>
      </c>
    </row>
    <row r="934" spans="1:3">
      <c r="A934" s="565">
        <v>19</v>
      </c>
      <c r="B934" s="566">
        <v>1711</v>
      </c>
      <c r="C934" s="566">
        <v>302.20000000000005</v>
      </c>
    </row>
    <row r="935" spans="1:3">
      <c r="A935" s="565">
        <v>19</v>
      </c>
      <c r="B935" s="566">
        <v>1803</v>
      </c>
      <c r="C935" s="566">
        <v>300</v>
      </c>
    </row>
    <row r="936" spans="1:3">
      <c r="A936" s="565">
        <v>19</v>
      </c>
      <c r="B936" s="566">
        <v>1934</v>
      </c>
      <c r="C936" s="566">
        <v>308.89999999999998</v>
      </c>
    </row>
    <row r="937" spans="1:3">
      <c r="A937" s="565">
        <v>19</v>
      </c>
      <c r="B937" s="566">
        <v>2025</v>
      </c>
      <c r="C937" s="566">
        <v>312.20000000000005</v>
      </c>
    </row>
    <row r="938" spans="1:3">
      <c r="A938" s="565">
        <v>19</v>
      </c>
      <c r="B938" s="566">
        <v>2128</v>
      </c>
      <c r="C938" s="566">
        <v>308.89999999999998</v>
      </c>
    </row>
    <row r="939" spans="1:3">
      <c r="A939" s="565">
        <v>19</v>
      </c>
      <c r="B939" s="566">
        <v>2226</v>
      </c>
      <c r="C939" s="566">
        <v>304.39999999999998</v>
      </c>
    </row>
    <row r="940" spans="1:3">
      <c r="A940" s="565">
        <v>19</v>
      </c>
      <c r="B940" s="566">
        <v>2332</v>
      </c>
      <c r="C940" s="566">
        <v>308.89999999999998</v>
      </c>
    </row>
    <row r="941" spans="1:3">
      <c r="A941" s="565">
        <v>19</v>
      </c>
      <c r="B941" s="566">
        <v>2495</v>
      </c>
      <c r="C941" s="566">
        <v>320</v>
      </c>
    </row>
    <row r="942" spans="1:3">
      <c r="A942" s="565">
        <v>19</v>
      </c>
      <c r="B942" s="566">
        <v>2605</v>
      </c>
      <c r="C942" s="566">
        <v>306.7</v>
      </c>
    </row>
    <row r="943" spans="1:3">
      <c r="A943" s="565">
        <v>19</v>
      </c>
      <c r="B943" s="566">
        <v>2759</v>
      </c>
      <c r="C943" s="566">
        <v>303.3</v>
      </c>
    </row>
    <row r="944" spans="1:3">
      <c r="A944" s="565">
        <v>19</v>
      </c>
      <c r="B944" s="566">
        <v>2874</v>
      </c>
      <c r="C944" s="566">
        <v>310</v>
      </c>
    </row>
    <row r="945" spans="1:3">
      <c r="A945" s="565">
        <v>19</v>
      </c>
      <c r="B945" s="566">
        <v>2978</v>
      </c>
      <c r="C945" s="566">
        <v>310</v>
      </c>
    </row>
    <row r="946" spans="1:3">
      <c r="A946" s="565">
        <v>19</v>
      </c>
      <c r="B946" s="566">
        <v>3060</v>
      </c>
      <c r="C946" s="566">
        <v>310</v>
      </c>
    </row>
    <row r="947" spans="1:3">
      <c r="A947" s="565">
        <v>19</v>
      </c>
      <c r="B947" s="566">
        <v>3223</v>
      </c>
      <c r="C947" s="566">
        <v>314.40000000000003</v>
      </c>
    </row>
    <row r="948" spans="1:3">
      <c r="A948" s="561">
        <v>20</v>
      </c>
      <c r="B948" s="562">
        <v>0</v>
      </c>
      <c r="C948" s="562">
        <v>0</v>
      </c>
    </row>
    <row r="949" spans="1:3">
      <c r="A949" s="561">
        <v>20</v>
      </c>
      <c r="B949" s="562">
        <v>7</v>
      </c>
      <c r="C949" s="562">
        <v>43.3</v>
      </c>
    </row>
    <row r="950" spans="1:3">
      <c r="A950" s="561">
        <v>20</v>
      </c>
      <c r="B950" s="562">
        <v>15</v>
      </c>
      <c r="C950" s="562">
        <v>70</v>
      </c>
    </row>
    <row r="951" spans="1:3">
      <c r="A951" s="561">
        <v>20</v>
      </c>
      <c r="B951" s="562">
        <v>21</v>
      </c>
      <c r="C951" s="562">
        <v>126.70000000000002</v>
      </c>
    </row>
    <row r="952" spans="1:3">
      <c r="A952" s="561">
        <v>20</v>
      </c>
      <c r="B952" s="562">
        <v>29</v>
      </c>
      <c r="C952" s="562">
        <v>133.29999999999998</v>
      </c>
    </row>
    <row r="953" spans="1:3">
      <c r="A953" s="561">
        <v>20</v>
      </c>
      <c r="B953" s="562">
        <v>35</v>
      </c>
      <c r="C953" s="562">
        <v>156.69999999999999</v>
      </c>
    </row>
    <row r="954" spans="1:3">
      <c r="A954" s="561">
        <v>20</v>
      </c>
      <c r="B954" s="562">
        <v>53</v>
      </c>
      <c r="C954" s="562">
        <v>206.70000000000002</v>
      </c>
    </row>
    <row r="955" spans="1:3">
      <c r="A955" s="561">
        <v>20</v>
      </c>
      <c r="B955" s="562">
        <v>65</v>
      </c>
      <c r="C955" s="562">
        <v>206.70000000000002</v>
      </c>
    </row>
    <row r="956" spans="1:3">
      <c r="A956" s="561">
        <v>20</v>
      </c>
      <c r="B956" s="562">
        <v>86</v>
      </c>
      <c r="C956" s="562">
        <v>223.3</v>
      </c>
    </row>
    <row r="957" spans="1:3">
      <c r="A957" s="561">
        <v>20</v>
      </c>
      <c r="B957" s="562">
        <v>93</v>
      </c>
      <c r="C957" s="562">
        <v>203.29999999999998</v>
      </c>
    </row>
    <row r="958" spans="1:3">
      <c r="A958" s="563">
        <v>20</v>
      </c>
      <c r="B958" s="564">
        <v>102</v>
      </c>
      <c r="C958" s="564">
        <v>210</v>
      </c>
    </row>
    <row r="959" spans="1:3">
      <c r="A959" s="563">
        <v>20</v>
      </c>
      <c r="B959" s="564">
        <v>114</v>
      </c>
      <c r="C959" s="564">
        <v>196.70000000000002</v>
      </c>
    </row>
    <row r="960" spans="1:3">
      <c r="A960" s="563">
        <v>20</v>
      </c>
      <c r="B960" s="564">
        <v>121</v>
      </c>
      <c r="C960" s="564">
        <v>200</v>
      </c>
    </row>
    <row r="961" spans="1:3">
      <c r="A961" s="563">
        <v>20</v>
      </c>
      <c r="B961" s="564">
        <v>128</v>
      </c>
      <c r="C961" s="564">
        <v>206.70000000000002</v>
      </c>
    </row>
    <row r="962" spans="1:3">
      <c r="A962" s="563">
        <v>20</v>
      </c>
      <c r="B962" s="564">
        <v>135</v>
      </c>
      <c r="C962" s="564">
        <v>229.99999999999997</v>
      </c>
    </row>
    <row r="963" spans="1:3">
      <c r="A963" s="563">
        <v>20</v>
      </c>
      <c r="B963" s="564">
        <v>142</v>
      </c>
      <c r="C963" s="564">
        <v>243.30000000000004</v>
      </c>
    </row>
    <row r="964" spans="1:3">
      <c r="A964" s="563">
        <v>20</v>
      </c>
      <c r="B964" s="564">
        <v>149</v>
      </c>
      <c r="C964" s="564">
        <v>236.7</v>
      </c>
    </row>
    <row r="965" spans="1:3">
      <c r="A965" s="563">
        <v>20</v>
      </c>
      <c r="B965" s="564">
        <v>156</v>
      </c>
      <c r="C965" s="564">
        <v>236.7</v>
      </c>
    </row>
    <row r="966" spans="1:3">
      <c r="A966" s="563">
        <v>20</v>
      </c>
      <c r="B966" s="564">
        <v>163</v>
      </c>
      <c r="C966" s="564">
        <v>226.7</v>
      </c>
    </row>
    <row r="967" spans="1:3">
      <c r="A967" s="563">
        <v>20</v>
      </c>
      <c r="B967" s="564">
        <v>170</v>
      </c>
      <c r="C967" s="564">
        <v>226.7</v>
      </c>
    </row>
    <row r="968" spans="1:3">
      <c r="A968" s="563">
        <v>20</v>
      </c>
      <c r="B968" s="564">
        <v>177</v>
      </c>
      <c r="C968" s="564">
        <v>243.30000000000004</v>
      </c>
    </row>
    <row r="969" spans="1:3">
      <c r="A969" s="563">
        <v>20</v>
      </c>
      <c r="B969" s="564">
        <v>184</v>
      </c>
      <c r="C969" s="564">
        <v>226.7</v>
      </c>
    </row>
    <row r="970" spans="1:3">
      <c r="A970" s="563">
        <v>20</v>
      </c>
      <c r="B970" s="564">
        <v>191</v>
      </c>
      <c r="C970" s="564">
        <v>223.3</v>
      </c>
    </row>
    <row r="971" spans="1:3">
      <c r="A971" s="563">
        <v>20</v>
      </c>
      <c r="B971" s="564">
        <v>245</v>
      </c>
      <c r="C971" s="564">
        <v>236.7</v>
      </c>
    </row>
    <row r="972" spans="1:3">
      <c r="A972" s="563">
        <v>20</v>
      </c>
      <c r="B972" s="564">
        <v>306</v>
      </c>
      <c r="C972" s="564">
        <v>243.30000000000004</v>
      </c>
    </row>
    <row r="973" spans="1:3">
      <c r="A973" s="563">
        <v>20</v>
      </c>
      <c r="B973" s="564">
        <v>365</v>
      </c>
      <c r="C973" s="564">
        <v>243.30000000000004</v>
      </c>
    </row>
    <row r="974" spans="1:3">
      <c r="A974" s="563">
        <v>20</v>
      </c>
      <c r="B974" s="564">
        <v>426</v>
      </c>
      <c r="C974" s="564">
        <v>240</v>
      </c>
    </row>
    <row r="975" spans="1:3">
      <c r="A975" s="563">
        <v>20</v>
      </c>
      <c r="B975" s="564">
        <v>487</v>
      </c>
      <c r="C975" s="564">
        <v>240</v>
      </c>
    </row>
    <row r="976" spans="1:3">
      <c r="A976" s="565">
        <v>20</v>
      </c>
      <c r="B976" s="566">
        <v>549</v>
      </c>
      <c r="C976" s="566">
        <v>240</v>
      </c>
    </row>
    <row r="977" spans="1:3">
      <c r="A977" s="565">
        <v>20</v>
      </c>
      <c r="B977" s="566">
        <v>610</v>
      </c>
      <c r="C977" s="566">
        <v>216.7</v>
      </c>
    </row>
    <row r="978" spans="1:3">
      <c r="A978" s="565">
        <v>20</v>
      </c>
      <c r="B978" s="566">
        <v>671</v>
      </c>
      <c r="C978" s="566">
        <v>236.7</v>
      </c>
    </row>
    <row r="979" spans="1:3">
      <c r="A979" s="565">
        <v>20</v>
      </c>
      <c r="B979" s="566">
        <v>731</v>
      </c>
      <c r="C979" s="566">
        <v>233.3</v>
      </c>
    </row>
    <row r="980" spans="1:3">
      <c r="A980" s="565">
        <v>20</v>
      </c>
      <c r="B980" s="566">
        <v>1133</v>
      </c>
      <c r="C980" s="566">
        <v>268.89999999999998</v>
      </c>
    </row>
    <row r="981" spans="1:3">
      <c r="A981" s="565">
        <v>20</v>
      </c>
      <c r="B981" s="566">
        <v>1161</v>
      </c>
      <c r="C981" s="566">
        <v>244.4</v>
      </c>
    </row>
    <row r="982" spans="1:3">
      <c r="A982" s="565">
        <v>20</v>
      </c>
      <c r="B982" s="566">
        <v>1222</v>
      </c>
      <c r="C982" s="566">
        <v>258.89999999999998</v>
      </c>
    </row>
    <row r="983" spans="1:3">
      <c r="A983" s="565">
        <v>20</v>
      </c>
      <c r="B983" s="566">
        <v>1287</v>
      </c>
      <c r="C983" s="566">
        <v>253.29999999999998</v>
      </c>
    </row>
    <row r="984" spans="1:3">
      <c r="A984" s="565">
        <v>20</v>
      </c>
      <c r="B984" s="566">
        <v>1361</v>
      </c>
      <c r="C984" s="566">
        <v>271.09999999999997</v>
      </c>
    </row>
    <row r="985" spans="1:3">
      <c r="A985" s="565">
        <v>20</v>
      </c>
      <c r="B985" s="566">
        <v>1420</v>
      </c>
      <c r="C985" s="566">
        <v>265.60000000000002</v>
      </c>
    </row>
    <row r="986" spans="1:3">
      <c r="A986" s="565">
        <v>20</v>
      </c>
      <c r="B986" s="566">
        <v>1519</v>
      </c>
      <c r="C986" s="566">
        <v>262.2</v>
      </c>
    </row>
    <row r="987" spans="1:3">
      <c r="A987" s="565">
        <v>20</v>
      </c>
      <c r="B987" s="566">
        <v>1610</v>
      </c>
      <c r="C987" s="566">
        <v>256.7</v>
      </c>
    </row>
    <row r="988" spans="1:3">
      <c r="A988" s="565">
        <v>20</v>
      </c>
      <c r="B988" s="566">
        <v>1702</v>
      </c>
      <c r="C988" s="566">
        <v>271.09999999999997</v>
      </c>
    </row>
    <row r="989" spans="1:3">
      <c r="A989" s="565">
        <v>20</v>
      </c>
      <c r="B989" s="566">
        <v>1794</v>
      </c>
      <c r="C989" s="566">
        <v>267.8</v>
      </c>
    </row>
    <row r="990" spans="1:3">
      <c r="A990" s="565">
        <v>20</v>
      </c>
      <c r="B990" s="566">
        <v>1925</v>
      </c>
      <c r="C990" s="566">
        <v>273.3</v>
      </c>
    </row>
    <row r="991" spans="1:3">
      <c r="A991" s="565">
        <v>20</v>
      </c>
      <c r="B991" s="566">
        <v>2016</v>
      </c>
      <c r="C991" s="566">
        <v>271.09999999999997</v>
      </c>
    </row>
    <row r="992" spans="1:3">
      <c r="A992" s="565">
        <v>20</v>
      </c>
      <c r="B992" s="566">
        <v>2119</v>
      </c>
      <c r="C992" s="566">
        <v>270</v>
      </c>
    </row>
    <row r="993" spans="1:3">
      <c r="A993" s="565">
        <v>20</v>
      </c>
      <c r="B993" s="566">
        <v>2217</v>
      </c>
      <c r="C993" s="566">
        <v>267.8</v>
      </c>
    </row>
    <row r="994" spans="1:3">
      <c r="A994" s="565">
        <v>20</v>
      </c>
      <c r="B994" s="566">
        <v>2323</v>
      </c>
      <c r="C994" s="566">
        <v>266.7</v>
      </c>
    </row>
    <row r="995" spans="1:3">
      <c r="A995" s="565">
        <v>20</v>
      </c>
      <c r="B995" s="566">
        <v>2486</v>
      </c>
      <c r="C995" s="566">
        <v>256.7</v>
      </c>
    </row>
    <row r="996" spans="1:3">
      <c r="A996" s="565">
        <v>20</v>
      </c>
      <c r="B996" s="566">
        <v>2596</v>
      </c>
      <c r="C996" s="566">
        <v>253.29999999999998</v>
      </c>
    </row>
    <row r="997" spans="1:3">
      <c r="A997" s="565">
        <v>20</v>
      </c>
      <c r="B997" s="566">
        <v>2750</v>
      </c>
      <c r="C997" s="566">
        <v>263.3</v>
      </c>
    </row>
    <row r="998" spans="1:3">
      <c r="A998" s="565">
        <v>20</v>
      </c>
      <c r="B998" s="566">
        <v>2865</v>
      </c>
      <c r="C998" s="566">
        <v>267.8</v>
      </c>
    </row>
    <row r="999" spans="1:3">
      <c r="A999" s="565">
        <v>20</v>
      </c>
      <c r="B999" s="566">
        <v>2969</v>
      </c>
      <c r="C999" s="566">
        <v>267.8</v>
      </c>
    </row>
    <row r="1000" spans="1:3">
      <c r="A1000" s="565">
        <v>20</v>
      </c>
      <c r="B1000" s="566">
        <v>3051</v>
      </c>
      <c r="C1000" s="566">
        <v>267.8</v>
      </c>
    </row>
    <row r="1001" spans="1:3">
      <c r="A1001" s="565">
        <v>20</v>
      </c>
      <c r="B1001" s="566">
        <v>3214</v>
      </c>
      <c r="C1001" s="566">
        <v>267.8</v>
      </c>
    </row>
    <row r="1002" spans="1:3">
      <c r="A1002" s="561">
        <v>21</v>
      </c>
      <c r="B1002" s="562">
        <v>0</v>
      </c>
      <c r="C1002" s="562">
        <v>0</v>
      </c>
    </row>
    <row r="1003" spans="1:3">
      <c r="A1003" s="561">
        <v>21</v>
      </c>
      <c r="B1003" s="562">
        <v>7</v>
      </c>
      <c r="C1003" s="562">
        <v>30</v>
      </c>
    </row>
    <row r="1004" spans="1:3">
      <c r="A1004" s="561">
        <v>21</v>
      </c>
      <c r="B1004" s="562">
        <v>15</v>
      </c>
      <c r="C1004" s="562">
        <v>66.699999999999989</v>
      </c>
    </row>
    <row r="1005" spans="1:3">
      <c r="A1005" s="561">
        <v>21</v>
      </c>
      <c r="B1005" s="562">
        <v>21</v>
      </c>
      <c r="C1005" s="562">
        <v>100</v>
      </c>
    </row>
    <row r="1006" spans="1:3">
      <c r="A1006" s="561">
        <v>21</v>
      </c>
      <c r="B1006" s="562">
        <v>29</v>
      </c>
      <c r="C1006" s="562">
        <v>109.99999999999999</v>
      </c>
    </row>
    <row r="1007" spans="1:3">
      <c r="A1007" s="561">
        <v>21</v>
      </c>
      <c r="B1007" s="562">
        <v>35</v>
      </c>
      <c r="C1007" s="562">
        <v>133.29999999999998</v>
      </c>
    </row>
    <row r="1008" spans="1:3">
      <c r="A1008" s="561">
        <v>21</v>
      </c>
      <c r="B1008" s="562">
        <v>53</v>
      </c>
      <c r="C1008" s="562">
        <v>176.70000000000002</v>
      </c>
    </row>
    <row r="1009" spans="1:3">
      <c r="A1009" s="561">
        <v>21</v>
      </c>
      <c r="B1009" s="562">
        <v>65</v>
      </c>
      <c r="C1009" s="562">
        <v>173.3</v>
      </c>
    </row>
    <row r="1010" spans="1:3">
      <c r="A1010" s="561">
        <v>21</v>
      </c>
      <c r="B1010" s="562">
        <v>86</v>
      </c>
      <c r="C1010" s="562">
        <v>186.7</v>
      </c>
    </row>
    <row r="1011" spans="1:3">
      <c r="A1011" s="561">
        <v>21</v>
      </c>
      <c r="B1011" s="562">
        <v>93</v>
      </c>
      <c r="C1011" s="562">
        <v>170.00000000000003</v>
      </c>
    </row>
    <row r="1012" spans="1:3">
      <c r="A1012" s="563">
        <v>21</v>
      </c>
      <c r="B1012" s="564">
        <v>102</v>
      </c>
      <c r="C1012" s="564">
        <v>173.3</v>
      </c>
    </row>
    <row r="1013" spans="1:3">
      <c r="A1013" s="563">
        <v>21</v>
      </c>
      <c r="B1013" s="564">
        <v>114</v>
      </c>
      <c r="C1013" s="564">
        <v>156.69999999999999</v>
      </c>
    </row>
    <row r="1014" spans="1:3">
      <c r="A1014" s="563">
        <v>21</v>
      </c>
      <c r="B1014" s="564">
        <v>121</v>
      </c>
      <c r="C1014" s="564">
        <v>176.70000000000002</v>
      </c>
    </row>
    <row r="1015" spans="1:3">
      <c r="A1015" s="563">
        <v>21</v>
      </c>
      <c r="B1015" s="564">
        <v>128</v>
      </c>
      <c r="C1015" s="564">
        <v>176.70000000000002</v>
      </c>
    </row>
    <row r="1016" spans="1:3">
      <c r="A1016" s="563">
        <v>21</v>
      </c>
      <c r="B1016" s="564">
        <v>135</v>
      </c>
      <c r="C1016" s="564">
        <v>196.70000000000002</v>
      </c>
    </row>
    <row r="1017" spans="1:3">
      <c r="A1017" s="563">
        <v>21</v>
      </c>
      <c r="B1017" s="564">
        <v>142</v>
      </c>
      <c r="C1017" s="564">
        <v>206.70000000000002</v>
      </c>
    </row>
    <row r="1018" spans="1:3">
      <c r="A1018" s="563">
        <v>21</v>
      </c>
      <c r="B1018" s="564">
        <v>149</v>
      </c>
      <c r="C1018" s="564">
        <v>206.70000000000002</v>
      </c>
    </row>
    <row r="1019" spans="1:3">
      <c r="A1019" s="563">
        <v>21</v>
      </c>
      <c r="B1019" s="564">
        <v>156</v>
      </c>
      <c r="C1019" s="564">
        <v>206.70000000000002</v>
      </c>
    </row>
    <row r="1020" spans="1:3">
      <c r="A1020" s="563">
        <v>21</v>
      </c>
      <c r="B1020" s="564">
        <v>163</v>
      </c>
      <c r="C1020" s="564">
        <v>196.70000000000002</v>
      </c>
    </row>
    <row r="1021" spans="1:3">
      <c r="A1021" s="563">
        <v>21</v>
      </c>
      <c r="B1021" s="564">
        <v>170</v>
      </c>
      <c r="C1021" s="564">
        <v>200</v>
      </c>
    </row>
    <row r="1022" spans="1:3">
      <c r="A1022" s="563">
        <v>21</v>
      </c>
      <c r="B1022" s="564">
        <v>177</v>
      </c>
      <c r="C1022" s="564">
        <v>210</v>
      </c>
    </row>
    <row r="1023" spans="1:3">
      <c r="A1023" s="563">
        <v>21</v>
      </c>
      <c r="B1023" s="564">
        <v>184</v>
      </c>
      <c r="C1023" s="564">
        <v>196.70000000000002</v>
      </c>
    </row>
    <row r="1024" spans="1:3">
      <c r="A1024" s="563">
        <v>21</v>
      </c>
      <c r="B1024" s="564">
        <v>191</v>
      </c>
      <c r="C1024" s="564">
        <v>200</v>
      </c>
    </row>
    <row r="1025" spans="1:3">
      <c r="A1025" s="563">
        <v>21</v>
      </c>
      <c r="B1025" s="564">
        <v>245</v>
      </c>
      <c r="C1025" s="564">
        <v>203.29999999999998</v>
      </c>
    </row>
    <row r="1026" spans="1:3">
      <c r="A1026" s="563">
        <v>21</v>
      </c>
      <c r="B1026" s="564">
        <v>306</v>
      </c>
      <c r="C1026" s="564">
        <v>203.29999999999998</v>
      </c>
    </row>
    <row r="1027" spans="1:3">
      <c r="A1027" s="563">
        <v>21</v>
      </c>
      <c r="B1027" s="564">
        <v>365</v>
      </c>
      <c r="C1027" s="564">
        <v>213.3</v>
      </c>
    </row>
    <row r="1028" spans="1:3">
      <c r="A1028" s="563">
        <v>21</v>
      </c>
      <c r="B1028" s="564">
        <v>426</v>
      </c>
      <c r="C1028" s="564">
        <v>223.3</v>
      </c>
    </row>
    <row r="1029" spans="1:3">
      <c r="A1029" s="563">
        <v>21</v>
      </c>
      <c r="B1029" s="564">
        <v>487</v>
      </c>
      <c r="C1029" s="564">
        <v>210</v>
      </c>
    </row>
    <row r="1030" spans="1:3">
      <c r="A1030" s="565">
        <v>21</v>
      </c>
      <c r="B1030" s="566">
        <v>549</v>
      </c>
      <c r="C1030" s="566">
        <v>216.7</v>
      </c>
    </row>
    <row r="1031" spans="1:3">
      <c r="A1031" s="565">
        <v>21</v>
      </c>
      <c r="B1031" s="566">
        <v>610</v>
      </c>
      <c r="C1031" s="566">
        <v>219.99999999999997</v>
      </c>
    </row>
    <row r="1032" spans="1:3">
      <c r="A1032" s="565">
        <v>21</v>
      </c>
      <c r="B1032" s="566">
        <v>671</v>
      </c>
      <c r="C1032" s="566">
        <v>203.29999999999998</v>
      </c>
    </row>
    <row r="1033" spans="1:3">
      <c r="A1033" s="565">
        <v>21</v>
      </c>
      <c r="B1033" s="566">
        <v>731</v>
      </c>
      <c r="C1033" s="566">
        <v>223.3</v>
      </c>
    </row>
    <row r="1034" spans="1:3">
      <c r="A1034" s="565">
        <v>21</v>
      </c>
      <c r="B1034" s="566">
        <v>1133</v>
      </c>
      <c r="C1034" s="566">
        <v>215.60000000000002</v>
      </c>
    </row>
    <row r="1035" spans="1:3">
      <c r="A1035" s="565">
        <v>21</v>
      </c>
      <c r="B1035" s="566">
        <v>1161</v>
      </c>
      <c r="C1035" s="566">
        <v>213.3</v>
      </c>
    </row>
    <row r="1036" spans="1:3">
      <c r="A1036" s="565">
        <v>21</v>
      </c>
      <c r="B1036" s="566">
        <v>1222</v>
      </c>
      <c r="C1036" s="566">
        <v>218.9</v>
      </c>
    </row>
    <row r="1037" spans="1:3">
      <c r="A1037" s="565">
        <v>21</v>
      </c>
      <c r="B1037" s="566">
        <v>1287</v>
      </c>
      <c r="C1037" s="566">
        <v>213.3</v>
      </c>
    </row>
    <row r="1038" spans="1:3">
      <c r="A1038" s="565">
        <v>21</v>
      </c>
      <c r="B1038" s="566">
        <v>1361</v>
      </c>
      <c r="C1038" s="566">
        <v>214.4</v>
      </c>
    </row>
    <row r="1039" spans="1:3">
      <c r="A1039" s="565">
        <v>21</v>
      </c>
      <c r="B1039" s="566">
        <v>1420</v>
      </c>
      <c r="C1039" s="566">
        <v>214.4</v>
      </c>
    </row>
    <row r="1040" spans="1:3">
      <c r="A1040" s="565">
        <v>21</v>
      </c>
      <c r="B1040" s="566">
        <v>1519</v>
      </c>
      <c r="C1040" s="566">
        <v>225.60000000000002</v>
      </c>
    </row>
    <row r="1041" spans="1:3">
      <c r="A1041" s="565">
        <v>21</v>
      </c>
      <c r="B1041" s="566">
        <v>1610</v>
      </c>
      <c r="C1041" s="566">
        <v>231.1</v>
      </c>
    </row>
    <row r="1042" spans="1:3">
      <c r="A1042" s="565">
        <v>21</v>
      </c>
      <c r="B1042" s="566">
        <v>1702</v>
      </c>
      <c r="C1042" s="566">
        <v>237.8</v>
      </c>
    </row>
    <row r="1043" spans="1:3">
      <c r="A1043" s="565">
        <v>21</v>
      </c>
      <c r="B1043" s="566">
        <v>1794</v>
      </c>
      <c r="C1043" s="566">
        <v>232.20000000000002</v>
      </c>
    </row>
    <row r="1044" spans="1:3">
      <c r="A1044" s="565">
        <v>21</v>
      </c>
      <c r="B1044" s="566">
        <v>1925</v>
      </c>
      <c r="C1044" s="566">
        <v>231.1</v>
      </c>
    </row>
    <row r="1045" spans="1:3">
      <c r="A1045" s="565">
        <v>21</v>
      </c>
      <c r="B1045" s="566">
        <v>2016</v>
      </c>
      <c r="C1045" s="566">
        <v>234.39999999999998</v>
      </c>
    </row>
    <row r="1046" spans="1:3">
      <c r="A1046" s="565">
        <v>21</v>
      </c>
      <c r="B1046" s="566">
        <v>2119</v>
      </c>
      <c r="C1046" s="566">
        <v>237.8</v>
      </c>
    </row>
    <row r="1047" spans="1:3">
      <c r="A1047" s="565">
        <v>21</v>
      </c>
      <c r="B1047" s="566">
        <v>2217</v>
      </c>
      <c r="C1047" s="566">
        <v>240</v>
      </c>
    </row>
    <row r="1048" spans="1:3">
      <c r="A1048" s="565">
        <v>21</v>
      </c>
      <c r="B1048" s="566">
        <v>2323</v>
      </c>
      <c r="C1048" s="566">
        <v>241.1</v>
      </c>
    </row>
    <row r="1049" spans="1:3">
      <c r="A1049" s="565">
        <v>21</v>
      </c>
      <c r="B1049" s="566">
        <v>2486</v>
      </c>
      <c r="C1049" s="566">
        <v>240</v>
      </c>
    </row>
    <row r="1050" spans="1:3">
      <c r="A1050" s="565">
        <v>21</v>
      </c>
      <c r="B1050" s="566">
        <v>2596</v>
      </c>
      <c r="C1050" s="566">
        <v>233.3</v>
      </c>
    </row>
    <row r="1051" spans="1:3">
      <c r="A1051" s="565">
        <v>21</v>
      </c>
      <c r="B1051" s="566">
        <v>2750</v>
      </c>
      <c r="C1051" s="566">
        <v>226.7</v>
      </c>
    </row>
    <row r="1052" spans="1:3">
      <c r="A1052" s="565">
        <v>21</v>
      </c>
      <c r="B1052" s="566">
        <v>2865</v>
      </c>
      <c r="C1052" s="566">
        <v>228.9</v>
      </c>
    </row>
    <row r="1053" spans="1:3">
      <c r="A1053" s="565">
        <v>21</v>
      </c>
      <c r="B1053" s="566">
        <v>2969</v>
      </c>
      <c r="C1053" s="566">
        <v>228.9</v>
      </c>
    </row>
    <row r="1054" spans="1:3">
      <c r="A1054" s="565">
        <v>21</v>
      </c>
      <c r="B1054" s="566">
        <v>3051</v>
      </c>
      <c r="C1054" s="566">
        <v>228.9</v>
      </c>
    </row>
    <row r="1055" spans="1:3">
      <c r="A1055" s="565">
        <v>21</v>
      </c>
      <c r="B1055" s="566">
        <v>3214</v>
      </c>
      <c r="C1055" s="566">
        <v>226.7</v>
      </c>
    </row>
    <row r="1056" spans="1:3">
      <c r="A1056" s="565">
        <v>21</v>
      </c>
      <c r="B1056" s="566">
        <v>3300</v>
      </c>
      <c r="C1056" s="566">
        <v>231.1</v>
      </c>
    </row>
    <row r="1057" spans="1:3">
      <c r="A1057" s="561">
        <v>22</v>
      </c>
      <c r="B1057" s="562">
        <v>0</v>
      </c>
      <c r="C1057" s="562">
        <v>0</v>
      </c>
    </row>
    <row r="1058" spans="1:3">
      <c r="A1058" s="561">
        <v>22</v>
      </c>
      <c r="B1058" s="562">
        <v>8</v>
      </c>
      <c r="C1058" s="562">
        <v>53.29999999999999</v>
      </c>
    </row>
    <row r="1059" spans="1:3">
      <c r="A1059" s="561">
        <v>22</v>
      </c>
      <c r="B1059" s="562">
        <v>15</v>
      </c>
      <c r="C1059" s="562">
        <v>76.7</v>
      </c>
    </row>
    <row r="1060" spans="1:3">
      <c r="A1060" s="561">
        <v>22</v>
      </c>
      <c r="B1060" s="562">
        <v>22</v>
      </c>
      <c r="C1060" s="562">
        <v>93.3</v>
      </c>
    </row>
    <row r="1061" spans="1:3">
      <c r="A1061" s="561">
        <v>22</v>
      </c>
      <c r="B1061" s="562">
        <v>28</v>
      </c>
      <c r="C1061" s="562">
        <v>116.7</v>
      </c>
    </row>
    <row r="1062" spans="1:3">
      <c r="A1062" s="561">
        <v>22</v>
      </c>
      <c r="B1062" s="562">
        <v>33</v>
      </c>
      <c r="C1062" s="562">
        <v>113.3</v>
      </c>
    </row>
    <row r="1063" spans="1:3">
      <c r="A1063" s="561">
        <v>22</v>
      </c>
      <c r="B1063" s="562">
        <v>49</v>
      </c>
      <c r="C1063" s="562">
        <v>176.70000000000002</v>
      </c>
    </row>
    <row r="1064" spans="1:3">
      <c r="A1064" s="561">
        <v>22</v>
      </c>
      <c r="B1064" s="562">
        <v>61</v>
      </c>
      <c r="C1064" s="562">
        <v>156.69999999999999</v>
      </c>
    </row>
    <row r="1065" spans="1:3">
      <c r="A1065" s="561">
        <v>22</v>
      </c>
      <c r="B1065" s="562">
        <v>82</v>
      </c>
      <c r="C1065" s="562">
        <v>196.70000000000002</v>
      </c>
    </row>
    <row r="1066" spans="1:3">
      <c r="A1066" s="561">
        <v>22</v>
      </c>
      <c r="B1066" s="562">
        <v>89</v>
      </c>
      <c r="C1066" s="562">
        <v>183.29999999999998</v>
      </c>
    </row>
    <row r="1067" spans="1:3">
      <c r="A1067" s="561">
        <v>22</v>
      </c>
      <c r="B1067" s="562">
        <v>97</v>
      </c>
      <c r="C1067" s="562">
        <v>186.7</v>
      </c>
    </row>
    <row r="1068" spans="1:3">
      <c r="A1068" s="563">
        <v>22</v>
      </c>
      <c r="B1068" s="564">
        <v>110</v>
      </c>
      <c r="C1068" s="564">
        <v>170.00000000000003</v>
      </c>
    </row>
    <row r="1069" spans="1:3">
      <c r="A1069" s="563">
        <v>22</v>
      </c>
      <c r="B1069" s="564">
        <v>117</v>
      </c>
      <c r="C1069" s="564">
        <v>176.70000000000002</v>
      </c>
    </row>
    <row r="1070" spans="1:3">
      <c r="A1070" s="563">
        <v>22</v>
      </c>
      <c r="B1070" s="564">
        <v>124</v>
      </c>
      <c r="C1070" s="564">
        <v>176.70000000000002</v>
      </c>
    </row>
    <row r="1071" spans="1:3">
      <c r="A1071" s="563">
        <v>22</v>
      </c>
      <c r="B1071" s="564">
        <v>131</v>
      </c>
      <c r="C1071" s="564">
        <v>196.70000000000002</v>
      </c>
    </row>
    <row r="1072" spans="1:3">
      <c r="A1072" s="563">
        <v>22</v>
      </c>
      <c r="B1072" s="564">
        <v>138</v>
      </c>
      <c r="C1072" s="564">
        <v>196.70000000000002</v>
      </c>
    </row>
    <row r="1073" spans="1:3">
      <c r="A1073" s="563">
        <v>22</v>
      </c>
      <c r="B1073" s="564">
        <v>145</v>
      </c>
      <c r="C1073" s="564">
        <v>200</v>
      </c>
    </row>
    <row r="1074" spans="1:3">
      <c r="A1074" s="563">
        <v>22</v>
      </c>
      <c r="B1074" s="564">
        <v>152</v>
      </c>
      <c r="C1074" s="564">
        <v>196.70000000000002</v>
      </c>
    </row>
    <row r="1075" spans="1:3">
      <c r="A1075" s="563">
        <v>22</v>
      </c>
      <c r="B1075" s="564">
        <v>159</v>
      </c>
      <c r="C1075" s="564">
        <v>179.99999999999997</v>
      </c>
    </row>
    <row r="1076" spans="1:3">
      <c r="A1076" s="563">
        <v>22</v>
      </c>
      <c r="B1076" s="564">
        <v>166</v>
      </c>
      <c r="C1076" s="564">
        <v>186.7</v>
      </c>
    </row>
    <row r="1077" spans="1:3">
      <c r="A1077" s="563">
        <v>22</v>
      </c>
      <c r="B1077" s="564">
        <v>173</v>
      </c>
      <c r="C1077" s="564">
        <v>203.29999999999998</v>
      </c>
    </row>
    <row r="1078" spans="1:3">
      <c r="A1078" s="563">
        <v>22</v>
      </c>
      <c r="B1078" s="564">
        <v>180</v>
      </c>
      <c r="C1078" s="564">
        <v>186.7</v>
      </c>
    </row>
    <row r="1079" spans="1:3">
      <c r="A1079" s="563">
        <v>22</v>
      </c>
      <c r="B1079" s="564">
        <v>187</v>
      </c>
      <c r="C1079" s="564">
        <v>190</v>
      </c>
    </row>
    <row r="1080" spans="1:3">
      <c r="A1080" s="563">
        <v>22</v>
      </c>
      <c r="B1080" s="564">
        <v>243</v>
      </c>
      <c r="C1080" s="564">
        <v>200</v>
      </c>
    </row>
    <row r="1081" spans="1:3">
      <c r="A1081" s="563">
        <v>22</v>
      </c>
      <c r="B1081" s="564">
        <v>304</v>
      </c>
      <c r="C1081" s="564">
        <v>210</v>
      </c>
    </row>
    <row r="1082" spans="1:3">
      <c r="A1082" s="563">
        <v>22</v>
      </c>
      <c r="B1082" s="564">
        <v>363</v>
      </c>
      <c r="C1082" s="564">
        <v>210</v>
      </c>
    </row>
    <row r="1083" spans="1:3">
      <c r="A1083" s="563">
        <v>22</v>
      </c>
      <c r="B1083" s="564">
        <v>424</v>
      </c>
      <c r="C1083" s="564">
        <v>216.7</v>
      </c>
    </row>
    <row r="1084" spans="1:3">
      <c r="A1084" s="563">
        <v>22</v>
      </c>
      <c r="B1084" s="564">
        <v>485</v>
      </c>
      <c r="C1084" s="564">
        <v>213.3</v>
      </c>
    </row>
    <row r="1085" spans="1:3">
      <c r="A1085" s="565">
        <v>22</v>
      </c>
      <c r="B1085" s="566">
        <v>547</v>
      </c>
      <c r="C1085" s="566">
        <v>193.3</v>
      </c>
    </row>
    <row r="1086" spans="1:3">
      <c r="A1086" s="565">
        <v>22</v>
      </c>
      <c r="B1086" s="566">
        <v>608</v>
      </c>
      <c r="C1086" s="566">
        <v>206.70000000000002</v>
      </c>
    </row>
    <row r="1087" spans="1:3">
      <c r="A1087" s="565">
        <v>22</v>
      </c>
      <c r="B1087" s="566">
        <v>669</v>
      </c>
      <c r="C1087" s="566">
        <v>200</v>
      </c>
    </row>
    <row r="1088" spans="1:3">
      <c r="A1088" s="565">
        <v>22</v>
      </c>
      <c r="B1088" s="566">
        <v>729</v>
      </c>
      <c r="C1088" s="566">
        <v>210</v>
      </c>
    </row>
    <row r="1089" spans="1:3">
      <c r="A1089" s="565">
        <v>22</v>
      </c>
      <c r="B1089" s="566">
        <v>1131</v>
      </c>
      <c r="C1089" s="566">
        <v>205.6</v>
      </c>
    </row>
    <row r="1090" spans="1:3">
      <c r="A1090" s="565">
        <v>22</v>
      </c>
      <c r="B1090" s="566">
        <v>1159</v>
      </c>
      <c r="C1090" s="566">
        <v>217.44</v>
      </c>
    </row>
    <row r="1091" spans="1:3">
      <c r="A1091" s="565">
        <v>22</v>
      </c>
      <c r="B1091" s="566">
        <v>1220</v>
      </c>
      <c r="C1091" s="566">
        <v>222.2</v>
      </c>
    </row>
    <row r="1092" spans="1:3">
      <c r="A1092" s="565">
        <v>22</v>
      </c>
      <c r="B1092" s="566">
        <v>1285</v>
      </c>
      <c r="C1092" s="566">
        <v>223.3</v>
      </c>
    </row>
    <row r="1093" spans="1:3">
      <c r="A1093" s="565">
        <v>22</v>
      </c>
      <c r="B1093" s="566">
        <v>1359</v>
      </c>
      <c r="C1093" s="566">
        <v>215.60000000000002</v>
      </c>
    </row>
    <row r="1094" spans="1:3">
      <c r="A1094" s="565">
        <v>22</v>
      </c>
      <c r="B1094" s="566">
        <v>1418</v>
      </c>
      <c r="C1094" s="566">
        <v>221.10000000000002</v>
      </c>
    </row>
    <row r="1095" spans="1:3">
      <c r="A1095" s="565">
        <v>22</v>
      </c>
      <c r="B1095" s="566">
        <v>1517</v>
      </c>
      <c r="C1095" s="566">
        <v>216.7</v>
      </c>
    </row>
    <row r="1096" spans="1:3">
      <c r="A1096" s="565">
        <v>22</v>
      </c>
      <c r="B1096" s="566">
        <v>1608</v>
      </c>
      <c r="C1096" s="566">
        <v>213.3</v>
      </c>
    </row>
    <row r="1097" spans="1:3">
      <c r="A1097" s="565">
        <v>22</v>
      </c>
      <c r="B1097" s="566">
        <v>1700</v>
      </c>
      <c r="C1097" s="566">
        <v>218.9</v>
      </c>
    </row>
    <row r="1098" spans="1:3">
      <c r="A1098" s="565">
        <v>22</v>
      </c>
      <c r="B1098" s="566">
        <v>1792</v>
      </c>
      <c r="C1098" s="566">
        <v>221.10000000000002</v>
      </c>
    </row>
    <row r="1099" spans="1:3">
      <c r="A1099" s="565">
        <v>22</v>
      </c>
      <c r="B1099" s="566">
        <v>1923</v>
      </c>
      <c r="C1099" s="566">
        <v>213.3</v>
      </c>
    </row>
    <row r="1100" spans="1:3">
      <c r="A1100" s="565">
        <v>22</v>
      </c>
      <c r="B1100" s="566">
        <v>2014</v>
      </c>
      <c r="C1100" s="566">
        <v>226.7</v>
      </c>
    </row>
    <row r="1101" spans="1:3">
      <c r="A1101" s="565">
        <v>22</v>
      </c>
      <c r="B1101" s="566">
        <v>2117</v>
      </c>
      <c r="C1101" s="566">
        <v>229.99999999999997</v>
      </c>
    </row>
    <row r="1102" spans="1:3">
      <c r="A1102" s="565">
        <v>22</v>
      </c>
      <c r="B1102" s="566">
        <v>2215</v>
      </c>
      <c r="C1102" s="566">
        <v>228.9</v>
      </c>
    </row>
    <row r="1103" spans="1:3">
      <c r="A1103" s="565">
        <v>22</v>
      </c>
      <c r="B1103" s="566">
        <v>2321</v>
      </c>
      <c r="C1103" s="566">
        <v>225.60000000000002</v>
      </c>
    </row>
    <row r="1104" spans="1:3">
      <c r="A1104" s="565">
        <v>22</v>
      </c>
      <c r="B1104" s="566">
        <v>2484</v>
      </c>
      <c r="C1104" s="566">
        <v>226.7</v>
      </c>
    </row>
    <row r="1105" spans="1:3">
      <c r="A1105" s="565">
        <v>22</v>
      </c>
      <c r="B1105" s="566">
        <v>2594</v>
      </c>
      <c r="C1105" s="566">
        <v>226.7</v>
      </c>
    </row>
    <row r="1106" spans="1:3">
      <c r="A1106" s="565">
        <v>22</v>
      </c>
      <c r="B1106" s="566">
        <v>2748</v>
      </c>
      <c r="C1106" s="566">
        <v>226.7</v>
      </c>
    </row>
    <row r="1107" spans="1:3">
      <c r="A1107" s="565">
        <v>22</v>
      </c>
      <c r="B1107" s="566">
        <v>2863</v>
      </c>
      <c r="C1107" s="566">
        <v>212.2</v>
      </c>
    </row>
    <row r="1108" spans="1:3">
      <c r="A1108" s="565">
        <v>22</v>
      </c>
      <c r="B1108" s="566">
        <v>2967</v>
      </c>
      <c r="C1108" s="566">
        <v>212.2</v>
      </c>
    </row>
    <row r="1109" spans="1:3">
      <c r="A1109" s="565">
        <v>22</v>
      </c>
      <c r="B1109" s="566">
        <v>3049</v>
      </c>
      <c r="C1109" s="566">
        <v>212.2</v>
      </c>
    </row>
    <row r="1110" spans="1:3">
      <c r="A1110" s="565">
        <v>22</v>
      </c>
      <c r="B1110" s="566">
        <v>3212</v>
      </c>
      <c r="C1110" s="566">
        <v>211.10000000000002</v>
      </c>
    </row>
    <row r="1111" spans="1:3">
      <c r="A1111" s="565">
        <v>22</v>
      </c>
      <c r="B1111" s="566">
        <v>3298</v>
      </c>
      <c r="C1111" s="566">
        <v>206.70000000000002</v>
      </c>
    </row>
    <row r="1112" spans="1:3">
      <c r="A1112" s="561">
        <v>23</v>
      </c>
      <c r="B1112" s="562">
        <v>0</v>
      </c>
      <c r="C1112" s="562">
        <v>0</v>
      </c>
    </row>
    <row r="1113" spans="1:3">
      <c r="A1113" s="561">
        <v>23</v>
      </c>
      <c r="B1113" s="562">
        <v>8</v>
      </c>
      <c r="C1113" s="562">
        <v>203.29999999999998</v>
      </c>
    </row>
    <row r="1114" spans="1:3">
      <c r="A1114" s="561">
        <v>23</v>
      </c>
      <c r="B1114" s="562">
        <v>14</v>
      </c>
      <c r="C1114" s="562">
        <v>273.3</v>
      </c>
    </row>
    <row r="1115" spans="1:3">
      <c r="A1115" s="561">
        <v>23</v>
      </c>
      <c r="B1115" s="562">
        <v>22</v>
      </c>
      <c r="C1115" s="562">
        <v>296.7</v>
      </c>
    </row>
    <row r="1116" spans="1:3">
      <c r="A1116" s="561">
        <v>23</v>
      </c>
      <c r="B1116" s="562">
        <v>28</v>
      </c>
      <c r="C1116" s="562">
        <v>359.99999999999994</v>
      </c>
    </row>
    <row r="1117" spans="1:3">
      <c r="A1117" s="561">
        <v>23</v>
      </c>
      <c r="B1117" s="562">
        <v>46</v>
      </c>
      <c r="C1117" s="562">
        <v>400</v>
      </c>
    </row>
    <row r="1118" spans="1:3">
      <c r="A1118" s="561">
        <v>23</v>
      </c>
      <c r="B1118" s="562">
        <v>58</v>
      </c>
      <c r="C1118" s="562">
        <v>426.70000000000005</v>
      </c>
    </row>
    <row r="1119" spans="1:3">
      <c r="A1119" s="561">
        <v>23</v>
      </c>
      <c r="B1119" s="562">
        <v>79</v>
      </c>
      <c r="C1119" s="562">
        <v>416.7</v>
      </c>
    </row>
    <row r="1120" spans="1:3">
      <c r="A1120" s="561">
        <v>23</v>
      </c>
      <c r="B1120" s="562">
        <v>86</v>
      </c>
      <c r="C1120" s="562">
        <v>396.7</v>
      </c>
    </row>
    <row r="1121" spans="1:3">
      <c r="A1121" s="561">
        <v>23</v>
      </c>
      <c r="B1121" s="562">
        <v>94</v>
      </c>
      <c r="C1121" s="562">
        <v>383.3</v>
      </c>
    </row>
    <row r="1122" spans="1:3">
      <c r="A1122" s="563">
        <v>23</v>
      </c>
      <c r="B1122" s="564">
        <v>107</v>
      </c>
      <c r="C1122" s="564">
        <v>390</v>
      </c>
    </row>
    <row r="1123" spans="1:3">
      <c r="A1123" s="563">
        <v>23</v>
      </c>
      <c r="B1123" s="564">
        <v>114</v>
      </c>
      <c r="C1123" s="564">
        <v>396.7</v>
      </c>
    </row>
    <row r="1124" spans="1:3">
      <c r="A1124" s="563">
        <v>23</v>
      </c>
      <c r="B1124" s="564">
        <v>121</v>
      </c>
      <c r="C1124" s="564">
        <v>403.29999999999995</v>
      </c>
    </row>
    <row r="1125" spans="1:3">
      <c r="A1125" s="563">
        <v>23</v>
      </c>
      <c r="B1125" s="564">
        <v>128</v>
      </c>
      <c r="C1125" s="564">
        <v>416.7</v>
      </c>
    </row>
    <row r="1126" spans="1:3">
      <c r="A1126" s="563">
        <v>23</v>
      </c>
      <c r="B1126" s="564">
        <v>135</v>
      </c>
      <c r="C1126" s="564">
        <v>433.3</v>
      </c>
    </row>
    <row r="1127" spans="1:3">
      <c r="A1127" s="563">
        <v>23</v>
      </c>
      <c r="B1127" s="564">
        <v>142</v>
      </c>
      <c r="C1127" s="564">
        <v>420</v>
      </c>
    </row>
    <row r="1128" spans="1:3">
      <c r="A1128" s="563">
        <v>23</v>
      </c>
      <c r="B1128" s="564">
        <v>149</v>
      </c>
      <c r="C1128" s="564">
        <v>430</v>
      </c>
    </row>
    <row r="1129" spans="1:3">
      <c r="A1129" s="563">
        <v>23</v>
      </c>
      <c r="B1129" s="564">
        <v>156</v>
      </c>
      <c r="C1129" s="564">
        <v>423.29999999999995</v>
      </c>
    </row>
    <row r="1130" spans="1:3">
      <c r="A1130" s="563">
        <v>23</v>
      </c>
      <c r="B1130" s="564">
        <v>163</v>
      </c>
      <c r="C1130" s="564">
        <v>416.7</v>
      </c>
    </row>
    <row r="1131" spans="1:3">
      <c r="A1131" s="563">
        <v>23</v>
      </c>
      <c r="B1131" s="564">
        <v>170</v>
      </c>
      <c r="C1131" s="564">
        <v>426.70000000000005</v>
      </c>
    </row>
    <row r="1132" spans="1:3">
      <c r="A1132" s="563">
        <v>23</v>
      </c>
      <c r="B1132" s="564">
        <v>177</v>
      </c>
      <c r="C1132" s="564">
        <v>400</v>
      </c>
    </row>
    <row r="1133" spans="1:3">
      <c r="A1133" s="563">
        <v>23</v>
      </c>
      <c r="B1133" s="564">
        <v>184</v>
      </c>
      <c r="C1133" s="564">
        <v>416.7</v>
      </c>
    </row>
    <row r="1134" spans="1:3">
      <c r="A1134" s="563">
        <v>23</v>
      </c>
      <c r="B1134" s="564">
        <v>245</v>
      </c>
      <c r="C1134" s="564">
        <v>420</v>
      </c>
    </row>
    <row r="1135" spans="1:3">
      <c r="A1135" s="563">
        <v>23</v>
      </c>
      <c r="B1135" s="564">
        <v>306</v>
      </c>
      <c r="C1135" s="564">
        <v>420</v>
      </c>
    </row>
    <row r="1136" spans="1:3">
      <c r="A1136" s="563">
        <v>23</v>
      </c>
      <c r="B1136" s="564">
        <v>365</v>
      </c>
      <c r="C1136" s="564">
        <v>423.29999999999995</v>
      </c>
    </row>
    <row r="1137" spans="1:3">
      <c r="A1137" s="563">
        <v>23</v>
      </c>
      <c r="B1137" s="564">
        <v>426</v>
      </c>
      <c r="C1137" s="564">
        <v>426.70000000000005</v>
      </c>
    </row>
    <row r="1138" spans="1:3">
      <c r="A1138" s="563">
        <v>23</v>
      </c>
      <c r="B1138" s="564">
        <v>487</v>
      </c>
      <c r="C1138" s="564">
        <v>426.70000000000005</v>
      </c>
    </row>
    <row r="1139" spans="1:3">
      <c r="A1139" s="565">
        <v>23</v>
      </c>
      <c r="B1139" s="566">
        <v>549</v>
      </c>
      <c r="C1139" s="566">
        <v>423.29999999999995</v>
      </c>
    </row>
    <row r="1140" spans="1:3">
      <c r="A1140" s="565">
        <v>23</v>
      </c>
      <c r="B1140" s="566">
        <v>610</v>
      </c>
      <c r="C1140" s="566">
        <v>420</v>
      </c>
    </row>
    <row r="1141" spans="1:3">
      <c r="A1141" s="565">
        <v>23</v>
      </c>
      <c r="B1141" s="566">
        <v>671</v>
      </c>
      <c r="C1141" s="566">
        <v>420</v>
      </c>
    </row>
    <row r="1142" spans="1:3">
      <c r="A1142" s="565">
        <v>23</v>
      </c>
      <c r="B1142" s="566">
        <v>731</v>
      </c>
      <c r="C1142" s="566">
        <v>423.29999999999995</v>
      </c>
    </row>
    <row r="1143" spans="1:3">
      <c r="A1143" s="565">
        <v>23</v>
      </c>
      <c r="B1143" s="566">
        <v>1126</v>
      </c>
      <c r="C1143" s="566">
        <v>393.29999999999995</v>
      </c>
    </row>
    <row r="1144" spans="1:3">
      <c r="A1144" s="565">
        <v>23</v>
      </c>
      <c r="B1144" s="566">
        <v>1154</v>
      </c>
      <c r="C1144" s="566">
        <v>390</v>
      </c>
    </row>
    <row r="1145" spans="1:3">
      <c r="A1145" s="565">
        <v>23</v>
      </c>
      <c r="B1145" s="566">
        <v>1215</v>
      </c>
      <c r="C1145" s="566">
        <v>393.29999999999995</v>
      </c>
    </row>
    <row r="1146" spans="1:3">
      <c r="A1146" s="565">
        <v>23</v>
      </c>
      <c r="B1146" s="566">
        <v>1280</v>
      </c>
      <c r="C1146" s="566">
        <v>393.29999999999995</v>
      </c>
    </row>
    <row r="1147" spans="1:3">
      <c r="A1147" s="565">
        <v>23</v>
      </c>
      <c r="B1147" s="566">
        <v>1354</v>
      </c>
      <c r="C1147" s="566">
        <v>383.3</v>
      </c>
    </row>
    <row r="1148" spans="1:3">
      <c r="A1148" s="565">
        <v>23</v>
      </c>
      <c r="B1148" s="566">
        <v>1413</v>
      </c>
      <c r="C1148" s="566">
        <v>391.1</v>
      </c>
    </row>
    <row r="1149" spans="1:3">
      <c r="A1149" s="565">
        <v>23</v>
      </c>
      <c r="B1149" s="566">
        <v>1512</v>
      </c>
      <c r="C1149" s="566">
        <v>390</v>
      </c>
    </row>
    <row r="1150" spans="1:3">
      <c r="A1150" s="565">
        <v>23</v>
      </c>
      <c r="B1150" s="566">
        <v>1603</v>
      </c>
      <c r="C1150" s="566">
        <v>395.6</v>
      </c>
    </row>
    <row r="1151" spans="1:3">
      <c r="A1151" s="565">
        <v>23</v>
      </c>
      <c r="B1151" s="566">
        <v>1695</v>
      </c>
      <c r="C1151" s="566">
        <v>394.40000000000003</v>
      </c>
    </row>
    <row r="1152" spans="1:3">
      <c r="A1152" s="565">
        <v>23</v>
      </c>
      <c r="B1152" s="566">
        <v>1787</v>
      </c>
      <c r="C1152" s="566">
        <v>395.6</v>
      </c>
    </row>
    <row r="1153" spans="1:3">
      <c r="A1153" s="565">
        <v>23</v>
      </c>
      <c r="B1153" s="566">
        <v>1918</v>
      </c>
      <c r="C1153" s="566">
        <v>395.6</v>
      </c>
    </row>
    <row r="1154" spans="1:3">
      <c r="A1154" s="565">
        <v>23</v>
      </c>
      <c r="B1154" s="566">
        <v>2009</v>
      </c>
      <c r="C1154" s="566">
        <v>394.40000000000003</v>
      </c>
    </row>
    <row r="1155" spans="1:3">
      <c r="A1155" s="565">
        <v>23</v>
      </c>
      <c r="B1155" s="566">
        <v>2112</v>
      </c>
      <c r="C1155" s="566">
        <v>398.90000000000003</v>
      </c>
    </row>
    <row r="1156" spans="1:3">
      <c r="A1156" s="565">
        <v>23</v>
      </c>
      <c r="B1156" s="566">
        <v>2210</v>
      </c>
      <c r="C1156" s="566">
        <v>404.4</v>
      </c>
    </row>
    <row r="1157" spans="1:3">
      <c r="A1157" s="565">
        <v>23</v>
      </c>
      <c r="B1157" s="566">
        <v>2316</v>
      </c>
      <c r="C1157" s="566">
        <v>402.20000000000005</v>
      </c>
    </row>
    <row r="1158" spans="1:3">
      <c r="A1158" s="565">
        <v>23</v>
      </c>
      <c r="B1158" s="566">
        <v>2479</v>
      </c>
      <c r="C1158" s="566">
        <v>400</v>
      </c>
    </row>
    <row r="1159" spans="1:3">
      <c r="A1159" s="565">
        <v>23</v>
      </c>
      <c r="B1159" s="566">
        <v>2589</v>
      </c>
      <c r="C1159" s="566">
        <v>396.7</v>
      </c>
    </row>
    <row r="1160" spans="1:3">
      <c r="A1160" s="565">
        <v>23</v>
      </c>
      <c r="B1160" s="566">
        <v>2743</v>
      </c>
      <c r="C1160" s="566">
        <v>396.7</v>
      </c>
    </row>
    <row r="1161" spans="1:3">
      <c r="A1161" s="565">
        <v>23</v>
      </c>
      <c r="B1161" s="566">
        <v>2858</v>
      </c>
      <c r="C1161" s="566">
        <v>394.40000000000003</v>
      </c>
    </row>
    <row r="1162" spans="1:3">
      <c r="A1162" s="565">
        <v>23</v>
      </c>
      <c r="B1162" s="566">
        <v>2962</v>
      </c>
      <c r="C1162" s="566">
        <v>394.40000000000003</v>
      </c>
    </row>
    <row r="1163" spans="1:3">
      <c r="A1163" s="565">
        <v>23</v>
      </c>
      <c r="B1163" s="566">
        <v>3044</v>
      </c>
      <c r="C1163" s="566">
        <v>394.40000000000003</v>
      </c>
    </row>
    <row r="1164" spans="1:3">
      <c r="A1164" s="565">
        <v>23</v>
      </c>
      <c r="B1164" s="566">
        <v>3207</v>
      </c>
      <c r="C1164" s="566">
        <v>395.6</v>
      </c>
    </row>
    <row r="1165" spans="1:3">
      <c r="A1165" s="565">
        <v>23</v>
      </c>
      <c r="B1165" s="566">
        <v>3293</v>
      </c>
      <c r="C1165" s="566">
        <v>392.2</v>
      </c>
    </row>
    <row r="1166" spans="1:3">
      <c r="A1166" s="561">
        <v>24</v>
      </c>
      <c r="B1166" s="562">
        <v>0</v>
      </c>
      <c r="C1166" s="562">
        <v>0</v>
      </c>
    </row>
    <row r="1167" spans="1:3">
      <c r="A1167" s="561">
        <v>24</v>
      </c>
      <c r="B1167" s="562">
        <v>7</v>
      </c>
      <c r="C1167" s="562">
        <v>93.3</v>
      </c>
    </row>
    <row r="1168" spans="1:3">
      <c r="A1168" s="561">
        <v>24</v>
      </c>
      <c r="B1168" s="562">
        <v>16</v>
      </c>
      <c r="C1168" s="562">
        <v>120</v>
      </c>
    </row>
    <row r="1169" spans="1:3">
      <c r="A1169" s="561">
        <v>24</v>
      </c>
      <c r="B1169" s="562">
        <v>22</v>
      </c>
      <c r="C1169" s="562">
        <v>140</v>
      </c>
    </row>
    <row r="1170" spans="1:3">
      <c r="A1170" s="561">
        <v>24</v>
      </c>
      <c r="B1170" s="562">
        <v>38</v>
      </c>
      <c r="C1170" s="562">
        <v>179.99999999999997</v>
      </c>
    </row>
    <row r="1171" spans="1:3">
      <c r="A1171" s="561">
        <v>24</v>
      </c>
      <c r="B1171" s="562">
        <v>46</v>
      </c>
      <c r="C1171" s="562">
        <v>243.30000000000004</v>
      </c>
    </row>
    <row r="1172" spans="1:3">
      <c r="A1172" s="561">
        <v>24</v>
      </c>
      <c r="B1172" s="562">
        <v>71</v>
      </c>
      <c r="C1172" s="562">
        <v>240</v>
      </c>
    </row>
    <row r="1173" spans="1:3">
      <c r="A1173" s="561">
        <v>24</v>
      </c>
      <c r="B1173" s="562">
        <v>78</v>
      </c>
      <c r="C1173" s="562">
        <v>233.3</v>
      </c>
    </row>
    <row r="1174" spans="1:3">
      <c r="A1174" s="561">
        <v>24</v>
      </c>
      <c r="B1174" s="562">
        <v>86</v>
      </c>
      <c r="C1174" s="562">
        <v>216.7</v>
      </c>
    </row>
    <row r="1175" spans="1:3">
      <c r="A1175" s="561">
        <v>24</v>
      </c>
      <c r="B1175" s="562">
        <v>99</v>
      </c>
      <c r="C1175" s="562">
        <v>210</v>
      </c>
    </row>
    <row r="1176" spans="1:3">
      <c r="A1176" s="563">
        <v>24</v>
      </c>
      <c r="B1176" s="564">
        <v>106</v>
      </c>
      <c r="C1176" s="564">
        <v>223.3</v>
      </c>
    </row>
    <row r="1177" spans="1:3">
      <c r="A1177" s="563">
        <v>24</v>
      </c>
      <c r="B1177" s="564">
        <v>113</v>
      </c>
      <c r="C1177" s="564">
        <v>216.7</v>
      </c>
    </row>
    <row r="1178" spans="1:3">
      <c r="A1178" s="563">
        <v>24</v>
      </c>
      <c r="B1178" s="564">
        <v>120</v>
      </c>
      <c r="C1178" s="564">
        <v>236.7</v>
      </c>
    </row>
    <row r="1179" spans="1:3">
      <c r="A1179" s="563">
        <v>24</v>
      </c>
      <c r="B1179" s="564">
        <v>127</v>
      </c>
      <c r="C1179" s="564">
        <v>243.30000000000004</v>
      </c>
    </row>
    <row r="1180" spans="1:3">
      <c r="A1180" s="563">
        <v>24</v>
      </c>
      <c r="B1180" s="564">
        <v>134</v>
      </c>
      <c r="C1180" s="564">
        <v>240</v>
      </c>
    </row>
    <row r="1181" spans="1:3">
      <c r="A1181" s="563">
        <v>24</v>
      </c>
      <c r="B1181" s="564">
        <v>141</v>
      </c>
      <c r="C1181" s="564">
        <v>240</v>
      </c>
    </row>
    <row r="1182" spans="1:3">
      <c r="A1182" s="563">
        <v>24</v>
      </c>
      <c r="B1182" s="564">
        <v>148</v>
      </c>
      <c r="C1182" s="564">
        <v>236.7</v>
      </c>
    </row>
    <row r="1183" spans="1:3">
      <c r="A1183" s="563">
        <v>24</v>
      </c>
      <c r="B1183" s="564">
        <v>155</v>
      </c>
      <c r="C1183" s="564">
        <v>236.7</v>
      </c>
    </row>
    <row r="1184" spans="1:3">
      <c r="A1184" s="563">
        <v>24</v>
      </c>
      <c r="B1184" s="564">
        <v>162</v>
      </c>
      <c r="C1184" s="564">
        <v>253.29999999999998</v>
      </c>
    </row>
    <row r="1185" spans="1:3">
      <c r="A1185" s="563">
        <v>24</v>
      </c>
      <c r="B1185" s="564">
        <v>169</v>
      </c>
      <c r="C1185" s="564">
        <v>233.3</v>
      </c>
    </row>
    <row r="1186" spans="1:3">
      <c r="A1186" s="563">
        <v>24</v>
      </c>
      <c r="B1186" s="564">
        <v>176</v>
      </c>
      <c r="C1186" s="564">
        <v>240</v>
      </c>
    </row>
    <row r="1187" spans="1:3">
      <c r="A1187" s="563">
        <v>24</v>
      </c>
      <c r="B1187" s="564">
        <v>183</v>
      </c>
      <c r="C1187" s="564">
        <v>236.7</v>
      </c>
    </row>
    <row r="1188" spans="1:3">
      <c r="A1188" s="563">
        <v>24</v>
      </c>
      <c r="B1188" s="564">
        <v>239</v>
      </c>
      <c r="C1188" s="564">
        <v>243.30000000000004</v>
      </c>
    </row>
    <row r="1189" spans="1:3">
      <c r="A1189" s="563">
        <v>24</v>
      </c>
      <c r="B1189" s="564">
        <v>300</v>
      </c>
      <c r="C1189" s="564">
        <v>246.70000000000002</v>
      </c>
    </row>
    <row r="1190" spans="1:3">
      <c r="A1190" s="563">
        <v>24</v>
      </c>
      <c r="B1190" s="564">
        <v>359</v>
      </c>
      <c r="C1190" s="564">
        <v>253.29999999999998</v>
      </c>
    </row>
    <row r="1191" spans="1:3">
      <c r="A1191" s="563">
        <v>24</v>
      </c>
      <c r="B1191" s="564">
        <v>420</v>
      </c>
      <c r="C1191" s="564">
        <v>256.7</v>
      </c>
    </row>
    <row r="1192" spans="1:3">
      <c r="A1192" s="563">
        <v>24</v>
      </c>
      <c r="B1192" s="564">
        <v>481</v>
      </c>
      <c r="C1192" s="564">
        <v>256.7</v>
      </c>
    </row>
    <row r="1193" spans="1:3">
      <c r="A1193" s="565">
        <v>24</v>
      </c>
      <c r="B1193" s="566">
        <v>543</v>
      </c>
      <c r="C1193" s="566">
        <v>236.7</v>
      </c>
    </row>
    <row r="1194" spans="1:3">
      <c r="A1194" s="565">
        <v>24</v>
      </c>
      <c r="B1194" s="566">
        <v>604</v>
      </c>
      <c r="C1194" s="566">
        <v>240</v>
      </c>
    </row>
    <row r="1195" spans="1:3">
      <c r="A1195" s="565">
        <v>24</v>
      </c>
      <c r="B1195" s="566">
        <v>665</v>
      </c>
      <c r="C1195" s="566">
        <v>256.7</v>
      </c>
    </row>
    <row r="1196" spans="1:3">
      <c r="A1196" s="565">
        <v>24</v>
      </c>
      <c r="B1196" s="566">
        <v>725</v>
      </c>
      <c r="C1196" s="566">
        <v>240</v>
      </c>
    </row>
    <row r="1197" spans="1:3">
      <c r="A1197" s="565">
        <v>24</v>
      </c>
      <c r="B1197" s="566">
        <v>1120</v>
      </c>
      <c r="C1197" s="566">
        <v>251.10000000000002</v>
      </c>
    </row>
    <row r="1198" spans="1:3">
      <c r="A1198" s="565">
        <v>24</v>
      </c>
      <c r="B1198" s="566">
        <v>1148</v>
      </c>
      <c r="C1198" s="566">
        <v>243.30000000000004</v>
      </c>
    </row>
    <row r="1199" spans="1:3">
      <c r="A1199" s="565">
        <v>24</v>
      </c>
      <c r="B1199" s="566">
        <v>1209</v>
      </c>
      <c r="C1199" s="566">
        <v>253.29999999999998</v>
      </c>
    </row>
    <row r="1200" spans="1:3">
      <c r="A1200" s="565">
        <v>24</v>
      </c>
      <c r="B1200" s="566">
        <v>1274</v>
      </c>
      <c r="C1200" s="566">
        <v>243.30000000000004</v>
      </c>
    </row>
    <row r="1201" spans="1:3">
      <c r="A1201" s="565">
        <v>24</v>
      </c>
      <c r="B1201" s="566">
        <v>1348</v>
      </c>
      <c r="C1201" s="566">
        <v>256.7</v>
      </c>
    </row>
    <row r="1202" spans="1:3">
      <c r="A1202" s="565">
        <v>24</v>
      </c>
      <c r="B1202" s="566">
        <v>1407</v>
      </c>
      <c r="C1202" s="566">
        <v>254.4</v>
      </c>
    </row>
    <row r="1203" spans="1:3">
      <c r="A1203" s="565">
        <v>24</v>
      </c>
      <c r="B1203" s="566">
        <v>1506</v>
      </c>
      <c r="C1203" s="566">
        <v>248.89999999999998</v>
      </c>
    </row>
    <row r="1204" spans="1:3">
      <c r="A1204" s="565">
        <v>24</v>
      </c>
      <c r="B1204" s="566">
        <v>1597</v>
      </c>
      <c r="C1204" s="566">
        <v>254.4</v>
      </c>
    </row>
    <row r="1205" spans="1:3">
      <c r="A1205" s="565">
        <v>24</v>
      </c>
      <c r="B1205" s="566">
        <v>1689</v>
      </c>
      <c r="C1205" s="566">
        <v>250.90000000000003</v>
      </c>
    </row>
    <row r="1206" spans="1:3">
      <c r="A1206" s="565">
        <v>24</v>
      </c>
      <c r="B1206" s="566">
        <v>1781</v>
      </c>
      <c r="C1206" s="566">
        <v>248.89999999999998</v>
      </c>
    </row>
    <row r="1207" spans="1:3">
      <c r="A1207" s="565">
        <v>24</v>
      </c>
      <c r="B1207" s="566">
        <v>1912</v>
      </c>
      <c r="C1207" s="566">
        <v>246.70000000000002</v>
      </c>
    </row>
    <row r="1208" spans="1:3">
      <c r="A1208" s="565">
        <v>24</v>
      </c>
      <c r="B1208" s="566">
        <v>2003</v>
      </c>
      <c r="C1208" s="566">
        <v>253.29999999999998</v>
      </c>
    </row>
    <row r="1209" spans="1:3">
      <c r="A1209" s="565">
        <v>24</v>
      </c>
      <c r="B1209" s="566">
        <v>2106</v>
      </c>
      <c r="C1209" s="566">
        <v>253.29999999999998</v>
      </c>
    </row>
    <row r="1210" spans="1:3">
      <c r="A1210" s="565">
        <v>24</v>
      </c>
      <c r="B1210" s="566">
        <v>2204</v>
      </c>
      <c r="C1210" s="566">
        <v>250</v>
      </c>
    </row>
    <row r="1211" spans="1:3">
      <c r="A1211" s="565">
        <v>24</v>
      </c>
      <c r="B1211" s="566">
        <v>2310</v>
      </c>
      <c r="C1211" s="566">
        <v>246.70000000000002</v>
      </c>
    </row>
    <row r="1212" spans="1:3">
      <c r="A1212" s="565">
        <v>24</v>
      </c>
      <c r="B1212" s="566">
        <v>2473</v>
      </c>
      <c r="C1212" s="566">
        <v>256.7</v>
      </c>
    </row>
    <row r="1213" spans="1:3">
      <c r="A1213" s="565">
        <v>24</v>
      </c>
      <c r="B1213" s="566">
        <v>2583</v>
      </c>
      <c r="C1213" s="566">
        <v>253.29999999999998</v>
      </c>
    </row>
    <row r="1214" spans="1:3">
      <c r="A1214" s="565">
        <v>24</v>
      </c>
      <c r="B1214" s="566">
        <v>2737</v>
      </c>
      <c r="C1214" s="566">
        <v>253.29999999999998</v>
      </c>
    </row>
    <row r="1215" spans="1:3">
      <c r="A1215" s="565">
        <v>24</v>
      </c>
      <c r="B1215" s="566">
        <v>2852</v>
      </c>
      <c r="C1215" s="566">
        <v>248.89999999999998</v>
      </c>
    </row>
    <row r="1216" spans="1:3">
      <c r="A1216" s="565">
        <v>24</v>
      </c>
      <c r="B1216" s="566">
        <v>2956</v>
      </c>
      <c r="C1216" s="566">
        <v>248.89999999999998</v>
      </c>
    </row>
    <row r="1217" spans="1:3">
      <c r="A1217" s="565">
        <v>24</v>
      </c>
      <c r="B1217" s="566">
        <v>3038</v>
      </c>
      <c r="C1217" s="566">
        <v>248.89999999999998</v>
      </c>
    </row>
    <row r="1218" spans="1:3">
      <c r="A1218" s="565">
        <v>24</v>
      </c>
      <c r="B1218" s="566">
        <v>3201</v>
      </c>
      <c r="C1218" s="566">
        <v>248.89999999999998</v>
      </c>
    </row>
    <row r="1219" spans="1:3">
      <c r="A1219" s="565">
        <v>24</v>
      </c>
      <c r="B1219" s="566">
        <v>3287</v>
      </c>
      <c r="C1219" s="566">
        <v>245.6</v>
      </c>
    </row>
    <row r="1220" spans="1:3">
      <c r="A1220" s="561">
        <v>25</v>
      </c>
      <c r="B1220" s="562">
        <v>0</v>
      </c>
      <c r="C1220" s="562">
        <v>0</v>
      </c>
    </row>
    <row r="1221" spans="1:3">
      <c r="A1221" s="561">
        <v>25</v>
      </c>
      <c r="B1221" s="562">
        <v>6</v>
      </c>
      <c r="C1221" s="562">
        <v>179.99999999999997</v>
      </c>
    </row>
    <row r="1222" spans="1:3">
      <c r="A1222" s="561">
        <v>25</v>
      </c>
      <c r="B1222" s="562">
        <v>14</v>
      </c>
      <c r="C1222" s="562">
        <v>266.7</v>
      </c>
    </row>
    <row r="1223" spans="1:3">
      <c r="A1223" s="561">
        <v>25</v>
      </c>
      <c r="B1223" s="562">
        <v>20</v>
      </c>
      <c r="C1223" s="562">
        <v>343.29999999999995</v>
      </c>
    </row>
    <row r="1224" spans="1:3">
      <c r="A1224" s="561">
        <v>25</v>
      </c>
      <c r="B1224" s="562">
        <v>38</v>
      </c>
      <c r="C1224" s="562">
        <v>386.70000000000005</v>
      </c>
    </row>
    <row r="1225" spans="1:3">
      <c r="A1225" s="561">
        <v>25</v>
      </c>
      <c r="B1225" s="562">
        <v>46</v>
      </c>
      <c r="C1225" s="562">
        <v>396.7</v>
      </c>
    </row>
    <row r="1226" spans="1:3">
      <c r="A1226" s="561">
        <v>25</v>
      </c>
      <c r="B1226" s="562">
        <v>77</v>
      </c>
      <c r="C1226" s="562">
        <v>403.29999999999995</v>
      </c>
    </row>
    <row r="1227" spans="1:3">
      <c r="A1227" s="561">
        <v>25</v>
      </c>
      <c r="B1227" s="562">
        <v>78</v>
      </c>
      <c r="C1227" s="562">
        <v>406.70000000000005</v>
      </c>
    </row>
    <row r="1228" spans="1:3">
      <c r="A1228" s="561">
        <v>25</v>
      </c>
      <c r="B1228" s="562">
        <v>86</v>
      </c>
      <c r="C1228" s="562">
        <v>433.3</v>
      </c>
    </row>
    <row r="1229" spans="1:3">
      <c r="A1229" s="561">
        <v>25</v>
      </c>
      <c r="B1229" s="562">
        <v>99</v>
      </c>
      <c r="C1229" s="562">
        <v>393.29999999999995</v>
      </c>
    </row>
    <row r="1230" spans="1:3">
      <c r="A1230" s="563">
        <v>25</v>
      </c>
      <c r="B1230" s="564">
        <v>106</v>
      </c>
      <c r="C1230" s="564">
        <v>393.29999999999995</v>
      </c>
    </row>
    <row r="1231" spans="1:3">
      <c r="A1231" s="563">
        <v>25</v>
      </c>
      <c r="B1231" s="564">
        <v>113</v>
      </c>
      <c r="C1231" s="564">
        <v>406.70000000000005</v>
      </c>
    </row>
    <row r="1232" spans="1:3">
      <c r="A1232" s="563">
        <v>25</v>
      </c>
      <c r="B1232" s="564">
        <v>120</v>
      </c>
      <c r="C1232" s="564">
        <v>426.70000000000005</v>
      </c>
    </row>
    <row r="1233" spans="1:3">
      <c r="A1233" s="563">
        <v>25</v>
      </c>
      <c r="B1233" s="564">
        <v>127</v>
      </c>
      <c r="C1233" s="564">
        <v>423.29999999999995</v>
      </c>
    </row>
    <row r="1234" spans="1:3">
      <c r="A1234" s="563">
        <v>25</v>
      </c>
      <c r="B1234" s="564">
        <v>134</v>
      </c>
      <c r="C1234" s="564">
        <v>416.7</v>
      </c>
    </row>
    <row r="1235" spans="1:3">
      <c r="A1235" s="563">
        <v>25</v>
      </c>
      <c r="B1235" s="564">
        <v>141</v>
      </c>
      <c r="C1235" s="564">
        <v>416.7</v>
      </c>
    </row>
    <row r="1236" spans="1:3">
      <c r="A1236" s="563">
        <v>25</v>
      </c>
      <c r="B1236" s="564">
        <v>148</v>
      </c>
      <c r="C1236" s="564">
        <v>413.3</v>
      </c>
    </row>
    <row r="1237" spans="1:3">
      <c r="A1237" s="563">
        <v>25</v>
      </c>
      <c r="B1237" s="564">
        <v>155</v>
      </c>
      <c r="C1237" s="564">
        <v>416.7</v>
      </c>
    </row>
    <row r="1238" spans="1:3">
      <c r="A1238" s="563">
        <v>25</v>
      </c>
      <c r="B1238" s="564">
        <v>162</v>
      </c>
      <c r="C1238" s="564">
        <v>410.00000000000006</v>
      </c>
    </row>
    <row r="1239" spans="1:3">
      <c r="A1239" s="563">
        <v>25</v>
      </c>
      <c r="B1239" s="564">
        <v>169</v>
      </c>
      <c r="C1239" s="564">
        <v>393.29999999999995</v>
      </c>
    </row>
    <row r="1240" spans="1:3">
      <c r="A1240" s="563">
        <v>25</v>
      </c>
      <c r="B1240" s="564">
        <v>176</v>
      </c>
      <c r="C1240" s="564">
        <v>403.29999999999995</v>
      </c>
    </row>
    <row r="1241" spans="1:3">
      <c r="A1241" s="563">
        <v>25</v>
      </c>
      <c r="B1241" s="564">
        <v>183</v>
      </c>
      <c r="C1241" s="564">
        <v>393.29999999999995</v>
      </c>
    </row>
    <row r="1242" spans="1:3">
      <c r="A1242" s="563">
        <v>25</v>
      </c>
      <c r="B1242" s="564">
        <v>237</v>
      </c>
      <c r="C1242" s="564">
        <v>400</v>
      </c>
    </row>
    <row r="1243" spans="1:3">
      <c r="A1243" s="563">
        <v>25</v>
      </c>
      <c r="B1243" s="564">
        <v>298</v>
      </c>
      <c r="C1243" s="564">
        <v>400</v>
      </c>
    </row>
    <row r="1244" spans="1:3">
      <c r="A1244" s="563">
        <v>25</v>
      </c>
      <c r="B1244" s="564">
        <v>357</v>
      </c>
      <c r="C1244" s="564">
        <v>403.29999999999995</v>
      </c>
    </row>
    <row r="1245" spans="1:3">
      <c r="A1245" s="563">
        <v>25</v>
      </c>
      <c r="B1245" s="564">
        <v>418</v>
      </c>
      <c r="C1245" s="564">
        <v>410.00000000000006</v>
      </c>
    </row>
    <row r="1246" spans="1:3">
      <c r="A1246" s="563">
        <v>25</v>
      </c>
      <c r="B1246" s="564">
        <v>479</v>
      </c>
      <c r="C1246" s="564">
        <v>410.00000000000006</v>
      </c>
    </row>
    <row r="1247" spans="1:3">
      <c r="A1247" s="565">
        <v>25</v>
      </c>
      <c r="B1247" s="566">
        <v>541</v>
      </c>
      <c r="C1247" s="566">
        <v>393.29999999999995</v>
      </c>
    </row>
    <row r="1248" spans="1:3">
      <c r="A1248" s="565">
        <v>25</v>
      </c>
      <c r="B1248" s="566">
        <v>602</v>
      </c>
      <c r="C1248" s="566">
        <v>416.7</v>
      </c>
    </row>
    <row r="1249" spans="1:3">
      <c r="A1249" s="565">
        <v>25</v>
      </c>
      <c r="B1249" s="566">
        <v>663</v>
      </c>
      <c r="C1249" s="566">
        <v>410.00000000000006</v>
      </c>
    </row>
    <row r="1250" spans="1:3">
      <c r="A1250" s="565">
        <v>25</v>
      </c>
      <c r="B1250" s="566">
        <v>723</v>
      </c>
      <c r="C1250" s="566">
        <v>400</v>
      </c>
    </row>
    <row r="1251" spans="1:3">
      <c r="A1251" s="565">
        <v>25</v>
      </c>
      <c r="B1251" s="566">
        <v>1118</v>
      </c>
      <c r="C1251" s="566">
        <v>403.29999999999995</v>
      </c>
    </row>
    <row r="1252" spans="1:3">
      <c r="A1252" s="565">
        <v>25</v>
      </c>
      <c r="B1252" s="566">
        <v>1146</v>
      </c>
      <c r="C1252" s="566">
        <v>380</v>
      </c>
    </row>
    <row r="1253" spans="1:3">
      <c r="A1253" s="565">
        <v>25</v>
      </c>
      <c r="B1253" s="566">
        <v>1207</v>
      </c>
      <c r="C1253" s="566">
        <v>402.20000000000005</v>
      </c>
    </row>
    <row r="1254" spans="1:3">
      <c r="A1254" s="565">
        <v>25</v>
      </c>
      <c r="B1254" s="566">
        <v>1272</v>
      </c>
      <c r="C1254" s="566">
        <v>397.8</v>
      </c>
    </row>
    <row r="1255" spans="1:3">
      <c r="A1255" s="565">
        <v>25</v>
      </c>
      <c r="B1255" s="566">
        <v>1346</v>
      </c>
      <c r="C1255" s="566">
        <v>392.2</v>
      </c>
    </row>
    <row r="1256" spans="1:3">
      <c r="A1256" s="565">
        <v>25</v>
      </c>
      <c r="B1256" s="566">
        <v>1405</v>
      </c>
      <c r="C1256" s="566">
        <v>393.29999999999995</v>
      </c>
    </row>
    <row r="1257" spans="1:3">
      <c r="A1257" s="565">
        <v>25</v>
      </c>
      <c r="B1257" s="566">
        <v>1504</v>
      </c>
      <c r="C1257" s="566">
        <v>405.6</v>
      </c>
    </row>
    <row r="1258" spans="1:3">
      <c r="A1258" s="565">
        <v>25</v>
      </c>
      <c r="B1258" s="566">
        <v>1595</v>
      </c>
      <c r="C1258" s="566">
        <v>400</v>
      </c>
    </row>
    <row r="1259" spans="1:3">
      <c r="A1259" s="565">
        <v>25</v>
      </c>
      <c r="B1259" s="566">
        <v>1687</v>
      </c>
      <c r="C1259" s="566">
        <v>401.1</v>
      </c>
    </row>
    <row r="1260" spans="1:3">
      <c r="A1260" s="565">
        <v>25</v>
      </c>
      <c r="B1260" s="566">
        <v>1779</v>
      </c>
      <c r="C1260" s="566">
        <v>403.29999999999995</v>
      </c>
    </row>
    <row r="1261" spans="1:3">
      <c r="A1261" s="565">
        <v>25</v>
      </c>
      <c r="B1261" s="566">
        <v>1910</v>
      </c>
      <c r="C1261" s="566">
        <v>407.79999999999995</v>
      </c>
    </row>
    <row r="1262" spans="1:3">
      <c r="A1262" s="565">
        <v>25</v>
      </c>
      <c r="B1262" s="566">
        <v>2001</v>
      </c>
      <c r="C1262" s="566">
        <v>406.70000000000005</v>
      </c>
    </row>
    <row r="1263" spans="1:3">
      <c r="A1263" s="565">
        <v>25</v>
      </c>
      <c r="B1263" s="566">
        <v>2104</v>
      </c>
      <c r="C1263" s="566">
        <v>410.00000000000006</v>
      </c>
    </row>
    <row r="1264" spans="1:3">
      <c r="A1264" s="565">
        <v>25</v>
      </c>
      <c r="B1264" s="566">
        <v>2202</v>
      </c>
      <c r="C1264" s="566">
        <v>400</v>
      </c>
    </row>
    <row r="1265" spans="1:3">
      <c r="A1265" s="565">
        <v>25</v>
      </c>
      <c r="B1265" s="566">
        <v>2308</v>
      </c>
      <c r="C1265" s="566">
        <v>398.90000000000003</v>
      </c>
    </row>
    <row r="1266" spans="1:3">
      <c r="A1266" s="565">
        <v>25</v>
      </c>
      <c r="B1266" s="566">
        <v>2471</v>
      </c>
      <c r="C1266" s="566">
        <v>396.7</v>
      </c>
    </row>
    <row r="1267" spans="1:3">
      <c r="A1267" s="565">
        <v>25</v>
      </c>
      <c r="B1267" s="566">
        <v>2581</v>
      </c>
      <c r="C1267" s="566">
        <v>396.7</v>
      </c>
    </row>
    <row r="1268" spans="1:3">
      <c r="A1268" s="565">
        <v>25</v>
      </c>
      <c r="B1268" s="566">
        <v>2735</v>
      </c>
      <c r="C1268" s="566">
        <v>393.29999999999995</v>
      </c>
    </row>
    <row r="1269" spans="1:3">
      <c r="A1269" s="565">
        <v>25</v>
      </c>
      <c r="B1269" s="566">
        <v>2850</v>
      </c>
      <c r="C1269" s="566">
        <v>407.79999999999995</v>
      </c>
    </row>
    <row r="1270" spans="1:3">
      <c r="A1270" s="565">
        <v>25</v>
      </c>
      <c r="B1270" s="566">
        <v>2954</v>
      </c>
      <c r="C1270" s="566">
        <v>407.79999999999995</v>
      </c>
    </row>
    <row r="1271" spans="1:3">
      <c r="A1271" s="565">
        <v>25</v>
      </c>
      <c r="B1271" s="566">
        <v>3036</v>
      </c>
      <c r="C1271" s="566">
        <v>407.79999999999995</v>
      </c>
    </row>
    <row r="1272" spans="1:3">
      <c r="A1272" s="565">
        <v>25</v>
      </c>
      <c r="B1272" s="566">
        <v>3199</v>
      </c>
      <c r="C1272" s="566">
        <v>403.29999999999995</v>
      </c>
    </row>
    <row r="1273" spans="1:3">
      <c r="A1273" s="561">
        <v>27</v>
      </c>
      <c r="B1273" s="562">
        <v>0</v>
      </c>
      <c r="C1273" s="562">
        <v>0</v>
      </c>
    </row>
    <row r="1274" spans="1:3">
      <c r="A1274" s="561">
        <v>27</v>
      </c>
      <c r="B1274" s="562">
        <v>6</v>
      </c>
      <c r="C1274" s="562">
        <v>136.69999999999999</v>
      </c>
    </row>
    <row r="1275" spans="1:3">
      <c r="A1275" s="561">
        <v>27</v>
      </c>
      <c r="B1275" s="562">
        <v>15</v>
      </c>
      <c r="C1275" s="562">
        <v>126.70000000000002</v>
      </c>
    </row>
    <row r="1276" spans="1:3">
      <c r="A1276" s="561">
        <v>27</v>
      </c>
      <c r="B1276" s="562">
        <v>24</v>
      </c>
      <c r="C1276" s="562">
        <v>160</v>
      </c>
    </row>
    <row r="1277" spans="1:3">
      <c r="A1277" s="561">
        <v>27</v>
      </c>
      <c r="B1277" s="562">
        <v>32</v>
      </c>
      <c r="C1277" s="562">
        <v>190</v>
      </c>
    </row>
    <row r="1278" spans="1:3">
      <c r="A1278" s="561">
        <v>27</v>
      </c>
      <c r="B1278" s="562">
        <v>57</v>
      </c>
      <c r="C1278" s="562">
        <v>240</v>
      </c>
    </row>
    <row r="1279" spans="1:3">
      <c r="A1279" s="561">
        <v>27</v>
      </c>
      <c r="B1279" s="562">
        <v>64</v>
      </c>
      <c r="C1279" s="562">
        <v>236.7</v>
      </c>
    </row>
    <row r="1280" spans="1:3">
      <c r="A1280" s="561">
        <v>27</v>
      </c>
      <c r="B1280" s="562">
        <v>72</v>
      </c>
      <c r="C1280" s="562">
        <v>250</v>
      </c>
    </row>
    <row r="1281" spans="1:3">
      <c r="A1281" s="561">
        <v>27</v>
      </c>
      <c r="B1281" s="562">
        <v>85</v>
      </c>
      <c r="C1281" s="562">
        <v>236.7</v>
      </c>
    </row>
    <row r="1282" spans="1:3">
      <c r="A1282" s="561">
        <v>27</v>
      </c>
      <c r="B1282" s="562">
        <v>92</v>
      </c>
      <c r="C1282" s="562">
        <v>236.7</v>
      </c>
    </row>
    <row r="1283" spans="1:3">
      <c r="A1283" s="561">
        <v>27</v>
      </c>
      <c r="B1283" s="562">
        <v>99</v>
      </c>
      <c r="C1283" s="562">
        <v>243.30000000000004</v>
      </c>
    </row>
    <row r="1284" spans="1:3">
      <c r="A1284" s="563">
        <v>27</v>
      </c>
      <c r="B1284" s="564">
        <v>106</v>
      </c>
      <c r="C1284" s="564">
        <v>276.7</v>
      </c>
    </row>
    <row r="1285" spans="1:3">
      <c r="A1285" s="563">
        <v>27</v>
      </c>
      <c r="B1285" s="564">
        <v>113</v>
      </c>
      <c r="C1285" s="564">
        <v>293.29999999999995</v>
      </c>
    </row>
    <row r="1286" spans="1:3">
      <c r="A1286" s="563">
        <v>27</v>
      </c>
      <c r="B1286" s="564">
        <v>120</v>
      </c>
      <c r="C1286" s="564">
        <v>280</v>
      </c>
    </row>
    <row r="1287" spans="1:3">
      <c r="A1287" s="563">
        <v>27</v>
      </c>
      <c r="B1287" s="564">
        <v>127</v>
      </c>
      <c r="C1287" s="564">
        <v>270</v>
      </c>
    </row>
    <row r="1288" spans="1:3">
      <c r="A1288" s="563">
        <v>27</v>
      </c>
      <c r="B1288" s="564">
        <v>134</v>
      </c>
      <c r="C1288" s="564">
        <v>266.7</v>
      </c>
    </row>
    <row r="1289" spans="1:3">
      <c r="A1289" s="563">
        <v>27</v>
      </c>
      <c r="B1289" s="564">
        <v>141</v>
      </c>
      <c r="C1289" s="564">
        <v>266.7</v>
      </c>
    </row>
    <row r="1290" spans="1:3">
      <c r="A1290" s="563">
        <v>27</v>
      </c>
      <c r="B1290" s="564">
        <v>148</v>
      </c>
      <c r="C1290" s="564">
        <v>283.3</v>
      </c>
    </row>
    <row r="1291" spans="1:3">
      <c r="A1291" s="563">
        <v>27</v>
      </c>
      <c r="B1291" s="564">
        <v>155</v>
      </c>
      <c r="C1291" s="564">
        <v>263.3</v>
      </c>
    </row>
    <row r="1292" spans="1:3">
      <c r="A1292" s="563">
        <v>27</v>
      </c>
      <c r="B1292" s="564">
        <v>162</v>
      </c>
      <c r="C1292" s="564">
        <v>266.7</v>
      </c>
    </row>
    <row r="1293" spans="1:3">
      <c r="A1293" s="563">
        <v>27</v>
      </c>
      <c r="B1293" s="564">
        <v>169</v>
      </c>
      <c r="C1293" s="564">
        <v>266.7</v>
      </c>
    </row>
    <row r="1294" spans="1:3">
      <c r="A1294" s="563">
        <v>27</v>
      </c>
      <c r="B1294" s="564">
        <v>176</v>
      </c>
      <c r="C1294" s="564">
        <v>280</v>
      </c>
    </row>
    <row r="1295" spans="1:3">
      <c r="A1295" s="563">
        <v>27</v>
      </c>
      <c r="B1295" s="564">
        <v>192</v>
      </c>
      <c r="C1295" s="564">
        <v>283.3</v>
      </c>
    </row>
    <row r="1296" spans="1:3">
      <c r="A1296" s="563">
        <v>27</v>
      </c>
      <c r="B1296" s="564">
        <v>244</v>
      </c>
      <c r="C1296" s="564">
        <v>276.7</v>
      </c>
    </row>
    <row r="1297" spans="1:3">
      <c r="A1297" s="563">
        <v>27</v>
      </c>
      <c r="B1297" s="564">
        <v>306</v>
      </c>
      <c r="C1297" s="564">
        <v>276.7</v>
      </c>
    </row>
    <row r="1298" spans="1:3">
      <c r="A1298" s="563">
        <v>27</v>
      </c>
      <c r="B1298" s="564">
        <v>365</v>
      </c>
      <c r="C1298" s="564">
        <v>283.3</v>
      </c>
    </row>
    <row r="1299" spans="1:3">
      <c r="A1299" s="563">
        <v>27</v>
      </c>
      <c r="B1299" s="564">
        <v>426</v>
      </c>
      <c r="C1299" s="564">
        <v>293.29999999999995</v>
      </c>
    </row>
    <row r="1300" spans="1:3">
      <c r="A1300" s="563">
        <v>27</v>
      </c>
      <c r="B1300" s="564">
        <v>487</v>
      </c>
      <c r="C1300" s="564">
        <v>276.7</v>
      </c>
    </row>
    <row r="1301" spans="1:3">
      <c r="A1301" s="565">
        <v>27</v>
      </c>
      <c r="B1301" s="566">
        <v>548</v>
      </c>
      <c r="C1301" s="566">
        <v>293.29999999999995</v>
      </c>
    </row>
    <row r="1302" spans="1:3">
      <c r="A1302" s="565">
        <v>27</v>
      </c>
      <c r="B1302" s="566">
        <v>609</v>
      </c>
      <c r="C1302" s="566">
        <v>290.00000000000006</v>
      </c>
    </row>
    <row r="1303" spans="1:3">
      <c r="A1303" s="565">
        <v>27</v>
      </c>
      <c r="B1303" s="566">
        <v>671</v>
      </c>
      <c r="C1303" s="566">
        <v>263.3</v>
      </c>
    </row>
    <row r="1304" spans="1:3">
      <c r="A1304" s="565">
        <v>27</v>
      </c>
      <c r="B1304" s="566">
        <v>731</v>
      </c>
      <c r="C1304" s="566">
        <v>283.3</v>
      </c>
    </row>
    <row r="1305" spans="1:3">
      <c r="A1305" s="565">
        <v>27</v>
      </c>
      <c r="B1305" s="566">
        <v>1104</v>
      </c>
      <c r="C1305" s="566">
        <v>290.00000000000006</v>
      </c>
    </row>
    <row r="1306" spans="1:3">
      <c r="A1306" s="565">
        <v>27</v>
      </c>
      <c r="B1306" s="566">
        <v>1132</v>
      </c>
      <c r="C1306" s="566">
        <v>272.2</v>
      </c>
    </row>
    <row r="1307" spans="1:3">
      <c r="A1307" s="565">
        <v>27</v>
      </c>
      <c r="B1307" s="566">
        <v>1193</v>
      </c>
      <c r="C1307" s="566">
        <v>291.10000000000002</v>
      </c>
    </row>
    <row r="1308" spans="1:3">
      <c r="A1308" s="565">
        <v>27</v>
      </c>
      <c r="B1308" s="566">
        <v>1258</v>
      </c>
      <c r="C1308" s="566">
        <v>288.3</v>
      </c>
    </row>
    <row r="1309" spans="1:3">
      <c r="A1309" s="565">
        <v>27</v>
      </c>
      <c r="B1309" s="566">
        <v>1332</v>
      </c>
      <c r="C1309" s="566">
        <v>272.79999999999995</v>
      </c>
    </row>
    <row r="1310" spans="1:3">
      <c r="A1310" s="565">
        <v>27</v>
      </c>
      <c r="B1310" s="566">
        <v>1391</v>
      </c>
      <c r="C1310" s="566">
        <v>285.70000000000005</v>
      </c>
    </row>
    <row r="1311" spans="1:3">
      <c r="A1311" s="565">
        <v>27</v>
      </c>
      <c r="B1311" s="566">
        <v>1490</v>
      </c>
      <c r="C1311" s="566">
        <v>286.60000000000002</v>
      </c>
    </row>
    <row r="1312" spans="1:3">
      <c r="A1312" s="565">
        <v>27</v>
      </c>
      <c r="B1312" s="566">
        <v>1581</v>
      </c>
      <c r="C1312" s="566">
        <v>288.89999999999998</v>
      </c>
    </row>
    <row r="1313" spans="1:3">
      <c r="A1313" s="565">
        <v>27</v>
      </c>
      <c r="B1313" s="566">
        <v>1673</v>
      </c>
      <c r="C1313" s="566">
        <v>294.39999999999998</v>
      </c>
    </row>
    <row r="1314" spans="1:3">
      <c r="A1314" s="565">
        <v>27</v>
      </c>
      <c r="B1314" s="566">
        <v>1765</v>
      </c>
      <c r="C1314" s="566">
        <v>291.10000000000002</v>
      </c>
    </row>
    <row r="1315" spans="1:3">
      <c r="A1315" s="565">
        <v>27</v>
      </c>
      <c r="B1315" s="566">
        <v>1896</v>
      </c>
      <c r="C1315" s="566">
        <v>290.00000000000006</v>
      </c>
    </row>
    <row r="1316" spans="1:3">
      <c r="A1316" s="565">
        <v>27</v>
      </c>
      <c r="B1316" s="566">
        <v>1987</v>
      </c>
      <c r="C1316" s="566">
        <v>290.00000000000006</v>
      </c>
    </row>
    <row r="1317" spans="1:3">
      <c r="A1317" s="565">
        <v>27</v>
      </c>
      <c r="B1317" s="566">
        <v>2090</v>
      </c>
      <c r="C1317" s="566">
        <v>294.39999999999998</v>
      </c>
    </row>
    <row r="1318" spans="1:3">
      <c r="A1318" s="565">
        <v>27</v>
      </c>
      <c r="B1318" s="566">
        <v>2188</v>
      </c>
      <c r="C1318" s="566">
        <v>300</v>
      </c>
    </row>
    <row r="1319" spans="1:3">
      <c r="A1319" s="565">
        <v>27</v>
      </c>
      <c r="B1319" s="566">
        <v>2294</v>
      </c>
      <c r="C1319" s="566">
        <v>293.29999999999995</v>
      </c>
    </row>
    <row r="1320" spans="1:3">
      <c r="A1320" s="565">
        <v>27</v>
      </c>
      <c r="B1320" s="566">
        <v>2457</v>
      </c>
      <c r="C1320" s="566">
        <v>303.3</v>
      </c>
    </row>
    <row r="1321" spans="1:3">
      <c r="A1321" s="565">
        <v>27</v>
      </c>
      <c r="B1321" s="566">
        <v>2567</v>
      </c>
      <c r="C1321" s="566">
        <v>293.29999999999995</v>
      </c>
    </row>
    <row r="1322" spans="1:3">
      <c r="A1322" s="565">
        <v>27</v>
      </c>
      <c r="B1322" s="566">
        <v>2721</v>
      </c>
      <c r="C1322" s="566">
        <v>293.29999999999995</v>
      </c>
    </row>
    <row r="1323" spans="1:3">
      <c r="A1323" s="565">
        <v>27</v>
      </c>
      <c r="B1323" s="566">
        <v>2836</v>
      </c>
      <c r="C1323" s="566">
        <v>292.2</v>
      </c>
    </row>
    <row r="1324" spans="1:3">
      <c r="A1324" s="565">
        <v>27</v>
      </c>
      <c r="B1324" s="566">
        <v>2940</v>
      </c>
      <c r="C1324" s="566">
        <v>292.2</v>
      </c>
    </row>
    <row r="1325" spans="1:3">
      <c r="A1325" s="565">
        <v>27</v>
      </c>
      <c r="B1325" s="566">
        <v>3022</v>
      </c>
      <c r="C1325" s="566">
        <v>292.2</v>
      </c>
    </row>
    <row r="1326" spans="1:3">
      <c r="A1326" s="565">
        <v>27</v>
      </c>
      <c r="B1326" s="566">
        <v>3185</v>
      </c>
      <c r="C1326" s="566">
        <v>292</v>
      </c>
    </row>
    <row r="1327" spans="1:3">
      <c r="A1327" s="565">
        <v>27</v>
      </c>
      <c r="B1327" s="566">
        <v>3271</v>
      </c>
      <c r="C1327" s="566">
        <v>292.2</v>
      </c>
    </row>
    <row r="1328" spans="1:3">
      <c r="A1328" s="561">
        <v>28</v>
      </c>
      <c r="B1328" s="562">
        <v>0</v>
      </c>
      <c r="C1328" s="562">
        <v>0</v>
      </c>
    </row>
    <row r="1329" spans="1:3">
      <c r="A1329" s="561">
        <v>28</v>
      </c>
      <c r="B1329" s="562">
        <v>7</v>
      </c>
      <c r="C1329" s="562">
        <v>50</v>
      </c>
    </row>
    <row r="1330" spans="1:3">
      <c r="A1330" s="561">
        <v>28</v>
      </c>
      <c r="B1330" s="562">
        <v>13</v>
      </c>
      <c r="C1330" s="562">
        <v>73.3</v>
      </c>
    </row>
    <row r="1331" spans="1:3">
      <c r="A1331" s="561">
        <v>28</v>
      </c>
      <c r="B1331" s="562">
        <v>18</v>
      </c>
      <c r="C1331" s="562">
        <v>100</v>
      </c>
    </row>
    <row r="1332" spans="1:3">
      <c r="A1332" s="561">
        <v>28</v>
      </c>
      <c r="B1332" s="562">
        <v>27</v>
      </c>
      <c r="C1332" s="562">
        <v>83.300000000000011</v>
      </c>
    </row>
    <row r="1333" spans="1:3">
      <c r="A1333" s="561">
        <v>28</v>
      </c>
      <c r="B1333" s="562">
        <v>36</v>
      </c>
      <c r="C1333" s="562">
        <v>116.7</v>
      </c>
    </row>
    <row r="1334" spans="1:3">
      <c r="A1334" s="561">
        <v>28</v>
      </c>
      <c r="B1334" s="562">
        <v>48</v>
      </c>
      <c r="C1334" s="562">
        <v>160</v>
      </c>
    </row>
    <row r="1335" spans="1:3">
      <c r="A1335" s="561">
        <v>28</v>
      </c>
      <c r="B1335" s="562">
        <v>69</v>
      </c>
      <c r="C1335" s="562">
        <v>170.00000000000003</v>
      </c>
    </row>
    <row r="1336" spans="1:3">
      <c r="A1336" s="561">
        <v>28</v>
      </c>
      <c r="B1336" s="562">
        <v>76</v>
      </c>
      <c r="C1336" s="562">
        <v>170.00000000000003</v>
      </c>
    </row>
    <row r="1337" spans="1:3">
      <c r="A1337" s="561">
        <v>28</v>
      </c>
      <c r="B1337" s="562">
        <v>84</v>
      </c>
      <c r="C1337" s="562">
        <v>170.00000000000003</v>
      </c>
    </row>
    <row r="1338" spans="1:3">
      <c r="A1338" s="561">
        <v>28</v>
      </c>
      <c r="B1338" s="562">
        <v>97</v>
      </c>
      <c r="C1338" s="562">
        <v>173.3</v>
      </c>
    </row>
    <row r="1339" spans="1:3">
      <c r="A1339" s="563">
        <v>28</v>
      </c>
      <c r="B1339" s="564">
        <v>104</v>
      </c>
      <c r="C1339" s="564">
        <v>173.3</v>
      </c>
    </row>
    <row r="1340" spans="1:3">
      <c r="A1340" s="563">
        <v>28</v>
      </c>
      <c r="B1340" s="564">
        <v>111</v>
      </c>
      <c r="C1340" s="564">
        <v>183.29999999999998</v>
      </c>
    </row>
    <row r="1341" spans="1:3">
      <c r="A1341" s="563">
        <v>28</v>
      </c>
      <c r="B1341" s="564">
        <v>118</v>
      </c>
      <c r="C1341" s="564">
        <v>203.29999999999998</v>
      </c>
    </row>
    <row r="1342" spans="1:3">
      <c r="A1342" s="563">
        <v>28</v>
      </c>
      <c r="B1342" s="564">
        <v>125</v>
      </c>
      <c r="C1342" s="564">
        <v>203.29999999999998</v>
      </c>
    </row>
    <row r="1343" spans="1:3">
      <c r="A1343" s="563">
        <v>28</v>
      </c>
      <c r="B1343" s="564">
        <v>132</v>
      </c>
      <c r="C1343" s="564">
        <v>193.3</v>
      </c>
    </row>
    <row r="1344" spans="1:3">
      <c r="A1344" s="563">
        <v>28</v>
      </c>
      <c r="B1344" s="564">
        <v>139</v>
      </c>
      <c r="C1344" s="564">
        <v>193.3</v>
      </c>
    </row>
    <row r="1345" spans="1:3">
      <c r="A1345" s="563">
        <v>28</v>
      </c>
      <c r="B1345" s="564">
        <v>146</v>
      </c>
      <c r="C1345" s="564">
        <v>196.70000000000002</v>
      </c>
    </row>
    <row r="1346" spans="1:3">
      <c r="A1346" s="563">
        <v>28</v>
      </c>
      <c r="B1346" s="564">
        <v>153</v>
      </c>
      <c r="C1346" s="564">
        <v>193.3</v>
      </c>
    </row>
    <row r="1347" spans="1:3">
      <c r="A1347" s="563">
        <v>28</v>
      </c>
      <c r="B1347" s="564">
        <v>160</v>
      </c>
      <c r="C1347" s="564">
        <v>206.70000000000002</v>
      </c>
    </row>
    <row r="1348" spans="1:3">
      <c r="A1348" s="563">
        <v>28</v>
      </c>
      <c r="B1348" s="564">
        <v>167</v>
      </c>
      <c r="C1348" s="564">
        <v>196.70000000000002</v>
      </c>
    </row>
    <row r="1349" spans="1:3">
      <c r="A1349" s="563">
        <v>28</v>
      </c>
      <c r="B1349" s="564">
        <v>174</v>
      </c>
      <c r="C1349" s="564">
        <v>196.70000000000002</v>
      </c>
    </row>
    <row r="1350" spans="1:3">
      <c r="A1350" s="563">
        <v>28</v>
      </c>
      <c r="B1350" s="564">
        <v>181</v>
      </c>
      <c r="C1350" s="564">
        <v>190</v>
      </c>
    </row>
    <row r="1351" spans="1:3">
      <c r="A1351" s="563">
        <v>28</v>
      </c>
      <c r="B1351" s="564">
        <v>242</v>
      </c>
      <c r="C1351" s="564">
        <v>200</v>
      </c>
    </row>
    <row r="1352" spans="1:3">
      <c r="A1352" s="563">
        <v>28</v>
      </c>
      <c r="B1352" s="564">
        <v>303</v>
      </c>
      <c r="C1352" s="564">
        <v>206.70000000000002</v>
      </c>
    </row>
    <row r="1353" spans="1:3">
      <c r="A1353" s="563">
        <v>28</v>
      </c>
      <c r="B1353" s="564">
        <v>362</v>
      </c>
      <c r="C1353" s="564">
        <v>213.3</v>
      </c>
    </row>
    <row r="1354" spans="1:3">
      <c r="A1354" s="563">
        <v>28</v>
      </c>
      <c r="B1354" s="564">
        <v>423</v>
      </c>
      <c r="C1354" s="564">
        <v>223.3</v>
      </c>
    </row>
    <row r="1355" spans="1:3">
      <c r="A1355" s="563">
        <v>28</v>
      </c>
      <c r="B1355" s="564">
        <v>484</v>
      </c>
      <c r="C1355" s="564">
        <v>193.3</v>
      </c>
    </row>
    <row r="1356" spans="1:3">
      <c r="A1356" s="565">
        <v>28</v>
      </c>
      <c r="B1356" s="566">
        <v>546</v>
      </c>
      <c r="C1356" s="566">
        <v>223.3</v>
      </c>
    </row>
    <row r="1357" spans="1:3">
      <c r="A1357" s="565">
        <v>28</v>
      </c>
      <c r="B1357" s="566">
        <v>607</v>
      </c>
      <c r="C1357" s="566">
        <v>206.70000000000002</v>
      </c>
    </row>
    <row r="1358" spans="1:3">
      <c r="A1358" s="565">
        <v>28</v>
      </c>
      <c r="B1358" s="566">
        <v>668</v>
      </c>
      <c r="C1358" s="566">
        <v>190</v>
      </c>
    </row>
    <row r="1359" spans="1:3">
      <c r="A1359" s="565">
        <v>28</v>
      </c>
      <c r="B1359" s="566">
        <v>728</v>
      </c>
      <c r="C1359" s="566">
        <v>200</v>
      </c>
    </row>
    <row r="1360" spans="1:3">
      <c r="A1360" s="565">
        <v>28</v>
      </c>
      <c r="B1360" s="566">
        <v>1116</v>
      </c>
      <c r="C1360" s="566">
        <v>213.3</v>
      </c>
    </row>
    <row r="1361" spans="1:3">
      <c r="A1361" s="565">
        <v>28</v>
      </c>
      <c r="B1361" s="566">
        <v>1144</v>
      </c>
      <c r="C1361" s="566">
        <v>200</v>
      </c>
    </row>
    <row r="1362" spans="1:3">
      <c r="A1362" s="565">
        <v>28</v>
      </c>
      <c r="B1362" s="566">
        <v>1205</v>
      </c>
      <c r="C1362" s="566">
        <v>208.9</v>
      </c>
    </row>
    <row r="1363" spans="1:3">
      <c r="A1363" s="565">
        <v>28</v>
      </c>
      <c r="B1363" s="566">
        <v>1270</v>
      </c>
      <c r="C1363" s="566">
        <v>206.70000000000002</v>
      </c>
    </row>
    <row r="1364" spans="1:3">
      <c r="A1364" s="565">
        <v>28</v>
      </c>
      <c r="B1364" s="566">
        <v>1344</v>
      </c>
      <c r="C1364" s="566">
        <v>210</v>
      </c>
    </row>
    <row r="1365" spans="1:3">
      <c r="A1365" s="565">
        <v>28</v>
      </c>
      <c r="B1365" s="566">
        <v>1403</v>
      </c>
      <c r="C1365" s="566">
        <v>206.70000000000002</v>
      </c>
    </row>
    <row r="1366" spans="1:3">
      <c r="A1366" s="565">
        <v>28</v>
      </c>
      <c r="B1366" s="566">
        <v>1502</v>
      </c>
      <c r="C1366" s="566">
        <v>212.2</v>
      </c>
    </row>
    <row r="1367" spans="1:3">
      <c r="A1367" s="565">
        <v>28</v>
      </c>
      <c r="B1367" s="566">
        <v>1593</v>
      </c>
      <c r="C1367" s="566">
        <v>213.3</v>
      </c>
    </row>
    <row r="1368" spans="1:3">
      <c r="A1368" s="565">
        <v>28</v>
      </c>
      <c r="B1368" s="566">
        <v>1685</v>
      </c>
      <c r="C1368" s="566">
        <v>213.3</v>
      </c>
    </row>
    <row r="1369" spans="1:3">
      <c r="A1369" s="565">
        <v>28</v>
      </c>
      <c r="B1369" s="566">
        <v>1777</v>
      </c>
      <c r="C1369" s="566">
        <v>214.4</v>
      </c>
    </row>
    <row r="1370" spans="1:3">
      <c r="A1370" s="565">
        <v>28</v>
      </c>
      <c r="B1370" s="566">
        <v>1908</v>
      </c>
      <c r="C1370" s="566">
        <v>217.79999999999998</v>
      </c>
    </row>
    <row r="1371" spans="1:3">
      <c r="A1371" s="565">
        <v>28</v>
      </c>
      <c r="B1371" s="566">
        <v>1999</v>
      </c>
      <c r="C1371" s="566">
        <v>212.2</v>
      </c>
    </row>
    <row r="1372" spans="1:3">
      <c r="A1372" s="565">
        <v>28</v>
      </c>
      <c r="B1372" s="566">
        <v>2102</v>
      </c>
      <c r="C1372" s="566">
        <v>212.2</v>
      </c>
    </row>
    <row r="1373" spans="1:3">
      <c r="A1373" s="565">
        <v>28</v>
      </c>
      <c r="B1373" s="566">
        <v>2200</v>
      </c>
      <c r="C1373" s="566">
        <v>210</v>
      </c>
    </row>
    <row r="1374" spans="1:3">
      <c r="A1374" s="565">
        <v>28</v>
      </c>
      <c r="B1374" s="566">
        <v>2306</v>
      </c>
      <c r="C1374" s="566">
        <v>217.79999999999998</v>
      </c>
    </row>
    <row r="1375" spans="1:3">
      <c r="A1375" s="565">
        <v>28</v>
      </c>
      <c r="B1375" s="566">
        <v>2469</v>
      </c>
      <c r="C1375" s="566">
        <v>213.3</v>
      </c>
    </row>
    <row r="1376" spans="1:3">
      <c r="A1376" s="565">
        <v>28</v>
      </c>
      <c r="B1376" s="566">
        <v>2579</v>
      </c>
      <c r="C1376" s="566">
        <v>216.7</v>
      </c>
    </row>
    <row r="1377" spans="1:3">
      <c r="A1377" s="565">
        <v>28</v>
      </c>
      <c r="B1377" s="566">
        <v>2733</v>
      </c>
      <c r="C1377" s="566">
        <v>216.7</v>
      </c>
    </row>
    <row r="1378" spans="1:3">
      <c r="A1378" s="565">
        <v>28</v>
      </c>
      <c r="B1378" s="566">
        <v>2848</v>
      </c>
      <c r="C1378" s="566">
        <v>205.6</v>
      </c>
    </row>
    <row r="1379" spans="1:3">
      <c r="A1379" s="565">
        <v>28</v>
      </c>
      <c r="B1379" s="566">
        <v>2952</v>
      </c>
      <c r="C1379" s="566">
        <v>205.6</v>
      </c>
    </row>
    <row r="1380" spans="1:3">
      <c r="A1380" s="565">
        <v>28</v>
      </c>
      <c r="B1380" s="566">
        <v>3041</v>
      </c>
      <c r="C1380" s="566">
        <v>205.6</v>
      </c>
    </row>
    <row r="1381" spans="1:3">
      <c r="A1381" s="565">
        <v>28</v>
      </c>
      <c r="B1381" s="566">
        <v>3204</v>
      </c>
      <c r="C1381" s="566">
        <v>207.79999999999998</v>
      </c>
    </row>
    <row r="1382" spans="1:3">
      <c r="A1382" s="565">
        <v>28</v>
      </c>
      <c r="B1382" s="566">
        <v>3290</v>
      </c>
      <c r="C1382" s="566">
        <v>204.4</v>
      </c>
    </row>
    <row r="1383" spans="1:3">
      <c r="A1383" s="561">
        <v>29</v>
      </c>
      <c r="B1383" s="562">
        <v>0</v>
      </c>
      <c r="C1383" s="562">
        <v>0</v>
      </c>
    </row>
    <row r="1384" spans="1:3">
      <c r="A1384" s="561">
        <v>29</v>
      </c>
      <c r="B1384" s="562">
        <v>6</v>
      </c>
      <c r="C1384" s="562">
        <v>43.3</v>
      </c>
    </row>
    <row r="1385" spans="1:3">
      <c r="A1385" s="561">
        <v>29</v>
      </c>
      <c r="B1385" s="562">
        <v>14</v>
      </c>
      <c r="C1385" s="562">
        <v>80</v>
      </c>
    </row>
    <row r="1386" spans="1:3">
      <c r="A1386" s="561">
        <v>29</v>
      </c>
      <c r="B1386" s="562">
        <v>20</v>
      </c>
      <c r="C1386" s="562">
        <v>130</v>
      </c>
    </row>
    <row r="1387" spans="1:3">
      <c r="A1387" s="561">
        <v>29</v>
      </c>
      <c r="B1387" s="562">
        <v>29</v>
      </c>
      <c r="C1387" s="562">
        <v>109.99999999999999</v>
      </c>
    </row>
    <row r="1388" spans="1:3">
      <c r="A1388" s="561">
        <v>29</v>
      </c>
      <c r="B1388" s="562">
        <v>38</v>
      </c>
      <c r="C1388" s="562">
        <v>140</v>
      </c>
    </row>
    <row r="1389" spans="1:3">
      <c r="A1389" s="561">
        <v>29</v>
      </c>
      <c r="B1389" s="562">
        <v>46</v>
      </c>
      <c r="C1389" s="562">
        <v>133.29999999999998</v>
      </c>
    </row>
    <row r="1390" spans="1:3">
      <c r="A1390" s="561">
        <v>29</v>
      </c>
      <c r="B1390" s="562">
        <v>71</v>
      </c>
      <c r="C1390" s="562">
        <v>183.29999999999998</v>
      </c>
    </row>
    <row r="1391" spans="1:3">
      <c r="A1391" s="561">
        <v>29</v>
      </c>
      <c r="B1391" s="562">
        <v>77</v>
      </c>
      <c r="C1391" s="562">
        <v>170.00000000000003</v>
      </c>
    </row>
    <row r="1392" spans="1:3">
      <c r="A1392" s="561">
        <v>29</v>
      </c>
      <c r="B1392" s="562">
        <v>85</v>
      </c>
      <c r="C1392" s="562">
        <v>203.29999999999998</v>
      </c>
    </row>
    <row r="1393" spans="1:3">
      <c r="A1393" s="561">
        <v>29</v>
      </c>
      <c r="B1393" s="562">
        <v>98</v>
      </c>
      <c r="C1393" s="562">
        <v>176.70000000000002</v>
      </c>
    </row>
    <row r="1394" spans="1:3">
      <c r="A1394" s="563">
        <v>29</v>
      </c>
      <c r="B1394" s="564">
        <v>105</v>
      </c>
      <c r="C1394" s="564">
        <v>176.70000000000002</v>
      </c>
    </row>
    <row r="1395" spans="1:3">
      <c r="A1395" s="563">
        <v>29</v>
      </c>
      <c r="B1395" s="564">
        <v>112</v>
      </c>
      <c r="C1395" s="564">
        <v>186.7</v>
      </c>
    </row>
    <row r="1396" spans="1:3">
      <c r="A1396" s="563">
        <v>29</v>
      </c>
      <c r="B1396" s="564">
        <v>119</v>
      </c>
      <c r="C1396" s="564">
        <v>210</v>
      </c>
    </row>
    <row r="1397" spans="1:3">
      <c r="A1397" s="563">
        <v>29</v>
      </c>
      <c r="B1397" s="564">
        <v>126</v>
      </c>
      <c r="C1397" s="564">
        <v>213.3</v>
      </c>
    </row>
    <row r="1398" spans="1:3">
      <c r="A1398" s="563">
        <v>29</v>
      </c>
      <c r="B1398" s="564">
        <v>133</v>
      </c>
      <c r="C1398" s="564">
        <v>203.29999999999998</v>
      </c>
    </row>
    <row r="1399" spans="1:3">
      <c r="A1399" s="563">
        <v>29</v>
      </c>
      <c r="B1399" s="564">
        <v>140</v>
      </c>
      <c r="C1399" s="564">
        <v>203.29999999999998</v>
      </c>
    </row>
    <row r="1400" spans="1:3">
      <c r="A1400" s="563">
        <v>29</v>
      </c>
      <c r="B1400" s="564">
        <v>147</v>
      </c>
      <c r="C1400" s="564">
        <v>190</v>
      </c>
    </row>
    <row r="1401" spans="1:3">
      <c r="A1401" s="563">
        <v>29</v>
      </c>
      <c r="B1401" s="564">
        <v>154</v>
      </c>
      <c r="C1401" s="564">
        <v>206.70000000000002</v>
      </c>
    </row>
    <row r="1402" spans="1:3">
      <c r="A1402" s="563">
        <v>29</v>
      </c>
      <c r="B1402" s="564">
        <v>163</v>
      </c>
      <c r="C1402" s="564">
        <v>213.3</v>
      </c>
    </row>
    <row r="1403" spans="1:3">
      <c r="A1403" s="563">
        <v>29</v>
      </c>
      <c r="B1403" s="564">
        <v>170</v>
      </c>
      <c r="C1403" s="564">
        <v>190</v>
      </c>
    </row>
    <row r="1404" spans="1:3">
      <c r="A1404" s="563">
        <v>29</v>
      </c>
      <c r="B1404" s="564">
        <v>177</v>
      </c>
      <c r="C1404" s="564">
        <v>196.70000000000002</v>
      </c>
    </row>
    <row r="1405" spans="1:3">
      <c r="A1405" s="563">
        <v>29</v>
      </c>
      <c r="B1405" s="564">
        <v>184</v>
      </c>
      <c r="C1405" s="564">
        <v>193.3</v>
      </c>
    </row>
    <row r="1406" spans="1:3">
      <c r="A1406" s="563">
        <v>29</v>
      </c>
      <c r="B1406" s="564">
        <v>244</v>
      </c>
      <c r="C1406" s="564">
        <v>200</v>
      </c>
    </row>
    <row r="1407" spans="1:3">
      <c r="A1407" s="563">
        <v>29</v>
      </c>
      <c r="B1407" s="564">
        <v>305</v>
      </c>
      <c r="C1407" s="564">
        <v>219.99999999999997</v>
      </c>
    </row>
    <row r="1408" spans="1:3">
      <c r="A1408" s="563">
        <v>29</v>
      </c>
      <c r="B1408" s="564">
        <v>364</v>
      </c>
      <c r="C1408" s="564">
        <v>223.3</v>
      </c>
    </row>
    <row r="1409" spans="1:3">
      <c r="A1409" s="563">
        <v>29</v>
      </c>
      <c r="B1409" s="564">
        <v>425</v>
      </c>
      <c r="C1409" s="564">
        <v>233.3</v>
      </c>
    </row>
    <row r="1410" spans="1:3">
      <c r="A1410" s="563">
        <v>29</v>
      </c>
      <c r="B1410" s="564">
        <v>486</v>
      </c>
      <c r="C1410" s="564">
        <v>193.3</v>
      </c>
    </row>
    <row r="1411" spans="1:3">
      <c r="A1411" s="565">
        <v>29</v>
      </c>
      <c r="B1411" s="566">
        <v>548</v>
      </c>
      <c r="C1411" s="566">
        <v>219.99999999999997</v>
      </c>
    </row>
    <row r="1412" spans="1:3">
      <c r="A1412" s="565">
        <v>29</v>
      </c>
      <c r="B1412" s="566">
        <v>609</v>
      </c>
      <c r="C1412" s="566">
        <v>196.70000000000002</v>
      </c>
    </row>
    <row r="1413" spans="1:3">
      <c r="A1413" s="565">
        <v>29</v>
      </c>
      <c r="B1413" s="566">
        <v>670</v>
      </c>
      <c r="C1413" s="566">
        <v>233.3</v>
      </c>
    </row>
    <row r="1414" spans="1:3">
      <c r="A1414" s="565">
        <v>29</v>
      </c>
      <c r="B1414" s="566">
        <v>730</v>
      </c>
      <c r="C1414" s="566">
        <v>193.3</v>
      </c>
    </row>
    <row r="1415" spans="1:3">
      <c r="A1415" s="565">
        <v>29</v>
      </c>
      <c r="B1415" s="566">
        <v>1118</v>
      </c>
      <c r="C1415" s="566">
        <v>213.3</v>
      </c>
    </row>
    <row r="1416" spans="1:3">
      <c r="A1416" s="565">
        <v>29</v>
      </c>
      <c r="B1416" s="566">
        <v>1146</v>
      </c>
      <c r="C1416" s="566">
        <v>196.70000000000002</v>
      </c>
    </row>
    <row r="1417" spans="1:3">
      <c r="A1417" s="565">
        <v>29</v>
      </c>
      <c r="B1417" s="566">
        <v>1207</v>
      </c>
      <c r="C1417" s="566">
        <v>208.9</v>
      </c>
    </row>
    <row r="1418" spans="1:3">
      <c r="A1418" s="565">
        <v>29</v>
      </c>
      <c r="B1418" s="566">
        <v>1272</v>
      </c>
      <c r="C1418" s="566">
        <v>203.29999999999998</v>
      </c>
    </row>
    <row r="1419" spans="1:3">
      <c r="A1419" s="565">
        <v>29</v>
      </c>
      <c r="B1419" s="566">
        <v>1346</v>
      </c>
      <c r="C1419" s="566">
        <v>192.79999999999998</v>
      </c>
    </row>
    <row r="1420" spans="1:3">
      <c r="A1420" s="565">
        <v>29</v>
      </c>
      <c r="B1420" s="566">
        <v>1405</v>
      </c>
      <c r="C1420" s="566">
        <v>198.9</v>
      </c>
    </row>
    <row r="1421" spans="1:3">
      <c r="A1421" s="565">
        <v>29</v>
      </c>
      <c r="B1421" s="566">
        <v>1504</v>
      </c>
      <c r="C1421" s="566">
        <v>207.79999999999998</v>
      </c>
    </row>
    <row r="1422" spans="1:3">
      <c r="A1422" s="565">
        <v>29</v>
      </c>
      <c r="B1422" s="566">
        <v>1595</v>
      </c>
      <c r="C1422" s="566">
        <v>207.79999999999998</v>
      </c>
    </row>
    <row r="1423" spans="1:3">
      <c r="A1423" s="565">
        <v>29</v>
      </c>
      <c r="B1423" s="566">
        <v>1687</v>
      </c>
      <c r="C1423" s="566">
        <v>222.00000000000003</v>
      </c>
    </row>
    <row r="1424" spans="1:3">
      <c r="A1424" s="565">
        <v>29</v>
      </c>
      <c r="B1424" s="566">
        <v>1779</v>
      </c>
      <c r="C1424" s="566">
        <v>227.8</v>
      </c>
    </row>
    <row r="1425" spans="1:3">
      <c r="A1425" s="565">
        <v>29</v>
      </c>
      <c r="B1425" s="566">
        <v>1910</v>
      </c>
      <c r="C1425" s="566">
        <v>234.39999999999998</v>
      </c>
    </row>
    <row r="1426" spans="1:3">
      <c r="A1426" s="565">
        <v>29</v>
      </c>
      <c r="B1426" s="566">
        <v>2001</v>
      </c>
      <c r="C1426" s="566">
        <v>226.7</v>
      </c>
    </row>
    <row r="1427" spans="1:3">
      <c r="A1427" s="565">
        <v>29</v>
      </c>
      <c r="B1427" s="566">
        <v>2104</v>
      </c>
      <c r="C1427" s="566">
        <v>225.60000000000002</v>
      </c>
    </row>
    <row r="1428" spans="1:3">
      <c r="A1428" s="565">
        <v>29</v>
      </c>
      <c r="B1428" s="566">
        <v>2202</v>
      </c>
      <c r="C1428" s="566">
        <v>231.1</v>
      </c>
    </row>
    <row r="1429" spans="1:3">
      <c r="A1429" s="565">
        <v>29</v>
      </c>
      <c r="B1429" s="566">
        <v>2308</v>
      </c>
      <c r="C1429" s="566">
        <v>228.9</v>
      </c>
    </row>
    <row r="1430" spans="1:3">
      <c r="A1430" s="565">
        <v>29</v>
      </c>
      <c r="B1430" s="566">
        <v>2471</v>
      </c>
      <c r="C1430" s="566">
        <v>223.3</v>
      </c>
    </row>
    <row r="1431" spans="1:3">
      <c r="A1431" s="565">
        <v>29</v>
      </c>
      <c r="B1431" s="566">
        <v>2581</v>
      </c>
      <c r="C1431" s="566">
        <v>219.99999999999997</v>
      </c>
    </row>
    <row r="1432" spans="1:3">
      <c r="A1432" s="565">
        <v>29</v>
      </c>
      <c r="B1432" s="566">
        <v>2735</v>
      </c>
      <c r="C1432" s="566">
        <v>216.7</v>
      </c>
    </row>
    <row r="1433" spans="1:3">
      <c r="A1433" s="565">
        <v>29</v>
      </c>
      <c r="B1433" s="566">
        <v>2850</v>
      </c>
      <c r="C1433" s="566">
        <v>215.60000000000002</v>
      </c>
    </row>
    <row r="1434" spans="1:3">
      <c r="A1434" s="565">
        <v>29</v>
      </c>
      <c r="B1434" s="566">
        <v>3036</v>
      </c>
      <c r="C1434" s="566">
        <v>215.60000000000002</v>
      </c>
    </row>
    <row r="1435" spans="1:3">
      <c r="A1435" s="565">
        <v>29</v>
      </c>
      <c r="B1435" s="566">
        <v>3199</v>
      </c>
      <c r="C1435" s="566">
        <v>217.79999999999998</v>
      </c>
    </row>
    <row r="1436" spans="1:3">
      <c r="A1436" s="565">
        <v>29</v>
      </c>
      <c r="B1436" s="566">
        <v>3285</v>
      </c>
      <c r="C1436" s="566">
        <v>221.10000000000002</v>
      </c>
    </row>
    <row r="1437" spans="1:3">
      <c r="A1437" s="561">
        <v>30</v>
      </c>
      <c r="B1437" s="562">
        <v>0</v>
      </c>
      <c r="C1437" s="562">
        <v>0</v>
      </c>
    </row>
    <row r="1438" spans="1:3">
      <c r="A1438" s="561">
        <v>30</v>
      </c>
      <c r="B1438" s="562">
        <v>8</v>
      </c>
      <c r="C1438" s="562">
        <v>40</v>
      </c>
    </row>
    <row r="1439" spans="1:3">
      <c r="A1439" s="561">
        <v>30</v>
      </c>
      <c r="B1439" s="562">
        <v>14</v>
      </c>
      <c r="C1439" s="562">
        <v>83.300000000000011</v>
      </c>
    </row>
    <row r="1440" spans="1:3">
      <c r="A1440" s="561">
        <v>30</v>
      </c>
      <c r="B1440" s="562">
        <v>22</v>
      </c>
      <c r="C1440" s="562">
        <v>93.3</v>
      </c>
    </row>
    <row r="1441" spans="1:3">
      <c r="A1441" s="561">
        <v>30</v>
      </c>
      <c r="B1441" s="562">
        <v>28</v>
      </c>
      <c r="C1441" s="562">
        <v>126.70000000000002</v>
      </c>
    </row>
    <row r="1442" spans="1:3">
      <c r="A1442" s="561">
        <v>30</v>
      </c>
      <c r="B1442" s="562">
        <v>46</v>
      </c>
      <c r="C1442" s="562">
        <v>179.99999999999997</v>
      </c>
    </row>
    <row r="1443" spans="1:3">
      <c r="A1443" s="561">
        <v>30</v>
      </c>
      <c r="B1443" s="562">
        <v>58</v>
      </c>
      <c r="C1443" s="562">
        <v>186.7</v>
      </c>
    </row>
    <row r="1444" spans="1:3">
      <c r="A1444" s="561">
        <v>30</v>
      </c>
      <c r="B1444" s="562">
        <v>79</v>
      </c>
      <c r="C1444" s="562">
        <v>213.3</v>
      </c>
    </row>
    <row r="1445" spans="1:3">
      <c r="A1445" s="561">
        <v>30</v>
      </c>
      <c r="B1445" s="562">
        <v>86</v>
      </c>
      <c r="C1445" s="562">
        <v>203.29999999999998</v>
      </c>
    </row>
    <row r="1446" spans="1:3">
      <c r="A1446" s="563">
        <v>30</v>
      </c>
      <c r="B1446" s="564">
        <v>107</v>
      </c>
      <c r="C1446" s="564">
        <v>190</v>
      </c>
    </row>
    <row r="1447" spans="1:3">
      <c r="A1447" s="563">
        <v>30</v>
      </c>
      <c r="B1447" s="564">
        <v>114</v>
      </c>
      <c r="C1447" s="564">
        <v>203.29999999999998</v>
      </c>
    </row>
    <row r="1448" spans="1:3">
      <c r="A1448" s="563">
        <v>30</v>
      </c>
      <c r="B1448" s="564">
        <v>121</v>
      </c>
      <c r="C1448" s="564">
        <v>203.29999999999998</v>
      </c>
    </row>
    <row r="1449" spans="1:3">
      <c r="A1449" s="563">
        <v>30</v>
      </c>
      <c r="B1449" s="564">
        <v>128</v>
      </c>
      <c r="C1449" s="564">
        <v>223.3</v>
      </c>
    </row>
    <row r="1450" spans="1:3">
      <c r="A1450" s="563">
        <v>30</v>
      </c>
      <c r="B1450" s="564">
        <v>135</v>
      </c>
      <c r="C1450" s="564">
        <v>240</v>
      </c>
    </row>
    <row r="1451" spans="1:3">
      <c r="A1451" s="563">
        <v>30</v>
      </c>
      <c r="B1451" s="564">
        <v>142</v>
      </c>
      <c r="C1451" s="564">
        <v>229.99999999999997</v>
      </c>
    </row>
    <row r="1452" spans="1:3">
      <c r="A1452" s="563">
        <v>30</v>
      </c>
      <c r="B1452" s="564">
        <v>149</v>
      </c>
      <c r="C1452" s="564">
        <v>226.7</v>
      </c>
    </row>
    <row r="1453" spans="1:3">
      <c r="A1453" s="563">
        <v>30</v>
      </c>
      <c r="B1453" s="564">
        <v>156</v>
      </c>
      <c r="C1453" s="564">
        <v>216.7</v>
      </c>
    </row>
    <row r="1454" spans="1:3">
      <c r="A1454" s="563">
        <v>30</v>
      </c>
      <c r="B1454" s="564">
        <v>163</v>
      </c>
      <c r="C1454" s="564">
        <v>219.99999999999997</v>
      </c>
    </row>
    <row r="1455" spans="1:3">
      <c r="A1455" s="563">
        <v>30</v>
      </c>
      <c r="B1455" s="564">
        <v>170</v>
      </c>
      <c r="C1455" s="564">
        <v>233.3</v>
      </c>
    </row>
    <row r="1456" spans="1:3">
      <c r="A1456" s="563">
        <v>30</v>
      </c>
      <c r="B1456" s="564">
        <v>177</v>
      </c>
      <c r="C1456" s="564">
        <v>213.3</v>
      </c>
    </row>
    <row r="1457" spans="1:3">
      <c r="A1457" s="563">
        <v>30</v>
      </c>
      <c r="B1457" s="564">
        <v>184</v>
      </c>
      <c r="C1457" s="564">
        <v>216.7</v>
      </c>
    </row>
    <row r="1458" spans="1:3">
      <c r="A1458" s="563">
        <v>30</v>
      </c>
      <c r="B1458" s="564">
        <v>245</v>
      </c>
      <c r="C1458" s="564">
        <v>226.7</v>
      </c>
    </row>
    <row r="1459" spans="1:3">
      <c r="A1459" s="563">
        <v>30</v>
      </c>
      <c r="B1459" s="564">
        <v>306</v>
      </c>
      <c r="C1459" s="564">
        <v>226.7</v>
      </c>
    </row>
    <row r="1460" spans="1:3">
      <c r="A1460" s="563">
        <v>30</v>
      </c>
      <c r="B1460" s="564">
        <v>365</v>
      </c>
      <c r="C1460" s="564">
        <v>243.30000000000004</v>
      </c>
    </row>
    <row r="1461" spans="1:3">
      <c r="A1461" s="563">
        <v>30</v>
      </c>
      <c r="B1461" s="564">
        <v>426</v>
      </c>
      <c r="C1461" s="564">
        <v>250</v>
      </c>
    </row>
    <row r="1462" spans="1:3">
      <c r="A1462" s="563">
        <v>30</v>
      </c>
      <c r="B1462" s="564">
        <v>487</v>
      </c>
      <c r="C1462" s="564">
        <v>216.7</v>
      </c>
    </row>
    <row r="1463" spans="1:3">
      <c r="A1463" s="565">
        <v>30</v>
      </c>
      <c r="B1463" s="566">
        <v>549</v>
      </c>
      <c r="C1463" s="566">
        <v>226.7</v>
      </c>
    </row>
    <row r="1464" spans="1:3">
      <c r="A1464" s="565">
        <v>30</v>
      </c>
      <c r="B1464" s="566">
        <v>610</v>
      </c>
      <c r="C1464" s="566">
        <v>226.7</v>
      </c>
    </row>
    <row r="1465" spans="1:3">
      <c r="A1465" s="565">
        <v>30</v>
      </c>
      <c r="B1465" s="566">
        <v>671</v>
      </c>
      <c r="C1465" s="566">
        <v>250</v>
      </c>
    </row>
    <row r="1466" spans="1:3">
      <c r="A1466" s="565">
        <v>30</v>
      </c>
      <c r="B1466" s="566">
        <v>731</v>
      </c>
      <c r="C1466" s="566">
        <v>226.7</v>
      </c>
    </row>
    <row r="1467" spans="1:3">
      <c r="A1467" s="565">
        <v>30</v>
      </c>
      <c r="B1467" s="566">
        <v>1126</v>
      </c>
      <c r="C1467" s="566">
        <v>231.1</v>
      </c>
    </row>
    <row r="1468" spans="1:3">
      <c r="A1468" s="565">
        <v>30</v>
      </c>
      <c r="B1468" s="566">
        <v>1154</v>
      </c>
      <c r="C1468" s="566">
        <v>219.99999999999997</v>
      </c>
    </row>
    <row r="1469" spans="1:3">
      <c r="A1469" s="565">
        <v>30</v>
      </c>
      <c r="B1469" s="566">
        <v>1215</v>
      </c>
      <c r="C1469" s="566">
        <v>236.7</v>
      </c>
    </row>
    <row r="1470" spans="1:3">
      <c r="A1470" s="565">
        <v>30</v>
      </c>
      <c r="B1470" s="566">
        <v>1280</v>
      </c>
      <c r="C1470" s="566">
        <v>244.4</v>
      </c>
    </row>
    <row r="1471" spans="1:3">
      <c r="A1471" s="565">
        <v>30</v>
      </c>
      <c r="B1471" s="566">
        <v>1354</v>
      </c>
      <c r="C1471" s="566">
        <v>248.89999999999998</v>
      </c>
    </row>
    <row r="1472" spans="1:3">
      <c r="A1472" s="565">
        <v>30</v>
      </c>
      <c r="B1472" s="566">
        <v>1413</v>
      </c>
      <c r="C1472" s="566">
        <v>246.70000000000002</v>
      </c>
    </row>
    <row r="1473" spans="1:3">
      <c r="A1473" s="565">
        <v>30</v>
      </c>
      <c r="B1473" s="566">
        <v>1512</v>
      </c>
      <c r="C1473" s="566">
        <v>247.8</v>
      </c>
    </row>
    <row r="1474" spans="1:3">
      <c r="A1474" s="565">
        <v>30</v>
      </c>
      <c r="B1474" s="566">
        <v>1603</v>
      </c>
      <c r="C1474" s="566">
        <v>244.4</v>
      </c>
    </row>
    <row r="1475" spans="1:3">
      <c r="A1475" s="565">
        <v>30</v>
      </c>
      <c r="B1475" s="566">
        <v>1695</v>
      </c>
      <c r="C1475" s="566">
        <v>243.30000000000004</v>
      </c>
    </row>
    <row r="1476" spans="1:3">
      <c r="A1476" s="565">
        <v>30</v>
      </c>
      <c r="B1476" s="566">
        <v>1787</v>
      </c>
      <c r="C1476" s="566">
        <v>251.10000000000002</v>
      </c>
    </row>
    <row r="1477" spans="1:3">
      <c r="A1477" s="565">
        <v>30</v>
      </c>
      <c r="B1477" s="566">
        <v>1918</v>
      </c>
      <c r="C1477" s="566">
        <v>256.7</v>
      </c>
    </row>
    <row r="1478" spans="1:3">
      <c r="A1478" s="565">
        <v>30</v>
      </c>
      <c r="B1478" s="566">
        <v>2009</v>
      </c>
      <c r="C1478" s="566">
        <v>245.6</v>
      </c>
    </row>
    <row r="1479" spans="1:3">
      <c r="A1479" s="565">
        <v>30</v>
      </c>
      <c r="B1479" s="566">
        <v>2112</v>
      </c>
      <c r="C1479" s="566">
        <v>246.70000000000002</v>
      </c>
    </row>
    <row r="1480" spans="1:3">
      <c r="A1480" s="565">
        <v>30</v>
      </c>
      <c r="B1480" s="566">
        <v>2210</v>
      </c>
      <c r="C1480" s="566">
        <v>245.6</v>
      </c>
    </row>
    <row r="1481" spans="1:3">
      <c r="A1481" s="565">
        <v>30</v>
      </c>
      <c r="B1481" s="566">
        <v>2316</v>
      </c>
      <c r="C1481" s="566">
        <v>248.89999999999998</v>
      </c>
    </row>
    <row r="1482" spans="1:3">
      <c r="A1482" s="565">
        <v>30</v>
      </c>
      <c r="B1482" s="566">
        <v>2479</v>
      </c>
      <c r="C1482" s="566">
        <v>246.70000000000002</v>
      </c>
    </row>
    <row r="1483" spans="1:3">
      <c r="A1483" s="565">
        <v>30</v>
      </c>
      <c r="B1483" s="566">
        <v>2589</v>
      </c>
      <c r="C1483" s="566">
        <v>243.30000000000004</v>
      </c>
    </row>
    <row r="1484" spans="1:3">
      <c r="A1484" s="565">
        <v>30</v>
      </c>
      <c r="B1484" s="566">
        <v>2743</v>
      </c>
      <c r="C1484" s="566">
        <v>250</v>
      </c>
    </row>
    <row r="1485" spans="1:3">
      <c r="A1485" s="565">
        <v>30</v>
      </c>
      <c r="B1485" s="566">
        <v>2858</v>
      </c>
      <c r="C1485" s="566">
        <v>238.90000000000003</v>
      </c>
    </row>
    <row r="1486" spans="1:3">
      <c r="A1486" s="565">
        <v>30</v>
      </c>
      <c r="B1486" s="566">
        <v>2962</v>
      </c>
      <c r="C1486" s="566">
        <v>238.90000000000003</v>
      </c>
    </row>
    <row r="1487" spans="1:3">
      <c r="A1487" s="565">
        <v>30</v>
      </c>
      <c r="B1487" s="566">
        <v>3050</v>
      </c>
      <c r="C1487" s="566">
        <v>238.90000000000003</v>
      </c>
    </row>
    <row r="1488" spans="1:3">
      <c r="A1488" s="565">
        <v>30</v>
      </c>
      <c r="B1488" s="566">
        <v>3213</v>
      </c>
      <c r="C1488" s="566">
        <v>234.39999999999998</v>
      </c>
    </row>
    <row r="1489" spans="1:3">
      <c r="A1489" s="565">
        <v>30</v>
      </c>
      <c r="B1489" s="566">
        <v>3214</v>
      </c>
      <c r="C1489" s="566">
        <v>234.39999999999998</v>
      </c>
    </row>
    <row r="1490" spans="1:3">
      <c r="A1490" s="561">
        <v>31</v>
      </c>
      <c r="B1490" s="562">
        <v>0</v>
      </c>
      <c r="C1490" s="562">
        <v>0</v>
      </c>
    </row>
    <row r="1491" spans="1:3">
      <c r="A1491" s="561">
        <v>31</v>
      </c>
      <c r="B1491" s="562">
        <v>10</v>
      </c>
      <c r="C1491" s="562">
        <v>176.70000000000002</v>
      </c>
    </row>
    <row r="1492" spans="1:3">
      <c r="A1492" s="561">
        <v>31</v>
      </c>
      <c r="B1492" s="562">
        <v>22</v>
      </c>
      <c r="C1492" s="562">
        <v>260</v>
      </c>
    </row>
    <row r="1493" spans="1:3">
      <c r="A1493" s="561">
        <v>31</v>
      </c>
      <c r="B1493" s="562">
        <v>43</v>
      </c>
      <c r="C1493" s="562">
        <v>336.7</v>
      </c>
    </row>
    <row r="1494" spans="1:3">
      <c r="A1494" s="561">
        <v>31</v>
      </c>
      <c r="B1494" s="562">
        <v>50</v>
      </c>
      <c r="C1494" s="562">
        <v>350.00000000000006</v>
      </c>
    </row>
    <row r="1495" spans="1:3">
      <c r="A1495" s="561">
        <v>31</v>
      </c>
      <c r="B1495" s="562">
        <v>59</v>
      </c>
      <c r="C1495" s="562">
        <v>343.29999999999995</v>
      </c>
    </row>
    <row r="1496" spans="1:3">
      <c r="A1496" s="561">
        <v>31</v>
      </c>
      <c r="B1496" s="562">
        <v>71</v>
      </c>
      <c r="C1496" s="562">
        <v>340.00000000000006</v>
      </c>
    </row>
    <row r="1497" spans="1:3">
      <c r="A1497" s="561">
        <v>31</v>
      </c>
      <c r="B1497" s="562">
        <v>78</v>
      </c>
      <c r="C1497" s="562">
        <v>333.29999999999995</v>
      </c>
    </row>
    <row r="1498" spans="1:3">
      <c r="A1498" s="561">
        <v>31</v>
      </c>
      <c r="B1498" s="562">
        <v>85</v>
      </c>
      <c r="C1498" s="562">
        <v>350.00000000000006</v>
      </c>
    </row>
    <row r="1499" spans="1:3">
      <c r="A1499" s="561">
        <v>31</v>
      </c>
      <c r="B1499" s="562">
        <v>92</v>
      </c>
      <c r="C1499" s="562">
        <v>380</v>
      </c>
    </row>
    <row r="1500" spans="1:3">
      <c r="A1500" s="561">
        <v>31</v>
      </c>
      <c r="B1500" s="562">
        <v>99</v>
      </c>
      <c r="C1500" s="562">
        <v>386.70000000000005</v>
      </c>
    </row>
    <row r="1501" spans="1:3">
      <c r="A1501" s="563">
        <v>31</v>
      </c>
      <c r="B1501" s="564">
        <v>106</v>
      </c>
      <c r="C1501" s="564">
        <v>386.70000000000005</v>
      </c>
    </row>
    <row r="1502" spans="1:3">
      <c r="A1502" s="563">
        <v>31</v>
      </c>
      <c r="B1502" s="564">
        <v>113</v>
      </c>
      <c r="C1502" s="564">
        <v>380</v>
      </c>
    </row>
    <row r="1503" spans="1:3">
      <c r="A1503" s="563">
        <v>31</v>
      </c>
      <c r="B1503" s="564">
        <v>120</v>
      </c>
      <c r="C1503" s="564">
        <v>380</v>
      </c>
    </row>
    <row r="1504" spans="1:3">
      <c r="A1504" s="563">
        <v>31</v>
      </c>
      <c r="B1504" s="564">
        <v>127</v>
      </c>
      <c r="C1504" s="564">
        <v>380</v>
      </c>
    </row>
    <row r="1505" spans="1:3">
      <c r="A1505" s="563">
        <v>31</v>
      </c>
      <c r="B1505" s="564">
        <v>134</v>
      </c>
      <c r="C1505" s="564">
        <v>380</v>
      </c>
    </row>
    <row r="1506" spans="1:3">
      <c r="A1506" s="563">
        <v>31</v>
      </c>
      <c r="B1506" s="564">
        <v>141</v>
      </c>
      <c r="C1506" s="564">
        <v>359.99999999999994</v>
      </c>
    </row>
    <row r="1507" spans="1:3">
      <c r="A1507" s="563">
        <v>31</v>
      </c>
      <c r="B1507" s="564">
        <v>148</v>
      </c>
      <c r="C1507" s="564">
        <v>370</v>
      </c>
    </row>
    <row r="1508" spans="1:3">
      <c r="A1508" s="563">
        <v>31</v>
      </c>
      <c r="B1508" s="564">
        <v>155</v>
      </c>
      <c r="C1508" s="564">
        <v>356.70000000000005</v>
      </c>
    </row>
    <row r="1509" spans="1:3">
      <c r="A1509" s="563">
        <v>31</v>
      </c>
      <c r="B1509" s="564">
        <v>162</v>
      </c>
      <c r="C1509" s="564">
        <v>363.3</v>
      </c>
    </row>
    <row r="1510" spans="1:3">
      <c r="A1510" s="563">
        <v>31</v>
      </c>
      <c r="B1510" s="564">
        <v>178</v>
      </c>
      <c r="C1510" s="564">
        <v>370</v>
      </c>
    </row>
    <row r="1511" spans="1:3">
      <c r="A1511" s="563">
        <v>31</v>
      </c>
      <c r="B1511" s="564">
        <v>184</v>
      </c>
      <c r="C1511" s="564">
        <v>353.3</v>
      </c>
    </row>
    <row r="1512" spans="1:3">
      <c r="A1512" s="563">
        <v>31</v>
      </c>
      <c r="B1512" s="564">
        <v>244</v>
      </c>
      <c r="C1512" s="564">
        <v>373.3</v>
      </c>
    </row>
    <row r="1513" spans="1:3">
      <c r="A1513" s="563">
        <v>31</v>
      </c>
      <c r="B1513" s="564">
        <v>306</v>
      </c>
      <c r="C1513" s="564">
        <v>366.70000000000005</v>
      </c>
    </row>
    <row r="1514" spans="1:3">
      <c r="A1514" s="563">
        <v>31</v>
      </c>
      <c r="B1514" s="564">
        <v>365</v>
      </c>
      <c r="C1514" s="564">
        <v>363.3</v>
      </c>
    </row>
    <row r="1515" spans="1:3">
      <c r="A1515" s="563">
        <v>31</v>
      </c>
      <c r="B1515" s="564">
        <v>426</v>
      </c>
      <c r="C1515" s="564">
        <v>356.70000000000005</v>
      </c>
    </row>
    <row r="1516" spans="1:3">
      <c r="A1516" s="563">
        <v>31</v>
      </c>
      <c r="B1516" s="564">
        <v>487</v>
      </c>
      <c r="C1516" s="564">
        <v>353.3</v>
      </c>
    </row>
    <row r="1517" spans="1:3">
      <c r="A1517" s="565">
        <v>31</v>
      </c>
      <c r="B1517" s="566">
        <v>548</v>
      </c>
      <c r="C1517" s="566">
        <v>373.3</v>
      </c>
    </row>
    <row r="1518" spans="1:3">
      <c r="A1518" s="565">
        <v>31</v>
      </c>
      <c r="B1518" s="566">
        <v>609</v>
      </c>
      <c r="C1518" s="566">
        <v>363.3</v>
      </c>
    </row>
    <row r="1519" spans="1:3">
      <c r="A1519" s="565">
        <v>31</v>
      </c>
      <c r="B1519" s="566">
        <v>671</v>
      </c>
      <c r="C1519" s="566">
        <v>370</v>
      </c>
    </row>
    <row r="1520" spans="1:3">
      <c r="A1520" s="565">
        <v>31</v>
      </c>
      <c r="B1520" s="566">
        <v>731</v>
      </c>
      <c r="C1520" s="566">
        <v>356.70000000000005</v>
      </c>
    </row>
    <row r="1521" spans="1:3">
      <c r="A1521" s="565">
        <v>31</v>
      </c>
      <c r="B1521" s="566">
        <v>1090</v>
      </c>
      <c r="C1521" s="566">
        <v>375.6</v>
      </c>
    </row>
    <row r="1522" spans="1:3">
      <c r="A1522" s="565">
        <v>31</v>
      </c>
      <c r="B1522" s="566">
        <v>1118</v>
      </c>
      <c r="C1522" s="566">
        <v>353.3</v>
      </c>
    </row>
    <row r="1523" spans="1:3">
      <c r="A1523" s="565">
        <v>31</v>
      </c>
      <c r="B1523" s="566">
        <v>1179</v>
      </c>
      <c r="C1523" s="566">
        <v>359.99999999999994</v>
      </c>
    </row>
    <row r="1524" spans="1:3">
      <c r="A1524" s="565">
        <v>31</v>
      </c>
      <c r="B1524" s="566">
        <v>1244</v>
      </c>
      <c r="C1524" s="566">
        <v>361.1</v>
      </c>
    </row>
    <row r="1525" spans="1:3">
      <c r="A1525" s="565">
        <v>31</v>
      </c>
      <c r="B1525" s="566">
        <v>1318</v>
      </c>
      <c r="C1525" s="566">
        <v>347.79999999999995</v>
      </c>
    </row>
    <row r="1526" spans="1:3">
      <c r="A1526" s="565">
        <v>31</v>
      </c>
      <c r="B1526" s="566">
        <v>1377</v>
      </c>
      <c r="C1526" s="566">
        <v>350.00000000000006</v>
      </c>
    </row>
    <row r="1527" spans="1:3">
      <c r="A1527" s="565">
        <v>31</v>
      </c>
      <c r="B1527" s="566">
        <v>1476</v>
      </c>
      <c r="C1527" s="566">
        <v>348.9</v>
      </c>
    </row>
    <row r="1528" spans="1:3">
      <c r="A1528" s="565">
        <v>31</v>
      </c>
      <c r="B1528" s="566">
        <v>1567</v>
      </c>
      <c r="C1528" s="566">
        <v>354.4</v>
      </c>
    </row>
    <row r="1529" spans="1:3">
      <c r="A1529" s="565">
        <v>31</v>
      </c>
      <c r="B1529" s="566">
        <v>1659</v>
      </c>
      <c r="C1529" s="566">
        <v>356.70000000000005</v>
      </c>
    </row>
    <row r="1530" spans="1:3">
      <c r="A1530" s="565">
        <v>31</v>
      </c>
      <c r="B1530" s="566">
        <v>1751</v>
      </c>
      <c r="C1530" s="566">
        <v>357.8</v>
      </c>
    </row>
    <row r="1531" spans="1:3">
      <c r="A1531" s="565">
        <v>31</v>
      </c>
      <c r="B1531" s="566">
        <v>1882</v>
      </c>
      <c r="C1531" s="566">
        <v>361.1</v>
      </c>
    </row>
    <row r="1532" spans="1:3">
      <c r="A1532" s="565">
        <v>31</v>
      </c>
      <c r="B1532" s="566">
        <v>1973</v>
      </c>
      <c r="C1532" s="566">
        <v>356.70000000000005</v>
      </c>
    </row>
    <row r="1533" spans="1:3">
      <c r="A1533" s="565">
        <v>31</v>
      </c>
      <c r="B1533" s="566">
        <v>2076</v>
      </c>
      <c r="C1533" s="566">
        <v>363.3</v>
      </c>
    </row>
    <row r="1534" spans="1:3">
      <c r="A1534" s="565">
        <v>31</v>
      </c>
      <c r="B1534" s="566">
        <v>2174</v>
      </c>
      <c r="C1534" s="566">
        <v>363.3</v>
      </c>
    </row>
    <row r="1535" spans="1:3">
      <c r="A1535" s="565">
        <v>31</v>
      </c>
      <c r="B1535" s="566">
        <v>2280</v>
      </c>
      <c r="C1535" s="566">
        <v>358.9</v>
      </c>
    </row>
    <row r="1536" spans="1:3">
      <c r="A1536" s="565">
        <v>31</v>
      </c>
      <c r="B1536" s="566">
        <v>2443</v>
      </c>
      <c r="C1536" s="566">
        <v>353.3</v>
      </c>
    </row>
    <row r="1537" spans="1:3">
      <c r="A1537" s="565">
        <v>31</v>
      </c>
      <c r="B1537" s="566">
        <v>2553</v>
      </c>
      <c r="C1537" s="566">
        <v>350.00000000000006</v>
      </c>
    </row>
    <row r="1538" spans="1:3">
      <c r="A1538" s="565">
        <v>31</v>
      </c>
      <c r="B1538" s="566">
        <v>2707</v>
      </c>
      <c r="C1538" s="566">
        <v>359.99999999999994</v>
      </c>
    </row>
    <row r="1539" spans="1:3">
      <c r="A1539" s="565">
        <v>31</v>
      </c>
      <c r="B1539" s="566">
        <v>2823</v>
      </c>
      <c r="C1539" s="566">
        <v>343.29999999999995</v>
      </c>
    </row>
    <row r="1540" spans="1:3">
      <c r="A1540" s="565">
        <v>31</v>
      </c>
      <c r="B1540" s="566">
        <v>2926</v>
      </c>
      <c r="C1540" s="566">
        <v>343.29999999999995</v>
      </c>
    </row>
    <row r="1541" spans="1:3">
      <c r="A1541" s="565">
        <v>31</v>
      </c>
      <c r="B1541" s="566">
        <v>3014</v>
      </c>
      <c r="C1541" s="566">
        <v>343.29999999999995</v>
      </c>
    </row>
    <row r="1542" spans="1:3">
      <c r="A1542" s="565">
        <v>31</v>
      </c>
      <c r="B1542" s="566">
        <v>3177</v>
      </c>
      <c r="C1542" s="566">
        <v>343.29999999999995</v>
      </c>
    </row>
    <row r="1543" spans="1:3">
      <c r="A1543" s="565">
        <v>31</v>
      </c>
      <c r="B1543" s="566">
        <v>3263</v>
      </c>
      <c r="C1543" s="566">
        <v>338.90000000000003</v>
      </c>
    </row>
    <row r="1544" spans="1:3">
      <c r="A1544" s="561">
        <v>32</v>
      </c>
      <c r="B1544" s="562">
        <v>0</v>
      </c>
      <c r="C1544" s="562">
        <v>0</v>
      </c>
    </row>
    <row r="1545" spans="1:3">
      <c r="A1545" s="561">
        <v>32</v>
      </c>
      <c r="B1545" s="562">
        <v>10</v>
      </c>
      <c r="C1545" s="562">
        <v>226.7</v>
      </c>
    </row>
    <row r="1546" spans="1:3">
      <c r="A1546" s="561">
        <v>32</v>
      </c>
      <c r="B1546" s="562">
        <v>22</v>
      </c>
      <c r="C1546" s="562">
        <v>330</v>
      </c>
    </row>
    <row r="1547" spans="1:3">
      <c r="A1547" s="561">
        <v>32</v>
      </c>
      <c r="B1547" s="562">
        <v>43</v>
      </c>
      <c r="C1547" s="562">
        <v>433.3</v>
      </c>
    </row>
    <row r="1548" spans="1:3">
      <c r="A1548" s="561">
        <v>32</v>
      </c>
      <c r="B1548" s="562">
        <v>50</v>
      </c>
      <c r="C1548" s="562">
        <v>430</v>
      </c>
    </row>
    <row r="1549" spans="1:3">
      <c r="A1549" s="561">
        <v>32</v>
      </c>
      <c r="B1549" s="562">
        <v>59</v>
      </c>
      <c r="C1549" s="562">
        <v>426.70000000000005</v>
      </c>
    </row>
    <row r="1550" spans="1:3">
      <c r="A1550" s="561">
        <v>32</v>
      </c>
      <c r="B1550" s="562">
        <v>71</v>
      </c>
      <c r="C1550" s="562">
        <v>420</v>
      </c>
    </row>
    <row r="1551" spans="1:3">
      <c r="A1551" s="561">
        <v>32</v>
      </c>
      <c r="B1551" s="562">
        <v>78</v>
      </c>
      <c r="C1551" s="562">
        <v>430</v>
      </c>
    </row>
    <row r="1552" spans="1:3">
      <c r="A1552" s="561">
        <v>32</v>
      </c>
      <c r="B1552" s="562">
        <v>85</v>
      </c>
      <c r="C1552" s="562">
        <v>439.99999999999994</v>
      </c>
    </row>
    <row r="1553" spans="1:3">
      <c r="A1553" s="561">
        <v>32</v>
      </c>
      <c r="B1553" s="562">
        <v>92</v>
      </c>
      <c r="C1553" s="562">
        <v>466.70000000000005</v>
      </c>
    </row>
    <row r="1554" spans="1:3">
      <c r="A1554" s="561">
        <v>32</v>
      </c>
      <c r="B1554" s="562">
        <v>99</v>
      </c>
      <c r="C1554" s="562">
        <v>490.00000000000006</v>
      </c>
    </row>
    <row r="1555" spans="1:3">
      <c r="A1555" s="563">
        <v>32</v>
      </c>
      <c r="B1555" s="564">
        <v>106</v>
      </c>
      <c r="C1555" s="564">
        <v>476.69999999999993</v>
      </c>
    </row>
    <row r="1556" spans="1:3">
      <c r="A1556" s="563">
        <v>32</v>
      </c>
      <c r="B1556" s="564">
        <v>113</v>
      </c>
      <c r="C1556" s="564">
        <v>480</v>
      </c>
    </row>
    <row r="1557" spans="1:3">
      <c r="A1557" s="563">
        <v>32</v>
      </c>
      <c r="B1557" s="564">
        <v>120</v>
      </c>
      <c r="C1557" s="564">
        <v>480</v>
      </c>
    </row>
    <row r="1558" spans="1:3">
      <c r="A1558" s="563">
        <v>32</v>
      </c>
      <c r="B1558" s="564">
        <v>127</v>
      </c>
      <c r="C1558" s="564">
        <v>480</v>
      </c>
    </row>
    <row r="1559" spans="1:3">
      <c r="A1559" s="563">
        <v>32</v>
      </c>
      <c r="B1559" s="564">
        <v>134</v>
      </c>
      <c r="C1559" s="564">
        <v>480</v>
      </c>
    </row>
    <row r="1560" spans="1:3">
      <c r="A1560" s="563">
        <v>32</v>
      </c>
      <c r="B1560" s="564">
        <v>141</v>
      </c>
      <c r="C1560" s="564">
        <v>459.99999999999994</v>
      </c>
    </row>
    <row r="1561" spans="1:3">
      <c r="A1561" s="563">
        <v>32</v>
      </c>
      <c r="B1561" s="564">
        <v>148</v>
      </c>
      <c r="C1561" s="564">
        <v>466.70000000000005</v>
      </c>
    </row>
    <row r="1562" spans="1:3">
      <c r="A1562" s="563">
        <v>32</v>
      </c>
      <c r="B1562" s="564">
        <v>155</v>
      </c>
      <c r="C1562" s="564">
        <v>456.70000000000005</v>
      </c>
    </row>
    <row r="1563" spans="1:3">
      <c r="A1563" s="563">
        <v>32</v>
      </c>
      <c r="B1563" s="564">
        <v>162</v>
      </c>
      <c r="C1563" s="564">
        <v>466.70000000000005</v>
      </c>
    </row>
    <row r="1564" spans="1:3">
      <c r="A1564" s="563">
        <v>32</v>
      </c>
      <c r="B1564" s="564">
        <v>178</v>
      </c>
      <c r="C1564" s="564">
        <v>466.33000000000004</v>
      </c>
    </row>
    <row r="1565" spans="1:3">
      <c r="A1565" s="563">
        <v>32</v>
      </c>
      <c r="B1565" s="564">
        <v>184</v>
      </c>
      <c r="C1565" s="564">
        <v>446.70000000000005</v>
      </c>
    </row>
    <row r="1566" spans="1:3">
      <c r="A1566" s="563">
        <v>32</v>
      </c>
      <c r="B1566" s="564">
        <v>244</v>
      </c>
      <c r="C1566" s="564">
        <v>466.70000000000005</v>
      </c>
    </row>
    <row r="1567" spans="1:3">
      <c r="A1567" s="563">
        <v>32</v>
      </c>
      <c r="B1567" s="564">
        <v>306</v>
      </c>
      <c r="C1567" s="564">
        <v>456.70000000000005</v>
      </c>
    </row>
    <row r="1568" spans="1:3">
      <c r="A1568" s="563">
        <v>32</v>
      </c>
      <c r="B1568" s="564">
        <v>365</v>
      </c>
      <c r="C1568" s="564">
        <v>470</v>
      </c>
    </row>
    <row r="1569" spans="1:3">
      <c r="A1569" s="563">
        <v>32</v>
      </c>
      <c r="B1569" s="564">
        <v>426</v>
      </c>
      <c r="C1569" s="564">
        <v>463.3</v>
      </c>
    </row>
    <row r="1570" spans="1:3">
      <c r="A1570" s="563">
        <v>32</v>
      </c>
      <c r="B1570" s="564">
        <v>487</v>
      </c>
      <c r="C1570" s="564">
        <v>446.70000000000005</v>
      </c>
    </row>
    <row r="1571" spans="1:3">
      <c r="A1571" s="565">
        <v>32</v>
      </c>
      <c r="B1571" s="566">
        <v>548</v>
      </c>
      <c r="C1571" s="566">
        <v>466.70000000000005</v>
      </c>
    </row>
    <row r="1572" spans="1:3">
      <c r="A1572" s="565">
        <v>32</v>
      </c>
      <c r="B1572" s="566">
        <v>609</v>
      </c>
      <c r="C1572" s="566">
        <v>456.70000000000005</v>
      </c>
    </row>
    <row r="1573" spans="1:3">
      <c r="A1573" s="565">
        <v>32</v>
      </c>
      <c r="B1573" s="566">
        <v>671</v>
      </c>
      <c r="C1573" s="566">
        <v>446.70000000000005</v>
      </c>
    </row>
    <row r="1574" spans="1:3">
      <c r="A1574" s="565">
        <v>32</v>
      </c>
      <c r="B1574" s="566">
        <v>731</v>
      </c>
      <c r="C1574" s="566">
        <v>466.70000000000005</v>
      </c>
    </row>
    <row r="1575" spans="1:3">
      <c r="A1575" s="565">
        <v>32</v>
      </c>
      <c r="B1575" s="566">
        <v>1090</v>
      </c>
      <c r="C1575" s="566">
        <v>464.40000000000003</v>
      </c>
    </row>
    <row r="1576" spans="1:3">
      <c r="A1576" s="565">
        <v>32</v>
      </c>
      <c r="B1576" s="566">
        <v>1118</v>
      </c>
      <c r="C1576" s="566">
        <v>464.40000000000003</v>
      </c>
    </row>
    <row r="1577" spans="1:3">
      <c r="A1577" s="565">
        <v>32</v>
      </c>
      <c r="B1577" s="566">
        <v>1179</v>
      </c>
      <c r="C1577" s="566">
        <v>463.3</v>
      </c>
    </row>
    <row r="1578" spans="1:3">
      <c r="A1578" s="565">
        <v>32</v>
      </c>
      <c r="B1578" s="566">
        <v>1244</v>
      </c>
      <c r="C1578" s="566">
        <v>465.59999999999997</v>
      </c>
    </row>
    <row r="1579" spans="1:3">
      <c r="A1579" s="565">
        <v>32</v>
      </c>
      <c r="B1579" s="566">
        <v>1318</v>
      </c>
      <c r="C1579" s="566">
        <v>472.19999999999993</v>
      </c>
    </row>
    <row r="1580" spans="1:3">
      <c r="A1580" s="565">
        <v>32</v>
      </c>
      <c r="B1580" s="566">
        <v>1377</v>
      </c>
      <c r="C1580" s="566">
        <v>458.90000000000003</v>
      </c>
    </row>
    <row r="1581" spans="1:3">
      <c r="A1581" s="565">
        <v>32</v>
      </c>
      <c r="B1581" s="566">
        <v>1476</v>
      </c>
      <c r="C1581" s="566">
        <v>462.2</v>
      </c>
    </row>
    <row r="1582" spans="1:3">
      <c r="A1582" s="565">
        <v>32</v>
      </c>
      <c r="B1582" s="566">
        <v>1567</v>
      </c>
      <c r="C1582" s="566">
        <v>459.99999999999994</v>
      </c>
    </row>
    <row r="1583" spans="1:3">
      <c r="A1583" s="565">
        <v>32</v>
      </c>
      <c r="B1583" s="566">
        <v>1659</v>
      </c>
      <c r="C1583" s="566">
        <v>467.8</v>
      </c>
    </row>
    <row r="1584" spans="1:3">
      <c r="A1584" s="565">
        <v>32</v>
      </c>
      <c r="B1584" s="566">
        <v>1751</v>
      </c>
      <c r="C1584" s="566">
        <v>463.3</v>
      </c>
    </row>
    <row r="1585" spans="1:3">
      <c r="A1585" s="565">
        <v>32</v>
      </c>
      <c r="B1585" s="566">
        <v>1882</v>
      </c>
      <c r="C1585" s="566">
        <v>475.6</v>
      </c>
    </row>
    <row r="1586" spans="1:3">
      <c r="A1586" s="565">
        <v>32</v>
      </c>
      <c r="B1586" s="566">
        <v>1973</v>
      </c>
      <c r="C1586" s="566">
        <v>468.9</v>
      </c>
    </row>
    <row r="1587" spans="1:3">
      <c r="A1587" s="565">
        <v>32</v>
      </c>
      <c r="B1587" s="566">
        <v>2076</v>
      </c>
      <c r="C1587" s="566">
        <v>480</v>
      </c>
    </row>
    <row r="1588" spans="1:3">
      <c r="A1588" s="565">
        <v>32</v>
      </c>
      <c r="B1588" s="566">
        <v>2174</v>
      </c>
      <c r="C1588" s="566">
        <v>475.6</v>
      </c>
    </row>
    <row r="1589" spans="1:3">
      <c r="A1589" s="565">
        <v>32</v>
      </c>
      <c r="B1589" s="566">
        <v>2280</v>
      </c>
      <c r="C1589" s="566">
        <v>468.9</v>
      </c>
    </row>
    <row r="1590" spans="1:3">
      <c r="A1590" s="565">
        <v>32</v>
      </c>
      <c r="B1590" s="566">
        <v>2443</v>
      </c>
      <c r="C1590" s="566">
        <v>466.70000000000005</v>
      </c>
    </row>
    <row r="1591" spans="1:3">
      <c r="A1591" s="565">
        <v>32</v>
      </c>
      <c r="B1591" s="566">
        <v>2553</v>
      </c>
      <c r="C1591" s="566">
        <v>476.69999999999993</v>
      </c>
    </row>
    <row r="1592" spans="1:3">
      <c r="A1592" s="565">
        <v>32</v>
      </c>
      <c r="B1592" s="566">
        <v>2707</v>
      </c>
      <c r="C1592" s="566">
        <v>463.3</v>
      </c>
    </row>
    <row r="1593" spans="1:3">
      <c r="A1593" s="565">
        <v>32</v>
      </c>
      <c r="B1593" s="566">
        <v>2823</v>
      </c>
      <c r="C1593" s="566">
        <v>470</v>
      </c>
    </row>
    <row r="1594" spans="1:3">
      <c r="A1594" s="565">
        <v>32</v>
      </c>
      <c r="B1594" s="566">
        <v>2926</v>
      </c>
      <c r="C1594" s="566">
        <v>470</v>
      </c>
    </row>
    <row r="1595" spans="1:3">
      <c r="A1595" s="565">
        <v>32</v>
      </c>
      <c r="B1595" s="566">
        <v>3014</v>
      </c>
      <c r="C1595" s="566">
        <v>470</v>
      </c>
    </row>
    <row r="1596" spans="1:3">
      <c r="A1596" s="565">
        <v>32</v>
      </c>
      <c r="B1596" s="566">
        <v>3177</v>
      </c>
      <c r="C1596" s="566">
        <v>462.2</v>
      </c>
    </row>
    <row r="1597" spans="1:3">
      <c r="A1597" s="565">
        <v>32</v>
      </c>
      <c r="B1597" s="566">
        <v>3263</v>
      </c>
      <c r="C1597" s="566">
        <v>472.19999999999993</v>
      </c>
    </row>
    <row r="1598" spans="1:3">
      <c r="A1598" s="561">
        <v>33</v>
      </c>
      <c r="B1598" s="562">
        <v>0</v>
      </c>
      <c r="C1598" s="562">
        <v>0</v>
      </c>
    </row>
    <row r="1599" spans="1:3">
      <c r="A1599" s="561">
        <v>33</v>
      </c>
      <c r="B1599" s="562">
        <v>10</v>
      </c>
      <c r="C1599" s="562">
        <v>190</v>
      </c>
    </row>
    <row r="1600" spans="1:3">
      <c r="A1600" s="561">
        <v>33</v>
      </c>
      <c r="B1600" s="562">
        <v>22</v>
      </c>
      <c r="C1600" s="562">
        <v>276.7</v>
      </c>
    </row>
    <row r="1601" spans="1:3">
      <c r="A1601" s="561">
        <v>33</v>
      </c>
      <c r="B1601" s="562">
        <v>43</v>
      </c>
      <c r="C1601" s="562">
        <v>346.7</v>
      </c>
    </row>
    <row r="1602" spans="1:3">
      <c r="A1602" s="561">
        <v>33</v>
      </c>
      <c r="B1602" s="562">
        <v>50</v>
      </c>
      <c r="C1602" s="562">
        <v>350.00000000000006</v>
      </c>
    </row>
    <row r="1603" spans="1:3">
      <c r="A1603" s="561">
        <v>33</v>
      </c>
      <c r="B1603" s="562">
        <v>59</v>
      </c>
      <c r="C1603" s="562">
        <v>346.7</v>
      </c>
    </row>
    <row r="1604" spans="1:3">
      <c r="A1604" s="561">
        <v>33</v>
      </c>
      <c r="B1604" s="562">
        <v>71</v>
      </c>
      <c r="C1604" s="562">
        <v>333.29999999999995</v>
      </c>
    </row>
    <row r="1605" spans="1:3">
      <c r="A1605" s="561">
        <v>33</v>
      </c>
      <c r="B1605" s="562">
        <v>78</v>
      </c>
      <c r="C1605" s="562">
        <v>343.29999999999995</v>
      </c>
    </row>
    <row r="1606" spans="1:3">
      <c r="A1606" s="561">
        <v>33</v>
      </c>
      <c r="B1606" s="562">
        <v>85</v>
      </c>
      <c r="C1606" s="562">
        <v>356.70000000000005</v>
      </c>
    </row>
    <row r="1607" spans="1:3">
      <c r="A1607" s="561">
        <v>33</v>
      </c>
      <c r="B1607" s="562">
        <v>92</v>
      </c>
      <c r="C1607" s="562">
        <v>380</v>
      </c>
    </row>
    <row r="1608" spans="1:3">
      <c r="A1608" s="561">
        <v>33</v>
      </c>
      <c r="B1608" s="562">
        <v>99</v>
      </c>
      <c r="C1608" s="562">
        <v>396.7</v>
      </c>
    </row>
    <row r="1609" spans="1:3">
      <c r="A1609" s="563">
        <v>33</v>
      </c>
      <c r="B1609" s="564">
        <v>106</v>
      </c>
      <c r="C1609" s="564">
        <v>383.3</v>
      </c>
    </row>
    <row r="1610" spans="1:3">
      <c r="A1610" s="563">
        <v>33</v>
      </c>
      <c r="B1610" s="564">
        <v>113</v>
      </c>
      <c r="C1610" s="564">
        <v>390</v>
      </c>
    </row>
    <row r="1611" spans="1:3">
      <c r="A1611" s="563">
        <v>33</v>
      </c>
      <c r="B1611" s="564">
        <v>120</v>
      </c>
      <c r="C1611" s="564">
        <v>386.70000000000005</v>
      </c>
    </row>
    <row r="1612" spans="1:3">
      <c r="A1612" s="563">
        <v>33</v>
      </c>
      <c r="B1612" s="564">
        <v>127</v>
      </c>
      <c r="C1612" s="564">
        <v>383.3</v>
      </c>
    </row>
    <row r="1613" spans="1:3">
      <c r="A1613" s="563">
        <v>33</v>
      </c>
      <c r="B1613" s="564">
        <v>134</v>
      </c>
      <c r="C1613" s="564">
        <v>386.70000000000005</v>
      </c>
    </row>
    <row r="1614" spans="1:3">
      <c r="A1614" s="563">
        <v>33</v>
      </c>
      <c r="B1614" s="564">
        <v>141</v>
      </c>
      <c r="C1614" s="564">
        <v>370</v>
      </c>
    </row>
    <row r="1615" spans="1:3">
      <c r="A1615" s="563">
        <v>33</v>
      </c>
      <c r="B1615" s="564">
        <v>148</v>
      </c>
      <c r="C1615" s="564">
        <v>366.70000000000005</v>
      </c>
    </row>
    <row r="1616" spans="1:3">
      <c r="A1616" s="563">
        <v>33</v>
      </c>
      <c r="B1616" s="564">
        <v>155</v>
      </c>
      <c r="C1616" s="564">
        <v>363.3</v>
      </c>
    </row>
    <row r="1617" spans="1:3">
      <c r="A1617" s="563">
        <v>33</v>
      </c>
      <c r="B1617" s="564">
        <v>162</v>
      </c>
      <c r="C1617" s="564">
        <v>373.3</v>
      </c>
    </row>
    <row r="1618" spans="1:3">
      <c r="A1618" s="563">
        <v>33</v>
      </c>
      <c r="B1618" s="564">
        <v>178</v>
      </c>
      <c r="C1618" s="564">
        <v>373.3</v>
      </c>
    </row>
    <row r="1619" spans="1:3">
      <c r="A1619" s="563">
        <v>33</v>
      </c>
      <c r="B1619" s="564">
        <v>184</v>
      </c>
      <c r="C1619" s="564">
        <v>356.70000000000005</v>
      </c>
    </row>
    <row r="1620" spans="1:3">
      <c r="A1620" s="563">
        <v>33</v>
      </c>
      <c r="B1620" s="564">
        <v>244</v>
      </c>
      <c r="C1620" s="564">
        <v>376.70000000000005</v>
      </c>
    </row>
    <row r="1621" spans="1:3">
      <c r="A1621" s="563">
        <v>33</v>
      </c>
      <c r="B1621" s="564">
        <v>306</v>
      </c>
      <c r="C1621" s="564">
        <v>370</v>
      </c>
    </row>
    <row r="1622" spans="1:3">
      <c r="A1622" s="563">
        <v>33</v>
      </c>
      <c r="B1622" s="564">
        <v>365</v>
      </c>
      <c r="C1622" s="564">
        <v>370</v>
      </c>
    </row>
    <row r="1623" spans="1:3">
      <c r="A1623" s="563">
        <v>33</v>
      </c>
      <c r="B1623" s="564">
        <v>426</v>
      </c>
      <c r="C1623" s="564">
        <v>373.3</v>
      </c>
    </row>
    <row r="1624" spans="1:3">
      <c r="A1624" s="563">
        <v>33</v>
      </c>
      <c r="B1624" s="564">
        <v>487</v>
      </c>
      <c r="C1624" s="564">
        <v>373.3</v>
      </c>
    </row>
    <row r="1625" spans="1:3">
      <c r="A1625" s="565">
        <v>33</v>
      </c>
      <c r="B1625" s="566">
        <v>548</v>
      </c>
      <c r="C1625" s="566">
        <v>356.70000000000005</v>
      </c>
    </row>
    <row r="1626" spans="1:3">
      <c r="A1626" s="565">
        <v>33</v>
      </c>
      <c r="B1626" s="566">
        <v>609</v>
      </c>
      <c r="C1626" s="566">
        <v>370</v>
      </c>
    </row>
    <row r="1627" spans="1:3">
      <c r="A1627" s="565">
        <v>33</v>
      </c>
      <c r="B1627" s="566">
        <v>671</v>
      </c>
      <c r="C1627" s="566">
        <v>370</v>
      </c>
    </row>
    <row r="1628" spans="1:3">
      <c r="A1628" s="565">
        <v>33</v>
      </c>
      <c r="B1628" s="566">
        <v>731</v>
      </c>
      <c r="C1628" s="566">
        <v>376.70000000000005</v>
      </c>
    </row>
    <row r="1629" spans="1:3">
      <c r="A1629" s="565">
        <v>33</v>
      </c>
      <c r="B1629" s="566">
        <v>1090</v>
      </c>
      <c r="C1629" s="566">
        <v>363.3</v>
      </c>
    </row>
    <row r="1630" spans="1:3">
      <c r="A1630" s="565">
        <v>33</v>
      </c>
      <c r="B1630" s="566">
        <v>1118</v>
      </c>
      <c r="C1630" s="566">
        <v>361.1</v>
      </c>
    </row>
    <row r="1631" spans="1:3">
      <c r="A1631" s="565">
        <v>33</v>
      </c>
      <c r="B1631" s="566">
        <v>1179</v>
      </c>
      <c r="C1631" s="566">
        <v>361.1</v>
      </c>
    </row>
    <row r="1632" spans="1:3">
      <c r="A1632" s="565">
        <v>33</v>
      </c>
      <c r="B1632" s="566">
        <v>1244</v>
      </c>
      <c r="C1632" s="566">
        <v>365.6</v>
      </c>
    </row>
    <row r="1633" spans="1:3">
      <c r="A1633" s="565">
        <v>33</v>
      </c>
      <c r="B1633" s="566">
        <v>1318</v>
      </c>
      <c r="C1633" s="566">
        <v>363.3</v>
      </c>
    </row>
    <row r="1634" spans="1:3">
      <c r="A1634" s="565">
        <v>33</v>
      </c>
      <c r="B1634" s="566">
        <v>1377</v>
      </c>
      <c r="C1634" s="566">
        <v>366.70000000000005</v>
      </c>
    </row>
    <row r="1635" spans="1:3">
      <c r="A1635" s="565">
        <v>33</v>
      </c>
      <c r="B1635" s="566">
        <v>1476</v>
      </c>
      <c r="C1635" s="566">
        <v>370</v>
      </c>
    </row>
    <row r="1636" spans="1:3">
      <c r="A1636" s="565">
        <v>33</v>
      </c>
      <c r="B1636" s="566">
        <v>1567</v>
      </c>
      <c r="C1636" s="566">
        <v>362.20000000000005</v>
      </c>
    </row>
    <row r="1637" spans="1:3">
      <c r="A1637" s="565">
        <v>33</v>
      </c>
      <c r="B1637" s="566">
        <v>1659</v>
      </c>
      <c r="C1637" s="566">
        <v>362.20000000000005</v>
      </c>
    </row>
    <row r="1638" spans="1:3">
      <c r="A1638" s="565">
        <v>33</v>
      </c>
      <c r="B1638" s="566">
        <v>1751</v>
      </c>
      <c r="C1638" s="566">
        <v>365.6</v>
      </c>
    </row>
    <row r="1639" spans="1:3">
      <c r="A1639" s="565">
        <v>33</v>
      </c>
      <c r="B1639" s="566">
        <v>1882</v>
      </c>
      <c r="C1639" s="566">
        <v>367.8</v>
      </c>
    </row>
    <row r="1640" spans="1:3">
      <c r="A1640" s="565">
        <v>33</v>
      </c>
      <c r="B1640" s="566">
        <v>1973</v>
      </c>
      <c r="C1640" s="566">
        <v>363.3</v>
      </c>
    </row>
    <row r="1641" spans="1:3">
      <c r="A1641" s="565">
        <v>33</v>
      </c>
      <c r="B1641" s="566">
        <v>2076</v>
      </c>
      <c r="C1641" s="566">
        <v>364.40000000000003</v>
      </c>
    </row>
    <row r="1642" spans="1:3">
      <c r="A1642" s="565">
        <v>33</v>
      </c>
      <c r="B1642" s="566">
        <v>2174</v>
      </c>
      <c r="C1642" s="566">
        <v>371.09999999999997</v>
      </c>
    </row>
    <row r="1643" spans="1:3">
      <c r="A1643" s="565">
        <v>33</v>
      </c>
      <c r="B1643" s="566">
        <v>2280</v>
      </c>
      <c r="C1643" s="566">
        <v>366.70000000000005</v>
      </c>
    </row>
    <row r="1644" spans="1:3">
      <c r="A1644" s="565">
        <v>33</v>
      </c>
      <c r="B1644" s="566">
        <v>2443</v>
      </c>
      <c r="C1644" s="566">
        <v>363.3</v>
      </c>
    </row>
    <row r="1645" spans="1:3">
      <c r="A1645" s="565">
        <v>33</v>
      </c>
      <c r="B1645" s="566">
        <v>2553</v>
      </c>
      <c r="C1645" s="566">
        <v>366.70000000000005</v>
      </c>
    </row>
    <row r="1646" spans="1:3">
      <c r="A1646" s="565">
        <v>33</v>
      </c>
      <c r="B1646" s="566">
        <v>2707</v>
      </c>
      <c r="C1646" s="566">
        <v>359.99999999999994</v>
      </c>
    </row>
    <row r="1647" spans="1:3">
      <c r="A1647" s="565">
        <v>33</v>
      </c>
      <c r="B1647" s="566">
        <v>2823</v>
      </c>
      <c r="C1647" s="566">
        <v>358.9</v>
      </c>
    </row>
    <row r="1648" spans="1:3">
      <c r="A1648" s="565">
        <v>33</v>
      </c>
      <c r="B1648" s="566">
        <v>2926</v>
      </c>
      <c r="C1648" s="566">
        <v>358.9</v>
      </c>
    </row>
    <row r="1649" spans="1:3">
      <c r="A1649" s="565">
        <v>33</v>
      </c>
      <c r="B1649" s="566">
        <v>3013</v>
      </c>
      <c r="C1649" s="566">
        <v>358.9</v>
      </c>
    </row>
    <row r="1650" spans="1:3">
      <c r="A1650" s="565">
        <v>33</v>
      </c>
      <c r="B1650" s="566">
        <v>3176</v>
      </c>
      <c r="C1650" s="566">
        <v>359.99999999999994</v>
      </c>
    </row>
    <row r="1651" spans="1:3">
      <c r="A1651" s="565">
        <v>33</v>
      </c>
      <c r="B1651" s="566">
        <v>3262</v>
      </c>
      <c r="C1651" s="566">
        <v>361.1</v>
      </c>
    </row>
    <row r="1652" spans="1:3">
      <c r="A1652" s="561">
        <v>34</v>
      </c>
      <c r="B1652" s="562">
        <v>0</v>
      </c>
      <c r="C1652" s="562">
        <v>0</v>
      </c>
    </row>
    <row r="1653" spans="1:3">
      <c r="A1653" s="561">
        <v>34</v>
      </c>
      <c r="B1653" s="562">
        <v>8</v>
      </c>
      <c r="C1653" s="562">
        <v>150</v>
      </c>
    </row>
    <row r="1654" spans="1:3">
      <c r="A1654" s="561">
        <v>34</v>
      </c>
      <c r="B1654" s="562">
        <v>15</v>
      </c>
      <c r="C1654" s="562">
        <v>203.29999999999998</v>
      </c>
    </row>
    <row r="1655" spans="1:3">
      <c r="A1655" s="561">
        <v>34</v>
      </c>
      <c r="B1655" s="562">
        <v>24</v>
      </c>
      <c r="C1655" s="562">
        <v>243.30000000000004</v>
      </c>
    </row>
    <row r="1656" spans="1:3">
      <c r="A1656" s="561">
        <v>34</v>
      </c>
      <c r="B1656" s="562">
        <v>36</v>
      </c>
      <c r="C1656" s="562">
        <v>280</v>
      </c>
    </row>
    <row r="1657" spans="1:3">
      <c r="A1657" s="561">
        <v>34</v>
      </c>
      <c r="B1657" s="562">
        <v>43</v>
      </c>
      <c r="C1657" s="562">
        <v>300</v>
      </c>
    </row>
    <row r="1658" spans="1:3">
      <c r="A1658" s="561">
        <v>34</v>
      </c>
      <c r="B1658" s="562">
        <v>50</v>
      </c>
      <c r="C1658" s="562">
        <v>310</v>
      </c>
    </row>
    <row r="1659" spans="1:3">
      <c r="A1659" s="561">
        <v>34</v>
      </c>
      <c r="B1659" s="562">
        <v>57</v>
      </c>
      <c r="C1659" s="562">
        <v>363.3</v>
      </c>
    </row>
    <row r="1660" spans="1:3">
      <c r="A1660" s="561">
        <v>34</v>
      </c>
      <c r="B1660" s="562">
        <v>64</v>
      </c>
      <c r="C1660" s="562">
        <v>366.70000000000005</v>
      </c>
    </row>
    <row r="1661" spans="1:3">
      <c r="A1661" s="561">
        <v>34</v>
      </c>
      <c r="B1661" s="562">
        <v>71</v>
      </c>
      <c r="C1661" s="562">
        <v>366.70000000000005</v>
      </c>
    </row>
    <row r="1662" spans="1:3">
      <c r="A1662" s="561">
        <v>34</v>
      </c>
      <c r="B1662" s="562">
        <v>78</v>
      </c>
      <c r="C1662" s="562">
        <v>366.70000000000005</v>
      </c>
    </row>
    <row r="1663" spans="1:3">
      <c r="A1663" s="561">
        <v>34</v>
      </c>
      <c r="B1663" s="562">
        <v>85</v>
      </c>
      <c r="C1663" s="562">
        <v>373.3</v>
      </c>
    </row>
    <row r="1664" spans="1:3">
      <c r="A1664" s="561">
        <v>34</v>
      </c>
      <c r="B1664" s="562">
        <v>92</v>
      </c>
      <c r="C1664" s="562">
        <v>380</v>
      </c>
    </row>
    <row r="1665" spans="1:3">
      <c r="A1665" s="561">
        <v>34</v>
      </c>
      <c r="B1665" s="562">
        <v>99</v>
      </c>
      <c r="C1665" s="562">
        <v>386.70000000000005</v>
      </c>
    </row>
    <row r="1666" spans="1:3">
      <c r="A1666" s="563">
        <v>34</v>
      </c>
      <c r="B1666" s="564">
        <v>106</v>
      </c>
      <c r="C1666" s="564">
        <v>366.70000000000005</v>
      </c>
    </row>
    <row r="1667" spans="1:3">
      <c r="A1667" s="563">
        <v>34</v>
      </c>
      <c r="B1667" s="564">
        <v>113</v>
      </c>
      <c r="C1667" s="564">
        <v>373.3</v>
      </c>
    </row>
    <row r="1668" spans="1:3">
      <c r="A1668" s="563">
        <v>34</v>
      </c>
      <c r="B1668" s="564">
        <v>120</v>
      </c>
      <c r="C1668" s="564">
        <v>366.70000000000005</v>
      </c>
    </row>
    <row r="1669" spans="1:3">
      <c r="A1669" s="563">
        <v>34</v>
      </c>
      <c r="B1669" s="564">
        <v>127</v>
      </c>
      <c r="C1669" s="564">
        <v>376.70000000000005</v>
      </c>
    </row>
    <row r="1670" spans="1:3">
      <c r="A1670" s="563">
        <v>34</v>
      </c>
      <c r="B1670" s="564">
        <v>143</v>
      </c>
      <c r="C1670" s="564">
        <v>390</v>
      </c>
    </row>
    <row r="1671" spans="1:3">
      <c r="A1671" s="563">
        <v>34</v>
      </c>
      <c r="B1671" s="564">
        <v>149</v>
      </c>
      <c r="C1671" s="564">
        <v>373.3</v>
      </c>
    </row>
    <row r="1672" spans="1:3">
      <c r="A1672" s="563">
        <v>34</v>
      </c>
      <c r="B1672" s="564">
        <v>156</v>
      </c>
      <c r="C1672" s="564">
        <v>413.3</v>
      </c>
    </row>
    <row r="1673" spans="1:3">
      <c r="A1673" s="563">
        <v>34</v>
      </c>
      <c r="B1673" s="564">
        <v>176</v>
      </c>
      <c r="C1673" s="564">
        <v>396.7</v>
      </c>
    </row>
    <row r="1674" spans="1:3">
      <c r="A1674" s="563">
        <v>34</v>
      </c>
      <c r="B1674" s="564">
        <v>184</v>
      </c>
      <c r="C1674" s="564">
        <v>393.29999999999995</v>
      </c>
    </row>
    <row r="1675" spans="1:3">
      <c r="A1675" s="563">
        <v>34</v>
      </c>
      <c r="B1675" s="564">
        <v>236</v>
      </c>
      <c r="C1675" s="564">
        <v>403.29999999999995</v>
      </c>
    </row>
    <row r="1676" spans="1:3">
      <c r="A1676" s="563">
        <v>34</v>
      </c>
      <c r="B1676" s="564">
        <v>295</v>
      </c>
      <c r="C1676" s="564">
        <v>406.70000000000005</v>
      </c>
    </row>
    <row r="1677" spans="1:3">
      <c r="A1677" s="563">
        <v>34</v>
      </c>
      <c r="B1677" s="564">
        <v>356</v>
      </c>
      <c r="C1677" s="564">
        <v>406.70000000000005</v>
      </c>
    </row>
    <row r="1678" spans="1:3">
      <c r="A1678" s="563">
        <v>34</v>
      </c>
      <c r="B1678" s="564">
        <v>417</v>
      </c>
      <c r="C1678" s="564">
        <v>406.70000000000005</v>
      </c>
    </row>
    <row r="1679" spans="1:3">
      <c r="A1679" s="563">
        <v>34</v>
      </c>
      <c r="B1679" s="564">
        <v>479</v>
      </c>
      <c r="C1679" s="564">
        <v>393.29999999999995</v>
      </c>
    </row>
    <row r="1680" spans="1:3">
      <c r="A1680" s="565">
        <v>34</v>
      </c>
      <c r="B1680" s="566">
        <v>540</v>
      </c>
      <c r="C1680" s="566">
        <v>376.70000000000005</v>
      </c>
    </row>
    <row r="1681" spans="1:3">
      <c r="A1681" s="565">
        <v>34</v>
      </c>
      <c r="B1681" s="566">
        <v>601</v>
      </c>
      <c r="C1681" s="566">
        <v>406.70000000000005</v>
      </c>
    </row>
    <row r="1682" spans="1:3">
      <c r="A1682" s="565">
        <v>34</v>
      </c>
      <c r="B1682" s="566">
        <v>661</v>
      </c>
      <c r="C1682" s="566">
        <v>406.70000000000005</v>
      </c>
    </row>
    <row r="1683" spans="1:3">
      <c r="A1683" s="565">
        <v>34</v>
      </c>
      <c r="B1683" s="566">
        <v>873</v>
      </c>
      <c r="C1683" s="566">
        <v>470</v>
      </c>
    </row>
    <row r="1684" spans="1:3">
      <c r="A1684" s="565">
        <v>34</v>
      </c>
      <c r="B1684" s="566">
        <v>1055</v>
      </c>
      <c r="C1684" s="566">
        <v>464.40000000000003</v>
      </c>
    </row>
    <row r="1685" spans="1:3">
      <c r="A1685" s="565">
        <v>34</v>
      </c>
      <c r="B1685" s="566">
        <v>1083</v>
      </c>
      <c r="C1685" s="566">
        <v>458.90000000000003</v>
      </c>
    </row>
    <row r="1686" spans="1:3">
      <c r="A1686" s="565">
        <v>34</v>
      </c>
      <c r="B1686" s="566">
        <v>1144</v>
      </c>
      <c r="C1686" s="566">
        <v>455.6</v>
      </c>
    </row>
    <row r="1687" spans="1:3">
      <c r="A1687" s="565">
        <v>34</v>
      </c>
      <c r="B1687" s="566">
        <v>1209</v>
      </c>
      <c r="C1687" s="566">
        <v>461.09999999999997</v>
      </c>
    </row>
    <row r="1688" spans="1:3">
      <c r="A1688" s="565">
        <v>34</v>
      </c>
      <c r="B1688" s="566">
        <v>1283</v>
      </c>
      <c r="C1688" s="566">
        <v>451.1</v>
      </c>
    </row>
    <row r="1689" spans="1:3">
      <c r="A1689" s="565">
        <v>34</v>
      </c>
      <c r="B1689" s="566">
        <v>1342</v>
      </c>
      <c r="C1689" s="566">
        <v>456.70000000000005</v>
      </c>
    </row>
    <row r="1690" spans="1:3">
      <c r="A1690" s="565">
        <v>34</v>
      </c>
      <c r="B1690" s="566">
        <v>1441</v>
      </c>
      <c r="C1690" s="566">
        <v>442.20000000000005</v>
      </c>
    </row>
    <row r="1691" spans="1:3">
      <c r="A1691" s="565">
        <v>34</v>
      </c>
      <c r="B1691" s="566">
        <v>1532</v>
      </c>
      <c r="C1691" s="566">
        <v>432.2</v>
      </c>
    </row>
    <row r="1692" spans="1:3">
      <c r="A1692" s="565">
        <v>34</v>
      </c>
      <c r="B1692" s="566">
        <v>1624</v>
      </c>
      <c r="C1692" s="566">
        <v>426.70000000000005</v>
      </c>
    </row>
    <row r="1693" spans="1:3">
      <c r="A1693" s="565">
        <v>34</v>
      </c>
      <c r="B1693" s="566">
        <v>1716</v>
      </c>
      <c r="C1693" s="566">
        <v>423.29999999999995</v>
      </c>
    </row>
    <row r="1694" spans="1:3">
      <c r="A1694" s="565">
        <v>34</v>
      </c>
      <c r="B1694" s="566">
        <v>1847</v>
      </c>
      <c r="C1694" s="566">
        <v>430</v>
      </c>
    </row>
    <row r="1695" spans="1:3">
      <c r="A1695" s="565">
        <v>34</v>
      </c>
      <c r="B1695" s="566">
        <v>1938</v>
      </c>
      <c r="C1695" s="566">
        <v>427.79999999999995</v>
      </c>
    </row>
    <row r="1696" spans="1:3">
      <c r="A1696" s="565">
        <v>34</v>
      </c>
      <c r="B1696" s="566">
        <v>2041</v>
      </c>
      <c r="C1696" s="566">
        <v>430</v>
      </c>
    </row>
    <row r="1697" spans="1:3">
      <c r="A1697" s="565">
        <v>34</v>
      </c>
      <c r="B1697" s="566">
        <v>2139</v>
      </c>
      <c r="C1697" s="566">
        <v>427.79999999999995</v>
      </c>
    </row>
    <row r="1698" spans="1:3">
      <c r="A1698" s="565">
        <v>34</v>
      </c>
      <c r="B1698" s="566">
        <v>2245</v>
      </c>
      <c r="C1698" s="566">
        <v>426.70000000000005</v>
      </c>
    </row>
    <row r="1699" spans="1:3">
      <c r="A1699" s="565">
        <v>34</v>
      </c>
      <c r="B1699" s="566">
        <v>2408</v>
      </c>
      <c r="C1699" s="566">
        <v>420</v>
      </c>
    </row>
    <row r="1700" spans="1:3">
      <c r="A1700" s="565">
        <v>34</v>
      </c>
      <c r="B1700" s="566">
        <v>2518</v>
      </c>
      <c r="C1700" s="566">
        <v>430</v>
      </c>
    </row>
    <row r="1701" spans="1:3">
      <c r="A1701" s="565">
        <v>34</v>
      </c>
      <c r="B1701" s="566">
        <v>2672</v>
      </c>
      <c r="C1701" s="566">
        <v>416.7</v>
      </c>
    </row>
    <row r="1702" spans="1:3">
      <c r="A1702" s="565">
        <v>34</v>
      </c>
      <c r="B1702" s="566">
        <v>2788</v>
      </c>
      <c r="C1702" s="566">
        <v>417.8</v>
      </c>
    </row>
    <row r="1703" spans="1:3">
      <c r="A1703" s="565">
        <v>34</v>
      </c>
      <c r="B1703" s="566">
        <v>2891</v>
      </c>
      <c r="C1703" s="566">
        <v>417.8</v>
      </c>
    </row>
    <row r="1704" spans="1:3">
      <c r="A1704" s="565">
        <v>34</v>
      </c>
      <c r="B1704" s="566">
        <v>2980</v>
      </c>
      <c r="C1704" s="566">
        <v>387.8</v>
      </c>
    </row>
    <row r="1705" spans="1:3">
      <c r="A1705" s="565">
        <v>34</v>
      </c>
      <c r="B1705" s="566">
        <v>3143</v>
      </c>
      <c r="C1705" s="566">
        <v>387.8</v>
      </c>
    </row>
    <row r="1706" spans="1:3">
      <c r="A1706" s="565">
        <v>34</v>
      </c>
      <c r="B1706" s="566">
        <v>3229</v>
      </c>
      <c r="C1706" s="566">
        <v>388.90000000000003</v>
      </c>
    </row>
    <row r="1707" spans="1:3">
      <c r="A1707" s="550" t="s">
        <v>3635</v>
      </c>
      <c r="B1707" s="551">
        <v>1</v>
      </c>
      <c r="C1707" s="551">
        <v>61</v>
      </c>
    </row>
    <row r="1708" spans="1:3">
      <c r="A1708" s="550" t="s">
        <v>3635</v>
      </c>
      <c r="B1708" s="551">
        <v>2</v>
      </c>
      <c r="C1708" s="551">
        <v>86</v>
      </c>
    </row>
    <row r="1709" spans="1:3">
      <c r="A1709" s="550" t="s">
        <v>3635</v>
      </c>
      <c r="B1709" s="551">
        <v>3</v>
      </c>
      <c r="C1709" s="551">
        <v>103</v>
      </c>
    </row>
    <row r="1710" spans="1:3">
      <c r="A1710" s="550" t="s">
        <v>3635</v>
      </c>
      <c r="B1710" s="551">
        <v>7</v>
      </c>
      <c r="C1710" s="551">
        <v>122</v>
      </c>
    </row>
    <row r="1711" spans="1:3">
      <c r="A1711" s="550" t="s">
        <v>3635</v>
      </c>
      <c r="B1711" s="551">
        <v>14</v>
      </c>
      <c r="C1711" s="551">
        <v>153</v>
      </c>
    </row>
    <row r="1712" spans="1:3">
      <c r="A1712" s="550" t="s">
        <v>3635</v>
      </c>
      <c r="B1712" s="551">
        <v>21</v>
      </c>
      <c r="C1712" s="551">
        <v>200</v>
      </c>
    </row>
    <row r="1713" spans="1:3">
      <c r="A1713" s="550" t="s">
        <v>3635</v>
      </c>
      <c r="B1713" s="551">
        <v>28</v>
      </c>
      <c r="C1713" s="551">
        <v>239</v>
      </c>
    </row>
    <row r="1714" spans="1:3">
      <c r="A1714" s="550" t="s">
        <v>3635</v>
      </c>
      <c r="B1714" s="551">
        <v>56</v>
      </c>
      <c r="C1714" s="551">
        <v>284</v>
      </c>
    </row>
    <row r="1715" spans="1:3">
      <c r="A1715" s="550" t="s">
        <v>3635</v>
      </c>
      <c r="B1715" s="551">
        <v>84</v>
      </c>
      <c r="C1715" s="551">
        <v>337</v>
      </c>
    </row>
    <row r="1716" spans="1:3">
      <c r="A1716" s="552" t="s">
        <v>3635</v>
      </c>
      <c r="B1716" s="553">
        <v>112</v>
      </c>
      <c r="C1716" s="553">
        <v>345</v>
      </c>
    </row>
    <row r="1717" spans="1:3">
      <c r="A1717" s="552" t="s">
        <v>3635</v>
      </c>
      <c r="B1717" s="553">
        <v>140</v>
      </c>
      <c r="C1717" s="553">
        <v>370</v>
      </c>
    </row>
    <row r="1718" spans="1:3">
      <c r="A1718" s="552" t="s">
        <v>3635</v>
      </c>
      <c r="B1718" s="553">
        <v>168</v>
      </c>
      <c r="C1718" s="553">
        <v>409</v>
      </c>
    </row>
    <row r="1719" spans="1:3">
      <c r="A1719" s="550" t="s">
        <v>3636</v>
      </c>
      <c r="B1719" s="551">
        <v>1</v>
      </c>
      <c r="C1719" s="551">
        <v>92</v>
      </c>
    </row>
    <row r="1720" spans="1:3">
      <c r="A1720" s="550" t="s">
        <v>3636</v>
      </c>
      <c r="B1720" s="551">
        <v>2</v>
      </c>
      <c r="C1720" s="551">
        <v>100</v>
      </c>
    </row>
    <row r="1721" spans="1:3">
      <c r="A1721" s="550" t="s">
        <v>3636</v>
      </c>
      <c r="B1721" s="551">
        <v>3</v>
      </c>
      <c r="C1721" s="551">
        <v>120</v>
      </c>
    </row>
    <row r="1722" spans="1:3">
      <c r="A1722" s="550" t="s">
        <v>3636</v>
      </c>
      <c r="B1722" s="551">
        <v>7</v>
      </c>
      <c r="C1722" s="551">
        <v>145</v>
      </c>
    </row>
    <row r="1723" spans="1:3">
      <c r="A1723" s="550" t="s">
        <v>3636</v>
      </c>
      <c r="B1723" s="551">
        <v>14</v>
      </c>
      <c r="C1723" s="551">
        <v>170</v>
      </c>
    </row>
    <row r="1724" spans="1:3">
      <c r="A1724" s="550" t="s">
        <v>3636</v>
      </c>
      <c r="B1724" s="551">
        <v>21</v>
      </c>
      <c r="C1724" s="551">
        <v>195</v>
      </c>
    </row>
    <row r="1725" spans="1:3">
      <c r="A1725" s="550" t="s">
        <v>3636</v>
      </c>
      <c r="B1725" s="551">
        <v>28</v>
      </c>
      <c r="C1725" s="551">
        <v>237</v>
      </c>
    </row>
    <row r="1726" spans="1:3">
      <c r="A1726" s="550" t="s">
        <v>3636</v>
      </c>
      <c r="B1726" s="551">
        <v>56</v>
      </c>
      <c r="C1726" s="551">
        <v>259</v>
      </c>
    </row>
    <row r="1727" spans="1:3">
      <c r="A1727" s="550" t="s">
        <v>3636</v>
      </c>
      <c r="B1727" s="551">
        <v>84</v>
      </c>
      <c r="C1727" s="551">
        <v>306</v>
      </c>
    </row>
    <row r="1728" spans="1:3">
      <c r="A1728" s="552" t="s">
        <v>3636</v>
      </c>
      <c r="B1728" s="553">
        <v>112</v>
      </c>
      <c r="C1728" s="553">
        <v>340</v>
      </c>
    </row>
    <row r="1729" spans="1:3">
      <c r="A1729" s="552" t="s">
        <v>3636</v>
      </c>
      <c r="B1729" s="553">
        <v>140</v>
      </c>
      <c r="C1729" s="553">
        <v>362</v>
      </c>
    </row>
    <row r="1730" spans="1:3">
      <c r="A1730" s="552" t="s">
        <v>3636</v>
      </c>
      <c r="B1730" s="553">
        <v>168</v>
      </c>
      <c r="C1730" s="553">
        <v>392</v>
      </c>
    </row>
    <row r="1731" spans="1:3">
      <c r="A1731" s="550" t="s">
        <v>3637</v>
      </c>
      <c r="B1731" s="551">
        <v>2</v>
      </c>
      <c r="C1731" s="551">
        <v>103</v>
      </c>
    </row>
    <row r="1732" spans="1:3">
      <c r="A1732" s="550" t="s">
        <v>3637</v>
      </c>
      <c r="B1732" s="551">
        <v>3</v>
      </c>
      <c r="C1732" s="551">
        <v>156</v>
      </c>
    </row>
    <row r="1733" spans="1:3">
      <c r="A1733" s="550" t="s">
        <v>3637</v>
      </c>
      <c r="B1733" s="551">
        <v>7</v>
      </c>
      <c r="C1733" s="551">
        <v>186</v>
      </c>
    </row>
    <row r="1734" spans="1:3">
      <c r="A1734" s="550" t="s">
        <v>3637</v>
      </c>
      <c r="B1734" s="551">
        <v>14</v>
      </c>
      <c r="C1734" s="551">
        <v>181</v>
      </c>
    </row>
    <row r="1735" spans="1:3">
      <c r="A1735" s="550" t="s">
        <v>3637</v>
      </c>
      <c r="B1735" s="551">
        <v>21</v>
      </c>
      <c r="C1735" s="551">
        <v>214</v>
      </c>
    </row>
    <row r="1736" spans="1:3">
      <c r="A1736" s="550" t="s">
        <v>3637</v>
      </c>
      <c r="B1736" s="551">
        <v>28</v>
      </c>
      <c r="C1736" s="551">
        <v>231</v>
      </c>
    </row>
    <row r="1737" spans="1:3">
      <c r="A1737" s="550" t="s">
        <v>3637</v>
      </c>
      <c r="B1737" s="551">
        <v>56</v>
      </c>
      <c r="C1737" s="551">
        <v>289</v>
      </c>
    </row>
    <row r="1738" spans="1:3">
      <c r="A1738" s="550" t="s">
        <v>3637</v>
      </c>
      <c r="B1738" s="551">
        <v>84</v>
      </c>
      <c r="C1738" s="551">
        <v>328</v>
      </c>
    </row>
    <row r="1739" spans="1:3">
      <c r="A1739" s="552" t="s">
        <v>3637</v>
      </c>
      <c r="B1739" s="553">
        <v>112</v>
      </c>
      <c r="C1739" s="553">
        <v>365</v>
      </c>
    </row>
    <row r="1740" spans="1:3">
      <c r="A1740" s="552" t="s">
        <v>3637</v>
      </c>
      <c r="B1740" s="553">
        <v>140</v>
      </c>
      <c r="C1740" s="553">
        <v>406</v>
      </c>
    </row>
    <row r="1741" spans="1:3">
      <c r="A1741" s="552" t="s">
        <v>3637</v>
      </c>
      <c r="B1741" s="553">
        <v>168</v>
      </c>
      <c r="C1741" s="553">
        <v>459</v>
      </c>
    </row>
    <row r="1742" spans="1:3">
      <c r="A1742" s="550" t="s">
        <v>3685</v>
      </c>
      <c r="B1742" s="551">
        <v>1</v>
      </c>
      <c r="C1742" s="551">
        <v>95</v>
      </c>
    </row>
    <row r="1743" spans="1:3">
      <c r="A1743" s="550" t="s">
        <v>3685</v>
      </c>
      <c r="B1743" s="551">
        <v>2</v>
      </c>
      <c r="C1743" s="551">
        <v>128</v>
      </c>
    </row>
    <row r="1744" spans="1:3">
      <c r="A1744" s="550" t="s">
        <v>3685</v>
      </c>
      <c r="B1744" s="551">
        <v>3</v>
      </c>
      <c r="C1744" s="551">
        <v>150</v>
      </c>
    </row>
    <row r="1745" spans="1:3">
      <c r="A1745" s="550" t="s">
        <v>3685</v>
      </c>
      <c r="B1745" s="551">
        <v>7</v>
      </c>
      <c r="C1745" s="551">
        <v>178</v>
      </c>
    </row>
    <row r="1746" spans="1:3">
      <c r="A1746" s="550" t="s">
        <v>3685</v>
      </c>
      <c r="B1746" s="551">
        <v>14</v>
      </c>
      <c r="C1746" s="551">
        <v>192</v>
      </c>
    </row>
    <row r="1747" spans="1:3">
      <c r="A1747" s="550" t="s">
        <v>3685</v>
      </c>
      <c r="B1747" s="551">
        <v>21</v>
      </c>
      <c r="C1747" s="551">
        <v>223</v>
      </c>
    </row>
    <row r="1748" spans="1:3">
      <c r="A1748" s="550" t="s">
        <v>3685</v>
      </c>
      <c r="B1748" s="551">
        <v>28</v>
      </c>
      <c r="C1748" s="551">
        <v>262</v>
      </c>
    </row>
    <row r="1749" spans="1:3">
      <c r="A1749" s="550" t="s">
        <v>3685</v>
      </c>
      <c r="B1749" s="551">
        <v>56</v>
      </c>
      <c r="C1749" s="551">
        <v>317</v>
      </c>
    </row>
    <row r="1750" spans="1:3">
      <c r="A1750" s="550" t="s">
        <v>3685</v>
      </c>
      <c r="B1750" s="551">
        <v>84</v>
      </c>
      <c r="C1750" s="551">
        <v>370</v>
      </c>
    </row>
    <row r="1751" spans="1:3">
      <c r="A1751" s="552" t="s">
        <v>3685</v>
      </c>
      <c r="B1751" s="553">
        <v>112</v>
      </c>
      <c r="C1751" s="553">
        <v>398</v>
      </c>
    </row>
    <row r="1752" spans="1:3">
      <c r="A1752" s="552" t="s">
        <v>3685</v>
      </c>
      <c r="B1752" s="553">
        <v>140</v>
      </c>
      <c r="C1752" s="553">
        <v>470</v>
      </c>
    </row>
    <row r="1753" spans="1:3">
      <c r="A1753" s="552" t="s">
        <v>3685</v>
      </c>
      <c r="B1753" s="553">
        <v>168</v>
      </c>
      <c r="C1753" s="553">
        <v>518</v>
      </c>
    </row>
    <row r="1754" spans="1:3">
      <c r="A1754" s="550" t="s">
        <v>3638</v>
      </c>
      <c r="B1754" s="551">
        <v>1</v>
      </c>
      <c r="C1754" s="551">
        <v>86</v>
      </c>
    </row>
    <row r="1755" spans="1:3">
      <c r="A1755" s="550" t="s">
        <v>3638</v>
      </c>
      <c r="B1755" s="551">
        <v>2</v>
      </c>
      <c r="C1755" s="551">
        <v>89</v>
      </c>
    </row>
    <row r="1756" spans="1:3">
      <c r="A1756" s="550" t="s">
        <v>3638</v>
      </c>
      <c r="B1756" s="551">
        <v>3</v>
      </c>
      <c r="C1756" s="551">
        <v>106</v>
      </c>
    </row>
    <row r="1757" spans="1:3">
      <c r="A1757" s="550" t="s">
        <v>3638</v>
      </c>
      <c r="B1757" s="551">
        <v>7</v>
      </c>
      <c r="C1757" s="551">
        <v>139</v>
      </c>
    </row>
    <row r="1758" spans="1:3">
      <c r="A1758" s="550" t="s">
        <v>3638</v>
      </c>
      <c r="B1758" s="551">
        <v>14</v>
      </c>
      <c r="C1758" s="551">
        <v>156</v>
      </c>
    </row>
    <row r="1759" spans="1:3">
      <c r="A1759" s="550" t="s">
        <v>3638</v>
      </c>
      <c r="B1759" s="551">
        <v>21</v>
      </c>
      <c r="C1759" s="551">
        <v>184</v>
      </c>
    </row>
    <row r="1760" spans="1:3">
      <c r="A1760" s="550" t="s">
        <v>3638</v>
      </c>
      <c r="B1760" s="551">
        <v>28</v>
      </c>
      <c r="C1760" s="551">
        <v>228</v>
      </c>
    </row>
    <row r="1761" spans="1:3">
      <c r="A1761" s="550" t="s">
        <v>3638</v>
      </c>
      <c r="B1761" s="551">
        <v>56</v>
      </c>
      <c r="C1761" s="551">
        <v>242</v>
      </c>
    </row>
    <row r="1762" spans="1:3">
      <c r="A1762" s="550" t="s">
        <v>3638</v>
      </c>
      <c r="B1762" s="551">
        <v>84</v>
      </c>
      <c r="C1762" s="551">
        <v>289</v>
      </c>
    </row>
    <row r="1763" spans="1:3">
      <c r="A1763" s="552" t="s">
        <v>3638</v>
      </c>
      <c r="B1763" s="553">
        <v>112</v>
      </c>
      <c r="C1763" s="553">
        <v>317</v>
      </c>
    </row>
    <row r="1764" spans="1:3">
      <c r="A1764" s="552" t="s">
        <v>3638</v>
      </c>
      <c r="B1764" s="553">
        <v>140</v>
      </c>
      <c r="C1764" s="553">
        <v>331</v>
      </c>
    </row>
    <row r="1765" spans="1:3">
      <c r="A1765" s="552" t="s">
        <v>3638</v>
      </c>
      <c r="B1765" s="553">
        <v>168</v>
      </c>
      <c r="C1765" s="553">
        <v>362</v>
      </c>
    </row>
    <row r="1766" spans="1:3">
      <c r="A1766" s="550" t="s">
        <v>3686</v>
      </c>
      <c r="B1766" s="551">
        <v>1</v>
      </c>
      <c r="C1766" s="551">
        <v>39</v>
      </c>
    </row>
    <row r="1767" spans="1:3">
      <c r="A1767" s="550" t="s">
        <v>3686</v>
      </c>
      <c r="B1767" s="551">
        <v>2</v>
      </c>
      <c r="C1767" s="551">
        <v>72</v>
      </c>
    </row>
    <row r="1768" spans="1:3">
      <c r="A1768" s="550" t="s">
        <v>3686</v>
      </c>
      <c r="B1768" s="551">
        <v>3</v>
      </c>
      <c r="C1768" s="551">
        <v>78</v>
      </c>
    </row>
    <row r="1769" spans="1:3">
      <c r="A1769" s="550" t="s">
        <v>3686</v>
      </c>
      <c r="B1769" s="551">
        <v>7</v>
      </c>
      <c r="C1769" s="551">
        <v>106</v>
      </c>
    </row>
    <row r="1770" spans="1:3">
      <c r="A1770" s="550" t="s">
        <v>3686</v>
      </c>
      <c r="B1770" s="551">
        <v>14</v>
      </c>
      <c r="C1770" s="551">
        <v>148</v>
      </c>
    </row>
    <row r="1771" spans="1:3">
      <c r="A1771" s="550" t="s">
        <v>3686</v>
      </c>
      <c r="B1771" s="551">
        <v>21</v>
      </c>
      <c r="C1771" s="551">
        <v>175</v>
      </c>
    </row>
    <row r="1772" spans="1:3">
      <c r="A1772" s="550" t="s">
        <v>3686</v>
      </c>
      <c r="B1772" s="551">
        <v>28</v>
      </c>
      <c r="C1772" s="551">
        <v>237</v>
      </c>
    </row>
    <row r="1773" spans="1:3">
      <c r="A1773" s="550" t="s">
        <v>3686</v>
      </c>
      <c r="B1773" s="551">
        <v>56</v>
      </c>
      <c r="C1773" s="551">
        <v>239</v>
      </c>
    </row>
    <row r="1774" spans="1:3">
      <c r="A1774" s="550" t="s">
        <v>3686</v>
      </c>
      <c r="B1774" s="551">
        <v>84</v>
      </c>
      <c r="C1774" s="551">
        <v>242</v>
      </c>
    </row>
    <row r="1775" spans="1:3">
      <c r="A1775" s="552" t="s">
        <v>3686</v>
      </c>
      <c r="B1775" s="553">
        <v>112</v>
      </c>
      <c r="C1775" s="553">
        <v>270</v>
      </c>
    </row>
    <row r="1776" spans="1:3">
      <c r="A1776" s="552" t="s">
        <v>3686</v>
      </c>
      <c r="B1776" s="553">
        <v>140</v>
      </c>
      <c r="C1776" s="553">
        <v>287</v>
      </c>
    </row>
    <row r="1777" spans="1:3">
      <c r="A1777" s="552" t="s">
        <v>3686</v>
      </c>
      <c r="B1777" s="553">
        <v>168</v>
      </c>
      <c r="C1777" s="553">
        <v>309</v>
      </c>
    </row>
    <row r="1778" spans="1:3">
      <c r="A1778" s="550" t="s">
        <v>3639</v>
      </c>
      <c r="B1778" s="551">
        <v>1</v>
      </c>
      <c r="C1778" s="551">
        <v>45</v>
      </c>
    </row>
    <row r="1779" spans="1:3">
      <c r="A1779" s="550" t="s">
        <v>3639</v>
      </c>
      <c r="B1779" s="551">
        <v>2</v>
      </c>
      <c r="C1779" s="551">
        <v>64</v>
      </c>
    </row>
    <row r="1780" spans="1:3">
      <c r="A1780" s="550" t="s">
        <v>3639</v>
      </c>
      <c r="B1780" s="551">
        <v>3</v>
      </c>
      <c r="C1780" s="551">
        <v>70</v>
      </c>
    </row>
    <row r="1781" spans="1:3">
      <c r="A1781" s="550" t="s">
        <v>3639</v>
      </c>
      <c r="B1781" s="551">
        <v>7</v>
      </c>
      <c r="C1781" s="551">
        <v>81</v>
      </c>
    </row>
    <row r="1782" spans="1:3">
      <c r="A1782" s="550" t="s">
        <v>3639</v>
      </c>
      <c r="B1782" s="551">
        <v>14</v>
      </c>
      <c r="C1782" s="551">
        <v>117</v>
      </c>
    </row>
    <row r="1783" spans="1:3">
      <c r="A1783" s="550" t="s">
        <v>3639</v>
      </c>
      <c r="B1783" s="551">
        <v>21</v>
      </c>
      <c r="C1783" s="551">
        <v>148</v>
      </c>
    </row>
    <row r="1784" spans="1:3">
      <c r="A1784" s="550" t="s">
        <v>3639</v>
      </c>
      <c r="B1784" s="551">
        <v>28</v>
      </c>
      <c r="C1784" s="551">
        <v>206</v>
      </c>
    </row>
    <row r="1785" spans="1:3">
      <c r="A1785" s="550" t="s">
        <v>3639</v>
      </c>
      <c r="B1785" s="551">
        <v>56</v>
      </c>
      <c r="C1785" s="551">
        <v>220</v>
      </c>
    </row>
    <row r="1786" spans="1:3">
      <c r="A1786" s="550" t="s">
        <v>3639</v>
      </c>
      <c r="B1786" s="551">
        <v>84</v>
      </c>
      <c r="C1786" s="551">
        <v>228</v>
      </c>
    </row>
    <row r="1787" spans="1:3">
      <c r="A1787" s="552" t="s">
        <v>3639</v>
      </c>
      <c r="B1787" s="553">
        <v>112</v>
      </c>
      <c r="C1787" s="553">
        <v>245</v>
      </c>
    </row>
    <row r="1788" spans="1:3">
      <c r="A1788" s="552" t="s">
        <v>3639</v>
      </c>
      <c r="B1788" s="553">
        <v>140</v>
      </c>
      <c r="C1788" s="553">
        <v>262</v>
      </c>
    </row>
    <row r="1789" spans="1:3">
      <c r="A1789" s="552" t="s">
        <v>3639</v>
      </c>
      <c r="B1789" s="553">
        <v>168</v>
      </c>
      <c r="C1789" s="553">
        <v>281</v>
      </c>
    </row>
    <row r="1790" spans="1:3">
      <c r="A1790" s="550" t="s">
        <v>3687</v>
      </c>
      <c r="B1790" s="551">
        <v>1</v>
      </c>
      <c r="C1790" s="551">
        <v>42</v>
      </c>
    </row>
    <row r="1791" spans="1:3">
      <c r="A1791" s="550" t="s">
        <v>3687</v>
      </c>
      <c r="B1791" s="551">
        <v>2</v>
      </c>
      <c r="C1791" s="551">
        <v>64</v>
      </c>
    </row>
    <row r="1792" spans="1:3">
      <c r="A1792" s="550" t="s">
        <v>3687</v>
      </c>
      <c r="B1792" s="551">
        <v>3</v>
      </c>
      <c r="C1792" s="551">
        <v>81</v>
      </c>
    </row>
    <row r="1793" spans="1:3">
      <c r="A1793" s="550" t="s">
        <v>3687</v>
      </c>
      <c r="B1793" s="551">
        <v>7</v>
      </c>
      <c r="C1793" s="551">
        <v>109</v>
      </c>
    </row>
    <row r="1794" spans="1:3">
      <c r="A1794" s="550" t="s">
        <v>3687</v>
      </c>
      <c r="B1794" s="551">
        <v>14</v>
      </c>
      <c r="C1794" s="551">
        <v>134</v>
      </c>
    </row>
    <row r="1795" spans="1:3">
      <c r="A1795" s="550" t="s">
        <v>3687</v>
      </c>
      <c r="B1795" s="551">
        <v>21</v>
      </c>
      <c r="C1795" s="551">
        <v>209</v>
      </c>
    </row>
    <row r="1796" spans="1:3">
      <c r="A1796" s="550" t="s">
        <v>3687</v>
      </c>
      <c r="B1796" s="551">
        <v>28</v>
      </c>
      <c r="C1796" s="551">
        <v>217</v>
      </c>
    </row>
    <row r="1797" spans="1:3">
      <c r="A1797" s="550" t="s">
        <v>3687</v>
      </c>
      <c r="B1797" s="551">
        <v>56</v>
      </c>
      <c r="C1797" s="551">
        <v>242</v>
      </c>
    </row>
    <row r="1798" spans="1:3">
      <c r="A1798" s="550" t="s">
        <v>3687</v>
      </c>
      <c r="B1798" s="551">
        <v>84</v>
      </c>
      <c r="C1798" s="551">
        <v>267</v>
      </c>
    </row>
    <row r="1799" spans="1:3">
      <c r="A1799" s="552" t="s">
        <v>3687</v>
      </c>
      <c r="B1799" s="553">
        <v>112</v>
      </c>
      <c r="C1799" s="553">
        <v>281</v>
      </c>
    </row>
    <row r="1800" spans="1:3">
      <c r="A1800" s="552" t="s">
        <v>3687</v>
      </c>
      <c r="B1800" s="553">
        <v>140</v>
      </c>
      <c r="C1800" s="553">
        <v>317</v>
      </c>
    </row>
    <row r="1801" spans="1:3">
      <c r="A1801" s="552" t="s">
        <v>3687</v>
      </c>
      <c r="B1801" s="553">
        <v>168</v>
      </c>
      <c r="C1801" s="553">
        <v>345</v>
      </c>
    </row>
    <row r="1802" spans="1:3">
      <c r="A1802" s="550" t="s">
        <v>3640</v>
      </c>
      <c r="B1802" s="551">
        <v>1</v>
      </c>
      <c r="C1802" s="551">
        <v>67</v>
      </c>
    </row>
    <row r="1803" spans="1:3">
      <c r="A1803" s="550" t="s">
        <v>3640</v>
      </c>
      <c r="B1803" s="551">
        <v>2</v>
      </c>
      <c r="C1803" s="551">
        <v>92</v>
      </c>
    </row>
    <row r="1804" spans="1:3">
      <c r="A1804" s="550" t="s">
        <v>3640</v>
      </c>
      <c r="B1804" s="551">
        <v>3</v>
      </c>
      <c r="C1804" s="551">
        <v>95</v>
      </c>
    </row>
    <row r="1805" spans="1:3">
      <c r="A1805" s="550" t="s">
        <v>3640</v>
      </c>
      <c r="B1805" s="551">
        <v>7</v>
      </c>
      <c r="C1805" s="551">
        <v>100</v>
      </c>
    </row>
    <row r="1806" spans="1:3">
      <c r="A1806" s="550" t="s">
        <v>3640</v>
      </c>
      <c r="B1806" s="551">
        <v>14</v>
      </c>
      <c r="C1806" s="551">
        <v>184</v>
      </c>
    </row>
    <row r="1807" spans="1:3">
      <c r="A1807" s="550" t="s">
        <v>3640</v>
      </c>
      <c r="B1807" s="551">
        <v>21</v>
      </c>
      <c r="C1807" s="551">
        <v>186</v>
      </c>
    </row>
    <row r="1808" spans="1:3">
      <c r="A1808" s="550" t="s">
        <v>3640</v>
      </c>
      <c r="B1808" s="551">
        <v>28</v>
      </c>
      <c r="C1808" s="551">
        <v>198</v>
      </c>
    </row>
    <row r="1809" spans="1:3">
      <c r="A1809" s="550" t="s">
        <v>3640</v>
      </c>
      <c r="B1809" s="551">
        <v>56</v>
      </c>
      <c r="C1809" s="551">
        <v>253</v>
      </c>
    </row>
    <row r="1810" spans="1:3">
      <c r="A1810" s="550" t="s">
        <v>3640</v>
      </c>
      <c r="B1810" s="551">
        <v>84</v>
      </c>
      <c r="C1810" s="551">
        <v>262</v>
      </c>
    </row>
    <row r="1811" spans="1:3">
      <c r="A1811" s="552" t="s">
        <v>3640</v>
      </c>
      <c r="B1811" s="553">
        <v>112</v>
      </c>
      <c r="C1811" s="553">
        <v>292</v>
      </c>
    </row>
    <row r="1812" spans="1:3">
      <c r="A1812" s="552" t="s">
        <v>3640</v>
      </c>
      <c r="B1812" s="553">
        <v>140</v>
      </c>
      <c r="C1812" s="553">
        <v>320</v>
      </c>
    </row>
    <row r="1813" spans="1:3">
      <c r="A1813" s="552" t="s">
        <v>3640</v>
      </c>
      <c r="B1813" s="553">
        <v>168</v>
      </c>
      <c r="C1813" s="553">
        <v>334</v>
      </c>
    </row>
    <row r="1814" spans="1:3">
      <c r="A1814" s="550" t="s">
        <v>3688</v>
      </c>
      <c r="B1814" s="551">
        <v>1</v>
      </c>
      <c r="C1814" s="551">
        <v>28</v>
      </c>
    </row>
    <row r="1815" spans="1:3">
      <c r="A1815" s="550" t="s">
        <v>3688</v>
      </c>
      <c r="B1815" s="551">
        <v>2</v>
      </c>
      <c r="C1815" s="551">
        <v>67</v>
      </c>
    </row>
    <row r="1816" spans="1:3">
      <c r="A1816" s="550" t="s">
        <v>3688</v>
      </c>
      <c r="B1816" s="551">
        <v>3</v>
      </c>
      <c r="C1816" s="551">
        <v>72</v>
      </c>
    </row>
    <row r="1817" spans="1:3">
      <c r="A1817" s="550" t="s">
        <v>3688</v>
      </c>
      <c r="B1817" s="551">
        <v>7</v>
      </c>
      <c r="C1817" s="551">
        <v>78</v>
      </c>
    </row>
    <row r="1818" spans="1:3">
      <c r="A1818" s="550" t="s">
        <v>3688</v>
      </c>
      <c r="B1818" s="551">
        <v>14</v>
      </c>
      <c r="C1818" s="551">
        <v>139</v>
      </c>
    </row>
    <row r="1819" spans="1:3">
      <c r="A1819" s="550" t="s">
        <v>3688</v>
      </c>
      <c r="B1819" s="551">
        <v>21</v>
      </c>
      <c r="C1819" s="551">
        <v>134</v>
      </c>
    </row>
    <row r="1820" spans="1:3">
      <c r="A1820" s="550" t="s">
        <v>3688</v>
      </c>
      <c r="B1820" s="551">
        <v>28</v>
      </c>
      <c r="C1820" s="551">
        <v>139</v>
      </c>
    </row>
    <row r="1821" spans="1:3">
      <c r="A1821" s="550" t="s">
        <v>3688</v>
      </c>
      <c r="B1821" s="551">
        <v>56</v>
      </c>
      <c r="C1821" s="551">
        <v>198</v>
      </c>
    </row>
    <row r="1822" spans="1:3">
      <c r="A1822" s="550" t="s">
        <v>3688</v>
      </c>
      <c r="B1822" s="551">
        <v>84</v>
      </c>
      <c r="C1822" s="551">
        <v>231</v>
      </c>
    </row>
    <row r="1823" spans="1:3">
      <c r="A1823" s="552" t="s">
        <v>3688</v>
      </c>
      <c r="B1823" s="553">
        <v>112</v>
      </c>
      <c r="C1823" s="553">
        <v>248</v>
      </c>
    </row>
    <row r="1824" spans="1:3">
      <c r="A1824" s="552" t="s">
        <v>3688</v>
      </c>
      <c r="B1824" s="553">
        <v>140</v>
      </c>
      <c r="C1824" s="553">
        <v>267</v>
      </c>
    </row>
    <row r="1825" spans="1:3">
      <c r="A1825" s="552" t="s">
        <v>3688</v>
      </c>
      <c r="B1825" s="553">
        <v>168</v>
      </c>
      <c r="C1825" s="553">
        <v>276</v>
      </c>
    </row>
    <row r="1826" spans="1:3">
      <c r="A1826" s="550" t="s">
        <v>3689</v>
      </c>
      <c r="B1826" s="551">
        <v>1</v>
      </c>
      <c r="C1826" s="551">
        <v>36</v>
      </c>
    </row>
    <row r="1827" spans="1:3">
      <c r="A1827" s="550" t="s">
        <v>3689</v>
      </c>
      <c r="B1827" s="551">
        <v>2</v>
      </c>
      <c r="C1827" s="551">
        <v>39</v>
      </c>
    </row>
    <row r="1828" spans="1:3">
      <c r="A1828" s="550" t="s">
        <v>3689</v>
      </c>
      <c r="B1828" s="551">
        <v>3</v>
      </c>
      <c r="C1828" s="551">
        <v>45</v>
      </c>
    </row>
    <row r="1829" spans="1:3">
      <c r="A1829" s="550" t="s">
        <v>3689</v>
      </c>
      <c r="B1829" s="551">
        <v>7</v>
      </c>
      <c r="C1829" s="551">
        <v>58</v>
      </c>
    </row>
    <row r="1830" spans="1:3">
      <c r="A1830" s="550" t="s">
        <v>3689</v>
      </c>
      <c r="B1830" s="551">
        <v>14</v>
      </c>
      <c r="C1830" s="551">
        <v>70</v>
      </c>
    </row>
    <row r="1831" spans="1:3">
      <c r="A1831" s="550" t="s">
        <v>3689</v>
      </c>
      <c r="B1831" s="551">
        <v>21</v>
      </c>
      <c r="C1831" s="551">
        <v>103</v>
      </c>
    </row>
    <row r="1832" spans="1:3">
      <c r="A1832" s="550" t="s">
        <v>3689</v>
      </c>
      <c r="B1832" s="551">
        <v>28</v>
      </c>
      <c r="C1832" s="551">
        <v>111</v>
      </c>
    </row>
    <row r="1833" spans="1:3">
      <c r="A1833" s="550" t="s">
        <v>3689</v>
      </c>
      <c r="B1833" s="551">
        <v>56</v>
      </c>
      <c r="C1833" s="551">
        <v>150</v>
      </c>
    </row>
    <row r="1834" spans="1:3">
      <c r="A1834" s="550" t="s">
        <v>3689</v>
      </c>
      <c r="B1834" s="551">
        <v>84</v>
      </c>
      <c r="C1834" s="551">
        <v>181</v>
      </c>
    </row>
    <row r="1835" spans="1:3">
      <c r="A1835" s="552" t="s">
        <v>3689</v>
      </c>
      <c r="B1835" s="553">
        <v>112</v>
      </c>
      <c r="C1835" s="553">
        <v>195</v>
      </c>
    </row>
    <row r="1836" spans="1:3">
      <c r="A1836" s="552" t="s">
        <v>3689</v>
      </c>
      <c r="B1836" s="553">
        <v>140</v>
      </c>
      <c r="C1836" s="553">
        <v>214</v>
      </c>
    </row>
    <row r="1837" spans="1:3">
      <c r="A1837" s="552" t="s">
        <v>3689</v>
      </c>
      <c r="B1837" s="553">
        <v>168</v>
      </c>
      <c r="C1837" s="553">
        <v>237</v>
      </c>
    </row>
    <row r="1838" spans="1:3">
      <c r="A1838" s="550" t="s">
        <v>3641</v>
      </c>
      <c r="B1838" s="551">
        <v>1</v>
      </c>
      <c r="C1838" s="551">
        <v>17</v>
      </c>
    </row>
    <row r="1839" spans="1:3">
      <c r="A1839" s="550" t="s">
        <v>3641</v>
      </c>
      <c r="B1839" s="551">
        <v>2</v>
      </c>
      <c r="C1839" s="551">
        <v>28</v>
      </c>
    </row>
    <row r="1840" spans="1:3">
      <c r="A1840" s="550" t="s">
        <v>3641</v>
      </c>
      <c r="B1840" s="551">
        <v>3</v>
      </c>
      <c r="C1840" s="551">
        <v>39</v>
      </c>
    </row>
    <row r="1841" spans="1:3">
      <c r="A1841" s="550" t="s">
        <v>3641</v>
      </c>
      <c r="B1841" s="551">
        <v>7</v>
      </c>
      <c r="C1841" s="551">
        <v>86</v>
      </c>
    </row>
    <row r="1842" spans="1:3">
      <c r="A1842" s="550" t="s">
        <v>3641</v>
      </c>
      <c r="B1842" s="551">
        <v>14</v>
      </c>
      <c r="C1842" s="551">
        <v>125</v>
      </c>
    </row>
    <row r="1843" spans="1:3">
      <c r="A1843" s="550" t="s">
        <v>3641</v>
      </c>
      <c r="B1843" s="551">
        <v>21</v>
      </c>
      <c r="C1843" s="551">
        <v>159</v>
      </c>
    </row>
    <row r="1844" spans="1:3">
      <c r="A1844" s="550" t="s">
        <v>3641</v>
      </c>
      <c r="B1844" s="551">
        <v>28</v>
      </c>
      <c r="C1844" s="551">
        <v>206</v>
      </c>
    </row>
    <row r="1845" spans="1:3">
      <c r="A1845" s="550" t="s">
        <v>3641</v>
      </c>
      <c r="B1845" s="551">
        <v>56</v>
      </c>
      <c r="C1845" s="551">
        <v>287</v>
      </c>
    </row>
    <row r="1846" spans="1:3">
      <c r="A1846" s="550" t="s">
        <v>3641</v>
      </c>
      <c r="B1846" s="551">
        <v>84</v>
      </c>
      <c r="C1846" s="551">
        <v>342</v>
      </c>
    </row>
    <row r="1847" spans="1:3">
      <c r="A1847" s="552" t="s">
        <v>3641</v>
      </c>
      <c r="B1847" s="553">
        <v>112</v>
      </c>
      <c r="C1847" s="553">
        <v>354</v>
      </c>
    </row>
    <row r="1848" spans="1:3">
      <c r="A1848" s="552" t="s">
        <v>3641</v>
      </c>
      <c r="B1848" s="553">
        <v>140</v>
      </c>
      <c r="C1848" s="553">
        <v>351</v>
      </c>
    </row>
    <row r="1849" spans="1:3">
      <c r="A1849" s="552" t="s">
        <v>3641</v>
      </c>
      <c r="B1849" s="553">
        <v>168</v>
      </c>
      <c r="C1849" s="553">
        <v>353</v>
      </c>
    </row>
    <row r="1850" spans="1:3">
      <c r="A1850" s="550" t="s">
        <v>3690</v>
      </c>
      <c r="B1850" s="551">
        <v>1</v>
      </c>
      <c r="C1850" s="551">
        <v>39</v>
      </c>
    </row>
    <row r="1851" spans="1:3">
      <c r="A1851" s="550" t="s">
        <v>3690</v>
      </c>
      <c r="B1851" s="551">
        <v>2</v>
      </c>
      <c r="C1851" s="551">
        <v>53</v>
      </c>
    </row>
    <row r="1852" spans="1:3">
      <c r="A1852" s="550" t="s">
        <v>3690</v>
      </c>
      <c r="B1852" s="551">
        <v>3</v>
      </c>
      <c r="C1852" s="551">
        <v>70</v>
      </c>
    </row>
    <row r="1853" spans="1:3">
      <c r="A1853" s="550" t="s">
        <v>3690</v>
      </c>
      <c r="B1853" s="551">
        <v>7</v>
      </c>
      <c r="C1853" s="551">
        <v>109</v>
      </c>
    </row>
    <row r="1854" spans="1:3">
      <c r="A1854" s="550" t="s">
        <v>3690</v>
      </c>
      <c r="B1854" s="551">
        <v>14</v>
      </c>
      <c r="C1854" s="551">
        <v>136</v>
      </c>
    </row>
    <row r="1855" spans="1:3">
      <c r="A1855" s="550" t="s">
        <v>3690</v>
      </c>
      <c r="B1855" s="551">
        <v>21</v>
      </c>
      <c r="C1855" s="551">
        <v>161</v>
      </c>
    </row>
    <row r="1856" spans="1:3">
      <c r="A1856" s="550" t="s">
        <v>3690</v>
      </c>
      <c r="B1856" s="551">
        <v>28</v>
      </c>
      <c r="C1856" s="551">
        <v>198</v>
      </c>
    </row>
    <row r="1857" spans="1:3">
      <c r="A1857" s="550" t="s">
        <v>3690</v>
      </c>
      <c r="B1857" s="551">
        <v>56</v>
      </c>
      <c r="C1857" s="551">
        <v>284</v>
      </c>
    </row>
    <row r="1858" spans="1:3">
      <c r="A1858" s="550" t="s">
        <v>3690</v>
      </c>
      <c r="B1858" s="551">
        <v>84</v>
      </c>
      <c r="C1858" s="551">
        <v>356</v>
      </c>
    </row>
    <row r="1859" spans="1:3">
      <c r="A1859" s="552" t="s">
        <v>3690</v>
      </c>
      <c r="B1859" s="553">
        <v>112</v>
      </c>
      <c r="C1859" s="553">
        <v>370</v>
      </c>
    </row>
    <row r="1860" spans="1:3">
      <c r="A1860" s="552" t="s">
        <v>3690</v>
      </c>
      <c r="B1860" s="553">
        <v>140</v>
      </c>
      <c r="C1860" s="553">
        <v>379</v>
      </c>
    </row>
    <row r="1861" spans="1:3">
      <c r="A1861" s="552" t="s">
        <v>3690</v>
      </c>
      <c r="B1861" s="553">
        <v>168</v>
      </c>
      <c r="C1861" s="553">
        <v>384</v>
      </c>
    </row>
    <row r="1862" spans="1:3">
      <c r="A1862" s="550" t="s">
        <v>3642</v>
      </c>
      <c r="B1862" s="551">
        <v>1</v>
      </c>
      <c r="C1862" s="551">
        <v>14</v>
      </c>
    </row>
    <row r="1863" spans="1:3">
      <c r="A1863" s="550" t="s">
        <v>3642</v>
      </c>
      <c r="B1863" s="551">
        <v>2</v>
      </c>
      <c r="C1863" s="551">
        <v>25</v>
      </c>
    </row>
    <row r="1864" spans="1:3">
      <c r="A1864" s="550" t="s">
        <v>3642</v>
      </c>
      <c r="B1864" s="551">
        <v>3</v>
      </c>
      <c r="C1864" s="551">
        <v>39</v>
      </c>
    </row>
    <row r="1865" spans="1:3">
      <c r="A1865" s="550" t="s">
        <v>3642</v>
      </c>
      <c r="B1865" s="551">
        <v>7</v>
      </c>
      <c r="C1865" s="551">
        <v>81</v>
      </c>
    </row>
    <row r="1866" spans="1:3">
      <c r="A1866" s="550" t="s">
        <v>3642</v>
      </c>
      <c r="B1866" s="551">
        <v>14</v>
      </c>
      <c r="C1866" s="551">
        <v>120</v>
      </c>
    </row>
    <row r="1867" spans="1:3">
      <c r="A1867" s="550" t="s">
        <v>3642</v>
      </c>
      <c r="B1867" s="551">
        <v>21</v>
      </c>
      <c r="C1867" s="551">
        <v>148</v>
      </c>
    </row>
    <row r="1868" spans="1:3">
      <c r="A1868" s="550" t="s">
        <v>3642</v>
      </c>
      <c r="B1868" s="551">
        <v>28</v>
      </c>
      <c r="C1868" s="551">
        <v>184</v>
      </c>
    </row>
    <row r="1869" spans="1:3">
      <c r="A1869" s="550" t="s">
        <v>3642</v>
      </c>
      <c r="B1869" s="551">
        <v>56</v>
      </c>
      <c r="C1869" s="551">
        <v>248</v>
      </c>
    </row>
    <row r="1870" spans="1:3">
      <c r="A1870" s="550" t="s">
        <v>3642</v>
      </c>
      <c r="B1870" s="551">
        <v>84</v>
      </c>
      <c r="C1870" s="551">
        <v>312</v>
      </c>
    </row>
    <row r="1871" spans="1:3">
      <c r="A1871" s="552" t="s">
        <v>3642</v>
      </c>
      <c r="B1871" s="553">
        <v>112</v>
      </c>
      <c r="C1871" s="553">
        <v>315</v>
      </c>
    </row>
    <row r="1872" spans="1:3">
      <c r="A1872" s="552" t="s">
        <v>3642</v>
      </c>
      <c r="B1872" s="553">
        <v>140</v>
      </c>
      <c r="C1872" s="553">
        <v>337</v>
      </c>
    </row>
    <row r="1873" spans="1:3">
      <c r="A1873" s="552" t="s">
        <v>3642</v>
      </c>
      <c r="B1873" s="553">
        <v>168</v>
      </c>
      <c r="C1873" s="553">
        <v>340</v>
      </c>
    </row>
    <row r="1874" spans="1:3">
      <c r="A1874" s="550" t="s">
        <v>3691</v>
      </c>
      <c r="B1874" s="551">
        <v>1</v>
      </c>
      <c r="C1874" s="551">
        <v>19</v>
      </c>
    </row>
    <row r="1875" spans="1:3">
      <c r="A1875" s="550" t="s">
        <v>3691</v>
      </c>
      <c r="B1875" s="551">
        <v>2</v>
      </c>
      <c r="C1875" s="551">
        <v>33</v>
      </c>
    </row>
    <row r="1876" spans="1:3">
      <c r="A1876" s="550" t="s">
        <v>3691</v>
      </c>
      <c r="B1876" s="551">
        <v>3</v>
      </c>
      <c r="C1876" s="551">
        <v>31</v>
      </c>
    </row>
    <row r="1877" spans="1:3">
      <c r="A1877" s="550" t="s">
        <v>3691</v>
      </c>
      <c r="B1877" s="551">
        <v>7</v>
      </c>
      <c r="C1877" s="551">
        <v>64</v>
      </c>
    </row>
    <row r="1878" spans="1:3">
      <c r="A1878" s="550" t="s">
        <v>3691</v>
      </c>
      <c r="B1878" s="551">
        <v>14</v>
      </c>
      <c r="C1878" s="551">
        <v>89</v>
      </c>
    </row>
    <row r="1879" spans="1:3">
      <c r="A1879" s="550" t="s">
        <v>3691</v>
      </c>
      <c r="B1879" s="551">
        <v>21</v>
      </c>
      <c r="C1879" s="551">
        <v>128</v>
      </c>
    </row>
    <row r="1880" spans="1:3">
      <c r="A1880" s="550" t="s">
        <v>3691</v>
      </c>
      <c r="B1880" s="551">
        <v>28</v>
      </c>
      <c r="C1880" s="551">
        <v>156</v>
      </c>
    </row>
    <row r="1881" spans="1:3">
      <c r="A1881" s="550" t="s">
        <v>3691</v>
      </c>
      <c r="B1881" s="551">
        <v>56</v>
      </c>
      <c r="C1881" s="551">
        <v>192</v>
      </c>
    </row>
    <row r="1882" spans="1:3">
      <c r="A1882" s="550" t="s">
        <v>3691</v>
      </c>
      <c r="B1882" s="551">
        <v>84</v>
      </c>
      <c r="C1882" s="551">
        <v>209</v>
      </c>
    </row>
    <row r="1883" spans="1:3">
      <c r="A1883" s="552" t="s">
        <v>3691</v>
      </c>
      <c r="B1883" s="553">
        <v>112</v>
      </c>
      <c r="C1883" s="553">
        <v>212</v>
      </c>
    </row>
    <row r="1884" spans="1:3">
      <c r="A1884" s="552" t="s">
        <v>3691</v>
      </c>
      <c r="B1884" s="553">
        <v>140</v>
      </c>
      <c r="C1884" s="553">
        <v>209</v>
      </c>
    </row>
    <row r="1885" spans="1:3">
      <c r="A1885" s="552" t="s">
        <v>3691</v>
      </c>
      <c r="B1885" s="553">
        <v>168</v>
      </c>
      <c r="C1885" s="553">
        <v>200</v>
      </c>
    </row>
    <row r="1886" spans="1:3">
      <c r="A1886" s="550" t="s">
        <v>3692</v>
      </c>
      <c r="B1886" s="551">
        <v>1</v>
      </c>
      <c r="C1886" s="551">
        <v>28</v>
      </c>
    </row>
    <row r="1887" spans="1:3">
      <c r="A1887" s="550" t="s">
        <v>3692</v>
      </c>
      <c r="B1887" s="551">
        <v>2</v>
      </c>
      <c r="C1887" s="551">
        <v>42</v>
      </c>
    </row>
    <row r="1888" spans="1:3">
      <c r="A1888" s="550" t="s">
        <v>3692</v>
      </c>
      <c r="B1888" s="551">
        <v>3</v>
      </c>
      <c r="C1888" s="551">
        <v>45</v>
      </c>
    </row>
    <row r="1889" spans="1:3">
      <c r="A1889" s="550" t="s">
        <v>3692</v>
      </c>
      <c r="B1889" s="551">
        <v>7</v>
      </c>
      <c r="C1889" s="551">
        <v>72</v>
      </c>
    </row>
    <row r="1890" spans="1:3">
      <c r="A1890" s="550" t="s">
        <v>3692</v>
      </c>
      <c r="B1890" s="551">
        <v>14</v>
      </c>
      <c r="C1890" s="551">
        <v>106</v>
      </c>
    </row>
    <row r="1891" spans="1:3">
      <c r="A1891" s="550" t="s">
        <v>3692</v>
      </c>
      <c r="B1891" s="551">
        <v>21</v>
      </c>
      <c r="C1891" s="551">
        <v>131</v>
      </c>
    </row>
    <row r="1892" spans="1:3">
      <c r="A1892" s="550" t="s">
        <v>3692</v>
      </c>
      <c r="B1892" s="551">
        <v>28</v>
      </c>
      <c r="C1892" s="551">
        <v>161</v>
      </c>
    </row>
    <row r="1893" spans="1:3">
      <c r="A1893" s="550" t="s">
        <v>3692</v>
      </c>
      <c r="B1893" s="551">
        <v>56</v>
      </c>
      <c r="C1893" s="551">
        <v>220</v>
      </c>
    </row>
    <row r="1894" spans="1:3">
      <c r="A1894" s="550" t="s">
        <v>3692</v>
      </c>
      <c r="B1894" s="551">
        <v>84</v>
      </c>
      <c r="C1894" s="551">
        <v>239</v>
      </c>
    </row>
    <row r="1895" spans="1:3">
      <c r="A1895" s="552" t="s">
        <v>3692</v>
      </c>
      <c r="B1895" s="553">
        <v>112</v>
      </c>
      <c r="C1895" s="553">
        <v>242</v>
      </c>
    </row>
    <row r="1896" spans="1:3">
      <c r="A1896" s="552" t="s">
        <v>3692</v>
      </c>
      <c r="B1896" s="553">
        <v>140</v>
      </c>
      <c r="C1896" s="553">
        <v>245</v>
      </c>
    </row>
    <row r="1897" spans="1:3">
      <c r="A1897" s="552" t="s">
        <v>3692</v>
      </c>
      <c r="B1897" s="553">
        <v>168</v>
      </c>
      <c r="C1897" s="553">
        <v>251</v>
      </c>
    </row>
    <row r="1898" spans="1:3">
      <c r="A1898" s="550" t="s">
        <v>3693</v>
      </c>
      <c r="B1898" s="551">
        <v>1</v>
      </c>
      <c r="C1898" s="551">
        <v>28</v>
      </c>
    </row>
    <row r="1899" spans="1:3">
      <c r="A1899" s="550" t="s">
        <v>3693</v>
      </c>
      <c r="B1899" s="551">
        <v>2</v>
      </c>
      <c r="C1899" s="551">
        <v>36</v>
      </c>
    </row>
    <row r="1900" spans="1:3">
      <c r="A1900" s="550" t="s">
        <v>3693</v>
      </c>
      <c r="B1900" s="551">
        <v>3</v>
      </c>
      <c r="C1900" s="551">
        <v>33</v>
      </c>
    </row>
    <row r="1901" spans="1:3">
      <c r="A1901" s="550" t="s">
        <v>3693</v>
      </c>
      <c r="B1901" s="551">
        <v>4</v>
      </c>
      <c r="C1901" s="551">
        <v>31</v>
      </c>
    </row>
    <row r="1902" spans="1:3">
      <c r="A1902" s="550" t="s">
        <v>3693</v>
      </c>
      <c r="B1902" s="551">
        <v>7</v>
      </c>
      <c r="C1902" s="551">
        <v>56</v>
      </c>
    </row>
    <row r="1903" spans="1:3">
      <c r="A1903" s="550" t="s">
        <v>3693</v>
      </c>
      <c r="B1903" s="551">
        <v>14</v>
      </c>
      <c r="C1903" s="551">
        <v>75</v>
      </c>
    </row>
    <row r="1904" spans="1:3">
      <c r="A1904" s="550" t="s">
        <v>3693</v>
      </c>
      <c r="B1904" s="551">
        <v>21</v>
      </c>
      <c r="C1904" s="551">
        <v>111</v>
      </c>
    </row>
    <row r="1905" spans="1:3">
      <c r="A1905" s="550" t="s">
        <v>3693</v>
      </c>
      <c r="B1905" s="551">
        <v>28</v>
      </c>
      <c r="C1905" s="551">
        <v>134</v>
      </c>
    </row>
    <row r="1906" spans="1:3">
      <c r="A1906" s="550" t="s">
        <v>3693</v>
      </c>
      <c r="B1906" s="551">
        <v>56</v>
      </c>
      <c r="C1906" s="551">
        <v>209</v>
      </c>
    </row>
    <row r="1907" spans="1:3">
      <c r="A1907" s="550" t="s">
        <v>3693</v>
      </c>
      <c r="B1907" s="551">
        <v>84</v>
      </c>
      <c r="C1907" s="551">
        <v>239</v>
      </c>
    </row>
    <row r="1908" spans="1:3">
      <c r="A1908" s="552" t="s">
        <v>3693</v>
      </c>
      <c r="B1908" s="553">
        <v>112</v>
      </c>
      <c r="C1908" s="553">
        <v>242</v>
      </c>
    </row>
    <row r="1909" spans="1:3">
      <c r="A1909" s="552" t="s">
        <v>3693</v>
      </c>
      <c r="B1909" s="553">
        <v>140</v>
      </c>
      <c r="C1909" s="553">
        <v>248</v>
      </c>
    </row>
    <row r="1910" spans="1:3">
      <c r="A1910" s="552" t="s">
        <v>3693</v>
      </c>
      <c r="B1910" s="553">
        <v>168</v>
      </c>
      <c r="C1910" s="553">
        <v>242</v>
      </c>
    </row>
    <row r="1911" spans="1:3">
      <c r="A1911" s="550" t="s">
        <v>3694</v>
      </c>
      <c r="B1911" s="551">
        <v>1</v>
      </c>
      <c r="C1911" s="551">
        <v>31</v>
      </c>
    </row>
    <row r="1912" spans="1:3">
      <c r="A1912" s="550" t="s">
        <v>3694</v>
      </c>
      <c r="B1912" s="551">
        <v>2</v>
      </c>
      <c r="C1912" s="551">
        <v>39</v>
      </c>
    </row>
    <row r="1913" spans="1:3">
      <c r="A1913" s="550" t="s">
        <v>3694</v>
      </c>
      <c r="B1913" s="551">
        <v>3</v>
      </c>
      <c r="C1913" s="551">
        <v>42</v>
      </c>
    </row>
    <row r="1914" spans="1:3">
      <c r="A1914" s="550" t="s">
        <v>3694</v>
      </c>
      <c r="B1914" s="551">
        <v>4</v>
      </c>
      <c r="C1914" s="551">
        <v>47</v>
      </c>
    </row>
    <row r="1915" spans="1:3">
      <c r="A1915" s="550" t="s">
        <v>3694</v>
      </c>
      <c r="B1915" s="551">
        <v>7</v>
      </c>
      <c r="C1915" s="551">
        <v>67</v>
      </c>
    </row>
    <row r="1916" spans="1:3">
      <c r="A1916" s="550" t="s">
        <v>3694</v>
      </c>
      <c r="B1916" s="551">
        <v>14</v>
      </c>
      <c r="C1916" s="551">
        <v>89</v>
      </c>
    </row>
    <row r="1917" spans="1:3">
      <c r="A1917" s="550" t="s">
        <v>3694</v>
      </c>
      <c r="B1917" s="551">
        <v>21</v>
      </c>
      <c r="C1917" s="551">
        <v>111</v>
      </c>
    </row>
    <row r="1918" spans="1:3">
      <c r="A1918" s="550" t="s">
        <v>3694</v>
      </c>
      <c r="B1918" s="551">
        <v>28</v>
      </c>
      <c r="C1918" s="551">
        <v>134</v>
      </c>
    </row>
    <row r="1919" spans="1:3">
      <c r="A1919" s="550" t="s">
        <v>3694</v>
      </c>
      <c r="B1919" s="551">
        <v>56</v>
      </c>
      <c r="C1919" s="551">
        <v>206</v>
      </c>
    </row>
    <row r="1920" spans="1:3">
      <c r="A1920" s="550" t="s">
        <v>3694</v>
      </c>
      <c r="B1920" s="551">
        <v>84</v>
      </c>
      <c r="C1920" s="551">
        <v>239</v>
      </c>
    </row>
    <row r="1921" spans="1:3">
      <c r="A1921" s="552" t="s">
        <v>3694</v>
      </c>
      <c r="B1921" s="553">
        <v>112</v>
      </c>
      <c r="C1921" s="553">
        <v>251</v>
      </c>
    </row>
    <row r="1922" spans="1:3">
      <c r="A1922" s="552" t="s">
        <v>3694</v>
      </c>
      <c r="B1922" s="553">
        <v>140</v>
      </c>
      <c r="C1922" s="553">
        <v>245</v>
      </c>
    </row>
    <row r="1923" spans="1:3">
      <c r="A1923" s="552" t="s">
        <v>3694</v>
      </c>
      <c r="B1923" s="553">
        <v>168</v>
      </c>
      <c r="C1923" s="553">
        <v>248</v>
      </c>
    </row>
    <row r="1924" spans="1:3">
      <c r="A1924" s="550" t="s">
        <v>3695</v>
      </c>
      <c r="B1924" s="551">
        <v>1</v>
      </c>
      <c r="C1924" s="551">
        <v>17</v>
      </c>
    </row>
    <row r="1925" spans="1:3">
      <c r="A1925" s="550" t="s">
        <v>3695</v>
      </c>
      <c r="B1925" s="551">
        <v>2</v>
      </c>
      <c r="C1925" s="551">
        <v>33</v>
      </c>
    </row>
    <row r="1926" spans="1:3">
      <c r="A1926" s="550" t="s">
        <v>3695</v>
      </c>
      <c r="B1926" s="551">
        <v>3</v>
      </c>
      <c r="C1926" s="551">
        <v>53</v>
      </c>
    </row>
    <row r="1927" spans="1:3">
      <c r="A1927" s="550" t="s">
        <v>3695</v>
      </c>
      <c r="B1927" s="551">
        <v>7</v>
      </c>
      <c r="C1927" s="551">
        <v>92</v>
      </c>
    </row>
    <row r="1928" spans="1:3">
      <c r="A1928" s="550" t="s">
        <v>3695</v>
      </c>
      <c r="B1928" s="551">
        <v>14</v>
      </c>
      <c r="C1928" s="551">
        <v>150</v>
      </c>
    </row>
    <row r="1929" spans="1:3">
      <c r="A1929" s="550" t="s">
        <v>3695</v>
      </c>
      <c r="B1929" s="551">
        <v>21</v>
      </c>
      <c r="C1929" s="551">
        <v>184</v>
      </c>
    </row>
    <row r="1930" spans="1:3">
      <c r="A1930" s="550" t="s">
        <v>3695</v>
      </c>
      <c r="B1930" s="551">
        <v>28</v>
      </c>
      <c r="C1930" s="551">
        <v>206</v>
      </c>
    </row>
    <row r="1931" spans="1:3">
      <c r="A1931" s="550" t="s">
        <v>3695</v>
      </c>
      <c r="B1931" s="551">
        <v>56</v>
      </c>
      <c r="C1931" s="551">
        <v>278</v>
      </c>
    </row>
    <row r="1932" spans="1:3">
      <c r="A1932" s="550" t="s">
        <v>3695</v>
      </c>
      <c r="B1932" s="551">
        <v>84</v>
      </c>
      <c r="C1932" s="551">
        <v>301</v>
      </c>
    </row>
    <row r="1933" spans="1:3">
      <c r="A1933" s="552" t="s">
        <v>3695</v>
      </c>
      <c r="B1933" s="553">
        <v>112</v>
      </c>
      <c r="C1933" s="553">
        <v>289</v>
      </c>
    </row>
    <row r="1934" spans="1:3">
      <c r="A1934" s="552" t="s">
        <v>3695</v>
      </c>
      <c r="B1934" s="553">
        <v>140</v>
      </c>
      <c r="C1934" s="553">
        <v>292</v>
      </c>
    </row>
    <row r="1935" spans="1:3">
      <c r="A1935" s="552" t="s">
        <v>3695</v>
      </c>
      <c r="B1935" s="553">
        <v>168</v>
      </c>
      <c r="C1935" s="553">
        <v>298</v>
      </c>
    </row>
    <row r="1936" spans="1:3">
      <c r="A1936" s="550" t="s">
        <v>3696</v>
      </c>
      <c r="B1936" s="551">
        <v>1</v>
      </c>
      <c r="C1936" s="551">
        <v>3</v>
      </c>
    </row>
    <row r="1937" spans="1:3">
      <c r="A1937" s="550" t="s">
        <v>3696</v>
      </c>
      <c r="B1937" s="551">
        <v>2</v>
      </c>
      <c r="C1937" s="551">
        <v>6</v>
      </c>
    </row>
    <row r="1938" spans="1:3">
      <c r="A1938" s="550" t="s">
        <v>3696</v>
      </c>
      <c r="B1938" s="551">
        <v>3</v>
      </c>
      <c r="C1938" s="551">
        <v>14</v>
      </c>
    </row>
    <row r="1939" spans="1:3">
      <c r="A1939" s="550" t="s">
        <v>3696</v>
      </c>
      <c r="B1939" s="551">
        <v>7</v>
      </c>
      <c r="C1939" s="551">
        <v>25</v>
      </c>
    </row>
    <row r="1940" spans="1:3">
      <c r="A1940" s="550" t="s">
        <v>3696</v>
      </c>
      <c r="B1940" s="551">
        <v>14</v>
      </c>
      <c r="C1940" s="551">
        <v>56</v>
      </c>
    </row>
    <row r="1941" spans="1:3">
      <c r="A1941" s="550" t="s">
        <v>3696</v>
      </c>
      <c r="B1941" s="551">
        <v>21</v>
      </c>
      <c r="C1941" s="551">
        <v>78</v>
      </c>
    </row>
    <row r="1942" spans="1:3">
      <c r="A1942" s="550" t="s">
        <v>3696</v>
      </c>
      <c r="B1942" s="551">
        <v>28</v>
      </c>
      <c r="C1942" s="551">
        <v>97</v>
      </c>
    </row>
    <row r="1943" spans="1:3">
      <c r="A1943" s="550" t="s">
        <v>3696</v>
      </c>
      <c r="B1943" s="551">
        <v>56</v>
      </c>
      <c r="C1943" s="551">
        <v>170</v>
      </c>
    </row>
    <row r="1944" spans="1:3">
      <c r="A1944" s="550" t="s">
        <v>3696</v>
      </c>
      <c r="B1944" s="551">
        <v>84</v>
      </c>
      <c r="C1944" s="551">
        <v>184</v>
      </c>
    </row>
    <row r="1945" spans="1:3">
      <c r="A1945" s="552" t="s">
        <v>3696</v>
      </c>
      <c r="B1945" s="553">
        <v>112</v>
      </c>
      <c r="C1945" s="553">
        <v>181</v>
      </c>
    </row>
    <row r="1946" spans="1:3">
      <c r="A1946" s="552" t="s">
        <v>3696</v>
      </c>
      <c r="B1946" s="553">
        <v>140</v>
      </c>
      <c r="C1946" s="553">
        <v>206</v>
      </c>
    </row>
    <row r="1947" spans="1:3">
      <c r="A1947" s="552" t="s">
        <v>3696</v>
      </c>
      <c r="B1947" s="553">
        <v>168</v>
      </c>
      <c r="C1947" s="553">
        <v>214</v>
      </c>
    </row>
    <row r="1948" spans="1:3">
      <c r="A1948" s="550" t="s">
        <v>3643</v>
      </c>
      <c r="B1948" s="551">
        <v>1</v>
      </c>
      <c r="C1948" s="551">
        <v>11</v>
      </c>
    </row>
    <row r="1949" spans="1:3">
      <c r="A1949" s="550" t="s">
        <v>3643</v>
      </c>
      <c r="B1949" s="551">
        <v>2</v>
      </c>
      <c r="C1949" s="551">
        <v>19</v>
      </c>
    </row>
    <row r="1950" spans="1:3">
      <c r="A1950" s="550" t="s">
        <v>3643</v>
      </c>
      <c r="B1950" s="551">
        <v>3</v>
      </c>
      <c r="C1950" s="551">
        <v>28</v>
      </c>
    </row>
    <row r="1951" spans="1:3">
      <c r="A1951" s="550" t="s">
        <v>3643</v>
      </c>
      <c r="B1951" s="551">
        <v>7</v>
      </c>
      <c r="C1951" s="551">
        <v>75</v>
      </c>
    </row>
    <row r="1952" spans="1:3">
      <c r="A1952" s="550" t="s">
        <v>3643</v>
      </c>
      <c r="B1952" s="551">
        <v>14</v>
      </c>
      <c r="C1952" s="551">
        <v>120</v>
      </c>
    </row>
    <row r="1953" spans="1:3">
      <c r="A1953" s="550" t="s">
        <v>3643</v>
      </c>
      <c r="B1953" s="551">
        <v>21</v>
      </c>
      <c r="C1953" s="551">
        <v>136</v>
      </c>
    </row>
    <row r="1954" spans="1:3">
      <c r="A1954" s="550" t="s">
        <v>3643</v>
      </c>
      <c r="B1954" s="551">
        <v>28</v>
      </c>
      <c r="C1954" s="551">
        <v>170</v>
      </c>
    </row>
    <row r="1955" spans="1:3">
      <c r="A1955" s="550" t="s">
        <v>3643</v>
      </c>
      <c r="B1955" s="551">
        <v>56</v>
      </c>
      <c r="C1955" s="551">
        <v>225</v>
      </c>
    </row>
    <row r="1956" spans="1:3">
      <c r="A1956" s="550" t="s">
        <v>3643</v>
      </c>
      <c r="B1956" s="551">
        <v>84</v>
      </c>
      <c r="C1956" s="551">
        <v>245</v>
      </c>
    </row>
    <row r="1957" spans="1:3">
      <c r="A1957" s="552" t="s">
        <v>3643</v>
      </c>
      <c r="B1957" s="553">
        <v>112</v>
      </c>
      <c r="C1957" s="553">
        <v>278</v>
      </c>
    </row>
    <row r="1958" spans="1:3">
      <c r="A1958" s="552" t="s">
        <v>3643</v>
      </c>
      <c r="B1958" s="553">
        <v>140</v>
      </c>
      <c r="C1958" s="553">
        <v>262</v>
      </c>
    </row>
    <row r="1959" spans="1:3">
      <c r="A1959" s="552" t="s">
        <v>3643</v>
      </c>
      <c r="B1959" s="553">
        <v>168</v>
      </c>
      <c r="C1959" s="553">
        <v>276</v>
      </c>
    </row>
    <row r="1960" spans="1:3">
      <c r="A1960" s="550" t="s">
        <v>3644</v>
      </c>
      <c r="B1960" s="551">
        <v>1</v>
      </c>
      <c r="C1960" s="551">
        <v>5</v>
      </c>
    </row>
    <row r="1961" spans="1:3">
      <c r="A1961" s="550" t="s">
        <v>3644</v>
      </c>
      <c r="B1961" s="551">
        <v>2</v>
      </c>
      <c r="C1961" s="551">
        <v>11</v>
      </c>
    </row>
    <row r="1962" spans="1:3">
      <c r="A1962" s="550" t="s">
        <v>3644</v>
      </c>
      <c r="B1962" s="551">
        <v>3</v>
      </c>
      <c r="C1962" s="551">
        <v>17</v>
      </c>
    </row>
    <row r="1963" spans="1:3">
      <c r="A1963" s="550" t="s">
        <v>3644</v>
      </c>
      <c r="B1963" s="551">
        <v>7</v>
      </c>
      <c r="C1963" s="551">
        <v>50</v>
      </c>
    </row>
    <row r="1964" spans="1:3">
      <c r="A1964" s="550" t="s">
        <v>3644</v>
      </c>
      <c r="B1964" s="551">
        <v>14</v>
      </c>
      <c r="C1964" s="551">
        <v>72</v>
      </c>
    </row>
    <row r="1965" spans="1:3">
      <c r="A1965" s="550" t="s">
        <v>3644</v>
      </c>
      <c r="B1965" s="551">
        <v>21</v>
      </c>
      <c r="C1965" s="551">
        <v>89</v>
      </c>
    </row>
    <row r="1966" spans="1:3">
      <c r="A1966" s="550" t="s">
        <v>3644</v>
      </c>
      <c r="B1966" s="551">
        <v>28</v>
      </c>
      <c r="C1966" s="551">
        <v>120</v>
      </c>
    </row>
    <row r="1967" spans="1:3">
      <c r="A1967" s="550" t="s">
        <v>3644</v>
      </c>
      <c r="B1967" s="551">
        <v>56</v>
      </c>
      <c r="C1967" s="551">
        <v>161</v>
      </c>
    </row>
    <row r="1968" spans="1:3">
      <c r="A1968" s="550" t="s">
        <v>3644</v>
      </c>
      <c r="B1968" s="551">
        <v>84</v>
      </c>
      <c r="C1968" s="551">
        <v>175</v>
      </c>
    </row>
    <row r="1969" spans="1:3">
      <c r="A1969" s="552" t="s">
        <v>3644</v>
      </c>
      <c r="B1969" s="553">
        <v>112</v>
      </c>
      <c r="C1969" s="553">
        <v>200</v>
      </c>
    </row>
    <row r="1970" spans="1:3">
      <c r="A1970" s="552" t="s">
        <v>3644</v>
      </c>
      <c r="B1970" s="553">
        <v>140</v>
      </c>
      <c r="C1970" s="553">
        <v>189</v>
      </c>
    </row>
    <row r="1971" spans="1:3">
      <c r="A1971" s="552" t="s">
        <v>3644</v>
      </c>
      <c r="B1971" s="553">
        <v>168</v>
      </c>
      <c r="C1971" s="553">
        <v>192</v>
      </c>
    </row>
    <row r="1972" spans="1:3">
      <c r="A1972" s="550" t="s">
        <v>3697</v>
      </c>
      <c r="B1972" s="551">
        <v>1</v>
      </c>
      <c r="C1972" s="551">
        <v>42</v>
      </c>
    </row>
    <row r="1973" spans="1:3">
      <c r="A1973" s="550" t="s">
        <v>3697</v>
      </c>
      <c r="B1973" s="551">
        <v>2</v>
      </c>
      <c r="C1973" s="551">
        <v>47</v>
      </c>
    </row>
    <row r="1974" spans="1:3">
      <c r="A1974" s="550" t="s">
        <v>3697</v>
      </c>
      <c r="B1974" s="551">
        <v>3</v>
      </c>
      <c r="C1974" s="551">
        <v>58</v>
      </c>
    </row>
    <row r="1975" spans="1:3">
      <c r="A1975" s="550" t="s">
        <v>3697</v>
      </c>
      <c r="B1975" s="551">
        <v>7</v>
      </c>
      <c r="C1975" s="551">
        <v>97</v>
      </c>
    </row>
    <row r="1976" spans="1:3">
      <c r="A1976" s="550" t="s">
        <v>3697</v>
      </c>
      <c r="B1976" s="551">
        <v>14</v>
      </c>
      <c r="C1976" s="551">
        <v>153</v>
      </c>
    </row>
    <row r="1977" spans="1:3">
      <c r="A1977" s="550" t="s">
        <v>3697</v>
      </c>
      <c r="B1977" s="551">
        <v>21</v>
      </c>
      <c r="C1977" s="551">
        <v>200</v>
      </c>
    </row>
    <row r="1978" spans="1:3">
      <c r="A1978" s="550" t="s">
        <v>3697</v>
      </c>
      <c r="B1978" s="551">
        <v>28</v>
      </c>
      <c r="C1978" s="551">
        <v>231</v>
      </c>
    </row>
    <row r="1979" spans="1:3">
      <c r="A1979" s="550" t="s">
        <v>3697</v>
      </c>
      <c r="B1979" s="551">
        <v>56</v>
      </c>
      <c r="C1979" s="551">
        <v>287</v>
      </c>
    </row>
    <row r="1980" spans="1:3">
      <c r="A1980" s="550" t="s">
        <v>3697</v>
      </c>
      <c r="B1980" s="551">
        <v>84</v>
      </c>
      <c r="C1980" s="551">
        <v>303</v>
      </c>
    </row>
    <row r="1981" spans="1:3">
      <c r="A1981" s="552" t="s">
        <v>3697</v>
      </c>
      <c r="B1981" s="553">
        <v>112</v>
      </c>
      <c r="C1981" s="553">
        <v>301</v>
      </c>
    </row>
    <row r="1982" spans="1:3">
      <c r="A1982" s="552" t="s">
        <v>3697</v>
      </c>
      <c r="B1982" s="553">
        <v>140</v>
      </c>
      <c r="C1982" s="553">
        <v>298</v>
      </c>
    </row>
    <row r="1983" spans="1:3">
      <c r="A1983" s="552" t="s">
        <v>3697</v>
      </c>
      <c r="B1983" s="553">
        <v>168</v>
      </c>
      <c r="C1983" s="553">
        <v>303</v>
      </c>
    </row>
    <row r="1984" spans="1:3">
      <c r="A1984" s="550" t="s">
        <v>3645</v>
      </c>
      <c r="B1984" s="551">
        <v>1</v>
      </c>
      <c r="C1984" s="551">
        <v>47</v>
      </c>
    </row>
    <row r="1985" spans="1:3">
      <c r="A1985" s="550" t="s">
        <v>3645</v>
      </c>
      <c r="B1985" s="551">
        <v>2</v>
      </c>
      <c r="C1985" s="551">
        <v>67</v>
      </c>
    </row>
    <row r="1986" spans="1:3">
      <c r="A1986" s="550" t="s">
        <v>3645</v>
      </c>
      <c r="B1986" s="551">
        <v>3</v>
      </c>
      <c r="C1986" s="551">
        <v>86</v>
      </c>
    </row>
    <row r="1987" spans="1:3">
      <c r="A1987" s="550" t="s">
        <v>3645</v>
      </c>
      <c r="B1987" s="551">
        <v>7</v>
      </c>
      <c r="C1987" s="551">
        <v>148</v>
      </c>
    </row>
    <row r="1988" spans="1:3">
      <c r="A1988" s="550" t="s">
        <v>3645</v>
      </c>
      <c r="B1988" s="551">
        <v>14</v>
      </c>
      <c r="C1988" s="551">
        <v>220</v>
      </c>
    </row>
    <row r="1989" spans="1:3">
      <c r="A1989" s="550" t="s">
        <v>3645</v>
      </c>
      <c r="B1989" s="551">
        <v>21</v>
      </c>
      <c r="C1989" s="551">
        <v>273</v>
      </c>
    </row>
    <row r="1990" spans="1:3">
      <c r="A1990" s="550" t="s">
        <v>3645</v>
      </c>
      <c r="B1990" s="551">
        <v>28</v>
      </c>
      <c r="C1990" s="551">
        <v>309</v>
      </c>
    </row>
    <row r="1991" spans="1:3">
      <c r="A1991" s="550" t="s">
        <v>3645</v>
      </c>
      <c r="B1991" s="551">
        <v>56</v>
      </c>
      <c r="C1991" s="551">
        <v>384</v>
      </c>
    </row>
    <row r="1992" spans="1:3">
      <c r="A1992" s="550" t="s">
        <v>3645</v>
      </c>
      <c r="B1992" s="551">
        <v>84</v>
      </c>
      <c r="C1992" s="551">
        <v>398</v>
      </c>
    </row>
    <row r="1993" spans="1:3">
      <c r="A1993" s="552" t="s">
        <v>3645</v>
      </c>
      <c r="B1993" s="553">
        <v>112</v>
      </c>
      <c r="C1993" s="553">
        <v>390</v>
      </c>
    </row>
    <row r="1994" spans="1:3">
      <c r="A1994" s="552" t="s">
        <v>3645</v>
      </c>
      <c r="B1994" s="553">
        <v>140</v>
      </c>
      <c r="C1994" s="553">
        <v>392</v>
      </c>
    </row>
    <row r="1995" spans="1:3">
      <c r="A1995" s="552" t="s">
        <v>3645</v>
      </c>
      <c r="B1995" s="553">
        <v>168</v>
      </c>
      <c r="C1995" s="553">
        <v>401</v>
      </c>
    </row>
    <row r="1996" spans="1:3">
      <c r="A1996" s="550" t="s">
        <v>3698</v>
      </c>
      <c r="B1996" s="551">
        <v>1</v>
      </c>
      <c r="C1996" s="551">
        <v>53</v>
      </c>
    </row>
    <row r="1997" spans="1:3">
      <c r="A1997" s="550" t="s">
        <v>3698</v>
      </c>
      <c r="B1997" s="551">
        <v>2</v>
      </c>
      <c r="C1997" s="551">
        <v>106</v>
      </c>
    </row>
    <row r="1998" spans="1:3">
      <c r="A1998" s="550" t="s">
        <v>3698</v>
      </c>
      <c r="B1998" s="551">
        <v>3</v>
      </c>
      <c r="C1998" s="551">
        <v>139</v>
      </c>
    </row>
    <row r="1999" spans="1:3">
      <c r="A1999" s="550" t="s">
        <v>3698</v>
      </c>
      <c r="B1999" s="551">
        <v>7</v>
      </c>
      <c r="C1999" s="551">
        <v>189</v>
      </c>
    </row>
    <row r="2000" spans="1:3">
      <c r="A2000" s="550" t="s">
        <v>3698</v>
      </c>
      <c r="B2000" s="551">
        <v>14</v>
      </c>
      <c r="C2000" s="551">
        <v>237</v>
      </c>
    </row>
    <row r="2001" spans="1:3">
      <c r="A2001" s="550" t="s">
        <v>3698</v>
      </c>
      <c r="B2001" s="551">
        <v>21</v>
      </c>
      <c r="C2001" s="551">
        <v>289</v>
      </c>
    </row>
    <row r="2002" spans="1:3">
      <c r="A2002" s="550" t="s">
        <v>3698</v>
      </c>
      <c r="B2002" s="551">
        <v>28</v>
      </c>
      <c r="C2002" s="551">
        <v>317</v>
      </c>
    </row>
    <row r="2003" spans="1:3">
      <c r="A2003" s="550" t="s">
        <v>3698</v>
      </c>
      <c r="B2003" s="551">
        <v>56</v>
      </c>
      <c r="C2003" s="551">
        <v>392</v>
      </c>
    </row>
    <row r="2004" spans="1:3">
      <c r="A2004" s="550" t="s">
        <v>3698</v>
      </c>
      <c r="B2004" s="551">
        <v>84</v>
      </c>
      <c r="C2004" s="551">
        <v>431</v>
      </c>
    </row>
    <row r="2005" spans="1:3">
      <c r="A2005" s="552" t="s">
        <v>3698</v>
      </c>
      <c r="B2005" s="553">
        <v>112</v>
      </c>
      <c r="C2005" s="553">
        <v>479</v>
      </c>
    </row>
    <row r="2006" spans="1:3">
      <c r="A2006" s="552" t="s">
        <v>3698</v>
      </c>
      <c r="B2006" s="553">
        <v>140</v>
      </c>
      <c r="C2006" s="553">
        <v>493</v>
      </c>
    </row>
    <row r="2007" spans="1:3">
      <c r="A2007" s="552" t="s">
        <v>3698</v>
      </c>
      <c r="B2007" s="553">
        <v>168</v>
      </c>
      <c r="C2007" s="553">
        <v>507</v>
      </c>
    </row>
    <row r="2008" spans="1:3">
      <c r="A2008" s="550" t="s">
        <v>3699</v>
      </c>
      <c r="B2008" s="551">
        <v>1</v>
      </c>
      <c r="C2008" s="551">
        <v>39</v>
      </c>
    </row>
    <row r="2009" spans="1:3">
      <c r="A2009" s="550" t="s">
        <v>3699</v>
      </c>
      <c r="B2009" s="551">
        <v>2</v>
      </c>
      <c r="C2009" s="551">
        <v>86</v>
      </c>
    </row>
    <row r="2010" spans="1:3">
      <c r="A2010" s="550" t="s">
        <v>3699</v>
      </c>
      <c r="B2010" s="551">
        <v>3</v>
      </c>
      <c r="C2010" s="551">
        <v>125</v>
      </c>
    </row>
    <row r="2011" spans="1:3">
      <c r="A2011" s="550" t="s">
        <v>3699</v>
      </c>
      <c r="B2011" s="551">
        <v>7</v>
      </c>
      <c r="C2011" s="551">
        <v>214</v>
      </c>
    </row>
    <row r="2012" spans="1:3">
      <c r="A2012" s="550" t="s">
        <v>3699</v>
      </c>
      <c r="B2012" s="551">
        <v>14</v>
      </c>
      <c r="C2012" s="551">
        <v>273</v>
      </c>
    </row>
    <row r="2013" spans="1:3">
      <c r="A2013" s="550" t="s">
        <v>3699</v>
      </c>
      <c r="B2013" s="551">
        <v>21</v>
      </c>
      <c r="C2013" s="551">
        <v>356</v>
      </c>
    </row>
    <row r="2014" spans="1:3">
      <c r="A2014" s="550" t="s">
        <v>3699</v>
      </c>
      <c r="B2014" s="551">
        <v>28</v>
      </c>
      <c r="C2014" s="551">
        <v>353</v>
      </c>
    </row>
    <row r="2015" spans="1:3">
      <c r="A2015" s="550" t="s">
        <v>3699</v>
      </c>
      <c r="B2015" s="551">
        <v>56</v>
      </c>
      <c r="C2015" s="551">
        <v>420</v>
      </c>
    </row>
    <row r="2016" spans="1:3">
      <c r="A2016" s="550" t="s">
        <v>3699</v>
      </c>
      <c r="B2016" s="551">
        <v>84</v>
      </c>
      <c r="C2016" s="551">
        <v>459</v>
      </c>
    </row>
    <row r="2017" spans="1:3">
      <c r="A2017" s="552" t="s">
        <v>3699</v>
      </c>
      <c r="B2017" s="553">
        <v>112</v>
      </c>
      <c r="C2017" s="553">
        <v>509</v>
      </c>
    </row>
    <row r="2018" spans="1:3">
      <c r="A2018" s="552" t="s">
        <v>3699</v>
      </c>
      <c r="B2018" s="553">
        <v>140</v>
      </c>
      <c r="C2018" s="553">
        <v>523</v>
      </c>
    </row>
    <row r="2019" spans="1:3">
      <c r="A2019" s="552" t="s">
        <v>3699</v>
      </c>
      <c r="B2019" s="553">
        <v>168</v>
      </c>
      <c r="C2019" s="553">
        <v>546</v>
      </c>
    </row>
    <row r="2020" spans="1:3">
      <c r="A2020" s="550" t="s">
        <v>3700</v>
      </c>
      <c r="B2020" s="551">
        <v>1</v>
      </c>
      <c r="C2020" s="551">
        <v>31</v>
      </c>
    </row>
    <row r="2021" spans="1:3">
      <c r="A2021" s="550" t="s">
        <v>3700</v>
      </c>
      <c r="B2021" s="551">
        <v>2</v>
      </c>
      <c r="C2021" s="551">
        <v>70</v>
      </c>
    </row>
    <row r="2022" spans="1:3">
      <c r="A2022" s="550" t="s">
        <v>3700</v>
      </c>
      <c r="B2022" s="551">
        <v>3</v>
      </c>
      <c r="C2022" s="551">
        <v>86</v>
      </c>
    </row>
    <row r="2023" spans="1:3">
      <c r="A2023" s="550" t="s">
        <v>3700</v>
      </c>
      <c r="B2023" s="551">
        <v>7</v>
      </c>
      <c r="C2023" s="551">
        <v>122</v>
      </c>
    </row>
    <row r="2024" spans="1:3">
      <c r="A2024" s="550" t="s">
        <v>3700</v>
      </c>
      <c r="B2024" s="551">
        <v>14</v>
      </c>
      <c r="C2024" s="551">
        <v>203</v>
      </c>
    </row>
    <row r="2025" spans="1:3">
      <c r="A2025" s="550" t="s">
        <v>3700</v>
      </c>
      <c r="B2025" s="551">
        <v>21</v>
      </c>
      <c r="C2025" s="551">
        <v>242</v>
      </c>
    </row>
    <row r="2026" spans="1:3">
      <c r="A2026" s="550" t="s">
        <v>3700</v>
      </c>
      <c r="B2026" s="551">
        <v>28</v>
      </c>
      <c r="C2026" s="551">
        <v>273</v>
      </c>
    </row>
    <row r="2027" spans="1:3">
      <c r="A2027" s="550" t="s">
        <v>3700</v>
      </c>
      <c r="B2027" s="551">
        <v>56</v>
      </c>
      <c r="C2027" s="551">
        <v>359</v>
      </c>
    </row>
    <row r="2028" spans="1:3">
      <c r="A2028" s="550" t="s">
        <v>3700</v>
      </c>
      <c r="B2028" s="551">
        <v>84</v>
      </c>
      <c r="C2028" s="551">
        <v>456</v>
      </c>
    </row>
    <row r="2029" spans="1:3">
      <c r="A2029" s="552" t="s">
        <v>3700</v>
      </c>
      <c r="B2029" s="553">
        <v>112</v>
      </c>
      <c r="C2029" s="553">
        <v>465</v>
      </c>
    </row>
    <row r="2030" spans="1:3">
      <c r="A2030" s="552" t="s">
        <v>3700</v>
      </c>
      <c r="B2030" s="553">
        <v>140</v>
      </c>
      <c r="C2030" s="553">
        <v>476</v>
      </c>
    </row>
    <row r="2031" spans="1:3">
      <c r="A2031" s="552" t="s">
        <v>3700</v>
      </c>
      <c r="B2031" s="553">
        <v>168</v>
      </c>
      <c r="C2031" s="553">
        <v>518</v>
      </c>
    </row>
    <row r="2032" spans="1:3">
      <c r="A2032" s="550" t="s">
        <v>3701</v>
      </c>
      <c r="B2032" s="551">
        <v>1</v>
      </c>
      <c r="C2032" s="551">
        <v>39</v>
      </c>
    </row>
    <row r="2033" spans="1:3">
      <c r="A2033" s="550" t="s">
        <v>3701</v>
      </c>
      <c r="B2033" s="551">
        <v>2</v>
      </c>
      <c r="C2033" s="551">
        <v>81</v>
      </c>
    </row>
    <row r="2034" spans="1:3">
      <c r="A2034" s="550" t="s">
        <v>3701</v>
      </c>
      <c r="B2034" s="551">
        <v>3</v>
      </c>
      <c r="C2034" s="551">
        <v>100</v>
      </c>
    </row>
    <row r="2035" spans="1:3">
      <c r="A2035" s="550" t="s">
        <v>3701</v>
      </c>
      <c r="B2035" s="551">
        <v>7</v>
      </c>
      <c r="C2035" s="551">
        <v>136</v>
      </c>
    </row>
    <row r="2036" spans="1:3">
      <c r="A2036" s="550" t="s">
        <v>3701</v>
      </c>
      <c r="B2036" s="551">
        <v>14</v>
      </c>
      <c r="C2036" s="551">
        <v>212</v>
      </c>
    </row>
    <row r="2037" spans="1:3">
      <c r="A2037" s="550" t="s">
        <v>3701</v>
      </c>
      <c r="B2037" s="551">
        <v>21</v>
      </c>
      <c r="C2037" s="551">
        <v>256</v>
      </c>
    </row>
    <row r="2038" spans="1:3">
      <c r="A2038" s="550" t="s">
        <v>3701</v>
      </c>
      <c r="B2038" s="551">
        <v>28</v>
      </c>
      <c r="C2038" s="551">
        <v>284</v>
      </c>
    </row>
    <row r="2039" spans="1:3">
      <c r="A2039" s="550" t="s">
        <v>3701</v>
      </c>
      <c r="B2039" s="551">
        <v>56</v>
      </c>
      <c r="C2039" s="551">
        <v>370</v>
      </c>
    </row>
    <row r="2040" spans="1:3">
      <c r="A2040" s="550" t="s">
        <v>3701</v>
      </c>
      <c r="B2040" s="551">
        <v>84</v>
      </c>
      <c r="C2040" s="551">
        <v>406</v>
      </c>
    </row>
    <row r="2041" spans="1:3">
      <c r="A2041" s="552" t="s">
        <v>3701</v>
      </c>
      <c r="B2041" s="553">
        <v>112</v>
      </c>
      <c r="C2041" s="553">
        <v>445</v>
      </c>
    </row>
    <row r="2042" spans="1:3">
      <c r="A2042" s="552" t="s">
        <v>3701</v>
      </c>
      <c r="B2042" s="553">
        <v>140</v>
      </c>
      <c r="C2042" s="553">
        <v>459</v>
      </c>
    </row>
    <row r="2043" spans="1:3">
      <c r="A2043" s="552" t="s">
        <v>3701</v>
      </c>
      <c r="B2043" s="553">
        <v>168</v>
      </c>
      <c r="C2043" s="553">
        <v>462</v>
      </c>
    </row>
    <row r="2044" spans="1:3">
      <c r="A2044" s="550" t="s">
        <v>3702</v>
      </c>
      <c r="B2044" s="551">
        <v>1</v>
      </c>
      <c r="C2044" s="551">
        <v>36</v>
      </c>
    </row>
    <row r="2045" spans="1:3">
      <c r="A2045" s="550" t="s">
        <v>3702</v>
      </c>
      <c r="B2045" s="551">
        <v>2</v>
      </c>
      <c r="C2045" s="551">
        <v>81</v>
      </c>
    </row>
    <row r="2046" spans="1:3">
      <c r="A2046" s="550" t="s">
        <v>3702</v>
      </c>
      <c r="B2046" s="551">
        <v>3</v>
      </c>
      <c r="C2046" s="551">
        <v>114</v>
      </c>
    </row>
    <row r="2047" spans="1:3">
      <c r="A2047" s="550" t="s">
        <v>3702</v>
      </c>
      <c r="B2047" s="551">
        <v>7</v>
      </c>
      <c r="C2047" s="551">
        <v>139</v>
      </c>
    </row>
    <row r="2048" spans="1:3">
      <c r="A2048" s="550" t="s">
        <v>3702</v>
      </c>
      <c r="B2048" s="551">
        <v>14</v>
      </c>
      <c r="C2048" s="551">
        <v>186</v>
      </c>
    </row>
    <row r="2049" spans="1:3">
      <c r="A2049" s="550" t="s">
        <v>3702</v>
      </c>
      <c r="B2049" s="551">
        <v>21</v>
      </c>
      <c r="C2049" s="551">
        <v>234</v>
      </c>
    </row>
    <row r="2050" spans="1:3">
      <c r="A2050" s="550" t="s">
        <v>3702</v>
      </c>
      <c r="B2050" s="551">
        <v>28</v>
      </c>
      <c r="C2050" s="551">
        <v>251</v>
      </c>
    </row>
    <row r="2051" spans="1:3">
      <c r="A2051" s="550" t="s">
        <v>3702</v>
      </c>
      <c r="B2051" s="551">
        <v>56</v>
      </c>
      <c r="C2051" s="551">
        <v>359</v>
      </c>
    </row>
    <row r="2052" spans="1:3">
      <c r="A2052" s="550" t="s">
        <v>3702</v>
      </c>
      <c r="B2052" s="551">
        <v>84</v>
      </c>
      <c r="C2052" s="551">
        <v>392</v>
      </c>
    </row>
    <row r="2053" spans="1:3">
      <c r="A2053" s="552" t="s">
        <v>3702</v>
      </c>
      <c r="B2053" s="553">
        <v>112</v>
      </c>
      <c r="C2053" s="553">
        <v>434</v>
      </c>
    </row>
    <row r="2054" spans="1:3">
      <c r="A2054" s="552" t="s">
        <v>3702</v>
      </c>
      <c r="B2054" s="553">
        <v>140</v>
      </c>
      <c r="C2054" s="553">
        <v>445</v>
      </c>
    </row>
    <row r="2055" spans="1:3">
      <c r="A2055" s="552" t="s">
        <v>3702</v>
      </c>
      <c r="B2055" s="553">
        <v>168</v>
      </c>
      <c r="C2055" s="553">
        <v>459</v>
      </c>
    </row>
    <row r="2056" spans="1:3">
      <c r="A2056" s="550" t="s">
        <v>3703</v>
      </c>
      <c r="B2056" s="551">
        <v>1</v>
      </c>
      <c r="C2056" s="551">
        <v>6</v>
      </c>
    </row>
    <row r="2057" spans="1:3">
      <c r="A2057" s="550" t="s">
        <v>3703</v>
      </c>
      <c r="B2057" s="551">
        <v>2</v>
      </c>
      <c r="C2057" s="551">
        <v>19</v>
      </c>
    </row>
    <row r="2058" spans="1:3">
      <c r="A2058" s="550" t="s">
        <v>3703</v>
      </c>
      <c r="B2058" s="551">
        <v>3</v>
      </c>
      <c r="C2058" s="551">
        <v>22</v>
      </c>
    </row>
    <row r="2059" spans="1:3">
      <c r="A2059" s="550" t="s">
        <v>3703</v>
      </c>
      <c r="B2059" s="551">
        <v>7</v>
      </c>
      <c r="C2059" s="551">
        <v>45</v>
      </c>
    </row>
    <row r="2060" spans="1:3">
      <c r="A2060" s="550" t="s">
        <v>3703</v>
      </c>
      <c r="B2060" s="551">
        <v>14</v>
      </c>
      <c r="C2060" s="551">
        <v>95</v>
      </c>
    </row>
    <row r="2061" spans="1:3">
      <c r="A2061" s="550" t="s">
        <v>3703</v>
      </c>
      <c r="B2061" s="551">
        <v>21</v>
      </c>
      <c r="C2061" s="551">
        <v>111</v>
      </c>
    </row>
    <row r="2062" spans="1:3">
      <c r="A2062" s="550" t="s">
        <v>3703</v>
      </c>
      <c r="B2062" s="551">
        <v>28</v>
      </c>
      <c r="C2062" s="551">
        <v>122</v>
      </c>
    </row>
    <row r="2063" spans="1:3">
      <c r="A2063" s="550" t="s">
        <v>3703</v>
      </c>
      <c r="B2063" s="551">
        <v>56</v>
      </c>
      <c r="C2063" s="551">
        <v>175</v>
      </c>
    </row>
    <row r="2064" spans="1:3">
      <c r="A2064" s="550" t="s">
        <v>3703</v>
      </c>
      <c r="B2064" s="551">
        <v>84</v>
      </c>
      <c r="C2064" s="551">
        <v>281</v>
      </c>
    </row>
    <row r="2065" spans="1:3">
      <c r="A2065" s="552" t="s">
        <v>3703</v>
      </c>
      <c r="B2065" s="553">
        <v>112</v>
      </c>
      <c r="C2065" s="553">
        <v>278</v>
      </c>
    </row>
    <row r="2066" spans="1:3">
      <c r="A2066" s="552" t="s">
        <v>3703</v>
      </c>
      <c r="B2066" s="553">
        <v>140</v>
      </c>
      <c r="C2066" s="553">
        <v>287</v>
      </c>
    </row>
    <row r="2067" spans="1:3">
      <c r="A2067" s="552" t="s">
        <v>3703</v>
      </c>
      <c r="B2067" s="553">
        <v>168</v>
      </c>
      <c r="C2067" s="553">
        <v>337</v>
      </c>
    </row>
    <row r="2068" spans="1:3">
      <c r="A2068" s="550" t="s">
        <v>3704</v>
      </c>
      <c r="B2068" s="551">
        <v>1</v>
      </c>
      <c r="C2068" s="551">
        <v>67</v>
      </c>
    </row>
    <row r="2069" spans="1:3">
      <c r="A2069" s="550" t="s">
        <v>3704</v>
      </c>
      <c r="B2069" s="551">
        <v>2</v>
      </c>
      <c r="C2069" s="551">
        <v>111</v>
      </c>
    </row>
    <row r="2070" spans="1:3">
      <c r="A2070" s="550" t="s">
        <v>3704</v>
      </c>
      <c r="B2070" s="551">
        <v>3</v>
      </c>
      <c r="C2070" s="551">
        <v>145</v>
      </c>
    </row>
    <row r="2071" spans="1:3">
      <c r="A2071" s="550" t="s">
        <v>3704</v>
      </c>
      <c r="B2071" s="551">
        <v>7</v>
      </c>
      <c r="C2071" s="551">
        <v>234</v>
      </c>
    </row>
    <row r="2072" spans="1:3">
      <c r="A2072" s="550" t="s">
        <v>3704</v>
      </c>
      <c r="B2072" s="551">
        <v>14</v>
      </c>
      <c r="C2072" s="551">
        <v>309</v>
      </c>
    </row>
    <row r="2073" spans="1:3">
      <c r="A2073" s="550" t="s">
        <v>3704</v>
      </c>
      <c r="B2073" s="551">
        <v>21</v>
      </c>
      <c r="C2073" s="551">
        <v>356</v>
      </c>
    </row>
    <row r="2074" spans="1:3">
      <c r="A2074" s="550" t="s">
        <v>3704</v>
      </c>
      <c r="B2074" s="551">
        <v>28</v>
      </c>
      <c r="C2074" s="551">
        <v>390</v>
      </c>
    </row>
    <row r="2075" spans="1:3">
      <c r="A2075" s="550" t="s">
        <v>3704</v>
      </c>
      <c r="B2075" s="551">
        <v>56</v>
      </c>
      <c r="C2075" s="551">
        <v>426</v>
      </c>
    </row>
    <row r="2076" spans="1:3">
      <c r="A2076" s="550" t="s">
        <v>3704</v>
      </c>
      <c r="B2076" s="551">
        <v>84</v>
      </c>
      <c r="C2076" s="551">
        <v>470</v>
      </c>
    </row>
    <row r="2077" spans="1:3">
      <c r="A2077" s="552" t="s">
        <v>3704</v>
      </c>
      <c r="B2077" s="553">
        <v>112</v>
      </c>
      <c r="C2077" s="553">
        <v>551</v>
      </c>
    </row>
    <row r="2078" spans="1:3">
      <c r="A2078" s="552" t="s">
        <v>3704</v>
      </c>
      <c r="B2078" s="553">
        <v>140</v>
      </c>
      <c r="C2078" s="553">
        <v>565</v>
      </c>
    </row>
    <row r="2079" spans="1:3">
      <c r="A2079" s="552" t="s">
        <v>3704</v>
      </c>
      <c r="B2079" s="553">
        <v>168</v>
      </c>
      <c r="C2079" s="553">
        <v>576</v>
      </c>
    </row>
    <row r="2080" spans="1:3">
      <c r="A2080" s="550" t="s">
        <v>3705</v>
      </c>
      <c r="B2080" s="551">
        <v>1</v>
      </c>
      <c r="C2080" s="551">
        <v>72</v>
      </c>
    </row>
    <row r="2081" spans="1:3">
      <c r="A2081" s="550" t="s">
        <v>3705</v>
      </c>
      <c r="B2081" s="551">
        <v>2</v>
      </c>
      <c r="C2081" s="551">
        <v>111</v>
      </c>
    </row>
    <row r="2082" spans="1:3">
      <c r="A2082" s="550" t="s">
        <v>3705</v>
      </c>
      <c r="B2082" s="551">
        <v>3</v>
      </c>
      <c r="C2082" s="551">
        <v>148</v>
      </c>
    </row>
    <row r="2083" spans="1:3">
      <c r="A2083" s="550" t="s">
        <v>3705</v>
      </c>
      <c r="B2083" s="551">
        <v>7</v>
      </c>
      <c r="C2083" s="551">
        <v>181</v>
      </c>
    </row>
    <row r="2084" spans="1:3">
      <c r="A2084" s="550" t="s">
        <v>3705</v>
      </c>
      <c r="B2084" s="551">
        <v>14</v>
      </c>
      <c r="C2084" s="551">
        <v>237</v>
      </c>
    </row>
    <row r="2085" spans="1:3">
      <c r="A2085" s="550" t="s">
        <v>3705</v>
      </c>
      <c r="B2085" s="551">
        <v>21</v>
      </c>
      <c r="C2085" s="551">
        <v>289</v>
      </c>
    </row>
    <row r="2086" spans="1:3">
      <c r="A2086" s="550" t="s">
        <v>3705</v>
      </c>
      <c r="B2086" s="551">
        <v>28</v>
      </c>
      <c r="C2086" s="551">
        <v>328</v>
      </c>
    </row>
    <row r="2087" spans="1:3">
      <c r="A2087" s="550" t="s">
        <v>3705</v>
      </c>
      <c r="B2087" s="551">
        <v>56</v>
      </c>
      <c r="C2087" s="551">
        <v>409</v>
      </c>
    </row>
    <row r="2088" spans="1:3">
      <c r="A2088" s="550" t="s">
        <v>3705</v>
      </c>
      <c r="B2088" s="551">
        <v>84</v>
      </c>
      <c r="C2088" s="551">
        <v>512</v>
      </c>
    </row>
    <row r="2089" spans="1:3">
      <c r="A2089" s="552" t="s">
        <v>3705</v>
      </c>
      <c r="B2089" s="553">
        <v>112</v>
      </c>
      <c r="C2089" s="553">
        <v>546</v>
      </c>
    </row>
    <row r="2090" spans="1:3">
      <c r="A2090" s="552" t="s">
        <v>3705</v>
      </c>
      <c r="B2090" s="553">
        <v>140</v>
      </c>
      <c r="C2090" s="553">
        <v>607</v>
      </c>
    </row>
    <row r="2091" spans="1:3">
      <c r="A2091" s="552" t="s">
        <v>3705</v>
      </c>
      <c r="B2091" s="553">
        <v>168</v>
      </c>
      <c r="C2091" s="553">
        <v>623</v>
      </c>
    </row>
    <row r="2092" spans="1:3">
      <c r="A2092" s="550" t="s">
        <v>3646</v>
      </c>
      <c r="B2092" s="551">
        <v>1</v>
      </c>
      <c r="C2092" s="551">
        <v>42</v>
      </c>
    </row>
    <row r="2093" spans="1:3">
      <c r="A2093" s="550" t="s">
        <v>3646</v>
      </c>
      <c r="B2093" s="551">
        <v>2</v>
      </c>
      <c r="C2093" s="551">
        <v>56</v>
      </c>
    </row>
    <row r="2094" spans="1:3">
      <c r="A2094" s="550" t="s">
        <v>3646</v>
      </c>
      <c r="B2094" s="551">
        <v>3</v>
      </c>
      <c r="C2094" s="551">
        <v>70</v>
      </c>
    </row>
    <row r="2095" spans="1:3">
      <c r="A2095" s="550" t="s">
        <v>3646</v>
      </c>
      <c r="B2095" s="551">
        <v>7</v>
      </c>
      <c r="C2095" s="551">
        <v>134</v>
      </c>
    </row>
    <row r="2096" spans="1:3">
      <c r="A2096" s="550" t="s">
        <v>3646</v>
      </c>
      <c r="B2096" s="551">
        <v>14</v>
      </c>
      <c r="C2096" s="551">
        <v>150</v>
      </c>
    </row>
    <row r="2097" spans="1:3">
      <c r="A2097" s="550" t="s">
        <v>3646</v>
      </c>
      <c r="B2097" s="551">
        <v>21</v>
      </c>
      <c r="C2097" s="551">
        <v>189</v>
      </c>
    </row>
    <row r="2098" spans="1:3">
      <c r="A2098" s="550" t="s">
        <v>3646</v>
      </c>
      <c r="B2098" s="551">
        <v>28</v>
      </c>
      <c r="C2098" s="551">
        <v>212</v>
      </c>
    </row>
    <row r="2099" spans="1:3">
      <c r="A2099" s="550" t="s">
        <v>3646</v>
      </c>
      <c r="B2099" s="551">
        <v>56</v>
      </c>
      <c r="C2099" s="551">
        <v>239</v>
      </c>
    </row>
    <row r="2100" spans="1:3">
      <c r="A2100" s="550" t="s">
        <v>3646</v>
      </c>
      <c r="B2100" s="551">
        <v>84</v>
      </c>
      <c r="C2100" s="551">
        <v>278</v>
      </c>
    </row>
    <row r="2101" spans="1:3">
      <c r="A2101" s="552" t="s">
        <v>3646</v>
      </c>
      <c r="B2101" s="553">
        <v>112</v>
      </c>
      <c r="C2101" s="553">
        <v>376</v>
      </c>
    </row>
    <row r="2102" spans="1:3">
      <c r="A2102" s="552" t="s">
        <v>3646</v>
      </c>
      <c r="B2102" s="553">
        <v>140</v>
      </c>
      <c r="C2102" s="553">
        <v>395</v>
      </c>
    </row>
    <row r="2103" spans="1:3">
      <c r="A2103" s="552" t="s">
        <v>3646</v>
      </c>
      <c r="B2103" s="553">
        <v>168</v>
      </c>
      <c r="C2103" s="553">
        <v>412</v>
      </c>
    </row>
    <row r="2104" spans="1:3">
      <c r="A2104" s="550" t="s">
        <v>3706</v>
      </c>
      <c r="B2104" s="551">
        <v>1</v>
      </c>
      <c r="C2104" s="551">
        <v>70</v>
      </c>
    </row>
    <row r="2105" spans="1:3">
      <c r="A2105" s="550" t="s">
        <v>3706</v>
      </c>
      <c r="B2105" s="551">
        <v>2</v>
      </c>
      <c r="C2105" s="551">
        <v>131</v>
      </c>
    </row>
    <row r="2106" spans="1:3">
      <c r="A2106" s="550" t="s">
        <v>3706</v>
      </c>
      <c r="B2106" s="551">
        <v>3</v>
      </c>
      <c r="C2106" s="551">
        <v>161</v>
      </c>
    </row>
    <row r="2107" spans="1:3">
      <c r="A2107" s="550" t="s">
        <v>3706</v>
      </c>
      <c r="B2107" s="551">
        <v>7</v>
      </c>
      <c r="C2107" s="551">
        <v>189</v>
      </c>
    </row>
    <row r="2108" spans="1:3">
      <c r="A2108" s="550" t="s">
        <v>3706</v>
      </c>
      <c r="B2108" s="551">
        <v>14</v>
      </c>
      <c r="C2108" s="551">
        <v>245</v>
      </c>
    </row>
    <row r="2109" spans="1:3">
      <c r="A2109" s="550" t="s">
        <v>3706</v>
      </c>
      <c r="B2109" s="551">
        <v>21</v>
      </c>
      <c r="C2109" s="551">
        <v>278</v>
      </c>
    </row>
    <row r="2110" spans="1:3">
      <c r="A2110" s="550" t="s">
        <v>3706</v>
      </c>
      <c r="B2110" s="551">
        <v>28</v>
      </c>
      <c r="C2110" s="551">
        <v>312</v>
      </c>
    </row>
    <row r="2111" spans="1:3">
      <c r="A2111" s="550" t="s">
        <v>3706</v>
      </c>
      <c r="B2111" s="551">
        <v>56</v>
      </c>
      <c r="C2111" s="551">
        <v>387</v>
      </c>
    </row>
    <row r="2112" spans="1:3">
      <c r="A2112" s="550" t="s">
        <v>3706</v>
      </c>
      <c r="B2112" s="551">
        <v>84</v>
      </c>
      <c r="C2112" s="551">
        <v>454</v>
      </c>
    </row>
    <row r="2113" spans="1:3">
      <c r="A2113" s="552" t="s">
        <v>3706</v>
      </c>
      <c r="B2113" s="553">
        <v>112</v>
      </c>
      <c r="C2113" s="553">
        <v>484</v>
      </c>
    </row>
    <row r="2114" spans="1:3">
      <c r="A2114" s="552" t="s">
        <v>3706</v>
      </c>
      <c r="B2114" s="553">
        <v>140</v>
      </c>
      <c r="C2114" s="553">
        <v>546</v>
      </c>
    </row>
    <row r="2115" spans="1:3">
      <c r="A2115" s="552" t="s">
        <v>3706</v>
      </c>
      <c r="B2115" s="553">
        <v>168</v>
      </c>
      <c r="C2115" s="553">
        <v>559</v>
      </c>
    </row>
    <row r="2116" spans="1:3">
      <c r="A2116" s="550" t="s">
        <v>3647</v>
      </c>
      <c r="B2116" s="551">
        <v>1</v>
      </c>
      <c r="C2116" s="551">
        <v>39</v>
      </c>
    </row>
    <row r="2117" spans="1:3">
      <c r="A2117" s="550" t="s">
        <v>3647</v>
      </c>
      <c r="B2117" s="551">
        <v>2</v>
      </c>
      <c r="C2117" s="551">
        <v>86</v>
      </c>
    </row>
    <row r="2118" spans="1:3">
      <c r="A2118" s="550" t="s">
        <v>3647</v>
      </c>
      <c r="B2118" s="551">
        <v>3</v>
      </c>
      <c r="C2118" s="551">
        <v>136</v>
      </c>
    </row>
    <row r="2119" spans="1:3">
      <c r="A2119" s="550" t="s">
        <v>3647</v>
      </c>
      <c r="B2119" s="551">
        <v>7</v>
      </c>
      <c r="C2119" s="551">
        <v>192</v>
      </c>
    </row>
    <row r="2120" spans="1:3">
      <c r="A2120" s="550" t="s">
        <v>3647</v>
      </c>
      <c r="B2120" s="551">
        <v>14</v>
      </c>
      <c r="C2120" s="551">
        <v>253</v>
      </c>
    </row>
    <row r="2121" spans="1:3">
      <c r="A2121" s="550" t="s">
        <v>3647</v>
      </c>
      <c r="B2121" s="551">
        <v>21</v>
      </c>
      <c r="C2121" s="551">
        <v>292</v>
      </c>
    </row>
    <row r="2122" spans="1:3">
      <c r="A2122" s="550" t="s">
        <v>3647</v>
      </c>
      <c r="B2122" s="551">
        <v>28</v>
      </c>
      <c r="C2122" s="551">
        <v>353</v>
      </c>
    </row>
    <row r="2123" spans="1:3">
      <c r="A2123" s="550" t="s">
        <v>3647</v>
      </c>
      <c r="B2123" s="551">
        <v>56</v>
      </c>
      <c r="C2123" s="551">
        <v>406</v>
      </c>
    </row>
    <row r="2124" spans="1:3">
      <c r="A2124" s="550" t="s">
        <v>3647</v>
      </c>
      <c r="B2124" s="551">
        <v>84</v>
      </c>
      <c r="C2124" s="551">
        <v>462</v>
      </c>
    </row>
    <row r="2125" spans="1:3">
      <c r="A2125" s="552" t="s">
        <v>3647</v>
      </c>
      <c r="B2125" s="553">
        <v>112</v>
      </c>
      <c r="C2125" s="553">
        <v>493</v>
      </c>
    </row>
    <row r="2126" spans="1:3">
      <c r="A2126" s="552" t="s">
        <v>3647</v>
      </c>
      <c r="B2126" s="553">
        <v>140</v>
      </c>
      <c r="C2126" s="553">
        <v>518</v>
      </c>
    </row>
    <row r="2127" spans="1:3">
      <c r="A2127" s="552" t="s">
        <v>3647</v>
      </c>
      <c r="B2127" s="553">
        <v>168</v>
      </c>
      <c r="C2127" s="553">
        <v>585</v>
      </c>
    </row>
    <row r="2128" spans="1:3">
      <c r="A2128" s="550" t="s">
        <v>3648</v>
      </c>
      <c r="B2128" s="551">
        <v>1</v>
      </c>
      <c r="C2128" s="551">
        <v>14</v>
      </c>
    </row>
    <row r="2129" spans="1:3">
      <c r="A2129" s="550" t="s">
        <v>3648</v>
      </c>
      <c r="B2129" s="551">
        <v>2</v>
      </c>
      <c r="C2129" s="551">
        <v>61</v>
      </c>
    </row>
    <row r="2130" spans="1:3">
      <c r="A2130" s="550" t="s">
        <v>3648</v>
      </c>
      <c r="B2130" s="551">
        <v>3</v>
      </c>
      <c r="C2130" s="551">
        <v>89</v>
      </c>
    </row>
    <row r="2131" spans="1:3">
      <c r="A2131" s="550" t="s">
        <v>3648</v>
      </c>
      <c r="B2131" s="551">
        <v>7</v>
      </c>
      <c r="C2131" s="551">
        <v>159</v>
      </c>
    </row>
    <row r="2132" spans="1:3">
      <c r="A2132" s="550" t="s">
        <v>3648</v>
      </c>
      <c r="B2132" s="551">
        <v>14</v>
      </c>
      <c r="C2132" s="551">
        <v>206</v>
      </c>
    </row>
    <row r="2133" spans="1:3">
      <c r="A2133" s="550" t="s">
        <v>3648</v>
      </c>
      <c r="B2133" s="551">
        <v>21</v>
      </c>
      <c r="C2133" s="551">
        <v>251</v>
      </c>
    </row>
    <row r="2134" spans="1:3">
      <c r="A2134" s="550" t="s">
        <v>3648</v>
      </c>
      <c r="B2134" s="551">
        <v>28</v>
      </c>
      <c r="C2134" s="551">
        <v>315</v>
      </c>
    </row>
    <row r="2135" spans="1:3">
      <c r="A2135" s="550" t="s">
        <v>3648</v>
      </c>
      <c r="B2135" s="551">
        <v>56</v>
      </c>
      <c r="C2135" s="551">
        <v>381</v>
      </c>
    </row>
    <row r="2136" spans="1:3">
      <c r="A2136" s="550" t="s">
        <v>3648</v>
      </c>
      <c r="B2136" s="551">
        <v>84</v>
      </c>
      <c r="C2136" s="551">
        <v>437</v>
      </c>
    </row>
    <row r="2137" spans="1:3">
      <c r="A2137" s="552" t="s">
        <v>3648</v>
      </c>
      <c r="B2137" s="553">
        <v>112</v>
      </c>
      <c r="C2137" s="553">
        <v>473</v>
      </c>
    </row>
    <row r="2138" spans="1:3">
      <c r="A2138" s="552" t="s">
        <v>3648</v>
      </c>
      <c r="B2138" s="553">
        <v>140</v>
      </c>
      <c r="C2138" s="553">
        <v>493</v>
      </c>
    </row>
    <row r="2139" spans="1:3">
      <c r="A2139" s="552" t="s">
        <v>3648</v>
      </c>
      <c r="B2139" s="553">
        <v>168</v>
      </c>
      <c r="C2139" s="553">
        <v>534</v>
      </c>
    </row>
    <row r="2140" spans="1:3">
      <c r="A2140" s="550" t="s">
        <v>3707</v>
      </c>
      <c r="B2140" s="551">
        <v>1</v>
      </c>
      <c r="C2140" s="551">
        <v>75</v>
      </c>
    </row>
    <row r="2141" spans="1:3">
      <c r="A2141" s="550" t="s">
        <v>3707</v>
      </c>
      <c r="B2141" s="551">
        <v>2</v>
      </c>
      <c r="C2141" s="551">
        <v>103</v>
      </c>
    </row>
    <row r="2142" spans="1:3">
      <c r="A2142" s="550" t="s">
        <v>3707</v>
      </c>
      <c r="B2142" s="551">
        <v>3</v>
      </c>
      <c r="C2142" s="551">
        <v>125</v>
      </c>
    </row>
    <row r="2143" spans="1:3">
      <c r="A2143" s="550" t="s">
        <v>3707</v>
      </c>
      <c r="B2143" s="551">
        <v>7</v>
      </c>
      <c r="C2143" s="551">
        <v>203</v>
      </c>
    </row>
    <row r="2144" spans="1:3">
      <c r="A2144" s="550" t="s">
        <v>3707</v>
      </c>
      <c r="B2144" s="551">
        <v>14</v>
      </c>
      <c r="C2144" s="551">
        <v>270</v>
      </c>
    </row>
    <row r="2145" spans="1:3">
      <c r="A2145" s="550" t="s">
        <v>3707</v>
      </c>
      <c r="B2145" s="551">
        <v>21</v>
      </c>
      <c r="C2145" s="551">
        <v>331</v>
      </c>
    </row>
    <row r="2146" spans="1:3">
      <c r="A2146" s="550" t="s">
        <v>3707</v>
      </c>
      <c r="B2146" s="551">
        <v>28</v>
      </c>
      <c r="C2146" s="551">
        <v>348</v>
      </c>
    </row>
    <row r="2147" spans="1:3">
      <c r="A2147" s="550" t="s">
        <v>3707</v>
      </c>
      <c r="B2147" s="551">
        <v>56</v>
      </c>
      <c r="C2147" s="551">
        <v>420</v>
      </c>
    </row>
    <row r="2148" spans="1:3">
      <c r="A2148" s="550" t="s">
        <v>3707</v>
      </c>
      <c r="B2148" s="551">
        <v>84</v>
      </c>
      <c r="C2148" s="551">
        <v>507</v>
      </c>
    </row>
    <row r="2149" spans="1:3">
      <c r="A2149" s="552" t="s">
        <v>3707</v>
      </c>
      <c r="B2149" s="553">
        <v>112</v>
      </c>
      <c r="C2149" s="553">
        <v>548</v>
      </c>
    </row>
    <row r="2150" spans="1:3">
      <c r="A2150" s="552" t="s">
        <v>3707</v>
      </c>
      <c r="B2150" s="553">
        <v>140</v>
      </c>
      <c r="C2150" s="553">
        <v>562</v>
      </c>
    </row>
    <row r="2151" spans="1:3">
      <c r="A2151" s="552" t="s">
        <v>3707</v>
      </c>
      <c r="B2151" s="553">
        <v>168</v>
      </c>
      <c r="C2151" s="553">
        <v>579</v>
      </c>
    </row>
    <row r="2152" spans="1:3">
      <c r="A2152" s="550" t="s">
        <v>3708</v>
      </c>
      <c r="B2152" s="551">
        <v>2</v>
      </c>
      <c r="C2152" s="551">
        <v>92</v>
      </c>
    </row>
    <row r="2153" spans="1:3">
      <c r="A2153" s="550" t="s">
        <v>3708</v>
      </c>
      <c r="B2153" s="551">
        <v>3</v>
      </c>
      <c r="C2153" s="551">
        <v>125</v>
      </c>
    </row>
    <row r="2154" spans="1:3">
      <c r="A2154" s="550" t="s">
        <v>3708</v>
      </c>
      <c r="B2154" s="551">
        <v>7</v>
      </c>
      <c r="C2154" s="551">
        <v>192</v>
      </c>
    </row>
    <row r="2155" spans="1:3">
      <c r="A2155" s="550" t="s">
        <v>3708</v>
      </c>
      <c r="B2155" s="551">
        <v>14</v>
      </c>
      <c r="C2155" s="551">
        <v>253</v>
      </c>
    </row>
    <row r="2156" spans="1:3">
      <c r="A2156" s="550" t="s">
        <v>3708</v>
      </c>
      <c r="B2156" s="551">
        <v>21</v>
      </c>
      <c r="C2156" s="551">
        <v>312</v>
      </c>
    </row>
    <row r="2157" spans="1:3">
      <c r="A2157" s="550" t="s">
        <v>3708</v>
      </c>
      <c r="B2157" s="551">
        <v>28</v>
      </c>
      <c r="C2157" s="551">
        <v>331</v>
      </c>
    </row>
    <row r="2158" spans="1:3">
      <c r="A2158" s="550" t="s">
        <v>3708</v>
      </c>
      <c r="B2158" s="551">
        <v>56</v>
      </c>
      <c r="C2158" s="551">
        <v>426</v>
      </c>
    </row>
    <row r="2159" spans="1:3">
      <c r="A2159" s="550" t="s">
        <v>3708</v>
      </c>
      <c r="B2159" s="551">
        <v>84</v>
      </c>
      <c r="C2159" s="551">
        <v>504</v>
      </c>
    </row>
    <row r="2160" spans="1:3">
      <c r="A2160" s="552" t="s">
        <v>3708</v>
      </c>
      <c r="B2160" s="553">
        <v>112</v>
      </c>
      <c r="C2160" s="553">
        <v>554</v>
      </c>
    </row>
    <row r="2161" spans="1:3">
      <c r="A2161" s="552" t="s">
        <v>3708</v>
      </c>
      <c r="B2161" s="553">
        <v>140</v>
      </c>
      <c r="C2161" s="553">
        <v>576</v>
      </c>
    </row>
    <row r="2162" spans="1:3">
      <c r="A2162" s="552" t="s">
        <v>3708</v>
      </c>
      <c r="B2162" s="553">
        <v>168</v>
      </c>
      <c r="C2162" s="553">
        <v>587</v>
      </c>
    </row>
    <row r="2163" spans="1:3">
      <c r="A2163" s="550" t="s">
        <v>3709</v>
      </c>
      <c r="B2163" s="551">
        <v>1</v>
      </c>
      <c r="C2163" s="551">
        <v>67</v>
      </c>
    </row>
    <row r="2164" spans="1:3">
      <c r="A2164" s="550" t="s">
        <v>3709</v>
      </c>
      <c r="B2164" s="551">
        <v>2</v>
      </c>
      <c r="C2164" s="551">
        <v>103</v>
      </c>
    </row>
    <row r="2165" spans="1:3">
      <c r="A2165" s="550" t="s">
        <v>3709</v>
      </c>
      <c r="B2165" s="551">
        <v>3</v>
      </c>
      <c r="C2165" s="551">
        <v>111</v>
      </c>
    </row>
    <row r="2166" spans="1:3">
      <c r="A2166" s="550" t="s">
        <v>3709</v>
      </c>
      <c r="B2166" s="551">
        <v>7</v>
      </c>
      <c r="C2166" s="551">
        <v>145</v>
      </c>
    </row>
    <row r="2167" spans="1:3">
      <c r="A2167" s="550" t="s">
        <v>3709</v>
      </c>
      <c r="B2167" s="551">
        <v>14</v>
      </c>
      <c r="C2167" s="551">
        <v>220</v>
      </c>
    </row>
    <row r="2168" spans="1:3">
      <c r="A2168" s="550" t="s">
        <v>3709</v>
      </c>
      <c r="B2168" s="551">
        <v>21</v>
      </c>
      <c r="C2168" s="551">
        <v>239</v>
      </c>
    </row>
    <row r="2169" spans="1:3">
      <c r="A2169" s="550" t="s">
        <v>3709</v>
      </c>
      <c r="B2169" s="551">
        <v>28</v>
      </c>
      <c r="C2169" s="551">
        <v>273</v>
      </c>
    </row>
    <row r="2170" spans="1:3">
      <c r="A2170" s="550" t="s">
        <v>3709</v>
      </c>
      <c r="B2170" s="551">
        <v>56</v>
      </c>
      <c r="C2170" s="551">
        <v>334</v>
      </c>
    </row>
    <row r="2171" spans="1:3">
      <c r="A2171" s="550" t="s">
        <v>3709</v>
      </c>
      <c r="B2171" s="551">
        <v>84</v>
      </c>
      <c r="C2171" s="551">
        <v>356</v>
      </c>
    </row>
    <row r="2172" spans="1:3">
      <c r="A2172" s="552" t="s">
        <v>3709</v>
      </c>
      <c r="B2172" s="553">
        <v>112</v>
      </c>
      <c r="C2172" s="553">
        <v>415</v>
      </c>
    </row>
    <row r="2173" spans="1:3">
      <c r="A2173" s="552" t="s">
        <v>3709</v>
      </c>
      <c r="B2173" s="553">
        <v>140</v>
      </c>
      <c r="C2173" s="553">
        <v>431</v>
      </c>
    </row>
    <row r="2174" spans="1:3">
      <c r="A2174" s="552" t="s">
        <v>3709</v>
      </c>
      <c r="B2174" s="553">
        <v>168</v>
      </c>
      <c r="C2174" s="553">
        <v>462</v>
      </c>
    </row>
    <row r="2175" spans="1:3">
      <c r="A2175" s="550" t="s">
        <v>3710</v>
      </c>
      <c r="B2175" s="551">
        <v>1</v>
      </c>
      <c r="C2175" s="551">
        <v>72</v>
      </c>
    </row>
    <row r="2176" spans="1:3">
      <c r="A2176" s="550" t="s">
        <v>3710</v>
      </c>
      <c r="B2176" s="551">
        <v>2</v>
      </c>
      <c r="C2176" s="551">
        <v>109</v>
      </c>
    </row>
    <row r="2177" spans="1:3">
      <c r="A2177" s="550" t="s">
        <v>3710</v>
      </c>
      <c r="B2177" s="551">
        <v>3</v>
      </c>
      <c r="C2177" s="551">
        <v>125</v>
      </c>
    </row>
    <row r="2178" spans="1:3">
      <c r="A2178" s="550" t="s">
        <v>3710</v>
      </c>
      <c r="B2178" s="551">
        <v>7</v>
      </c>
      <c r="C2178" s="551">
        <v>153</v>
      </c>
    </row>
    <row r="2179" spans="1:3">
      <c r="A2179" s="550" t="s">
        <v>3710</v>
      </c>
      <c r="B2179" s="551">
        <v>14</v>
      </c>
      <c r="C2179" s="551">
        <v>220</v>
      </c>
    </row>
    <row r="2180" spans="1:3">
      <c r="A2180" s="550" t="s">
        <v>3710</v>
      </c>
      <c r="B2180" s="551">
        <v>21</v>
      </c>
      <c r="C2180" s="551">
        <v>256</v>
      </c>
    </row>
    <row r="2181" spans="1:3">
      <c r="A2181" s="550" t="s">
        <v>3710</v>
      </c>
      <c r="B2181" s="551">
        <v>28</v>
      </c>
      <c r="C2181" s="551">
        <v>295</v>
      </c>
    </row>
    <row r="2182" spans="1:3">
      <c r="A2182" s="550" t="s">
        <v>3710</v>
      </c>
      <c r="B2182" s="551">
        <v>56</v>
      </c>
      <c r="C2182" s="551">
        <v>353</v>
      </c>
    </row>
    <row r="2183" spans="1:3">
      <c r="A2183" s="550" t="s">
        <v>3710</v>
      </c>
      <c r="B2183" s="551">
        <v>84</v>
      </c>
      <c r="C2183" s="551">
        <v>390</v>
      </c>
    </row>
    <row r="2184" spans="1:3">
      <c r="A2184" s="552" t="s">
        <v>3710</v>
      </c>
      <c r="B2184" s="553">
        <v>112</v>
      </c>
      <c r="C2184" s="553">
        <v>445</v>
      </c>
    </row>
    <row r="2185" spans="1:3">
      <c r="A2185" s="552" t="s">
        <v>3710</v>
      </c>
      <c r="B2185" s="553">
        <v>140</v>
      </c>
      <c r="C2185" s="553">
        <v>459</v>
      </c>
    </row>
    <row r="2186" spans="1:3">
      <c r="A2186" s="552" t="s">
        <v>3710</v>
      </c>
      <c r="B2186" s="553">
        <v>168</v>
      </c>
      <c r="C2186" s="553">
        <v>476</v>
      </c>
    </row>
    <row r="2187" spans="1:3">
      <c r="A2187" s="550" t="s">
        <v>3711</v>
      </c>
      <c r="B2187" s="551">
        <v>1</v>
      </c>
      <c r="C2187" s="551">
        <v>61</v>
      </c>
    </row>
    <row r="2188" spans="1:3">
      <c r="A2188" s="550" t="s">
        <v>3711</v>
      </c>
      <c r="B2188" s="551">
        <v>2</v>
      </c>
      <c r="C2188" s="551">
        <v>117</v>
      </c>
    </row>
    <row r="2189" spans="1:3">
      <c r="A2189" s="550" t="s">
        <v>3711</v>
      </c>
      <c r="B2189" s="551">
        <v>3</v>
      </c>
      <c r="C2189" s="551">
        <v>139</v>
      </c>
    </row>
    <row r="2190" spans="1:3">
      <c r="A2190" s="550" t="s">
        <v>3711</v>
      </c>
      <c r="B2190" s="551">
        <v>7</v>
      </c>
      <c r="C2190" s="551">
        <v>198</v>
      </c>
    </row>
    <row r="2191" spans="1:3">
      <c r="A2191" s="550" t="s">
        <v>3711</v>
      </c>
      <c r="B2191" s="551">
        <v>14</v>
      </c>
      <c r="C2191" s="551">
        <v>276</v>
      </c>
    </row>
    <row r="2192" spans="1:3">
      <c r="A2192" s="550" t="s">
        <v>3711</v>
      </c>
      <c r="B2192" s="551">
        <v>21</v>
      </c>
      <c r="C2192" s="551">
        <v>334</v>
      </c>
    </row>
    <row r="2193" spans="1:3">
      <c r="A2193" s="550" t="s">
        <v>3711</v>
      </c>
      <c r="B2193" s="551">
        <v>28</v>
      </c>
      <c r="C2193" s="551">
        <v>373</v>
      </c>
    </row>
    <row r="2194" spans="1:3">
      <c r="A2194" s="550" t="s">
        <v>3711</v>
      </c>
      <c r="B2194" s="551">
        <v>56</v>
      </c>
      <c r="C2194" s="551">
        <v>429</v>
      </c>
    </row>
    <row r="2195" spans="1:3">
      <c r="A2195" s="550" t="s">
        <v>3711</v>
      </c>
      <c r="B2195" s="551">
        <v>84</v>
      </c>
      <c r="C2195" s="551">
        <v>484</v>
      </c>
    </row>
    <row r="2196" spans="1:3">
      <c r="A2196" s="552" t="s">
        <v>3711</v>
      </c>
      <c r="B2196" s="553">
        <v>112</v>
      </c>
      <c r="C2196" s="553">
        <v>504</v>
      </c>
    </row>
    <row r="2197" spans="1:3">
      <c r="A2197" s="552" t="s">
        <v>3711</v>
      </c>
      <c r="B2197" s="553">
        <v>140</v>
      </c>
      <c r="C2197" s="553">
        <v>507</v>
      </c>
    </row>
    <row r="2198" spans="1:3">
      <c r="A2198" s="552" t="s">
        <v>3711</v>
      </c>
      <c r="B2198" s="553">
        <v>168</v>
      </c>
      <c r="C2198" s="553">
        <v>520</v>
      </c>
    </row>
    <row r="2199" spans="1:3">
      <c r="A2199" s="550" t="s">
        <v>3712</v>
      </c>
      <c r="B2199" s="551">
        <v>1</v>
      </c>
      <c r="C2199" s="551">
        <v>84</v>
      </c>
    </row>
    <row r="2200" spans="1:3">
      <c r="A2200" s="550" t="s">
        <v>3712</v>
      </c>
      <c r="B2200" s="551">
        <v>2</v>
      </c>
      <c r="C2200" s="551">
        <v>109</v>
      </c>
    </row>
    <row r="2201" spans="1:3">
      <c r="A2201" s="550" t="s">
        <v>3712</v>
      </c>
      <c r="B2201" s="551">
        <v>3</v>
      </c>
      <c r="C2201" s="551">
        <v>122</v>
      </c>
    </row>
    <row r="2202" spans="1:3">
      <c r="A2202" s="550" t="s">
        <v>3712</v>
      </c>
      <c r="B2202" s="551">
        <v>7</v>
      </c>
      <c r="C2202" s="551">
        <v>175</v>
      </c>
    </row>
    <row r="2203" spans="1:3">
      <c r="A2203" s="550" t="s">
        <v>3712</v>
      </c>
      <c r="B2203" s="551">
        <v>14</v>
      </c>
      <c r="C2203" s="551">
        <v>248</v>
      </c>
    </row>
    <row r="2204" spans="1:3">
      <c r="A2204" s="550" t="s">
        <v>3712</v>
      </c>
      <c r="B2204" s="551">
        <v>21</v>
      </c>
      <c r="C2204" s="551">
        <v>301</v>
      </c>
    </row>
    <row r="2205" spans="1:3">
      <c r="A2205" s="550" t="s">
        <v>3712</v>
      </c>
      <c r="B2205" s="551">
        <v>28</v>
      </c>
      <c r="C2205" s="551">
        <v>315</v>
      </c>
    </row>
    <row r="2206" spans="1:3">
      <c r="A2206" s="550" t="s">
        <v>3712</v>
      </c>
      <c r="B2206" s="551">
        <v>56</v>
      </c>
      <c r="C2206" s="551">
        <v>376</v>
      </c>
    </row>
    <row r="2207" spans="1:3">
      <c r="A2207" s="550" t="s">
        <v>3712</v>
      </c>
      <c r="B2207" s="551">
        <v>84</v>
      </c>
      <c r="C2207" s="551">
        <v>384</v>
      </c>
    </row>
    <row r="2208" spans="1:3">
      <c r="A2208" s="552" t="s">
        <v>3712</v>
      </c>
      <c r="B2208" s="553">
        <v>112</v>
      </c>
      <c r="C2208" s="553">
        <v>426</v>
      </c>
    </row>
    <row r="2209" spans="1:4">
      <c r="A2209" s="552" t="s">
        <v>3712</v>
      </c>
      <c r="B2209" s="553">
        <v>140</v>
      </c>
      <c r="C2209" s="553">
        <v>479</v>
      </c>
    </row>
    <row r="2210" spans="1:4">
      <c r="A2210" s="552" t="s">
        <v>3712</v>
      </c>
      <c r="B2210" s="553">
        <v>168</v>
      </c>
      <c r="C2210" s="553">
        <v>495</v>
      </c>
    </row>
    <row r="2211" spans="1:4">
      <c r="A2211" s="550" t="s">
        <v>3713</v>
      </c>
      <c r="B2211" s="551">
        <v>1</v>
      </c>
      <c r="C2211" s="551">
        <v>81</v>
      </c>
    </row>
    <row r="2212" spans="1:4">
      <c r="A2212" s="550" t="s">
        <v>3713</v>
      </c>
      <c r="B2212" s="551">
        <v>2</v>
      </c>
      <c r="C2212" s="551">
        <v>95</v>
      </c>
    </row>
    <row r="2213" spans="1:4">
      <c r="A2213" s="550" t="s">
        <v>3713</v>
      </c>
      <c r="B2213" s="551">
        <v>3</v>
      </c>
      <c r="C2213" s="551">
        <v>111</v>
      </c>
    </row>
    <row r="2214" spans="1:4">
      <c r="A2214" s="550" t="s">
        <v>3713</v>
      </c>
      <c r="B2214" s="551">
        <v>7</v>
      </c>
      <c r="C2214" s="551">
        <v>167</v>
      </c>
    </row>
    <row r="2215" spans="1:4">
      <c r="A2215" s="550" t="s">
        <v>3713</v>
      </c>
      <c r="B2215" s="551">
        <v>14</v>
      </c>
      <c r="C2215" s="551">
        <v>245</v>
      </c>
    </row>
    <row r="2216" spans="1:4">
      <c r="A2216" s="550" t="s">
        <v>3713</v>
      </c>
      <c r="B2216" s="551">
        <v>21</v>
      </c>
      <c r="C2216" s="551">
        <v>320</v>
      </c>
    </row>
    <row r="2217" spans="1:4">
      <c r="A2217" s="550" t="s">
        <v>3713</v>
      </c>
      <c r="B2217" s="551">
        <v>28</v>
      </c>
      <c r="C2217" s="551">
        <v>331</v>
      </c>
    </row>
    <row r="2218" spans="1:4">
      <c r="A2218" s="550" t="s">
        <v>3713</v>
      </c>
      <c r="B2218" s="551">
        <v>56</v>
      </c>
      <c r="C2218" s="551">
        <v>409</v>
      </c>
    </row>
    <row r="2219" spans="1:4">
      <c r="A2219" s="550" t="s">
        <v>3713</v>
      </c>
      <c r="B2219" s="551">
        <v>84</v>
      </c>
      <c r="C2219" s="551">
        <v>412</v>
      </c>
    </row>
    <row r="2220" spans="1:4">
      <c r="A2220" s="552" t="s">
        <v>3713</v>
      </c>
      <c r="B2220" s="553">
        <v>112</v>
      </c>
      <c r="C2220" s="553">
        <v>443</v>
      </c>
    </row>
    <row r="2221" spans="1:4">
      <c r="A2221" s="552" t="s">
        <v>3713</v>
      </c>
      <c r="B2221" s="553">
        <v>140</v>
      </c>
      <c r="C2221" s="553">
        <v>507</v>
      </c>
    </row>
    <row r="2222" spans="1:4">
      <c r="A2222" s="552" t="s">
        <v>3713</v>
      </c>
      <c r="B2222" s="553">
        <v>168</v>
      </c>
      <c r="C2222" s="553">
        <v>515</v>
      </c>
    </row>
    <row r="2223" spans="1:4">
      <c r="A2223" s="550" t="s">
        <v>3649</v>
      </c>
      <c r="B2223" s="551">
        <v>1</v>
      </c>
      <c r="C2223" s="551">
        <v>57</v>
      </c>
    </row>
    <row r="2224" spans="1:4">
      <c r="A2224" s="550" t="s">
        <v>3649</v>
      </c>
      <c r="B2224" s="551">
        <v>2</v>
      </c>
      <c r="C2224" s="551">
        <v>81</v>
      </c>
      <c r="D2224" s="67"/>
    </row>
    <row r="2225" spans="1:4">
      <c r="A2225" s="550" t="s">
        <v>3649</v>
      </c>
      <c r="B2225" s="551">
        <v>3</v>
      </c>
      <c r="C2225" s="551">
        <v>90</v>
      </c>
      <c r="D2225" s="67"/>
    </row>
    <row r="2226" spans="1:4">
      <c r="A2226" s="550" t="s">
        <v>3649</v>
      </c>
      <c r="B2226" s="551">
        <v>5</v>
      </c>
      <c r="C2226" s="551">
        <v>107</v>
      </c>
      <c r="D2226" s="67"/>
    </row>
    <row r="2227" spans="1:4">
      <c r="A2227" s="550" t="s">
        <v>3649</v>
      </c>
      <c r="B2227" s="551">
        <v>7</v>
      </c>
      <c r="C2227" s="551">
        <v>122</v>
      </c>
      <c r="D2227" s="67"/>
    </row>
    <row r="2228" spans="1:4">
      <c r="A2228" s="550" t="s">
        <v>3649</v>
      </c>
      <c r="B2228" s="551">
        <v>11</v>
      </c>
      <c r="C2228" s="551">
        <v>148</v>
      </c>
      <c r="D2228" s="67"/>
    </row>
    <row r="2229" spans="1:4">
      <c r="A2229" s="550" t="s">
        <v>3649</v>
      </c>
      <c r="B2229" s="551">
        <v>15</v>
      </c>
      <c r="C2229" s="551">
        <v>171</v>
      </c>
      <c r="D2229" s="67"/>
    </row>
    <row r="2230" spans="1:4">
      <c r="A2230" s="550" t="s">
        <v>3649</v>
      </c>
      <c r="B2230" s="551">
        <v>19</v>
      </c>
      <c r="C2230" s="551">
        <v>187</v>
      </c>
      <c r="D2230" s="67"/>
    </row>
    <row r="2231" spans="1:4">
      <c r="A2231" s="550" t="s">
        <v>3649</v>
      </c>
      <c r="B2231" s="551">
        <v>25</v>
      </c>
      <c r="C2231" s="551">
        <v>218</v>
      </c>
      <c r="D2231" s="67"/>
    </row>
    <row r="2232" spans="1:4">
      <c r="A2232" s="550" t="s">
        <v>3649</v>
      </c>
      <c r="B2232" s="551">
        <v>32</v>
      </c>
      <c r="C2232" s="551">
        <v>246</v>
      </c>
      <c r="D2232" s="67"/>
    </row>
    <row r="2233" spans="1:4">
      <c r="A2233" s="550" t="s">
        <v>3649</v>
      </c>
      <c r="B2233" s="551">
        <v>39</v>
      </c>
      <c r="C2233" s="551">
        <v>269</v>
      </c>
      <c r="D2233" s="67"/>
    </row>
    <row r="2234" spans="1:4">
      <c r="A2234" s="550" t="s">
        <v>3649</v>
      </c>
      <c r="B2234" s="551">
        <v>46</v>
      </c>
      <c r="C2234" s="551">
        <v>281</v>
      </c>
      <c r="D2234" s="67"/>
    </row>
    <row r="2235" spans="1:4">
      <c r="A2235" s="550" t="s">
        <v>3649</v>
      </c>
      <c r="B2235" s="551">
        <v>56</v>
      </c>
      <c r="C2235" s="551">
        <v>337</v>
      </c>
      <c r="D2235" s="67"/>
    </row>
    <row r="2236" spans="1:4">
      <c r="A2236" s="550" t="s">
        <v>3649</v>
      </c>
      <c r="B2236" s="551">
        <v>92</v>
      </c>
      <c r="C2236" s="551">
        <v>356</v>
      </c>
      <c r="D2236" s="67"/>
    </row>
    <row r="2237" spans="1:4">
      <c r="A2237" s="552" t="s">
        <v>3649</v>
      </c>
      <c r="B2237" s="553">
        <v>123</v>
      </c>
      <c r="C2237" s="553">
        <v>401</v>
      </c>
      <c r="D2237" s="67"/>
    </row>
    <row r="2238" spans="1:4">
      <c r="A2238" s="550" t="s">
        <v>3714</v>
      </c>
      <c r="B2238" s="551">
        <v>1</v>
      </c>
      <c r="C2238" s="551">
        <v>75</v>
      </c>
    </row>
    <row r="2239" spans="1:4">
      <c r="A2239" s="550" t="s">
        <v>3714</v>
      </c>
      <c r="B2239" s="551">
        <v>2</v>
      </c>
      <c r="C2239" s="551">
        <v>117</v>
      </c>
    </row>
    <row r="2240" spans="1:4">
      <c r="A2240" s="550" t="s">
        <v>3714</v>
      </c>
      <c r="B2240" s="551">
        <v>3</v>
      </c>
      <c r="C2240" s="551">
        <v>141</v>
      </c>
    </row>
    <row r="2241" spans="1:3">
      <c r="A2241" s="550" t="s">
        <v>3714</v>
      </c>
      <c r="B2241" s="551">
        <v>5</v>
      </c>
      <c r="C2241" s="551">
        <v>164</v>
      </c>
    </row>
    <row r="2242" spans="1:3">
      <c r="A2242" s="550" t="s">
        <v>3714</v>
      </c>
      <c r="B2242" s="551">
        <v>7</v>
      </c>
      <c r="C2242" s="551">
        <v>178</v>
      </c>
    </row>
    <row r="2243" spans="1:3">
      <c r="A2243" s="550" t="s">
        <v>3714</v>
      </c>
      <c r="B2243" s="551">
        <v>11</v>
      </c>
      <c r="C2243" s="551">
        <v>219</v>
      </c>
    </row>
    <row r="2244" spans="1:3">
      <c r="A2244" s="550" t="s">
        <v>3714</v>
      </c>
      <c r="B2244" s="551">
        <v>15</v>
      </c>
      <c r="C2244" s="551">
        <v>251</v>
      </c>
    </row>
    <row r="2245" spans="1:3">
      <c r="A2245" s="550" t="s">
        <v>3714</v>
      </c>
      <c r="B2245" s="551">
        <v>19</v>
      </c>
      <c r="C2245" s="551">
        <v>269</v>
      </c>
    </row>
    <row r="2246" spans="1:3">
      <c r="A2246" s="550" t="s">
        <v>3714</v>
      </c>
      <c r="B2246" s="551">
        <v>25</v>
      </c>
      <c r="C2246" s="551">
        <v>309</v>
      </c>
    </row>
    <row r="2247" spans="1:3">
      <c r="A2247" s="550" t="s">
        <v>3714</v>
      </c>
      <c r="B2247" s="551">
        <v>32</v>
      </c>
      <c r="C2247" s="551">
        <v>346</v>
      </c>
    </row>
    <row r="2248" spans="1:3">
      <c r="A2248" s="550" t="s">
        <v>3714</v>
      </c>
      <c r="B2248" s="551">
        <v>39</v>
      </c>
      <c r="C2248" s="551">
        <v>373</v>
      </c>
    </row>
    <row r="2249" spans="1:3">
      <c r="A2249" s="550" t="s">
        <v>3714</v>
      </c>
      <c r="B2249" s="551">
        <v>46</v>
      </c>
      <c r="C2249" s="551">
        <v>390</v>
      </c>
    </row>
    <row r="2250" spans="1:3">
      <c r="A2250" s="550" t="s">
        <v>3714</v>
      </c>
      <c r="B2250" s="551">
        <v>56</v>
      </c>
      <c r="C2250" s="551">
        <v>460</v>
      </c>
    </row>
    <row r="2251" spans="1:3">
      <c r="A2251" s="550" t="s">
        <v>3714</v>
      </c>
      <c r="B2251" s="551">
        <v>92</v>
      </c>
      <c r="C2251" s="551">
        <v>463</v>
      </c>
    </row>
    <row r="2252" spans="1:3">
      <c r="A2252" s="552" t="s">
        <v>3714</v>
      </c>
      <c r="B2252" s="553">
        <v>123</v>
      </c>
      <c r="C2252" s="553">
        <v>515</v>
      </c>
    </row>
    <row r="2253" spans="1:3">
      <c r="A2253" s="550" t="s">
        <v>3650</v>
      </c>
      <c r="B2253" s="551">
        <v>1</v>
      </c>
      <c r="C2253" s="551">
        <v>35</v>
      </c>
    </row>
    <row r="2254" spans="1:3">
      <c r="A2254" s="550" t="s">
        <v>3650</v>
      </c>
      <c r="B2254" s="551">
        <v>2</v>
      </c>
      <c r="C2254" s="551">
        <v>60</v>
      </c>
    </row>
    <row r="2255" spans="1:3">
      <c r="A2255" s="550" t="s">
        <v>3650</v>
      </c>
      <c r="B2255" s="551">
        <v>3</v>
      </c>
      <c r="C2255" s="551">
        <v>77</v>
      </c>
    </row>
    <row r="2256" spans="1:3">
      <c r="A2256" s="550" t="s">
        <v>3650</v>
      </c>
      <c r="B2256" s="551">
        <v>4</v>
      </c>
      <c r="C2256" s="551">
        <v>93</v>
      </c>
    </row>
    <row r="2257" spans="1:3">
      <c r="A2257" s="550" t="s">
        <v>3650</v>
      </c>
      <c r="B2257" s="551">
        <v>5</v>
      </c>
      <c r="C2257" s="551">
        <v>112</v>
      </c>
    </row>
    <row r="2258" spans="1:3">
      <c r="A2258" s="550" t="s">
        <v>3650</v>
      </c>
      <c r="B2258" s="551">
        <v>6</v>
      </c>
      <c r="C2258" s="551">
        <v>122</v>
      </c>
    </row>
    <row r="2259" spans="1:3">
      <c r="A2259" s="550" t="s">
        <v>3650</v>
      </c>
      <c r="B2259" s="551">
        <v>7</v>
      </c>
      <c r="C2259" s="551">
        <v>133</v>
      </c>
    </row>
    <row r="2260" spans="1:3">
      <c r="A2260" s="550" t="s">
        <v>3650</v>
      </c>
      <c r="B2260" s="551">
        <v>10</v>
      </c>
      <c r="C2260" s="554">
        <v>165</v>
      </c>
    </row>
    <row r="2261" spans="1:3">
      <c r="A2261" s="550" t="s">
        <v>3650</v>
      </c>
      <c r="B2261" s="551">
        <v>14</v>
      </c>
      <c r="C2261" s="551">
        <v>197</v>
      </c>
    </row>
    <row r="2262" spans="1:3">
      <c r="A2262" s="550" t="s">
        <v>3650</v>
      </c>
      <c r="B2262" s="551">
        <v>21</v>
      </c>
      <c r="C2262" s="551">
        <v>242</v>
      </c>
    </row>
    <row r="2263" spans="1:3">
      <c r="A2263" s="550" t="s">
        <v>3650</v>
      </c>
      <c r="B2263" s="551">
        <v>28</v>
      </c>
      <c r="C2263" s="551">
        <v>282</v>
      </c>
    </row>
    <row r="2264" spans="1:3">
      <c r="A2264" s="550" t="s">
        <v>3650</v>
      </c>
      <c r="B2264" s="551">
        <v>42</v>
      </c>
      <c r="C2264" s="551">
        <v>332</v>
      </c>
    </row>
    <row r="2265" spans="1:3">
      <c r="A2265" s="550" t="s">
        <v>3650</v>
      </c>
      <c r="B2265" s="551">
        <v>56</v>
      </c>
      <c r="C2265" s="551">
        <v>353</v>
      </c>
    </row>
    <row r="2266" spans="1:3">
      <c r="A2266" s="550" t="s">
        <v>3650</v>
      </c>
      <c r="B2266" s="551">
        <v>84</v>
      </c>
      <c r="C2266" s="551">
        <v>398</v>
      </c>
    </row>
    <row r="2267" spans="1:3">
      <c r="A2267" s="552" t="s">
        <v>3650</v>
      </c>
      <c r="B2267" s="553">
        <v>112</v>
      </c>
      <c r="C2267" s="553">
        <v>423</v>
      </c>
    </row>
    <row r="2268" spans="1:3">
      <c r="A2268" s="550" t="s">
        <v>3651</v>
      </c>
      <c r="B2268" s="551">
        <v>1</v>
      </c>
      <c r="C2268" s="551">
        <v>47</v>
      </c>
    </row>
    <row r="2269" spans="1:3">
      <c r="A2269" s="550" t="s">
        <v>3651</v>
      </c>
      <c r="B2269" s="551">
        <v>2</v>
      </c>
      <c r="C2269" s="551">
        <v>62</v>
      </c>
    </row>
    <row r="2270" spans="1:3">
      <c r="A2270" s="550" t="s">
        <v>3651</v>
      </c>
      <c r="B2270" s="551">
        <v>3</v>
      </c>
      <c r="C2270" s="551">
        <v>77</v>
      </c>
    </row>
    <row r="2271" spans="1:3">
      <c r="A2271" s="550" t="s">
        <v>3651</v>
      </c>
      <c r="B2271" s="551">
        <v>4</v>
      </c>
      <c r="C2271" s="551">
        <v>88</v>
      </c>
    </row>
    <row r="2272" spans="1:3">
      <c r="A2272" s="550" t="s">
        <v>3651</v>
      </c>
      <c r="B2272" s="551">
        <v>5</v>
      </c>
      <c r="C2272" s="551">
        <v>107</v>
      </c>
    </row>
    <row r="2273" spans="1:3">
      <c r="A2273" s="550" t="s">
        <v>3651</v>
      </c>
      <c r="B2273" s="551">
        <v>6</v>
      </c>
      <c r="C2273" s="551">
        <v>108</v>
      </c>
    </row>
    <row r="2274" spans="1:3">
      <c r="A2274" s="550" t="s">
        <v>3651</v>
      </c>
      <c r="B2274" s="551">
        <v>7</v>
      </c>
      <c r="C2274" s="551">
        <v>128</v>
      </c>
    </row>
    <row r="2275" spans="1:3">
      <c r="A2275" s="550" t="s">
        <v>3651</v>
      </c>
      <c r="B2275" s="551">
        <v>10</v>
      </c>
      <c r="C2275" s="551">
        <v>143</v>
      </c>
    </row>
    <row r="2276" spans="1:3">
      <c r="A2276" s="550" t="s">
        <v>3651</v>
      </c>
      <c r="B2276" s="551">
        <v>14</v>
      </c>
      <c r="C2276" s="551">
        <v>173</v>
      </c>
    </row>
    <row r="2277" spans="1:3">
      <c r="A2277" s="550" t="s">
        <v>3651</v>
      </c>
      <c r="B2277" s="551">
        <v>21</v>
      </c>
      <c r="C2277" s="551">
        <v>202</v>
      </c>
    </row>
    <row r="2278" spans="1:3">
      <c r="A2278" s="550" t="s">
        <v>3651</v>
      </c>
      <c r="B2278" s="551">
        <v>28</v>
      </c>
      <c r="C2278" s="551">
        <v>237</v>
      </c>
    </row>
    <row r="2279" spans="1:3">
      <c r="A2279" s="550" t="s">
        <v>3651</v>
      </c>
      <c r="B2279" s="551">
        <v>42</v>
      </c>
      <c r="C2279" s="551">
        <v>265</v>
      </c>
    </row>
    <row r="2280" spans="1:3">
      <c r="A2280" s="550" t="s">
        <v>3651</v>
      </c>
      <c r="B2280" s="551">
        <v>56</v>
      </c>
      <c r="C2280" s="551">
        <v>278</v>
      </c>
    </row>
    <row r="2281" spans="1:3">
      <c r="A2281" s="550" t="s">
        <v>3651</v>
      </c>
      <c r="B2281" s="551">
        <v>84</v>
      </c>
      <c r="C2281" s="551">
        <v>310</v>
      </c>
    </row>
    <row r="2282" spans="1:3">
      <c r="A2282" s="552" t="s">
        <v>3651</v>
      </c>
      <c r="B2282" s="553">
        <v>112</v>
      </c>
      <c r="C2282" s="553">
        <v>330</v>
      </c>
    </row>
    <row r="2283" spans="1:3">
      <c r="A2283" s="550" t="s">
        <v>3652</v>
      </c>
      <c r="B2283" s="551">
        <v>1</v>
      </c>
      <c r="C2283" s="551">
        <v>52</v>
      </c>
    </row>
    <row r="2284" spans="1:3">
      <c r="A2284" s="550" t="s">
        <v>3652</v>
      </c>
      <c r="B2284" s="551">
        <v>2</v>
      </c>
      <c r="C2284" s="551">
        <v>78</v>
      </c>
    </row>
    <row r="2285" spans="1:3">
      <c r="A2285" s="550" t="s">
        <v>3652</v>
      </c>
      <c r="B2285" s="551">
        <v>3</v>
      </c>
      <c r="C2285" s="551">
        <v>100</v>
      </c>
    </row>
    <row r="2286" spans="1:3">
      <c r="A2286" s="550" t="s">
        <v>3652</v>
      </c>
      <c r="B2286" s="551">
        <v>4</v>
      </c>
      <c r="C2286" s="551">
        <v>123</v>
      </c>
    </row>
    <row r="2287" spans="1:3">
      <c r="A2287" s="550" t="s">
        <v>3652</v>
      </c>
      <c r="B2287" s="551">
        <v>5</v>
      </c>
      <c r="C2287" s="551">
        <v>140</v>
      </c>
    </row>
    <row r="2288" spans="1:3">
      <c r="A2288" s="550" t="s">
        <v>3652</v>
      </c>
      <c r="B2288" s="551">
        <v>6</v>
      </c>
      <c r="C2288" s="551">
        <v>145</v>
      </c>
    </row>
    <row r="2289" spans="1:3">
      <c r="A2289" s="550" t="s">
        <v>3652</v>
      </c>
      <c r="B2289" s="551">
        <v>7</v>
      </c>
      <c r="C2289" s="551">
        <v>163</v>
      </c>
    </row>
    <row r="2290" spans="1:3">
      <c r="A2290" s="550" t="s">
        <v>3652</v>
      </c>
      <c r="B2290" s="551">
        <v>10</v>
      </c>
      <c r="C2290" s="551">
        <v>192</v>
      </c>
    </row>
    <row r="2291" spans="1:3">
      <c r="A2291" s="550" t="s">
        <v>3652</v>
      </c>
      <c r="B2291" s="551">
        <v>14</v>
      </c>
      <c r="C2291" s="551">
        <v>228</v>
      </c>
    </row>
    <row r="2292" spans="1:3">
      <c r="A2292" s="550" t="s">
        <v>3652</v>
      </c>
      <c r="B2292" s="551">
        <v>21</v>
      </c>
      <c r="C2292" s="551">
        <v>252</v>
      </c>
    </row>
    <row r="2293" spans="1:3">
      <c r="A2293" s="550" t="s">
        <v>3652</v>
      </c>
      <c r="B2293" s="551">
        <v>28</v>
      </c>
      <c r="C2293" s="551">
        <v>283</v>
      </c>
    </row>
    <row r="2294" spans="1:3">
      <c r="A2294" s="550" t="s">
        <v>3652</v>
      </c>
      <c r="B2294" s="551">
        <v>42</v>
      </c>
      <c r="C2294" s="551">
        <v>312</v>
      </c>
    </row>
    <row r="2295" spans="1:3">
      <c r="A2295" s="550" t="s">
        <v>3652</v>
      </c>
      <c r="B2295" s="551">
        <v>56</v>
      </c>
      <c r="C2295" s="551">
        <v>322</v>
      </c>
    </row>
    <row r="2296" spans="1:3">
      <c r="A2296" s="550" t="s">
        <v>3652</v>
      </c>
      <c r="B2296" s="551">
        <v>84</v>
      </c>
      <c r="C2296" s="551">
        <v>347</v>
      </c>
    </row>
    <row r="2297" spans="1:3">
      <c r="A2297" s="552" t="s">
        <v>3652</v>
      </c>
      <c r="B2297" s="553">
        <v>112</v>
      </c>
      <c r="C2297" s="553">
        <v>365</v>
      </c>
    </row>
    <row r="2298" spans="1:3">
      <c r="A2298" s="550" t="s">
        <v>3653</v>
      </c>
      <c r="B2298" s="551">
        <v>1</v>
      </c>
      <c r="C2298" s="551">
        <v>5</v>
      </c>
    </row>
    <row r="2299" spans="1:3">
      <c r="A2299" s="550" t="s">
        <v>3653</v>
      </c>
      <c r="B2299" s="551">
        <v>2</v>
      </c>
      <c r="C2299" s="551">
        <v>18</v>
      </c>
    </row>
    <row r="2300" spans="1:3">
      <c r="A2300" s="550" t="s">
        <v>3653</v>
      </c>
      <c r="B2300" s="551">
        <v>3</v>
      </c>
      <c r="C2300" s="551">
        <v>43</v>
      </c>
    </row>
    <row r="2301" spans="1:3">
      <c r="A2301" s="550" t="s">
        <v>3653</v>
      </c>
      <c r="B2301" s="551">
        <v>4</v>
      </c>
      <c r="C2301" s="551">
        <v>53</v>
      </c>
    </row>
    <row r="2302" spans="1:3">
      <c r="A2302" s="550" t="s">
        <v>3653</v>
      </c>
      <c r="B2302" s="551">
        <v>5</v>
      </c>
      <c r="C2302" s="551">
        <v>57</v>
      </c>
    </row>
    <row r="2303" spans="1:3">
      <c r="A2303" s="550" t="s">
        <v>3653</v>
      </c>
      <c r="B2303" s="551">
        <v>6</v>
      </c>
      <c r="C2303" s="551">
        <v>75</v>
      </c>
    </row>
    <row r="2304" spans="1:3">
      <c r="A2304" s="550" t="s">
        <v>3653</v>
      </c>
      <c r="B2304" s="551">
        <v>7</v>
      </c>
      <c r="C2304" s="551">
        <v>85</v>
      </c>
    </row>
    <row r="2305" spans="1:3">
      <c r="A2305" s="550" t="s">
        <v>3653</v>
      </c>
      <c r="B2305" s="551">
        <v>10</v>
      </c>
      <c r="C2305" s="551">
        <v>108</v>
      </c>
    </row>
    <row r="2306" spans="1:3">
      <c r="A2306" s="550" t="s">
        <v>3653</v>
      </c>
      <c r="B2306" s="551">
        <v>14</v>
      </c>
      <c r="C2306" s="551">
        <v>128</v>
      </c>
    </row>
    <row r="2307" spans="1:3">
      <c r="A2307" s="550" t="s">
        <v>3653</v>
      </c>
      <c r="B2307" s="551">
        <v>21</v>
      </c>
      <c r="C2307" s="551">
        <v>163</v>
      </c>
    </row>
    <row r="2308" spans="1:3">
      <c r="A2308" s="550" t="s">
        <v>3653</v>
      </c>
      <c r="B2308" s="551">
        <v>28</v>
      </c>
      <c r="C2308" s="551">
        <v>198</v>
      </c>
    </row>
    <row r="2309" spans="1:3">
      <c r="A2309" s="550" t="s">
        <v>3653</v>
      </c>
      <c r="B2309" s="551">
        <v>42</v>
      </c>
      <c r="C2309" s="551">
        <v>253</v>
      </c>
    </row>
    <row r="2310" spans="1:3">
      <c r="A2310" s="550" t="s">
        <v>3653</v>
      </c>
      <c r="B2310" s="551">
        <v>56</v>
      </c>
      <c r="C2310" s="551">
        <v>282</v>
      </c>
    </row>
    <row r="2311" spans="1:3">
      <c r="A2311" s="550" t="s">
        <v>3653</v>
      </c>
      <c r="B2311" s="551">
        <v>84</v>
      </c>
      <c r="C2311" s="551">
        <v>353</v>
      </c>
    </row>
    <row r="2312" spans="1:3">
      <c r="A2312" s="552" t="s">
        <v>3653</v>
      </c>
      <c r="B2312" s="553">
        <v>112</v>
      </c>
      <c r="C2312" s="553">
        <v>355</v>
      </c>
    </row>
    <row r="2313" spans="1:3">
      <c r="A2313" s="550" t="s">
        <v>3654</v>
      </c>
      <c r="B2313" s="551">
        <v>1</v>
      </c>
      <c r="C2313" s="551">
        <v>17</v>
      </c>
    </row>
    <row r="2314" spans="1:3">
      <c r="A2314" s="550" t="s">
        <v>3654</v>
      </c>
      <c r="B2314" s="551">
        <v>2</v>
      </c>
      <c r="C2314" s="551">
        <v>33</v>
      </c>
    </row>
    <row r="2315" spans="1:3">
      <c r="A2315" s="550" t="s">
        <v>3654</v>
      </c>
      <c r="B2315" s="551">
        <v>3</v>
      </c>
      <c r="C2315" s="551">
        <v>57</v>
      </c>
    </row>
    <row r="2316" spans="1:3">
      <c r="A2316" s="550" t="s">
        <v>3654</v>
      </c>
      <c r="B2316" s="551">
        <v>4</v>
      </c>
      <c r="C2316" s="551">
        <v>62</v>
      </c>
    </row>
    <row r="2317" spans="1:3">
      <c r="A2317" s="550" t="s">
        <v>3654</v>
      </c>
      <c r="B2317" s="551">
        <v>5</v>
      </c>
      <c r="C2317" s="551">
        <v>73</v>
      </c>
    </row>
    <row r="2318" spans="1:3">
      <c r="A2318" s="550" t="s">
        <v>3654</v>
      </c>
      <c r="B2318" s="551">
        <v>6</v>
      </c>
      <c r="C2318" s="551">
        <v>92</v>
      </c>
    </row>
    <row r="2319" spans="1:3">
      <c r="A2319" s="550" t="s">
        <v>3654</v>
      </c>
      <c r="B2319" s="551">
        <v>7</v>
      </c>
      <c r="C2319" s="551">
        <v>95</v>
      </c>
    </row>
    <row r="2320" spans="1:3">
      <c r="A2320" s="550" t="s">
        <v>3654</v>
      </c>
      <c r="B2320" s="551">
        <v>10</v>
      </c>
      <c r="C2320" s="551">
        <v>133</v>
      </c>
    </row>
    <row r="2321" spans="1:3">
      <c r="A2321" s="550" t="s">
        <v>3654</v>
      </c>
      <c r="B2321" s="551">
        <v>14</v>
      </c>
      <c r="C2321" s="551">
        <v>165</v>
      </c>
    </row>
    <row r="2322" spans="1:3">
      <c r="A2322" s="550" t="s">
        <v>3654</v>
      </c>
      <c r="B2322" s="551">
        <v>21</v>
      </c>
      <c r="C2322" s="551">
        <v>213</v>
      </c>
    </row>
    <row r="2323" spans="1:3">
      <c r="A2323" s="550" t="s">
        <v>3654</v>
      </c>
      <c r="B2323" s="551">
        <v>28</v>
      </c>
      <c r="C2323" s="551">
        <v>256</v>
      </c>
    </row>
    <row r="2324" spans="1:3">
      <c r="A2324" s="550" t="s">
        <v>3654</v>
      </c>
      <c r="B2324" s="551">
        <v>42</v>
      </c>
      <c r="C2324" s="551">
        <v>313</v>
      </c>
    </row>
    <row r="2325" spans="1:3">
      <c r="A2325" s="550" t="s">
        <v>3654</v>
      </c>
      <c r="B2325" s="551">
        <v>56</v>
      </c>
      <c r="C2325" s="551">
        <v>345</v>
      </c>
    </row>
    <row r="2326" spans="1:3">
      <c r="A2326" s="550" t="s">
        <v>3654</v>
      </c>
      <c r="B2326" s="551">
        <v>84</v>
      </c>
      <c r="C2326" s="551">
        <v>406</v>
      </c>
    </row>
    <row r="2327" spans="1:3">
      <c r="A2327" s="552" t="s">
        <v>3654</v>
      </c>
      <c r="B2327" s="553">
        <v>112</v>
      </c>
      <c r="C2327" s="553">
        <v>420</v>
      </c>
    </row>
    <row r="2328" spans="1:3">
      <c r="A2328" s="550" t="s">
        <v>3655</v>
      </c>
      <c r="B2328" s="551">
        <v>1</v>
      </c>
      <c r="C2328" s="551">
        <v>5</v>
      </c>
    </row>
    <row r="2329" spans="1:3">
      <c r="A2329" s="550" t="s">
        <v>3655</v>
      </c>
      <c r="B2329" s="551">
        <v>2</v>
      </c>
      <c r="C2329" s="551">
        <v>45</v>
      </c>
    </row>
    <row r="2330" spans="1:3">
      <c r="A2330" s="550" t="s">
        <v>3655</v>
      </c>
      <c r="B2330" s="551">
        <v>3</v>
      </c>
      <c r="C2330" s="551">
        <v>71</v>
      </c>
    </row>
    <row r="2331" spans="1:3">
      <c r="A2331" s="550" t="s">
        <v>3655</v>
      </c>
      <c r="B2331" s="551">
        <v>4</v>
      </c>
      <c r="C2331" s="551">
        <v>78</v>
      </c>
    </row>
    <row r="2332" spans="1:3">
      <c r="A2332" s="550" t="s">
        <v>3655</v>
      </c>
      <c r="B2332" s="551">
        <v>5</v>
      </c>
      <c r="C2332" s="551">
        <v>87</v>
      </c>
    </row>
    <row r="2333" spans="1:3">
      <c r="A2333" s="550" t="s">
        <v>3655</v>
      </c>
      <c r="B2333" s="551">
        <v>6</v>
      </c>
      <c r="C2333" s="551">
        <v>93</v>
      </c>
    </row>
    <row r="2334" spans="1:3">
      <c r="A2334" s="550" t="s">
        <v>3655</v>
      </c>
      <c r="B2334" s="551">
        <v>7</v>
      </c>
      <c r="C2334" s="551">
        <v>107</v>
      </c>
    </row>
    <row r="2335" spans="1:3">
      <c r="A2335" s="550" t="s">
        <v>3655</v>
      </c>
      <c r="B2335" s="551">
        <v>10</v>
      </c>
      <c r="C2335" s="551">
        <v>125</v>
      </c>
    </row>
    <row r="2336" spans="1:3">
      <c r="A2336" s="550" t="s">
        <v>3655</v>
      </c>
      <c r="B2336" s="551">
        <v>14</v>
      </c>
      <c r="C2336" s="551">
        <v>155</v>
      </c>
    </row>
    <row r="2337" spans="1:4">
      <c r="A2337" s="550" t="s">
        <v>3655</v>
      </c>
      <c r="B2337" s="551">
        <v>21</v>
      </c>
      <c r="C2337" s="551">
        <v>195</v>
      </c>
    </row>
    <row r="2338" spans="1:4">
      <c r="A2338" s="550" t="s">
        <v>3655</v>
      </c>
      <c r="B2338" s="551">
        <v>28</v>
      </c>
      <c r="C2338" s="551">
        <v>222</v>
      </c>
    </row>
    <row r="2339" spans="1:4">
      <c r="A2339" s="550" t="s">
        <v>3655</v>
      </c>
      <c r="B2339" s="551">
        <v>42</v>
      </c>
      <c r="C2339" s="551">
        <v>260</v>
      </c>
    </row>
    <row r="2340" spans="1:4">
      <c r="A2340" s="550" t="s">
        <v>3655</v>
      </c>
      <c r="B2340" s="551">
        <v>56</v>
      </c>
      <c r="C2340" s="551">
        <v>298</v>
      </c>
    </row>
    <row r="2341" spans="1:4">
      <c r="A2341" s="550" t="s">
        <v>3655</v>
      </c>
      <c r="B2341" s="551">
        <v>84</v>
      </c>
      <c r="C2341" s="551">
        <v>350</v>
      </c>
    </row>
    <row r="2342" spans="1:4">
      <c r="A2342" s="552" t="s">
        <v>3655</v>
      </c>
      <c r="B2342" s="553">
        <v>112</v>
      </c>
      <c r="C2342" s="553">
        <v>365</v>
      </c>
    </row>
    <row r="2343" spans="1:4">
      <c r="A2343" s="552" t="s">
        <v>3656</v>
      </c>
      <c r="B2343" s="553">
        <v>178</v>
      </c>
      <c r="C2343" s="553">
        <v>434</v>
      </c>
    </row>
    <row r="2344" spans="1:4">
      <c r="A2344" s="552" t="s">
        <v>3657</v>
      </c>
      <c r="B2344" s="553">
        <v>178</v>
      </c>
      <c r="C2344" s="553">
        <v>310</v>
      </c>
      <c r="D2344" s="67"/>
    </row>
    <row r="2345" spans="1:4">
      <c r="A2345" s="550" t="s">
        <v>3658</v>
      </c>
      <c r="B2345" s="551">
        <v>3</v>
      </c>
      <c r="C2345" s="551">
        <v>53</v>
      </c>
      <c r="D2345" s="67"/>
    </row>
    <row r="2346" spans="1:4">
      <c r="A2346" s="550" t="s">
        <v>3658</v>
      </c>
      <c r="B2346" s="551">
        <v>7</v>
      </c>
      <c r="C2346" s="551">
        <v>89</v>
      </c>
      <c r="D2346" s="67"/>
    </row>
    <row r="2347" spans="1:4">
      <c r="A2347" s="550" t="s">
        <v>3658</v>
      </c>
      <c r="B2347" s="551">
        <v>14</v>
      </c>
      <c r="C2347" s="551">
        <v>132</v>
      </c>
      <c r="D2347" s="67"/>
    </row>
    <row r="2348" spans="1:4">
      <c r="A2348" s="550" t="s">
        <v>3658</v>
      </c>
      <c r="B2348" s="551">
        <v>28</v>
      </c>
      <c r="C2348" s="551">
        <v>174</v>
      </c>
      <c r="D2348" s="67"/>
    </row>
    <row r="2349" spans="1:4">
      <c r="A2349" s="550" t="s">
        <v>3658</v>
      </c>
      <c r="B2349" s="551">
        <v>56</v>
      </c>
      <c r="C2349" s="551">
        <v>216</v>
      </c>
      <c r="D2349" s="67"/>
    </row>
    <row r="2350" spans="1:4">
      <c r="A2350" s="550" t="s">
        <v>3658</v>
      </c>
      <c r="B2350" s="551">
        <v>85</v>
      </c>
      <c r="C2350" s="551">
        <v>242</v>
      </c>
      <c r="D2350" s="67"/>
    </row>
    <row r="2351" spans="1:4">
      <c r="A2351" s="552" t="s">
        <v>3658</v>
      </c>
      <c r="B2351" s="553">
        <v>112</v>
      </c>
      <c r="C2351" s="553">
        <v>253</v>
      </c>
      <c r="D2351" s="67"/>
    </row>
    <row r="2352" spans="1:4">
      <c r="A2352" s="552" t="s">
        <v>3658</v>
      </c>
      <c r="B2352" s="553">
        <v>140</v>
      </c>
      <c r="C2352" s="553">
        <v>263</v>
      </c>
      <c r="D2352" s="67"/>
    </row>
    <row r="2353" spans="1:4">
      <c r="A2353" s="552" t="s">
        <v>3658</v>
      </c>
      <c r="B2353" s="553">
        <v>184</v>
      </c>
      <c r="C2353" s="553">
        <v>274</v>
      </c>
      <c r="D2353" s="67"/>
    </row>
    <row r="2354" spans="1:4">
      <c r="A2354" s="552" t="s">
        <v>3658</v>
      </c>
      <c r="B2354" s="553">
        <v>338</v>
      </c>
      <c r="C2354" s="553">
        <v>311</v>
      </c>
      <c r="D2354" s="67"/>
    </row>
    <row r="2355" spans="1:4">
      <c r="A2355" s="552" t="s">
        <v>3658</v>
      </c>
      <c r="B2355" s="553">
        <v>371</v>
      </c>
      <c r="C2355" s="553">
        <v>321</v>
      </c>
      <c r="D2355" s="67"/>
    </row>
    <row r="2356" spans="1:4">
      <c r="A2356" s="552" t="s">
        <v>3659</v>
      </c>
      <c r="B2356" s="553">
        <v>178</v>
      </c>
      <c r="C2356" s="553">
        <v>473</v>
      </c>
      <c r="D2356" s="67"/>
    </row>
    <row r="2357" spans="1:4">
      <c r="A2357" s="552" t="s">
        <v>3660</v>
      </c>
      <c r="B2357" s="553">
        <v>178</v>
      </c>
      <c r="C2357" s="553">
        <v>460</v>
      </c>
      <c r="D2357" s="67"/>
    </row>
    <row r="2358" spans="1:4">
      <c r="A2358" s="552" t="s">
        <v>3661</v>
      </c>
      <c r="B2358" s="553">
        <v>178</v>
      </c>
      <c r="C2358" s="553">
        <v>380</v>
      </c>
      <c r="D2358" s="67"/>
    </row>
    <row r="2359" spans="1:4">
      <c r="A2359" s="550" t="s">
        <v>3662</v>
      </c>
      <c r="B2359" s="551">
        <v>1</v>
      </c>
      <c r="C2359" s="551">
        <v>46</v>
      </c>
      <c r="D2359" s="67"/>
    </row>
    <row r="2360" spans="1:4">
      <c r="A2360" s="550" t="s">
        <v>3662</v>
      </c>
      <c r="B2360" s="551">
        <v>1</v>
      </c>
      <c r="C2360" s="551">
        <v>160</v>
      </c>
      <c r="D2360" s="67"/>
    </row>
    <row r="2361" spans="1:4">
      <c r="A2361" s="550" t="s">
        <v>3662</v>
      </c>
      <c r="B2361" s="551">
        <v>2</v>
      </c>
      <c r="C2361" s="551">
        <v>62</v>
      </c>
      <c r="D2361" s="67"/>
    </row>
    <row r="2362" spans="1:4">
      <c r="A2362" s="550" t="s">
        <v>3662</v>
      </c>
      <c r="B2362" s="551">
        <v>3</v>
      </c>
      <c r="C2362" s="551">
        <v>80</v>
      </c>
      <c r="D2362" s="67"/>
    </row>
    <row r="2363" spans="1:4">
      <c r="A2363" s="550" t="s">
        <v>3662</v>
      </c>
      <c r="B2363" s="551">
        <v>4</v>
      </c>
      <c r="C2363" s="551">
        <v>95</v>
      </c>
      <c r="D2363" s="67"/>
    </row>
    <row r="2364" spans="1:4">
      <c r="A2364" s="550" t="s">
        <v>3662</v>
      </c>
      <c r="B2364" s="551">
        <v>7</v>
      </c>
      <c r="C2364" s="551">
        <v>132</v>
      </c>
      <c r="D2364" s="67"/>
    </row>
    <row r="2365" spans="1:4">
      <c r="A2365" s="550" t="s">
        <v>3662</v>
      </c>
      <c r="B2365" s="551">
        <v>14</v>
      </c>
      <c r="C2365" s="551">
        <v>180</v>
      </c>
      <c r="D2365" s="67"/>
    </row>
    <row r="2366" spans="1:4">
      <c r="A2366" s="550" t="s">
        <v>3662</v>
      </c>
      <c r="B2366" s="551">
        <v>21</v>
      </c>
      <c r="C2366" s="551">
        <v>212</v>
      </c>
      <c r="D2366" s="67"/>
    </row>
    <row r="2367" spans="1:4">
      <c r="A2367" s="550" t="s">
        <v>3662</v>
      </c>
      <c r="B2367" s="551">
        <v>28</v>
      </c>
      <c r="C2367" s="551">
        <v>227</v>
      </c>
      <c r="D2367" s="67"/>
    </row>
    <row r="2368" spans="1:4">
      <c r="A2368" s="550" t="s">
        <v>3663</v>
      </c>
      <c r="B2368" s="551">
        <v>1</v>
      </c>
      <c r="C2368" s="551">
        <v>33</v>
      </c>
    </row>
    <row r="2369" spans="1:3">
      <c r="A2369" s="550" t="s">
        <v>3663</v>
      </c>
      <c r="B2369" s="551">
        <v>1</v>
      </c>
      <c r="C2369" s="551">
        <v>110</v>
      </c>
    </row>
    <row r="2370" spans="1:3">
      <c r="A2370" s="550" t="s">
        <v>3663</v>
      </c>
      <c r="B2370" s="551">
        <v>2</v>
      </c>
      <c r="C2370" s="551">
        <v>45</v>
      </c>
    </row>
    <row r="2371" spans="1:3">
      <c r="A2371" s="550" t="s">
        <v>3663</v>
      </c>
      <c r="B2371" s="551">
        <v>3</v>
      </c>
      <c r="C2371" s="551">
        <v>58</v>
      </c>
    </row>
    <row r="2372" spans="1:3">
      <c r="A2372" s="550" t="s">
        <v>3663</v>
      </c>
      <c r="B2372" s="551">
        <v>4</v>
      </c>
      <c r="C2372" s="551">
        <v>68</v>
      </c>
    </row>
    <row r="2373" spans="1:3">
      <c r="A2373" s="550" t="s">
        <v>3663</v>
      </c>
      <c r="B2373" s="551">
        <v>7</v>
      </c>
      <c r="C2373" s="551">
        <v>88</v>
      </c>
    </row>
    <row r="2374" spans="1:3">
      <c r="A2374" s="550" t="s">
        <v>3663</v>
      </c>
      <c r="B2374" s="551">
        <v>14</v>
      </c>
      <c r="C2374" s="551">
        <v>130</v>
      </c>
    </row>
    <row r="2375" spans="1:3">
      <c r="A2375" s="550" t="s">
        <v>3663</v>
      </c>
      <c r="B2375" s="551">
        <v>21</v>
      </c>
      <c r="C2375" s="551">
        <v>151</v>
      </c>
    </row>
    <row r="2376" spans="1:3">
      <c r="A2376" s="550" t="s">
        <v>3663</v>
      </c>
      <c r="B2376" s="551">
        <v>28</v>
      </c>
      <c r="C2376" s="551">
        <v>170</v>
      </c>
    </row>
    <row r="2377" spans="1:3">
      <c r="A2377" s="550" t="s">
        <v>3664</v>
      </c>
      <c r="B2377" s="551">
        <v>1</v>
      </c>
      <c r="C2377" s="551">
        <v>-36</v>
      </c>
    </row>
    <row r="2378" spans="1:3">
      <c r="A2378" s="550" t="s">
        <v>3664</v>
      </c>
      <c r="B2378" s="551">
        <v>2</v>
      </c>
      <c r="C2378" s="551">
        <v>-48</v>
      </c>
    </row>
    <row r="2379" spans="1:3">
      <c r="A2379" s="550" t="s">
        <v>3664</v>
      </c>
      <c r="B2379" s="551">
        <v>3</v>
      </c>
      <c r="C2379" s="551">
        <v>-66</v>
      </c>
    </row>
    <row r="2380" spans="1:3">
      <c r="A2380" s="550" t="s">
        <v>3664</v>
      </c>
      <c r="B2380" s="551">
        <v>4</v>
      </c>
      <c r="C2380" s="551">
        <v>-73</v>
      </c>
    </row>
    <row r="2381" spans="1:3">
      <c r="A2381" s="550" t="s">
        <v>3664</v>
      </c>
      <c r="B2381" s="551">
        <v>7</v>
      </c>
      <c r="C2381" s="551">
        <v>-92</v>
      </c>
    </row>
    <row r="2382" spans="1:3">
      <c r="A2382" s="550" t="s">
        <v>3664</v>
      </c>
      <c r="B2382" s="551">
        <v>11</v>
      </c>
      <c r="C2382" s="551">
        <v>-108</v>
      </c>
    </row>
    <row r="2383" spans="1:3">
      <c r="A2383" s="550" t="s">
        <v>3664</v>
      </c>
      <c r="B2383" s="551">
        <v>14</v>
      </c>
      <c r="C2383" s="551">
        <v>-125</v>
      </c>
    </row>
    <row r="2384" spans="1:3">
      <c r="A2384" s="550" t="s">
        <v>3664</v>
      </c>
      <c r="B2384" s="551">
        <v>21</v>
      </c>
      <c r="C2384" s="551">
        <v>-137</v>
      </c>
    </row>
    <row r="2385" spans="1:3">
      <c r="A2385" s="550" t="s">
        <v>3664</v>
      </c>
      <c r="B2385" s="551">
        <v>28</v>
      </c>
      <c r="C2385" s="551">
        <v>-158</v>
      </c>
    </row>
    <row r="2386" spans="1:3">
      <c r="A2386" s="550" t="s">
        <v>3665</v>
      </c>
      <c r="B2386" s="551">
        <v>1</v>
      </c>
      <c r="C2386" s="551">
        <v>-41</v>
      </c>
    </row>
    <row r="2387" spans="1:3">
      <c r="A2387" s="550" t="s">
        <v>3665</v>
      </c>
      <c r="B2387" s="551">
        <v>2</v>
      </c>
      <c r="C2387" s="551">
        <v>-56</v>
      </c>
    </row>
    <row r="2388" spans="1:3">
      <c r="A2388" s="550" t="s">
        <v>3665</v>
      </c>
      <c r="B2388" s="551">
        <v>3</v>
      </c>
      <c r="C2388" s="551">
        <v>-75</v>
      </c>
    </row>
    <row r="2389" spans="1:3">
      <c r="A2389" s="550" t="s">
        <v>3665</v>
      </c>
      <c r="B2389" s="551">
        <v>4</v>
      </c>
      <c r="C2389" s="551">
        <v>-93</v>
      </c>
    </row>
    <row r="2390" spans="1:3">
      <c r="A2390" s="550" t="s">
        <v>3665</v>
      </c>
      <c r="B2390" s="551">
        <v>7</v>
      </c>
      <c r="C2390" s="551">
        <v>-109</v>
      </c>
    </row>
    <row r="2391" spans="1:3">
      <c r="A2391" s="550" t="s">
        <v>3665</v>
      </c>
      <c r="B2391" s="551">
        <v>11</v>
      </c>
      <c r="C2391" s="551">
        <v>-130</v>
      </c>
    </row>
    <row r="2392" spans="1:3">
      <c r="A2392" s="550" t="s">
        <v>3665</v>
      </c>
      <c r="B2392" s="551">
        <v>14</v>
      </c>
      <c r="C2392" s="551">
        <v>-148</v>
      </c>
    </row>
    <row r="2393" spans="1:3">
      <c r="A2393" s="550" t="s">
        <v>3665</v>
      </c>
      <c r="B2393" s="551">
        <v>21</v>
      </c>
      <c r="C2393" s="551">
        <v>-153</v>
      </c>
    </row>
    <row r="2394" spans="1:3">
      <c r="A2394" s="550" t="s">
        <v>3665</v>
      </c>
      <c r="B2394" s="551">
        <v>28</v>
      </c>
      <c r="C2394" s="551">
        <v>-173</v>
      </c>
    </row>
    <row r="2395" spans="1:3">
      <c r="A2395" s="550" t="s">
        <v>3666</v>
      </c>
      <c r="B2395" s="551">
        <v>1</v>
      </c>
      <c r="C2395" s="551">
        <v>109</v>
      </c>
    </row>
    <row r="2396" spans="1:3">
      <c r="A2396" s="550" t="s">
        <v>3666</v>
      </c>
      <c r="B2396" s="551">
        <v>2</v>
      </c>
      <c r="C2396" s="551">
        <v>158</v>
      </c>
    </row>
    <row r="2397" spans="1:3">
      <c r="A2397" s="550" t="s">
        <v>3666</v>
      </c>
      <c r="B2397" s="551">
        <v>3</v>
      </c>
      <c r="C2397" s="551">
        <v>169</v>
      </c>
    </row>
    <row r="2398" spans="1:3">
      <c r="A2398" s="550" t="s">
        <v>3666</v>
      </c>
      <c r="B2398" s="551">
        <v>4</v>
      </c>
      <c r="C2398" s="551">
        <v>172</v>
      </c>
    </row>
    <row r="2399" spans="1:3">
      <c r="A2399" s="550" t="s">
        <v>3666</v>
      </c>
      <c r="B2399" s="551">
        <v>6</v>
      </c>
      <c r="C2399" s="551">
        <v>191</v>
      </c>
    </row>
    <row r="2400" spans="1:3">
      <c r="A2400" s="550" t="s">
        <v>3666</v>
      </c>
      <c r="B2400" s="551">
        <v>10</v>
      </c>
      <c r="C2400" s="551">
        <v>200</v>
      </c>
    </row>
    <row r="2401" spans="1:3">
      <c r="A2401" s="550" t="s">
        <v>3666</v>
      </c>
      <c r="B2401" s="551">
        <v>15</v>
      </c>
      <c r="C2401" s="551">
        <v>225</v>
      </c>
    </row>
    <row r="2402" spans="1:3">
      <c r="A2402" s="550" t="s">
        <v>3666</v>
      </c>
      <c r="B2402" s="551">
        <v>21</v>
      </c>
      <c r="C2402" s="551">
        <v>240</v>
      </c>
    </row>
    <row r="2403" spans="1:3">
      <c r="A2403" s="550" t="s">
        <v>3666</v>
      </c>
      <c r="B2403" s="551">
        <v>28</v>
      </c>
      <c r="C2403" s="551">
        <v>308</v>
      </c>
    </row>
    <row r="2404" spans="1:3">
      <c r="A2404" s="550" t="s">
        <v>3667</v>
      </c>
      <c r="B2404" s="551">
        <v>1</v>
      </c>
      <c r="C2404" s="551">
        <v>44</v>
      </c>
    </row>
    <row r="2405" spans="1:3">
      <c r="A2405" s="550" t="s">
        <v>3667</v>
      </c>
      <c r="B2405" s="551">
        <v>2</v>
      </c>
      <c r="C2405" s="551">
        <v>71</v>
      </c>
    </row>
    <row r="2406" spans="1:3">
      <c r="A2406" s="550" t="s">
        <v>3667</v>
      </c>
      <c r="B2406" s="551">
        <v>3</v>
      </c>
      <c r="C2406" s="551">
        <v>75</v>
      </c>
    </row>
    <row r="2407" spans="1:3">
      <c r="A2407" s="550" t="s">
        <v>3667</v>
      </c>
      <c r="B2407" s="551">
        <v>4</v>
      </c>
      <c r="C2407" s="551">
        <v>80</v>
      </c>
    </row>
    <row r="2408" spans="1:3">
      <c r="A2408" s="550" t="s">
        <v>3667</v>
      </c>
      <c r="B2408" s="551">
        <v>6</v>
      </c>
      <c r="C2408" s="551">
        <v>100</v>
      </c>
    </row>
    <row r="2409" spans="1:3">
      <c r="A2409" s="550" t="s">
        <v>3667</v>
      </c>
      <c r="B2409" s="551">
        <v>10</v>
      </c>
      <c r="C2409" s="551">
        <v>120</v>
      </c>
    </row>
    <row r="2410" spans="1:3">
      <c r="A2410" s="550" t="s">
        <v>3667</v>
      </c>
      <c r="B2410" s="551">
        <v>15</v>
      </c>
      <c r="C2410" s="551">
        <v>133</v>
      </c>
    </row>
    <row r="2411" spans="1:3">
      <c r="A2411" s="550" t="s">
        <v>3667</v>
      </c>
      <c r="B2411" s="551">
        <v>21</v>
      </c>
      <c r="C2411" s="551">
        <v>144</v>
      </c>
    </row>
    <row r="2412" spans="1:3">
      <c r="A2412" s="550" t="s">
        <v>3667</v>
      </c>
      <c r="B2412" s="551">
        <v>28</v>
      </c>
      <c r="C2412" s="551">
        <v>178</v>
      </c>
    </row>
    <row r="2413" spans="1:3">
      <c r="A2413" s="550" t="s">
        <v>3668</v>
      </c>
      <c r="B2413" s="551">
        <v>1</v>
      </c>
      <c r="C2413" s="551">
        <v>100</v>
      </c>
    </row>
    <row r="2414" spans="1:3">
      <c r="A2414" s="550" t="s">
        <v>3668</v>
      </c>
      <c r="B2414" s="551">
        <v>2</v>
      </c>
      <c r="C2414" s="551">
        <v>119</v>
      </c>
    </row>
    <row r="2415" spans="1:3">
      <c r="A2415" s="550" t="s">
        <v>3668</v>
      </c>
      <c r="B2415" s="551">
        <v>3</v>
      </c>
      <c r="C2415" s="551">
        <v>125</v>
      </c>
    </row>
    <row r="2416" spans="1:3">
      <c r="A2416" s="550" t="s">
        <v>3668</v>
      </c>
      <c r="B2416" s="551">
        <v>4</v>
      </c>
      <c r="C2416" s="551">
        <v>123</v>
      </c>
    </row>
    <row r="2417" spans="1:4">
      <c r="A2417" s="550" t="s">
        <v>3668</v>
      </c>
      <c r="B2417" s="551">
        <v>6</v>
      </c>
      <c r="C2417" s="551">
        <v>158</v>
      </c>
    </row>
    <row r="2418" spans="1:4">
      <c r="A2418" s="550" t="s">
        <v>3668</v>
      </c>
      <c r="B2418" s="551">
        <v>10</v>
      </c>
      <c r="C2418" s="551">
        <v>172</v>
      </c>
    </row>
    <row r="2419" spans="1:4">
      <c r="A2419" s="550" t="s">
        <v>3668</v>
      </c>
      <c r="B2419" s="551">
        <v>15</v>
      </c>
      <c r="C2419" s="551">
        <v>206</v>
      </c>
    </row>
    <row r="2420" spans="1:4">
      <c r="A2420" s="550" t="s">
        <v>3668</v>
      </c>
      <c r="B2420" s="551">
        <v>21</v>
      </c>
      <c r="C2420" s="551">
        <v>238</v>
      </c>
    </row>
    <row r="2421" spans="1:4">
      <c r="A2421" s="550" t="s">
        <v>3668</v>
      </c>
      <c r="B2421" s="551">
        <v>28</v>
      </c>
      <c r="C2421" s="551">
        <v>306</v>
      </c>
    </row>
    <row r="2422" spans="1:4">
      <c r="A2422" s="550" t="s">
        <v>3669</v>
      </c>
      <c r="B2422" s="551">
        <v>1</v>
      </c>
      <c r="C2422" s="551">
        <v>139</v>
      </c>
    </row>
    <row r="2423" spans="1:4">
      <c r="A2423" s="550" t="s">
        <v>3669</v>
      </c>
      <c r="B2423" s="551">
        <v>2</v>
      </c>
      <c r="C2423" s="551">
        <v>158</v>
      </c>
    </row>
    <row r="2424" spans="1:4">
      <c r="A2424" s="550" t="s">
        <v>3669</v>
      </c>
      <c r="B2424" s="551">
        <v>3</v>
      </c>
      <c r="C2424" s="551">
        <v>261</v>
      </c>
    </row>
    <row r="2425" spans="1:4">
      <c r="A2425" s="550" t="s">
        <v>3669</v>
      </c>
      <c r="B2425" s="551">
        <v>4</v>
      </c>
      <c r="C2425" s="551">
        <v>291</v>
      </c>
    </row>
    <row r="2426" spans="1:4">
      <c r="A2426" s="550" t="s">
        <v>3669</v>
      </c>
      <c r="B2426" s="551">
        <v>6</v>
      </c>
      <c r="C2426" s="551">
        <v>309</v>
      </c>
      <c r="D2426" s="67"/>
    </row>
    <row r="2427" spans="1:4">
      <c r="A2427" s="550" t="s">
        <v>3669</v>
      </c>
      <c r="B2427" s="551">
        <v>10</v>
      </c>
      <c r="C2427" s="551">
        <v>331</v>
      </c>
      <c r="D2427" s="67"/>
    </row>
    <row r="2428" spans="1:4">
      <c r="A2428" s="550" t="s">
        <v>3669</v>
      </c>
      <c r="B2428" s="551">
        <v>15</v>
      </c>
      <c r="C2428" s="551">
        <v>359</v>
      </c>
      <c r="D2428" s="67"/>
    </row>
    <row r="2429" spans="1:4">
      <c r="A2429" s="550" t="s">
        <v>3669</v>
      </c>
      <c r="B2429" s="551">
        <v>21</v>
      </c>
      <c r="C2429" s="551">
        <v>398</v>
      </c>
      <c r="D2429" s="67"/>
    </row>
    <row r="2430" spans="1:4">
      <c r="A2430" s="550" t="s">
        <v>3669</v>
      </c>
      <c r="B2430" s="551">
        <v>28</v>
      </c>
      <c r="C2430" s="551">
        <v>456</v>
      </c>
      <c r="D2430" s="67"/>
    </row>
    <row r="2431" spans="1:4">
      <c r="A2431" s="550" t="s">
        <v>3670</v>
      </c>
      <c r="B2431" s="551">
        <v>8</v>
      </c>
      <c r="C2431" s="551">
        <v>189</v>
      </c>
      <c r="D2431" s="67"/>
    </row>
    <row r="2432" spans="1:4">
      <c r="A2432" s="550" t="s">
        <v>3670</v>
      </c>
      <c r="B2432" s="551">
        <v>13</v>
      </c>
      <c r="C2432" s="551">
        <v>242</v>
      </c>
      <c r="D2432" s="67"/>
    </row>
    <row r="2433" spans="1:4">
      <c r="A2433" s="550" t="s">
        <v>3670</v>
      </c>
      <c r="B2433" s="551">
        <v>27</v>
      </c>
      <c r="C2433" s="551">
        <v>342</v>
      </c>
      <c r="D2433" s="67"/>
    </row>
    <row r="2434" spans="1:4">
      <c r="A2434" s="550" t="s">
        <v>3670</v>
      </c>
      <c r="B2434" s="551">
        <v>55</v>
      </c>
      <c r="C2434" s="551">
        <v>421</v>
      </c>
      <c r="D2434" s="67"/>
    </row>
    <row r="2435" spans="1:4">
      <c r="A2435" s="550" t="s">
        <v>3670</v>
      </c>
      <c r="B2435" s="551">
        <v>84</v>
      </c>
      <c r="C2435" s="551">
        <v>474</v>
      </c>
      <c r="D2435" s="67"/>
    </row>
    <row r="2436" spans="1:4">
      <c r="A2436" s="552" t="s">
        <v>3670</v>
      </c>
      <c r="B2436" s="553">
        <v>114</v>
      </c>
      <c r="C2436" s="553">
        <v>500</v>
      </c>
      <c r="D2436" s="67"/>
    </row>
    <row r="2437" spans="1:4">
      <c r="A2437" s="552" t="s">
        <v>3670</v>
      </c>
      <c r="B2437" s="553">
        <v>140</v>
      </c>
      <c r="C2437" s="553">
        <v>521</v>
      </c>
      <c r="D2437" s="67"/>
    </row>
    <row r="2438" spans="1:4">
      <c r="A2438" s="552" t="s">
        <v>3670</v>
      </c>
      <c r="B2438" s="553">
        <v>184</v>
      </c>
      <c r="C2438" s="553">
        <v>550</v>
      </c>
      <c r="D2438" s="67"/>
    </row>
    <row r="2439" spans="1:4">
      <c r="A2439" s="567" t="s">
        <v>3670</v>
      </c>
      <c r="B2439" s="568">
        <v>700</v>
      </c>
      <c r="C2439" s="568">
        <v>632</v>
      </c>
      <c r="D2439" s="67"/>
    </row>
    <row r="2440" spans="1:4">
      <c r="A2440" s="550" t="s">
        <v>3671</v>
      </c>
      <c r="B2440" s="551">
        <v>3</v>
      </c>
      <c r="C2440" s="551">
        <v>38</v>
      </c>
      <c r="D2440" s="67"/>
    </row>
    <row r="2441" spans="1:4">
      <c r="A2441" s="550" t="s">
        <v>3671</v>
      </c>
      <c r="B2441" s="551">
        <v>7</v>
      </c>
      <c r="C2441" s="551">
        <v>100</v>
      </c>
    </row>
    <row r="2442" spans="1:4">
      <c r="A2442" s="550" t="s">
        <v>3671</v>
      </c>
      <c r="B2442" s="551">
        <v>13</v>
      </c>
      <c r="C2442" s="551">
        <v>154</v>
      </c>
    </row>
    <row r="2443" spans="1:4">
      <c r="A2443" s="550" t="s">
        <v>3671</v>
      </c>
      <c r="B2443" s="551">
        <v>28</v>
      </c>
      <c r="C2443" s="551">
        <v>269</v>
      </c>
    </row>
    <row r="2444" spans="1:4">
      <c r="A2444" s="550" t="s">
        <v>3671</v>
      </c>
      <c r="B2444" s="551">
        <v>55</v>
      </c>
      <c r="C2444" s="551">
        <v>312</v>
      </c>
    </row>
    <row r="2445" spans="1:4">
      <c r="A2445" s="550" t="s">
        <v>3671</v>
      </c>
      <c r="B2445" s="551">
        <v>85</v>
      </c>
      <c r="C2445" s="551">
        <v>327</v>
      </c>
    </row>
    <row r="2446" spans="1:4">
      <c r="A2446" s="552" t="s">
        <v>3671</v>
      </c>
      <c r="B2446" s="553">
        <v>170</v>
      </c>
      <c r="C2446" s="553">
        <v>381</v>
      </c>
    </row>
    <row r="2447" spans="1:4">
      <c r="A2447" s="550" t="s">
        <v>3715</v>
      </c>
      <c r="B2447" s="551">
        <v>1</v>
      </c>
      <c r="C2447" s="551">
        <v>33</v>
      </c>
    </row>
    <row r="2448" spans="1:4">
      <c r="A2448" s="550" t="s">
        <v>3715</v>
      </c>
      <c r="B2448" s="551">
        <v>2</v>
      </c>
      <c r="C2448" s="551">
        <v>22</v>
      </c>
    </row>
    <row r="2449" spans="1:3">
      <c r="A2449" s="550" t="s">
        <v>3715</v>
      </c>
      <c r="B2449" s="551">
        <v>3</v>
      </c>
      <c r="C2449" s="551">
        <v>30</v>
      </c>
    </row>
    <row r="2450" spans="1:3">
      <c r="A2450" s="550" t="s">
        <v>3715</v>
      </c>
      <c r="B2450" s="551">
        <v>5</v>
      </c>
      <c r="C2450" s="551">
        <v>33</v>
      </c>
    </row>
    <row r="2451" spans="1:3">
      <c r="A2451" s="550" t="s">
        <v>3715</v>
      </c>
      <c r="B2451" s="551">
        <v>6</v>
      </c>
      <c r="C2451" s="551">
        <v>75</v>
      </c>
    </row>
    <row r="2452" spans="1:3">
      <c r="A2452" s="550" t="s">
        <v>3715</v>
      </c>
      <c r="B2452" s="551">
        <v>7</v>
      </c>
      <c r="C2452" s="551">
        <v>64</v>
      </c>
    </row>
    <row r="2453" spans="1:3">
      <c r="A2453" s="550" t="s">
        <v>3715</v>
      </c>
      <c r="B2453" s="551">
        <v>14</v>
      </c>
      <c r="C2453" s="551">
        <v>97</v>
      </c>
    </row>
    <row r="2454" spans="1:3">
      <c r="A2454" s="550" t="s">
        <v>3715</v>
      </c>
      <c r="B2454" s="551">
        <v>21</v>
      </c>
      <c r="C2454" s="551">
        <v>167</v>
      </c>
    </row>
    <row r="2455" spans="1:3">
      <c r="A2455" s="550" t="s">
        <v>3715</v>
      </c>
      <c r="B2455" s="551">
        <v>28</v>
      </c>
      <c r="C2455" s="551">
        <v>217</v>
      </c>
    </row>
    <row r="2456" spans="1:3">
      <c r="A2456" s="550" t="s">
        <v>3715</v>
      </c>
      <c r="B2456" s="551">
        <v>56</v>
      </c>
      <c r="C2456" s="551">
        <v>284</v>
      </c>
    </row>
    <row r="2457" spans="1:3">
      <c r="A2457" s="552" t="s">
        <v>3715</v>
      </c>
      <c r="B2457" s="553">
        <v>112</v>
      </c>
      <c r="C2457" s="553">
        <v>331</v>
      </c>
    </row>
    <row r="2458" spans="1:3">
      <c r="A2458" s="552" t="s">
        <v>3715</v>
      </c>
      <c r="B2458" s="553">
        <v>140</v>
      </c>
      <c r="C2458" s="553">
        <v>370</v>
      </c>
    </row>
    <row r="2459" spans="1:3">
      <c r="A2459" s="552" t="s">
        <v>3715</v>
      </c>
      <c r="B2459" s="553">
        <v>168</v>
      </c>
      <c r="C2459" s="553">
        <v>325</v>
      </c>
    </row>
    <row r="2460" spans="1:3">
      <c r="A2460" s="550" t="s">
        <v>3716</v>
      </c>
      <c r="B2460" s="551">
        <v>1</v>
      </c>
      <c r="C2460" s="551">
        <v>11</v>
      </c>
    </row>
    <row r="2461" spans="1:3">
      <c r="A2461" s="550" t="s">
        <v>3716</v>
      </c>
      <c r="B2461" s="551">
        <v>2</v>
      </c>
      <c r="C2461" s="551">
        <v>14</v>
      </c>
    </row>
    <row r="2462" spans="1:3">
      <c r="A2462" s="550" t="s">
        <v>3716</v>
      </c>
      <c r="B2462" s="551">
        <v>3</v>
      </c>
      <c r="C2462" s="551">
        <v>42</v>
      </c>
    </row>
    <row r="2463" spans="1:3">
      <c r="A2463" s="550" t="s">
        <v>3716</v>
      </c>
      <c r="B2463" s="551">
        <v>4</v>
      </c>
      <c r="C2463" s="551">
        <v>89</v>
      </c>
    </row>
    <row r="2464" spans="1:3">
      <c r="A2464" s="550" t="s">
        <v>3716</v>
      </c>
      <c r="B2464" s="551">
        <v>5</v>
      </c>
      <c r="C2464" s="551">
        <v>78</v>
      </c>
    </row>
    <row r="2465" spans="1:3">
      <c r="A2465" s="550" t="s">
        <v>3716</v>
      </c>
      <c r="B2465" s="551">
        <v>6</v>
      </c>
      <c r="C2465" s="551">
        <v>89</v>
      </c>
    </row>
    <row r="2466" spans="1:3">
      <c r="A2466" s="550" t="s">
        <v>3716</v>
      </c>
      <c r="B2466" s="551">
        <v>7</v>
      </c>
      <c r="C2466" s="551">
        <v>89</v>
      </c>
    </row>
    <row r="2467" spans="1:3">
      <c r="A2467" s="550" t="s">
        <v>3716</v>
      </c>
      <c r="B2467" s="551">
        <v>14</v>
      </c>
      <c r="C2467" s="551">
        <v>133</v>
      </c>
    </row>
    <row r="2468" spans="1:3">
      <c r="A2468" s="550" t="s">
        <v>3716</v>
      </c>
      <c r="B2468" s="551">
        <v>21</v>
      </c>
      <c r="C2468" s="551">
        <v>195</v>
      </c>
    </row>
    <row r="2469" spans="1:3">
      <c r="A2469" s="550" t="s">
        <v>3716</v>
      </c>
      <c r="B2469" s="551">
        <v>28</v>
      </c>
      <c r="C2469" s="551">
        <v>234</v>
      </c>
    </row>
    <row r="2470" spans="1:3">
      <c r="A2470" s="550" t="s">
        <v>3716</v>
      </c>
      <c r="B2470" s="551">
        <v>56</v>
      </c>
      <c r="C2470" s="551">
        <v>309</v>
      </c>
    </row>
    <row r="2471" spans="1:3">
      <c r="A2471" s="552" t="s">
        <v>3716</v>
      </c>
      <c r="B2471" s="553">
        <v>112</v>
      </c>
      <c r="C2471" s="553">
        <v>376</v>
      </c>
    </row>
    <row r="2472" spans="1:3">
      <c r="A2472" s="552" t="s">
        <v>3716</v>
      </c>
      <c r="B2472" s="553">
        <v>140</v>
      </c>
      <c r="C2472" s="553">
        <v>392</v>
      </c>
    </row>
    <row r="2473" spans="1:3">
      <c r="A2473" s="552" t="s">
        <v>3716</v>
      </c>
      <c r="B2473" s="553">
        <v>168</v>
      </c>
      <c r="C2473" s="553">
        <v>387</v>
      </c>
    </row>
    <row r="2474" spans="1:3">
      <c r="A2474" s="550" t="s">
        <v>3717</v>
      </c>
      <c r="B2474" s="551">
        <v>1</v>
      </c>
      <c r="C2474" s="551">
        <v>8</v>
      </c>
    </row>
    <row r="2475" spans="1:3">
      <c r="A2475" s="550" t="s">
        <v>3717</v>
      </c>
      <c r="B2475" s="551">
        <v>2</v>
      </c>
      <c r="C2475" s="551">
        <v>61</v>
      </c>
    </row>
    <row r="2476" spans="1:3">
      <c r="A2476" s="550" t="s">
        <v>3717</v>
      </c>
      <c r="B2476" s="551">
        <v>3</v>
      </c>
      <c r="C2476" s="551">
        <v>66</v>
      </c>
    </row>
    <row r="2477" spans="1:3">
      <c r="A2477" s="550" t="s">
        <v>3717</v>
      </c>
      <c r="B2477" s="551">
        <v>4</v>
      </c>
      <c r="C2477" s="551">
        <v>80</v>
      </c>
    </row>
    <row r="2478" spans="1:3">
      <c r="A2478" s="550" t="s">
        <v>3717</v>
      </c>
      <c r="B2478" s="551">
        <v>5</v>
      </c>
      <c r="C2478" s="551">
        <v>83</v>
      </c>
    </row>
    <row r="2479" spans="1:3">
      <c r="A2479" s="550" t="s">
        <v>3717</v>
      </c>
      <c r="B2479" s="551">
        <v>6</v>
      </c>
      <c r="C2479" s="551">
        <v>94</v>
      </c>
    </row>
    <row r="2480" spans="1:3">
      <c r="A2480" s="550" t="s">
        <v>3717</v>
      </c>
      <c r="B2480" s="551">
        <v>7</v>
      </c>
      <c r="C2480" s="551">
        <v>103</v>
      </c>
    </row>
    <row r="2481" spans="1:3">
      <c r="A2481" s="550" t="s">
        <v>3717</v>
      </c>
      <c r="B2481" s="551">
        <v>14</v>
      </c>
      <c r="C2481" s="551">
        <v>142</v>
      </c>
    </row>
    <row r="2482" spans="1:3">
      <c r="A2482" s="550" t="s">
        <v>3717</v>
      </c>
      <c r="B2482" s="551">
        <v>21</v>
      </c>
      <c r="C2482" s="551">
        <v>183</v>
      </c>
    </row>
    <row r="2483" spans="1:3">
      <c r="A2483" s="550" t="s">
        <v>3717</v>
      </c>
      <c r="B2483" s="551">
        <v>28</v>
      </c>
      <c r="C2483" s="551">
        <v>225</v>
      </c>
    </row>
    <row r="2484" spans="1:3">
      <c r="A2484" s="550" t="s">
        <v>3717</v>
      </c>
      <c r="B2484" s="551">
        <v>56</v>
      </c>
      <c r="C2484" s="551">
        <v>289</v>
      </c>
    </row>
    <row r="2485" spans="1:3">
      <c r="A2485" s="552" t="s">
        <v>3717</v>
      </c>
      <c r="B2485" s="553">
        <v>112</v>
      </c>
      <c r="C2485" s="553">
        <v>345</v>
      </c>
    </row>
    <row r="2486" spans="1:3">
      <c r="A2486" s="552" t="s">
        <v>3717</v>
      </c>
      <c r="B2486" s="553">
        <v>140</v>
      </c>
      <c r="C2486" s="553">
        <v>370</v>
      </c>
    </row>
    <row r="2487" spans="1:3">
      <c r="A2487" s="552" t="s">
        <v>3717</v>
      </c>
      <c r="B2487" s="553">
        <v>168</v>
      </c>
      <c r="C2487" s="553">
        <v>348</v>
      </c>
    </row>
    <row r="2488" spans="1:3">
      <c r="A2488" s="550" t="s">
        <v>3672</v>
      </c>
      <c r="B2488" s="551">
        <v>1</v>
      </c>
      <c r="C2488" s="551">
        <v>3</v>
      </c>
    </row>
    <row r="2489" spans="1:3">
      <c r="A2489" s="550" t="s">
        <v>3672</v>
      </c>
      <c r="B2489" s="551">
        <v>2</v>
      </c>
      <c r="C2489" s="551">
        <v>23</v>
      </c>
    </row>
    <row r="2490" spans="1:3">
      <c r="A2490" s="550" t="s">
        <v>3672</v>
      </c>
      <c r="B2490" s="551">
        <v>3</v>
      </c>
      <c r="C2490" s="551">
        <v>57</v>
      </c>
    </row>
    <row r="2491" spans="1:3">
      <c r="A2491" s="550" t="s">
        <v>3672</v>
      </c>
      <c r="B2491" s="551">
        <v>4</v>
      </c>
      <c r="C2491" s="551">
        <v>68</v>
      </c>
    </row>
    <row r="2492" spans="1:3">
      <c r="A2492" s="550" t="s">
        <v>3672</v>
      </c>
      <c r="B2492" s="551">
        <v>5</v>
      </c>
      <c r="C2492" s="551">
        <v>100</v>
      </c>
    </row>
    <row r="2493" spans="1:3">
      <c r="A2493" s="550" t="s">
        <v>3672</v>
      </c>
      <c r="B2493" s="551">
        <v>6</v>
      </c>
      <c r="C2493" s="551">
        <v>108</v>
      </c>
    </row>
    <row r="2494" spans="1:3">
      <c r="A2494" s="550" t="s">
        <v>3672</v>
      </c>
      <c r="B2494" s="551">
        <v>7</v>
      </c>
      <c r="C2494" s="551">
        <v>120</v>
      </c>
    </row>
    <row r="2495" spans="1:3">
      <c r="A2495" s="550" t="s">
        <v>3672</v>
      </c>
      <c r="B2495" s="551">
        <v>9</v>
      </c>
      <c r="C2495" s="551">
        <v>132</v>
      </c>
    </row>
    <row r="2496" spans="1:3">
      <c r="A2496" s="550" t="s">
        <v>3672</v>
      </c>
      <c r="B2496" s="551">
        <v>15</v>
      </c>
      <c r="C2496" s="551">
        <v>173</v>
      </c>
    </row>
    <row r="2497" spans="1:3">
      <c r="A2497" s="550" t="s">
        <v>3672</v>
      </c>
      <c r="B2497" s="551">
        <v>19</v>
      </c>
      <c r="C2497" s="551">
        <v>180</v>
      </c>
    </row>
    <row r="2498" spans="1:3">
      <c r="A2498" s="550" t="s">
        <v>3672</v>
      </c>
      <c r="B2498" s="551">
        <v>22</v>
      </c>
      <c r="C2498" s="551">
        <v>185</v>
      </c>
    </row>
    <row r="2499" spans="1:3">
      <c r="A2499" s="550" t="s">
        <v>3672</v>
      </c>
      <c r="B2499" s="551">
        <v>26</v>
      </c>
      <c r="C2499" s="551">
        <v>217</v>
      </c>
    </row>
    <row r="2500" spans="1:3">
      <c r="A2500" s="550" t="s">
        <v>3672</v>
      </c>
      <c r="B2500" s="551">
        <v>28</v>
      </c>
      <c r="C2500" s="551">
        <v>218</v>
      </c>
    </row>
    <row r="2501" spans="1:3">
      <c r="A2501" s="550" t="s">
        <v>3672</v>
      </c>
      <c r="B2501" s="551">
        <v>39</v>
      </c>
      <c r="C2501" s="551">
        <v>263</v>
      </c>
    </row>
    <row r="2502" spans="1:3">
      <c r="A2502" s="550" t="s">
        <v>3672</v>
      </c>
      <c r="B2502" s="551">
        <v>46</v>
      </c>
      <c r="C2502" s="551">
        <v>280</v>
      </c>
    </row>
    <row r="2503" spans="1:3">
      <c r="A2503" s="550" t="s">
        <v>3672</v>
      </c>
      <c r="B2503" s="551">
        <v>53</v>
      </c>
      <c r="C2503" s="551">
        <v>310</v>
      </c>
    </row>
    <row r="2504" spans="1:3">
      <c r="A2504" s="550" t="s">
        <v>3672</v>
      </c>
      <c r="B2504" s="551">
        <v>56</v>
      </c>
      <c r="C2504" s="551">
        <v>315</v>
      </c>
    </row>
    <row r="2505" spans="1:3">
      <c r="A2505" s="552" t="s">
        <v>3672</v>
      </c>
      <c r="B2505" s="553">
        <v>239</v>
      </c>
      <c r="C2505" s="553">
        <v>472</v>
      </c>
    </row>
    <row r="2506" spans="1:3">
      <c r="A2506" s="552" t="s">
        <v>3672</v>
      </c>
      <c r="B2506" s="553">
        <v>259</v>
      </c>
      <c r="C2506" s="553">
        <v>482</v>
      </c>
    </row>
    <row r="2507" spans="1:3">
      <c r="A2507" s="552" t="s">
        <v>3672</v>
      </c>
      <c r="B2507" s="553">
        <v>324</v>
      </c>
      <c r="C2507" s="553">
        <v>502</v>
      </c>
    </row>
    <row r="2508" spans="1:3">
      <c r="A2508" s="552" t="s">
        <v>3672</v>
      </c>
      <c r="B2508" s="553">
        <v>428</v>
      </c>
      <c r="C2508" s="553">
        <v>495</v>
      </c>
    </row>
    <row r="2509" spans="1:3">
      <c r="A2509" s="550" t="s">
        <v>3673</v>
      </c>
      <c r="B2509" s="551">
        <v>1</v>
      </c>
      <c r="C2509" s="551">
        <v>20</v>
      </c>
    </row>
    <row r="2510" spans="1:3">
      <c r="A2510" s="550" t="s">
        <v>3673</v>
      </c>
      <c r="B2510" s="551">
        <v>2</v>
      </c>
      <c r="C2510" s="551">
        <v>40</v>
      </c>
    </row>
    <row r="2511" spans="1:3">
      <c r="A2511" s="550" t="s">
        <v>3673</v>
      </c>
      <c r="B2511" s="551">
        <v>3</v>
      </c>
      <c r="C2511" s="551">
        <v>78</v>
      </c>
    </row>
    <row r="2512" spans="1:3">
      <c r="A2512" s="550" t="s">
        <v>3673</v>
      </c>
      <c r="B2512" s="551">
        <v>4</v>
      </c>
      <c r="C2512" s="551">
        <v>95</v>
      </c>
    </row>
    <row r="2513" spans="1:3">
      <c r="A2513" s="550" t="s">
        <v>3673</v>
      </c>
      <c r="B2513" s="551">
        <v>5</v>
      </c>
      <c r="C2513" s="551">
        <v>115</v>
      </c>
    </row>
    <row r="2514" spans="1:3">
      <c r="A2514" s="550" t="s">
        <v>3673</v>
      </c>
      <c r="B2514" s="551">
        <v>7</v>
      </c>
      <c r="C2514" s="551">
        <v>128</v>
      </c>
    </row>
    <row r="2515" spans="1:3">
      <c r="A2515" s="550" t="s">
        <v>3673</v>
      </c>
      <c r="B2515" s="551">
        <v>9</v>
      </c>
      <c r="C2515" s="551">
        <v>147</v>
      </c>
    </row>
    <row r="2516" spans="1:3">
      <c r="A2516" s="550" t="s">
        <v>3673</v>
      </c>
      <c r="B2516" s="551">
        <v>13</v>
      </c>
      <c r="C2516" s="551">
        <v>187</v>
      </c>
    </row>
    <row r="2517" spans="1:3">
      <c r="A2517" s="550" t="s">
        <v>3673</v>
      </c>
      <c r="B2517" s="551">
        <v>16</v>
      </c>
      <c r="C2517" s="551">
        <v>190</v>
      </c>
    </row>
    <row r="2518" spans="1:3">
      <c r="A2518" s="550" t="s">
        <v>3673</v>
      </c>
      <c r="B2518" s="551">
        <v>20</v>
      </c>
      <c r="C2518" s="551">
        <v>230</v>
      </c>
    </row>
    <row r="2519" spans="1:3">
      <c r="A2519" s="550" t="s">
        <v>3673</v>
      </c>
      <c r="B2519" s="551">
        <v>23</v>
      </c>
      <c r="C2519" s="551">
        <v>235</v>
      </c>
    </row>
    <row r="2520" spans="1:3">
      <c r="A2520" s="550" t="s">
        <v>3673</v>
      </c>
      <c r="B2520" s="551">
        <v>28</v>
      </c>
      <c r="C2520" s="551">
        <v>260</v>
      </c>
    </row>
    <row r="2521" spans="1:3">
      <c r="A2521" s="550" t="s">
        <v>3673</v>
      </c>
      <c r="B2521" s="551">
        <v>34</v>
      </c>
      <c r="C2521" s="551">
        <v>270</v>
      </c>
    </row>
    <row r="2522" spans="1:3">
      <c r="A2522" s="550" t="s">
        <v>3673</v>
      </c>
      <c r="B2522" s="551">
        <v>41</v>
      </c>
      <c r="C2522" s="551">
        <v>287</v>
      </c>
    </row>
    <row r="2523" spans="1:3">
      <c r="A2523" s="550" t="s">
        <v>3673</v>
      </c>
      <c r="B2523" s="551">
        <v>44</v>
      </c>
      <c r="C2523" s="551">
        <v>322</v>
      </c>
    </row>
    <row r="2524" spans="1:3">
      <c r="A2524" s="550" t="s">
        <v>3673</v>
      </c>
      <c r="B2524" s="551">
        <v>52</v>
      </c>
      <c r="C2524" s="551">
        <v>332</v>
      </c>
    </row>
    <row r="2525" spans="1:3">
      <c r="A2525" s="550" t="s">
        <v>3673</v>
      </c>
      <c r="B2525" s="551">
        <v>56</v>
      </c>
      <c r="C2525" s="551">
        <v>337</v>
      </c>
    </row>
    <row r="2526" spans="1:3">
      <c r="A2526" s="552" t="s">
        <v>3673</v>
      </c>
      <c r="B2526" s="553">
        <v>233</v>
      </c>
      <c r="C2526" s="553">
        <v>473</v>
      </c>
    </row>
    <row r="2527" spans="1:3">
      <c r="A2527" s="552" t="s">
        <v>3673</v>
      </c>
      <c r="B2527" s="553">
        <v>253</v>
      </c>
      <c r="C2527" s="553">
        <v>487</v>
      </c>
    </row>
    <row r="2528" spans="1:3">
      <c r="A2528" s="552" t="s">
        <v>3673</v>
      </c>
      <c r="B2528" s="553">
        <v>318</v>
      </c>
      <c r="C2528" s="553">
        <v>502</v>
      </c>
    </row>
    <row r="2529" spans="1:3">
      <c r="A2529" s="552" t="s">
        <v>3673</v>
      </c>
      <c r="B2529" s="553">
        <v>421</v>
      </c>
      <c r="C2529" s="553">
        <v>473</v>
      </c>
    </row>
    <row r="2530" spans="1:3">
      <c r="A2530" s="550" t="s">
        <v>3674</v>
      </c>
      <c r="B2530" s="551">
        <v>1</v>
      </c>
      <c r="C2530" s="551">
        <v>8</v>
      </c>
    </row>
    <row r="2531" spans="1:3">
      <c r="A2531" s="550" t="s">
        <v>3674</v>
      </c>
      <c r="B2531" s="551">
        <v>2</v>
      </c>
      <c r="C2531" s="551">
        <v>17</v>
      </c>
    </row>
    <row r="2532" spans="1:3">
      <c r="A2532" s="550" t="s">
        <v>3674</v>
      </c>
      <c r="B2532" s="551">
        <v>3</v>
      </c>
      <c r="C2532" s="551">
        <v>25</v>
      </c>
    </row>
    <row r="2533" spans="1:3">
      <c r="A2533" s="550" t="s">
        <v>3674</v>
      </c>
      <c r="B2533" s="551">
        <v>4</v>
      </c>
      <c r="C2533" s="551">
        <v>55</v>
      </c>
    </row>
    <row r="2534" spans="1:3">
      <c r="A2534" s="550" t="s">
        <v>3674</v>
      </c>
      <c r="B2534" s="551">
        <v>7</v>
      </c>
      <c r="C2534" s="551">
        <v>112</v>
      </c>
    </row>
    <row r="2535" spans="1:3">
      <c r="A2535" s="550" t="s">
        <v>3674</v>
      </c>
      <c r="B2535" s="551">
        <v>9</v>
      </c>
      <c r="C2535" s="551">
        <v>140</v>
      </c>
    </row>
    <row r="2536" spans="1:3">
      <c r="A2536" s="550" t="s">
        <v>3674</v>
      </c>
      <c r="B2536" s="551">
        <v>13</v>
      </c>
      <c r="C2536" s="551">
        <v>167</v>
      </c>
    </row>
    <row r="2537" spans="1:3">
      <c r="A2537" s="550" t="s">
        <v>3674</v>
      </c>
      <c r="B2537" s="551">
        <v>16</v>
      </c>
      <c r="C2537" s="551">
        <v>182</v>
      </c>
    </row>
    <row r="2538" spans="1:3">
      <c r="A2538" s="550" t="s">
        <v>3674</v>
      </c>
      <c r="B2538" s="551">
        <v>20</v>
      </c>
      <c r="C2538" s="551">
        <v>197</v>
      </c>
    </row>
    <row r="2539" spans="1:3">
      <c r="A2539" s="550" t="s">
        <v>3674</v>
      </c>
      <c r="B2539" s="551">
        <v>23</v>
      </c>
      <c r="C2539" s="551">
        <v>208</v>
      </c>
    </row>
    <row r="2540" spans="1:3">
      <c r="A2540" s="550" t="s">
        <v>3674</v>
      </c>
      <c r="B2540" s="551">
        <v>27</v>
      </c>
      <c r="C2540" s="551">
        <v>218</v>
      </c>
    </row>
    <row r="2541" spans="1:3">
      <c r="A2541" s="550" t="s">
        <v>3674</v>
      </c>
      <c r="B2541" s="551">
        <v>28</v>
      </c>
      <c r="C2541" s="551">
        <v>223</v>
      </c>
    </row>
    <row r="2542" spans="1:3">
      <c r="A2542" s="550" t="s">
        <v>3674</v>
      </c>
      <c r="B2542" s="551">
        <v>34</v>
      </c>
      <c r="C2542" s="551">
        <v>227</v>
      </c>
    </row>
    <row r="2543" spans="1:3">
      <c r="A2543" s="550" t="s">
        <v>3674</v>
      </c>
      <c r="B2543" s="551">
        <v>40</v>
      </c>
      <c r="C2543" s="551">
        <v>255</v>
      </c>
    </row>
    <row r="2544" spans="1:3">
      <c r="A2544" s="550" t="s">
        <v>3674</v>
      </c>
      <c r="B2544" s="551">
        <v>48</v>
      </c>
      <c r="C2544" s="551">
        <v>263</v>
      </c>
    </row>
    <row r="2545" spans="1:3">
      <c r="A2545" s="550" t="s">
        <v>3674</v>
      </c>
      <c r="B2545" s="551">
        <v>54</v>
      </c>
      <c r="C2545" s="551">
        <v>278</v>
      </c>
    </row>
    <row r="2546" spans="1:3">
      <c r="A2546" s="550" t="s">
        <v>3674</v>
      </c>
      <c r="B2546" s="551">
        <v>56</v>
      </c>
      <c r="C2546" s="551">
        <v>295</v>
      </c>
    </row>
    <row r="2547" spans="1:3">
      <c r="A2547" s="552" t="s">
        <v>3674</v>
      </c>
      <c r="B2547" s="553">
        <v>226</v>
      </c>
      <c r="C2547" s="553">
        <v>408</v>
      </c>
    </row>
    <row r="2548" spans="1:3">
      <c r="A2548" s="552" t="s">
        <v>3674</v>
      </c>
      <c r="B2548" s="553">
        <v>246</v>
      </c>
      <c r="C2548" s="553">
        <v>428</v>
      </c>
    </row>
    <row r="2549" spans="1:3">
      <c r="A2549" s="552" t="s">
        <v>3674</v>
      </c>
      <c r="B2549" s="553">
        <v>311</v>
      </c>
      <c r="C2549" s="553">
        <v>445</v>
      </c>
    </row>
    <row r="2550" spans="1:3">
      <c r="A2550" s="552" t="s">
        <v>3674</v>
      </c>
      <c r="B2550" s="553">
        <v>415</v>
      </c>
      <c r="C2550" s="553">
        <v>447</v>
      </c>
    </row>
    <row r="2551" spans="1:3">
      <c r="A2551" s="550" t="s">
        <v>3675</v>
      </c>
      <c r="B2551" s="551">
        <v>1</v>
      </c>
      <c r="C2551" s="551">
        <v>20</v>
      </c>
    </row>
    <row r="2552" spans="1:3">
      <c r="A2552" s="550" t="s">
        <v>3675</v>
      </c>
      <c r="B2552" s="551">
        <v>3</v>
      </c>
      <c r="C2552" s="551">
        <v>92</v>
      </c>
    </row>
    <row r="2553" spans="1:3">
      <c r="A2553" s="550" t="s">
        <v>3675</v>
      </c>
      <c r="B2553" s="551">
        <v>4</v>
      </c>
      <c r="C2553" s="551">
        <v>103</v>
      </c>
    </row>
    <row r="2554" spans="1:3">
      <c r="A2554" s="550" t="s">
        <v>3675</v>
      </c>
      <c r="B2554" s="551">
        <v>6</v>
      </c>
      <c r="C2554" s="551">
        <v>137</v>
      </c>
    </row>
    <row r="2555" spans="1:3">
      <c r="A2555" s="550" t="s">
        <v>3675</v>
      </c>
      <c r="B2555" s="551">
        <v>8</v>
      </c>
      <c r="C2555" s="551">
        <v>152</v>
      </c>
    </row>
    <row r="2556" spans="1:3">
      <c r="A2556" s="550" t="s">
        <v>3675</v>
      </c>
      <c r="B2556" s="551">
        <v>9</v>
      </c>
      <c r="C2556" s="551">
        <v>172</v>
      </c>
    </row>
    <row r="2557" spans="1:3">
      <c r="A2557" s="550" t="s">
        <v>3675</v>
      </c>
      <c r="B2557" s="551">
        <v>13</v>
      </c>
      <c r="C2557" s="551">
        <v>212</v>
      </c>
    </row>
    <row r="2558" spans="1:3">
      <c r="A2558" s="550" t="s">
        <v>3675</v>
      </c>
      <c r="B2558" s="551">
        <v>16</v>
      </c>
      <c r="C2558" s="551">
        <v>228</v>
      </c>
    </row>
    <row r="2559" spans="1:3">
      <c r="A2559" s="550" t="s">
        <v>3675</v>
      </c>
      <c r="B2559" s="551">
        <v>20</v>
      </c>
      <c r="C2559" s="551">
        <v>230</v>
      </c>
    </row>
    <row r="2560" spans="1:3">
      <c r="A2560" s="550" t="s">
        <v>3675</v>
      </c>
      <c r="B2560" s="551">
        <v>23</v>
      </c>
      <c r="C2560" s="551">
        <v>237</v>
      </c>
    </row>
    <row r="2561" spans="1:3">
      <c r="A2561" s="550" t="s">
        <v>3675</v>
      </c>
      <c r="B2561" s="551">
        <v>27</v>
      </c>
      <c r="C2561" s="551">
        <v>252</v>
      </c>
    </row>
    <row r="2562" spans="1:3">
      <c r="A2562" s="550" t="s">
        <v>3675</v>
      </c>
      <c r="B2562" s="551">
        <v>28</v>
      </c>
      <c r="C2562" s="551">
        <v>268</v>
      </c>
    </row>
    <row r="2563" spans="1:3">
      <c r="A2563" s="550" t="s">
        <v>3675</v>
      </c>
      <c r="B2563" s="551">
        <v>34</v>
      </c>
      <c r="C2563" s="551">
        <v>287</v>
      </c>
    </row>
    <row r="2564" spans="1:3">
      <c r="A2564" s="550" t="s">
        <v>3675</v>
      </c>
      <c r="B2564" s="551">
        <v>42</v>
      </c>
      <c r="C2564" s="551">
        <v>298</v>
      </c>
    </row>
    <row r="2565" spans="1:3">
      <c r="A2565" s="550" t="s">
        <v>3675</v>
      </c>
      <c r="B2565" s="551">
        <v>48</v>
      </c>
      <c r="C2565" s="551">
        <v>305</v>
      </c>
    </row>
    <row r="2566" spans="1:3">
      <c r="A2566" s="550" t="s">
        <v>3675</v>
      </c>
      <c r="B2566" s="551">
        <v>51</v>
      </c>
      <c r="C2566" s="551">
        <v>310</v>
      </c>
    </row>
    <row r="2567" spans="1:3">
      <c r="A2567" s="550" t="s">
        <v>3675</v>
      </c>
      <c r="B2567" s="551">
        <v>56</v>
      </c>
      <c r="C2567" s="551">
        <v>322</v>
      </c>
    </row>
    <row r="2568" spans="1:3">
      <c r="A2568" s="552" t="s">
        <v>3675</v>
      </c>
      <c r="B2568" s="553">
        <v>219</v>
      </c>
      <c r="C2568" s="553">
        <v>445</v>
      </c>
    </row>
    <row r="2569" spans="1:3">
      <c r="A2569" s="552" t="s">
        <v>3675</v>
      </c>
      <c r="B2569" s="553">
        <v>239</v>
      </c>
      <c r="C2569" s="553">
        <v>467</v>
      </c>
    </row>
    <row r="2570" spans="1:3">
      <c r="A2570" s="552" t="s">
        <v>3675</v>
      </c>
      <c r="B2570" s="553">
        <v>304</v>
      </c>
      <c r="C2570" s="553">
        <v>482</v>
      </c>
    </row>
    <row r="2571" spans="1:3">
      <c r="A2571" s="552" t="s">
        <v>3675</v>
      </c>
      <c r="B2571" s="553">
        <v>408</v>
      </c>
      <c r="C2571" s="553">
        <v>497</v>
      </c>
    </row>
    <row r="2572" spans="1:3">
      <c r="A2572" s="550" t="s">
        <v>3676</v>
      </c>
      <c r="B2572" s="551">
        <v>1</v>
      </c>
      <c r="C2572" s="551">
        <v>32</v>
      </c>
    </row>
    <row r="2573" spans="1:3">
      <c r="A2573" s="550" t="s">
        <v>3676</v>
      </c>
      <c r="B2573" s="551">
        <v>2</v>
      </c>
      <c r="C2573" s="551">
        <v>42</v>
      </c>
    </row>
    <row r="2574" spans="1:3">
      <c r="A2574" s="550" t="s">
        <v>3676</v>
      </c>
      <c r="B2574" s="551">
        <v>5</v>
      </c>
      <c r="C2574" s="551">
        <v>62</v>
      </c>
    </row>
    <row r="2575" spans="1:3">
      <c r="A2575" s="550" t="s">
        <v>3676</v>
      </c>
      <c r="B2575" s="551">
        <v>6</v>
      </c>
      <c r="C2575" s="551">
        <v>110</v>
      </c>
    </row>
    <row r="2576" spans="1:3">
      <c r="A2576" s="550" t="s">
        <v>3676</v>
      </c>
      <c r="B2576" s="551">
        <v>8</v>
      </c>
      <c r="C2576" s="551">
        <v>125</v>
      </c>
    </row>
    <row r="2577" spans="1:3">
      <c r="A2577" s="550" t="s">
        <v>3676</v>
      </c>
      <c r="B2577" s="551">
        <v>13</v>
      </c>
      <c r="C2577" s="551">
        <v>135</v>
      </c>
    </row>
    <row r="2578" spans="1:3">
      <c r="A2578" s="550" t="s">
        <v>3676</v>
      </c>
      <c r="B2578" s="551">
        <v>15</v>
      </c>
      <c r="C2578" s="551">
        <v>145</v>
      </c>
    </row>
    <row r="2579" spans="1:3">
      <c r="A2579" s="550" t="s">
        <v>3676</v>
      </c>
      <c r="B2579" s="551">
        <v>19</v>
      </c>
      <c r="C2579" s="551">
        <v>172</v>
      </c>
    </row>
    <row r="2580" spans="1:3">
      <c r="A2580" s="550" t="s">
        <v>3676</v>
      </c>
      <c r="B2580" s="551">
        <v>22</v>
      </c>
      <c r="C2580" s="551">
        <v>172</v>
      </c>
    </row>
    <row r="2581" spans="1:3">
      <c r="A2581" s="550" t="s">
        <v>3676</v>
      </c>
      <c r="B2581" s="551">
        <v>28</v>
      </c>
      <c r="C2581" s="551">
        <v>188</v>
      </c>
    </row>
    <row r="2582" spans="1:3">
      <c r="A2582" s="550" t="s">
        <v>3676</v>
      </c>
      <c r="B2582" s="551">
        <v>33</v>
      </c>
      <c r="C2582" s="551">
        <v>200</v>
      </c>
    </row>
    <row r="2583" spans="1:3">
      <c r="A2583" s="550" t="s">
        <v>3676</v>
      </c>
      <c r="B2583" s="551">
        <v>40</v>
      </c>
      <c r="C2583" s="551">
        <v>235</v>
      </c>
    </row>
    <row r="2584" spans="1:3">
      <c r="A2584" s="550" t="s">
        <v>3676</v>
      </c>
      <c r="B2584" s="551">
        <v>47</v>
      </c>
      <c r="C2584" s="551">
        <v>252</v>
      </c>
    </row>
    <row r="2585" spans="1:3">
      <c r="A2585" s="550" t="s">
        <v>3676</v>
      </c>
      <c r="B2585" s="551">
        <v>50</v>
      </c>
      <c r="C2585" s="551">
        <v>258</v>
      </c>
    </row>
    <row r="2586" spans="1:3">
      <c r="A2586" s="550" t="s">
        <v>3676</v>
      </c>
      <c r="B2586" s="551">
        <v>56</v>
      </c>
      <c r="C2586" s="551">
        <v>263</v>
      </c>
    </row>
    <row r="2587" spans="1:3">
      <c r="A2587" s="552" t="s">
        <v>3676</v>
      </c>
      <c r="B2587" s="553">
        <v>147</v>
      </c>
      <c r="C2587" s="553">
        <v>310</v>
      </c>
    </row>
    <row r="2588" spans="1:3">
      <c r="A2588" s="552" t="s">
        <v>3676</v>
      </c>
      <c r="B2588" s="553">
        <v>201</v>
      </c>
      <c r="C2588" s="553">
        <v>388</v>
      </c>
    </row>
    <row r="2589" spans="1:3">
      <c r="A2589" s="552" t="s">
        <v>3676</v>
      </c>
      <c r="B2589" s="553">
        <v>274</v>
      </c>
      <c r="C2589" s="553">
        <v>408</v>
      </c>
    </row>
    <row r="2590" spans="1:3">
      <c r="A2590" s="552" t="s">
        <v>3676</v>
      </c>
      <c r="B2590" s="553">
        <v>379</v>
      </c>
      <c r="C2590" s="553">
        <v>393</v>
      </c>
    </row>
    <row r="2591" spans="1:3">
      <c r="A2591" s="550" t="s">
        <v>3677</v>
      </c>
      <c r="B2591" s="551">
        <v>1</v>
      </c>
      <c r="C2591" s="551">
        <v>48</v>
      </c>
    </row>
    <row r="2592" spans="1:3">
      <c r="A2592" s="550" t="s">
        <v>3677</v>
      </c>
      <c r="B2592" s="551">
        <v>2</v>
      </c>
      <c r="C2592" s="551">
        <v>52</v>
      </c>
    </row>
    <row r="2593" spans="1:3">
      <c r="A2593" s="550" t="s">
        <v>3677</v>
      </c>
      <c r="B2593" s="551">
        <v>6</v>
      </c>
      <c r="C2593" s="551">
        <v>72</v>
      </c>
    </row>
    <row r="2594" spans="1:3">
      <c r="A2594" s="550" t="s">
        <v>3677</v>
      </c>
      <c r="B2594" s="551">
        <v>8</v>
      </c>
      <c r="C2594" s="551">
        <v>100</v>
      </c>
    </row>
    <row r="2595" spans="1:3">
      <c r="A2595" s="550" t="s">
        <v>3677</v>
      </c>
      <c r="B2595" s="551">
        <v>9</v>
      </c>
      <c r="C2595" s="551">
        <v>107</v>
      </c>
    </row>
    <row r="2596" spans="1:3">
      <c r="A2596" s="550" t="s">
        <v>3677</v>
      </c>
      <c r="B2596" s="551">
        <v>13</v>
      </c>
      <c r="C2596" s="551">
        <v>130</v>
      </c>
    </row>
    <row r="2597" spans="1:3">
      <c r="A2597" s="550" t="s">
        <v>3677</v>
      </c>
      <c r="B2597" s="551">
        <v>16</v>
      </c>
      <c r="C2597" s="551">
        <v>143</v>
      </c>
    </row>
    <row r="2598" spans="1:3">
      <c r="A2598" s="550" t="s">
        <v>3677</v>
      </c>
      <c r="B2598" s="551">
        <v>20</v>
      </c>
      <c r="C2598" s="551">
        <v>172</v>
      </c>
    </row>
    <row r="2599" spans="1:3">
      <c r="A2599" s="550" t="s">
        <v>3677</v>
      </c>
      <c r="B2599" s="551">
        <v>23</v>
      </c>
      <c r="C2599" s="551">
        <v>178</v>
      </c>
    </row>
    <row r="2600" spans="1:3">
      <c r="A2600" s="550" t="s">
        <v>3677</v>
      </c>
      <c r="B2600" s="551">
        <v>28</v>
      </c>
      <c r="C2600" s="551">
        <v>182</v>
      </c>
    </row>
    <row r="2601" spans="1:3">
      <c r="A2601" s="550" t="s">
        <v>3677</v>
      </c>
      <c r="B2601" s="551">
        <v>30</v>
      </c>
      <c r="C2601" s="551">
        <v>190</v>
      </c>
    </row>
    <row r="2602" spans="1:3">
      <c r="A2602" s="550" t="s">
        <v>3677</v>
      </c>
      <c r="B2602" s="551">
        <v>34</v>
      </c>
      <c r="C2602" s="551">
        <v>228</v>
      </c>
    </row>
    <row r="2603" spans="1:3">
      <c r="A2603" s="550" t="s">
        <v>3677</v>
      </c>
      <c r="B2603" s="551">
        <v>41</v>
      </c>
      <c r="C2603" s="551">
        <v>240</v>
      </c>
    </row>
    <row r="2604" spans="1:3">
      <c r="A2604" s="550" t="s">
        <v>3677</v>
      </c>
      <c r="B2604" s="551">
        <v>44</v>
      </c>
      <c r="C2604" s="551">
        <v>242</v>
      </c>
    </row>
    <row r="2605" spans="1:3">
      <c r="A2605" s="550" t="s">
        <v>3677</v>
      </c>
      <c r="B2605" s="551">
        <v>48</v>
      </c>
      <c r="C2605" s="551">
        <v>245</v>
      </c>
    </row>
    <row r="2606" spans="1:3">
      <c r="A2606" s="550" t="s">
        <v>3677</v>
      </c>
      <c r="B2606" s="551">
        <v>51</v>
      </c>
      <c r="C2606" s="551">
        <v>250</v>
      </c>
    </row>
    <row r="2607" spans="1:3">
      <c r="A2607" s="550" t="s">
        <v>3677</v>
      </c>
      <c r="B2607" s="551">
        <v>56</v>
      </c>
      <c r="C2607" s="551">
        <v>255</v>
      </c>
    </row>
    <row r="2608" spans="1:3">
      <c r="A2608" s="552" t="s">
        <v>3677</v>
      </c>
      <c r="B2608" s="553">
        <v>141</v>
      </c>
      <c r="C2608" s="553">
        <v>337</v>
      </c>
    </row>
    <row r="2609" spans="1:3">
      <c r="A2609" s="552" t="s">
        <v>3677</v>
      </c>
      <c r="B2609" s="553">
        <v>195</v>
      </c>
      <c r="C2609" s="553">
        <v>400</v>
      </c>
    </row>
    <row r="2610" spans="1:3">
      <c r="A2610" s="552" t="s">
        <v>3677</v>
      </c>
      <c r="B2610" s="553">
        <v>268</v>
      </c>
      <c r="C2610" s="553">
        <v>418</v>
      </c>
    </row>
    <row r="2611" spans="1:3">
      <c r="A2611" s="552" t="s">
        <v>3677</v>
      </c>
      <c r="B2611" s="553">
        <v>373</v>
      </c>
      <c r="C2611" s="553">
        <v>407</v>
      </c>
    </row>
    <row r="2612" spans="1:3">
      <c r="A2612" s="550" t="s">
        <v>3718</v>
      </c>
      <c r="B2612" s="551">
        <v>1</v>
      </c>
      <c r="C2612" s="551">
        <v>5</v>
      </c>
    </row>
    <row r="2613" spans="1:3">
      <c r="A2613" s="550" t="s">
        <v>3718</v>
      </c>
      <c r="B2613" s="551">
        <v>2</v>
      </c>
      <c r="C2613" s="551">
        <v>58</v>
      </c>
    </row>
    <row r="2614" spans="1:3">
      <c r="A2614" s="550" t="s">
        <v>3718</v>
      </c>
      <c r="B2614" s="551">
        <v>5</v>
      </c>
      <c r="C2614" s="551">
        <v>78</v>
      </c>
    </row>
    <row r="2615" spans="1:3">
      <c r="A2615" s="550" t="s">
        <v>3718</v>
      </c>
      <c r="B2615" s="551">
        <v>7</v>
      </c>
      <c r="C2615" s="551">
        <v>87</v>
      </c>
    </row>
    <row r="2616" spans="1:3">
      <c r="A2616" s="550" t="s">
        <v>3718</v>
      </c>
      <c r="B2616" s="551">
        <v>8</v>
      </c>
      <c r="C2616" s="551">
        <v>97</v>
      </c>
    </row>
    <row r="2617" spans="1:3">
      <c r="A2617" s="550" t="s">
        <v>3718</v>
      </c>
      <c r="B2617" s="551">
        <v>12</v>
      </c>
      <c r="C2617" s="551">
        <v>123</v>
      </c>
    </row>
    <row r="2618" spans="1:3">
      <c r="A2618" s="550" t="s">
        <v>3718</v>
      </c>
      <c r="B2618" s="551">
        <v>15</v>
      </c>
      <c r="C2618" s="551">
        <v>143</v>
      </c>
    </row>
    <row r="2619" spans="1:3">
      <c r="A2619" s="550" t="s">
        <v>3718</v>
      </c>
      <c r="B2619" s="551">
        <v>19</v>
      </c>
      <c r="C2619" s="551">
        <v>147</v>
      </c>
    </row>
    <row r="2620" spans="1:3">
      <c r="A2620" s="550" t="s">
        <v>3718</v>
      </c>
      <c r="B2620" s="551">
        <v>22</v>
      </c>
      <c r="C2620" s="551">
        <v>185</v>
      </c>
    </row>
    <row r="2621" spans="1:3">
      <c r="A2621" s="550" t="s">
        <v>3718</v>
      </c>
      <c r="B2621" s="551">
        <v>28</v>
      </c>
      <c r="C2621" s="551">
        <v>217</v>
      </c>
    </row>
    <row r="2622" spans="1:3">
      <c r="A2622" s="550" t="s">
        <v>3718</v>
      </c>
      <c r="B2622" s="551">
        <v>33</v>
      </c>
      <c r="C2622" s="551">
        <v>220</v>
      </c>
    </row>
    <row r="2623" spans="1:3">
      <c r="A2623" s="550" t="s">
        <v>3718</v>
      </c>
      <c r="B2623" s="551">
        <v>36</v>
      </c>
      <c r="C2623" s="551">
        <v>222</v>
      </c>
    </row>
    <row r="2624" spans="1:3">
      <c r="A2624" s="550" t="s">
        <v>3718</v>
      </c>
      <c r="B2624" s="551">
        <v>40</v>
      </c>
      <c r="C2624" s="551">
        <v>222</v>
      </c>
    </row>
    <row r="2625" spans="1:3">
      <c r="A2625" s="550" t="s">
        <v>3718</v>
      </c>
      <c r="B2625" s="551">
        <v>43</v>
      </c>
      <c r="C2625" s="551">
        <v>223</v>
      </c>
    </row>
    <row r="2626" spans="1:3">
      <c r="A2626" s="550" t="s">
        <v>3718</v>
      </c>
      <c r="B2626" s="551">
        <v>47</v>
      </c>
      <c r="C2626" s="551">
        <v>230</v>
      </c>
    </row>
    <row r="2627" spans="1:3">
      <c r="A2627" s="550" t="s">
        <v>3718</v>
      </c>
      <c r="B2627" s="551">
        <v>50</v>
      </c>
      <c r="C2627" s="551">
        <v>235</v>
      </c>
    </row>
    <row r="2628" spans="1:3">
      <c r="A2628" s="550" t="s">
        <v>3718</v>
      </c>
      <c r="B2628" s="551">
        <v>56</v>
      </c>
      <c r="C2628" s="551">
        <v>252</v>
      </c>
    </row>
    <row r="2629" spans="1:3">
      <c r="A2629" s="552" t="s">
        <v>3718</v>
      </c>
      <c r="B2629" s="553">
        <v>134</v>
      </c>
      <c r="C2629" s="553">
        <v>347</v>
      </c>
    </row>
    <row r="2630" spans="1:3">
      <c r="A2630" s="552" t="s">
        <v>3718</v>
      </c>
      <c r="B2630" s="553">
        <v>188</v>
      </c>
      <c r="C2630" s="553">
        <v>413</v>
      </c>
    </row>
    <row r="2631" spans="1:3">
      <c r="A2631" s="552" t="s">
        <v>3718</v>
      </c>
      <c r="B2631" s="553">
        <v>261</v>
      </c>
      <c r="C2631" s="553">
        <v>462</v>
      </c>
    </row>
    <row r="2632" spans="1:3">
      <c r="A2632" s="552" t="s">
        <v>3718</v>
      </c>
      <c r="B2632" s="553">
        <v>366</v>
      </c>
      <c r="C2632" s="553">
        <v>420</v>
      </c>
    </row>
    <row r="2633" spans="1:3">
      <c r="A2633" s="550" t="s">
        <v>3678</v>
      </c>
      <c r="B2633" s="551">
        <v>1</v>
      </c>
      <c r="C2633" s="551">
        <v>27</v>
      </c>
    </row>
    <row r="2634" spans="1:3">
      <c r="A2634" s="550" t="s">
        <v>3678</v>
      </c>
      <c r="B2634" s="551">
        <v>5</v>
      </c>
      <c r="C2634" s="551">
        <v>97</v>
      </c>
    </row>
    <row r="2635" spans="1:3">
      <c r="A2635" s="550" t="s">
        <v>3678</v>
      </c>
      <c r="B2635" s="551">
        <v>7</v>
      </c>
      <c r="C2635" s="551">
        <v>112</v>
      </c>
    </row>
    <row r="2636" spans="1:3">
      <c r="A2636" s="550" t="s">
        <v>3678</v>
      </c>
      <c r="B2636" s="551">
        <v>8</v>
      </c>
      <c r="C2636" s="551">
        <v>117</v>
      </c>
    </row>
    <row r="2637" spans="1:3">
      <c r="A2637" s="550" t="s">
        <v>3678</v>
      </c>
      <c r="B2637" s="551">
        <v>12</v>
      </c>
      <c r="C2637" s="551">
        <v>125</v>
      </c>
    </row>
    <row r="2638" spans="1:3">
      <c r="A2638" s="550" t="s">
        <v>3678</v>
      </c>
      <c r="B2638" s="551">
        <v>15</v>
      </c>
      <c r="C2638" s="551">
        <v>143</v>
      </c>
    </row>
    <row r="2639" spans="1:3">
      <c r="A2639" s="550" t="s">
        <v>3678</v>
      </c>
      <c r="B2639" s="551">
        <v>19</v>
      </c>
      <c r="C2639" s="551">
        <v>162</v>
      </c>
    </row>
    <row r="2640" spans="1:3">
      <c r="A2640" s="550" t="s">
        <v>3678</v>
      </c>
      <c r="B2640" s="551">
        <v>22</v>
      </c>
      <c r="C2640" s="551">
        <v>175</v>
      </c>
    </row>
    <row r="2641" spans="1:3">
      <c r="A2641" s="550" t="s">
        <v>3678</v>
      </c>
      <c r="B2641" s="551">
        <v>26</v>
      </c>
      <c r="C2641" s="551">
        <v>198</v>
      </c>
    </row>
    <row r="2642" spans="1:3">
      <c r="A2642" s="550" t="s">
        <v>3678</v>
      </c>
      <c r="B2642" s="551">
        <v>28</v>
      </c>
      <c r="C2642" s="551">
        <v>197</v>
      </c>
    </row>
    <row r="2643" spans="1:3">
      <c r="A2643" s="550" t="s">
        <v>3678</v>
      </c>
      <c r="B2643" s="551">
        <v>36</v>
      </c>
      <c r="C2643" s="551">
        <v>203</v>
      </c>
    </row>
    <row r="2644" spans="1:3">
      <c r="A2644" s="550" t="s">
        <v>3678</v>
      </c>
      <c r="B2644" s="551">
        <v>43</v>
      </c>
      <c r="C2644" s="551">
        <v>210</v>
      </c>
    </row>
    <row r="2645" spans="1:3">
      <c r="A2645" s="550" t="s">
        <v>3678</v>
      </c>
      <c r="B2645" s="551">
        <v>47</v>
      </c>
      <c r="C2645" s="551">
        <v>225</v>
      </c>
    </row>
    <row r="2646" spans="1:3">
      <c r="A2646" s="550" t="s">
        <v>3678</v>
      </c>
      <c r="B2646" s="551">
        <v>50</v>
      </c>
      <c r="C2646" s="551">
        <v>240</v>
      </c>
    </row>
    <row r="2647" spans="1:3">
      <c r="A2647" s="550" t="s">
        <v>3678</v>
      </c>
      <c r="B2647" s="551">
        <v>56</v>
      </c>
      <c r="C2647" s="551">
        <v>267</v>
      </c>
    </row>
    <row r="2648" spans="1:3">
      <c r="A2648" s="552" t="s">
        <v>3678</v>
      </c>
      <c r="B2648" s="553">
        <v>211</v>
      </c>
      <c r="C2648" s="553">
        <v>395</v>
      </c>
    </row>
    <row r="2649" spans="1:3">
      <c r="A2649" s="552" t="s">
        <v>3678</v>
      </c>
      <c r="B2649" s="553">
        <v>231</v>
      </c>
      <c r="C2649" s="553">
        <v>412</v>
      </c>
    </row>
    <row r="2650" spans="1:3">
      <c r="A2650" s="552" t="s">
        <v>3678</v>
      </c>
      <c r="B2650" s="553">
        <v>296</v>
      </c>
      <c r="C2650" s="553">
        <v>415</v>
      </c>
    </row>
    <row r="2651" spans="1:3">
      <c r="A2651" s="552" t="s">
        <v>3678</v>
      </c>
      <c r="B2651" s="553">
        <v>401</v>
      </c>
      <c r="C2651" s="553">
        <v>418</v>
      </c>
    </row>
    <row r="2652" spans="1:3">
      <c r="A2652" s="550" t="s">
        <v>3679</v>
      </c>
      <c r="B2652" s="551">
        <v>2</v>
      </c>
      <c r="C2652" s="551">
        <v>18</v>
      </c>
    </row>
    <row r="2653" spans="1:3">
      <c r="A2653" s="550" t="s">
        <v>3679</v>
      </c>
      <c r="B2653" s="551">
        <v>5</v>
      </c>
      <c r="C2653" s="551">
        <v>65</v>
      </c>
    </row>
    <row r="2654" spans="1:3">
      <c r="A2654" s="550" t="s">
        <v>3679</v>
      </c>
      <c r="B2654" s="551">
        <v>7</v>
      </c>
      <c r="C2654" s="551">
        <v>72</v>
      </c>
    </row>
    <row r="2655" spans="1:3">
      <c r="A2655" s="550" t="s">
        <v>3679</v>
      </c>
      <c r="B2655" s="551">
        <v>8</v>
      </c>
      <c r="C2655" s="551">
        <v>100</v>
      </c>
    </row>
    <row r="2656" spans="1:3">
      <c r="A2656" s="550" t="s">
        <v>3679</v>
      </c>
      <c r="B2656" s="551">
        <v>12</v>
      </c>
      <c r="C2656" s="551">
        <v>125</v>
      </c>
    </row>
    <row r="2657" spans="1:3">
      <c r="A2657" s="550" t="s">
        <v>3679</v>
      </c>
      <c r="B2657" s="551">
        <v>15</v>
      </c>
      <c r="C2657" s="551">
        <v>148</v>
      </c>
    </row>
    <row r="2658" spans="1:3">
      <c r="A2658" s="550" t="s">
        <v>3679</v>
      </c>
      <c r="B2658" s="551">
        <v>19</v>
      </c>
      <c r="C2658" s="551">
        <v>162</v>
      </c>
    </row>
    <row r="2659" spans="1:3">
      <c r="A2659" s="550" t="s">
        <v>3679</v>
      </c>
      <c r="B2659" s="551">
        <v>22</v>
      </c>
      <c r="C2659" s="551">
        <v>170</v>
      </c>
    </row>
    <row r="2660" spans="1:3">
      <c r="A2660" s="550" t="s">
        <v>3679</v>
      </c>
      <c r="B2660" s="551">
        <v>28</v>
      </c>
      <c r="C2660" s="551">
        <v>178</v>
      </c>
    </row>
    <row r="2661" spans="1:3">
      <c r="A2661" s="550" t="s">
        <v>3679</v>
      </c>
      <c r="B2661" s="551">
        <v>36</v>
      </c>
      <c r="C2661" s="551">
        <v>192</v>
      </c>
    </row>
    <row r="2662" spans="1:3">
      <c r="A2662" s="550" t="s">
        <v>3679</v>
      </c>
      <c r="B2662" s="551">
        <v>40</v>
      </c>
      <c r="C2662" s="551">
        <v>202</v>
      </c>
    </row>
    <row r="2663" spans="1:3">
      <c r="A2663" s="550" t="s">
        <v>3679</v>
      </c>
      <c r="B2663" s="551">
        <v>43</v>
      </c>
      <c r="C2663" s="551">
        <v>210</v>
      </c>
    </row>
    <row r="2664" spans="1:3">
      <c r="A2664" s="550" t="s">
        <v>3679</v>
      </c>
      <c r="B2664" s="551">
        <v>47</v>
      </c>
      <c r="C2664" s="551">
        <v>213</v>
      </c>
    </row>
    <row r="2665" spans="1:3">
      <c r="A2665" s="550" t="s">
        <v>3679</v>
      </c>
      <c r="B2665" s="551">
        <v>54</v>
      </c>
      <c r="C2665" s="551">
        <v>223</v>
      </c>
    </row>
    <row r="2666" spans="1:3">
      <c r="A2666" s="550" t="s">
        <v>3679</v>
      </c>
      <c r="B2666" s="551">
        <v>56</v>
      </c>
      <c r="C2666" s="551">
        <v>228</v>
      </c>
    </row>
    <row r="2667" spans="1:3">
      <c r="A2667" s="552" t="s">
        <v>3679</v>
      </c>
      <c r="B2667" s="553">
        <v>204</v>
      </c>
      <c r="C2667" s="553">
        <v>392</v>
      </c>
    </row>
    <row r="2668" spans="1:3">
      <c r="A2668" s="552" t="s">
        <v>3679</v>
      </c>
      <c r="B2668" s="553">
        <v>224</v>
      </c>
      <c r="C2668" s="553">
        <v>405</v>
      </c>
    </row>
    <row r="2669" spans="1:3">
      <c r="A2669" s="552" t="s">
        <v>3679</v>
      </c>
      <c r="B2669" s="553">
        <v>289</v>
      </c>
      <c r="C2669" s="553">
        <v>438</v>
      </c>
    </row>
    <row r="2670" spans="1:3">
      <c r="A2670" s="552" t="s">
        <v>3679</v>
      </c>
      <c r="B2670" s="553">
        <v>394</v>
      </c>
      <c r="C2670" s="553">
        <v>467</v>
      </c>
    </row>
    <row r="2671" spans="1:3">
      <c r="A2671" s="550" t="s">
        <v>3680</v>
      </c>
      <c r="B2671" s="551">
        <v>1</v>
      </c>
      <c r="C2671" s="551">
        <v>8</v>
      </c>
    </row>
    <row r="2672" spans="1:3">
      <c r="A2672" s="550" t="s">
        <v>3680</v>
      </c>
      <c r="B2672" s="551">
        <v>2</v>
      </c>
      <c r="C2672" s="551">
        <v>20</v>
      </c>
    </row>
    <row r="2673" spans="1:3">
      <c r="A2673" s="550" t="s">
        <v>3680</v>
      </c>
      <c r="B2673" s="551">
        <v>5</v>
      </c>
      <c r="C2673" s="551">
        <v>70</v>
      </c>
    </row>
    <row r="2674" spans="1:3">
      <c r="A2674" s="550" t="s">
        <v>3680</v>
      </c>
      <c r="B2674" s="551">
        <v>8</v>
      </c>
      <c r="C2674" s="551">
        <v>122</v>
      </c>
    </row>
    <row r="2675" spans="1:3">
      <c r="A2675" s="550" t="s">
        <v>3680</v>
      </c>
      <c r="B2675" s="551">
        <v>12</v>
      </c>
      <c r="C2675" s="551">
        <v>152</v>
      </c>
    </row>
    <row r="2676" spans="1:3">
      <c r="A2676" s="550" t="s">
        <v>3680</v>
      </c>
      <c r="B2676" s="551">
        <v>15</v>
      </c>
      <c r="C2676" s="551">
        <v>183</v>
      </c>
    </row>
    <row r="2677" spans="1:3">
      <c r="A2677" s="550" t="s">
        <v>3680</v>
      </c>
      <c r="B2677" s="551">
        <v>20</v>
      </c>
      <c r="C2677" s="551">
        <v>188</v>
      </c>
    </row>
    <row r="2678" spans="1:3">
      <c r="A2678" s="550" t="s">
        <v>3680</v>
      </c>
      <c r="B2678" s="551">
        <v>22</v>
      </c>
      <c r="C2678" s="551">
        <v>190</v>
      </c>
    </row>
    <row r="2679" spans="1:3">
      <c r="A2679" s="550" t="s">
        <v>3680</v>
      </c>
      <c r="B2679" s="551">
        <v>28</v>
      </c>
      <c r="C2679" s="551">
        <v>207</v>
      </c>
    </row>
    <row r="2680" spans="1:3">
      <c r="A2680" s="550" t="s">
        <v>3680</v>
      </c>
      <c r="B2680" s="551">
        <v>36</v>
      </c>
      <c r="C2680" s="551">
        <v>243</v>
      </c>
    </row>
    <row r="2681" spans="1:3">
      <c r="A2681" s="550" t="s">
        <v>3680</v>
      </c>
      <c r="B2681" s="551">
        <v>40</v>
      </c>
      <c r="C2681" s="551">
        <v>257</v>
      </c>
    </row>
    <row r="2682" spans="1:3">
      <c r="A2682" s="550" t="s">
        <v>3680</v>
      </c>
      <c r="B2682" s="551">
        <v>47</v>
      </c>
      <c r="C2682" s="551">
        <v>267</v>
      </c>
    </row>
    <row r="2683" spans="1:3">
      <c r="A2683" s="550" t="s">
        <v>3680</v>
      </c>
      <c r="B2683" s="551">
        <v>54</v>
      </c>
      <c r="C2683" s="551">
        <v>278</v>
      </c>
    </row>
    <row r="2684" spans="1:3">
      <c r="A2684" s="550" t="s">
        <v>3680</v>
      </c>
      <c r="B2684" s="551">
        <v>56</v>
      </c>
      <c r="C2684" s="551">
        <v>288</v>
      </c>
    </row>
    <row r="2685" spans="1:3">
      <c r="A2685" s="552" t="s">
        <v>3680</v>
      </c>
      <c r="B2685" s="553">
        <v>155</v>
      </c>
      <c r="C2685" s="553">
        <v>323</v>
      </c>
    </row>
    <row r="2686" spans="1:3">
      <c r="A2686" s="552" t="s">
        <v>3680</v>
      </c>
      <c r="B2686" s="553">
        <v>209</v>
      </c>
      <c r="C2686" s="553">
        <v>352</v>
      </c>
    </row>
    <row r="2687" spans="1:3">
      <c r="A2687" s="552" t="s">
        <v>3680</v>
      </c>
      <c r="B2687" s="553">
        <v>282</v>
      </c>
      <c r="C2687" s="553">
        <v>349</v>
      </c>
    </row>
    <row r="2688" spans="1:3">
      <c r="A2688" s="552" t="s">
        <v>3680</v>
      </c>
      <c r="B2688" s="553">
        <v>386</v>
      </c>
      <c r="C2688" s="553">
        <v>356</v>
      </c>
    </row>
    <row r="2689" spans="1:3">
      <c r="A2689" s="550" t="s">
        <v>3681</v>
      </c>
      <c r="B2689" s="551">
        <v>1</v>
      </c>
      <c r="C2689" s="551">
        <v>28</v>
      </c>
    </row>
    <row r="2690" spans="1:3">
      <c r="A2690" s="550" t="s">
        <v>3681</v>
      </c>
      <c r="B2690" s="551">
        <v>2</v>
      </c>
      <c r="C2690" s="551">
        <v>65</v>
      </c>
    </row>
    <row r="2691" spans="1:3">
      <c r="A2691" s="550" t="s">
        <v>3681</v>
      </c>
      <c r="B2691" s="551">
        <v>3</v>
      </c>
      <c r="C2691" s="551">
        <v>97</v>
      </c>
    </row>
    <row r="2692" spans="1:3">
      <c r="A2692" s="550" t="s">
        <v>3681</v>
      </c>
      <c r="B2692" s="551">
        <v>7</v>
      </c>
      <c r="C2692" s="551">
        <v>145</v>
      </c>
    </row>
    <row r="2693" spans="1:3">
      <c r="A2693" s="550" t="s">
        <v>3681</v>
      </c>
      <c r="B2693" s="551">
        <v>14</v>
      </c>
      <c r="C2693" s="551">
        <v>197</v>
      </c>
    </row>
    <row r="2694" spans="1:3">
      <c r="A2694" s="550" t="s">
        <v>3681</v>
      </c>
      <c r="B2694" s="551">
        <v>21</v>
      </c>
      <c r="C2694" s="551">
        <v>252</v>
      </c>
    </row>
    <row r="2695" spans="1:3">
      <c r="A2695" s="550" t="s">
        <v>3681</v>
      </c>
      <c r="B2695" s="551">
        <v>28</v>
      </c>
      <c r="C2695" s="551">
        <v>328</v>
      </c>
    </row>
    <row r="2696" spans="1:3">
      <c r="A2696" s="550" t="s">
        <v>3681</v>
      </c>
      <c r="B2696" s="551">
        <v>35</v>
      </c>
      <c r="C2696" s="551">
        <v>378</v>
      </c>
    </row>
    <row r="2697" spans="1:3">
      <c r="A2697" s="550" t="s">
        <v>3681</v>
      </c>
      <c r="B2697" s="551">
        <v>42</v>
      </c>
      <c r="C2697" s="551">
        <v>417</v>
      </c>
    </row>
    <row r="2698" spans="1:3">
      <c r="A2698" s="552" t="s">
        <v>3681</v>
      </c>
      <c r="B2698" s="553">
        <v>321</v>
      </c>
      <c r="C2698" s="553">
        <v>425</v>
      </c>
    </row>
    <row r="2699" spans="1:3">
      <c r="A2699" s="550" t="s">
        <v>3682</v>
      </c>
      <c r="B2699" s="551">
        <v>1</v>
      </c>
      <c r="C2699" s="551">
        <v>20</v>
      </c>
    </row>
    <row r="2700" spans="1:3">
      <c r="A2700" s="550" t="s">
        <v>3682</v>
      </c>
      <c r="B2700" s="551">
        <v>2</v>
      </c>
      <c r="C2700" s="551">
        <v>42</v>
      </c>
    </row>
    <row r="2701" spans="1:3">
      <c r="A2701" s="550" t="s">
        <v>3682</v>
      </c>
      <c r="B2701" s="551">
        <v>3</v>
      </c>
      <c r="C2701" s="551">
        <v>108</v>
      </c>
    </row>
    <row r="2702" spans="1:3">
      <c r="A2702" s="550" t="s">
        <v>3682</v>
      </c>
      <c r="B2702" s="551">
        <v>7</v>
      </c>
      <c r="C2702" s="551">
        <v>157</v>
      </c>
    </row>
    <row r="2703" spans="1:3">
      <c r="A2703" s="550" t="s">
        <v>3682</v>
      </c>
      <c r="B2703" s="551">
        <v>14</v>
      </c>
      <c r="C2703" s="551">
        <v>193</v>
      </c>
    </row>
    <row r="2704" spans="1:3">
      <c r="A2704" s="550" t="s">
        <v>3682</v>
      </c>
      <c r="B2704" s="551">
        <v>21</v>
      </c>
      <c r="C2704" s="551">
        <v>205</v>
      </c>
    </row>
    <row r="2705" spans="1:3">
      <c r="A2705" s="550" t="s">
        <v>3682</v>
      </c>
      <c r="B2705" s="551">
        <v>28</v>
      </c>
      <c r="C2705" s="551">
        <v>265</v>
      </c>
    </row>
    <row r="2706" spans="1:3">
      <c r="A2706" s="550" t="s">
        <v>3682</v>
      </c>
      <c r="B2706" s="551">
        <v>35</v>
      </c>
      <c r="C2706" s="551">
        <v>313</v>
      </c>
    </row>
    <row r="2707" spans="1:3">
      <c r="A2707" s="550" t="s">
        <v>3682</v>
      </c>
      <c r="B2707" s="551">
        <v>42</v>
      </c>
      <c r="C2707" s="551">
        <v>342</v>
      </c>
    </row>
    <row r="2708" spans="1:3">
      <c r="A2708" s="552" t="s">
        <v>3682</v>
      </c>
      <c r="B2708" s="553">
        <v>321</v>
      </c>
      <c r="C2708" s="553">
        <v>417</v>
      </c>
    </row>
    <row r="2709" spans="1:3">
      <c r="A2709" s="550" t="s">
        <v>3683</v>
      </c>
      <c r="B2709" s="551">
        <v>1</v>
      </c>
      <c r="C2709" s="551">
        <v>55</v>
      </c>
    </row>
    <row r="2710" spans="1:3">
      <c r="A2710" s="550" t="s">
        <v>3683</v>
      </c>
      <c r="B2710" s="551">
        <v>2</v>
      </c>
      <c r="C2710" s="551">
        <v>93</v>
      </c>
    </row>
    <row r="2711" spans="1:3">
      <c r="A2711" s="550" t="s">
        <v>3683</v>
      </c>
      <c r="B2711" s="551">
        <v>3</v>
      </c>
      <c r="C2711" s="551">
        <v>95</v>
      </c>
    </row>
    <row r="2712" spans="1:3">
      <c r="A2712" s="550" t="s">
        <v>3683</v>
      </c>
      <c r="B2712" s="551">
        <v>7</v>
      </c>
      <c r="C2712" s="551">
        <v>172</v>
      </c>
    </row>
    <row r="2713" spans="1:3">
      <c r="A2713" s="550" t="s">
        <v>3683</v>
      </c>
      <c r="B2713" s="551">
        <v>14</v>
      </c>
      <c r="C2713" s="551">
        <v>213</v>
      </c>
    </row>
    <row r="2714" spans="1:3">
      <c r="A2714" s="550" t="s">
        <v>3683</v>
      </c>
      <c r="B2714" s="551">
        <v>21</v>
      </c>
      <c r="C2714" s="551">
        <v>250</v>
      </c>
    </row>
    <row r="2715" spans="1:3">
      <c r="A2715" s="550" t="s">
        <v>3683</v>
      </c>
      <c r="B2715" s="551">
        <v>28</v>
      </c>
      <c r="C2715" s="551">
        <v>303</v>
      </c>
    </row>
    <row r="2716" spans="1:3">
      <c r="A2716" s="550" t="s">
        <v>3683</v>
      </c>
      <c r="B2716" s="551">
        <v>35</v>
      </c>
      <c r="C2716" s="551">
        <v>408</v>
      </c>
    </row>
    <row r="2717" spans="1:3">
      <c r="A2717" s="550" t="s">
        <v>3683</v>
      </c>
      <c r="B2717" s="551">
        <v>42</v>
      </c>
      <c r="C2717" s="551">
        <v>435</v>
      </c>
    </row>
    <row r="2718" spans="1:3">
      <c r="A2718" s="552" t="s">
        <v>3683</v>
      </c>
      <c r="B2718" s="553">
        <v>320</v>
      </c>
      <c r="C2718" s="553">
        <v>560</v>
      </c>
    </row>
    <row r="2719" spans="1:3">
      <c r="A2719" s="550" t="s">
        <v>3684</v>
      </c>
      <c r="B2719" s="551">
        <v>1</v>
      </c>
      <c r="C2719" s="551">
        <v>67</v>
      </c>
    </row>
    <row r="2720" spans="1:3">
      <c r="A2720" s="550" t="s">
        <v>3684</v>
      </c>
      <c r="B2720" s="551">
        <v>2</v>
      </c>
      <c r="C2720" s="551">
        <v>108</v>
      </c>
    </row>
    <row r="2721" spans="1:3">
      <c r="A2721" s="550" t="s">
        <v>3684</v>
      </c>
      <c r="B2721" s="551">
        <v>3</v>
      </c>
      <c r="C2721" s="551">
        <v>120</v>
      </c>
    </row>
    <row r="2722" spans="1:3">
      <c r="A2722" s="550" t="s">
        <v>3684</v>
      </c>
      <c r="B2722" s="551">
        <v>7</v>
      </c>
      <c r="C2722" s="551">
        <v>187</v>
      </c>
    </row>
    <row r="2723" spans="1:3">
      <c r="A2723" s="550" t="s">
        <v>3684</v>
      </c>
      <c r="B2723" s="551">
        <v>14</v>
      </c>
      <c r="C2723" s="551">
        <v>240</v>
      </c>
    </row>
    <row r="2724" spans="1:3">
      <c r="A2724" s="550" t="s">
        <v>3684</v>
      </c>
      <c r="B2724" s="551">
        <v>21</v>
      </c>
      <c r="C2724" s="551">
        <v>260</v>
      </c>
    </row>
    <row r="2725" spans="1:3">
      <c r="A2725" s="550" t="s">
        <v>3684</v>
      </c>
      <c r="B2725" s="551">
        <v>28</v>
      </c>
      <c r="C2725" s="551">
        <v>330</v>
      </c>
    </row>
    <row r="2726" spans="1:3">
      <c r="A2726" s="550" t="s">
        <v>3684</v>
      </c>
      <c r="B2726" s="551">
        <v>35</v>
      </c>
      <c r="C2726" s="551">
        <v>450</v>
      </c>
    </row>
    <row r="2727" spans="1:3">
      <c r="A2727" s="550" t="s">
        <v>3684</v>
      </c>
      <c r="B2727" s="551">
        <v>42</v>
      </c>
      <c r="C2727" s="551">
        <v>425</v>
      </c>
    </row>
    <row r="2728" spans="1:3">
      <c r="A2728" s="552" t="s">
        <v>3684</v>
      </c>
      <c r="B2728" s="553">
        <v>320</v>
      </c>
      <c r="C2728" s="553">
        <v>538</v>
      </c>
    </row>
    <row r="2729" spans="1:3">
      <c r="A2729" s="550" t="s">
        <v>3719</v>
      </c>
      <c r="B2729" s="551">
        <v>1</v>
      </c>
      <c r="C2729" s="551">
        <v>60</v>
      </c>
    </row>
    <row r="2730" spans="1:3">
      <c r="A2730" s="550" t="s">
        <v>3719</v>
      </c>
      <c r="B2730" s="551">
        <v>2</v>
      </c>
      <c r="C2730" s="551">
        <v>77</v>
      </c>
    </row>
    <row r="2731" spans="1:3">
      <c r="A2731" s="550" t="s">
        <v>3719</v>
      </c>
      <c r="B2731" s="551">
        <v>3</v>
      </c>
      <c r="C2731" s="551">
        <v>93</v>
      </c>
    </row>
    <row r="2732" spans="1:3">
      <c r="A2732" s="550" t="s">
        <v>3719</v>
      </c>
      <c r="B2732" s="551">
        <v>7</v>
      </c>
      <c r="C2732" s="551">
        <v>158</v>
      </c>
    </row>
    <row r="2733" spans="1:3">
      <c r="A2733" s="550" t="s">
        <v>3719</v>
      </c>
      <c r="B2733" s="551">
        <v>14</v>
      </c>
      <c r="C2733" s="551">
        <v>187</v>
      </c>
    </row>
    <row r="2734" spans="1:3">
      <c r="A2734" s="550" t="s">
        <v>3719</v>
      </c>
      <c r="B2734" s="551">
        <v>21</v>
      </c>
      <c r="C2734" s="551">
        <v>238</v>
      </c>
    </row>
    <row r="2735" spans="1:3">
      <c r="A2735" s="550" t="s">
        <v>3719</v>
      </c>
      <c r="B2735" s="551">
        <v>28</v>
      </c>
      <c r="C2735" s="551">
        <v>297</v>
      </c>
    </row>
    <row r="2736" spans="1:3">
      <c r="A2736" s="550" t="s">
        <v>3719</v>
      </c>
      <c r="B2736" s="551">
        <v>35</v>
      </c>
      <c r="C2736" s="551">
        <v>397</v>
      </c>
    </row>
    <row r="2737" spans="1:3">
      <c r="A2737" s="550" t="s">
        <v>3719</v>
      </c>
      <c r="B2737" s="551">
        <v>42</v>
      </c>
      <c r="C2737" s="551">
        <v>422</v>
      </c>
    </row>
    <row r="2738" spans="1:3">
      <c r="A2738" s="552" t="s">
        <v>3719</v>
      </c>
      <c r="B2738" s="553">
        <v>319</v>
      </c>
      <c r="C2738" s="553">
        <v>492</v>
      </c>
    </row>
    <row r="2739" spans="1:3">
      <c r="A2739" s="550" t="s">
        <v>3720</v>
      </c>
      <c r="B2739" s="551">
        <v>1</v>
      </c>
      <c r="C2739" s="551">
        <v>32</v>
      </c>
    </row>
    <row r="2740" spans="1:3">
      <c r="A2740" s="550" t="s">
        <v>3720</v>
      </c>
      <c r="B2740" s="551">
        <v>2</v>
      </c>
      <c r="C2740" s="551">
        <v>60</v>
      </c>
    </row>
    <row r="2741" spans="1:3">
      <c r="A2741" s="550" t="s">
        <v>3720</v>
      </c>
      <c r="B2741" s="551">
        <v>3</v>
      </c>
      <c r="C2741" s="551">
        <v>83</v>
      </c>
    </row>
    <row r="2742" spans="1:3">
      <c r="A2742" s="550" t="s">
        <v>3720</v>
      </c>
      <c r="B2742" s="551">
        <v>7</v>
      </c>
      <c r="C2742" s="551">
        <v>162</v>
      </c>
    </row>
    <row r="2743" spans="1:3">
      <c r="A2743" s="550" t="s">
        <v>3720</v>
      </c>
      <c r="B2743" s="551">
        <v>14</v>
      </c>
      <c r="C2743" s="551">
        <v>170</v>
      </c>
    </row>
    <row r="2744" spans="1:3">
      <c r="A2744" s="550" t="s">
        <v>3720</v>
      </c>
      <c r="B2744" s="551">
        <v>21</v>
      </c>
      <c r="C2744" s="551">
        <v>265</v>
      </c>
    </row>
    <row r="2745" spans="1:3">
      <c r="A2745" s="550" t="s">
        <v>3720</v>
      </c>
      <c r="B2745" s="551">
        <v>28</v>
      </c>
      <c r="C2745" s="551">
        <v>275</v>
      </c>
    </row>
    <row r="2746" spans="1:3">
      <c r="A2746" s="550" t="s">
        <v>3720</v>
      </c>
      <c r="B2746" s="551">
        <v>35</v>
      </c>
      <c r="C2746" s="551">
        <v>310</v>
      </c>
    </row>
    <row r="2747" spans="1:3">
      <c r="A2747" s="550" t="s">
        <v>3720</v>
      </c>
      <c r="B2747" s="551">
        <v>42</v>
      </c>
      <c r="C2747" s="551">
        <v>348</v>
      </c>
    </row>
    <row r="2748" spans="1:3">
      <c r="A2748" s="552" t="s">
        <v>3720</v>
      </c>
      <c r="B2748" s="553">
        <v>319</v>
      </c>
      <c r="C2748" s="553">
        <v>472</v>
      </c>
    </row>
    <row r="2749" spans="1:3">
      <c r="A2749" s="550" t="s">
        <v>3721</v>
      </c>
      <c r="B2749" s="551">
        <v>10</v>
      </c>
      <c r="C2749" s="551">
        <v>133</v>
      </c>
    </row>
    <row r="2750" spans="1:3">
      <c r="A2750" s="550" t="s">
        <v>3721</v>
      </c>
      <c r="B2750" s="551">
        <v>50</v>
      </c>
      <c r="C2750" s="551">
        <v>267</v>
      </c>
    </row>
    <row r="2751" spans="1:3">
      <c r="A2751" s="552" t="s">
        <v>3721</v>
      </c>
      <c r="B2751" s="553">
        <v>100</v>
      </c>
      <c r="C2751" s="553">
        <v>367</v>
      </c>
    </row>
    <row r="2752" spans="1:3">
      <c r="A2752" s="552" t="s">
        <v>3721</v>
      </c>
      <c r="B2752" s="553">
        <v>200</v>
      </c>
      <c r="C2752" s="553">
        <v>438</v>
      </c>
    </row>
    <row r="2753" spans="1:3">
      <c r="A2753" s="552" t="s">
        <v>3721</v>
      </c>
      <c r="B2753" s="553">
        <v>302</v>
      </c>
      <c r="C2753" s="553">
        <v>448</v>
      </c>
    </row>
    <row r="2754" spans="1:3">
      <c r="A2754" s="552" t="s">
        <v>3721</v>
      </c>
      <c r="B2754" s="553">
        <v>401</v>
      </c>
      <c r="C2754" s="553">
        <v>471</v>
      </c>
    </row>
    <row r="2755" spans="1:3">
      <c r="A2755" s="550" t="s">
        <v>3722</v>
      </c>
      <c r="B2755" s="551">
        <v>10</v>
      </c>
      <c r="C2755" s="551">
        <v>267</v>
      </c>
    </row>
    <row r="2756" spans="1:3">
      <c r="A2756" s="550" t="s">
        <v>3722</v>
      </c>
      <c r="B2756" s="551">
        <v>50</v>
      </c>
      <c r="C2756" s="551">
        <v>416</v>
      </c>
    </row>
    <row r="2757" spans="1:3">
      <c r="A2757" s="552" t="s">
        <v>3722</v>
      </c>
      <c r="B2757" s="553">
        <v>100</v>
      </c>
      <c r="C2757" s="553">
        <v>462</v>
      </c>
    </row>
    <row r="2758" spans="1:3">
      <c r="A2758" s="552" t="s">
        <v>3722</v>
      </c>
      <c r="B2758" s="553">
        <v>200</v>
      </c>
      <c r="C2758" s="553">
        <v>525</v>
      </c>
    </row>
    <row r="2759" spans="1:3">
      <c r="A2759" s="552" t="s">
        <v>3722</v>
      </c>
      <c r="B2759" s="553">
        <v>302</v>
      </c>
      <c r="C2759" s="553">
        <v>542</v>
      </c>
    </row>
    <row r="2760" spans="1:3">
      <c r="A2760" s="552" t="s">
        <v>3722</v>
      </c>
      <c r="B2760" s="553">
        <v>401</v>
      </c>
      <c r="C2760" s="553">
        <v>562</v>
      </c>
    </row>
    <row r="2761" spans="1:3">
      <c r="A2761" s="550" t="s">
        <v>3723</v>
      </c>
      <c r="B2761" s="551">
        <v>10</v>
      </c>
      <c r="C2761" s="551">
        <v>200</v>
      </c>
    </row>
    <row r="2762" spans="1:3">
      <c r="A2762" s="550" t="s">
        <v>3723</v>
      </c>
      <c r="B2762" s="551">
        <v>30</v>
      </c>
      <c r="C2762" s="551">
        <v>342</v>
      </c>
    </row>
    <row r="2763" spans="1:3">
      <c r="A2763" s="552" t="s">
        <v>3723</v>
      </c>
      <c r="B2763" s="553">
        <v>100</v>
      </c>
      <c r="C2763" s="553">
        <v>425</v>
      </c>
    </row>
    <row r="2764" spans="1:3">
      <c r="A2764" s="552" t="s">
        <v>3723</v>
      </c>
      <c r="B2764" s="553">
        <v>200</v>
      </c>
      <c r="C2764" s="553">
        <v>458</v>
      </c>
    </row>
    <row r="2765" spans="1:3">
      <c r="A2765" s="552" t="s">
        <v>3723</v>
      </c>
      <c r="B2765" s="553">
        <v>361</v>
      </c>
      <c r="C2765" s="553">
        <v>504</v>
      </c>
    </row>
    <row r="2766" spans="1:3">
      <c r="A2766" s="550" t="s">
        <v>3724</v>
      </c>
      <c r="B2766" s="551">
        <v>10</v>
      </c>
      <c r="C2766" s="551">
        <v>150</v>
      </c>
    </row>
    <row r="2767" spans="1:3">
      <c r="A2767" s="550" t="s">
        <v>3724</v>
      </c>
      <c r="B2767" s="551">
        <v>30</v>
      </c>
      <c r="C2767" s="551">
        <v>262</v>
      </c>
    </row>
    <row r="2768" spans="1:3">
      <c r="A2768" s="552" t="s">
        <v>3724</v>
      </c>
      <c r="B2768" s="553">
        <v>100</v>
      </c>
      <c r="C2768" s="553">
        <v>367</v>
      </c>
    </row>
    <row r="2769" spans="1:3">
      <c r="A2769" s="552" t="s">
        <v>3724</v>
      </c>
      <c r="B2769" s="553">
        <v>200</v>
      </c>
      <c r="C2769" s="553">
        <v>437</v>
      </c>
    </row>
    <row r="2770" spans="1:3">
      <c r="A2770" s="552" t="s">
        <v>3724</v>
      </c>
      <c r="B2770" s="553">
        <v>361</v>
      </c>
      <c r="C2770" s="553">
        <v>458</v>
      </c>
    </row>
    <row r="2771" spans="1:3">
      <c r="A2771" s="550" t="s">
        <v>3725</v>
      </c>
      <c r="B2771" s="551">
        <v>10</v>
      </c>
      <c r="C2771" s="551">
        <v>193</v>
      </c>
    </row>
    <row r="2772" spans="1:3">
      <c r="A2772" s="550" t="s">
        <v>3725</v>
      </c>
      <c r="B2772" s="551">
        <v>30</v>
      </c>
      <c r="C2772" s="551">
        <v>350</v>
      </c>
    </row>
    <row r="2773" spans="1:3">
      <c r="A2773" s="552" t="s">
        <v>3725</v>
      </c>
      <c r="B2773" s="553">
        <v>100</v>
      </c>
      <c r="C2773" s="553">
        <v>714</v>
      </c>
    </row>
    <row r="2774" spans="1:3">
      <c r="A2774" s="552" t="s">
        <v>3725</v>
      </c>
      <c r="B2774" s="553">
        <v>200</v>
      </c>
      <c r="C2774" s="553">
        <v>779</v>
      </c>
    </row>
    <row r="2775" spans="1:3">
      <c r="A2775" s="552" t="s">
        <v>3725</v>
      </c>
      <c r="B2775" s="553">
        <v>361</v>
      </c>
      <c r="C2775" s="553">
        <v>829</v>
      </c>
    </row>
    <row r="2776" spans="1:3">
      <c r="A2776" s="550" t="s">
        <v>3726</v>
      </c>
      <c r="B2776" s="551">
        <v>10</v>
      </c>
      <c r="C2776" s="551">
        <v>231</v>
      </c>
    </row>
    <row r="2777" spans="1:3">
      <c r="A2777" s="550" t="s">
        <v>3726</v>
      </c>
      <c r="B2777" s="551">
        <v>30</v>
      </c>
      <c r="C2777" s="551">
        <v>363</v>
      </c>
    </row>
    <row r="2778" spans="1:3">
      <c r="A2778" s="552" t="s">
        <v>3726</v>
      </c>
      <c r="B2778" s="553">
        <v>100</v>
      </c>
      <c r="C2778" s="553">
        <v>425</v>
      </c>
    </row>
    <row r="2779" spans="1:3">
      <c r="A2779" s="552" t="s">
        <v>3726</v>
      </c>
      <c r="B2779" s="553">
        <v>200</v>
      </c>
      <c r="C2779" s="553">
        <v>437</v>
      </c>
    </row>
    <row r="2780" spans="1:3">
      <c r="A2780" s="552" t="s">
        <v>3726</v>
      </c>
      <c r="B2780" s="553">
        <v>361</v>
      </c>
      <c r="C2780" s="553">
        <v>463</v>
      </c>
    </row>
    <row r="2781" spans="1:3">
      <c r="A2781" s="550" t="s">
        <v>3727</v>
      </c>
      <c r="B2781" s="551">
        <v>10</v>
      </c>
      <c r="C2781" s="551">
        <v>200</v>
      </c>
    </row>
    <row r="2782" spans="1:3">
      <c r="A2782" s="550" t="s">
        <v>3727</v>
      </c>
      <c r="B2782" s="551">
        <v>30</v>
      </c>
      <c r="C2782" s="551">
        <v>331</v>
      </c>
    </row>
    <row r="2783" spans="1:3">
      <c r="A2783" s="552" t="s">
        <v>3727</v>
      </c>
      <c r="B2783" s="553">
        <v>100</v>
      </c>
      <c r="C2783" s="553">
        <v>412</v>
      </c>
    </row>
    <row r="2784" spans="1:3">
      <c r="A2784" s="552" t="s">
        <v>3727</v>
      </c>
      <c r="B2784" s="553">
        <v>200</v>
      </c>
      <c r="C2784" s="553">
        <v>418</v>
      </c>
    </row>
    <row r="2785" spans="1:3">
      <c r="A2785" s="552" t="s">
        <v>3727</v>
      </c>
      <c r="B2785" s="553">
        <v>361</v>
      </c>
      <c r="C2785" s="553">
        <v>463</v>
      </c>
    </row>
    <row r="2786" spans="1:3">
      <c r="A2786" s="550" t="s">
        <v>3728</v>
      </c>
      <c r="B2786" s="551">
        <v>3</v>
      </c>
      <c r="C2786" s="551">
        <v>121</v>
      </c>
    </row>
    <row r="2787" spans="1:3">
      <c r="A2787" s="550" t="s">
        <v>3728</v>
      </c>
      <c r="B2787" s="551">
        <v>4</v>
      </c>
      <c r="C2787" s="551">
        <v>141</v>
      </c>
    </row>
    <row r="2788" spans="1:3">
      <c r="A2788" s="550" t="s">
        <v>3728</v>
      </c>
      <c r="B2788" s="551">
        <v>5</v>
      </c>
      <c r="C2788" s="551">
        <v>153</v>
      </c>
    </row>
    <row r="2789" spans="1:3">
      <c r="A2789" s="550" t="s">
        <v>3728</v>
      </c>
      <c r="B2789" s="551">
        <v>6</v>
      </c>
      <c r="C2789" s="551">
        <v>164</v>
      </c>
    </row>
    <row r="2790" spans="1:3">
      <c r="A2790" s="550" t="s">
        <v>3728</v>
      </c>
      <c r="B2790" s="551">
        <v>7</v>
      </c>
      <c r="C2790" s="551">
        <v>178</v>
      </c>
    </row>
    <row r="2791" spans="1:3">
      <c r="A2791" s="550" t="s">
        <v>3728</v>
      </c>
      <c r="B2791" s="551">
        <v>14</v>
      </c>
      <c r="C2791" s="551">
        <v>262</v>
      </c>
    </row>
    <row r="2792" spans="1:3">
      <c r="A2792" s="550" t="s">
        <v>3728</v>
      </c>
      <c r="B2792" s="551">
        <v>26</v>
      </c>
      <c r="C2792" s="551">
        <v>329</v>
      </c>
    </row>
    <row r="2793" spans="1:3">
      <c r="A2793" s="550" t="s">
        <v>3728</v>
      </c>
      <c r="B2793" s="551">
        <v>33</v>
      </c>
      <c r="C2793" s="551">
        <v>348</v>
      </c>
    </row>
    <row r="2794" spans="1:3">
      <c r="A2794" s="550" t="s">
        <v>1855</v>
      </c>
      <c r="B2794" s="551">
        <v>-5.8009999999999451E-3</v>
      </c>
      <c r="C2794" s="551">
        <v>145.74799999999999</v>
      </c>
    </row>
    <row r="2795" spans="1:3">
      <c r="A2795" s="550" t="s">
        <v>1855</v>
      </c>
      <c r="B2795" s="551">
        <v>0.29190000000000005</v>
      </c>
      <c r="C2795" s="551">
        <v>166.066</v>
      </c>
    </row>
    <row r="2796" spans="1:3">
      <c r="A2796" s="550" t="s">
        <v>1855</v>
      </c>
      <c r="B2796" s="551">
        <v>0.60942000000000007</v>
      </c>
      <c r="C2796" s="551">
        <v>188.41300000000001</v>
      </c>
    </row>
    <row r="2797" spans="1:3">
      <c r="A2797" s="550" t="s">
        <v>1855</v>
      </c>
      <c r="B2797" s="551">
        <v>0.98672000000000004</v>
      </c>
      <c r="C2797" s="551">
        <v>208.75200000000001</v>
      </c>
    </row>
    <row r="2798" spans="1:3">
      <c r="A2798" s="550" t="s">
        <v>1855</v>
      </c>
      <c r="B2798" s="551">
        <v>1.2846600000000001</v>
      </c>
      <c r="C2798" s="551">
        <v>222.99700000000001</v>
      </c>
    </row>
    <row r="2799" spans="1:3">
      <c r="A2799" s="550" t="s">
        <v>1855</v>
      </c>
      <c r="B2799" s="551">
        <v>1.6025800000000001</v>
      </c>
      <c r="C2799" s="551">
        <v>235.22300000000001</v>
      </c>
    </row>
    <row r="2800" spans="1:3">
      <c r="A2800" s="550" t="s">
        <v>1855</v>
      </c>
      <c r="B2800" s="551">
        <v>1.92042</v>
      </c>
      <c r="C2800" s="551">
        <v>249.47399999999999</v>
      </c>
    </row>
    <row r="2801" spans="1:3">
      <c r="A2801" s="550" t="s">
        <v>1855</v>
      </c>
      <c r="B2801" s="551">
        <v>2.2980399999999999</v>
      </c>
      <c r="C2801" s="551">
        <v>261.71499999999997</v>
      </c>
    </row>
    <row r="2802" spans="1:3">
      <c r="A2802" s="550" t="s">
        <v>1855</v>
      </c>
      <c r="B2802" s="551">
        <v>2.7153800000000001</v>
      </c>
      <c r="C2802" s="551">
        <v>275.99099999999999</v>
      </c>
    </row>
    <row r="2803" spans="1:3">
      <c r="A2803" s="550" t="s">
        <v>1855</v>
      </c>
      <c r="B2803" s="551">
        <v>3.0731099999999998</v>
      </c>
      <c r="C2803" s="551">
        <v>288.22699999999998</v>
      </c>
    </row>
    <row r="2804" spans="1:3">
      <c r="A2804" s="550" t="s">
        <v>1855</v>
      </c>
      <c r="B2804" s="551">
        <v>3.5104300000000004</v>
      </c>
      <c r="C2804" s="551">
        <v>300.483</v>
      </c>
    </row>
    <row r="2805" spans="1:3">
      <c r="A2805" s="550" t="s">
        <v>1855</v>
      </c>
      <c r="B2805" s="551">
        <v>3.86815</v>
      </c>
      <c r="C2805" s="551">
        <v>312.72000000000003</v>
      </c>
    </row>
    <row r="2806" spans="1:3">
      <c r="A2806" s="550" t="s">
        <v>1855</v>
      </c>
      <c r="B2806" s="551">
        <v>4.2659099999999999</v>
      </c>
      <c r="C2806" s="551">
        <v>318.89299999999997</v>
      </c>
    </row>
    <row r="2807" spans="1:3">
      <c r="A2807" s="550" t="s">
        <v>1855</v>
      </c>
      <c r="B2807" s="551">
        <v>4.6835800000000001</v>
      </c>
      <c r="C2807" s="551">
        <v>325.072</v>
      </c>
    </row>
    <row r="2808" spans="1:3">
      <c r="A2808" s="550" t="s">
        <v>1855</v>
      </c>
      <c r="B2808" s="551">
        <v>5.1213100000000003</v>
      </c>
      <c r="C2808" s="551">
        <v>327.20699999999999</v>
      </c>
    </row>
    <row r="2809" spans="1:3">
      <c r="A2809" s="550" t="s">
        <v>1855</v>
      </c>
      <c r="B2809" s="551">
        <v>5.5588699999999998</v>
      </c>
      <c r="C2809" s="551">
        <v>333.39</v>
      </c>
    </row>
    <row r="2810" spans="1:3">
      <c r="A2810" s="550" t="s">
        <v>1855</v>
      </c>
      <c r="B2810" s="551">
        <v>5.9765300000000003</v>
      </c>
      <c r="C2810" s="551">
        <v>339.56900000000002</v>
      </c>
    </row>
    <row r="2811" spans="1:3">
      <c r="A2811" s="550" t="s">
        <v>1855</v>
      </c>
      <c r="B2811" s="551">
        <v>6.4341600000000003</v>
      </c>
      <c r="C2811" s="551">
        <v>341.709</v>
      </c>
    </row>
    <row r="2812" spans="1:3">
      <c r="A2812" s="550" t="s">
        <v>1855</v>
      </c>
      <c r="B2812" s="551">
        <v>6.8915499999999996</v>
      </c>
      <c r="C2812" s="551">
        <v>349.92200000000003</v>
      </c>
    </row>
    <row r="2813" spans="1:3">
      <c r="A2813" s="550" t="s">
        <v>1855</v>
      </c>
      <c r="B2813" s="551">
        <v>7.3093699999999995</v>
      </c>
      <c r="C2813" s="551">
        <v>352.05200000000002</v>
      </c>
    </row>
    <row r="2814" spans="1:3">
      <c r="A2814" s="550" t="s">
        <v>1855</v>
      </c>
      <c r="B2814" s="551">
        <v>7.5480900000000002</v>
      </c>
      <c r="C2814" s="551">
        <v>354.137</v>
      </c>
    </row>
    <row r="2815" spans="1:3">
      <c r="A2815" s="550" t="s">
        <v>1855</v>
      </c>
      <c r="B2815" s="551">
        <v>7.7668400000000002</v>
      </c>
      <c r="C2815" s="551">
        <v>358.24099999999999</v>
      </c>
    </row>
    <row r="2816" spans="1:3">
      <c r="A2816" s="550" t="s">
        <v>1856</v>
      </c>
      <c r="B2816" s="551">
        <v>1.9980000000000109E-2</v>
      </c>
      <c r="C2816" s="551">
        <v>2.0192399999999999</v>
      </c>
    </row>
    <row r="2817" spans="1:3">
      <c r="A2817" s="550" t="s">
        <v>1856</v>
      </c>
      <c r="B2817" s="551">
        <v>0.33790000000000009</v>
      </c>
      <c r="C2817" s="551">
        <v>10.207000000000001</v>
      </c>
    </row>
    <row r="2818" spans="1:3">
      <c r="A2818" s="550" t="s">
        <v>1856</v>
      </c>
      <c r="B2818" s="551">
        <v>0.65589999999999993</v>
      </c>
      <c r="C2818" s="551">
        <v>20.408899999999999</v>
      </c>
    </row>
    <row r="2819" spans="1:3">
      <c r="A2819" s="550" t="s">
        <v>1856</v>
      </c>
      <c r="B2819" s="551">
        <v>1.01363</v>
      </c>
      <c r="C2819" s="551">
        <v>32.645099999999999</v>
      </c>
    </row>
    <row r="2820" spans="1:3">
      <c r="A2820" s="550" t="s">
        <v>1856</v>
      </c>
      <c r="B2820" s="551">
        <v>1.3316300000000001</v>
      </c>
      <c r="C2820" s="551">
        <v>42.847099999999998</v>
      </c>
    </row>
    <row r="2821" spans="1:3">
      <c r="A2821" s="550" t="s">
        <v>1856</v>
      </c>
      <c r="B2821" s="551">
        <v>1.66953</v>
      </c>
      <c r="C2821" s="551">
        <v>53.054000000000002</v>
      </c>
    </row>
    <row r="2822" spans="1:3">
      <c r="A2822" s="550" t="s">
        <v>1856</v>
      </c>
      <c r="B2822" s="551">
        <v>2.0471499999999998</v>
      </c>
      <c r="C2822" s="551">
        <v>65.295299999999997</v>
      </c>
    </row>
    <row r="2823" spans="1:3">
      <c r="A2823" s="550" t="s">
        <v>1856</v>
      </c>
      <c r="B2823" s="551">
        <v>2.3254299999999999</v>
      </c>
      <c r="C2823" s="551">
        <v>73.462900000000005</v>
      </c>
    </row>
    <row r="2824" spans="1:3">
      <c r="A2824" s="550" t="s">
        <v>1856</v>
      </c>
      <c r="B2824" s="551">
        <v>2.6833200000000001</v>
      </c>
      <c r="C2824" s="551">
        <v>81.650599999999997</v>
      </c>
    </row>
    <row r="2825" spans="1:3">
      <c r="A2825" s="550" t="s">
        <v>1856</v>
      </c>
      <c r="B2825" s="551">
        <v>2.9615999999999998</v>
      </c>
      <c r="C2825" s="551">
        <v>89.818200000000004</v>
      </c>
    </row>
    <row r="2826" spans="1:3">
      <c r="A2826" s="550" t="s">
        <v>1856</v>
      </c>
      <c r="B2826" s="551">
        <v>3.3393800000000002</v>
      </c>
      <c r="C2826" s="551">
        <v>98.010999999999996</v>
      </c>
    </row>
    <row r="2827" spans="1:3">
      <c r="A2827" s="550" t="s">
        <v>1856</v>
      </c>
      <c r="B2827" s="551">
        <v>3.69719</v>
      </c>
      <c r="C2827" s="551">
        <v>108.223</v>
      </c>
    </row>
    <row r="2828" spans="1:3">
      <c r="A2828" s="550" t="s">
        <v>1856</v>
      </c>
      <c r="B2828" s="551">
        <v>4.0153499999999998</v>
      </c>
      <c r="C2828" s="551">
        <v>114.376</v>
      </c>
    </row>
    <row r="2829" spans="1:3">
      <c r="A2829" s="550" t="s">
        <v>1856</v>
      </c>
      <c r="B2829" s="551">
        <v>4.3534899999999999</v>
      </c>
      <c r="C2829" s="551">
        <v>118.51</v>
      </c>
    </row>
    <row r="2830" spans="1:3">
      <c r="A2830" s="550" t="s">
        <v>1856</v>
      </c>
      <c r="B2830" s="551">
        <v>4.6916399999999996</v>
      </c>
      <c r="C2830" s="551">
        <v>122.645</v>
      </c>
    </row>
    <row r="2831" spans="1:3">
      <c r="A2831" s="550" t="s">
        <v>1856</v>
      </c>
      <c r="B2831" s="551">
        <v>5.0098000000000003</v>
      </c>
      <c r="C2831" s="551">
        <v>128.798</v>
      </c>
    </row>
    <row r="2832" spans="1:3">
      <c r="A2832" s="550" t="s">
        <v>1856</v>
      </c>
      <c r="B2832" s="551">
        <v>5.3680000000000003</v>
      </c>
      <c r="C2832" s="551">
        <v>128.88900000000001</v>
      </c>
    </row>
    <row r="2833" spans="1:3">
      <c r="A2833" s="550" t="s">
        <v>1856</v>
      </c>
      <c r="B2833" s="551">
        <v>5.6663500000000004</v>
      </c>
      <c r="C2833" s="551">
        <v>133.01300000000001</v>
      </c>
    </row>
    <row r="2834" spans="1:3">
      <c r="A2834" s="550" t="s">
        <v>1856</v>
      </c>
      <c r="B2834" s="551">
        <v>6.0044899999999997</v>
      </c>
      <c r="C2834" s="551">
        <v>137.14699999999999</v>
      </c>
    </row>
    <row r="2835" spans="1:3">
      <c r="A2835" s="550" t="s">
        <v>1856</v>
      </c>
      <c r="B2835" s="551">
        <v>6.3625400000000001</v>
      </c>
      <c r="C2835" s="551">
        <v>141.286</v>
      </c>
    </row>
    <row r="2836" spans="1:3">
      <c r="A2836" s="550" t="s">
        <v>1856</v>
      </c>
      <c r="B2836" s="551">
        <v>6.72058</v>
      </c>
      <c r="C2836" s="551">
        <v>145.42500000000001</v>
      </c>
    </row>
    <row r="2837" spans="1:3">
      <c r="A2837" s="550" t="s">
        <v>1856</v>
      </c>
      <c r="B2837" s="551">
        <v>7.0984400000000001</v>
      </c>
      <c r="C2837" s="551">
        <v>151.59399999999999</v>
      </c>
    </row>
    <row r="2838" spans="1:3">
      <c r="A2838" s="550" t="s">
        <v>1856</v>
      </c>
      <c r="B2838" s="551">
        <v>7.4365900000000007</v>
      </c>
      <c r="C2838" s="551">
        <v>155.72800000000001</v>
      </c>
    </row>
    <row r="2839" spans="1:3">
      <c r="A2839" s="550" t="s">
        <v>1856</v>
      </c>
      <c r="B2839" s="551">
        <v>7.6951300000000007</v>
      </c>
      <c r="C2839" s="551">
        <v>159.84200000000001</v>
      </c>
    </row>
    <row r="2840" spans="1:3">
      <c r="A2840" s="550" t="s">
        <v>1856</v>
      </c>
      <c r="B2840" s="551">
        <v>7.8741500000000002</v>
      </c>
      <c r="C2840" s="551">
        <v>161.911</v>
      </c>
    </row>
    <row r="2841" spans="1:3">
      <c r="A2841" s="550" t="s">
        <v>1857</v>
      </c>
      <c r="B2841" s="551">
        <v>-5.7199999999999473E-3</v>
      </c>
      <c r="C2841" s="551">
        <v>143.72300000000001</v>
      </c>
    </row>
    <row r="2842" spans="1:3">
      <c r="A2842" s="550" t="s">
        <v>1857</v>
      </c>
      <c r="B2842" s="551">
        <v>0.3708499999999999</v>
      </c>
      <c r="C2842" s="551">
        <v>182.28</v>
      </c>
    </row>
    <row r="2843" spans="1:3">
      <c r="A2843" s="550" t="s">
        <v>1857</v>
      </c>
      <c r="B2843" s="551">
        <v>0.68796999999999997</v>
      </c>
      <c r="C2843" s="551">
        <v>214.749</v>
      </c>
    </row>
    <row r="2844" spans="1:3">
      <c r="A2844" s="550" t="s">
        <v>1857</v>
      </c>
      <c r="B2844" s="551">
        <v>1.0250699999999999</v>
      </c>
      <c r="C2844" s="551">
        <v>245.19900000000001</v>
      </c>
    </row>
    <row r="2845" spans="1:3">
      <c r="A2845" s="550" t="s">
        <v>1857</v>
      </c>
      <c r="B2845" s="551">
        <v>1.36232</v>
      </c>
      <c r="C2845" s="551">
        <v>271.60000000000002</v>
      </c>
    </row>
    <row r="2846" spans="1:3">
      <c r="A2846" s="550" t="s">
        <v>1857</v>
      </c>
      <c r="B2846" s="551">
        <v>1.7591199999999998</v>
      </c>
      <c r="C2846" s="551">
        <v>302.065</v>
      </c>
    </row>
    <row r="2847" spans="1:3">
      <c r="A2847" s="550" t="s">
        <v>1857</v>
      </c>
      <c r="B2847" s="551">
        <v>2.2157</v>
      </c>
      <c r="C2847" s="551">
        <v>330.52</v>
      </c>
    </row>
    <row r="2848" spans="1:3">
      <c r="A2848" s="550" t="s">
        <v>1857</v>
      </c>
      <c r="B2848" s="551">
        <v>2.69218</v>
      </c>
      <c r="C2848" s="551">
        <v>358.98099999999999</v>
      </c>
    </row>
    <row r="2849" spans="1:3">
      <c r="A2849" s="550" t="s">
        <v>1857</v>
      </c>
      <c r="B2849" s="551">
        <v>3.1488399999999999</v>
      </c>
      <c r="C2849" s="551">
        <v>385.41199999999998</v>
      </c>
    </row>
    <row r="2850" spans="1:3">
      <c r="A2850" s="550" t="s">
        <v>1857</v>
      </c>
      <c r="B2850" s="551">
        <v>3.5458800000000004</v>
      </c>
      <c r="C2850" s="551">
        <v>409.80399999999997</v>
      </c>
    </row>
    <row r="2851" spans="1:3">
      <c r="A2851" s="550" t="s">
        <v>1857</v>
      </c>
      <c r="B2851" s="551">
        <v>3.8836199999999996</v>
      </c>
      <c r="C2851" s="551">
        <v>424.06</v>
      </c>
    </row>
    <row r="2852" spans="1:3">
      <c r="A2852" s="550" t="s">
        <v>1857</v>
      </c>
      <c r="B2852" s="551">
        <v>4.2214400000000003</v>
      </c>
      <c r="C2852" s="551">
        <v>436.291</v>
      </c>
    </row>
    <row r="2853" spans="1:3">
      <c r="A2853" s="550" t="s">
        <v>1857</v>
      </c>
      <c r="B2853" s="551">
        <v>4.4997999999999996</v>
      </c>
      <c r="C2853" s="551">
        <v>442.43400000000003</v>
      </c>
    </row>
    <row r="2854" spans="1:3">
      <c r="A2854" s="550" t="s">
        <v>1857</v>
      </c>
      <c r="B2854" s="551">
        <v>4.8577700000000004</v>
      </c>
      <c r="C2854" s="551">
        <v>448.59800000000001</v>
      </c>
    </row>
    <row r="2855" spans="1:3">
      <c r="A2855" s="550" t="s">
        <v>1857</v>
      </c>
      <c r="B2855" s="551">
        <v>5.2155699999999996</v>
      </c>
      <c r="C2855" s="551">
        <v>458.81</v>
      </c>
    </row>
    <row r="2856" spans="1:3">
      <c r="A2856" s="550" t="s">
        <v>1857</v>
      </c>
      <c r="B2856" s="551">
        <v>5.6331499999999997</v>
      </c>
      <c r="C2856" s="551">
        <v>467.012</v>
      </c>
    </row>
    <row r="2857" spans="1:3">
      <c r="A2857" s="550" t="s">
        <v>1857</v>
      </c>
      <c r="B2857" s="551">
        <v>6.0705600000000004</v>
      </c>
      <c r="C2857" s="551">
        <v>477.245</v>
      </c>
    </row>
    <row r="2858" spans="1:3">
      <c r="A2858" s="550" t="s">
        <v>1857</v>
      </c>
      <c r="B2858" s="551">
        <v>6.44834</v>
      </c>
      <c r="C2858" s="551">
        <v>485.43700000000001</v>
      </c>
    </row>
    <row r="2859" spans="1:3">
      <c r="A2859" s="550" t="s">
        <v>1857</v>
      </c>
      <c r="B2859" s="551">
        <v>6.8062199999999997</v>
      </c>
      <c r="C2859" s="551">
        <v>493.625</v>
      </c>
    </row>
    <row r="2860" spans="1:3">
      <c r="A2860" s="550" t="s">
        <v>1857</v>
      </c>
      <c r="B2860" s="551">
        <v>7.1839300000000001</v>
      </c>
      <c r="C2860" s="551">
        <v>503.84199999999998</v>
      </c>
    </row>
    <row r="2861" spans="1:3">
      <c r="A2861" s="550" t="s">
        <v>1857</v>
      </c>
      <c r="B2861" s="551">
        <v>7.5020900000000008</v>
      </c>
      <c r="C2861" s="551">
        <v>509.995</v>
      </c>
    </row>
    <row r="2862" spans="1:3">
      <c r="A2862" s="550" t="s">
        <v>1857</v>
      </c>
      <c r="B2862" s="551">
        <v>7.7605500000000003</v>
      </c>
      <c r="C2862" s="551">
        <v>516.13400000000001</v>
      </c>
    </row>
    <row r="2863" spans="1:3">
      <c r="A2863" s="550" t="s">
        <v>1857</v>
      </c>
      <c r="B2863" s="551">
        <v>7.91967</v>
      </c>
      <c r="C2863" s="551">
        <v>518.19799999999998</v>
      </c>
    </row>
    <row r="2864" spans="1:3">
      <c r="A2864" s="550" t="s">
        <v>1858</v>
      </c>
      <c r="B2864" s="551">
        <v>4.8399999999999554E-3</v>
      </c>
      <c r="C2864" s="551">
        <v>121.212</v>
      </c>
    </row>
    <row r="2865" spans="1:3">
      <c r="A2865" s="550" t="s">
        <v>1858</v>
      </c>
      <c r="B2865" s="551">
        <v>0.4444300000000001</v>
      </c>
      <c r="C2865" s="551">
        <v>138.52799999999999</v>
      </c>
    </row>
    <row r="2866" spans="1:3">
      <c r="A2866" s="550" t="s">
        <v>1858</v>
      </c>
      <c r="B2866" s="551">
        <v>0.9839500000000001</v>
      </c>
      <c r="C2866" s="551">
        <v>160.173</v>
      </c>
    </row>
    <row r="2867" spans="1:3">
      <c r="A2867" s="550" t="s">
        <v>1858</v>
      </c>
      <c r="B2867" s="551">
        <v>1.60344</v>
      </c>
      <c r="C2867" s="551">
        <v>186.14699999999999</v>
      </c>
    </row>
    <row r="2868" spans="1:3">
      <c r="A2868" s="550" t="s">
        <v>1858</v>
      </c>
      <c r="B2868" s="551">
        <v>2.1627299999999998</v>
      </c>
      <c r="C2868" s="551">
        <v>203.46299999999999</v>
      </c>
    </row>
    <row r="2869" spans="1:3">
      <c r="A2869" s="550" t="s">
        <v>1858</v>
      </c>
      <c r="B2869" s="551">
        <v>2.8418999999999999</v>
      </c>
      <c r="C2869" s="551">
        <v>225.108</v>
      </c>
    </row>
    <row r="2870" spans="1:3">
      <c r="A2870" s="550" t="s">
        <v>1858</v>
      </c>
      <c r="B2870" s="551">
        <v>3.4011100000000001</v>
      </c>
      <c r="C2870" s="551">
        <v>240.26</v>
      </c>
    </row>
    <row r="2871" spans="1:3">
      <c r="A2871" s="550" t="s">
        <v>1858</v>
      </c>
      <c r="B2871" s="551">
        <v>4.0003000000000002</v>
      </c>
      <c r="C2871" s="551">
        <v>257.57600000000002</v>
      </c>
    </row>
    <row r="2872" spans="1:3">
      <c r="A2872" s="550" t="s">
        <v>1858</v>
      </c>
      <c r="B2872" s="551">
        <v>4.7188499999999998</v>
      </c>
      <c r="C2872" s="551">
        <v>266.23399999999998</v>
      </c>
    </row>
    <row r="2873" spans="1:3">
      <c r="A2873" s="550" t="s">
        <v>1858</v>
      </c>
      <c r="B2873" s="551">
        <v>5.2977499999999997</v>
      </c>
      <c r="C2873" s="551">
        <v>274.892</v>
      </c>
    </row>
    <row r="2874" spans="1:3">
      <c r="A2874" s="550" t="s">
        <v>1858</v>
      </c>
      <c r="B2874" s="551">
        <v>5.9166400000000001</v>
      </c>
      <c r="C2874" s="551">
        <v>285.714</v>
      </c>
    </row>
    <row r="2875" spans="1:3">
      <c r="A2875" s="550" t="s">
        <v>1858</v>
      </c>
      <c r="B2875" s="551">
        <v>6.6351899999999997</v>
      </c>
      <c r="C2875" s="551">
        <v>294.37200000000001</v>
      </c>
    </row>
    <row r="2876" spans="1:3">
      <c r="A2876" s="550" t="s">
        <v>1858</v>
      </c>
      <c r="B2876" s="551">
        <v>7.2539899999999999</v>
      </c>
      <c r="C2876" s="551">
        <v>303.02999999999997</v>
      </c>
    </row>
    <row r="2877" spans="1:3">
      <c r="A2877" s="550" t="s">
        <v>1858</v>
      </c>
      <c r="B2877" s="551">
        <v>7.7131799999999995</v>
      </c>
      <c r="C2877" s="551">
        <v>311.68799999999999</v>
      </c>
    </row>
    <row r="2878" spans="1:3">
      <c r="A2878" s="550" t="s">
        <v>1858</v>
      </c>
      <c r="B2878" s="551">
        <v>7.9726199999999992</v>
      </c>
      <c r="C2878" s="551">
        <v>313.85300000000001</v>
      </c>
    </row>
    <row r="2879" spans="1:3">
      <c r="A2879" s="550" t="s">
        <v>1859</v>
      </c>
      <c r="B2879" s="551">
        <v>-8.6000000000030496E-5</v>
      </c>
      <c r="C2879" s="551">
        <v>2.1644999999999999</v>
      </c>
    </row>
    <row r="2880" spans="1:3">
      <c r="A2880" s="550" t="s">
        <v>1859</v>
      </c>
      <c r="B2880" s="551">
        <v>0.97910999999999992</v>
      </c>
      <c r="C2880" s="551">
        <v>38.960999999999999</v>
      </c>
    </row>
    <row r="2881" spans="1:3">
      <c r="A2881" s="550" t="s">
        <v>1859</v>
      </c>
      <c r="B2881" s="551">
        <v>1.8182299999999998</v>
      </c>
      <c r="C2881" s="551">
        <v>69.264099999999999</v>
      </c>
    </row>
    <row r="2882" spans="1:3">
      <c r="A2882" s="550" t="s">
        <v>1859</v>
      </c>
      <c r="B2882" s="551">
        <v>2.8368000000000002</v>
      </c>
      <c r="C2882" s="551">
        <v>97.402600000000007</v>
      </c>
    </row>
    <row r="2883" spans="1:3">
      <c r="A2883" s="550" t="s">
        <v>1859</v>
      </c>
      <c r="B2883" s="551">
        <v>3.7156500000000001</v>
      </c>
      <c r="C2883" s="551">
        <v>123.377</v>
      </c>
    </row>
    <row r="2884" spans="1:3">
      <c r="A2884" s="550" t="s">
        <v>1859</v>
      </c>
      <c r="B2884" s="551">
        <v>4.69381</v>
      </c>
      <c r="C2884" s="551">
        <v>138.52799999999999</v>
      </c>
    </row>
    <row r="2885" spans="1:3">
      <c r="A2885" s="550" t="s">
        <v>1859</v>
      </c>
      <c r="B2885" s="551">
        <v>5.5122799999999996</v>
      </c>
      <c r="C2885" s="551">
        <v>151.51499999999999</v>
      </c>
    </row>
    <row r="2886" spans="1:3">
      <c r="A2886" s="550" t="s">
        <v>1859</v>
      </c>
      <c r="B2886" s="551">
        <v>6.3704799999999997</v>
      </c>
      <c r="C2886" s="551">
        <v>160.173</v>
      </c>
    </row>
    <row r="2887" spans="1:3">
      <c r="A2887" s="550" t="s">
        <v>1859</v>
      </c>
      <c r="B2887" s="551">
        <v>7.3686799999999995</v>
      </c>
      <c r="C2887" s="551">
        <v>177.489</v>
      </c>
    </row>
    <row r="2888" spans="1:3">
      <c r="A2888" s="550" t="s">
        <v>1859</v>
      </c>
      <c r="B2888" s="551">
        <v>7.9277099999999994</v>
      </c>
      <c r="C2888" s="551">
        <v>188.31200000000001</v>
      </c>
    </row>
    <row r="2889" spans="1:3">
      <c r="A2889" s="550" t="s">
        <v>1860</v>
      </c>
      <c r="B2889" s="551">
        <v>-1.5113999999999961E-2</v>
      </c>
      <c r="C2889" s="551">
        <v>121.212</v>
      </c>
    </row>
    <row r="2890" spans="1:3">
      <c r="A2890" s="550" t="s">
        <v>1860</v>
      </c>
      <c r="B2890" s="551">
        <v>0.42517000000000005</v>
      </c>
      <c r="C2890" s="551">
        <v>155.84399999999999</v>
      </c>
    </row>
    <row r="2891" spans="1:3">
      <c r="A2891" s="550" t="s">
        <v>1860</v>
      </c>
      <c r="B2891" s="551">
        <v>0.80543000000000009</v>
      </c>
      <c r="C2891" s="551">
        <v>186.14699999999999</v>
      </c>
    </row>
    <row r="2892" spans="1:3">
      <c r="A2892" s="550" t="s">
        <v>1860</v>
      </c>
      <c r="B2892" s="551">
        <v>1.1457099999999998</v>
      </c>
      <c r="C2892" s="551">
        <v>214.286</v>
      </c>
    </row>
    <row r="2893" spans="1:3">
      <c r="A2893" s="550" t="s">
        <v>1860</v>
      </c>
      <c r="B2893" s="551">
        <v>1.5258799999999999</v>
      </c>
      <c r="C2893" s="551">
        <v>242.42400000000001</v>
      </c>
    </row>
    <row r="2894" spans="1:3">
      <c r="A2894" s="550" t="s">
        <v>1860</v>
      </c>
      <c r="B2894" s="551">
        <v>1.9259200000000001</v>
      </c>
      <c r="C2894" s="551">
        <v>268.39800000000002</v>
      </c>
    </row>
    <row r="2895" spans="1:3">
      <c r="A2895" s="550" t="s">
        <v>1860</v>
      </c>
      <c r="B2895" s="551">
        <v>2.3060100000000001</v>
      </c>
      <c r="C2895" s="551">
        <v>294.37200000000001</v>
      </c>
    </row>
    <row r="2896" spans="1:3">
      <c r="A2896" s="550" t="s">
        <v>1860</v>
      </c>
      <c r="B2896" s="551">
        <v>2.6458499999999998</v>
      </c>
      <c r="C2896" s="551">
        <v>311.68799999999999</v>
      </c>
    </row>
    <row r="2897" spans="1:3">
      <c r="A2897" s="550" t="s">
        <v>1860</v>
      </c>
      <c r="B2897" s="551">
        <v>3.0257699999999996</v>
      </c>
      <c r="C2897" s="551">
        <v>333.33300000000003</v>
      </c>
    </row>
    <row r="2898" spans="1:3">
      <c r="A2898" s="550" t="s">
        <v>1860</v>
      </c>
      <c r="B2898" s="551">
        <v>3.4257200000000001</v>
      </c>
      <c r="C2898" s="551">
        <v>357.14299999999997</v>
      </c>
    </row>
    <row r="2899" spans="1:3">
      <c r="A2899" s="550" t="s">
        <v>1860</v>
      </c>
      <c r="B2899" s="551">
        <v>3.82559</v>
      </c>
      <c r="C2899" s="551">
        <v>378.78800000000001</v>
      </c>
    </row>
    <row r="2900" spans="1:3">
      <c r="A2900" s="550" t="s">
        <v>1860</v>
      </c>
      <c r="B2900" s="551">
        <v>4.1852099999999997</v>
      </c>
      <c r="C2900" s="551">
        <v>391.77499999999998</v>
      </c>
    </row>
    <row r="2901" spans="1:3">
      <c r="A2901" s="550" t="s">
        <v>1860</v>
      </c>
      <c r="B2901" s="551">
        <v>4.7045199999999996</v>
      </c>
      <c r="C2901" s="551">
        <v>406.92599999999999</v>
      </c>
    </row>
    <row r="2902" spans="1:3">
      <c r="A2902" s="550" t="s">
        <v>1860</v>
      </c>
      <c r="B2902" s="551">
        <v>5.3836000000000004</v>
      </c>
      <c r="C2902" s="551">
        <v>426.40699999999998</v>
      </c>
    </row>
    <row r="2903" spans="1:3">
      <c r="A2903" s="550" t="s">
        <v>1860</v>
      </c>
      <c r="B2903" s="551">
        <v>5.92286</v>
      </c>
      <c r="C2903" s="551">
        <v>441.55799999999999</v>
      </c>
    </row>
    <row r="2904" spans="1:3">
      <c r="A2904" s="550" t="s">
        <v>1860</v>
      </c>
      <c r="B2904" s="551">
        <v>6.4422499999999996</v>
      </c>
      <c r="C2904" s="551">
        <v>458.87400000000002</v>
      </c>
    </row>
    <row r="2905" spans="1:3">
      <c r="A2905" s="550" t="s">
        <v>1860</v>
      </c>
      <c r="B2905" s="551">
        <v>6.9415199999999997</v>
      </c>
      <c r="C2905" s="551">
        <v>471.86099999999999</v>
      </c>
    </row>
    <row r="2906" spans="1:3">
      <c r="A2906" s="550" t="s">
        <v>1860</v>
      </c>
      <c r="B2906" s="551">
        <v>7.4208400000000001</v>
      </c>
      <c r="C2906" s="551">
        <v>484.84800000000001</v>
      </c>
    </row>
    <row r="2907" spans="1:3">
      <c r="A2907" s="550" t="s">
        <v>1860</v>
      </c>
      <c r="B2907" s="551">
        <v>7.7604299999999995</v>
      </c>
      <c r="C2907" s="551">
        <v>495.67099999999999</v>
      </c>
    </row>
    <row r="2908" spans="1:3">
      <c r="A2908" s="550" t="s">
        <v>1860</v>
      </c>
      <c r="B2908" s="551">
        <v>7.9800500000000003</v>
      </c>
      <c r="C2908" s="551">
        <v>500</v>
      </c>
    </row>
    <row r="2909" spans="1:3">
      <c r="A2909" s="550" t="s">
        <v>1861</v>
      </c>
      <c r="B2909" s="551">
        <v>-1.4612999999999987E-2</v>
      </c>
      <c r="C2909" s="551">
        <v>107.28700000000001</v>
      </c>
    </row>
    <row r="2910" spans="1:3">
      <c r="A2910" s="550" t="s">
        <v>1861</v>
      </c>
      <c r="B2910" s="551">
        <v>0.60024000000000011</v>
      </c>
      <c r="C2910" s="551">
        <v>131.57900000000001</v>
      </c>
    </row>
    <row r="2911" spans="1:3">
      <c r="A2911" s="550" t="s">
        <v>1861</v>
      </c>
      <c r="B2911" s="551">
        <v>1.1403799999999999</v>
      </c>
      <c r="C2911" s="551">
        <v>147.773</v>
      </c>
    </row>
    <row r="2912" spans="1:3">
      <c r="A2912" s="550" t="s">
        <v>1861</v>
      </c>
      <c r="B2912" s="551">
        <v>1.6804399999999999</v>
      </c>
      <c r="C2912" s="551">
        <v>161.94300000000001</v>
      </c>
    </row>
    <row r="2913" spans="1:3">
      <c r="A2913" s="550" t="s">
        <v>1861</v>
      </c>
      <c r="B2913" s="551">
        <v>2.2576399999999999</v>
      </c>
      <c r="C2913" s="551">
        <v>174.089</v>
      </c>
    </row>
    <row r="2914" spans="1:3">
      <c r="A2914" s="550" t="s">
        <v>1861</v>
      </c>
      <c r="B2914" s="551">
        <v>2.81623</v>
      </c>
      <c r="C2914" s="551">
        <v>186.23500000000001</v>
      </c>
    </row>
    <row r="2915" spans="1:3">
      <c r="A2915" s="550" t="s">
        <v>1861</v>
      </c>
      <c r="B2915" s="551">
        <v>3.3561399999999999</v>
      </c>
      <c r="C2915" s="551">
        <v>196.35599999999999</v>
      </c>
    </row>
    <row r="2916" spans="1:3">
      <c r="A2916" s="550" t="s">
        <v>1861</v>
      </c>
      <c r="B2916" s="551">
        <v>3.8588500000000003</v>
      </c>
      <c r="C2916" s="551">
        <v>206.47800000000001</v>
      </c>
    </row>
    <row r="2917" spans="1:3">
      <c r="A2917" s="550" t="s">
        <v>1861</v>
      </c>
      <c r="B2917" s="551">
        <v>4.3800800000000004</v>
      </c>
      <c r="C2917" s="551">
        <v>214.57499999999999</v>
      </c>
    </row>
    <row r="2918" spans="1:3">
      <c r="A2918" s="550" t="s">
        <v>1861</v>
      </c>
      <c r="B2918" s="551">
        <v>4.9757300000000004</v>
      </c>
      <c r="C2918" s="551">
        <v>222.672</v>
      </c>
    </row>
    <row r="2919" spans="1:3">
      <c r="A2919" s="550" t="s">
        <v>1861</v>
      </c>
      <c r="B2919" s="551">
        <v>5.53409</v>
      </c>
      <c r="C2919" s="551">
        <v>228.745</v>
      </c>
    </row>
    <row r="2920" spans="1:3">
      <c r="A2920" s="550" t="s">
        <v>1861</v>
      </c>
      <c r="B2920" s="551">
        <v>6.1111399999999998</v>
      </c>
      <c r="C2920" s="551">
        <v>236.84200000000001</v>
      </c>
    </row>
    <row r="2921" spans="1:3">
      <c r="A2921" s="550" t="s">
        <v>1861</v>
      </c>
      <c r="B2921" s="551">
        <v>6.7439999999999998</v>
      </c>
      <c r="C2921" s="551">
        <v>244.93899999999999</v>
      </c>
    </row>
    <row r="2922" spans="1:3">
      <c r="A2922" s="550" t="s">
        <v>1861</v>
      </c>
      <c r="B2922" s="551">
        <v>7.2837599999999991</v>
      </c>
      <c r="C2922" s="551">
        <v>251.012</v>
      </c>
    </row>
    <row r="2923" spans="1:3">
      <c r="A2923" s="550" t="s">
        <v>1861</v>
      </c>
      <c r="B2923" s="551">
        <v>7.6746800000000004</v>
      </c>
      <c r="C2923" s="551">
        <v>257.08499999999998</v>
      </c>
    </row>
    <row r="2924" spans="1:3">
      <c r="A2924" s="550" t="s">
        <v>1861</v>
      </c>
      <c r="B2924" s="551">
        <v>7.9911100000000008</v>
      </c>
      <c r="C2924" s="551">
        <v>261.13400000000001</v>
      </c>
    </row>
    <row r="2925" spans="1:3">
      <c r="A2925" s="550" t="s">
        <v>1862</v>
      </c>
      <c r="B2925" s="551">
        <v>-7.5000000000047251E-5</v>
      </c>
      <c r="C2925" s="551">
        <v>2.0242900000000001</v>
      </c>
    </row>
    <row r="2926" spans="1:3">
      <c r="A2926" s="550" t="s">
        <v>1862</v>
      </c>
      <c r="B2926" s="551">
        <v>0.54028999999999994</v>
      </c>
      <c r="C2926" s="551">
        <v>20.242899999999999</v>
      </c>
    </row>
    <row r="2927" spans="1:3">
      <c r="A2927" s="550" t="s">
        <v>1862</v>
      </c>
      <c r="B2927" s="551">
        <v>1.0432899999999998</v>
      </c>
      <c r="C2927" s="551">
        <v>38.461500000000001</v>
      </c>
    </row>
    <row r="2928" spans="1:3">
      <c r="A2928" s="550" t="s">
        <v>1862</v>
      </c>
      <c r="B2928" s="551">
        <v>1.6396899999999999</v>
      </c>
      <c r="C2928" s="551">
        <v>66.801599999999993</v>
      </c>
    </row>
    <row r="2929" spans="1:3">
      <c r="A2929" s="550" t="s">
        <v>1862</v>
      </c>
      <c r="B2929" s="551">
        <v>2.1801300000000001</v>
      </c>
      <c r="C2929" s="551">
        <v>91.093100000000007</v>
      </c>
    </row>
    <row r="2930" spans="1:3">
      <c r="A2930" s="550" t="s">
        <v>1862</v>
      </c>
      <c r="B2930" s="551">
        <v>2.7203499999999998</v>
      </c>
      <c r="C2930" s="551">
        <v>109.312</v>
      </c>
    </row>
    <row r="2931" spans="1:3">
      <c r="A2931" s="550" t="s">
        <v>1862</v>
      </c>
      <c r="B2931" s="551">
        <v>3.2047499999999998</v>
      </c>
      <c r="C2931" s="551">
        <v>127.53</v>
      </c>
    </row>
    <row r="2932" spans="1:3">
      <c r="A2932" s="550" t="s">
        <v>1862</v>
      </c>
      <c r="B2932" s="551">
        <v>3.7077499999999999</v>
      </c>
      <c r="C2932" s="551">
        <v>145.749</v>
      </c>
    </row>
    <row r="2933" spans="1:3">
      <c r="A2933" s="550" t="s">
        <v>1862</v>
      </c>
      <c r="B2933" s="551">
        <v>4.0244</v>
      </c>
      <c r="C2933" s="551">
        <v>155.87</v>
      </c>
    </row>
    <row r="2934" spans="1:3">
      <c r="A2934" s="550" t="s">
        <v>1862</v>
      </c>
      <c r="B2934" s="551">
        <v>4.3967999999999998</v>
      </c>
      <c r="C2934" s="551">
        <v>163.96799999999999</v>
      </c>
    </row>
    <row r="2935" spans="1:3">
      <c r="A2935" s="550" t="s">
        <v>1862</v>
      </c>
      <c r="B2935" s="551">
        <v>4.9177999999999997</v>
      </c>
      <c r="C2935" s="551">
        <v>165.99199999999999</v>
      </c>
    </row>
    <row r="2936" spans="1:3">
      <c r="A2936" s="550" t="s">
        <v>1862</v>
      </c>
      <c r="B2936" s="551">
        <v>5.5506599999999997</v>
      </c>
      <c r="C2936" s="551">
        <v>174.089</v>
      </c>
    </row>
    <row r="2937" spans="1:3">
      <c r="A2937" s="550" t="s">
        <v>1862</v>
      </c>
      <c r="B2937" s="551">
        <v>6.2206599999999996</v>
      </c>
      <c r="C2937" s="551">
        <v>180.16200000000001</v>
      </c>
    </row>
    <row r="2938" spans="1:3">
      <c r="A2938" s="550" t="s">
        <v>1862</v>
      </c>
      <c r="B2938" s="551">
        <v>7.0396400000000003</v>
      </c>
      <c r="C2938" s="551">
        <v>190.28299999999999</v>
      </c>
    </row>
    <row r="2939" spans="1:3">
      <c r="A2939" s="550" t="s">
        <v>1862</v>
      </c>
      <c r="B2939" s="551">
        <v>7.5049100000000006</v>
      </c>
      <c r="C2939" s="551">
        <v>194.33199999999999</v>
      </c>
    </row>
    <row r="2940" spans="1:3">
      <c r="A2940" s="550" t="s">
        <v>1862</v>
      </c>
      <c r="B2940" s="551">
        <v>7.8956800000000005</v>
      </c>
      <c r="C2940" s="551">
        <v>196.35599999999999</v>
      </c>
    </row>
    <row r="2941" spans="1:3">
      <c r="A2941" s="550" t="s">
        <v>1863</v>
      </c>
      <c r="B2941" s="551">
        <v>4.1400000000000325E-3</v>
      </c>
      <c r="C2941" s="551">
        <v>111.336</v>
      </c>
    </row>
    <row r="2942" spans="1:3">
      <c r="A2942" s="550" t="s">
        <v>1863</v>
      </c>
      <c r="B2942" s="551">
        <v>0.61959999999999993</v>
      </c>
      <c r="C2942" s="551">
        <v>151.822</v>
      </c>
    </row>
    <row r="2943" spans="1:3">
      <c r="A2943" s="550" t="s">
        <v>1863</v>
      </c>
      <c r="B2943" s="551">
        <v>1.1046800000000001</v>
      </c>
      <c r="C2943" s="551">
        <v>188.25899999999999</v>
      </c>
    </row>
    <row r="2944" spans="1:3">
      <c r="A2944" s="550" t="s">
        <v>1863</v>
      </c>
      <c r="B2944" s="551">
        <v>1.6830099999999999</v>
      </c>
      <c r="C2944" s="551">
        <v>230.76900000000001</v>
      </c>
    </row>
    <row r="2945" spans="1:3">
      <c r="A2945" s="550" t="s">
        <v>1863</v>
      </c>
      <c r="B2945" s="551">
        <v>2.1866099999999999</v>
      </c>
      <c r="C2945" s="551">
        <v>265.18200000000002</v>
      </c>
    </row>
    <row r="2946" spans="1:3">
      <c r="A2946" s="550" t="s">
        <v>1863</v>
      </c>
      <c r="B2946" s="551">
        <v>2.7086000000000001</v>
      </c>
      <c r="C2946" s="551">
        <v>293.52199999999999</v>
      </c>
    </row>
    <row r="2947" spans="1:3">
      <c r="A2947" s="550" t="s">
        <v>1863</v>
      </c>
      <c r="B2947" s="551">
        <v>3.2680199999999999</v>
      </c>
      <c r="C2947" s="551">
        <v>327.935</v>
      </c>
    </row>
    <row r="2948" spans="1:3">
      <c r="A2948" s="550" t="s">
        <v>1863</v>
      </c>
      <c r="B2948" s="551">
        <v>3.7526400000000004</v>
      </c>
      <c r="C2948" s="551">
        <v>352.22699999999998</v>
      </c>
    </row>
    <row r="2949" spans="1:3">
      <c r="A2949" s="550" t="s">
        <v>1863</v>
      </c>
      <c r="B2949" s="551">
        <v>4.1812300000000002</v>
      </c>
      <c r="C2949" s="551">
        <v>370.44499999999999</v>
      </c>
    </row>
    <row r="2950" spans="1:3">
      <c r="A2950" s="550" t="s">
        <v>1863</v>
      </c>
      <c r="B2950" s="551">
        <v>4.5909000000000004</v>
      </c>
      <c r="C2950" s="551">
        <v>380.56700000000001</v>
      </c>
    </row>
    <row r="2951" spans="1:3">
      <c r="A2951" s="550" t="s">
        <v>1863</v>
      </c>
      <c r="B2951" s="551">
        <v>5.1681800000000004</v>
      </c>
      <c r="C2951" s="551">
        <v>394.73700000000002</v>
      </c>
    </row>
    <row r="2952" spans="1:3">
      <c r="A2952" s="550" t="s">
        <v>1863</v>
      </c>
      <c r="B2952" s="551">
        <v>5.7268400000000002</v>
      </c>
      <c r="C2952" s="551">
        <v>408.90699999999998</v>
      </c>
    </row>
    <row r="2953" spans="1:3">
      <c r="A2953" s="550" t="s">
        <v>1863</v>
      </c>
      <c r="B2953" s="551">
        <v>6.3412499999999996</v>
      </c>
      <c r="C2953" s="551">
        <v>421.053</v>
      </c>
    </row>
    <row r="2954" spans="1:3">
      <c r="A2954" s="550" t="s">
        <v>1863</v>
      </c>
      <c r="B2954" s="551">
        <v>6.91852</v>
      </c>
      <c r="C2954" s="551">
        <v>435.22300000000001</v>
      </c>
    </row>
    <row r="2955" spans="1:3">
      <c r="A2955" s="550" t="s">
        <v>1863</v>
      </c>
      <c r="B2955" s="551">
        <v>7.4398999999999997</v>
      </c>
      <c r="C2955" s="551">
        <v>447.36799999999999</v>
      </c>
    </row>
    <row r="2956" spans="1:3">
      <c r="A2956" s="550" t="s">
        <v>1863</v>
      </c>
      <c r="B2956" s="551">
        <v>7.9426799999999993</v>
      </c>
      <c r="C2956" s="551">
        <v>459.51400000000001</v>
      </c>
    </row>
    <row r="2957" spans="1:3">
      <c r="A2957" s="550" t="s">
        <v>1864</v>
      </c>
      <c r="B2957" s="551">
        <v>4.4399999999999995E-3</v>
      </c>
      <c r="C2957" s="551">
        <v>119.43300000000001</v>
      </c>
    </row>
    <row r="2958" spans="1:3">
      <c r="A2958" s="550" t="s">
        <v>1864</v>
      </c>
      <c r="B2958" s="551">
        <v>0.3396300000000001</v>
      </c>
      <c r="C2958" s="551">
        <v>127.53</v>
      </c>
    </row>
    <row r="2959" spans="1:3">
      <c r="A2959" s="550" t="s">
        <v>1864</v>
      </c>
      <c r="B2959" s="551">
        <v>0.76798999999999995</v>
      </c>
      <c r="C2959" s="551">
        <v>139.67599999999999</v>
      </c>
    </row>
    <row r="2960" spans="1:3">
      <c r="A2960" s="550" t="s">
        <v>1864</v>
      </c>
      <c r="B2960" s="551">
        <v>1.17767</v>
      </c>
      <c r="C2960" s="551">
        <v>149.798</v>
      </c>
    </row>
    <row r="2961" spans="1:3">
      <c r="A2961" s="550" t="s">
        <v>1864</v>
      </c>
      <c r="B2961" s="551">
        <v>1.6060300000000001</v>
      </c>
      <c r="C2961" s="551">
        <v>161.94300000000001</v>
      </c>
    </row>
    <row r="2962" spans="1:3">
      <c r="A2962" s="550" t="s">
        <v>1864</v>
      </c>
      <c r="B2962" s="551">
        <v>2.1272600000000002</v>
      </c>
      <c r="C2962" s="551">
        <v>170.04</v>
      </c>
    </row>
    <row r="2963" spans="1:3">
      <c r="A2963" s="550" t="s">
        <v>1864</v>
      </c>
      <c r="B2963" s="551">
        <v>2.6300300000000001</v>
      </c>
      <c r="C2963" s="551">
        <v>182.18600000000001</v>
      </c>
    </row>
    <row r="2964" spans="1:3">
      <c r="A2964" s="550" t="s">
        <v>1864</v>
      </c>
      <c r="B2964" s="551">
        <v>3.1884800000000002</v>
      </c>
      <c r="C2964" s="551">
        <v>190.28299999999999</v>
      </c>
    </row>
    <row r="2965" spans="1:3">
      <c r="A2965" s="550" t="s">
        <v>1864</v>
      </c>
      <c r="B2965" s="551">
        <v>3.6725000000000003</v>
      </c>
      <c r="C2965" s="551">
        <v>198.381</v>
      </c>
    </row>
    <row r="2966" spans="1:3">
      <c r="A2966" s="550" t="s">
        <v>1864</v>
      </c>
      <c r="B2966" s="551">
        <v>4.2682200000000003</v>
      </c>
      <c r="C2966" s="551">
        <v>208.50200000000001</v>
      </c>
    </row>
    <row r="2967" spans="1:3">
      <c r="A2967" s="550" t="s">
        <v>1864</v>
      </c>
      <c r="B2967" s="551">
        <v>4.8451199999999996</v>
      </c>
      <c r="C2967" s="551">
        <v>212.55099999999999</v>
      </c>
    </row>
    <row r="2968" spans="1:3">
      <c r="A2968" s="550" t="s">
        <v>1864</v>
      </c>
      <c r="B2968" s="551">
        <v>5.4034800000000001</v>
      </c>
      <c r="C2968" s="551">
        <v>218.62299999999999</v>
      </c>
    </row>
    <row r="2969" spans="1:3">
      <c r="A2969" s="550" t="s">
        <v>1864</v>
      </c>
      <c r="B2969" s="551">
        <v>5.8130100000000002</v>
      </c>
      <c r="C2969" s="551">
        <v>224.696</v>
      </c>
    </row>
    <row r="2970" spans="1:3">
      <c r="A2970" s="550" t="s">
        <v>1864</v>
      </c>
      <c r="B2970" s="551">
        <v>6.3526999999999996</v>
      </c>
      <c r="C2970" s="551">
        <v>228.745</v>
      </c>
    </row>
    <row r="2971" spans="1:3">
      <c r="A2971" s="550" t="s">
        <v>1864</v>
      </c>
      <c r="B2971" s="551">
        <v>6.8180399999999999</v>
      </c>
      <c r="C2971" s="551">
        <v>234.81800000000001</v>
      </c>
    </row>
    <row r="2972" spans="1:3">
      <c r="A2972" s="550" t="s">
        <v>1864</v>
      </c>
      <c r="B2972" s="551">
        <v>7.2833799999999993</v>
      </c>
      <c r="C2972" s="551">
        <v>240.89099999999999</v>
      </c>
    </row>
    <row r="2973" spans="1:3">
      <c r="A2973" s="550" t="s">
        <v>1864</v>
      </c>
      <c r="B2973" s="551">
        <v>7.6928300000000007</v>
      </c>
      <c r="C2973" s="551">
        <v>244.93899999999999</v>
      </c>
    </row>
    <row r="2974" spans="1:3">
      <c r="A2974" s="550" t="s">
        <v>1864</v>
      </c>
      <c r="B2974" s="551">
        <v>7.9720600000000008</v>
      </c>
      <c r="C2974" s="551">
        <v>248.988</v>
      </c>
    </row>
    <row r="2975" spans="1:3">
      <c r="A2975" s="550" t="s">
        <v>1865</v>
      </c>
      <c r="B2975" s="551">
        <v>1.859999999999995E-2</v>
      </c>
      <c r="C2975" s="551">
        <v>0</v>
      </c>
    </row>
    <row r="2976" spans="1:3">
      <c r="A2976" s="550" t="s">
        <v>1865</v>
      </c>
      <c r="B2976" s="551">
        <v>0.44718999999999998</v>
      </c>
      <c r="C2976" s="551">
        <v>18.218599999999999</v>
      </c>
    </row>
    <row r="2977" spans="1:3">
      <c r="A2977" s="550" t="s">
        <v>1865</v>
      </c>
      <c r="B2977" s="551">
        <v>0.83857000000000004</v>
      </c>
      <c r="C2977" s="551">
        <v>36.437199999999997</v>
      </c>
    </row>
    <row r="2978" spans="1:3">
      <c r="A2978" s="550" t="s">
        <v>1865</v>
      </c>
      <c r="B2978" s="551">
        <v>1.22987</v>
      </c>
      <c r="C2978" s="551">
        <v>52.631599999999999</v>
      </c>
    </row>
    <row r="2979" spans="1:3">
      <c r="A2979" s="550" t="s">
        <v>1865</v>
      </c>
      <c r="B2979" s="551">
        <v>1.60256</v>
      </c>
      <c r="C2979" s="551">
        <v>68.825900000000004</v>
      </c>
    </row>
    <row r="2980" spans="1:3">
      <c r="A2980" s="550" t="s">
        <v>1865</v>
      </c>
      <c r="B2980" s="551">
        <v>2.0310700000000002</v>
      </c>
      <c r="C2980" s="551">
        <v>85.020200000000003</v>
      </c>
    </row>
    <row r="2981" spans="1:3">
      <c r="A2981" s="550" t="s">
        <v>1865</v>
      </c>
      <c r="B2981" s="551">
        <v>2.47811</v>
      </c>
      <c r="C2981" s="551">
        <v>99.190299999999993</v>
      </c>
    </row>
    <row r="2982" spans="1:3">
      <c r="A2982" s="550" t="s">
        <v>1865</v>
      </c>
      <c r="B2982" s="551">
        <v>2.9065400000000001</v>
      </c>
      <c r="C2982" s="551">
        <v>113.36</v>
      </c>
    </row>
    <row r="2983" spans="1:3">
      <c r="A2983" s="550" t="s">
        <v>1865</v>
      </c>
      <c r="B2983" s="551">
        <v>3.3721899999999998</v>
      </c>
      <c r="C2983" s="551">
        <v>127.53</v>
      </c>
    </row>
    <row r="2984" spans="1:3">
      <c r="A2984" s="550" t="s">
        <v>1865</v>
      </c>
      <c r="B2984" s="551">
        <v>3.8937200000000001</v>
      </c>
      <c r="C2984" s="551">
        <v>143.72499999999999</v>
      </c>
    </row>
    <row r="2985" spans="1:3">
      <c r="A2985" s="550" t="s">
        <v>1865</v>
      </c>
      <c r="B2985" s="551">
        <v>4.3778899999999998</v>
      </c>
      <c r="C2985" s="551">
        <v>155.87</v>
      </c>
    </row>
    <row r="2986" spans="1:3">
      <c r="A2986" s="550" t="s">
        <v>1865</v>
      </c>
      <c r="B2986" s="551">
        <v>4.8619199999999996</v>
      </c>
      <c r="C2986" s="551">
        <v>163.96799999999999</v>
      </c>
    </row>
    <row r="2987" spans="1:3">
      <c r="A2987" s="550" t="s">
        <v>1865</v>
      </c>
      <c r="B2987" s="551">
        <v>5.3458600000000001</v>
      </c>
      <c r="C2987" s="551">
        <v>170.04</v>
      </c>
    </row>
    <row r="2988" spans="1:3">
      <c r="A2988" s="550" t="s">
        <v>1865</v>
      </c>
      <c r="B2988" s="551">
        <v>5.8486399999999996</v>
      </c>
      <c r="C2988" s="551">
        <v>182.18600000000001</v>
      </c>
    </row>
    <row r="2989" spans="1:3">
      <c r="A2989" s="550" t="s">
        <v>1865</v>
      </c>
      <c r="B2989" s="551">
        <v>6.3512700000000004</v>
      </c>
      <c r="C2989" s="551">
        <v>190.28299999999999</v>
      </c>
    </row>
    <row r="2990" spans="1:3">
      <c r="A2990" s="550" t="s">
        <v>1865</v>
      </c>
      <c r="B2990" s="551">
        <v>6.8539700000000003</v>
      </c>
      <c r="C2990" s="551">
        <v>200.405</v>
      </c>
    </row>
    <row r="2991" spans="1:3">
      <c r="A2991" s="550" t="s">
        <v>1865</v>
      </c>
      <c r="B2991" s="551">
        <v>7.3565199999999997</v>
      </c>
      <c r="C2991" s="551">
        <v>206.47800000000001</v>
      </c>
    </row>
    <row r="2992" spans="1:3">
      <c r="A2992" s="550" t="s">
        <v>1865</v>
      </c>
      <c r="B2992" s="551">
        <v>7.7103099999999998</v>
      </c>
      <c r="C2992" s="551">
        <v>214.57499999999999</v>
      </c>
    </row>
    <row r="2993" spans="1:3">
      <c r="A2993" s="550" t="s">
        <v>1865</v>
      </c>
      <c r="B2993" s="551">
        <v>7.8778299999999994</v>
      </c>
      <c r="C2993" s="551">
        <v>216.59899999999999</v>
      </c>
    </row>
    <row r="2994" spans="1:3">
      <c r="A2994" s="550" t="s">
        <v>1866</v>
      </c>
      <c r="B2994" s="551">
        <v>4.289999999999905E-3</v>
      </c>
      <c r="C2994" s="551">
        <v>115.38500000000001</v>
      </c>
    </row>
    <row r="2995" spans="1:3">
      <c r="A2995" s="550" t="s">
        <v>1866</v>
      </c>
      <c r="B2995" s="551">
        <v>0.41480000000000006</v>
      </c>
      <c r="C2995" s="551">
        <v>147.773</v>
      </c>
    </row>
    <row r="2996" spans="1:3">
      <c r="A2996" s="550" t="s">
        <v>1866</v>
      </c>
      <c r="B2996" s="551">
        <v>0.99313000000000007</v>
      </c>
      <c r="C2996" s="551">
        <v>190.28299999999999</v>
      </c>
    </row>
    <row r="2997" spans="1:3">
      <c r="A2997" s="550" t="s">
        <v>1866</v>
      </c>
      <c r="B2997" s="551">
        <v>1.5526200000000001</v>
      </c>
      <c r="C2997" s="551">
        <v>226.721</v>
      </c>
    </row>
    <row r="2998" spans="1:3">
      <c r="A2998" s="550" t="s">
        <v>1866</v>
      </c>
      <c r="B2998" s="551">
        <v>2.1305700000000001</v>
      </c>
      <c r="C2998" s="551">
        <v>259.10899999999998</v>
      </c>
    </row>
    <row r="2999" spans="1:3">
      <c r="A2999" s="550" t="s">
        <v>1866</v>
      </c>
      <c r="B2999" s="551">
        <v>2.6712400000000001</v>
      </c>
      <c r="C2999" s="551">
        <v>289.47399999999999</v>
      </c>
    </row>
    <row r="3000" spans="1:3">
      <c r="A3000" s="550" t="s">
        <v>1866</v>
      </c>
      <c r="B3000" s="551">
        <v>3.3608099999999999</v>
      </c>
      <c r="C3000" s="551">
        <v>321.86200000000002</v>
      </c>
    </row>
    <row r="3001" spans="1:3">
      <c r="A3001" s="550" t="s">
        <v>1866</v>
      </c>
      <c r="B3001" s="551">
        <v>4.0317100000000003</v>
      </c>
      <c r="C3001" s="551">
        <v>352.22699999999998</v>
      </c>
    </row>
    <row r="3002" spans="1:3">
      <c r="A3002" s="550" t="s">
        <v>1866</v>
      </c>
      <c r="B3002" s="551">
        <v>4.7209099999999999</v>
      </c>
      <c r="C3002" s="551">
        <v>374.49400000000003</v>
      </c>
    </row>
    <row r="3003" spans="1:3">
      <c r="A3003" s="550" t="s">
        <v>1866</v>
      </c>
      <c r="B3003" s="551">
        <v>5.4658499999999997</v>
      </c>
      <c r="C3003" s="551">
        <v>394.73700000000002</v>
      </c>
    </row>
    <row r="3004" spans="1:3">
      <c r="A3004" s="550" t="s">
        <v>1866</v>
      </c>
      <c r="B3004" s="551">
        <v>6.1363000000000003</v>
      </c>
      <c r="C3004" s="551">
        <v>412.95499999999998</v>
      </c>
    </row>
    <row r="3005" spans="1:3">
      <c r="A3005" s="550" t="s">
        <v>1866</v>
      </c>
      <c r="B3005" s="551">
        <v>6.7882100000000003</v>
      </c>
      <c r="C3005" s="551">
        <v>433.19799999999998</v>
      </c>
    </row>
    <row r="3006" spans="1:3">
      <c r="A3006" s="550" t="s">
        <v>1866</v>
      </c>
      <c r="B3006" s="551">
        <v>7.3283500000000004</v>
      </c>
      <c r="C3006" s="551">
        <v>449.39299999999997</v>
      </c>
    </row>
    <row r="3007" spans="1:3">
      <c r="A3007" s="550" t="s">
        <v>1866</v>
      </c>
      <c r="B3007" s="551">
        <v>7.79392</v>
      </c>
      <c r="C3007" s="551">
        <v>461.53800000000001</v>
      </c>
    </row>
    <row r="3008" spans="1:3">
      <c r="A3008" s="550" t="s">
        <v>1866</v>
      </c>
      <c r="B3008" s="551">
        <v>7.9801900000000003</v>
      </c>
      <c r="C3008" s="551">
        <v>467.61099999999999</v>
      </c>
    </row>
    <row r="3009" spans="1:3">
      <c r="A3009" s="550" t="s">
        <v>1867</v>
      </c>
      <c r="B3009" s="551">
        <v>-1.4264000000000054E-2</v>
      </c>
      <c r="C3009" s="551">
        <v>116.663</v>
      </c>
    </row>
    <row r="3010" spans="1:3">
      <c r="A3010" s="550" t="s">
        <v>1867</v>
      </c>
      <c r="B3010" s="551">
        <v>0.50707999999999998</v>
      </c>
      <c r="C3010" s="551">
        <v>127.895</v>
      </c>
    </row>
    <row r="3011" spans="1:3">
      <c r="A3011" s="550" t="s">
        <v>1867</v>
      </c>
      <c r="B3011" s="551">
        <v>1.1587999999999998</v>
      </c>
      <c r="C3011" s="551">
        <v>142.86099999999999</v>
      </c>
    </row>
    <row r="3012" spans="1:3">
      <c r="A3012" s="550" t="s">
        <v>1867</v>
      </c>
      <c r="B3012" s="551">
        <v>1.77311</v>
      </c>
      <c r="C3012" s="551">
        <v>152.262</v>
      </c>
    </row>
    <row r="3013" spans="1:3">
      <c r="A3013" s="550" t="s">
        <v>1867</v>
      </c>
      <c r="B3013" s="551">
        <v>2.3315999999999999</v>
      </c>
      <c r="C3013" s="551">
        <v>161.65100000000001</v>
      </c>
    </row>
    <row r="3014" spans="1:3">
      <c r="A3014" s="550" t="s">
        <v>1867</v>
      </c>
      <c r="B3014" s="551">
        <v>3.0016499999999997</v>
      </c>
      <c r="C3014" s="551">
        <v>169.21299999999999</v>
      </c>
    </row>
    <row r="3015" spans="1:3">
      <c r="A3015" s="550" t="s">
        <v>1867</v>
      </c>
      <c r="B3015" s="551">
        <v>3.5787399999999998</v>
      </c>
      <c r="C3015" s="551">
        <v>178.60599999999999</v>
      </c>
    </row>
    <row r="3016" spans="1:3">
      <c r="A3016" s="550" t="s">
        <v>1867</v>
      </c>
      <c r="B3016" s="551">
        <v>4.1370199999999997</v>
      </c>
      <c r="C3016" s="551">
        <v>182.43899999999999</v>
      </c>
    </row>
    <row r="3017" spans="1:3">
      <c r="A3017" s="550" t="s">
        <v>1867</v>
      </c>
      <c r="B3017" s="551">
        <v>4.8256699999999997</v>
      </c>
      <c r="C3017" s="551">
        <v>190.006</v>
      </c>
    </row>
    <row r="3018" spans="1:3">
      <c r="A3018" s="550" t="s">
        <v>1867</v>
      </c>
      <c r="B3018" s="551">
        <v>5.4027000000000003</v>
      </c>
      <c r="C3018" s="551">
        <v>197.547</v>
      </c>
    </row>
    <row r="3019" spans="1:3">
      <c r="A3019" s="550" t="s">
        <v>1867</v>
      </c>
      <c r="B3019" s="551">
        <v>5.90524</v>
      </c>
      <c r="C3019" s="551">
        <v>203.21899999999999</v>
      </c>
    </row>
    <row r="3020" spans="1:3">
      <c r="A3020" s="550" t="s">
        <v>1867</v>
      </c>
      <c r="B3020" s="551">
        <v>6.38924</v>
      </c>
      <c r="C3020" s="551">
        <v>210.738</v>
      </c>
    </row>
    <row r="3021" spans="1:3">
      <c r="A3021" s="550" t="s">
        <v>1867</v>
      </c>
      <c r="B3021" s="551">
        <v>6.83596</v>
      </c>
      <c r="C3021" s="551">
        <v>216.39699999999999</v>
      </c>
    </row>
    <row r="3022" spans="1:3">
      <c r="A3022" s="550" t="s">
        <v>1867</v>
      </c>
      <c r="B3022" s="551">
        <v>7.31982</v>
      </c>
      <c r="C3022" s="551">
        <v>220.21299999999999</v>
      </c>
    </row>
    <row r="3023" spans="1:3">
      <c r="A3023" s="550" t="s">
        <v>1867</v>
      </c>
      <c r="B3023" s="551">
        <v>7.80382</v>
      </c>
      <c r="C3023" s="551">
        <v>227.732</v>
      </c>
    </row>
    <row r="3024" spans="1:3">
      <c r="A3024" s="550" t="s">
        <v>1867</v>
      </c>
      <c r="B3024" s="551">
        <v>7.9526599999999998</v>
      </c>
      <c r="C3024" s="551">
        <v>227.767</v>
      </c>
    </row>
    <row r="3025" spans="1:3">
      <c r="A3025" s="550" t="s">
        <v>1868</v>
      </c>
      <c r="B3025" s="551">
        <v>0</v>
      </c>
      <c r="C3025" s="551">
        <v>0</v>
      </c>
    </row>
    <row r="3026" spans="1:3">
      <c r="A3026" s="550" t="s">
        <v>1868</v>
      </c>
      <c r="B3026" s="551">
        <v>0.46608000000000005</v>
      </c>
      <c r="C3026" s="551">
        <v>26.033799999999999</v>
      </c>
    </row>
    <row r="3027" spans="1:3">
      <c r="A3027" s="550" t="s">
        <v>1868</v>
      </c>
      <c r="B3027" s="551">
        <v>0.91356999999999999</v>
      </c>
      <c r="C3027" s="551">
        <v>52.063299999999998</v>
      </c>
    </row>
    <row r="3028" spans="1:3">
      <c r="A3028" s="550" t="s">
        <v>1868</v>
      </c>
      <c r="B3028" s="551">
        <v>1.3423699999999998</v>
      </c>
      <c r="C3028" s="551">
        <v>76.236699999999999</v>
      </c>
    </row>
    <row r="3029" spans="1:3">
      <c r="A3029" s="550" t="s">
        <v>1868</v>
      </c>
      <c r="B3029" s="551">
        <v>1.8645499999999999</v>
      </c>
      <c r="C3029" s="551">
        <v>109.691</v>
      </c>
    </row>
    <row r="3030" spans="1:3">
      <c r="A3030" s="550" t="s">
        <v>1868</v>
      </c>
      <c r="B3030" s="551">
        <v>2.4048400000000001</v>
      </c>
      <c r="C3030" s="551">
        <v>130.18600000000001</v>
      </c>
    </row>
    <row r="3031" spans="1:3">
      <c r="A3031" s="550" t="s">
        <v>1868</v>
      </c>
      <c r="B3031" s="551">
        <v>3.0011599999999996</v>
      </c>
      <c r="C3031" s="551">
        <v>156.25</v>
      </c>
    </row>
    <row r="3032" spans="1:3">
      <c r="A3032" s="550" t="s">
        <v>1868</v>
      </c>
      <c r="B3032" s="551">
        <v>3.5043199999999999</v>
      </c>
      <c r="C3032" s="551">
        <v>178.589</v>
      </c>
    </row>
    <row r="3033" spans="1:3">
      <c r="A3033" s="550" t="s">
        <v>1868</v>
      </c>
      <c r="B3033" s="551">
        <v>4.0073400000000001</v>
      </c>
      <c r="C3033" s="551">
        <v>197.22399999999999</v>
      </c>
    </row>
    <row r="3034" spans="1:3">
      <c r="A3034" s="550" t="s">
        <v>1868</v>
      </c>
      <c r="B3034" s="551">
        <v>4.5471500000000002</v>
      </c>
      <c r="C3034" s="551">
        <v>204.756</v>
      </c>
    </row>
    <row r="3035" spans="1:3">
      <c r="A3035" s="550" t="s">
        <v>1868</v>
      </c>
      <c r="B3035" s="551">
        <v>5.2172000000000001</v>
      </c>
      <c r="C3035" s="551">
        <v>212.31899999999999</v>
      </c>
    </row>
    <row r="3036" spans="1:3">
      <c r="A3036" s="550" t="s">
        <v>1868</v>
      </c>
      <c r="B3036" s="551">
        <v>5.8126899999999999</v>
      </c>
      <c r="C3036" s="551">
        <v>216.16</v>
      </c>
    </row>
    <row r="3037" spans="1:3">
      <c r="A3037" s="550" t="s">
        <v>1868</v>
      </c>
      <c r="B3037" s="551">
        <v>6.4083199999999998</v>
      </c>
      <c r="C3037" s="551">
        <v>223.70599999999999</v>
      </c>
    </row>
    <row r="3038" spans="1:3">
      <c r="A3038" s="550" t="s">
        <v>1868</v>
      </c>
      <c r="B3038" s="551">
        <v>6.9109299999999996</v>
      </c>
      <c r="C3038" s="551">
        <v>231.22900000000001</v>
      </c>
    </row>
    <row r="3039" spans="1:3">
      <c r="A3039" s="550" t="s">
        <v>1868</v>
      </c>
      <c r="B3039" s="551">
        <v>7.4320000000000004</v>
      </c>
      <c r="C3039" s="551">
        <v>235.054</v>
      </c>
    </row>
    <row r="3040" spans="1:3">
      <c r="A3040" s="550" t="s">
        <v>1868</v>
      </c>
      <c r="B3040" s="551">
        <v>7.8971900000000002</v>
      </c>
      <c r="C3040" s="551">
        <v>237.01300000000001</v>
      </c>
    </row>
    <row r="3041" spans="1:3">
      <c r="A3041" s="550" t="s">
        <v>1869</v>
      </c>
      <c r="B3041" s="551">
        <v>4.410000000000025E-3</v>
      </c>
      <c r="C3041" s="551">
        <v>118.52</v>
      </c>
    </row>
    <row r="3042" spans="1:3">
      <c r="A3042" s="550" t="s">
        <v>1869</v>
      </c>
      <c r="B3042" s="551">
        <v>0.50825999999999993</v>
      </c>
      <c r="C3042" s="551">
        <v>159.37700000000001</v>
      </c>
    </row>
    <row r="3043" spans="1:3">
      <c r="A3043" s="550" t="s">
        <v>1869</v>
      </c>
      <c r="B3043" s="551">
        <v>0.91880000000000006</v>
      </c>
      <c r="C3043" s="551">
        <v>192.80500000000001</v>
      </c>
    </row>
    <row r="3044" spans="1:3">
      <c r="A3044" s="550" t="s">
        <v>1869</v>
      </c>
      <c r="B3044" s="551">
        <v>1.34795</v>
      </c>
      <c r="C3044" s="551">
        <v>226.238</v>
      </c>
    </row>
    <row r="3045" spans="1:3">
      <c r="A3045" s="550" t="s">
        <v>1869</v>
      </c>
      <c r="B3045" s="551">
        <v>1.7955700000000001</v>
      </c>
      <c r="C3045" s="551">
        <v>255.971</v>
      </c>
    </row>
    <row r="3046" spans="1:3">
      <c r="A3046" s="550" t="s">
        <v>1869</v>
      </c>
      <c r="B3046" s="551">
        <v>2.26179</v>
      </c>
      <c r="C3046" s="551">
        <v>285.709</v>
      </c>
    </row>
    <row r="3047" spans="1:3">
      <c r="A3047" s="550" t="s">
        <v>1869</v>
      </c>
      <c r="B3047" s="551">
        <v>2.78383</v>
      </c>
      <c r="C3047" s="551">
        <v>315.459</v>
      </c>
    </row>
    <row r="3048" spans="1:3">
      <c r="A3048" s="550" t="s">
        <v>1869</v>
      </c>
      <c r="B3048" s="551">
        <v>3.2313799999999997</v>
      </c>
      <c r="C3048" s="551">
        <v>343.34100000000001</v>
      </c>
    </row>
    <row r="3049" spans="1:3">
      <c r="A3049" s="550" t="s">
        <v>1869</v>
      </c>
      <c r="B3049" s="551">
        <v>3.7532100000000002</v>
      </c>
      <c r="C3049" s="551">
        <v>367.53500000000003</v>
      </c>
    </row>
    <row r="3050" spans="1:3">
      <c r="A3050" s="550" t="s">
        <v>1869</v>
      </c>
      <c r="B3050" s="551">
        <v>4.2190200000000004</v>
      </c>
      <c r="C3050" s="551">
        <v>386.16199999999998</v>
      </c>
    </row>
    <row r="3051" spans="1:3">
      <c r="A3051" s="550" t="s">
        <v>1869</v>
      </c>
      <c r="B3051" s="551">
        <v>4.7961799999999997</v>
      </c>
      <c r="C3051" s="551">
        <v>397.40699999999998</v>
      </c>
    </row>
    <row r="3052" spans="1:3">
      <c r="A3052" s="550" t="s">
        <v>1869</v>
      </c>
      <c r="B3052" s="551">
        <v>5.3175299999999996</v>
      </c>
      <c r="C3052" s="551">
        <v>408.63799999999998</v>
      </c>
    </row>
    <row r="3053" spans="1:3">
      <c r="A3053" s="550" t="s">
        <v>1869</v>
      </c>
      <c r="B3053" s="551">
        <v>5.9505100000000004</v>
      </c>
      <c r="C3053" s="551">
        <v>419.89600000000002</v>
      </c>
    </row>
    <row r="3054" spans="1:3">
      <c r="A3054" s="550" t="s">
        <v>1869</v>
      </c>
      <c r="B3054" s="551">
        <v>6.5277399999999997</v>
      </c>
      <c r="C3054" s="551">
        <v>432.99299999999999</v>
      </c>
    </row>
    <row r="3055" spans="1:3">
      <c r="A3055" s="550" t="s">
        <v>1869</v>
      </c>
      <c r="B3055" s="551">
        <v>7.1793899999999997</v>
      </c>
      <c r="C3055" s="551">
        <v>446.10599999999999</v>
      </c>
    </row>
    <row r="3056" spans="1:3">
      <c r="A3056" s="550" t="s">
        <v>1869</v>
      </c>
      <c r="B3056" s="551">
        <v>7.6821999999999999</v>
      </c>
      <c r="C3056" s="551">
        <v>459.18599999999998</v>
      </c>
    </row>
    <row r="3057" spans="1:3">
      <c r="A3057" s="550" t="s">
        <v>1869</v>
      </c>
      <c r="B3057" s="551">
        <v>7.9614100000000008</v>
      </c>
      <c r="C3057" s="551">
        <v>462.95400000000001</v>
      </c>
    </row>
    <row r="3058" spans="1:3">
      <c r="A3058" s="550" t="s">
        <v>277</v>
      </c>
      <c r="B3058" s="551">
        <v>-8.8800000000000003E-16</v>
      </c>
      <c r="C3058" s="551">
        <v>5.6800000000000002E-14</v>
      </c>
    </row>
    <row r="3059" spans="1:3">
      <c r="A3059" s="550" t="s">
        <v>277</v>
      </c>
      <c r="B3059" s="551">
        <v>2.0611799999999998</v>
      </c>
      <c r="C3059" s="551">
        <v>31.215</v>
      </c>
    </row>
    <row r="3060" spans="1:3">
      <c r="A3060" s="550" t="s">
        <v>277</v>
      </c>
      <c r="B3060" s="551">
        <v>2.9788700000000001</v>
      </c>
      <c r="C3060" s="551">
        <v>42.296599999999998</v>
      </c>
    </row>
    <row r="3061" spans="1:3">
      <c r="A3061" s="550" t="s">
        <v>277</v>
      </c>
      <c r="B3061" s="551">
        <v>10.979799999999999</v>
      </c>
      <c r="C3061" s="551">
        <v>189.26</v>
      </c>
    </row>
    <row r="3062" spans="1:3">
      <c r="A3062" s="550" t="s">
        <v>277</v>
      </c>
      <c r="B3062" s="551">
        <v>18.9285</v>
      </c>
      <c r="C3062" s="551">
        <v>226.67400000000001</v>
      </c>
    </row>
    <row r="3063" spans="1:3">
      <c r="A3063" s="550" t="s">
        <v>277</v>
      </c>
      <c r="B3063" s="551">
        <v>29.9861</v>
      </c>
      <c r="C3063" s="551">
        <v>281.26299999999998</v>
      </c>
    </row>
    <row r="3064" spans="1:3">
      <c r="A3064" s="550" t="s">
        <v>278</v>
      </c>
      <c r="B3064" s="551">
        <v>-8.8800000000000003E-16</v>
      </c>
      <c r="C3064" s="551">
        <v>5.6800000000000002E-14</v>
      </c>
    </row>
    <row r="3065" spans="1:3">
      <c r="A3065" s="550" t="s">
        <v>278</v>
      </c>
      <c r="B3065" s="551">
        <v>2.0663999999999998</v>
      </c>
      <c r="C3065" s="551">
        <v>22.169899999999998</v>
      </c>
    </row>
    <row r="3066" spans="1:3">
      <c r="A3066" s="550" t="s">
        <v>278</v>
      </c>
      <c r="B3066" s="551">
        <v>3.1036700000000002</v>
      </c>
      <c r="C3066" s="551">
        <v>26.219799999999999</v>
      </c>
    </row>
    <row r="3067" spans="1:3">
      <c r="A3067" s="550" t="s">
        <v>278</v>
      </c>
      <c r="B3067" s="551">
        <v>11.0448</v>
      </c>
      <c r="C3067" s="551">
        <v>76.699100000000001</v>
      </c>
    </row>
    <row r="3068" spans="1:3">
      <c r="A3068" s="550" t="s">
        <v>278</v>
      </c>
      <c r="B3068" s="551">
        <v>18.8432</v>
      </c>
      <c r="C3068" s="551">
        <v>174.41</v>
      </c>
    </row>
    <row r="3069" spans="1:3">
      <c r="A3069" s="550" t="s">
        <v>278</v>
      </c>
      <c r="B3069" s="551">
        <v>29.9269</v>
      </c>
      <c r="C3069" s="551">
        <v>183.774</v>
      </c>
    </row>
    <row r="3070" spans="1:3">
      <c r="A3070" s="550" t="s">
        <v>279</v>
      </c>
      <c r="B3070" s="551">
        <v>7.5</v>
      </c>
      <c r="C3070" s="551">
        <v>143</v>
      </c>
    </row>
    <row r="3071" spans="1:3">
      <c r="A3071" s="550" t="s">
        <v>279</v>
      </c>
      <c r="B3071" s="551">
        <v>15</v>
      </c>
      <c r="C3071" s="551">
        <v>179</v>
      </c>
    </row>
    <row r="3072" spans="1:3">
      <c r="A3072" s="550" t="s">
        <v>279</v>
      </c>
      <c r="B3072" s="551">
        <v>22.5</v>
      </c>
      <c r="C3072" s="551">
        <v>196</v>
      </c>
    </row>
    <row r="3073" spans="1:3">
      <c r="A3073" s="550" t="s">
        <v>279</v>
      </c>
      <c r="B3073" s="551">
        <v>30</v>
      </c>
      <c r="C3073" s="551">
        <v>208</v>
      </c>
    </row>
    <row r="3074" spans="1:3">
      <c r="A3074" s="550" t="s">
        <v>279</v>
      </c>
      <c r="B3074" s="551">
        <v>60</v>
      </c>
      <c r="C3074" s="551">
        <v>249</v>
      </c>
    </row>
    <row r="3075" spans="1:3">
      <c r="A3075" s="550" t="s">
        <v>279</v>
      </c>
      <c r="B3075" s="551">
        <v>90</v>
      </c>
      <c r="C3075" s="551">
        <v>260</v>
      </c>
    </row>
    <row r="3076" spans="1:3">
      <c r="A3076" s="573" t="s">
        <v>279</v>
      </c>
      <c r="B3076" s="574">
        <v>150</v>
      </c>
      <c r="C3076" s="574">
        <v>313</v>
      </c>
    </row>
    <row r="3077" spans="1:3">
      <c r="A3077" s="573" t="s">
        <v>279</v>
      </c>
      <c r="B3077" s="574">
        <v>270</v>
      </c>
      <c r="C3077" s="574">
        <v>351</v>
      </c>
    </row>
    <row r="3078" spans="1:3">
      <c r="A3078" s="573" t="s">
        <v>279</v>
      </c>
      <c r="B3078" s="574">
        <v>360</v>
      </c>
      <c r="C3078" s="574">
        <v>413</v>
      </c>
    </row>
    <row r="3079" spans="1:3">
      <c r="A3079" s="573" t="s">
        <v>279</v>
      </c>
      <c r="B3079" s="574">
        <v>450</v>
      </c>
      <c r="C3079" s="574">
        <v>436</v>
      </c>
    </row>
    <row r="3080" spans="1:3">
      <c r="A3080" s="569" t="s">
        <v>279</v>
      </c>
      <c r="B3080" s="570">
        <v>600</v>
      </c>
      <c r="C3080" s="570">
        <v>453</v>
      </c>
    </row>
    <row r="3081" spans="1:3">
      <c r="A3081" s="571" t="s">
        <v>280</v>
      </c>
      <c r="B3081" s="572">
        <v>7.5</v>
      </c>
      <c r="C3081" s="572">
        <v>158</v>
      </c>
    </row>
    <row r="3082" spans="1:3">
      <c r="A3082" s="571" t="s">
        <v>280</v>
      </c>
      <c r="B3082" s="572">
        <v>15</v>
      </c>
      <c r="C3082" s="572">
        <v>209</v>
      </c>
    </row>
    <row r="3083" spans="1:3">
      <c r="A3083" s="571" t="s">
        <v>280</v>
      </c>
      <c r="B3083" s="572">
        <v>22.5</v>
      </c>
      <c r="C3083" s="572">
        <v>233</v>
      </c>
    </row>
    <row r="3084" spans="1:3">
      <c r="A3084" s="571" t="s">
        <v>280</v>
      </c>
      <c r="B3084" s="572">
        <v>30</v>
      </c>
      <c r="C3084" s="572">
        <v>249</v>
      </c>
    </row>
    <row r="3085" spans="1:3">
      <c r="A3085" s="571" t="s">
        <v>280</v>
      </c>
      <c r="B3085" s="572">
        <v>60</v>
      </c>
      <c r="C3085" s="572">
        <v>313</v>
      </c>
    </row>
    <row r="3086" spans="1:3">
      <c r="A3086" s="571" t="s">
        <v>280</v>
      </c>
      <c r="B3086" s="572">
        <v>90</v>
      </c>
      <c r="C3086" s="572">
        <v>325</v>
      </c>
    </row>
    <row r="3087" spans="1:3">
      <c r="A3087" s="573" t="s">
        <v>280</v>
      </c>
      <c r="B3087" s="574">
        <v>150</v>
      </c>
      <c r="C3087" s="574">
        <v>374</v>
      </c>
    </row>
    <row r="3088" spans="1:3">
      <c r="A3088" s="573" t="s">
        <v>280</v>
      </c>
      <c r="B3088" s="574">
        <v>270</v>
      </c>
      <c r="C3088" s="574">
        <v>412</v>
      </c>
    </row>
    <row r="3089" spans="1:3">
      <c r="A3089" s="573" t="s">
        <v>280</v>
      </c>
      <c r="B3089" s="574">
        <v>360</v>
      </c>
      <c r="C3089" s="574">
        <v>483</v>
      </c>
    </row>
    <row r="3090" spans="1:3">
      <c r="A3090" s="573" t="s">
        <v>280</v>
      </c>
      <c r="B3090" s="574">
        <v>450</v>
      </c>
      <c r="C3090" s="574">
        <v>494</v>
      </c>
    </row>
    <row r="3091" spans="1:3">
      <c r="A3091" s="569" t="s">
        <v>280</v>
      </c>
      <c r="B3091" s="570">
        <v>600</v>
      </c>
      <c r="C3091" s="570">
        <v>514</v>
      </c>
    </row>
    <row r="3092" spans="1:3">
      <c r="A3092" s="571" t="s">
        <v>1870</v>
      </c>
      <c r="B3092" s="572">
        <v>15</v>
      </c>
      <c r="C3092" s="572">
        <v>190</v>
      </c>
    </row>
    <row r="3093" spans="1:3">
      <c r="A3093" s="571" t="s">
        <v>1870</v>
      </c>
      <c r="B3093" s="572">
        <v>22.5</v>
      </c>
      <c r="C3093" s="572">
        <v>261</v>
      </c>
    </row>
    <row r="3094" spans="1:3">
      <c r="A3094" s="571" t="s">
        <v>1870</v>
      </c>
      <c r="B3094" s="572">
        <v>30</v>
      </c>
      <c r="C3094" s="572">
        <v>313</v>
      </c>
    </row>
    <row r="3095" spans="1:3">
      <c r="A3095" s="571" t="s">
        <v>1870</v>
      </c>
      <c r="B3095" s="572">
        <v>60</v>
      </c>
      <c r="C3095" s="572">
        <v>412</v>
      </c>
    </row>
    <row r="3096" spans="1:3">
      <c r="A3096" s="573" t="s">
        <v>1870</v>
      </c>
      <c r="B3096" s="574">
        <v>120</v>
      </c>
      <c r="C3096" s="574">
        <v>470</v>
      </c>
    </row>
    <row r="3097" spans="1:3">
      <c r="A3097" s="573" t="s">
        <v>1870</v>
      </c>
      <c r="B3097" s="574">
        <v>240</v>
      </c>
      <c r="C3097" s="574">
        <v>560</v>
      </c>
    </row>
    <row r="3098" spans="1:3">
      <c r="A3098" s="571" t="s">
        <v>1871</v>
      </c>
      <c r="B3098" s="572">
        <v>15</v>
      </c>
      <c r="C3098" s="572">
        <v>246</v>
      </c>
    </row>
    <row r="3099" spans="1:3">
      <c r="A3099" s="571" t="s">
        <v>1871</v>
      </c>
      <c r="B3099" s="572">
        <v>22.5</v>
      </c>
      <c r="C3099" s="572">
        <v>318</v>
      </c>
    </row>
    <row r="3100" spans="1:3">
      <c r="A3100" s="571" t="s">
        <v>1871</v>
      </c>
      <c r="B3100" s="572">
        <v>30</v>
      </c>
      <c r="C3100" s="572">
        <v>370</v>
      </c>
    </row>
    <row r="3101" spans="1:3">
      <c r="A3101" s="571" t="s">
        <v>1871</v>
      </c>
      <c r="B3101" s="572">
        <v>60</v>
      </c>
      <c r="C3101" s="572">
        <v>464</v>
      </c>
    </row>
    <row r="3102" spans="1:3">
      <c r="A3102" s="573" t="s">
        <v>1871</v>
      </c>
      <c r="B3102" s="574">
        <v>120</v>
      </c>
      <c r="C3102" s="574">
        <v>503</v>
      </c>
    </row>
    <row r="3103" spans="1:3">
      <c r="A3103" s="573" t="s">
        <v>1871</v>
      </c>
      <c r="B3103" s="574">
        <v>240</v>
      </c>
      <c r="C3103" s="574">
        <v>584</v>
      </c>
    </row>
    <row r="3104" spans="1:3">
      <c r="A3104" s="48" t="s">
        <v>1872</v>
      </c>
      <c r="B3104" s="549">
        <v>-0.65088800000000002</v>
      </c>
      <c r="C3104" s="549">
        <v>2.61483</v>
      </c>
    </row>
    <row r="3105" spans="1:3">
      <c r="A3105" s="571" t="s">
        <v>1872</v>
      </c>
      <c r="B3105" s="572">
        <v>0.97633099999999995</v>
      </c>
      <c r="C3105" s="572">
        <v>125.33199999999999</v>
      </c>
    </row>
    <row r="3106" spans="1:3">
      <c r="A3106" s="571" t="s">
        <v>1872</v>
      </c>
      <c r="B3106" s="572">
        <v>1.3017799999999999</v>
      </c>
      <c r="C3106" s="572">
        <v>133.167</v>
      </c>
    </row>
    <row r="3107" spans="1:3">
      <c r="A3107" s="571" t="s">
        <v>1872</v>
      </c>
      <c r="B3107" s="572">
        <v>2.2781099999999999</v>
      </c>
      <c r="C3107" s="572">
        <v>144.922</v>
      </c>
    </row>
    <row r="3108" spans="1:3">
      <c r="A3108" s="571" t="s">
        <v>1872</v>
      </c>
      <c r="B3108" s="572">
        <v>3.2544400000000002</v>
      </c>
      <c r="C3108" s="572">
        <v>152.761</v>
      </c>
    </row>
    <row r="3109" spans="1:3">
      <c r="A3109" s="571" t="s">
        <v>1872</v>
      </c>
      <c r="B3109" s="572">
        <v>3.9053300000000002</v>
      </c>
      <c r="C3109" s="572">
        <v>163.209</v>
      </c>
    </row>
    <row r="3110" spans="1:3">
      <c r="A3110" s="571" t="s">
        <v>1872</v>
      </c>
      <c r="B3110" s="572">
        <v>6.1834300000000004</v>
      </c>
      <c r="C3110" s="572">
        <v>171.05500000000001</v>
      </c>
    </row>
    <row r="3111" spans="1:3">
      <c r="A3111" s="571" t="s">
        <v>1872</v>
      </c>
      <c r="B3111" s="572">
        <v>7.1597600000000003</v>
      </c>
      <c r="C3111" s="572">
        <v>178.89400000000001</v>
      </c>
    </row>
    <row r="3112" spans="1:3">
      <c r="A3112" s="571" t="s">
        <v>1872</v>
      </c>
      <c r="B3112" s="572">
        <v>7.8106499999999999</v>
      </c>
      <c r="C3112" s="572">
        <v>188.036</v>
      </c>
    </row>
    <row r="3113" spans="1:3">
      <c r="A3113" s="571" t="s">
        <v>1872</v>
      </c>
      <c r="B3113" s="572">
        <v>8.4615399999999994</v>
      </c>
      <c r="C3113" s="572">
        <v>214.149</v>
      </c>
    </row>
    <row r="3114" spans="1:3">
      <c r="A3114" s="571" t="s">
        <v>1872</v>
      </c>
      <c r="B3114" s="572">
        <v>10.414199999999999</v>
      </c>
      <c r="C3114" s="572">
        <v>219.38300000000001</v>
      </c>
    </row>
    <row r="3115" spans="1:3">
      <c r="A3115" s="571" t="s">
        <v>1872</v>
      </c>
      <c r="B3115" s="572">
        <v>12.041399999999999</v>
      </c>
      <c r="C3115" s="572">
        <v>224.61500000000001</v>
      </c>
    </row>
    <row r="3116" spans="1:3">
      <c r="A3116" s="571" t="s">
        <v>1872</v>
      </c>
      <c r="B3116" s="572">
        <v>13.6686</v>
      </c>
      <c r="C3116" s="572">
        <v>220.708</v>
      </c>
    </row>
    <row r="3117" spans="1:3">
      <c r="A3117" s="571" t="s">
        <v>1872</v>
      </c>
      <c r="B3117" s="572">
        <v>15.6213</v>
      </c>
      <c r="C3117" s="572">
        <v>236.38499999999999</v>
      </c>
    </row>
    <row r="3118" spans="1:3">
      <c r="A3118" s="571" t="s">
        <v>1872</v>
      </c>
      <c r="B3118" s="572">
        <v>18.5503</v>
      </c>
      <c r="C3118" s="572">
        <v>249.45699999999999</v>
      </c>
    </row>
    <row r="3119" spans="1:3">
      <c r="A3119" s="571" t="s">
        <v>1872</v>
      </c>
      <c r="B3119" s="572">
        <v>21.479299999999999</v>
      </c>
      <c r="C3119" s="572">
        <v>254.697</v>
      </c>
    </row>
    <row r="3120" spans="1:3">
      <c r="A3120" s="571" t="s">
        <v>1872</v>
      </c>
      <c r="B3120" s="572">
        <v>23.1065</v>
      </c>
      <c r="C3120" s="572">
        <v>262.53899999999999</v>
      </c>
    </row>
    <row r="3121" spans="1:3">
      <c r="A3121" s="571" t="s">
        <v>1872</v>
      </c>
      <c r="B3121" s="572">
        <v>25.384599999999999</v>
      </c>
      <c r="C3121" s="572">
        <v>278.21899999999999</v>
      </c>
    </row>
    <row r="3122" spans="1:3">
      <c r="A3122" s="571" t="s">
        <v>1872</v>
      </c>
      <c r="B3122" s="572">
        <v>27.011800000000001</v>
      </c>
      <c r="C3122" s="572">
        <v>279.53399999999999</v>
      </c>
    </row>
    <row r="3123" spans="1:3">
      <c r="A3123" s="571" t="s">
        <v>1872</v>
      </c>
      <c r="B3123" s="572">
        <v>27.988199999999999</v>
      </c>
      <c r="C3123" s="572">
        <v>296.51100000000002</v>
      </c>
    </row>
    <row r="3124" spans="1:3">
      <c r="A3124" s="571" t="s">
        <v>1872</v>
      </c>
      <c r="B3124" s="572">
        <v>30.591699999999999</v>
      </c>
      <c r="C3124" s="572">
        <v>301.74799999999999</v>
      </c>
    </row>
    <row r="3125" spans="1:3">
      <c r="A3125" s="571" t="s">
        <v>1872</v>
      </c>
      <c r="B3125" s="572">
        <v>32.544400000000003</v>
      </c>
      <c r="C3125" s="572">
        <v>293.92700000000002</v>
      </c>
    </row>
    <row r="3126" spans="1:3">
      <c r="A3126" s="571" t="s">
        <v>1872</v>
      </c>
      <c r="B3126" s="572">
        <v>33.846200000000003</v>
      </c>
      <c r="C3126" s="572">
        <v>301.767</v>
      </c>
    </row>
    <row r="3127" spans="1:3">
      <c r="A3127" s="571" t="s">
        <v>1872</v>
      </c>
      <c r="B3127" s="572">
        <v>36.4497</v>
      </c>
      <c r="C3127" s="572">
        <v>299.17200000000003</v>
      </c>
    </row>
    <row r="3128" spans="1:3">
      <c r="A3128" s="571" t="s">
        <v>1872</v>
      </c>
      <c r="B3128" s="572">
        <v>39.704099999999997</v>
      </c>
      <c r="C3128" s="572">
        <v>305.71899999999999</v>
      </c>
    </row>
    <row r="3129" spans="1:3">
      <c r="A3129" s="571" t="s">
        <v>1872</v>
      </c>
      <c r="B3129" s="572">
        <v>43.609499999999997</v>
      </c>
      <c r="C3129" s="572">
        <v>324.01900000000001</v>
      </c>
    </row>
    <row r="3130" spans="1:3">
      <c r="A3130" s="571" t="s">
        <v>1872</v>
      </c>
      <c r="B3130" s="572">
        <v>47.514800000000001</v>
      </c>
      <c r="C3130" s="572">
        <v>331.875</v>
      </c>
    </row>
    <row r="3131" spans="1:3">
      <c r="A3131" s="571" t="s">
        <v>1872</v>
      </c>
      <c r="B3131" s="572">
        <v>61.834299999999999</v>
      </c>
      <c r="C3131" s="572">
        <v>339.79300000000001</v>
      </c>
    </row>
    <row r="3132" spans="1:3">
      <c r="A3132" s="571" t="s">
        <v>1872</v>
      </c>
      <c r="B3132" s="572">
        <v>76.479299999999995</v>
      </c>
      <c r="C3132" s="572">
        <v>346.40699999999998</v>
      </c>
    </row>
    <row r="3133" spans="1:3">
      <c r="A3133" s="571" t="s">
        <v>1872</v>
      </c>
      <c r="B3133" s="572">
        <v>82.988200000000006</v>
      </c>
      <c r="C3133" s="572">
        <v>350.36200000000002</v>
      </c>
    </row>
    <row r="3134" spans="1:3">
      <c r="A3134" s="571" t="s">
        <v>1872</v>
      </c>
      <c r="B3134" s="572">
        <v>91.124300000000005</v>
      </c>
      <c r="C3134" s="572">
        <v>354.327</v>
      </c>
    </row>
    <row r="3135" spans="1:3">
      <c r="A3135" s="571" t="s">
        <v>1872</v>
      </c>
      <c r="B3135" s="572">
        <v>97.633099999999999</v>
      </c>
      <c r="C3135" s="572">
        <v>364.80900000000003</v>
      </c>
    </row>
    <row r="3136" spans="1:3">
      <c r="A3136" s="573" t="s">
        <v>1872</v>
      </c>
      <c r="B3136" s="574">
        <v>104.79300000000001</v>
      </c>
      <c r="C3136" s="574">
        <v>370.07400000000001</v>
      </c>
    </row>
    <row r="3137" spans="1:3">
      <c r="A3137" s="573" t="s">
        <v>1872</v>
      </c>
      <c r="B3137" s="574">
        <v>112.27800000000001</v>
      </c>
      <c r="C3137" s="574">
        <v>371.423</v>
      </c>
    </row>
    <row r="3138" spans="1:3">
      <c r="A3138" s="573" t="s">
        <v>1872</v>
      </c>
      <c r="B3138" s="574">
        <v>131.47900000000001</v>
      </c>
      <c r="C3138" s="574">
        <v>380.67599999999999</v>
      </c>
    </row>
    <row r="3139" spans="1:3">
      <c r="A3139" s="573" t="s">
        <v>1872</v>
      </c>
      <c r="B3139" s="574">
        <v>144.822</v>
      </c>
      <c r="C3139" s="574">
        <v>385.97699999999998</v>
      </c>
    </row>
    <row r="3140" spans="1:3">
      <c r="A3140" s="573" t="s">
        <v>1872</v>
      </c>
      <c r="B3140" s="574">
        <v>162.72200000000001</v>
      </c>
      <c r="C3140" s="574">
        <v>392.61099999999999</v>
      </c>
    </row>
    <row r="3141" spans="1:3">
      <c r="A3141" s="573" t="s">
        <v>1872</v>
      </c>
      <c r="B3141" s="574">
        <v>165.32499999999999</v>
      </c>
      <c r="C3141" s="574">
        <v>405.68099999999998</v>
      </c>
    </row>
    <row r="3142" spans="1:3">
      <c r="A3142" s="573" t="s">
        <v>1872</v>
      </c>
      <c r="B3142" s="574">
        <v>169.88200000000001</v>
      </c>
      <c r="C3142" s="574">
        <v>386.12599999999998</v>
      </c>
    </row>
    <row r="3143" spans="1:3">
      <c r="A3143" s="573" t="s">
        <v>1872</v>
      </c>
      <c r="B3143" s="574">
        <v>176.71600000000001</v>
      </c>
      <c r="C3143" s="574">
        <v>392.69400000000002</v>
      </c>
    </row>
    <row r="3144" spans="1:3">
      <c r="A3144" s="573" t="s">
        <v>1872</v>
      </c>
      <c r="B3144" s="574">
        <v>183.22499999999999</v>
      </c>
      <c r="C3144" s="574">
        <v>391.42700000000002</v>
      </c>
    </row>
    <row r="3145" spans="1:3">
      <c r="A3145" s="573" t="s">
        <v>1872</v>
      </c>
      <c r="B3145" s="574">
        <v>186.80500000000001</v>
      </c>
      <c r="C3145" s="574">
        <v>382.31</v>
      </c>
    </row>
    <row r="3146" spans="1:3">
      <c r="A3146" s="573" t="s">
        <v>1872</v>
      </c>
      <c r="B3146" s="574">
        <v>190.38499999999999</v>
      </c>
      <c r="C3146" s="574">
        <v>382.33100000000002</v>
      </c>
    </row>
    <row r="3147" spans="1:3">
      <c r="A3147" s="573" t="s">
        <v>1872</v>
      </c>
      <c r="B3147" s="574">
        <v>202.101</v>
      </c>
      <c r="C3147" s="574">
        <v>387.62200000000001</v>
      </c>
    </row>
    <row r="3148" spans="1:3">
      <c r="A3148" s="573" t="s">
        <v>1872</v>
      </c>
      <c r="B3148" s="574">
        <v>215.44399999999999</v>
      </c>
      <c r="C3148" s="574">
        <v>399.45100000000002</v>
      </c>
    </row>
    <row r="3149" spans="1:3">
      <c r="A3149" s="571" t="s">
        <v>1873</v>
      </c>
      <c r="B3149" s="572">
        <v>0.32374599999999998</v>
      </c>
      <c r="C3149" s="572">
        <v>2.6090399999999998</v>
      </c>
    </row>
    <row r="3150" spans="1:3">
      <c r="A3150" s="571" t="s">
        <v>1873</v>
      </c>
      <c r="B3150" s="572">
        <v>1.6722600000000001</v>
      </c>
      <c r="C3150" s="572">
        <v>69.200500000000005</v>
      </c>
    </row>
    <row r="3151" spans="1:3">
      <c r="A3151" s="571" t="s">
        <v>1873</v>
      </c>
      <c r="B3151" s="572">
        <v>2.00705</v>
      </c>
      <c r="C3151" s="572">
        <v>83.562799999999996</v>
      </c>
    </row>
    <row r="3152" spans="1:3">
      <c r="A3152" s="571" t="s">
        <v>1873</v>
      </c>
      <c r="B3152" s="572">
        <v>2.6655899999999999</v>
      </c>
      <c r="C3152" s="572">
        <v>95.316100000000006</v>
      </c>
    </row>
    <row r="3153" spans="1:3">
      <c r="A3153" s="571" t="s">
        <v>1873</v>
      </c>
      <c r="B3153" s="572">
        <v>4.2928199999999999</v>
      </c>
      <c r="C3153" s="572">
        <v>95.325699999999998</v>
      </c>
    </row>
    <row r="3154" spans="1:3">
      <c r="A3154" s="571" t="s">
        <v>1873</v>
      </c>
      <c r="B3154" s="572">
        <v>4.9488000000000003</v>
      </c>
      <c r="C3154" s="572">
        <v>103.163</v>
      </c>
    </row>
    <row r="3155" spans="1:3">
      <c r="A3155" s="571" t="s">
        <v>1873</v>
      </c>
      <c r="B3155" s="572">
        <v>7.2303199999999999</v>
      </c>
      <c r="C3155" s="572">
        <v>108.398</v>
      </c>
    </row>
    <row r="3156" spans="1:3">
      <c r="A3156" s="571" t="s">
        <v>1873</v>
      </c>
      <c r="B3156" s="572">
        <v>8.2168500000000009</v>
      </c>
      <c r="C3156" s="572">
        <v>124.07</v>
      </c>
    </row>
    <row r="3157" spans="1:3">
      <c r="A3157" s="571" t="s">
        <v>1873</v>
      </c>
      <c r="B3157" s="572">
        <v>9.5228800000000007</v>
      </c>
      <c r="C3157" s="572">
        <v>130.60499999999999</v>
      </c>
    </row>
    <row r="3158" spans="1:3">
      <c r="A3158" s="571" t="s">
        <v>1873</v>
      </c>
      <c r="B3158" s="572">
        <v>10.8408</v>
      </c>
      <c r="C3158" s="572">
        <v>155.417</v>
      </c>
    </row>
    <row r="3159" spans="1:3">
      <c r="A3159" s="571" t="s">
        <v>1873</v>
      </c>
      <c r="B3159" s="572">
        <v>14.1021</v>
      </c>
      <c r="C3159" s="572">
        <v>165.88</v>
      </c>
    </row>
    <row r="3160" spans="1:3">
      <c r="A3160" s="571" t="s">
        <v>1873</v>
      </c>
      <c r="B3160" s="572">
        <v>16.379300000000001</v>
      </c>
      <c r="C3160" s="572">
        <v>164.58799999999999</v>
      </c>
    </row>
    <row r="3161" spans="1:3">
      <c r="A3161" s="571" t="s">
        <v>1873</v>
      </c>
      <c r="B3161" s="572">
        <v>17.686199999999999</v>
      </c>
      <c r="C3161" s="572">
        <v>172.429</v>
      </c>
    </row>
    <row r="3162" spans="1:3">
      <c r="A3162" s="571" t="s">
        <v>1873</v>
      </c>
      <c r="B3162" s="572">
        <v>20.950800000000001</v>
      </c>
      <c r="C3162" s="572">
        <v>188.114</v>
      </c>
    </row>
    <row r="3163" spans="1:3">
      <c r="A3163" s="571" t="s">
        <v>1873</v>
      </c>
      <c r="B3163" s="572">
        <v>23.8841</v>
      </c>
      <c r="C3163" s="572">
        <v>194.65899999999999</v>
      </c>
    </row>
    <row r="3164" spans="1:3">
      <c r="A3164" s="571" t="s">
        <v>1873</v>
      </c>
      <c r="B3164" s="572">
        <v>25.190100000000001</v>
      </c>
      <c r="C3164" s="572">
        <v>201.19399999999999</v>
      </c>
    </row>
    <row r="3165" spans="1:3">
      <c r="A3165" s="571" t="s">
        <v>1873</v>
      </c>
      <c r="B3165" s="572">
        <v>27.151299999999999</v>
      </c>
      <c r="C3165" s="572">
        <v>214.26</v>
      </c>
    </row>
    <row r="3166" spans="1:3">
      <c r="A3166" s="571" t="s">
        <v>1873</v>
      </c>
      <c r="B3166" s="572">
        <v>29.1065</v>
      </c>
      <c r="C3166" s="572">
        <v>218.18799999999999</v>
      </c>
    </row>
    <row r="3167" spans="1:3">
      <c r="A3167" s="571" t="s">
        <v>1873</v>
      </c>
      <c r="B3167" s="572">
        <v>30.089600000000001</v>
      </c>
      <c r="C3167" s="572">
        <v>228.63800000000001</v>
      </c>
    </row>
    <row r="3168" spans="1:3">
      <c r="A3168" s="571" t="s">
        <v>1873</v>
      </c>
      <c r="B3168" s="572">
        <v>31.3965</v>
      </c>
      <c r="C3168" s="572">
        <v>236.47900000000001</v>
      </c>
    </row>
    <row r="3169" spans="1:3">
      <c r="A3169" s="571" t="s">
        <v>1873</v>
      </c>
      <c r="B3169" s="572">
        <v>34.649299999999997</v>
      </c>
      <c r="C3169" s="572">
        <v>233.887</v>
      </c>
    </row>
    <row r="3170" spans="1:3">
      <c r="A3170" s="571" t="s">
        <v>1873</v>
      </c>
      <c r="B3170" s="572">
        <v>35.955300000000001</v>
      </c>
      <c r="C3170" s="572">
        <v>240.422</v>
      </c>
    </row>
    <row r="3171" spans="1:3">
      <c r="A3171" s="571" t="s">
        <v>1873</v>
      </c>
      <c r="B3171" s="572">
        <v>37.58</v>
      </c>
      <c r="C3171" s="572">
        <v>236.51499999999999</v>
      </c>
    </row>
    <row r="3172" spans="1:3">
      <c r="A3172" s="571" t="s">
        <v>1873</v>
      </c>
      <c r="B3172" s="572">
        <v>39.862299999999998</v>
      </c>
      <c r="C3172" s="572">
        <v>243.05600000000001</v>
      </c>
    </row>
    <row r="3173" spans="1:3">
      <c r="A3173" s="571" t="s">
        <v>1873</v>
      </c>
      <c r="B3173" s="572">
        <v>42.468499999999999</v>
      </c>
      <c r="C3173" s="572">
        <v>246.988</v>
      </c>
    </row>
    <row r="3174" spans="1:3">
      <c r="A3174" s="571" t="s">
        <v>1873</v>
      </c>
      <c r="B3174" s="572">
        <v>45.738199999999999</v>
      </c>
      <c r="C3174" s="572">
        <v>270.50599999999997</v>
      </c>
    </row>
    <row r="3175" spans="1:3">
      <c r="A3175" s="571" t="s">
        <v>1873</v>
      </c>
      <c r="B3175" s="572">
        <v>49.646900000000002</v>
      </c>
      <c r="C3175" s="572">
        <v>275.75200000000001</v>
      </c>
    </row>
    <row r="3176" spans="1:3">
      <c r="A3176" s="571" t="s">
        <v>1873</v>
      </c>
      <c r="B3176" s="572">
        <v>64.2988</v>
      </c>
      <c r="C3176" s="572">
        <v>286.28199999999998</v>
      </c>
    </row>
    <row r="3177" spans="1:3">
      <c r="A3177" s="571" t="s">
        <v>1873</v>
      </c>
      <c r="B3177" s="572">
        <v>79.273499999999999</v>
      </c>
      <c r="C3177" s="572">
        <v>292.899</v>
      </c>
    </row>
    <row r="3178" spans="1:3">
      <c r="A3178" s="571" t="s">
        <v>1873</v>
      </c>
      <c r="B3178" s="572">
        <v>85.788300000000007</v>
      </c>
      <c r="C3178" s="572">
        <v>302.07600000000002</v>
      </c>
    </row>
    <row r="3179" spans="1:3">
      <c r="A3179" s="571" t="s">
        <v>1873</v>
      </c>
      <c r="B3179" s="572">
        <v>93.603300000000004</v>
      </c>
      <c r="C3179" s="572">
        <v>308.649</v>
      </c>
    </row>
    <row r="3180" spans="1:3">
      <c r="A3180" s="573" t="s">
        <v>1873</v>
      </c>
      <c r="B3180" s="574">
        <v>100.119</v>
      </c>
      <c r="C3180" s="574">
        <v>319.13200000000001</v>
      </c>
    </row>
    <row r="3181" spans="1:3">
      <c r="A3181" s="573" t="s">
        <v>1873</v>
      </c>
      <c r="B3181" s="574">
        <v>114.76900000000001</v>
      </c>
      <c r="C3181" s="574">
        <v>327.05200000000002</v>
      </c>
    </row>
    <row r="3182" spans="1:3">
      <c r="A3182" s="573" t="s">
        <v>1873</v>
      </c>
      <c r="B3182" s="574">
        <v>133.971</v>
      </c>
      <c r="C3182" s="574">
        <v>328.471</v>
      </c>
    </row>
    <row r="3183" spans="1:3">
      <c r="A3183" s="573" t="s">
        <v>1873</v>
      </c>
      <c r="B3183" s="574">
        <v>147.64599999999999</v>
      </c>
      <c r="C3183" s="574">
        <v>337.69099999999997</v>
      </c>
    </row>
    <row r="3184" spans="1:3">
      <c r="A3184" s="573" t="s">
        <v>1873</v>
      </c>
      <c r="B3184" s="574">
        <v>164.89500000000001</v>
      </c>
      <c r="C3184" s="574">
        <v>339.09899999999999</v>
      </c>
    </row>
    <row r="3185" spans="1:3">
      <c r="A3185" s="573" t="s">
        <v>1873</v>
      </c>
      <c r="B3185" s="574">
        <v>168.483</v>
      </c>
      <c r="C3185" s="574">
        <v>350.86900000000003</v>
      </c>
    </row>
    <row r="3186" spans="1:3">
      <c r="A3186" s="573" t="s">
        <v>1873</v>
      </c>
      <c r="B3186" s="574">
        <v>172.047</v>
      </c>
      <c r="C3186" s="574">
        <v>327.392</v>
      </c>
    </row>
    <row r="3187" spans="1:3">
      <c r="A3187" s="573" t="s">
        <v>1873</v>
      </c>
      <c r="B3187" s="574">
        <v>179.21100000000001</v>
      </c>
      <c r="C3187" s="574">
        <v>332.65600000000001</v>
      </c>
    </row>
    <row r="3188" spans="1:3">
      <c r="A3188" s="573" t="s">
        <v>1873</v>
      </c>
      <c r="B3188" s="574">
        <v>186.37299999999999</v>
      </c>
      <c r="C3188" s="574">
        <v>336.61500000000001</v>
      </c>
    </row>
    <row r="3189" spans="1:3">
      <c r="A3189" s="573" t="s">
        <v>1873</v>
      </c>
      <c r="B3189" s="574">
        <v>188.64599999999999</v>
      </c>
      <c r="C3189" s="574">
        <v>328.79599999999999</v>
      </c>
    </row>
    <row r="3190" spans="1:3">
      <c r="A3190" s="573" t="s">
        <v>1873</v>
      </c>
      <c r="B3190" s="574">
        <v>193.20599999999999</v>
      </c>
      <c r="C3190" s="574">
        <v>335.35</v>
      </c>
    </row>
    <row r="3191" spans="1:3">
      <c r="A3191" s="573" t="s">
        <v>1873</v>
      </c>
      <c r="B3191" s="574">
        <v>204.27799999999999</v>
      </c>
      <c r="C3191" s="574">
        <v>345.86</v>
      </c>
    </row>
    <row r="3192" spans="1:3">
      <c r="A3192" s="573" t="s">
        <v>1873</v>
      </c>
      <c r="B3192" s="574">
        <v>216.97200000000001</v>
      </c>
      <c r="C3192" s="574">
        <v>347.24099999999999</v>
      </c>
    </row>
    <row r="3193" spans="1:3">
      <c r="A3193" s="571" t="s">
        <v>1874</v>
      </c>
      <c r="B3193" s="572">
        <v>1.6248199999999999</v>
      </c>
      <c r="C3193" s="572">
        <v>3.91587</v>
      </c>
    </row>
    <row r="3194" spans="1:3">
      <c r="A3194" s="571" t="s">
        <v>1874</v>
      </c>
      <c r="B3194" s="572">
        <v>2.27474</v>
      </c>
      <c r="C3194" s="572">
        <v>29.961400000000001</v>
      </c>
    </row>
    <row r="3195" spans="1:3">
      <c r="A3195" s="571" t="s">
        <v>1874</v>
      </c>
      <c r="B3195" s="572">
        <v>3.8995600000000001</v>
      </c>
      <c r="C3195" s="572">
        <v>37.783499999999997</v>
      </c>
    </row>
    <row r="3196" spans="1:3">
      <c r="A3196" s="571" t="s">
        <v>1874</v>
      </c>
      <c r="B3196" s="572">
        <v>5.5243700000000002</v>
      </c>
      <c r="C3196" s="572">
        <v>40.397300000000001</v>
      </c>
    </row>
    <row r="3197" spans="1:3">
      <c r="A3197" s="571" t="s">
        <v>1874</v>
      </c>
      <c r="B3197" s="572">
        <v>6.8242200000000004</v>
      </c>
      <c r="C3197" s="572">
        <v>50.821599999999997</v>
      </c>
    </row>
    <row r="3198" spans="1:3">
      <c r="A3198" s="571" t="s">
        <v>1874</v>
      </c>
      <c r="B3198" s="572">
        <v>7.7991099999999998</v>
      </c>
      <c r="C3198" s="572">
        <v>76.869100000000003</v>
      </c>
    </row>
    <row r="3199" spans="1:3">
      <c r="A3199" s="571" t="s">
        <v>1874</v>
      </c>
      <c r="B3199" s="572">
        <v>11.373699999999999</v>
      </c>
      <c r="C3199" s="572">
        <v>86.004800000000003</v>
      </c>
    </row>
    <row r="3200" spans="1:3">
      <c r="A3200" s="571" t="s">
        <v>1874</v>
      </c>
      <c r="B3200" s="572">
        <v>12.6736</v>
      </c>
      <c r="C3200" s="572">
        <v>76.897900000000007</v>
      </c>
    </row>
    <row r="3201" spans="1:3">
      <c r="A3201" s="571" t="s">
        <v>1874</v>
      </c>
      <c r="B3201" s="572">
        <v>14.298400000000001</v>
      </c>
      <c r="C3201" s="572">
        <v>92.532499999999999</v>
      </c>
    </row>
    <row r="3202" spans="1:3">
      <c r="A3202" s="571" t="s">
        <v>1874</v>
      </c>
      <c r="B3202" s="572">
        <v>17.873000000000001</v>
      </c>
      <c r="C3202" s="572">
        <v>102.97</v>
      </c>
    </row>
    <row r="3203" spans="1:3">
      <c r="A3203" s="571" t="s">
        <v>1874</v>
      </c>
      <c r="B3203" s="572">
        <v>21.122599999999998</v>
      </c>
      <c r="C3203" s="572">
        <v>106.896</v>
      </c>
    </row>
    <row r="3204" spans="1:3">
      <c r="A3204" s="571" t="s">
        <v>1874</v>
      </c>
      <c r="B3204" s="572">
        <v>23.072399999999998</v>
      </c>
      <c r="C3204" s="572">
        <v>109.512</v>
      </c>
    </row>
    <row r="3205" spans="1:3">
      <c r="A3205" s="571" t="s">
        <v>1874</v>
      </c>
      <c r="B3205" s="572">
        <v>24.0473</v>
      </c>
      <c r="C3205" s="572">
        <v>127.746</v>
      </c>
    </row>
    <row r="3206" spans="1:3">
      <c r="A3206" s="571" t="s">
        <v>1874</v>
      </c>
      <c r="B3206" s="572">
        <v>25.6721</v>
      </c>
      <c r="C3206" s="572">
        <v>138.173</v>
      </c>
    </row>
    <row r="3207" spans="1:3">
      <c r="A3207" s="571" t="s">
        <v>1874</v>
      </c>
      <c r="B3207" s="572">
        <v>27.9468</v>
      </c>
      <c r="C3207" s="572">
        <v>147.30099999999999</v>
      </c>
    </row>
    <row r="3208" spans="1:3">
      <c r="A3208" s="571" t="s">
        <v>1874</v>
      </c>
      <c r="B3208" s="572">
        <v>31.846399999999999</v>
      </c>
      <c r="C3208" s="572">
        <v>139.511</v>
      </c>
    </row>
    <row r="3209" spans="1:3">
      <c r="A3209" s="571" t="s">
        <v>1874</v>
      </c>
      <c r="B3209" s="572">
        <v>34.446100000000001</v>
      </c>
      <c r="C3209" s="572">
        <v>146.03700000000001</v>
      </c>
    </row>
    <row r="3210" spans="1:3">
      <c r="A3210" s="571" t="s">
        <v>1874</v>
      </c>
      <c r="B3210" s="572">
        <v>35.745899999999999</v>
      </c>
      <c r="C3210" s="572">
        <v>148.649</v>
      </c>
    </row>
    <row r="3211" spans="1:3">
      <c r="A3211" s="571" t="s">
        <v>1874</v>
      </c>
      <c r="B3211" s="572">
        <v>38.6706</v>
      </c>
      <c r="C3211" s="572">
        <v>147.364</v>
      </c>
    </row>
    <row r="3212" spans="1:3">
      <c r="A3212" s="571" t="s">
        <v>1874</v>
      </c>
      <c r="B3212" s="572">
        <v>43.220100000000002</v>
      </c>
      <c r="C3212" s="572">
        <v>164.31800000000001</v>
      </c>
    </row>
    <row r="3213" spans="1:3">
      <c r="A3213" s="571" t="s">
        <v>1874</v>
      </c>
      <c r="B3213" s="572">
        <v>47.119599999999998</v>
      </c>
      <c r="C3213" s="572">
        <v>166.946</v>
      </c>
    </row>
    <row r="3214" spans="1:3">
      <c r="A3214" s="571" t="s">
        <v>1874</v>
      </c>
      <c r="B3214" s="572">
        <v>60.768099999999997</v>
      </c>
      <c r="C3214" s="572">
        <v>173.53700000000001</v>
      </c>
    </row>
    <row r="3215" spans="1:3">
      <c r="A3215" s="571" t="s">
        <v>1874</v>
      </c>
      <c r="B3215" s="572">
        <v>76.041399999999996</v>
      </c>
      <c r="C3215" s="572">
        <v>178.83500000000001</v>
      </c>
    </row>
    <row r="3216" spans="1:3">
      <c r="A3216" s="571" t="s">
        <v>1874</v>
      </c>
      <c r="B3216" s="572">
        <v>82.215699999999998</v>
      </c>
      <c r="C3216" s="572">
        <v>184.08</v>
      </c>
    </row>
    <row r="3217" spans="1:3">
      <c r="A3217" s="571" t="s">
        <v>1874</v>
      </c>
      <c r="B3217" s="572">
        <v>90.014799999999994</v>
      </c>
      <c r="C3217" s="572">
        <v>188.03299999999999</v>
      </c>
    </row>
    <row r="3218" spans="1:3">
      <c r="A3218" s="571" t="s">
        <v>1874</v>
      </c>
      <c r="B3218" s="572">
        <v>96.838999999999999</v>
      </c>
      <c r="C3218" s="572">
        <v>195.886</v>
      </c>
    </row>
    <row r="3219" spans="1:3">
      <c r="A3219" s="573" t="s">
        <v>1874</v>
      </c>
      <c r="B3219" s="574">
        <v>103.988</v>
      </c>
      <c r="C3219" s="574">
        <v>195.928</v>
      </c>
    </row>
    <row r="3220" spans="1:3">
      <c r="A3220" s="573" t="s">
        <v>1874</v>
      </c>
      <c r="B3220" s="574">
        <v>112.11199999999999</v>
      </c>
      <c r="C3220" s="574">
        <v>202.48599999999999</v>
      </c>
    </row>
    <row r="3221" spans="1:3">
      <c r="A3221" s="573" t="s">
        <v>1874</v>
      </c>
      <c r="B3221" s="574">
        <v>129.98500000000001</v>
      </c>
      <c r="C3221" s="574">
        <v>206.49799999999999</v>
      </c>
    </row>
    <row r="3222" spans="1:3">
      <c r="A3222" s="573" t="s">
        <v>1874</v>
      </c>
      <c r="B3222" s="574">
        <v>143.959</v>
      </c>
      <c r="C3222" s="574">
        <v>209.185</v>
      </c>
    </row>
    <row r="3223" spans="1:3">
      <c r="A3223" s="573" t="s">
        <v>1874</v>
      </c>
      <c r="B3223" s="574">
        <v>161.18199999999999</v>
      </c>
      <c r="C3223" s="574">
        <v>222.30799999999999</v>
      </c>
    </row>
    <row r="3224" spans="1:3">
      <c r="A3224" s="573" t="s">
        <v>1874</v>
      </c>
      <c r="B3224" s="574">
        <v>165.08099999999999</v>
      </c>
      <c r="C3224" s="574">
        <v>226.23699999999999</v>
      </c>
    </row>
    <row r="3225" spans="1:3">
      <c r="A3225" s="573" t="s">
        <v>1874</v>
      </c>
      <c r="B3225" s="574">
        <v>168.33099999999999</v>
      </c>
      <c r="C3225" s="574">
        <v>202.81899999999999</v>
      </c>
    </row>
    <row r="3226" spans="1:3">
      <c r="A3226" s="573" t="s">
        <v>1874</v>
      </c>
      <c r="B3226" s="574">
        <v>176.13</v>
      </c>
      <c r="C3226" s="574">
        <v>206.77199999999999</v>
      </c>
    </row>
    <row r="3227" spans="1:3">
      <c r="A3227" s="573" t="s">
        <v>1874</v>
      </c>
      <c r="B3227" s="574">
        <v>182.62899999999999</v>
      </c>
      <c r="C3227" s="574">
        <v>210.71600000000001</v>
      </c>
    </row>
    <row r="3228" spans="1:3">
      <c r="A3228" s="573" t="s">
        <v>1874</v>
      </c>
      <c r="B3228" s="574">
        <v>185.554</v>
      </c>
      <c r="C3228" s="574">
        <v>201.619</v>
      </c>
    </row>
    <row r="3229" spans="1:3">
      <c r="A3229" s="573" t="s">
        <v>1874</v>
      </c>
      <c r="B3229" s="574">
        <v>189.77799999999999</v>
      </c>
      <c r="C3229" s="574">
        <v>204.24799999999999</v>
      </c>
    </row>
    <row r="3230" spans="1:3">
      <c r="A3230" s="573" t="s">
        <v>1874</v>
      </c>
      <c r="B3230" s="574">
        <v>202.452</v>
      </c>
      <c r="C3230" s="574">
        <v>205.625</v>
      </c>
    </row>
    <row r="3231" spans="1:3">
      <c r="A3231" s="573" t="s">
        <v>1874</v>
      </c>
      <c r="B3231" s="574">
        <v>214.80099999999999</v>
      </c>
      <c r="C3231" s="574">
        <v>216.11500000000001</v>
      </c>
    </row>
    <row r="3232" spans="1:3">
      <c r="A3232" s="571" t="s">
        <v>1875</v>
      </c>
      <c r="B3232" s="572">
        <v>0</v>
      </c>
      <c r="C3232" s="572">
        <v>2.2699999999999999E-13</v>
      </c>
    </row>
    <row r="3233" spans="1:3">
      <c r="A3233" s="571" t="s">
        <v>1875</v>
      </c>
      <c r="B3233" s="572">
        <v>0.97603600000000001</v>
      </c>
      <c r="C3233" s="572">
        <v>387.86099999999999</v>
      </c>
    </row>
    <row r="3234" spans="1:3">
      <c r="A3234" s="571" t="s">
        <v>1875</v>
      </c>
      <c r="B3234" s="572">
        <v>1.7810999999999999</v>
      </c>
      <c r="C3234" s="572">
        <v>427.51499999999999</v>
      </c>
    </row>
    <row r="3235" spans="1:3">
      <c r="A3235" s="571" t="s">
        <v>1875</v>
      </c>
      <c r="B3235" s="572">
        <v>2.9681500000000001</v>
      </c>
      <c r="C3235" s="572">
        <v>445.125</v>
      </c>
    </row>
    <row r="3236" spans="1:3">
      <c r="A3236" s="571" t="s">
        <v>1875</v>
      </c>
      <c r="B3236" s="572">
        <v>3.3739300000000001</v>
      </c>
      <c r="C3236" s="572">
        <v>471.56299999999999</v>
      </c>
    </row>
    <row r="3237" spans="1:3">
      <c r="A3237" s="571" t="s">
        <v>1875</v>
      </c>
      <c r="B3237" s="572">
        <v>19.181000000000001</v>
      </c>
      <c r="C3237" s="572">
        <v>665.21199999999999</v>
      </c>
    </row>
    <row r="3238" spans="1:3">
      <c r="A3238" s="571" t="s">
        <v>1875</v>
      </c>
      <c r="B3238" s="572">
        <v>20.381</v>
      </c>
      <c r="C3238" s="572">
        <v>709.26800000000003</v>
      </c>
    </row>
    <row r="3239" spans="1:3">
      <c r="A3239" s="571" t="s">
        <v>1875</v>
      </c>
      <c r="B3239" s="572">
        <v>21.9651</v>
      </c>
      <c r="C3239" s="572">
        <v>735.68499999999995</v>
      </c>
    </row>
    <row r="3240" spans="1:3">
      <c r="A3240" s="571" t="s">
        <v>1875</v>
      </c>
      <c r="B3240" s="572">
        <v>23.545000000000002</v>
      </c>
      <c r="C3240" s="572">
        <v>753.28700000000003</v>
      </c>
    </row>
    <row r="3241" spans="1:3">
      <c r="A3241" s="571" t="s">
        <v>1875</v>
      </c>
      <c r="B3241" s="572">
        <v>25.910399999999999</v>
      </c>
      <c r="C3241" s="572">
        <v>770.87400000000002</v>
      </c>
    </row>
    <row r="3242" spans="1:3">
      <c r="A3242" s="571" t="s">
        <v>1875</v>
      </c>
      <c r="B3242" s="572">
        <v>27.110399999999998</v>
      </c>
      <c r="C3242" s="572">
        <v>814.92899999999997</v>
      </c>
    </row>
    <row r="3243" spans="1:3">
      <c r="A3243" s="571" t="s">
        <v>1875</v>
      </c>
      <c r="B3243" s="572">
        <v>29.473700000000001</v>
      </c>
      <c r="C3243" s="572">
        <v>828.10900000000004</v>
      </c>
    </row>
    <row r="3244" spans="1:3">
      <c r="A3244" s="571" t="s">
        <v>1875</v>
      </c>
      <c r="B3244" s="572">
        <v>29.877300000000002</v>
      </c>
      <c r="C3244" s="572">
        <v>850.14</v>
      </c>
    </row>
    <row r="3245" spans="1:3">
      <c r="A3245" s="571" t="s">
        <v>1875</v>
      </c>
      <c r="B3245" s="572">
        <v>33.436300000000003</v>
      </c>
      <c r="C3245" s="572">
        <v>898.55899999999997</v>
      </c>
    </row>
    <row r="3246" spans="1:3">
      <c r="A3246" s="571" t="s">
        <v>1875</v>
      </c>
      <c r="B3246" s="572">
        <v>35.014000000000003</v>
      </c>
      <c r="C3246" s="572">
        <v>911.75400000000002</v>
      </c>
    </row>
    <row r="3247" spans="1:3">
      <c r="A3247" s="571" t="s">
        <v>1875</v>
      </c>
      <c r="B3247" s="572">
        <v>37.770000000000003</v>
      </c>
      <c r="C3247" s="572">
        <v>924.92600000000004</v>
      </c>
    </row>
    <row r="3248" spans="1:3">
      <c r="A3248" s="571" t="s">
        <v>1875</v>
      </c>
      <c r="B3248" s="572">
        <v>40.150599999999997</v>
      </c>
      <c r="C3248" s="572">
        <v>973.36699999999996</v>
      </c>
    </row>
    <row r="3249" spans="1:3">
      <c r="A3249" s="571" t="s">
        <v>1875</v>
      </c>
      <c r="B3249" s="572">
        <v>42.908799999999999</v>
      </c>
      <c r="C3249" s="572">
        <v>990.947</v>
      </c>
    </row>
    <row r="3250" spans="1:3">
      <c r="A3250" s="571" t="s">
        <v>1875</v>
      </c>
      <c r="B3250" s="572">
        <v>46.454799999999999</v>
      </c>
      <c r="C3250" s="572">
        <v>1012.92</v>
      </c>
    </row>
    <row r="3251" spans="1:3">
      <c r="A3251" s="571" t="s">
        <v>1875</v>
      </c>
      <c r="B3251" s="572">
        <v>48.030299999999997</v>
      </c>
      <c r="C3251" s="572">
        <v>1021.71</v>
      </c>
    </row>
    <row r="3252" spans="1:3">
      <c r="A3252" s="571" t="s">
        <v>1875</v>
      </c>
      <c r="B3252" s="572">
        <v>49.221699999999998</v>
      </c>
      <c r="C3252" s="572">
        <v>1048.1300000000001</v>
      </c>
    </row>
    <row r="3253" spans="1:3">
      <c r="A3253" s="571" t="s">
        <v>1875</v>
      </c>
      <c r="B3253" s="572">
        <v>51.984200000000001</v>
      </c>
      <c r="C3253" s="572">
        <v>1074.53</v>
      </c>
    </row>
    <row r="3254" spans="1:3">
      <c r="A3254" s="571" t="s">
        <v>1875</v>
      </c>
      <c r="B3254" s="572">
        <v>55.139600000000002</v>
      </c>
      <c r="C3254" s="572">
        <v>1100.92</v>
      </c>
    </row>
    <row r="3255" spans="1:3">
      <c r="A3255" s="571" t="s">
        <v>1875</v>
      </c>
      <c r="B3255" s="572">
        <v>57.112200000000001</v>
      </c>
      <c r="C3255" s="572">
        <v>1118.51</v>
      </c>
    </row>
    <row r="3256" spans="1:3">
      <c r="A3256" s="571" t="s">
        <v>1875</v>
      </c>
      <c r="B3256" s="572">
        <v>61.053100000000001</v>
      </c>
      <c r="C3256" s="572">
        <v>1144.8800000000001</v>
      </c>
    </row>
    <row r="3257" spans="1:3">
      <c r="A3257" s="571" t="s">
        <v>1875</v>
      </c>
      <c r="B3257" s="572">
        <v>65.786199999999994</v>
      </c>
      <c r="C3257" s="572">
        <v>1184.47</v>
      </c>
    </row>
    <row r="3258" spans="1:3">
      <c r="A3258" s="571" t="s">
        <v>1875</v>
      </c>
      <c r="B3258" s="572">
        <v>69.332099999999997</v>
      </c>
      <c r="C3258" s="572">
        <v>1206.44</v>
      </c>
    </row>
    <row r="3259" spans="1:3">
      <c r="A3259" s="571" t="s">
        <v>1875</v>
      </c>
      <c r="B3259" s="572">
        <v>78.372900000000001</v>
      </c>
      <c r="C3259" s="572">
        <v>1219.5</v>
      </c>
    </row>
    <row r="3260" spans="1:3">
      <c r="A3260" s="571" t="s">
        <v>1875</v>
      </c>
      <c r="B3260" s="572">
        <v>83.479200000000006</v>
      </c>
      <c r="C3260" s="572">
        <v>1219.4000000000001</v>
      </c>
    </row>
    <row r="3261" spans="1:3">
      <c r="A3261" s="571" t="s">
        <v>1875</v>
      </c>
      <c r="B3261" s="572">
        <v>90.946700000000007</v>
      </c>
      <c r="C3261" s="572">
        <v>1228.08</v>
      </c>
    </row>
    <row r="3262" spans="1:3">
      <c r="A3262" s="571" t="s">
        <v>1875</v>
      </c>
      <c r="B3262" s="572">
        <v>98.414100000000005</v>
      </c>
      <c r="C3262" s="572">
        <v>1236.76</v>
      </c>
    </row>
    <row r="3263" spans="1:3">
      <c r="A3263" s="573" t="s">
        <v>1875</v>
      </c>
      <c r="B3263" s="574">
        <v>105.087</v>
      </c>
      <c r="C3263" s="574">
        <v>1227.82</v>
      </c>
    </row>
    <row r="3264" spans="1:3">
      <c r="A3264" s="573" t="s">
        <v>1875</v>
      </c>
      <c r="B3264" s="574">
        <v>112.164</v>
      </c>
      <c r="C3264" s="574">
        <v>1240.92</v>
      </c>
    </row>
    <row r="3265" spans="1:3">
      <c r="A3265" s="573" t="s">
        <v>1875</v>
      </c>
      <c r="B3265" s="574">
        <v>119.63200000000001</v>
      </c>
      <c r="C3265" s="574">
        <v>1249.5899999999999</v>
      </c>
    </row>
    <row r="3266" spans="1:3">
      <c r="A3266" s="573" t="s">
        <v>1875</v>
      </c>
      <c r="B3266" s="574">
        <v>126.32</v>
      </c>
      <c r="C3266" s="574">
        <v>1271.51</v>
      </c>
    </row>
    <row r="3267" spans="1:3">
      <c r="A3267" s="573" t="s">
        <v>1875</v>
      </c>
      <c r="B3267" s="574">
        <v>134.96100000000001</v>
      </c>
      <c r="C3267" s="574">
        <v>1271.3499999999999</v>
      </c>
    </row>
    <row r="3268" spans="1:3">
      <c r="A3268" s="573" t="s">
        <v>1875</v>
      </c>
      <c r="B3268" s="574">
        <v>154.215</v>
      </c>
      <c r="C3268" s="574">
        <v>1284.22</v>
      </c>
    </row>
    <row r="3269" spans="1:3">
      <c r="A3269" s="573" t="s">
        <v>1875</v>
      </c>
      <c r="B3269" s="574">
        <v>166.791</v>
      </c>
      <c r="C3269" s="574">
        <v>1297.21</v>
      </c>
    </row>
    <row r="3270" spans="1:3">
      <c r="A3270" s="573" t="s">
        <v>1875</v>
      </c>
      <c r="B3270" s="574">
        <v>184.482</v>
      </c>
      <c r="C3270" s="574">
        <v>1327.74</v>
      </c>
    </row>
    <row r="3271" spans="1:3">
      <c r="A3271" s="573" t="s">
        <v>1875</v>
      </c>
      <c r="B3271" s="574">
        <v>188.809</v>
      </c>
      <c r="C3271" s="574">
        <v>1340.89</v>
      </c>
    </row>
    <row r="3272" spans="1:3">
      <c r="A3272" s="573" t="s">
        <v>1875</v>
      </c>
      <c r="B3272" s="574">
        <v>191.554</v>
      </c>
      <c r="C3272" s="574">
        <v>1332.02</v>
      </c>
    </row>
    <row r="3273" spans="1:3">
      <c r="A3273" s="573" t="s">
        <v>1875</v>
      </c>
      <c r="B3273" s="574">
        <v>199.024</v>
      </c>
      <c r="C3273" s="574">
        <v>1345.11</v>
      </c>
    </row>
    <row r="3274" spans="1:3">
      <c r="A3274" s="573" t="s">
        <v>1875</v>
      </c>
      <c r="B3274" s="574">
        <v>205.70599999999999</v>
      </c>
      <c r="C3274" s="574">
        <v>1353.8</v>
      </c>
    </row>
    <row r="3275" spans="1:3">
      <c r="A3275" s="573" t="s">
        <v>1875</v>
      </c>
      <c r="B3275" s="574">
        <v>208.863</v>
      </c>
      <c r="C3275" s="574">
        <v>1384.59</v>
      </c>
    </row>
    <row r="3276" spans="1:3">
      <c r="A3276" s="573" t="s">
        <v>1875</v>
      </c>
      <c r="B3276" s="574">
        <v>212.78700000000001</v>
      </c>
      <c r="C3276" s="574">
        <v>1375.71</v>
      </c>
    </row>
    <row r="3277" spans="1:3">
      <c r="A3277" s="573" t="s">
        <v>1875</v>
      </c>
      <c r="B3277" s="574">
        <v>224.18600000000001</v>
      </c>
      <c r="C3277" s="574">
        <v>1393.13</v>
      </c>
    </row>
    <row r="3278" spans="1:3">
      <c r="A3278" s="573" t="s">
        <v>1875</v>
      </c>
      <c r="B3278" s="574">
        <v>237.934</v>
      </c>
      <c r="C3278" s="574">
        <v>1392.88</v>
      </c>
    </row>
    <row r="3279" spans="1:3">
      <c r="A3279" s="571" t="s">
        <v>1876</v>
      </c>
      <c r="B3279" s="572">
        <v>0.391517</v>
      </c>
      <c r="C3279" s="572">
        <v>4.4220899999999999</v>
      </c>
    </row>
    <row r="3280" spans="1:3">
      <c r="A3280" s="571" t="s">
        <v>1876</v>
      </c>
      <c r="B3280" s="572">
        <v>0.78303400000000001</v>
      </c>
      <c r="C3280" s="572">
        <v>312.91899999999998</v>
      </c>
    </row>
    <row r="3281" spans="1:3">
      <c r="A3281" s="571" t="s">
        <v>1876</v>
      </c>
      <c r="B3281" s="572">
        <v>24.665600000000001</v>
      </c>
      <c r="C3281" s="572">
        <v>730.774</v>
      </c>
    </row>
    <row r="3282" spans="1:3">
      <c r="A3282" s="571" t="s">
        <v>1876</v>
      </c>
      <c r="B3282" s="572">
        <v>29.363800000000001</v>
      </c>
      <c r="C3282" s="572">
        <v>774.67899999999997</v>
      </c>
    </row>
    <row r="3283" spans="1:3">
      <c r="A3283" s="571" t="s">
        <v>1876</v>
      </c>
      <c r="B3283" s="572">
        <v>30.9299</v>
      </c>
      <c r="C3283" s="572">
        <v>814.29100000000005</v>
      </c>
    </row>
    <row r="3284" spans="1:3">
      <c r="A3284" s="571" t="s">
        <v>1876</v>
      </c>
      <c r="B3284" s="572">
        <v>34.844999999999999</v>
      </c>
      <c r="C3284" s="572">
        <v>853.81700000000001</v>
      </c>
    </row>
    <row r="3285" spans="1:3">
      <c r="A3285" s="571" t="s">
        <v>1876</v>
      </c>
      <c r="B3285" s="572">
        <v>37.585599999999999</v>
      </c>
      <c r="C3285" s="572">
        <v>884.57</v>
      </c>
    </row>
    <row r="3286" spans="1:3">
      <c r="A3286" s="571" t="s">
        <v>1876</v>
      </c>
      <c r="B3286" s="572">
        <v>40.326300000000003</v>
      </c>
      <c r="C3286" s="572">
        <v>915.32299999999998</v>
      </c>
    </row>
    <row r="3287" spans="1:3">
      <c r="A3287" s="571" t="s">
        <v>1876</v>
      </c>
      <c r="B3287" s="572">
        <v>44.241399999999999</v>
      </c>
      <c r="C3287" s="572">
        <v>923.995</v>
      </c>
    </row>
    <row r="3288" spans="1:3">
      <c r="A3288" s="571" t="s">
        <v>1876</v>
      </c>
      <c r="B3288" s="572">
        <v>46.198999999999998</v>
      </c>
      <c r="C3288" s="572">
        <v>945.96100000000001</v>
      </c>
    </row>
    <row r="3289" spans="1:3">
      <c r="A3289" s="571" t="s">
        <v>1876</v>
      </c>
      <c r="B3289" s="572">
        <v>48.939599999999999</v>
      </c>
      <c r="C3289" s="572">
        <v>981.12300000000005</v>
      </c>
    </row>
    <row r="3290" spans="1:3">
      <c r="A3290" s="571" t="s">
        <v>1876</v>
      </c>
      <c r="B3290" s="572">
        <v>52.071800000000003</v>
      </c>
      <c r="C3290" s="572">
        <v>998.63800000000003</v>
      </c>
    </row>
    <row r="3291" spans="1:3">
      <c r="A3291" s="571" t="s">
        <v>1876</v>
      </c>
      <c r="B3291" s="572">
        <v>61.859699999999997</v>
      </c>
      <c r="C3291" s="572">
        <v>1046.76</v>
      </c>
    </row>
    <row r="3292" spans="1:3">
      <c r="A3292" s="571" t="s">
        <v>1876</v>
      </c>
      <c r="B3292" s="572">
        <v>66.166399999999996</v>
      </c>
      <c r="C3292" s="572">
        <v>1068.6400000000001</v>
      </c>
    </row>
    <row r="3293" spans="1:3">
      <c r="A3293" s="571" t="s">
        <v>1876</v>
      </c>
      <c r="B3293" s="572">
        <v>69.298500000000004</v>
      </c>
      <c r="C3293" s="572">
        <v>1103.79</v>
      </c>
    </row>
    <row r="3294" spans="1:3">
      <c r="A3294" s="571" t="s">
        <v>1876</v>
      </c>
      <c r="B3294" s="572">
        <v>78.694900000000004</v>
      </c>
      <c r="C3294" s="572">
        <v>1116.67</v>
      </c>
    </row>
    <row r="3295" spans="1:3">
      <c r="A3295" s="571" t="s">
        <v>1876</v>
      </c>
      <c r="B3295" s="572">
        <v>83.001599999999996</v>
      </c>
      <c r="C3295" s="572">
        <v>1116.51</v>
      </c>
    </row>
    <row r="3296" spans="1:3">
      <c r="A3296" s="571" t="s">
        <v>1876</v>
      </c>
      <c r="B3296" s="572">
        <v>90.4405</v>
      </c>
      <c r="C3296" s="572">
        <v>1133.8699999999999</v>
      </c>
    </row>
    <row r="3297" spans="1:3">
      <c r="A3297" s="571" t="s">
        <v>1876</v>
      </c>
      <c r="B3297" s="572">
        <v>98.270799999999994</v>
      </c>
      <c r="C3297" s="572">
        <v>1142.4000000000001</v>
      </c>
    </row>
    <row r="3298" spans="1:3">
      <c r="A3298" s="573" t="s">
        <v>1876</v>
      </c>
      <c r="B3298" s="574">
        <v>106.101</v>
      </c>
      <c r="C3298" s="574">
        <v>1155.33</v>
      </c>
    </row>
    <row r="3299" spans="1:3">
      <c r="A3299" s="573" t="s">
        <v>1876</v>
      </c>
      <c r="B3299" s="574">
        <v>112.36499999999999</v>
      </c>
      <c r="C3299" s="574">
        <v>1168.32</v>
      </c>
    </row>
    <row r="3300" spans="1:3">
      <c r="A3300" s="573" t="s">
        <v>1876</v>
      </c>
      <c r="B3300" s="574">
        <v>119.804</v>
      </c>
      <c r="C3300" s="574">
        <v>1181.27</v>
      </c>
    </row>
    <row r="3301" spans="1:3">
      <c r="A3301" s="573" t="s">
        <v>1876</v>
      </c>
      <c r="B3301" s="574">
        <v>125.67700000000001</v>
      </c>
      <c r="C3301" s="574">
        <v>1194.28</v>
      </c>
    </row>
    <row r="3302" spans="1:3">
      <c r="A3302" s="573" t="s">
        <v>1876</v>
      </c>
      <c r="B3302" s="574">
        <v>134.29</v>
      </c>
      <c r="C3302" s="574">
        <v>1207.19</v>
      </c>
    </row>
    <row r="3303" spans="1:3">
      <c r="A3303" s="573" t="s">
        <v>1876</v>
      </c>
      <c r="B3303" s="574">
        <v>154.649</v>
      </c>
      <c r="C3303" s="574">
        <v>1215.26</v>
      </c>
    </row>
    <row r="3304" spans="1:3">
      <c r="A3304" s="573" t="s">
        <v>1876</v>
      </c>
      <c r="B3304" s="574">
        <v>166.39500000000001</v>
      </c>
      <c r="C3304" s="574">
        <v>1223.6400000000001</v>
      </c>
    </row>
    <row r="3305" spans="1:3">
      <c r="A3305" s="573" t="s">
        <v>1876</v>
      </c>
      <c r="B3305" s="574">
        <v>183.62200000000001</v>
      </c>
      <c r="C3305" s="574">
        <v>1231.82</v>
      </c>
    </row>
    <row r="3306" spans="1:3">
      <c r="A3306" s="573" t="s">
        <v>1876</v>
      </c>
      <c r="B3306" s="574">
        <v>188.71100000000001</v>
      </c>
      <c r="C3306" s="574">
        <v>1249.27</v>
      </c>
    </row>
    <row r="3307" spans="1:3">
      <c r="A3307" s="573" t="s">
        <v>1876</v>
      </c>
      <c r="B3307" s="574">
        <v>192.23500000000001</v>
      </c>
      <c r="C3307" s="574">
        <v>1240.32</v>
      </c>
    </row>
    <row r="3308" spans="1:3">
      <c r="A3308" s="573" t="s">
        <v>1876</v>
      </c>
      <c r="B3308" s="574">
        <v>197.71600000000001</v>
      </c>
      <c r="C3308" s="574">
        <v>1253.3399999999999</v>
      </c>
    </row>
    <row r="3309" spans="1:3">
      <c r="A3309" s="573" t="s">
        <v>1876</v>
      </c>
      <c r="B3309" s="574">
        <v>205.155</v>
      </c>
      <c r="C3309" s="574">
        <v>1266.29</v>
      </c>
    </row>
    <row r="3310" spans="1:3">
      <c r="A3310" s="573" t="s">
        <v>1876</v>
      </c>
      <c r="B3310" s="574">
        <v>207.50399999999999</v>
      </c>
      <c r="C3310" s="574">
        <v>1279.43</v>
      </c>
    </row>
    <row r="3311" spans="1:3">
      <c r="A3311" s="573" t="s">
        <v>1876</v>
      </c>
      <c r="B3311" s="574">
        <v>211.41900000000001</v>
      </c>
      <c r="C3311" s="574">
        <v>1279.29</v>
      </c>
    </row>
    <row r="3312" spans="1:3">
      <c r="A3312" s="573" t="s">
        <v>1876</v>
      </c>
      <c r="B3312" s="574">
        <v>224.339</v>
      </c>
      <c r="C3312" s="574">
        <v>1296.44</v>
      </c>
    </row>
    <row r="3313" spans="1:3">
      <c r="A3313" s="573" t="s">
        <v>1876</v>
      </c>
      <c r="B3313" s="574">
        <v>237.65100000000001</v>
      </c>
      <c r="C3313" s="574">
        <v>1282.73</v>
      </c>
    </row>
    <row r="3314" spans="1:3">
      <c r="A3314" s="571" t="s">
        <v>1877</v>
      </c>
      <c r="B3314" s="572">
        <v>0.215195</v>
      </c>
      <c r="C3314" s="572">
        <v>291.709</v>
      </c>
    </row>
    <row r="3315" spans="1:3">
      <c r="A3315" s="571" t="s">
        <v>1877</v>
      </c>
      <c r="B3315" s="572">
        <v>3.0344699999999998</v>
      </c>
      <c r="C3315" s="572">
        <v>380.05500000000001</v>
      </c>
    </row>
    <row r="3316" spans="1:3">
      <c r="A3316" s="571" t="s">
        <v>1877</v>
      </c>
      <c r="B3316" s="572">
        <v>8.20458</v>
      </c>
      <c r="C3316" s="572">
        <v>455.09800000000001</v>
      </c>
    </row>
    <row r="3317" spans="1:3">
      <c r="A3317" s="571" t="s">
        <v>1877</v>
      </c>
      <c r="B3317" s="572">
        <v>12.9878</v>
      </c>
      <c r="C3317" s="572">
        <v>538.98699999999997</v>
      </c>
    </row>
    <row r="3318" spans="1:3">
      <c r="A3318" s="571" t="s">
        <v>1877</v>
      </c>
      <c r="B3318" s="572">
        <v>18.5578</v>
      </c>
      <c r="C3318" s="572">
        <v>622.86300000000006</v>
      </c>
    </row>
    <row r="3319" spans="1:3">
      <c r="A3319" s="571" t="s">
        <v>1877</v>
      </c>
      <c r="B3319" s="572">
        <v>23.3247</v>
      </c>
      <c r="C3319" s="572">
        <v>684.65300000000002</v>
      </c>
    </row>
    <row r="3320" spans="1:3">
      <c r="A3320" s="571" t="s">
        <v>1877</v>
      </c>
      <c r="B3320" s="572">
        <v>29.268699999999999</v>
      </c>
      <c r="C3320" s="572">
        <v>742.00199999999995</v>
      </c>
    </row>
    <row r="3321" spans="1:3">
      <c r="A3321" s="571" t="s">
        <v>1877</v>
      </c>
      <c r="B3321" s="572">
        <v>36.3962</v>
      </c>
      <c r="C3321" s="572">
        <v>803.75</v>
      </c>
    </row>
    <row r="3322" spans="1:3">
      <c r="A3322" s="571" t="s">
        <v>1877</v>
      </c>
      <c r="B3322" s="572">
        <v>43.9041</v>
      </c>
      <c r="C3322" s="572">
        <v>847.81</v>
      </c>
    </row>
    <row r="3323" spans="1:3">
      <c r="A3323" s="571" t="s">
        <v>1877</v>
      </c>
      <c r="B3323" s="572">
        <v>51.821800000000003</v>
      </c>
      <c r="C3323" s="572">
        <v>913.96299999999997</v>
      </c>
    </row>
    <row r="3324" spans="1:3">
      <c r="A3324" s="571" t="s">
        <v>1877</v>
      </c>
      <c r="B3324" s="572">
        <v>60.119799999999998</v>
      </c>
      <c r="C3324" s="572">
        <v>962.42899999999997</v>
      </c>
    </row>
    <row r="3325" spans="1:3">
      <c r="A3325" s="571" t="s">
        <v>1877</v>
      </c>
      <c r="B3325" s="572">
        <v>70.775199999999998</v>
      </c>
      <c r="C3325" s="572">
        <v>1006.43</v>
      </c>
    </row>
    <row r="3326" spans="1:3">
      <c r="A3326" s="571" t="s">
        <v>1877</v>
      </c>
      <c r="B3326" s="572">
        <v>78.260300000000001</v>
      </c>
      <c r="C3326" s="572">
        <v>1019.55</v>
      </c>
    </row>
    <row r="3327" spans="1:3">
      <c r="A3327" s="571" t="s">
        <v>1877</v>
      </c>
      <c r="B3327" s="572">
        <v>88.099500000000006</v>
      </c>
      <c r="C3327" s="572">
        <v>1023.79</v>
      </c>
    </row>
    <row r="3328" spans="1:3">
      <c r="A3328" s="571" t="s">
        <v>1877</v>
      </c>
      <c r="B3328" s="572">
        <v>96.7714</v>
      </c>
      <c r="C3328" s="572">
        <v>1045.73</v>
      </c>
    </row>
    <row r="3329" spans="1:3">
      <c r="A3329" s="573" t="s">
        <v>1877</v>
      </c>
      <c r="B3329" s="574">
        <v>106.224</v>
      </c>
      <c r="C3329" s="574">
        <v>1058.82</v>
      </c>
    </row>
    <row r="3330" spans="1:3">
      <c r="A3330" s="573" t="s">
        <v>1877</v>
      </c>
      <c r="B3330" s="574">
        <v>116.873</v>
      </c>
      <c r="C3330" s="574">
        <v>1093.98</v>
      </c>
    </row>
    <row r="3331" spans="1:3">
      <c r="A3331" s="573" t="s">
        <v>1877</v>
      </c>
      <c r="B3331" s="574">
        <v>129.08199999999999</v>
      </c>
      <c r="C3331" s="574">
        <v>1111.43</v>
      </c>
    </row>
    <row r="3332" spans="1:3">
      <c r="A3332" s="573" t="s">
        <v>1877</v>
      </c>
      <c r="B3332" s="574">
        <v>139.315</v>
      </c>
      <c r="C3332" s="574">
        <v>1115.67</v>
      </c>
    </row>
    <row r="3333" spans="1:3">
      <c r="A3333" s="573" t="s">
        <v>1877</v>
      </c>
      <c r="B3333" s="574">
        <v>146.80000000000001</v>
      </c>
      <c r="C3333" s="574">
        <v>1128.79</v>
      </c>
    </row>
    <row r="3334" spans="1:3">
      <c r="A3334" s="573" t="s">
        <v>1877</v>
      </c>
      <c r="B3334" s="574">
        <v>157.036</v>
      </c>
      <c r="C3334" s="574">
        <v>1137.44</v>
      </c>
    </row>
    <row r="3335" spans="1:3">
      <c r="A3335" s="573" t="s">
        <v>1877</v>
      </c>
      <c r="B3335" s="574">
        <v>167.655</v>
      </c>
      <c r="C3335" s="574">
        <v>1132.82</v>
      </c>
    </row>
    <row r="3336" spans="1:3">
      <c r="A3336" s="573" t="s">
        <v>1877</v>
      </c>
      <c r="B3336" s="574">
        <v>179.072</v>
      </c>
      <c r="C3336" s="574">
        <v>1141.45</v>
      </c>
    </row>
    <row r="3337" spans="1:3">
      <c r="A3337" s="573" t="s">
        <v>1877</v>
      </c>
      <c r="B3337" s="574">
        <v>190.88399999999999</v>
      </c>
      <c r="C3337" s="574">
        <v>1154.5</v>
      </c>
    </row>
    <row r="3338" spans="1:3">
      <c r="A3338" s="573" t="s">
        <v>1877</v>
      </c>
      <c r="B3338" s="574">
        <v>203.08799999999999</v>
      </c>
      <c r="C3338" s="574">
        <v>1163.1099999999999</v>
      </c>
    </row>
    <row r="3339" spans="1:3">
      <c r="A3339" s="573" t="s">
        <v>1877</v>
      </c>
      <c r="B3339" s="574">
        <v>214.904</v>
      </c>
      <c r="C3339" s="574">
        <v>1180.57</v>
      </c>
    </row>
    <row r="3340" spans="1:3">
      <c r="A3340" s="573" t="s">
        <v>1877</v>
      </c>
      <c r="B3340" s="574">
        <v>225.149</v>
      </c>
      <c r="C3340" s="574">
        <v>1202.48</v>
      </c>
    </row>
    <row r="3341" spans="1:3">
      <c r="A3341" s="573" t="s">
        <v>1877</v>
      </c>
      <c r="B3341" s="574">
        <v>237.739</v>
      </c>
      <c r="C3341" s="574">
        <v>1202.25</v>
      </c>
    </row>
    <row r="3342" spans="1:3">
      <c r="A3342" s="571" t="s">
        <v>1878</v>
      </c>
      <c r="B3342" s="572">
        <v>7.0529800000000004E-2</v>
      </c>
      <c r="C3342" s="572">
        <v>287.29199999999997</v>
      </c>
    </row>
    <row r="3343" spans="1:3">
      <c r="A3343" s="571" t="s">
        <v>1878</v>
      </c>
      <c r="B3343" s="572">
        <v>3.6241500000000002</v>
      </c>
      <c r="C3343" s="572">
        <v>362.36399999999998</v>
      </c>
    </row>
    <row r="3344" spans="1:3">
      <c r="A3344" s="571" t="s">
        <v>1878</v>
      </c>
      <c r="B3344" s="572">
        <v>9.1395800000000005</v>
      </c>
      <c r="C3344" s="572">
        <v>428.56099999999998</v>
      </c>
    </row>
    <row r="3345" spans="1:3">
      <c r="A3345" s="571" t="s">
        <v>1878</v>
      </c>
      <c r="B3345" s="572">
        <v>13.468999999999999</v>
      </c>
      <c r="C3345" s="572">
        <v>463.84</v>
      </c>
    </row>
    <row r="3346" spans="1:3">
      <c r="A3346" s="571" t="s">
        <v>1878</v>
      </c>
      <c r="B3346" s="572">
        <v>19.772200000000002</v>
      </c>
      <c r="C3346" s="572">
        <v>538.86199999999997</v>
      </c>
    </row>
    <row r="3347" spans="1:3">
      <c r="A3347" s="571" t="s">
        <v>1878</v>
      </c>
      <c r="B3347" s="572">
        <v>24.895900000000001</v>
      </c>
      <c r="C3347" s="572">
        <v>609.48599999999999</v>
      </c>
    </row>
    <row r="3348" spans="1:3">
      <c r="A3348" s="571" t="s">
        <v>1878</v>
      </c>
      <c r="B3348" s="572">
        <v>31.980399999999999</v>
      </c>
      <c r="C3348" s="572">
        <v>666.81399999999996</v>
      </c>
    </row>
    <row r="3349" spans="1:3">
      <c r="A3349" s="571" t="s">
        <v>1878</v>
      </c>
      <c r="B3349" s="572">
        <v>39.064799999999998</v>
      </c>
      <c r="C3349" s="572">
        <v>724.14200000000005</v>
      </c>
    </row>
    <row r="3350" spans="1:3">
      <c r="A3350" s="571" t="s">
        <v>1878</v>
      </c>
      <c r="B3350" s="572">
        <v>46.931600000000003</v>
      </c>
      <c r="C3350" s="572">
        <v>768.19600000000003</v>
      </c>
    </row>
    <row r="3351" spans="1:3">
      <c r="A3351" s="571" t="s">
        <v>1878</v>
      </c>
      <c r="B3351" s="572">
        <v>55.975700000000003</v>
      </c>
      <c r="C3351" s="572">
        <v>807.80899999999997</v>
      </c>
    </row>
    <row r="3352" spans="1:3">
      <c r="A3352" s="571" t="s">
        <v>1878</v>
      </c>
      <c r="B3352" s="572">
        <v>63.056899999999999</v>
      </c>
      <c r="C3352" s="572">
        <v>851.87699999999995</v>
      </c>
    </row>
    <row r="3353" spans="1:3">
      <c r="A3353" s="571" t="s">
        <v>1878</v>
      </c>
      <c r="B3353" s="572">
        <v>70.142499999999998</v>
      </c>
      <c r="C3353" s="572">
        <v>913.625</v>
      </c>
    </row>
    <row r="3354" spans="1:3">
      <c r="A3354" s="571" t="s">
        <v>1878</v>
      </c>
      <c r="B3354" s="572">
        <v>78.405299999999997</v>
      </c>
      <c r="C3354" s="572">
        <v>970.93200000000002</v>
      </c>
    </row>
    <row r="3355" spans="1:3">
      <c r="A3355" s="571" t="s">
        <v>1878</v>
      </c>
      <c r="B3355" s="572">
        <v>86.663799999999995</v>
      </c>
      <c r="C3355" s="572">
        <v>1010.56</v>
      </c>
    </row>
    <row r="3356" spans="1:3">
      <c r="A3356" s="571" t="s">
        <v>1878</v>
      </c>
      <c r="B3356" s="572">
        <v>94.525199999999998</v>
      </c>
      <c r="C3356" s="572">
        <v>1032.51</v>
      </c>
    </row>
    <row r="3357" spans="1:3">
      <c r="A3357" s="573" t="s">
        <v>1878</v>
      </c>
      <c r="B3357" s="574">
        <v>103.17400000000001</v>
      </c>
      <c r="C3357" s="574">
        <v>1063.29</v>
      </c>
    </row>
    <row r="3358" spans="1:3">
      <c r="A3358" s="573" t="s">
        <v>1878</v>
      </c>
      <c r="B3358" s="574">
        <v>112.607</v>
      </c>
      <c r="C3358" s="574">
        <v>1085.22</v>
      </c>
    </row>
    <row r="3359" spans="1:3">
      <c r="A3359" s="573" t="s">
        <v>1878</v>
      </c>
      <c r="B3359" s="574">
        <v>123.608</v>
      </c>
      <c r="C3359" s="574">
        <v>1098.28</v>
      </c>
    </row>
    <row r="3360" spans="1:3">
      <c r="A3360" s="573" t="s">
        <v>1878</v>
      </c>
      <c r="B3360" s="574">
        <v>133.42699999999999</v>
      </c>
      <c r="C3360" s="574">
        <v>1093.68</v>
      </c>
    </row>
    <row r="3361" spans="1:3">
      <c r="A3361" s="573" t="s">
        <v>1878</v>
      </c>
      <c r="B3361" s="574">
        <v>146.38800000000001</v>
      </c>
      <c r="C3361" s="574">
        <v>1089.02</v>
      </c>
    </row>
    <row r="3362" spans="1:3">
      <c r="A3362" s="573" t="s">
        <v>1878</v>
      </c>
      <c r="B3362" s="574">
        <v>154.648</v>
      </c>
      <c r="C3362" s="574">
        <v>1133.06</v>
      </c>
    </row>
    <row r="3363" spans="1:3">
      <c r="A3363" s="573" t="s">
        <v>1878</v>
      </c>
      <c r="B3363" s="574">
        <v>166.82599999999999</v>
      </c>
      <c r="C3363" s="574">
        <v>1137.26</v>
      </c>
    </row>
    <row r="3364" spans="1:3">
      <c r="A3364" s="573" t="s">
        <v>1878</v>
      </c>
      <c r="B3364" s="574">
        <v>178.999</v>
      </c>
      <c r="C3364" s="574">
        <v>1123.78</v>
      </c>
    </row>
    <row r="3365" spans="1:3">
      <c r="A3365" s="573" t="s">
        <v>1878</v>
      </c>
      <c r="B3365" s="574">
        <v>187.64599999999999</v>
      </c>
      <c r="C3365" s="574">
        <v>1145.72</v>
      </c>
    </row>
    <row r="3366" spans="1:3">
      <c r="A3366" s="573" t="s">
        <v>1878</v>
      </c>
      <c r="B3366" s="574">
        <v>197.85499999999999</v>
      </c>
      <c r="C3366" s="574">
        <v>1127.8499999999999</v>
      </c>
    </row>
    <row r="3367" spans="1:3">
      <c r="A3367" s="573" t="s">
        <v>1878</v>
      </c>
      <c r="B3367" s="574">
        <v>204.53100000000001</v>
      </c>
      <c r="C3367" s="574">
        <v>1123.31</v>
      </c>
    </row>
    <row r="3368" spans="1:3">
      <c r="A3368" s="573" t="s">
        <v>1878</v>
      </c>
      <c r="B3368" s="574">
        <v>212.00200000000001</v>
      </c>
      <c r="C3368" s="574">
        <v>1154.1099999999999</v>
      </c>
    </row>
    <row r="3369" spans="1:3">
      <c r="A3369" s="573" t="s">
        <v>1878</v>
      </c>
      <c r="B3369" s="574">
        <v>223.00200000000001</v>
      </c>
      <c r="C3369" s="574">
        <v>1162.74</v>
      </c>
    </row>
    <row r="3370" spans="1:3">
      <c r="A3370" s="573" t="s">
        <v>1878</v>
      </c>
      <c r="B3370" s="574">
        <v>235.96700000000001</v>
      </c>
      <c r="C3370" s="574">
        <v>1171.3399999999999</v>
      </c>
    </row>
    <row r="3371" spans="1:3">
      <c r="A3371" s="48" t="s">
        <v>1879</v>
      </c>
      <c r="B3371" s="549">
        <v>-1.6319899999999998E-2</v>
      </c>
      <c r="C3371" s="549">
        <v>0.26326500000000003</v>
      </c>
    </row>
    <row r="3372" spans="1:3">
      <c r="A3372" s="571" t="s">
        <v>1879</v>
      </c>
      <c r="B3372" s="572">
        <v>1.0050399999999999</v>
      </c>
      <c r="C3372" s="572">
        <v>39.203899999999997</v>
      </c>
    </row>
    <row r="3373" spans="1:3">
      <c r="A3373" s="571" t="s">
        <v>1879</v>
      </c>
      <c r="B3373" s="572">
        <v>2.0457700000000001</v>
      </c>
      <c r="C3373" s="572">
        <v>48.144399999999997</v>
      </c>
    </row>
    <row r="3374" spans="1:3">
      <c r="A3374" s="571" t="s">
        <v>1879</v>
      </c>
      <c r="B3374" s="572">
        <v>2.9705699999999999</v>
      </c>
      <c r="C3374" s="572">
        <v>56.559399999999997</v>
      </c>
    </row>
    <row r="3375" spans="1:3">
      <c r="A3375" s="571" t="s">
        <v>1879</v>
      </c>
      <c r="B3375" s="572">
        <v>5.0571400000000004</v>
      </c>
      <c r="C3375" s="572">
        <v>66.545699999999997</v>
      </c>
    </row>
    <row r="3376" spans="1:3">
      <c r="A3376" s="571" t="s">
        <v>1879</v>
      </c>
      <c r="B3376" s="572">
        <v>5.9863600000000003</v>
      </c>
      <c r="C3376" s="572">
        <v>68.118499999999997</v>
      </c>
    </row>
    <row r="3377" spans="1:3">
      <c r="A3377" s="571" t="s">
        <v>1879</v>
      </c>
      <c r="B3377" s="572">
        <v>7.9617500000000003</v>
      </c>
      <c r="C3377" s="572">
        <v>70.210800000000006</v>
      </c>
    </row>
    <row r="3378" spans="1:3">
      <c r="A3378" s="571" t="s">
        <v>1879</v>
      </c>
      <c r="B3378" s="572">
        <v>9.0069099999999995</v>
      </c>
      <c r="C3378" s="572">
        <v>72.309200000000004</v>
      </c>
    </row>
    <row r="3379" spans="1:3">
      <c r="A3379" s="571" t="s">
        <v>1879</v>
      </c>
      <c r="B3379" s="572">
        <v>12.028499999999999</v>
      </c>
      <c r="C3379" s="572">
        <v>74.920900000000003</v>
      </c>
    </row>
    <row r="3380" spans="1:3">
      <c r="A3380" s="571" t="s">
        <v>1879</v>
      </c>
      <c r="B3380" s="572">
        <v>15.0463</v>
      </c>
      <c r="C3380" s="572">
        <v>83.322100000000006</v>
      </c>
    </row>
    <row r="3381" spans="1:3">
      <c r="A3381" s="571" t="s">
        <v>1879</v>
      </c>
      <c r="B3381" s="572">
        <v>18.996700000000001</v>
      </c>
      <c r="C3381" s="572">
        <v>88.032899999999998</v>
      </c>
    </row>
    <row r="3382" spans="1:3">
      <c r="A3382" s="571" t="s">
        <v>1879</v>
      </c>
      <c r="B3382" s="572">
        <v>19.925599999999999</v>
      </c>
      <c r="C3382" s="572">
        <v>90.132099999999994</v>
      </c>
    </row>
    <row r="3383" spans="1:3">
      <c r="A3383" s="571" t="s">
        <v>1879</v>
      </c>
      <c r="B3383" s="572">
        <v>23.063800000000001</v>
      </c>
      <c r="C3383" s="572">
        <v>92.216700000000003</v>
      </c>
    </row>
    <row r="3384" spans="1:3">
      <c r="A3384" s="571" t="s">
        <v>1879</v>
      </c>
      <c r="B3384" s="572">
        <v>26.898299999999999</v>
      </c>
      <c r="C3384" s="572">
        <v>96.402000000000001</v>
      </c>
    </row>
    <row r="3385" spans="1:3">
      <c r="A3385" s="571" t="s">
        <v>1879</v>
      </c>
      <c r="B3385" s="572">
        <v>30.035499999999999</v>
      </c>
      <c r="C3385" s="572">
        <v>100.066</v>
      </c>
    </row>
    <row r="3386" spans="1:3">
      <c r="A3386" s="571" t="s">
        <v>1879</v>
      </c>
      <c r="B3386" s="572">
        <v>37.001399999999997</v>
      </c>
      <c r="C3386" s="572">
        <v>116.86199999999999</v>
      </c>
    </row>
    <row r="3387" spans="1:3">
      <c r="A3387" s="571" t="s">
        <v>1879</v>
      </c>
      <c r="B3387" s="572">
        <v>40.0246</v>
      </c>
      <c r="C3387" s="572">
        <v>116.842</v>
      </c>
    </row>
    <row r="3388" spans="1:3">
      <c r="A3388" s="571" t="s">
        <v>1879</v>
      </c>
      <c r="B3388" s="572">
        <v>43.978200000000001</v>
      </c>
      <c r="C3388" s="572">
        <v>116.816</v>
      </c>
    </row>
    <row r="3389" spans="1:3">
      <c r="A3389" s="571" t="s">
        <v>1879</v>
      </c>
      <c r="B3389" s="572">
        <v>55.945399999999999</v>
      </c>
      <c r="C3389" s="572">
        <v>131.47399999999999</v>
      </c>
    </row>
    <row r="3390" spans="1:3">
      <c r="A3390" s="571" t="s">
        <v>1879</v>
      </c>
      <c r="B3390" s="572">
        <v>69.071799999999996</v>
      </c>
      <c r="C3390" s="572">
        <v>151.91399999999999</v>
      </c>
    </row>
    <row r="3391" spans="1:3">
      <c r="A3391" s="571" t="s">
        <v>1880</v>
      </c>
      <c r="B3391" s="572">
        <v>9.9619600000000003E-2</v>
      </c>
      <c r="C3391" s="572">
        <v>0.78881800000000002</v>
      </c>
    </row>
    <row r="3392" spans="1:3">
      <c r="A3392" s="571" t="s">
        <v>1880</v>
      </c>
      <c r="B3392" s="572">
        <v>1.0261199999999999</v>
      </c>
      <c r="C3392" s="572">
        <v>6.5721999999999996</v>
      </c>
    </row>
    <row r="3393" spans="1:3">
      <c r="A3393" s="571" t="s">
        <v>1880</v>
      </c>
      <c r="B3393" s="572">
        <v>1.94547</v>
      </c>
      <c r="C3393" s="572">
        <v>23.408300000000001</v>
      </c>
    </row>
    <row r="3394" spans="1:3">
      <c r="A3394" s="571" t="s">
        <v>1880</v>
      </c>
      <c r="B3394" s="572">
        <v>3.9195099999999998</v>
      </c>
      <c r="C3394" s="572">
        <v>27.605799999999999</v>
      </c>
    </row>
    <row r="3395" spans="1:3">
      <c r="A3395" s="571" t="s">
        <v>1880</v>
      </c>
      <c r="B3395" s="572">
        <v>4.9595599999999997</v>
      </c>
      <c r="C3395" s="572">
        <v>37.598999999999997</v>
      </c>
    </row>
    <row r="3396" spans="1:3">
      <c r="A3396" s="571" t="s">
        <v>1880</v>
      </c>
      <c r="B3396" s="572">
        <v>7.0454499999999998</v>
      </c>
      <c r="C3396" s="572">
        <v>48.637900000000002</v>
      </c>
    </row>
    <row r="3397" spans="1:3">
      <c r="A3397" s="571" t="s">
        <v>1880</v>
      </c>
      <c r="B3397" s="572">
        <v>8.0906099999999999</v>
      </c>
      <c r="C3397" s="572">
        <v>50.736199999999997</v>
      </c>
    </row>
    <row r="3398" spans="1:3">
      <c r="A3398" s="571" t="s">
        <v>1880</v>
      </c>
      <c r="B3398" s="572">
        <v>9.9497199999999992</v>
      </c>
      <c r="C3398" s="572">
        <v>52.829300000000003</v>
      </c>
    </row>
    <row r="3399" spans="1:3">
      <c r="A3399" s="571" t="s">
        <v>1880</v>
      </c>
      <c r="B3399" s="572">
        <v>10.995200000000001</v>
      </c>
      <c r="C3399" s="572">
        <v>54.401299999999999</v>
      </c>
    </row>
    <row r="3400" spans="1:3">
      <c r="A3400" s="571" t="s">
        <v>1880</v>
      </c>
      <c r="B3400" s="572">
        <v>13.8995</v>
      </c>
      <c r="C3400" s="572">
        <v>58.592799999999997</v>
      </c>
    </row>
    <row r="3401" spans="1:3">
      <c r="A3401" s="571" t="s">
        <v>1880</v>
      </c>
      <c r="B3401" s="572">
        <v>17.036300000000001</v>
      </c>
      <c r="C3401" s="572">
        <v>62.782699999999998</v>
      </c>
    </row>
    <row r="3402" spans="1:3">
      <c r="A3402" s="571" t="s">
        <v>1880</v>
      </c>
      <c r="B3402" s="572">
        <v>20.989799999999999</v>
      </c>
      <c r="C3402" s="572">
        <v>62.756599999999999</v>
      </c>
    </row>
    <row r="3403" spans="1:3">
      <c r="A3403" s="571" t="s">
        <v>1880</v>
      </c>
      <c r="B3403" s="572">
        <v>22.035299999999999</v>
      </c>
      <c r="C3403" s="572">
        <v>64.328699999999998</v>
      </c>
    </row>
    <row r="3404" spans="1:3">
      <c r="A3404" s="571" t="s">
        <v>1880</v>
      </c>
      <c r="B3404" s="572">
        <v>25.057600000000001</v>
      </c>
      <c r="C3404" s="572">
        <v>65.887799999999999</v>
      </c>
    </row>
    <row r="3405" spans="1:3">
      <c r="A3405" s="571" t="s">
        <v>1880</v>
      </c>
      <c r="B3405" s="572">
        <v>29.124600000000001</v>
      </c>
      <c r="C3405" s="572">
        <v>70.0715</v>
      </c>
    </row>
    <row r="3406" spans="1:3">
      <c r="A3406" s="571" t="s">
        <v>1880</v>
      </c>
      <c r="B3406" s="572">
        <v>31.908899999999999</v>
      </c>
      <c r="C3406" s="572">
        <v>80.053200000000004</v>
      </c>
    </row>
    <row r="3407" spans="1:3">
      <c r="A3407" s="571" t="s">
        <v>1880</v>
      </c>
      <c r="B3407" s="572">
        <v>38.998199999999997</v>
      </c>
      <c r="C3407" s="572">
        <v>85.796099999999996</v>
      </c>
    </row>
    <row r="3408" spans="1:3">
      <c r="A3408" s="571" t="s">
        <v>1880</v>
      </c>
      <c r="B3408" s="572">
        <v>41.9069</v>
      </c>
      <c r="C3408" s="572">
        <v>83.145300000000006</v>
      </c>
    </row>
    <row r="3409" spans="1:3">
      <c r="A3409" s="571" t="s">
        <v>1880</v>
      </c>
      <c r="B3409" s="572">
        <v>46.092599999999997</v>
      </c>
      <c r="C3409" s="572">
        <v>83.644099999999995</v>
      </c>
    </row>
    <row r="3410" spans="1:3">
      <c r="A3410" s="571" t="s">
        <v>1880</v>
      </c>
      <c r="B3410" s="572">
        <v>58.062899999999999</v>
      </c>
      <c r="C3410" s="572">
        <v>93.565399999999997</v>
      </c>
    </row>
    <row r="3411" spans="1:3">
      <c r="A3411" s="571" t="s">
        <v>1880</v>
      </c>
      <c r="B3411" s="572">
        <v>70.949600000000004</v>
      </c>
      <c r="C3411" s="572">
        <v>125.06</v>
      </c>
    </row>
    <row r="3412" spans="1:3">
      <c r="A3412" s="571" t="s">
        <v>1881</v>
      </c>
      <c r="B3412" s="572">
        <v>9.9959599999999996E-2</v>
      </c>
      <c r="C3412" s="572">
        <v>0.26250000000000001</v>
      </c>
    </row>
    <row r="3413" spans="1:3">
      <c r="A3413" s="571" t="s">
        <v>1881</v>
      </c>
      <c r="B3413" s="572">
        <v>1.1536200000000001</v>
      </c>
      <c r="C3413" s="572">
        <v>10.7971</v>
      </c>
    </row>
    <row r="3414" spans="1:3">
      <c r="A3414" s="571" t="s">
        <v>1881</v>
      </c>
      <c r="B3414" s="572">
        <v>2.0906500000000001</v>
      </c>
      <c r="C3414" s="572">
        <v>21.329499999999999</v>
      </c>
    </row>
    <row r="3415" spans="1:3">
      <c r="A3415" s="571" t="s">
        <v>1881</v>
      </c>
      <c r="B3415" s="572">
        <v>3.0215700000000001</v>
      </c>
      <c r="C3415" s="572">
        <v>22.388300000000001</v>
      </c>
    </row>
    <row r="3416" spans="1:3">
      <c r="A3416" s="571" t="s">
        <v>1881</v>
      </c>
      <c r="B3416" s="572">
        <v>4.9986600000000001</v>
      </c>
      <c r="C3416" s="572">
        <v>22.927600000000002</v>
      </c>
    </row>
    <row r="3417" spans="1:3">
      <c r="A3417" s="571" t="s">
        <v>1881</v>
      </c>
      <c r="B3417" s="572">
        <v>6.1624800000000004</v>
      </c>
      <c r="C3417" s="572">
        <v>24.514199999999999</v>
      </c>
    </row>
    <row r="3418" spans="1:3">
      <c r="A3418" s="571" t="s">
        <v>1881</v>
      </c>
      <c r="B3418" s="572">
        <v>8.0151299999999992</v>
      </c>
      <c r="C3418" s="572">
        <v>12.421200000000001</v>
      </c>
    </row>
    <row r="3419" spans="1:3">
      <c r="A3419" s="571" t="s">
        <v>1881</v>
      </c>
      <c r="B3419" s="572">
        <v>9.0619899999999998</v>
      </c>
      <c r="C3419" s="572">
        <v>12.9544</v>
      </c>
    </row>
    <row r="3420" spans="1:3">
      <c r="A3420" s="571" t="s">
        <v>1881</v>
      </c>
      <c r="B3420" s="572">
        <v>12.0808</v>
      </c>
      <c r="C3420" s="572">
        <v>6.1321099999999999</v>
      </c>
    </row>
    <row r="3421" spans="1:3">
      <c r="A3421" s="571" t="s">
        <v>1881</v>
      </c>
      <c r="B3421" s="572">
        <v>14.983700000000001</v>
      </c>
      <c r="C3421" s="572">
        <v>0.16458100000000001</v>
      </c>
    </row>
    <row r="3422" spans="1:3">
      <c r="A3422" s="571" t="s">
        <v>1881</v>
      </c>
      <c r="B3422" s="572">
        <v>19.049399999999999</v>
      </c>
      <c r="C3422" s="572">
        <v>6.4536199999999999</v>
      </c>
    </row>
    <row r="3423" spans="1:3">
      <c r="A3423" s="571" t="s">
        <v>1881</v>
      </c>
      <c r="B3423" s="572">
        <v>19.979700000000001</v>
      </c>
      <c r="C3423" s="572">
        <v>6.4474999999999998</v>
      </c>
    </row>
    <row r="3424" spans="1:3">
      <c r="A3424" s="571" t="s">
        <v>1881</v>
      </c>
      <c r="B3424" s="572">
        <v>23.000900000000001</v>
      </c>
      <c r="C3424" s="572">
        <v>9.5855200000000007</v>
      </c>
    </row>
    <row r="3425" spans="1:3">
      <c r="A3425" s="571" t="s">
        <v>1881</v>
      </c>
      <c r="B3425" s="572">
        <v>27.069299999999998</v>
      </c>
      <c r="C3425" s="572">
        <v>11.664</v>
      </c>
    </row>
    <row r="3426" spans="1:3">
      <c r="A3426" s="571" t="s">
        <v>1881</v>
      </c>
      <c r="B3426" s="572">
        <v>30.092600000000001</v>
      </c>
      <c r="C3426" s="572">
        <v>11.6441</v>
      </c>
    </row>
    <row r="3427" spans="1:3">
      <c r="A3427" s="571" t="s">
        <v>1881</v>
      </c>
      <c r="B3427" s="572">
        <v>37.0687</v>
      </c>
      <c r="C3427" s="572">
        <v>12.6509</v>
      </c>
    </row>
    <row r="3428" spans="1:3">
      <c r="A3428" s="571" t="s">
        <v>1881</v>
      </c>
      <c r="B3428" s="572">
        <v>39.975999999999999</v>
      </c>
      <c r="C3428" s="572">
        <v>12.105399999999999</v>
      </c>
    </row>
    <row r="3429" spans="1:3">
      <c r="A3429" s="571" t="s">
        <v>1881</v>
      </c>
      <c r="B3429" s="572">
        <v>44.045499999999997</v>
      </c>
      <c r="C3429" s="572">
        <v>12.605</v>
      </c>
    </row>
    <row r="3430" spans="1:3">
      <c r="A3430" s="571" t="s">
        <v>1881</v>
      </c>
      <c r="B3430" s="572">
        <v>56.014400000000002</v>
      </c>
      <c r="C3430" s="572">
        <v>24.631499999999999</v>
      </c>
    </row>
    <row r="3431" spans="1:3">
      <c r="A3431" s="571" t="s">
        <v>1881</v>
      </c>
      <c r="B3431" s="572">
        <v>68.908199999999994</v>
      </c>
      <c r="C3431" s="572">
        <v>45.073</v>
      </c>
    </row>
    <row r="3432" spans="1:3">
      <c r="A3432" s="571" t="s">
        <v>1882</v>
      </c>
      <c r="B3432" s="572">
        <v>0</v>
      </c>
      <c r="C3432" s="572">
        <v>1.1399999999999999E-13</v>
      </c>
    </row>
    <row r="3433" spans="1:3">
      <c r="A3433" s="571" t="s">
        <v>1882</v>
      </c>
      <c r="B3433" s="572">
        <v>0.97560999999999998</v>
      </c>
      <c r="C3433" s="572">
        <v>74.474599999999995</v>
      </c>
    </row>
    <row r="3434" spans="1:3">
      <c r="A3434" s="571" t="s">
        <v>1882</v>
      </c>
      <c r="B3434" s="572">
        <v>1.30081</v>
      </c>
      <c r="C3434" s="572">
        <v>102.402</v>
      </c>
    </row>
    <row r="3435" spans="1:3">
      <c r="A3435" s="571" t="s">
        <v>1882</v>
      </c>
      <c r="B3435" s="572">
        <v>2.9268299999999998</v>
      </c>
      <c r="C3435" s="572">
        <v>105.07299999999999</v>
      </c>
    </row>
    <row r="3436" spans="1:3">
      <c r="A3436" s="571" t="s">
        <v>1882</v>
      </c>
      <c r="B3436" s="572">
        <v>3.9024399999999999</v>
      </c>
      <c r="C3436" s="572">
        <v>114.38800000000001</v>
      </c>
    </row>
    <row r="3437" spans="1:3">
      <c r="A3437" s="571" t="s">
        <v>1882</v>
      </c>
      <c r="B3437" s="572">
        <v>5.8536599999999996</v>
      </c>
      <c r="C3437" s="572">
        <v>117.06</v>
      </c>
    </row>
    <row r="3438" spans="1:3">
      <c r="A3438" s="571" t="s">
        <v>1882</v>
      </c>
      <c r="B3438" s="572">
        <v>6.5040699999999996</v>
      </c>
      <c r="C3438" s="572">
        <v>125.04300000000001</v>
      </c>
    </row>
    <row r="3439" spans="1:3">
      <c r="A3439" s="571" t="s">
        <v>1882</v>
      </c>
      <c r="B3439" s="572">
        <v>7.4796699999999996</v>
      </c>
      <c r="C3439" s="572">
        <v>130.369</v>
      </c>
    </row>
    <row r="3440" spans="1:3">
      <c r="A3440" s="571" t="s">
        <v>1882</v>
      </c>
      <c r="B3440" s="572">
        <v>8.7804900000000004</v>
      </c>
      <c r="C3440" s="572">
        <v>142.346</v>
      </c>
    </row>
    <row r="3441" spans="1:3">
      <c r="A3441" s="571" t="s">
        <v>1882</v>
      </c>
      <c r="B3441" s="572">
        <v>9.7561</v>
      </c>
      <c r="C3441" s="572">
        <v>162.29900000000001</v>
      </c>
    </row>
    <row r="3442" spans="1:3">
      <c r="A3442" s="571" t="s">
        <v>1882</v>
      </c>
      <c r="B3442" s="572">
        <v>12.6829</v>
      </c>
      <c r="C3442" s="572">
        <v>176.946</v>
      </c>
    </row>
    <row r="3443" spans="1:3">
      <c r="A3443" s="571" t="s">
        <v>1882</v>
      </c>
      <c r="B3443" s="572">
        <v>13.6585</v>
      </c>
      <c r="C3443" s="572">
        <v>184.93100000000001</v>
      </c>
    </row>
    <row r="3444" spans="1:3">
      <c r="A3444" s="571" t="s">
        <v>1882</v>
      </c>
      <c r="B3444" s="572">
        <v>16.910599999999999</v>
      </c>
      <c r="C3444" s="572">
        <v>191.602</v>
      </c>
    </row>
    <row r="3445" spans="1:3">
      <c r="A3445" s="571" t="s">
        <v>1882</v>
      </c>
      <c r="B3445" s="572">
        <v>19.837399999999999</v>
      </c>
      <c r="C3445" s="572">
        <v>208.90799999999999</v>
      </c>
    </row>
    <row r="3446" spans="1:3">
      <c r="A3446" s="571" t="s">
        <v>1882</v>
      </c>
      <c r="B3446" s="572">
        <v>22.764199999999999</v>
      </c>
      <c r="C3446" s="572">
        <v>214.24700000000001</v>
      </c>
    </row>
    <row r="3447" spans="1:3">
      <c r="A3447" s="571" t="s">
        <v>1882</v>
      </c>
      <c r="B3447" s="572">
        <v>23.739799999999999</v>
      </c>
      <c r="C3447" s="572">
        <v>224.892</v>
      </c>
    </row>
    <row r="3448" spans="1:3">
      <c r="A3448" s="571" t="s">
        <v>1882</v>
      </c>
      <c r="B3448" s="572">
        <v>26.666699999999999</v>
      </c>
      <c r="C3448" s="572">
        <v>236.87899999999999</v>
      </c>
    </row>
    <row r="3449" spans="1:3">
      <c r="A3449" s="571" t="s">
        <v>1882</v>
      </c>
      <c r="B3449" s="572">
        <v>27.642299999999999</v>
      </c>
      <c r="C3449" s="572">
        <v>242.20500000000001</v>
      </c>
    </row>
    <row r="3450" spans="1:3">
      <c r="A3450" s="571" t="s">
        <v>1882</v>
      </c>
      <c r="B3450" s="572">
        <v>29.2683</v>
      </c>
      <c r="C3450" s="572">
        <v>252.85400000000001</v>
      </c>
    </row>
    <row r="3451" spans="1:3">
      <c r="A3451" s="571" t="s">
        <v>1882</v>
      </c>
      <c r="B3451" s="572">
        <v>30.569099999999999</v>
      </c>
      <c r="C3451" s="572">
        <v>256.85199999999998</v>
      </c>
    </row>
    <row r="3452" spans="1:3">
      <c r="A3452" s="571" t="s">
        <v>1882</v>
      </c>
      <c r="B3452" s="572">
        <v>33.495899999999999</v>
      </c>
      <c r="C3452" s="572">
        <v>256.87200000000001</v>
      </c>
    </row>
    <row r="3453" spans="1:3">
      <c r="A3453" s="571" t="s">
        <v>1882</v>
      </c>
      <c r="B3453" s="572">
        <v>34.796700000000001</v>
      </c>
      <c r="C3453" s="572">
        <v>263.529</v>
      </c>
    </row>
    <row r="3454" spans="1:3">
      <c r="A3454" s="571" t="s">
        <v>1882</v>
      </c>
      <c r="B3454" s="572">
        <v>35.772399999999998</v>
      </c>
      <c r="C3454" s="572">
        <v>258.21699999999998</v>
      </c>
    </row>
    <row r="3455" spans="1:3">
      <c r="A3455" s="571" t="s">
        <v>1882</v>
      </c>
      <c r="B3455" s="572">
        <v>37.723599999999998</v>
      </c>
      <c r="C3455" s="572">
        <v>259.55900000000003</v>
      </c>
    </row>
    <row r="3456" spans="1:3">
      <c r="A3456" s="571" t="s">
        <v>1882</v>
      </c>
      <c r="B3456" s="572">
        <v>40.650399999999998</v>
      </c>
      <c r="C3456" s="572">
        <v>267.55799999999999</v>
      </c>
    </row>
    <row r="3457" spans="1:3">
      <c r="A3457" s="571" t="s">
        <v>1882</v>
      </c>
      <c r="B3457" s="572">
        <v>44.878</v>
      </c>
      <c r="C3457" s="572">
        <v>283.54300000000001</v>
      </c>
    </row>
    <row r="3458" spans="1:3">
      <c r="A3458" s="571" t="s">
        <v>1882</v>
      </c>
      <c r="B3458" s="572">
        <v>48.780500000000004</v>
      </c>
      <c r="C3458" s="572">
        <v>295.53699999999998</v>
      </c>
    </row>
    <row r="3459" spans="1:3">
      <c r="A3459" s="571" t="s">
        <v>1882</v>
      </c>
      <c r="B3459" s="572">
        <v>62.764200000000002</v>
      </c>
      <c r="C3459" s="572">
        <v>298.29000000000002</v>
      </c>
    </row>
    <row r="3460" spans="1:3">
      <c r="A3460" s="571" t="s">
        <v>1882</v>
      </c>
      <c r="B3460" s="572">
        <v>77.398399999999995</v>
      </c>
      <c r="C3460" s="572">
        <v>307.69499999999999</v>
      </c>
    </row>
    <row r="3461" spans="1:3">
      <c r="A3461" s="571" t="s">
        <v>1882</v>
      </c>
      <c r="B3461" s="572">
        <v>84.878</v>
      </c>
      <c r="C3461" s="572">
        <v>310.40499999999997</v>
      </c>
    </row>
    <row r="3462" spans="1:3">
      <c r="A3462" s="571" t="s">
        <v>1882</v>
      </c>
      <c r="B3462" s="572">
        <v>91.707300000000004</v>
      </c>
      <c r="C3462" s="572">
        <v>313.11</v>
      </c>
    </row>
    <row r="3463" spans="1:3">
      <c r="A3463" s="571" t="s">
        <v>1882</v>
      </c>
      <c r="B3463" s="572">
        <v>98.861800000000002</v>
      </c>
      <c r="C3463" s="572">
        <v>311.82799999999997</v>
      </c>
    </row>
    <row r="3464" spans="1:3">
      <c r="A3464" s="573" t="s">
        <v>1882</v>
      </c>
      <c r="B3464" s="574">
        <v>113.821</v>
      </c>
      <c r="C3464" s="574">
        <v>314.58699999999999</v>
      </c>
    </row>
    <row r="3465" spans="1:3">
      <c r="A3465" s="573" t="s">
        <v>1882</v>
      </c>
      <c r="B3465" s="574">
        <v>132.68299999999999</v>
      </c>
      <c r="C3465" s="574">
        <v>320.03100000000001</v>
      </c>
    </row>
    <row r="3466" spans="1:3">
      <c r="A3466" s="573" t="s">
        <v>1882</v>
      </c>
      <c r="B3466" s="574">
        <v>145.36600000000001</v>
      </c>
      <c r="C3466" s="574">
        <v>320.11500000000001</v>
      </c>
    </row>
    <row r="3467" spans="1:3">
      <c r="A3467" s="573" t="s">
        <v>1882</v>
      </c>
      <c r="B3467" s="574">
        <v>163.577</v>
      </c>
      <c r="C3467" s="574">
        <v>320.23700000000002</v>
      </c>
    </row>
    <row r="3468" spans="1:3">
      <c r="A3468" s="573" t="s">
        <v>1882</v>
      </c>
      <c r="B3468" s="574">
        <v>166.50399999999999</v>
      </c>
      <c r="C3468" s="574">
        <v>333.55399999999997</v>
      </c>
    </row>
    <row r="3469" spans="1:3">
      <c r="A3469" s="573" t="s">
        <v>1882</v>
      </c>
      <c r="B3469" s="574">
        <v>170.732</v>
      </c>
      <c r="C3469" s="574">
        <v>309.64600000000002</v>
      </c>
    </row>
    <row r="3470" spans="1:3">
      <c r="A3470" s="573" t="s">
        <v>1882</v>
      </c>
      <c r="B3470" s="574">
        <v>177.23599999999999</v>
      </c>
      <c r="C3470" s="574">
        <v>317.66800000000001</v>
      </c>
    </row>
    <row r="3471" spans="1:3">
      <c r="A3471" s="573" t="s">
        <v>1882</v>
      </c>
      <c r="B3471" s="574">
        <v>184.39</v>
      </c>
      <c r="C3471" s="574">
        <v>317.71499999999997</v>
      </c>
    </row>
    <row r="3472" spans="1:3">
      <c r="A3472" s="573" t="s">
        <v>1882</v>
      </c>
      <c r="B3472" s="574">
        <v>187.642</v>
      </c>
      <c r="C3472" s="574">
        <v>313.74799999999999</v>
      </c>
    </row>
    <row r="3473" spans="1:3">
      <c r="A3473" s="573" t="s">
        <v>1882</v>
      </c>
      <c r="B3473" s="574">
        <v>191.54499999999999</v>
      </c>
      <c r="C3473" s="574">
        <v>315.10300000000001</v>
      </c>
    </row>
    <row r="3474" spans="1:3">
      <c r="A3474" s="573" t="s">
        <v>1882</v>
      </c>
      <c r="B3474" s="574">
        <v>203.90199999999999</v>
      </c>
      <c r="C3474" s="574">
        <v>333.803</v>
      </c>
    </row>
    <row r="3475" spans="1:3">
      <c r="A3475" s="573" t="s">
        <v>1882</v>
      </c>
      <c r="B3475" s="574">
        <v>216.911</v>
      </c>
      <c r="C3475" s="574">
        <v>324.58100000000002</v>
      </c>
    </row>
    <row r="3476" spans="1:3">
      <c r="A3476" s="571" t="s">
        <v>1883</v>
      </c>
      <c r="B3476" s="572">
        <v>0</v>
      </c>
      <c r="C3476" s="572">
        <v>1.1399999999999999E-13</v>
      </c>
    </row>
    <row r="3477" spans="1:3">
      <c r="A3477" s="571" t="s">
        <v>1883</v>
      </c>
      <c r="B3477" s="572">
        <v>0.97560999999999998</v>
      </c>
      <c r="C3477" s="572">
        <v>70.485200000000006</v>
      </c>
    </row>
    <row r="3478" spans="1:3">
      <c r="A3478" s="571" t="s">
        <v>1883</v>
      </c>
      <c r="B3478" s="572">
        <v>1.62602</v>
      </c>
      <c r="C3478" s="572">
        <v>82.457599999999999</v>
      </c>
    </row>
    <row r="3479" spans="1:3">
      <c r="A3479" s="571" t="s">
        <v>1883</v>
      </c>
      <c r="B3479" s="572">
        <v>2.9268299999999998</v>
      </c>
      <c r="C3479" s="572">
        <v>90.444999999999993</v>
      </c>
    </row>
    <row r="3480" spans="1:3">
      <c r="A3480" s="571" t="s">
        <v>1883</v>
      </c>
      <c r="B3480" s="572">
        <v>3.25203</v>
      </c>
      <c r="C3480" s="572">
        <v>95.766300000000001</v>
      </c>
    </row>
    <row r="3481" spans="1:3">
      <c r="A3481" s="571" t="s">
        <v>1883</v>
      </c>
      <c r="B3481" s="572">
        <v>4.5528500000000003</v>
      </c>
      <c r="C3481" s="572">
        <v>103.754</v>
      </c>
    </row>
    <row r="3482" spans="1:3">
      <c r="A3482" s="571" t="s">
        <v>1883</v>
      </c>
      <c r="B3482" s="572">
        <v>6.5040699999999996</v>
      </c>
      <c r="C3482" s="572">
        <v>93.128399999999999</v>
      </c>
    </row>
    <row r="3483" spans="1:3">
      <c r="A3483" s="571" t="s">
        <v>1883</v>
      </c>
      <c r="B3483" s="572">
        <v>6.8292700000000002</v>
      </c>
      <c r="C3483" s="572">
        <v>106.428</v>
      </c>
    </row>
    <row r="3484" spans="1:3">
      <c r="A3484" s="571" t="s">
        <v>1883</v>
      </c>
      <c r="B3484" s="572">
        <v>7.4796699999999996</v>
      </c>
      <c r="C3484" s="572">
        <v>114.411</v>
      </c>
    </row>
    <row r="3485" spans="1:3">
      <c r="A3485" s="571" t="s">
        <v>1883</v>
      </c>
      <c r="B3485" s="572">
        <v>8.4552800000000001</v>
      </c>
      <c r="C3485" s="572">
        <v>126.386</v>
      </c>
    </row>
    <row r="3486" spans="1:3">
      <c r="A3486" s="571" t="s">
        <v>1883</v>
      </c>
      <c r="B3486" s="572">
        <v>9.4308899999999998</v>
      </c>
      <c r="C3486" s="572">
        <v>134.37100000000001</v>
      </c>
    </row>
    <row r="3487" spans="1:3">
      <c r="A3487" s="571" t="s">
        <v>1883</v>
      </c>
      <c r="B3487" s="572">
        <v>10.7317</v>
      </c>
      <c r="C3487" s="572">
        <v>155.65600000000001</v>
      </c>
    </row>
    <row r="3488" spans="1:3">
      <c r="A3488" s="571" t="s">
        <v>1883</v>
      </c>
      <c r="B3488" s="572">
        <v>14.3089</v>
      </c>
      <c r="C3488" s="572">
        <v>171.63800000000001</v>
      </c>
    </row>
    <row r="3489" spans="1:3">
      <c r="A3489" s="571" t="s">
        <v>1883</v>
      </c>
      <c r="B3489" s="572">
        <v>15.935</v>
      </c>
      <c r="C3489" s="572">
        <v>165</v>
      </c>
    </row>
    <row r="3490" spans="1:3">
      <c r="A3490" s="571" t="s">
        <v>1883</v>
      </c>
      <c r="B3490" s="572">
        <v>17.561</v>
      </c>
      <c r="C3490" s="572">
        <v>175.649</v>
      </c>
    </row>
    <row r="3491" spans="1:3">
      <c r="A3491" s="571" t="s">
        <v>1883</v>
      </c>
      <c r="B3491" s="572">
        <v>20.812999999999999</v>
      </c>
      <c r="C3491" s="572">
        <v>190.298</v>
      </c>
    </row>
    <row r="3492" spans="1:3">
      <c r="A3492" s="571" t="s">
        <v>1883</v>
      </c>
      <c r="B3492" s="572">
        <v>23.739799999999999</v>
      </c>
      <c r="C3492" s="572">
        <v>195.637</v>
      </c>
    </row>
    <row r="3493" spans="1:3">
      <c r="A3493" s="571" t="s">
        <v>1883</v>
      </c>
      <c r="B3493" s="572">
        <v>25.040700000000001</v>
      </c>
      <c r="C3493" s="572">
        <v>203.624</v>
      </c>
    </row>
    <row r="3494" spans="1:3">
      <c r="A3494" s="571" t="s">
        <v>1883</v>
      </c>
      <c r="B3494" s="572">
        <v>27.642299999999999</v>
      </c>
      <c r="C3494" s="572">
        <v>218.26900000000001</v>
      </c>
    </row>
    <row r="3495" spans="1:3">
      <c r="A3495" s="571" t="s">
        <v>1883</v>
      </c>
      <c r="B3495" s="572">
        <v>28.617899999999999</v>
      </c>
      <c r="C3495" s="572">
        <v>222.26499999999999</v>
      </c>
    </row>
    <row r="3496" spans="1:3">
      <c r="A3496" s="571" t="s">
        <v>1883</v>
      </c>
      <c r="B3496" s="572">
        <v>30.2439</v>
      </c>
      <c r="C3496" s="572">
        <v>234.244</v>
      </c>
    </row>
    <row r="3497" spans="1:3">
      <c r="A3497" s="571" t="s">
        <v>1883</v>
      </c>
      <c r="B3497" s="572">
        <v>31.869900000000001</v>
      </c>
      <c r="C3497" s="572">
        <v>240.90299999999999</v>
      </c>
    </row>
    <row r="3498" spans="1:3">
      <c r="A3498" s="571" t="s">
        <v>1883</v>
      </c>
      <c r="B3498" s="572">
        <v>34.796700000000001</v>
      </c>
      <c r="C3498" s="572">
        <v>239.59299999999999</v>
      </c>
    </row>
    <row r="3499" spans="1:3">
      <c r="A3499" s="571" t="s">
        <v>1883</v>
      </c>
      <c r="B3499" s="572">
        <v>35.772399999999998</v>
      </c>
      <c r="C3499" s="572">
        <v>244.91900000000001</v>
      </c>
    </row>
    <row r="3500" spans="1:3">
      <c r="A3500" s="571" t="s">
        <v>1883</v>
      </c>
      <c r="B3500" s="572">
        <v>36.422800000000002</v>
      </c>
      <c r="C3500" s="572">
        <v>239.60400000000001</v>
      </c>
    </row>
    <row r="3501" spans="1:3">
      <c r="A3501" s="571" t="s">
        <v>1883</v>
      </c>
      <c r="B3501" s="572">
        <v>38.699199999999998</v>
      </c>
      <c r="C3501" s="572">
        <v>246.268</v>
      </c>
    </row>
    <row r="3502" spans="1:3">
      <c r="A3502" s="571" t="s">
        <v>1883</v>
      </c>
      <c r="B3502" s="572">
        <v>41.9512</v>
      </c>
      <c r="C3502" s="572">
        <v>251.60900000000001</v>
      </c>
    </row>
    <row r="3503" spans="1:3">
      <c r="A3503" s="571" t="s">
        <v>1883</v>
      </c>
      <c r="B3503" s="572">
        <v>45.203299999999999</v>
      </c>
      <c r="C3503" s="572">
        <v>272.90699999999998</v>
      </c>
    </row>
    <row r="3504" spans="1:3">
      <c r="A3504" s="571" t="s">
        <v>1883</v>
      </c>
      <c r="B3504" s="572">
        <v>49.756100000000004</v>
      </c>
      <c r="C3504" s="572">
        <v>279.58600000000001</v>
      </c>
    </row>
    <row r="3505" spans="1:3">
      <c r="A3505" s="571" t="s">
        <v>1883</v>
      </c>
      <c r="B3505" s="572">
        <v>63.4146</v>
      </c>
      <c r="C3505" s="572">
        <v>287.65600000000001</v>
      </c>
    </row>
    <row r="3506" spans="1:3">
      <c r="A3506" s="571" t="s">
        <v>1883</v>
      </c>
      <c r="B3506" s="572">
        <v>78.699200000000005</v>
      </c>
      <c r="C3506" s="572">
        <v>295.73599999999999</v>
      </c>
    </row>
    <row r="3507" spans="1:3">
      <c r="A3507" s="571" t="s">
        <v>1883</v>
      </c>
      <c r="B3507" s="572">
        <v>85.853700000000003</v>
      </c>
      <c r="C3507" s="572">
        <v>305.09199999999998</v>
      </c>
    </row>
    <row r="3508" spans="1:3">
      <c r="A3508" s="571" t="s">
        <v>1883</v>
      </c>
      <c r="B3508" s="572">
        <v>92.682900000000004</v>
      </c>
      <c r="C3508" s="572">
        <v>314.44600000000003</v>
      </c>
    </row>
    <row r="3509" spans="1:3">
      <c r="A3509" s="573" t="s">
        <v>1883</v>
      </c>
      <c r="B3509" s="574">
        <v>99.512200000000007</v>
      </c>
      <c r="C3509" s="574">
        <v>322.47000000000003</v>
      </c>
    </row>
    <row r="3510" spans="1:3">
      <c r="A3510" s="573" t="s">
        <v>1883</v>
      </c>
      <c r="B3510" s="574">
        <v>115.122</v>
      </c>
      <c r="C3510" s="574">
        <v>327.89299999999997</v>
      </c>
    </row>
    <row r="3511" spans="1:3">
      <c r="A3511" s="573" t="s">
        <v>1883</v>
      </c>
      <c r="B3511" s="574">
        <v>133.98400000000001</v>
      </c>
      <c r="C3511" s="574">
        <v>332.00799999999998</v>
      </c>
    </row>
    <row r="3512" spans="1:3">
      <c r="A3512" s="573" t="s">
        <v>1883</v>
      </c>
      <c r="B3512" s="574">
        <v>146.667</v>
      </c>
      <c r="C3512" s="574">
        <v>338.74099999999999</v>
      </c>
    </row>
    <row r="3513" spans="1:3">
      <c r="A3513" s="573" t="s">
        <v>1883</v>
      </c>
      <c r="B3513" s="574">
        <v>164.553</v>
      </c>
      <c r="C3513" s="574">
        <v>344.17899999999997</v>
      </c>
    </row>
    <row r="3514" spans="1:3">
      <c r="A3514" s="573" t="s">
        <v>1883</v>
      </c>
      <c r="B3514" s="574">
        <v>167.48</v>
      </c>
      <c r="C3514" s="574">
        <v>354.83699999999999</v>
      </c>
    </row>
    <row r="3515" spans="1:3">
      <c r="A3515" s="573" t="s">
        <v>1883</v>
      </c>
      <c r="B3515" s="574">
        <v>172.03299999999999</v>
      </c>
      <c r="C3515" s="574">
        <v>330.93099999999998</v>
      </c>
    </row>
    <row r="3516" spans="1:3">
      <c r="A3516" s="573" t="s">
        <v>1883</v>
      </c>
      <c r="B3516" s="574">
        <v>178.53700000000001</v>
      </c>
      <c r="C3516" s="574">
        <v>336.29300000000001</v>
      </c>
    </row>
    <row r="3517" spans="1:3">
      <c r="A3517" s="573" t="s">
        <v>1883</v>
      </c>
      <c r="B3517" s="574">
        <v>185.691</v>
      </c>
      <c r="C3517" s="574">
        <v>341.66</v>
      </c>
    </row>
    <row r="3518" spans="1:3">
      <c r="A3518" s="573" t="s">
        <v>1883</v>
      </c>
      <c r="B3518" s="574">
        <v>188.61799999999999</v>
      </c>
      <c r="C3518" s="574">
        <v>333.70100000000002</v>
      </c>
    </row>
    <row r="3519" spans="1:3">
      <c r="A3519" s="573" t="s">
        <v>1883</v>
      </c>
      <c r="B3519" s="574">
        <v>192.52</v>
      </c>
      <c r="C3519" s="574">
        <v>335.05700000000002</v>
      </c>
    </row>
    <row r="3520" spans="1:3">
      <c r="A3520" s="573" t="s">
        <v>1883</v>
      </c>
      <c r="B3520" s="574">
        <v>204.553</v>
      </c>
      <c r="C3520" s="574">
        <v>352.42399999999998</v>
      </c>
    </row>
    <row r="3521" spans="1:3">
      <c r="A3521" s="573" t="s">
        <v>1883</v>
      </c>
      <c r="B3521" s="574">
        <v>217.56100000000001</v>
      </c>
      <c r="C3521" s="574">
        <v>349.851</v>
      </c>
    </row>
    <row r="3522" spans="1:3">
      <c r="A3522" s="571" t="s">
        <v>1884</v>
      </c>
      <c r="B3522" s="572">
        <v>0</v>
      </c>
      <c r="C3522" s="572">
        <v>1.1399999999999999E-13</v>
      </c>
    </row>
    <row r="3523" spans="1:3">
      <c r="A3523" s="571" t="s">
        <v>1884</v>
      </c>
      <c r="B3523" s="572">
        <v>0.97560999999999998</v>
      </c>
      <c r="C3523" s="572">
        <v>67.825599999999994</v>
      </c>
    </row>
    <row r="3524" spans="1:3">
      <c r="A3524" s="571" t="s">
        <v>1884</v>
      </c>
      <c r="B3524" s="572">
        <v>2.2764199999999999</v>
      </c>
      <c r="C3524" s="572">
        <v>83.791700000000006</v>
      </c>
    </row>
    <row r="3525" spans="1:3">
      <c r="A3525" s="571" t="s">
        <v>1884</v>
      </c>
      <c r="B3525" s="572">
        <v>3.9024399999999999</v>
      </c>
      <c r="C3525" s="572">
        <v>89.121700000000004</v>
      </c>
    </row>
    <row r="3526" spans="1:3">
      <c r="A3526" s="571" t="s">
        <v>1884</v>
      </c>
      <c r="B3526" s="572">
        <v>5.8536599999999996</v>
      </c>
      <c r="C3526" s="572">
        <v>107.752</v>
      </c>
    </row>
    <row r="3527" spans="1:3">
      <c r="A3527" s="571" t="s">
        <v>1884</v>
      </c>
      <c r="B3527" s="572">
        <v>8.7804900000000004</v>
      </c>
      <c r="C3527" s="572">
        <v>111.761</v>
      </c>
    </row>
    <row r="3528" spans="1:3">
      <c r="A3528" s="571" t="s">
        <v>1884</v>
      </c>
      <c r="B3528" s="572">
        <v>9.7561</v>
      </c>
      <c r="C3528" s="572">
        <v>133.04400000000001</v>
      </c>
    </row>
    <row r="3529" spans="1:3">
      <c r="A3529" s="571" t="s">
        <v>1884</v>
      </c>
      <c r="B3529" s="572">
        <v>12.6829</v>
      </c>
      <c r="C3529" s="572">
        <v>145.03100000000001</v>
      </c>
    </row>
    <row r="3530" spans="1:3">
      <c r="A3530" s="571" t="s">
        <v>1884</v>
      </c>
      <c r="B3530" s="572">
        <v>13.983700000000001</v>
      </c>
      <c r="C3530" s="572">
        <v>147.69900000000001</v>
      </c>
    </row>
    <row r="3531" spans="1:3">
      <c r="A3531" s="571" t="s">
        <v>1884</v>
      </c>
      <c r="B3531" s="572">
        <v>14.6341</v>
      </c>
      <c r="C3531" s="572">
        <v>137.065</v>
      </c>
    </row>
    <row r="3532" spans="1:3">
      <c r="A3532" s="571" t="s">
        <v>1884</v>
      </c>
      <c r="B3532" s="572">
        <v>16.910599999999999</v>
      </c>
      <c r="C3532" s="572">
        <v>151.708</v>
      </c>
    </row>
    <row r="3533" spans="1:3">
      <c r="A3533" s="571" t="s">
        <v>1884</v>
      </c>
      <c r="B3533" s="572">
        <v>19.5122</v>
      </c>
      <c r="C3533" s="572">
        <v>165.023</v>
      </c>
    </row>
    <row r="3534" spans="1:3">
      <c r="A3534" s="571" t="s">
        <v>1884</v>
      </c>
      <c r="B3534" s="572">
        <v>22.439</v>
      </c>
      <c r="C3534" s="572">
        <v>166.37299999999999</v>
      </c>
    </row>
    <row r="3535" spans="1:3">
      <c r="A3535" s="571" t="s">
        <v>1884</v>
      </c>
      <c r="B3535" s="572">
        <v>24.065000000000001</v>
      </c>
      <c r="C3535" s="572">
        <v>170.37299999999999</v>
      </c>
    </row>
    <row r="3536" spans="1:3">
      <c r="A3536" s="571" t="s">
        <v>1884</v>
      </c>
      <c r="B3536" s="572">
        <v>26.991900000000001</v>
      </c>
      <c r="C3536" s="572">
        <v>192.999</v>
      </c>
    </row>
    <row r="3537" spans="1:3">
      <c r="A3537" s="571" t="s">
        <v>1884</v>
      </c>
      <c r="B3537" s="572">
        <v>27.642299999999999</v>
      </c>
      <c r="C3537" s="572">
        <v>193.00299999999999</v>
      </c>
    </row>
    <row r="3538" spans="1:3">
      <c r="A3538" s="571" t="s">
        <v>1884</v>
      </c>
      <c r="B3538" s="572">
        <v>29.918700000000001</v>
      </c>
      <c r="C3538" s="572">
        <v>200.99700000000001</v>
      </c>
    </row>
    <row r="3539" spans="1:3">
      <c r="A3539" s="571" t="s">
        <v>1884</v>
      </c>
      <c r="B3539" s="572">
        <v>30.894300000000001</v>
      </c>
      <c r="C3539" s="572">
        <v>208.982</v>
      </c>
    </row>
    <row r="3540" spans="1:3">
      <c r="A3540" s="571" t="s">
        <v>1884</v>
      </c>
      <c r="B3540" s="572">
        <v>33.495899999999999</v>
      </c>
      <c r="C3540" s="572">
        <v>202.35</v>
      </c>
    </row>
    <row r="3541" spans="1:3">
      <c r="A3541" s="571" t="s">
        <v>1884</v>
      </c>
      <c r="B3541" s="572">
        <v>34.796700000000001</v>
      </c>
      <c r="C3541" s="572">
        <v>207.678</v>
      </c>
    </row>
    <row r="3542" spans="1:3">
      <c r="A3542" s="571" t="s">
        <v>1884</v>
      </c>
      <c r="B3542" s="572">
        <v>35.772399999999998</v>
      </c>
      <c r="C3542" s="572">
        <v>202.36600000000001</v>
      </c>
    </row>
    <row r="3543" spans="1:3">
      <c r="A3543" s="571" t="s">
        <v>1884</v>
      </c>
      <c r="B3543" s="572">
        <v>37.723599999999998</v>
      </c>
      <c r="C3543" s="572">
        <v>206.36799999999999</v>
      </c>
    </row>
    <row r="3544" spans="1:3">
      <c r="A3544" s="571" t="s">
        <v>1884</v>
      </c>
      <c r="B3544" s="572">
        <v>40.9756</v>
      </c>
      <c r="C3544" s="572">
        <v>210.37899999999999</v>
      </c>
    </row>
    <row r="3545" spans="1:3">
      <c r="A3545" s="571" t="s">
        <v>1884</v>
      </c>
      <c r="B3545" s="572">
        <v>44.878</v>
      </c>
      <c r="C3545" s="572">
        <v>226.36199999999999</v>
      </c>
    </row>
    <row r="3546" spans="1:3">
      <c r="A3546" s="571" t="s">
        <v>1884</v>
      </c>
      <c r="B3546" s="572">
        <v>48.455300000000001</v>
      </c>
      <c r="C3546" s="572">
        <v>229.04599999999999</v>
      </c>
    </row>
    <row r="3547" spans="1:3">
      <c r="A3547" s="571" t="s">
        <v>1884</v>
      </c>
      <c r="B3547" s="572">
        <v>62.764200000000002</v>
      </c>
      <c r="C3547" s="572">
        <v>229.14099999999999</v>
      </c>
    </row>
    <row r="3548" spans="1:3">
      <c r="A3548" s="571" t="s">
        <v>1884</v>
      </c>
      <c r="B3548" s="572">
        <v>78.0488</v>
      </c>
      <c r="C3548" s="572">
        <v>234.56100000000001</v>
      </c>
    </row>
    <row r="3549" spans="1:3">
      <c r="A3549" s="571" t="s">
        <v>1884</v>
      </c>
      <c r="B3549" s="572">
        <v>84.878</v>
      </c>
      <c r="C3549" s="572">
        <v>237.26599999999999</v>
      </c>
    </row>
    <row r="3550" spans="1:3">
      <c r="A3550" s="571" t="s">
        <v>1884</v>
      </c>
      <c r="B3550" s="572">
        <v>92.032499999999999</v>
      </c>
      <c r="C3550" s="572">
        <v>235.98400000000001</v>
      </c>
    </row>
    <row r="3551" spans="1:3">
      <c r="A3551" s="571" t="s">
        <v>1884</v>
      </c>
      <c r="B3551" s="572">
        <v>98.536600000000007</v>
      </c>
      <c r="C3551" s="572">
        <v>238.68700000000001</v>
      </c>
    </row>
    <row r="3552" spans="1:3">
      <c r="A3552" s="573" t="s">
        <v>1884</v>
      </c>
      <c r="B3552" s="574">
        <v>105.691</v>
      </c>
      <c r="C3552" s="574">
        <v>242.72399999999999</v>
      </c>
    </row>
    <row r="3553" spans="1:3">
      <c r="A3553" s="573" t="s">
        <v>1884</v>
      </c>
      <c r="B3553" s="574">
        <v>113.821</v>
      </c>
      <c r="C3553" s="574">
        <v>244.108</v>
      </c>
    </row>
    <row r="3554" spans="1:3">
      <c r="A3554" s="573" t="s">
        <v>1884</v>
      </c>
      <c r="B3554" s="574">
        <v>133.00800000000001</v>
      </c>
      <c r="C3554" s="574">
        <v>250.88399999999999</v>
      </c>
    </row>
    <row r="3555" spans="1:3">
      <c r="A3555" s="573" t="s">
        <v>1884</v>
      </c>
      <c r="B3555" s="574">
        <v>146.01599999999999</v>
      </c>
      <c r="C3555" s="574">
        <v>253.63</v>
      </c>
    </row>
    <row r="3556" spans="1:3">
      <c r="A3556" s="573" t="s">
        <v>1884</v>
      </c>
      <c r="B3556" s="574">
        <v>163.577</v>
      </c>
      <c r="C3556" s="574">
        <v>260.39600000000002</v>
      </c>
    </row>
    <row r="3557" spans="1:3">
      <c r="A3557" s="573" t="s">
        <v>1884</v>
      </c>
      <c r="B3557" s="574">
        <v>166.50399999999999</v>
      </c>
      <c r="C3557" s="574">
        <v>268.39400000000001</v>
      </c>
    </row>
    <row r="3558" spans="1:3">
      <c r="A3558" s="573" t="s">
        <v>1884</v>
      </c>
      <c r="B3558" s="574">
        <v>171.05699999999999</v>
      </c>
      <c r="C3558" s="574">
        <v>247.148</v>
      </c>
    </row>
    <row r="3559" spans="1:3">
      <c r="A3559" s="573" t="s">
        <v>1884</v>
      </c>
      <c r="B3559" s="574">
        <v>177.56100000000001</v>
      </c>
      <c r="C3559" s="574">
        <v>251.18100000000001</v>
      </c>
    </row>
    <row r="3560" spans="1:3">
      <c r="A3560" s="573" t="s">
        <v>1884</v>
      </c>
      <c r="B3560" s="574">
        <v>184.715</v>
      </c>
      <c r="C3560" s="574">
        <v>255.21799999999999</v>
      </c>
    </row>
    <row r="3561" spans="1:3">
      <c r="A3561" s="573" t="s">
        <v>1884</v>
      </c>
      <c r="B3561" s="574">
        <v>187.642</v>
      </c>
      <c r="C3561" s="574">
        <v>240.60900000000001</v>
      </c>
    </row>
    <row r="3562" spans="1:3">
      <c r="A3562" s="573" t="s">
        <v>1884</v>
      </c>
      <c r="B3562" s="574">
        <v>192.19499999999999</v>
      </c>
      <c r="C3562" s="574">
        <v>241.96899999999999</v>
      </c>
    </row>
    <row r="3563" spans="1:3">
      <c r="A3563" s="573" t="s">
        <v>1884</v>
      </c>
      <c r="B3563" s="574">
        <v>203.90199999999999</v>
      </c>
      <c r="C3563" s="574">
        <v>263.32400000000001</v>
      </c>
    </row>
    <row r="3564" spans="1:3">
      <c r="A3564" s="573" t="s">
        <v>1884</v>
      </c>
      <c r="B3564" s="574">
        <v>216.911</v>
      </c>
      <c r="C3564" s="574">
        <v>264.74</v>
      </c>
    </row>
    <row r="3565" spans="1:3">
      <c r="A3565" s="571" t="s">
        <v>1885</v>
      </c>
      <c r="B3565" s="572">
        <v>0</v>
      </c>
      <c r="C3565" s="572">
        <v>1.1399999999999999E-13</v>
      </c>
    </row>
    <row r="3566" spans="1:3">
      <c r="A3566" s="571" t="s">
        <v>1885</v>
      </c>
      <c r="B3566" s="572">
        <v>0.65040699999999996</v>
      </c>
      <c r="C3566" s="572">
        <v>47.8767</v>
      </c>
    </row>
    <row r="3567" spans="1:3">
      <c r="A3567" s="571" t="s">
        <v>1885</v>
      </c>
      <c r="B3567" s="572">
        <v>1.95122</v>
      </c>
      <c r="C3567" s="572">
        <v>55.863999999999997</v>
      </c>
    </row>
    <row r="3568" spans="1:3">
      <c r="A3568" s="571" t="s">
        <v>1885</v>
      </c>
      <c r="B3568" s="572">
        <v>2.9268299999999998</v>
      </c>
      <c r="C3568" s="572">
        <v>67.8386</v>
      </c>
    </row>
    <row r="3569" spans="1:3">
      <c r="A3569" s="571" t="s">
        <v>1885</v>
      </c>
      <c r="B3569" s="572">
        <v>5.8536599999999996</v>
      </c>
      <c r="C3569" s="572">
        <v>67.858099999999993</v>
      </c>
    </row>
    <row r="3570" spans="1:3">
      <c r="A3570" s="571" t="s">
        <v>1885</v>
      </c>
      <c r="B3570" s="572">
        <v>6.8292700000000002</v>
      </c>
      <c r="C3570" s="572">
        <v>78.502899999999997</v>
      </c>
    </row>
    <row r="3571" spans="1:3">
      <c r="A3571" s="571" t="s">
        <v>1885</v>
      </c>
      <c r="B3571" s="572">
        <v>7.4796699999999996</v>
      </c>
      <c r="C3571" s="572">
        <v>86.485900000000001</v>
      </c>
    </row>
    <row r="3572" spans="1:3">
      <c r="A3572" s="571" t="s">
        <v>1885</v>
      </c>
      <c r="B3572" s="572">
        <v>8.1300799999999995</v>
      </c>
      <c r="C3572" s="572">
        <v>105.107</v>
      </c>
    </row>
    <row r="3573" spans="1:3">
      <c r="A3573" s="571" t="s">
        <v>1885</v>
      </c>
      <c r="B3573" s="572">
        <v>12.357699999999999</v>
      </c>
      <c r="C3573" s="572">
        <v>115.774</v>
      </c>
    </row>
    <row r="3574" spans="1:3">
      <c r="A3574" s="571" t="s">
        <v>1885</v>
      </c>
      <c r="B3574" s="572">
        <v>13.6585</v>
      </c>
      <c r="C3574" s="572">
        <v>109.133</v>
      </c>
    </row>
    <row r="3575" spans="1:3">
      <c r="A3575" s="571" t="s">
        <v>1885</v>
      </c>
      <c r="B3575" s="572">
        <v>15.935</v>
      </c>
      <c r="C3575" s="572">
        <v>122.446</v>
      </c>
    </row>
    <row r="3576" spans="1:3">
      <c r="A3576" s="571" t="s">
        <v>1885</v>
      </c>
      <c r="B3576" s="572">
        <v>18.861799999999999</v>
      </c>
      <c r="C3576" s="572">
        <v>133.10400000000001</v>
      </c>
    </row>
    <row r="3577" spans="1:3">
      <c r="A3577" s="571" t="s">
        <v>1885</v>
      </c>
      <c r="B3577" s="572">
        <v>22.113800000000001</v>
      </c>
      <c r="C3577" s="572">
        <v>137.11500000000001</v>
      </c>
    </row>
    <row r="3578" spans="1:3">
      <c r="A3578" s="571" t="s">
        <v>1885</v>
      </c>
      <c r="B3578" s="572">
        <v>22.764199999999999</v>
      </c>
      <c r="C3578" s="572">
        <v>145.09800000000001</v>
      </c>
    </row>
    <row r="3579" spans="1:3">
      <c r="A3579" s="571" t="s">
        <v>1885</v>
      </c>
      <c r="B3579" s="572">
        <v>26.991900000000001</v>
      </c>
      <c r="C3579" s="572">
        <v>162.41399999999999</v>
      </c>
    </row>
    <row r="3580" spans="1:3">
      <c r="A3580" s="571" t="s">
        <v>1885</v>
      </c>
      <c r="B3580" s="572">
        <v>28.617899999999999</v>
      </c>
      <c r="C3580" s="572">
        <v>174.392</v>
      </c>
    </row>
    <row r="3581" spans="1:3">
      <c r="A3581" s="571" t="s">
        <v>1885</v>
      </c>
      <c r="B3581" s="572">
        <v>29.918700000000001</v>
      </c>
      <c r="C3581" s="572">
        <v>174.40100000000001</v>
      </c>
    </row>
    <row r="3582" spans="1:3">
      <c r="A3582" s="571" t="s">
        <v>1885</v>
      </c>
      <c r="B3582" s="572">
        <v>32.520299999999999</v>
      </c>
      <c r="C3582" s="572">
        <v>167.76900000000001</v>
      </c>
    </row>
    <row r="3583" spans="1:3">
      <c r="A3583" s="571" t="s">
        <v>1885</v>
      </c>
      <c r="B3583" s="572">
        <v>33.821100000000001</v>
      </c>
      <c r="C3583" s="572">
        <v>177.08699999999999</v>
      </c>
    </row>
    <row r="3584" spans="1:3">
      <c r="A3584" s="571" t="s">
        <v>1885</v>
      </c>
      <c r="B3584" s="572">
        <v>34.796700000000001</v>
      </c>
      <c r="C3584" s="572">
        <v>173.10400000000001</v>
      </c>
    </row>
    <row r="3585" spans="1:3">
      <c r="A3585" s="571" t="s">
        <v>1885</v>
      </c>
      <c r="B3585" s="572">
        <v>37.0732</v>
      </c>
      <c r="C3585" s="572">
        <v>174.44900000000001</v>
      </c>
    </row>
    <row r="3586" spans="1:3">
      <c r="A3586" s="571" t="s">
        <v>1885</v>
      </c>
      <c r="B3586" s="572">
        <v>39.674799999999998</v>
      </c>
      <c r="C3586" s="572">
        <v>177.125</v>
      </c>
    </row>
    <row r="3587" spans="1:3">
      <c r="A3587" s="571" t="s">
        <v>1885</v>
      </c>
      <c r="B3587" s="572">
        <v>43.9024</v>
      </c>
      <c r="C3587" s="572">
        <v>195.77099999999999</v>
      </c>
    </row>
    <row r="3588" spans="1:3">
      <c r="A3588" s="571" t="s">
        <v>1885</v>
      </c>
      <c r="B3588" s="572">
        <v>47.804900000000004</v>
      </c>
      <c r="C3588" s="572">
        <v>195.797</v>
      </c>
    </row>
    <row r="3589" spans="1:3">
      <c r="A3589" s="571" t="s">
        <v>1885</v>
      </c>
      <c r="B3589" s="572">
        <v>61.788600000000002</v>
      </c>
      <c r="C3589" s="572">
        <v>195.89</v>
      </c>
    </row>
    <row r="3590" spans="1:3">
      <c r="A3590" s="571" t="s">
        <v>1885</v>
      </c>
      <c r="B3590" s="572">
        <v>77.0732</v>
      </c>
      <c r="C3590" s="572">
        <v>193.33199999999999</v>
      </c>
    </row>
    <row r="3591" spans="1:3">
      <c r="A3591" s="571" t="s">
        <v>1885</v>
      </c>
      <c r="B3591" s="572">
        <v>83.577200000000005</v>
      </c>
      <c r="C3591" s="572">
        <v>198.69399999999999</v>
      </c>
    </row>
    <row r="3592" spans="1:3">
      <c r="A3592" s="571" t="s">
        <v>1885</v>
      </c>
      <c r="B3592" s="572">
        <v>90.731700000000004</v>
      </c>
      <c r="C3592" s="572">
        <v>202.73099999999999</v>
      </c>
    </row>
    <row r="3593" spans="1:3">
      <c r="A3593" s="571" t="s">
        <v>1885</v>
      </c>
      <c r="B3593" s="572">
        <v>98.211399999999998</v>
      </c>
      <c r="C3593" s="572">
        <v>205.44</v>
      </c>
    </row>
    <row r="3594" spans="1:3">
      <c r="A3594" s="573" t="s">
        <v>1885</v>
      </c>
      <c r="B3594" s="574">
        <v>104.715</v>
      </c>
      <c r="C3594" s="574">
        <v>210.803</v>
      </c>
    </row>
    <row r="3595" spans="1:3">
      <c r="A3595" s="573" t="s">
        <v>1885</v>
      </c>
      <c r="B3595" s="574">
        <v>112.846</v>
      </c>
      <c r="C3595" s="574">
        <v>209.52699999999999</v>
      </c>
    </row>
    <row r="3596" spans="1:3">
      <c r="A3596" s="573" t="s">
        <v>1885</v>
      </c>
      <c r="B3596" s="574">
        <v>132.03299999999999</v>
      </c>
      <c r="C3596" s="574">
        <v>212.31399999999999</v>
      </c>
    </row>
    <row r="3597" spans="1:3">
      <c r="A3597" s="573" t="s">
        <v>1885</v>
      </c>
      <c r="B3597" s="574">
        <v>144.38999999999999</v>
      </c>
      <c r="C3597" s="574">
        <v>213.726</v>
      </c>
    </row>
    <row r="3598" spans="1:3">
      <c r="A3598" s="573" t="s">
        <v>1885</v>
      </c>
      <c r="B3598" s="574">
        <v>162.92699999999999</v>
      </c>
      <c r="C3598" s="574">
        <v>213.84899999999999</v>
      </c>
    </row>
    <row r="3599" spans="1:3">
      <c r="A3599" s="573" t="s">
        <v>1885</v>
      </c>
      <c r="B3599" s="574">
        <v>165.85400000000001</v>
      </c>
      <c r="C3599" s="574">
        <v>227.167</v>
      </c>
    </row>
    <row r="3600" spans="1:3">
      <c r="A3600" s="573" t="s">
        <v>1885</v>
      </c>
      <c r="B3600" s="574">
        <v>169.756</v>
      </c>
      <c r="C3600" s="574">
        <v>204.58600000000001</v>
      </c>
    </row>
    <row r="3601" spans="1:3">
      <c r="A3601" s="573" t="s">
        <v>1885</v>
      </c>
      <c r="B3601" s="574">
        <v>176.58500000000001</v>
      </c>
      <c r="C3601" s="574">
        <v>209.95099999999999</v>
      </c>
    </row>
    <row r="3602" spans="1:3">
      <c r="A3602" s="573" t="s">
        <v>1885</v>
      </c>
      <c r="B3602" s="574">
        <v>183.74</v>
      </c>
      <c r="C3602" s="574">
        <v>213.988</v>
      </c>
    </row>
    <row r="3603" spans="1:3">
      <c r="A3603" s="573" t="s">
        <v>1885</v>
      </c>
      <c r="B3603" s="574">
        <v>186.667</v>
      </c>
      <c r="C3603" s="574">
        <v>204.69900000000001</v>
      </c>
    </row>
    <row r="3604" spans="1:3">
      <c r="A3604" s="573" t="s">
        <v>1885</v>
      </c>
      <c r="B3604" s="574">
        <v>190.89400000000001</v>
      </c>
      <c r="C3604" s="574">
        <v>203.39699999999999</v>
      </c>
    </row>
    <row r="3605" spans="1:3">
      <c r="A3605" s="573" t="s">
        <v>1885</v>
      </c>
      <c r="B3605" s="574">
        <v>202.602</v>
      </c>
      <c r="C3605" s="574">
        <v>219.43199999999999</v>
      </c>
    </row>
    <row r="3606" spans="1:3">
      <c r="A3606" s="573" t="s">
        <v>1885</v>
      </c>
      <c r="B3606" s="574">
        <v>215.935</v>
      </c>
      <c r="C3606" s="574">
        <v>219.52099999999999</v>
      </c>
    </row>
    <row r="3607" spans="1:3">
      <c r="A3607" s="571" t="s">
        <v>281</v>
      </c>
      <c r="B3607" s="572">
        <v>6.4585699999999999</v>
      </c>
      <c r="C3607" s="572">
        <v>103.49299999999999</v>
      </c>
    </row>
    <row r="3608" spans="1:3">
      <c r="A3608" s="571" t="s">
        <v>281</v>
      </c>
      <c r="B3608" s="572">
        <v>6.6741999999999999</v>
      </c>
      <c r="C3608" s="572">
        <v>140.334</v>
      </c>
    </row>
    <row r="3609" spans="1:3">
      <c r="A3609" s="571" t="s">
        <v>281</v>
      </c>
      <c r="B3609" s="572">
        <v>42.817500000000003</v>
      </c>
      <c r="C3609" s="572">
        <v>315.68200000000002</v>
      </c>
    </row>
    <row r="3610" spans="1:3">
      <c r="A3610" s="573" t="s">
        <v>281</v>
      </c>
      <c r="B3610" s="574">
        <v>112.989</v>
      </c>
      <c r="C3610" s="574">
        <v>504.98</v>
      </c>
    </row>
    <row r="3611" spans="1:3">
      <c r="A3611" s="573" t="s">
        <v>281</v>
      </c>
      <c r="B3611" s="574">
        <v>143.649</v>
      </c>
      <c r="C3611" s="574">
        <v>543.5</v>
      </c>
    </row>
    <row r="3612" spans="1:3">
      <c r="A3612" s="573" t="s">
        <v>281</v>
      </c>
      <c r="B3612" s="574">
        <v>173.01599999999999</v>
      </c>
      <c r="C3612" s="574">
        <v>560.97</v>
      </c>
    </row>
    <row r="3613" spans="1:3">
      <c r="A3613" s="573" t="s">
        <v>281</v>
      </c>
      <c r="B3613" s="574">
        <v>204.73400000000001</v>
      </c>
      <c r="C3613" s="574">
        <v>580.18899999999996</v>
      </c>
    </row>
    <row r="3614" spans="1:3">
      <c r="A3614" s="573" t="s">
        <v>281</v>
      </c>
      <c r="B3614" s="574">
        <v>231.749</v>
      </c>
      <c r="C3614" s="574">
        <v>595.91</v>
      </c>
    </row>
    <row r="3615" spans="1:3">
      <c r="A3615" s="573" t="s">
        <v>281</v>
      </c>
      <c r="B3615" s="574">
        <v>261.06400000000002</v>
      </c>
      <c r="C3615" s="574">
        <v>604.60900000000004</v>
      </c>
    </row>
    <row r="3616" spans="1:3">
      <c r="A3616" s="573" t="s">
        <v>281</v>
      </c>
      <c r="B3616" s="574">
        <v>312.63</v>
      </c>
      <c r="C3616" s="574">
        <v>615.00599999999997</v>
      </c>
    </row>
    <row r="3617" spans="1:3">
      <c r="A3617" s="573" t="s">
        <v>281</v>
      </c>
      <c r="B3617" s="574">
        <v>372.4</v>
      </c>
      <c r="C3617" s="574">
        <v>627.13699999999994</v>
      </c>
    </row>
    <row r="3618" spans="1:3">
      <c r="A3618" s="569" t="s">
        <v>281</v>
      </c>
      <c r="B3618" s="570">
        <v>605.49300000000005</v>
      </c>
      <c r="C3618" s="570">
        <v>652.86800000000005</v>
      </c>
    </row>
    <row r="3619" spans="1:3">
      <c r="A3619" s="571" t="s">
        <v>282</v>
      </c>
      <c r="B3619" s="572">
        <v>12.241</v>
      </c>
      <c r="C3619" s="572">
        <v>196.923</v>
      </c>
    </row>
    <row r="3620" spans="1:3">
      <c r="A3620" s="571" t="s">
        <v>282</v>
      </c>
      <c r="B3620" s="572">
        <v>28.8154</v>
      </c>
      <c r="C3620" s="572">
        <v>279.56</v>
      </c>
    </row>
    <row r="3621" spans="1:3">
      <c r="A3621" s="571" t="s">
        <v>282</v>
      </c>
      <c r="B3621" s="572">
        <v>42.989699999999999</v>
      </c>
      <c r="C3621" s="572">
        <v>339.34100000000001</v>
      </c>
    </row>
    <row r="3622" spans="1:3">
      <c r="A3622" s="571" t="s">
        <v>282</v>
      </c>
      <c r="B3622" s="572">
        <v>54.753799999999998</v>
      </c>
      <c r="C3622" s="572">
        <v>372.74700000000001</v>
      </c>
    </row>
    <row r="3623" spans="1:3">
      <c r="A3623" s="571" t="s">
        <v>282</v>
      </c>
      <c r="B3623" s="572">
        <v>84.243600000000001</v>
      </c>
      <c r="C3623" s="572">
        <v>483.51600000000002</v>
      </c>
    </row>
    <row r="3624" spans="1:3">
      <c r="A3624" s="573" t="s">
        <v>282</v>
      </c>
      <c r="B3624" s="574">
        <v>108.913</v>
      </c>
      <c r="C3624" s="574">
        <v>541.53800000000001</v>
      </c>
    </row>
    <row r="3625" spans="1:3">
      <c r="A3625" s="573" t="s">
        <v>282</v>
      </c>
      <c r="B3625" s="574">
        <v>138.16200000000001</v>
      </c>
      <c r="C3625" s="574">
        <v>569.66999999999996</v>
      </c>
    </row>
    <row r="3626" spans="1:3">
      <c r="A3626" s="573" t="s">
        <v>282</v>
      </c>
      <c r="B3626" s="574">
        <v>165.036</v>
      </c>
      <c r="C3626" s="574">
        <v>583.73599999999999</v>
      </c>
    </row>
    <row r="3627" spans="1:3">
      <c r="A3627" s="573" t="s">
        <v>282</v>
      </c>
      <c r="B3627" s="574">
        <v>300.62099999999998</v>
      </c>
      <c r="C3627" s="574">
        <v>669.89</v>
      </c>
    </row>
    <row r="3628" spans="1:3">
      <c r="A3628" s="573" t="s">
        <v>282</v>
      </c>
      <c r="B3628" s="574">
        <v>359</v>
      </c>
      <c r="C3628" s="574">
        <v>685.71400000000006</v>
      </c>
    </row>
    <row r="3629" spans="1:3">
      <c r="A3629" s="569" t="s">
        <v>282</v>
      </c>
      <c r="B3629" s="570">
        <v>601.72799999999995</v>
      </c>
      <c r="C3629" s="570">
        <v>706.81299999999999</v>
      </c>
    </row>
    <row r="3630" spans="1:3">
      <c r="A3630" s="571" t="s">
        <v>283</v>
      </c>
      <c r="B3630" s="572">
        <v>21.866700000000002</v>
      </c>
      <c r="C3630" s="572">
        <v>297.14299999999997</v>
      </c>
    </row>
    <row r="3631" spans="1:3">
      <c r="A3631" s="571" t="s">
        <v>283</v>
      </c>
      <c r="B3631" s="572">
        <v>30.192299999999999</v>
      </c>
      <c r="C3631" s="572">
        <v>351.64800000000002</v>
      </c>
    </row>
    <row r="3632" spans="1:3">
      <c r="A3632" s="571" t="s">
        <v>283</v>
      </c>
      <c r="B3632" s="572">
        <v>45.512799999999999</v>
      </c>
      <c r="C3632" s="572">
        <v>404.39600000000002</v>
      </c>
    </row>
    <row r="3633" spans="1:3">
      <c r="A3633" s="571" t="s">
        <v>283</v>
      </c>
      <c r="B3633" s="572">
        <v>60.817900000000002</v>
      </c>
      <c r="C3633" s="572">
        <v>451.86799999999999</v>
      </c>
    </row>
    <row r="3634" spans="1:3">
      <c r="A3634" s="571" t="s">
        <v>283</v>
      </c>
      <c r="B3634" s="572">
        <v>91.284599999999998</v>
      </c>
      <c r="C3634" s="572">
        <v>497.58199999999999</v>
      </c>
    </row>
    <row r="3635" spans="1:3">
      <c r="A3635" s="573" t="s">
        <v>283</v>
      </c>
      <c r="B3635" s="574">
        <v>148.61000000000001</v>
      </c>
      <c r="C3635" s="574">
        <v>552.08799999999997</v>
      </c>
    </row>
    <row r="3636" spans="1:3">
      <c r="A3636" s="573" t="s">
        <v>283</v>
      </c>
      <c r="B3636" s="574">
        <v>170.82300000000001</v>
      </c>
      <c r="C3636" s="574">
        <v>567.91200000000003</v>
      </c>
    </row>
    <row r="3637" spans="1:3">
      <c r="A3637" s="573" t="s">
        <v>283</v>
      </c>
      <c r="B3637" s="574">
        <v>342.62099999999998</v>
      </c>
      <c r="C3637" s="574">
        <v>669.89</v>
      </c>
    </row>
    <row r="3638" spans="1:3">
      <c r="A3638" s="569" t="s">
        <v>283</v>
      </c>
      <c r="B3638" s="570">
        <v>602.92100000000005</v>
      </c>
      <c r="C3638" s="570">
        <v>715.60400000000004</v>
      </c>
    </row>
    <row r="3639" spans="1:3">
      <c r="A3639" s="571" t="s">
        <v>284</v>
      </c>
      <c r="B3639" s="572">
        <v>0</v>
      </c>
      <c r="C3639" s="572">
        <v>0</v>
      </c>
    </row>
    <row r="3640" spans="1:3">
      <c r="A3640" s="571" t="s">
        <v>284</v>
      </c>
      <c r="B3640" s="572">
        <v>3.68621</v>
      </c>
      <c r="C3640" s="572">
        <v>29.815300000000001</v>
      </c>
    </row>
    <row r="3641" spans="1:3">
      <c r="A3641" s="571" t="s">
        <v>284</v>
      </c>
      <c r="B3641" s="572">
        <v>14.0466</v>
      </c>
      <c r="C3641" s="572">
        <v>199.965</v>
      </c>
    </row>
    <row r="3642" spans="1:3">
      <c r="A3642" s="571" t="s">
        <v>284</v>
      </c>
      <c r="B3642" s="572">
        <v>18.595300000000002</v>
      </c>
      <c r="C3642" s="572">
        <v>177.14599999999999</v>
      </c>
    </row>
    <row r="3643" spans="1:3">
      <c r="A3643" s="571" t="s">
        <v>284</v>
      </c>
      <c r="B3643" s="572">
        <v>41.5443</v>
      </c>
      <c r="C3643" s="572">
        <v>298.14100000000002</v>
      </c>
    </row>
    <row r="3644" spans="1:3">
      <c r="A3644" s="571" t="s">
        <v>284</v>
      </c>
      <c r="B3644" s="572">
        <v>56.956600000000002</v>
      </c>
      <c r="C3644" s="572">
        <v>331.43599999999998</v>
      </c>
    </row>
    <row r="3645" spans="1:3">
      <c r="A3645" s="571" t="s">
        <v>284</v>
      </c>
      <c r="B3645" s="572">
        <v>84.300200000000004</v>
      </c>
      <c r="C3645" s="572">
        <v>403.29700000000003</v>
      </c>
    </row>
    <row r="3646" spans="1:3">
      <c r="A3646" s="573" t="s">
        <v>284</v>
      </c>
      <c r="B3646" s="574">
        <v>114.01600000000001</v>
      </c>
      <c r="C3646" s="574">
        <v>480.416</v>
      </c>
    </row>
    <row r="3647" spans="1:3">
      <c r="A3647" s="573" t="s">
        <v>284</v>
      </c>
      <c r="B3647" s="574">
        <v>141.09299999999999</v>
      </c>
      <c r="C3647" s="574">
        <v>506.66399999999999</v>
      </c>
    </row>
    <row r="3648" spans="1:3">
      <c r="A3648" s="573" t="s">
        <v>284</v>
      </c>
      <c r="B3648" s="574">
        <v>188.12</v>
      </c>
      <c r="C3648" s="574">
        <v>541.63400000000001</v>
      </c>
    </row>
    <row r="3649" spans="1:3">
      <c r="A3649" s="573" t="s">
        <v>284</v>
      </c>
      <c r="B3649" s="574">
        <v>231.54300000000001</v>
      </c>
      <c r="C3649" s="574">
        <v>560.82299999999998</v>
      </c>
    </row>
    <row r="3650" spans="1:3">
      <c r="A3650" s="573" t="s">
        <v>284</v>
      </c>
      <c r="B3650" s="574">
        <v>260.858</v>
      </c>
      <c r="C3650" s="574">
        <v>569.52200000000005</v>
      </c>
    </row>
    <row r="3651" spans="1:3">
      <c r="A3651" s="573" t="s">
        <v>284</v>
      </c>
      <c r="B3651" s="574">
        <v>387.47300000000001</v>
      </c>
      <c r="C3651" s="574">
        <v>602.53800000000001</v>
      </c>
    </row>
    <row r="3652" spans="1:3">
      <c r="A3652" s="569" t="s">
        <v>284</v>
      </c>
      <c r="B3652" s="570">
        <v>604.12800000000004</v>
      </c>
      <c r="C3652" s="570">
        <v>619.53899999999999</v>
      </c>
    </row>
    <row r="3653" spans="1:3">
      <c r="A3653" s="571" t="s">
        <v>285</v>
      </c>
      <c r="B3653" s="572">
        <v>0.45179200000000003</v>
      </c>
      <c r="C3653" s="572">
        <v>77.191900000000004</v>
      </c>
    </row>
    <row r="3654" spans="1:3">
      <c r="A3654" s="571" t="s">
        <v>285</v>
      </c>
      <c r="B3654" s="572">
        <v>57.048999999999999</v>
      </c>
      <c r="C3654" s="572">
        <v>347.22500000000002</v>
      </c>
    </row>
    <row r="3655" spans="1:3">
      <c r="A3655" s="571" t="s">
        <v>285</v>
      </c>
      <c r="B3655" s="572">
        <v>83.458299999999994</v>
      </c>
      <c r="C3655" s="572">
        <v>459.44</v>
      </c>
    </row>
    <row r="3656" spans="1:3">
      <c r="A3656" s="573" t="s">
        <v>285</v>
      </c>
      <c r="B3656" s="574">
        <v>137.99199999999999</v>
      </c>
      <c r="C3656" s="574">
        <v>576.84699999999998</v>
      </c>
    </row>
    <row r="3657" spans="1:3">
      <c r="A3657" s="573" t="s">
        <v>285</v>
      </c>
      <c r="B3657" s="574">
        <v>163.87700000000001</v>
      </c>
      <c r="C3657" s="574">
        <v>599.58900000000006</v>
      </c>
    </row>
    <row r="3658" spans="1:3">
      <c r="A3658" s="573" t="s">
        <v>285</v>
      </c>
      <c r="B3658" s="574">
        <v>203.892</v>
      </c>
      <c r="C3658" s="574">
        <v>636.33100000000002</v>
      </c>
    </row>
    <row r="3659" spans="1:3">
      <c r="A3659" s="573" t="s">
        <v>285</v>
      </c>
      <c r="B3659" s="574">
        <v>300.185</v>
      </c>
      <c r="C3659" s="574">
        <v>688.721</v>
      </c>
    </row>
    <row r="3660" spans="1:3">
      <c r="A3660" s="573" t="s">
        <v>285</v>
      </c>
      <c r="B3660" s="574">
        <v>358.79500000000002</v>
      </c>
      <c r="C3660" s="574">
        <v>702.61</v>
      </c>
    </row>
    <row r="3661" spans="1:3">
      <c r="A3661" s="569" t="s">
        <v>285</v>
      </c>
      <c r="B3661" s="570">
        <v>605.88400000000001</v>
      </c>
      <c r="C3661" s="570">
        <v>719.53399999999999</v>
      </c>
    </row>
    <row r="3662" spans="1:3">
      <c r="A3662" s="571" t="s">
        <v>286</v>
      </c>
      <c r="B3662" s="572">
        <v>1.2230799999999999</v>
      </c>
      <c r="C3662" s="572">
        <v>19.340699999999998</v>
      </c>
    </row>
    <row r="3663" spans="1:3">
      <c r="A3663" s="571" t="s">
        <v>286</v>
      </c>
      <c r="B3663" s="572">
        <v>2.4871799999999999</v>
      </c>
      <c r="C3663" s="572">
        <v>52.747300000000003</v>
      </c>
    </row>
    <row r="3664" spans="1:3">
      <c r="A3664" s="571" t="s">
        <v>286</v>
      </c>
      <c r="B3664" s="572">
        <v>5</v>
      </c>
      <c r="C3664" s="572">
        <v>114.286</v>
      </c>
    </row>
    <row r="3665" spans="1:3">
      <c r="A3665" s="571" t="s">
        <v>286</v>
      </c>
      <c r="B3665" s="572">
        <v>7.4102600000000001</v>
      </c>
      <c r="C3665" s="572">
        <v>140.65899999999999</v>
      </c>
    </row>
    <row r="3666" spans="1:3">
      <c r="A3666" s="571" t="s">
        <v>286</v>
      </c>
      <c r="B3666" s="572">
        <v>17.020499999999998</v>
      </c>
      <c r="C3666" s="572">
        <v>235.60400000000001</v>
      </c>
    </row>
    <row r="3667" spans="1:3">
      <c r="A3667" s="571" t="s">
        <v>286</v>
      </c>
      <c r="B3667" s="572">
        <v>25.259</v>
      </c>
      <c r="C3667" s="572">
        <v>260.22000000000003</v>
      </c>
    </row>
    <row r="3668" spans="1:3">
      <c r="A3668" s="571" t="s">
        <v>286</v>
      </c>
      <c r="B3668" s="572">
        <v>37.043599999999998</v>
      </c>
      <c r="C3668" s="572">
        <v>300.65899999999999</v>
      </c>
    </row>
    <row r="3669" spans="1:3">
      <c r="A3669" s="571" t="s">
        <v>286</v>
      </c>
      <c r="B3669" s="572">
        <v>47.6205</v>
      </c>
      <c r="C3669" s="572">
        <v>327.03300000000002</v>
      </c>
    </row>
    <row r="3670" spans="1:3">
      <c r="A3670" s="571" t="s">
        <v>286</v>
      </c>
      <c r="B3670" s="572">
        <v>54.666699999999999</v>
      </c>
      <c r="C3670" s="572">
        <v>342.85700000000003</v>
      </c>
    </row>
    <row r="3671" spans="1:3">
      <c r="A3671" s="571" t="s">
        <v>286</v>
      </c>
      <c r="B3671" s="572">
        <v>74.510300000000001</v>
      </c>
      <c r="C3671" s="572">
        <v>346.37400000000002</v>
      </c>
    </row>
    <row r="3672" spans="1:3">
      <c r="A3672" s="573" t="s">
        <v>286</v>
      </c>
      <c r="B3672" s="574">
        <v>122.405</v>
      </c>
      <c r="C3672" s="574">
        <v>367.47300000000001</v>
      </c>
    </row>
    <row r="3673" spans="1:3">
      <c r="A3673" s="573" t="s">
        <v>286</v>
      </c>
      <c r="B3673" s="574">
        <v>178.518</v>
      </c>
      <c r="C3673" s="574">
        <v>406.154</v>
      </c>
    </row>
    <row r="3674" spans="1:3">
      <c r="A3674" s="573" t="s">
        <v>286</v>
      </c>
      <c r="B3674" s="574">
        <v>359.67399999999998</v>
      </c>
      <c r="C3674" s="574">
        <v>516.923</v>
      </c>
    </row>
    <row r="3675" spans="1:3">
      <c r="A3675" s="571" t="s">
        <v>1886</v>
      </c>
      <c r="B3675" s="572">
        <v>1.1483399999999999</v>
      </c>
      <c r="C3675" s="572">
        <v>5.6258699999999999</v>
      </c>
    </row>
    <row r="3676" spans="1:3">
      <c r="A3676" s="571" t="s">
        <v>1886</v>
      </c>
      <c r="B3676" s="572">
        <v>2.07355</v>
      </c>
      <c r="C3676" s="572">
        <v>87.883700000000005</v>
      </c>
    </row>
    <row r="3677" spans="1:3">
      <c r="A3677" s="571" t="s">
        <v>1886</v>
      </c>
      <c r="B3677" s="572">
        <v>27.685400000000001</v>
      </c>
      <c r="C3677" s="572">
        <v>92.032300000000006</v>
      </c>
    </row>
    <row r="3678" spans="1:3">
      <c r="A3678" s="571" t="s">
        <v>1886</v>
      </c>
      <c r="B3678" s="572">
        <v>54.429299999999998</v>
      </c>
      <c r="C3678" s="572">
        <v>107.414</v>
      </c>
    </row>
    <row r="3679" spans="1:3">
      <c r="A3679" s="571" t="s">
        <v>1886</v>
      </c>
      <c r="B3679" s="572">
        <v>83.535200000000003</v>
      </c>
      <c r="C3679" s="572">
        <v>111.619</v>
      </c>
    </row>
    <row r="3680" spans="1:3">
      <c r="A3680" s="573" t="s">
        <v>1886</v>
      </c>
      <c r="B3680" s="574">
        <v>113.762</v>
      </c>
      <c r="C3680" s="574">
        <v>130.79499999999999</v>
      </c>
    </row>
    <row r="3681" spans="1:3">
      <c r="A3681" s="573" t="s">
        <v>1886</v>
      </c>
      <c r="B3681" s="574">
        <v>148.72999999999999</v>
      </c>
      <c r="C3681" s="574">
        <v>122.009</v>
      </c>
    </row>
    <row r="3682" spans="1:3">
      <c r="A3682" s="573" t="s">
        <v>1886</v>
      </c>
      <c r="B3682" s="574">
        <v>173.12200000000001</v>
      </c>
      <c r="C3682" s="574">
        <v>144.83000000000001</v>
      </c>
    </row>
    <row r="3683" spans="1:3">
      <c r="A3683" s="573" t="s">
        <v>1886</v>
      </c>
      <c r="B3683" s="574">
        <v>203.41499999999999</v>
      </c>
      <c r="C3683" s="574">
        <v>141.577</v>
      </c>
    </row>
    <row r="3684" spans="1:3">
      <c r="A3684" s="573" t="s">
        <v>1886</v>
      </c>
      <c r="B3684" s="574">
        <v>232.50399999999999</v>
      </c>
      <c r="C3684" s="574">
        <v>151.38900000000001</v>
      </c>
    </row>
    <row r="3685" spans="1:3">
      <c r="A3685" s="573" t="s">
        <v>1886</v>
      </c>
      <c r="B3685" s="574">
        <v>262.74799999999999</v>
      </c>
      <c r="C3685" s="574">
        <v>164.95699999999999</v>
      </c>
    </row>
    <row r="3686" spans="1:3">
      <c r="A3686" s="573" t="s">
        <v>1886</v>
      </c>
      <c r="B3686" s="574">
        <v>310.44499999999999</v>
      </c>
      <c r="C3686" s="574">
        <v>184.41300000000001</v>
      </c>
    </row>
    <row r="3687" spans="1:3">
      <c r="A3687" s="573" t="s">
        <v>1886</v>
      </c>
      <c r="B3687" s="574">
        <v>371.00799999999998</v>
      </c>
      <c r="C3687" s="574">
        <v>185.38300000000001</v>
      </c>
    </row>
    <row r="3688" spans="1:3">
      <c r="A3688" s="571" t="s">
        <v>1887</v>
      </c>
      <c r="B3688" s="572">
        <v>2.09884</v>
      </c>
      <c r="C3688" s="572">
        <v>80.396199999999993</v>
      </c>
    </row>
    <row r="3689" spans="1:3">
      <c r="A3689" s="571" t="s">
        <v>1887</v>
      </c>
      <c r="B3689" s="572">
        <v>26.516300000000001</v>
      </c>
      <c r="C3689" s="572">
        <v>108.694</v>
      </c>
    </row>
    <row r="3690" spans="1:3">
      <c r="A3690" s="571" t="s">
        <v>1887</v>
      </c>
      <c r="B3690" s="572">
        <v>43.923099999999998</v>
      </c>
      <c r="C3690" s="572">
        <v>140.65600000000001</v>
      </c>
    </row>
    <row r="3691" spans="1:3">
      <c r="A3691" s="571" t="s">
        <v>1887</v>
      </c>
      <c r="B3691" s="572">
        <v>87.028400000000005</v>
      </c>
      <c r="C3691" s="572">
        <v>161.67699999999999</v>
      </c>
    </row>
    <row r="3692" spans="1:3">
      <c r="A3692" s="573" t="s">
        <v>1887</v>
      </c>
      <c r="B3692" s="574">
        <v>115.02800000000001</v>
      </c>
      <c r="C3692" s="574">
        <v>161.976</v>
      </c>
    </row>
    <row r="3693" spans="1:3">
      <c r="A3693" s="573" t="s">
        <v>1887</v>
      </c>
      <c r="B3693" s="574">
        <v>143.03800000000001</v>
      </c>
      <c r="C3693" s="574">
        <v>158.53700000000001</v>
      </c>
    </row>
    <row r="3694" spans="1:3">
      <c r="A3694" s="573" t="s">
        <v>1887</v>
      </c>
      <c r="B3694" s="574">
        <v>166.34800000000001</v>
      </c>
      <c r="C3694" s="574">
        <v>166.26300000000001</v>
      </c>
    </row>
    <row r="3695" spans="1:3">
      <c r="A3695" s="573" t="s">
        <v>1887</v>
      </c>
      <c r="B3695" s="574">
        <v>205.98099999999999</v>
      </c>
      <c r="C3695" s="574">
        <v>177.90100000000001</v>
      </c>
    </row>
    <row r="3696" spans="1:3">
      <c r="A3696" s="573" t="s">
        <v>1887</v>
      </c>
      <c r="B3696" s="574">
        <v>302.72399999999999</v>
      </c>
      <c r="C3696" s="574">
        <v>208.84100000000001</v>
      </c>
    </row>
    <row r="3697" spans="1:3">
      <c r="A3697" s="573" t="s">
        <v>1887</v>
      </c>
      <c r="B3697" s="574">
        <v>364.47899999999998</v>
      </c>
      <c r="C3697" s="574">
        <v>235.66900000000001</v>
      </c>
    </row>
    <row r="3698" spans="1:3">
      <c r="A3698" s="569" t="s">
        <v>1887</v>
      </c>
      <c r="B3698" s="570">
        <v>605.88499999999999</v>
      </c>
      <c r="C3698" s="570">
        <v>268.154</v>
      </c>
    </row>
    <row r="3699" spans="1:3">
      <c r="A3699" s="571" t="s">
        <v>1888</v>
      </c>
      <c r="B3699" s="572">
        <v>29.923500000000001</v>
      </c>
      <c r="C3699" s="572">
        <v>140.50700000000001</v>
      </c>
    </row>
    <row r="3700" spans="1:3">
      <c r="A3700" s="571" t="s">
        <v>1888</v>
      </c>
      <c r="B3700" s="572">
        <v>62.5565</v>
      </c>
      <c r="C3700" s="572">
        <v>152.07</v>
      </c>
    </row>
    <row r="3701" spans="1:3">
      <c r="A3701" s="573" t="s">
        <v>1888</v>
      </c>
      <c r="B3701" s="574">
        <v>110.328</v>
      </c>
      <c r="C3701" s="574">
        <v>173.14099999999999</v>
      </c>
    </row>
    <row r="3702" spans="1:3">
      <c r="A3702" s="573" t="s">
        <v>1888</v>
      </c>
      <c r="B3702" s="574">
        <v>159.34299999999999</v>
      </c>
      <c r="C3702" s="574">
        <v>168.05699999999999</v>
      </c>
    </row>
    <row r="3703" spans="1:3">
      <c r="A3703" s="573" t="s">
        <v>1888</v>
      </c>
      <c r="B3703" s="574">
        <v>347.01799999999997</v>
      </c>
      <c r="C3703" s="574">
        <v>222.398</v>
      </c>
    </row>
    <row r="3704" spans="1:3">
      <c r="A3704" s="571" t="s">
        <v>1889</v>
      </c>
      <c r="B3704" s="572">
        <v>7.9513299999999996</v>
      </c>
      <c r="C3704" s="572">
        <v>69.286299999999997</v>
      </c>
    </row>
    <row r="3705" spans="1:3">
      <c r="A3705" s="571" t="s">
        <v>1889</v>
      </c>
      <c r="B3705" s="572">
        <v>17.203399999999998</v>
      </c>
      <c r="C3705" s="572">
        <v>91.864400000000003</v>
      </c>
    </row>
    <row r="3706" spans="1:3">
      <c r="A3706" s="571" t="s">
        <v>1889</v>
      </c>
      <c r="B3706" s="572">
        <v>38.134799999999998</v>
      </c>
      <c r="C3706" s="572">
        <v>103.41500000000001</v>
      </c>
    </row>
    <row r="3707" spans="1:3">
      <c r="A3707" s="571" t="s">
        <v>1889</v>
      </c>
      <c r="B3707" s="572">
        <v>81.178700000000006</v>
      </c>
      <c r="C3707" s="572">
        <v>120.92700000000001</v>
      </c>
    </row>
    <row r="3708" spans="1:3">
      <c r="A3708" s="573" t="s">
        <v>1889</v>
      </c>
      <c r="B3708" s="574">
        <v>111.46599999999999</v>
      </c>
      <c r="C3708" s="574">
        <v>119.54300000000001</v>
      </c>
    </row>
    <row r="3709" spans="1:3">
      <c r="A3709" s="573" t="s">
        <v>1889</v>
      </c>
      <c r="B3709" s="574">
        <v>141.73599999999999</v>
      </c>
      <c r="C3709" s="574">
        <v>123.76600000000001</v>
      </c>
    </row>
    <row r="3710" spans="1:3">
      <c r="A3710" s="573" t="s">
        <v>1889</v>
      </c>
      <c r="B3710" s="574">
        <v>187.16900000000001</v>
      </c>
      <c r="C3710" s="574">
        <v>120.756</v>
      </c>
    </row>
    <row r="3711" spans="1:3">
      <c r="A3711" s="573" t="s">
        <v>1889</v>
      </c>
      <c r="B3711" s="574">
        <v>230.24</v>
      </c>
      <c r="C3711" s="574">
        <v>128.922</v>
      </c>
    </row>
    <row r="3712" spans="1:3">
      <c r="A3712" s="573" t="s">
        <v>1889</v>
      </c>
      <c r="B3712" s="574">
        <v>260.52699999999999</v>
      </c>
      <c r="C3712" s="574">
        <v>127.538</v>
      </c>
    </row>
    <row r="3713" spans="1:3">
      <c r="A3713" s="573" t="s">
        <v>1889</v>
      </c>
      <c r="B3713" s="574">
        <v>383.95499999999998</v>
      </c>
      <c r="C3713" s="574">
        <v>138.86199999999999</v>
      </c>
    </row>
    <row r="3714" spans="1:3">
      <c r="A3714" s="569" t="s">
        <v>1889</v>
      </c>
      <c r="B3714" s="570">
        <v>598.298</v>
      </c>
      <c r="C3714" s="570">
        <v>127.343</v>
      </c>
    </row>
    <row r="3715" spans="1:3">
      <c r="A3715" s="571" t="s">
        <v>1890</v>
      </c>
      <c r="B3715" s="572">
        <v>3.21645</v>
      </c>
      <c r="C3715" s="572">
        <v>95.378600000000006</v>
      </c>
    </row>
    <row r="3716" spans="1:3">
      <c r="A3716" s="571" t="s">
        <v>1890</v>
      </c>
      <c r="B3716" s="572">
        <v>12.501200000000001</v>
      </c>
      <c r="C3716" s="572">
        <v>106.742</v>
      </c>
    </row>
    <row r="3717" spans="1:3">
      <c r="A3717" s="571" t="s">
        <v>1890</v>
      </c>
      <c r="B3717" s="572">
        <v>28.7195</v>
      </c>
      <c r="C3717" s="572">
        <v>136.90899999999999</v>
      </c>
    </row>
    <row r="3718" spans="1:3">
      <c r="A3718" s="571" t="s">
        <v>1890</v>
      </c>
      <c r="B3718" s="572">
        <v>56.655299999999997</v>
      </c>
      <c r="C3718" s="572">
        <v>142.964</v>
      </c>
    </row>
    <row r="3719" spans="1:3">
      <c r="A3719" s="571" t="s">
        <v>1890</v>
      </c>
      <c r="B3719" s="572">
        <v>83.453599999999994</v>
      </c>
      <c r="C3719" s="572">
        <v>139.655</v>
      </c>
    </row>
    <row r="3720" spans="1:3">
      <c r="A3720" s="573" t="s">
        <v>1890</v>
      </c>
      <c r="B3720" s="574">
        <v>113.762</v>
      </c>
      <c r="C3720" s="574">
        <v>130.79499999999999</v>
      </c>
    </row>
    <row r="3721" spans="1:3">
      <c r="A3721" s="573" t="s">
        <v>1890</v>
      </c>
      <c r="B3721" s="574">
        <v>138.19300000000001</v>
      </c>
      <c r="C3721" s="574">
        <v>140.53200000000001</v>
      </c>
    </row>
    <row r="3722" spans="1:3">
      <c r="A3722" s="573" t="s">
        <v>1890</v>
      </c>
      <c r="B3722" s="574">
        <v>159.125</v>
      </c>
      <c r="C3722" s="574">
        <v>152.08199999999999</v>
      </c>
    </row>
    <row r="3723" spans="1:3">
      <c r="A3723" s="573" t="s">
        <v>1890</v>
      </c>
      <c r="B3723" s="574">
        <v>205.755</v>
      </c>
      <c r="C3723" s="574">
        <v>137.876</v>
      </c>
    </row>
    <row r="3724" spans="1:3">
      <c r="A3724" s="573" t="s">
        <v>1890</v>
      </c>
      <c r="B3724" s="574">
        <v>296.46300000000002</v>
      </c>
      <c r="C3724" s="574">
        <v>186.05799999999999</v>
      </c>
    </row>
    <row r="3725" spans="1:3">
      <c r="A3725" s="573" t="s">
        <v>1890</v>
      </c>
      <c r="B3725" s="574">
        <v>354.66399999999999</v>
      </c>
      <c r="C3725" s="574">
        <v>198.20599999999999</v>
      </c>
    </row>
    <row r="3726" spans="1:3">
      <c r="A3726" s="569" t="s">
        <v>1890</v>
      </c>
      <c r="B3726" s="570">
        <v>599.23400000000004</v>
      </c>
      <c r="C3726" s="570">
        <v>205.86199999999999</v>
      </c>
    </row>
    <row r="3727" spans="1:3">
      <c r="A3727" s="571" t="s">
        <v>1891</v>
      </c>
      <c r="B3727" s="572">
        <v>1.0248900000000001</v>
      </c>
      <c r="C3727" s="572">
        <v>48.609099999999998</v>
      </c>
    </row>
    <row r="3728" spans="1:3">
      <c r="A3728" s="571" t="s">
        <v>1891</v>
      </c>
      <c r="B3728" s="572">
        <v>13.6289</v>
      </c>
      <c r="C3728" s="572">
        <v>127.248</v>
      </c>
    </row>
    <row r="3729" spans="1:3">
      <c r="A3729" s="571" t="s">
        <v>1891</v>
      </c>
      <c r="B3729" s="572">
        <v>18.235399999999998</v>
      </c>
      <c r="C3729" s="572">
        <v>147.858</v>
      </c>
    </row>
    <row r="3730" spans="1:3">
      <c r="A3730" s="571" t="s">
        <v>1891</v>
      </c>
      <c r="B3730" s="572">
        <v>26.331</v>
      </c>
      <c r="C3730" s="572">
        <v>172.244</v>
      </c>
    </row>
    <row r="3731" spans="1:3">
      <c r="A3731" s="571" t="s">
        <v>1891</v>
      </c>
      <c r="B3731" s="572">
        <v>40.297800000000002</v>
      </c>
      <c r="C3731" s="572">
        <v>183.608</v>
      </c>
    </row>
    <row r="3732" spans="1:3">
      <c r="A3732" s="571" t="s">
        <v>1891</v>
      </c>
      <c r="B3732" s="572">
        <v>57.802700000000002</v>
      </c>
      <c r="C3732" s="572">
        <v>181.92599999999999</v>
      </c>
    </row>
    <row r="3733" spans="1:3">
      <c r="A3733" s="571" t="s">
        <v>1891</v>
      </c>
      <c r="B3733" s="572">
        <v>75.302199999999999</v>
      </c>
      <c r="C3733" s="572">
        <v>182.113</v>
      </c>
    </row>
    <row r="3734" spans="1:3">
      <c r="A3734" s="573" t="s">
        <v>1891</v>
      </c>
      <c r="B3734" s="574">
        <v>121.967</v>
      </c>
      <c r="C3734" s="574">
        <v>182.61099999999999</v>
      </c>
    </row>
    <row r="3735" spans="1:3">
      <c r="A3735" s="573" t="s">
        <v>1891</v>
      </c>
      <c r="B3735" s="574">
        <v>182.60499999999999</v>
      </c>
      <c r="C3735" s="574">
        <v>192.60499999999999</v>
      </c>
    </row>
    <row r="3736" spans="1:3">
      <c r="A3736" s="573" t="s">
        <v>1891</v>
      </c>
      <c r="B3736" s="574">
        <v>359.87799999999999</v>
      </c>
      <c r="C3736" s="574">
        <v>213.19</v>
      </c>
    </row>
    <row r="3737" spans="1:3">
      <c r="A3737" s="571" t="s">
        <v>287</v>
      </c>
      <c r="B3737" s="572">
        <v>0.27713999999999994</v>
      </c>
      <c r="C3737" s="572">
        <v>1.4775799999999999</v>
      </c>
    </row>
    <row r="3738" spans="1:3">
      <c r="A3738" s="571" t="s">
        <v>287</v>
      </c>
      <c r="B3738" s="572">
        <v>1.4265599999999998</v>
      </c>
      <c r="C3738" s="572">
        <v>28.998200000000001</v>
      </c>
    </row>
    <row r="3739" spans="1:3">
      <c r="A3739" s="571" t="s">
        <v>287</v>
      </c>
      <c r="B3739" s="572">
        <v>1.6819899999999999</v>
      </c>
      <c r="C3739" s="572">
        <v>77.591499999999996</v>
      </c>
    </row>
    <row r="3740" spans="1:3">
      <c r="A3740" s="571" t="s">
        <v>287</v>
      </c>
      <c r="B3740" s="572">
        <v>3.2145599999999996</v>
      </c>
      <c r="C3740" s="572">
        <v>116.374</v>
      </c>
    </row>
    <row r="3741" spans="1:3">
      <c r="A3741" s="571" t="s">
        <v>287</v>
      </c>
      <c r="B3741" s="572">
        <v>6.2796900000000004</v>
      </c>
      <c r="C3741" s="572">
        <v>177.27199999999999</v>
      </c>
    </row>
    <row r="3742" spans="1:3">
      <c r="A3742" s="571" t="s">
        <v>287</v>
      </c>
      <c r="B3742" s="572">
        <v>9.2171000000000003</v>
      </c>
      <c r="C3742" s="572">
        <v>225.679</v>
      </c>
    </row>
    <row r="3743" spans="1:3">
      <c r="A3743" s="571" t="s">
        <v>287</v>
      </c>
      <c r="B3743" s="572">
        <v>13.048500000000001</v>
      </c>
      <c r="C3743" s="572">
        <v>286.524</v>
      </c>
    </row>
    <row r="3744" spans="1:3">
      <c r="A3744" s="571" t="s">
        <v>287</v>
      </c>
      <c r="B3744" s="572">
        <v>19.051100000000002</v>
      </c>
      <c r="C3744" s="572">
        <v>345.83</v>
      </c>
    </row>
    <row r="3745" spans="1:3">
      <c r="A3745" s="571" t="s">
        <v>287</v>
      </c>
      <c r="B3745" s="572">
        <v>29.2682</v>
      </c>
      <c r="C3745" s="572">
        <v>385.39800000000002</v>
      </c>
    </row>
    <row r="3746" spans="1:3">
      <c r="A3746" s="571" t="s">
        <v>287</v>
      </c>
      <c r="B3746" s="572">
        <v>39.357599999999998</v>
      </c>
      <c r="C3746" s="572">
        <v>420.80900000000003</v>
      </c>
    </row>
    <row r="3747" spans="1:3">
      <c r="A3747" s="571" t="s">
        <v>287</v>
      </c>
      <c r="B3747" s="572">
        <v>49.191600000000001</v>
      </c>
      <c r="C3747" s="572">
        <v>442.34800000000001</v>
      </c>
    </row>
    <row r="3748" spans="1:3">
      <c r="A3748" s="571" t="s">
        <v>287</v>
      </c>
      <c r="B3748" s="572">
        <v>59.025500000000001</v>
      </c>
      <c r="C3748" s="572">
        <v>462.49799999999999</v>
      </c>
    </row>
    <row r="3749" spans="1:3">
      <c r="A3749" s="571" t="s">
        <v>287</v>
      </c>
      <c r="B3749" s="572">
        <v>68.859499999999997</v>
      </c>
      <c r="C3749" s="572">
        <v>479.87099999999998</v>
      </c>
    </row>
    <row r="3750" spans="1:3">
      <c r="A3750" s="571" t="s">
        <v>287</v>
      </c>
      <c r="B3750" s="572">
        <v>78.6935</v>
      </c>
      <c r="C3750" s="572">
        <v>486.13200000000001</v>
      </c>
    </row>
    <row r="3751" spans="1:3">
      <c r="A3751" s="571" t="s">
        <v>287</v>
      </c>
      <c r="B3751" s="572">
        <v>98.616900000000001</v>
      </c>
      <c r="C3751" s="572">
        <v>491.69299999999998</v>
      </c>
    </row>
    <row r="3752" spans="1:3">
      <c r="A3752" s="571" t="s">
        <v>288</v>
      </c>
      <c r="B3752" s="572">
        <v>0.14942999999999995</v>
      </c>
      <c r="C3752" s="572">
        <v>1.46871</v>
      </c>
    </row>
    <row r="3753" spans="1:3">
      <c r="A3753" s="571" t="s">
        <v>288</v>
      </c>
      <c r="B3753" s="572">
        <v>0.91571000000000002</v>
      </c>
      <c r="C3753" s="572">
        <v>44.311399999999999</v>
      </c>
    </row>
    <row r="3754" spans="1:3">
      <c r="A3754" s="571" t="s">
        <v>288</v>
      </c>
      <c r="B3754" s="572">
        <v>3.4699900000000001</v>
      </c>
      <c r="C3754" s="572">
        <v>91.356300000000005</v>
      </c>
    </row>
    <row r="3755" spans="1:3">
      <c r="A3755" s="571" t="s">
        <v>288</v>
      </c>
      <c r="B3755" s="572">
        <v>6.0242699999999996</v>
      </c>
      <c r="C3755" s="572">
        <v>152.29</v>
      </c>
    </row>
    <row r="3756" spans="1:3">
      <c r="A3756" s="571" t="s">
        <v>288</v>
      </c>
      <c r="B3756" s="572">
        <v>9.2171000000000003</v>
      </c>
      <c r="C3756" s="572">
        <v>211.79</v>
      </c>
    </row>
    <row r="3757" spans="1:3">
      <c r="A3757" s="571" t="s">
        <v>288</v>
      </c>
      <c r="B3757" s="572">
        <v>13.048500000000001</v>
      </c>
      <c r="C3757" s="572">
        <v>239.30199999999999</v>
      </c>
    </row>
    <row r="3758" spans="1:3">
      <c r="A3758" s="571" t="s">
        <v>288</v>
      </c>
      <c r="B3758" s="572">
        <v>19.3065</v>
      </c>
      <c r="C3758" s="572">
        <v>279.14499999999998</v>
      </c>
    </row>
    <row r="3759" spans="1:3">
      <c r="A3759" s="571" t="s">
        <v>288</v>
      </c>
      <c r="B3759" s="572">
        <v>29.140499999999999</v>
      </c>
      <c r="C3759" s="572">
        <v>338.185</v>
      </c>
    </row>
    <row r="3760" spans="1:3">
      <c r="A3760" s="571" t="s">
        <v>288</v>
      </c>
      <c r="B3760" s="572">
        <v>39.229900000000001</v>
      </c>
      <c r="C3760" s="572">
        <v>380.54</v>
      </c>
    </row>
    <row r="3761" spans="1:3">
      <c r="A3761" s="571" t="s">
        <v>288</v>
      </c>
      <c r="B3761" s="572">
        <v>49.063899999999997</v>
      </c>
      <c r="C3761" s="572">
        <v>417.35700000000003</v>
      </c>
    </row>
    <row r="3762" spans="1:3">
      <c r="A3762" s="571" t="s">
        <v>288</v>
      </c>
      <c r="B3762" s="572">
        <v>59.025500000000001</v>
      </c>
      <c r="C3762" s="572">
        <v>438.887</v>
      </c>
    </row>
    <row r="3763" spans="1:3">
      <c r="A3763" s="571" t="s">
        <v>288</v>
      </c>
      <c r="B3763" s="572">
        <v>69.114900000000006</v>
      </c>
      <c r="C3763" s="572">
        <v>445.13099999999997</v>
      </c>
    </row>
    <row r="3764" spans="1:3">
      <c r="A3764" s="571" t="s">
        <v>288</v>
      </c>
      <c r="B3764" s="572">
        <v>78.6935</v>
      </c>
      <c r="C3764" s="572">
        <v>451.41</v>
      </c>
    </row>
    <row r="3765" spans="1:3">
      <c r="A3765" s="571" t="s">
        <v>288</v>
      </c>
      <c r="B3765" s="572">
        <v>98.616900000000001</v>
      </c>
      <c r="C3765" s="572">
        <v>458.36</v>
      </c>
    </row>
    <row r="3766" spans="1:3">
      <c r="A3766" s="571" t="s">
        <v>289</v>
      </c>
      <c r="B3766" s="572">
        <v>1.1711399999999998</v>
      </c>
      <c r="C3766" s="572">
        <v>4.0158899999999997</v>
      </c>
    </row>
    <row r="3767" spans="1:3">
      <c r="A3767" s="571" t="s">
        <v>289</v>
      </c>
      <c r="B3767" s="572">
        <v>2.44828</v>
      </c>
      <c r="C3767" s="572">
        <v>46.982799999999997</v>
      </c>
    </row>
    <row r="3768" spans="1:3">
      <c r="A3768" s="571" t="s">
        <v>289</v>
      </c>
      <c r="B3768" s="572">
        <v>3.3422700000000001</v>
      </c>
      <c r="C3768" s="572">
        <v>70.531800000000004</v>
      </c>
    </row>
    <row r="3769" spans="1:3">
      <c r="A3769" s="571" t="s">
        <v>289</v>
      </c>
      <c r="B3769" s="572">
        <v>3.5976999999999997</v>
      </c>
      <c r="C3769" s="572">
        <v>101.07</v>
      </c>
    </row>
    <row r="3770" spans="1:3">
      <c r="A3770" s="571" t="s">
        <v>289</v>
      </c>
      <c r="B3770" s="572">
        <v>6.0242699999999996</v>
      </c>
      <c r="C3770" s="572">
        <v>160.62299999999999</v>
      </c>
    </row>
    <row r="3771" spans="1:3">
      <c r="A3771" s="571" t="s">
        <v>289</v>
      </c>
      <c r="B3771" s="572">
        <v>9.0893999999999995</v>
      </c>
      <c r="C3771" s="572">
        <v>189.577</v>
      </c>
    </row>
    <row r="3772" spans="1:3">
      <c r="A3772" s="571" t="s">
        <v>289</v>
      </c>
      <c r="B3772" s="572">
        <v>12.9208</v>
      </c>
      <c r="C3772" s="572">
        <v>224.03299999999999</v>
      </c>
    </row>
    <row r="3773" spans="1:3">
      <c r="A3773" s="571" t="s">
        <v>289</v>
      </c>
      <c r="B3773" s="572">
        <v>19.178799999999999</v>
      </c>
      <c r="C3773" s="572">
        <v>243.04300000000001</v>
      </c>
    </row>
    <row r="3774" spans="1:3">
      <c r="A3774" s="571" t="s">
        <v>289</v>
      </c>
      <c r="B3774" s="572">
        <v>29.012799999999999</v>
      </c>
      <c r="C3774" s="572">
        <v>286.80500000000001</v>
      </c>
    </row>
    <row r="3775" spans="1:3">
      <c r="A3775" s="571" t="s">
        <v>289</v>
      </c>
      <c r="B3775" s="572">
        <v>39.357599999999998</v>
      </c>
      <c r="C3775" s="572">
        <v>301.36399999999998</v>
      </c>
    </row>
    <row r="3776" spans="1:3">
      <c r="A3776" s="571" t="s">
        <v>289</v>
      </c>
      <c r="B3776" s="572">
        <v>49.319299999999998</v>
      </c>
      <c r="C3776" s="572">
        <v>318.72800000000001</v>
      </c>
    </row>
    <row r="3777" spans="1:3">
      <c r="A3777" s="571" t="s">
        <v>289</v>
      </c>
      <c r="B3777" s="572">
        <v>59.153300000000002</v>
      </c>
      <c r="C3777" s="572">
        <v>331.93400000000003</v>
      </c>
    </row>
    <row r="3778" spans="1:3">
      <c r="A3778" s="571" t="s">
        <v>289</v>
      </c>
      <c r="B3778" s="572">
        <v>68.859499999999997</v>
      </c>
      <c r="C3778" s="572">
        <v>345.149</v>
      </c>
    </row>
    <row r="3779" spans="1:3">
      <c r="A3779" s="571" t="s">
        <v>289</v>
      </c>
      <c r="B3779" s="572">
        <v>78.6935</v>
      </c>
      <c r="C3779" s="572">
        <v>363.91</v>
      </c>
    </row>
    <row r="3780" spans="1:3">
      <c r="A3780" s="571" t="s">
        <v>289</v>
      </c>
      <c r="B3780" s="572">
        <v>98.616900000000001</v>
      </c>
      <c r="C3780" s="572">
        <v>373.63799999999998</v>
      </c>
    </row>
    <row r="3781" spans="1:3">
      <c r="A3781" s="48" t="s">
        <v>1892</v>
      </c>
      <c r="B3781" s="549">
        <v>-0.10600299999999996</v>
      </c>
      <c r="C3781" s="549">
        <v>2.7156899999999999</v>
      </c>
    </row>
    <row r="3782" spans="1:3">
      <c r="A3782" s="571" t="s">
        <v>1892</v>
      </c>
      <c r="B3782" s="572">
        <v>0.78798999999999997</v>
      </c>
      <c r="C3782" s="572">
        <v>74.875799999999998</v>
      </c>
    </row>
    <row r="3783" spans="1:3">
      <c r="A3783" s="571" t="s">
        <v>1892</v>
      </c>
      <c r="B3783" s="572">
        <v>2.19285</v>
      </c>
      <c r="C3783" s="572">
        <v>102.556</v>
      </c>
    </row>
    <row r="3784" spans="1:3">
      <c r="A3784" s="571" t="s">
        <v>1892</v>
      </c>
      <c r="B3784" s="572">
        <v>3.3422700000000001</v>
      </c>
      <c r="C3784" s="572">
        <v>162.19800000000001</v>
      </c>
    </row>
    <row r="3785" spans="1:3">
      <c r="A3785" s="571" t="s">
        <v>1892</v>
      </c>
      <c r="B3785" s="572">
        <v>5.8965500000000004</v>
      </c>
      <c r="C3785" s="572">
        <v>205.077</v>
      </c>
    </row>
    <row r="3786" spans="1:3">
      <c r="A3786" s="571" t="s">
        <v>1892</v>
      </c>
      <c r="B3786" s="572">
        <v>9.0893999999999995</v>
      </c>
      <c r="C3786" s="572">
        <v>260.41000000000003</v>
      </c>
    </row>
    <row r="3787" spans="1:3">
      <c r="A3787" s="571" t="s">
        <v>1892</v>
      </c>
      <c r="B3787" s="572">
        <v>12.9208</v>
      </c>
      <c r="C3787" s="572">
        <v>282.36700000000002</v>
      </c>
    </row>
    <row r="3788" spans="1:3">
      <c r="A3788" s="571" t="s">
        <v>1892</v>
      </c>
      <c r="B3788" s="572">
        <v>18.923400000000001</v>
      </c>
      <c r="C3788" s="572">
        <v>308.339</v>
      </c>
    </row>
    <row r="3789" spans="1:3">
      <c r="A3789" s="571" t="s">
        <v>1892</v>
      </c>
      <c r="B3789" s="572">
        <v>29.2682</v>
      </c>
      <c r="C3789" s="572">
        <v>336.78699999999998</v>
      </c>
    </row>
    <row r="3790" spans="1:3">
      <c r="A3790" s="571" t="s">
        <v>1892</v>
      </c>
      <c r="B3790" s="572">
        <v>39.229900000000001</v>
      </c>
      <c r="C3790" s="572">
        <v>354.15100000000001</v>
      </c>
    </row>
    <row r="3791" spans="1:3">
      <c r="A3791" s="571" t="s">
        <v>1892</v>
      </c>
      <c r="B3791" s="572">
        <v>49.063899999999997</v>
      </c>
      <c r="C3791" s="572">
        <v>370.13400000000001</v>
      </c>
    </row>
    <row r="3792" spans="1:3">
      <c r="A3792" s="571" t="s">
        <v>1892</v>
      </c>
      <c r="B3792" s="572">
        <v>59.025500000000001</v>
      </c>
      <c r="C3792" s="572">
        <v>374.99799999999999</v>
      </c>
    </row>
    <row r="3793" spans="1:3">
      <c r="A3793" s="571" t="s">
        <v>1892</v>
      </c>
      <c r="B3793" s="572">
        <v>68.859499999999997</v>
      </c>
      <c r="C3793" s="572">
        <v>389.59300000000002</v>
      </c>
    </row>
    <row r="3794" spans="1:3">
      <c r="A3794" s="571" t="s">
        <v>1892</v>
      </c>
      <c r="B3794" s="572">
        <v>78.6935</v>
      </c>
      <c r="C3794" s="572">
        <v>394.46600000000001</v>
      </c>
    </row>
    <row r="3795" spans="1:3">
      <c r="A3795" s="571" t="s">
        <v>1892</v>
      </c>
      <c r="B3795" s="572">
        <v>98.616900000000001</v>
      </c>
      <c r="C3795" s="572">
        <v>402.80399999999997</v>
      </c>
    </row>
    <row r="3796" spans="1:3">
      <c r="A3796" s="571" t="s">
        <v>1893</v>
      </c>
      <c r="B3796" s="572">
        <v>0.14942999999999995</v>
      </c>
      <c r="C3796" s="572">
        <v>7.9821199999999995E-2</v>
      </c>
    </row>
    <row r="3797" spans="1:3">
      <c r="A3797" s="571" t="s">
        <v>1893</v>
      </c>
      <c r="B3797" s="572">
        <v>0.78798999999999997</v>
      </c>
      <c r="C3797" s="572">
        <v>113.765</v>
      </c>
    </row>
    <row r="3798" spans="1:3">
      <c r="A3798" s="571" t="s">
        <v>1893</v>
      </c>
      <c r="B3798" s="572">
        <v>2.19285</v>
      </c>
      <c r="C3798" s="572">
        <v>141.44499999999999</v>
      </c>
    </row>
    <row r="3799" spans="1:3">
      <c r="A3799" s="571" t="s">
        <v>1893</v>
      </c>
      <c r="B3799" s="572">
        <v>2.95913</v>
      </c>
      <c r="C3799" s="572">
        <v>170.55799999999999</v>
      </c>
    </row>
    <row r="3800" spans="1:3">
      <c r="A3800" s="571" t="s">
        <v>1893</v>
      </c>
      <c r="B3800" s="572">
        <v>6.15198</v>
      </c>
      <c r="C3800" s="572">
        <v>220.33699999999999</v>
      </c>
    </row>
    <row r="3801" spans="1:3">
      <c r="A3801" s="571" t="s">
        <v>1893</v>
      </c>
      <c r="B3801" s="572">
        <v>9.0893999999999995</v>
      </c>
      <c r="C3801" s="572">
        <v>279.85500000000002</v>
      </c>
    </row>
    <row r="3802" spans="1:3">
      <c r="A3802" s="571" t="s">
        <v>1893</v>
      </c>
      <c r="B3802" s="572">
        <v>13.048500000000001</v>
      </c>
      <c r="C3802" s="572">
        <v>310.13600000000002</v>
      </c>
    </row>
    <row r="3803" spans="1:3">
      <c r="A3803" s="571" t="s">
        <v>1893</v>
      </c>
      <c r="B3803" s="572">
        <v>18.923400000000001</v>
      </c>
      <c r="C3803" s="572">
        <v>351.39400000000001</v>
      </c>
    </row>
    <row r="3804" spans="1:3">
      <c r="A3804" s="571" t="s">
        <v>1893</v>
      </c>
      <c r="B3804" s="572">
        <v>29.140499999999999</v>
      </c>
      <c r="C3804" s="572">
        <v>365.96199999999999</v>
      </c>
    </row>
    <row r="3805" spans="1:3">
      <c r="A3805" s="571" t="s">
        <v>1893</v>
      </c>
      <c r="B3805" s="572">
        <v>39.357599999999998</v>
      </c>
      <c r="C3805" s="572">
        <v>386.08600000000001</v>
      </c>
    </row>
    <row r="3806" spans="1:3">
      <c r="A3806" s="571" t="s">
        <v>1893</v>
      </c>
      <c r="B3806" s="572">
        <v>49.319299999999998</v>
      </c>
      <c r="C3806" s="572">
        <v>397.89400000000001</v>
      </c>
    </row>
    <row r="3807" spans="1:3">
      <c r="A3807" s="571" t="s">
        <v>1893</v>
      </c>
      <c r="B3807" s="572">
        <v>59.153300000000002</v>
      </c>
      <c r="C3807" s="572">
        <v>408.32299999999998</v>
      </c>
    </row>
    <row r="3808" spans="1:3">
      <c r="A3808" s="571" t="s">
        <v>1893</v>
      </c>
      <c r="B3808" s="572">
        <v>69.114900000000006</v>
      </c>
      <c r="C3808" s="572">
        <v>413.18599999999998</v>
      </c>
    </row>
    <row r="3809" spans="1:3">
      <c r="A3809" s="571" t="s">
        <v>1893</v>
      </c>
      <c r="B3809" s="572">
        <v>78.821200000000005</v>
      </c>
      <c r="C3809" s="572">
        <v>416.67899999999997</v>
      </c>
    </row>
    <row r="3810" spans="1:3">
      <c r="A3810" s="571" t="s">
        <v>1893</v>
      </c>
      <c r="B3810" s="572">
        <v>98.744600000000005</v>
      </c>
      <c r="C3810" s="572">
        <v>422.24</v>
      </c>
    </row>
    <row r="3811" spans="1:3">
      <c r="A3811" s="571" t="s">
        <v>1894</v>
      </c>
      <c r="B3811" s="572">
        <v>3.6249999999999893E-2</v>
      </c>
      <c r="C3811" s="572">
        <v>6.2613500000000002E-2</v>
      </c>
    </row>
    <row r="3812" spans="1:3">
      <c r="A3812" s="571" t="s">
        <v>1894</v>
      </c>
      <c r="B3812" s="572">
        <v>1.2082999999999999</v>
      </c>
      <c r="C3812" s="572">
        <v>24.035799999999998</v>
      </c>
    </row>
    <row r="3813" spans="1:3">
      <c r="A3813" s="571" t="s">
        <v>1894</v>
      </c>
      <c r="B3813" s="572">
        <v>3.0354400000000004</v>
      </c>
      <c r="C3813" s="572">
        <v>76.795400000000001</v>
      </c>
    </row>
    <row r="3814" spans="1:3">
      <c r="A3814" s="571" t="s">
        <v>1894</v>
      </c>
      <c r="B3814" s="572">
        <v>6.1547599999999996</v>
      </c>
      <c r="C3814" s="572">
        <v>117.392</v>
      </c>
    </row>
    <row r="3815" spans="1:3">
      <c r="A3815" s="571" t="s">
        <v>1894</v>
      </c>
      <c r="B3815" s="572">
        <v>9.0161999999999995</v>
      </c>
      <c r="C3815" s="572">
        <v>162.53700000000001</v>
      </c>
    </row>
    <row r="3816" spans="1:3">
      <c r="A3816" s="571" t="s">
        <v>1894</v>
      </c>
      <c r="B3816" s="572">
        <v>13.054</v>
      </c>
      <c r="C3816" s="572">
        <v>248.39599999999999</v>
      </c>
    </row>
    <row r="3817" spans="1:3">
      <c r="A3817" s="571" t="s">
        <v>1894</v>
      </c>
      <c r="B3817" s="572">
        <v>19.024999999999999</v>
      </c>
      <c r="C3817" s="572">
        <v>296.37299999999999</v>
      </c>
    </row>
    <row r="3818" spans="1:3">
      <c r="A3818" s="571" t="s">
        <v>1894</v>
      </c>
      <c r="B3818" s="572">
        <v>29.009499999999999</v>
      </c>
      <c r="C3818" s="572">
        <v>336.55500000000001</v>
      </c>
    </row>
    <row r="3819" spans="1:3">
      <c r="A3819" s="571" t="s">
        <v>1894</v>
      </c>
      <c r="B3819" s="572">
        <v>39.254600000000003</v>
      </c>
      <c r="C3819" s="572">
        <v>382.76400000000001</v>
      </c>
    </row>
    <row r="3820" spans="1:3">
      <c r="A3820" s="571" t="s">
        <v>1894</v>
      </c>
      <c r="B3820" s="572">
        <v>49.360399999999998</v>
      </c>
      <c r="C3820" s="572">
        <v>391.21699999999998</v>
      </c>
    </row>
    <row r="3821" spans="1:3">
      <c r="A3821" s="571" t="s">
        <v>1894</v>
      </c>
      <c r="B3821" s="572">
        <v>59.3367</v>
      </c>
      <c r="C3821" s="572">
        <v>399.678</v>
      </c>
    </row>
    <row r="3822" spans="1:3">
      <c r="A3822" s="571" t="s">
        <v>1894</v>
      </c>
      <c r="B3822" s="572">
        <v>69.186199999999999</v>
      </c>
      <c r="C3822" s="572">
        <v>418.72</v>
      </c>
    </row>
    <row r="3823" spans="1:3">
      <c r="A3823" s="571" t="s">
        <v>1894</v>
      </c>
      <c r="B3823" s="572">
        <v>78.9054</v>
      </c>
      <c r="C3823" s="572">
        <v>434.74900000000002</v>
      </c>
    </row>
    <row r="3824" spans="1:3">
      <c r="A3824" s="571" t="s">
        <v>1894</v>
      </c>
      <c r="B3824" s="572">
        <v>98.984300000000005</v>
      </c>
      <c r="C3824" s="572">
        <v>439.57799999999997</v>
      </c>
    </row>
    <row r="3825" spans="1:3">
      <c r="A3825" s="48" t="s">
        <v>1895</v>
      </c>
      <c r="B3825" s="549">
        <v>-0.22241900000000003</v>
      </c>
      <c r="C3825" s="549">
        <v>1.4635899999999999</v>
      </c>
    </row>
    <row r="3826" spans="1:3">
      <c r="A3826" s="571" t="s">
        <v>1895</v>
      </c>
      <c r="B3826" s="572">
        <v>2.2500300000000002</v>
      </c>
      <c r="C3826" s="572">
        <v>45.120800000000003</v>
      </c>
    </row>
    <row r="3827" spans="1:3">
      <c r="A3827" s="571" t="s">
        <v>1895</v>
      </c>
      <c r="B3827" s="572">
        <v>3.0338700000000003</v>
      </c>
      <c r="C3827" s="572">
        <v>70.753200000000007</v>
      </c>
    </row>
    <row r="3828" spans="1:3">
      <c r="A3828" s="571" t="s">
        <v>1895</v>
      </c>
      <c r="B3828" s="572">
        <v>6.1559400000000002</v>
      </c>
      <c r="C3828" s="572">
        <v>121.92400000000001</v>
      </c>
    </row>
    <row r="3829" spans="1:3">
      <c r="A3829" s="571" t="s">
        <v>1895</v>
      </c>
      <c r="B3829" s="572">
        <v>8.8890200000000004</v>
      </c>
      <c r="C3829" s="572">
        <v>171.608</v>
      </c>
    </row>
    <row r="3830" spans="1:3">
      <c r="A3830" s="571" t="s">
        <v>1895</v>
      </c>
      <c r="B3830" s="572">
        <v>12.9131</v>
      </c>
      <c r="C3830" s="572">
        <v>204.59700000000001</v>
      </c>
    </row>
    <row r="3831" spans="1:3">
      <c r="A3831" s="571" t="s">
        <v>1895</v>
      </c>
      <c r="B3831" s="572">
        <v>18.8825</v>
      </c>
      <c r="C3831" s="572">
        <v>246.53299999999999</v>
      </c>
    </row>
    <row r="3832" spans="1:3">
      <c r="A3832" s="571" t="s">
        <v>1895</v>
      </c>
      <c r="B3832" s="572">
        <v>29.13</v>
      </c>
      <c r="C3832" s="572">
        <v>301.80500000000001</v>
      </c>
    </row>
    <row r="3833" spans="1:3">
      <c r="A3833" s="571" t="s">
        <v>1895</v>
      </c>
      <c r="B3833" s="572">
        <v>39.371200000000002</v>
      </c>
      <c r="C3833" s="572">
        <v>332.90800000000002</v>
      </c>
    </row>
    <row r="3834" spans="1:3">
      <c r="A3834" s="571" t="s">
        <v>1895</v>
      </c>
      <c r="B3834" s="572">
        <v>49.090800000000002</v>
      </c>
      <c r="C3834" s="572">
        <v>350.44799999999998</v>
      </c>
    </row>
    <row r="3835" spans="1:3">
      <c r="A3835" s="571" t="s">
        <v>1895</v>
      </c>
      <c r="B3835" s="572">
        <v>59.330399999999997</v>
      </c>
      <c r="C3835" s="572">
        <v>375.50900000000001</v>
      </c>
    </row>
    <row r="3836" spans="1:3">
      <c r="A3836" s="571" t="s">
        <v>1895</v>
      </c>
      <c r="B3836" s="572">
        <v>69.305899999999994</v>
      </c>
      <c r="C3836" s="572">
        <v>380.94799999999998</v>
      </c>
    </row>
    <row r="3837" spans="1:3">
      <c r="A3837" s="571" t="s">
        <v>1895</v>
      </c>
      <c r="B3837" s="572">
        <v>78.892899999999997</v>
      </c>
      <c r="C3837" s="572">
        <v>386.411</v>
      </c>
    </row>
    <row r="3838" spans="1:3">
      <c r="A3838" s="571" t="s">
        <v>1895</v>
      </c>
      <c r="B3838" s="572">
        <v>98.9726</v>
      </c>
      <c r="C3838" s="572">
        <v>394.26100000000002</v>
      </c>
    </row>
    <row r="3839" spans="1:3">
      <c r="A3839" s="48" t="s">
        <v>1896</v>
      </c>
      <c r="B3839" s="549">
        <v>-0.22437499999999999</v>
      </c>
      <c r="C3839" s="549">
        <v>6.0891599999999997</v>
      </c>
    </row>
    <row r="3840" spans="1:3">
      <c r="A3840" s="571" t="s">
        <v>1896</v>
      </c>
      <c r="B3840" s="572">
        <v>1.0779899999999998</v>
      </c>
      <c r="C3840" s="572">
        <v>21.022500000000001</v>
      </c>
    </row>
    <row r="3841" spans="1:3">
      <c r="A3841" s="571" t="s">
        <v>1896</v>
      </c>
      <c r="B3841" s="572">
        <v>3.0330899999999996</v>
      </c>
      <c r="C3841" s="572">
        <v>67.732100000000003</v>
      </c>
    </row>
    <row r="3842" spans="1:3">
      <c r="A3842" s="571" t="s">
        <v>1896</v>
      </c>
      <c r="B3842" s="572">
        <v>5.6331199999999999</v>
      </c>
      <c r="C3842" s="572">
        <v>103.82899999999999</v>
      </c>
    </row>
    <row r="3843" spans="1:3">
      <c r="A3843" s="571" t="s">
        <v>1896</v>
      </c>
      <c r="B3843" s="572">
        <v>9.1453000000000007</v>
      </c>
      <c r="C3843" s="572">
        <v>161.018</v>
      </c>
    </row>
    <row r="3844" spans="1:3">
      <c r="A3844" s="571" t="s">
        <v>1896</v>
      </c>
      <c r="B3844" s="572">
        <v>13.039899999999999</v>
      </c>
      <c r="C3844" s="572">
        <v>194.01599999999999</v>
      </c>
    </row>
    <row r="3845" spans="1:3">
      <c r="A3845" s="571" t="s">
        <v>1896</v>
      </c>
      <c r="B3845" s="572">
        <v>19.006599999999999</v>
      </c>
      <c r="C3845" s="572">
        <v>225.37700000000001</v>
      </c>
    </row>
    <row r="3846" spans="1:3">
      <c r="A3846" s="571" t="s">
        <v>1896</v>
      </c>
      <c r="B3846" s="572">
        <v>29.2517</v>
      </c>
      <c r="C3846" s="572">
        <v>271.58600000000001</v>
      </c>
    </row>
    <row r="3847" spans="1:3">
      <c r="A3847" s="571" t="s">
        <v>1896</v>
      </c>
      <c r="B3847" s="572">
        <v>39.491799999999998</v>
      </c>
      <c r="C3847" s="572">
        <v>298.15800000000002</v>
      </c>
    </row>
    <row r="3848" spans="1:3">
      <c r="A3848" s="571" t="s">
        <v>1896</v>
      </c>
      <c r="B3848" s="572">
        <v>49.340499999999999</v>
      </c>
      <c r="C3848" s="572">
        <v>314.17899999999997</v>
      </c>
    </row>
    <row r="3849" spans="1:3">
      <c r="A3849" s="571" t="s">
        <v>1896</v>
      </c>
      <c r="B3849" s="572">
        <v>59.317900000000002</v>
      </c>
      <c r="C3849" s="572">
        <v>327.17099999999999</v>
      </c>
    </row>
    <row r="3850" spans="1:3">
      <c r="A3850" s="571" t="s">
        <v>1896</v>
      </c>
      <c r="B3850" s="572">
        <v>69.036299999999997</v>
      </c>
      <c r="C3850" s="572">
        <v>340.17899999999997</v>
      </c>
    </row>
    <row r="3851" spans="1:3">
      <c r="A3851" s="571" t="s">
        <v>1896</v>
      </c>
      <c r="B3851" s="572">
        <v>78.753900000000002</v>
      </c>
      <c r="C3851" s="572">
        <v>350.166</v>
      </c>
    </row>
    <row r="3852" spans="1:3">
      <c r="A3852" s="571" t="s">
        <v>1896</v>
      </c>
      <c r="B3852" s="572">
        <v>98.703400000000002</v>
      </c>
      <c r="C3852" s="572">
        <v>355.00299999999999</v>
      </c>
    </row>
    <row r="3853" spans="1:3">
      <c r="A3853" s="48" t="s">
        <v>1897</v>
      </c>
      <c r="B3853" s="549">
        <v>-0.22280999999999995</v>
      </c>
      <c r="C3853" s="549">
        <v>4.6960099999999998E-2</v>
      </c>
    </row>
    <row r="3854" spans="1:3">
      <c r="A3854" s="571" t="s">
        <v>1897</v>
      </c>
      <c r="B3854" s="572">
        <v>0.96449999999999991</v>
      </c>
      <c r="C3854" s="572">
        <v>82.962900000000005</v>
      </c>
    </row>
    <row r="3855" spans="1:3">
      <c r="A3855" s="571" t="s">
        <v>1897</v>
      </c>
      <c r="B3855" s="572">
        <v>2.0054500000000002</v>
      </c>
      <c r="C3855" s="572">
        <v>101.027</v>
      </c>
    </row>
    <row r="3856" spans="1:3">
      <c r="A3856" s="571" t="s">
        <v>1897</v>
      </c>
      <c r="B3856" s="572">
        <v>3.0491400000000004</v>
      </c>
      <c r="C3856" s="572">
        <v>129.66499999999999</v>
      </c>
    </row>
    <row r="3857" spans="1:3">
      <c r="A3857" s="571" t="s">
        <v>1897</v>
      </c>
      <c r="B3857" s="572">
        <v>6.0369700000000002</v>
      </c>
      <c r="C3857" s="572">
        <v>162.71700000000001</v>
      </c>
    </row>
    <row r="3858" spans="1:3">
      <c r="A3858" s="571" t="s">
        <v>1897</v>
      </c>
      <c r="B3858" s="572">
        <v>8.8987999999999996</v>
      </c>
      <c r="C3858" s="572">
        <v>209.37200000000001</v>
      </c>
    </row>
    <row r="3859" spans="1:3">
      <c r="A3859" s="571" t="s">
        <v>1897</v>
      </c>
      <c r="B3859" s="572">
        <v>13.0571</v>
      </c>
      <c r="C3859" s="572">
        <v>260.48</v>
      </c>
    </row>
    <row r="3860" spans="1:3">
      <c r="A3860" s="571" t="s">
        <v>1897</v>
      </c>
      <c r="B3860" s="572">
        <v>18.765499999999999</v>
      </c>
      <c r="C3860" s="572">
        <v>294.87799999999999</v>
      </c>
    </row>
    <row r="3861" spans="1:3">
      <c r="A3861" s="571" t="s">
        <v>1897</v>
      </c>
      <c r="B3861" s="572">
        <v>29.0059</v>
      </c>
      <c r="C3861" s="572">
        <v>322.95999999999998</v>
      </c>
    </row>
    <row r="3862" spans="1:3">
      <c r="A3862" s="571" t="s">
        <v>1897</v>
      </c>
      <c r="B3862" s="572">
        <v>39.373600000000003</v>
      </c>
      <c r="C3862" s="572">
        <v>341.971</v>
      </c>
    </row>
    <row r="3863" spans="1:3">
      <c r="A3863" s="571" t="s">
        <v>1897</v>
      </c>
      <c r="B3863" s="572">
        <v>49.091999999999999</v>
      </c>
      <c r="C3863" s="572">
        <v>354.97899999999998</v>
      </c>
    </row>
    <row r="3864" spans="1:3">
      <c r="A3864" s="571" t="s">
        <v>1897</v>
      </c>
      <c r="B3864" s="572">
        <v>59.329300000000003</v>
      </c>
      <c r="C3864" s="572">
        <v>370.97699999999998</v>
      </c>
    </row>
    <row r="3865" spans="1:3">
      <c r="A3865" s="571" t="s">
        <v>1897</v>
      </c>
      <c r="B3865" s="572">
        <v>69.174800000000005</v>
      </c>
      <c r="C3865" s="572">
        <v>374.91399999999999</v>
      </c>
    </row>
    <row r="3866" spans="1:3">
      <c r="A3866" s="571" t="s">
        <v>1897</v>
      </c>
      <c r="B3866" s="572">
        <v>78.890900000000002</v>
      </c>
      <c r="C3866" s="572">
        <v>378.85899999999998</v>
      </c>
    </row>
    <row r="3867" spans="1:3">
      <c r="A3867" s="571" t="s">
        <v>1897</v>
      </c>
      <c r="B3867" s="572">
        <v>99.099000000000004</v>
      </c>
      <c r="C3867" s="572">
        <v>383.68</v>
      </c>
    </row>
    <row r="3868" spans="1:3">
      <c r="A3868" s="48" t="s">
        <v>1898</v>
      </c>
      <c r="B3868" s="549">
        <v>-9.5234999999999959E-2</v>
      </c>
      <c r="C3868" s="549">
        <v>7.6075400000000002</v>
      </c>
    </row>
    <row r="3869" spans="1:3">
      <c r="A3869" s="571" t="s">
        <v>1898</v>
      </c>
      <c r="B3869" s="572">
        <v>0.96567000000000003</v>
      </c>
      <c r="C3869" s="572">
        <v>87.494500000000002</v>
      </c>
    </row>
    <row r="3870" spans="1:3">
      <c r="A3870" s="571" t="s">
        <v>1898</v>
      </c>
      <c r="B3870" s="572">
        <v>1.6168499999999999</v>
      </c>
      <c r="C3870" s="572">
        <v>101.05</v>
      </c>
    </row>
    <row r="3871" spans="1:3">
      <c r="A3871" s="571" t="s">
        <v>1898</v>
      </c>
      <c r="B3871" s="572">
        <v>3.0487399999999996</v>
      </c>
      <c r="C3871" s="572">
        <v>128.154</v>
      </c>
    </row>
    <row r="3872" spans="1:3">
      <c r="A3872" s="571" t="s">
        <v>1898</v>
      </c>
      <c r="B3872" s="572">
        <v>5.65151</v>
      </c>
      <c r="C3872" s="572">
        <v>174.82499999999999</v>
      </c>
    </row>
    <row r="3873" spans="1:3">
      <c r="A3873" s="571" t="s">
        <v>1898</v>
      </c>
      <c r="B3873" s="572">
        <v>8.7766999999999999</v>
      </c>
      <c r="C3873" s="572">
        <v>238.08</v>
      </c>
    </row>
    <row r="3874" spans="1:3">
      <c r="A3874" s="571" t="s">
        <v>1898</v>
      </c>
      <c r="B3874" s="572">
        <v>12.9315</v>
      </c>
      <c r="C3874" s="572">
        <v>275.59300000000002</v>
      </c>
    </row>
    <row r="3875" spans="1:3">
      <c r="A3875" s="571" t="s">
        <v>1898</v>
      </c>
      <c r="B3875" s="572">
        <v>18.899699999999999</v>
      </c>
      <c r="C3875" s="572">
        <v>312.99700000000001</v>
      </c>
    </row>
    <row r="3876" spans="1:3">
      <c r="A3876" s="571" t="s">
        <v>1898</v>
      </c>
      <c r="B3876" s="572">
        <v>28.7547</v>
      </c>
      <c r="C3876" s="572">
        <v>353.18700000000001</v>
      </c>
    </row>
    <row r="3877" spans="1:3">
      <c r="A3877" s="571" t="s">
        <v>1898</v>
      </c>
      <c r="B3877" s="572">
        <v>39.250300000000003</v>
      </c>
      <c r="C3877" s="572">
        <v>366.14800000000002</v>
      </c>
    </row>
    <row r="3878" spans="1:3">
      <c r="A3878" s="571" t="s">
        <v>1898</v>
      </c>
      <c r="B3878" s="572">
        <v>49.354900000000001</v>
      </c>
      <c r="C3878" s="572">
        <v>370.06900000000002</v>
      </c>
    </row>
    <row r="3879" spans="1:3">
      <c r="A3879" s="571" t="s">
        <v>1898</v>
      </c>
      <c r="B3879" s="572">
        <v>59.591500000000003</v>
      </c>
      <c r="C3879" s="572">
        <v>383.04599999999999</v>
      </c>
    </row>
    <row r="3880" spans="1:3">
      <c r="A3880" s="571" t="s">
        <v>1898</v>
      </c>
      <c r="B3880" s="572">
        <v>69.05</v>
      </c>
      <c r="C3880" s="572">
        <v>393.048</v>
      </c>
    </row>
    <row r="3881" spans="1:3">
      <c r="A3881" s="571" t="s">
        <v>1898</v>
      </c>
      <c r="B3881" s="572">
        <v>79.025899999999993</v>
      </c>
      <c r="C3881" s="572">
        <v>399.99799999999999</v>
      </c>
    </row>
    <row r="3882" spans="1:3">
      <c r="A3882" s="571" t="s">
        <v>1898</v>
      </c>
      <c r="B3882" s="572">
        <v>98.716300000000004</v>
      </c>
      <c r="C3882" s="572">
        <v>404.851</v>
      </c>
    </row>
    <row r="3883" spans="1:3">
      <c r="A3883" s="571" t="s">
        <v>1899</v>
      </c>
      <c r="B3883" s="572">
        <v>0.95544999999999991</v>
      </c>
      <c r="C3883" s="572">
        <v>14.959099999999999</v>
      </c>
    </row>
    <row r="3884" spans="1:3">
      <c r="A3884" s="571" t="s">
        <v>1899</v>
      </c>
      <c r="B3884" s="572">
        <v>3.3062800000000001</v>
      </c>
      <c r="C3884" s="572">
        <v>46.127200000000002</v>
      </c>
    </row>
    <row r="3885" spans="1:3">
      <c r="A3885" s="571" t="s">
        <v>1899</v>
      </c>
      <c r="B3885" s="572">
        <v>6.3099400000000001</v>
      </c>
      <c r="C3885" s="572">
        <v>85.3733</v>
      </c>
    </row>
    <row r="3886" spans="1:3">
      <c r="A3886" s="571" t="s">
        <v>1899</v>
      </c>
      <c r="B3886" s="572">
        <v>9.0539000000000005</v>
      </c>
      <c r="C3886" s="572">
        <v>125.794</v>
      </c>
    </row>
    <row r="3887" spans="1:3">
      <c r="A3887" s="571" t="s">
        <v>1899</v>
      </c>
      <c r="B3887" s="572">
        <v>13.2241</v>
      </c>
      <c r="C3887" s="572">
        <v>153.37799999999999</v>
      </c>
    </row>
    <row r="3888" spans="1:3">
      <c r="A3888" s="571" t="s">
        <v>1899</v>
      </c>
      <c r="B3888" s="572">
        <v>19.221599999999999</v>
      </c>
      <c r="C3888" s="572">
        <v>201.726</v>
      </c>
    </row>
    <row r="3889" spans="1:3">
      <c r="A3889" s="571" t="s">
        <v>1899</v>
      </c>
      <c r="B3889" s="572">
        <v>29.7727</v>
      </c>
      <c r="C3889" s="572">
        <v>256.767</v>
      </c>
    </row>
    <row r="3890" spans="1:3">
      <c r="A3890" s="571" t="s">
        <v>1899</v>
      </c>
      <c r="B3890" s="572">
        <v>39.283799999999999</v>
      </c>
      <c r="C3890" s="572">
        <v>313.02699999999999</v>
      </c>
    </row>
    <row r="3891" spans="1:3">
      <c r="A3891" s="571" t="s">
        <v>1899</v>
      </c>
      <c r="B3891" s="572">
        <v>49.0456</v>
      </c>
      <c r="C3891" s="572">
        <v>340.28699999999998</v>
      </c>
    </row>
    <row r="3892" spans="1:3">
      <c r="A3892" s="571" t="s">
        <v>1899</v>
      </c>
      <c r="B3892" s="572">
        <v>59.063699999999997</v>
      </c>
      <c r="C3892" s="572">
        <v>355.93799999999999</v>
      </c>
    </row>
    <row r="3893" spans="1:3">
      <c r="A3893" s="571" t="s">
        <v>1899</v>
      </c>
      <c r="B3893" s="572">
        <v>69.078400000000002</v>
      </c>
      <c r="C3893" s="572">
        <v>361.15499999999997</v>
      </c>
    </row>
    <row r="3894" spans="1:3">
      <c r="A3894" s="571" t="s">
        <v>1899</v>
      </c>
      <c r="B3894" s="572">
        <v>78.706000000000003</v>
      </c>
      <c r="C3894" s="572">
        <v>375.66899999999998</v>
      </c>
    </row>
    <row r="3895" spans="1:3">
      <c r="A3895" s="571" t="s">
        <v>1899</v>
      </c>
      <c r="B3895" s="572">
        <v>98.994</v>
      </c>
      <c r="C3895" s="572">
        <v>381.45</v>
      </c>
    </row>
    <row r="3896" spans="1:3">
      <c r="A3896" s="48" t="s">
        <v>1900</v>
      </c>
      <c r="B3896" s="549">
        <v>-8.9366999999999974E-2</v>
      </c>
      <c r="C3896" s="549">
        <v>1.10663</v>
      </c>
    </row>
    <row r="3897" spans="1:3">
      <c r="A3897" s="571" t="s">
        <v>1900</v>
      </c>
      <c r="B3897" s="572">
        <v>1.08548</v>
      </c>
      <c r="C3897" s="572">
        <v>14.951599999999999</v>
      </c>
    </row>
    <row r="3898" spans="1:3">
      <c r="A3898" s="571" t="s">
        <v>1900</v>
      </c>
      <c r="B3898" s="572">
        <v>2.9195700000000002</v>
      </c>
      <c r="C3898" s="572">
        <v>56.584400000000002</v>
      </c>
    </row>
    <row r="3899" spans="1:3">
      <c r="A3899" s="571" t="s">
        <v>1900</v>
      </c>
      <c r="B3899" s="572">
        <v>6.1780200000000001</v>
      </c>
      <c r="C3899" s="572">
        <v>79.5839</v>
      </c>
    </row>
    <row r="3900" spans="1:3">
      <c r="A3900" s="571" t="s">
        <v>1900</v>
      </c>
      <c r="B3900" s="572">
        <v>9.0479000000000003</v>
      </c>
      <c r="C3900" s="572">
        <v>107.244</v>
      </c>
    </row>
    <row r="3901" spans="1:3">
      <c r="A3901" s="571" t="s">
        <v>1900</v>
      </c>
      <c r="B3901" s="572">
        <v>12.962199999999999</v>
      </c>
      <c r="C3901" s="572">
        <v>147.596</v>
      </c>
    </row>
    <row r="3902" spans="1:3">
      <c r="A3902" s="571" t="s">
        <v>1900</v>
      </c>
      <c r="B3902" s="572">
        <v>19.091999999999999</v>
      </c>
      <c r="C3902" s="572">
        <v>202.893</v>
      </c>
    </row>
    <row r="3903" spans="1:3">
      <c r="A3903" s="571" t="s">
        <v>1900</v>
      </c>
      <c r="B3903" s="572">
        <v>29.514500000000002</v>
      </c>
      <c r="C3903" s="572">
        <v>262.57900000000001</v>
      </c>
    </row>
    <row r="3904" spans="1:3">
      <c r="A3904" s="571" t="s">
        <v>1900</v>
      </c>
      <c r="B3904" s="572">
        <v>39.147399999999998</v>
      </c>
      <c r="C3904" s="572">
        <v>293.32499999999999</v>
      </c>
    </row>
    <row r="3905" spans="1:3">
      <c r="A3905" s="571" t="s">
        <v>1900</v>
      </c>
      <c r="B3905" s="572">
        <v>49.045200000000001</v>
      </c>
      <c r="C3905" s="572">
        <v>339.12799999999999</v>
      </c>
    </row>
    <row r="3906" spans="1:3">
      <c r="A3906" s="571" t="s">
        <v>1900</v>
      </c>
      <c r="B3906" s="572">
        <v>59.060699999999997</v>
      </c>
      <c r="C3906" s="572">
        <v>346.66300000000001</v>
      </c>
    </row>
    <row r="3907" spans="1:3">
      <c r="A3907" s="571" t="s">
        <v>1900</v>
      </c>
      <c r="B3907" s="572">
        <v>68.9465</v>
      </c>
      <c r="C3907" s="572">
        <v>355.36500000000001</v>
      </c>
    </row>
    <row r="3908" spans="1:3">
      <c r="A3908" s="571" t="s">
        <v>1900</v>
      </c>
      <c r="B3908" s="572">
        <v>78.701899999999995</v>
      </c>
      <c r="C3908" s="572">
        <v>362.916</v>
      </c>
    </row>
    <row r="3909" spans="1:3">
      <c r="A3909" s="571" t="s">
        <v>1900</v>
      </c>
      <c r="B3909" s="572">
        <v>98.858999999999995</v>
      </c>
      <c r="C3909" s="572">
        <v>366.38499999999999</v>
      </c>
    </row>
    <row r="3910" spans="1:3">
      <c r="A3910" s="571" t="s">
        <v>1901</v>
      </c>
      <c r="B3910" s="572">
        <v>1.2147700000000001</v>
      </c>
      <c r="C3910" s="572">
        <v>12.6252</v>
      </c>
    </row>
    <row r="3911" spans="1:3">
      <c r="A3911" s="571" t="s">
        <v>1901</v>
      </c>
      <c r="B3911" s="572">
        <v>1.48238</v>
      </c>
      <c r="C3911" s="572">
        <v>35.798099999999998</v>
      </c>
    </row>
    <row r="3912" spans="1:3">
      <c r="A3912" s="571" t="s">
        <v>1901</v>
      </c>
      <c r="B3912" s="572">
        <v>3.0575200000000002</v>
      </c>
      <c r="C3912" s="572">
        <v>80.924199999999999</v>
      </c>
    </row>
    <row r="3913" spans="1:3">
      <c r="A3913" s="571" t="s">
        <v>1901</v>
      </c>
      <c r="B3913" s="572">
        <v>6.3246399999999996</v>
      </c>
      <c r="C3913" s="572">
        <v>130.59</v>
      </c>
    </row>
    <row r="3914" spans="1:3">
      <c r="A3914" s="571" t="s">
        <v>1901</v>
      </c>
      <c r="B3914" s="572">
        <v>9.1964000000000006</v>
      </c>
      <c r="C3914" s="572">
        <v>164.047</v>
      </c>
    </row>
    <row r="3915" spans="1:3">
      <c r="A3915" s="571" t="s">
        <v>1901</v>
      </c>
      <c r="B3915" s="572">
        <v>12.8453</v>
      </c>
      <c r="C3915" s="572">
        <v>188.18299999999999</v>
      </c>
    </row>
    <row r="3916" spans="1:3">
      <c r="A3916" s="571" t="s">
        <v>1901</v>
      </c>
      <c r="B3916" s="572">
        <v>19.484000000000002</v>
      </c>
      <c r="C3916" s="572">
        <v>208.66800000000001</v>
      </c>
    </row>
    <row r="3917" spans="1:3">
      <c r="A3917" s="571" t="s">
        <v>1901</v>
      </c>
      <c r="B3917" s="572">
        <v>29.374700000000001</v>
      </c>
      <c r="C3917" s="572">
        <v>232.44200000000001</v>
      </c>
    </row>
    <row r="3918" spans="1:3">
      <c r="A3918" s="571" t="s">
        <v>1901</v>
      </c>
      <c r="B3918" s="572">
        <v>39.656199999999998</v>
      </c>
      <c r="C3918" s="572">
        <v>258.51299999999998</v>
      </c>
    </row>
    <row r="3919" spans="1:3">
      <c r="A3919" s="571" t="s">
        <v>1901</v>
      </c>
      <c r="B3919" s="572">
        <v>49.411999999999999</v>
      </c>
      <c r="C3919" s="572">
        <v>267.22199999999998</v>
      </c>
    </row>
    <row r="3920" spans="1:3">
      <c r="A3920" s="571" t="s">
        <v>1901</v>
      </c>
      <c r="B3920" s="572">
        <v>59.300400000000003</v>
      </c>
      <c r="C3920" s="572">
        <v>284.041</v>
      </c>
    </row>
    <row r="3921" spans="1:3">
      <c r="A3921" s="571" t="s">
        <v>1901</v>
      </c>
      <c r="B3921" s="572">
        <v>69.055800000000005</v>
      </c>
      <c r="C3921" s="572">
        <v>291.59100000000001</v>
      </c>
    </row>
    <row r="3922" spans="1:3">
      <c r="A3922" s="571" t="s">
        <v>1901</v>
      </c>
      <c r="B3922" s="572">
        <v>78.811899999999994</v>
      </c>
      <c r="C3922" s="572">
        <v>301.45999999999998</v>
      </c>
    </row>
    <row r="3923" spans="1:3">
      <c r="A3923" s="571" t="s">
        <v>1901</v>
      </c>
      <c r="B3923" s="572">
        <v>98.838700000000003</v>
      </c>
      <c r="C3923" s="572">
        <v>303.77699999999999</v>
      </c>
    </row>
    <row r="3924" spans="1:3">
      <c r="A3924" s="571" t="s">
        <v>1902</v>
      </c>
      <c r="B3924" s="572">
        <v>1.0839799999999999</v>
      </c>
      <c r="C3924" s="572">
        <v>10.314</v>
      </c>
    </row>
    <row r="3925" spans="1:3">
      <c r="A3925" s="571" t="s">
        <v>1902</v>
      </c>
      <c r="B3925" s="572">
        <v>1.0983000000000001</v>
      </c>
      <c r="C3925" s="572">
        <v>54.371099999999998</v>
      </c>
    </row>
    <row r="3926" spans="1:3">
      <c r="A3926" s="571" t="s">
        <v>1902</v>
      </c>
      <c r="B3926" s="572">
        <v>1.8928400000000001</v>
      </c>
      <c r="C3926" s="572">
        <v>98.382999999999996</v>
      </c>
    </row>
    <row r="3927" spans="1:3">
      <c r="A3927" s="571" t="s">
        <v>1902</v>
      </c>
      <c r="B3927" s="572">
        <v>3.3304099999999996</v>
      </c>
      <c r="C3927" s="572">
        <v>120.32899999999999</v>
      </c>
    </row>
    <row r="3928" spans="1:3">
      <c r="A3928" s="571" t="s">
        <v>1902</v>
      </c>
      <c r="B3928" s="572">
        <v>6.1994999999999996</v>
      </c>
      <c r="C3928" s="572">
        <v>145.66999999999999</v>
      </c>
    </row>
    <row r="3929" spans="1:3">
      <c r="A3929" s="571" t="s">
        <v>1902</v>
      </c>
      <c r="B3929" s="572">
        <v>9.3253000000000004</v>
      </c>
      <c r="C3929" s="572">
        <v>160.56100000000001</v>
      </c>
    </row>
    <row r="3930" spans="1:3">
      <c r="A3930" s="571" t="s">
        <v>1902</v>
      </c>
      <c r="B3930" s="572">
        <v>12.972</v>
      </c>
      <c r="C3930" s="572">
        <v>177.74100000000001</v>
      </c>
    </row>
    <row r="3931" spans="1:3">
      <c r="A3931" s="571" t="s">
        <v>1902</v>
      </c>
      <c r="B3931" s="572">
        <v>18.836400000000001</v>
      </c>
      <c r="C3931" s="572">
        <v>216.821</v>
      </c>
    </row>
    <row r="3932" spans="1:3">
      <c r="A3932" s="571" t="s">
        <v>1902</v>
      </c>
      <c r="B3932" s="572">
        <v>29.1157</v>
      </c>
      <c r="C3932" s="572">
        <v>235.935</v>
      </c>
    </row>
    <row r="3933" spans="1:3">
      <c r="A3933" s="571" t="s">
        <v>1902</v>
      </c>
      <c r="B3933" s="572">
        <v>39.268000000000001</v>
      </c>
      <c r="C3933" s="572">
        <v>264.33199999999999</v>
      </c>
    </row>
    <row r="3934" spans="1:3">
      <c r="A3934" s="571" t="s">
        <v>1902</v>
      </c>
      <c r="B3934" s="572">
        <v>49.4161</v>
      </c>
      <c r="C3934" s="572">
        <v>279.976</v>
      </c>
    </row>
    <row r="3935" spans="1:3">
      <c r="A3935" s="571" t="s">
        <v>1902</v>
      </c>
      <c r="B3935" s="572">
        <v>59.042999999999999</v>
      </c>
      <c r="C3935" s="572">
        <v>292.17099999999999</v>
      </c>
    </row>
    <row r="3936" spans="1:3">
      <c r="A3936" s="571" t="s">
        <v>1902</v>
      </c>
      <c r="B3936" s="572">
        <v>69.187700000000007</v>
      </c>
      <c r="C3936" s="572">
        <v>297.38</v>
      </c>
    </row>
    <row r="3937" spans="1:3">
      <c r="A3937" s="571" t="s">
        <v>1902</v>
      </c>
      <c r="B3937" s="572">
        <v>78.683800000000005</v>
      </c>
      <c r="C3937" s="572">
        <v>307.26499999999999</v>
      </c>
    </row>
    <row r="3938" spans="1:3">
      <c r="A3938" s="571" t="s">
        <v>1902</v>
      </c>
      <c r="B3938" s="572">
        <v>98.710499999999996</v>
      </c>
      <c r="C3938" s="572">
        <v>309.58199999999999</v>
      </c>
    </row>
    <row r="3939" spans="1:3">
      <c r="A3939" s="571" t="s">
        <v>1903</v>
      </c>
      <c r="B3939" s="572">
        <v>1.2117499999999999</v>
      </c>
      <c r="C3939" s="572">
        <v>3.3500399999999999</v>
      </c>
    </row>
    <row r="3940" spans="1:3">
      <c r="A3940" s="571" t="s">
        <v>1903</v>
      </c>
      <c r="B3940" s="572">
        <v>2.01119</v>
      </c>
      <c r="C3940" s="572">
        <v>62.434100000000001</v>
      </c>
    </row>
    <row r="3941" spans="1:3">
      <c r="A3941" s="571" t="s">
        <v>1903</v>
      </c>
      <c r="B3941" s="572">
        <v>3.32362</v>
      </c>
      <c r="C3941" s="572">
        <v>99.459500000000006</v>
      </c>
    </row>
    <row r="3942" spans="1:3">
      <c r="A3942" s="571" t="s">
        <v>1903</v>
      </c>
      <c r="B3942" s="572">
        <v>9.2032000000000007</v>
      </c>
      <c r="C3942" s="572">
        <v>184.916</v>
      </c>
    </row>
    <row r="3943" spans="1:3">
      <c r="A3943" s="571" t="s">
        <v>1903</v>
      </c>
      <c r="B3943" s="572">
        <v>13.2418</v>
      </c>
      <c r="C3943" s="572">
        <v>207.87</v>
      </c>
    </row>
    <row r="3944" spans="1:3">
      <c r="A3944" s="571" t="s">
        <v>1903</v>
      </c>
      <c r="B3944" s="572">
        <v>19.105499999999999</v>
      </c>
      <c r="C3944" s="572">
        <v>244.63200000000001</v>
      </c>
    </row>
    <row r="3945" spans="1:3">
      <c r="A3945" s="571" t="s">
        <v>1903</v>
      </c>
      <c r="B3945" s="572">
        <v>29.128900000000002</v>
      </c>
      <c r="C3945" s="572">
        <v>276.51400000000001</v>
      </c>
    </row>
    <row r="3946" spans="1:3">
      <c r="A3946" s="571" t="s">
        <v>1903</v>
      </c>
      <c r="B3946" s="572">
        <v>39.277799999999999</v>
      </c>
      <c r="C3946" s="572">
        <v>294.47699999999998</v>
      </c>
    </row>
    <row r="3947" spans="1:3">
      <c r="A3947" s="571" t="s">
        <v>1903</v>
      </c>
      <c r="B3947" s="572">
        <v>49.165799999999997</v>
      </c>
      <c r="C3947" s="572">
        <v>310.13499999999999</v>
      </c>
    </row>
    <row r="3948" spans="1:3">
      <c r="A3948" s="571" t="s">
        <v>1903</v>
      </c>
      <c r="B3948" s="572">
        <v>59.051600000000001</v>
      </c>
      <c r="C3948" s="572">
        <v>318.83800000000002</v>
      </c>
    </row>
    <row r="3949" spans="1:3">
      <c r="A3949" s="571" t="s">
        <v>1903</v>
      </c>
      <c r="B3949" s="572">
        <v>69.067499999999995</v>
      </c>
      <c r="C3949" s="572">
        <v>327.53199999999998</v>
      </c>
    </row>
    <row r="3950" spans="1:3">
      <c r="A3950" s="571" t="s">
        <v>1903</v>
      </c>
      <c r="B3950" s="572">
        <v>78.691299999999998</v>
      </c>
      <c r="C3950" s="572">
        <v>330.45299999999997</v>
      </c>
    </row>
    <row r="3951" spans="1:3">
      <c r="A3951" s="571" t="s">
        <v>1903</v>
      </c>
      <c r="B3951" s="572">
        <v>98.5899</v>
      </c>
      <c r="C3951" s="572">
        <v>338.57400000000001</v>
      </c>
    </row>
    <row r="3952" spans="1:3">
      <c r="A3952" s="571" t="s">
        <v>290</v>
      </c>
      <c r="B3952" s="572">
        <v>2.3513919999999999E-3</v>
      </c>
      <c r="C3952" s="572">
        <v>1.2000299999999999</v>
      </c>
    </row>
    <row r="3953" spans="1:3">
      <c r="A3953" s="571" t="s">
        <v>290</v>
      </c>
      <c r="B3953" s="572">
        <v>9.4055830000000003E-3</v>
      </c>
      <c r="C3953" s="572">
        <v>33.687800000000003</v>
      </c>
    </row>
    <row r="3954" spans="1:3">
      <c r="A3954" s="571" t="s">
        <v>290</v>
      </c>
      <c r="B3954" s="572">
        <v>2.1162541999999999E-2</v>
      </c>
      <c r="C3954" s="572">
        <v>49.3371</v>
      </c>
    </row>
    <row r="3955" spans="1:3">
      <c r="A3955" s="571" t="s">
        <v>290</v>
      </c>
      <c r="B3955" s="572">
        <v>3.0568082999999999E-2</v>
      </c>
      <c r="C3955" s="572">
        <v>69.794700000000006</v>
      </c>
    </row>
    <row r="3956" spans="1:3">
      <c r="A3956" s="571" t="s">
        <v>290</v>
      </c>
      <c r="B3956" s="572">
        <v>3.9973666999999997E-2</v>
      </c>
      <c r="C3956" s="572">
        <v>74.616600000000005</v>
      </c>
    </row>
    <row r="3957" spans="1:3">
      <c r="A3957" s="571" t="s">
        <v>290</v>
      </c>
      <c r="B3957" s="572">
        <v>4.9379167000000002E-2</v>
      </c>
      <c r="C3957" s="572">
        <v>86.655000000000001</v>
      </c>
    </row>
    <row r="3958" spans="1:3">
      <c r="A3958" s="571" t="s">
        <v>290</v>
      </c>
      <c r="B3958" s="572">
        <v>6.1136250000000003E-2</v>
      </c>
      <c r="C3958" s="572">
        <v>90.276799999999994</v>
      </c>
    </row>
    <row r="3959" spans="1:3">
      <c r="A3959" s="571" t="s">
        <v>290</v>
      </c>
      <c r="B3959" s="572">
        <v>7.0541667000000002E-2</v>
      </c>
      <c r="C3959" s="572">
        <v>96.301400000000001</v>
      </c>
    </row>
    <row r="3960" spans="1:3">
      <c r="A3960" s="571" t="s">
        <v>290</v>
      </c>
      <c r="B3960" s="572">
        <v>8.2298750000000004E-2</v>
      </c>
      <c r="C3960" s="572">
        <v>92.706699999999998</v>
      </c>
    </row>
    <row r="3961" spans="1:3">
      <c r="A3961" s="571" t="s">
        <v>290</v>
      </c>
      <c r="B3961" s="572">
        <v>9.1704167000000003E-2</v>
      </c>
      <c r="C3961" s="572">
        <v>98.731300000000005</v>
      </c>
    </row>
    <row r="3962" spans="1:3">
      <c r="A3962" s="571" t="s">
        <v>290</v>
      </c>
      <c r="B3962" s="572">
        <v>0.10346125</v>
      </c>
      <c r="C3962" s="572">
        <v>105.961</v>
      </c>
    </row>
    <row r="3963" spans="1:3">
      <c r="A3963" s="571" t="s">
        <v>290</v>
      </c>
      <c r="B3963" s="572">
        <v>0.112866667</v>
      </c>
      <c r="C3963" s="572">
        <v>111.986</v>
      </c>
    </row>
    <row r="3964" spans="1:3">
      <c r="A3964" s="571" t="s">
        <v>290</v>
      </c>
      <c r="B3964" s="572">
        <v>0.12462375000000001</v>
      </c>
      <c r="C3964" s="572">
        <v>108.39100000000001</v>
      </c>
    </row>
    <row r="3965" spans="1:3">
      <c r="A3965" s="571" t="s">
        <v>290</v>
      </c>
      <c r="B3965" s="572">
        <v>0.134029167</v>
      </c>
      <c r="C3965" s="572">
        <v>115.619</v>
      </c>
    </row>
    <row r="3966" spans="1:3">
      <c r="A3966" s="571" t="s">
        <v>290</v>
      </c>
      <c r="B3966" s="572">
        <v>0.14578625000000001</v>
      </c>
      <c r="C3966" s="572">
        <v>116.83499999999999</v>
      </c>
    </row>
    <row r="3967" spans="1:3">
      <c r="A3967" s="571" t="s">
        <v>290</v>
      </c>
      <c r="B3967" s="572">
        <v>0.15519166700000001</v>
      </c>
      <c r="C3967" s="572">
        <v>110.83199999999999</v>
      </c>
    </row>
    <row r="3968" spans="1:3">
      <c r="A3968" s="571" t="s">
        <v>290</v>
      </c>
      <c r="B3968" s="572">
        <v>0.16694875000000001</v>
      </c>
      <c r="C3968" s="572">
        <v>113.251</v>
      </c>
    </row>
    <row r="3969" spans="1:3">
      <c r="A3969" s="571" t="s">
        <v>290</v>
      </c>
      <c r="B3969" s="572">
        <v>0.17635458300000001</v>
      </c>
      <c r="C3969" s="572">
        <v>115.66800000000001</v>
      </c>
    </row>
    <row r="3970" spans="1:3">
      <c r="A3970" s="571" t="s">
        <v>290</v>
      </c>
      <c r="B3970" s="572">
        <v>0.18576000000000001</v>
      </c>
      <c r="C3970" s="572">
        <v>119.28700000000001</v>
      </c>
    </row>
    <row r="3971" spans="1:3">
      <c r="A3971" s="571" t="s">
        <v>290</v>
      </c>
      <c r="B3971" s="572">
        <v>0.19751708300000001</v>
      </c>
      <c r="C3971" s="572">
        <v>127.71899999999999</v>
      </c>
    </row>
    <row r="3972" spans="1:3">
      <c r="A3972" s="571" t="s">
        <v>290</v>
      </c>
      <c r="B3972" s="572">
        <v>0.20692250000000001</v>
      </c>
      <c r="C3972" s="572">
        <v>131.339</v>
      </c>
    </row>
    <row r="3973" spans="1:3">
      <c r="A3973" s="571" t="s">
        <v>290</v>
      </c>
      <c r="B3973" s="572">
        <v>0.21867958300000001</v>
      </c>
      <c r="C3973" s="572">
        <v>139.77099999999999</v>
      </c>
    </row>
    <row r="3974" spans="1:3">
      <c r="A3974" s="571" t="s">
        <v>290</v>
      </c>
      <c r="B3974" s="572">
        <v>0.22808500000000001</v>
      </c>
      <c r="C3974" s="572">
        <v>146.999</v>
      </c>
    </row>
    <row r="3975" spans="1:3">
      <c r="A3975" s="571" t="s">
        <v>290</v>
      </c>
      <c r="B3975" s="572">
        <v>0.23984208300000001</v>
      </c>
      <c r="C3975" s="572">
        <v>156.63399999999999</v>
      </c>
    </row>
    <row r="3976" spans="1:3">
      <c r="A3976" s="571" t="s">
        <v>290</v>
      </c>
      <c r="B3976" s="572">
        <v>0.24924750000000001</v>
      </c>
      <c r="C3976" s="572">
        <v>154.24</v>
      </c>
    </row>
    <row r="3977" spans="1:3">
      <c r="A3977" s="571" t="s">
        <v>290</v>
      </c>
      <c r="B3977" s="572">
        <v>0.26335583299999998</v>
      </c>
      <c r="C3977" s="572">
        <v>157.864</v>
      </c>
    </row>
    <row r="3978" spans="1:3">
      <c r="A3978" s="571" t="s">
        <v>290</v>
      </c>
      <c r="B3978" s="572">
        <v>0.27276166699999999</v>
      </c>
      <c r="C3978" s="572">
        <v>160.28100000000001</v>
      </c>
    </row>
    <row r="3979" spans="1:3">
      <c r="A3979" s="571" t="s">
        <v>290</v>
      </c>
      <c r="B3979" s="572">
        <v>0.27981583300000001</v>
      </c>
      <c r="C3979" s="572">
        <v>166.30199999999999</v>
      </c>
    </row>
    <row r="3980" spans="1:3">
      <c r="A3980" s="571" t="s">
        <v>290</v>
      </c>
      <c r="B3980" s="572">
        <v>0.29157250000000001</v>
      </c>
      <c r="C3980" s="572">
        <v>172.33</v>
      </c>
    </row>
    <row r="3981" spans="1:3">
      <c r="A3981" s="571" t="s">
        <v>290</v>
      </c>
      <c r="B3981" s="572">
        <v>0.30332958300000001</v>
      </c>
      <c r="C3981" s="572">
        <v>175.952</v>
      </c>
    </row>
    <row r="3982" spans="1:3">
      <c r="A3982" s="571" t="s">
        <v>290</v>
      </c>
      <c r="B3982" s="572">
        <v>0.31273499999999999</v>
      </c>
      <c r="C3982" s="572">
        <v>175.96199999999999</v>
      </c>
    </row>
    <row r="3983" spans="1:3">
      <c r="A3983" s="571" t="s">
        <v>290</v>
      </c>
      <c r="B3983" s="572">
        <v>0.32449208299999999</v>
      </c>
      <c r="C3983" s="572">
        <v>175.976</v>
      </c>
    </row>
    <row r="3984" spans="1:3">
      <c r="A3984" s="571" t="s">
        <v>290</v>
      </c>
      <c r="B3984" s="572">
        <v>0.33389750000000001</v>
      </c>
      <c r="C3984" s="572">
        <v>178.392</v>
      </c>
    </row>
    <row r="3985" spans="1:3">
      <c r="A3985" s="571" t="s">
        <v>290</v>
      </c>
      <c r="B3985" s="572">
        <v>0.34800583299999999</v>
      </c>
      <c r="C3985" s="572">
        <v>180.81399999999999</v>
      </c>
    </row>
    <row r="3986" spans="1:3">
      <c r="A3986" s="571" t="s">
        <v>290</v>
      </c>
      <c r="B3986" s="572">
        <v>0.35270875000000002</v>
      </c>
      <c r="C3986" s="572">
        <v>182.02199999999999</v>
      </c>
    </row>
    <row r="3987" spans="1:3">
      <c r="A3987" s="571" t="s">
        <v>290</v>
      </c>
      <c r="B3987" s="572">
        <v>0.36211416699999999</v>
      </c>
      <c r="C3987" s="572">
        <v>184.43899999999999</v>
      </c>
    </row>
    <row r="3988" spans="1:3">
      <c r="A3988" s="571" t="s">
        <v>290</v>
      </c>
      <c r="B3988" s="572">
        <v>0.37387124999999999</v>
      </c>
      <c r="C3988" s="572">
        <v>182.047</v>
      </c>
    </row>
    <row r="3989" spans="1:3">
      <c r="A3989" s="571" t="s">
        <v>290</v>
      </c>
      <c r="B3989" s="572">
        <v>0.38562833299999999</v>
      </c>
      <c r="C3989" s="572">
        <v>183.26300000000001</v>
      </c>
    </row>
    <row r="3990" spans="1:3">
      <c r="A3990" s="571" t="s">
        <v>290</v>
      </c>
      <c r="B3990" s="572">
        <v>0.39738541700000002</v>
      </c>
      <c r="C3990" s="572">
        <v>185.68199999999999</v>
      </c>
    </row>
    <row r="3991" spans="1:3">
      <c r="A3991" s="571" t="s">
        <v>290</v>
      </c>
      <c r="B3991" s="572">
        <v>0.40443958299999999</v>
      </c>
      <c r="C3991" s="572">
        <v>186.893</v>
      </c>
    </row>
    <row r="3992" spans="1:3">
      <c r="A3992" s="571" t="s">
        <v>290</v>
      </c>
      <c r="B3992" s="572">
        <v>0.41854583299999998</v>
      </c>
      <c r="C3992" s="572">
        <v>180.89599999999999</v>
      </c>
    </row>
    <row r="3993" spans="1:3">
      <c r="A3993" s="571" t="s">
        <v>290</v>
      </c>
      <c r="B3993" s="572">
        <v>0.42559999999999998</v>
      </c>
      <c r="C3993" s="572">
        <v>184.512</v>
      </c>
    </row>
    <row r="3994" spans="1:3">
      <c r="A3994" s="571" t="s">
        <v>290</v>
      </c>
      <c r="B3994" s="572">
        <v>0.43970833300000001</v>
      </c>
      <c r="C3994" s="572">
        <v>183.32599999999999</v>
      </c>
    </row>
    <row r="3995" spans="1:3">
      <c r="A3995" s="571" t="s">
        <v>290</v>
      </c>
      <c r="B3995" s="572">
        <v>0.44676250000000001</v>
      </c>
      <c r="C3995" s="572">
        <v>188.14500000000001</v>
      </c>
    </row>
    <row r="3996" spans="1:3">
      <c r="A3996" s="571" t="s">
        <v>290</v>
      </c>
      <c r="B3996" s="572">
        <v>0.45852083300000002</v>
      </c>
      <c r="C3996" s="572">
        <v>195.375</v>
      </c>
    </row>
    <row r="3997" spans="1:3">
      <c r="A3997" s="571" t="s">
        <v>290</v>
      </c>
      <c r="B3997" s="572">
        <v>0.46792499999999998</v>
      </c>
      <c r="C3997" s="572">
        <v>188.16900000000001</v>
      </c>
    </row>
    <row r="3998" spans="1:3">
      <c r="A3998" s="571" t="s">
        <v>290</v>
      </c>
      <c r="B3998" s="572">
        <v>0.47968333299999999</v>
      </c>
      <c r="C3998" s="572">
        <v>188.18299999999999</v>
      </c>
    </row>
    <row r="3999" spans="1:3">
      <c r="A3999" s="571" t="s">
        <v>290</v>
      </c>
      <c r="B3999" s="572">
        <v>0.48908750000000001</v>
      </c>
      <c r="C3999" s="572">
        <v>184.58500000000001</v>
      </c>
    </row>
    <row r="4000" spans="1:3">
      <c r="A4000" s="571" t="s">
        <v>290</v>
      </c>
      <c r="B4000" s="572">
        <v>0.50319583300000004</v>
      </c>
      <c r="C4000" s="572">
        <v>194.22399999999999</v>
      </c>
    </row>
    <row r="4001" spans="1:3">
      <c r="A4001" s="571" t="s">
        <v>290</v>
      </c>
      <c r="B4001" s="572">
        <v>0.512604167</v>
      </c>
      <c r="C4001" s="572">
        <v>187.018</v>
      </c>
    </row>
    <row r="4002" spans="1:3">
      <c r="A4002" s="571" t="s">
        <v>290</v>
      </c>
      <c r="B4002" s="572">
        <v>0.52200833300000005</v>
      </c>
      <c r="C4002" s="572">
        <v>196.65100000000001</v>
      </c>
    </row>
    <row r="4003" spans="1:3">
      <c r="A4003" s="571" t="s">
        <v>290</v>
      </c>
      <c r="B4003" s="572">
        <v>0.53141666700000001</v>
      </c>
      <c r="C4003" s="572">
        <v>190.648</v>
      </c>
    </row>
    <row r="4004" spans="1:3">
      <c r="A4004" s="571" t="s">
        <v>290</v>
      </c>
      <c r="B4004" s="572">
        <v>0.54082083299999995</v>
      </c>
      <c r="C4004" s="572">
        <v>191.86199999999999</v>
      </c>
    </row>
    <row r="4005" spans="1:3">
      <c r="A4005" s="571" t="s">
        <v>290</v>
      </c>
      <c r="B4005" s="572">
        <v>0.55492916699999995</v>
      </c>
      <c r="C4005" s="572">
        <v>189.47200000000001</v>
      </c>
    </row>
    <row r="4006" spans="1:3">
      <c r="A4006" s="571" t="s">
        <v>290</v>
      </c>
      <c r="B4006" s="572">
        <v>0.56198333300000003</v>
      </c>
      <c r="C4006" s="572">
        <v>188.27799999999999</v>
      </c>
    </row>
    <row r="4007" spans="1:3">
      <c r="A4007" s="571" t="s">
        <v>290</v>
      </c>
      <c r="B4007" s="572">
        <v>0.57374166699999996</v>
      </c>
      <c r="C4007" s="572">
        <v>194.30500000000001</v>
      </c>
    </row>
    <row r="4008" spans="1:3">
      <c r="A4008" s="571" t="s">
        <v>290</v>
      </c>
      <c r="B4008" s="572">
        <v>0.583145833</v>
      </c>
      <c r="C4008" s="572">
        <v>196.721</v>
      </c>
    </row>
    <row r="4009" spans="1:3">
      <c r="A4009" s="571" t="s">
        <v>290</v>
      </c>
      <c r="B4009" s="572">
        <v>0.59255000000000002</v>
      </c>
      <c r="C4009" s="572">
        <v>197.935</v>
      </c>
    </row>
    <row r="4010" spans="1:3">
      <c r="A4010" s="571" t="s">
        <v>290</v>
      </c>
      <c r="B4010" s="572">
        <v>0.60195833300000001</v>
      </c>
      <c r="C4010" s="572">
        <v>197.946</v>
      </c>
    </row>
    <row r="4011" spans="1:3">
      <c r="A4011" s="571" t="s">
        <v>290</v>
      </c>
      <c r="B4011" s="572">
        <v>0.61371249999999999</v>
      </c>
      <c r="C4011" s="572">
        <v>203.97300000000001</v>
      </c>
    </row>
    <row r="4012" spans="1:3">
      <c r="A4012" s="571" t="s">
        <v>290</v>
      </c>
      <c r="B4012" s="572">
        <v>0.62547083299999995</v>
      </c>
      <c r="C4012" s="572">
        <v>194.36500000000001</v>
      </c>
    </row>
    <row r="4013" spans="1:3">
      <c r="A4013" s="571" t="s">
        <v>290</v>
      </c>
      <c r="B4013" s="572">
        <v>0.63487499999999997</v>
      </c>
      <c r="C4013" s="572">
        <v>202.79499999999999</v>
      </c>
    </row>
    <row r="4014" spans="1:3">
      <c r="A4014" s="571" t="s">
        <v>290</v>
      </c>
      <c r="B4014" s="572">
        <v>0.64663333300000003</v>
      </c>
      <c r="C4014" s="572">
        <v>202.80799999999999</v>
      </c>
    </row>
    <row r="4015" spans="1:3">
      <c r="A4015" s="571" t="s">
        <v>290</v>
      </c>
      <c r="B4015" s="572">
        <v>0.65603750000000005</v>
      </c>
      <c r="C4015" s="572">
        <v>206.428</v>
      </c>
    </row>
    <row r="4016" spans="1:3">
      <c r="A4016" s="571" t="s">
        <v>290</v>
      </c>
      <c r="B4016" s="572">
        <v>0.66544583300000004</v>
      </c>
      <c r="C4016" s="572">
        <v>208.84399999999999</v>
      </c>
    </row>
    <row r="4017" spans="1:3">
      <c r="A4017" s="571" t="s">
        <v>290</v>
      </c>
      <c r="B4017" s="572">
        <v>0.67720000000000002</v>
      </c>
      <c r="C4017" s="572">
        <v>204.047</v>
      </c>
    </row>
    <row r="4018" spans="1:3">
      <c r="A4018" s="571" t="s">
        <v>290</v>
      </c>
      <c r="B4018" s="572">
        <v>0.68895833299999998</v>
      </c>
      <c r="C4018" s="572">
        <v>202.857</v>
      </c>
    </row>
    <row r="4019" spans="1:3">
      <c r="A4019" s="571" t="s">
        <v>290</v>
      </c>
      <c r="B4019" s="572">
        <v>0.6983625</v>
      </c>
      <c r="C4019" s="572">
        <v>208.88200000000001</v>
      </c>
    </row>
    <row r="4020" spans="1:3">
      <c r="A4020" s="571" t="s">
        <v>290</v>
      </c>
      <c r="B4020" s="572">
        <v>0.70777083299999999</v>
      </c>
      <c r="C4020" s="572">
        <v>211.298</v>
      </c>
    </row>
    <row r="4021" spans="1:3">
      <c r="A4021" s="571" t="s">
        <v>290</v>
      </c>
      <c r="B4021" s="572">
        <v>0.71717500000000001</v>
      </c>
      <c r="C4021" s="572">
        <v>212.512</v>
      </c>
    </row>
    <row r="4022" spans="1:3">
      <c r="A4022" s="571" t="s">
        <v>290</v>
      </c>
      <c r="B4022" s="572">
        <v>0.72657916700000003</v>
      </c>
      <c r="C4022" s="572">
        <v>212.523</v>
      </c>
    </row>
    <row r="4023" spans="1:3">
      <c r="A4023" s="48" t="s">
        <v>291</v>
      </c>
      <c r="B4023" s="549">
        <v>-3.6999999999999997E-17</v>
      </c>
      <c r="C4023" s="549">
        <v>1.20275</v>
      </c>
    </row>
    <row r="4024" spans="1:3">
      <c r="A4024" s="571" t="s">
        <v>291</v>
      </c>
      <c r="B4024" s="572">
        <v>2.3513916999999999E-2</v>
      </c>
      <c r="C4024" s="572">
        <v>22.8794</v>
      </c>
    </row>
    <row r="4025" spans="1:3">
      <c r="A4025" s="571" t="s">
        <v>291</v>
      </c>
      <c r="B4025" s="572">
        <v>3.2919499999999997E-2</v>
      </c>
      <c r="C4025" s="572">
        <v>36.1205</v>
      </c>
    </row>
    <row r="4026" spans="1:3">
      <c r="A4026" s="571" t="s">
        <v>291</v>
      </c>
      <c r="B4026" s="572">
        <v>3.9973666999999997E-2</v>
      </c>
      <c r="C4026" s="572">
        <v>40.939599999999999</v>
      </c>
    </row>
    <row r="4027" spans="1:3">
      <c r="A4027" s="571" t="s">
        <v>291</v>
      </c>
      <c r="B4027" s="572">
        <v>4.7027917000000002E-2</v>
      </c>
      <c r="C4027" s="572">
        <v>45.758800000000001</v>
      </c>
    </row>
    <row r="4028" spans="1:3">
      <c r="A4028" s="571" t="s">
        <v>291</v>
      </c>
      <c r="B4028" s="572">
        <v>5.1730417000000001E-2</v>
      </c>
      <c r="C4028" s="572">
        <v>55.386200000000002</v>
      </c>
    </row>
    <row r="4029" spans="1:3">
      <c r="A4029" s="571" t="s">
        <v>291</v>
      </c>
      <c r="B4029" s="572">
        <v>6.1136250000000003E-2</v>
      </c>
      <c r="C4029" s="572">
        <v>57.802500000000002</v>
      </c>
    </row>
    <row r="4030" spans="1:3">
      <c r="A4030" s="571" t="s">
        <v>291</v>
      </c>
      <c r="B4030" s="572">
        <v>7.0541667000000002E-2</v>
      </c>
      <c r="C4030" s="572">
        <v>61.421700000000001</v>
      </c>
    </row>
    <row r="4031" spans="1:3">
      <c r="A4031" s="571" t="s">
        <v>291</v>
      </c>
      <c r="B4031" s="572">
        <v>8.4650000000000003E-2</v>
      </c>
      <c r="C4031" s="572">
        <v>66.248900000000006</v>
      </c>
    </row>
    <row r="4032" spans="1:3">
      <c r="A4032" s="571" t="s">
        <v>291</v>
      </c>
      <c r="B4032" s="572">
        <v>9.4055833000000005E-2</v>
      </c>
      <c r="C4032" s="572">
        <v>69.868099999999998</v>
      </c>
    </row>
    <row r="4033" spans="1:3">
      <c r="A4033" s="571" t="s">
        <v>291</v>
      </c>
      <c r="B4033" s="572">
        <v>0.110515417</v>
      </c>
      <c r="C4033" s="572">
        <v>72.292599999999993</v>
      </c>
    </row>
    <row r="4034" spans="1:3">
      <c r="A4034" s="571" t="s">
        <v>291</v>
      </c>
      <c r="B4034" s="572">
        <v>0.11521833300000001</v>
      </c>
      <c r="C4034" s="572">
        <v>71.095200000000006</v>
      </c>
    </row>
    <row r="4035" spans="1:3">
      <c r="A4035" s="571" t="s">
        <v>291</v>
      </c>
      <c r="B4035" s="572">
        <v>0.13167791700000001</v>
      </c>
      <c r="C4035" s="572">
        <v>79.533500000000004</v>
      </c>
    </row>
    <row r="4036" spans="1:3">
      <c r="A4036" s="571" t="s">
        <v>291</v>
      </c>
      <c r="B4036" s="572">
        <v>0.14813750000000001</v>
      </c>
      <c r="C4036" s="572">
        <v>74.741500000000002</v>
      </c>
    </row>
    <row r="4037" spans="1:3">
      <c r="A4037" s="571" t="s">
        <v>291</v>
      </c>
      <c r="B4037" s="572">
        <v>0.15519166700000001</v>
      </c>
      <c r="C4037" s="572">
        <v>80.763400000000004</v>
      </c>
    </row>
    <row r="4038" spans="1:3">
      <c r="A4038" s="571" t="s">
        <v>291</v>
      </c>
      <c r="B4038" s="572">
        <v>0.16694875000000001</v>
      </c>
      <c r="C4038" s="572">
        <v>81.979699999999994</v>
      </c>
    </row>
    <row r="4039" spans="1:3">
      <c r="A4039" s="571" t="s">
        <v>291</v>
      </c>
      <c r="B4039" s="572">
        <v>0.17400291700000001</v>
      </c>
      <c r="C4039" s="572">
        <v>79.582400000000007</v>
      </c>
    </row>
    <row r="4040" spans="1:3">
      <c r="A4040" s="571" t="s">
        <v>291</v>
      </c>
      <c r="B4040" s="572">
        <v>0.18340875000000001</v>
      </c>
      <c r="C4040" s="572">
        <v>81.998699999999999</v>
      </c>
    </row>
    <row r="4041" spans="1:3">
      <c r="A4041" s="571" t="s">
        <v>291</v>
      </c>
      <c r="B4041" s="572">
        <v>0.19751708300000001</v>
      </c>
      <c r="C4041" s="572">
        <v>85.623199999999997</v>
      </c>
    </row>
    <row r="4042" spans="1:3">
      <c r="A4042" s="571" t="s">
        <v>291</v>
      </c>
      <c r="B4042" s="572">
        <v>0.20692250000000001</v>
      </c>
      <c r="C4042" s="572">
        <v>90.445099999999996</v>
      </c>
    </row>
    <row r="4043" spans="1:3">
      <c r="A4043" s="571" t="s">
        <v>291</v>
      </c>
      <c r="B4043" s="572">
        <v>0.22808500000000001</v>
      </c>
      <c r="C4043" s="572">
        <v>94.077799999999996</v>
      </c>
    </row>
    <row r="4044" spans="1:3">
      <c r="A4044" s="571" t="s">
        <v>291</v>
      </c>
      <c r="B4044" s="572">
        <v>0.24924750000000001</v>
      </c>
      <c r="C4044" s="572">
        <v>103.724</v>
      </c>
    </row>
    <row r="4045" spans="1:3">
      <c r="A4045" s="571" t="s">
        <v>291</v>
      </c>
      <c r="B4045" s="572">
        <v>0.25865291699999998</v>
      </c>
      <c r="C4045" s="572">
        <v>104.938</v>
      </c>
    </row>
    <row r="4046" spans="1:3">
      <c r="A4046" s="571" t="s">
        <v>291</v>
      </c>
      <c r="B4046" s="572">
        <v>0.27276166699999999</v>
      </c>
      <c r="C4046" s="572">
        <v>115.779</v>
      </c>
    </row>
    <row r="4047" spans="1:3">
      <c r="A4047" s="571" t="s">
        <v>291</v>
      </c>
      <c r="B4047" s="572">
        <v>0.28216708299999999</v>
      </c>
      <c r="C4047" s="572">
        <v>115.79</v>
      </c>
    </row>
    <row r="4048" spans="1:3">
      <c r="A4048" s="571" t="s">
        <v>291</v>
      </c>
      <c r="B4048" s="572">
        <v>0.28922124999999999</v>
      </c>
      <c r="C4048" s="572">
        <v>124.217</v>
      </c>
    </row>
    <row r="4049" spans="1:3">
      <c r="A4049" s="571" t="s">
        <v>291</v>
      </c>
      <c r="B4049" s="572">
        <v>0.30332958300000001</v>
      </c>
      <c r="C4049" s="572">
        <v>124.233</v>
      </c>
    </row>
    <row r="4050" spans="1:3">
      <c r="A4050" s="571" t="s">
        <v>291</v>
      </c>
      <c r="B4050" s="572">
        <v>0.31038375000000001</v>
      </c>
      <c r="C4050" s="572">
        <v>126.64700000000001</v>
      </c>
    </row>
    <row r="4051" spans="1:3">
      <c r="A4051" s="571" t="s">
        <v>291</v>
      </c>
      <c r="B4051" s="572">
        <v>0.32449208299999999</v>
      </c>
      <c r="C4051" s="572">
        <v>133.88</v>
      </c>
    </row>
    <row r="4052" spans="1:3">
      <c r="A4052" s="571" t="s">
        <v>291</v>
      </c>
      <c r="B4052" s="572">
        <v>0.33154624999999999</v>
      </c>
      <c r="C4052" s="572">
        <v>130.28</v>
      </c>
    </row>
    <row r="4053" spans="1:3">
      <c r="A4053" s="571" t="s">
        <v>291</v>
      </c>
      <c r="B4053" s="572">
        <v>0.34565458300000002</v>
      </c>
      <c r="C4053" s="572">
        <v>136.31</v>
      </c>
    </row>
    <row r="4054" spans="1:3">
      <c r="A4054" s="571" t="s">
        <v>291</v>
      </c>
      <c r="B4054" s="572">
        <v>0.35741166699999999</v>
      </c>
      <c r="C4054" s="572">
        <v>139.93199999999999</v>
      </c>
    </row>
    <row r="4055" spans="1:3">
      <c r="A4055" s="571" t="s">
        <v>291</v>
      </c>
      <c r="B4055" s="572">
        <v>0.37622291699999999</v>
      </c>
      <c r="C4055" s="572">
        <v>137.548</v>
      </c>
    </row>
    <row r="4056" spans="1:3">
      <c r="A4056" s="571" t="s">
        <v>291</v>
      </c>
      <c r="B4056" s="572">
        <v>0.38562833299999999</v>
      </c>
      <c r="C4056" s="572">
        <v>144.77500000000001</v>
      </c>
    </row>
    <row r="4057" spans="1:3">
      <c r="A4057" s="571" t="s">
        <v>291</v>
      </c>
      <c r="B4057" s="572">
        <v>0.40208791700000002</v>
      </c>
      <c r="C4057" s="572">
        <v>143.59100000000001</v>
      </c>
    </row>
    <row r="4058" spans="1:3">
      <c r="A4058" s="571" t="s">
        <v>291</v>
      </c>
      <c r="B4058" s="572">
        <v>0.41619624999999999</v>
      </c>
      <c r="C4058" s="572">
        <v>152.02699999999999</v>
      </c>
    </row>
    <row r="4059" spans="1:3">
      <c r="A4059" s="571" t="s">
        <v>291</v>
      </c>
      <c r="B4059" s="572">
        <v>0.427954167</v>
      </c>
      <c r="C4059" s="572">
        <v>143.62100000000001</v>
      </c>
    </row>
    <row r="4060" spans="1:3">
      <c r="A4060" s="571" t="s">
        <v>291</v>
      </c>
      <c r="B4060" s="572">
        <v>0.43970833300000001</v>
      </c>
      <c r="C4060" s="572">
        <v>148.446</v>
      </c>
    </row>
    <row r="4061" spans="1:3">
      <c r="A4061" s="571" t="s">
        <v>291</v>
      </c>
      <c r="B4061" s="572">
        <v>0.44911666700000002</v>
      </c>
      <c r="C4061" s="572">
        <v>148.45699999999999</v>
      </c>
    </row>
    <row r="4062" spans="1:3">
      <c r="A4062" s="571" t="s">
        <v>291</v>
      </c>
      <c r="B4062" s="572">
        <v>0.45852083300000002</v>
      </c>
      <c r="C4062" s="572">
        <v>144.85900000000001</v>
      </c>
    </row>
    <row r="4063" spans="1:3">
      <c r="A4063" s="571" t="s">
        <v>291</v>
      </c>
      <c r="B4063" s="572">
        <v>0.46557500000000002</v>
      </c>
      <c r="C4063" s="572">
        <v>148.476</v>
      </c>
    </row>
    <row r="4064" spans="1:3">
      <c r="A4064" s="571" t="s">
        <v>291</v>
      </c>
      <c r="B4064" s="572">
        <v>0.48203333300000001</v>
      </c>
      <c r="C4064" s="572">
        <v>152.10300000000001</v>
      </c>
    </row>
    <row r="4065" spans="1:3">
      <c r="A4065" s="571" t="s">
        <v>291</v>
      </c>
      <c r="B4065" s="572">
        <v>0.48908750000000001</v>
      </c>
      <c r="C4065" s="572">
        <v>150.90799999999999</v>
      </c>
    </row>
    <row r="4066" spans="1:3">
      <c r="A4066" s="571" t="s">
        <v>291</v>
      </c>
      <c r="B4066" s="572">
        <v>0.50084583299999996</v>
      </c>
      <c r="C4066" s="572">
        <v>149.71899999999999</v>
      </c>
    </row>
    <row r="4067" spans="1:3">
      <c r="A4067" s="571" t="s">
        <v>291</v>
      </c>
      <c r="B4067" s="572">
        <v>0.51024999999999998</v>
      </c>
      <c r="C4067" s="572">
        <v>152.136</v>
      </c>
    </row>
    <row r="4068" spans="1:3">
      <c r="A4068" s="571" t="s">
        <v>291</v>
      </c>
      <c r="B4068" s="572">
        <v>0.51965833299999997</v>
      </c>
      <c r="C4068" s="572">
        <v>150.94399999999999</v>
      </c>
    </row>
    <row r="4069" spans="1:3">
      <c r="A4069" s="571" t="s">
        <v>291</v>
      </c>
      <c r="B4069" s="572">
        <v>0.52906249999999999</v>
      </c>
      <c r="C4069" s="572">
        <v>154.56299999999999</v>
      </c>
    </row>
    <row r="4070" spans="1:3">
      <c r="A4070" s="571" t="s">
        <v>291</v>
      </c>
      <c r="B4070" s="572">
        <v>0.54082083299999995</v>
      </c>
      <c r="C4070" s="572">
        <v>150.96799999999999</v>
      </c>
    </row>
    <row r="4071" spans="1:3">
      <c r="A4071" s="571" t="s">
        <v>291</v>
      </c>
      <c r="B4071" s="572">
        <v>0.55257916699999998</v>
      </c>
      <c r="C4071" s="572">
        <v>155.79300000000001</v>
      </c>
    </row>
    <row r="4072" spans="1:3">
      <c r="A4072" s="571" t="s">
        <v>291</v>
      </c>
      <c r="B4072" s="572">
        <v>0.56198333300000003</v>
      </c>
      <c r="C4072" s="572">
        <v>155.804</v>
      </c>
    </row>
    <row r="4073" spans="1:3">
      <c r="A4073" s="571" t="s">
        <v>291</v>
      </c>
      <c r="B4073" s="572">
        <v>0.57374166699999996</v>
      </c>
      <c r="C4073" s="572">
        <v>155.81700000000001</v>
      </c>
    </row>
    <row r="4074" spans="1:3">
      <c r="A4074" s="571" t="s">
        <v>291</v>
      </c>
      <c r="B4074" s="572">
        <v>0.583145833</v>
      </c>
      <c r="C4074" s="572">
        <v>155.828</v>
      </c>
    </row>
    <row r="4075" spans="1:3">
      <c r="A4075" s="571" t="s">
        <v>291</v>
      </c>
      <c r="B4075" s="572">
        <v>0.59490416700000004</v>
      </c>
      <c r="C4075" s="572">
        <v>155.84200000000001</v>
      </c>
    </row>
    <row r="4076" spans="1:3">
      <c r="A4076" s="571" t="s">
        <v>291</v>
      </c>
      <c r="B4076" s="572">
        <v>0.60195833300000001</v>
      </c>
      <c r="C4076" s="572">
        <v>159.458</v>
      </c>
    </row>
    <row r="4077" spans="1:3">
      <c r="A4077" s="571" t="s">
        <v>291</v>
      </c>
      <c r="B4077" s="572">
        <v>0.61371249999999999</v>
      </c>
      <c r="C4077" s="572">
        <v>154.661</v>
      </c>
    </row>
    <row r="4078" spans="1:3">
      <c r="A4078" s="571" t="s">
        <v>291</v>
      </c>
      <c r="B4078" s="572">
        <v>0.62312083299999999</v>
      </c>
      <c r="C4078" s="572">
        <v>163.09100000000001</v>
      </c>
    </row>
    <row r="4079" spans="1:3">
      <c r="A4079" s="571" t="s">
        <v>291</v>
      </c>
      <c r="B4079" s="572">
        <v>0.63487499999999997</v>
      </c>
      <c r="C4079" s="572">
        <v>161.90100000000001</v>
      </c>
    </row>
    <row r="4080" spans="1:3">
      <c r="A4080" s="571" t="s">
        <v>291</v>
      </c>
      <c r="B4080" s="572">
        <v>0.64663333300000003</v>
      </c>
      <c r="C4080" s="572">
        <v>160.71199999999999</v>
      </c>
    </row>
    <row r="4081" spans="1:3">
      <c r="A4081" s="571" t="s">
        <v>291</v>
      </c>
      <c r="B4081" s="572">
        <v>0.65839166699999996</v>
      </c>
      <c r="C4081" s="572">
        <v>160.726</v>
      </c>
    </row>
    <row r="4082" spans="1:3">
      <c r="A4082" s="571" t="s">
        <v>291</v>
      </c>
      <c r="B4082" s="572">
        <v>0.67955416700000004</v>
      </c>
      <c r="C4082" s="572">
        <v>159.548</v>
      </c>
    </row>
    <row r="4083" spans="1:3">
      <c r="A4083" s="571" t="s">
        <v>291</v>
      </c>
      <c r="B4083" s="572">
        <v>0.68895833299999998</v>
      </c>
      <c r="C4083" s="572">
        <v>161.964</v>
      </c>
    </row>
    <row r="4084" spans="1:3">
      <c r="A4084" s="571" t="s">
        <v>291</v>
      </c>
      <c r="B4084" s="572">
        <v>0.69601250000000003</v>
      </c>
      <c r="C4084" s="572">
        <v>161.97200000000001</v>
      </c>
    </row>
    <row r="4085" spans="1:3">
      <c r="A4085" s="571" t="s">
        <v>291</v>
      </c>
      <c r="B4085" s="572">
        <v>0.70541666700000005</v>
      </c>
      <c r="C4085" s="572">
        <v>160.78</v>
      </c>
    </row>
    <row r="4086" spans="1:3">
      <c r="A4086" s="48" t="s">
        <v>292</v>
      </c>
      <c r="B4086" s="549">
        <v>-3.6999999999999997E-17</v>
      </c>
      <c r="C4086" s="549">
        <v>0</v>
      </c>
    </row>
    <row r="4087" spans="1:3">
      <c r="A4087" s="571" t="s">
        <v>292</v>
      </c>
      <c r="B4087" s="572">
        <v>9.4055830000000003E-3</v>
      </c>
      <c r="C4087" s="572">
        <v>14.4438</v>
      </c>
    </row>
    <row r="4088" spans="1:3">
      <c r="A4088" s="571" t="s">
        <v>292</v>
      </c>
      <c r="B4088" s="572">
        <v>2.1162541999999999E-2</v>
      </c>
      <c r="C4088" s="572">
        <v>14.4574</v>
      </c>
    </row>
    <row r="4089" spans="1:3">
      <c r="A4089" s="571" t="s">
        <v>292</v>
      </c>
      <c r="B4089" s="572">
        <v>3.0568082999999999E-2</v>
      </c>
      <c r="C4089" s="572">
        <v>30.103999999999999</v>
      </c>
    </row>
    <row r="4090" spans="1:3">
      <c r="A4090" s="571" t="s">
        <v>292</v>
      </c>
      <c r="B4090" s="572">
        <v>4.2325000000000002E-2</v>
      </c>
      <c r="C4090" s="572">
        <v>31.3203</v>
      </c>
    </row>
    <row r="4091" spans="1:3">
      <c r="A4091" s="571" t="s">
        <v>292</v>
      </c>
      <c r="B4091" s="572">
        <v>5.1730417000000001E-2</v>
      </c>
      <c r="C4091" s="572">
        <v>39.750500000000002</v>
      </c>
    </row>
    <row r="4092" spans="1:3">
      <c r="A4092" s="571" t="s">
        <v>292</v>
      </c>
      <c r="B4092" s="572">
        <v>6.3487500000000002E-2</v>
      </c>
      <c r="C4092" s="572">
        <v>38.561300000000003</v>
      </c>
    </row>
    <row r="4093" spans="1:3">
      <c r="A4093" s="571" t="s">
        <v>292</v>
      </c>
      <c r="B4093" s="572">
        <v>7.2893333000000005E-2</v>
      </c>
      <c r="C4093" s="572">
        <v>45.788600000000002</v>
      </c>
    </row>
    <row r="4094" spans="1:3">
      <c r="A4094" s="571" t="s">
        <v>292</v>
      </c>
      <c r="B4094" s="572">
        <v>8.2298750000000004E-2</v>
      </c>
      <c r="C4094" s="572">
        <v>39.785699999999999</v>
      </c>
    </row>
    <row r="4095" spans="1:3">
      <c r="A4095" s="571" t="s">
        <v>292</v>
      </c>
      <c r="B4095" s="572">
        <v>9.6407083000000005E-2</v>
      </c>
      <c r="C4095" s="572">
        <v>44.613</v>
      </c>
    </row>
    <row r="4096" spans="1:3">
      <c r="A4096" s="571" t="s">
        <v>292</v>
      </c>
      <c r="B4096" s="572">
        <v>0.1058125</v>
      </c>
      <c r="C4096" s="572">
        <v>45.826599999999999</v>
      </c>
    </row>
    <row r="4097" spans="1:3">
      <c r="A4097" s="571" t="s">
        <v>292</v>
      </c>
      <c r="B4097" s="572">
        <v>0.11521833300000001</v>
      </c>
      <c r="C4097" s="572">
        <v>44.634799999999998</v>
      </c>
    </row>
    <row r="4098" spans="1:3">
      <c r="A4098" s="571" t="s">
        <v>292</v>
      </c>
      <c r="B4098" s="572">
        <v>0.126975</v>
      </c>
      <c r="C4098" s="572">
        <v>45.851100000000002</v>
      </c>
    </row>
    <row r="4099" spans="1:3">
      <c r="A4099" s="571" t="s">
        <v>292</v>
      </c>
      <c r="B4099" s="572">
        <v>0.13638083300000001</v>
      </c>
      <c r="C4099" s="572">
        <v>53.078400000000002</v>
      </c>
    </row>
    <row r="4100" spans="1:3">
      <c r="A4100" s="571" t="s">
        <v>292</v>
      </c>
      <c r="B4100" s="572">
        <v>0.14813750000000001</v>
      </c>
      <c r="C4100" s="572">
        <v>54.294800000000002</v>
      </c>
    </row>
    <row r="4101" spans="1:3">
      <c r="A4101" s="571" t="s">
        <v>292</v>
      </c>
      <c r="B4101" s="572">
        <v>0.15519166700000001</v>
      </c>
      <c r="C4101" s="572">
        <v>59.113900000000001</v>
      </c>
    </row>
    <row r="4102" spans="1:3">
      <c r="A4102" s="571" t="s">
        <v>292</v>
      </c>
      <c r="B4102" s="572">
        <v>0.17165166700000001</v>
      </c>
      <c r="C4102" s="572">
        <v>61.538400000000003</v>
      </c>
    </row>
    <row r="4103" spans="1:3">
      <c r="A4103" s="571" t="s">
        <v>292</v>
      </c>
      <c r="B4103" s="572">
        <v>0.17870583300000001</v>
      </c>
      <c r="C4103" s="572">
        <v>55.532800000000002</v>
      </c>
    </row>
    <row r="4104" spans="1:3">
      <c r="A4104" s="571" t="s">
        <v>292</v>
      </c>
      <c r="B4104" s="572">
        <v>0.18576000000000001</v>
      </c>
      <c r="C4104" s="572">
        <v>63.9602</v>
      </c>
    </row>
    <row r="4105" spans="1:3">
      <c r="A4105" s="571" t="s">
        <v>292</v>
      </c>
      <c r="B4105" s="572">
        <v>0.19751708300000001</v>
      </c>
      <c r="C4105" s="572">
        <v>69.987499999999997</v>
      </c>
    </row>
    <row r="4106" spans="1:3">
      <c r="A4106" s="571" t="s">
        <v>292</v>
      </c>
      <c r="B4106" s="572">
        <v>0.20927375000000001</v>
      </c>
      <c r="C4106" s="572">
        <v>72.406599999999997</v>
      </c>
    </row>
    <row r="4107" spans="1:3">
      <c r="A4107" s="571" t="s">
        <v>292</v>
      </c>
      <c r="B4107" s="572">
        <v>0.21867958300000001</v>
      </c>
      <c r="C4107" s="572">
        <v>79.633899999999997</v>
      </c>
    </row>
    <row r="4108" spans="1:3">
      <c r="A4108" s="571" t="s">
        <v>292</v>
      </c>
      <c r="B4108" s="572">
        <v>0.22808500000000001</v>
      </c>
      <c r="C4108" s="572">
        <v>89.266800000000003</v>
      </c>
    </row>
    <row r="4109" spans="1:3">
      <c r="A4109" s="571" t="s">
        <v>292</v>
      </c>
      <c r="B4109" s="572">
        <v>0.24219333300000001</v>
      </c>
      <c r="C4109" s="572">
        <v>94.094099999999997</v>
      </c>
    </row>
    <row r="4110" spans="1:3">
      <c r="A4110" s="571" t="s">
        <v>292</v>
      </c>
      <c r="B4110" s="572">
        <v>0.25159874999999998</v>
      </c>
      <c r="C4110" s="572">
        <v>94.104900000000001</v>
      </c>
    </row>
    <row r="4111" spans="1:3">
      <c r="A4111" s="571" t="s">
        <v>292</v>
      </c>
      <c r="B4111" s="572">
        <v>0.26100458300000001</v>
      </c>
      <c r="C4111" s="572">
        <v>95.3185</v>
      </c>
    </row>
    <row r="4112" spans="1:3">
      <c r="A4112" s="571" t="s">
        <v>292</v>
      </c>
      <c r="B4112" s="572">
        <v>0.27276166699999999</v>
      </c>
      <c r="C4112" s="572">
        <v>89.318399999999997</v>
      </c>
    </row>
    <row r="4113" spans="1:3">
      <c r="A4113" s="571" t="s">
        <v>292</v>
      </c>
      <c r="B4113" s="572">
        <v>0.28216708299999999</v>
      </c>
      <c r="C4113" s="572">
        <v>92.9375</v>
      </c>
    </row>
    <row r="4114" spans="1:3">
      <c r="A4114" s="571" t="s">
        <v>292</v>
      </c>
      <c r="B4114" s="572">
        <v>0.29392416700000001</v>
      </c>
      <c r="C4114" s="572">
        <v>94.153800000000004</v>
      </c>
    </row>
    <row r="4115" spans="1:3">
      <c r="A4115" s="571" t="s">
        <v>292</v>
      </c>
      <c r="B4115" s="572">
        <v>0.30332958300000001</v>
      </c>
      <c r="C4115" s="572">
        <v>90.556399999999996</v>
      </c>
    </row>
    <row r="4116" spans="1:3">
      <c r="A4116" s="571" t="s">
        <v>292</v>
      </c>
      <c r="B4116" s="572">
        <v>0.31038375000000001</v>
      </c>
      <c r="C4116" s="572">
        <v>97.781099999999995</v>
      </c>
    </row>
    <row r="4117" spans="1:3">
      <c r="A4117" s="571" t="s">
        <v>292</v>
      </c>
      <c r="B4117" s="572">
        <v>0.32919500000000002</v>
      </c>
      <c r="C4117" s="572">
        <v>96.6</v>
      </c>
    </row>
    <row r="4118" spans="1:3">
      <c r="A4118" s="571" t="s">
        <v>292</v>
      </c>
      <c r="B4118" s="572">
        <v>0.33154624999999999</v>
      </c>
      <c r="C4118" s="572">
        <v>95.4</v>
      </c>
    </row>
    <row r="4119" spans="1:3">
      <c r="A4119" s="571" t="s">
        <v>292</v>
      </c>
      <c r="B4119" s="572">
        <v>0.34800583299999999</v>
      </c>
      <c r="C4119" s="572">
        <v>91.8108</v>
      </c>
    </row>
    <row r="4120" spans="1:3">
      <c r="A4120" s="571" t="s">
        <v>292</v>
      </c>
      <c r="B4120" s="572">
        <v>0.35270875000000002</v>
      </c>
      <c r="C4120" s="572">
        <v>99.032700000000006</v>
      </c>
    </row>
    <row r="4121" spans="1:3">
      <c r="A4121" s="571" t="s">
        <v>292</v>
      </c>
      <c r="B4121" s="572">
        <v>0.36211416699999999</v>
      </c>
      <c r="C4121" s="572">
        <v>100.246</v>
      </c>
    </row>
    <row r="4122" spans="1:3">
      <c r="A4122" s="571" t="s">
        <v>292</v>
      </c>
      <c r="B4122" s="572">
        <v>0.37387124999999999</v>
      </c>
      <c r="C4122" s="572">
        <v>102.66500000000001</v>
      </c>
    </row>
    <row r="4123" spans="1:3">
      <c r="A4123" s="571" t="s">
        <v>292</v>
      </c>
      <c r="B4123" s="572">
        <v>0.38562833299999999</v>
      </c>
      <c r="C4123" s="572">
        <v>100.273</v>
      </c>
    </row>
    <row r="4124" spans="1:3">
      <c r="A4124" s="571" t="s">
        <v>292</v>
      </c>
      <c r="B4124" s="572">
        <v>0.39268249999999999</v>
      </c>
      <c r="C4124" s="572">
        <v>97.876099999999994</v>
      </c>
    </row>
    <row r="4125" spans="1:3">
      <c r="A4125" s="571" t="s">
        <v>292</v>
      </c>
      <c r="B4125" s="572">
        <v>0.40443958299999999</v>
      </c>
      <c r="C4125" s="572">
        <v>99.092399999999998</v>
      </c>
    </row>
    <row r="4126" spans="1:3">
      <c r="A4126" s="571" t="s">
        <v>292</v>
      </c>
      <c r="B4126" s="572">
        <v>0.41384500000000002</v>
      </c>
      <c r="C4126" s="572">
        <v>97.900499999999994</v>
      </c>
    </row>
    <row r="4127" spans="1:3">
      <c r="A4127" s="571" t="s">
        <v>292</v>
      </c>
      <c r="B4127" s="572">
        <v>0.427954167</v>
      </c>
      <c r="C4127" s="572">
        <v>97.916799999999995</v>
      </c>
    </row>
    <row r="4128" spans="1:3">
      <c r="A4128" s="571" t="s">
        <v>292</v>
      </c>
      <c r="B4128" s="572">
        <v>0.43735833299999999</v>
      </c>
      <c r="C4128" s="572">
        <v>101.536</v>
      </c>
    </row>
    <row r="4129" spans="1:3">
      <c r="A4129" s="571" t="s">
        <v>292</v>
      </c>
      <c r="B4129" s="572">
        <v>0.44676250000000001</v>
      </c>
      <c r="C4129" s="572">
        <v>105.155</v>
      </c>
    </row>
    <row r="4130" spans="1:3">
      <c r="A4130" s="571" t="s">
        <v>292</v>
      </c>
      <c r="B4130" s="572">
        <v>0.456170833</v>
      </c>
      <c r="C4130" s="572">
        <v>103.96299999999999</v>
      </c>
    </row>
    <row r="4131" spans="1:3">
      <c r="A4131" s="571" t="s">
        <v>292</v>
      </c>
      <c r="B4131" s="572">
        <v>0.46557500000000002</v>
      </c>
      <c r="C4131" s="572">
        <v>107.58199999999999</v>
      </c>
    </row>
    <row r="4132" spans="1:3">
      <c r="A4132" s="571" t="s">
        <v>292</v>
      </c>
      <c r="B4132" s="572">
        <v>0.47733333300000003</v>
      </c>
      <c r="C4132" s="572">
        <v>100.379</v>
      </c>
    </row>
    <row r="4133" spans="1:3">
      <c r="A4133" s="571" t="s">
        <v>292</v>
      </c>
      <c r="B4133" s="572">
        <v>0.48673749999999999</v>
      </c>
      <c r="C4133" s="572">
        <v>103.998</v>
      </c>
    </row>
    <row r="4134" spans="1:3">
      <c r="A4134" s="571" t="s">
        <v>292</v>
      </c>
      <c r="B4134" s="572">
        <v>0.498495833</v>
      </c>
      <c r="C4134" s="572">
        <v>101.607</v>
      </c>
    </row>
    <row r="4135" spans="1:3">
      <c r="A4135" s="571" t="s">
        <v>292</v>
      </c>
      <c r="B4135" s="572">
        <v>0.50790000000000002</v>
      </c>
      <c r="C4135" s="572">
        <v>101.617</v>
      </c>
    </row>
    <row r="4136" spans="1:3">
      <c r="A4136" s="571" t="s">
        <v>292</v>
      </c>
      <c r="B4136" s="572">
        <v>0.52200833300000005</v>
      </c>
      <c r="C4136" s="572">
        <v>104.039</v>
      </c>
    </row>
    <row r="4137" spans="1:3">
      <c r="A4137" s="571" t="s">
        <v>292</v>
      </c>
      <c r="B4137" s="572">
        <v>0.53141666700000001</v>
      </c>
      <c r="C4137" s="572">
        <v>107.658</v>
      </c>
    </row>
    <row r="4138" spans="1:3">
      <c r="A4138" s="571" t="s">
        <v>292</v>
      </c>
      <c r="B4138" s="572">
        <v>0.54317083300000002</v>
      </c>
      <c r="C4138" s="572">
        <v>101.658</v>
      </c>
    </row>
    <row r="4139" spans="1:3">
      <c r="A4139" s="571" t="s">
        <v>292</v>
      </c>
      <c r="B4139" s="572">
        <v>0.55257916699999998</v>
      </c>
      <c r="C4139" s="572">
        <v>101.669</v>
      </c>
    </row>
    <row r="4140" spans="1:3">
      <c r="A4140" s="571" t="s">
        <v>292</v>
      </c>
      <c r="B4140" s="572">
        <v>0.56198333300000003</v>
      </c>
      <c r="C4140" s="572">
        <v>107.694</v>
      </c>
    </row>
    <row r="4141" spans="1:3">
      <c r="A4141" s="571" t="s">
        <v>292</v>
      </c>
      <c r="B4141" s="572">
        <v>0.57609166700000003</v>
      </c>
      <c r="C4141" s="572">
        <v>107.71</v>
      </c>
    </row>
    <row r="4142" spans="1:3">
      <c r="A4142" s="571" t="s">
        <v>292</v>
      </c>
      <c r="B4142" s="572">
        <v>0.59019999999999995</v>
      </c>
      <c r="C4142" s="572">
        <v>107.726</v>
      </c>
    </row>
    <row r="4143" spans="1:3">
      <c r="A4143" s="571" t="s">
        <v>292</v>
      </c>
      <c r="B4143" s="572">
        <v>0.60195833300000001</v>
      </c>
      <c r="C4143" s="572">
        <v>107.74</v>
      </c>
    </row>
    <row r="4144" spans="1:3">
      <c r="A4144" s="571" t="s">
        <v>292</v>
      </c>
      <c r="B4144" s="572">
        <v>0.61606666700000001</v>
      </c>
      <c r="C4144" s="572">
        <v>107.756</v>
      </c>
    </row>
    <row r="4145" spans="1:3">
      <c r="A4145" s="571" t="s">
        <v>292</v>
      </c>
      <c r="B4145" s="572">
        <v>0.62782083300000002</v>
      </c>
      <c r="C4145" s="572">
        <v>107.77</v>
      </c>
    </row>
    <row r="4146" spans="1:3">
      <c r="A4146" s="571" t="s">
        <v>292</v>
      </c>
      <c r="B4146" s="572">
        <v>0.64428333299999996</v>
      </c>
      <c r="C4146" s="572">
        <v>108.991</v>
      </c>
    </row>
    <row r="4147" spans="1:3">
      <c r="A4147" s="571" t="s">
        <v>292</v>
      </c>
      <c r="B4147" s="572">
        <v>0.66074166700000003</v>
      </c>
      <c r="C4147" s="572">
        <v>106.605</v>
      </c>
    </row>
    <row r="4148" spans="1:3">
      <c r="A4148" s="571" t="s">
        <v>292</v>
      </c>
      <c r="B4148" s="572">
        <v>0.68190416700000001</v>
      </c>
      <c r="C4148" s="572">
        <v>104.224</v>
      </c>
    </row>
    <row r="4149" spans="1:3">
      <c r="A4149" s="571" t="s">
        <v>292</v>
      </c>
      <c r="B4149" s="572">
        <v>0.69130833300000005</v>
      </c>
      <c r="C4149" s="572">
        <v>106.64</v>
      </c>
    </row>
    <row r="4150" spans="1:3">
      <c r="A4150" s="571" t="s">
        <v>292</v>
      </c>
      <c r="B4150" s="572">
        <v>0.70306666699999998</v>
      </c>
      <c r="C4150" s="572">
        <v>106.654</v>
      </c>
    </row>
    <row r="4151" spans="1:3">
      <c r="A4151" s="571" t="s">
        <v>292</v>
      </c>
      <c r="B4151" s="572">
        <v>0.71482500000000004</v>
      </c>
      <c r="C4151" s="572">
        <v>109.07299999999999</v>
      </c>
    </row>
    <row r="4152" spans="1:3">
      <c r="A4152" s="571" t="s">
        <v>292</v>
      </c>
      <c r="B4152" s="572">
        <v>0.73128333300000004</v>
      </c>
      <c r="C4152" s="572">
        <v>105.48399999999999</v>
      </c>
    </row>
    <row r="4153" spans="1:3">
      <c r="A4153" s="571" t="s">
        <v>293</v>
      </c>
      <c r="B4153" s="572">
        <v>2.3513919999999999E-3</v>
      </c>
      <c r="C4153" s="572">
        <v>1.2000299999999999</v>
      </c>
    </row>
    <row r="4154" spans="1:3">
      <c r="A4154" s="571" t="s">
        <v>293</v>
      </c>
      <c r="B4154" s="572">
        <v>9.4055830000000003E-3</v>
      </c>
      <c r="C4154" s="572">
        <v>37.296100000000003</v>
      </c>
    </row>
    <row r="4155" spans="1:3">
      <c r="A4155" s="571" t="s">
        <v>293</v>
      </c>
      <c r="B4155" s="572">
        <v>2.1162541999999999E-2</v>
      </c>
      <c r="C4155" s="572">
        <v>64.972899999999996</v>
      </c>
    </row>
    <row r="4156" spans="1:3">
      <c r="A4156" s="571" t="s">
        <v>293</v>
      </c>
      <c r="B4156" s="572">
        <v>2.8216708E-2</v>
      </c>
      <c r="C4156" s="572">
        <v>86.630499999999998</v>
      </c>
    </row>
    <row r="4157" spans="1:3">
      <c r="A4157" s="571" t="s">
        <v>293</v>
      </c>
      <c r="B4157" s="572">
        <v>4.2325000000000002E-2</v>
      </c>
      <c r="C4157" s="572">
        <v>107.09399999999999</v>
      </c>
    </row>
    <row r="4158" spans="1:3">
      <c r="A4158" s="571" t="s">
        <v>293</v>
      </c>
      <c r="B4158" s="572">
        <v>5.1730417000000001E-2</v>
      </c>
      <c r="C4158" s="572">
        <v>127.551</v>
      </c>
    </row>
    <row r="4159" spans="1:3">
      <c r="A4159" s="571" t="s">
        <v>293</v>
      </c>
      <c r="B4159" s="572">
        <v>6.1136250000000003E-2</v>
      </c>
      <c r="C4159" s="572">
        <v>143.19800000000001</v>
      </c>
    </row>
    <row r="4160" spans="1:3">
      <c r="A4160" s="571" t="s">
        <v>293</v>
      </c>
      <c r="B4160" s="572">
        <v>7.0541667000000002E-2</v>
      </c>
      <c r="C4160" s="572">
        <v>150.42500000000001</v>
      </c>
    </row>
    <row r="4161" spans="1:3">
      <c r="A4161" s="571" t="s">
        <v>293</v>
      </c>
      <c r="B4161" s="572">
        <v>8.4650000000000003E-2</v>
      </c>
      <c r="C4161" s="572">
        <v>160.06299999999999</v>
      </c>
    </row>
    <row r="4162" spans="1:3">
      <c r="A4162" s="571" t="s">
        <v>293</v>
      </c>
      <c r="B4162" s="572">
        <v>9.1704167000000003E-2</v>
      </c>
      <c r="C4162" s="572">
        <v>167.28800000000001</v>
      </c>
    </row>
    <row r="4163" spans="1:3">
      <c r="A4163" s="571" t="s">
        <v>293</v>
      </c>
      <c r="B4163" s="572">
        <v>0.11756958300000001</v>
      </c>
      <c r="C4163" s="572">
        <v>176.94</v>
      </c>
    </row>
    <row r="4164" spans="1:3">
      <c r="A4164" s="571" t="s">
        <v>293</v>
      </c>
      <c r="B4164" s="572">
        <v>0.126975</v>
      </c>
      <c r="C4164" s="572">
        <v>181.762</v>
      </c>
    </row>
    <row r="4165" spans="1:3">
      <c r="A4165" s="571" t="s">
        <v>293</v>
      </c>
      <c r="B4165" s="572">
        <v>0.15284041700000001</v>
      </c>
      <c r="C4165" s="572">
        <v>186.60300000000001</v>
      </c>
    </row>
    <row r="4166" spans="1:3">
      <c r="A4166" s="571" t="s">
        <v>293</v>
      </c>
      <c r="B4166" s="572">
        <v>0.17165166700000001</v>
      </c>
      <c r="C4166" s="572">
        <v>193.84100000000001</v>
      </c>
    </row>
    <row r="4167" spans="1:3">
      <c r="A4167" s="571" t="s">
        <v>293</v>
      </c>
      <c r="B4167" s="572">
        <v>0.18105708300000001</v>
      </c>
      <c r="C4167" s="572">
        <v>195.054</v>
      </c>
    </row>
    <row r="4168" spans="1:3">
      <c r="A4168" s="571" t="s">
        <v>293</v>
      </c>
      <c r="B4168" s="572">
        <v>0.20457125000000001</v>
      </c>
      <c r="C4168" s="572">
        <v>199.893</v>
      </c>
    </row>
    <row r="4169" spans="1:3">
      <c r="A4169" s="571" t="s">
        <v>293</v>
      </c>
      <c r="B4169" s="572">
        <v>0.21397666700000001</v>
      </c>
      <c r="C4169" s="572">
        <v>208.32300000000001</v>
      </c>
    </row>
    <row r="4170" spans="1:3">
      <c r="A4170" s="571" t="s">
        <v>293</v>
      </c>
      <c r="B4170" s="572">
        <v>0.22808500000000001</v>
      </c>
      <c r="C4170" s="572">
        <v>211.947</v>
      </c>
    </row>
    <row r="4171" spans="1:3">
      <c r="A4171" s="571" t="s">
        <v>293</v>
      </c>
      <c r="B4171" s="572">
        <v>0.24454458300000001</v>
      </c>
      <c r="C4171" s="572">
        <v>219.18299999999999</v>
      </c>
    </row>
    <row r="4172" spans="1:3">
      <c r="A4172" s="571" t="s">
        <v>293</v>
      </c>
      <c r="B4172" s="572">
        <v>0.25159874999999998</v>
      </c>
      <c r="C4172" s="572">
        <v>226.40700000000001</v>
      </c>
    </row>
    <row r="4173" spans="1:3">
      <c r="A4173" s="571" t="s">
        <v>293</v>
      </c>
      <c r="B4173" s="572">
        <v>0.26335583299999998</v>
      </c>
      <c r="C4173" s="572">
        <v>228.82599999999999</v>
      </c>
    </row>
    <row r="4174" spans="1:3">
      <c r="A4174" s="571" t="s">
        <v>293</v>
      </c>
      <c r="B4174" s="572">
        <v>0.27276166699999999</v>
      </c>
      <c r="C4174" s="572">
        <v>230.04</v>
      </c>
    </row>
    <row r="4175" spans="1:3">
      <c r="A4175" s="571" t="s">
        <v>293</v>
      </c>
      <c r="B4175" s="572">
        <v>0.28451833300000001</v>
      </c>
      <c r="C4175" s="572">
        <v>242.08099999999999</v>
      </c>
    </row>
    <row r="4176" spans="1:3">
      <c r="A4176" s="571" t="s">
        <v>293</v>
      </c>
      <c r="B4176" s="572">
        <v>0.28922124999999999</v>
      </c>
      <c r="C4176" s="572">
        <v>245.69499999999999</v>
      </c>
    </row>
    <row r="4177" spans="1:3">
      <c r="A4177" s="571" t="s">
        <v>293</v>
      </c>
      <c r="B4177" s="572">
        <v>0.30568083299999999</v>
      </c>
      <c r="C4177" s="572">
        <v>249.322</v>
      </c>
    </row>
    <row r="4178" spans="1:3">
      <c r="A4178" s="571" t="s">
        <v>293</v>
      </c>
      <c r="B4178" s="572">
        <v>0.32449208299999999</v>
      </c>
      <c r="C4178" s="572">
        <v>251.749</v>
      </c>
    </row>
    <row r="4179" spans="1:3">
      <c r="A4179" s="571" t="s">
        <v>293</v>
      </c>
      <c r="B4179" s="572">
        <v>0.33860041699999999</v>
      </c>
      <c r="C4179" s="572">
        <v>251.76599999999999</v>
      </c>
    </row>
    <row r="4180" spans="1:3">
      <c r="A4180" s="571" t="s">
        <v>293</v>
      </c>
      <c r="B4180" s="572">
        <v>0.35976291700000002</v>
      </c>
      <c r="C4180" s="572">
        <v>256.601</v>
      </c>
    </row>
    <row r="4181" spans="1:3">
      <c r="A4181" s="571" t="s">
        <v>293</v>
      </c>
      <c r="B4181" s="572">
        <v>0.37152000000000002</v>
      </c>
      <c r="C4181" s="572">
        <v>259.02</v>
      </c>
    </row>
    <row r="4182" spans="1:3">
      <c r="A4182" s="571" t="s">
        <v>293</v>
      </c>
      <c r="B4182" s="572">
        <v>0.38797958300000002</v>
      </c>
      <c r="C4182" s="572">
        <v>262.64699999999999</v>
      </c>
    </row>
    <row r="4183" spans="1:3">
      <c r="A4183" s="571" t="s">
        <v>293</v>
      </c>
      <c r="B4183" s="572">
        <v>0.40679083300000002</v>
      </c>
      <c r="C4183" s="572">
        <v>265.07499999999999</v>
      </c>
    </row>
    <row r="4184" spans="1:3">
      <c r="A4184" s="571" t="s">
        <v>293</v>
      </c>
      <c r="B4184" s="572">
        <v>0.42325000000000002</v>
      </c>
      <c r="C4184" s="572">
        <v>266.29599999999999</v>
      </c>
    </row>
    <row r="4185" spans="1:3">
      <c r="A4185" s="571" t="s">
        <v>293</v>
      </c>
      <c r="B4185" s="572">
        <v>0.43970833300000001</v>
      </c>
      <c r="C4185" s="572">
        <v>266.315</v>
      </c>
    </row>
    <row r="4186" spans="1:3">
      <c r="A4186" s="571" t="s">
        <v>293</v>
      </c>
      <c r="B4186" s="572">
        <v>0.44911666700000002</v>
      </c>
      <c r="C4186" s="572">
        <v>261.51499999999999</v>
      </c>
    </row>
    <row r="4187" spans="1:3">
      <c r="A4187" s="571" t="s">
        <v>293</v>
      </c>
      <c r="B4187" s="572">
        <v>0.46792499999999998</v>
      </c>
      <c r="C4187" s="572">
        <v>265.14499999999998</v>
      </c>
    </row>
    <row r="4188" spans="1:3">
      <c r="A4188" s="571" t="s">
        <v>293</v>
      </c>
      <c r="B4188" s="572">
        <v>0.48203333300000001</v>
      </c>
      <c r="C4188" s="572">
        <v>268.77</v>
      </c>
    </row>
    <row r="4189" spans="1:3">
      <c r="A4189" s="571" t="s">
        <v>293</v>
      </c>
      <c r="B4189" s="572">
        <v>0.50319583300000004</v>
      </c>
      <c r="C4189" s="572">
        <v>268.79399999999998</v>
      </c>
    </row>
    <row r="4190" spans="1:3">
      <c r="A4190" s="571" t="s">
        <v>293</v>
      </c>
      <c r="B4190" s="572">
        <v>0.51024999999999998</v>
      </c>
      <c r="C4190" s="572">
        <v>263.99099999999999</v>
      </c>
    </row>
    <row r="4191" spans="1:3">
      <c r="A4191" s="571" t="s">
        <v>293</v>
      </c>
      <c r="B4191" s="572">
        <v>0.51965833299999997</v>
      </c>
      <c r="C4191" s="572">
        <v>271.21899999999999</v>
      </c>
    </row>
    <row r="4192" spans="1:3">
      <c r="A4192" s="571" t="s">
        <v>293</v>
      </c>
      <c r="B4192" s="572">
        <v>0.53376666699999997</v>
      </c>
      <c r="C4192" s="572">
        <v>273.64</v>
      </c>
    </row>
    <row r="4193" spans="1:3">
      <c r="A4193" s="571" t="s">
        <v>293</v>
      </c>
      <c r="B4193" s="572">
        <v>0.55257916699999998</v>
      </c>
      <c r="C4193" s="572">
        <v>273.66199999999998</v>
      </c>
    </row>
    <row r="4194" spans="1:3">
      <c r="A4194" s="571" t="s">
        <v>293</v>
      </c>
      <c r="B4194" s="572">
        <v>0.56668750000000001</v>
      </c>
      <c r="C4194" s="572">
        <v>270.07</v>
      </c>
    </row>
    <row r="4195" spans="1:3">
      <c r="A4195" s="571" t="s">
        <v>293</v>
      </c>
      <c r="B4195" s="572">
        <v>0.58079583300000004</v>
      </c>
      <c r="C4195" s="572">
        <v>277.303</v>
      </c>
    </row>
    <row r="4196" spans="1:3">
      <c r="A4196" s="571" t="s">
        <v>293</v>
      </c>
      <c r="B4196" s="572">
        <v>0.59255000000000002</v>
      </c>
      <c r="C4196" s="572">
        <v>277.31599999999997</v>
      </c>
    </row>
    <row r="4197" spans="1:3">
      <c r="A4197" s="571" t="s">
        <v>293</v>
      </c>
      <c r="B4197" s="572">
        <v>0.60665833300000005</v>
      </c>
      <c r="C4197" s="572">
        <v>274.92700000000002</v>
      </c>
    </row>
    <row r="4198" spans="1:3">
      <c r="A4198" s="571" t="s">
        <v>293</v>
      </c>
      <c r="B4198" s="572">
        <v>0.61841666699999998</v>
      </c>
      <c r="C4198" s="572">
        <v>276.14400000000001</v>
      </c>
    </row>
    <row r="4199" spans="1:3">
      <c r="A4199" s="571" t="s">
        <v>293</v>
      </c>
      <c r="B4199" s="572">
        <v>0.64428333299999996</v>
      </c>
      <c r="C4199" s="572">
        <v>283.39</v>
      </c>
    </row>
    <row r="4200" spans="1:3">
      <c r="A4200" s="571" t="s">
        <v>293</v>
      </c>
      <c r="B4200" s="572">
        <v>0.66074166700000003</v>
      </c>
      <c r="C4200" s="572">
        <v>283.40899999999999</v>
      </c>
    </row>
    <row r="4201" spans="1:3">
      <c r="A4201" s="571" t="s">
        <v>293</v>
      </c>
      <c r="B4201" s="572">
        <v>0.67955416700000004</v>
      </c>
      <c r="C4201" s="572">
        <v>282.22800000000001</v>
      </c>
    </row>
    <row r="4202" spans="1:3">
      <c r="A4202" s="571" t="s">
        <v>293</v>
      </c>
      <c r="B4202" s="572">
        <v>0.69601250000000003</v>
      </c>
      <c r="C4202" s="572">
        <v>282.24700000000001</v>
      </c>
    </row>
    <row r="4203" spans="1:3">
      <c r="A4203" s="571" t="s">
        <v>293</v>
      </c>
      <c r="B4203" s="572">
        <v>0.71482500000000004</v>
      </c>
      <c r="C4203" s="572">
        <v>287.08</v>
      </c>
    </row>
    <row r="4204" spans="1:3">
      <c r="A4204" s="571" t="s">
        <v>293</v>
      </c>
      <c r="B4204" s="572">
        <v>0.733633333</v>
      </c>
      <c r="C4204" s="572">
        <v>287.101</v>
      </c>
    </row>
    <row r="4205" spans="1:3">
      <c r="A4205" s="571" t="s">
        <v>293</v>
      </c>
      <c r="B4205" s="572">
        <v>0.75949999999999995</v>
      </c>
      <c r="C4205" s="572">
        <v>295.55</v>
      </c>
    </row>
    <row r="4206" spans="1:3">
      <c r="A4206" s="571" t="s">
        <v>293</v>
      </c>
      <c r="B4206" s="572">
        <v>0.76890416699999997</v>
      </c>
      <c r="C4206" s="572">
        <v>293.15600000000001</v>
      </c>
    </row>
    <row r="4207" spans="1:3">
      <c r="A4207" s="571" t="s">
        <v>293</v>
      </c>
      <c r="B4207" s="572">
        <v>0.79477083299999995</v>
      </c>
      <c r="C4207" s="572">
        <v>297.99700000000001</v>
      </c>
    </row>
    <row r="4208" spans="1:3">
      <c r="A4208" s="571" t="s">
        <v>293</v>
      </c>
      <c r="B4208" s="572">
        <v>0.81122916700000003</v>
      </c>
      <c r="C4208" s="572">
        <v>294.40699999999998</v>
      </c>
    </row>
    <row r="4209" spans="1:3">
      <c r="A4209" s="571" t="s">
        <v>293</v>
      </c>
      <c r="B4209" s="572">
        <v>0.82298749999999998</v>
      </c>
      <c r="C4209" s="572">
        <v>299.23200000000003</v>
      </c>
    </row>
    <row r="4210" spans="1:3">
      <c r="A4210" s="571" t="s">
        <v>293</v>
      </c>
      <c r="B4210" s="572">
        <v>0.83709583300000001</v>
      </c>
      <c r="C4210" s="572">
        <v>301.654</v>
      </c>
    </row>
    <row r="4211" spans="1:3">
      <c r="A4211" s="571" t="s">
        <v>294</v>
      </c>
      <c r="B4211" s="572">
        <v>2.5274399999999999E-2</v>
      </c>
      <c r="C4211" s="572">
        <v>13.2842</v>
      </c>
    </row>
    <row r="4212" spans="1:3">
      <c r="A4212" s="571" t="s">
        <v>294</v>
      </c>
      <c r="B4212" s="572">
        <v>0.66345399999999999</v>
      </c>
      <c r="C4212" s="572">
        <v>48.711399999999998</v>
      </c>
    </row>
    <row r="4213" spans="1:3">
      <c r="A4213" s="571" t="s">
        <v>294</v>
      </c>
      <c r="B4213" s="572">
        <v>4.2145099999999998</v>
      </c>
      <c r="C4213" s="572">
        <v>115.148</v>
      </c>
    </row>
    <row r="4214" spans="1:3">
      <c r="A4214" s="571" t="s">
        <v>294</v>
      </c>
      <c r="B4214" s="572">
        <v>5.4108400000000003</v>
      </c>
      <c r="C4214" s="572">
        <v>143.935</v>
      </c>
    </row>
    <row r="4215" spans="1:3">
      <c r="A4215" s="571" t="s">
        <v>294</v>
      </c>
      <c r="B4215" s="572">
        <v>5.9542400000000004</v>
      </c>
      <c r="C4215" s="572">
        <v>129.547</v>
      </c>
    </row>
    <row r="4216" spans="1:3">
      <c r="A4216" s="571" t="s">
        <v>294</v>
      </c>
      <c r="B4216" s="572">
        <v>7.1421400000000004</v>
      </c>
      <c r="C4216" s="572">
        <v>153.90600000000001</v>
      </c>
    </row>
    <row r="4217" spans="1:3">
      <c r="A4217" s="571" t="s">
        <v>294</v>
      </c>
      <c r="B4217" s="572">
        <v>10.008699999999999</v>
      </c>
      <c r="C4217" s="572">
        <v>160.56100000000001</v>
      </c>
    </row>
    <row r="4218" spans="1:3">
      <c r="A4218" s="571" t="s">
        <v>294</v>
      </c>
      <c r="B4218" s="572">
        <v>13.4565</v>
      </c>
      <c r="C4218" s="572">
        <v>172.75299999999999</v>
      </c>
    </row>
    <row r="4219" spans="1:3">
      <c r="A4219" s="571" t="s">
        <v>294</v>
      </c>
      <c r="B4219" s="572">
        <v>18.027000000000001</v>
      </c>
      <c r="C4219" s="572">
        <v>174.988</v>
      </c>
    </row>
    <row r="4220" spans="1:3">
      <c r="A4220" s="571" t="s">
        <v>294</v>
      </c>
      <c r="B4220" s="572">
        <v>19.747800000000002</v>
      </c>
      <c r="C4220" s="572">
        <v>179.423</v>
      </c>
    </row>
    <row r="4221" spans="1:3">
      <c r="A4221" s="571" t="s">
        <v>294</v>
      </c>
      <c r="B4221" s="572">
        <v>24.895299999999999</v>
      </c>
      <c r="C4221" s="572">
        <v>184.98099999999999</v>
      </c>
    </row>
    <row r="4222" spans="1:3">
      <c r="A4222" s="571" t="s">
        <v>294</v>
      </c>
      <c r="B4222" s="572">
        <v>28.897099999999998</v>
      </c>
      <c r="C4222" s="572">
        <v>188.32</v>
      </c>
    </row>
    <row r="4223" spans="1:3">
      <c r="A4223" s="571" t="s">
        <v>294</v>
      </c>
      <c r="B4223" s="572">
        <v>34.638599999999997</v>
      </c>
      <c r="C4223" s="572">
        <v>206.05699999999999</v>
      </c>
    </row>
    <row r="4224" spans="1:3">
      <c r="A4224" s="571" t="s">
        <v>294</v>
      </c>
      <c r="B4224" s="572">
        <v>39.786200000000001</v>
      </c>
      <c r="C4224" s="572">
        <v>211.61500000000001</v>
      </c>
    </row>
    <row r="4225" spans="1:3">
      <c r="A4225" s="571" t="s">
        <v>294</v>
      </c>
      <c r="B4225" s="572">
        <v>45.498199999999997</v>
      </c>
      <c r="C4225" s="572">
        <v>213.85499999999999</v>
      </c>
    </row>
    <row r="4226" spans="1:3">
      <c r="A4226" s="571" t="s">
        <v>294</v>
      </c>
      <c r="B4226" s="572">
        <v>50.0623</v>
      </c>
      <c r="C4226" s="572">
        <v>212.768</v>
      </c>
    </row>
    <row r="4227" spans="1:3">
      <c r="A4227" s="571" t="s">
        <v>294</v>
      </c>
      <c r="B4227" s="572">
        <v>60.344799999999999</v>
      </c>
      <c r="C4227" s="572">
        <v>217.24100000000001</v>
      </c>
    </row>
    <row r="4228" spans="1:3">
      <c r="A4228" s="571" t="s">
        <v>294</v>
      </c>
      <c r="B4228" s="572">
        <v>70.052300000000002</v>
      </c>
      <c r="C4228" s="572">
        <v>219.49799999999999</v>
      </c>
    </row>
    <row r="4229" spans="1:3">
      <c r="A4229" s="571" t="s">
        <v>294</v>
      </c>
      <c r="B4229" s="572">
        <v>80.345299999999995</v>
      </c>
      <c r="C4229" s="572">
        <v>229.50700000000001</v>
      </c>
    </row>
    <row r="4230" spans="1:3">
      <c r="A4230" s="571" t="s">
        <v>294</v>
      </c>
      <c r="B4230" s="572">
        <v>89.469399999999993</v>
      </c>
      <c r="C4230" s="572">
        <v>225.119</v>
      </c>
    </row>
    <row r="4231" spans="1:3">
      <c r="A4231" s="573" t="s">
        <v>294</v>
      </c>
      <c r="B4231" s="574">
        <v>100.35</v>
      </c>
      <c r="C4231" s="574">
        <v>243.98699999999999</v>
      </c>
    </row>
    <row r="4232" spans="1:3">
      <c r="A4232" s="573" t="s">
        <v>294</v>
      </c>
      <c r="B4232" s="574">
        <v>119.788</v>
      </c>
      <c r="C4232" s="574">
        <v>260.678</v>
      </c>
    </row>
    <row r="4233" spans="1:3">
      <c r="A4233" s="573" t="s">
        <v>294</v>
      </c>
      <c r="B4233" s="574">
        <v>139.77000000000001</v>
      </c>
      <c r="C4233" s="574">
        <v>262.98099999999999</v>
      </c>
    </row>
    <row r="4234" spans="1:3">
      <c r="A4234" s="573" t="s">
        <v>294</v>
      </c>
      <c r="B4234" s="574">
        <v>159.75800000000001</v>
      </c>
      <c r="C4234" s="574">
        <v>268.60399999999998</v>
      </c>
    </row>
    <row r="4235" spans="1:3">
      <c r="A4235" s="573" t="s">
        <v>294</v>
      </c>
      <c r="B4235" s="574">
        <v>180.304</v>
      </c>
      <c r="C4235" s="574">
        <v>267.58800000000002</v>
      </c>
    </row>
    <row r="4236" spans="1:3">
      <c r="A4236" s="573" t="s">
        <v>294</v>
      </c>
      <c r="B4236" s="574">
        <v>200.85599999999999</v>
      </c>
      <c r="C4236" s="574">
        <v>269.89299999999997</v>
      </c>
    </row>
    <row r="4237" spans="1:3">
      <c r="A4237" s="571" t="s">
        <v>295</v>
      </c>
      <c r="B4237" s="572">
        <v>0.69504699999999997</v>
      </c>
      <c r="C4237" s="572">
        <v>8.8612199999999994</v>
      </c>
    </row>
    <row r="4238" spans="1:3">
      <c r="A4238" s="571" t="s">
        <v>295</v>
      </c>
      <c r="B4238" s="572">
        <v>1.1584099999999999</v>
      </c>
      <c r="C4238" s="572">
        <v>65.316699999999997</v>
      </c>
    </row>
    <row r="4239" spans="1:3">
      <c r="A4239" s="571" t="s">
        <v>295</v>
      </c>
      <c r="B4239" s="572">
        <v>1.9271799999999999</v>
      </c>
      <c r="C4239" s="572">
        <v>112.92400000000001</v>
      </c>
    </row>
    <row r="4240" spans="1:3">
      <c r="A4240" s="571" t="s">
        <v>295</v>
      </c>
      <c r="B4240" s="572">
        <v>3.1108600000000002</v>
      </c>
      <c r="C4240" s="572">
        <v>135.06899999999999</v>
      </c>
    </row>
    <row r="4241" spans="1:3">
      <c r="A4241" s="571" t="s">
        <v>295</v>
      </c>
      <c r="B4241" s="572">
        <v>4.2819099999999999</v>
      </c>
      <c r="C4241" s="572">
        <v>150.572</v>
      </c>
    </row>
    <row r="4242" spans="1:3">
      <c r="A4242" s="571" t="s">
        <v>295</v>
      </c>
      <c r="B4242" s="572">
        <v>4.88429</v>
      </c>
      <c r="C4242" s="572">
        <v>167.18</v>
      </c>
    </row>
    <row r="4243" spans="1:3">
      <c r="A4243" s="571" t="s">
        <v>295</v>
      </c>
      <c r="B4243" s="572">
        <v>4.8990299999999998</v>
      </c>
      <c r="C4243" s="572">
        <v>174.929</v>
      </c>
    </row>
    <row r="4244" spans="1:3">
      <c r="A4244" s="571" t="s">
        <v>295</v>
      </c>
      <c r="B4244" s="572">
        <v>7.2053200000000004</v>
      </c>
      <c r="C4244" s="572">
        <v>187.11699999999999</v>
      </c>
    </row>
    <row r="4245" spans="1:3">
      <c r="A4245" s="571" t="s">
        <v>295</v>
      </c>
      <c r="B4245" s="572">
        <v>10.069800000000001</v>
      </c>
      <c r="C4245" s="572">
        <v>192.66499999999999</v>
      </c>
    </row>
    <row r="4246" spans="1:3">
      <c r="A4246" s="571" t="s">
        <v>295</v>
      </c>
      <c r="B4246" s="572">
        <v>14.067299999999999</v>
      </c>
      <c r="C4246" s="572">
        <v>193.78899999999999</v>
      </c>
    </row>
    <row r="4247" spans="1:3">
      <c r="A4247" s="571" t="s">
        <v>295</v>
      </c>
      <c r="B4247" s="572">
        <v>17.500399999999999</v>
      </c>
      <c r="C4247" s="572">
        <v>198.232</v>
      </c>
    </row>
    <row r="4248" spans="1:3">
      <c r="A4248" s="571" t="s">
        <v>295</v>
      </c>
      <c r="B4248" s="572">
        <v>20.354299999999999</v>
      </c>
      <c r="C4248" s="572">
        <v>198.245</v>
      </c>
    </row>
    <row r="4249" spans="1:3">
      <c r="A4249" s="571" t="s">
        <v>295</v>
      </c>
      <c r="B4249" s="572">
        <v>24.353999999999999</v>
      </c>
      <c r="C4249" s="572">
        <v>200.477</v>
      </c>
    </row>
    <row r="4250" spans="1:3">
      <c r="A4250" s="571" t="s">
        <v>295</v>
      </c>
      <c r="B4250" s="572">
        <v>28.9224</v>
      </c>
      <c r="C4250" s="572">
        <v>201.60400000000001</v>
      </c>
    </row>
    <row r="4251" spans="1:3">
      <c r="A4251" s="571" t="s">
        <v>295</v>
      </c>
      <c r="B4251" s="572">
        <v>34.619700000000002</v>
      </c>
      <c r="C4251" s="572">
        <v>196.09399999999999</v>
      </c>
    </row>
    <row r="4252" spans="1:3">
      <c r="A4252" s="571" t="s">
        <v>295</v>
      </c>
      <c r="B4252" s="572">
        <v>39.765099999999997</v>
      </c>
      <c r="C4252" s="572">
        <v>200.54499999999999</v>
      </c>
    </row>
    <row r="4253" spans="1:3">
      <c r="A4253" s="571" t="s">
        <v>295</v>
      </c>
      <c r="B4253" s="572">
        <v>45.4666</v>
      </c>
      <c r="C4253" s="572">
        <v>197.249</v>
      </c>
    </row>
    <row r="4254" spans="1:3">
      <c r="A4254" s="571" t="s">
        <v>295</v>
      </c>
      <c r="B4254" s="572">
        <v>50.61</v>
      </c>
      <c r="C4254" s="572">
        <v>200.59299999999999</v>
      </c>
    </row>
    <row r="4255" spans="1:3">
      <c r="A4255" s="571" t="s">
        <v>295</v>
      </c>
      <c r="B4255" s="572">
        <v>60.313200000000002</v>
      </c>
      <c r="C4255" s="572">
        <v>200.636</v>
      </c>
    </row>
    <row r="4256" spans="1:3">
      <c r="A4256" s="571" t="s">
        <v>295</v>
      </c>
      <c r="B4256" s="572">
        <v>70.031300000000002</v>
      </c>
      <c r="C4256" s="572">
        <v>208.428</v>
      </c>
    </row>
    <row r="4257" spans="1:3">
      <c r="A4257" s="571" t="s">
        <v>295</v>
      </c>
      <c r="B4257" s="572">
        <v>79.7577</v>
      </c>
      <c r="C4257" s="572">
        <v>220.648</v>
      </c>
    </row>
    <row r="4258" spans="1:3">
      <c r="A4258" s="571" t="s">
        <v>295</v>
      </c>
      <c r="B4258" s="572">
        <v>89.479900000000001</v>
      </c>
      <c r="C4258" s="572">
        <v>230.655</v>
      </c>
    </row>
    <row r="4259" spans="1:3">
      <c r="A4259" s="573" t="s">
        <v>295</v>
      </c>
      <c r="B4259" s="574">
        <v>100.333</v>
      </c>
      <c r="C4259" s="574">
        <v>235.131</v>
      </c>
    </row>
    <row r="4260" spans="1:3">
      <c r="A4260" s="573" t="s">
        <v>295</v>
      </c>
      <c r="B4260" s="574">
        <v>119.752</v>
      </c>
      <c r="C4260" s="574">
        <v>241.85900000000001</v>
      </c>
    </row>
    <row r="4261" spans="1:3">
      <c r="A4261" s="573" t="s">
        <v>295</v>
      </c>
      <c r="B4261" s="574">
        <v>140.31299999999999</v>
      </c>
      <c r="C4261" s="574">
        <v>248.59200000000001</v>
      </c>
    </row>
    <row r="4262" spans="1:3">
      <c r="A4262" s="573" t="s">
        <v>295</v>
      </c>
      <c r="B4262" s="574">
        <v>159.72</v>
      </c>
      <c r="C4262" s="574">
        <v>248.678</v>
      </c>
    </row>
    <row r="4263" spans="1:3">
      <c r="A4263" s="573" t="s">
        <v>295</v>
      </c>
      <c r="B4263" s="574">
        <v>179.703</v>
      </c>
      <c r="C4263" s="574">
        <v>252.08699999999999</v>
      </c>
    </row>
    <row r="4264" spans="1:3">
      <c r="A4264" s="573" t="s">
        <v>295</v>
      </c>
      <c r="B4264" s="574">
        <v>200.25800000000001</v>
      </c>
      <c r="C4264" s="574">
        <v>255.499</v>
      </c>
    </row>
    <row r="4265" spans="1:3">
      <c r="A4265" s="571" t="s">
        <v>296</v>
      </c>
      <c r="B4265" s="572">
        <v>0.57078099999999998</v>
      </c>
      <c r="C4265" s="572">
        <v>2.5274400000000002E-3</v>
      </c>
    </row>
    <row r="4266" spans="1:3">
      <c r="A4266" s="571" t="s">
        <v>296</v>
      </c>
      <c r="B4266" s="572">
        <v>0.66134800000000005</v>
      </c>
      <c r="C4266" s="572">
        <v>47.604399999999998</v>
      </c>
    </row>
    <row r="4267" spans="1:3">
      <c r="A4267" s="571" t="s">
        <v>296</v>
      </c>
      <c r="B4267" s="572">
        <v>1.8661000000000001</v>
      </c>
      <c r="C4267" s="572">
        <v>80.820099999999996</v>
      </c>
    </row>
    <row r="4268" spans="1:3">
      <c r="A4268" s="571" t="s">
        <v>296</v>
      </c>
      <c r="B4268" s="572">
        <v>1.89137</v>
      </c>
      <c r="C4268" s="572">
        <v>94.104299999999995</v>
      </c>
    </row>
    <row r="4269" spans="1:3">
      <c r="A4269" s="571" t="s">
        <v>296</v>
      </c>
      <c r="B4269" s="572">
        <v>2.4684699999999999</v>
      </c>
      <c r="C4269" s="572">
        <v>97.427899999999994</v>
      </c>
    </row>
    <row r="4270" spans="1:3">
      <c r="A4270" s="571" t="s">
        <v>296</v>
      </c>
      <c r="B4270" s="572">
        <v>2.53376</v>
      </c>
      <c r="C4270" s="572">
        <v>131.74600000000001</v>
      </c>
    </row>
    <row r="4271" spans="1:3">
      <c r="A4271" s="571" t="s">
        <v>296</v>
      </c>
      <c r="B4271" s="572">
        <v>4.2966499999999996</v>
      </c>
      <c r="C4271" s="572">
        <v>158.322</v>
      </c>
    </row>
    <row r="4272" spans="1:3">
      <c r="A4272" s="571" t="s">
        <v>296</v>
      </c>
      <c r="B4272" s="572">
        <v>4.8884999999999996</v>
      </c>
      <c r="C4272" s="572">
        <v>169.39400000000001</v>
      </c>
    </row>
    <row r="4273" spans="1:3">
      <c r="A4273" s="571" t="s">
        <v>296</v>
      </c>
      <c r="B4273" s="572">
        <v>5.4698099999999998</v>
      </c>
      <c r="C4273" s="572">
        <v>174.93199999999999</v>
      </c>
    </row>
    <row r="4274" spans="1:3">
      <c r="A4274" s="571" t="s">
        <v>296</v>
      </c>
      <c r="B4274" s="572">
        <v>7.7634600000000002</v>
      </c>
      <c r="C4274" s="572">
        <v>180.477</v>
      </c>
    </row>
    <row r="4275" spans="1:3">
      <c r="A4275" s="571" t="s">
        <v>296</v>
      </c>
      <c r="B4275" s="572">
        <v>10.0655</v>
      </c>
      <c r="C4275" s="572">
        <v>190.45</v>
      </c>
    </row>
    <row r="4276" spans="1:3">
      <c r="A4276" s="571" t="s">
        <v>296</v>
      </c>
      <c r="B4276" s="572">
        <v>14.0631</v>
      </c>
      <c r="C4276" s="572">
        <v>191.57499999999999</v>
      </c>
    </row>
    <row r="4277" spans="1:3">
      <c r="A4277" s="571" t="s">
        <v>296</v>
      </c>
      <c r="B4277" s="572">
        <v>18.058599999999998</v>
      </c>
      <c r="C4277" s="572">
        <v>191.59299999999999</v>
      </c>
    </row>
    <row r="4278" spans="1:3">
      <c r="A4278" s="571" t="s">
        <v>296</v>
      </c>
      <c r="B4278" s="572">
        <v>20.339600000000001</v>
      </c>
      <c r="C4278" s="572">
        <v>190.49600000000001</v>
      </c>
    </row>
    <row r="4279" spans="1:3">
      <c r="A4279" s="571" t="s">
        <v>296</v>
      </c>
      <c r="B4279" s="572">
        <v>23.764299999999999</v>
      </c>
      <c r="C4279" s="572">
        <v>190.511</v>
      </c>
    </row>
    <row r="4280" spans="1:3">
      <c r="A4280" s="571" t="s">
        <v>296</v>
      </c>
      <c r="B4280" s="572">
        <v>30.045000000000002</v>
      </c>
      <c r="C4280" s="572">
        <v>191.64599999999999</v>
      </c>
    </row>
    <row r="4281" spans="1:3">
      <c r="A4281" s="571" t="s">
        <v>296</v>
      </c>
      <c r="B4281" s="572">
        <v>35.748600000000003</v>
      </c>
      <c r="C4281" s="572">
        <v>189.45699999999999</v>
      </c>
    </row>
    <row r="4282" spans="1:3">
      <c r="A4282" s="571" t="s">
        <v>296</v>
      </c>
      <c r="B4282" s="572">
        <v>40.304299999999998</v>
      </c>
      <c r="C4282" s="572">
        <v>183.94200000000001</v>
      </c>
    </row>
    <row r="4283" spans="1:3">
      <c r="A4283" s="571" t="s">
        <v>296</v>
      </c>
      <c r="B4283" s="572">
        <v>45.447699999999998</v>
      </c>
      <c r="C4283" s="572">
        <v>187.286</v>
      </c>
    </row>
    <row r="4284" spans="1:3">
      <c r="A4284" s="571" t="s">
        <v>296</v>
      </c>
      <c r="B4284" s="572">
        <v>48.870199999999997</v>
      </c>
      <c r="C4284" s="572">
        <v>186.19399999999999</v>
      </c>
    </row>
    <row r="4285" spans="1:3">
      <c r="A4285" s="571" t="s">
        <v>296</v>
      </c>
      <c r="B4285" s="572">
        <v>59.7151</v>
      </c>
      <c r="C4285" s="572">
        <v>186.24199999999999</v>
      </c>
    </row>
    <row r="4286" spans="1:3">
      <c r="A4286" s="571" t="s">
        <v>296</v>
      </c>
      <c r="B4286" s="572">
        <v>69.993300000000005</v>
      </c>
      <c r="C4286" s="572">
        <v>188.50200000000001</v>
      </c>
    </row>
    <row r="4287" spans="1:3">
      <c r="A4287" s="571" t="s">
        <v>296</v>
      </c>
      <c r="B4287" s="572">
        <v>80.876099999999994</v>
      </c>
      <c r="C4287" s="572">
        <v>208.476</v>
      </c>
    </row>
    <row r="4288" spans="1:3">
      <c r="A4288" s="571" t="s">
        <v>296</v>
      </c>
      <c r="B4288" s="572">
        <v>89.989599999999996</v>
      </c>
      <c r="C4288" s="572">
        <v>198.553</v>
      </c>
    </row>
    <row r="4289" spans="1:3">
      <c r="A4289" s="573" t="s">
        <v>296</v>
      </c>
      <c r="B4289" s="574">
        <v>100.297</v>
      </c>
      <c r="C4289" s="574">
        <v>216.31100000000001</v>
      </c>
    </row>
    <row r="4290" spans="1:3">
      <c r="A4290" s="573" t="s">
        <v>296</v>
      </c>
      <c r="B4290" s="574">
        <v>119.69799999999999</v>
      </c>
      <c r="C4290" s="574">
        <v>213.07599999999999</v>
      </c>
    </row>
    <row r="4291" spans="1:3">
      <c r="A4291" s="573" t="s">
        <v>296</v>
      </c>
      <c r="B4291" s="574">
        <v>140.82900000000001</v>
      </c>
      <c r="C4291" s="574">
        <v>219.81200000000001</v>
      </c>
    </row>
    <row r="4292" spans="1:3">
      <c r="A4292" s="573" t="s">
        <v>296</v>
      </c>
      <c r="B4292" s="574">
        <v>160.23400000000001</v>
      </c>
      <c r="C4292" s="574">
        <v>218.791</v>
      </c>
    </row>
    <row r="4293" spans="1:3">
      <c r="A4293" s="573" t="s">
        <v>296</v>
      </c>
      <c r="B4293" s="574">
        <v>180.221</v>
      </c>
      <c r="C4293" s="574">
        <v>224.41399999999999</v>
      </c>
    </row>
    <row r="4294" spans="1:3">
      <c r="A4294" s="573" t="s">
        <v>296</v>
      </c>
      <c r="B4294" s="574">
        <v>199.62200000000001</v>
      </c>
      <c r="C4294" s="574">
        <v>221.179</v>
      </c>
    </row>
    <row r="4295" spans="1:3">
      <c r="A4295" s="571" t="s">
        <v>297</v>
      </c>
      <c r="B4295" s="572">
        <v>0.57078099999999998</v>
      </c>
      <c r="C4295" s="572">
        <v>2.5274400000000002E-3</v>
      </c>
    </row>
    <row r="4296" spans="1:3">
      <c r="A4296" s="571" t="s">
        <v>297</v>
      </c>
      <c r="B4296" s="572">
        <v>0.60658699999999999</v>
      </c>
      <c r="C4296" s="572">
        <v>18.821899999999999</v>
      </c>
    </row>
    <row r="4297" spans="1:3">
      <c r="A4297" s="571" t="s">
        <v>297</v>
      </c>
      <c r="B4297" s="572">
        <v>0.68240999999999996</v>
      </c>
      <c r="C4297" s="572">
        <v>58.674599999999998</v>
      </c>
    </row>
    <row r="4298" spans="1:3">
      <c r="A4298" s="571" t="s">
        <v>297</v>
      </c>
      <c r="B4298" s="572">
        <v>1.29531</v>
      </c>
      <c r="C4298" s="572">
        <v>80.817499999999995</v>
      </c>
    </row>
    <row r="4299" spans="1:3">
      <c r="A4299" s="571" t="s">
        <v>297</v>
      </c>
      <c r="B4299" s="572">
        <v>1.3079499999999999</v>
      </c>
      <c r="C4299" s="572">
        <v>87.459699999999998</v>
      </c>
    </row>
    <row r="4300" spans="1:3">
      <c r="A4300" s="571" t="s">
        <v>297</v>
      </c>
      <c r="B4300" s="572">
        <v>4.7410600000000001</v>
      </c>
      <c r="C4300" s="572">
        <v>91.902900000000002</v>
      </c>
    </row>
    <row r="4301" spans="1:3">
      <c r="A4301" s="571" t="s">
        <v>297</v>
      </c>
      <c r="B4301" s="572">
        <v>8.7407400000000006</v>
      </c>
      <c r="C4301" s="572">
        <v>94.134600000000006</v>
      </c>
    </row>
    <row r="4302" spans="1:3">
      <c r="A4302" s="571" t="s">
        <v>297</v>
      </c>
      <c r="B4302" s="572">
        <v>12.1654</v>
      </c>
      <c r="C4302" s="572">
        <v>94.149799999999999</v>
      </c>
    </row>
    <row r="4303" spans="1:3">
      <c r="A4303" s="571" t="s">
        <v>297</v>
      </c>
      <c r="B4303" s="572">
        <v>15.019299999999999</v>
      </c>
      <c r="C4303" s="572">
        <v>94.162400000000005</v>
      </c>
    </row>
    <row r="4304" spans="1:3">
      <c r="A4304" s="571" t="s">
        <v>297</v>
      </c>
      <c r="B4304" s="572">
        <v>17.8901</v>
      </c>
      <c r="C4304" s="572">
        <v>103.03100000000001</v>
      </c>
    </row>
    <row r="4305" spans="1:3">
      <c r="A4305" s="571" t="s">
        <v>297</v>
      </c>
      <c r="B4305" s="572">
        <v>24.200299999999999</v>
      </c>
      <c r="C4305" s="572">
        <v>119.664</v>
      </c>
    </row>
    <row r="4306" spans="1:3">
      <c r="A4306" s="571" t="s">
        <v>297</v>
      </c>
      <c r="B4306" s="572">
        <v>27.627099999999999</v>
      </c>
      <c r="C4306" s="572">
        <v>120.78700000000001</v>
      </c>
    </row>
    <row r="4307" spans="1:3">
      <c r="A4307" s="571" t="s">
        <v>297</v>
      </c>
      <c r="B4307" s="572">
        <v>32.764099999999999</v>
      </c>
      <c r="C4307" s="572">
        <v>120.809</v>
      </c>
    </row>
    <row r="4308" spans="1:3">
      <c r="A4308" s="571" t="s">
        <v>297</v>
      </c>
      <c r="B4308" s="572">
        <v>34.476399999999998</v>
      </c>
      <c r="C4308" s="572">
        <v>120.81699999999999</v>
      </c>
    </row>
    <row r="4309" spans="1:3">
      <c r="A4309" s="571" t="s">
        <v>297</v>
      </c>
      <c r="B4309" s="572">
        <v>39.6008</v>
      </c>
      <c r="C4309" s="572">
        <v>114.197</v>
      </c>
    </row>
    <row r="4310" spans="1:3">
      <c r="A4310" s="571" t="s">
        <v>297</v>
      </c>
      <c r="B4310" s="572">
        <v>44.748399999999997</v>
      </c>
      <c r="C4310" s="572">
        <v>119.755</v>
      </c>
    </row>
    <row r="4311" spans="1:3">
      <c r="A4311" s="571" t="s">
        <v>297</v>
      </c>
      <c r="B4311" s="572">
        <v>48.173099999999998</v>
      </c>
      <c r="C4311" s="572">
        <v>119.771</v>
      </c>
    </row>
    <row r="4312" spans="1:3">
      <c r="A4312" s="571" t="s">
        <v>297</v>
      </c>
      <c r="B4312" s="572">
        <v>59.597099999999998</v>
      </c>
      <c r="C4312" s="572">
        <v>124.249</v>
      </c>
    </row>
    <row r="4313" spans="1:3">
      <c r="A4313" s="571" t="s">
        <v>297</v>
      </c>
      <c r="B4313" s="572">
        <v>69.300399999999996</v>
      </c>
      <c r="C4313" s="572">
        <v>124.292</v>
      </c>
    </row>
    <row r="4314" spans="1:3">
      <c r="A4314" s="571" t="s">
        <v>297</v>
      </c>
      <c r="B4314" s="572">
        <v>80.728700000000003</v>
      </c>
      <c r="C4314" s="572">
        <v>130.98500000000001</v>
      </c>
    </row>
    <row r="4315" spans="1:3">
      <c r="A4315" s="571" t="s">
        <v>297</v>
      </c>
      <c r="B4315" s="572">
        <v>90.419300000000007</v>
      </c>
      <c r="C4315" s="572">
        <v>124.386</v>
      </c>
    </row>
    <row r="4316" spans="1:3">
      <c r="A4316" s="573" t="s">
        <v>297</v>
      </c>
      <c r="B4316" s="574">
        <v>100.717</v>
      </c>
      <c r="C4316" s="574">
        <v>136.608</v>
      </c>
    </row>
    <row r="4317" spans="1:3">
      <c r="A4317" s="573" t="s">
        <v>297</v>
      </c>
      <c r="B4317" s="574">
        <v>119.554</v>
      </c>
      <c r="C4317" s="574">
        <v>137.79900000000001</v>
      </c>
    </row>
    <row r="4318" spans="1:3">
      <c r="A4318" s="573" t="s">
        <v>297</v>
      </c>
      <c r="B4318" s="574">
        <v>140.10300000000001</v>
      </c>
      <c r="C4318" s="574">
        <v>137.88999999999999</v>
      </c>
    </row>
    <row r="4319" spans="1:3">
      <c r="A4319" s="573" t="s">
        <v>297</v>
      </c>
      <c r="B4319" s="574">
        <v>160.65299999999999</v>
      </c>
      <c r="C4319" s="574">
        <v>139.08799999999999</v>
      </c>
    </row>
    <row r="4320" spans="1:3">
      <c r="A4320" s="573" t="s">
        <v>297</v>
      </c>
      <c r="B4320" s="574">
        <v>179.489</v>
      </c>
      <c r="C4320" s="574">
        <v>139.17099999999999</v>
      </c>
    </row>
    <row r="4321" spans="1:3">
      <c r="A4321" s="573" t="s">
        <v>297</v>
      </c>
      <c r="B4321" s="574">
        <v>199.47399999999999</v>
      </c>
      <c r="C4321" s="574">
        <v>143.68799999999999</v>
      </c>
    </row>
    <row r="4322" spans="1:3">
      <c r="A4322" s="571" t="s">
        <v>1904</v>
      </c>
      <c r="B4322" s="572">
        <v>0.56403599999999998</v>
      </c>
      <c r="C4322" s="572">
        <v>1.99203</v>
      </c>
    </row>
    <row r="4323" spans="1:3">
      <c r="A4323" s="571" t="s">
        <v>1904</v>
      </c>
      <c r="B4323" s="572">
        <v>0.88186600000000004</v>
      </c>
      <c r="C4323" s="572">
        <v>215.13900000000001</v>
      </c>
    </row>
    <row r="4324" spans="1:3">
      <c r="A4324" s="571" t="s">
        <v>1904</v>
      </c>
      <c r="B4324" s="572">
        <v>1.38771</v>
      </c>
      <c r="C4324" s="572">
        <v>264.94</v>
      </c>
    </row>
    <row r="4325" spans="1:3">
      <c r="A4325" s="571" t="s">
        <v>1904</v>
      </c>
      <c r="B4325" s="572">
        <v>1.8957900000000001</v>
      </c>
      <c r="C4325" s="572">
        <v>312.74900000000002</v>
      </c>
    </row>
    <row r="4326" spans="1:3">
      <c r="A4326" s="571" t="s">
        <v>1904</v>
      </c>
      <c r="B4326" s="572">
        <v>5.2329999999999997</v>
      </c>
      <c r="C4326" s="572">
        <v>342.62900000000002</v>
      </c>
    </row>
    <row r="4327" spans="1:3">
      <c r="A4327" s="571" t="s">
        <v>1904</v>
      </c>
      <c r="B4327" s="572">
        <v>5.7768899999999999</v>
      </c>
      <c r="C4327" s="572">
        <v>358.56599999999997</v>
      </c>
    </row>
    <row r="4328" spans="1:3">
      <c r="A4328" s="571" t="s">
        <v>1904</v>
      </c>
      <c r="B4328" s="572">
        <v>8.01065</v>
      </c>
      <c r="C4328" s="572">
        <v>370.51799999999997</v>
      </c>
    </row>
    <row r="4329" spans="1:3">
      <c r="A4329" s="571" t="s">
        <v>1904</v>
      </c>
      <c r="B4329" s="572">
        <v>10.812900000000001</v>
      </c>
      <c r="C4329" s="572">
        <v>376.49400000000003</v>
      </c>
    </row>
    <row r="4330" spans="1:3">
      <c r="A4330" s="571" t="s">
        <v>1904</v>
      </c>
      <c r="B4330" s="572">
        <v>14.736599999999999</v>
      </c>
      <c r="C4330" s="572">
        <v>384.46199999999999</v>
      </c>
    </row>
    <row r="4331" spans="1:3">
      <c r="A4331" s="571" t="s">
        <v>1904</v>
      </c>
      <c r="B4331" s="572">
        <v>18.6647</v>
      </c>
      <c r="C4331" s="572">
        <v>388.44600000000003</v>
      </c>
    </row>
    <row r="4332" spans="1:3">
      <c r="A4332" s="571" t="s">
        <v>1904</v>
      </c>
      <c r="B4332" s="572">
        <v>20.905100000000001</v>
      </c>
      <c r="C4332" s="572">
        <v>394.42200000000003</v>
      </c>
    </row>
    <row r="4333" spans="1:3">
      <c r="A4333" s="571" t="s">
        <v>1904</v>
      </c>
      <c r="B4333" s="572">
        <v>23.7074</v>
      </c>
      <c r="C4333" s="572">
        <v>400.39800000000002</v>
      </c>
    </row>
    <row r="4334" spans="1:3">
      <c r="A4334" s="571" t="s">
        <v>1904</v>
      </c>
      <c r="B4334" s="572">
        <v>28.1951</v>
      </c>
      <c r="C4334" s="572">
        <v>406.375</v>
      </c>
    </row>
    <row r="4335" spans="1:3">
      <c r="A4335" s="571" t="s">
        <v>1904</v>
      </c>
      <c r="B4335" s="572">
        <v>30.435600000000001</v>
      </c>
      <c r="C4335" s="572">
        <v>412.351</v>
      </c>
    </row>
    <row r="4336" spans="1:3">
      <c r="A4336" s="571" t="s">
        <v>1904</v>
      </c>
      <c r="B4336" s="572">
        <v>34.918799999999997</v>
      </c>
      <c r="C4336" s="572">
        <v>422.31099999999998</v>
      </c>
    </row>
    <row r="4337" spans="1:3">
      <c r="A4337" s="571" t="s">
        <v>1904</v>
      </c>
      <c r="B4337" s="572">
        <v>41.096299999999999</v>
      </c>
      <c r="C4337" s="572">
        <v>424.303</v>
      </c>
    </row>
    <row r="4338" spans="1:3">
      <c r="A4338" s="571" t="s">
        <v>1904</v>
      </c>
      <c r="B4338" s="572">
        <v>45.026600000000002</v>
      </c>
      <c r="C4338" s="572">
        <v>426.29500000000002</v>
      </c>
    </row>
    <row r="4339" spans="1:3">
      <c r="A4339" s="571" t="s">
        <v>1904</v>
      </c>
      <c r="B4339" s="572">
        <v>50.644599999999997</v>
      </c>
      <c r="C4339" s="572">
        <v>426.29500000000002</v>
      </c>
    </row>
    <row r="4340" spans="1:3">
      <c r="A4340" s="571" t="s">
        <v>1904</v>
      </c>
      <c r="B4340" s="572">
        <v>60.747999999999998</v>
      </c>
      <c r="C4340" s="572">
        <v>434.26299999999998</v>
      </c>
    </row>
    <row r="4341" spans="1:3">
      <c r="A4341" s="571" t="s">
        <v>1904</v>
      </c>
      <c r="B4341" s="572">
        <v>70.298599999999993</v>
      </c>
      <c r="C4341" s="572">
        <v>434.26299999999998</v>
      </c>
    </row>
    <row r="4342" spans="1:3">
      <c r="A4342" s="571" t="s">
        <v>1904</v>
      </c>
      <c r="B4342" s="572">
        <v>80.397499999999994</v>
      </c>
      <c r="C4342" s="572">
        <v>446.21499999999997</v>
      </c>
    </row>
    <row r="4343" spans="1:3">
      <c r="A4343" s="571" t="s">
        <v>1904</v>
      </c>
      <c r="B4343" s="572">
        <v>89.954800000000006</v>
      </c>
      <c r="C4343" s="572">
        <v>440.23899999999998</v>
      </c>
    </row>
    <row r="4344" spans="1:3">
      <c r="A4344" s="573" t="s">
        <v>1904</v>
      </c>
      <c r="B4344" s="574">
        <v>100.047</v>
      </c>
      <c r="C4344" s="574">
        <v>458.16699999999997</v>
      </c>
    </row>
    <row r="4345" spans="1:3">
      <c r="A4345" s="573" t="s">
        <v>1904</v>
      </c>
      <c r="B4345" s="574">
        <v>120.254</v>
      </c>
      <c r="C4345" s="574">
        <v>474.10399999999998</v>
      </c>
    </row>
    <row r="4346" spans="1:3">
      <c r="A4346" s="573" t="s">
        <v>1904</v>
      </c>
      <c r="B4346" s="574">
        <v>139.91200000000001</v>
      </c>
      <c r="C4346" s="574">
        <v>478.08800000000002</v>
      </c>
    </row>
    <row r="4347" spans="1:3">
      <c r="A4347" s="573" t="s">
        <v>1904</v>
      </c>
      <c r="B4347" s="574">
        <v>159.571</v>
      </c>
      <c r="C4347" s="574">
        <v>482.072</v>
      </c>
    </row>
    <row r="4348" spans="1:3">
      <c r="A4348" s="573" t="s">
        <v>1904</v>
      </c>
      <c r="B4348" s="574">
        <v>180.35499999999999</v>
      </c>
      <c r="C4348" s="574">
        <v>484.06400000000002</v>
      </c>
    </row>
    <row r="4349" spans="1:3">
      <c r="A4349" s="573" t="s">
        <v>1904</v>
      </c>
      <c r="B4349" s="574">
        <v>198.892</v>
      </c>
      <c r="C4349" s="574">
        <v>486.05599999999998</v>
      </c>
    </row>
    <row r="4350" spans="1:3">
      <c r="A4350" s="571" t="s">
        <v>1905</v>
      </c>
      <c r="B4350" s="572">
        <v>0.56403599999999998</v>
      </c>
      <c r="C4350" s="572">
        <v>1.99203</v>
      </c>
    </row>
    <row r="4351" spans="1:3">
      <c r="A4351" s="571" t="s">
        <v>1905</v>
      </c>
      <c r="B4351" s="572">
        <v>0.92886899999999994</v>
      </c>
      <c r="C4351" s="572">
        <v>173.30699999999999</v>
      </c>
    </row>
    <row r="4352" spans="1:3">
      <c r="A4352" s="571" t="s">
        <v>1905</v>
      </c>
      <c r="B4352" s="572">
        <v>1.9114599999999999</v>
      </c>
      <c r="C4352" s="572">
        <v>298.80500000000001</v>
      </c>
    </row>
    <row r="4353" spans="1:3">
      <c r="A4353" s="571" t="s">
        <v>1905</v>
      </c>
      <c r="B4353" s="572">
        <v>1.9316</v>
      </c>
      <c r="C4353" s="572">
        <v>280.87599999999998</v>
      </c>
    </row>
    <row r="4354" spans="1:3">
      <c r="A4354" s="571" t="s">
        <v>1905</v>
      </c>
      <c r="B4354" s="572">
        <v>4.7025399999999999</v>
      </c>
      <c r="C4354" s="572">
        <v>314.74099999999999</v>
      </c>
    </row>
    <row r="4355" spans="1:3">
      <c r="A4355" s="571" t="s">
        <v>1905</v>
      </c>
      <c r="B4355" s="572">
        <v>5.80823</v>
      </c>
      <c r="C4355" s="572">
        <v>330.67700000000002</v>
      </c>
    </row>
    <row r="4356" spans="1:3">
      <c r="A4356" s="571" t="s">
        <v>1905</v>
      </c>
      <c r="B4356" s="572">
        <v>7.4846700000000004</v>
      </c>
      <c r="C4356" s="572">
        <v>338.64499999999998</v>
      </c>
    </row>
    <row r="4357" spans="1:3">
      <c r="A4357" s="571" t="s">
        <v>1905</v>
      </c>
      <c r="B4357" s="572">
        <v>9.1543899999999994</v>
      </c>
      <c r="C4357" s="572">
        <v>352.59</v>
      </c>
    </row>
    <row r="4358" spans="1:3">
      <c r="A4358" s="571" t="s">
        <v>1905</v>
      </c>
      <c r="B4358" s="572">
        <v>10.2735</v>
      </c>
      <c r="C4358" s="572">
        <v>356.57400000000001</v>
      </c>
    </row>
    <row r="4359" spans="1:3">
      <c r="A4359" s="571" t="s">
        <v>1905</v>
      </c>
      <c r="B4359" s="572">
        <v>13.0825</v>
      </c>
      <c r="C4359" s="572">
        <v>356.57400000000001</v>
      </c>
    </row>
    <row r="4360" spans="1:3">
      <c r="A4360" s="571" t="s">
        <v>1905</v>
      </c>
      <c r="B4360" s="572">
        <v>18.1387</v>
      </c>
      <c r="C4360" s="572">
        <v>356.57400000000001</v>
      </c>
    </row>
    <row r="4361" spans="1:3">
      <c r="A4361" s="571" t="s">
        <v>1905</v>
      </c>
      <c r="B4361" s="572">
        <v>20.940999999999999</v>
      </c>
      <c r="C4361" s="572">
        <v>362.55</v>
      </c>
    </row>
    <row r="4362" spans="1:3">
      <c r="A4362" s="571" t="s">
        <v>1905</v>
      </c>
      <c r="B4362" s="572">
        <v>23.747699999999998</v>
      </c>
      <c r="C4362" s="572">
        <v>364.54199999999997</v>
      </c>
    </row>
    <row r="4363" spans="1:3">
      <c r="A4363" s="571" t="s">
        <v>1905</v>
      </c>
      <c r="B4363" s="572">
        <v>28.799399999999999</v>
      </c>
      <c r="C4363" s="572">
        <v>368.52600000000001</v>
      </c>
    </row>
    <row r="4364" spans="1:3">
      <c r="A4364" s="571" t="s">
        <v>1905</v>
      </c>
      <c r="B4364" s="572">
        <v>31.046600000000002</v>
      </c>
      <c r="C4364" s="572">
        <v>368.52600000000001</v>
      </c>
    </row>
    <row r="4365" spans="1:3">
      <c r="A4365" s="571" t="s">
        <v>1905</v>
      </c>
      <c r="B4365" s="572">
        <v>35.549900000000001</v>
      </c>
      <c r="C4365" s="572">
        <v>360.55799999999999</v>
      </c>
    </row>
    <row r="4366" spans="1:3">
      <c r="A4366" s="571" t="s">
        <v>1905</v>
      </c>
      <c r="B4366" s="572">
        <v>40.603900000000003</v>
      </c>
      <c r="C4366" s="572">
        <v>362.55</v>
      </c>
    </row>
    <row r="4367" spans="1:3">
      <c r="A4367" s="571" t="s">
        <v>1905</v>
      </c>
      <c r="B4367" s="572">
        <v>45.666800000000002</v>
      </c>
      <c r="C4367" s="572">
        <v>356.57400000000001</v>
      </c>
    </row>
    <row r="4368" spans="1:3">
      <c r="A4368" s="571" t="s">
        <v>1905</v>
      </c>
      <c r="B4368" s="572">
        <v>50.716200000000001</v>
      </c>
      <c r="C4368" s="572">
        <v>362.55</v>
      </c>
    </row>
    <row r="4369" spans="1:3">
      <c r="A4369" s="571" t="s">
        <v>1905</v>
      </c>
      <c r="B4369" s="572">
        <v>61.388199999999998</v>
      </c>
      <c r="C4369" s="572">
        <v>364.54199999999997</v>
      </c>
    </row>
    <row r="4370" spans="1:3">
      <c r="A4370" s="571" t="s">
        <v>1905</v>
      </c>
      <c r="B4370" s="572">
        <v>69.806200000000004</v>
      </c>
      <c r="C4370" s="572">
        <v>372.51</v>
      </c>
    </row>
    <row r="4371" spans="1:3">
      <c r="A4371" s="571" t="s">
        <v>1905</v>
      </c>
      <c r="B4371" s="572">
        <v>79.909599999999998</v>
      </c>
      <c r="C4371" s="572">
        <v>380.47800000000001</v>
      </c>
    </row>
    <row r="4372" spans="1:3">
      <c r="A4372" s="571" t="s">
        <v>1905</v>
      </c>
      <c r="B4372" s="572">
        <v>89.444500000000005</v>
      </c>
      <c r="C4372" s="572">
        <v>394.42200000000003</v>
      </c>
    </row>
    <row r="4373" spans="1:3">
      <c r="A4373" s="573" t="s">
        <v>1905</v>
      </c>
      <c r="B4373" s="574">
        <v>100.116</v>
      </c>
      <c r="C4373" s="574">
        <v>396.41399999999999</v>
      </c>
    </row>
    <row r="4374" spans="1:3">
      <c r="A4374" s="573" t="s">
        <v>1905</v>
      </c>
      <c r="B4374" s="574">
        <v>120.896</v>
      </c>
      <c r="C4374" s="574">
        <v>402.39</v>
      </c>
    </row>
    <row r="4375" spans="1:3">
      <c r="A4375" s="573" t="s">
        <v>1905</v>
      </c>
      <c r="B4375" s="574">
        <v>141.10499999999999</v>
      </c>
      <c r="C4375" s="574">
        <v>416.33499999999998</v>
      </c>
    </row>
    <row r="4376" spans="1:3">
      <c r="A4376" s="573" t="s">
        <v>1905</v>
      </c>
      <c r="B4376" s="574">
        <v>159.649</v>
      </c>
      <c r="C4376" s="574">
        <v>412.351</v>
      </c>
    </row>
    <row r="4377" spans="1:3">
      <c r="A4377" s="573" t="s">
        <v>1905</v>
      </c>
      <c r="B4377" s="574">
        <v>179.869</v>
      </c>
      <c r="C4377" s="574">
        <v>416.33499999999998</v>
      </c>
    </row>
    <row r="4378" spans="1:3">
      <c r="A4378" s="573" t="s">
        <v>1905</v>
      </c>
      <c r="B4378" s="574">
        <v>199.53200000000001</v>
      </c>
      <c r="C4378" s="574">
        <v>416.33499999999998</v>
      </c>
    </row>
    <row r="4379" spans="1:3">
      <c r="A4379" s="571" t="s">
        <v>1906</v>
      </c>
      <c r="B4379" s="572">
        <v>0.48122100000000001</v>
      </c>
      <c r="C4379" s="572">
        <v>15.936299999999999</v>
      </c>
    </row>
    <row r="4380" spans="1:3">
      <c r="A4380" s="571" t="s">
        <v>1906</v>
      </c>
      <c r="B4380" s="572">
        <v>0.54389200000000004</v>
      </c>
      <c r="C4380" s="572">
        <v>71.713099999999997</v>
      </c>
    </row>
    <row r="4381" spans="1:3">
      <c r="A4381" s="571" t="s">
        <v>1906</v>
      </c>
      <c r="B4381" s="572">
        <v>1.0004900000000001</v>
      </c>
      <c r="C4381" s="572">
        <v>109.562</v>
      </c>
    </row>
    <row r="4382" spans="1:3">
      <c r="A4382" s="571" t="s">
        <v>1906</v>
      </c>
      <c r="B4382" s="572">
        <v>2.07708</v>
      </c>
      <c r="C4382" s="572">
        <v>151.39400000000001</v>
      </c>
    </row>
    <row r="4383" spans="1:3">
      <c r="A4383" s="571" t="s">
        <v>1906</v>
      </c>
      <c r="B4383" s="572">
        <v>3.6662300000000001</v>
      </c>
      <c r="C4383" s="572">
        <v>237.05199999999999</v>
      </c>
    </row>
    <row r="4384" spans="1:3">
      <c r="A4384" s="571" t="s">
        <v>1906</v>
      </c>
      <c r="B4384" s="572">
        <v>3.7087599999999998</v>
      </c>
      <c r="C4384" s="572">
        <v>199.203</v>
      </c>
    </row>
    <row r="4385" spans="1:3">
      <c r="A4385" s="571" t="s">
        <v>1906</v>
      </c>
      <c r="B4385" s="572">
        <v>4.7584900000000001</v>
      </c>
      <c r="C4385" s="572">
        <v>264.94</v>
      </c>
    </row>
    <row r="4386" spans="1:3">
      <c r="A4386" s="571" t="s">
        <v>1906</v>
      </c>
      <c r="B4386" s="572">
        <v>5.8753700000000002</v>
      </c>
      <c r="C4386" s="572">
        <v>270.916</v>
      </c>
    </row>
    <row r="4387" spans="1:3">
      <c r="A4387" s="571" t="s">
        <v>1906</v>
      </c>
      <c r="B4387" s="572">
        <v>6.9900200000000003</v>
      </c>
      <c r="C4387" s="572">
        <v>278.88400000000001</v>
      </c>
    </row>
    <row r="4388" spans="1:3">
      <c r="A4388" s="571" t="s">
        <v>1906</v>
      </c>
      <c r="B4388" s="572">
        <v>7.5428600000000001</v>
      </c>
      <c r="C4388" s="572">
        <v>286.85300000000001</v>
      </c>
    </row>
    <row r="4389" spans="1:3">
      <c r="A4389" s="571" t="s">
        <v>1906</v>
      </c>
      <c r="B4389" s="572">
        <v>10.9002</v>
      </c>
      <c r="C4389" s="572">
        <v>298.80500000000001</v>
      </c>
    </row>
    <row r="4390" spans="1:3">
      <c r="A4390" s="571" t="s">
        <v>1906</v>
      </c>
      <c r="B4390" s="572">
        <v>15.396800000000001</v>
      </c>
      <c r="C4390" s="572">
        <v>296.81299999999999</v>
      </c>
    </row>
    <row r="4391" spans="1:3">
      <c r="A4391" s="571" t="s">
        <v>1906</v>
      </c>
      <c r="B4391" s="572">
        <v>18.203600000000002</v>
      </c>
      <c r="C4391" s="572">
        <v>298.80500000000001</v>
      </c>
    </row>
    <row r="4392" spans="1:3">
      <c r="A4392" s="571" t="s">
        <v>1906</v>
      </c>
      <c r="B4392" s="572">
        <v>21.012599999999999</v>
      </c>
      <c r="C4392" s="572">
        <v>298.80500000000001</v>
      </c>
    </row>
    <row r="4393" spans="1:3">
      <c r="A4393" s="571" t="s">
        <v>1906</v>
      </c>
      <c r="B4393" s="572">
        <v>24.3811</v>
      </c>
      <c r="C4393" s="572">
        <v>300.79700000000003</v>
      </c>
    </row>
    <row r="4394" spans="1:3">
      <c r="A4394" s="571" t="s">
        <v>1906</v>
      </c>
      <c r="B4394" s="572">
        <v>28.882200000000001</v>
      </c>
      <c r="C4394" s="572">
        <v>294.82100000000003</v>
      </c>
    </row>
    <row r="4395" spans="1:3">
      <c r="A4395" s="571" t="s">
        <v>1906</v>
      </c>
      <c r="B4395" s="572">
        <v>30.563099999999999</v>
      </c>
      <c r="C4395" s="572">
        <v>298.80500000000001</v>
      </c>
    </row>
    <row r="4396" spans="1:3">
      <c r="A4396" s="571" t="s">
        <v>1906</v>
      </c>
      <c r="B4396" s="572">
        <v>35.623800000000003</v>
      </c>
      <c r="C4396" s="572">
        <v>294.82100000000003</v>
      </c>
    </row>
    <row r="4397" spans="1:3">
      <c r="A4397" s="571" t="s">
        <v>1906</v>
      </c>
      <c r="B4397" s="572">
        <v>40.686700000000002</v>
      </c>
      <c r="C4397" s="572">
        <v>288.84500000000003</v>
      </c>
    </row>
    <row r="4398" spans="1:3">
      <c r="A4398" s="571" t="s">
        <v>1906</v>
      </c>
      <c r="B4398" s="572">
        <v>44.614800000000002</v>
      </c>
      <c r="C4398" s="572">
        <v>292.82900000000001</v>
      </c>
    </row>
    <row r="4399" spans="1:3">
      <c r="A4399" s="571" t="s">
        <v>1906</v>
      </c>
      <c r="B4399" s="572">
        <v>50.794600000000003</v>
      </c>
      <c r="C4399" s="572">
        <v>292.82900000000001</v>
      </c>
    </row>
    <row r="4400" spans="1:3">
      <c r="A4400" s="571" t="s">
        <v>1906</v>
      </c>
      <c r="B4400" s="572">
        <v>60.904699999999998</v>
      </c>
      <c r="C4400" s="572">
        <v>294.82100000000003</v>
      </c>
    </row>
    <row r="4401" spans="1:3">
      <c r="A4401" s="571" t="s">
        <v>1906</v>
      </c>
      <c r="B4401" s="572">
        <v>70.455299999999994</v>
      </c>
      <c r="C4401" s="572">
        <v>294.82100000000003</v>
      </c>
    </row>
    <row r="4402" spans="1:3">
      <c r="A4402" s="571" t="s">
        <v>1906</v>
      </c>
      <c r="B4402" s="572">
        <v>79.983400000000003</v>
      </c>
      <c r="C4402" s="572">
        <v>314.74099999999999</v>
      </c>
    </row>
    <row r="4403" spans="1:3">
      <c r="A4403" s="571" t="s">
        <v>1906</v>
      </c>
      <c r="B4403" s="572">
        <v>90.106999999999999</v>
      </c>
      <c r="C4403" s="572">
        <v>304.78100000000001</v>
      </c>
    </row>
    <row r="4404" spans="1:3">
      <c r="A4404" s="573" t="s">
        <v>1906</v>
      </c>
      <c r="B4404" s="574">
        <v>99.6374</v>
      </c>
      <c r="C4404" s="574">
        <v>322.709</v>
      </c>
    </row>
    <row r="4405" spans="1:3">
      <c r="A4405" s="573" t="s">
        <v>1906</v>
      </c>
      <c r="B4405" s="574">
        <v>120.428</v>
      </c>
      <c r="C4405" s="574">
        <v>318.72500000000002</v>
      </c>
    </row>
    <row r="4406" spans="1:3">
      <c r="A4406" s="573" t="s">
        <v>1906</v>
      </c>
      <c r="B4406" s="574">
        <v>140.64400000000001</v>
      </c>
      <c r="C4406" s="574">
        <v>326.69299999999998</v>
      </c>
    </row>
    <row r="4407" spans="1:3">
      <c r="A4407" s="573" t="s">
        <v>1906</v>
      </c>
      <c r="B4407" s="574">
        <v>160.309</v>
      </c>
      <c r="C4407" s="574">
        <v>324.70100000000002</v>
      </c>
    </row>
    <row r="4408" spans="1:3">
      <c r="A4408" s="573" t="s">
        <v>1906</v>
      </c>
      <c r="B4408" s="574">
        <v>180.52699999999999</v>
      </c>
      <c r="C4408" s="574">
        <v>330.67700000000002</v>
      </c>
    </row>
    <row r="4409" spans="1:3">
      <c r="A4409" s="573" t="s">
        <v>1906</v>
      </c>
      <c r="B4409" s="574">
        <v>199.63300000000001</v>
      </c>
      <c r="C4409" s="574">
        <v>326.69299999999998</v>
      </c>
    </row>
    <row r="4410" spans="1:3">
      <c r="A4410" s="48" t="s">
        <v>1907</v>
      </c>
      <c r="B4410" s="549">
        <v>-0.27977999999999997</v>
      </c>
      <c r="C4410" s="549">
        <v>0</v>
      </c>
    </row>
    <row r="4411" spans="1:3">
      <c r="A4411" s="571" t="s">
        <v>1907</v>
      </c>
      <c r="B4411" s="572">
        <v>1.1235999999999999</v>
      </c>
      <c r="C4411" s="572">
        <v>249.00399999999999</v>
      </c>
    </row>
    <row r="4412" spans="1:3">
      <c r="A4412" s="571" t="s">
        <v>1907</v>
      </c>
      <c r="B4412" s="572">
        <v>1.32504</v>
      </c>
      <c r="C4412" s="572">
        <v>300.79700000000003</v>
      </c>
    </row>
    <row r="4413" spans="1:3">
      <c r="A4413" s="571" t="s">
        <v>1907</v>
      </c>
      <c r="B4413" s="572">
        <v>1.3474200000000001</v>
      </c>
      <c r="C4413" s="572">
        <v>320.71699999999998</v>
      </c>
    </row>
    <row r="4414" spans="1:3">
      <c r="A4414" s="571" t="s">
        <v>1907</v>
      </c>
      <c r="B4414" s="572">
        <v>1.8420700000000001</v>
      </c>
      <c r="C4414" s="572">
        <v>360.55799999999999</v>
      </c>
    </row>
    <row r="4415" spans="1:3">
      <c r="A4415" s="571" t="s">
        <v>1907</v>
      </c>
      <c r="B4415" s="572">
        <v>2.9276200000000001</v>
      </c>
      <c r="C4415" s="572">
        <v>394.42200000000003</v>
      </c>
    </row>
    <row r="4416" spans="1:3">
      <c r="A4416" s="571" t="s">
        <v>1907</v>
      </c>
      <c r="B4416" s="572">
        <v>2.9432800000000001</v>
      </c>
      <c r="C4416" s="572">
        <v>380.47800000000001</v>
      </c>
    </row>
    <row r="4417" spans="1:3">
      <c r="A4417" s="571" t="s">
        <v>1907</v>
      </c>
      <c r="B4417" s="572">
        <v>6.2939299999999996</v>
      </c>
      <c r="C4417" s="572">
        <v>398.40600000000001</v>
      </c>
    </row>
    <row r="4418" spans="1:3">
      <c r="A4418" s="571" t="s">
        <v>1907</v>
      </c>
      <c r="B4418" s="572">
        <v>10.2265</v>
      </c>
      <c r="C4418" s="572">
        <v>398.40600000000001</v>
      </c>
    </row>
    <row r="4419" spans="1:3">
      <c r="A4419" s="571" t="s">
        <v>1907</v>
      </c>
      <c r="B4419" s="572">
        <v>14.1569</v>
      </c>
      <c r="C4419" s="572">
        <v>400.39800000000002</v>
      </c>
    </row>
    <row r="4420" spans="1:3">
      <c r="A4420" s="571" t="s">
        <v>1907</v>
      </c>
      <c r="B4420" s="572">
        <v>18.082699999999999</v>
      </c>
      <c r="C4420" s="572">
        <v>406.375</v>
      </c>
    </row>
    <row r="4421" spans="1:3">
      <c r="A4421" s="571" t="s">
        <v>1907</v>
      </c>
      <c r="B4421" s="572">
        <v>25.368200000000002</v>
      </c>
      <c r="C4421" s="572">
        <v>422.31099999999998</v>
      </c>
    </row>
    <row r="4422" spans="1:3">
      <c r="A4422" s="571" t="s">
        <v>1907</v>
      </c>
      <c r="B4422" s="572">
        <v>29.8581</v>
      </c>
      <c r="C4422" s="572">
        <v>426.29500000000002</v>
      </c>
    </row>
    <row r="4423" spans="1:3">
      <c r="A4423" s="571" t="s">
        <v>1907</v>
      </c>
      <c r="B4423" s="572">
        <v>34.916499999999999</v>
      </c>
      <c r="C4423" s="572">
        <v>424.303</v>
      </c>
    </row>
    <row r="4424" spans="1:3">
      <c r="A4424" s="571" t="s">
        <v>1907</v>
      </c>
      <c r="B4424" s="572">
        <v>39.410899999999998</v>
      </c>
      <c r="C4424" s="572">
        <v>424.303</v>
      </c>
    </row>
    <row r="4425" spans="1:3">
      <c r="A4425" s="571" t="s">
        <v>1907</v>
      </c>
      <c r="B4425" s="572">
        <v>41.103000000000002</v>
      </c>
      <c r="C4425" s="572">
        <v>418.327</v>
      </c>
    </row>
    <row r="4426" spans="1:3">
      <c r="A4426" s="571" t="s">
        <v>1907</v>
      </c>
      <c r="B4426" s="572">
        <v>46.154699999999998</v>
      </c>
      <c r="C4426" s="572">
        <v>422.31099999999998</v>
      </c>
    </row>
    <row r="4427" spans="1:3">
      <c r="A4427" s="571" t="s">
        <v>1907</v>
      </c>
      <c r="B4427" s="572">
        <v>50.649099999999997</v>
      </c>
      <c r="C4427" s="572">
        <v>422.31099999999998</v>
      </c>
    </row>
    <row r="4428" spans="1:3">
      <c r="A4428" s="571" t="s">
        <v>1907</v>
      </c>
      <c r="B4428" s="572">
        <v>60.7592</v>
      </c>
      <c r="C4428" s="572">
        <v>424.303</v>
      </c>
    </row>
    <row r="4429" spans="1:3">
      <c r="A4429" s="571" t="s">
        <v>1907</v>
      </c>
      <c r="B4429" s="572">
        <v>70.869299999999996</v>
      </c>
      <c r="C4429" s="572">
        <v>426.29500000000002</v>
      </c>
    </row>
    <row r="4430" spans="1:3">
      <c r="A4430" s="571" t="s">
        <v>1907</v>
      </c>
      <c r="B4430" s="572">
        <v>80.415400000000005</v>
      </c>
      <c r="C4430" s="572">
        <v>430.279</v>
      </c>
    </row>
    <row r="4431" spans="1:3">
      <c r="A4431" s="571" t="s">
        <v>1907</v>
      </c>
      <c r="B4431" s="572">
        <v>91.087299999999999</v>
      </c>
      <c r="C4431" s="572">
        <v>432.27100000000002</v>
      </c>
    </row>
    <row r="4432" spans="1:3">
      <c r="A4432" s="573" t="s">
        <v>1907</v>
      </c>
      <c r="B4432" s="574">
        <v>99.505300000000005</v>
      </c>
      <c r="C4432" s="574">
        <v>440.23899999999998</v>
      </c>
    </row>
    <row r="4433" spans="1:3">
      <c r="A4433" s="573" t="s">
        <v>1907</v>
      </c>
      <c r="B4433" s="574">
        <v>119.16800000000001</v>
      </c>
      <c r="C4433" s="574">
        <v>440.23899999999998</v>
      </c>
    </row>
    <row r="4434" spans="1:3">
      <c r="A4434" s="573" t="s">
        <v>1907</v>
      </c>
      <c r="B4434" s="574">
        <v>140.517</v>
      </c>
      <c r="C4434" s="574">
        <v>440.23899999999998</v>
      </c>
    </row>
    <row r="4435" spans="1:3">
      <c r="A4435" s="573" t="s">
        <v>1907</v>
      </c>
      <c r="B4435" s="574">
        <v>160.18</v>
      </c>
      <c r="C4435" s="574">
        <v>440.23899999999998</v>
      </c>
    </row>
    <row r="4436" spans="1:3">
      <c r="A4436" s="573" t="s">
        <v>1907</v>
      </c>
      <c r="B4436" s="574">
        <v>179.83799999999999</v>
      </c>
      <c r="C4436" s="574">
        <v>444.22300000000001</v>
      </c>
    </row>
    <row r="4437" spans="1:3">
      <c r="A4437" s="573" t="s">
        <v>1907</v>
      </c>
      <c r="B4437" s="574">
        <v>201.184</v>
      </c>
      <c r="C4437" s="574">
        <v>446.21499999999997</v>
      </c>
    </row>
    <row r="4438" spans="1:3">
      <c r="A4438" s="571" t="s">
        <v>1908</v>
      </c>
      <c r="B4438" s="572">
        <v>0.57077599999999995</v>
      </c>
      <c r="C4438" s="572">
        <v>34.656999999999996</v>
      </c>
    </row>
    <row r="4439" spans="1:3">
      <c r="A4439" s="571" t="s">
        <v>1908</v>
      </c>
      <c r="B4439" s="572">
        <v>2.2831100000000002</v>
      </c>
      <c r="C4439" s="572">
        <v>190.614</v>
      </c>
    </row>
    <row r="4440" spans="1:3">
      <c r="A4440" s="571" t="s">
        <v>1908</v>
      </c>
      <c r="B4440" s="572">
        <v>2.8538800000000002</v>
      </c>
      <c r="C4440" s="572">
        <v>210.108</v>
      </c>
    </row>
    <row r="4441" spans="1:3">
      <c r="A4441" s="571" t="s">
        <v>1908</v>
      </c>
      <c r="B4441" s="572">
        <v>5.7077600000000004</v>
      </c>
      <c r="C4441" s="572">
        <v>266.42599999999999</v>
      </c>
    </row>
    <row r="4442" spans="1:3">
      <c r="A4442" s="571" t="s">
        <v>1908</v>
      </c>
      <c r="B4442" s="572">
        <v>9.7032000000000007</v>
      </c>
      <c r="C4442" s="572">
        <v>283.755</v>
      </c>
    </row>
    <row r="4443" spans="1:3">
      <c r="A4443" s="571" t="s">
        <v>1908</v>
      </c>
      <c r="B4443" s="572">
        <v>19.406400000000001</v>
      </c>
      <c r="C4443" s="572">
        <v>331.40800000000002</v>
      </c>
    </row>
    <row r="4444" spans="1:3">
      <c r="A4444" s="571" t="s">
        <v>1908</v>
      </c>
      <c r="B4444" s="572">
        <v>27.397300000000001</v>
      </c>
      <c r="C4444" s="572">
        <v>357.40100000000001</v>
      </c>
    </row>
    <row r="4445" spans="1:3">
      <c r="A4445" s="571" t="s">
        <v>1908</v>
      </c>
      <c r="B4445" s="572">
        <v>29.680399999999999</v>
      </c>
      <c r="C4445" s="572">
        <v>366.065</v>
      </c>
    </row>
    <row r="4446" spans="1:3">
      <c r="A4446" s="571" t="s">
        <v>1908</v>
      </c>
      <c r="B4446" s="572">
        <v>34.817399999999999</v>
      </c>
      <c r="C4446" s="572">
        <v>376.89499999999998</v>
      </c>
    </row>
    <row r="4447" spans="1:3">
      <c r="A4447" s="571" t="s">
        <v>1908</v>
      </c>
      <c r="B4447" s="572">
        <v>39.383600000000001</v>
      </c>
      <c r="C4447" s="572">
        <v>387.726</v>
      </c>
    </row>
    <row r="4448" spans="1:3">
      <c r="A4448" s="571" t="s">
        <v>1908</v>
      </c>
      <c r="B4448" s="572">
        <v>45.091299999999997</v>
      </c>
      <c r="C4448" s="572">
        <v>387.726</v>
      </c>
    </row>
    <row r="4449" spans="1:3">
      <c r="A4449" s="571" t="s">
        <v>1908</v>
      </c>
      <c r="B4449" s="572">
        <v>50.799100000000003</v>
      </c>
      <c r="C4449" s="572">
        <v>392.05799999999999</v>
      </c>
    </row>
    <row r="4450" spans="1:3">
      <c r="A4450" s="571" t="s">
        <v>1908</v>
      </c>
      <c r="B4450" s="572">
        <v>59.9315</v>
      </c>
      <c r="C4450" s="572">
        <v>398.55599999999998</v>
      </c>
    </row>
    <row r="4451" spans="1:3">
      <c r="A4451" s="571" t="s">
        <v>1908</v>
      </c>
      <c r="B4451" s="572">
        <v>70.205500000000001</v>
      </c>
      <c r="C4451" s="572">
        <v>411.55200000000002</v>
      </c>
    </row>
    <row r="4452" spans="1:3">
      <c r="A4452" s="571" t="s">
        <v>1908</v>
      </c>
      <c r="B4452" s="572">
        <v>79.908699999999996</v>
      </c>
      <c r="C4452" s="572">
        <v>426.71499999999997</v>
      </c>
    </row>
    <row r="4453" spans="1:3">
      <c r="A4453" s="571" t="s">
        <v>1908</v>
      </c>
      <c r="B4453" s="572">
        <v>89.611900000000006</v>
      </c>
      <c r="C4453" s="572">
        <v>428.88099999999997</v>
      </c>
    </row>
    <row r="4454" spans="1:3">
      <c r="A4454" s="573" t="s">
        <v>1908</v>
      </c>
      <c r="B4454" s="574">
        <v>99.885800000000003</v>
      </c>
      <c r="C4454" s="574">
        <v>454.87400000000002</v>
      </c>
    </row>
    <row r="4455" spans="1:3">
      <c r="A4455" s="573" t="s">
        <v>1908</v>
      </c>
      <c r="B4455" s="574">
        <v>119.863</v>
      </c>
      <c r="C4455" s="574">
        <v>474.36799999999999</v>
      </c>
    </row>
    <row r="4456" spans="1:3">
      <c r="A4456" s="573" t="s">
        <v>1908</v>
      </c>
      <c r="B4456" s="574">
        <v>139.84</v>
      </c>
      <c r="C4456" s="574">
        <v>476.53399999999999</v>
      </c>
    </row>
    <row r="4457" spans="1:3">
      <c r="A4457" s="573" t="s">
        <v>1908</v>
      </c>
      <c r="B4457" s="574">
        <v>160.38800000000001</v>
      </c>
      <c r="C4457" s="574">
        <v>487.36500000000001</v>
      </c>
    </row>
    <row r="4458" spans="1:3">
      <c r="A4458" s="573" t="s">
        <v>1908</v>
      </c>
      <c r="B4458" s="574">
        <v>179.79499999999999</v>
      </c>
      <c r="C4458" s="574">
        <v>493.863</v>
      </c>
    </row>
    <row r="4459" spans="1:3">
      <c r="A4459" s="573" t="s">
        <v>1908</v>
      </c>
      <c r="B4459" s="574">
        <v>199.77199999999999</v>
      </c>
      <c r="C4459" s="574">
        <v>498.19499999999999</v>
      </c>
    </row>
    <row r="4460" spans="1:3">
      <c r="A4460" s="571" t="s">
        <v>2271</v>
      </c>
      <c r="B4460" s="572">
        <v>0.57077599999999995</v>
      </c>
      <c r="C4460" s="572">
        <v>0.57077599999999995</v>
      </c>
    </row>
    <row r="4461" spans="1:3">
      <c r="A4461" s="571" t="s">
        <v>2271</v>
      </c>
      <c r="B4461" s="572">
        <v>0.57077599999999995</v>
      </c>
      <c r="C4461" s="572">
        <v>0.57077599999999995</v>
      </c>
    </row>
    <row r="4462" spans="1:3">
      <c r="A4462" s="571" t="s">
        <v>2271</v>
      </c>
      <c r="B4462" s="572">
        <v>2.2831100000000002</v>
      </c>
      <c r="C4462" s="572">
        <v>207.94200000000001</v>
      </c>
    </row>
    <row r="4463" spans="1:3">
      <c r="A4463" s="571" t="s">
        <v>2271</v>
      </c>
      <c r="B4463" s="572">
        <v>5.1369899999999999</v>
      </c>
      <c r="C4463" s="572">
        <v>253.43</v>
      </c>
    </row>
    <row r="4464" spans="1:3">
      <c r="A4464" s="571" t="s">
        <v>2271</v>
      </c>
      <c r="B4464" s="572">
        <v>13.698600000000001</v>
      </c>
      <c r="C4464" s="572">
        <v>316.245</v>
      </c>
    </row>
    <row r="4465" spans="1:3">
      <c r="A4465" s="571" t="s">
        <v>2271</v>
      </c>
      <c r="B4465" s="572">
        <v>20.547899999999998</v>
      </c>
      <c r="C4465" s="572">
        <v>329.24200000000002</v>
      </c>
    </row>
    <row r="4466" spans="1:3">
      <c r="A4466" s="571" t="s">
        <v>2271</v>
      </c>
      <c r="B4466" s="572">
        <v>23.401800000000001</v>
      </c>
      <c r="C4466" s="572">
        <v>340.072</v>
      </c>
    </row>
    <row r="4467" spans="1:3">
      <c r="A4467" s="571" t="s">
        <v>2271</v>
      </c>
      <c r="B4467" s="572">
        <v>29.1096</v>
      </c>
      <c r="C4467" s="572">
        <v>346.57</v>
      </c>
    </row>
    <row r="4468" spans="1:3">
      <c r="A4468" s="571" t="s">
        <v>2271</v>
      </c>
      <c r="B4468" s="572">
        <v>35.388100000000001</v>
      </c>
      <c r="C4468" s="572">
        <v>344.404</v>
      </c>
    </row>
    <row r="4469" spans="1:3">
      <c r="A4469" s="571" t="s">
        <v>2271</v>
      </c>
      <c r="B4469" s="572">
        <v>39.954300000000003</v>
      </c>
      <c r="C4469" s="572">
        <v>348.73599999999999</v>
      </c>
    </row>
    <row r="4470" spans="1:3">
      <c r="A4470" s="571" t="s">
        <v>2271</v>
      </c>
      <c r="B4470" s="572">
        <v>45.662100000000002</v>
      </c>
      <c r="C4470" s="572">
        <v>355.23500000000001</v>
      </c>
    </row>
    <row r="4471" spans="1:3">
      <c r="A4471" s="571" t="s">
        <v>2271</v>
      </c>
      <c r="B4471" s="572">
        <v>49.657499999999999</v>
      </c>
      <c r="C4471" s="572">
        <v>361.733</v>
      </c>
    </row>
    <row r="4472" spans="1:3">
      <c r="A4472" s="571" t="s">
        <v>2271</v>
      </c>
      <c r="B4472" s="572">
        <v>59.9315</v>
      </c>
      <c r="C4472" s="572">
        <v>368.23099999999999</v>
      </c>
    </row>
    <row r="4473" spans="1:3">
      <c r="A4473" s="571" t="s">
        <v>2271</v>
      </c>
      <c r="B4473" s="572">
        <v>70.776300000000006</v>
      </c>
      <c r="C4473" s="572">
        <v>385.56</v>
      </c>
    </row>
    <row r="4474" spans="1:3">
      <c r="A4474" s="571" t="s">
        <v>2271</v>
      </c>
      <c r="B4474" s="572">
        <v>79.908699999999996</v>
      </c>
      <c r="C4474" s="572">
        <v>400.72199999999998</v>
      </c>
    </row>
    <row r="4475" spans="1:3">
      <c r="A4475" s="571" t="s">
        <v>2271</v>
      </c>
      <c r="B4475" s="572">
        <v>89.611900000000006</v>
      </c>
      <c r="C4475" s="572">
        <v>413.71800000000002</v>
      </c>
    </row>
    <row r="4476" spans="1:3">
      <c r="A4476" s="573" t="s">
        <v>2271</v>
      </c>
      <c r="B4476" s="574">
        <v>99.885800000000003</v>
      </c>
      <c r="C4476" s="574">
        <v>422.38299999999998</v>
      </c>
    </row>
    <row r="4477" spans="1:3">
      <c r="A4477" s="573" t="s">
        <v>2271</v>
      </c>
      <c r="B4477" s="574">
        <v>120.434</v>
      </c>
      <c r="C4477" s="574">
        <v>433.21300000000002</v>
      </c>
    </row>
    <row r="4478" spans="1:3">
      <c r="A4478" s="573" t="s">
        <v>2271</v>
      </c>
      <c r="B4478" s="574">
        <v>139.26900000000001</v>
      </c>
      <c r="C4478" s="574">
        <v>439.71100000000001</v>
      </c>
    </row>
    <row r="4479" spans="1:3">
      <c r="A4479" s="573" t="s">
        <v>2271</v>
      </c>
      <c r="B4479" s="574">
        <v>160.959</v>
      </c>
      <c r="C4479" s="574">
        <v>439.71100000000001</v>
      </c>
    </row>
    <row r="4480" spans="1:3">
      <c r="A4480" s="573" t="s">
        <v>2271</v>
      </c>
      <c r="B4480" s="574">
        <v>179.79499999999999</v>
      </c>
      <c r="C4480" s="574">
        <v>448.375</v>
      </c>
    </row>
    <row r="4481" spans="1:3">
      <c r="A4481" s="573" t="s">
        <v>2271</v>
      </c>
      <c r="B4481" s="574">
        <v>199.20099999999999</v>
      </c>
      <c r="C4481" s="574">
        <v>457.04</v>
      </c>
    </row>
    <row r="4482" spans="1:3">
      <c r="A4482" s="571" t="s">
        <v>2272</v>
      </c>
      <c r="B4482" s="572">
        <v>0.57077599999999995</v>
      </c>
      <c r="C4482" s="572">
        <v>0.57077599999999995</v>
      </c>
    </row>
    <row r="4483" spans="1:3">
      <c r="A4483" s="571" t="s">
        <v>2272</v>
      </c>
      <c r="B4483" s="572">
        <v>1.1415500000000001</v>
      </c>
      <c r="C4483" s="572">
        <v>97.472899999999996</v>
      </c>
    </row>
    <row r="4484" spans="1:3">
      <c r="A4484" s="571" t="s">
        <v>2272</v>
      </c>
      <c r="B4484" s="572">
        <v>2.2831100000000002</v>
      </c>
      <c r="C4484" s="572">
        <v>155.95699999999999</v>
      </c>
    </row>
    <row r="4485" spans="1:3">
      <c r="A4485" s="571" t="s">
        <v>2272</v>
      </c>
      <c r="B4485" s="572">
        <v>2.8538800000000002</v>
      </c>
      <c r="C4485" s="572">
        <v>225.27099999999999</v>
      </c>
    </row>
    <row r="4486" spans="1:3">
      <c r="A4486" s="571" t="s">
        <v>2272</v>
      </c>
      <c r="B4486" s="572">
        <v>4.5662099999999999</v>
      </c>
      <c r="C4486" s="572">
        <v>251.26400000000001</v>
      </c>
    </row>
    <row r="4487" spans="1:3">
      <c r="A4487" s="571" t="s">
        <v>2272</v>
      </c>
      <c r="B4487" s="572">
        <v>5.1369899999999999</v>
      </c>
      <c r="C4487" s="572">
        <v>268.59199999999998</v>
      </c>
    </row>
    <row r="4488" spans="1:3">
      <c r="A4488" s="571" t="s">
        <v>2272</v>
      </c>
      <c r="B4488" s="572">
        <v>5.7077600000000004</v>
      </c>
      <c r="C4488" s="572">
        <v>277.25599999999997</v>
      </c>
    </row>
    <row r="4489" spans="1:3">
      <c r="A4489" s="571" t="s">
        <v>2272</v>
      </c>
      <c r="B4489" s="572">
        <v>7.4200900000000001</v>
      </c>
      <c r="C4489" s="572">
        <v>292.41899999999998</v>
      </c>
    </row>
    <row r="4490" spans="1:3">
      <c r="A4490" s="571" t="s">
        <v>2272</v>
      </c>
      <c r="B4490" s="572">
        <v>9.7032000000000007</v>
      </c>
      <c r="C4490" s="572">
        <v>307.58100000000002</v>
      </c>
    </row>
    <row r="4491" spans="1:3">
      <c r="A4491" s="571" t="s">
        <v>2272</v>
      </c>
      <c r="B4491" s="572">
        <v>14.269399999999999</v>
      </c>
      <c r="C4491" s="572">
        <v>311.91300000000001</v>
      </c>
    </row>
    <row r="4492" spans="1:3">
      <c r="A4492" s="571" t="s">
        <v>2272</v>
      </c>
      <c r="B4492" s="572">
        <v>19.9772</v>
      </c>
      <c r="C4492" s="572">
        <v>311.91300000000001</v>
      </c>
    </row>
    <row r="4493" spans="1:3">
      <c r="A4493" s="571" t="s">
        <v>2272</v>
      </c>
      <c r="B4493" s="572">
        <v>23.9726</v>
      </c>
      <c r="C4493" s="572">
        <v>316.245</v>
      </c>
    </row>
    <row r="4494" spans="1:3">
      <c r="A4494" s="571" t="s">
        <v>2272</v>
      </c>
      <c r="B4494" s="572">
        <v>28.538799999999998</v>
      </c>
      <c r="C4494" s="572">
        <v>318.41199999999998</v>
      </c>
    </row>
    <row r="4495" spans="1:3">
      <c r="A4495" s="571" t="s">
        <v>2272</v>
      </c>
      <c r="B4495" s="572">
        <v>29.680399999999999</v>
      </c>
      <c r="C4495" s="572">
        <v>331.40800000000002</v>
      </c>
    </row>
    <row r="4496" spans="1:3">
      <c r="A4496" s="571" t="s">
        <v>2272</v>
      </c>
      <c r="B4496" s="572">
        <v>34.817399999999999</v>
      </c>
      <c r="C4496" s="572">
        <v>333.57400000000001</v>
      </c>
    </row>
    <row r="4497" spans="1:3">
      <c r="A4497" s="571" t="s">
        <v>2272</v>
      </c>
      <c r="B4497" s="572">
        <v>39.383600000000001</v>
      </c>
      <c r="C4497" s="572">
        <v>329.24200000000002</v>
      </c>
    </row>
    <row r="4498" spans="1:3">
      <c r="A4498" s="571" t="s">
        <v>2272</v>
      </c>
      <c r="B4498" s="572">
        <v>44.520499999999998</v>
      </c>
      <c r="C4498" s="572">
        <v>340.072</v>
      </c>
    </row>
    <row r="4499" spans="1:3">
      <c r="A4499" s="571" t="s">
        <v>2272</v>
      </c>
      <c r="B4499" s="572">
        <v>49.657499999999999</v>
      </c>
      <c r="C4499" s="572">
        <v>348.73599999999999</v>
      </c>
    </row>
    <row r="4500" spans="1:3">
      <c r="A4500" s="571" t="s">
        <v>2272</v>
      </c>
      <c r="B4500" s="572">
        <v>59.9315</v>
      </c>
      <c r="C4500" s="572">
        <v>357.40100000000001</v>
      </c>
    </row>
    <row r="4501" spans="1:3">
      <c r="A4501" s="571" t="s">
        <v>2272</v>
      </c>
      <c r="B4501" s="572">
        <v>70.776300000000006</v>
      </c>
      <c r="C4501" s="572">
        <v>366.065</v>
      </c>
    </row>
    <row r="4502" spans="1:3">
      <c r="A4502" s="571" t="s">
        <v>2272</v>
      </c>
      <c r="B4502" s="572">
        <v>79.908699999999996</v>
      </c>
      <c r="C4502" s="572">
        <v>392.05799999999999</v>
      </c>
    </row>
    <row r="4503" spans="1:3">
      <c r="A4503" s="571" t="s">
        <v>2272</v>
      </c>
      <c r="B4503" s="572">
        <v>89.611900000000006</v>
      </c>
      <c r="C4503" s="572">
        <v>385.56</v>
      </c>
    </row>
    <row r="4504" spans="1:3">
      <c r="A4504" s="573" t="s">
        <v>2272</v>
      </c>
      <c r="B4504" s="574">
        <v>100.45699999999999</v>
      </c>
      <c r="C4504" s="574">
        <v>400.72199999999998</v>
      </c>
    </row>
    <row r="4505" spans="1:3">
      <c r="A4505" s="573" t="s">
        <v>2272</v>
      </c>
      <c r="B4505" s="574">
        <v>120.434</v>
      </c>
      <c r="C4505" s="574">
        <v>398.55599999999998</v>
      </c>
    </row>
    <row r="4506" spans="1:3">
      <c r="A4506" s="573" t="s">
        <v>2272</v>
      </c>
      <c r="B4506" s="574">
        <v>139.84</v>
      </c>
      <c r="C4506" s="574">
        <v>413.71800000000002</v>
      </c>
    </row>
    <row r="4507" spans="1:3">
      <c r="A4507" s="573" t="s">
        <v>2272</v>
      </c>
      <c r="B4507" s="574">
        <v>159.81700000000001</v>
      </c>
      <c r="C4507" s="574">
        <v>415.88400000000001</v>
      </c>
    </row>
    <row r="4508" spans="1:3">
      <c r="A4508" s="573" t="s">
        <v>2272</v>
      </c>
      <c r="B4508" s="574">
        <v>179.79499999999999</v>
      </c>
      <c r="C4508" s="574">
        <v>420.21699999999998</v>
      </c>
    </row>
    <row r="4509" spans="1:3">
      <c r="A4509" s="573" t="s">
        <v>2272</v>
      </c>
      <c r="B4509" s="574">
        <v>200.34200000000001</v>
      </c>
      <c r="C4509" s="574">
        <v>407.22</v>
      </c>
    </row>
    <row r="4510" spans="1:3">
      <c r="A4510" s="48" t="s">
        <v>2273</v>
      </c>
      <c r="B4510" s="549">
        <v>-7.1100000000000008E-15</v>
      </c>
      <c r="C4510" s="549">
        <v>2.1660599999999999</v>
      </c>
    </row>
    <row r="4511" spans="1:3">
      <c r="A4511" s="571" t="s">
        <v>2273</v>
      </c>
      <c r="B4511" s="572">
        <v>0.57077599999999995</v>
      </c>
      <c r="C4511" s="572">
        <v>56.317700000000002</v>
      </c>
    </row>
    <row r="4512" spans="1:3">
      <c r="A4512" s="571" t="s">
        <v>2273</v>
      </c>
      <c r="B4512" s="572">
        <v>1.7123299999999999</v>
      </c>
      <c r="C4512" s="572">
        <v>162.45500000000001</v>
      </c>
    </row>
    <row r="4513" spans="1:3">
      <c r="A4513" s="571" t="s">
        <v>2273</v>
      </c>
      <c r="B4513" s="572">
        <v>2.2831100000000002</v>
      </c>
      <c r="C4513" s="572">
        <v>188.44800000000001</v>
      </c>
    </row>
    <row r="4514" spans="1:3">
      <c r="A4514" s="571" t="s">
        <v>2273</v>
      </c>
      <c r="B4514" s="572">
        <v>5.7077600000000004</v>
      </c>
      <c r="C4514" s="572">
        <v>229.60300000000001</v>
      </c>
    </row>
    <row r="4515" spans="1:3">
      <c r="A4515" s="571" t="s">
        <v>2273</v>
      </c>
      <c r="B4515" s="572">
        <v>6.8493199999999996</v>
      </c>
      <c r="C4515" s="572">
        <v>255.596</v>
      </c>
    </row>
    <row r="4516" spans="1:3">
      <c r="A4516" s="571" t="s">
        <v>2273</v>
      </c>
      <c r="B4516" s="572">
        <v>10.273999999999999</v>
      </c>
      <c r="C4516" s="572">
        <v>285.92099999999999</v>
      </c>
    </row>
    <row r="4517" spans="1:3">
      <c r="A4517" s="571" t="s">
        <v>2273</v>
      </c>
      <c r="B4517" s="572">
        <v>13.698600000000001</v>
      </c>
      <c r="C4517" s="572">
        <v>316.245</v>
      </c>
    </row>
    <row r="4518" spans="1:3">
      <c r="A4518" s="571" t="s">
        <v>2273</v>
      </c>
      <c r="B4518" s="572">
        <v>17.694099999999999</v>
      </c>
      <c r="C4518" s="572">
        <v>350.90300000000002</v>
      </c>
    </row>
    <row r="4519" spans="1:3">
      <c r="A4519" s="571" t="s">
        <v>2273</v>
      </c>
      <c r="B4519" s="572">
        <v>23.9726</v>
      </c>
      <c r="C4519" s="572">
        <v>381.22699999999998</v>
      </c>
    </row>
    <row r="4520" spans="1:3">
      <c r="A4520" s="571" t="s">
        <v>2273</v>
      </c>
      <c r="B4520" s="572">
        <v>28.538799999999998</v>
      </c>
      <c r="C4520" s="572">
        <v>400.72199999999998</v>
      </c>
    </row>
    <row r="4521" spans="1:3">
      <c r="A4521" s="571" t="s">
        <v>2273</v>
      </c>
      <c r="B4521" s="572">
        <v>30.251100000000001</v>
      </c>
      <c r="C4521" s="572">
        <v>402.88799999999998</v>
      </c>
    </row>
    <row r="4522" spans="1:3">
      <c r="A4522" s="571" t="s">
        <v>2273</v>
      </c>
      <c r="B4522" s="572">
        <v>34.246600000000001</v>
      </c>
      <c r="C4522" s="572">
        <v>415.88400000000001</v>
      </c>
    </row>
    <row r="4523" spans="1:3">
      <c r="A4523" s="571" t="s">
        <v>2273</v>
      </c>
      <c r="B4523" s="572">
        <v>39.383600000000001</v>
      </c>
      <c r="C4523" s="572">
        <v>420.21699999999998</v>
      </c>
    </row>
    <row r="4524" spans="1:3">
      <c r="A4524" s="571" t="s">
        <v>2273</v>
      </c>
      <c r="B4524" s="572">
        <v>44.520499999999998</v>
      </c>
      <c r="C4524" s="572">
        <v>433.21300000000002</v>
      </c>
    </row>
    <row r="4525" spans="1:3">
      <c r="A4525" s="571" t="s">
        <v>2273</v>
      </c>
      <c r="B4525" s="572">
        <v>49.657499999999999</v>
      </c>
      <c r="C4525" s="572">
        <v>439.71100000000001</v>
      </c>
    </row>
    <row r="4526" spans="1:3">
      <c r="A4526" s="571" t="s">
        <v>2273</v>
      </c>
      <c r="B4526" s="572">
        <v>60.502299999999998</v>
      </c>
      <c r="C4526" s="572">
        <v>452.70800000000003</v>
      </c>
    </row>
    <row r="4527" spans="1:3">
      <c r="A4527" s="571" t="s">
        <v>2273</v>
      </c>
      <c r="B4527" s="572">
        <v>70.776300000000006</v>
      </c>
      <c r="C4527" s="572">
        <v>465.70400000000001</v>
      </c>
    </row>
    <row r="4528" spans="1:3">
      <c r="A4528" s="571" t="s">
        <v>2273</v>
      </c>
      <c r="B4528" s="572">
        <v>79.337900000000005</v>
      </c>
      <c r="C4528" s="572">
        <v>480.86599999999999</v>
      </c>
    </row>
    <row r="4529" spans="1:3">
      <c r="A4529" s="571" t="s">
        <v>2273</v>
      </c>
      <c r="B4529" s="572">
        <v>90.182599999999994</v>
      </c>
      <c r="C4529" s="572">
        <v>480.86599999999999</v>
      </c>
    </row>
    <row r="4530" spans="1:3">
      <c r="A4530" s="573" t="s">
        <v>2273</v>
      </c>
      <c r="B4530" s="574">
        <v>99.885800000000003</v>
      </c>
      <c r="C4530" s="574">
        <v>491.697</v>
      </c>
    </row>
    <row r="4531" spans="1:3">
      <c r="A4531" s="573" t="s">
        <v>2273</v>
      </c>
      <c r="B4531" s="574">
        <v>119.863</v>
      </c>
      <c r="C4531" s="574">
        <v>506.85899999999998</v>
      </c>
    </row>
    <row r="4532" spans="1:3">
      <c r="A4532" s="573" t="s">
        <v>2273</v>
      </c>
      <c r="B4532" s="574">
        <v>139.26900000000001</v>
      </c>
      <c r="C4532" s="574">
        <v>509.02499999999998</v>
      </c>
    </row>
    <row r="4533" spans="1:3">
      <c r="A4533" s="573" t="s">
        <v>2273</v>
      </c>
      <c r="B4533" s="574">
        <v>159.81700000000001</v>
      </c>
      <c r="C4533" s="574">
        <v>539.35</v>
      </c>
    </row>
    <row r="4534" spans="1:3">
      <c r="A4534" s="573" t="s">
        <v>2273</v>
      </c>
      <c r="B4534" s="574">
        <v>179.22399999999999</v>
      </c>
      <c r="C4534" s="574">
        <v>552.34699999999998</v>
      </c>
    </row>
    <row r="4535" spans="1:3">
      <c r="A4535" s="573" t="s">
        <v>2273</v>
      </c>
      <c r="B4535" s="574">
        <v>199.77199999999999</v>
      </c>
      <c r="C4535" s="574">
        <v>558.84500000000003</v>
      </c>
    </row>
    <row r="4536" spans="1:3">
      <c r="A4536" s="48" t="s">
        <v>2274</v>
      </c>
      <c r="B4536" s="549">
        <v>-7.1100000000000008E-15</v>
      </c>
      <c r="C4536" s="549">
        <v>7.1100000000000008E-15</v>
      </c>
    </row>
    <row r="4537" spans="1:3">
      <c r="A4537" s="571" t="s">
        <v>2274</v>
      </c>
      <c r="B4537" s="572">
        <v>7.3363399999999999</v>
      </c>
      <c r="C4537" s="572">
        <v>115.834</v>
      </c>
    </row>
    <row r="4538" spans="1:3">
      <c r="A4538" s="571" t="s">
        <v>2274</v>
      </c>
      <c r="B4538" s="572">
        <v>10.157999999999999</v>
      </c>
      <c r="C4538" s="572">
        <v>117.354</v>
      </c>
    </row>
    <row r="4539" spans="1:3">
      <c r="A4539" s="571" t="s">
        <v>2274</v>
      </c>
      <c r="B4539" s="572">
        <v>13.544</v>
      </c>
      <c r="C4539" s="572">
        <v>135.41999999999999</v>
      </c>
    </row>
    <row r="4540" spans="1:3">
      <c r="A4540" s="571" t="s">
        <v>2274</v>
      </c>
      <c r="B4540" s="572">
        <v>17.494399999999999</v>
      </c>
      <c r="C4540" s="572">
        <v>147.47399999999999</v>
      </c>
    </row>
    <row r="4541" spans="1:3">
      <c r="A4541" s="571" t="s">
        <v>2274</v>
      </c>
      <c r="B4541" s="572">
        <v>19.1874</v>
      </c>
      <c r="C4541" s="572">
        <v>147.48400000000001</v>
      </c>
    </row>
    <row r="4542" spans="1:3">
      <c r="A4542" s="571" t="s">
        <v>2274</v>
      </c>
      <c r="B4542" s="572">
        <v>25.395</v>
      </c>
      <c r="C4542" s="572">
        <v>158.047</v>
      </c>
    </row>
    <row r="4543" spans="1:3">
      <c r="A4543" s="571" t="s">
        <v>2274</v>
      </c>
      <c r="B4543" s="572">
        <v>27.088000000000001</v>
      </c>
      <c r="C4543" s="572">
        <v>159.56100000000001</v>
      </c>
    </row>
    <row r="4544" spans="1:3">
      <c r="A4544" s="571" t="s">
        <v>2274</v>
      </c>
      <c r="B4544" s="572">
        <v>29.345400000000001</v>
      </c>
      <c r="C4544" s="572">
        <v>164.08600000000001</v>
      </c>
    </row>
    <row r="4545" spans="1:3">
      <c r="A4545" s="571" t="s">
        <v>2274</v>
      </c>
      <c r="B4545" s="572">
        <v>34.424399999999999</v>
      </c>
      <c r="C4545" s="572">
        <v>168.62799999999999</v>
      </c>
    </row>
    <row r="4546" spans="1:3">
      <c r="A4546" s="571" t="s">
        <v>2274</v>
      </c>
      <c r="B4546" s="572">
        <v>40.067700000000002</v>
      </c>
      <c r="C4546" s="572">
        <v>171.67</v>
      </c>
    </row>
    <row r="4547" spans="1:3">
      <c r="A4547" s="571" t="s">
        <v>2274</v>
      </c>
      <c r="B4547" s="572">
        <v>44.018099999999997</v>
      </c>
      <c r="C4547" s="572">
        <v>173.197</v>
      </c>
    </row>
    <row r="4548" spans="1:3">
      <c r="A4548" s="571" t="s">
        <v>2274</v>
      </c>
      <c r="B4548" s="572">
        <v>49.6614</v>
      </c>
      <c r="C4548" s="572">
        <v>176.239</v>
      </c>
    </row>
    <row r="4549" spans="1:3">
      <c r="A4549" s="571" t="s">
        <v>2274</v>
      </c>
      <c r="B4549" s="572">
        <v>59.819400000000002</v>
      </c>
      <c r="C4549" s="572">
        <v>177.803</v>
      </c>
    </row>
    <row r="4550" spans="1:3">
      <c r="A4550" s="571" t="s">
        <v>2274</v>
      </c>
      <c r="B4550" s="572">
        <v>69.977400000000003</v>
      </c>
      <c r="C4550" s="572">
        <v>188.39099999999999</v>
      </c>
    </row>
    <row r="4551" spans="1:3">
      <c r="A4551" s="571" t="s">
        <v>2274</v>
      </c>
      <c r="B4551" s="572">
        <v>80.135400000000004</v>
      </c>
      <c r="C4551" s="572">
        <v>197.47399999999999</v>
      </c>
    </row>
    <row r="4552" spans="1:3">
      <c r="A4552" s="571" t="s">
        <v>2274</v>
      </c>
      <c r="B4552" s="572">
        <v>89.729100000000003</v>
      </c>
      <c r="C4552" s="572">
        <v>200.54</v>
      </c>
    </row>
    <row r="4553" spans="1:3">
      <c r="A4553" s="573" t="s">
        <v>2274</v>
      </c>
      <c r="B4553" s="574">
        <v>99.887100000000004</v>
      </c>
      <c r="C4553" s="574">
        <v>212.631</v>
      </c>
    </row>
    <row r="4554" spans="1:3">
      <c r="A4554" s="573" t="s">
        <v>2274</v>
      </c>
      <c r="B4554" s="574">
        <v>120.203</v>
      </c>
      <c r="C4554" s="574">
        <v>214.25700000000001</v>
      </c>
    </row>
    <row r="4555" spans="1:3">
      <c r="A4555" s="573" t="s">
        <v>2274</v>
      </c>
      <c r="B4555" s="574">
        <v>139.95500000000001</v>
      </c>
      <c r="C4555" s="574">
        <v>212.87200000000001</v>
      </c>
    </row>
    <row r="4556" spans="1:3">
      <c r="A4556" s="573" t="s">
        <v>2274</v>
      </c>
      <c r="B4556" s="574">
        <v>159.142</v>
      </c>
      <c r="C4556" s="574">
        <v>217.499</v>
      </c>
    </row>
    <row r="4557" spans="1:3">
      <c r="A4557" s="573" t="s">
        <v>2274</v>
      </c>
      <c r="B4557" s="574">
        <v>179.458</v>
      </c>
      <c r="C4557" s="574">
        <v>225.14</v>
      </c>
    </row>
    <row r="4558" spans="1:3">
      <c r="A4558" s="573" t="s">
        <v>2274</v>
      </c>
      <c r="B4558" s="574">
        <v>199.21</v>
      </c>
      <c r="C4558" s="574">
        <v>231.273</v>
      </c>
    </row>
    <row r="4559" spans="1:3">
      <c r="A4559" s="48" t="s">
        <v>2275</v>
      </c>
      <c r="B4559" s="549">
        <v>-7.1100000000000008E-15</v>
      </c>
      <c r="C4559" s="549">
        <v>22.5564</v>
      </c>
    </row>
    <row r="4560" spans="1:3">
      <c r="A4560" s="571" t="s">
        <v>2275</v>
      </c>
      <c r="B4560" s="572">
        <v>1.6930000000000001</v>
      </c>
      <c r="C4560" s="572">
        <v>70.686899999999994</v>
      </c>
    </row>
    <row r="4561" spans="1:3">
      <c r="A4561" s="571" t="s">
        <v>2275</v>
      </c>
      <c r="B4561" s="572">
        <v>3.3860000000000001</v>
      </c>
      <c r="C4561" s="572">
        <v>81.223399999999998</v>
      </c>
    </row>
    <row r="4562" spans="1:3">
      <c r="A4562" s="571" t="s">
        <v>2275</v>
      </c>
      <c r="B4562" s="572">
        <v>5.0790100000000002</v>
      </c>
      <c r="C4562" s="572">
        <v>94.767399999999995</v>
      </c>
    </row>
    <row r="4563" spans="1:3">
      <c r="A4563" s="571" t="s">
        <v>2275</v>
      </c>
      <c r="B4563" s="572">
        <v>7.3363399999999999</v>
      </c>
      <c r="C4563" s="572">
        <v>100.79600000000001</v>
      </c>
    </row>
    <row r="4564" spans="1:3">
      <c r="A4564" s="571" t="s">
        <v>2275</v>
      </c>
      <c r="B4564" s="572">
        <v>14.1084</v>
      </c>
      <c r="C4564" s="572">
        <v>117.378</v>
      </c>
    </row>
    <row r="4565" spans="1:3">
      <c r="A4565" s="571" t="s">
        <v>2275</v>
      </c>
      <c r="B4565" s="572">
        <v>16.93</v>
      </c>
      <c r="C4565" s="572">
        <v>120.40300000000001</v>
      </c>
    </row>
    <row r="4566" spans="1:3">
      <c r="A4566" s="571" t="s">
        <v>2275</v>
      </c>
      <c r="B4566" s="572">
        <v>19.7517</v>
      </c>
      <c r="C4566" s="572">
        <v>121.923</v>
      </c>
    </row>
    <row r="4567" spans="1:3">
      <c r="A4567" s="571" t="s">
        <v>2275</v>
      </c>
      <c r="B4567" s="572">
        <v>24.266400000000001</v>
      </c>
      <c r="C4567" s="572">
        <v>133.98099999999999</v>
      </c>
    </row>
    <row r="4568" spans="1:3">
      <c r="A4568" s="571" t="s">
        <v>2275</v>
      </c>
      <c r="B4568" s="572">
        <v>29.345400000000001</v>
      </c>
      <c r="C4568" s="572">
        <v>138.52199999999999</v>
      </c>
    </row>
    <row r="4569" spans="1:3">
      <c r="A4569" s="571" t="s">
        <v>2275</v>
      </c>
      <c r="B4569" s="572">
        <v>34.988700000000001</v>
      </c>
      <c r="C4569" s="572">
        <v>143.06800000000001</v>
      </c>
    </row>
    <row r="4570" spans="1:3">
      <c r="A4570" s="571" t="s">
        <v>2275</v>
      </c>
      <c r="B4570" s="572">
        <v>40.632100000000001</v>
      </c>
      <c r="C4570" s="572">
        <v>146.10900000000001</v>
      </c>
    </row>
    <row r="4571" spans="1:3">
      <c r="A4571" s="571" t="s">
        <v>2275</v>
      </c>
      <c r="B4571" s="572">
        <v>45.146700000000003</v>
      </c>
      <c r="C4571" s="572">
        <v>155.15899999999999</v>
      </c>
    </row>
    <row r="4572" spans="1:3">
      <c r="A4572" s="571" t="s">
        <v>2275</v>
      </c>
      <c r="B4572" s="572">
        <v>50.225700000000003</v>
      </c>
      <c r="C4572" s="572">
        <v>159.70099999999999</v>
      </c>
    </row>
    <row r="4573" spans="1:3">
      <c r="A4573" s="571" t="s">
        <v>2275</v>
      </c>
      <c r="B4573" s="572">
        <v>59.819400000000002</v>
      </c>
      <c r="C4573" s="572">
        <v>167.27699999999999</v>
      </c>
    </row>
    <row r="4574" spans="1:3">
      <c r="A4574" s="571" t="s">
        <v>2275</v>
      </c>
      <c r="B4574" s="572">
        <v>68.848799999999997</v>
      </c>
      <c r="C4574" s="572">
        <v>173.346</v>
      </c>
    </row>
    <row r="4575" spans="1:3">
      <c r="A4575" s="571" t="s">
        <v>2275</v>
      </c>
      <c r="B4575" s="572">
        <v>79.571100000000001</v>
      </c>
      <c r="C4575" s="572">
        <v>182.434</v>
      </c>
    </row>
    <row r="4576" spans="1:3">
      <c r="A4576" s="571" t="s">
        <v>2275</v>
      </c>
      <c r="B4576" s="572">
        <v>89.729100000000003</v>
      </c>
      <c r="C4576" s="572">
        <v>180.99100000000001</v>
      </c>
    </row>
    <row r="4577" spans="1:3">
      <c r="A4577" s="573" t="s">
        <v>2275</v>
      </c>
      <c r="B4577" s="574">
        <v>99.887100000000004</v>
      </c>
      <c r="C4577" s="574">
        <v>187.06700000000001</v>
      </c>
    </row>
    <row r="4578" spans="1:3">
      <c r="A4578" s="573" t="s">
        <v>2275</v>
      </c>
      <c r="B4578" s="574">
        <v>120.203</v>
      </c>
      <c r="C4578" s="574">
        <v>185.685</v>
      </c>
    </row>
    <row r="4579" spans="1:3">
      <c r="A4579" s="573" t="s">
        <v>2275</v>
      </c>
      <c r="B4579" s="574">
        <v>138.82599999999999</v>
      </c>
      <c r="C4579" s="574">
        <v>187.30099999999999</v>
      </c>
    </row>
    <row r="4580" spans="1:3">
      <c r="A4580" s="573" t="s">
        <v>2275</v>
      </c>
      <c r="B4580" s="574">
        <v>159.70699999999999</v>
      </c>
      <c r="C4580" s="574">
        <v>190.434</v>
      </c>
    </row>
    <row r="4581" spans="1:3">
      <c r="A4581" s="573" t="s">
        <v>2275</v>
      </c>
      <c r="B4581" s="574">
        <v>178.89400000000001</v>
      </c>
      <c r="C4581" s="574">
        <v>196.565</v>
      </c>
    </row>
    <row r="4582" spans="1:3">
      <c r="A4582" s="573" t="s">
        <v>2275</v>
      </c>
      <c r="B4582" s="574">
        <v>199.774</v>
      </c>
      <c r="C4582" s="574">
        <v>199.69800000000001</v>
      </c>
    </row>
    <row r="4583" spans="1:3">
      <c r="A4583" s="48" t="s">
        <v>2276</v>
      </c>
      <c r="B4583" s="549">
        <v>-0.564334</v>
      </c>
      <c r="C4583" s="549">
        <v>1.50376</v>
      </c>
    </row>
    <row r="4584" spans="1:3">
      <c r="A4584" s="48" t="s">
        <v>2276</v>
      </c>
      <c r="B4584" s="549">
        <v>-7.1100000000000008E-15</v>
      </c>
      <c r="C4584" s="549">
        <v>24.056799999999999</v>
      </c>
    </row>
    <row r="4585" spans="1:3">
      <c r="A4585" s="571" t="s">
        <v>2276</v>
      </c>
      <c r="B4585" s="572">
        <v>0.564334</v>
      </c>
      <c r="C4585" s="572">
        <v>49.627499999999998</v>
      </c>
    </row>
    <row r="4586" spans="1:3">
      <c r="A4586" s="571" t="s">
        <v>2276</v>
      </c>
      <c r="B4586" s="572">
        <v>1.1286700000000001</v>
      </c>
      <c r="C4586" s="572">
        <v>70.683499999999995</v>
      </c>
    </row>
    <row r="4587" spans="1:3">
      <c r="A4587" s="571" t="s">
        <v>2276</v>
      </c>
      <c r="B4587" s="572">
        <v>3.9503400000000002</v>
      </c>
      <c r="C4587" s="572">
        <v>85.738</v>
      </c>
    </row>
    <row r="4588" spans="1:3">
      <c r="A4588" s="571" t="s">
        <v>2276</v>
      </c>
      <c r="B4588" s="572">
        <v>5.0790100000000002</v>
      </c>
      <c r="C4588" s="572">
        <v>96.274500000000003</v>
      </c>
    </row>
    <row r="4589" spans="1:3">
      <c r="A4589" s="571" t="s">
        <v>2276</v>
      </c>
      <c r="B4589" s="572">
        <v>5.6433400000000002</v>
      </c>
      <c r="C4589" s="572">
        <v>103.79</v>
      </c>
    </row>
    <row r="4590" spans="1:3">
      <c r="A4590" s="571" t="s">
        <v>2276</v>
      </c>
      <c r="B4590" s="572">
        <v>7.3363399999999999</v>
      </c>
      <c r="C4590" s="572">
        <v>108.315</v>
      </c>
    </row>
    <row r="4591" spans="1:3">
      <c r="A4591" s="571" t="s">
        <v>2276</v>
      </c>
      <c r="B4591" s="572">
        <v>9.5936800000000009</v>
      </c>
      <c r="C4591" s="572">
        <v>112.84</v>
      </c>
    </row>
    <row r="4592" spans="1:3">
      <c r="A4592" s="571" t="s">
        <v>2276</v>
      </c>
      <c r="B4592" s="572">
        <v>12.979699999999999</v>
      </c>
      <c r="C4592" s="572">
        <v>117.371</v>
      </c>
    </row>
    <row r="4593" spans="1:3">
      <c r="A4593" s="571" t="s">
        <v>2276</v>
      </c>
      <c r="B4593" s="572">
        <v>17.494399999999999</v>
      </c>
      <c r="C4593" s="572">
        <v>115.895</v>
      </c>
    </row>
    <row r="4594" spans="1:3">
      <c r="A4594" s="571" t="s">
        <v>2276</v>
      </c>
      <c r="B4594" s="572">
        <v>20.315999999999999</v>
      </c>
      <c r="C4594" s="572">
        <v>115.91200000000001</v>
      </c>
    </row>
    <row r="4595" spans="1:3">
      <c r="A4595" s="571" t="s">
        <v>2276</v>
      </c>
      <c r="B4595" s="572">
        <v>23.702000000000002</v>
      </c>
      <c r="C4595" s="572">
        <v>120.443</v>
      </c>
    </row>
    <row r="4596" spans="1:3">
      <c r="A4596" s="571" t="s">
        <v>2276</v>
      </c>
      <c r="B4596" s="572">
        <v>27.6524</v>
      </c>
      <c r="C4596" s="572">
        <v>124.97799999999999</v>
      </c>
    </row>
    <row r="4597" spans="1:3">
      <c r="A4597" s="571" t="s">
        <v>2276</v>
      </c>
      <c r="B4597" s="572">
        <v>29.909700000000001</v>
      </c>
      <c r="C4597" s="572">
        <v>140.03</v>
      </c>
    </row>
    <row r="4598" spans="1:3">
      <c r="A4598" s="571" t="s">
        <v>2276</v>
      </c>
      <c r="B4598" s="572">
        <v>34.988700000000001</v>
      </c>
      <c r="C4598" s="572">
        <v>143.06800000000001</v>
      </c>
    </row>
    <row r="4599" spans="1:3">
      <c r="A4599" s="571" t="s">
        <v>2276</v>
      </c>
      <c r="B4599" s="572">
        <v>39.503399999999999</v>
      </c>
      <c r="C4599" s="572">
        <v>141.59100000000001</v>
      </c>
    </row>
    <row r="4600" spans="1:3">
      <c r="A4600" s="571" t="s">
        <v>2276</v>
      </c>
      <c r="B4600" s="572">
        <v>44.5824</v>
      </c>
      <c r="C4600" s="572">
        <v>153.65199999999999</v>
      </c>
    </row>
    <row r="4601" spans="1:3">
      <c r="A4601" s="571" t="s">
        <v>2276</v>
      </c>
      <c r="B4601" s="572">
        <v>50.225700000000003</v>
      </c>
      <c r="C4601" s="572">
        <v>158.197</v>
      </c>
    </row>
    <row r="4602" spans="1:3">
      <c r="A4602" s="571" t="s">
        <v>2276</v>
      </c>
      <c r="B4602" s="572">
        <v>59.255099999999999</v>
      </c>
      <c r="C4602" s="572">
        <v>167.274</v>
      </c>
    </row>
    <row r="4603" spans="1:3">
      <c r="A4603" s="571" t="s">
        <v>2276</v>
      </c>
      <c r="B4603" s="572">
        <v>69.977400000000003</v>
      </c>
      <c r="C4603" s="572">
        <v>174.857</v>
      </c>
    </row>
    <row r="4604" spans="1:3">
      <c r="A4604" s="571" t="s">
        <v>2276</v>
      </c>
      <c r="B4604" s="572">
        <v>79.571100000000001</v>
      </c>
      <c r="C4604" s="572">
        <v>180.93</v>
      </c>
    </row>
    <row r="4605" spans="1:3">
      <c r="A4605" s="571" t="s">
        <v>2276</v>
      </c>
      <c r="B4605" s="572">
        <v>89.729100000000003</v>
      </c>
      <c r="C4605" s="572">
        <v>182.495</v>
      </c>
    </row>
    <row r="4606" spans="1:3">
      <c r="A4606" s="571" t="s">
        <v>2276</v>
      </c>
      <c r="B4606" s="572">
        <v>99.322800000000001</v>
      </c>
      <c r="C4606" s="572">
        <v>185.56</v>
      </c>
    </row>
    <row r="4607" spans="1:3">
      <c r="A4607" s="573" t="s">
        <v>2276</v>
      </c>
      <c r="B4607" s="574">
        <v>119.639</v>
      </c>
      <c r="C4607" s="574">
        <v>185.68199999999999</v>
      </c>
    </row>
    <row r="4608" spans="1:3">
      <c r="A4608" s="573" t="s">
        <v>2276</v>
      </c>
      <c r="B4608" s="574">
        <v>139.95500000000001</v>
      </c>
      <c r="C4608" s="574">
        <v>196.33099999999999</v>
      </c>
    </row>
    <row r="4609" spans="1:3">
      <c r="A4609" s="573" t="s">
        <v>2276</v>
      </c>
      <c r="B4609" s="574">
        <v>159.70699999999999</v>
      </c>
      <c r="C4609" s="574">
        <v>196.44900000000001</v>
      </c>
    </row>
    <row r="4610" spans="1:3">
      <c r="A4610" s="573" t="s">
        <v>2276</v>
      </c>
      <c r="B4610" s="574">
        <v>179.458</v>
      </c>
      <c r="C4610" s="574">
        <v>198.072</v>
      </c>
    </row>
    <row r="4611" spans="1:3">
      <c r="A4611" s="573" t="s">
        <v>2276</v>
      </c>
      <c r="B4611" s="574">
        <v>199.774</v>
      </c>
      <c r="C4611" s="574">
        <v>190.67500000000001</v>
      </c>
    </row>
    <row r="4612" spans="1:3">
      <c r="A4612" s="48" t="s">
        <v>2277</v>
      </c>
      <c r="B4612" s="549">
        <v>-7.1100000000000008E-15</v>
      </c>
      <c r="C4612" s="549">
        <v>7.1100000000000008E-15</v>
      </c>
    </row>
    <row r="4613" spans="1:3">
      <c r="A4613" s="48" t="s">
        <v>2277</v>
      </c>
      <c r="B4613" s="549">
        <v>-7.1100000000000008E-15</v>
      </c>
      <c r="C4613" s="549">
        <v>7.1100000000000008E-15</v>
      </c>
    </row>
    <row r="4614" spans="1:3">
      <c r="A4614" s="571" t="s">
        <v>2277</v>
      </c>
      <c r="B4614" s="572">
        <v>1.6930000000000001</v>
      </c>
      <c r="C4614" s="572">
        <v>75.1982</v>
      </c>
    </row>
    <row r="4615" spans="1:3">
      <c r="A4615" s="571" t="s">
        <v>2277</v>
      </c>
      <c r="B4615" s="572">
        <v>2.8216700000000001</v>
      </c>
      <c r="C4615" s="572">
        <v>102.273</v>
      </c>
    </row>
    <row r="4616" spans="1:3">
      <c r="A4616" s="571" t="s">
        <v>2277</v>
      </c>
      <c r="B4616" s="572">
        <v>4.5146699999999997</v>
      </c>
      <c r="C4616" s="572">
        <v>138.37299999999999</v>
      </c>
    </row>
    <row r="4617" spans="1:3">
      <c r="A4617" s="571" t="s">
        <v>2277</v>
      </c>
      <c r="B4617" s="572">
        <v>5.0790100000000002</v>
      </c>
      <c r="C4617" s="572">
        <v>151.91</v>
      </c>
    </row>
    <row r="4618" spans="1:3">
      <c r="A4618" s="571" t="s">
        <v>2277</v>
      </c>
      <c r="B4618" s="572">
        <v>6.7720099999999999</v>
      </c>
      <c r="C4618" s="572">
        <v>165.45400000000001</v>
      </c>
    </row>
    <row r="4619" spans="1:3">
      <c r="A4619" s="571" t="s">
        <v>2277</v>
      </c>
      <c r="B4619" s="572">
        <v>9.5936800000000009</v>
      </c>
      <c r="C4619" s="572">
        <v>192.53899999999999</v>
      </c>
    </row>
    <row r="4620" spans="1:3">
      <c r="A4620" s="571" t="s">
        <v>2277</v>
      </c>
      <c r="B4620" s="572">
        <v>14.1084</v>
      </c>
      <c r="C4620" s="572">
        <v>221.137</v>
      </c>
    </row>
    <row r="4621" spans="1:3">
      <c r="A4621" s="571" t="s">
        <v>2277</v>
      </c>
      <c r="B4621" s="572">
        <v>17.494399999999999</v>
      </c>
      <c r="C4621" s="572">
        <v>243.714</v>
      </c>
    </row>
    <row r="4622" spans="1:3">
      <c r="A4622" s="571" t="s">
        <v>2277</v>
      </c>
      <c r="B4622" s="572">
        <v>24.266400000000001</v>
      </c>
      <c r="C4622" s="572">
        <v>261.8</v>
      </c>
    </row>
    <row r="4623" spans="1:3">
      <c r="A4623" s="571" t="s">
        <v>2277</v>
      </c>
      <c r="B4623" s="572">
        <v>27.6524</v>
      </c>
      <c r="C4623" s="572">
        <v>276.858</v>
      </c>
    </row>
    <row r="4624" spans="1:3">
      <c r="A4624" s="571" t="s">
        <v>2277</v>
      </c>
      <c r="B4624" s="572">
        <v>29.909700000000001</v>
      </c>
      <c r="C4624" s="572">
        <v>281.38299999999998</v>
      </c>
    </row>
    <row r="4625" spans="1:3">
      <c r="A4625" s="571" t="s">
        <v>2277</v>
      </c>
      <c r="B4625" s="572">
        <v>34.424399999999999</v>
      </c>
      <c r="C4625" s="572">
        <v>296.44799999999998</v>
      </c>
    </row>
    <row r="4626" spans="1:3">
      <c r="A4626" s="571" t="s">
        <v>2277</v>
      </c>
      <c r="B4626" s="572">
        <v>40.067700000000002</v>
      </c>
      <c r="C4626" s="572">
        <v>299.48899999999998</v>
      </c>
    </row>
    <row r="4627" spans="1:3">
      <c r="A4627" s="571" t="s">
        <v>2277</v>
      </c>
      <c r="B4627" s="572">
        <v>44.5824</v>
      </c>
      <c r="C4627" s="572">
        <v>310.04300000000001</v>
      </c>
    </row>
    <row r="4628" spans="1:3">
      <c r="A4628" s="571" t="s">
        <v>2277</v>
      </c>
      <c r="B4628" s="572">
        <v>49.6614</v>
      </c>
      <c r="C4628" s="572">
        <v>317.59199999999998</v>
      </c>
    </row>
    <row r="4629" spans="1:3">
      <c r="A4629" s="571" t="s">
        <v>2277</v>
      </c>
      <c r="B4629" s="572">
        <v>59.819400000000002</v>
      </c>
      <c r="C4629" s="572">
        <v>329.68299999999999</v>
      </c>
    </row>
    <row r="4630" spans="1:3">
      <c r="A4630" s="571" t="s">
        <v>2277</v>
      </c>
      <c r="B4630" s="572">
        <v>69.4131</v>
      </c>
      <c r="C4630" s="572">
        <v>341.77100000000002</v>
      </c>
    </row>
    <row r="4631" spans="1:3">
      <c r="A4631" s="571" t="s">
        <v>2277</v>
      </c>
      <c r="B4631" s="572">
        <v>80.135400000000004</v>
      </c>
      <c r="C4631" s="572">
        <v>352.36200000000002</v>
      </c>
    </row>
    <row r="4632" spans="1:3">
      <c r="A4632" s="571" t="s">
        <v>2277</v>
      </c>
      <c r="B4632" s="572">
        <v>89.729100000000003</v>
      </c>
      <c r="C4632" s="572">
        <v>355.42700000000002</v>
      </c>
    </row>
    <row r="4633" spans="1:3">
      <c r="A4633" s="573" t="s">
        <v>2277</v>
      </c>
      <c r="B4633" s="574">
        <v>99.887100000000004</v>
      </c>
      <c r="C4633" s="574">
        <v>356.99200000000002</v>
      </c>
    </row>
    <row r="4634" spans="1:3">
      <c r="A4634" s="573" t="s">
        <v>2277</v>
      </c>
      <c r="B4634" s="574">
        <v>119.074</v>
      </c>
      <c r="C4634" s="574">
        <v>375.15199999999999</v>
      </c>
    </row>
    <row r="4635" spans="1:3">
      <c r="A4635" s="573" t="s">
        <v>2277</v>
      </c>
      <c r="B4635" s="574">
        <v>138.82599999999999</v>
      </c>
      <c r="C4635" s="574">
        <v>373.767</v>
      </c>
    </row>
    <row r="4636" spans="1:3">
      <c r="A4636" s="573" t="s">
        <v>2277</v>
      </c>
      <c r="B4636" s="574">
        <v>159.70699999999999</v>
      </c>
      <c r="C4636" s="574">
        <v>400.96100000000001</v>
      </c>
    </row>
    <row r="4637" spans="1:3">
      <c r="A4637" s="573" t="s">
        <v>2277</v>
      </c>
      <c r="B4637" s="574">
        <v>178.89400000000001</v>
      </c>
      <c r="C4637" s="574">
        <v>414.61</v>
      </c>
    </row>
    <row r="4638" spans="1:3">
      <c r="A4638" s="573" t="s">
        <v>2277</v>
      </c>
      <c r="B4638" s="574">
        <v>199.21</v>
      </c>
      <c r="C4638" s="574">
        <v>417.74</v>
      </c>
    </row>
    <row r="4639" spans="1:3">
      <c r="A4639" s="571" t="s">
        <v>1909</v>
      </c>
      <c r="B4639" s="572">
        <v>7</v>
      </c>
      <c r="C4639" s="572">
        <v>139</v>
      </c>
    </row>
    <row r="4640" spans="1:3">
      <c r="A4640" s="571" t="s">
        <v>1909</v>
      </c>
      <c r="B4640" s="572">
        <v>14</v>
      </c>
      <c r="C4640" s="572">
        <v>241</v>
      </c>
    </row>
    <row r="4641" spans="1:3">
      <c r="A4641" s="571" t="s">
        <v>1909</v>
      </c>
      <c r="B4641" s="572">
        <v>28</v>
      </c>
      <c r="C4641" s="572">
        <v>341</v>
      </c>
    </row>
    <row r="4642" spans="1:3">
      <c r="A4642" s="571" t="s">
        <v>1909</v>
      </c>
      <c r="B4642" s="572">
        <v>56</v>
      </c>
      <c r="C4642" s="572">
        <v>387</v>
      </c>
    </row>
    <row r="4643" spans="1:3">
      <c r="A4643" s="573" t="s">
        <v>1909</v>
      </c>
      <c r="B4643" s="574">
        <v>112</v>
      </c>
      <c r="C4643" s="574">
        <v>380</v>
      </c>
    </row>
    <row r="4644" spans="1:3">
      <c r="A4644" s="573" t="s">
        <v>1909</v>
      </c>
      <c r="B4644" s="574">
        <v>224</v>
      </c>
      <c r="C4644" s="574">
        <v>418</v>
      </c>
    </row>
    <row r="4645" spans="1:3">
      <c r="A4645" s="573" t="s">
        <v>1909</v>
      </c>
      <c r="B4645" s="574">
        <v>448</v>
      </c>
      <c r="C4645" s="574">
        <v>433</v>
      </c>
    </row>
    <row r="4646" spans="1:3">
      <c r="A4646" s="571" t="s">
        <v>1910</v>
      </c>
      <c r="B4646" s="572">
        <v>7</v>
      </c>
      <c r="C4646" s="572">
        <v>124</v>
      </c>
    </row>
    <row r="4647" spans="1:3">
      <c r="A4647" s="571" t="s">
        <v>1910</v>
      </c>
      <c r="B4647" s="572">
        <v>14</v>
      </c>
      <c r="C4647" s="572">
        <v>163</v>
      </c>
    </row>
    <row r="4648" spans="1:3">
      <c r="A4648" s="571" t="s">
        <v>1910</v>
      </c>
      <c r="B4648" s="572">
        <v>28</v>
      </c>
      <c r="C4648" s="572">
        <v>224</v>
      </c>
    </row>
    <row r="4649" spans="1:3">
      <c r="A4649" s="571" t="s">
        <v>1910</v>
      </c>
      <c r="B4649" s="572">
        <v>56</v>
      </c>
      <c r="C4649" s="572">
        <v>302</v>
      </c>
    </row>
    <row r="4650" spans="1:3">
      <c r="A4650" s="573" t="s">
        <v>1910</v>
      </c>
      <c r="B4650" s="574">
        <v>112</v>
      </c>
      <c r="C4650" s="574">
        <v>355</v>
      </c>
    </row>
    <row r="4651" spans="1:3">
      <c r="A4651" s="573" t="s">
        <v>1910</v>
      </c>
      <c r="B4651" s="574">
        <v>224</v>
      </c>
      <c r="C4651" s="574">
        <v>397</v>
      </c>
    </row>
    <row r="4652" spans="1:3">
      <c r="A4652" s="571" t="s">
        <v>1911</v>
      </c>
      <c r="B4652" s="572">
        <v>7</v>
      </c>
      <c r="C4652" s="572">
        <v>245</v>
      </c>
    </row>
    <row r="4653" spans="1:3">
      <c r="A4653" s="571" t="s">
        <v>1911</v>
      </c>
      <c r="B4653" s="572">
        <v>14</v>
      </c>
      <c r="C4653" s="572">
        <v>330</v>
      </c>
    </row>
    <row r="4654" spans="1:3">
      <c r="A4654" s="571" t="s">
        <v>1911</v>
      </c>
      <c r="B4654" s="572">
        <v>28</v>
      </c>
      <c r="C4654" s="572">
        <v>422</v>
      </c>
    </row>
    <row r="4655" spans="1:3">
      <c r="A4655" s="571" t="s">
        <v>1911</v>
      </c>
      <c r="B4655" s="572">
        <v>56</v>
      </c>
      <c r="C4655" s="572">
        <v>493</v>
      </c>
    </row>
    <row r="4656" spans="1:3">
      <c r="A4656" s="573" t="s">
        <v>1911</v>
      </c>
      <c r="B4656" s="574">
        <v>112</v>
      </c>
      <c r="C4656" s="574">
        <v>536</v>
      </c>
    </row>
    <row r="4657" spans="1:3">
      <c r="A4657" s="573" t="s">
        <v>1911</v>
      </c>
      <c r="B4657" s="574">
        <v>224</v>
      </c>
      <c r="C4657" s="574">
        <v>582</v>
      </c>
    </row>
    <row r="4658" spans="1:3">
      <c r="A4658" s="573" t="s">
        <v>1911</v>
      </c>
      <c r="B4658" s="574">
        <v>448</v>
      </c>
      <c r="C4658" s="574">
        <v>589</v>
      </c>
    </row>
    <row r="4659" spans="1:3">
      <c r="A4659" s="571" t="s">
        <v>1912</v>
      </c>
      <c r="B4659" s="572">
        <v>7</v>
      </c>
      <c r="C4659" s="572">
        <v>125</v>
      </c>
    </row>
    <row r="4660" spans="1:3">
      <c r="A4660" s="571" t="s">
        <v>1912</v>
      </c>
      <c r="B4660" s="572">
        <v>14</v>
      </c>
      <c r="C4660" s="572">
        <v>177</v>
      </c>
    </row>
    <row r="4661" spans="1:3">
      <c r="A4661" s="571" t="s">
        <v>1912</v>
      </c>
      <c r="B4661" s="572">
        <v>28</v>
      </c>
      <c r="C4661" s="572">
        <v>217</v>
      </c>
    </row>
    <row r="4662" spans="1:3">
      <c r="A4662" s="571" t="s">
        <v>1912</v>
      </c>
      <c r="B4662" s="572">
        <v>56</v>
      </c>
      <c r="C4662" s="572">
        <v>270</v>
      </c>
    </row>
    <row r="4663" spans="1:3">
      <c r="A4663" s="573" t="s">
        <v>1912</v>
      </c>
      <c r="B4663" s="574">
        <v>112</v>
      </c>
      <c r="C4663" s="574">
        <v>319</v>
      </c>
    </row>
    <row r="4664" spans="1:3">
      <c r="A4664" s="573" t="s">
        <v>1912</v>
      </c>
      <c r="B4664" s="574">
        <v>224</v>
      </c>
      <c r="C4664" s="574">
        <v>362</v>
      </c>
    </row>
    <row r="4665" spans="1:3">
      <c r="A4665" s="571" t="s">
        <v>1913</v>
      </c>
      <c r="B4665" s="572">
        <v>7</v>
      </c>
      <c r="C4665" s="572">
        <v>210</v>
      </c>
    </row>
    <row r="4666" spans="1:3">
      <c r="A4666" s="571" t="s">
        <v>1913</v>
      </c>
      <c r="B4666" s="572">
        <v>14</v>
      </c>
      <c r="C4666" s="572">
        <v>291</v>
      </c>
    </row>
    <row r="4667" spans="1:3">
      <c r="A4667" s="571" t="s">
        <v>1913</v>
      </c>
      <c r="B4667" s="572">
        <v>28</v>
      </c>
      <c r="C4667" s="572">
        <v>366</v>
      </c>
    </row>
    <row r="4668" spans="1:3">
      <c r="A4668" s="571" t="s">
        <v>1913</v>
      </c>
      <c r="B4668" s="572">
        <v>56</v>
      </c>
      <c r="C4668" s="572">
        <v>419</v>
      </c>
    </row>
    <row r="4669" spans="1:3">
      <c r="A4669" s="573" t="s">
        <v>1913</v>
      </c>
      <c r="B4669" s="574">
        <v>112</v>
      </c>
      <c r="C4669" s="574">
        <v>411</v>
      </c>
    </row>
    <row r="4670" spans="1:3">
      <c r="A4670" s="573" t="s">
        <v>1913</v>
      </c>
      <c r="B4670" s="574">
        <v>224</v>
      </c>
      <c r="C4670" s="574">
        <v>437</v>
      </c>
    </row>
    <row r="4671" spans="1:3">
      <c r="A4671" s="573" t="s">
        <v>1913</v>
      </c>
      <c r="B4671" s="574">
        <v>448</v>
      </c>
      <c r="C4671" s="574">
        <v>450</v>
      </c>
    </row>
    <row r="4672" spans="1:3">
      <c r="A4672" s="571" t="s">
        <v>1914</v>
      </c>
      <c r="B4672" s="572">
        <v>7</v>
      </c>
      <c r="C4672" s="572">
        <v>106</v>
      </c>
    </row>
    <row r="4673" spans="1:3">
      <c r="A4673" s="571" t="s">
        <v>1914</v>
      </c>
      <c r="B4673" s="572">
        <v>14</v>
      </c>
      <c r="C4673" s="572">
        <v>156</v>
      </c>
    </row>
    <row r="4674" spans="1:3">
      <c r="A4674" s="571" t="s">
        <v>1914</v>
      </c>
      <c r="B4674" s="572">
        <v>28</v>
      </c>
      <c r="C4674" s="572">
        <v>203</v>
      </c>
    </row>
    <row r="4675" spans="1:3">
      <c r="A4675" s="571" t="s">
        <v>1914</v>
      </c>
      <c r="B4675" s="572">
        <v>56</v>
      </c>
      <c r="C4675" s="572">
        <v>281</v>
      </c>
    </row>
    <row r="4676" spans="1:3">
      <c r="A4676" s="573" t="s">
        <v>1914</v>
      </c>
      <c r="B4676" s="574">
        <v>112</v>
      </c>
      <c r="C4676" s="574">
        <v>326</v>
      </c>
    </row>
    <row r="4677" spans="1:3">
      <c r="A4677" s="573" t="s">
        <v>1914</v>
      </c>
      <c r="B4677" s="574">
        <v>224</v>
      </c>
      <c r="C4677" s="574">
        <v>373</v>
      </c>
    </row>
    <row r="4678" spans="1:3">
      <c r="A4678" s="571" t="s">
        <v>1915</v>
      </c>
      <c r="B4678" s="572">
        <v>7</v>
      </c>
      <c r="C4678" s="572">
        <v>231</v>
      </c>
    </row>
    <row r="4679" spans="1:3">
      <c r="A4679" s="571" t="s">
        <v>1915</v>
      </c>
      <c r="B4679" s="572">
        <v>14</v>
      </c>
      <c r="C4679" s="572">
        <v>344</v>
      </c>
    </row>
    <row r="4680" spans="1:3">
      <c r="A4680" s="571" t="s">
        <v>1915</v>
      </c>
      <c r="B4680" s="572">
        <v>28</v>
      </c>
      <c r="C4680" s="572">
        <v>440</v>
      </c>
    </row>
    <row r="4681" spans="1:3">
      <c r="A4681" s="571" t="s">
        <v>1915</v>
      </c>
      <c r="B4681" s="572">
        <v>56</v>
      </c>
      <c r="C4681" s="572">
        <v>515</v>
      </c>
    </row>
    <row r="4682" spans="1:3">
      <c r="A4682" s="573" t="s">
        <v>1915</v>
      </c>
      <c r="B4682" s="574">
        <v>112</v>
      </c>
      <c r="C4682" s="574">
        <v>557</v>
      </c>
    </row>
    <row r="4683" spans="1:3">
      <c r="A4683" s="573" t="s">
        <v>1915</v>
      </c>
      <c r="B4683" s="574">
        <v>224</v>
      </c>
      <c r="C4683" s="574">
        <v>582</v>
      </c>
    </row>
    <row r="4684" spans="1:3">
      <c r="A4684" s="573" t="s">
        <v>1915</v>
      </c>
      <c r="B4684" s="574">
        <v>448</v>
      </c>
      <c r="C4684" s="574">
        <v>606</v>
      </c>
    </row>
    <row r="4685" spans="1:3">
      <c r="A4685" s="571" t="s">
        <v>1916</v>
      </c>
      <c r="B4685" s="572">
        <v>7</v>
      </c>
      <c r="C4685" s="572">
        <v>110</v>
      </c>
    </row>
    <row r="4686" spans="1:3">
      <c r="A4686" s="571" t="s">
        <v>1916</v>
      </c>
      <c r="B4686" s="572">
        <v>14</v>
      </c>
      <c r="C4686" s="572">
        <v>160</v>
      </c>
    </row>
    <row r="4687" spans="1:3">
      <c r="A4687" s="571" t="s">
        <v>1916</v>
      </c>
      <c r="B4687" s="572">
        <v>28</v>
      </c>
      <c r="C4687" s="572">
        <v>238</v>
      </c>
    </row>
    <row r="4688" spans="1:3">
      <c r="A4688" s="571" t="s">
        <v>1916</v>
      </c>
      <c r="B4688" s="572">
        <v>56</v>
      </c>
      <c r="C4688" s="572">
        <v>284</v>
      </c>
    </row>
    <row r="4689" spans="1:3">
      <c r="A4689" s="573" t="s">
        <v>1916</v>
      </c>
      <c r="B4689" s="574">
        <v>112</v>
      </c>
      <c r="C4689" s="574">
        <v>351</v>
      </c>
    </row>
    <row r="4690" spans="1:3">
      <c r="A4690" s="573" t="s">
        <v>1916</v>
      </c>
      <c r="B4690" s="574">
        <v>224</v>
      </c>
      <c r="C4690" s="574">
        <v>380</v>
      </c>
    </row>
    <row r="4691" spans="1:3">
      <c r="A4691" s="571" t="s">
        <v>1917</v>
      </c>
      <c r="B4691" s="572">
        <v>7</v>
      </c>
      <c r="C4691" s="572">
        <v>181</v>
      </c>
    </row>
    <row r="4692" spans="1:3">
      <c r="A4692" s="571" t="s">
        <v>1917</v>
      </c>
      <c r="B4692" s="572">
        <v>14</v>
      </c>
      <c r="C4692" s="572">
        <v>263</v>
      </c>
    </row>
    <row r="4693" spans="1:3">
      <c r="A4693" s="571" t="s">
        <v>1917</v>
      </c>
      <c r="B4693" s="572">
        <v>28</v>
      </c>
      <c r="C4693" s="572">
        <v>352</v>
      </c>
    </row>
    <row r="4694" spans="1:3">
      <c r="A4694" s="571" t="s">
        <v>1917</v>
      </c>
      <c r="B4694" s="572">
        <v>56</v>
      </c>
      <c r="C4694" s="572">
        <v>422</v>
      </c>
    </row>
    <row r="4695" spans="1:3">
      <c r="A4695" s="573" t="s">
        <v>1917</v>
      </c>
      <c r="B4695" s="574">
        <v>112</v>
      </c>
      <c r="C4695" s="574">
        <v>419</v>
      </c>
    </row>
    <row r="4696" spans="1:3">
      <c r="A4696" s="573" t="s">
        <v>1917</v>
      </c>
      <c r="B4696" s="574">
        <v>224</v>
      </c>
      <c r="C4696" s="574">
        <v>458</v>
      </c>
    </row>
    <row r="4697" spans="1:3">
      <c r="A4697" s="573" t="s">
        <v>1917</v>
      </c>
      <c r="B4697" s="574">
        <v>448</v>
      </c>
      <c r="C4697" s="574">
        <v>497</v>
      </c>
    </row>
    <row r="4698" spans="1:3">
      <c r="A4698" s="571" t="s">
        <v>1918</v>
      </c>
      <c r="B4698" s="572">
        <v>7</v>
      </c>
      <c r="C4698" s="572">
        <v>71</v>
      </c>
    </row>
    <row r="4699" spans="1:3">
      <c r="A4699" s="571" t="s">
        <v>1918</v>
      </c>
      <c r="B4699" s="572">
        <v>14</v>
      </c>
      <c r="C4699" s="572">
        <v>167</v>
      </c>
    </row>
    <row r="4700" spans="1:3">
      <c r="A4700" s="571" t="s">
        <v>1918</v>
      </c>
      <c r="B4700" s="572">
        <v>28</v>
      </c>
      <c r="C4700" s="572">
        <v>210</v>
      </c>
    </row>
    <row r="4701" spans="1:3">
      <c r="A4701" s="571" t="s">
        <v>1918</v>
      </c>
      <c r="B4701" s="572">
        <v>56</v>
      </c>
      <c r="C4701" s="572">
        <v>284</v>
      </c>
    </row>
    <row r="4702" spans="1:3">
      <c r="A4702" s="573" t="s">
        <v>1918</v>
      </c>
      <c r="B4702" s="574">
        <v>112</v>
      </c>
      <c r="C4702" s="574">
        <v>352</v>
      </c>
    </row>
    <row r="4703" spans="1:3">
      <c r="A4703" s="573" t="s">
        <v>1918</v>
      </c>
      <c r="B4703" s="574">
        <v>224</v>
      </c>
      <c r="C4703" s="574">
        <v>415</v>
      </c>
    </row>
    <row r="4704" spans="1:3">
      <c r="A4704" s="571" t="s">
        <v>1919</v>
      </c>
      <c r="B4704" s="572">
        <v>7</v>
      </c>
      <c r="C4704" s="572">
        <v>121</v>
      </c>
    </row>
    <row r="4705" spans="1:3">
      <c r="A4705" s="571" t="s">
        <v>1919</v>
      </c>
      <c r="B4705" s="572">
        <v>14</v>
      </c>
      <c r="C4705" s="572">
        <v>231</v>
      </c>
    </row>
    <row r="4706" spans="1:3">
      <c r="A4706" s="571" t="s">
        <v>1919</v>
      </c>
      <c r="B4706" s="572">
        <v>28</v>
      </c>
      <c r="C4706" s="572">
        <v>352</v>
      </c>
    </row>
    <row r="4707" spans="1:3">
      <c r="A4707" s="571" t="s">
        <v>1919</v>
      </c>
      <c r="B4707" s="572">
        <v>56</v>
      </c>
      <c r="C4707" s="572">
        <v>394</v>
      </c>
    </row>
    <row r="4708" spans="1:3">
      <c r="A4708" s="573" t="s">
        <v>1919</v>
      </c>
      <c r="B4708" s="574">
        <v>112</v>
      </c>
      <c r="C4708" s="574">
        <v>437</v>
      </c>
    </row>
    <row r="4709" spans="1:3">
      <c r="A4709" s="573" t="s">
        <v>1919</v>
      </c>
      <c r="B4709" s="574">
        <v>224</v>
      </c>
      <c r="C4709" s="574">
        <v>472</v>
      </c>
    </row>
    <row r="4710" spans="1:3">
      <c r="A4710" s="573" t="s">
        <v>1919</v>
      </c>
      <c r="B4710" s="574">
        <v>448</v>
      </c>
      <c r="C4710" s="574">
        <v>507</v>
      </c>
    </row>
    <row r="4711" spans="1:3">
      <c r="A4711" s="571" t="s">
        <v>1920</v>
      </c>
      <c r="B4711" s="572">
        <v>7</v>
      </c>
      <c r="C4711" s="572">
        <v>82</v>
      </c>
    </row>
    <row r="4712" spans="1:3">
      <c r="A4712" s="571" t="s">
        <v>1920</v>
      </c>
      <c r="B4712" s="572">
        <v>14</v>
      </c>
      <c r="C4712" s="572">
        <v>153</v>
      </c>
    </row>
    <row r="4713" spans="1:3">
      <c r="A4713" s="571" t="s">
        <v>1920</v>
      </c>
      <c r="B4713" s="572">
        <v>28</v>
      </c>
      <c r="C4713" s="572">
        <v>210</v>
      </c>
    </row>
    <row r="4714" spans="1:3">
      <c r="A4714" s="571" t="s">
        <v>1920</v>
      </c>
      <c r="B4714" s="572">
        <v>56</v>
      </c>
      <c r="C4714" s="572">
        <v>259</v>
      </c>
    </row>
    <row r="4715" spans="1:3">
      <c r="A4715" s="573" t="s">
        <v>1920</v>
      </c>
      <c r="B4715" s="574">
        <v>112</v>
      </c>
      <c r="C4715" s="574">
        <v>337</v>
      </c>
    </row>
    <row r="4716" spans="1:3">
      <c r="A4716" s="573" t="s">
        <v>1920</v>
      </c>
      <c r="B4716" s="574">
        <v>224</v>
      </c>
      <c r="C4716" s="574">
        <v>401</v>
      </c>
    </row>
    <row r="4717" spans="1:3">
      <c r="A4717" s="571" t="s">
        <v>1921</v>
      </c>
      <c r="B4717" s="572">
        <v>7</v>
      </c>
      <c r="C4717" s="572">
        <v>160</v>
      </c>
    </row>
    <row r="4718" spans="1:3">
      <c r="A4718" s="571" t="s">
        <v>1921</v>
      </c>
      <c r="B4718" s="572">
        <v>14</v>
      </c>
      <c r="C4718" s="572">
        <v>274</v>
      </c>
    </row>
    <row r="4719" spans="1:3">
      <c r="A4719" s="571" t="s">
        <v>1921</v>
      </c>
      <c r="B4719" s="572">
        <v>28</v>
      </c>
      <c r="C4719" s="572">
        <v>344</v>
      </c>
    </row>
    <row r="4720" spans="1:3">
      <c r="A4720" s="571" t="s">
        <v>1921</v>
      </c>
      <c r="B4720" s="572">
        <v>56</v>
      </c>
      <c r="C4720" s="572">
        <v>404</v>
      </c>
    </row>
    <row r="4721" spans="1:3">
      <c r="A4721" s="573" t="s">
        <v>1921</v>
      </c>
      <c r="B4721" s="574">
        <v>112</v>
      </c>
      <c r="C4721" s="574">
        <v>433</v>
      </c>
    </row>
    <row r="4722" spans="1:3">
      <c r="A4722" s="573" t="s">
        <v>1921</v>
      </c>
      <c r="B4722" s="574">
        <v>224</v>
      </c>
      <c r="C4722" s="574">
        <v>472</v>
      </c>
    </row>
    <row r="4723" spans="1:3">
      <c r="A4723" s="573" t="s">
        <v>1921</v>
      </c>
      <c r="B4723" s="574">
        <v>448</v>
      </c>
      <c r="C4723" s="574">
        <v>511</v>
      </c>
    </row>
    <row r="4724" spans="1:3">
      <c r="A4724" s="571" t="s">
        <v>1922</v>
      </c>
      <c r="B4724" s="572">
        <v>7</v>
      </c>
      <c r="C4724" s="572">
        <v>139</v>
      </c>
    </row>
    <row r="4725" spans="1:3">
      <c r="A4725" s="571" t="s">
        <v>1922</v>
      </c>
      <c r="B4725" s="572">
        <v>14</v>
      </c>
      <c r="C4725" s="572">
        <v>170</v>
      </c>
    </row>
    <row r="4726" spans="1:3">
      <c r="A4726" s="571" t="s">
        <v>1922</v>
      </c>
      <c r="B4726" s="572">
        <v>28</v>
      </c>
      <c r="C4726" s="572">
        <v>210</v>
      </c>
    </row>
    <row r="4727" spans="1:3">
      <c r="A4727" s="571" t="s">
        <v>1922</v>
      </c>
      <c r="B4727" s="572">
        <v>56</v>
      </c>
      <c r="C4727" s="572">
        <v>255</v>
      </c>
    </row>
    <row r="4728" spans="1:3">
      <c r="A4728" s="573" t="s">
        <v>1922</v>
      </c>
      <c r="B4728" s="574">
        <v>112</v>
      </c>
      <c r="C4728" s="574">
        <v>309</v>
      </c>
    </row>
    <row r="4729" spans="1:3">
      <c r="A4729" s="573" t="s">
        <v>1922</v>
      </c>
      <c r="B4729" s="574">
        <v>224</v>
      </c>
      <c r="C4729" s="574">
        <v>365</v>
      </c>
    </row>
    <row r="4730" spans="1:3">
      <c r="A4730" s="571" t="s">
        <v>1923</v>
      </c>
      <c r="B4730" s="572">
        <v>7</v>
      </c>
      <c r="C4730" s="572">
        <v>241</v>
      </c>
    </row>
    <row r="4731" spans="1:3">
      <c r="A4731" s="571" t="s">
        <v>1923</v>
      </c>
      <c r="B4731" s="572">
        <v>14</v>
      </c>
      <c r="C4731" s="572">
        <v>287</v>
      </c>
    </row>
    <row r="4732" spans="1:3">
      <c r="A4732" s="571" t="s">
        <v>1923</v>
      </c>
      <c r="B4732" s="572">
        <v>28</v>
      </c>
      <c r="C4732" s="572">
        <v>387</v>
      </c>
    </row>
    <row r="4733" spans="1:3">
      <c r="A4733" s="571" t="s">
        <v>1923</v>
      </c>
      <c r="B4733" s="572">
        <v>56</v>
      </c>
      <c r="C4733" s="572">
        <v>433</v>
      </c>
    </row>
    <row r="4734" spans="1:3">
      <c r="A4734" s="573" t="s">
        <v>1923</v>
      </c>
      <c r="B4734" s="574">
        <v>112</v>
      </c>
      <c r="C4734" s="574">
        <v>479</v>
      </c>
    </row>
    <row r="4735" spans="1:3">
      <c r="A4735" s="573" t="s">
        <v>1923</v>
      </c>
      <c r="B4735" s="574">
        <v>224</v>
      </c>
      <c r="C4735" s="574">
        <v>518</v>
      </c>
    </row>
    <row r="4736" spans="1:3">
      <c r="A4736" s="573" t="s">
        <v>1923</v>
      </c>
      <c r="B4736" s="574">
        <v>448</v>
      </c>
      <c r="C4736" s="574">
        <v>539</v>
      </c>
    </row>
    <row r="4737" spans="1:3">
      <c r="A4737" s="571" t="s">
        <v>1924</v>
      </c>
      <c r="B4737" s="572">
        <v>7</v>
      </c>
      <c r="C4737" s="572">
        <v>71</v>
      </c>
    </row>
    <row r="4738" spans="1:3">
      <c r="A4738" s="571" t="s">
        <v>1924</v>
      </c>
      <c r="B4738" s="572">
        <v>14</v>
      </c>
      <c r="C4738" s="572">
        <v>135</v>
      </c>
    </row>
    <row r="4739" spans="1:3">
      <c r="A4739" s="571" t="s">
        <v>1924</v>
      </c>
      <c r="B4739" s="572">
        <v>28</v>
      </c>
      <c r="C4739" s="572">
        <v>199</v>
      </c>
    </row>
    <row r="4740" spans="1:3">
      <c r="A4740" s="571" t="s">
        <v>1924</v>
      </c>
      <c r="B4740" s="572">
        <v>56</v>
      </c>
      <c r="C4740" s="572">
        <v>252</v>
      </c>
    </row>
    <row r="4741" spans="1:3">
      <c r="A4741" s="573" t="s">
        <v>1924</v>
      </c>
      <c r="B4741" s="574">
        <v>112</v>
      </c>
      <c r="C4741" s="574">
        <v>316</v>
      </c>
    </row>
    <row r="4742" spans="1:3">
      <c r="A4742" s="573" t="s">
        <v>1924</v>
      </c>
      <c r="B4742" s="574">
        <v>224</v>
      </c>
      <c r="C4742" s="574">
        <v>373</v>
      </c>
    </row>
    <row r="4743" spans="1:3">
      <c r="A4743" s="571" t="s">
        <v>1925</v>
      </c>
      <c r="B4743" s="572">
        <v>7</v>
      </c>
      <c r="C4743" s="572">
        <v>170</v>
      </c>
    </row>
    <row r="4744" spans="1:3">
      <c r="A4744" s="571" t="s">
        <v>1925</v>
      </c>
      <c r="B4744" s="572">
        <v>14</v>
      </c>
      <c r="C4744" s="572">
        <v>233</v>
      </c>
    </row>
    <row r="4745" spans="1:3">
      <c r="A4745" s="571" t="s">
        <v>1925</v>
      </c>
      <c r="B4745" s="572">
        <v>28</v>
      </c>
      <c r="C4745" s="572">
        <v>305</v>
      </c>
    </row>
    <row r="4746" spans="1:3">
      <c r="A4746" s="571" t="s">
        <v>1925</v>
      </c>
      <c r="B4746" s="572">
        <v>56</v>
      </c>
      <c r="C4746" s="572">
        <v>376</v>
      </c>
    </row>
    <row r="4747" spans="1:3">
      <c r="A4747" s="573" t="s">
        <v>1925</v>
      </c>
      <c r="B4747" s="574">
        <v>112</v>
      </c>
      <c r="C4747" s="574">
        <v>419</v>
      </c>
    </row>
    <row r="4748" spans="1:3">
      <c r="A4748" s="573" t="s">
        <v>1925</v>
      </c>
      <c r="B4748" s="574">
        <v>224</v>
      </c>
      <c r="C4748" s="574">
        <v>433</v>
      </c>
    </row>
    <row r="4749" spans="1:3">
      <c r="A4749" s="573" t="s">
        <v>1925</v>
      </c>
      <c r="B4749" s="574">
        <v>448</v>
      </c>
      <c r="C4749" s="574">
        <v>457</v>
      </c>
    </row>
    <row r="4750" spans="1:3">
      <c r="A4750" s="571" t="s">
        <v>1926</v>
      </c>
      <c r="B4750" s="572">
        <v>7</v>
      </c>
      <c r="C4750" s="572">
        <v>60</v>
      </c>
    </row>
    <row r="4751" spans="1:3">
      <c r="A4751" s="571" t="s">
        <v>1926</v>
      </c>
      <c r="B4751" s="572">
        <v>14</v>
      </c>
      <c r="C4751" s="572">
        <v>145</v>
      </c>
    </row>
    <row r="4752" spans="1:3">
      <c r="A4752" s="571" t="s">
        <v>1926</v>
      </c>
      <c r="B4752" s="572">
        <v>28</v>
      </c>
      <c r="C4752" s="572">
        <v>206</v>
      </c>
    </row>
    <row r="4753" spans="1:3">
      <c r="A4753" s="571" t="s">
        <v>1926</v>
      </c>
      <c r="B4753" s="572">
        <v>56</v>
      </c>
      <c r="C4753" s="572">
        <v>241</v>
      </c>
    </row>
    <row r="4754" spans="1:3">
      <c r="A4754" s="573" t="s">
        <v>1926</v>
      </c>
      <c r="B4754" s="574">
        <v>112</v>
      </c>
      <c r="C4754" s="574">
        <v>298</v>
      </c>
    </row>
    <row r="4755" spans="1:3">
      <c r="A4755" s="573" t="s">
        <v>1926</v>
      </c>
      <c r="B4755" s="574">
        <v>224</v>
      </c>
      <c r="C4755" s="574">
        <v>365</v>
      </c>
    </row>
    <row r="4756" spans="1:3">
      <c r="A4756" s="571" t="s">
        <v>1927</v>
      </c>
      <c r="B4756" s="572">
        <v>7</v>
      </c>
      <c r="C4756" s="572">
        <v>181</v>
      </c>
    </row>
    <row r="4757" spans="1:3">
      <c r="A4757" s="571" t="s">
        <v>1927</v>
      </c>
      <c r="B4757" s="572">
        <v>14</v>
      </c>
      <c r="C4757" s="572">
        <v>288</v>
      </c>
    </row>
    <row r="4758" spans="1:3">
      <c r="A4758" s="571" t="s">
        <v>1927</v>
      </c>
      <c r="B4758" s="572">
        <v>28</v>
      </c>
      <c r="C4758" s="572">
        <v>362</v>
      </c>
    </row>
    <row r="4759" spans="1:3">
      <c r="A4759" s="571" t="s">
        <v>1927</v>
      </c>
      <c r="B4759" s="572">
        <v>56</v>
      </c>
      <c r="C4759" s="572">
        <v>430</v>
      </c>
    </row>
    <row r="4760" spans="1:3">
      <c r="A4760" s="573" t="s">
        <v>1927</v>
      </c>
      <c r="B4760" s="574">
        <v>112</v>
      </c>
      <c r="C4760" s="574">
        <v>475</v>
      </c>
    </row>
    <row r="4761" spans="1:3">
      <c r="A4761" s="573" t="s">
        <v>1927</v>
      </c>
      <c r="B4761" s="574">
        <v>224</v>
      </c>
      <c r="C4761" s="574">
        <v>515</v>
      </c>
    </row>
    <row r="4762" spans="1:3">
      <c r="A4762" s="573" t="s">
        <v>1927</v>
      </c>
      <c r="B4762" s="574">
        <v>448</v>
      </c>
      <c r="C4762" s="574">
        <v>536</v>
      </c>
    </row>
    <row r="4763" spans="1:3">
      <c r="A4763" s="571" t="s">
        <v>1928</v>
      </c>
      <c r="B4763" s="572">
        <v>7</v>
      </c>
      <c r="C4763" s="572">
        <v>132</v>
      </c>
    </row>
    <row r="4764" spans="1:3">
      <c r="A4764" s="571" t="s">
        <v>1928</v>
      </c>
      <c r="B4764" s="572">
        <v>14</v>
      </c>
      <c r="C4764" s="572">
        <v>188</v>
      </c>
    </row>
    <row r="4765" spans="1:3">
      <c r="A4765" s="571" t="s">
        <v>1928</v>
      </c>
      <c r="B4765" s="572">
        <v>28</v>
      </c>
      <c r="C4765" s="572">
        <v>266</v>
      </c>
    </row>
    <row r="4766" spans="1:3">
      <c r="A4766" s="571" t="s">
        <v>1928</v>
      </c>
      <c r="B4766" s="572">
        <v>56</v>
      </c>
      <c r="C4766" s="572">
        <v>316</v>
      </c>
    </row>
    <row r="4767" spans="1:3">
      <c r="A4767" s="573" t="s">
        <v>1928</v>
      </c>
      <c r="B4767" s="574">
        <v>112</v>
      </c>
      <c r="C4767" s="574">
        <v>362</v>
      </c>
    </row>
    <row r="4768" spans="1:3">
      <c r="A4768" s="573" t="s">
        <v>1928</v>
      </c>
      <c r="B4768" s="574">
        <v>224</v>
      </c>
      <c r="C4768" s="574">
        <v>430</v>
      </c>
    </row>
    <row r="4769" spans="1:3">
      <c r="A4769" s="571" t="s">
        <v>1929</v>
      </c>
      <c r="B4769" s="572">
        <v>7</v>
      </c>
      <c r="C4769" s="572">
        <v>192</v>
      </c>
    </row>
    <row r="4770" spans="1:3">
      <c r="A4770" s="571" t="s">
        <v>1929</v>
      </c>
      <c r="B4770" s="572">
        <v>14</v>
      </c>
      <c r="C4770" s="572">
        <v>245</v>
      </c>
    </row>
    <row r="4771" spans="1:3">
      <c r="A4771" s="571" t="s">
        <v>1929</v>
      </c>
      <c r="B4771" s="572">
        <v>28</v>
      </c>
      <c r="C4771" s="572">
        <v>326</v>
      </c>
    </row>
    <row r="4772" spans="1:3">
      <c r="A4772" s="571" t="s">
        <v>1929</v>
      </c>
      <c r="B4772" s="572">
        <v>56</v>
      </c>
      <c r="C4772" s="572">
        <v>369</v>
      </c>
    </row>
    <row r="4773" spans="1:3">
      <c r="A4773" s="573" t="s">
        <v>1929</v>
      </c>
      <c r="B4773" s="574">
        <v>112</v>
      </c>
      <c r="C4773" s="574">
        <v>426</v>
      </c>
    </row>
    <row r="4774" spans="1:3">
      <c r="A4774" s="573" t="s">
        <v>1929</v>
      </c>
      <c r="B4774" s="574">
        <v>224</v>
      </c>
      <c r="C4774" s="574">
        <v>461</v>
      </c>
    </row>
    <row r="4775" spans="1:3">
      <c r="A4775" s="571" t="s">
        <v>1930</v>
      </c>
      <c r="B4775" s="572">
        <v>7</v>
      </c>
      <c r="C4775" s="572">
        <v>110</v>
      </c>
    </row>
    <row r="4776" spans="1:3">
      <c r="A4776" s="571" t="s">
        <v>1930</v>
      </c>
      <c r="B4776" s="572">
        <v>14</v>
      </c>
      <c r="C4776" s="572">
        <v>196</v>
      </c>
    </row>
    <row r="4777" spans="1:3">
      <c r="A4777" s="571" t="s">
        <v>1930</v>
      </c>
      <c r="B4777" s="572">
        <v>28</v>
      </c>
      <c r="C4777" s="572">
        <v>245</v>
      </c>
    </row>
    <row r="4778" spans="1:3">
      <c r="A4778" s="571" t="s">
        <v>1930</v>
      </c>
      <c r="B4778" s="572">
        <v>56</v>
      </c>
      <c r="C4778" s="572">
        <v>305</v>
      </c>
    </row>
    <row r="4779" spans="1:3">
      <c r="A4779" s="573" t="s">
        <v>1930</v>
      </c>
      <c r="B4779" s="574">
        <v>112</v>
      </c>
      <c r="C4779" s="574">
        <v>383</v>
      </c>
    </row>
    <row r="4780" spans="1:3">
      <c r="A4780" s="573" t="s">
        <v>1930</v>
      </c>
      <c r="B4780" s="574">
        <v>224</v>
      </c>
      <c r="C4780" s="574">
        <v>464</v>
      </c>
    </row>
    <row r="4781" spans="1:3">
      <c r="A4781" s="571" t="s">
        <v>1931</v>
      </c>
      <c r="B4781" s="572">
        <v>7</v>
      </c>
      <c r="C4781" s="572">
        <v>220</v>
      </c>
    </row>
    <row r="4782" spans="1:3">
      <c r="A4782" s="571" t="s">
        <v>1931</v>
      </c>
      <c r="B4782" s="572">
        <v>14</v>
      </c>
      <c r="C4782" s="572">
        <v>362</v>
      </c>
    </row>
    <row r="4783" spans="1:3">
      <c r="A4783" s="571" t="s">
        <v>1931</v>
      </c>
      <c r="B4783" s="572">
        <v>28</v>
      </c>
      <c r="C4783" s="572">
        <v>411</v>
      </c>
    </row>
    <row r="4784" spans="1:3">
      <c r="A4784" s="571" t="s">
        <v>1931</v>
      </c>
      <c r="B4784" s="572">
        <v>56</v>
      </c>
      <c r="C4784" s="572">
        <v>475</v>
      </c>
    </row>
    <row r="4785" spans="1:3">
      <c r="A4785" s="573" t="s">
        <v>1931</v>
      </c>
      <c r="B4785" s="574">
        <v>112</v>
      </c>
      <c r="C4785" s="574">
        <v>564</v>
      </c>
    </row>
    <row r="4786" spans="1:3">
      <c r="A4786" s="573" t="s">
        <v>1931</v>
      </c>
      <c r="B4786" s="574">
        <v>224</v>
      </c>
      <c r="C4786" s="574">
        <v>606</v>
      </c>
    </row>
    <row r="4787" spans="1:3">
      <c r="A4787" s="571" t="s">
        <v>1932</v>
      </c>
      <c r="B4787" s="572">
        <v>7</v>
      </c>
      <c r="C4787" s="572">
        <v>132</v>
      </c>
    </row>
    <row r="4788" spans="1:3">
      <c r="A4788" s="571" t="s">
        <v>1932</v>
      </c>
      <c r="B4788" s="572">
        <v>14</v>
      </c>
      <c r="C4788" s="572">
        <v>210</v>
      </c>
    </row>
    <row r="4789" spans="1:3">
      <c r="A4789" s="571" t="s">
        <v>1932</v>
      </c>
      <c r="B4789" s="572">
        <v>28</v>
      </c>
      <c r="C4789" s="572">
        <v>284</v>
      </c>
    </row>
    <row r="4790" spans="1:3">
      <c r="A4790" s="571" t="s">
        <v>1932</v>
      </c>
      <c r="B4790" s="572">
        <v>56</v>
      </c>
      <c r="C4790" s="572">
        <v>351</v>
      </c>
    </row>
    <row r="4791" spans="1:3">
      <c r="A4791" s="573" t="s">
        <v>1932</v>
      </c>
      <c r="B4791" s="574">
        <v>112</v>
      </c>
      <c r="C4791" s="574">
        <v>411</v>
      </c>
    </row>
    <row r="4792" spans="1:3">
      <c r="A4792" s="573" t="s">
        <v>1932</v>
      </c>
      <c r="B4792" s="574">
        <v>224</v>
      </c>
      <c r="C4792" s="574">
        <v>500</v>
      </c>
    </row>
    <row r="4793" spans="1:3">
      <c r="A4793" s="571" t="s">
        <v>1933</v>
      </c>
      <c r="B4793" s="572">
        <v>7</v>
      </c>
      <c r="C4793" s="572">
        <v>184</v>
      </c>
    </row>
    <row r="4794" spans="1:3">
      <c r="A4794" s="571" t="s">
        <v>1933</v>
      </c>
      <c r="B4794" s="572">
        <v>14</v>
      </c>
      <c r="C4794" s="572">
        <v>217</v>
      </c>
    </row>
    <row r="4795" spans="1:3">
      <c r="A4795" s="571" t="s">
        <v>1933</v>
      </c>
      <c r="B4795" s="572">
        <v>28</v>
      </c>
      <c r="C4795" s="572">
        <v>323</v>
      </c>
    </row>
    <row r="4796" spans="1:3">
      <c r="A4796" s="571" t="s">
        <v>1933</v>
      </c>
      <c r="B4796" s="572">
        <v>56</v>
      </c>
      <c r="C4796" s="572">
        <v>411</v>
      </c>
    </row>
    <row r="4797" spans="1:3">
      <c r="A4797" s="573" t="s">
        <v>1933</v>
      </c>
      <c r="B4797" s="574">
        <v>112</v>
      </c>
      <c r="C4797" s="574">
        <v>444</v>
      </c>
    </row>
    <row r="4798" spans="1:3">
      <c r="A4798" s="573" t="s">
        <v>1933</v>
      </c>
      <c r="B4798" s="574">
        <v>224</v>
      </c>
      <c r="C4798" s="574">
        <v>468</v>
      </c>
    </row>
    <row r="4799" spans="1:3">
      <c r="A4799" s="571" t="s">
        <v>1934</v>
      </c>
      <c r="B4799" s="572">
        <v>7</v>
      </c>
      <c r="C4799" s="572">
        <v>135</v>
      </c>
    </row>
    <row r="4800" spans="1:3">
      <c r="A4800" s="571" t="s">
        <v>1934</v>
      </c>
      <c r="B4800" s="572">
        <v>14</v>
      </c>
      <c r="C4800" s="572">
        <v>181</v>
      </c>
    </row>
    <row r="4801" spans="1:3">
      <c r="A4801" s="571" t="s">
        <v>1934</v>
      </c>
      <c r="B4801" s="572">
        <v>28</v>
      </c>
      <c r="C4801" s="572">
        <v>241</v>
      </c>
    </row>
    <row r="4802" spans="1:3">
      <c r="A4802" s="571" t="s">
        <v>1934</v>
      </c>
      <c r="B4802" s="572">
        <v>56</v>
      </c>
      <c r="C4802" s="572">
        <v>266</v>
      </c>
    </row>
    <row r="4803" spans="1:3">
      <c r="A4803" s="573" t="s">
        <v>1934</v>
      </c>
      <c r="B4803" s="574">
        <v>112</v>
      </c>
      <c r="C4803" s="574">
        <v>333</v>
      </c>
    </row>
    <row r="4804" spans="1:3">
      <c r="A4804" s="573" t="s">
        <v>1934</v>
      </c>
      <c r="B4804" s="574">
        <v>224</v>
      </c>
      <c r="C4804" s="574">
        <v>369</v>
      </c>
    </row>
    <row r="4805" spans="1:3">
      <c r="A4805" s="571" t="s">
        <v>1935</v>
      </c>
      <c r="B4805" s="572">
        <v>7</v>
      </c>
      <c r="C4805" s="572">
        <v>223</v>
      </c>
    </row>
    <row r="4806" spans="1:3">
      <c r="A4806" s="571" t="s">
        <v>1935</v>
      </c>
      <c r="B4806" s="572">
        <v>14</v>
      </c>
      <c r="C4806" s="572">
        <v>316</v>
      </c>
    </row>
    <row r="4807" spans="1:3">
      <c r="A4807" s="571" t="s">
        <v>1935</v>
      </c>
      <c r="B4807" s="572">
        <v>28</v>
      </c>
      <c r="C4807" s="572">
        <v>429</v>
      </c>
    </row>
    <row r="4808" spans="1:3">
      <c r="A4808" s="571" t="s">
        <v>1935</v>
      </c>
      <c r="B4808" s="572">
        <v>56</v>
      </c>
      <c r="C4808" s="572">
        <v>507</v>
      </c>
    </row>
    <row r="4809" spans="1:3">
      <c r="A4809" s="573" t="s">
        <v>1935</v>
      </c>
      <c r="B4809" s="574">
        <v>112</v>
      </c>
      <c r="C4809" s="574">
        <v>539</v>
      </c>
    </row>
    <row r="4810" spans="1:3">
      <c r="A4810" s="573" t="s">
        <v>1935</v>
      </c>
      <c r="B4810" s="574">
        <v>224</v>
      </c>
      <c r="C4810" s="574">
        <v>603</v>
      </c>
    </row>
    <row r="4811" spans="1:3">
      <c r="A4811" s="571" t="s">
        <v>1936</v>
      </c>
      <c r="B4811" s="572">
        <v>7</v>
      </c>
      <c r="C4811" s="572">
        <v>85</v>
      </c>
    </row>
    <row r="4812" spans="1:3">
      <c r="A4812" s="571" t="s">
        <v>1936</v>
      </c>
      <c r="B4812" s="572">
        <v>14</v>
      </c>
      <c r="C4812" s="572">
        <v>128</v>
      </c>
    </row>
    <row r="4813" spans="1:3">
      <c r="A4813" s="571" t="s">
        <v>1936</v>
      </c>
      <c r="B4813" s="572">
        <v>28</v>
      </c>
      <c r="C4813" s="572">
        <v>177</v>
      </c>
    </row>
    <row r="4814" spans="1:3">
      <c r="A4814" s="571" t="s">
        <v>1936</v>
      </c>
      <c r="B4814" s="572">
        <v>56</v>
      </c>
      <c r="C4814" s="572">
        <v>263</v>
      </c>
    </row>
    <row r="4815" spans="1:3">
      <c r="A4815" s="573" t="s">
        <v>1936</v>
      </c>
      <c r="B4815" s="574">
        <v>112</v>
      </c>
      <c r="C4815" s="574">
        <v>319</v>
      </c>
    </row>
    <row r="4816" spans="1:3">
      <c r="A4816" s="573" t="s">
        <v>1936</v>
      </c>
      <c r="B4816" s="574">
        <v>224</v>
      </c>
      <c r="C4816" s="574">
        <v>366</v>
      </c>
    </row>
    <row r="4817" spans="1:3">
      <c r="A4817" s="571" t="s">
        <v>1937</v>
      </c>
      <c r="B4817" s="572">
        <v>7</v>
      </c>
      <c r="C4817" s="572">
        <v>181</v>
      </c>
    </row>
    <row r="4818" spans="1:3">
      <c r="A4818" s="571" t="s">
        <v>1937</v>
      </c>
      <c r="B4818" s="572">
        <v>14</v>
      </c>
      <c r="C4818" s="572">
        <v>262</v>
      </c>
    </row>
    <row r="4819" spans="1:3">
      <c r="A4819" s="571" t="s">
        <v>1937</v>
      </c>
      <c r="B4819" s="572">
        <v>28</v>
      </c>
      <c r="C4819" s="572">
        <v>352</v>
      </c>
    </row>
    <row r="4820" spans="1:3">
      <c r="A4820" s="571" t="s">
        <v>1937</v>
      </c>
      <c r="B4820" s="572">
        <v>56</v>
      </c>
      <c r="C4820" s="572">
        <v>437</v>
      </c>
    </row>
    <row r="4821" spans="1:3">
      <c r="A4821" s="573" t="s">
        <v>1937</v>
      </c>
      <c r="B4821" s="574">
        <v>112</v>
      </c>
      <c r="C4821" s="574">
        <v>504</v>
      </c>
    </row>
    <row r="4822" spans="1:3">
      <c r="A4822" s="573" t="s">
        <v>1937</v>
      </c>
      <c r="B4822" s="574">
        <v>224</v>
      </c>
      <c r="C4822" s="574">
        <v>578</v>
      </c>
    </row>
    <row r="4823" spans="1:3">
      <c r="A4823" s="571" t="s">
        <v>1938</v>
      </c>
      <c r="B4823" s="572">
        <v>7</v>
      </c>
      <c r="C4823" s="572">
        <v>132</v>
      </c>
    </row>
    <row r="4824" spans="1:3">
      <c r="A4824" s="571" t="s">
        <v>1938</v>
      </c>
      <c r="B4824" s="572">
        <v>14</v>
      </c>
      <c r="C4824" s="572">
        <v>188</v>
      </c>
    </row>
    <row r="4825" spans="1:3">
      <c r="A4825" s="571" t="s">
        <v>1938</v>
      </c>
      <c r="B4825" s="572">
        <v>28</v>
      </c>
      <c r="C4825" s="572">
        <v>274</v>
      </c>
    </row>
    <row r="4826" spans="1:3">
      <c r="A4826" s="571" t="s">
        <v>1938</v>
      </c>
      <c r="B4826" s="572">
        <v>56</v>
      </c>
      <c r="C4826" s="572">
        <v>291</v>
      </c>
    </row>
    <row r="4827" spans="1:3">
      <c r="A4827" s="573" t="s">
        <v>1938</v>
      </c>
      <c r="B4827" s="574">
        <v>112</v>
      </c>
      <c r="C4827" s="574">
        <v>341</v>
      </c>
    </row>
    <row r="4828" spans="1:3">
      <c r="A4828" s="571" t="s">
        <v>1939</v>
      </c>
      <c r="B4828" s="572">
        <v>7</v>
      </c>
      <c r="C4828" s="572">
        <v>224</v>
      </c>
    </row>
    <row r="4829" spans="1:3">
      <c r="A4829" s="571" t="s">
        <v>1939</v>
      </c>
      <c r="B4829" s="572">
        <v>14</v>
      </c>
      <c r="C4829" s="572">
        <v>305</v>
      </c>
    </row>
    <row r="4830" spans="1:3">
      <c r="A4830" s="571" t="s">
        <v>1939</v>
      </c>
      <c r="B4830" s="572">
        <v>28</v>
      </c>
      <c r="C4830" s="572">
        <v>401</v>
      </c>
    </row>
    <row r="4831" spans="1:3">
      <c r="A4831" s="571" t="s">
        <v>1939</v>
      </c>
      <c r="B4831" s="572">
        <v>56</v>
      </c>
      <c r="C4831" s="572">
        <v>482</v>
      </c>
    </row>
    <row r="4832" spans="1:3">
      <c r="A4832" s="573" t="s">
        <v>1939</v>
      </c>
      <c r="B4832" s="574">
        <v>112</v>
      </c>
      <c r="C4832" s="574">
        <v>546</v>
      </c>
    </row>
    <row r="4833" spans="1:3">
      <c r="A4833" s="573" t="s">
        <v>1939</v>
      </c>
      <c r="B4833" s="574">
        <v>224</v>
      </c>
      <c r="C4833" s="574">
        <v>567</v>
      </c>
    </row>
    <row r="4834" spans="1:3">
      <c r="A4834" s="571" t="s">
        <v>1940</v>
      </c>
      <c r="B4834" s="572">
        <v>7</v>
      </c>
      <c r="C4834" s="572">
        <v>103</v>
      </c>
    </row>
    <row r="4835" spans="1:3">
      <c r="A4835" s="571" t="s">
        <v>1940</v>
      </c>
      <c r="B4835" s="572">
        <v>14</v>
      </c>
      <c r="C4835" s="572">
        <v>156</v>
      </c>
    </row>
    <row r="4836" spans="1:3">
      <c r="A4836" s="571" t="s">
        <v>1940</v>
      </c>
      <c r="B4836" s="572">
        <v>28</v>
      </c>
      <c r="C4836" s="572">
        <v>245</v>
      </c>
    </row>
    <row r="4837" spans="1:3">
      <c r="A4837" s="571" t="s">
        <v>1940</v>
      </c>
      <c r="B4837" s="572">
        <v>56</v>
      </c>
      <c r="C4837" s="572">
        <v>274</v>
      </c>
    </row>
    <row r="4838" spans="1:3">
      <c r="A4838" s="573" t="s">
        <v>1940</v>
      </c>
      <c r="B4838" s="574">
        <v>112</v>
      </c>
      <c r="C4838" s="574">
        <v>319</v>
      </c>
    </row>
    <row r="4839" spans="1:3">
      <c r="A4839" s="571" t="s">
        <v>298</v>
      </c>
      <c r="B4839" s="572">
        <v>1</v>
      </c>
      <c r="C4839" s="572">
        <v>30</v>
      </c>
    </row>
    <row r="4840" spans="1:3">
      <c r="A4840" s="571" t="s">
        <v>298</v>
      </c>
      <c r="B4840" s="572">
        <v>3</v>
      </c>
      <c r="C4840" s="572">
        <v>79</v>
      </c>
    </row>
    <row r="4841" spans="1:3">
      <c r="A4841" s="571" t="s">
        <v>298</v>
      </c>
      <c r="B4841" s="572">
        <v>7</v>
      </c>
      <c r="C4841" s="572">
        <v>114</v>
      </c>
    </row>
    <row r="4842" spans="1:3">
      <c r="A4842" s="571" t="s">
        <v>298</v>
      </c>
      <c r="B4842" s="572">
        <v>29</v>
      </c>
      <c r="C4842" s="572">
        <v>277</v>
      </c>
    </row>
    <row r="4843" spans="1:3">
      <c r="A4843" s="571" t="s">
        <v>298</v>
      </c>
      <c r="B4843" s="572">
        <v>56</v>
      </c>
      <c r="C4843" s="572">
        <v>389</v>
      </c>
    </row>
    <row r="4844" spans="1:3">
      <c r="A4844" s="571" t="s">
        <v>298</v>
      </c>
      <c r="B4844" s="572">
        <v>90</v>
      </c>
      <c r="C4844" s="572">
        <v>431</v>
      </c>
    </row>
    <row r="4845" spans="1:3">
      <c r="A4845" s="571" t="s">
        <v>299</v>
      </c>
      <c r="B4845" s="572">
        <v>1</v>
      </c>
      <c r="C4845" s="572">
        <v>9</v>
      </c>
    </row>
    <row r="4846" spans="1:3">
      <c r="A4846" s="571" t="s">
        <v>299</v>
      </c>
      <c r="B4846" s="572">
        <v>3</v>
      </c>
      <c r="C4846" s="572">
        <v>26</v>
      </c>
    </row>
    <row r="4847" spans="1:3">
      <c r="A4847" s="571" t="s">
        <v>299</v>
      </c>
      <c r="B4847" s="572">
        <v>7</v>
      </c>
      <c r="C4847" s="572">
        <v>48</v>
      </c>
    </row>
    <row r="4848" spans="1:3">
      <c r="A4848" s="571" t="s">
        <v>299</v>
      </c>
      <c r="B4848" s="572">
        <v>29</v>
      </c>
      <c r="C4848" s="572">
        <v>175</v>
      </c>
    </row>
    <row r="4849" spans="1:3">
      <c r="A4849" s="571" t="s">
        <v>299</v>
      </c>
      <c r="B4849" s="572">
        <v>56</v>
      </c>
      <c r="C4849" s="572">
        <v>262</v>
      </c>
    </row>
    <row r="4850" spans="1:3">
      <c r="A4850" s="571" t="s">
        <v>299</v>
      </c>
      <c r="B4850" s="572">
        <v>90</v>
      </c>
      <c r="C4850" s="572">
        <v>291</v>
      </c>
    </row>
    <row r="4851" spans="1:3">
      <c r="A4851" s="571" t="s">
        <v>300</v>
      </c>
      <c r="B4851" s="572">
        <v>1</v>
      </c>
      <c r="C4851" s="572">
        <v>12</v>
      </c>
    </row>
    <row r="4852" spans="1:3">
      <c r="A4852" s="571" t="s">
        <v>300</v>
      </c>
      <c r="B4852" s="572">
        <v>3</v>
      </c>
      <c r="C4852" s="572">
        <v>37</v>
      </c>
    </row>
    <row r="4853" spans="1:3">
      <c r="A4853" s="571" t="s">
        <v>300</v>
      </c>
      <c r="B4853" s="572">
        <v>7</v>
      </c>
      <c r="C4853" s="572">
        <v>55</v>
      </c>
    </row>
    <row r="4854" spans="1:3">
      <c r="A4854" s="571" t="s">
        <v>300</v>
      </c>
      <c r="B4854" s="572">
        <v>29</v>
      </c>
      <c r="C4854" s="572">
        <v>170</v>
      </c>
    </row>
    <row r="4855" spans="1:3">
      <c r="A4855" s="571" t="s">
        <v>300</v>
      </c>
      <c r="B4855" s="572">
        <v>56</v>
      </c>
      <c r="C4855" s="572">
        <v>262</v>
      </c>
    </row>
    <row r="4856" spans="1:3">
      <c r="A4856" s="571" t="s">
        <v>300</v>
      </c>
      <c r="B4856" s="572">
        <v>90</v>
      </c>
      <c r="C4856" s="572">
        <v>280</v>
      </c>
    </row>
    <row r="4857" spans="1:3">
      <c r="A4857" s="571" t="s">
        <v>301</v>
      </c>
      <c r="B4857" s="572">
        <v>1</v>
      </c>
      <c r="C4857" s="572">
        <v>16</v>
      </c>
    </row>
    <row r="4858" spans="1:3">
      <c r="A4858" s="571" t="s">
        <v>301</v>
      </c>
      <c r="B4858" s="572">
        <v>3</v>
      </c>
      <c r="C4858" s="572">
        <v>28</v>
      </c>
    </row>
    <row r="4859" spans="1:3">
      <c r="A4859" s="571" t="s">
        <v>301</v>
      </c>
      <c r="B4859" s="572">
        <v>7</v>
      </c>
      <c r="C4859" s="572">
        <v>60</v>
      </c>
    </row>
    <row r="4860" spans="1:3">
      <c r="A4860" s="571" t="s">
        <v>301</v>
      </c>
      <c r="B4860" s="572">
        <v>29</v>
      </c>
      <c r="C4860" s="572">
        <v>178</v>
      </c>
    </row>
    <row r="4861" spans="1:3">
      <c r="A4861" s="571" t="s">
        <v>301</v>
      </c>
      <c r="B4861" s="572">
        <v>56</v>
      </c>
      <c r="C4861" s="572">
        <v>267</v>
      </c>
    </row>
    <row r="4862" spans="1:3">
      <c r="A4862" s="571" t="s">
        <v>301</v>
      </c>
      <c r="B4862" s="572">
        <v>90</v>
      </c>
      <c r="C4862" s="572">
        <v>295</v>
      </c>
    </row>
    <row r="4863" spans="1:3">
      <c r="A4863" s="571" t="s">
        <v>302</v>
      </c>
      <c r="B4863" s="572">
        <v>1</v>
      </c>
      <c r="C4863" s="572">
        <v>16</v>
      </c>
    </row>
    <row r="4864" spans="1:3">
      <c r="A4864" s="571" t="s">
        <v>302</v>
      </c>
      <c r="B4864" s="572">
        <v>3</v>
      </c>
      <c r="C4864" s="572">
        <v>29</v>
      </c>
    </row>
    <row r="4865" spans="1:3">
      <c r="A4865" s="571" t="s">
        <v>302</v>
      </c>
      <c r="B4865" s="572">
        <v>7</v>
      </c>
      <c r="C4865" s="572">
        <v>57</v>
      </c>
    </row>
    <row r="4866" spans="1:3">
      <c r="A4866" s="571" t="s">
        <v>302</v>
      </c>
      <c r="B4866" s="572">
        <v>29</v>
      </c>
      <c r="C4866" s="572">
        <v>169</v>
      </c>
    </row>
    <row r="4867" spans="1:3">
      <c r="A4867" s="571" t="s">
        <v>302</v>
      </c>
      <c r="B4867" s="572">
        <v>56</v>
      </c>
      <c r="C4867" s="572">
        <v>266</v>
      </c>
    </row>
    <row r="4868" spans="1:3">
      <c r="A4868" s="571" t="s">
        <v>302</v>
      </c>
      <c r="B4868" s="572">
        <v>90</v>
      </c>
      <c r="C4868" s="572">
        <v>289</v>
      </c>
    </row>
    <row r="4869" spans="1:3">
      <c r="A4869" s="571" t="s">
        <v>303</v>
      </c>
      <c r="B4869" s="572">
        <v>1</v>
      </c>
      <c r="C4869" s="572">
        <v>17</v>
      </c>
    </row>
    <row r="4870" spans="1:3">
      <c r="A4870" s="571" t="s">
        <v>303</v>
      </c>
      <c r="B4870" s="572">
        <v>3</v>
      </c>
      <c r="C4870" s="572">
        <v>30</v>
      </c>
    </row>
    <row r="4871" spans="1:3">
      <c r="A4871" s="571" t="s">
        <v>303</v>
      </c>
      <c r="B4871" s="572">
        <v>7</v>
      </c>
      <c r="C4871" s="572">
        <v>56</v>
      </c>
    </row>
    <row r="4872" spans="1:3">
      <c r="A4872" s="571" t="s">
        <v>303</v>
      </c>
      <c r="B4872" s="572">
        <v>29</v>
      </c>
      <c r="C4872" s="572">
        <v>161</v>
      </c>
    </row>
    <row r="4873" spans="1:3">
      <c r="A4873" s="571" t="s">
        <v>303</v>
      </c>
      <c r="B4873" s="572">
        <v>56</v>
      </c>
      <c r="C4873" s="572">
        <v>241</v>
      </c>
    </row>
    <row r="4874" spans="1:3">
      <c r="A4874" s="571" t="s">
        <v>303</v>
      </c>
      <c r="B4874" s="572">
        <v>90</v>
      </c>
      <c r="C4874" s="572">
        <v>273</v>
      </c>
    </row>
    <row r="4875" spans="1:3">
      <c r="A4875" s="571" t="s">
        <v>304</v>
      </c>
      <c r="B4875" s="572">
        <v>1</v>
      </c>
      <c r="C4875" s="572">
        <v>15</v>
      </c>
    </row>
    <row r="4876" spans="1:3">
      <c r="A4876" s="571" t="s">
        <v>304</v>
      </c>
      <c r="B4876" s="572">
        <v>3</v>
      </c>
      <c r="C4876" s="572">
        <v>21</v>
      </c>
    </row>
    <row r="4877" spans="1:3">
      <c r="A4877" s="571" t="s">
        <v>304</v>
      </c>
      <c r="B4877" s="572">
        <v>7</v>
      </c>
      <c r="C4877" s="572">
        <v>50</v>
      </c>
    </row>
    <row r="4878" spans="1:3">
      <c r="A4878" s="571" t="s">
        <v>304</v>
      </c>
      <c r="B4878" s="572">
        <v>29</v>
      </c>
      <c r="C4878" s="572">
        <v>156</v>
      </c>
    </row>
    <row r="4879" spans="1:3">
      <c r="A4879" s="571" t="s">
        <v>304</v>
      </c>
      <c r="B4879" s="572">
        <v>56</v>
      </c>
      <c r="C4879" s="572">
        <v>230</v>
      </c>
    </row>
    <row r="4880" spans="1:3">
      <c r="A4880" s="571" t="s">
        <v>304</v>
      </c>
      <c r="B4880" s="572">
        <v>90</v>
      </c>
      <c r="C4880" s="572">
        <v>258</v>
      </c>
    </row>
    <row r="4881" spans="1:3">
      <c r="A4881" s="571" t="s">
        <v>305</v>
      </c>
      <c r="B4881" s="572">
        <v>1</v>
      </c>
      <c r="C4881" s="572">
        <v>12</v>
      </c>
    </row>
    <row r="4882" spans="1:3">
      <c r="A4882" s="571" t="s">
        <v>305</v>
      </c>
      <c r="B4882" s="572">
        <v>3</v>
      </c>
      <c r="C4882" s="572">
        <v>25</v>
      </c>
    </row>
    <row r="4883" spans="1:3">
      <c r="A4883" s="571" t="s">
        <v>305</v>
      </c>
      <c r="B4883" s="572">
        <v>7</v>
      </c>
      <c r="C4883" s="572">
        <v>46</v>
      </c>
    </row>
    <row r="4884" spans="1:3">
      <c r="A4884" s="571" t="s">
        <v>305</v>
      </c>
      <c r="B4884" s="572">
        <v>29</v>
      </c>
      <c r="C4884" s="572">
        <v>169</v>
      </c>
    </row>
    <row r="4885" spans="1:3">
      <c r="A4885" s="571" t="s">
        <v>305</v>
      </c>
      <c r="B4885" s="572">
        <v>56</v>
      </c>
      <c r="C4885" s="572">
        <v>253</v>
      </c>
    </row>
    <row r="4886" spans="1:3">
      <c r="A4886" s="571" t="s">
        <v>305</v>
      </c>
      <c r="B4886" s="572">
        <v>90</v>
      </c>
      <c r="C4886" s="572">
        <v>304</v>
      </c>
    </row>
    <row r="4887" spans="1:3">
      <c r="A4887" s="571" t="s">
        <v>306</v>
      </c>
      <c r="B4887" s="572">
        <v>1</v>
      </c>
      <c r="C4887" s="572">
        <v>10</v>
      </c>
    </row>
    <row r="4888" spans="1:3">
      <c r="A4888" s="571" t="s">
        <v>306</v>
      </c>
      <c r="B4888" s="572">
        <v>3</v>
      </c>
      <c r="C4888" s="572">
        <v>24</v>
      </c>
    </row>
    <row r="4889" spans="1:3">
      <c r="A4889" s="571" t="s">
        <v>306</v>
      </c>
      <c r="B4889" s="572">
        <v>7</v>
      </c>
      <c r="C4889" s="572">
        <v>48</v>
      </c>
    </row>
    <row r="4890" spans="1:3">
      <c r="A4890" s="571" t="s">
        <v>306</v>
      </c>
      <c r="B4890" s="572">
        <v>29</v>
      </c>
      <c r="C4890" s="572">
        <v>182</v>
      </c>
    </row>
    <row r="4891" spans="1:3">
      <c r="A4891" s="571" t="s">
        <v>306</v>
      </c>
      <c r="B4891" s="572">
        <v>56</v>
      </c>
      <c r="C4891" s="572">
        <v>262</v>
      </c>
    </row>
    <row r="4892" spans="1:3">
      <c r="A4892" s="571" t="s">
        <v>306</v>
      </c>
      <c r="B4892" s="572">
        <v>90</v>
      </c>
      <c r="C4892" s="572">
        <v>318</v>
      </c>
    </row>
    <row r="4893" spans="1:3">
      <c r="A4893" s="571" t="s">
        <v>307</v>
      </c>
      <c r="B4893" s="572">
        <v>1</v>
      </c>
      <c r="C4893" s="572">
        <v>12</v>
      </c>
    </row>
    <row r="4894" spans="1:3">
      <c r="A4894" s="571" t="s">
        <v>307</v>
      </c>
      <c r="B4894" s="572">
        <v>3</v>
      </c>
      <c r="C4894" s="572">
        <v>24</v>
      </c>
    </row>
    <row r="4895" spans="1:3">
      <c r="A4895" s="571" t="s">
        <v>307</v>
      </c>
      <c r="B4895" s="572">
        <v>7</v>
      </c>
      <c r="C4895" s="572">
        <v>59</v>
      </c>
    </row>
    <row r="4896" spans="1:3">
      <c r="A4896" s="571" t="s">
        <v>307</v>
      </c>
      <c r="B4896" s="572">
        <v>29</v>
      </c>
      <c r="C4896" s="572">
        <v>214</v>
      </c>
    </row>
    <row r="4897" spans="1:3">
      <c r="A4897" s="571" t="s">
        <v>307</v>
      </c>
      <c r="B4897" s="572">
        <v>56</v>
      </c>
      <c r="C4897" s="572">
        <v>306</v>
      </c>
    </row>
    <row r="4898" spans="1:3">
      <c r="A4898" s="571" t="s">
        <v>307</v>
      </c>
      <c r="B4898" s="572">
        <v>90</v>
      </c>
      <c r="C4898" s="572">
        <v>383</v>
      </c>
    </row>
    <row r="4899" spans="1:3">
      <c r="A4899" s="571" t="s">
        <v>308</v>
      </c>
      <c r="B4899" s="572">
        <v>1</v>
      </c>
      <c r="C4899" s="572">
        <v>19</v>
      </c>
    </row>
    <row r="4900" spans="1:3">
      <c r="A4900" s="571" t="s">
        <v>308</v>
      </c>
      <c r="B4900" s="572">
        <v>3</v>
      </c>
      <c r="C4900" s="572">
        <v>23</v>
      </c>
    </row>
    <row r="4901" spans="1:3">
      <c r="A4901" s="571" t="s">
        <v>308</v>
      </c>
      <c r="B4901" s="572">
        <v>7</v>
      </c>
      <c r="C4901" s="572">
        <v>61</v>
      </c>
    </row>
    <row r="4902" spans="1:3">
      <c r="A4902" s="571" t="s">
        <v>308</v>
      </c>
      <c r="B4902" s="572">
        <v>29</v>
      </c>
      <c r="C4902" s="572">
        <v>182</v>
      </c>
    </row>
    <row r="4903" spans="1:3">
      <c r="A4903" s="571" t="s">
        <v>308</v>
      </c>
      <c r="B4903" s="572">
        <v>56</v>
      </c>
      <c r="C4903" s="572">
        <v>269</v>
      </c>
    </row>
    <row r="4904" spans="1:3">
      <c r="A4904" s="571" t="s">
        <v>308</v>
      </c>
      <c r="B4904" s="572">
        <v>90</v>
      </c>
      <c r="C4904" s="572">
        <v>344</v>
      </c>
    </row>
    <row r="4905" spans="1:3">
      <c r="A4905" s="571" t="s">
        <v>1941</v>
      </c>
      <c r="B4905" s="572">
        <v>8.2352900000000007E-2</v>
      </c>
      <c r="C4905" s="572">
        <v>8.2352900000000007E-2</v>
      </c>
    </row>
    <row r="4906" spans="1:3">
      <c r="A4906" s="571" t="s">
        <v>1941</v>
      </c>
      <c r="B4906" s="572">
        <v>0.16422300000000001</v>
      </c>
      <c r="C4906" s="572">
        <v>0.16422300000000001</v>
      </c>
    </row>
    <row r="4907" spans="1:3">
      <c r="A4907" s="571" t="s">
        <v>1941</v>
      </c>
      <c r="B4907" s="572">
        <v>0.246334</v>
      </c>
      <c r="C4907" s="572">
        <v>298.29500000000002</v>
      </c>
    </row>
    <row r="4908" spans="1:3">
      <c r="A4908" s="571" t="s">
        <v>1941</v>
      </c>
      <c r="B4908" s="572">
        <v>0.246334</v>
      </c>
      <c r="C4908" s="572">
        <v>298.29500000000002</v>
      </c>
    </row>
    <row r="4909" spans="1:3">
      <c r="A4909" s="571" t="s">
        <v>1941</v>
      </c>
      <c r="B4909" s="572">
        <v>0.90322599999999997</v>
      </c>
      <c r="C4909" s="572">
        <v>401.70499999999998</v>
      </c>
    </row>
    <row r="4910" spans="1:3">
      <c r="A4910" s="571" t="s">
        <v>1941</v>
      </c>
      <c r="B4910" s="572">
        <v>1.56012</v>
      </c>
      <c r="C4910" s="572">
        <v>397.72699999999998</v>
      </c>
    </row>
    <row r="4911" spans="1:3">
      <c r="A4911" s="571" t="s">
        <v>1941</v>
      </c>
      <c r="B4911" s="572">
        <v>2.1349</v>
      </c>
      <c r="C4911" s="572">
        <v>417.61399999999998</v>
      </c>
    </row>
    <row r="4912" spans="1:3">
      <c r="A4912" s="571" t="s">
        <v>1941</v>
      </c>
      <c r="B4912" s="572">
        <v>2.62757</v>
      </c>
      <c r="C4912" s="572">
        <v>429.54500000000002</v>
      </c>
    </row>
    <row r="4913" spans="1:3">
      <c r="A4913" s="571" t="s">
        <v>1941</v>
      </c>
      <c r="B4913" s="572">
        <v>3.3665699999999998</v>
      </c>
      <c r="C4913" s="572">
        <v>437.5</v>
      </c>
    </row>
    <row r="4914" spans="1:3">
      <c r="A4914" s="571" t="s">
        <v>1941</v>
      </c>
      <c r="B4914" s="572">
        <v>4.02346</v>
      </c>
      <c r="C4914" s="572">
        <v>449.43200000000002</v>
      </c>
    </row>
    <row r="4915" spans="1:3">
      <c r="A4915" s="571" t="s">
        <v>1941</v>
      </c>
      <c r="B4915" s="572">
        <v>4.84457</v>
      </c>
      <c r="C4915" s="572">
        <v>457.38600000000002</v>
      </c>
    </row>
    <row r="4916" spans="1:3">
      <c r="A4916" s="571" t="s">
        <v>1941</v>
      </c>
      <c r="B4916" s="572">
        <v>5.6656899999999997</v>
      </c>
      <c r="C4916" s="572">
        <v>469.31799999999998</v>
      </c>
    </row>
    <row r="4917" spans="1:3">
      <c r="A4917" s="571" t="s">
        <v>1941</v>
      </c>
      <c r="B4917" s="572">
        <v>6.4046900000000004</v>
      </c>
      <c r="C4917" s="572">
        <v>477.27300000000002</v>
      </c>
    </row>
    <row r="4918" spans="1:3">
      <c r="A4918" s="571" t="s">
        <v>1941</v>
      </c>
      <c r="B4918" s="572">
        <v>7.2258100000000001</v>
      </c>
      <c r="C4918" s="572">
        <v>489.20499999999998</v>
      </c>
    </row>
    <row r="4919" spans="1:3">
      <c r="A4919" s="571" t="s">
        <v>1941</v>
      </c>
      <c r="B4919" s="572">
        <v>8.3753700000000002</v>
      </c>
      <c r="C4919" s="572">
        <v>501.13600000000002</v>
      </c>
    </row>
    <row r="4920" spans="1:3">
      <c r="A4920" s="571" t="s">
        <v>1941</v>
      </c>
      <c r="B4920" s="572">
        <v>9.1964799999999993</v>
      </c>
      <c r="C4920" s="572">
        <v>509.09100000000001</v>
      </c>
    </row>
    <row r="4921" spans="1:3">
      <c r="A4921" s="571" t="s">
        <v>1941</v>
      </c>
      <c r="B4921" s="572">
        <v>10.181800000000001</v>
      </c>
      <c r="C4921" s="572">
        <v>521.02300000000002</v>
      </c>
    </row>
    <row r="4922" spans="1:3">
      <c r="A4922" s="571" t="s">
        <v>1941</v>
      </c>
      <c r="B4922" s="572">
        <v>11.085000000000001</v>
      </c>
      <c r="C4922" s="572">
        <v>532.95500000000004</v>
      </c>
    </row>
    <row r="4923" spans="1:3">
      <c r="A4923" s="571" t="s">
        <v>1941</v>
      </c>
      <c r="B4923" s="572">
        <v>12.1525</v>
      </c>
      <c r="C4923" s="572">
        <v>544.88599999999997</v>
      </c>
    </row>
    <row r="4924" spans="1:3">
      <c r="A4924" s="571" t="s">
        <v>1941</v>
      </c>
      <c r="B4924" s="572">
        <v>13.3842</v>
      </c>
      <c r="C4924" s="572">
        <v>556.81799999999998</v>
      </c>
    </row>
    <row r="4925" spans="1:3">
      <c r="A4925" s="571" t="s">
        <v>1941</v>
      </c>
      <c r="B4925" s="572">
        <v>14.451599999999999</v>
      </c>
      <c r="C4925" s="572">
        <v>568.75</v>
      </c>
    </row>
    <row r="4926" spans="1:3">
      <c r="A4926" s="571" t="s">
        <v>1941</v>
      </c>
      <c r="B4926" s="572">
        <v>15.5191</v>
      </c>
      <c r="C4926" s="572">
        <v>576.70500000000004</v>
      </c>
    </row>
    <row r="4927" spans="1:3">
      <c r="A4927" s="571" t="s">
        <v>1941</v>
      </c>
      <c r="B4927" s="572">
        <v>16.586500000000001</v>
      </c>
      <c r="C4927" s="572">
        <v>588.63599999999997</v>
      </c>
    </row>
    <row r="4928" spans="1:3">
      <c r="A4928" s="571" t="s">
        <v>1941</v>
      </c>
      <c r="B4928" s="572">
        <v>17.5718</v>
      </c>
      <c r="C4928" s="572">
        <v>600.56799999999998</v>
      </c>
    </row>
    <row r="4929" spans="1:3">
      <c r="A4929" s="571" t="s">
        <v>1941</v>
      </c>
      <c r="B4929" s="572">
        <v>18.8035</v>
      </c>
      <c r="C4929" s="572">
        <v>608.52300000000002</v>
      </c>
    </row>
    <row r="4930" spans="1:3">
      <c r="A4930" s="571" t="s">
        <v>1941</v>
      </c>
      <c r="B4930" s="572">
        <v>19.953099999999999</v>
      </c>
      <c r="C4930" s="572">
        <v>620.45500000000004</v>
      </c>
    </row>
    <row r="4931" spans="1:3">
      <c r="A4931" s="571" t="s">
        <v>1941</v>
      </c>
      <c r="B4931" s="572">
        <v>21.2669</v>
      </c>
      <c r="C4931" s="572">
        <v>628.40899999999999</v>
      </c>
    </row>
    <row r="4932" spans="1:3">
      <c r="A4932" s="571" t="s">
        <v>1941</v>
      </c>
      <c r="B4932" s="572">
        <v>22.827000000000002</v>
      </c>
      <c r="C4932" s="572">
        <v>640.34100000000001</v>
      </c>
    </row>
    <row r="4933" spans="1:3">
      <c r="A4933" s="571" t="s">
        <v>1941</v>
      </c>
      <c r="B4933" s="572">
        <v>23.894400000000001</v>
      </c>
      <c r="C4933" s="572">
        <v>648.29499999999996</v>
      </c>
    </row>
    <row r="4934" spans="1:3">
      <c r="A4934" s="571" t="s">
        <v>1941</v>
      </c>
      <c r="B4934" s="572">
        <v>25.044</v>
      </c>
      <c r="C4934" s="572">
        <v>656.25</v>
      </c>
    </row>
    <row r="4935" spans="1:3">
      <c r="A4935" s="571" t="s">
        <v>1941</v>
      </c>
      <c r="B4935" s="572">
        <v>26.1114</v>
      </c>
      <c r="C4935" s="572">
        <v>664.20500000000004</v>
      </c>
    </row>
    <row r="4936" spans="1:3">
      <c r="A4936" s="571" t="s">
        <v>1941</v>
      </c>
      <c r="B4936" s="572">
        <v>27.260999999999999</v>
      </c>
      <c r="C4936" s="572">
        <v>668.18200000000002</v>
      </c>
    </row>
    <row r="4937" spans="1:3">
      <c r="A4937" s="571" t="s">
        <v>1941</v>
      </c>
      <c r="B4937" s="572">
        <v>28</v>
      </c>
      <c r="C4937" s="572">
        <v>676.13599999999997</v>
      </c>
    </row>
    <row r="4938" spans="1:3">
      <c r="A4938" s="571" t="s">
        <v>1942</v>
      </c>
      <c r="B4938" s="572">
        <v>0.494118</v>
      </c>
      <c r="C4938" s="572">
        <v>257.71100000000001</v>
      </c>
    </row>
    <row r="4939" spans="1:3">
      <c r="A4939" s="571" t="s">
        <v>1942</v>
      </c>
      <c r="B4939" s="572">
        <v>0.98823499999999997</v>
      </c>
      <c r="C4939" s="572">
        <v>253.73099999999999</v>
      </c>
    </row>
    <row r="4940" spans="1:3">
      <c r="A4940" s="571" t="s">
        <v>1942</v>
      </c>
      <c r="B4940" s="572">
        <v>2.55294</v>
      </c>
      <c r="C4940" s="572">
        <v>289.55200000000002</v>
      </c>
    </row>
    <row r="4941" spans="1:3">
      <c r="A4941" s="571" t="s">
        <v>1942</v>
      </c>
      <c r="B4941" s="572">
        <v>3.9529399999999999</v>
      </c>
      <c r="C4941" s="572">
        <v>309.45299999999997</v>
      </c>
    </row>
    <row r="4942" spans="1:3">
      <c r="A4942" s="571" t="s">
        <v>1942</v>
      </c>
      <c r="B4942" s="572">
        <v>5.0235300000000001</v>
      </c>
      <c r="C4942" s="572">
        <v>325.37299999999999</v>
      </c>
    </row>
    <row r="4943" spans="1:3">
      <c r="A4943" s="571" t="s">
        <v>1942</v>
      </c>
      <c r="B4943" s="572">
        <v>6.2588200000000001</v>
      </c>
      <c r="C4943" s="572">
        <v>337.31299999999999</v>
      </c>
    </row>
    <row r="4944" spans="1:3">
      <c r="A4944" s="571" t="s">
        <v>1942</v>
      </c>
      <c r="B4944" s="572">
        <v>7.6588200000000004</v>
      </c>
      <c r="C4944" s="572">
        <v>365.17399999999998</v>
      </c>
    </row>
    <row r="4945" spans="1:3">
      <c r="A4945" s="571" t="s">
        <v>1942</v>
      </c>
      <c r="B4945" s="572">
        <v>9.3058800000000002</v>
      </c>
      <c r="C4945" s="572">
        <v>393.03500000000003</v>
      </c>
    </row>
    <row r="4946" spans="1:3">
      <c r="A4946" s="571" t="s">
        <v>1942</v>
      </c>
      <c r="B4946" s="572">
        <v>10.9529</v>
      </c>
      <c r="C4946" s="572">
        <v>408.95499999999998</v>
      </c>
    </row>
    <row r="4947" spans="1:3">
      <c r="A4947" s="571" t="s">
        <v>1942</v>
      </c>
      <c r="B4947" s="572">
        <v>12.6</v>
      </c>
      <c r="C4947" s="572">
        <v>428.85599999999999</v>
      </c>
    </row>
    <row r="4948" spans="1:3">
      <c r="A4948" s="571" t="s">
        <v>1942</v>
      </c>
      <c r="B4948" s="572">
        <v>14</v>
      </c>
      <c r="C4948" s="572">
        <v>444.77600000000001</v>
      </c>
    </row>
    <row r="4949" spans="1:3">
      <c r="A4949" s="571" t="s">
        <v>1942</v>
      </c>
      <c r="B4949" s="572">
        <v>15.5647</v>
      </c>
      <c r="C4949" s="572">
        <v>468.65699999999998</v>
      </c>
    </row>
    <row r="4950" spans="1:3">
      <c r="A4950" s="571" t="s">
        <v>1942</v>
      </c>
      <c r="B4950" s="572">
        <v>17.1294</v>
      </c>
      <c r="C4950" s="572">
        <v>488.55700000000002</v>
      </c>
    </row>
    <row r="4951" spans="1:3">
      <c r="A4951" s="571" t="s">
        <v>1942</v>
      </c>
      <c r="B4951" s="572">
        <v>18.858799999999999</v>
      </c>
      <c r="C4951" s="572">
        <v>512.43799999999999</v>
      </c>
    </row>
    <row r="4952" spans="1:3">
      <c r="A4952" s="571" t="s">
        <v>1942</v>
      </c>
      <c r="B4952" s="572">
        <v>20.423500000000001</v>
      </c>
      <c r="C4952" s="572">
        <v>524.37800000000004</v>
      </c>
    </row>
    <row r="4953" spans="1:3">
      <c r="A4953" s="571" t="s">
        <v>1942</v>
      </c>
      <c r="B4953" s="572">
        <v>22.070599999999999</v>
      </c>
      <c r="C4953" s="572">
        <v>544.279</v>
      </c>
    </row>
    <row r="4954" spans="1:3">
      <c r="A4954" s="571" t="s">
        <v>1942</v>
      </c>
      <c r="B4954" s="572">
        <v>23.882400000000001</v>
      </c>
      <c r="C4954" s="572">
        <v>556.21900000000005</v>
      </c>
    </row>
    <row r="4955" spans="1:3">
      <c r="A4955" s="571" t="s">
        <v>1942</v>
      </c>
      <c r="B4955" s="572">
        <v>25.694099999999999</v>
      </c>
      <c r="C4955" s="572">
        <v>568.15899999999999</v>
      </c>
    </row>
    <row r="4956" spans="1:3">
      <c r="A4956" s="571" t="s">
        <v>1942</v>
      </c>
      <c r="B4956" s="572">
        <v>26.847100000000001</v>
      </c>
      <c r="C4956" s="572">
        <v>572.13900000000001</v>
      </c>
    </row>
    <row r="4957" spans="1:3">
      <c r="A4957" s="571" t="s">
        <v>1942</v>
      </c>
      <c r="B4957" s="572">
        <v>28</v>
      </c>
      <c r="C4957" s="572">
        <v>584.08000000000004</v>
      </c>
    </row>
    <row r="4958" spans="1:3">
      <c r="A4958" s="571" t="s">
        <v>1943</v>
      </c>
      <c r="B4958" s="572">
        <v>8.1871299999999994E-2</v>
      </c>
      <c r="C4958" s="572">
        <v>8.1871299999999994E-2</v>
      </c>
    </row>
    <row r="4959" spans="1:3">
      <c r="A4959" s="571" t="s">
        <v>1943</v>
      </c>
      <c r="B4959" s="572">
        <v>0.57309900000000003</v>
      </c>
      <c r="C4959" s="572">
        <v>78.525499999999994</v>
      </c>
    </row>
    <row r="4960" spans="1:3">
      <c r="A4960" s="571" t="s">
        <v>1943</v>
      </c>
      <c r="B4960" s="572">
        <v>0.90058499999999997</v>
      </c>
      <c r="C4960" s="572">
        <v>58.578499999999998</v>
      </c>
    </row>
    <row r="4961" spans="1:3">
      <c r="A4961" s="571" t="s">
        <v>1943</v>
      </c>
      <c r="B4961" s="572">
        <v>1.39181</v>
      </c>
      <c r="C4961" s="572">
        <v>54.528500000000001</v>
      </c>
    </row>
    <row r="4962" spans="1:3">
      <c r="A4962" s="571" t="s">
        <v>1943</v>
      </c>
      <c r="B4962" s="572">
        <v>2.78363</v>
      </c>
      <c r="C4962" s="572">
        <v>54.3307</v>
      </c>
    </row>
    <row r="4963" spans="1:3">
      <c r="A4963" s="571" t="s">
        <v>1943</v>
      </c>
      <c r="B4963" s="572">
        <v>3.84795</v>
      </c>
      <c r="C4963" s="572">
        <v>54.179400000000001</v>
      </c>
    </row>
    <row r="4964" spans="1:3">
      <c r="A4964" s="571" t="s">
        <v>1943</v>
      </c>
      <c r="B4964" s="572">
        <v>4.3391799999999998</v>
      </c>
      <c r="C4964" s="572">
        <v>66.049899999999994</v>
      </c>
    </row>
    <row r="4965" spans="1:3">
      <c r="A4965" s="571" t="s">
        <v>1943</v>
      </c>
      <c r="B4965" s="572">
        <v>5.1578900000000001</v>
      </c>
      <c r="C4965" s="572">
        <v>69.913600000000002</v>
      </c>
    </row>
    <row r="4966" spans="1:3">
      <c r="A4966" s="571" t="s">
        <v>1943</v>
      </c>
      <c r="B4966" s="572">
        <v>6.8771899999999997</v>
      </c>
      <c r="C4966" s="572">
        <v>73.649299999999997</v>
      </c>
    </row>
    <row r="4967" spans="1:3">
      <c r="A4967" s="571" t="s">
        <v>1943</v>
      </c>
      <c r="B4967" s="572">
        <v>7.7777799999999999</v>
      </c>
      <c r="C4967" s="572">
        <v>69.541200000000003</v>
      </c>
    </row>
    <row r="4968" spans="1:3">
      <c r="A4968" s="571" t="s">
        <v>1943</v>
      </c>
      <c r="B4968" s="572">
        <v>9.0877199999999991</v>
      </c>
      <c r="C4968" s="572">
        <v>81.295299999999997</v>
      </c>
    </row>
    <row r="4969" spans="1:3">
      <c r="A4969" s="571" t="s">
        <v>1943</v>
      </c>
      <c r="B4969" s="572">
        <v>10.970800000000001</v>
      </c>
      <c r="C4969" s="572">
        <v>88.987799999999993</v>
      </c>
    </row>
    <row r="4970" spans="1:3">
      <c r="A4970" s="571" t="s">
        <v>1943</v>
      </c>
      <c r="B4970" s="572">
        <v>14.736800000000001</v>
      </c>
      <c r="C4970" s="572">
        <v>104.373</v>
      </c>
    </row>
    <row r="4971" spans="1:3">
      <c r="A4971" s="571" t="s">
        <v>1943</v>
      </c>
      <c r="B4971" s="572">
        <v>17.6023</v>
      </c>
      <c r="C4971" s="572">
        <v>103.96599999999999</v>
      </c>
    </row>
    <row r="4972" spans="1:3">
      <c r="A4972" s="571" t="s">
        <v>1943</v>
      </c>
      <c r="B4972" s="572">
        <v>20.7135</v>
      </c>
      <c r="C4972" s="572">
        <v>103.523</v>
      </c>
    </row>
    <row r="4973" spans="1:3">
      <c r="A4973" s="571" t="s">
        <v>1943</v>
      </c>
      <c r="B4973" s="572">
        <v>22.842099999999999</v>
      </c>
      <c r="C4973" s="572">
        <v>111.181</v>
      </c>
    </row>
    <row r="4974" spans="1:3">
      <c r="A4974" s="571" t="s">
        <v>1943</v>
      </c>
      <c r="B4974" s="572">
        <v>24.8889</v>
      </c>
      <c r="C4974" s="572">
        <v>110.89</v>
      </c>
    </row>
    <row r="4975" spans="1:3">
      <c r="A4975" s="571" t="s">
        <v>1943</v>
      </c>
      <c r="B4975" s="572">
        <v>26.526299999999999</v>
      </c>
      <c r="C4975" s="572">
        <v>114.637</v>
      </c>
    </row>
    <row r="4976" spans="1:3">
      <c r="A4976" s="571" t="s">
        <v>1943</v>
      </c>
      <c r="B4976" s="572">
        <v>27.918099999999999</v>
      </c>
      <c r="C4976" s="572">
        <v>118.42</v>
      </c>
    </row>
    <row r="4977" spans="1:3">
      <c r="A4977" s="571" t="s">
        <v>1944</v>
      </c>
      <c r="B4977" s="572">
        <v>0.15193000000000001</v>
      </c>
      <c r="C4977" s="572">
        <v>30.845800000000001</v>
      </c>
    </row>
    <row r="4978" spans="1:3">
      <c r="A4978" s="571" t="s">
        <v>1944</v>
      </c>
      <c r="B4978" s="572">
        <v>0.23258000000000001</v>
      </c>
      <c r="C4978" s="572">
        <v>54.726399999999998</v>
      </c>
    </row>
    <row r="4979" spans="1:3">
      <c r="A4979" s="571" t="s">
        <v>1944</v>
      </c>
      <c r="B4979" s="572">
        <v>0.47961900000000002</v>
      </c>
      <c r="C4979" s="572">
        <v>26.8657</v>
      </c>
    </row>
    <row r="4980" spans="1:3">
      <c r="A4980" s="571" t="s">
        <v>1944</v>
      </c>
      <c r="B4980" s="572">
        <v>0.64437999999999995</v>
      </c>
      <c r="C4980" s="572">
        <v>6.9651699999999996</v>
      </c>
    </row>
    <row r="4981" spans="1:3">
      <c r="A4981" s="571" t="s">
        <v>1944</v>
      </c>
      <c r="B4981" s="572">
        <v>1.2180899999999999</v>
      </c>
      <c r="C4981" s="572">
        <v>4.9751200000000004</v>
      </c>
    </row>
    <row r="4982" spans="1:3">
      <c r="A4982" s="571" t="s">
        <v>1944</v>
      </c>
      <c r="B4982" s="572">
        <v>1.9549300000000001</v>
      </c>
      <c r="C4982" s="572">
        <v>4.9751200000000004</v>
      </c>
    </row>
    <row r="4983" spans="1:3">
      <c r="A4983" s="571" t="s">
        <v>1944</v>
      </c>
      <c r="B4983" s="572">
        <v>2.8549099999999998</v>
      </c>
      <c r="C4983" s="572">
        <v>6.9651699999999996</v>
      </c>
    </row>
    <row r="4984" spans="1:3">
      <c r="A4984" s="571" t="s">
        <v>1944</v>
      </c>
      <c r="B4984" s="572">
        <v>4.1640300000000003</v>
      </c>
      <c r="C4984" s="572">
        <v>22.8856</v>
      </c>
    </row>
    <row r="4985" spans="1:3">
      <c r="A4985" s="571" t="s">
        <v>1944</v>
      </c>
      <c r="B4985" s="572">
        <v>5.0646199999999997</v>
      </c>
      <c r="C4985" s="572">
        <v>22.8856</v>
      </c>
    </row>
    <row r="4986" spans="1:3">
      <c r="A4986" s="571" t="s">
        <v>1944</v>
      </c>
      <c r="B4986" s="572">
        <v>6.3735400000000002</v>
      </c>
      <c r="C4986" s="572">
        <v>42.786099999999998</v>
      </c>
    </row>
    <row r="4987" spans="1:3">
      <c r="A4987" s="571" t="s">
        <v>1944</v>
      </c>
      <c r="B4987" s="572">
        <v>7.3555900000000003</v>
      </c>
      <c r="C4987" s="572">
        <v>50.746299999999998</v>
      </c>
    </row>
    <row r="4988" spans="1:3">
      <c r="A4988" s="571" t="s">
        <v>1944</v>
      </c>
      <c r="B4988" s="572">
        <v>8.5832499999999996</v>
      </c>
      <c r="C4988" s="572">
        <v>58.706499999999998</v>
      </c>
    </row>
    <row r="4989" spans="1:3">
      <c r="A4989" s="571" t="s">
        <v>1944</v>
      </c>
      <c r="B4989" s="572">
        <v>10.056100000000001</v>
      </c>
      <c r="C4989" s="572">
        <v>74.626900000000006</v>
      </c>
    </row>
    <row r="4990" spans="1:3">
      <c r="A4990" s="571" t="s">
        <v>1944</v>
      </c>
      <c r="B4990" s="572">
        <v>11.529400000000001</v>
      </c>
      <c r="C4990" s="572">
        <v>82.587100000000007</v>
      </c>
    </row>
    <row r="4991" spans="1:3">
      <c r="A4991" s="571" t="s">
        <v>1944</v>
      </c>
      <c r="B4991" s="572">
        <v>12.838699999999999</v>
      </c>
      <c r="C4991" s="572">
        <v>94.5274</v>
      </c>
    </row>
    <row r="4992" spans="1:3">
      <c r="A4992" s="571" t="s">
        <v>1944</v>
      </c>
      <c r="B4992" s="572">
        <v>13.984500000000001</v>
      </c>
      <c r="C4992" s="572">
        <v>102.488</v>
      </c>
    </row>
    <row r="4993" spans="1:3">
      <c r="A4993" s="571" t="s">
        <v>1944</v>
      </c>
      <c r="B4993" s="572">
        <v>15.457800000000001</v>
      </c>
      <c r="C4993" s="572">
        <v>110.44799999999999</v>
      </c>
    </row>
    <row r="4994" spans="1:3">
      <c r="A4994" s="571" t="s">
        <v>1944</v>
      </c>
      <c r="B4994" s="572">
        <v>16.8492</v>
      </c>
      <c r="C4994" s="572">
        <v>118.408</v>
      </c>
    </row>
    <row r="4995" spans="1:3">
      <c r="A4995" s="571" t="s">
        <v>1944</v>
      </c>
      <c r="B4995" s="572">
        <v>18.567900000000002</v>
      </c>
      <c r="C4995" s="572">
        <v>130.34800000000001</v>
      </c>
    </row>
    <row r="4996" spans="1:3">
      <c r="A4996" s="571" t="s">
        <v>1944</v>
      </c>
      <c r="B4996" s="572">
        <v>19.877199999999998</v>
      </c>
      <c r="C4996" s="572">
        <v>142.28899999999999</v>
      </c>
    </row>
    <row r="4997" spans="1:3">
      <c r="A4997" s="571" t="s">
        <v>1944</v>
      </c>
      <c r="B4997" s="572">
        <v>21.678000000000001</v>
      </c>
      <c r="C4997" s="572">
        <v>150.249</v>
      </c>
    </row>
    <row r="4998" spans="1:3">
      <c r="A4998" s="571" t="s">
        <v>1944</v>
      </c>
      <c r="B4998" s="572">
        <v>23.4787</v>
      </c>
      <c r="C4998" s="572">
        <v>158.209</v>
      </c>
    </row>
    <row r="4999" spans="1:3">
      <c r="A4999" s="571" t="s">
        <v>1944</v>
      </c>
      <c r="B4999" s="572">
        <v>25.033899999999999</v>
      </c>
      <c r="C4999" s="572">
        <v>166.16900000000001</v>
      </c>
    </row>
    <row r="5000" spans="1:3">
      <c r="A5000" s="571" t="s">
        <v>1944</v>
      </c>
      <c r="B5000" s="572">
        <v>26.179300000000001</v>
      </c>
      <c r="C5000" s="572">
        <v>182.09</v>
      </c>
    </row>
    <row r="5001" spans="1:3">
      <c r="A5001" s="571" t="s">
        <v>1944</v>
      </c>
      <c r="B5001" s="572">
        <v>27.734400000000001</v>
      </c>
      <c r="C5001" s="572">
        <v>190.05</v>
      </c>
    </row>
    <row r="5002" spans="1:3">
      <c r="A5002" s="571" t="s">
        <v>1945</v>
      </c>
      <c r="B5002" s="572">
        <v>4.7037799999999998E-2</v>
      </c>
      <c r="C5002" s="572">
        <v>391.59</v>
      </c>
    </row>
    <row r="5003" spans="1:3">
      <c r="A5003" s="571" t="s">
        <v>1945</v>
      </c>
      <c r="B5003" s="572">
        <v>0.10989400000000001</v>
      </c>
      <c r="C5003" s="572">
        <v>214.86500000000001</v>
      </c>
    </row>
    <row r="5004" spans="1:3">
      <c r="A5004" s="571" t="s">
        <v>1945</v>
      </c>
      <c r="B5004" s="572">
        <v>0.17691200000000001</v>
      </c>
      <c r="C5004" s="572">
        <v>772.79399999999998</v>
      </c>
    </row>
    <row r="5005" spans="1:3">
      <c r="A5005" s="571" t="s">
        <v>1945</v>
      </c>
      <c r="B5005" s="572">
        <v>0.28805500000000001</v>
      </c>
      <c r="C5005" s="572">
        <v>998.05499999999995</v>
      </c>
    </row>
    <row r="5006" spans="1:3">
      <c r="A5006" s="571" t="s">
        <v>1945</v>
      </c>
      <c r="B5006" s="572">
        <v>0.63646800000000003</v>
      </c>
      <c r="C5006" s="572">
        <v>1098.5899999999999</v>
      </c>
    </row>
    <row r="5007" spans="1:3">
      <c r="A5007" s="571" t="s">
        <v>1945</v>
      </c>
      <c r="B5007" s="572">
        <v>1.986</v>
      </c>
      <c r="C5007" s="572">
        <v>1133.4100000000001</v>
      </c>
    </row>
    <row r="5008" spans="1:3">
      <c r="A5008" s="571" t="s">
        <v>1945</v>
      </c>
      <c r="B5008" s="572">
        <v>3.4175300000000002</v>
      </c>
      <c r="C5008" s="572">
        <v>1150.92</v>
      </c>
    </row>
    <row r="5009" spans="1:3">
      <c r="A5009" s="571" t="s">
        <v>1945</v>
      </c>
      <c r="B5009" s="572">
        <v>5.1017299999999999</v>
      </c>
      <c r="C5009" s="572">
        <v>1171.92</v>
      </c>
    </row>
    <row r="5010" spans="1:3">
      <c r="A5010" s="571" t="s">
        <v>1945</v>
      </c>
      <c r="B5010" s="572">
        <v>6.7838500000000002</v>
      </c>
      <c r="C5010" s="572">
        <v>1175.5899999999999</v>
      </c>
    </row>
    <row r="5011" spans="1:3">
      <c r="A5011" s="571" t="s">
        <v>1945</v>
      </c>
      <c r="B5011" s="572">
        <v>8.8872400000000003</v>
      </c>
      <c r="C5011" s="572">
        <v>1186.25</v>
      </c>
    </row>
    <row r="5012" spans="1:3">
      <c r="A5012" s="571" t="s">
        <v>1945</v>
      </c>
      <c r="B5012" s="572">
        <v>10.6547</v>
      </c>
      <c r="C5012" s="572">
        <v>1200.33</v>
      </c>
    </row>
    <row r="5013" spans="1:3">
      <c r="A5013" s="571" t="s">
        <v>1945</v>
      </c>
      <c r="B5013" s="572">
        <v>12.4213</v>
      </c>
      <c r="C5013" s="572">
        <v>1207.48</v>
      </c>
    </row>
    <row r="5014" spans="1:3">
      <c r="A5014" s="571" t="s">
        <v>1945</v>
      </c>
      <c r="B5014" s="572">
        <v>14.3561</v>
      </c>
      <c r="C5014" s="572">
        <v>1214.6500000000001</v>
      </c>
    </row>
    <row r="5015" spans="1:3">
      <c r="A5015" s="571" t="s">
        <v>1945</v>
      </c>
      <c r="B5015" s="572">
        <v>16.038699999999999</v>
      </c>
      <c r="C5015" s="572">
        <v>1221.79</v>
      </c>
    </row>
    <row r="5016" spans="1:3">
      <c r="A5016" s="571" t="s">
        <v>1945</v>
      </c>
      <c r="B5016" s="572">
        <v>17.805700000000002</v>
      </c>
      <c r="C5016" s="572">
        <v>1232.4000000000001</v>
      </c>
    </row>
    <row r="5017" spans="1:3">
      <c r="A5017" s="571" t="s">
        <v>1945</v>
      </c>
      <c r="B5017" s="572">
        <v>19.656400000000001</v>
      </c>
      <c r="C5017" s="572">
        <v>1239.56</v>
      </c>
    </row>
    <row r="5018" spans="1:3">
      <c r="A5018" s="571" t="s">
        <v>1945</v>
      </c>
      <c r="B5018" s="572">
        <v>21.674900000000001</v>
      </c>
      <c r="C5018" s="572">
        <v>1243.28</v>
      </c>
    </row>
    <row r="5019" spans="1:3">
      <c r="A5019" s="571" t="s">
        <v>1945</v>
      </c>
      <c r="B5019" s="572">
        <v>23.525600000000001</v>
      </c>
      <c r="C5019" s="572">
        <v>1250.44</v>
      </c>
    </row>
    <row r="5020" spans="1:3">
      <c r="A5020" s="571" t="s">
        <v>1945</v>
      </c>
      <c r="B5020" s="572">
        <v>25.2089</v>
      </c>
      <c r="C5020" s="572">
        <v>1264.51</v>
      </c>
    </row>
    <row r="5021" spans="1:3">
      <c r="A5021" s="571" t="s">
        <v>1945</v>
      </c>
      <c r="B5021" s="572">
        <v>26.639600000000002</v>
      </c>
      <c r="C5021" s="572">
        <v>1275.08</v>
      </c>
    </row>
    <row r="5022" spans="1:3">
      <c r="A5022" s="571" t="s">
        <v>1945</v>
      </c>
      <c r="B5022" s="572">
        <v>28.238900000000001</v>
      </c>
      <c r="C5022" s="572">
        <v>1289.1400000000001</v>
      </c>
    </row>
    <row r="5023" spans="1:3">
      <c r="A5023" s="571" t="s">
        <v>1946</v>
      </c>
      <c r="B5023" s="572">
        <v>1.6766300000000001E-2</v>
      </c>
      <c r="C5023" s="572">
        <v>279.99799999999999</v>
      </c>
    </row>
    <row r="5024" spans="1:3">
      <c r="A5024" s="571" t="s">
        <v>1946</v>
      </c>
      <c r="B5024" s="572">
        <v>0.104531</v>
      </c>
      <c r="C5024" s="572">
        <v>345.666</v>
      </c>
    </row>
    <row r="5025" spans="1:3">
      <c r="A5025" s="571" t="s">
        <v>1946</v>
      </c>
      <c r="B5025" s="572">
        <v>0.44109999999999999</v>
      </c>
      <c r="C5025" s="572">
        <v>366.36500000000001</v>
      </c>
    </row>
    <row r="5026" spans="1:3">
      <c r="A5026" s="571" t="s">
        <v>1946</v>
      </c>
      <c r="B5026" s="572">
        <v>0.859016</v>
      </c>
      <c r="C5026" s="572">
        <v>345.57299999999998</v>
      </c>
    </row>
    <row r="5027" spans="1:3">
      <c r="A5027" s="571" t="s">
        <v>1946</v>
      </c>
      <c r="B5027" s="572">
        <v>2.2019799999999998</v>
      </c>
      <c r="C5027" s="572">
        <v>373.06099999999998</v>
      </c>
    </row>
    <row r="5028" spans="1:3">
      <c r="A5028" s="571" t="s">
        <v>1946</v>
      </c>
      <c r="B5028" s="572">
        <v>3.54515</v>
      </c>
      <c r="C5028" s="572">
        <v>404.00700000000001</v>
      </c>
    </row>
    <row r="5029" spans="1:3">
      <c r="A5029" s="571" t="s">
        <v>1946</v>
      </c>
      <c r="B5029" s="572">
        <v>4.6360000000000001</v>
      </c>
      <c r="C5029" s="572">
        <v>421.15600000000001</v>
      </c>
    </row>
    <row r="5030" spans="1:3">
      <c r="A5030" s="571" t="s">
        <v>1946</v>
      </c>
      <c r="B5030" s="572">
        <v>5.9785500000000003</v>
      </c>
      <c r="C5030" s="572">
        <v>441.73099999999999</v>
      </c>
    </row>
    <row r="5031" spans="1:3">
      <c r="A5031" s="571" t="s">
        <v>1946</v>
      </c>
      <c r="B5031" s="572">
        <v>7.3208900000000003</v>
      </c>
      <c r="C5031" s="572">
        <v>458.84899999999999</v>
      </c>
    </row>
    <row r="5032" spans="1:3">
      <c r="A5032" s="571" t="s">
        <v>1946</v>
      </c>
      <c r="B5032" s="572">
        <v>8.7470599999999994</v>
      </c>
      <c r="C5032" s="572">
        <v>475.95699999999999</v>
      </c>
    </row>
    <row r="5033" spans="1:3">
      <c r="A5033" s="571" t="s">
        <v>1946</v>
      </c>
      <c r="B5033" s="572">
        <v>10.1732</v>
      </c>
      <c r="C5033" s="572">
        <v>493.065</v>
      </c>
    </row>
    <row r="5034" spans="1:3">
      <c r="A5034" s="571" t="s">
        <v>1946</v>
      </c>
      <c r="B5034" s="572">
        <v>11.5152</v>
      </c>
      <c r="C5034" s="572">
        <v>503.27</v>
      </c>
    </row>
    <row r="5035" spans="1:3">
      <c r="A5035" s="571" t="s">
        <v>1946</v>
      </c>
      <c r="B5035" s="572">
        <v>13.025</v>
      </c>
      <c r="C5035" s="572">
        <v>516.91</v>
      </c>
    </row>
    <row r="5036" spans="1:3">
      <c r="A5036" s="571" t="s">
        <v>1946</v>
      </c>
      <c r="B5036" s="572">
        <v>14.702</v>
      </c>
      <c r="C5036" s="572">
        <v>523.61699999999996</v>
      </c>
    </row>
    <row r="5037" spans="1:3">
      <c r="A5037" s="571" t="s">
        <v>1946</v>
      </c>
      <c r="B5037" s="572">
        <v>16.2956</v>
      </c>
      <c r="C5037" s="572">
        <v>537.24699999999996</v>
      </c>
    </row>
    <row r="5038" spans="1:3">
      <c r="A5038" s="571" t="s">
        <v>1946</v>
      </c>
      <c r="B5038" s="572">
        <v>17.721599999999999</v>
      </c>
      <c r="C5038" s="572">
        <v>550.899</v>
      </c>
    </row>
    <row r="5039" spans="1:3">
      <c r="A5039" s="571" t="s">
        <v>1946</v>
      </c>
      <c r="B5039" s="572">
        <v>19.147200000000002</v>
      </c>
      <c r="C5039" s="572">
        <v>557.63599999999997</v>
      </c>
    </row>
    <row r="5040" spans="1:3">
      <c r="A5040" s="571" t="s">
        <v>1946</v>
      </c>
      <c r="B5040" s="572">
        <v>20.488700000000001</v>
      </c>
      <c r="C5040" s="572">
        <v>560.92700000000002</v>
      </c>
    </row>
    <row r="5041" spans="1:3">
      <c r="A5041" s="571" t="s">
        <v>1946</v>
      </c>
      <c r="B5041" s="572">
        <v>22.1661</v>
      </c>
      <c r="C5041" s="572">
        <v>574.54700000000003</v>
      </c>
    </row>
    <row r="5042" spans="1:3">
      <c r="A5042" s="571" t="s">
        <v>1946</v>
      </c>
      <c r="B5042" s="572">
        <v>23.927</v>
      </c>
      <c r="C5042" s="572">
        <v>581.24400000000003</v>
      </c>
    </row>
    <row r="5043" spans="1:3">
      <c r="A5043" s="571" t="s">
        <v>1946</v>
      </c>
      <c r="B5043" s="572">
        <v>25.436599999999999</v>
      </c>
      <c r="C5043" s="572">
        <v>591.428</v>
      </c>
    </row>
    <row r="5044" spans="1:3">
      <c r="A5044" s="571" t="s">
        <v>1946</v>
      </c>
      <c r="B5044" s="572">
        <v>27.113499999999998</v>
      </c>
      <c r="C5044" s="572">
        <v>594.67700000000002</v>
      </c>
    </row>
    <row r="5045" spans="1:3">
      <c r="A5045" s="571" t="s">
        <v>1946</v>
      </c>
      <c r="B5045" s="572">
        <v>28.0352</v>
      </c>
      <c r="C5045" s="572">
        <v>587.65</v>
      </c>
    </row>
    <row r="5046" spans="1:3">
      <c r="A5046" s="571" t="s">
        <v>1947</v>
      </c>
      <c r="B5046" s="572">
        <v>1.74828E-2</v>
      </c>
      <c r="C5046" s="572">
        <v>145.54499999999999</v>
      </c>
    </row>
    <row r="5047" spans="1:3">
      <c r="A5047" s="571" t="s">
        <v>1947</v>
      </c>
      <c r="B5047" s="572">
        <v>0.19605700000000001</v>
      </c>
      <c r="C5047" s="572">
        <v>232.178</v>
      </c>
    </row>
    <row r="5048" spans="1:3">
      <c r="A5048" s="571" t="s">
        <v>1947</v>
      </c>
      <c r="B5048" s="572">
        <v>0.54363300000000003</v>
      </c>
      <c r="C5048" s="572">
        <v>325.74299999999999</v>
      </c>
    </row>
    <row r="5049" spans="1:3">
      <c r="A5049" s="571" t="s">
        <v>1947</v>
      </c>
      <c r="B5049" s="572">
        <v>1.04481</v>
      </c>
      <c r="C5049" s="572">
        <v>298.02</v>
      </c>
    </row>
    <row r="5050" spans="1:3">
      <c r="A5050" s="571" t="s">
        <v>1947</v>
      </c>
      <c r="B5050" s="572">
        <v>1.71706</v>
      </c>
      <c r="C5050" s="572">
        <v>294.55399999999997</v>
      </c>
    </row>
    <row r="5051" spans="1:3">
      <c r="A5051" s="571" t="s">
        <v>1947</v>
      </c>
      <c r="B5051" s="572">
        <v>2.9812400000000001</v>
      </c>
      <c r="C5051" s="572">
        <v>318.81200000000001</v>
      </c>
    </row>
    <row r="5052" spans="1:3">
      <c r="A5052" s="571" t="s">
        <v>1947</v>
      </c>
      <c r="B5052" s="572">
        <v>4.6658299999999997</v>
      </c>
      <c r="C5052" s="572">
        <v>343.06900000000002</v>
      </c>
    </row>
    <row r="5053" spans="1:3">
      <c r="A5053" s="571" t="s">
        <v>1947</v>
      </c>
      <c r="B5053" s="572">
        <v>6.2651000000000003</v>
      </c>
      <c r="C5053" s="572">
        <v>356.93099999999998</v>
      </c>
    </row>
    <row r="5054" spans="1:3">
      <c r="A5054" s="571" t="s">
        <v>1947</v>
      </c>
      <c r="B5054" s="572">
        <v>7.9488599999999998</v>
      </c>
      <c r="C5054" s="572">
        <v>374.25700000000001</v>
      </c>
    </row>
    <row r="5055" spans="1:3">
      <c r="A5055" s="571" t="s">
        <v>1947</v>
      </c>
      <c r="B5055" s="572">
        <v>9.3807899999999993</v>
      </c>
      <c r="C5055" s="572">
        <v>395.05</v>
      </c>
    </row>
    <row r="5056" spans="1:3">
      <c r="A5056" s="571" t="s">
        <v>1947</v>
      </c>
      <c r="B5056" s="572">
        <v>10.896000000000001</v>
      </c>
      <c r="C5056" s="572">
        <v>408.911</v>
      </c>
    </row>
    <row r="5057" spans="1:3">
      <c r="A5057" s="571" t="s">
        <v>1947</v>
      </c>
      <c r="B5057" s="572">
        <v>12.4116</v>
      </c>
      <c r="C5057" s="572">
        <v>426.238</v>
      </c>
    </row>
    <row r="5058" spans="1:3">
      <c r="A5058" s="571" t="s">
        <v>1947</v>
      </c>
      <c r="B5058" s="572">
        <v>14.0953</v>
      </c>
      <c r="C5058" s="572">
        <v>443.56400000000002</v>
      </c>
    </row>
    <row r="5059" spans="1:3">
      <c r="A5059" s="571" t="s">
        <v>1947</v>
      </c>
      <c r="B5059" s="572">
        <v>15.6105</v>
      </c>
      <c r="C5059" s="572">
        <v>457.42599999999999</v>
      </c>
    </row>
    <row r="5060" spans="1:3">
      <c r="A5060" s="571" t="s">
        <v>1947</v>
      </c>
      <c r="B5060" s="572">
        <v>17.292999999999999</v>
      </c>
      <c r="C5060" s="572">
        <v>464.35599999999999</v>
      </c>
    </row>
    <row r="5061" spans="1:3">
      <c r="A5061" s="571" t="s">
        <v>1947</v>
      </c>
      <c r="B5061" s="572">
        <v>18.892299999999999</v>
      </c>
      <c r="C5061" s="572">
        <v>478.21800000000002</v>
      </c>
    </row>
    <row r="5062" spans="1:3">
      <c r="A5062" s="571" t="s">
        <v>1947</v>
      </c>
      <c r="B5062" s="572">
        <v>20.742100000000001</v>
      </c>
      <c r="C5062" s="572">
        <v>478.21800000000002</v>
      </c>
    </row>
    <row r="5063" spans="1:3">
      <c r="A5063" s="571" t="s">
        <v>1947</v>
      </c>
      <c r="B5063" s="572">
        <v>22.341799999999999</v>
      </c>
      <c r="C5063" s="572">
        <v>495.54500000000002</v>
      </c>
    </row>
    <row r="5064" spans="1:3">
      <c r="A5064" s="571" t="s">
        <v>1947</v>
      </c>
      <c r="B5064" s="572">
        <v>23.941099999999999</v>
      </c>
      <c r="C5064" s="572">
        <v>509.40600000000001</v>
      </c>
    </row>
    <row r="5065" spans="1:3">
      <c r="A5065" s="571" t="s">
        <v>1947</v>
      </c>
      <c r="B5065" s="572">
        <v>25.286799999999999</v>
      </c>
      <c r="C5065" s="572">
        <v>512.87099999999998</v>
      </c>
    </row>
    <row r="5066" spans="1:3">
      <c r="A5066" s="571" t="s">
        <v>1947</v>
      </c>
      <c r="B5066" s="572">
        <v>26.716699999999999</v>
      </c>
      <c r="C5066" s="572">
        <v>516.33699999999999</v>
      </c>
    </row>
    <row r="5067" spans="1:3">
      <c r="A5067" s="571" t="s">
        <v>1947</v>
      </c>
      <c r="B5067" s="572">
        <v>28.063300000000002</v>
      </c>
      <c r="C5067" s="572">
        <v>526.73299999999995</v>
      </c>
    </row>
    <row r="5068" spans="1:3">
      <c r="A5068" s="571" t="s">
        <v>1948</v>
      </c>
      <c r="B5068" s="572">
        <v>8.3582100000000006E-2</v>
      </c>
      <c r="C5068" s="572">
        <v>0</v>
      </c>
    </row>
    <row r="5069" spans="1:3">
      <c r="A5069" s="571" t="s">
        <v>1948</v>
      </c>
      <c r="B5069" s="572">
        <v>0.16716400000000001</v>
      </c>
      <c r="C5069" s="572">
        <v>79.703000000000003</v>
      </c>
    </row>
    <row r="5070" spans="1:3">
      <c r="A5070" s="571" t="s">
        <v>1948</v>
      </c>
      <c r="B5070" s="572">
        <v>0.41791</v>
      </c>
      <c r="C5070" s="572">
        <v>131.68299999999999</v>
      </c>
    </row>
    <row r="5071" spans="1:3">
      <c r="A5071" s="571" t="s">
        <v>1948</v>
      </c>
      <c r="B5071" s="572">
        <v>1.00299</v>
      </c>
      <c r="C5071" s="572">
        <v>152.47499999999999</v>
      </c>
    </row>
    <row r="5072" spans="1:3">
      <c r="A5072" s="571" t="s">
        <v>1948</v>
      </c>
      <c r="B5072" s="572">
        <v>2.17313</v>
      </c>
      <c r="C5072" s="572">
        <v>145.54499999999999</v>
      </c>
    </row>
    <row r="5073" spans="1:3">
      <c r="A5073" s="571" t="s">
        <v>1948</v>
      </c>
      <c r="B5073" s="572">
        <v>3.4268700000000001</v>
      </c>
      <c r="C5073" s="572">
        <v>145.54499999999999</v>
      </c>
    </row>
    <row r="5074" spans="1:3">
      <c r="A5074" s="571" t="s">
        <v>1948</v>
      </c>
      <c r="B5074" s="572">
        <v>4.6806000000000001</v>
      </c>
      <c r="C5074" s="572">
        <v>152.47499999999999</v>
      </c>
    </row>
    <row r="5075" spans="1:3">
      <c r="A5075" s="571" t="s">
        <v>1948</v>
      </c>
      <c r="B5075" s="572">
        <v>6.1850699999999996</v>
      </c>
      <c r="C5075" s="572">
        <v>159.40600000000001</v>
      </c>
    </row>
    <row r="5076" spans="1:3">
      <c r="A5076" s="571" t="s">
        <v>1948</v>
      </c>
      <c r="B5076" s="572">
        <v>7.7731300000000001</v>
      </c>
      <c r="C5076" s="572">
        <v>159.40600000000001</v>
      </c>
    </row>
    <row r="5077" spans="1:3">
      <c r="A5077" s="571" t="s">
        <v>1948</v>
      </c>
      <c r="B5077" s="572">
        <v>9.3611900000000006</v>
      </c>
      <c r="C5077" s="572">
        <v>159.40600000000001</v>
      </c>
    </row>
    <row r="5078" spans="1:3">
      <c r="A5078" s="571" t="s">
        <v>1948</v>
      </c>
      <c r="B5078" s="572">
        <v>11.2836</v>
      </c>
      <c r="C5078" s="572">
        <v>159.40600000000001</v>
      </c>
    </row>
    <row r="5079" spans="1:3">
      <c r="A5079" s="571" t="s">
        <v>1948</v>
      </c>
      <c r="B5079" s="572">
        <v>12.871600000000001</v>
      </c>
      <c r="C5079" s="572">
        <v>159.40600000000001</v>
      </c>
    </row>
    <row r="5080" spans="1:3">
      <c r="A5080" s="571" t="s">
        <v>1948</v>
      </c>
      <c r="B5080" s="572">
        <v>14.5433</v>
      </c>
      <c r="C5080" s="572">
        <v>166.33699999999999</v>
      </c>
    </row>
    <row r="5081" spans="1:3">
      <c r="A5081" s="571" t="s">
        <v>1948</v>
      </c>
      <c r="B5081" s="572">
        <v>16.7164</v>
      </c>
      <c r="C5081" s="572">
        <v>166.33699999999999</v>
      </c>
    </row>
    <row r="5082" spans="1:3">
      <c r="A5082" s="571" t="s">
        <v>1948</v>
      </c>
      <c r="B5082" s="572">
        <v>19.1403</v>
      </c>
      <c r="C5082" s="572">
        <v>169.80199999999999</v>
      </c>
    </row>
    <row r="5083" spans="1:3">
      <c r="A5083" s="571" t="s">
        <v>1948</v>
      </c>
      <c r="B5083" s="572">
        <v>21.313400000000001</v>
      </c>
      <c r="C5083" s="572">
        <v>169.80199999999999</v>
      </c>
    </row>
    <row r="5084" spans="1:3">
      <c r="A5084" s="571" t="s">
        <v>1948</v>
      </c>
      <c r="B5084" s="572">
        <v>24.155200000000001</v>
      </c>
      <c r="C5084" s="572">
        <v>173.267</v>
      </c>
    </row>
    <row r="5085" spans="1:3">
      <c r="A5085" s="571" t="s">
        <v>1948</v>
      </c>
      <c r="B5085" s="572">
        <v>26.411899999999999</v>
      </c>
      <c r="C5085" s="572">
        <v>180.19800000000001</v>
      </c>
    </row>
    <row r="5086" spans="1:3">
      <c r="A5086" s="571" t="s">
        <v>1948</v>
      </c>
      <c r="B5086" s="572">
        <v>27.916399999999999</v>
      </c>
      <c r="C5086" s="572">
        <v>180.19800000000001</v>
      </c>
    </row>
    <row r="5087" spans="1:3">
      <c r="A5087" s="571" t="s">
        <v>1949</v>
      </c>
      <c r="B5087" s="572">
        <v>1.10303</v>
      </c>
      <c r="C5087" s="572">
        <v>3.60825</v>
      </c>
    </row>
    <row r="5088" spans="1:3">
      <c r="A5088" s="571" t="s">
        <v>1949</v>
      </c>
      <c r="B5088" s="572">
        <v>1.18788</v>
      </c>
      <c r="C5088" s="572">
        <v>72.164900000000003</v>
      </c>
    </row>
    <row r="5089" spans="1:3">
      <c r="A5089" s="571" t="s">
        <v>1949</v>
      </c>
      <c r="B5089" s="572">
        <v>1.35758</v>
      </c>
      <c r="C5089" s="572">
        <v>216.495</v>
      </c>
    </row>
    <row r="5090" spans="1:3">
      <c r="A5090" s="571" t="s">
        <v>1949</v>
      </c>
      <c r="B5090" s="572">
        <v>1.78182</v>
      </c>
      <c r="C5090" s="572">
        <v>313.91800000000001</v>
      </c>
    </row>
    <row r="5091" spans="1:3">
      <c r="A5091" s="571" t="s">
        <v>1949</v>
      </c>
      <c r="B5091" s="572">
        <v>2.46061</v>
      </c>
      <c r="C5091" s="572">
        <v>386.08199999999999</v>
      </c>
    </row>
    <row r="5092" spans="1:3">
      <c r="A5092" s="571" t="s">
        <v>1949</v>
      </c>
      <c r="B5092" s="572">
        <v>3.8181799999999999</v>
      </c>
      <c r="C5092" s="572">
        <v>458.24700000000001</v>
      </c>
    </row>
    <row r="5093" spans="1:3">
      <c r="A5093" s="571" t="s">
        <v>1949</v>
      </c>
      <c r="B5093" s="572">
        <v>5.3454499999999996</v>
      </c>
      <c r="C5093" s="572">
        <v>523.19600000000003</v>
      </c>
    </row>
    <row r="5094" spans="1:3">
      <c r="A5094" s="571" t="s">
        <v>1949</v>
      </c>
      <c r="B5094" s="572">
        <v>6.6181799999999997</v>
      </c>
      <c r="C5094" s="572">
        <v>591.75300000000004</v>
      </c>
    </row>
    <row r="5095" spans="1:3">
      <c r="A5095" s="571" t="s">
        <v>1949</v>
      </c>
      <c r="B5095" s="572">
        <v>8.2302999999999997</v>
      </c>
      <c r="C5095" s="572">
        <v>638.66</v>
      </c>
    </row>
    <row r="5096" spans="1:3">
      <c r="A5096" s="571" t="s">
        <v>1949</v>
      </c>
      <c r="B5096" s="572">
        <v>10.0121</v>
      </c>
      <c r="C5096" s="572">
        <v>696.39200000000005</v>
      </c>
    </row>
    <row r="5097" spans="1:3">
      <c r="A5097" s="571" t="s">
        <v>1949</v>
      </c>
      <c r="B5097" s="572">
        <v>11.8788</v>
      </c>
      <c r="C5097" s="572">
        <v>739.69100000000003</v>
      </c>
    </row>
    <row r="5098" spans="1:3">
      <c r="A5098" s="571" t="s">
        <v>1949</v>
      </c>
      <c r="B5098" s="572">
        <v>13.830299999999999</v>
      </c>
      <c r="C5098" s="572">
        <v>775.77300000000002</v>
      </c>
    </row>
    <row r="5099" spans="1:3">
      <c r="A5099" s="571" t="s">
        <v>1949</v>
      </c>
      <c r="B5099" s="572">
        <v>16.121200000000002</v>
      </c>
      <c r="C5099" s="572">
        <v>804.63900000000001</v>
      </c>
    </row>
    <row r="5100" spans="1:3">
      <c r="A5100" s="571" t="s">
        <v>1949</v>
      </c>
      <c r="B5100" s="572">
        <v>18.666699999999999</v>
      </c>
      <c r="C5100" s="572">
        <v>826.28899999999999</v>
      </c>
    </row>
    <row r="5101" spans="1:3">
      <c r="A5101" s="571" t="s">
        <v>1949</v>
      </c>
      <c r="B5101" s="572">
        <v>21.042400000000001</v>
      </c>
      <c r="C5101" s="572">
        <v>840.72199999999998</v>
      </c>
    </row>
    <row r="5102" spans="1:3">
      <c r="A5102" s="571" t="s">
        <v>1949</v>
      </c>
      <c r="B5102" s="572">
        <v>23.333300000000001</v>
      </c>
      <c r="C5102" s="572">
        <v>855.15499999999997</v>
      </c>
    </row>
    <row r="5103" spans="1:3">
      <c r="A5103" s="571" t="s">
        <v>1949</v>
      </c>
      <c r="B5103" s="572">
        <v>25.539400000000001</v>
      </c>
      <c r="C5103" s="572">
        <v>869.58799999999997</v>
      </c>
    </row>
    <row r="5104" spans="1:3">
      <c r="A5104" s="571" t="s">
        <v>1949</v>
      </c>
      <c r="B5104" s="572">
        <v>27.7455</v>
      </c>
      <c r="C5104" s="572">
        <v>880.41200000000003</v>
      </c>
    </row>
    <row r="5105" spans="1:3">
      <c r="A5105" s="571" t="s">
        <v>1950</v>
      </c>
      <c r="B5105" s="572">
        <v>1.0996999999999999</v>
      </c>
      <c r="C5105" s="572">
        <v>1.0996999999999999</v>
      </c>
    </row>
    <row r="5106" spans="1:3">
      <c r="A5106" s="571" t="s">
        <v>1950</v>
      </c>
      <c r="B5106" s="572">
        <v>1.26888</v>
      </c>
      <c r="C5106" s="572">
        <v>176.804</v>
      </c>
    </row>
    <row r="5107" spans="1:3">
      <c r="A5107" s="571" t="s">
        <v>1950</v>
      </c>
      <c r="B5107" s="572">
        <v>1.6072500000000001</v>
      </c>
      <c r="C5107" s="572">
        <v>274.22699999999998</v>
      </c>
    </row>
    <row r="5108" spans="1:3">
      <c r="A5108" s="571" t="s">
        <v>1950</v>
      </c>
      <c r="B5108" s="572">
        <v>2.1147999999999998</v>
      </c>
      <c r="C5108" s="572">
        <v>368.041</v>
      </c>
    </row>
    <row r="5109" spans="1:3">
      <c r="A5109" s="571" t="s">
        <v>1950</v>
      </c>
      <c r="B5109" s="572">
        <v>2.2839900000000002</v>
      </c>
      <c r="C5109" s="572">
        <v>436.59800000000001</v>
      </c>
    </row>
    <row r="5110" spans="1:3">
      <c r="A5110" s="571" t="s">
        <v>1950</v>
      </c>
      <c r="B5110" s="572">
        <v>3.0453199999999998</v>
      </c>
      <c r="C5110" s="572">
        <v>505.15499999999997</v>
      </c>
    </row>
    <row r="5111" spans="1:3">
      <c r="A5111" s="571" t="s">
        <v>1950</v>
      </c>
      <c r="B5111" s="572">
        <v>4.1450199999999997</v>
      </c>
      <c r="C5111" s="572">
        <v>577.32000000000005</v>
      </c>
    </row>
    <row r="5112" spans="1:3">
      <c r="A5112" s="571" t="s">
        <v>1950</v>
      </c>
      <c r="B5112" s="572">
        <v>5.16012</v>
      </c>
      <c r="C5112" s="572">
        <v>642.26800000000003</v>
      </c>
    </row>
    <row r="5113" spans="1:3">
      <c r="A5113" s="571" t="s">
        <v>1950</v>
      </c>
      <c r="B5113" s="572">
        <v>6.17523</v>
      </c>
      <c r="C5113" s="572">
        <v>710.82500000000005</v>
      </c>
    </row>
    <row r="5114" spans="1:3">
      <c r="A5114" s="571" t="s">
        <v>1950</v>
      </c>
      <c r="B5114" s="572">
        <v>7.5286999999999997</v>
      </c>
      <c r="C5114" s="572">
        <v>754.12400000000002</v>
      </c>
    </row>
    <row r="5115" spans="1:3">
      <c r="A5115" s="571" t="s">
        <v>1950</v>
      </c>
      <c r="B5115" s="572">
        <v>8.6283999999999992</v>
      </c>
      <c r="C5115" s="572">
        <v>804.63900000000001</v>
      </c>
    </row>
    <row r="5116" spans="1:3">
      <c r="A5116" s="571" t="s">
        <v>1950</v>
      </c>
      <c r="B5116" s="572">
        <v>9.9818700000000007</v>
      </c>
      <c r="C5116" s="572">
        <v>833.505</v>
      </c>
    </row>
    <row r="5117" spans="1:3">
      <c r="A5117" s="571" t="s">
        <v>1950</v>
      </c>
      <c r="B5117" s="572">
        <v>11.4199</v>
      </c>
      <c r="C5117" s="572">
        <v>869.58799999999997</v>
      </c>
    </row>
    <row r="5118" spans="1:3">
      <c r="A5118" s="571" t="s">
        <v>1950</v>
      </c>
      <c r="B5118" s="572">
        <v>13.281000000000001</v>
      </c>
      <c r="C5118" s="572">
        <v>905.67</v>
      </c>
    </row>
    <row r="5119" spans="1:3">
      <c r="A5119" s="571" t="s">
        <v>1950</v>
      </c>
      <c r="B5119" s="572">
        <v>14.549799999999999</v>
      </c>
      <c r="C5119" s="572">
        <v>941.75300000000004</v>
      </c>
    </row>
    <row r="5120" spans="1:3">
      <c r="A5120" s="571" t="s">
        <v>1950</v>
      </c>
      <c r="B5120" s="572">
        <v>16.241700000000002</v>
      </c>
      <c r="C5120" s="572">
        <v>974.22699999999998</v>
      </c>
    </row>
    <row r="5121" spans="1:3">
      <c r="A5121" s="571" t="s">
        <v>1950</v>
      </c>
      <c r="B5121" s="572">
        <v>17.8489</v>
      </c>
      <c r="C5121" s="572">
        <v>988.66</v>
      </c>
    </row>
    <row r="5122" spans="1:3">
      <c r="A5122" s="571" t="s">
        <v>1950</v>
      </c>
      <c r="B5122" s="572">
        <v>19.540800000000001</v>
      </c>
      <c r="C5122" s="572">
        <v>1006.7</v>
      </c>
    </row>
    <row r="5123" spans="1:3">
      <c r="A5123" s="571" t="s">
        <v>1950</v>
      </c>
      <c r="B5123" s="572">
        <v>21.4864</v>
      </c>
      <c r="C5123" s="572">
        <v>1017.53</v>
      </c>
    </row>
    <row r="5124" spans="1:3">
      <c r="A5124" s="571" t="s">
        <v>1950</v>
      </c>
      <c r="B5124" s="572">
        <v>23.1782</v>
      </c>
      <c r="C5124" s="572">
        <v>1031.96</v>
      </c>
    </row>
    <row r="5125" spans="1:3">
      <c r="A5125" s="571" t="s">
        <v>1950</v>
      </c>
      <c r="B5125" s="572">
        <v>25.377600000000001</v>
      </c>
      <c r="C5125" s="572">
        <v>1042.78</v>
      </c>
    </row>
    <row r="5126" spans="1:3">
      <c r="A5126" s="571" t="s">
        <v>1950</v>
      </c>
      <c r="B5126" s="572">
        <v>26.9849</v>
      </c>
      <c r="C5126" s="572">
        <v>1053.6099999999999</v>
      </c>
    </row>
    <row r="5127" spans="1:3">
      <c r="A5127" s="571" t="s">
        <v>1950</v>
      </c>
      <c r="B5127" s="572">
        <v>28</v>
      </c>
      <c r="C5127" s="572">
        <v>1053.6099999999999</v>
      </c>
    </row>
    <row r="5128" spans="1:3">
      <c r="A5128" s="571" t="s">
        <v>1951</v>
      </c>
      <c r="B5128" s="572">
        <v>0.94166399999999995</v>
      </c>
      <c r="C5128" s="572">
        <v>3.7881800000000001</v>
      </c>
    </row>
    <row r="5129" spans="1:3">
      <c r="A5129" s="571" t="s">
        <v>1951</v>
      </c>
      <c r="B5129" s="572">
        <v>1.11561</v>
      </c>
      <c r="C5129" s="572">
        <v>40.168100000000003</v>
      </c>
    </row>
    <row r="5130" spans="1:3">
      <c r="A5130" s="571" t="s">
        <v>1951</v>
      </c>
      <c r="B5130" s="572">
        <v>2.0597400000000001</v>
      </c>
      <c r="C5130" s="572">
        <v>76.693799999999996</v>
      </c>
    </row>
    <row r="5131" spans="1:3">
      <c r="A5131" s="571" t="s">
        <v>1951</v>
      </c>
      <c r="B5131" s="572">
        <v>3.1751200000000002</v>
      </c>
      <c r="C5131" s="572">
        <v>113.197</v>
      </c>
    </row>
    <row r="5132" spans="1:3">
      <c r="A5132" s="571" t="s">
        <v>1951</v>
      </c>
      <c r="B5132" s="572">
        <v>4.2044300000000003</v>
      </c>
      <c r="C5132" s="572">
        <v>142.38200000000001</v>
      </c>
    </row>
    <row r="5133" spans="1:3">
      <c r="A5133" s="571" t="s">
        <v>1951</v>
      </c>
      <c r="B5133" s="572">
        <v>5.4897200000000002</v>
      </c>
      <c r="C5133" s="572">
        <v>156.87299999999999</v>
      </c>
    </row>
    <row r="5134" spans="1:3">
      <c r="A5134" s="571" t="s">
        <v>1951</v>
      </c>
      <c r="B5134" s="572">
        <v>6.6037499999999998</v>
      </c>
      <c r="C5134" s="572">
        <v>171.387</v>
      </c>
    </row>
    <row r="5135" spans="1:3">
      <c r="A5135" s="571" t="s">
        <v>1951</v>
      </c>
      <c r="B5135" s="572">
        <v>7.7182399999999998</v>
      </c>
      <c r="C5135" s="572">
        <v>193.23099999999999</v>
      </c>
    </row>
    <row r="5136" spans="1:3">
      <c r="A5136" s="571" t="s">
        <v>1951</v>
      </c>
      <c r="B5136" s="572">
        <v>9.1752300000000009</v>
      </c>
      <c r="C5136" s="572">
        <v>215.029</v>
      </c>
    </row>
    <row r="5137" spans="1:3">
      <c r="A5137" s="571" t="s">
        <v>1951</v>
      </c>
      <c r="B5137" s="572">
        <v>10.974500000000001</v>
      </c>
      <c r="C5137" s="572">
        <v>233.119</v>
      </c>
    </row>
    <row r="5138" spans="1:3">
      <c r="A5138" s="571" t="s">
        <v>1951</v>
      </c>
      <c r="B5138" s="572">
        <v>12.7736</v>
      </c>
      <c r="C5138" s="572">
        <v>247.54300000000001</v>
      </c>
    </row>
    <row r="5139" spans="1:3">
      <c r="A5139" s="571" t="s">
        <v>1951</v>
      </c>
      <c r="B5139" s="572">
        <v>14.144500000000001</v>
      </c>
      <c r="C5139" s="572">
        <v>262.02300000000002</v>
      </c>
    </row>
    <row r="5140" spans="1:3">
      <c r="A5140" s="571" t="s">
        <v>1951</v>
      </c>
      <c r="B5140" s="572">
        <v>16.0289</v>
      </c>
      <c r="C5140" s="572">
        <v>272.77100000000002</v>
      </c>
    </row>
    <row r="5141" spans="1:3">
      <c r="A5141" s="571" t="s">
        <v>1951</v>
      </c>
      <c r="B5141" s="572">
        <v>17.913799999999998</v>
      </c>
      <c r="C5141" s="572">
        <v>290.84899999999999</v>
      </c>
    </row>
    <row r="5142" spans="1:3">
      <c r="A5142" s="571" t="s">
        <v>1951</v>
      </c>
      <c r="B5142" s="572">
        <v>19.798300000000001</v>
      </c>
      <c r="C5142" s="572">
        <v>301.59699999999998</v>
      </c>
    </row>
    <row r="5143" spans="1:3">
      <c r="A5143" s="571" t="s">
        <v>1951</v>
      </c>
      <c r="B5143" s="572">
        <v>21.682500000000001</v>
      </c>
      <c r="C5143" s="572">
        <v>308.68</v>
      </c>
    </row>
    <row r="5144" spans="1:3">
      <c r="A5144" s="571" t="s">
        <v>1951</v>
      </c>
      <c r="B5144" s="572">
        <v>23.566700000000001</v>
      </c>
      <c r="C5144" s="572">
        <v>315.76400000000001</v>
      </c>
    </row>
    <row r="5145" spans="1:3">
      <c r="A5145" s="571" t="s">
        <v>1951</v>
      </c>
      <c r="B5145" s="572">
        <v>25.279499999999999</v>
      </c>
      <c r="C5145" s="572">
        <v>319.20400000000001</v>
      </c>
    </row>
    <row r="5146" spans="1:3">
      <c r="A5146" s="571" t="s">
        <v>1951</v>
      </c>
      <c r="B5146" s="572">
        <v>26.5639</v>
      </c>
      <c r="C5146" s="572">
        <v>319.036</v>
      </c>
    </row>
    <row r="5147" spans="1:3">
      <c r="A5147" s="571" t="s">
        <v>1951</v>
      </c>
      <c r="B5147" s="572">
        <v>28.020199999999999</v>
      </c>
      <c r="C5147" s="572">
        <v>329.84</v>
      </c>
    </row>
    <row r="5148" spans="1:3">
      <c r="A5148" s="571" t="s">
        <v>1952</v>
      </c>
      <c r="B5148" s="572">
        <v>1.0243899999999999</v>
      </c>
      <c r="C5148" s="572">
        <v>3.5401099999999999</v>
      </c>
    </row>
    <row r="5149" spans="1:3">
      <c r="A5149" s="571" t="s">
        <v>1952</v>
      </c>
      <c r="B5149" s="572">
        <v>1.19512</v>
      </c>
      <c r="C5149" s="572">
        <v>80.996700000000004</v>
      </c>
    </row>
    <row r="5150" spans="1:3">
      <c r="A5150" s="571" t="s">
        <v>1952</v>
      </c>
      <c r="B5150" s="572">
        <v>1.62195</v>
      </c>
      <c r="C5150" s="572">
        <v>136.17099999999999</v>
      </c>
    </row>
    <row r="5151" spans="1:3">
      <c r="A5151" s="571" t="s">
        <v>1952</v>
      </c>
      <c r="B5151" s="572">
        <v>2.7317100000000001</v>
      </c>
      <c r="C5151" s="572">
        <v>184.08600000000001</v>
      </c>
    </row>
    <row r="5152" spans="1:3">
      <c r="A5152" s="571" t="s">
        <v>1952</v>
      </c>
      <c r="B5152" s="572">
        <v>4.5243900000000004</v>
      </c>
      <c r="C5152" s="572">
        <v>228.41499999999999</v>
      </c>
    </row>
    <row r="5153" spans="1:3">
      <c r="A5153" s="571" t="s">
        <v>1952</v>
      </c>
      <c r="B5153" s="572">
        <v>6.3170700000000002</v>
      </c>
      <c r="C5153" s="572">
        <v>269.07</v>
      </c>
    </row>
    <row r="5154" spans="1:3">
      <c r="A5154" s="571" t="s">
        <v>1952</v>
      </c>
      <c r="B5154" s="572">
        <v>8.4512199999999993</v>
      </c>
      <c r="C5154" s="572">
        <v>306.096</v>
      </c>
    </row>
    <row r="5155" spans="1:3">
      <c r="A5155" s="571" t="s">
        <v>1952</v>
      </c>
      <c r="B5155" s="572">
        <v>10.0732</v>
      </c>
      <c r="C5155" s="572">
        <v>332.03100000000001</v>
      </c>
    </row>
    <row r="5156" spans="1:3">
      <c r="A5156" s="571" t="s">
        <v>1952</v>
      </c>
      <c r="B5156" s="572">
        <v>11.7805</v>
      </c>
      <c r="C5156" s="572">
        <v>354.30200000000002</v>
      </c>
    </row>
    <row r="5157" spans="1:3">
      <c r="A5157" s="571" t="s">
        <v>1952</v>
      </c>
      <c r="B5157" s="572">
        <v>13.6585</v>
      </c>
      <c r="C5157" s="572">
        <v>376.596</v>
      </c>
    </row>
    <row r="5158" spans="1:3">
      <c r="A5158" s="571" t="s">
        <v>1952</v>
      </c>
      <c r="B5158" s="572">
        <v>15.622</v>
      </c>
      <c r="C5158" s="572">
        <v>387.87700000000001</v>
      </c>
    </row>
    <row r="5159" spans="1:3">
      <c r="A5159" s="571" t="s">
        <v>1952</v>
      </c>
      <c r="B5159" s="572">
        <v>17.5854</v>
      </c>
      <c r="C5159" s="572">
        <v>410.18200000000002</v>
      </c>
    </row>
    <row r="5160" spans="1:3">
      <c r="A5160" s="571" t="s">
        <v>1952</v>
      </c>
      <c r="B5160" s="572">
        <v>19.8902</v>
      </c>
      <c r="C5160" s="572">
        <v>428.85700000000003</v>
      </c>
    </row>
    <row r="5161" spans="1:3">
      <c r="A5161" s="571" t="s">
        <v>1952</v>
      </c>
      <c r="B5161" s="572">
        <v>21.5976</v>
      </c>
      <c r="C5161" s="572">
        <v>429.08100000000002</v>
      </c>
    </row>
    <row r="5162" spans="1:3">
      <c r="A5162" s="571" t="s">
        <v>1952</v>
      </c>
      <c r="B5162" s="572">
        <v>23.4756</v>
      </c>
      <c r="C5162" s="572">
        <v>447.7</v>
      </c>
    </row>
    <row r="5163" spans="1:3">
      <c r="A5163" s="571" t="s">
        <v>1952</v>
      </c>
      <c r="B5163" s="572">
        <v>25.5244</v>
      </c>
      <c r="C5163" s="572">
        <v>455.31799999999998</v>
      </c>
    </row>
    <row r="5164" spans="1:3">
      <c r="A5164" s="571" t="s">
        <v>1952</v>
      </c>
      <c r="B5164" s="572">
        <v>27.3171</v>
      </c>
      <c r="C5164" s="572">
        <v>466.577</v>
      </c>
    </row>
    <row r="5165" spans="1:3">
      <c r="A5165" s="571" t="s">
        <v>1952</v>
      </c>
      <c r="B5165" s="572">
        <v>28.0854</v>
      </c>
      <c r="C5165" s="572">
        <v>466.678</v>
      </c>
    </row>
    <row r="5166" spans="1:3">
      <c r="A5166" s="571" t="s">
        <v>1953</v>
      </c>
      <c r="B5166" s="572">
        <v>0.48663099999999998</v>
      </c>
      <c r="C5166" s="572">
        <v>1.7800000000000002E-13</v>
      </c>
    </row>
    <row r="5167" spans="1:3">
      <c r="A5167" s="571" t="s">
        <v>1953</v>
      </c>
      <c r="B5167" s="572">
        <v>6.8128299999999999</v>
      </c>
      <c r="C5167" s="572">
        <v>413.25299999999999</v>
      </c>
    </row>
    <row r="5168" spans="1:3">
      <c r="A5168" s="571" t="s">
        <v>1953</v>
      </c>
      <c r="B5168" s="572">
        <v>28.224599999999999</v>
      </c>
      <c r="C5168" s="572">
        <v>798.39400000000001</v>
      </c>
    </row>
    <row r="5169" spans="1:3">
      <c r="A5169" s="571" t="s">
        <v>1953</v>
      </c>
      <c r="B5169" s="572">
        <v>56.449199999999998</v>
      </c>
      <c r="C5169" s="572">
        <v>969.88</v>
      </c>
    </row>
    <row r="5170" spans="1:3">
      <c r="A5170" s="571" t="s">
        <v>1953</v>
      </c>
      <c r="B5170" s="572">
        <v>90.513400000000004</v>
      </c>
      <c r="C5170" s="572">
        <v>1104.82</v>
      </c>
    </row>
    <row r="5171" spans="1:3">
      <c r="A5171" s="573" t="s">
        <v>1953</v>
      </c>
      <c r="B5171" s="574">
        <v>181.51300000000001</v>
      </c>
      <c r="C5171" s="574">
        <v>1259.44</v>
      </c>
    </row>
    <row r="5172" spans="1:3">
      <c r="A5172" s="571" t="s">
        <v>1954</v>
      </c>
      <c r="B5172" s="572">
        <v>0.48793599999999998</v>
      </c>
      <c r="C5172" s="572">
        <v>1.7800000000000002E-13</v>
      </c>
    </row>
    <row r="5173" spans="1:3">
      <c r="A5173" s="571" t="s">
        <v>1954</v>
      </c>
      <c r="B5173" s="572">
        <v>6.3431600000000001</v>
      </c>
      <c r="C5173" s="572">
        <v>236.14500000000001</v>
      </c>
    </row>
    <row r="5174" spans="1:3">
      <c r="A5174" s="571" t="s">
        <v>1954</v>
      </c>
      <c r="B5174" s="572">
        <v>27.324400000000001</v>
      </c>
      <c r="C5174" s="572">
        <v>531.32500000000005</v>
      </c>
    </row>
    <row r="5175" spans="1:3">
      <c r="A5175" s="571" t="s">
        <v>1954</v>
      </c>
      <c r="B5175" s="572">
        <v>56.1126</v>
      </c>
      <c r="C5175" s="572">
        <v>742.16899999999998</v>
      </c>
    </row>
    <row r="5176" spans="1:3">
      <c r="A5176" s="571" t="s">
        <v>1954</v>
      </c>
      <c r="B5176" s="572">
        <v>90.756</v>
      </c>
      <c r="C5176" s="572">
        <v>908.03200000000004</v>
      </c>
    </row>
    <row r="5177" spans="1:3">
      <c r="A5177" s="573" t="s">
        <v>1954</v>
      </c>
      <c r="B5177" s="574">
        <v>181.024</v>
      </c>
      <c r="C5177" s="574">
        <v>1124.5</v>
      </c>
    </row>
    <row r="5178" spans="1:3">
      <c r="A5178" s="571" t="s">
        <v>1955</v>
      </c>
      <c r="B5178" s="572">
        <v>0.48793599999999998</v>
      </c>
      <c r="C5178" s="572">
        <v>7.5500000000000003E-3</v>
      </c>
    </row>
    <row r="5179" spans="1:3">
      <c r="A5179" s="571" t="s">
        <v>1955</v>
      </c>
      <c r="B5179" s="572">
        <v>6.8311000000000002</v>
      </c>
      <c r="C5179" s="572">
        <v>273.34499999999997</v>
      </c>
    </row>
    <row r="5180" spans="1:3">
      <c r="A5180" s="571" t="s">
        <v>1955</v>
      </c>
      <c r="B5180" s="572">
        <v>27.8123</v>
      </c>
      <c r="C5180" s="572">
        <v>558.17700000000002</v>
      </c>
    </row>
    <row r="5181" spans="1:3">
      <c r="A5181" s="571" t="s">
        <v>1955</v>
      </c>
      <c r="B5181" s="572">
        <v>56.600499999999997</v>
      </c>
      <c r="C5181" s="572">
        <v>665.66499999999996</v>
      </c>
    </row>
    <row r="5182" spans="1:3">
      <c r="A5182" s="571" t="s">
        <v>1955</v>
      </c>
      <c r="B5182" s="572">
        <v>90.756</v>
      </c>
      <c r="C5182" s="572">
        <v>745.06700000000001</v>
      </c>
    </row>
    <row r="5183" spans="1:3">
      <c r="A5183" s="573" t="s">
        <v>1955</v>
      </c>
      <c r="B5183" s="574">
        <v>182</v>
      </c>
      <c r="C5183" s="574">
        <v>811.26799999999992</v>
      </c>
    </row>
    <row r="5184" spans="1:3">
      <c r="A5184" s="571" t="s">
        <v>1956</v>
      </c>
      <c r="B5184" s="572">
        <v>0.48793599999999998</v>
      </c>
      <c r="C5184" s="572">
        <v>2.8187799999999998</v>
      </c>
    </row>
    <row r="5185" spans="1:3">
      <c r="A5185" s="571" t="s">
        <v>1956</v>
      </c>
      <c r="B5185" s="572">
        <v>5.8552299999999997</v>
      </c>
      <c r="C5185" s="572">
        <v>75.994100000000003</v>
      </c>
    </row>
    <row r="5186" spans="1:3">
      <c r="A5186" s="571" t="s">
        <v>1956</v>
      </c>
      <c r="B5186" s="572">
        <v>26.836500000000001</v>
      </c>
      <c r="C5186" s="572">
        <v>371.49899999999997</v>
      </c>
    </row>
    <row r="5187" spans="1:3">
      <c r="A5187" s="571" t="s">
        <v>1956</v>
      </c>
      <c r="B5187" s="572">
        <v>56.1126</v>
      </c>
      <c r="C5187" s="572">
        <v>512.51300000000003</v>
      </c>
    </row>
    <row r="5188" spans="1:3">
      <c r="A5188" s="571" t="s">
        <v>1956</v>
      </c>
      <c r="B5188" s="572">
        <v>89.780199999999994</v>
      </c>
      <c r="C5188" s="572">
        <v>628.29399999999998</v>
      </c>
    </row>
    <row r="5189" spans="1:3">
      <c r="A5189" s="573" t="s">
        <v>1956</v>
      </c>
      <c r="B5189" s="574">
        <v>181.512</v>
      </c>
      <c r="C5189" s="574">
        <v>742.16100000000006</v>
      </c>
    </row>
    <row r="5190" spans="1:3">
      <c r="A5190" s="571" t="s">
        <v>1957</v>
      </c>
      <c r="B5190" s="572">
        <v>0.48663099999999998</v>
      </c>
      <c r="C5190" s="572">
        <v>7.5199999999999998E-3</v>
      </c>
    </row>
    <row r="5191" spans="1:3">
      <c r="A5191" s="571" t="s">
        <v>1957</v>
      </c>
      <c r="B5191" s="572">
        <v>7.2994700000000003</v>
      </c>
      <c r="C5191" s="572">
        <v>236.25699999999998</v>
      </c>
    </row>
    <row r="5192" spans="1:3">
      <c r="A5192" s="571" t="s">
        <v>1957</v>
      </c>
      <c r="B5192" s="572">
        <v>27.738</v>
      </c>
      <c r="C5192" s="572">
        <v>450.22800000000001</v>
      </c>
    </row>
    <row r="5193" spans="1:3">
      <c r="A5193" s="571" t="s">
        <v>1957</v>
      </c>
      <c r="B5193" s="572">
        <v>55.962600000000002</v>
      </c>
      <c r="C5193" s="572">
        <v>504.077</v>
      </c>
    </row>
    <row r="5194" spans="1:3">
      <c r="A5194" s="571" t="s">
        <v>1957</v>
      </c>
      <c r="B5194" s="572">
        <v>91.486599999999996</v>
      </c>
      <c r="C5194" s="572">
        <v>569.28499999999997</v>
      </c>
    </row>
    <row r="5195" spans="1:3">
      <c r="A5195" s="573" t="s">
        <v>1957</v>
      </c>
      <c r="B5195" s="574">
        <v>181.51300000000001</v>
      </c>
      <c r="C5195" s="574">
        <v>621.27800000000002</v>
      </c>
    </row>
    <row r="5196" spans="1:3">
      <c r="A5196" s="571" t="s">
        <v>1958</v>
      </c>
      <c r="B5196" s="572">
        <v>0.97326199999999996</v>
      </c>
      <c r="C5196" s="572">
        <v>2.8112399999999997</v>
      </c>
    </row>
    <row r="5197" spans="1:3">
      <c r="A5197" s="571" t="s">
        <v>1958</v>
      </c>
      <c r="B5197" s="572">
        <v>6.8128299999999999</v>
      </c>
      <c r="C5197" s="572">
        <v>168.67500000000001</v>
      </c>
    </row>
    <row r="5198" spans="1:3">
      <c r="A5198" s="571" t="s">
        <v>1958</v>
      </c>
      <c r="B5198" s="572">
        <v>27.251300000000001</v>
      </c>
      <c r="C5198" s="572">
        <v>337.34899999999999</v>
      </c>
    </row>
    <row r="5199" spans="1:3">
      <c r="A5199" s="571" t="s">
        <v>1958</v>
      </c>
      <c r="B5199" s="572">
        <v>55.475900000000003</v>
      </c>
      <c r="C5199" s="572">
        <v>424.49799999999999</v>
      </c>
    </row>
    <row r="5200" spans="1:3">
      <c r="A5200" s="571" t="s">
        <v>1958</v>
      </c>
      <c r="B5200" s="572">
        <v>90.513400000000004</v>
      </c>
      <c r="C5200" s="572">
        <v>531.32500000000005</v>
      </c>
    </row>
    <row r="5201" spans="1:3">
      <c r="A5201" s="573" t="s">
        <v>1958</v>
      </c>
      <c r="B5201" s="574">
        <v>181.51300000000001</v>
      </c>
      <c r="C5201" s="574">
        <v>612.851</v>
      </c>
    </row>
    <row r="5202" spans="1:3">
      <c r="A5202" s="571" t="s">
        <v>1959</v>
      </c>
      <c r="B5202" s="572">
        <v>0.87043400000000004</v>
      </c>
      <c r="C5202" s="572">
        <v>29.644300000000001</v>
      </c>
    </row>
    <row r="5203" spans="1:3">
      <c r="A5203" s="571" t="s">
        <v>1959</v>
      </c>
      <c r="B5203" s="572">
        <v>1.00421</v>
      </c>
      <c r="C5203" s="572">
        <v>73.122500000000002</v>
      </c>
    </row>
    <row r="5204" spans="1:3">
      <c r="A5204" s="571" t="s">
        <v>1959</v>
      </c>
      <c r="B5204" s="572">
        <v>4.1929100000000004</v>
      </c>
      <c r="C5204" s="572">
        <v>191.7</v>
      </c>
    </row>
    <row r="5205" spans="1:3">
      <c r="A5205" s="571" t="s">
        <v>1959</v>
      </c>
      <c r="B5205" s="572">
        <v>6.0889800000000003</v>
      </c>
      <c r="C5205" s="572">
        <v>221.34399999999999</v>
      </c>
    </row>
    <row r="5206" spans="1:3">
      <c r="A5206" s="571" t="s">
        <v>1959</v>
      </c>
      <c r="B5206" s="572">
        <v>7.2559300000000002</v>
      </c>
      <c r="C5206" s="572">
        <v>239.13</v>
      </c>
    </row>
    <row r="5207" spans="1:3">
      <c r="A5207" s="571" t="s">
        <v>1959</v>
      </c>
      <c r="B5207" s="572">
        <v>8.1217299999999994</v>
      </c>
      <c r="C5207" s="572">
        <v>284.58500000000004</v>
      </c>
    </row>
    <row r="5208" spans="1:3">
      <c r="A5208" s="571" t="s">
        <v>1959</v>
      </c>
      <c r="B5208" s="572">
        <v>11.194000000000001</v>
      </c>
      <c r="C5208" s="572">
        <v>300.39499999999998</v>
      </c>
    </row>
    <row r="5209" spans="1:3">
      <c r="A5209" s="571" t="s">
        <v>1959</v>
      </c>
      <c r="B5209" s="572">
        <v>12.071400000000001</v>
      </c>
      <c r="C5209" s="572">
        <v>306.32400000000001</v>
      </c>
    </row>
    <row r="5210" spans="1:3">
      <c r="A5210" s="571" t="s">
        <v>1959</v>
      </c>
      <c r="B5210" s="572">
        <v>13.091799999999999</v>
      </c>
      <c r="C5210" s="572">
        <v>324.11099999999999</v>
      </c>
    </row>
    <row r="5211" spans="1:3">
      <c r="A5211" s="571" t="s">
        <v>1959</v>
      </c>
      <c r="B5211" s="572">
        <v>14.1157</v>
      </c>
      <c r="C5211" s="572">
        <v>330.03999999999996</v>
      </c>
    </row>
    <row r="5212" spans="1:3">
      <c r="A5212" s="571" t="s">
        <v>1959</v>
      </c>
      <c r="B5212" s="572">
        <v>14.9885</v>
      </c>
      <c r="C5212" s="572">
        <v>351.779</v>
      </c>
    </row>
    <row r="5213" spans="1:3">
      <c r="A5213" s="571" t="s">
        <v>1959</v>
      </c>
      <c r="B5213" s="572">
        <v>17.912500000000001</v>
      </c>
      <c r="C5213" s="572">
        <v>373.51799999999997</v>
      </c>
    </row>
    <row r="5214" spans="1:3">
      <c r="A5214" s="571" t="s">
        <v>1959</v>
      </c>
      <c r="B5214" s="572">
        <v>19.083500000000001</v>
      </c>
      <c r="C5214" s="572">
        <v>377.47</v>
      </c>
    </row>
    <row r="5215" spans="1:3">
      <c r="A5215" s="571" t="s">
        <v>1959</v>
      </c>
      <c r="B5215" s="572">
        <v>20.099299999999999</v>
      </c>
      <c r="C5215" s="572">
        <v>411.06700000000001</v>
      </c>
    </row>
    <row r="5216" spans="1:3">
      <c r="A5216" s="571" t="s">
        <v>1959</v>
      </c>
      <c r="B5216" s="572">
        <v>22.138999999999999</v>
      </c>
      <c r="C5216" s="572">
        <v>450.59299999999996</v>
      </c>
    </row>
    <row r="5217" spans="1:3">
      <c r="A5217" s="571" t="s">
        <v>1959</v>
      </c>
      <c r="B5217" s="572">
        <v>25.0654</v>
      </c>
      <c r="C5217" s="572">
        <v>464.42700000000002</v>
      </c>
    </row>
    <row r="5218" spans="1:3">
      <c r="A5218" s="571" t="s">
        <v>1959</v>
      </c>
      <c r="B5218" s="572">
        <v>27.116700000000002</v>
      </c>
      <c r="C5218" s="572">
        <v>464.42700000000002</v>
      </c>
    </row>
    <row r="5219" spans="1:3">
      <c r="A5219" s="571" t="s">
        <v>1959</v>
      </c>
      <c r="B5219" s="572">
        <v>28.134799999999998</v>
      </c>
      <c r="C5219" s="572">
        <v>490.11899999999997</v>
      </c>
    </row>
    <row r="5220" spans="1:3">
      <c r="A5220" s="571" t="s">
        <v>1959</v>
      </c>
      <c r="B5220" s="572">
        <v>29.1569</v>
      </c>
      <c r="C5220" s="572">
        <v>501.976</v>
      </c>
    </row>
    <row r="5221" spans="1:3">
      <c r="A5221" s="571" t="s">
        <v>1959</v>
      </c>
      <c r="B5221" s="572">
        <v>32.234999999999999</v>
      </c>
      <c r="C5221" s="572">
        <v>498.02399999999994</v>
      </c>
    </row>
    <row r="5222" spans="1:3">
      <c r="A5222" s="571" t="s">
        <v>1959</v>
      </c>
      <c r="B5222" s="572">
        <v>41.163499999999999</v>
      </c>
      <c r="C5222" s="572">
        <v>529.64400000000001</v>
      </c>
    </row>
    <row r="5223" spans="1:3">
      <c r="A5223" s="571" t="s">
        <v>1959</v>
      </c>
      <c r="B5223" s="572">
        <v>42.625799999999998</v>
      </c>
      <c r="C5223" s="572">
        <v>539.52600000000007</v>
      </c>
    </row>
    <row r="5224" spans="1:3">
      <c r="A5224" s="571" t="s">
        <v>1959</v>
      </c>
      <c r="B5224" s="572">
        <v>49.9437</v>
      </c>
      <c r="C5224" s="572">
        <v>567.19400000000007</v>
      </c>
    </row>
    <row r="5225" spans="1:3">
      <c r="A5225" s="571" t="s">
        <v>1959</v>
      </c>
      <c r="B5225" s="572">
        <v>60.051299999999998</v>
      </c>
      <c r="C5225" s="572">
        <v>575.09900000000005</v>
      </c>
    </row>
    <row r="5226" spans="1:3">
      <c r="A5226" s="571" t="s">
        <v>1959</v>
      </c>
      <c r="B5226" s="572">
        <v>81.132199999999997</v>
      </c>
      <c r="C5226" s="572">
        <v>636.36399999999992</v>
      </c>
    </row>
    <row r="5227" spans="1:3">
      <c r="A5227" s="573" t="s">
        <v>1959</v>
      </c>
      <c r="B5227" s="574">
        <v>119.94199999999999</v>
      </c>
      <c r="C5227" s="574">
        <v>697.62800000000004</v>
      </c>
    </row>
    <row r="5228" spans="1:3">
      <c r="A5228" s="571" t="s">
        <v>1960</v>
      </c>
      <c r="B5228" s="572">
        <v>0.146341</v>
      </c>
      <c r="C5228" s="572">
        <v>2.4200000000000003E-3</v>
      </c>
    </row>
    <row r="5229" spans="1:3">
      <c r="A5229" s="571" t="s">
        <v>1960</v>
      </c>
      <c r="B5229" s="572">
        <v>0.86991399999999997</v>
      </c>
      <c r="C5229" s="572">
        <v>27.792200000000001</v>
      </c>
    </row>
    <row r="5230" spans="1:3">
      <c r="A5230" s="571" t="s">
        <v>1960</v>
      </c>
      <c r="B5230" s="572">
        <v>3.9169399999999999</v>
      </c>
      <c r="C5230" s="572">
        <v>117.128</v>
      </c>
    </row>
    <row r="5231" spans="1:3">
      <c r="A5231" s="571" t="s">
        <v>1960</v>
      </c>
      <c r="B5231" s="572">
        <v>5.0702400000000001</v>
      </c>
      <c r="C5231" s="572">
        <v>176.67100000000002</v>
      </c>
    </row>
    <row r="5232" spans="1:3">
      <c r="A5232" s="571" t="s">
        <v>1960</v>
      </c>
      <c r="B5232" s="572">
        <v>5.7961400000000003</v>
      </c>
      <c r="C5232" s="572">
        <v>196.524</v>
      </c>
    </row>
    <row r="5233" spans="1:3">
      <c r="A5233" s="571" t="s">
        <v>1960</v>
      </c>
      <c r="B5233" s="572">
        <v>7.1102999999999996</v>
      </c>
      <c r="C5233" s="572">
        <v>206.46700000000001</v>
      </c>
    </row>
    <row r="5234" spans="1:3">
      <c r="A5234" s="571" t="s">
        <v>1960</v>
      </c>
      <c r="B5234" s="572">
        <v>7.9854399999999996</v>
      </c>
      <c r="C5234" s="572">
        <v>216.40199999999999</v>
      </c>
    </row>
    <row r="5235" spans="1:3">
      <c r="A5235" s="571" t="s">
        <v>1960</v>
      </c>
      <c r="B5235" s="572">
        <v>11.0586</v>
      </c>
      <c r="C5235" s="572">
        <v>216.453</v>
      </c>
    </row>
    <row r="5236" spans="1:3">
      <c r="A5236" s="571" t="s">
        <v>1960</v>
      </c>
      <c r="B5236" s="572">
        <v>11.9337</v>
      </c>
      <c r="C5236" s="572">
        <v>226.38800000000001</v>
      </c>
    </row>
    <row r="5237" spans="1:3">
      <c r="A5237" s="571" t="s">
        <v>1960</v>
      </c>
      <c r="B5237" s="572">
        <v>13.1021</v>
      </c>
      <c r="C5237" s="572">
        <v>234.34400000000002</v>
      </c>
    </row>
    <row r="5238" spans="1:3">
      <c r="A5238" s="571" t="s">
        <v>1960</v>
      </c>
      <c r="B5238" s="572">
        <v>14.1225</v>
      </c>
      <c r="C5238" s="572">
        <v>248.249</v>
      </c>
    </row>
    <row r="5239" spans="1:3">
      <c r="A5239" s="571" t="s">
        <v>1960</v>
      </c>
      <c r="B5239" s="572">
        <v>15.140499999999999</v>
      </c>
      <c r="C5239" s="572">
        <v>270.09199999999998</v>
      </c>
    </row>
    <row r="5240" spans="1:3">
      <c r="A5240" s="571" t="s">
        <v>1960</v>
      </c>
      <c r="B5240" s="572">
        <v>18.070799999999998</v>
      </c>
      <c r="C5240" s="572">
        <v>258.23500000000001</v>
      </c>
    </row>
    <row r="5241" spans="1:3">
      <c r="A5241" s="571" t="s">
        <v>1960</v>
      </c>
      <c r="B5241" s="572">
        <v>19.091699999999999</v>
      </c>
      <c r="C5241" s="572">
        <v>270.15699999999998</v>
      </c>
    </row>
    <row r="5242" spans="1:3">
      <c r="A5242" s="571" t="s">
        <v>1960</v>
      </c>
      <c r="B5242" s="572">
        <v>20.109100000000002</v>
      </c>
      <c r="C5242" s="572">
        <v>293.983</v>
      </c>
    </row>
    <row r="5243" spans="1:3">
      <c r="A5243" s="571" t="s">
        <v>1960</v>
      </c>
      <c r="B5243" s="572">
        <v>22.153199999999998</v>
      </c>
      <c r="C5243" s="572">
        <v>309.89</v>
      </c>
    </row>
    <row r="5244" spans="1:3">
      <c r="A5244" s="571" t="s">
        <v>1960</v>
      </c>
      <c r="B5244" s="572">
        <v>25.225200000000001</v>
      </c>
      <c r="C5244" s="572">
        <v>313.90899999999999</v>
      </c>
    </row>
    <row r="5245" spans="1:3">
      <c r="A5245" s="571" t="s">
        <v>1960</v>
      </c>
      <c r="B5245" s="572">
        <v>26.9819</v>
      </c>
      <c r="C5245" s="572">
        <v>311.95400000000001</v>
      </c>
    </row>
    <row r="5246" spans="1:3">
      <c r="A5246" s="571" t="s">
        <v>1960</v>
      </c>
      <c r="B5246" s="572">
        <v>28.150300000000001</v>
      </c>
      <c r="C5246" s="572">
        <v>319.90999999999997</v>
      </c>
    </row>
    <row r="5247" spans="1:3">
      <c r="A5247" s="571" t="s">
        <v>1960</v>
      </c>
      <c r="B5247" s="572">
        <v>29.172899999999998</v>
      </c>
      <c r="C5247" s="572">
        <v>325.87900000000002</v>
      </c>
    </row>
    <row r="5248" spans="1:3">
      <c r="A5248" s="571" t="s">
        <v>1960</v>
      </c>
      <c r="B5248" s="572">
        <v>32.244900000000001</v>
      </c>
      <c r="C5248" s="572">
        <v>329.89800000000002</v>
      </c>
    </row>
    <row r="5249" spans="1:3">
      <c r="A5249" s="571" t="s">
        <v>1960</v>
      </c>
      <c r="B5249" s="572">
        <v>41.016599999999997</v>
      </c>
      <c r="C5249" s="572">
        <v>359.80500000000001</v>
      </c>
    </row>
    <row r="5250" spans="1:3">
      <c r="A5250" s="571" t="s">
        <v>1960</v>
      </c>
      <c r="B5250" s="572">
        <v>42.621699999999997</v>
      </c>
      <c r="C5250" s="572">
        <v>375.70499999999998</v>
      </c>
    </row>
    <row r="5251" spans="1:3">
      <c r="A5251" s="571" t="s">
        <v>1960</v>
      </c>
      <c r="B5251" s="572">
        <v>49.934699999999999</v>
      </c>
      <c r="C5251" s="572">
        <v>389.71499999999997</v>
      </c>
    </row>
    <row r="5252" spans="1:3">
      <c r="A5252" s="571" t="s">
        <v>1960</v>
      </c>
      <c r="B5252" s="572">
        <v>59.738399999999999</v>
      </c>
      <c r="C5252" s="572">
        <v>393.84500000000003</v>
      </c>
    </row>
    <row r="5253" spans="1:3">
      <c r="A5253" s="571" t="s">
        <v>1960</v>
      </c>
      <c r="B5253" s="572">
        <v>80.941000000000003</v>
      </c>
      <c r="C5253" s="572">
        <v>451.73499999999996</v>
      </c>
    </row>
    <row r="5254" spans="1:3">
      <c r="A5254" s="573" t="s">
        <v>1960</v>
      </c>
      <c r="B5254" s="574">
        <v>119.70699999999999</v>
      </c>
      <c r="C5254" s="574">
        <v>499.995</v>
      </c>
    </row>
    <row r="5255" spans="1:3">
      <c r="A5255" s="571" t="s">
        <v>1961</v>
      </c>
      <c r="B5255" s="572">
        <v>0.28664299999999998</v>
      </c>
      <c r="C5255" s="572">
        <v>21.8</v>
      </c>
    </row>
    <row r="5256" spans="1:3">
      <c r="A5256" s="571" t="s">
        <v>1961</v>
      </c>
      <c r="B5256" s="572">
        <v>1.0064500000000001</v>
      </c>
      <c r="C5256" s="572">
        <v>65.5</v>
      </c>
    </row>
    <row r="5257" spans="1:3">
      <c r="A5257" s="571" t="s">
        <v>1961</v>
      </c>
      <c r="B5257" s="572">
        <v>3.9112499999999999</v>
      </c>
      <c r="C5257" s="572">
        <v>152.84200000000001</v>
      </c>
    </row>
    <row r="5258" spans="1:3">
      <c r="A5258" s="571" t="s">
        <v>1961</v>
      </c>
      <c r="B5258" s="572">
        <v>5.0723599999999998</v>
      </c>
      <c r="C5258" s="572">
        <v>190.56</v>
      </c>
    </row>
    <row r="5259" spans="1:3">
      <c r="A5259" s="571" t="s">
        <v>1961</v>
      </c>
      <c r="B5259" s="572">
        <v>6.2334699999999996</v>
      </c>
      <c r="C5259" s="572">
        <v>228.27799999999999</v>
      </c>
    </row>
    <row r="5260" spans="1:3">
      <c r="A5260" s="571" t="s">
        <v>1961</v>
      </c>
      <c r="B5260" s="572">
        <v>7.1056100000000004</v>
      </c>
      <c r="C5260" s="572">
        <v>252.10199999999998</v>
      </c>
    </row>
    <row r="5261" spans="1:3">
      <c r="A5261" s="571" t="s">
        <v>1961</v>
      </c>
      <c r="B5261" s="572">
        <v>8.1079899999999991</v>
      </c>
      <c r="C5261" s="572">
        <v>331.483</v>
      </c>
    </row>
    <row r="5262" spans="1:3">
      <c r="A5262" s="571" t="s">
        <v>1961</v>
      </c>
      <c r="B5262" s="572">
        <v>11.0297</v>
      </c>
      <c r="C5262" s="572">
        <v>361.29300000000001</v>
      </c>
    </row>
    <row r="5263" spans="1:3">
      <c r="A5263" s="571" t="s">
        <v>1961</v>
      </c>
      <c r="B5263" s="572">
        <v>12.1989</v>
      </c>
      <c r="C5263" s="572">
        <v>371.233</v>
      </c>
    </row>
    <row r="5264" spans="1:3">
      <c r="A5264" s="571" t="s">
        <v>1961</v>
      </c>
      <c r="B5264" s="572">
        <v>13.077400000000001</v>
      </c>
      <c r="C5264" s="572">
        <v>373.23200000000003</v>
      </c>
    </row>
    <row r="5265" spans="1:3">
      <c r="A5265" s="571" t="s">
        <v>1961</v>
      </c>
      <c r="B5265" s="572">
        <v>14.0984</v>
      </c>
      <c r="C5265" s="572">
        <v>389.12200000000001</v>
      </c>
    </row>
    <row r="5266" spans="1:3">
      <c r="A5266" s="571" t="s">
        <v>1961</v>
      </c>
      <c r="B5266" s="572">
        <v>15.117100000000001</v>
      </c>
      <c r="C5266" s="572">
        <v>412.94799999999998</v>
      </c>
    </row>
    <row r="5267" spans="1:3">
      <c r="A5267" s="571" t="s">
        <v>1961</v>
      </c>
      <c r="B5267" s="572">
        <v>18.188199999999998</v>
      </c>
      <c r="C5267" s="572">
        <v>432.84</v>
      </c>
    </row>
    <row r="5268" spans="1:3">
      <c r="A5268" s="571" t="s">
        <v>1961</v>
      </c>
      <c r="B5268" s="572">
        <v>19.068999999999999</v>
      </c>
      <c r="C5268" s="572">
        <v>426.90300000000002</v>
      </c>
    </row>
    <row r="5269" spans="1:3">
      <c r="A5269" s="571" t="s">
        <v>1961</v>
      </c>
      <c r="B5269" s="572">
        <v>20.0871</v>
      </c>
      <c r="C5269" s="572">
        <v>452.71300000000002</v>
      </c>
    </row>
    <row r="5270" spans="1:3">
      <c r="A5270" s="571" t="s">
        <v>1961</v>
      </c>
      <c r="B5270" s="572">
        <v>22.2803</v>
      </c>
      <c r="C5270" s="572">
        <v>468.62200000000001</v>
      </c>
    </row>
    <row r="5271" spans="1:3">
      <c r="A5271" s="571" t="s">
        <v>1961</v>
      </c>
      <c r="B5271" s="572">
        <v>25.349599999999999</v>
      </c>
      <c r="C5271" s="572">
        <v>494.46699999999998</v>
      </c>
    </row>
    <row r="5272" spans="1:3">
      <c r="A5272" s="571" t="s">
        <v>1961</v>
      </c>
      <c r="B5272" s="572">
        <v>27.547999999999998</v>
      </c>
      <c r="C5272" s="572">
        <v>492.51899999999995</v>
      </c>
    </row>
    <row r="5273" spans="1:3">
      <c r="A5273" s="571" t="s">
        <v>1961</v>
      </c>
      <c r="B5273" s="572">
        <v>28.13</v>
      </c>
      <c r="C5273" s="572">
        <v>506.41699999999997</v>
      </c>
    </row>
    <row r="5274" spans="1:3">
      <c r="A5274" s="571" t="s">
        <v>1961</v>
      </c>
      <c r="B5274" s="572">
        <v>29.299800000000001</v>
      </c>
      <c r="C5274" s="572">
        <v>514.37300000000005</v>
      </c>
    </row>
    <row r="5275" spans="1:3">
      <c r="A5275" s="571" t="s">
        <v>1961</v>
      </c>
      <c r="B5275" s="572">
        <v>32.375</v>
      </c>
      <c r="C5275" s="572">
        <v>520.37700000000007</v>
      </c>
    </row>
    <row r="5276" spans="1:3">
      <c r="A5276" s="571" t="s">
        <v>1961</v>
      </c>
      <c r="B5276" s="572">
        <v>41.006799999999998</v>
      </c>
      <c r="C5276" s="572">
        <v>564.17000000000007</v>
      </c>
    </row>
    <row r="5277" spans="1:3">
      <c r="A5277" s="571" t="s">
        <v>1961</v>
      </c>
      <c r="B5277" s="572">
        <v>42.907499999999999</v>
      </c>
      <c r="C5277" s="572">
        <v>578.09</v>
      </c>
    </row>
    <row r="5278" spans="1:3">
      <c r="A5278" s="571" t="s">
        <v>1961</v>
      </c>
      <c r="B5278" s="572">
        <v>49.787500000000001</v>
      </c>
      <c r="C5278" s="572">
        <v>600.03</v>
      </c>
    </row>
    <row r="5279" spans="1:3">
      <c r="A5279" s="571" t="s">
        <v>1961</v>
      </c>
      <c r="B5279" s="572">
        <v>59.743299999999998</v>
      </c>
      <c r="C5279" s="572">
        <v>625.98799999999994</v>
      </c>
    </row>
    <row r="5280" spans="1:3">
      <c r="A5280" s="571" t="s">
        <v>1961</v>
      </c>
      <c r="B5280" s="572">
        <v>81.116</v>
      </c>
      <c r="C5280" s="572">
        <v>691.81700000000001</v>
      </c>
    </row>
    <row r="5281" spans="1:3">
      <c r="A5281" s="573" t="s">
        <v>1961</v>
      </c>
      <c r="B5281" s="574">
        <v>120.06699999999999</v>
      </c>
      <c r="C5281" s="574">
        <v>771.82699999999988</v>
      </c>
    </row>
    <row r="5282" spans="1:3">
      <c r="A5282" s="571" t="s">
        <v>1962</v>
      </c>
      <c r="B5282" s="572">
        <v>1.0215799999999999</v>
      </c>
      <c r="C5282" s="572">
        <v>13.8614</v>
      </c>
    </row>
    <row r="5283" spans="1:3">
      <c r="A5283" s="571" t="s">
        <v>1962</v>
      </c>
      <c r="B5283" s="572">
        <v>3.9322499999999998</v>
      </c>
      <c r="C5283" s="572">
        <v>81.188100000000006</v>
      </c>
    </row>
    <row r="5284" spans="1:3">
      <c r="A5284" s="571" t="s">
        <v>1962</v>
      </c>
      <c r="B5284" s="572">
        <v>4.9515099999999999</v>
      </c>
      <c r="C5284" s="572">
        <v>102.97</v>
      </c>
    </row>
    <row r="5285" spans="1:3">
      <c r="A5285" s="571" t="s">
        <v>1962</v>
      </c>
      <c r="B5285" s="572">
        <v>5.8288900000000003</v>
      </c>
      <c r="C5285" s="572">
        <v>108.911</v>
      </c>
    </row>
    <row r="5286" spans="1:3">
      <c r="A5286" s="571" t="s">
        <v>1962</v>
      </c>
      <c r="B5286" s="572">
        <v>7.0027900000000001</v>
      </c>
      <c r="C5286" s="572">
        <v>102.97</v>
      </c>
    </row>
    <row r="5287" spans="1:3">
      <c r="A5287" s="571" t="s">
        <v>1962</v>
      </c>
      <c r="B5287" s="572">
        <v>8.0266900000000003</v>
      </c>
      <c r="C5287" s="572">
        <v>108.911</v>
      </c>
    </row>
    <row r="5288" spans="1:3">
      <c r="A5288" s="571" t="s">
        <v>1962</v>
      </c>
      <c r="B5288" s="572">
        <v>11.241400000000001</v>
      </c>
      <c r="C5288" s="572">
        <v>138.614</v>
      </c>
    </row>
    <row r="5289" spans="1:3">
      <c r="A5289" s="571" t="s">
        <v>1962</v>
      </c>
      <c r="B5289" s="572">
        <v>12.2601</v>
      </c>
      <c r="C5289" s="572">
        <v>162.376</v>
      </c>
    </row>
    <row r="5290" spans="1:3">
      <c r="A5290" s="571" t="s">
        <v>1962</v>
      </c>
      <c r="B5290" s="572">
        <v>12.9869</v>
      </c>
      <c r="C5290" s="572">
        <v>182.178</v>
      </c>
    </row>
    <row r="5291" spans="1:3">
      <c r="A5291" s="571" t="s">
        <v>1962</v>
      </c>
      <c r="B5291" s="572">
        <v>14.0131</v>
      </c>
      <c r="C5291" s="572">
        <v>180.19799999999998</v>
      </c>
    </row>
    <row r="5292" spans="1:3">
      <c r="A5292" s="571" t="s">
        <v>1962</v>
      </c>
      <c r="B5292" s="572">
        <v>14.890499999999999</v>
      </c>
      <c r="C5292" s="572">
        <v>186.13899999999998</v>
      </c>
    </row>
    <row r="5293" spans="1:3">
      <c r="A5293" s="571" t="s">
        <v>1962</v>
      </c>
      <c r="B5293" s="572">
        <v>18.109300000000001</v>
      </c>
      <c r="C5293" s="572">
        <v>201.98000000000002</v>
      </c>
    </row>
    <row r="5294" spans="1:3">
      <c r="A5294" s="571" t="s">
        <v>1962</v>
      </c>
      <c r="B5294" s="572">
        <v>19.139600000000002</v>
      </c>
      <c r="C5294" s="572">
        <v>186.13899999999998</v>
      </c>
    </row>
    <row r="5295" spans="1:3">
      <c r="A5295" s="571" t="s">
        <v>1962</v>
      </c>
      <c r="B5295" s="572">
        <v>20.0106</v>
      </c>
      <c r="C5295" s="572">
        <v>213.86100000000002</v>
      </c>
    </row>
    <row r="5296" spans="1:3">
      <c r="A5296" s="571" t="s">
        <v>1962</v>
      </c>
      <c r="B5296" s="572">
        <v>22.206700000000001</v>
      </c>
      <c r="C5296" s="572">
        <v>219.80199999999999</v>
      </c>
    </row>
    <row r="5297" spans="1:3">
      <c r="A5297" s="571" t="s">
        <v>1962</v>
      </c>
      <c r="B5297" s="572">
        <v>25.4237</v>
      </c>
      <c r="C5297" s="572">
        <v>241.584</v>
      </c>
    </row>
    <row r="5298" spans="1:3">
      <c r="A5298" s="571" t="s">
        <v>1962</v>
      </c>
      <c r="B5298" s="572">
        <v>27.1831</v>
      </c>
      <c r="C5298" s="572">
        <v>237.624</v>
      </c>
    </row>
    <row r="5299" spans="1:3">
      <c r="A5299" s="571" t="s">
        <v>1962</v>
      </c>
      <c r="B5299" s="572">
        <v>28.061699999999998</v>
      </c>
      <c r="C5299" s="572">
        <v>239.60399999999998</v>
      </c>
    </row>
    <row r="5300" spans="1:3">
      <c r="A5300" s="571" t="s">
        <v>1962</v>
      </c>
      <c r="B5300" s="572">
        <v>28.791899999999998</v>
      </c>
      <c r="C5300" s="572">
        <v>247.52500000000001</v>
      </c>
    </row>
    <row r="5301" spans="1:3">
      <c r="A5301" s="571" t="s">
        <v>1962</v>
      </c>
      <c r="B5301" s="572">
        <v>29.379799999999999</v>
      </c>
      <c r="C5301" s="572">
        <v>241.584</v>
      </c>
    </row>
    <row r="5302" spans="1:3">
      <c r="A5302" s="571" t="s">
        <v>1962</v>
      </c>
      <c r="B5302" s="572">
        <v>32.163600000000002</v>
      </c>
      <c r="C5302" s="572">
        <v>241.584</v>
      </c>
    </row>
    <row r="5303" spans="1:3">
      <c r="A5303" s="571" t="s">
        <v>1962</v>
      </c>
      <c r="B5303" s="572">
        <v>40.941499999999998</v>
      </c>
      <c r="C5303" s="572">
        <v>287.12900000000002</v>
      </c>
    </row>
    <row r="5304" spans="1:3">
      <c r="A5304" s="571" t="s">
        <v>1962</v>
      </c>
      <c r="B5304" s="572">
        <v>42.843400000000003</v>
      </c>
      <c r="C5304" s="572">
        <v>297.03000000000003</v>
      </c>
    </row>
    <row r="5305" spans="1:3">
      <c r="A5305" s="571" t="s">
        <v>1962</v>
      </c>
      <c r="B5305" s="572">
        <v>50.018799999999999</v>
      </c>
      <c r="C5305" s="572">
        <v>310.89100000000002</v>
      </c>
    </row>
    <row r="5306" spans="1:3">
      <c r="A5306" s="571" t="s">
        <v>1962</v>
      </c>
      <c r="B5306" s="572">
        <v>59.828099999999999</v>
      </c>
      <c r="C5306" s="572">
        <v>336.63400000000001</v>
      </c>
    </row>
    <row r="5307" spans="1:3">
      <c r="A5307" s="571" t="s">
        <v>1962</v>
      </c>
      <c r="B5307" s="572">
        <v>80.915999999999997</v>
      </c>
      <c r="C5307" s="572">
        <v>374.25700000000001</v>
      </c>
    </row>
    <row r="5308" spans="1:3">
      <c r="A5308" s="573" t="s">
        <v>1962</v>
      </c>
      <c r="B5308" s="574">
        <v>119.871</v>
      </c>
      <c r="C5308" s="574">
        <v>441.584</v>
      </c>
    </row>
    <row r="5309" spans="1:3">
      <c r="A5309" s="571" t="s">
        <v>1963</v>
      </c>
      <c r="B5309" s="572">
        <v>2.3425579999999998E-3</v>
      </c>
      <c r="C5309" s="572">
        <v>28.198499999999999</v>
      </c>
    </row>
    <row r="5310" spans="1:3">
      <c r="A5310" s="571" t="s">
        <v>1963</v>
      </c>
      <c r="B5310" s="572">
        <v>2.8240833E-2</v>
      </c>
      <c r="C5310" s="572">
        <v>39.949199999999998</v>
      </c>
    </row>
    <row r="5311" spans="1:3">
      <c r="A5311" s="571" t="s">
        <v>1963</v>
      </c>
      <c r="B5311" s="572">
        <v>0.27830916700000002</v>
      </c>
      <c r="C5311" s="572">
        <v>50.144199999999998</v>
      </c>
    </row>
    <row r="5312" spans="1:3">
      <c r="A5312" s="571" t="s">
        <v>1963</v>
      </c>
      <c r="B5312" s="572">
        <v>0.50390833300000004</v>
      </c>
      <c r="C5312" s="572">
        <v>65.820999999999998</v>
      </c>
    </row>
    <row r="5313" spans="1:3">
      <c r="A5313" s="571" t="s">
        <v>1963</v>
      </c>
      <c r="B5313" s="572">
        <v>1.0276666670000001</v>
      </c>
      <c r="C5313" s="572">
        <v>70.546400000000006</v>
      </c>
    </row>
    <row r="5314" spans="1:3">
      <c r="A5314" s="571" t="s">
        <v>1963</v>
      </c>
      <c r="B5314" s="572">
        <v>2.050779167</v>
      </c>
      <c r="C5314" s="572">
        <v>86.262299999999996</v>
      </c>
    </row>
    <row r="5315" spans="1:3">
      <c r="A5315" s="571" t="s">
        <v>1963</v>
      </c>
      <c r="B5315" s="572">
        <v>3.148920833</v>
      </c>
      <c r="C5315" s="572">
        <v>105.11499999999999</v>
      </c>
    </row>
    <row r="5316" spans="1:3">
      <c r="A5316" s="571" t="s">
        <v>1963</v>
      </c>
      <c r="B5316" s="572">
        <v>4.020870833</v>
      </c>
      <c r="C5316" s="572">
        <v>101.241</v>
      </c>
    </row>
    <row r="5317" spans="1:3">
      <c r="A5317" s="571" t="s">
        <v>1963</v>
      </c>
      <c r="B5317" s="572">
        <v>5.267041667</v>
      </c>
      <c r="C5317" s="572">
        <v>102.086</v>
      </c>
    </row>
    <row r="5318" spans="1:3">
      <c r="A5318" s="571" t="s">
        <v>1963</v>
      </c>
      <c r="B5318" s="572">
        <v>6.2143333329999999</v>
      </c>
      <c r="C5318" s="572">
        <v>105.265</v>
      </c>
    </row>
    <row r="5319" spans="1:3">
      <c r="A5319" s="571" t="s">
        <v>1963</v>
      </c>
      <c r="B5319" s="572">
        <v>7.2114166669999999</v>
      </c>
      <c r="C5319" s="572">
        <v>107.664</v>
      </c>
    </row>
    <row r="5320" spans="1:3">
      <c r="A5320" s="571" t="s">
        <v>1963</v>
      </c>
      <c r="B5320" s="572">
        <v>8.3326250000000002</v>
      </c>
      <c r="C5320" s="572">
        <v>103.80200000000001</v>
      </c>
    </row>
    <row r="5321" spans="1:3">
      <c r="A5321" s="571" t="s">
        <v>1963</v>
      </c>
      <c r="B5321" s="572">
        <v>9.3047083330000007</v>
      </c>
      <c r="C5321" s="572">
        <v>105.416</v>
      </c>
    </row>
    <row r="5322" spans="1:3">
      <c r="A5322" s="571" t="s">
        <v>1963</v>
      </c>
      <c r="B5322" s="572">
        <v>10.176458330000001</v>
      </c>
      <c r="C5322" s="572">
        <v>99.192700000000002</v>
      </c>
    </row>
    <row r="5323" spans="1:3">
      <c r="A5323" s="571" t="s">
        <v>1963</v>
      </c>
      <c r="B5323" s="572">
        <v>11.248708329999999</v>
      </c>
      <c r="C5323" s="572">
        <v>106.295</v>
      </c>
    </row>
    <row r="5324" spans="1:3">
      <c r="A5324" s="571" t="s">
        <v>1963</v>
      </c>
      <c r="B5324" s="572">
        <v>11.971375</v>
      </c>
      <c r="C5324" s="572">
        <v>105.547</v>
      </c>
    </row>
    <row r="5325" spans="1:3">
      <c r="A5325" s="571" t="s">
        <v>1963</v>
      </c>
      <c r="B5325" s="572">
        <v>13.34191667</v>
      </c>
      <c r="C5325" s="572">
        <v>103.264</v>
      </c>
    </row>
    <row r="5326" spans="1:3">
      <c r="A5326" s="571" t="s">
        <v>1963</v>
      </c>
      <c r="B5326" s="572">
        <v>14.338749999999999</v>
      </c>
      <c r="C5326" s="572">
        <v>102.53</v>
      </c>
    </row>
    <row r="5327" spans="1:3">
      <c r="A5327" s="571" t="s">
        <v>1964</v>
      </c>
      <c r="B5327" s="572">
        <v>0.17472708300000001</v>
      </c>
      <c r="C5327" s="572">
        <v>6.2748699999999999</v>
      </c>
    </row>
    <row r="5328" spans="1:3">
      <c r="A5328" s="571" t="s">
        <v>1964</v>
      </c>
      <c r="B5328" s="572">
        <v>0.24961</v>
      </c>
      <c r="C5328" s="572">
        <v>24.2942</v>
      </c>
    </row>
    <row r="5329" spans="1:3">
      <c r="A5329" s="571" t="s">
        <v>1964</v>
      </c>
      <c r="B5329" s="572">
        <v>0.549141667</v>
      </c>
      <c r="C5329" s="572">
        <v>10.992900000000001</v>
      </c>
    </row>
    <row r="5330" spans="1:3">
      <c r="A5330" s="571" t="s">
        <v>1964</v>
      </c>
      <c r="B5330" s="572">
        <v>0.99844166700000003</v>
      </c>
      <c r="C5330" s="572">
        <v>5.5319099999999999</v>
      </c>
    </row>
    <row r="5331" spans="1:3">
      <c r="A5331" s="571" t="s">
        <v>1964</v>
      </c>
      <c r="B5331" s="572">
        <v>1.9968791669999999</v>
      </c>
      <c r="C5331" s="572">
        <v>15.7636</v>
      </c>
    </row>
    <row r="5332" spans="1:3">
      <c r="A5332" s="571" t="s">
        <v>1964</v>
      </c>
      <c r="B5332" s="572">
        <v>3.020279167</v>
      </c>
      <c r="C5332" s="572">
        <v>26.779699999999998</v>
      </c>
    </row>
    <row r="5333" spans="1:3">
      <c r="A5333" s="571" t="s">
        <v>1964</v>
      </c>
      <c r="B5333" s="572">
        <v>3.494541667</v>
      </c>
      <c r="C5333" s="572">
        <v>26.802900000000001</v>
      </c>
    </row>
    <row r="5334" spans="1:3">
      <c r="A5334" s="571" t="s">
        <v>1964</v>
      </c>
      <c r="B5334" s="572">
        <v>4.0686416669999996</v>
      </c>
      <c r="C5334" s="572">
        <v>30.747499999999999</v>
      </c>
    </row>
    <row r="5335" spans="1:3">
      <c r="A5335" s="571" t="s">
        <v>1964</v>
      </c>
      <c r="B5335" s="572">
        <v>5.1918749999999996</v>
      </c>
      <c r="C5335" s="572">
        <v>37.8521</v>
      </c>
    </row>
    <row r="5336" spans="1:3">
      <c r="A5336" s="571" t="s">
        <v>1964</v>
      </c>
      <c r="B5336" s="572">
        <v>6.0655416669999997</v>
      </c>
      <c r="C5336" s="572">
        <v>42.5946</v>
      </c>
    </row>
    <row r="5337" spans="1:3">
      <c r="A5337" s="571" t="s">
        <v>1964</v>
      </c>
      <c r="B5337" s="572">
        <v>7.1637916669999999</v>
      </c>
      <c r="C5337" s="572">
        <v>41.865099999999998</v>
      </c>
    </row>
    <row r="5338" spans="1:3">
      <c r="A5338" s="571" t="s">
        <v>1964</v>
      </c>
      <c r="B5338" s="572">
        <v>8.2620833329999996</v>
      </c>
      <c r="C5338" s="572">
        <v>44.268700000000003</v>
      </c>
    </row>
    <row r="5339" spans="1:3">
      <c r="A5339" s="571" t="s">
        <v>1964</v>
      </c>
      <c r="B5339" s="572">
        <v>9.260541667</v>
      </c>
      <c r="C5339" s="572">
        <v>45.100900000000003</v>
      </c>
    </row>
    <row r="5340" spans="1:3">
      <c r="A5340" s="571" t="s">
        <v>1964</v>
      </c>
      <c r="B5340" s="572">
        <v>10.28391667</v>
      </c>
      <c r="C5340" s="572">
        <v>42.801099999999998</v>
      </c>
    </row>
    <row r="5341" spans="1:3">
      <c r="A5341" s="571" t="s">
        <v>1964</v>
      </c>
      <c r="B5341" s="572">
        <v>11.08266667</v>
      </c>
      <c r="C5341" s="572">
        <v>45.190100000000001</v>
      </c>
    </row>
    <row r="5342" spans="1:3">
      <c r="A5342" s="571" t="s">
        <v>1964</v>
      </c>
      <c r="B5342" s="572">
        <v>12.455541670000001</v>
      </c>
      <c r="C5342" s="572">
        <v>43.6907</v>
      </c>
    </row>
    <row r="5343" spans="1:3">
      <c r="A5343" s="571" t="s">
        <v>1964</v>
      </c>
      <c r="B5343" s="572">
        <v>13.17941667</v>
      </c>
      <c r="C5343" s="572">
        <v>44.509399999999999</v>
      </c>
    </row>
    <row r="5344" spans="1:3">
      <c r="A5344" s="571" t="s">
        <v>1964</v>
      </c>
      <c r="B5344" s="572">
        <v>14.053041670000001</v>
      </c>
      <c r="C5344" s="572">
        <v>43.768900000000002</v>
      </c>
    </row>
    <row r="5345" spans="1:3">
      <c r="A5345" s="571" t="s">
        <v>1965</v>
      </c>
      <c r="B5345" s="572">
        <v>2.4961000000000001E-2</v>
      </c>
      <c r="C5345" s="572">
        <v>0</v>
      </c>
    </row>
    <row r="5346" spans="1:3">
      <c r="A5346" s="571" t="s">
        <v>1965</v>
      </c>
      <c r="B5346" s="572">
        <v>4.8032083000000003E-2</v>
      </c>
      <c r="C5346" s="572">
        <v>22.715399999999999</v>
      </c>
    </row>
    <row r="5347" spans="1:3">
      <c r="A5347" s="571" t="s">
        <v>1965</v>
      </c>
      <c r="B5347" s="572">
        <v>0.14520374999999999</v>
      </c>
      <c r="C5347" s="572">
        <v>54.830300000000001</v>
      </c>
    </row>
    <row r="5348" spans="1:3">
      <c r="A5348" s="571" t="s">
        <v>1965</v>
      </c>
      <c r="B5348" s="572">
        <v>0.26929208300000002</v>
      </c>
      <c r="C5348" s="572">
        <v>63.4465</v>
      </c>
    </row>
    <row r="5349" spans="1:3">
      <c r="A5349" s="571" t="s">
        <v>1965</v>
      </c>
      <c r="B5349" s="572">
        <v>0.49270416700000003</v>
      </c>
      <c r="C5349" s="572">
        <v>78.328999999999994</v>
      </c>
    </row>
    <row r="5350" spans="1:3">
      <c r="A5350" s="571" t="s">
        <v>1965</v>
      </c>
      <c r="B5350" s="572">
        <v>1.0392375</v>
      </c>
      <c r="C5350" s="572">
        <v>109.661</v>
      </c>
    </row>
    <row r="5351" spans="1:3">
      <c r="A5351" s="571" t="s">
        <v>1965</v>
      </c>
      <c r="B5351" s="572">
        <v>1.9350958330000001</v>
      </c>
      <c r="C5351" s="572">
        <v>142.559</v>
      </c>
    </row>
    <row r="5352" spans="1:3">
      <c r="A5352" s="571" t="s">
        <v>1965</v>
      </c>
      <c r="B5352" s="572">
        <v>2.0593791669999999</v>
      </c>
      <c r="C5352" s="572">
        <v>148.82499999999999</v>
      </c>
    </row>
    <row r="5353" spans="1:3">
      <c r="A5353" s="571" t="s">
        <v>1965</v>
      </c>
      <c r="B5353" s="572">
        <v>3.1804083329999999</v>
      </c>
      <c r="C5353" s="572">
        <v>175.45699999999999</v>
      </c>
    </row>
    <row r="5354" spans="1:3">
      <c r="A5354" s="571" t="s">
        <v>1965</v>
      </c>
      <c r="B5354" s="572">
        <v>4.0039249999999997</v>
      </c>
      <c r="C5354" s="572">
        <v>177.80699999999999</v>
      </c>
    </row>
    <row r="5355" spans="1:3">
      <c r="A5355" s="571" t="s">
        <v>1965</v>
      </c>
      <c r="B5355" s="572">
        <v>5.3259999999999996</v>
      </c>
      <c r="C5355" s="572">
        <v>187.99</v>
      </c>
    </row>
    <row r="5356" spans="1:3">
      <c r="A5356" s="571" t="s">
        <v>1965</v>
      </c>
      <c r="B5356" s="572">
        <v>6.1730416669999997</v>
      </c>
      <c r="C5356" s="572">
        <v>207.572</v>
      </c>
    </row>
    <row r="5357" spans="1:3">
      <c r="A5357" s="571" t="s">
        <v>1965</v>
      </c>
      <c r="B5357" s="572">
        <v>7.2207499999999998</v>
      </c>
      <c r="C5357" s="572">
        <v>215.405</v>
      </c>
    </row>
    <row r="5358" spans="1:3">
      <c r="A5358" s="571" t="s">
        <v>1965</v>
      </c>
      <c r="B5358" s="572">
        <v>8.3185416669999999</v>
      </c>
      <c r="C5358" s="572">
        <v>221.67099999999999</v>
      </c>
    </row>
    <row r="5359" spans="1:3">
      <c r="A5359" s="571" t="s">
        <v>1965</v>
      </c>
      <c r="B5359" s="572">
        <v>9.3914583329999992</v>
      </c>
      <c r="C5359" s="572">
        <v>226.37100000000001</v>
      </c>
    </row>
    <row r="5360" spans="1:3">
      <c r="A5360" s="571" t="s">
        <v>1965</v>
      </c>
      <c r="B5360" s="572">
        <v>10.14008333</v>
      </c>
      <c r="C5360" s="572">
        <v>228.721</v>
      </c>
    </row>
    <row r="5361" spans="1:3">
      <c r="A5361" s="571" t="s">
        <v>1965</v>
      </c>
      <c r="B5361" s="572">
        <v>11.287791670000001</v>
      </c>
      <c r="C5361" s="572">
        <v>234.98699999999999</v>
      </c>
    </row>
    <row r="5362" spans="1:3">
      <c r="A5362" s="571" t="s">
        <v>1965</v>
      </c>
      <c r="B5362" s="572">
        <v>12.061500000000001</v>
      </c>
      <c r="C5362" s="572">
        <v>235.77</v>
      </c>
    </row>
    <row r="5363" spans="1:3">
      <c r="A5363" s="571" t="s">
        <v>1965</v>
      </c>
      <c r="B5363" s="572">
        <v>13.383708329999999</v>
      </c>
      <c r="C5363" s="572">
        <v>244.386</v>
      </c>
    </row>
    <row r="5364" spans="1:3">
      <c r="A5364" s="571" t="s">
        <v>1965</v>
      </c>
      <c r="B5364" s="572">
        <v>14.38204167</v>
      </c>
      <c r="C5364" s="572">
        <v>245.953</v>
      </c>
    </row>
    <row r="5365" spans="1:3">
      <c r="A5365" s="571" t="s">
        <v>1966</v>
      </c>
      <c r="B5365" s="572">
        <v>0</v>
      </c>
      <c r="C5365" s="572">
        <v>4.9443599999999996</v>
      </c>
    </row>
    <row r="5366" spans="1:3">
      <c r="A5366" s="571" t="s">
        <v>1966</v>
      </c>
      <c r="B5366" s="572">
        <v>2.4875833E-2</v>
      </c>
      <c r="C5366" s="572">
        <v>21.689300000000003</v>
      </c>
    </row>
    <row r="5367" spans="1:3">
      <c r="A5367" s="571" t="s">
        <v>1966</v>
      </c>
      <c r="B5367" s="572">
        <v>4.9751249999999997E-2</v>
      </c>
      <c r="C5367" s="572">
        <v>48.322900000000004</v>
      </c>
    </row>
    <row r="5368" spans="1:3">
      <c r="A5368" s="571" t="s">
        <v>1966</v>
      </c>
      <c r="B5368" s="572">
        <v>7.4627083000000011E-2</v>
      </c>
      <c r="C5368" s="572">
        <v>85.557199999999995</v>
      </c>
    </row>
    <row r="5369" spans="1:3">
      <c r="A5369" s="571" t="s">
        <v>1966</v>
      </c>
      <c r="B5369" s="572">
        <v>9.2040000000000011E-2</v>
      </c>
      <c r="C5369" s="572">
        <v>133.35300000000001</v>
      </c>
    </row>
    <row r="5370" spans="1:3">
      <c r="A5370" s="571" t="s">
        <v>1966</v>
      </c>
      <c r="B5370" s="572">
        <v>0.10945291600000001</v>
      </c>
      <c r="C5370" s="572">
        <v>207.65</v>
      </c>
    </row>
    <row r="5371" spans="1:3">
      <c r="A5371" s="571" t="s">
        <v>1966</v>
      </c>
      <c r="B5371" s="572">
        <v>0.121890416</v>
      </c>
      <c r="C5371" s="572">
        <v>250.11899999999997</v>
      </c>
    </row>
    <row r="5372" spans="1:3">
      <c r="A5372" s="571" t="s">
        <v>1966</v>
      </c>
      <c r="B5372" s="572">
        <v>0.13184083299999999</v>
      </c>
      <c r="C5372" s="572">
        <v>340.27699999999999</v>
      </c>
    </row>
    <row r="5373" spans="1:3">
      <c r="A5373" s="571" t="s">
        <v>1966</v>
      </c>
      <c r="B5373" s="572">
        <v>0.15422875</v>
      </c>
      <c r="C5373" s="572">
        <v>393.40000000000003</v>
      </c>
    </row>
    <row r="5374" spans="1:3">
      <c r="A5374" s="571" t="s">
        <v>1966</v>
      </c>
      <c r="B5374" s="572">
        <v>0.174129166</v>
      </c>
      <c r="C5374" s="572">
        <v>451.80900000000003</v>
      </c>
    </row>
    <row r="5375" spans="1:3">
      <c r="A5375" s="571" t="s">
        <v>1966</v>
      </c>
      <c r="B5375" s="572">
        <v>0.18407958299999999</v>
      </c>
      <c r="C5375" s="572">
        <v>531.36700000000008</v>
      </c>
    </row>
    <row r="5376" spans="1:3">
      <c r="A5376" s="571" t="s">
        <v>1966</v>
      </c>
      <c r="B5376" s="572">
        <v>0.1915425</v>
      </c>
      <c r="C5376" s="572">
        <v>642.71400000000006</v>
      </c>
    </row>
    <row r="5377" spans="1:3">
      <c r="A5377" s="571" t="s">
        <v>1966</v>
      </c>
      <c r="B5377" s="572">
        <v>0.19900499999999999</v>
      </c>
      <c r="C5377" s="572">
        <v>743.46</v>
      </c>
    </row>
    <row r="5378" spans="1:3">
      <c r="A5378" s="571" t="s">
        <v>1966</v>
      </c>
      <c r="B5378" s="572">
        <v>0.21641791599999999</v>
      </c>
      <c r="C5378" s="572">
        <v>817.75800000000004</v>
      </c>
    </row>
    <row r="5379" spans="1:3">
      <c r="A5379" s="571" t="s">
        <v>1966</v>
      </c>
      <c r="B5379" s="572">
        <v>0.23134333299999998</v>
      </c>
      <c r="C5379" s="572">
        <v>860.23900000000003</v>
      </c>
    </row>
    <row r="5380" spans="1:3">
      <c r="A5380" s="571" t="s">
        <v>1966</v>
      </c>
      <c r="B5380" s="572">
        <v>0.26119416600000001</v>
      </c>
      <c r="C5380" s="572">
        <v>881.59900000000005</v>
      </c>
    </row>
    <row r="5381" spans="1:3">
      <c r="A5381" s="571" t="s">
        <v>1966</v>
      </c>
      <c r="B5381" s="572">
        <v>0.29353250000000003</v>
      </c>
      <c r="C5381" s="572">
        <v>902.97199999999998</v>
      </c>
    </row>
    <row r="5382" spans="1:3">
      <c r="A5382" s="571" t="s">
        <v>1966</v>
      </c>
      <c r="B5382" s="572">
        <v>0.32338291600000002</v>
      </c>
      <c r="C5382" s="572">
        <v>919.03100000000006</v>
      </c>
    </row>
    <row r="5383" spans="1:3">
      <c r="A5383" s="571" t="s">
        <v>1966</v>
      </c>
      <c r="B5383" s="572">
        <v>0.35572333300000003</v>
      </c>
      <c r="C5383" s="572">
        <v>935.10400000000004</v>
      </c>
    </row>
    <row r="5384" spans="1:3">
      <c r="A5384" s="571" t="s">
        <v>1966</v>
      </c>
      <c r="B5384" s="572">
        <v>0.39552333299999998</v>
      </c>
      <c r="C5384" s="572">
        <v>914.11299999999994</v>
      </c>
    </row>
    <row r="5385" spans="1:3">
      <c r="A5385" s="571" t="s">
        <v>1966</v>
      </c>
      <c r="B5385" s="572">
        <v>0.44527333299999999</v>
      </c>
      <c r="C5385" s="572">
        <v>919.67700000000002</v>
      </c>
    </row>
    <row r="5386" spans="1:3">
      <c r="A5386" s="571" t="s">
        <v>1966</v>
      </c>
      <c r="B5386" s="572">
        <v>0.49253583299999998</v>
      </c>
      <c r="C5386" s="572">
        <v>919.928</v>
      </c>
    </row>
    <row r="5387" spans="1:3">
      <c r="A5387" s="571" t="s">
        <v>1966</v>
      </c>
      <c r="B5387" s="572">
        <v>0.52238999999999991</v>
      </c>
      <c r="C5387" s="572">
        <v>935.98699999999997</v>
      </c>
    </row>
    <row r="5388" spans="1:3">
      <c r="A5388" s="571" t="s">
        <v>1966</v>
      </c>
      <c r="B5388" s="572">
        <v>0.56467749999999994</v>
      </c>
      <c r="C5388" s="572">
        <v>925.61</v>
      </c>
    </row>
    <row r="5389" spans="1:3">
      <c r="A5389" s="571" t="s">
        <v>1966</v>
      </c>
      <c r="B5389" s="572">
        <v>0.6144274999999999</v>
      </c>
      <c r="C5389" s="572">
        <v>931.17499999999995</v>
      </c>
    </row>
    <row r="5390" spans="1:3">
      <c r="A5390" s="571" t="s">
        <v>1966</v>
      </c>
      <c r="B5390" s="572">
        <v>0.65671499999999994</v>
      </c>
      <c r="C5390" s="572">
        <v>952.6</v>
      </c>
    </row>
    <row r="5391" spans="1:3">
      <c r="A5391" s="571" t="s">
        <v>1966</v>
      </c>
      <c r="B5391" s="572">
        <v>0.69651916600000008</v>
      </c>
      <c r="C5391" s="572">
        <v>952.81099999999992</v>
      </c>
    </row>
    <row r="5392" spans="1:3">
      <c r="A5392" s="571" t="s">
        <v>1966</v>
      </c>
      <c r="B5392" s="572">
        <v>0.72636916600000001</v>
      </c>
      <c r="C5392" s="572">
        <v>968.87</v>
      </c>
    </row>
    <row r="5393" spans="1:3">
      <c r="A5393" s="571" t="s">
        <v>1966</v>
      </c>
      <c r="B5393" s="572">
        <v>0.76368166600000009</v>
      </c>
      <c r="C5393" s="572">
        <v>984.96899999999994</v>
      </c>
    </row>
    <row r="5394" spans="1:3">
      <c r="A5394" s="571" t="s">
        <v>1966</v>
      </c>
      <c r="B5394" s="572">
        <v>0.78855666600000007</v>
      </c>
      <c r="C5394" s="572">
        <v>958.59899999999993</v>
      </c>
    </row>
    <row r="5395" spans="1:3">
      <c r="A5395" s="571" t="s">
        <v>1966</v>
      </c>
      <c r="B5395" s="572">
        <v>0.81343166600000005</v>
      </c>
      <c r="C5395" s="572">
        <v>979.93200000000002</v>
      </c>
    </row>
    <row r="5396" spans="1:3">
      <c r="A5396" s="571" t="s">
        <v>1966</v>
      </c>
      <c r="B5396" s="572">
        <v>0.85074833300000008</v>
      </c>
      <c r="C5396" s="572">
        <v>969.53</v>
      </c>
    </row>
    <row r="5397" spans="1:3">
      <c r="A5397" s="571" t="s">
        <v>1966</v>
      </c>
      <c r="B5397" s="572">
        <v>0.87562333300000006</v>
      </c>
      <c r="C5397" s="572">
        <v>974.96199999999999</v>
      </c>
    </row>
    <row r="5398" spans="1:3">
      <c r="A5398" s="571" t="s">
        <v>1966</v>
      </c>
      <c r="B5398" s="572">
        <v>0.91293583299999992</v>
      </c>
      <c r="C5398" s="572">
        <v>969.85900000000004</v>
      </c>
    </row>
    <row r="5399" spans="1:3">
      <c r="A5399" s="571" t="s">
        <v>1966</v>
      </c>
      <c r="B5399" s="572">
        <v>0.93034833299999997</v>
      </c>
      <c r="C5399" s="572">
        <v>969.95100000000002</v>
      </c>
    </row>
    <row r="5400" spans="1:3">
      <c r="A5400" s="571" t="s">
        <v>1967</v>
      </c>
      <c r="B5400" s="572">
        <v>0</v>
      </c>
      <c r="C5400" s="572">
        <v>0</v>
      </c>
    </row>
    <row r="5401" spans="1:3">
      <c r="A5401" s="571" t="s">
        <v>1967</v>
      </c>
      <c r="B5401" s="572">
        <v>2.4999999999999994E-2</v>
      </c>
      <c r="C5401" s="572">
        <v>26.501799999999999</v>
      </c>
    </row>
    <row r="5402" spans="1:3">
      <c r="A5402" s="571" t="s">
        <v>1967</v>
      </c>
      <c r="B5402" s="572">
        <v>4.7499999999999987E-2</v>
      </c>
      <c r="C5402" s="572">
        <v>26.501799999999999</v>
      </c>
    </row>
    <row r="5403" spans="1:3">
      <c r="A5403" s="571" t="s">
        <v>1967</v>
      </c>
      <c r="B5403" s="572">
        <v>7.0000000000000007E-2</v>
      </c>
      <c r="C5403" s="572">
        <v>58.303899999999999</v>
      </c>
    </row>
    <row r="5404" spans="1:3">
      <c r="A5404" s="571" t="s">
        <v>1967</v>
      </c>
      <c r="B5404" s="572">
        <v>0.10249999999999998</v>
      </c>
      <c r="C5404" s="572">
        <v>100.70700000000001</v>
      </c>
    </row>
    <row r="5405" spans="1:3">
      <c r="A5405" s="571" t="s">
        <v>1967</v>
      </c>
      <c r="B5405" s="572">
        <v>0.1225</v>
      </c>
      <c r="C5405" s="572">
        <v>121.908</v>
      </c>
    </row>
    <row r="5406" spans="1:3">
      <c r="A5406" s="571" t="s">
        <v>1967</v>
      </c>
      <c r="B5406" s="572">
        <v>0.13750000000000001</v>
      </c>
      <c r="C5406" s="572">
        <v>121.908</v>
      </c>
    </row>
    <row r="5407" spans="1:3">
      <c r="A5407" s="571" t="s">
        <v>1967</v>
      </c>
      <c r="B5407" s="572">
        <v>0.15500000000000003</v>
      </c>
      <c r="C5407" s="572">
        <v>159.01100000000002</v>
      </c>
    </row>
    <row r="5408" spans="1:3">
      <c r="A5408" s="571" t="s">
        <v>1967</v>
      </c>
      <c r="B5408" s="572">
        <v>0.17749999999999999</v>
      </c>
      <c r="C5408" s="572">
        <v>164.31100000000001</v>
      </c>
    </row>
    <row r="5409" spans="1:3">
      <c r="A5409" s="571" t="s">
        <v>1967</v>
      </c>
      <c r="B5409" s="572">
        <v>0.20250000000000001</v>
      </c>
      <c r="C5409" s="572">
        <v>206.714</v>
      </c>
    </row>
    <row r="5410" spans="1:3">
      <c r="A5410" s="571" t="s">
        <v>1967</v>
      </c>
      <c r="B5410" s="572">
        <v>0.21999999999999997</v>
      </c>
      <c r="C5410" s="572">
        <v>254.417</v>
      </c>
    </row>
    <row r="5411" spans="1:3">
      <c r="A5411" s="571" t="s">
        <v>1967</v>
      </c>
      <c r="B5411" s="572">
        <v>0.24249999999999999</v>
      </c>
      <c r="C5411" s="572">
        <v>302.12</v>
      </c>
    </row>
    <row r="5412" spans="1:3">
      <c r="A5412" s="571" t="s">
        <v>1967</v>
      </c>
      <c r="B5412" s="572">
        <v>0.27</v>
      </c>
      <c r="C5412" s="572">
        <v>344.52300000000002</v>
      </c>
    </row>
    <row r="5413" spans="1:3">
      <c r="A5413" s="571" t="s">
        <v>1967</v>
      </c>
      <c r="B5413" s="572">
        <v>0.28749999999999998</v>
      </c>
      <c r="C5413" s="572">
        <v>355.12400000000002</v>
      </c>
    </row>
    <row r="5414" spans="1:3">
      <c r="A5414" s="571" t="s">
        <v>1967</v>
      </c>
      <c r="B5414" s="572">
        <v>0.30499999999999999</v>
      </c>
      <c r="C5414" s="572">
        <v>376.32500000000005</v>
      </c>
    </row>
    <row r="5415" spans="1:3">
      <c r="A5415" s="571" t="s">
        <v>1967</v>
      </c>
      <c r="B5415" s="572">
        <v>0.33750000000000002</v>
      </c>
      <c r="C5415" s="572">
        <v>355.12400000000002</v>
      </c>
    </row>
    <row r="5416" spans="1:3">
      <c r="A5416" s="571" t="s">
        <v>1967</v>
      </c>
      <c r="B5416" s="572">
        <v>0.34750000000000003</v>
      </c>
      <c r="C5416" s="572">
        <v>376.32500000000005</v>
      </c>
    </row>
    <row r="5417" spans="1:3">
      <c r="A5417" s="571" t="s">
        <v>1967</v>
      </c>
      <c r="B5417" s="572">
        <v>0.36750000000000005</v>
      </c>
      <c r="C5417" s="572">
        <v>371.02499999999998</v>
      </c>
    </row>
    <row r="5418" spans="1:3">
      <c r="A5418" s="571" t="s">
        <v>1967</v>
      </c>
      <c r="B5418" s="572">
        <v>0.4</v>
      </c>
      <c r="C5418" s="572">
        <v>386.92599999999999</v>
      </c>
    </row>
    <row r="5419" spans="1:3">
      <c r="A5419" s="571" t="s">
        <v>1967</v>
      </c>
      <c r="B5419" s="572">
        <v>0.42749999999999999</v>
      </c>
      <c r="C5419" s="572">
        <v>397.52700000000004</v>
      </c>
    </row>
    <row r="5420" spans="1:3">
      <c r="A5420" s="571" t="s">
        <v>1967</v>
      </c>
      <c r="B5420" s="572">
        <v>0.45499999999999996</v>
      </c>
      <c r="C5420" s="572">
        <v>381.625</v>
      </c>
    </row>
    <row r="5421" spans="1:3">
      <c r="A5421" s="571" t="s">
        <v>1967</v>
      </c>
      <c r="B5421" s="572">
        <v>0.48499999999999999</v>
      </c>
      <c r="C5421" s="572">
        <v>397.52700000000004</v>
      </c>
    </row>
    <row r="5422" spans="1:3">
      <c r="A5422" s="571" t="s">
        <v>1967</v>
      </c>
      <c r="B5422" s="572">
        <v>0.51500000000000001</v>
      </c>
      <c r="C5422" s="572">
        <v>386.92599999999999</v>
      </c>
    </row>
    <row r="5423" spans="1:3">
      <c r="A5423" s="571" t="s">
        <v>1967</v>
      </c>
      <c r="B5423" s="572">
        <v>0.55249999999999999</v>
      </c>
      <c r="C5423" s="572">
        <v>392.226</v>
      </c>
    </row>
    <row r="5424" spans="1:3">
      <c r="A5424" s="571" t="s">
        <v>1967</v>
      </c>
      <c r="B5424" s="572">
        <v>0.58750000000000002</v>
      </c>
      <c r="C5424" s="572">
        <v>386.92599999999999</v>
      </c>
    </row>
    <row r="5425" spans="1:3">
      <c r="A5425" s="571" t="s">
        <v>1967</v>
      </c>
      <c r="B5425" s="572">
        <v>0.61250000000000004</v>
      </c>
      <c r="C5425" s="572">
        <v>386.92599999999999</v>
      </c>
    </row>
    <row r="5426" spans="1:3">
      <c r="A5426" s="571" t="s">
        <v>1967</v>
      </c>
      <c r="B5426" s="572">
        <v>0.65</v>
      </c>
      <c r="C5426" s="572">
        <v>381.625</v>
      </c>
    </row>
    <row r="5427" spans="1:3">
      <c r="A5427" s="571" t="s">
        <v>1967</v>
      </c>
      <c r="B5427" s="572">
        <v>0.69</v>
      </c>
      <c r="C5427" s="572">
        <v>381.625</v>
      </c>
    </row>
    <row r="5428" spans="1:3">
      <c r="A5428" s="571" t="s">
        <v>1967</v>
      </c>
      <c r="B5428" s="572">
        <v>0.73250000000000004</v>
      </c>
      <c r="C5428" s="572">
        <v>381.625</v>
      </c>
    </row>
    <row r="5429" spans="1:3">
      <c r="A5429" s="571" t="s">
        <v>1968</v>
      </c>
      <c r="B5429" s="572">
        <v>0</v>
      </c>
      <c r="C5429" s="572">
        <v>42.553199999999997</v>
      </c>
    </row>
    <row r="5430" spans="1:3">
      <c r="A5430" s="571" t="s">
        <v>1968</v>
      </c>
      <c r="B5430" s="572">
        <v>1.4927083000000008E-2</v>
      </c>
      <c r="C5430" s="572">
        <v>63.829800000000006</v>
      </c>
    </row>
    <row r="5431" spans="1:3">
      <c r="A5431" s="571" t="s">
        <v>1968</v>
      </c>
      <c r="B5431" s="572">
        <v>3.4771250000000004E-2</v>
      </c>
      <c r="C5431" s="572">
        <v>127.66</v>
      </c>
    </row>
    <row r="5432" spans="1:3">
      <c r="A5432" s="571" t="s">
        <v>1968</v>
      </c>
      <c r="B5432" s="572">
        <v>5.7144165999999996E-2</v>
      </c>
      <c r="C5432" s="572">
        <v>170.21299999999999</v>
      </c>
    </row>
    <row r="5433" spans="1:3">
      <c r="A5433" s="571" t="s">
        <v>1968</v>
      </c>
      <c r="B5433" s="572">
        <v>7.6988332999999992E-2</v>
      </c>
      <c r="C5433" s="572">
        <v>234.04300000000001</v>
      </c>
    </row>
    <row r="5434" spans="1:3">
      <c r="A5434" s="571" t="s">
        <v>1968</v>
      </c>
      <c r="B5434" s="572">
        <v>9.6841250000000018E-2</v>
      </c>
      <c r="C5434" s="572">
        <v>292.553</v>
      </c>
    </row>
    <row r="5435" spans="1:3">
      <c r="A5435" s="571" t="s">
        <v>1968</v>
      </c>
      <c r="B5435" s="572">
        <v>0.11916999999999997</v>
      </c>
      <c r="C5435" s="572">
        <v>361.702</v>
      </c>
    </row>
    <row r="5436" spans="1:3">
      <c r="A5436" s="571" t="s">
        <v>1968</v>
      </c>
      <c r="B5436" s="572">
        <v>0.143992916</v>
      </c>
      <c r="C5436" s="572">
        <v>430.851</v>
      </c>
    </row>
    <row r="5437" spans="1:3">
      <c r="A5437" s="571" t="s">
        <v>1968</v>
      </c>
      <c r="B5437" s="572">
        <v>0.16136958300000001</v>
      </c>
      <c r="C5437" s="572">
        <v>478.72300000000001</v>
      </c>
    </row>
    <row r="5438" spans="1:3">
      <c r="A5438" s="571" t="s">
        <v>1968</v>
      </c>
      <c r="B5438" s="572">
        <v>0.17874625000000002</v>
      </c>
      <c r="C5438" s="572">
        <v>526.596</v>
      </c>
    </row>
    <row r="5439" spans="1:3">
      <c r="A5439" s="571" t="s">
        <v>1968</v>
      </c>
      <c r="B5439" s="572">
        <v>0.19859916600000002</v>
      </c>
      <c r="C5439" s="572">
        <v>585.10599999999999</v>
      </c>
    </row>
    <row r="5440" spans="1:3">
      <c r="A5440" s="571" t="s">
        <v>1968</v>
      </c>
      <c r="B5440" s="572">
        <v>0.23349416599999998</v>
      </c>
      <c r="C5440" s="572">
        <v>595.745</v>
      </c>
    </row>
    <row r="5441" spans="1:3">
      <c r="A5441" s="571" t="s">
        <v>1968</v>
      </c>
      <c r="B5441" s="572">
        <v>0.26585083300000001</v>
      </c>
      <c r="C5441" s="572">
        <v>632.97899999999993</v>
      </c>
    </row>
    <row r="5442" spans="1:3">
      <c r="A5442" s="571" t="s">
        <v>1968</v>
      </c>
      <c r="B5442" s="572">
        <v>0.305725833</v>
      </c>
      <c r="C5442" s="572">
        <v>648.93599999999992</v>
      </c>
    </row>
    <row r="5443" spans="1:3">
      <c r="A5443" s="571" t="s">
        <v>1968</v>
      </c>
      <c r="B5443" s="572">
        <v>0.34062999999999999</v>
      </c>
      <c r="C5443" s="572">
        <v>654.255</v>
      </c>
    </row>
    <row r="5444" spans="1:3">
      <c r="A5444" s="571" t="s">
        <v>1968</v>
      </c>
      <c r="B5444" s="572">
        <v>0.37800916600000001</v>
      </c>
      <c r="C5444" s="572">
        <v>670.21299999999997</v>
      </c>
    </row>
    <row r="5445" spans="1:3">
      <c r="A5445" s="571" t="s">
        <v>1968</v>
      </c>
      <c r="B5445" s="572">
        <v>0.41791749999999994</v>
      </c>
      <c r="C5445" s="572">
        <v>664.89400000000001</v>
      </c>
    </row>
    <row r="5446" spans="1:3">
      <c r="A5446" s="571" t="s">
        <v>1968</v>
      </c>
      <c r="B5446" s="572">
        <v>0.45780916599999999</v>
      </c>
      <c r="C5446" s="572">
        <v>670.21299999999997</v>
      </c>
    </row>
    <row r="5447" spans="1:3">
      <c r="A5447" s="571" t="s">
        <v>1968</v>
      </c>
      <c r="B5447" s="572">
        <v>0.50270499999999996</v>
      </c>
      <c r="C5447" s="572">
        <v>664.89400000000001</v>
      </c>
    </row>
    <row r="5448" spans="1:3">
      <c r="A5448" s="571" t="s">
        <v>1968</v>
      </c>
      <c r="B5448" s="572">
        <v>0.53515916600000002</v>
      </c>
      <c r="C5448" s="572">
        <v>643.61699999999996</v>
      </c>
    </row>
    <row r="5449" spans="1:3">
      <c r="A5449" s="571" t="s">
        <v>1968</v>
      </c>
      <c r="B5449" s="572">
        <v>0.56259249999999994</v>
      </c>
      <c r="C5449" s="572">
        <v>643.61699999999996</v>
      </c>
    </row>
    <row r="5450" spans="1:3">
      <c r="A5450" s="571" t="s">
        <v>1968</v>
      </c>
      <c r="B5450" s="572">
        <v>0.58998833299999998</v>
      </c>
      <c r="C5450" s="572">
        <v>664.89400000000001</v>
      </c>
    </row>
    <row r="5451" spans="1:3">
      <c r="A5451" s="571" t="s">
        <v>1968</v>
      </c>
      <c r="B5451" s="572">
        <v>0.63490916600000002</v>
      </c>
      <c r="C5451" s="572">
        <v>643.61699999999996</v>
      </c>
    </row>
    <row r="5452" spans="1:3">
      <c r="A5452" s="571" t="s">
        <v>1968</v>
      </c>
      <c r="B5452" s="572">
        <v>0.67230083299999999</v>
      </c>
      <c r="C5452" s="572">
        <v>654.255</v>
      </c>
    </row>
    <row r="5453" spans="1:3">
      <c r="A5453" s="571" t="s">
        <v>1968</v>
      </c>
      <c r="B5453" s="572">
        <v>0.71217166599999993</v>
      </c>
      <c r="C5453" s="572">
        <v>670.21299999999997</v>
      </c>
    </row>
    <row r="5454" spans="1:3">
      <c r="A5454" s="571" t="s">
        <v>1968</v>
      </c>
      <c r="B5454" s="572">
        <v>0.75455916599999995</v>
      </c>
      <c r="C5454" s="572">
        <v>675.53200000000004</v>
      </c>
    </row>
    <row r="5455" spans="1:3">
      <c r="A5455" s="571" t="s">
        <v>1968</v>
      </c>
      <c r="B5455" s="572">
        <v>0.80195083299999992</v>
      </c>
      <c r="C5455" s="572">
        <v>670.21299999999997</v>
      </c>
    </row>
    <row r="5456" spans="1:3">
      <c r="A5456" s="571" t="s">
        <v>1968</v>
      </c>
      <c r="B5456" s="572">
        <v>0.83185500000000001</v>
      </c>
      <c r="C5456" s="572">
        <v>680.851</v>
      </c>
    </row>
    <row r="5457" spans="1:3">
      <c r="A5457" s="571" t="s">
        <v>1969</v>
      </c>
      <c r="B5457" s="572">
        <v>0</v>
      </c>
      <c r="C5457" s="572">
        <v>2.2200000000000001E-13</v>
      </c>
    </row>
    <row r="5458" spans="1:3">
      <c r="A5458" s="571" t="s">
        <v>1969</v>
      </c>
      <c r="B5458" s="572">
        <v>2.2388332999999982E-2</v>
      </c>
      <c r="C5458" s="572">
        <v>5.3191499999999996</v>
      </c>
    </row>
    <row r="5459" spans="1:3">
      <c r="A5459" s="571" t="s">
        <v>1969</v>
      </c>
      <c r="B5459" s="572">
        <v>4.2288749999999986E-2</v>
      </c>
      <c r="C5459" s="572">
        <v>10.638299999999999</v>
      </c>
    </row>
    <row r="5460" spans="1:3">
      <c r="A5460" s="571" t="s">
        <v>1969</v>
      </c>
      <c r="B5460" s="572">
        <v>5.7214166999999982E-2</v>
      </c>
      <c r="C5460" s="572">
        <v>42.553199999999997</v>
      </c>
    </row>
    <row r="5461" spans="1:3">
      <c r="A5461" s="571" t="s">
        <v>1969</v>
      </c>
      <c r="B5461" s="572">
        <v>8.7066250000000012E-2</v>
      </c>
      <c r="C5461" s="572">
        <v>47.872300000000003</v>
      </c>
    </row>
    <row r="5462" spans="1:3">
      <c r="A5462" s="571" t="s">
        <v>1969</v>
      </c>
      <c r="B5462" s="572">
        <v>0.12189125000000001</v>
      </c>
      <c r="C5462" s="572">
        <v>63.829800000000006</v>
      </c>
    </row>
    <row r="5463" spans="1:3">
      <c r="A5463" s="571" t="s">
        <v>1969</v>
      </c>
      <c r="B5463" s="572">
        <v>0.14925374999999996</v>
      </c>
      <c r="C5463" s="572">
        <v>106.38300000000001</v>
      </c>
    </row>
    <row r="5464" spans="1:3">
      <c r="A5464" s="571" t="s">
        <v>1969</v>
      </c>
      <c r="B5464" s="572">
        <v>0.18407874999999996</v>
      </c>
      <c r="C5464" s="572">
        <v>132.97900000000001</v>
      </c>
    </row>
    <row r="5465" spans="1:3">
      <c r="A5465" s="571" t="s">
        <v>1969</v>
      </c>
      <c r="B5465" s="572">
        <v>0.21890374999999995</v>
      </c>
      <c r="C5465" s="572">
        <v>148.93600000000001</v>
      </c>
    </row>
    <row r="5466" spans="1:3">
      <c r="A5466" s="571" t="s">
        <v>1969</v>
      </c>
      <c r="B5466" s="572">
        <v>0.25870791699999995</v>
      </c>
      <c r="C5466" s="572">
        <v>159.57399999999998</v>
      </c>
    </row>
    <row r="5467" spans="1:3">
      <c r="A5467" s="571" t="s">
        <v>1969</v>
      </c>
      <c r="B5467" s="572">
        <v>0.30845791700000003</v>
      </c>
      <c r="C5467" s="572">
        <v>159.57399999999998</v>
      </c>
    </row>
    <row r="5468" spans="1:3">
      <c r="A5468" s="571" t="s">
        <v>1969</v>
      </c>
      <c r="B5468" s="572">
        <v>0.35074541699999995</v>
      </c>
      <c r="C5468" s="572">
        <v>164.89400000000001</v>
      </c>
    </row>
    <row r="5469" spans="1:3">
      <c r="A5469" s="571" t="s">
        <v>1969</v>
      </c>
      <c r="B5469" s="572">
        <v>0.38308291699999997</v>
      </c>
      <c r="C5469" s="572">
        <v>164.89400000000001</v>
      </c>
    </row>
    <row r="5470" spans="1:3">
      <c r="A5470" s="571" t="s">
        <v>1969</v>
      </c>
      <c r="B5470" s="572">
        <v>0.422887083</v>
      </c>
      <c r="C5470" s="572">
        <v>154.255</v>
      </c>
    </row>
    <row r="5471" spans="1:3">
      <c r="A5471" s="571" t="s">
        <v>1969</v>
      </c>
      <c r="B5471" s="572">
        <v>0.45273708300000004</v>
      </c>
      <c r="C5471" s="572">
        <v>170.21299999999999</v>
      </c>
    </row>
    <row r="5472" spans="1:3">
      <c r="A5472" s="571" t="s">
        <v>1970</v>
      </c>
      <c r="B5472" s="572">
        <v>0</v>
      </c>
      <c r="C5472" s="572">
        <v>3.4997400000000001</v>
      </c>
    </row>
    <row r="5473" spans="1:3">
      <c r="A5473" s="571" t="s">
        <v>1970</v>
      </c>
      <c r="B5473" s="572">
        <v>2.3707499999999992E-2</v>
      </c>
      <c r="C5473" s="572">
        <v>22.1143</v>
      </c>
    </row>
    <row r="5474" spans="1:3">
      <c r="A5474" s="571" t="s">
        <v>1970</v>
      </c>
      <c r="B5474" s="572">
        <v>5.2495832999999992E-2</v>
      </c>
      <c r="C5474" s="572">
        <v>44.450499999999998</v>
      </c>
    </row>
    <row r="5475" spans="1:3">
      <c r="A5475" s="571" t="s">
        <v>1970</v>
      </c>
      <c r="B5475" s="572">
        <v>7.1114999999999984E-2</v>
      </c>
      <c r="C5475" s="572">
        <v>66.824700000000007</v>
      </c>
    </row>
    <row r="5476" spans="1:3">
      <c r="A5476" s="571" t="s">
        <v>1970</v>
      </c>
      <c r="B5476" s="572">
        <v>9.1373750000000004E-2</v>
      </c>
      <c r="C5476" s="572">
        <v>137.821</v>
      </c>
    </row>
    <row r="5477" spans="1:3">
      <c r="A5477" s="571" t="s">
        <v>1970</v>
      </c>
      <c r="B5477" s="572">
        <v>0.10827208299999999</v>
      </c>
      <c r="C5477" s="572">
        <v>182.64600000000002</v>
      </c>
    </row>
    <row r="5478" spans="1:3">
      <c r="A5478" s="571" t="s">
        <v>1970</v>
      </c>
      <c r="B5478" s="572">
        <v>0.12009</v>
      </c>
      <c r="C5478" s="572">
        <v>223.749</v>
      </c>
    </row>
    <row r="5479" spans="1:3">
      <c r="A5479" s="571" t="s">
        <v>1970</v>
      </c>
      <c r="B5479" s="572">
        <v>0.12678958299999998</v>
      </c>
      <c r="C5479" s="572">
        <v>294.79599999999999</v>
      </c>
    </row>
    <row r="5480" spans="1:3">
      <c r="A5480" s="571" t="s">
        <v>1970</v>
      </c>
      <c r="B5480" s="572">
        <v>0.13691666599999999</v>
      </c>
      <c r="C5480" s="572">
        <v>332.16499999999996</v>
      </c>
    </row>
    <row r="5481" spans="1:3">
      <c r="A5481" s="571" t="s">
        <v>1970</v>
      </c>
      <c r="B5481" s="572">
        <v>0.15042541600000001</v>
      </c>
      <c r="C5481" s="572">
        <v>377.00200000000001</v>
      </c>
    </row>
    <row r="5482" spans="1:3">
      <c r="A5482" s="571" t="s">
        <v>1970</v>
      </c>
      <c r="B5482" s="572">
        <v>0.1706925</v>
      </c>
      <c r="C5482" s="572">
        <v>440.517</v>
      </c>
    </row>
    <row r="5483" spans="1:3">
      <c r="A5483" s="571" t="s">
        <v>1970</v>
      </c>
      <c r="B5483" s="572">
        <v>0.18078583300000001</v>
      </c>
      <c r="C5483" s="572">
        <v>507.81100000000004</v>
      </c>
    </row>
    <row r="5484" spans="1:3">
      <c r="A5484" s="571" t="s">
        <v>1970</v>
      </c>
      <c r="B5484" s="572">
        <v>0.19087541600000002</v>
      </c>
      <c r="C5484" s="572">
        <v>578.846</v>
      </c>
    </row>
    <row r="5485" spans="1:3">
      <c r="A5485" s="571" t="s">
        <v>1970</v>
      </c>
      <c r="B5485" s="572">
        <v>0.195854166</v>
      </c>
      <c r="C5485" s="572">
        <v>672.34300000000007</v>
      </c>
    </row>
    <row r="5486" spans="1:3">
      <c r="A5486" s="571" t="s">
        <v>1970</v>
      </c>
      <c r="B5486" s="572">
        <v>0.20256625</v>
      </c>
      <c r="C5486" s="572">
        <v>732.16800000000001</v>
      </c>
    </row>
    <row r="5487" spans="1:3">
      <c r="A5487" s="571" t="s">
        <v>1970</v>
      </c>
      <c r="B5487" s="572">
        <v>0.21096083300000001</v>
      </c>
      <c r="C5487" s="572">
        <v>803.20899999999995</v>
      </c>
    </row>
    <row r="5488" spans="1:3">
      <c r="A5488" s="571" t="s">
        <v>1970</v>
      </c>
      <c r="B5488" s="572">
        <v>0.22277000000000002</v>
      </c>
      <c r="C5488" s="572">
        <v>851.7940000000001</v>
      </c>
    </row>
    <row r="5489" spans="1:3">
      <c r="A5489" s="571" t="s">
        <v>1970</v>
      </c>
      <c r="B5489" s="572">
        <v>0.23969833299999999</v>
      </c>
      <c r="C5489" s="572">
        <v>870.43400000000008</v>
      </c>
    </row>
    <row r="5490" spans="1:3">
      <c r="A5490" s="571" t="s">
        <v>1970</v>
      </c>
      <c r="B5490" s="572">
        <v>0.26341458299999998</v>
      </c>
      <c r="C5490" s="572">
        <v>881.56700000000001</v>
      </c>
    </row>
    <row r="5491" spans="1:3">
      <c r="A5491" s="571" t="s">
        <v>1970</v>
      </c>
      <c r="B5491" s="572">
        <v>0.29390208299999998</v>
      </c>
      <c r="C5491" s="572">
        <v>900.15599999999995</v>
      </c>
    </row>
    <row r="5492" spans="1:3">
      <c r="A5492" s="571" t="s">
        <v>1970</v>
      </c>
      <c r="B5492" s="572">
        <v>0.31930458299999998</v>
      </c>
      <c r="C5492" s="572">
        <v>918.76400000000001</v>
      </c>
    </row>
    <row r="5493" spans="1:3">
      <c r="A5493" s="571" t="s">
        <v>1970</v>
      </c>
      <c r="B5493" s="572">
        <v>0.33964375000000002</v>
      </c>
      <c r="C5493" s="572">
        <v>918.68799999999999</v>
      </c>
    </row>
    <row r="5494" spans="1:3">
      <c r="A5494" s="571" t="s">
        <v>1970</v>
      </c>
      <c r="B5494" s="572">
        <v>0.35656791599999998</v>
      </c>
      <c r="C5494" s="572">
        <v>941.06900000000007</v>
      </c>
    </row>
    <row r="5495" spans="1:3">
      <c r="A5495" s="571" t="s">
        <v>1970</v>
      </c>
      <c r="B5495" s="572">
        <v>0.37692625000000002</v>
      </c>
      <c r="C5495" s="572">
        <v>922.28899999999999</v>
      </c>
    </row>
    <row r="5496" spans="1:3">
      <c r="A5496" s="571" t="s">
        <v>1970</v>
      </c>
      <c r="B5496" s="572">
        <v>0.39728458299999997</v>
      </c>
      <c r="C5496" s="572">
        <v>907.25099999999998</v>
      </c>
    </row>
    <row r="5497" spans="1:3">
      <c r="A5497" s="571" t="s">
        <v>1970</v>
      </c>
      <c r="B5497" s="572">
        <v>0.41252208299999998</v>
      </c>
      <c r="C5497" s="572">
        <v>922.15599999999995</v>
      </c>
    </row>
    <row r="5498" spans="1:3">
      <c r="A5498" s="571" t="s">
        <v>1970</v>
      </c>
      <c r="B5498" s="572">
        <v>0.45320125</v>
      </c>
      <c r="C5498" s="572">
        <v>922.00400000000002</v>
      </c>
    </row>
    <row r="5499" spans="1:3">
      <c r="A5499" s="571" t="s">
        <v>1970</v>
      </c>
      <c r="B5499" s="572">
        <v>0.490492916</v>
      </c>
      <c r="C5499" s="572">
        <v>918.12400000000002</v>
      </c>
    </row>
    <row r="5500" spans="1:3">
      <c r="A5500" s="571" t="s">
        <v>1970</v>
      </c>
      <c r="B5500" s="572">
        <v>0.51929291600000005</v>
      </c>
      <c r="C5500" s="572">
        <v>929.23800000000006</v>
      </c>
    </row>
    <row r="5501" spans="1:3">
      <c r="A5501" s="571" t="s">
        <v>1970</v>
      </c>
      <c r="B5501" s="572">
        <v>0.54302208299999999</v>
      </c>
      <c r="C5501" s="572">
        <v>929.149</v>
      </c>
    </row>
    <row r="5502" spans="1:3">
      <c r="A5502" s="571" t="s">
        <v>1970</v>
      </c>
      <c r="B5502" s="572">
        <v>0.56846375000000005</v>
      </c>
      <c r="C5502" s="572">
        <v>914.09199999999998</v>
      </c>
    </row>
    <row r="5503" spans="1:3">
      <c r="A5503" s="571" t="s">
        <v>1970</v>
      </c>
      <c r="B5503" s="572">
        <v>0.59726791599999995</v>
      </c>
      <c r="C5503" s="572">
        <v>921.46500000000003</v>
      </c>
    </row>
    <row r="5504" spans="1:3">
      <c r="A5504" s="571" t="s">
        <v>1970</v>
      </c>
      <c r="B5504" s="572">
        <v>0.63115124999999994</v>
      </c>
      <c r="C5504" s="572">
        <v>936.30100000000004</v>
      </c>
    </row>
    <row r="5505" spans="1:3">
      <c r="A5505" s="571" t="s">
        <v>1970</v>
      </c>
      <c r="B5505" s="572">
        <v>0.66503875000000001</v>
      </c>
      <c r="C5505" s="572">
        <v>943.65499999999997</v>
      </c>
    </row>
    <row r="5506" spans="1:3">
      <c r="A5506" s="571" t="s">
        <v>1970</v>
      </c>
      <c r="B5506" s="572">
        <v>0.70402208300000002</v>
      </c>
      <c r="C5506" s="572">
        <v>943.51</v>
      </c>
    </row>
    <row r="5507" spans="1:3">
      <c r="A5507" s="571" t="s">
        <v>1970</v>
      </c>
      <c r="B5507" s="572">
        <v>0.74129708299999997</v>
      </c>
      <c r="C5507" s="572">
        <v>954.59199999999998</v>
      </c>
    </row>
    <row r="5508" spans="1:3">
      <c r="A5508" s="571" t="s">
        <v>1970</v>
      </c>
      <c r="B5508" s="572">
        <v>0.77009291599999996</v>
      </c>
      <c r="C5508" s="572">
        <v>969.447</v>
      </c>
    </row>
    <row r="5509" spans="1:3">
      <c r="A5509" s="571" t="s">
        <v>1970</v>
      </c>
      <c r="B5509" s="572">
        <v>0.79722625000000003</v>
      </c>
      <c r="C5509" s="572">
        <v>958.12400000000002</v>
      </c>
    </row>
    <row r="5510" spans="1:3">
      <c r="A5510" s="571" t="s">
        <v>1970</v>
      </c>
      <c r="B5510" s="572">
        <v>0.82432625000000004</v>
      </c>
      <c r="C5510" s="572">
        <v>972.98500000000001</v>
      </c>
    </row>
    <row r="5511" spans="1:3">
      <c r="A5511" s="571" t="s">
        <v>1970</v>
      </c>
      <c r="B5511" s="572">
        <v>0.85314708299999997</v>
      </c>
      <c r="C5511" s="572">
        <v>969.13599999999997</v>
      </c>
    </row>
    <row r="5512" spans="1:3">
      <c r="A5512" s="571" t="s">
        <v>1970</v>
      </c>
      <c r="B5512" s="572">
        <v>0.87347208300000001</v>
      </c>
      <c r="C5512" s="572">
        <v>980.28200000000004</v>
      </c>
    </row>
    <row r="5513" spans="1:3">
      <c r="A5513" s="571" t="s">
        <v>1970</v>
      </c>
      <c r="B5513" s="572">
        <v>0.89891374999999996</v>
      </c>
      <c r="C5513" s="572">
        <v>965.22500000000002</v>
      </c>
    </row>
    <row r="5514" spans="1:3">
      <c r="A5514" s="571" t="s">
        <v>1970</v>
      </c>
      <c r="B5514" s="572">
        <v>0.93110958300000002</v>
      </c>
      <c r="C5514" s="572">
        <v>972.58500000000004</v>
      </c>
    </row>
    <row r="5515" spans="1:3">
      <c r="A5515" s="571" t="s">
        <v>1971</v>
      </c>
      <c r="B5515" s="572">
        <v>0</v>
      </c>
      <c r="C5515" s="572">
        <v>0</v>
      </c>
    </row>
    <row r="5516" spans="1:3">
      <c r="A5516" s="571" t="s">
        <v>1971</v>
      </c>
      <c r="B5516" s="572">
        <v>2.198E-2</v>
      </c>
      <c r="C5516" s="572">
        <v>15</v>
      </c>
    </row>
    <row r="5517" spans="1:3">
      <c r="A5517" s="571" t="s">
        <v>1971</v>
      </c>
      <c r="B5517" s="572">
        <v>3.5477915999999998E-2</v>
      </c>
      <c r="C5517" s="572">
        <v>48.75</v>
      </c>
    </row>
    <row r="5518" spans="1:3">
      <c r="A5518" s="571" t="s">
        <v>1971</v>
      </c>
      <c r="B5518" s="572">
        <v>5.0685415999999997E-2</v>
      </c>
      <c r="C5518" s="572">
        <v>67.5</v>
      </c>
    </row>
    <row r="5519" spans="1:3">
      <c r="A5519" s="571" t="s">
        <v>1971</v>
      </c>
      <c r="B5519" s="572">
        <v>6.9272499999999987E-2</v>
      </c>
      <c r="C5519" s="572">
        <v>90</v>
      </c>
    </row>
    <row r="5520" spans="1:3">
      <c r="A5520" s="571" t="s">
        <v>1971</v>
      </c>
      <c r="B5520" s="572">
        <v>8.2770832999999988E-2</v>
      </c>
      <c r="C5520" s="572">
        <v>123.75</v>
      </c>
    </row>
    <row r="5521" spans="1:3">
      <c r="A5521" s="571" t="s">
        <v>1971</v>
      </c>
      <c r="B5521" s="572">
        <v>9.2876665999999997E-2</v>
      </c>
      <c r="C5521" s="572">
        <v>165</v>
      </c>
    </row>
    <row r="5522" spans="1:3">
      <c r="A5522" s="571" t="s">
        <v>1971</v>
      </c>
      <c r="B5522" s="572">
        <v>0.10466999999999999</v>
      </c>
      <c r="C5522" s="572">
        <v>210</v>
      </c>
    </row>
    <row r="5523" spans="1:3">
      <c r="A5523" s="571" t="s">
        <v>1971</v>
      </c>
      <c r="B5523" s="572">
        <v>0.111404583</v>
      </c>
      <c r="C5523" s="572">
        <v>240</v>
      </c>
    </row>
    <row r="5524" spans="1:3">
      <c r="A5524" s="571" t="s">
        <v>1971</v>
      </c>
      <c r="B5524" s="572">
        <v>0.11978875</v>
      </c>
      <c r="C5524" s="572">
        <v>307.5</v>
      </c>
    </row>
    <row r="5525" spans="1:3">
      <c r="A5525" s="571" t="s">
        <v>1971</v>
      </c>
      <c r="B5525" s="572">
        <v>0.12646791599999999</v>
      </c>
      <c r="C5525" s="572">
        <v>386.25</v>
      </c>
    </row>
    <row r="5526" spans="1:3">
      <c r="A5526" s="571" t="s">
        <v>1971</v>
      </c>
      <c r="B5526" s="572">
        <v>0.13820666600000001</v>
      </c>
      <c r="C5526" s="572">
        <v>480</v>
      </c>
    </row>
    <row r="5527" spans="1:3">
      <c r="A5527" s="571" t="s">
        <v>1971</v>
      </c>
      <c r="B5527" s="572">
        <v>0.14488999999999999</v>
      </c>
      <c r="C5527" s="572">
        <v>555</v>
      </c>
    </row>
    <row r="5528" spans="1:3">
      <c r="A5528" s="571" t="s">
        <v>1971</v>
      </c>
      <c r="B5528" s="572">
        <v>0.1549325</v>
      </c>
      <c r="C5528" s="572">
        <v>652.5</v>
      </c>
    </row>
    <row r="5529" spans="1:3">
      <c r="A5529" s="571" t="s">
        <v>1971</v>
      </c>
      <c r="B5529" s="572">
        <v>0.16499583300000001</v>
      </c>
      <c r="C5529" s="572">
        <v>731.25</v>
      </c>
    </row>
    <row r="5530" spans="1:3">
      <c r="A5530" s="571" t="s">
        <v>1971</v>
      </c>
      <c r="B5530" s="572">
        <v>0.1767725</v>
      </c>
      <c r="C5530" s="572">
        <v>791.25</v>
      </c>
    </row>
    <row r="5531" spans="1:3">
      <c r="A5531" s="571" t="s">
        <v>1971</v>
      </c>
      <c r="B5531" s="572">
        <v>0.185148333</v>
      </c>
      <c r="C5531" s="572">
        <v>866.25</v>
      </c>
    </row>
    <row r="5532" spans="1:3">
      <c r="A5532" s="571" t="s">
        <v>1971</v>
      </c>
      <c r="B5532" s="572">
        <v>0.19347291599999999</v>
      </c>
      <c r="C5532" s="572">
        <v>986.25</v>
      </c>
    </row>
    <row r="5533" spans="1:3">
      <c r="A5533" s="571" t="s">
        <v>1971</v>
      </c>
      <c r="B5533" s="572">
        <v>0.19505499999999998</v>
      </c>
      <c r="C5533" s="572">
        <v>1083.75</v>
      </c>
    </row>
    <row r="5534" spans="1:3">
      <c r="A5534" s="571" t="s">
        <v>1971</v>
      </c>
      <c r="B5534" s="572">
        <v>0.20510166600000002</v>
      </c>
      <c r="C5534" s="572">
        <v>1177.5</v>
      </c>
    </row>
    <row r="5535" spans="1:3">
      <c r="A5535" s="571" t="s">
        <v>1971</v>
      </c>
      <c r="B5535" s="572">
        <v>0.21684458299999998</v>
      </c>
      <c r="C5535" s="572">
        <v>1267.5</v>
      </c>
    </row>
    <row r="5536" spans="1:3">
      <c r="A5536" s="571" t="s">
        <v>1971</v>
      </c>
      <c r="B5536" s="572">
        <v>0.228608333</v>
      </c>
      <c r="C5536" s="572">
        <v>1338.75</v>
      </c>
    </row>
    <row r="5537" spans="1:3">
      <c r="A5537" s="571" t="s">
        <v>1971</v>
      </c>
      <c r="B5537" s="572">
        <v>0.24717</v>
      </c>
      <c r="C5537" s="572">
        <v>1383.75</v>
      </c>
    </row>
    <row r="5538" spans="1:3">
      <c r="A5538" s="571" t="s">
        <v>1971</v>
      </c>
      <c r="B5538" s="572">
        <v>0.26404416599999997</v>
      </c>
      <c r="C5538" s="572">
        <v>1425</v>
      </c>
    </row>
    <row r="5539" spans="1:3">
      <c r="A5539" s="571" t="s">
        <v>1971</v>
      </c>
      <c r="B5539" s="572">
        <v>0.291108333</v>
      </c>
      <c r="C5539" s="572">
        <v>1432.5</v>
      </c>
    </row>
    <row r="5540" spans="1:3">
      <c r="A5540" s="571" t="s">
        <v>1971</v>
      </c>
      <c r="B5540" s="572">
        <v>0.32153583299999999</v>
      </c>
      <c r="C5540" s="572">
        <v>1458.75</v>
      </c>
    </row>
    <row r="5541" spans="1:3">
      <c r="A5541" s="571" t="s">
        <v>1971</v>
      </c>
      <c r="B5541" s="572">
        <v>0.355379583</v>
      </c>
      <c r="C5541" s="572">
        <v>1455</v>
      </c>
    </row>
    <row r="5542" spans="1:3">
      <c r="A5542" s="571" t="s">
        <v>1971</v>
      </c>
      <c r="B5542" s="572">
        <v>0.39769208299999997</v>
      </c>
      <c r="C5542" s="572">
        <v>1447.5</v>
      </c>
    </row>
    <row r="5543" spans="1:3">
      <c r="A5543" s="571" t="s">
        <v>1971</v>
      </c>
      <c r="B5543" s="572">
        <v>0.43152124999999997</v>
      </c>
      <c r="C5543" s="572">
        <v>1455</v>
      </c>
    </row>
    <row r="5544" spans="1:3">
      <c r="A5544" s="571" t="s">
        <v>1971</v>
      </c>
      <c r="B5544" s="572">
        <v>0.46875875</v>
      </c>
      <c r="C5544" s="572">
        <v>1443.75</v>
      </c>
    </row>
    <row r="5545" spans="1:3">
      <c r="A5545" s="571" t="s">
        <v>1971</v>
      </c>
      <c r="B5545" s="572">
        <v>0.51614208299999997</v>
      </c>
      <c r="C5545" s="572">
        <v>1440</v>
      </c>
    </row>
    <row r="5546" spans="1:3">
      <c r="A5546" s="571" t="s">
        <v>1971</v>
      </c>
      <c r="B5546" s="572">
        <v>0.55337124999999998</v>
      </c>
      <c r="C5546" s="572">
        <v>1436.25</v>
      </c>
    </row>
    <row r="5547" spans="1:3">
      <c r="A5547" s="571" t="s">
        <v>1971</v>
      </c>
      <c r="B5547" s="572">
        <v>0.592275416</v>
      </c>
      <c r="C5547" s="572">
        <v>1447.5</v>
      </c>
    </row>
    <row r="5548" spans="1:3">
      <c r="A5548" s="571" t="s">
        <v>1971</v>
      </c>
      <c r="B5548" s="572">
        <v>0.62948791599999998</v>
      </c>
      <c r="C5548" s="572">
        <v>1458.75</v>
      </c>
    </row>
    <row r="5549" spans="1:3">
      <c r="A5549" s="571" t="s">
        <v>1971</v>
      </c>
      <c r="B5549" s="572">
        <v>0.66331708300000003</v>
      </c>
      <c r="C5549" s="572">
        <v>1470</v>
      </c>
    </row>
    <row r="5550" spans="1:3">
      <c r="A5550" s="571" t="s">
        <v>1971</v>
      </c>
      <c r="B5550" s="572">
        <v>0.70392541600000003</v>
      </c>
      <c r="C5550" s="572">
        <v>1470</v>
      </c>
    </row>
    <row r="5551" spans="1:3">
      <c r="A5551" s="571" t="s">
        <v>1971</v>
      </c>
      <c r="B5551" s="572">
        <v>0.74452125000000002</v>
      </c>
      <c r="C5551" s="572">
        <v>1481.25</v>
      </c>
    </row>
    <row r="5552" spans="1:3">
      <c r="A5552" s="571" t="s">
        <v>1971</v>
      </c>
      <c r="B5552" s="572">
        <v>0.78173791599999998</v>
      </c>
      <c r="C5552" s="572">
        <v>1488.75</v>
      </c>
    </row>
    <row r="5553" spans="1:3">
      <c r="A5553" s="571" t="s">
        <v>1971</v>
      </c>
      <c r="B5553" s="572">
        <v>0.81727541599999998</v>
      </c>
      <c r="C5553" s="572">
        <v>1485</v>
      </c>
    </row>
    <row r="5554" spans="1:3">
      <c r="A5554" s="571" t="s">
        <v>1971</v>
      </c>
      <c r="B5554" s="572">
        <v>0.851117083</v>
      </c>
      <c r="C5554" s="572">
        <v>1485</v>
      </c>
    </row>
    <row r="5555" spans="1:3">
      <c r="A5555" s="571" t="s">
        <v>1971</v>
      </c>
      <c r="B5555" s="572">
        <v>0.88834208299999995</v>
      </c>
      <c r="C5555" s="572">
        <v>1485</v>
      </c>
    </row>
    <row r="5556" spans="1:3">
      <c r="A5556" s="571" t="s">
        <v>1971</v>
      </c>
      <c r="B5556" s="572">
        <v>0.92387958299999995</v>
      </c>
      <c r="C5556" s="572">
        <v>1481.25</v>
      </c>
    </row>
    <row r="5557" spans="1:3">
      <c r="A5557" s="571" t="s">
        <v>309</v>
      </c>
      <c r="B5557" s="572">
        <v>0.26952999999999999</v>
      </c>
      <c r="C5557" s="572">
        <v>2.7404199999999999</v>
      </c>
    </row>
    <row r="5558" spans="1:3">
      <c r="A5558" s="571" t="s">
        <v>309</v>
      </c>
      <c r="B5558" s="572">
        <v>0.92600000000000005</v>
      </c>
      <c r="C5558" s="572">
        <v>73.798599999999993</v>
      </c>
    </row>
    <row r="5559" spans="1:3">
      <c r="A5559" s="571" t="s">
        <v>309</v>
      </c>
      <c r="B5559" s="572">
        <v>2.77874</v>
      </c>
      <c r="C5559" s="572">
        <v>218.66399999999999</v>
      </c>
    </row>
    <row r="5560" spans="1:3">
      <c r="A5560" s="571" t="s">
        <v>309</v>
      </c>
      <c r="B5560" s="572">
        <v>6.7906700000000004</v>
      </c>
      <c r="C5560" s="572">
        <v>374.52300000000002</v>
      </c>
    </row>
    <row r="5561" spans="1:3">
      <c r="A5561" s="571" t="s">
        <v>309</v>
      </c>
      <c r="B5561" s="572">
        <v>14.0406</v>
      </c>
      <c r="C5561" s="572">
        <v>549.60699999999997</v>
      </c>
    </row>
    <row r="5562" spans="1:3">
      <c r="A5562" s="571" t="s">
        <v>309</v>
      </c>
      <c r="B5562" s="572">
        <v>28.1921</v>
      </c>
      <c r="C5562" s="572">
        <v>689.38</v>
      </c>
    </row>
    <row r="5563" spans="1:3">
      <c r="A5563" s="571" t="s">
        <v>309</v>
      </c>
      <c r="B5563" s="572">
        <v>45.066800000000001</v>
      </c>
      <c r="C5563" s="572">
        <v>752.73400000000004</v>
      </c>
    </row>
    <row r="5564" spans="1:3">
      <c r="A5564" s="571" t="s">
        <v>309</v>
      </c>
      <c r="B5564" s="572">
        <v>60.605800000000002</v>
      </c>
      <c r="C5564" s="572">
        <v>758.67</v>
      </c>
    </row>
    <row r="5565" spans="1:3">
      <c r="A5565" s="571" t="s">
        <v>309</v>
      </c>
      <c r="B5565" s="572">
        <v>89.914299999999997</v>
      </c>
      <c r="C5565" s="572">
        <v>816.93700000000001</v>
      </c>
    </row>
    <row r="5566" spans="1:3">
      <c r="A5566" s="48" t="s">
        <v>310</v>
      </c>
      <c r="B5566" s="549">
        <v>-7.3531499999999995E-4</v>
      </c>
      <c r="C5566" s="549">
        <v>2.7247499999999998</v>
      </c>
    </row>
    <row r="5567" spans="1:3">
      <c r="A5567" s="571" t="s">
        <v>310</v>
      </c>
      <c r="B5567" s="572">
        <v>0.93274699999999999</v>
      </c>
      <c r="C5567" s="572">
        <v>43.653199999999998</v>
      </c>
    </row>
    <row r="5568" spans="1:3">
      <c r="A5568" s="571" t="s">
        <v>310</v>
      </c>
      <c r="B5568" s="572">
        <v>3.0747200000000001</v>
      </c>
      <c r="C5568" s="572">
        <v>106.453</v>
      </c>
    </row>
    <row r="5569" spans="1:3">
      <c r="A5569" s="571" t="s">
        <v>310</v>
      </c>
      <c r="B5569" s="572">
        <v>6.81968</v>
      </c>
      <c r="C5569" s="572">
        <v>229.29599999999999</v>
      </c>
    </row>
    <row r="5570" spans="1:3">
      <c r="A5570" s="571" t="s">
        <v>310</v>
      </c>
      <c r="B5570" s="572">
        <v>13.937900000000001</v>
      </c>
      <c r="C5570" s="572">
        <v>352.34300000000002</v>
      </c>
    </row>
    <row r="5571" spans="1:3">
      <c r="A5571" s="571" t="s">
        <v>310</v>
      </c>
      <c r="B5571" s="572">
        <v>28.202300000000001</v>
      </c>
      <c r="C5571" s="572">
        <v>494.89600000000002</v>
      </c>
    </row>
    <row r="5572" spans="1:3">
      <c r="A5572" s="571" t="s">
        <v>310</v>
      </c>
      <c r="B5572" s="572">
        <v>45.328899999999997</v>
      </c>
      <c r="C5572" s="572">
        <v>531.35500000000002</v>
      </c>
    </row>
    <row r="5573" spans="1:3">
      <c r="A5573" s="571" t="s">
        <v>310</v>
      </c>
      <c r="B5573" s="572">
        <v>60.1646</v>
      </c>
      <c r="C5573" s="572">
        <v>556.77700000000004</v>
      </c>
    </row>
    <row r="5574" spans="1:3">
      <c r="A5574" s="571" t="s">
        <v>310</v>
      </c>
      <c r="B5574" s="572">
        <v>89.570599999999999</v>
      </c>
      <c r="C5574" s="572">
        <v>591.255</v>
      </c>
    </row>
    <row r="5575" spans="1:3">
      <c r="A5575" s="571" t="s">
        <v>311</v>
      </c>
      <c r="B5575" s="572">
        <v>0.13439400000000001</v>
      </c>
      <c r="C5575" s="572">
        <v>2.7404000000000002</v>
      </c>
    </row>
    <row r="5576" spans="1:3">
      <c r="A5576" s="571" t="s">
        <v>311</v>
      </c>
      <c r="B5576" s="572">
        <v>0.93559199999999998</v>
      </c>
      <c r="C5576" s="572">
        <v>38.308199999999999</v>
      </c>
    </row>
    <row r="5577" spans="1:3">
      <c r="A5577" s="571" t="s">
        <v>311</v>
      </c>
      <c r="B5577" s="572">
        <v>2.9404300000000001</v>
      </c>
      <c r="C5577" s="572">
        <v>120.39700000000001</v>
      </c>
    </row>
    <row r="5578" spans="1:3">
      <c r="A5578" s="571" t="s">
        <v>311</v>
      </c>
      <c r="B5578" s="572">
        <v>6.97079</v>
      </c>
      <c r="C5578" s="572">
        <v>208.07400000000001</v>
      </c>
    </row>
    <row r="5579" spans="1:3">
      <c r="A5579" s="571" t="s">
        <v>311</v>
      </c>
      <c r="B5579" s="572">
        <v>13.8308</v>
      </c>
      <c r="C5579" s="572">
        <v>325.976</v>
      </c>
    </row>
    <row r="5580" spans="1:3">
      <c r="A5580" s="571" t="s">
        <v>311</v>
      </c>
      <c r="B5580" s="572">
        <v>28.2502</v>
      </c>
      <c r="C5580" s="572">
        <v>474.39299999999997</v>
      </c>
    </row>
    <row r="5581" spans="1:3">
      <c r="A5581" s="571" t="s">
        <v>311</v>
      </c>
      <c r="B5581" s="572">
        <v>60.110500000000002</v>
      </c>
      <c r="C5581" s="572">
        <v>591.08100000000002</v>
      </c>
    </row>
    <row r="5582" spans="1:3">
      <c r="A5582" s="571" t="s">
        <v>311</v>
      </c>
      <c r="B5582" s="572">
        <v>89.698700000000002</v>
      </c>
      <c r="C5582" s="572">
        <v>614.73599999999999</v>
      </c>
    </row>
    <row r="5583" spans="1:3">
      <c r="A5583" s="571" t="s">
        <v>312</v>
      </c>
      <c r="B5583" s="572">
        <v>0</v>
      </c>
      <c r="C5583" s="572">
        <v>2.2699999999999999E-13</v>
      </c>
    </row>
    <row r="5584" spans="1:3">
      <c r="A5584" s="571" t="s">
        <v>312</v>
      </c>
      <c r="B5584" s="572">
        <v>0.930423</v>
      </c>
      <c r="C5584" s="572">
        <v>57.433500000000002</v>
      </c>
    </row>
    <row r="5585" spans="1:3">
      <c r="A5585" s="571" t="s">
        <v>312</v>
      </c>
      <c r="B5585" s="572">
        <v>2.65909</v>
      </c>
      <c r="C5585" s="572">
        <v>161.364</v>
      </c>
    </row>
    <row r="5586" spans="1:3">
      <c r="A5586" s="571" t="s">
        <v>312</v>
      </c>
      <c r="B5586" s="572">
        <v>6.7987399999999996</v>
      </c>
      <c r="C5586" s="572">
        <v>344.67500000000001</v>
      </c>
    </row>
    <row r="5587" spans="1:3">
      <c r="A5587" s="571" t="s">
        <v>312</v>
      </c>
      <c r="B5587" s="572">
        <v>14.059699999999999</v>
      </c>
      <c r="C5587" s="572">
        <v>478.99599999999998</v>
      </c>
    </row>
    <row r="5588" spans="1:3">
      <c r="A5588" s="571" t="s">
        <v>312</v>
      </c>
      <c r="B5588" s="572">
        <v>27.954799999999999</v>
      </c>
      <c r="C5588" s="572">
        <v>567.27099999999996</v>
      </c>
    </row>
    <row r="5589" spans="1:3">
      <c r="A5589" s="571" t="s">
        <v>312</v>
      </c>
      <c r="B5589" s="572">
        <v>45.242199999999997</v>
      </c>
      <c r="C5589" s="572">
        <v>603.84</v>
      </c>
    </row>
    <row r="5590" spans="1:3">
      <c r="A5590" s="571" t="s">
        <v>312</v>
      </c>
      <c r="B5590" s="572">
        <v>60.645899999999997</v>
      </c>
      <c r="C5590" s="572">
        <v>610.24</v>
      </c>
    </row>
    <row r="5591" spans="1:3">
      <c r="A5591" s="571" t="s">
        <v>312</v>
      </c>
      <c r="B5591" s="572">
        <v>89.956400000000002</v>
      </c>
      <c r="C5591" s="572">
        <v>661.2</v>
      </c>
    </row>
    <row r="5592" spans="1:3">
      <c r="A5592" s="571" t="s">
        <v>1972</v>
      </c>
      <c r="B5592" s="572">
        <v>0.89182000000000006</v>
      </c>
      <c r="C5592" s="572">
        <v>6.9291200000000002</v>
      </c>
    </row>
    <row r="5593" spans="1:3">
      <c r="A5593" s="571" t="s">
        <v>1972</v>
      </c>
      <c r="B5593" s="572">
        <v>1.7200799999999998</v>
      </c>
      <c r="C5593" s="572">
        <v>16.2864</v>
      </c>
    </row>
    <row r="5594" spans="1:3">
      <c r="A5594" s="571" t="s">
        <v>1972</v>
      </c>
      <c r="B5594" s="572">
        <v>2.5483399999999996</v>
      </c>
      <c r="C5594" s="572">
        <v>25.643599999999999</v>
      </c>
    </row>
    <row r="5595" spans="1:3">
      <c r="A5595" s="571" t="s">
        <v>1972</v>
      </c>
      <c r="B5595" s="572">
        <v>3.5138999999999996</v>
      </c>
      <c r="C5595" s="572">
        <v>33.821800000000003</v>
      </c>
    </row>
    <row r="5596" spans="1:3">
      <c r="A5596" s="571" t="s">
        <v>1972</v>
      </c>
      <c r="B5596" s="572">
        <v>4.3421599999999998</v>
      </c>
      <c r="C5596" s="572">
        <v>43.179099999999998</v>
      </c>
    </row>
    <row r="5597" spans="1:3">
      <c r="A5597" s="571" t="s">
        <v>1972</v>
      </c>
      <c r="B5597" s="572">
        <v>5.3080400000000001</v>
      </c>
      <c r="C5597" s="572">
        <v>52.530999999999999</v>
      </c>
    </row>
    <row r="5598" spans="1:3">
      <c r="A5598" s="571" t="s">
        <v>1972</v>
      </c>
      <c r="B5598" s="572">
        <v>6.13598</v>
      </c>
      <c r="C5598" s="572">
        <v>60.714599999999997</v>
      </c>
    </row>
    <row r="5599" spans="1:3">
      <c r="A5599" s="571" t="s">
        <v>1972</v>
      </c>
      <c r="B5599" s="572">
        <v>7.1018500000000007</v>
      </c>
      <c r="C5599" s="572">
        <v>70.066400000000002</v>
      </c>
    </row>
    <row r="5600" spans="1:3">
      <c r="A5600" s="571" t="s">
        <v>1972</v>
      </c>
      <c r="B5600" s="572">
        <v>7.9297900000000006</v>
      </c>
      <c r="C5600" s="572">
        <v>78.25</v>
      </c>
    </row>
    <row r="5601" spans="1:3">
      <c r="A5601" s="571" t="s">
        <v>1972</v>
      </c>
      <c r="B5601" s="572">
        <v>8.8953000000000007</v>
      </c>
      <c r="C5601" s="572">
        <v>86.428200000000004</v>
      </c>
    </row>
    <row r="5602" spans="1:3">
      <c r="A5602" s="571" t="s">
        <v>1972</v>
      </c>
      <c r="B5602" s="572">
        <v>9.8612000000000002</v>
      </c>
      <c r="C5602" s="572">
        <v>95.780100000000004</v>
      </c>
    </row>
    <row r="5603" spans="1:3">
      <c r="A5603" s="571" t="s">
        <v>1972</v>
      </c>
      <c r="B5603" s="572">
        <v>10.8268</v>
      </c>
      <c r="C5603" s="572">
        <v>103.958</v>
      </c>
    </row>
    <row r="5604" spans="1:3">
      <c r="A5604" s="571" t="s">
        <v>1972</v>
      </c>
      <c r="B5604" s="572">
        <v>11.792299999999999</v>
      </c>
      <c r="C5604" s="572">
        <v>112.136</v>
      </c>
    </row>
    <row r="5605" spans="1:3">
      <c r="A5605" s="571" t="s">
        <v>1972</v>
      </c>
      <c r="B5605" s="572">
        <v>12.6203</v>
      </c>
      <c r="C5605" s="572">
        <v>120.32</v>
      </c>
    </row>
    <row r="5606" spans="1:3">
      <c r="A5606" s="571" t="s">
        <v>1972</v>
      </c>
      <c r="B5606" s="572">
        <v>13.723800000000001</v>
      </c>
      <c r="C5606" s="572">
        <v>129.667</v>
      </c>
    </row>
    <row r="5607" spans="1:3">
      <c r="A5607" s="571" t="s">
        <v>1972</v>
      </c>
      <c r="B5607" s="572">
        <v>14.689299999999999</v>
      </c>
      <c r="C5607" s="572">
        <v>137.845</v>
      </c>
    </row>
    <row r="5608" spans="1:3">
      <c r="A5608" s="571" t="s">
        <v>1972</v>
      </c>
      <c r="B5608" s="572">
        <v>15.654499999999999</v>
      </c>
      <c r="C5608" s="572">
        <v>144.84899999999999</v>
      </c>
    </row>
    <row r="5609" spans="1:3">
      <c r="A5609" s="571" t="s">
        <v>1972</v>
      </c>
      <c r="B5609" s="572">
        <v>16.620100000000001</v>
      </c>
      <c r="C5609" s="572">
        <v>153.02699999999999</v>
      </c>
    </row>
    <row r="5610" spans="1:3">
      <c r="A5610" s="571" t="s">
        <v>1972</v>
      </c>
      <c r="B5610" s="572">
        <v>17.585699999999999</v>
      </c>
      <c r="C5610" s="572">
        <v>161.20599999999999</v>
      </c>
    </row>
    <row r="5611" spans="1:3">
      <c r="A5611" s="571" t="s">
        <v>1972</v>
      </c>
      <c r="B5611" s="572">
        <v>18.551200000000001</v>
      </c>
      <c r="C5611" s="572">
        <v>169.38399999999999</v>
      </c>
    </row>
    <row r="5612" spans="1:3">
      <c r="A5612" s="571" t="s">
        <v>1972</v>
      </c>
      <c r="B5612" s="572">
        <v>19.6541</v>
      </c>
      <c r="C5612" s="572">
        <v>176.38300000000001</v>
      </c>
    </row>
    <row r="5613" spans="1:3">
      <c r="A5613" s="571" t="s">
        <v>1972</v>
      </c>
      <c r="B5613" s="572">
        <v>20.619599999999998</v>
      </c>
      <c r="C5613" s="572">
        <v>184.56100000000001</v>
      </c>
    </row>
    <row r="5614" spans="1:3">
      <c r="A5614" s="571" t="s">
        <v>1972</v>
      </c>
      <c r="B5614" s="572">
        <v>21.584800000000001</v>
      </c>
      <c r="C5614" s="572">
        <v>191.566</v>
      </c>
    </row>
    <row r="5615" spans="1:3">
      <c r="A5615" s="571" t="s">
        <v>1972</v>
      </c>
      <c r="B5615" s="572">
        <v>22.5504</v>
      </c>
      <c r="C5615" s="572">
        <v>199.744</v>
      </c>
    </row>
    <row r="5616" spans="1:3">
      <c r="A5616" s="571" t="s">
        <v>1972</v>
      </c>
      <c r="B5616" s="572">
        <v>23.653199999999998</v>
      </c>
      <c r="C5616" s="572">
        <v>206.74299999999999</v>
      </c>
    </row>
    <row r="5617" spans="1:3">
      <c r="A5617" s="571" t="s">
        <v>1972</v>
      </c>
      <c r="B5617" s="572">
        <v>24.6188</v>
      </c>
      <c r="C5617" s="572">
        <v>214.92099999999999</v>
      </c>
    </row>
    <row r="5618" spans="1:3">
      <c r="A5618" s="571" t="s">
        <v>1972</v>
      </c>
      <c r="B5618" s="572">
        <v>25.721599999999999</v>
      </c>
      <c r="C5618" s="572">
        <v>221.92</v>
      </c>
    </row>
    <row r="5619" spans="1:3">
      <c r="A5619" s="571" t="s">
        <v>1972</v>
      </c>
      <c r="B5619" s="572">
        <v>26.687200000000001</v>
      </c>
      <c r="C5619" s="572">
        <v>230.09800000000001</v>
      </c>
    </row>
    <row r="5620" spans="1:3">
      <c r="A5620" s="571" t="s">
        <v>1972</v>
      </c>
      <c r="B5620" s="572">
        <v>27.79</v>
      </c>
      <c r="C5620" s="572">
        <v>237.09700000000001</v>
      </c>
    </row>
    <row r="5621" spans="1:3">
      <c r="A5621" s="571" t="s">
        <v>1972</v>
      </c>
      <c r="B5621" s="572">
        <v>28.8932</v>
      </c>
      <c r="C5621" s="572">
        <v>245.27</v>
      </c>
    </row>
    <row r="5622" spans="1:3">
      <c r="A5622" s="571" t="s">
        <v>1972</v>
      </c>
      <c r="B5622" s="572">
        <v>29.8581</v>
      </c>
      <c r="C5622" s="572">
        <v>251.101</v>
      </c>
    </row>
    <row r="5623" spans="1:3">
      <c r="A5623" s="571" t="s">
        <v>1972</v>
      </c>
      <c r="B5623" s="572">
        <v>30.961300000000001</v>
      </c>
      <c r="C5623" s="572">
        <v>259.274</v>
      </c>
    </row>
    <row r="5624" spans="1:3">
      <c r="A5624" s="571" t="s">
        <v>1972</v>
      </c>
      <c r="B5624" s="572">
        <v>32.064100000000003</v>
      </c>
      <c r="C5624" s="572">
        <v>266.27300000000002</v>
      </c>
    </row>
    <row r="5625" spans="1:3">
      <c r="A5625" s="571" t="s">
        <v>1972</v>
      </c>
      <c r="B5625" s="572">
        <v>33.167000000000002</v>
      </c>
      <c r="C5625" s="572">
        <v>273.27199999999999</v>
      </c>
    </row>
    <row r="5626" spans="1:3">
      <c r="A5626" s="571" t="s">
        <v>1972</v>
      </c>
      <c r="B5626" s="572">
        <v>34.269500000000001</v>
      </c>
      <c r="C5626" s="572">
        <v>279.09699999999998</v>
      </c>
    </row>
    <row r="5627" spans="1:3">
      <c r="A5627" s="571" t="s">
        <v>1972</v>
      </c>
      <c r="B5627" s="572">
        <v>35.372300000000003</v>
      </c>
      <c r="C5627" s="572">
        <v>286.09699999999998</v>
      </c>
    </row>
    <row r="5628" spans="1:3">
      <c r="A5628" s="571" t="s">
        <v>1972</v>
      </c>
      <c r="B5628" s="572">
        <v>36.475200000000001</v>
      </c>
      <c r="C5628" s="572">
        <v>293.096</v>
      </c>
    </row>
    <row r="5629" spans="1:3">
      <c r="A5629" s="571" t="s">
        <v>1972</v>
      </c>
      <c r="B5629" s="572">
        <v>37.578000000000003</v>
      </c>
      <c r="C5629" s="572">
        <v>300.09500000000003</v>
      </c>
    </row>
    <row r="5630" spans="1:3">
      <c r="A5630" s="571" t="s">
        <v>1972</v>
      </c>
      <c r="B5630" s="572">
        <v>38.680500000000002</v>
      </c>
      <c r="C5630" s="572">
        <v>305.92</v>
      </c>
    </row>
    <row r="5631" spans="1:3">
      <c r="A5631" s="571" t="s">
        <v>1972</v>
      </c>
      <c r="B5631" s="572">
        <v>39.920699999999997</v>
      </c>
      <c r="C5631" s="572">
        <v>311.74</v>
      </c>
    </row>
    <row r="5632" spans="1:3">
      <c r="A5632" s="571" t="s">
        <v>1972</v>
      </c>
      <c r="B5632" s="572">
        <v>41.023499999999999</v>
      </c>
      <c r="C5632" s="572">
        <v>318.73899999999998</v>
      </c>
    </row>
    <row r="5633" spans="1:3">
      <c r="A5633" s="571" t="s">
        <v>1972</v>
      </c>
      <c r="B5633" s="572">
        <v>42.125999999999998</v>
      </c>
      <c r="C5633" s="572">
        <v>324.565</v>
      </c>
    </row>
    <row r="5634" spans="1:3">
      <c r="A5634" s="571" t="s">
        <v>1972</v>
      </c>
      <c r="B5634" s="572">
        <v>43.366199999999999</v>
      </c>
      <c r="C5634" s="572">
        <v>330.38499999999999</v>
      </c>
    </row>
    <row r="5635" spans="1:3">
      <c r="A5635" s="571" t="s">
        <v>1972</v>
      </c>
      <c r="B5635" s="572">
        <v>44.606299999999997</v>
      </c>
      <c r="C5635" s="572">
        <v>336.20499999999998</v>
      </c>
    </row>
    <row r="5636" spans="1:3">
      <c r="A5636" s="571" t="s">
        <v>1972</v>
      </c>
      <c r="B5636" s="572">
        <v>45.708799999999997</v>
      </c>
      <c r="C5636" s="572">
        <v>342.03</v>
      </c>
    </row>
    <row r="5637" spans="1:3">
      <c r="A5637" s="571" t="s">
        <v>1972</v>
      </c>
      <c r="B5637" s="572">
        <v>46.948900000000002</v>
      </c>
      <c r="C5637" s="572">
        <v>347.85</v>
      </c>
    </row>
    <row r="5638" spans="1:3">
      <c r="A5638" s="571" t="s">
        <v>1972</v>
      </c>
      <c r="B5638" s="572">
        <v>48.188800000000001</v>
      </c>
      <c r="C5638" s="572">
        <v>352.49700000000001</v>
      </c>
    </row>
    <row r="5639" spans="1:3">
      <c r="A5639" s="571" t="s">
        <v>1972</v>
      </c>
      <c r="B5639" s="572">
        <v>49.428899999999999</v>
      </c>
      <c r="C5639" s="572">
        <v>358.31700000000001</v>
      </c>
    </row>
    <row r="5640" spans="1:3">
      <c r="A5640" s="571" t="s">
        <v>1972</v>
      </c>
      <c r="B5640" s="572">
        <v>50.668700000000001</v>
      </c>
      <c r="C5640" s="572">
        <v>362.96300000000002</v>
      </c>
    </row>
    <row r="5641" spans="1:3">
      <c r="A5641" s="571" t="s">
        <v>1972</v>
      </c>
      <c r="B5641" s="572">
        <v>51.908799999999999</v>
      </c>
      <c r="C5641" s="572">
        <v>368.78300000000002</v>
      </c>
    </row>
    <row r="5642" spans="1:3">
      <c r="A5642" s="571" t="s">
        <v>1972</v>
      </c>
      <c r="B5642" s="572">
        <v>53.148699999999998</v>
      </c>
      <c r="C5642" s="572">
        <v>373.42899999999997</v>
      </c>
    </row>
    <row r="5643" spans="1:3">
      <c r="A5643" s="571" t="s">
        <v>1972</v>
      </c>
      <c r="B5643" s="572">
        <v>54.388500000000001</v>
      </c>
      <c r="C5643" s="572">
        <v>378.07600000000002</v>
      </c>
    </row>
    <row r="5644" spans="1:3">
      <c r="A5644" s="571" t="s">
        <v>1972</v>
      </c>
      <c r="B5644" s="572">
        <v>55.628300000000003</v>
      </c>
      <c r="C5644" s="572">
        <v>382.72199999999998</v>
      </c>
    </row>
    <row r="5645" spans="1:3">
      <c r="A5645" s="571" t="s">
        <v>1972</v>
      </c>
      <c r="B5645" s="572">
        <v>56.868099999999998</v>
      </c>
      <c r="C5645" s="572">
        <v>387.36799999999999</v>
      </c>
    </row>
    <row r="5646" spans="1:3">
      <c r="A5646" s="571" t="s">
        <v>1972</v>
      </c>
      <c r="B5646" s="572">
        <v>58.245199999999997</v>
      </c>
      <c r="C5646" s="572">
        <v>390.83499999999998</v>
      </c>
    </row>
    <row r="5647" spans="1:3">
      <c r="A5647" s="571" t="s">
        <v>1972</v>
      </c>
      <c r="B5647" s="572">
        <v>59.484699999999997</v>
      </c>
      <c r="C5647" s="572">
        <v>394.30799999999999</v>
      </c>
    </row>
    <row r="5648" spans="1:3">
      <c r="A5648" s="571" t="s">
        <v>1972</v>
      </c>
      <c r="B5648" s="572">
        <v>60.724499999999999</v>
      </c>
      <c r="C5648" s="572">
        <v>398.95400000000001</v>
      </c>
    </row>
    <row r="5649" spans="1:3">
      <c r="A5649" s="571" t="s">
        <v>1972</v>
      </c>
      <c r="B5649" s="572">
        <v>62.101299999999995</v>
      </c>
      <c r="C5649" s="572">
        <v>401.24799999999999</v>
      </c>
    </row>
    <row r="5650" spans="1:3">
      <c r="A5650" s="571" t="s">
        <v>1972</v>
      </c>
      <c r="B5650" s="572">
        <v>63.340699999999998</v>
      </c>
      <c r="C5650" s="572">
        <v>404.721</v>
      </c>
    </row>
    <row r="5651" spans="1:3">
      <c r="A5651" s="571" t="s">
        <v>1972</v>
      </c>
      <c r="B5651" s="572">
        <v>64.717799999999997</v>
      </c>
      <c r="C5651" s="572">
        <v>408.18799999999999</v>
      </c>
    </row>
    <row r="5652" spans="1:3">
      <c r="A5652" s="571" t="s">
        <v>1972</v>
      </c>
      <c r="B5652" s="572">
        <v>65.957300000000004</v>
      </c>
      <c r="C5652" s="572">
        <v>411.661</v>
      </c>
    </row>
    <row r="5653" spans="1:3">
      <c r="A5653" s="571" t="s">
        <v>1972</v>
      </c>
      <c r="B5653" s="572">
        <v>67.334100000000007</v>
      </c>
      <c r="C5653" s="572">
        <v>413.95400000000001</v>
      </c>
    </row>
    <row r="5654" spans="1:3">
      <c r="A5654" s="571" t="s">
        <v>1972</v>
      </c>
      <c r="B5654" s="572">
        <v>68.710899999999995</v>
      </c>
      <c r="C5654" s="572">
        <v>416.24799999999999</v>
      </c>
    </row>
    <row r="5655" spans="1:3">
      <c r="A5655" s="571" t="s">
        <v>1972</v>
      </c>
      <c r="B5655" s="572">
        <v>69.950400000000002</v>
      </c>
      <c r="C5655" s="572">
        <v>419.72</v>
      </c>
    </row>
    <row r="5656" spans="1:3">
      <c r="A5656" s="571" t="s">
        <v>1972</v>
      </c>
      <c r="B5656" s="572">
        <v>71.326800000000006</v>
      </c>
      <c r="C5656" s="572">
        <v>420.84</v>
      </c>
    </row>
    <row r="5657" spans="1:3">
      <c r="A5657" s="571" t="s">
        <v>1972</v>
      </c>
      <c r="B5657" s="572">
        <v>72.566000000000003</v>
      </c>
      <c r="C5657" s="572">
        <v>423.13900000000001</v>
      </c>
    </row>
    <row r="5658" spans="1:3">
      <c r="A5658" s="571" t="s">
        <v>1972</v>
      </c>
      <c r="B5658" s="572">
        <v>73.942499999999995</v>
      </c>
      <c r="C5658" s="572">
        <v>424.25900000000001</v>
      </c>
    </row>
    <row r="5659" spans="1:3">
      <c r="A5659" s="571" t="s">
        <v>1972</v>
      </c>
      <c r="B5659" s="572">
        <v>75.318899999999999</v>
      </c>
      <c r="C5659" s="572">
        <v>425.37900000000002</v>
      </c>
    </row>
    <row r="5660" spans="1:3">
      <c r="A5660" s="571" t="s">
        <v>1972</v>
      </c>
      <c r="B5660" s="572">
        <v>76.695400000000006</v>
      </c>
      <c r="C5660" s="572">
        <v>426.49900000000002</v>
      </c>
    </row>
    <row r="5661" spans="1:3">
      <c r="A5661" s="571" t="s">
        <v>1972</v>
      </c>
      <c r="B5661" s="572">
        <v>77.934200000000004</v>
      </c>
      <c r="C5661" s="572">
        <v>427.62400000000002</v>
      </c>
    </row>
    <row r="5662" spans="1:3">
      <c r="A5662" s="571" t="s">
        <v>1972</v>
      </c>
      <c r="B5662" s="572">
        <v>79.310699999999997</v>
      </c>
      <c r="C5662" s="572">
        <v>428.74400000000003</v>
      </c>
    </row>
    <row r="5663" spans="1:3">
      <c r="A5663" s="571" t="s">
        <v>1972</v>
      </c>
      <c r="B5663" s="572">
        <v>80.686800000000005</v>
      </c>
      <c r="C5663" s="572">
        <v>428.69</v>
      </c>
    </row>
    <row r="5664" spans="1:3">
      <c r="A5664" s="571" t="s">
        <v>1972</v>
      </c>
      <c r="B5664" s="572">
        <v>82.063299999999998</v>
      </c>
      <c r="C5664" s="572">
        <v>429.81</v>
      </c>
    </row>
    <row r="5665" spans="1:3">
      <c r="A5665" s="571" t="s">
        <v>1972</v>
      </c>
      <c r="B5665" s="572">
        <v>83.439400000000006</v>
      </c>
      <c r="C5665" s="572">
        <v>429.75599999999997</v>
      </c>
    </row>
    <row r="5666" spans="1:3">
      <c r="A5666" s="571" t="s">
        <v>1972</v>
      </c>
      <c r="B5666" s="572">
        <v>84.8155</v>
      </c>
      <c r="C5666" s="572">
        <v>429.702</v>
      </c>
    </row>
    <row r="5667" spans="1:3">
      <c r="A5667" s="571" t="s">
        <v>1972</v>
      </c>
      <c r="B5667" s="572">
        <v>86.191599999999994</v>
      </c>
      <c r="C5667" s="572">
        <v>429.64800000000002</v>
      </c>
    </row>
    <row r="5668" spans="1:3">
      <c r="A5668" s="571" t="s">
        <v>1972</v>
      </c>
      <c r="B5668" s="572">
        <v>87.292599999999993</v>
      </c>
      <c r="C5668" s="572">
        <v>429.60500000000002</v>
      </c>
    </row>
    <row r="5669" spans="1:3">
      <c r="A5669" s="571" t="s">
        <v>313</v>
      </c>
      <c r="B5669" s="572">
        <v>1.9077799999999999E-2</v>
      </c>
      <c r="C5669" s="572">
        <v>40.706099999999999</v>
      </c>
    </row>
    <row r="5670" spans="1:3">
      <c r="A5670" s="571" t="s">
        <v>313</v>
      </c>
      <c r="B5670" s="572">
        <v>0.33174199999999998</v>
      </c>
      <c r="C5670" s="572">
        <v>107.524</v>
      </c>
    </row>
    <row r="5671" spans="1:3">
      <c r="A5671" s="571" t="s">
        <v>313</v>
      </c>
      <c r="B5671" s="572">
        <v>0.51722100000000004</v>
      </c>
      <c r="C5671" s="572">
        <v>231.05500000000001</v>
      </c>
    </row>
    <row r="5672" spans="1:3">
      <c r="A5672" s="571" t="s">
        <v>313</v>
      </c>
      <c r="B5672" s="572">
        <v>1.7053499999999999</v>
      </c>
      <c r="C5672" s="572">
        <v>300.21699999999998</v>
      </c>
    </row>
    <row r="5673" spans="1:3">
      <c r="A5673" s="571" t="s">
        <v>313</v>
      </c>
      <c r="B5673" s="572">
        <v>4.8722700000000003</v>
      </c>
      <c r="C5673" s="572">
        <v>343.005</v>
      </c>
    </row>
    <row r="5674" spans="1:3">
      <c r="A5674" s="571" t="s">
        <v>313</v>
      </c>
      <c r="B5674" s="572">
        <v>9.3873499999999996</v>
      </c>
      <c r="C5674" s="572">
        <v>375.89699999999999</v>
      </c>
    </row>
    <row r="5675" spans="1:3">
      <c r="A5675" s="571" t="s">
        <v>313</v>
      </c>
      <c r="B5675" s="572">
        <v>15.249499999999999</v>
      </c>
      <c r="C5675" s="572">
        <v>395.59699999999998</v>
      </c>
    </row>
    <row r="5676" spans="1:3">
      <c r="A5676" s="571" t="s">
        <v>313</v>
      </c>
      <c r="B5676" s="572">
        <v>23.139299999999999</v>
      </c>
      <c r="C5676" s="572">
        <v>416.92200000000003</v>
      </c>
    </row>
    <row r="5677" spans="1:3">
      <c r="A5677" s="571" t="s">
        <v>313</v>
      </c>
      <c r="B5677" s="572">
        <v>30.802199999999999</v>
      </c>
      <c r="C5677" s="572">
        <v>433.30900000000003</v>
      </c>
    </row>
    <row r="5678" spans="1:3">
      <c r="A5678" s="571" t="s">
        <v>313</v>
      </c>
      <c r="B5678" s="572">
        <v>38.690399999999997</v>
      </c>
      <c r="C5678" s="572">
        <v>449.69299999999998</v>
      </c>
    </row>
    <row r="5679" spans="1:3">
      <c r="A5679" s="571" t="s">
        <v>313</v>
      </c>
      <c r="B5679" s="572">
        <v>47.703099999999999</v>
      </c>
      <c r="C5679" s="572">
        <v>461.12299999999999</v>
      </c>
    </row>
    <row r="5680" spans="1:3">
      <c r="A5680" s="571" t="s">
        <v>313</v>
      </c>
      <c r="B5680" s="572">
        <v>59.648400000000002</v>
      </c>
      <c r="C5680" s="572">
        <v>487.34500000000003</v>
      </c>
    </row>
    <row r="5681" spans="1:3">
      <c r="A5681" s="571" t="s">
        <v>313</v>
      </c>
      <c r="B5681" s="572">
        <v>71.140199999999993</v>
      </c>
      <c r="C5681" s="572">
        <v>503.68900000000002</v>
      </c>
    </row>
    <row r="5682" spans="1:3">
      <c r="A5682" s="571" t="s">
        <v>313</v>
      </c>
      <c r="B5682" s="572">
        <v>80.151300000000006</v>
      </c>
      <c r="C5682" s="572">
        <v>510.17899999999997</v>
      </c>
    </row>
    <row r="5683" spans="1:3">
      <c r="A5683" s="571" t="s">
        <v>313</v>
      </c>
      <c r="B5683" s="572">
        <v>92.766499999999994</v>
      </c>
      <c r="C5683" s="572">
        <v>518.27599999999995</v>
      </c>
    </row>
    <row r="5684" spans="1:3">
      <c r="A5684" s="573" t="s">
        <v>313</v>
      </c>
      <c r="B5684" s="574">
        <v>105.383</v>
      </c>
      <c r="C5684" s="574">
        <v>529.66600000000005</v>
      </c>
    </row>
    <row r="5685" spans="1:3">
      <c r="A5685" s="573" t="s">
        <v>313</v>
      </c>
      <c r="B5685" s="574">
        <v>117.09699999999999</v>
      </c>
      <c r="C5685" s="574">
        <v>537.77300000000002</v>
      </c>
    </row>
    <row r="5686" spans="1:3">
      <c r="A5686" s="573" t="s">
        <v>313</v>
      </c>
      <c r="B5686" s="574">
        <v>126.78400000000001</v>
      </c>
      <c r="C5686" s="574">
        <v>544.255</v>
      </c>
    </row>
    <row r="5687" spans="1:3">
      <c r="A5687" s="573" t="s">
        <v>313</v>
      </c>
      <c r="B5687" s="574">
        <v>134.893</v>
      </c>
      <c r="C5687" s="574">
        <v>547.46</v>
      </c>
    </row>
    <row r="5688" spans="1:3">
      <c r="A5688" s="573" t="s">
        <v>313</v>
      </c>
      <c r="B5688" s="574">
        <v>142.553</v>
      </c>
      <c r="C5688" s="574">
        <v>553.96400000000006</v>
      </c>
    </row>
    <row r="5689" spans="1:3">
      <c r="A5689" s="573" t="s">
        <v>313</v>
      </c>
      <c r="B5689" s="574">
        <v>149.536</v>
      </c>
      <c r="C5689" s="574">
        <v>557.18200000000002</v>
      </c>
    </row>
    <row r="5690" spans="1:3">
      <c r="A5690" s="48" t="s">
        <v>1973</v>
      </c>
      <c r="B5690" s="549">
        <v>-0.65106399999999998</v>
      </c>
      <c r="C5690" s="549">
        <v>17.4313</v>
      </c>
    </row>
    <row r="5691" spans="1:3">
      <c r="A5691" s="48" t="s">
        <v>1973</v>
      </c>
      <c r="B5691" s="549">
        <v>-0.40012199999999998</v>
      </c>
      <c r="C5691" s="549">
        <v>60.154699999999998</v>
      </c>
    </row>
    <row r="5692" spans="1:3">
      <c r="A5692" s="48" t="s">
        <v>1973</v>
      </c>
      <c r="B5692" s="549">
        <v>-0.14704900000000001</v>
      </c>
      <c r="C5692" s="549">
        <v>144.34399999999999</v>
      </c>
    </row>
    <row r="5693" spans="1:3">
      <c r="A5693" s="571" t="s">
        <v>1973</v>
      </c>
      <c r="B5693" s="572">
        <v>3.2579899999999999</v>
      </c>
      <c r="C5693" s="572">
        <v>195.411</v>
      </c>
    </row>
    <row r="5694" spans="1:3">
      <c r="A5694" s="571" t="s">
        <v>1973</v>
      </c>
      <c r="B5694" s="572">
        <v>9.5965399999999992</v>
      </c>
      <c r="C5694" s="572">
        <v>236.476</v>
      </c>
    </row>
    <row r="5695" spans="1:3">
      <c r="A5695" s="571" t="s">
        <v>1973</v>
      </c>
      <c r="B5695" s="572">
        <v>16.832799999999999</v>
      </c>
      <c r="C5695" s="572">
        <v>259.35000000000002</v>
      </c>
    </row>
    <row r="5696" spans="1:3">
      <c r="A5696" s="571" t="s">
        <v>1973</v>
      </c>
      <c r="B5696" s="572">
        <v>24.972200000000001</v>
      </c>
      <c r="C5696" s="572">
        <v>280.54300000000001</v>
      </c>
    </row>
    <row r="5697" spans="1:3">
      <c r="A5697" s="571" t="s">
        <v>1973</v>
      </c>
      <c r="B5697" s="572">
        <v>36.275799999999997</v>
      </c>
      <c r="C5697" s="572">
        <v>306.58499999999998</v>
      </c>
    </row>
    <row r="5698" spans="1:3">
      <c r="A5698" s="571" t="s">
        <v>1973</v>
      </c>
      <c r="B5698" s="572">
        <v>46.220199999999998</v>
      </c>
      <c r="C5698" s="572">
        <v>321.11500000000001</v>
      </c>
    </row>
    <row r="5699" spans="1:3">
      <c r="A5699" s="571" t="s">
        <v>1973</v>
      </c>
      <c r="B5699" s="572">
        <v>55.711799999999997</v>
      </c>
      <c r="C5699" s="572">
        <v>332.35899999999998</v>
      </c>
    </row>
    <row r="5700" spans="1:3">
      <c r="A5700" s="571" t="s">
        <v>1973</v>
      </c>
      <c r="B5700" s="572">
        <v>64.976399999999998</v>
      </c>
      <c r="C5700" s="572">
        <v>340.30700000000002</v>
      </c>
    </row>
    <row r="5701" spans="1:3">
      <c r="A5701" s="571" t="s">
        <v>1973</v>
      </c>
      <c r="B5701" s="572">
        <v>74.920299999999997</v>
      </c>
      <c r="C5701" s="572">
        <v>353.18700000000001</v>
      </c>
    </row>
    <row r="5702" spans="1:3">
      <c r="A5702" s="571" t="s">
        <v>1973</v>
      </c>
      <c r="B5702" s="572">
        <v>86.893600000000006</v>
      </c>
      <c r="C5702" s="572">
        <v>354.44200000000001</v>
      </c>
    </row>
    <row r="5703" spans="1:3">
      <c r="A5703" s="571" t="s">
        <v>1973</v>
      </c>
      <c r="B5703" s="572">
        <v>98.417299999999997</v>
      </c>
      <c r="C5703" s="572">
        <v>362.31599999999997</v>
      </c>
    </row>
    <row r="5704" spans="1:3">
      <c r="A5704" s="573" t="s">
        <v>1973</v>
      </c>
      <c r="B5704" s="574">
        <v>109.03700000000001</v>
      </c>
      <c r="C5704" s="574">
        <v>368.57</v>
      </c>
    </row>
    <row r="5705" spans="1:3">
      <c r="A5705" s="573" t="s">
        <v>1973</v>
      </c>
      <c r="B5705" s="574">
        <v>118.752</v>
      </c>
      <c r="C5705" s="574">
        <v>373.202</v>
      </c>
    </row>
    <row r="5706" spans="1:3">
      <c r="A5706" s="573" t="s">
        <v>1973</v>
      </c>
      <c r="B5706" s="574">
        <v>128.91900000000001</v>
      </c>
      <c r="C5706" s="574">
        <v>377.81900000000002</v>
      </c>
    </row>
    <row r="5707" spans="1:3">
      <c r="A5707" s="573" t="s">
        <v>1973</v>
      </c>
      <c r="B5707" s="574">
        <v>139.53700000000001</v>
      </c>
      <c r="C5707" s="574">
        <v>377.46800000000002</v>
      </c>
    </row>
    <row r="5708" spans="1:3">
      <c r="A5708" s="573" t="s">
        <v>1973</v>
      </c>
      <c r="B5708" s="574">
        <v>149.93</v>
      </c>
      <c r="C5708" s="574">
        <v>383.72899999999998</v>
      </c>
    </row>
    <row r="5709" spans="1:3">
      <c r="A5709" s="571" t="s">
        <v>1974</v>
      </c>
      <c r="B5709" s="572">
        <v>0.54256099999999996</v>
      </c>
      <c r="C5709" s="572">
        <v>5.1833999999999998</v>
      </c>
    </row>
    <row r="5710" spans="1:3">
      <c r="A5710" s="571" t="s">
        <v>1974</v>
      </c>
      <c r="B5710" s="572">
        <v>0.57743599999999995</v>
      </c>
      <c r="C5710" s="572">
        <v>95.016199999999998</v>
      </c>
    </row>
    <row r="5711" spans="1:3">
      <c r="A5711" s="571" t="s">
        <v>1974</v>
      </c>
      <c r="B5711" s="572">
        <v>0.68401299999999998</v>
      </c>
      <c r="C5711" s="572">
        <v>229.785</v>
      </c>
    </row>
    <row r="5712" spans="1:3">
      <c r="A5712" s="571" t="s">
        <v>1974</v>
      </c>
      <c r="B5712" s="572">
        <v>1.04447</v>
      </c>
      <c r="C5712" s="572">
        <v>319.73399999999998</v>
      </c>
    </row>
    <row r="5713" spans="1:3">
      <c r="A5713" s="571" t="s">
        <v>1974</v>
      </c>
      <c r="B5713" s="572">
        <v>1.47706</v>
      </c>
      <c r="C5713" s="572">
        <v>424.678</v>
      </c>
    </row>
    <row r="5714" spans="1:3">
      <c r="A5714" s="571" t="s">
        <v>1974</v>
      </c>
      <c r="B5714" s="572">
        <v>2.1273499999999999</v>
      </c>
      <c r="C5714" s="572">
        <v>484.79</v>
      </c>
    </row>
    <row r="5715" spans="1:3">
      <c r="A5715" s="571" t="s">
        <v>1974</v>
      </c>
      <c r="B5715" s="572">
        <v>2.9946299999999999</v>
      </c>
      <c r="C5715" s="572">
        <v>549.97</v>
      </c>
    </row>
    <row r="5716" spans="1:3">
      <c r="A5716" s="571" t="s">
        <v>1974</v>
      </c>
      <c r="B5716" s="572">
        <v>3.75352</v>
      </c>
      <c r="C5716" s="572">
        <v>605.13</v>
      </c>
    </row>
    <row r="5717" spans="1:3">
      <c r="A5717" s="571" t="s">
        <v>1974</v>
      </c>
      <c r="B5717" s="572">
        <v>4.6934300000000002</v>
      </c>
      <c r="C5717" s="572">
        <v>650.375</v>
      </c>
    </row>
    <row r="5718" spans="1:3">
      <c r="A5718" s="571" t="s">
        <v>1974</v>
      </c>
      <c r="B5718" s="572">
        <v>5.7419399999999996</v>
      </c>
      <c r="C5718" s="572">
        <v>690.66899999999998</v>
      </c>
    </row>
    <row r="5719" spans="1:3">
      <c r="A5719" s="571" t="s">
        <v>1974</v>
      </c>
      <c r="B5719" s="572">
        <v>6.8987699999999998</v>
      </c>
      <c r="C5719" s="572">
        <v>745.97199999999998</v>
      </c>
    </row>
    <row r="5720" spans="1:3">
      <c r="A5720" s="571" t="s">
        <v>1974</v>
      </c>
      <c r="B5720" s="572">
        <v>8.0918399999999995</v>
      </c>
      <c r="C5720" s="572">
        <v>796.29700000000003</v>
      </c>
    </row>
    <row r="5721" spans="1:3">
      <c r="A5721" s="571" t="s">
        <v>1974</v>
      </c>
      <c r="B5721" s="572">
        <v>9.3933599999999995</v>
      </c>
      <c r="C5721" s="572">
        <v>851.65099999999995</v>
      </c>
    </row>
    <row r="5722" spans="1:3">
      <c r="A5722" s="571" t="s">
        <v>1974</v>
      </c>
      <c r="B5722" s="572">
        <v>10.4057</v>
      </c>
      <c r="C5722" s="572">
        <v>891.93200000000002</v>
      </c>
    </row>
    <row r="5723" spans="1:3">
      <c r="A5723" s="571" t="s">
        <v>1974</v>
      </c>
      <c r="B5723" s="572">
        <v>11.671099999999999</v>
      </c>
      <c r="C5723" s="572">
        <v>942.28399999999999</v>
      </c>
    </row>
    <row r="5724" spans="1:3">
      <c r="A5724" s="571" t="s">
        <v>1974</v>
      </c>
      <c r="B5724" s="572">
        <v>12.755699999999999</v>
      </c>
      <c r="C5724" s="572">
        <v>992.57</v>
      </c>
    </row>
    <row r="5725" spans="1:3">
      <c r="A5725" s="571" t="s">
        <v>1974</v>
      </c>
      <c r="B5725" s="572">
        <v>13.9489</v>
      </c>
      <c r="C5725" s="572">
        <v>1032.92</v>
      </c>
    </row>
    <row r="5726" spans="1:3">
      <c r="A5726" s="571" t="s">
        <v>1974</v>
      </c>
      <c r="B5726" s="572">
        <v>15.069699999999999</v>
      </c>
      <c r="C5726" s="572">
        <v>1078.23</v>
      </c>
    </row>
    <row r="5727" spans="1:3">
      <c r="A5727" s="571" t="s">
        <v>1974</v>
      </c>
      <c r="B5727" s="572">
        <v>16.262899999999998</v>
      </c>
      <c r="C5727" s="572">
        <v>1118.57</v>
      </c>
    </row>
    <row r="5728" spans="1:3">
      <c r="A5728" s="571" t="s">
        <v>1974</v>
      </c>
      <c r="B5728" s="572">
        <v>17.528400000000001</v>
      </c>
      <c r="C5728" s="572">
        <v>1163.93</v>
      </c>
    </row>
    <row r="5729" spans="1:3">
      <c r="A5729" s="571" t="s">
        <v>1974</v>
      </c>
      <c r="B5729" s="572">
        <v>18.613199999999999</v>
      </c>
      <c r="C5729" s="572">
        <v>1194.26</v>
      </c>
    </row>
    <row r="5730" spans="1:3">
      <c r="A5730" s="571" t="s">
        <v>1974</v>
      </c>
      <c r="B5730" s="572">
        <v>19.625800000000002</v>
      </c>
      <c r="C5730" s="572">
        <v>1219.57</v>
      </c>
    </row>
    <row r="5731" spans="1:3">
      <c r="A5731" s="571" t="s">
        <v>1974</v>
      </c>
      <c r="B5731" s="572">
        <v>20.746700000000001</v>
      </c>
      <c r="C5731" s="572">
        <v>1254.9000000000001</v>
      </c>
    </row>
    <row r="5732" spans="1:3">
      <c r="A5732" s="571" t="s">
        <v>1974</v>
      </c>
      <c r="B5732" s="572">
        <v>21.722899999999999</v>
      </c>
      <c r="C5732" s="572">
        <v>1290.18</v>
      </c>
    </row>
    <row r="5733" spans="1:3">
      <c r="A5733" s="571" t="s">
        <v>1974</v>
      </c>
      <c r="B5733" s="572">
        <v>22.844000000000001</v>
      </c>
      <c r="C5733" s="572">
        <v>1315.53</v>
      </c>
    </row>
    <row r="5734" spans="1:3">
      <c r="A5734" s="571" t="s">
        <v>1974</v>
      </c>
      <c r="B5734" s="572">
        <v>23.928899999999999</v>
      </c>
      <c r="C5734" s="572">
        <v>1340.86</v>
      </c>
    </row>
    <row r="5735" spans="1:3">
      <c r="A5735" s="571" t="s">
        <v>1974</v>
      </c>
      <c r="B5735" s="572">
        <v>25.05</v>
      </c>
      <c r="C5735" s="572">
        <v>1366.21</v>
      </c>
    </row>
    <row r="5736" spans="1:3">
      <c r="A5736" s="571" t="s">
        <v>1974</v>
      </c>
      <c r="B5736" s="572">
        <v>26.2073</v>
      </c>
      <c r="C5736" s="572">
        <v>1391.58</v>
      </c>
    </row>
    <row r="5737" spans="1:3">
      <c r="A5737" s="571" t="s">
        <v>1974</v>
      </c>
      <c r="B5737" s="572">
        <v>27.256</v>
      </c>
      <c r="C5737" s="572">
        <v>1416.9</v>
      </c>
    </row>
    <row r="5738" spans="1:3">
      <c r="A5738" s="571" t="s">
        <v>1974</v>
      </c>
      <c r="B5738" s="572">
        <v>28.4132</v>
      </c>
      <c r="C5738" s="572">
        <v>1447.25</v>
      </c>
    </row>
    <row r="5739" spans="1:3">
      <c r="A5739" s="571" t="s">
        <v>1974</v>
      </c>
      <c r="B5739" s="572">
        <v>29.570499999999999</v>
      </c>
      <c r="C5739" s="572">
        <v>1467.63</v>
      </c>
    </row>
    <row r="5740" spans="1:3">
      <c r="A5740" s="571" t="s">
        <v>1974</v>
      </c>
      <c r="B5740" s="572">
        <v>29.932099999999998</v>
      </c>
      <c r="C5740" s="572">
        <v>1477.73</v>
      </c>
    </row>
    <row r="5741" spans="1:3">
      <c r="A5741" s="571" t="s">
        <v>1975</v>
      </c>
      <c r="B5741" s="572">
        <v>0.65208100000000002</v>
      </c>
      <c r="C5741" s="572">
        <v>5.2328900000000003</v>
      </c>
    </row>
    <row r="5742" spans="1:3">
      <c r="A5742" s="571" t="s">
        <v>1975</v>
      </c>
      <c r="B5742" s="572">
        <v>0.72619299999999998</v>
      </c>
      <c r="C5742" s="572">
        <v>120.259</v>
      </c>
    </row>
    <row r="5743" spans="1:3">
      <c r="A5743" s="571" t="s">
        <v>1975</v>
      </c>
      <c r="B5743" s="572">
        <v>0.76408200000000004</v>
      </c>
      <c r="C5743" s="572">
        <v>235.273</v>
      </c>
    </row>
    <row r="5744" spans="1:3">
      <c r="A5744" s="571" t="s">
        <v>1975</v>
      </c>
      <c r="B5744" s="572">
        <v>1.09161</v>
      </c>
      <c r="C5744" s="572">
        <v>340.39</v>
      </c>
    </row>
    <row r="5745" spans="1:3">
      <c r="A5745" s="571" t="s">
        <v>1975</v>
      </c>
      <c r="B5745" s="572">
        <v>1.49129</v>
      </c>
      <c r="C5745" s="572">
        <v>425.53300000000002</v>
      </c>
    </row>
    <row r="5746" spans="1:3">
      <c r="A5746" s="571" t="s">
        <v>1975</v>
      </c>
      <c r="B5746" s="572">
        <v>2.0720800000000001</v>
      </c>
      <c r="C5746" s="572">
        <v>510.74</v>
      </c>
    </row>
    <row r="5747" spans="1:3">
      <c r="A5747" s="571" t="s">
        <v>1975</v>
      </c>
      <c r="B5747" s="572">
        <v>2.7614700000000001</v>
      </c>
      <c r="C5747" s="572">
        <v>590.98599999999999</v>
      </c>
    </row>
    <row r="5748" spans="1:3">
      <c r="A5748" s="571" t="s">
        <v>1975</v>
      </c>
      <c r="B5748" s="572">
        <v>3.63198</v>
      </c>
      <c r="C5748" s="572">
        <v>671.29700000000003</v>
      </c>
    </row>
    <row r="5749" spans="1:3">
      <c r="A5749" s="571" t="s">
        <v>1975</v>
      </c>
      <c r="B5749" s="572">
        <v>4.5025500000000003</v>
      </c>
      <c r="C5749" s="572">
        <v>756.60799999999995</v>
      </c>
    </row>
    <row r="5750" spans="1:3">
      <c r="A5750" s="571" t="s">
        <v>1975</v>
      </c>
      <c r="B5750" s="572">
        <v>5.2644599999999997</v>
      </c>
      <c r="C5750" s="572">
        <v>841.88</v>
      </c>
    </row>
    <row r="5751" spans="1:3">
      <c r="A5751" s="571" t="s">
        <v>1975</v>
      </c>
      <c r="B5751" s="572">
        <v>6.13497</v>
      </c>
      <c r="C5751" s="572">
        <v>922.19100000000003</v>
      </c>
    </row>
    <row r="5752" spans="1:3">
      <c r="A5752" s="571" t="s">
        <v>1975</v>
      </c>
      <c r="B5752" s="572">
        <v>6.8967299999999998</v>
      </c>
      <c r="C5752" s="572">
        <v>997.46299999999997</v>
      </c>
    </row>
    <row r="5753" spans="1:3">
      <c r="A5753" s="571" t="s">
        <v>1975</v>
      </c>
      <c r="B5753" s="572">
        <v>7.7670899999999996</v>
      </c>
      <c r="C5753" s="572">
        <v>1067.77</v>
      </c>
    </row>
    <row r="5754" spans="1:3">
      <c r="A5754" s="571" t="s">
        <v>1975</v>
      </c>
      <c r="B5754" s="572">
        <v>8.6373700000000007</v>
      </c>
      <c r="C5754" s="572">
        <v>1133.08</v>
      </c>
    </row>
    <row r="5755" spans="1:3">
      <c r="A5755" s="571" t="s">
        <v>1975</v>
      </c>
      <c r="B5755" s="572">
        <v>9.4352199999999993</v>
      </c>
      <c r="C5755" s="572">
        <v>1198.3699999999999</v>
      </c>
    </row>
    <row r="5756" spans="1:3">
      <c r="A5756" s="571" t="s">
        <v>1975</v>
      </c>
      <c r="B5756" s="572">
        <v>10.3416</v>
      </c>
      <c r="C5756" s="572">
        <v>1253.69</v>
      </c>
    </row>
    <row r="5757" spans="1:3">
      <c r="A5757" s="571" t="s">
        <v>1975</v>
      </c>
      <c r="B5757" s="572">
        <v>11.320499999999999</v>
      </c>
      <c r="C5757" s="572">
        <v>1314.04</v>
      </c>
    </row>
    <row r="5758" spans="1:3">
      <c r="A5758" s="571" t="s">
        <v>1975</v>
      </c>
      <c r="B5758" s="572">
        <v>12.299300000000001</v>
      </c>
      <c r="C5758" s="572">
        <v>1369.39</v>
      </c>
    </row>
    <row r="5759" spans="1:3">
      <c r="A5759" s="571" t="s">
        <v>1975</v>
      </c>
      <c r="B5759" s="572">
        <v>13.3505</v>
      </c>
      <c r="C5759" s="572">
        <v>1424.77</v>
      </c>
    </row>
    <row r="5760" spans="1:3">
      <c r="A5760" s="571" t="s">
        <v>1975</v>
      </c>
      <c r="B5760" s="572">
        <v>14.474</v>
      </c>
      <c r="C5760" s="572">
        <v>1465.17</v>
      </c>
    </row>
    <row r="5761" spans="1:3">
      <c r="A5761" s="571" t="s">
        <v>1975</v>
      </c>
      <c r="B5761" s="572">
        <v>15.7788</v>
      </c>
      <c r="C5761" s="572">
        <v>1520.64</v>
      </c>
    </row>
    <row r="5762" spans="1:3">
      <c r="A5762" s="571" t="s">
        <v>1975</v>
      </c>
      <c r="B5762" s="572">
        <v>16.829799999999999</v>
      </c>
      <c r="C5762" s="572">
        <v>1556.01</v>
      </c>
    </row>
    <row r="5763" spans="1:3">
      <c r="A5763" s="571" t="s">
        <v>1975</v>
      </c>
      <c r="B5763" s="572">
        <v>18.025700000000001</v>
      </c>
      <c r="C5763" s="572">
        <v>1596.44</v>
      </c>
    </row>
    <row r="5764" spans="1:3">
      <c r="A5764" s="571" t="s">
        <v>1975</v>
      </c>
      <c r="B5764" s="572">
        <v>19.221499999999999</v>
      </c>
      <c r="C5764" s="572">
        <v>1626.86</v>
      </c>
    </row>
    <row r="5765" spans="1:3">
      <c r="A5765" s="571" t="s">
        <v>1975</v>
      </c>
      <c r="B5765" s="572">
        <v>20.344799999999999</v>
      </c>
      <c r="C5765" s="572">
        <v>1657.27</v>
      </c>
    </row>
    <row r="5766" spans="1:3">
      <c r="A5766" s="571" t="s">
        <v>1975</v>
      </c>
      <c r="B5766" s="572">
        <v>21.359500000000001</v>
      </c>
      <c r="C5766" s="572">
        <v>1687.63</v>
      </c>
    </row>
    <row r="5767" spans="1:3">
      <c r="A5767" s="571" t="s">
        <v>1975</v>
      </c>
      <c r="B5767" s="572">
        <v>22.410299999999999</v>
      </c>
      <c r="C5767" s="572">
        <v>1708</v>
      </c>
    </row>
    <row r="5768" spans="1:3">
      <c r="A5768" s="571" t="s">
        <v>1975</v>
      </c>
      <c r="B5768" s="572">
        <v>23.3886</v>
      </c>
      <c r="C5768" s="572">
        <v>1728.35</v>
      </c>
    </row>
    <row r="5769" spans="1:3">
      <c r="A5769" s="571" t="s">
        <v>1975</v>
      </c>
      <c r="B5769" s="572">
        <v>24.439299999999999</v>
      </c>
      <c r="C5769" s="572">
        <v>1748.73</v>
      </c>
    </row>
    <row r="5770" spans="1:3">
      <c r="A5770" s="571" t="s">
        <v>1975</v>
      </c>
      <c r="B5770" s="572">
        <v>25.453800000000001</v>
      </c>
      <c r="C5770" s="572">
        <v>1764.09</v>
      </c>
    </row>
    <row r="5771" spans="1:3">
      <c r="A5771" s="571" t="s">
        <v>1975</v>
      </c>
      <c r="B5771" s="572">
        <v>26.432099999999998</v>
      </c>
      <c r="C5771" s="572">
        <v>1784.44</v>
      </c>
    </row>
    <row r="5772" spans="1:3">
      <c r="A5772" s="571" t="s">
        <v>1975</v>
      </c>
      <c r="B5772" s="572">
        <v>27.555199999999999</v>
      </c>
      <c r="C5772" s="572">
        <v>1799.84</v>
      </c>
    </row>
    <row r="5773" spans="1:3">
      <c r="A5773" s="571" t="s">
        <v>1975</v>
      </c>
      <c r="B5773" s="572">
        <v>28.605899999999998</v>
      </c>
      <c r="C5773" s="572">
        <v>1815.22</v>
      </c>
    </row>
    <row r="5774" spans="1:3">
      <c r="A5774" s="571" t="s">
        <v>1975</v>
      </c>
      <c r="B5774" s="572">
        <v>29.547799999999999</v>
      </c>
      <c r="C5774" s="572">
        <v>1825.55</v>
      </c>
    </row>
    <row r="5775" spans="1:3">
      <c r="A5775" s="571" t="s">
        <v>1975</v>
      </c>
      <c r="B5775" s="572">
        <v>29.982500000000002</v>
      </c>
      <c r="C5775" s="572">
        <v>1830.71</v>
      </c>
    </row>
    <row r="5776" spans="1:3">
      <c r="A5776" s="571" t="s">
        <v>1976</v>
      </c>
      <c r="B5776" s="572">
        <v>0.14489099999999999</v>
      </c>
      <c r="C5776" s="572">
        <v>5.17467E-2</v>
      </c>
    </row>
    <row r="5777" spans="1:3">
      <c r="A5777" s="571" t="s">
        <v>1976</v>
      </c>
      <c r="B5777" s="572">
        <v>0.29210000000000003</v>
      </c>
      <c r="C5777" s="572">
        <v>160.10400000000001</v>
      </c>
    </row>
    <row r="5778" spans="1:3">
      <c r="A5778" s="571" t="s">
        <v>1976</v>
      </c>
      <c r="B5778" s="572">
        <v>0.51189899999999999</v>
      </c>
      <c r="C5778" s="572">
        <v>330.18299999999999</v>
      </c>
    </row>
    <row r="5779" spans="1:3">
      <c r="A5779" s="571" t="s">
        <v>1976</v>
      </c>
      <c r="B5779" s="572">
        <v>0.84036699999999998</v>
      </c>
      <c r="C5779" s="572">
        <v>500.3</v>
      </c>
    </row>
    <row r="5780" spans="1:3">
      <c r="A5780" s="571" t="s">
        <v>1976</v>
      </c>
      <c r="B5780" s="572">
        <v>1.16876</v>
      </c>
      <c r="C5780" s="572">
        <v>665.41700000000003</v>
      </c>
    </row>
    <row r="5781" spans="1:3">
      <c r="A5781" s="571" t="s">
        <v>1976</v>
      </c>
      <c r="B5781" s="572">
        <v>1.46072</v>
      </c>
      <c r="C5781" s="572">
        <v>815.52200000000005</v>
      </c>
    </row>
    <row r="5782" spans="1:3">
      <c r="A5782" s="571" t="s">
        <v>1976</v>
      </c>
      <c r="B5782" s="572">
        <v>1.86148</v>
      </c>
      <c r="C5782" s="572">
        <v>975.66499999999996</v>
      </c>
    </row>
    <row r="5783" spans="1:3">
      <c r="A5783" s="571" t="s">
        <v>1976</v>
      </c>
      <c r="B5783" s="572">
        <v>2.3348399999999998</v>
      </c>
      <c r="C5783" s="572">
        <v>1145.83</v>
      </c>
    </row>
    <row r="5784" spans="1:3">
      <c r="A5784" s="571" t="s">
        <v>1976</v>
      </c>
      <c r="B5784" s="572">
        <v>2.7719100000000001</v>
      </c>
      <c r="C5784" s="572">
        <v>1310.99</v>
      </c>
    </row>
    <row r="5785" spans="1:3">
      <c r="A5785" s="571" t="s">
        <v>1976</v>
      </c>
      <c r="B5785" s="572">
        <v>3.3900800000000002</v>
      </c>
      <c r="C5785" s="572">
        <v>1476.21</v>
      </c>
    </row>
    <row r="5786" spans="1:3">
      <c r="A5786" s="571" t="s">
        <v>1976</v>
      </c>
      <c r="B5786" s="572">
        <v>4.00739</v>
      </c>
      <c r="C5786" s="572">
        <v>1581.43</v>
      </c>
    </row>
    <row r="5787" spans="1:3">
      <c r="A5787" s="571" t="s">
        <v>1976</v>
      </c>
      <c r="B5787" s="572">
        <v>4.58833</v>
      </c>
      <c r="C5787" s="572">
        <v>1676.64</v>
      </c>
    </row>
    <row r="5788" spans="1:3">
      <c r="A5788" s="571" t="s">
        <v>1976</v>
      </c>
      <c r="B5788" s="572">
        <v>5.3504500000000004</v>
      </c>
      <c r="C5788" s="572">
        <v>1776.91</v>
      </c>
    </row>
    <row r="5789" spans="1:3">
      <c r="A5789" s="571" t="s">
        <v>1976</v>
      </c>
      <c r="B5789" s="572">
        <v>6.2211800000000004</v>
      </c>
      <c r="C5789" s="572">
        <v>1872.22</v>
      </c>
    </row>
    <row r="5790" spans="1:3">
      <c r="A5790" s="571" t="s">
        <v>1976</v>
      </c>
      <c r="B5790" s="572">
        <v>7.0190900000000003</v>
      </c>
      <c r="C5790" s="572">
        <v>1942.51</v>
      </c>
    </row>
    <row r="5791" spans="1:3">
      <c r="A5791" s="571" t="s">
        <v>1976</v>
      </c>
      <c r="B5791" s="572">
        <v>7.9256000000000002</v>
      </c>
      <c r="C5791" s="572">
        <v>2007.83</v>
      </c>
    </row>
    <row r="5792" spans="1:3">
      <c r="A5792" s="571" t="s">
        <v>1976</v>
      </c>
      <c r="B5792" s="572">
        <v>8.9044100000000004</v>
      </c>
      <c r="C5792" s="572">
        <v>2063.1799999999998</v>
      </c>
    </row>
    <row r="5793" spans="1:3">
      <c r="A5793" s="571" t="s">
        <v>1976</v>
      </c>
      <c r="B5793" s="572">
        <v>9.8107000000000006</v>
      </c>
      <c r="C5793" s="572">
        <v>2113.5</v>
      </c>
    </row>
    <row r="5794" spans="1:3">
      <c r="A5794" s="571" t="s">
        <v>1976</v>
      </c>
      <c r="B5794" s="572">
        <v>10.862</v>
      </c>
      <c r="C5794" s="572">
        <v>2173.88</v>
      </c>
    </row>
    <row r="5795" spans="1:3">
      <c r="A5795" s="571" t="s">
        <v>1976</v>
      </c>
      <c r="B5795" s="572">
        <v>11.7681</v>
      </c>
      <c r="C5795" s="572">
        <v>2209.1999999999998</v>
      </c>
    </row>
    <row r="5796" spans="1:3">
      <c r="A5796" s="571" t="s">
        <v>1976</v>
      </c>
      <c r="B5796" s="572">
        <v>12.819000000000001</v>
      </c>
      <c r="C5796" s="572">
        <v>2239.58</v>
      </c>
    </row>
    <row r="5797" spans="1:3">
      <c r="A5797" s="571" t="s">
        <v>1976</v>
      </c>
      <c r="B5797" s="572">
        <v>13.543799999999999</v>
      </c>
      <c r="C5797" s="572">
        <v>2264.84</v>
      </c>
    </row>
    <row r="5798" spans="1:3">
      <c r="A5798" s="571" t="s">
        <v>1976</v>
      </c>
      <c r="B5798" s="572">
        <v>13.9062</v>
      </c>
      <c r="C5798" s="572">
        <v>2274.9699999999998</v>
      </c>
    </row>
    <row r="5799" spans="1:3">
      <c r="A5799" s="571" t="s">
        <v>1977</v>
      </c>
      <c r="B5799" s="572">
        <v>0.32592900000000002</v>
      </c>
      <c r="C5799" s="572">
        <v>5.0582000000000003</v>
      </c>
    </row>
    <row r="5800" spans="1:3">
      <c r="A5800" s="571" t="s">
        <v>1977</v>
      </c>
      <c r="B5800" s="572">
        <v>0.36041299999999998</v>
      </c>
      <c r="C5800" s="572">
        <v>125.06399999999999</v>
      </c>
    </row>
    <row r="5801" spans="1:3">
      <c r="A5801" s="571" t="s">
        <v>1977</v>
      </c>
      <c r="B5801" s="572">
        <v>0.50283999999999995</v>
      </c>
      <c r="C5801" s="572">
        <v>295.08999999999997</v>
      </c>
    </row>
    <row r="5802" spans="1:3">
      <c r="A5802" s="571" t="s">
        <v>1977</v>
      </c>
      <c r="B5802" s="572">
        <v>0.60875400000000002</v>
      </c>
      <c r="C5802" s="572">
        <v>485.10899999999998</v>
      </c>
    </row>
    <row r="5803" spans="1:3">
      <c r="A5803" s="571" t="s">
        <v>1977</v>
      </c>
      <c r="B5803" s="572">
        <v>0.75139800000000001</v>
      </c>
      <c r="C5803" s="572">
        <v>640.13400000000001</v>
      </c>
    </row>
    <row r="5804" spans="1:3">
      <c r="A5804" s="571" t="s">
        <v>1977</v>
      </c>
      <c r="B5804" s="572">
        <v>0.85767400000000005</v>
      </c>
      <c r="C5804" s="572">
        <v>805.15300000000002</v>
      </c>
    </row>
    <row r="5805" spans="1:3">
      <c r="A5805" s="571" t="s">
        <v>1977</v>
      </c>
      <c r="B5805" s="572">
        <v>1.0726199999999999</v>
      </c>
      <c r="C5805" s="572">
        <v>970.19200000000001</v>
      </c>
    </row>
    <row r="5806" spans="1:3">
      <c r="A5806" s="571" t="s">
        <v>1977</v>
      </c>
      <c r="B5806" s="572">
        <v>1.1790400000000001</v>
      </c>
      <c r="C5806" s="572">
        <v>1125.21</v>
      </c>
    </row>
    <row r="5807" spans="1:3">
      <c r="A5807" s="571" t="s">
        <v>1977</v>
      </c>
      <c r="B5807" s="572">
        <v>1.53887</v>
      </c>
      <c r="C5807" s="572">
        <v>1290.27</v>
      </c>
    </row>
    <row r="5808" spans="1:3">
      <c r="A5808" s="571" t="s">
        <v>1977</v>
      </c>
      <c r="B5808" s="572">
        <v>1.899</v>
      </c>
      <c r="C5808" s="572">
        <v>1435.34</v>
      </c>
    </row>
    <row r="5809" spans="1:3">
      <c r="A5809" s="571" t="s">
        <v>1977</v>
      </c>
      <c r="B5809" s="572">
        <v>2.43994</v>
      </c>
      <c r="C5809" s="572">
        <v>1600.44</v>
      </c>
    </row>
    <row r="5810" spans="1:3">
      <c r="A5810" s="571" t="s">
        <v>1977</v>
      </c>
      <c r="B5810" s="572">
        <v>2.98176</v>
      </c>
      <c r="C5810" s="572">
        <v>1705.53</v>
      </c>
    </row>
    <row r="5811" spans="1:3">
      <c r="A5811" s="571" t="s">
        <v>1977</v>
      </c>
      <c r="B5811" s="572">
        <v>3.66839</v>
      </c>
      <c r="C5811" s="572">
        <v>1815.66</v>
      </c>
    </row>
    <row r="5812" spans="1:3">
      <c r="A5812" s="571" t="s">
        <v>1977</v>
      </c>
      <c r="B5812" s="572">
        <v>4.4276799999999996</v>
      </c>
      <c r="C5812" s="572">
        <v>1910.79</v>
      </c>
    </row>
    <row r="5813" spans="1:3">
      <c r="A5813" s="571" t="s">
        <v>1977</v>
      </c>
      <c r="B5813" s="572">
        <v>5.3320800000000004</v>
      </c>
      <c r="C5813" s="572">
        <v>1990.95</v>
      </c>
    </row>
    <row r="5814" spans="1:3">
      <c r="A5814" s="571" t="s">
        <v>1977</v>
      </c>
      <c r="B5814" s="572">
        <v>6.1641899999999996</v>
      </c>
      <c r="C5814" s="572">
        <v>2061.1</v>
      </c>
    </row>
    <row r="5815" spans="1:3">
      <c r="A5815" s="571" t="s">
        <v>1977</v>
      </c>
      <c r="B5815" s="572">
        <v>7.1773999999999996</v>
      </c>
      <c r="C5815" s="572">
        <v>2131.2800000000002</v>
      </c>
    </row>
    <row r="5816" spans="1:3">
      <c r="A5816" s="571" t="s">
        <v>1977</v>
      </c>
      <c r="B5816" s="572">
        <v>8.1185299999999998</v>
      </c>
      <c r="C5816" s="572">
        <v>2176.4499999999998</v>
      </c>
    </row>
    <row r="5817" spans="1:3">
      <c r="A5817" s="571" t="s">
        <v>1977</v>
      </c>
      <c r="B5817" s="572">
        <v>9.0958799999999993</v>
      </c>
      <c r="C5817" s="572">
        <v>2221.62</v>
      </c>
    </row>
    <row r="5818" spans="1:3">
      <c r="A5818" s="571" t="s">
        <v>1977</v>
      </c>
      <c r="B5818" s="572">
        <v>10.182</v>
      </c>
      <c r="C5818" s="572">
        <v>2261.8200000000002</v>
      </c>
    </row>
    <row r="5819" spans="1:3">
      <c r="A5819" s="571" t="s">
        <v>314</v>
      </c>
      <c r="B5819" s="572">
        <v>1.1397200000000001</v>
      </c>
      <c r="C5819" s="572">
        <v>8.1521699999999999</v>
      </c>
    </row>
    <row r="5820" spans="1:3">
      <c r="A5820" s="571" t="s">
        <v>314</v>
      </c>
      <c r="B5820" s="572">
        <v>4.3215599999999998</v>
      </c>
      <c r="C5820" s="572">
        <v>16.983699999999999</v>
      </c>
    </row>
    <row r="5821" spans="1:3">
      <c r="A5821" s="571" t="s">
        <v>314</v>
      </c>
      <c r="B5821" s="572">
        <v>7.8169000000000004</v>
      </c>
      <c r="C5821" s="572">
        <v>19.7011</v>
      </c>
    </row>
    <row r="5822" spans="1:3">
      <c r="A5822" s="571" t="s">
        <v>314</v>
      </c>
      <c r="B5822" s="572">
        <v>14.769500000000001</v>
      </c>
      <c r="C5822" s="572">
        <v>36.005400000000002</v>
      </c>
    </row>
    <row r="5823" spans="1:3">
      <c r="A5823" s="571" t="s">
        <v>314</v>
      </c>
      <c r="B5823" s="572">
        <v>27.969100000000001</v>
      </c>
      <c r="C5823" s="572">
        <v>103.261</v>
      </c>
    </row>
    <row r="5824" spans="1:3">
      <c r="A5824" s="571" t="s">
        <v>314</v>
      </c>
      <c r="B5824" s="572">
        <v>45.118000000000002</v>
      </c>
      <c r="C5824" s="572">
        <v>127.038</v>
      </c>
    </row>
    <row r="5825" spans="1:3">
      <c r="A5825" s="571" t="s">
        <v>314</v>
      </c>
      <c r="B5825" s="572">
        <v>59.973199999999999</v>
      </c>
      <c r="C5825" s="572">
        <v>138.58699999999999</v>
      </c>
    </row>
    <row r="5826" spans="1:3">
      <c r="A5826" s="571" t="s">
        <v>314</v>
      </c>
      <c r="B5826" s="572">
        <v>89.700299999999999</v>
      </c>
      <c r="C5826" s="572">
        <v>156.929</v>
      </c>
    </row>
    <row r="5827" spans="1:3">
      <c r="A5827" s="573" t="s">
        <v>314</v>
      </c>
      <c r="B5827" s="574">
        <v>119.715</v>
      </c>
      <c r="C5827" s="574">
        <v>176.63</v>
      </c>
    </row>
    <row r="5828" spans="1:3">
      <c r="A5828" s="573" t="s">
        <v>314</v>
      </c>
      <c r="B5828" s="574">
        <v>149.202</v>
      </c>
      <c r="C5828" s="574">
        <v>180.02699999999999</v>
      </c>
    </row>
    <row r="5829" spans="1:3">
      <c r="A5829" s="573" t="s">
        <v>314</v>
      </c>
      <c r="B5829" s="574">
        <v>179.143</v>
      </c>
      <c r="C5829" s="574">
        <v>220.78800000000001</v>
      </c>
    </row>
    <row r="5830" spans="1:3">
      <c r="A5830" s="571" t="s">
        <v>315</v>
      </c>
      <c r="B5830" s="572">
        <v>7.3221800000000004</v>
      </c>
      <c r="C5830" s="572">
        <v>9.5367800000000003</v>
      </c>
    </row>
    <row r="5831" spans="1:3">
      <c r="A5831" s="571" t="s">
        <v>315</v>
      </c>
      <c r="B5831" s="572">
        <v>14.3515</v>
      </c>
      <c r="C5831" s="572">
        <v>19.073599999999999</v>
      </c>
    </row>
    <row r="5832" spans="1:3">
      <c r="A5832" s="571" t="s">
        <v>315</v>
      </c>
      <c r="B5832" s="572">
        <v>27.824300000000001</v>
      </c>
      <c r="C5832" s="572">
        <v>47.683900000000001</v>
      </c>
    </row>
    <row r="5833" spans="1:3">
      <c r="A5833" s="571" t="s">
        <v>315</v>
      </c>
      <c r="B5833" s="572">
        <v>45.9833</v>
      </c>
      <c r="C5833" s="572">
        <v>45.640300000000003</v>
      </c>
    </row>
    <row r="5834" spans="1:3">
      <c r="A5834" s="571" t="s">
        <v>315</v>
      </c>
      <c r="B5834" s="572">
        <v>60.627600000000001</v>
      </c>
      <c r="C5834" s="572">
        <v>53.133499999999998</v>
      </c>
    </row>
    <row r="5835" spans="1:3">
      <c r="A5835" s="571" t="s">
        <v>315</v>
      </c>
      <c r="B5835" s="572">
        <v>90.209199999999996</v>
      </c>
      <c r="C5835" s="572">
        <v>64.032700000000006</v>
      </c>
    </row>
    <row r="5836" spans="1:3">
      <c r="A5836" s="573" t="s">
        <v>315</v>
      </c>
      <c r="B5836" s="574">
        <v>120.084</v>
      </c>
      <c r="C5836" s="574">
        <v>73.569500000000005</v>
      </c>
    </row>
    <row r="5837" spans="1:3">
      <c r="A5837" s="573" t="s">
        <v>315</v>
      </c>
      <c r="B5837" s="574">
        <v>150.251</v>
      </c>
      <c r="C5837" s="574">
        <v>83.106300000000005</v>
      </c>
    </row>
    <row r="5838" spans="1:3">
      <c r="A5838" s="573" t="s">
        <v>315</v>
      </c>
      <c r="B5838" s="574">
        <v>180.41800000000001</v>
      </c>
      <c r="C5838" s="574">
        <v>96.049000000000007</v>
      </c>
    </row>
    <row r="5839" spans="1:3">
      <c r="A5839" s="571" t="s">
        <v>316</v>
      </c>
      <c r="B5839" s="572">
        <v>1.1731799999999999</v>
      </c>
      <c r="C5839" s="572">
        <v>2.0380400000000001</v>
      </c>
    </row>
    <row r="5840" spans="1:3">
      <c r="A5840" s="571" t="s">
        <v>316</v>
      </c>
      <c r="B5840" s="572">
        <v>3.5195500000000002</v>
      </c>
      <c r="C5840" s="572">
        <v>7.4728300000000001</v>
      </c>
    </row>
    <row r="5841" spans="1:3">
      <c r="A5841" s="571" t="s">
        <v>316</v>
      </c>
      <c r="B5841" s="572">
        <v>6.7458099999999996</v>
      </c>
      <c r="C5841" s="572">
        <v>14.9457</v>
      </c>
    </row>
    <row r="5842" spans="1:3">
      <c r="A5842" s="571" t="s">
        <v>316</v>
      </c>
      <c r="B5842" s="572">
        <v>14.078200000000001</v>
      </c>
      <c r="C5842" s="572">
        <v>21.059799999999999</v>
      </c>
    </row>
    <row r="5843" spans="1:3">
      <c r="A5843" s="571" t="s">
        <v>316</v>
      </c>
      <c r="B5843" s="572">
        <v>27.863099999999999</v>
      </c>
      <c r="C5843" s="572">
        <v>61.141300000000001</v>
      </c>
    </row>
    <row r="5844" spans="1:3">
      <c r="A5844" s="571" t="s">
        <v>316</v>
      </c>
      <c r="B5844" s="572">
        <v>45.1676</v>
      </c>
      <c r="C5844" s="572">
        <v>65.217399999999998</v>
      </c>
    </row>
    <row r="5845" spans="1:3">
      <c r="A5845" s="571" t="s">
        <v>316</v>
      </c>
      <c r="B5845" s="572">
        <v>60.125700000000002</v>
      </c>
      <c r="C5845" s="572">
        <v>67.255399999999995</v>
      </c>
    </row>
    <row r="5846" spans="1:3">
      <c r="A5846" s="571" t="s">
        <v>316</v>
      </c>
      <c r="B5846" s="572">
        <v>90.3352</v>
      </c>
      <c r="C5846" s="572">
        <v>78.125</v>
      </c>
    </row>
    <row r="5847" spans="1:3">
      <c r="A5847" s="573" t="s">
        <v>316</v>
      </c>
      <c r="B5847" s="574">
        <v>119.372</v>
      </c>
      <c r="C5847" s="574">
        <v>88.994600000000005</v>
      </c>
    </row>
    <row r="5848" spans="1:3">
      <c r="A5848" s="573" t="s">
        <v>316</v>
      </c>
      <c r="B5848" s="574">
        <v>149.874</v>
      </c>
      <c r="C5848" s="574">
        <v>93.75</v>
      </c>
    </row>
    <row r="5849" spans="1:3">
      <c r="A5849" s="573" t="s">
        <v>316</v>
      </c>
      <c r="B5849" s="574">
        <v>179.49700000000001</v>
      </c>
      <c r="C5849" s="574">
        <v>125</v>
      </c>
    </row>
    <row r="5850" spans="1:3">
      <c r="A5850" s="571" t="s">
        <v>317</v>
      </c>
      <c r="B5850" s="572">
        <v>2.7846700000000002</v>
      </c>
      <c r="C5850" s="572">
        <v>4.0404</v>
      </c>
    </row>
    <row r="5851" spans="1:3">
      <c r="A5851" s="571" t="s">
        <v>317</v>
      </c>
      <c r="B5851" s="572">
        <v>23.269400000000001</v>
      </c>
      <c r="C5851" s="572">
        <v>67.878799999999998</v>
      </c>
    </row>
    <row r="5852" spans="1:3">
      <c r="A5852" s="571" t="s">
        <v>317</v>
      </c>
      <c r="B5852" s="572">
        <v>28.358499999999999</v>
      </c>
      <c r="C5852" s="572">
        <v>67.878799999999998</v>
      </c>
    </row>
    <row r="5853" spans="1:3">
      <c r="A5853" s="571" t="s">
        <v>317</v>
      </c>
      <c r="B5853" s="572">
        <v>30.284500000000001</v>
      </c>
      <c r="C5853" s="572">
        <v>65.656599999999997</v>
      </c>
    </row>
    <row r="5854" spans="1:3">
      <c r="A5854" s="571" t="s">
        <v>317</v>
      </c>
      <c r="B5854" s="572">
        <v>33.415399999999998</v>
      </c>
      <c r="C5854" s="572">
        <v>71.919200000000004</v>
      </c>
    </row>
    <row r="5855" spans="1:3">
      <c r="A5855" s="571" t="s">
        <v>317</v>
      </c>
      <c r="B5855" s="572">
        <v>34.037100000000002</v>
      </c>
      <c r="C5855" s="572">
        <v>73.737399999999994</v>
      </c>
    </row>
    <row r="5856" spans="1:3">
      <c r="A5856" s="571" t="s">
        <v>317</v>
      </c>
      <c r="B5856" s="572">
        <v>37.853900000000003</v>
      </c>
      <c r="C5856" s="572">
        <v>73.737399999999994</v>
      </c>
    </row>
    <row r="5857" spans="1:3">
      <c r="A5857" s="571" t="s">
        <v>317</v>
      </c>
      <c r="B5857" s="572">
        <v>40.478700000000003</v>
      </c>
      <c r="C5857" s="572">
        <v>63.636400000000002</v>
      </c>
    </row>
    <row r="5858" spans="1:3">
      <c r="A5858" s="571" t="s">
        <v>317</v>
      </c>
      <c r="B5858" s="572">
        <v>50.623100000000001</v>
      </c>
      <c r="C5858" s="572">
        <v>67.878799999999998</v>
      </c>
    </row>
    <row r="5859" spans="1:3">
      <c r="A5859" s="571" t="s">
        <v>317</v>
      </c>
      <c r="B5859" s="572">
        <v>69.0886</v>
      </c>
      <c r="C5859" s="572">
        <v>65.656599999999997</v>
      </c>
    </row>
    <row r="5860" spans="1:3">
      <c r="A5860" s="571" t="s">
        <v>317</v>
      </c>
      <c r="B5860" s="572">
        <v>88.186999999999998</v>
      </c>
      <c r="C5860" s="572">
        <v>63.8384</v>
      </c>
    </row>
    <row r="5861" spans="1:3">
      <c r="A5861" s="573" t="s">
        <v>317</v>
      </c>
      <c r="B5861" s="574">
        <v>117.467</v>
      </c>
      <c r="C5861" s="574">
        <v>61.616199999999999</v>
      </c>
    </row>
    <row r="5862" spans="1:3">
      <c r="A5862" s="573" t="s">
        <v>317</v>
      </c>
      <c r="B5862" s="574">
        <v>122.506</v>
      </c>
      <c r="C5862" s="574">
        <v>67.878799999999998</v>
      </c>
    </row>
    <row r="5863" spans="1:3">
      <c r="A5863" s="573" t="s">
        <v>317</v>
      </c>
      <c r="B5863" s="574">
        <v>130.77600000000001</v>
      </c>
      <c r="C5863" s="574">
        <v>67.878799999999998</v>
      </c>
    </row>
    <row r="5864" spans="1:3">
      <c r="A5864" s="573" t="s">
        <v>317</v>
      </c>
      <c r="B5864" s="574">
        <v>137.155</v>
      </c>
      <c r="C5864" s="574">
        <v>65.656599999999997</v>
      </c>
    </row>
    <row r="5865" spans="1:3">
      <c r="A5865" s="573" t="s">
        <v>317</v>
      </c>
      <c r="B5865" s="574">
        <v>137.80500000000001</v>
      </c>
      <c r="C5865" s="574">
        <v>63.8384</v>
      </c>
    </row>
    <row r="5866" spans="1:3">
      <c r="A5866" s="573" t="s">
        <v>317</v>
      </c>
      <c r="B5866" s="574">
        <v>151.768</v>
      </c>
      <c r="C5866" s="574">
        <v>67.878799999999998</v>
      </c>
    </row>
    <row r="5867" spans="1:3">
      <c r="A5867" s="573" t="s">
        <v>317</v>
      </c>
      <c r="B5867" s="574">
        <v>184.84700000000001</v>
      </c>
      <c r="C5867" s="574">
        <v>67.878799999999998</v>
      </c>
    </row>
    <row r="5868" spans="1:3">
      <c r="A5868" s="573" t="s">
        <v>317</v>
      </c>
      <c r="B5868" s="574">
        <v>190.57400000000001</v>
      </c>
      <c r="C5868" s="574">
        <v>67.6768</v>
      </c>
    </row>
    <row r="5869" spans="1:3">
      <c r="A5869" s="573" t="s">
        <v>317</v>
      </c>
      <c r="B5869" s="574">
        <v>197.55699999999999</v>
      </c>
      <c r="C5869" s="574">
        <v>69.494900000000001</v>
      </c>
    </row>
    <row r="5870" spans="1:3">
      <c r="A5870" s="573" t="s">
        <v>317</v>
      </c>
      <c r="B5870" s="574">
        <v>207.749</v>
      </c>
      <c r="C5870" s="574">
        <v>67.6768</v>
      </c>
    </row>
    <row r="5871" spans="1:3">
      <c r="A5871" s="571" t="s">
        <v>318</v>
      </c>
      <c r="B5871" s="572">
        <v>5.2648999999999999</v>
      </c>
      <c r="C5871" s="572">
        <v>18.977399999999999</v>
      </c>
    </row>
    <row r="5872" spans="1:3">
      <c r="A5872" s="571" t="s">
        <v>318</v>
      </c>
      <c r="B5872" s="572">
        <v>5.8545400000000001</v>
      </c>
      <c r="C5872" s="572">
        <v>29.587</v>
      </c>
    </row>
    <row r="5873" spans="1:3">
      <c r="A5873" s="571" t="s">
        <v>318</v>
      </c>
      <c r="B5873" s="572">
        <v>8.9373199999999997</v>
      </c>
      <c r="C5873" s="572">
        <v>50.817799999999998</v>
      </c>
    </row>
    <row r="5874" spans="1:3">
      <c r="A5874" s="571" t="s">
        <v>318</v>
      </c>
      <c r="B5874" s="572">
        <v>22.6816</v>
      </c>
      <c r="C5874" s="572">
        <v>101.65900000000001</v>
      </c>
    </row>
    <row r="5875" spans="1:3">
      <c r="A5875" s="571" t="s">
        <v>318</v>
      </c>
      <c r="B5875" s="572">
        <v>27.1007</v>
      </c>
      <c r="C5875" s="572">
        <v>106.988</v>
      </c>
    </row>
    <row r="5876" spans="1:3">
      <c r="A5876" s="571" t="s">
        <v>318</v>
      </c>
      <c r="B5876" s="572">
        <v>28.3537</v>
      </c>
      <c r="C5876" s="572">
        <v>110.78400000000001</v>
      </c>
    </row>
    <row r="5877" spans="1:3">
      <c r="A5877" s="571" t="s">
        <v>318</v>
      </c>
      <c r="B5877" s="572">
        <v>30.238</v>
      </c>
      <c r="C5877" s="572">
        <v>115.34099999999999</v>
      </c>
    </row>
    <row r="5878" spans="1:3">
      <c r="A5878" s="571" t="s">
        <v>318</v>
      </c>
      <c r="B5878" s="572">
        <v>33.359200000000001</v>
      </c>
      <c r="C5878" s="572">
        <v>127.48099999999999</v>
      </c>
    </row>
    <row r="5879" spans="1:3">
      <c r="A5879" s="571" t="s">
        <v>318</v>
      </c>
      <c r="B5879" s="572">
        <v>37.162999999999997</v>
      </c>
      <c r="C5879" s="572">
        <v>128.262</v>
      </c>
    </row>
    <row r="5880" spans="1:3">
      <c r="A5880" s="571" t="s">
        <v>318</v>
      </c>
      <c r="B5880" s="572">
        <v>40.335500000000003</v>
      </c>
      <c r="C5880" s="572">
        <v>128.28100000000001</v>
      </c>
    </row>
    <row r="5881" spans="1:3">
      <c r="A5881" s="571" t="s">
        <v>318</v>
      </c>
      <c r="B5881" s="572">
        <v>51.045099999999998</v>
      </c>
      <c r="C5881" s="572">
        <v>146.52799999999999</v>
      </c>
    </row>
    <row r="5882" spans="1:3">
      <c r="A5882" s="571" t="s">
        <v>318</v>
      </c>
      <c r="B5882" s="572">
        <v>69.987300000000005</v>
      </c>
      <c r="C5882" s="572">
        <v>168.61199999999999</v>
      </c>
    </row>
    <row r="5883" spans="1:3">
      <c r="A5883" s="571" t="s">
        <v>318</v>
      </c>
      <c r="B5883" s="572">
        <v>88.9101</v>
      </c>
      <c r="C5883" s="572">
        <v>195.24199999999999</v>
      </c>
    </row>
    <row r="5884" spans="1:3">
      <c r="A5884" s="573" t="s">
        <v>318</v>
      </c>
      <c r="B5884" s="574">
        <v>119.273</v>
      </c>
      <c r="C5884" s="574">
        <v>217.39599999999999</v>
      </c>
    </row>
    <row r="5885" spans="1:3">
      <c r="A5885" s="573" t="s">
        <v>318</v>
      </c>
      <c r="B5885" s="574">
        <v>132.547</v>
      </c>
      <c r="C5885" s="574">
        <v>229.59700000000001</v>
      </c>
    </row>
    <row r="5886" spans="1:3">
      <c r="A5886" s="573" t="s">
        <v>318</v>
      </c>
      <c r="B5886" s="574">
        <v>140.14500000000001</v>
      </c>
      <c r="C5886" s="574">
        <v>233.43100000000001</v>
      </c>
    </row>
    <row r="5887" spans="1:3">
      <c r="A5887" s="573" t="s">
        <v>318</v>
      </c>
      <c r="B5887" s="574">
        <v>153.43100000000001</v>
      </c>
      <c r="C5887" s="574">
        <v>242.60300000000001</v>
      </c>
    </row>
    <row r="5888" spans="1:3">
      <c r="A5888" s="573" t="s">
        <v>318</v>
      </c>
      <c r="B5888" s="574">
        <v>186.36699999999999</v>
      </c>
      <c r="C5888" s="574">
        <v>256.43900000000002</v>
      </c>
    </row>
    <row r="5889" spans="1:3">
      <c r="A5889" s="573" t="s">
        <v>318</v>
      </c>
      <c r="B5889" s="574">
        <v>190.77</v>
      </c>
      <c r="C5889" s="574">
        <v>265.55599999999998</v>
      </c>
    </row>
    <row r="5890" spans="1:3">
      <c r="A5890" s="573" t="s">
        <v>318</v>
      </c>
      <c r="B5890" s="574">
        <v>198.36500000000001</v>
      </c>
      <c r="C5890" s="574">
        <v>270.14800000000002</v>
      </c>
    </row>
    <row r="5891" spans="1:3">
      <c r="A5891" s="573" t="s">
        <v>318</v>
      </c>
      <c r="B5891" s="574">
        <v>208.51</v>
      </c>
      <c r="C5891" s="574">
        <v>271.72399999999999</v>
      </c>
    </row>
    <row r="5892" spans="1:3">
      <c r="A5892" s="571" t="s">
        <v>319</v>
      </c>
      <c r="B5892" s="572">
        <v>2.8461500000000002</v>
      </c>
      <c r="C5892" s="572">
        <v>0</v>
      </c>
    </row>
    <row r="5893" spans="1:3">
      <c r="A5893" s="571" t="s">
        <v>319</v>
      </c>
      <c r="B5893" s="572">
        <v>3.7692300000000003</v>
      </c>
      <c r="C5893" s="572">
        <v>16</v>
      </c>
    </row>
    <row r="5894" spans="1:3">
      <c r="A5894" s="571" t="s">
        <v>319</v>
      </c>
      <c r="B5894" s="572">
        <v>5.9393099999999999</v>
      </c>
      <c r="C5894" s="572">
        <v>28.354399999999998</v>
      </c>
    </row>
    <row r="5895" spans="1:3">
      <c r="A5895" s="571" t="s">
        <v>319</v>
      </c>
      <c r="B5895" s="572">
        <v>5.9763099999999998</v>
      </c>
      <c r="C5895" s="572">
        <v>32.202500000000001</v>
      </c>
    </row>
    <row r="5896" spans="1:3">
      <c r="A5896" s="571" t="s">
        <v>319</v>
      </c>
      <c r="B5896" s="572">
        <v>7.0389499999999998</v>
      </c>
      <c r="C5896" s="572">
        <v>36.050600000000003</v>
      </c>
    </row>
    <row r="5897" spans="1:3">
      <c r="A5897" s="571" t="s">
        <v>319</v>
      </c>
      <c r="B5897" s="572">
        <v>8.0840599999999991</v>
      </c>
      <c r="C5897" s="572">
        <v>38.075899999999997</v>
      </c>
    </row>
    <row r="5898" spans="1:3">
      <c r="A5898" s="571" t="s">
        <v>319</v>
      </c>
      <c r="B5898" s="572">
        <v>9.1311</v>
      </c>
      <c r="C5898" s="572">
        <v>40.303800000000003</v>
      </c>
    </row>
    <row r="5899" spans="1:3">
      <c r="A5899" s="571" t="s">
        <v>319</v>
      </c>
      <c r="B5899" s="572">
        <v>9.9159000000000006</v>
      </c>
      <c r="C5899" s="572">
        <v>41.924100000000003</v>
      </c>
    </row>
    <row r="5900" spans="1:3">
      <c r="A5900" s="571" t="s">
        <v>319</v>
      </c>
      <c r="B5900" s="572">
        <v>10.962999999999999</v>
      </c>
      <c r="C5900" s="572">
        <v>44.151899999999998</v>
      </c>
    </row>
    <row r="5901" spans="1:3">
      <c r="A5901" s="571" t="s">
        <v>319</v>
      </c>
      <c r="B5901" s="572">
        <v>14.117800000000001</v>
      </c>
      <c r="C5901" s="572">
        <v>52.2532</v>
      </c>
    </row>
    <row r="5902" spans="1:3">
      <c r="A5902" s="571" t="s">
        <v>319</v>
      </c>
      <c r="B5902" s="572">
        <v>18.809200000000001</v>
      </c>
      <c r="C5902" s="572">
        <v>60.151899999999998</v>
      </c>
    </row>
    <row r="5903" spans="1:3">
      <c r="A5903" s="571" t="s">
        <v>319</v>
      </c>
      <c r="B5903" s="572">
        <v>22.692299999999999</v>
      </c>
      <c r="C5903" s="572">
        <v>64</v>
      </c>
    </row>
    <row r="5904" spans="1:3">
      <c r="A5904" s="571" t="s">
        <v>319</v>
      </c>
      <c r="B5904" s="572">
        <v>24.467700000000001</v>
      </c>
      <c r="C5904" s="572">
        <v>61.974699999999999</v>
      </c>
    </row>
    <row r="5905" spans="1:3">
      <c r="A5905" s="571" t="s">
        <v>319</v>
      </c>
      <c r="B5905" s="572">
        <v>27.0318</v>
      </c>
      <c r="C5905" s="572">
        <v>61.974699999999999</v>
      </c>
    </row>
    <row r="5906" spans="1:3">
      <c r="A5906" s="571" t="s">
        <v>319</v>
      </c>
      <c r="B5906" s="572">
        <v>31.155799999999999</v>
      </c>
      <c r="C5906" s="572">
        <v>64.202500000000001</v>
      </c>
    </row>
    <row r="5907" spans="1:3">
      <c r="A5907" s="571" t="s">
        <v>319</v>
      </c>
      <c r="B5907" s="572">
        <v>32.179499999999997</v>
      </c>
      <c r="C5907" s="572">
        <v>64</v>
      </c>
    </row>
    <row r="5908" spans="1:3">
      <c r="A5908" s="571" t="s">
        <v>319</v>
      </c>
      <c r="B5908" s="572">
        <v>33.976300000000002</v>
      </c>
      <c r="C5908" s="572">
        <v>64.202500000000001</v>
      </c>
    </row>
    <row r="5909" spans="1:3">
      <c r="A5909" s="571" t="s">
        <v>319</v>
      </c>
      <c r="B5909" s="572">
        <v>37.585500000000003</v>
      </c>
      <c r="C5909" s="572">
        <v>66.227800000000002</v>
      </c>
    </row>
    <row r="5910" spans="1:3">
      <c r="A5910" s="571" t="s">
        <v>319</v>
      </c>
      <c r="B5910" s="572">
        <v>38.865600000000001</v>
      </c>
      <c r="C5910" s="572">
        <v>66.025300000000001</v>
      </c>
    </row>
    <row r="5911" spans="1:3">
      <c r="A5911" s="571" t="s">
        <v>319</v>
      </c>
      <c r="B5911" s="572">
        <v>41.686100000000003</v>
      </c>
      <c r="C5911" s="572">
        <v>66.025300000000001</v>
      </c>
    </row>
    <row r="5912" spans="1:3">
      <c r="A5912" s="571" t="s">
        <v>319</v>
      </c>
      <c r="B5912" s="572">
        <v>46.045099999999998</v>
      </c>
      <c r="C5912" s="572">
        <v>66.025300000000001</v>
      </c>
    </row>
    <row r="5913" spans="1:3">
      <c r="A5913" s="571" t="s">
        <v>319</v>
      </c>
      <c r="B5913" s="572">
        <v>50.662399999999998</v>
      </c>
      <c r="C5913" s="572">
        <v>66.227800000000002</v>
      </c>
    </row>
    <row r="5914" spans="1:3">
      <c r="A5914" s="571" t="s">
        <v>319</v>
      </c>
      <c r="B5914" s="572">
        <v>57.583599999999997</v>
      </c>
      <c r="C5914" s="572">
        <v>66.025300000000001</v>
      </c>
    </row>
    <row r="5915" spans="1:3">
      <c r="A5915" s="571" t="s">
        <v>319</v>
      </c>
      <c r="B5915" s="572">
        <v>72.218400000000003</v>
      </c>
      <c r="C5915" s="572">
        <v>68.050600000000003</v>
      </c>
    </row>
    <row r="5916" spans="1:3">
      <c r="A5916" s="571" t="s">
        <v>319</v>
      </c>
      <c r="B5916" s="572">
        <v>77.109700000000004</v>
      </c>
      <c r="C5916" s="572">
        <v>70.075900000000004</v>
      </c>
    </row>
    <row r="5917" spans="1:3">
      <c r="A5917" s="571" t="s">
        <v>319</v>
      </c>
      <c r="B5917" s="572">
        <v>84.565100000000001</v>
      </c>
      <c r="C5917" s="572">
        <v>72.101299999999995</v>
      </c>
    </row>
    <row r="5918" spans="1:3">
      <c r="A5918" s="571" t="s">
        <v>319</v>
      </c>
      <c r="B5918" s="572">
        <v>94.069800000000001</v>
      </c>
      <c r="C5918" s="572">
        <v>73.924099999999996</v>
      </c>
    </row>
    <row r="5919" spans="1:3">
      <c r="A5919" s="571" t="s">
        <v>320</v>
      </c>
      <c r="B5919" s="572">
        <v>3.05063</v>
      </c>
      <c r="C5919" s="572">
        <v>5.6800000000000002E-14</v>
      </c>
    </row>
    <row r="5920" spans="1:3">
      <c r="A5920" s="571" t="s">
        <v>320</v>
      </c>
      <c r="B5920" s="572">
        <v>4.2821100000000003</v>
      </c>
      <c r="C5920" s="572">
        <v>20.351800000000001</v>
      </c>
    </row>
    <row r="5921" spans="1:3">
      <c r="A5921" s="571" t="s">
        <v>320</v>
      </c>
      <c r="B5921" s="572">
        <v>6.0250000000000004</v>
      </c>
      <c r="C5921" s="572">
        <v>37.688400000000001</v>
      </c>
    </row>
    <row r="5922" spans="1:3">
      <c r="A5922" s="571" t="s">
        <v>320</v>
      </c>
      <c r="B5922" s="572">
        <v>6.0389900000000001</v>
      </c>
      <c r="C5922" s="572">
        <v>29.396999999999998</v>
      </c>
    </row>
    <row r="5923" spans="1:3">
      <c r="A5923" s="571" t="s">
        <v>320</v>
      </c>
      <c r="B5923" s="572">
        <v>7.0236599999999996</v>
      </c>
      <c r="C5923" s="572">
        <v>45.979900000000001</v>
      </c>
    </row>
    <row r="5924" spans="1:3">
      <c r="A5924" s="571" t="s">
        <v>320</v>
      </c>
      <c r="B5924" s="572">
        <v>8.5362899999999993</v>
      </c>
      <c r="C5924" s="572">
        <v>49.748699999999999</v>
      </c>
    </row>
    <row r="5925" spans="1:3">
      <c r="A5925" s="571" t="s">
        <v>320</v>
      </c>
      <c r="B5925" s="572">
        <v>9.2843</v>
      </c>
      <c r="C5925" s="572">
        <v>56.532699999999998</v>
      </c>
    </row>
    <row r="5926" spans="1:3">
      <c r="A5926" s="571" t="s">
        <v>320</v>
      </c>
      <c r="B5926" s="572">
        <v>11.2944</v>
      </c>
      <c r="C5926" s="572">
        <v>65.5779</v>
      </c>
    </row>
    <row r="5927" spans="1:3">
      <c r="A5927" s="571" t="s">
        <v>320</v>
      </c>
      <c r="B5927" s="572">
        <v>12.307</v>
      </c>
      <c r="C5927" s="572">
        <v>65.5779</v>
      </c>
    </row>
    <row r="5928" spans="1:3">
      <c r="A5928" s="571" t="s">
        <v>320</v>
      </c>
      <c r="B5928" s="572">
        <v>14.314500000000001</v>
      </c>
      <c r="C5928" s="572">
        <v>76.130700000000004</v>
      </c>
    </row>
    <row r="5929" spans="1:3">
      <c r="A5929" s="571" t="s">
        <v>320</v>
      </c>
      <c r="B5929" s="572">
        <v>15.320799999999998</v>
      </c>
      <c r="C5929" s="572">
        <v>79.899500000000003</v>
      </c>
    </row>
    <row r="5930" spans="1:3">
      <c r="A5930" s="571" t="s">
        <v>320</v>
      </c>
      <c r="B5930" s="572">
        <v>18.837199999999999</v>
      </c>
      <c r="C5930" s="572">
        <v>96.482399999999998</v>
      </c>
    </row>
    <row r="5931" spans="1:3">
      <c r="A5931" s="571" t="s">
        <v>320</v>
      </c>
      <c r="B5931" s="572">
        <v>22.87</v>
      </c>
      <c r="C5931" s="572">
        <v>107.035</v>
      </c>
    </row>
    <row r="5932" spans="1:3">
      <c r="A5932" s="571" t="s">
        <v>320</v>
      </c>
      <c r="B5932" s="572">
        <v>24.895299999999999</v>
      </c>
      <c r="C5932" s="572">
        <v>107.035</v>
      </c>
    </row>
    <row r="5933" spans="1:3">
      <c r="A5933" s="571" t="s">
        <v>320</v>
      </c>
      <c r="B5933" s="572">
        <v>27.168700000000001</v>
      </c>
      <c r="C5933" s="572">
        <v>110.05</v>
      </c>
    </row>
    <row r="5934" spans="1:3">
      <c r="A5934" s="571" t="s">
        <v>320</v>
      </c>
      <c r="B5934" s="572">
        <v>28.4345</v>
      </c>
      <c r="C5934" s="572">
        <v>110.05</v>
      </c>
    </row>
    <row r="5935" spans="1:3">
      <c r="A5935" s="571" t="s">
        <v>320</v>
      </c>
      <c r="B5935" s="572">
        <v>31.454700000000003</v>
      </c>
      <c r="C5935" s="572">
        <v>120.60299999999999</v>
      </c>
    </row>
    <row r="5936" spans="1:3">
      <c r="A5936" s="571" t="s">
        <v>320</v>
      </c>
      <c r="B5936" s="572">
        <v>32.463500000000003</v>
      </c>
      <c r="C5936" s="572">
        <v>122.864</v>
      </c>
    </row>
    <row r="5937" spans="1:3">
      <c r="A5937" s="571" t="s">
        <v>320</v>
      </c>
      <c r="B5937" s="572">
        <v>33.983800000000002</v>
      </c>
      <c r="C5937" s="572">
        <v>122.111</v>
      </c>
    </row>
    <row r="5938" spans="1:3">
      <c r="A5938" s="571" t="s">
        <v>320</v>
      </c>
      <c r="B5938" s="572">
        <v>37.509</v>
      </c>
      <c r="C5938" s="572">
        <v>133.417</v>
      </c>
    </row>
    <row r="5939" spans="1:3">
      <c r="A5939" s="571" t="s">
        <v>320</v>
      </c>
      <c r="B5939" s="572">
        <v>38.7774</v>
      </c>
      <c r="C5939" s="572">
        <v>131.91</v>
      </c>
    </row>
    <row r="5940" spans="1:3">
      <c r="A5940" s="571" t="s">
        <v>320</v>
      </c>
      <c r="B5940" s="572">
        <v>42.062100000000001</v>
      </c>
      <c r="C5940" s="572">
        <v>135.678</v>
      </c>
    </row>
    <row r="5941" spans="1:3">
      <c r="A5941" s="571" t="s">
        <v>320</v>
      </c>
      <c r="B5941" s="572">
        <v>46.353200000000001</v>
      </c>
      <c r="C5941" s="572">
        <v>143.21600000000001</v>
      </c>
    </row>
    <row r="5942" spans="1:3">
      <c r="A5942" s="571" t="s">
        <v>320</v>
      </c>
      <c r="B5942" s="572">
        <v>50.643000000000001</v>
      </c>
      <c r="C5942" s="572">
        <v>151.50800000000001</v>
      </c>
    </row>
    <row r="5943" spans="1:3">
      <c r="A5943" s="571" t="s">
        <v>320</v>
      </c>
      <c r="B5943" s="572">
        <v>57.468299999999999</v>
      </c>
      <c r="C5943" s="572">
        <v>157.53800000000001</v>
      </c>
    </row>
    <row r="5944" spans="1:3">
      <c r="A5944" s="571" t="s">
        <v>320</v>
      </c>
      <c r="B5944" s="572">
        <v>71.869399999999999</v>
      </c>
      <c r="C5944" s="572">
        <v>174.874</v>
      </c>
    </row>
    <row r="5945" spans="1:3">
      <c r="A5945" s="571" t="s">
        <v>320</v>
      </c>
      <c r="B5945" s="572">
        <v>76.661699999999996</v>
      </c>
      <c r="C5945" s="572">
        <v>185.42699999999999</v>
      </c>
    </row>
    <row r="5946" spans="1:3">
      <c r="A5946" s="571" t="s">
        <v>320</v>
      </c>
      <c r="B5946" s="572">
        <v>83.742699999999999</v>
      </c>
      <c r="C5946" s="572">
        <v>189.95</v>
      </c>
    </row>
    <row r="5947" spans="1:3">
      <c r="A5947" s="571" t="s">
        <v>320</v>
      </c>
      <c r="B5947" s="572">
        <v>93.594499999999996</v>
      </c>
      <c r="C5947" s="572">
        <v>202.76400000000001</v>
      </c>
    </row>
    <row r="5948" spans="1:3">
      <c r="A5948" s="571" t="s">
        <v>321</v>
      </c>
      <c r="B5948" s="572">
        <v>2.04569</v>
      </c>
      <c r="C5948" s="572">
        <v>2.8400000000000001E-14</v>
      </c>
    </row>
    <row r="5949" spans="1:3">
      <c r="A5949" s="571" t="s">
        <v>321</v>
      </c>
      <c r="B5949" s="572">
        <v>2.29949</v>
      </c>
      <c r="C5949" s="572">
        <v>5.8227799999999998</v>
      </c>
    </row>
    <row r="5950" spans="1:3">
      <c r="A5950" s="571" t="s">
        <v>321</v>
      </c>
      <c r="B5950" s="572">
        <v>2.5533000000000001</v>
      </c>
      <c r="C5950" s="572">
        <v>8.1012699999999995</v>
      </c>
    </row>
    <row r="5951" spans="1:3">
      <c r="A5951" s="571" t="s">
        <v>321</v>
      </c>
      <c r="B5951" s="572">
        <v>3.0609099999999998</v>
      </c>
      <c r="C5951" s="572">
        <v>24.050599999999999</v>
      </c>
    </row>
    <row r="5952" spans="1:3">
      <c r="A5952" s="571" t="s">
        <v>321</v>
      </c>
      <c r="B5952" s="572">
        <v>4.0761399999999997</v>
      </c>
      <c r="C5952" s="572">
        <v>32.151899999999998</v>
      </c>
    </row>
    <row r="5953" spans="1:3">
      <c r="A5953" s="571" t="s">
        <v>321</v>
      </c>
      <c r="B5953" s="572">
        <v>5.0913700000000004</v>
      </c>
      <c r="C5953" s="572">
        <v>42.278500000000001</v>
      </c>
    </row>
    <row r="5954" spans="1:3">
      <c r="A5954" s="571" t="s">
        <v>321</v>
      </c>
      <c r="B5954" s="572">
        <v>6.1066000000000003</v>
      </c>
      <c r="C5954" s="572">
        <v>44.050600000000003</v>
      </c>
    </row>
    <row r="5955" spans="1:3">
      <c r="A5955" s="571" t="s">
        <v>321</v>
      </c>
      <c r="B5955" s="572">
        <v>7.1218299999999992</v>
      </c>
      <c r="C5955" s="572">
        <v>48.101300000000002</v>
      </c>
    </row>
    <row r="5956" spans="1:3">
      <c r="A5956" s="571" t="s">
        <v>321</v>
      </c>
      <c r="B5956" s="572">
        <v>8.8984799999999993</v>
      </c>
      <c r="C5956" s="572">
        <v>50.126600000000003</v>
      </c>
    </row>
    <row r="5957" spans="1:3">
      <c r="A5957" s="571" t="s">
        <v>321</v>
      </c>
      <c r="B5957" s="572">
        <v>10.4213</v>
      </c>
      <c r="C5957" s="572">
        <v>57.974699999999999</v>
      </c>
    </row>
    <row r="5958" spans="1:3">
      <c r="A5958" s="571" t="s">
        <v>321</v>
      </c>
      <c r="B5958" s="572">
        <v>12.7056</v>
      </c>
      <c r="C5958" s="572">
        <v>66.329099999999997</v>
      </c>
    </row>
    <row r="5959" spans="1:3">
      <c r="A5959" s="571" t="s">
        <v>321</v>
      </c>
      <c r="B5959" s="572">
        <v>13.720800000000001</v>
      </c>
      <c r="C5959" s="572">
        <v>68.101299999999995</v>
      </c>
    </row>
    <row r="5960" spans="1:3">
      <c r="A5960" s="571" t="s">
        <v>321</v>
      </c>
      <c r="B5960" s="572">
        <v>17.527899999999999</v>
      </c>
      <c r="C5960" s="572">
        <v>70.126599999999996</v>
      </c>
    </row>
    <row r="5961" spans="1:3">
      <c r="A5961" s="571" t="s">
        <v>321</v>
      </c>
      <c r="B5961" s="572">
        <v>19.558399999999999</v>
      </c>
      <c r="C5961" s="572">
        <v>68.101299999999995</v>
      </c>
    </row>
    <row r="5962" spans="1:3">
      <c r="A5962" s="571" t="s">
        <v>321</v>
      </c>
      <c r="B5962" s="572">
        <v>22.096399999999999</v>
      </c>
      <c r="C5962" s="572">
        <v>68.101299999999995</v>
      </c>
    </row>
    <row r="5963" spans="1:3">
      <c r="A5963" s="571" t="s">
        <v>321</v>
      </c>
      <c r="B5963" s="572">
        <v>26.157399999999999</v>
      </c>
      <c r="C5963" s="572">
        <v>70.126599999999996</v>
      </c>
    </row>
    <row r="5964" spans="1:3">
      <c r="A5964" s="571" t="s">
        <v>321</v>
      </c>
      <c r="B5964" s="572">
        <v>32.248699999999999</v>
      </c>
      <c r="C5964" s="572">
        <v>66.329099999999997</v>
      </c>
    </row>
    <row r="5965" spans="1:3">
      <c r="A5965" s="571" t="s">
        <v>321</v>
      </c>
      <c r="B5965" s="572">
        <v>36.309600000000003</v>
      </c>
      <c r="C5965" s="572">
        <v>74.430400000000006</v>
      </c>
    </row>
    <row r="5966" spans="1:3">
      <c r="A5966" s="571" t="s">
        <v>321</v>
      </c>
      <c r="B5966" s="572">
        <v>40.624400000000001</v>
      </c>
      <c r="C5966" s="572">
        <v>76.202500000000001</v>
      </c>
    </row>
    <row r="5967" spans="1:3">
      <c r="A5967" s="571" t="s">
        <v>321</v>
      </c>
      <c r="B5967" s="572">
        <v>51.791899999999998</v>
      </c>
      <c r="C5967" s="572">
        <v>80.253200000000007</v>
      </c>
    </row>
    <row r="5968" spans="1:3">
      <c r="A5968" s="571" t="s">
        <v>321</v>
      </c>
      <c r="B5968" s="572">
        <v>63.974599999999995</v>
      </c>
      <c r="C5968" s="572">
        <v>80.253200000000007</v>
      </c>
    </row>
    <row r="5969" spans="1:3">
      <c r="A5969" s="571" t="s">
        <v>321</v>
      </c>
      <c r="B5969" s="572">
        <v>71.334999999999994</v>
      </c>
      <c r="C5969" s="572">
        <v>82.278499999999994</v>
      </c>
    </row>
    <row r="5970" spans="1:3">
      <c r="A5970" s="571" t="s">
        <v>321</v>
      </c>
      <c r="B5970" s="572">
        <v>78.441599999999994</v>
      </c>
      <c r="C5970" s="572">
        <v>84.303799999999995</v>
      </c>
    </row>
    <row r="5971" spans="1:3">
      <c r="A5971" s="571" t="s">
        <v>321</v>
      </c>
      <c r="B5971" s="572">
        <v>88.340100000000007</v>
      </c>
      <c r="C5971" s="572">
        <v>86.329099999999997</v>
      </c>
    </row>
    <row r="5972" spans="1:3">
      <c r="A5972" s="571" t="s">
        <v>322</v>
      </c>
      <c r="B5972" s="572">
        <v>2.04569</v>
      </c>
      <c r="C5972" s="572">
        <v>0.73081099999999999</v>
      </c>
    </row>
    <row r="5973" spans="1:3">
      <c r="A5973" s="571" t="s">
        <v>322</v>
      </c>
      <c r="B5973" s="572">
        <v>2.29949</v>
      </c>
      <c r="C5973" s="572">
        <v>12.035399999999999</v>
      </c>
    </row>
    <row r="5974" spans="1:3">
      <c r="A5974" s="571" t="s">
        <v>322</v>
      </c>
      <c r="B5974" s="572">
        <v>3.0609099999999998</v>
      </c>
      <c r="C5974" s="572">
        <v>30.120100000000001</v>
      </c>
    </row>
    <row r="5975" spans="1:3">
      <c r="A5975" s="571" t="s">
        <v>322</v>
      </c>
      <c r="B5975" s="572">
        <v>4.3299500000000002</v>
      </c>
      <c r="C5975" s="572">
        <v>44.432200000000002</v>
      </c>
    </row>
    <row r="5976" spans="1:3">
      <c r="A5976" s="571" t="s">
        <v>322</v>
      </c>
      <c r="B5976" s="572">
        <v>4.8375599999999999</v>
      </c>
      <c r="C5976" s="572">
        <v>57.996200000000002</v>
      </c>
    </row>
    <row r="5977" spans="1:3">
      <c r="A5977" s="571" t="s">
        <v>322</v>
      </c>
      <c r="B5977" s="572">
        <v>5.8527899999999997</v>
      </c>
      <c r="C5977" s="572">
        <v>62.511200000000002</v>
      </c>
    </row>
    <row r="5978" spans="1:3">
      <c r="A5978" s="571" t="s">
        <v>322</v>
      </c>
      <c r="B5978" s="572">
        <v>7.1218299999999992</v>
      </c>
      <c r="C5978" s="572">
        <v>70.793099999999995</v>
      </c>
    </row>
    <row r="5979" spans="1:3">
      <c r="A5979" s="571" t="s">
        <v>322</v>
      </c>
      <c r="B5979" s="572">
        <v>9.1523000000000003</v>
      </c>
      <c r="C5979" s="572">
        <v>84.345600000000005</v>
      </c>
    </row>
    <row r="5980" spans="1:3">
      <c r="A5980" s="571" t="s">
        <v>322</v>
      </c>
      <c r="B5980" s="572">
        <v>10.4213</v>
      </c>
      <c r="C5980" s="572">
        <v>90.366200000000006</v>
      </c>
    </row>
    <row r="5981" spans="1:3">
      <c r="A5981" s="571" t="s">
        <v>322</v>
      </c>
      <c r="B5981" s="572">
        <v>12.4518</v>
      </c>
      <c r="C5981" s="572">
        <v>104.672</v>
      </c>
    </row>
    <row r="5982" spans="1:3">
      <c r="A5982" s="571" t="s">
        <v>322</v>
      </c>
      <c r="B5982" s="572">
        <v>13.467000000000001</v>
      </c>
      <c r="C5982" s="572">
        <v>108.434</v>
      </c>
    </row>
    <row r="5983" spans="1:3">
      <c r="A5983" s="571" t="s">
        <v>322</v>
      </c>
      <c r="B5983" s="572">
        <v>18.035499999999999</v>
      </c>
      <c r="C5983" s="572">
        <v>109.907</v>
      </c>
    </row>
    <row r="5984" spans="1:3">
      <c r="A5984" s="571" t="s">
        <v>322</v>
      </c>
      <c r="B5984" s="572">
        <v>19.558399999999999</v>
      </c>
      <c r="C5984" s="572">
        <v>120.44799999999999</v>
      </c>
    </row>
    <row r="5985" spans="1:3">
      <c r="A5985" s="571" t="s">
        <v>322</v>
      </c>
      <c r="B5985" s="572">
        <v>22.604099999999999</v>
      </c>
      <c r="C5985" s="572">
        <v>126.455</v>
      </c>
    </row>
    <row r="5986" spans="1:3">
      <c r="A5986" s="571" t="s">
        <v>322</v>
      </c>
      <c r="B5986" s="572">
        <v>26.918800000000001</v>
      </c>
      <c r="C5986" s="572">
        <v>137.72900000000001</v>
      </c>
    </row>
    <row r="5987" spans="1:3">
      <c r="A5987" s="571" t="s">
        <v>322</v>
      </c>
      <c r="B5987" s="572">
        <v>33.010199999999998</v>
      </c>
      <c r="C5987" s="572">
        <v>155.02000000000001</v>
      </c>
    </row>
    <row r="5988" spans="1:3">
      <c r="A5988" s="571" t="s">
        <v>322</v>
      </c>
      <c r="B5988" s="572">
        <v>37.071100000000001</v>
      </c>
      <c r="C5988" s="572">
        <v>156.49700000000001</v>
      </c>
    </row>
    <row r="5989" spans="1:3">
      <c r="A5989" s="571" t="s">
        <v>322</v>
      </c>
      <c r="B5989" s="572">
        <v>41.385800000000003</v>
      </c>
      <c r="C5989" s="572">
        <v>167.017</v>
      </c>
    </row>
    <row r="5990" spans="1:3">
      <c r="A5990" s="571" t="s">
        <v>322</v>
      </c>
      <c r="B5990" s="572">
        <v>52.5533</v>
      </c>
      <c r="C5990" s="572">
        <v>182.762</v>
      </c>
    </row>
    <row r="5991" spans="1:3">
      <c r="A5991" s="571" t="s">
        <v>322</v>
      </c>
      <c r="B5991" s="572">
        <v>64.736000000000004</v>
      </c>
      <c r="C5991" s="572">
        <v>202.268</v>
      </c>
    </row>
    <row r="5992" spans="1:3">
      <c r="A5992" s="571" t="s">
        <v>322</v>
      </c>
      <c r="B5992" s="572">
        <v>71.842600000000004</v>
      </c>
      <c r="C5992" s="572">
        <v>208.999</v>
      </c>
    </row>
    <row r="5993" spans="1:3">
      <c r="A5993" s="571" t="s">
        <v>322</v>
      </c>
      <c r="B5993" s="572">
        <v>78.695400000000006</v>
      </c>
      <c r="C5993" s="572">
        <v>216.48500000000001</v>
      </c>
    </row>
    <row r="5994" spans="1:3">
      <c r="A5994" s="571" t="s">
        <v>322</v>
      </c>
      <c r="B5994" s="572">
        <v>88.847700000000003</v>
      </c>
      <c r="C5994" s="572">
        <v>226.20699999999999</v>
      </c>
    </row>
    <row r="5995" spans="1:3">
      <c r="A5995" s="571" t="s">
        <v>323</v>
      </c>
      <c r="B5995" s="572">
        <v>0.19223999999999997</v>
      </c>
      <c r="C5995" s="572">
        <v>8.0447000000000006</v>
      </c>
    </row>
    <row r="5996" spans="1:3">
      <c r="A5996" s="571" t="s">
        <v>323</v>
      </c>
      <c r="B5996" s="572">
        <v>0.25356000000000001</v>
      </c>
      <c r="C5996" s="572">
        <v>39.315600000000003</v>
      </c>
    </row>
    <row r="5997" spans="1:3">
      <c r="A5997" s="571" t="s">
        <v>323</v>
      </c>
      <c r="B5997" s="572">
        <v>0.54333000000000009</v>
      </c>
      <c r="C5997" s="572">
        <v>67.099400000000003</v>
      </c>
    </row>
    <row r="5998" spans="1:3">
      <c r="A5998" s="571" t="s">
        <v>323</v>
      </c>
      <c r="B5998" s="572">
        <v>0.57739999999999991</v>
      </c>
      <c r="C5998" s="572">
        <v>84.472099999999998</v>
      </c>
    </row>
    <row r="5999" spans="1:3">
      <c r="A5999" s="571" t="s">
        <v>323</v>
      </c>
      <c r="B5999" s="572">
        <v>1.0797300000000001</v>
      </c>
      <c r="C5999" s="572">
        <v>100.66200000000001</v>
      </c>
    </row>
    <row r="6000" spans="1:3">
      <c r="A6000" s="571" t="s">
        <v>323</v>
      </c>
      <c r="B6000" s="572">
        <v>1.5934200000000001</v>
      </c>
      <c r="C6000" s="572">
        <v>122.642</v>
      </c>
    </row>
    <row r="6001" spans="1:3">
      <c r="A6001" s="571" t="s">
        <v>323</v>
      </c>
      <c r="B6001" s="572">
        <v>2.6185200000000002</v>
      </c>
      <c r="C6001" s="572">
        <v>165.44499999999999</v>
      </c>
    </row>
    <row r="6002" spans="1:3">
      <c r="A6002" s="571" t="s">
        <v>323</v>
      </c>
      <c r="B6002" s="572">
        <v>5.7633200000000002</v>
      </c>
      <c r="C6002" s="572">
        <v>209.29300000000001</v>
      </c>
    </row>
    <row r="6003" spans="1:3">
      <c r="A6003" s="571" t="s">
        <v>323</v>
      </c>
      <c r="B6003" s="572">
        <v>9.3400999999999996</v>
      </c>
      <c r="C6003" s="572">
        <v>233.42699999999999</v>
      </c>
    </row>
    <row r="6004" spans="1:3">
      <c r="A6004" s="571" t="s">
        <v>323</v>
      </c>
      <c r="B6004" s="572">
        <v>14.3239</v>
      </c>
      <c r="C6004" s="572">
        <v>255.17</v>
      </c>
    </row>
    <row r="6005" spans="1:3">
      <c r="A6005" s="571" t="s">
        <v>323</v>
      </c>
      <c r="B6005" s="572">
        <v>18.821200000000001</v>
      </c>
      <c r="C6005" s="572">
        <v>268.83</v>
      </c>
    </row>
    <row r="6006" spans="1:3">
      <c r="A6006" s="571" t="s">
        <v>323</v>
      </c>
      <c r="B6006" s="572">
        <v>22.1173</v>
      </c>
      <c r="C6006" s="572">
        <v>269.81299999999999</v>
      </c>
    </row>
    <row r="6007" spans="1:3">
      <c r="A6007" s="571" t="s">
        <v>323</v>
      </c>
      <c r="B6007" s="572">
        <v>25.895199999999999</v>
      </c>
      <c r="C6007" s="572">
        <v>276.56200000000001</v>
      </c>
    </row>
    <row r="6008" spans="1:3">
      <c r="A6008" s="571" t="s">
        <v>323</v>
      </c>
      <c r="B6008" s="572">
        <v>29.191299999999998</v>
      </c>
      <c r="C6008" s="572">
        <v>277.54500000000002</v>
      </c>
    </row>
    <row r="6009" spans="1:3">
      <c r="A6009" s="571" t="s">
        <v>323</v>
      </c>
      <c r="B6009" s="572">
        <v>34.8536</v>
      </c>
      <c r="C6009" s="572">
        <v>285.35199999999998</v>
      </c>
    </row>
    <row r="6010" spans="1:3">
      <c r="A6010" s="571" t="s">
        <v>323</v>
      </c>
      <c r="B6010" s="572">
        <v>41.678699999999999</v>
      </c>
      <c r="C6010" s="572">
        <v>286.14699999999999</v>
      </c>
    </row>
    <row r="6011" spans="1:3">
      <c r="A6011" s="571" t="s">
        <v>323</v>
      </c>
      <c r="B6011" s="572">
        <v>48.035499999999999</v>
      </c>
      <c r="C6011" s="572">
        <v>288.12599999999998</v>
      </c>
    </row>
    <row r="6012" spans="1:3">
      <c r="A6012" s="571" t="s">
        <v>323</v>
      </c>
      <c r="B6012" s="572">
        <v>54.629899999999999</v>
      </c>
      <c r="C6012" s="572">
        <v>291.25</v>
      </c>
    </row>
    <row r="6013" spans="1:3">
      <c r="A6013" s="571" t="s">
        <v>323</v>
      </c>
      <c r="B6013" s="572">
        <v>61.930100000000003</v>
      </c>
      <c r="C6013" s="572">
        <v>294.33600000000001</v>
      </c>
    </row>
    <row r="6014" spans="1:3">
      <c r="A6014" s="571" t="s">
        <v>323</v>
      </c>
      <c r="B6014" s="572">
        <v>68.280100000000004</v>
      </c>
      <c r="C6014" s="572">
        <v>292.83999999999997</v>
      </c>
    </row>
    <row r="6015" spans="1:3">
      <c r="A6015" s="571" t="s">
        <v>323</v>
      </c>
      <c r="B6015" s="572">
        <v>71.107900000000001</v>
      </c>
      <c r="C6015" s="572">
        <v>295.00599999999997</v>
      </c>
    </row>
    <row r="6016" spans="1:3">
      <c r="A6016" s="571" t="s">
        <v>323</v>
      </c>
      <c r="B6016" s="572">
        <v>81.694999999999993</v>
      </c>
      <c r="C6016" s="572">
        <v>294.44299999999998</v>
      </c>
    </row>
    <row r="6017" spans="1:3">
      <c r="A6017" s="571" t="s">
        <v>323</v>
      </c>
      <c r="B6017" s="572">
        <v>96.288499999999999</v>
      </c>
      <c r="C6017" s="572">
        <v>297.142</v>
      </c>
    </row>
    <row r="6018" spans="1:3">
      <c r="A6018" s="573" t="s">
        <v>323</v>
      </c>
      <c r="B6018" s="574">
        <v>101.227</v>
      </c>
      <c r="C6018" s="574">
        <v>295.721</v>
      </c>
    </row>
    <row r="6019" spans="1:3">
      <c r="A6019" s="573" t="s">
        <v>323</v>
      </c>
      <c r="B6019" s="574">
        <v>105.46599999999999</v>
      </c>
      <c r="C6019" s="574">
        <v>297.81200000000001</v>
      </c>
    </row>
    <row r="6020" spans="1:3">
      <c r="A6020" s="573" t="s">
        <v>323</v>
      </c>
      <c r="B6020" s="574">
        <v>110.176</v>
      </c>
      <c r="C6020" s="574">
        <v>299.87799999999999</v>
      </c>
    </row>
    <row r="6021" spans="1:3">
      <c r="A6021" s="573" t="s">
        <v>323</v>
      </c>
      <c r="B6021" s="574">
        <v>116.29600000000001</v>
      </c>
      <c r="C6021" s="574">
        <v>300.71100000000001</v>
      </c>
    </row>
    <row r="6022" spans="1:3">
      <c r="A6022" s="573" t="s">
        <v>323</v>
      </c>
      <c r="B6022" s="574">
        <v>172.06299999999999</v>
      </c>
      <c r="C6022" s="574">
        <v>302.37799999999999</v>
      </c>
    </row>
    <row r="6023" spans="1:3">
      <c r="A6023" s="48" t="s">
        <v>324</v>
      </c>
      <c r="B6023" s="549">
        <v>-3.4475999999999951E-2</v>
      </c>
      <c r="C6023" s="549">
        <v>10.3477</v>
      </c>
    </row>
    <row r="6024" spans="1:3">
      <c r="A6024" s="571" t="s">
        <v>324</v>
      </c>
      <c r="B6024" s="572">
        <v>3.3519999999999994E-2</v>
      </c>
      <c r="C6024" s="572">
        <v>39.245399999999997</v>
      </c>
    </row>
    <row r="6025" spans="1:3">
      <c r="A6025" s="571" t="s">
        <v>324</v>
      </c>
      <c r="B6025" s="572">
        <v>8.2470000000000043E-2</v>
      </c>
      <c r="C6025" s="572">
        <v>60.0518</v>
      </c>
    </row>
    <row r="6026" spans="1:3">
      <c r="A6026" s="571" t="s">
        <v>324</v>
      </c>
      <c r="B6026" s="572">
        <v>0.38029000000000002</v>
      </c>
      <c r="C6026" s="572">
        <v>86.623800000000003</v>
      </c>
    </row>
    <row r="6027" spans="1:3">
      <c r="A6027" s="571" t="s">
        <v>324</v>
      </c>
      <c r="B6027" s="572">
        <v>0.6835500000000001</v>
      </c>
      <c r="C6027" s="572">
        <v>115.508</v>
      </c>
    </row>
    <row r="6028" spans="1:3">
      <c r="A6028" s="571" t="s">
        <v>324</v>
      </c>
      <c r="B6028" s="572">
        <v>0.97048000000000001</v>
      </c>
      <c r="C6028" s="572">
        <v>137.45599999999999</v>
      </c>
    </row>
    <row r="6029" spans="1:3">
      <c r="A6029" s="571" t="s">
        <v>324</v>
      </c>
      <c r="B6029" s="572">
        <v>1.7361</v>
      </c>
      <c r="C6029" s="572">
        <v>162.84399999999999</v>
      </c>
    </row>
    <row r="6030" spans="1:3">
      <c r="A6030" s="571" t="s">
        <v>324</v>
      </c>
      <c r="B6030" s="572">
        <v>2.4854099999999999</v>
      </c>
      <c r="C6030" s="572">
        <v>181.297</v>
      </c>
    </row>
    <row r="6031" spans="1:3">
      <c r="A6031" s="571" t="s">
        <v>324</v>
      </c>
      <c r="B6031" s="572">
        <v>3.9731300000000003</v>
      </c>
      <c r="C6031" s="572">
        <v>213.58</v>
      </c>
    </row>
    <row r="6032" spans="1:3">
      <c r="A6032" s="571" t="s">
        <v>324</v>
      </c>
      <c r="B6032" s="572">
        <v>6.1693600000000002</v>
      </c>
      <c r="C6032" s="572">
        <v>246.976</v>
      </c>
    </row>
    <row r="6033" spans="1:3">
      <c r="A6033" s="571" t="s">
        <v>324</v>
      </c>
      <c r="B6033" s="572">
        <v>7.6162799999999997</v>
      </c>
      <c r="C6033" s="572">
        <v>261.92</v>
      </c>
    </row>
    <row r="6034" spans="1:3">
      <c r="A6034" s="571" t="s">
        <v>324</v>
      </c>
      <c r="B6034" s="572">
        <v>11.7</v>
      </c>
      <c r="C6034" s="572">
        <v>297.517</v>
      </c>
    </row>
    <row r="6035" spans="1:3">
      <c r="A6035" s="571" t="s">
        <v>324</v>
      </c>
      <c r="B6035" s="572">
        <v>15.264299999999999</v>
      </c>
      <c r="C6035" s="572">
        <v>312.33499999999998</v>
      </c>
    </row>
    <row r="6036" spans="1:3">
      <c r="A6036" s="571" t="s">
        <v>324</v>
      </c>
      <c r="B6036" s="572">
        <v>19.055700000000002</v>
      </c>
      <c r="C6036" s="572">
        <v>323.673</v>
      </c>
    </row>
    <row r="6037" spans="1:3">
      <c r="A6037" s="571" t="s">
        <v>324</v>
      </c>
      <c r="B6037" s="572">
        <v>22.133099999999999</v>
      </c>
      <c r="C6037" s="572">
        <v>331.584</v>
      </c>
    </row>
    <row r="6038" spans="1:3">
      <c r="A6038" s="571" t="s">
        <v>324</v>
      </c>
      <c r="B6038" s="572">
        <v>25.448599999999999</v>
      </c>
      <c r="C6038" s="572">
        <v>340.637</v>
      </c>
    </row>
    <row r="6039" spans="1:3">
      <c r="A6039" s="571" t="s">
        <v>324</v>
      </c>
      <c r="B6039" s="572">
        <v>28.999199999999998</v>
      </c>
      <c r="C6039" s="572">
        <v>349.67599999999999</v>
      </c>
    </row>
    <row r="6040" spans="1:3">
      <c r="A6040" s="571" t="s">
        <v>324</v>
      </c>
      <c r="B6040" s="572">
        <v>35.1432</v>
      </c>
      <c r="C6040" s="572">
        <v>360.87400000000002</v>
      </c>
    </row>
    <row r="6041" spans="1:3">
      <c r="A6041" s="571" t="s">
        <v>324</v>
      </c>
      <c r="B6041" s="572">
        <v>41.038400000000003</v>
      </c>
      <c r="C6041" s="572">
        <v>366.30700000000002</v>
      </c>
    </row>
    <row r="6042" spans="1:3">
      <c r="A6042" s="571" t="s">
        <v>324</v>
      </c>
      <c r="B6042" s="572">
        <v>43.166600000000003</v>
      </c>
      <c r="C6042" s="572">
        <v>370.80500000000001</v>
      </c>
    </row>
    <row r="6043" spans="1:3">
      <c r="A6043" s="571" t="s">
        <v>324</v>
      </c>
      <c r="B6043" s="572">
        <v>48.128799999999998</v>
      </c>
      <c r="C6043" s="572">
        <v>379.76100000000002</v>
      </c>
    </row>
    <row r="6044" spans="1:3">
      <c r="A6044" s="571" t="s">
        <v>324</v>
      </c>
      <c r="B6044" s="572">
        <v>54.724299999999999</v>
      </c>
      <c r="C6044" s="572">
        <v>382.84</v>
      </c>
    </row>
    <row r="6045" spans="1:3">
      <c r="A6045" s="571" t="s">
        <v>324</v>
      </c>
      <c r="B6045" s="572">
        <v>62.501600000000003</v>
      </c>
      <c r="C6045" s="572">
        <v>388.16199999999998</v>
      </c>
    </row>
    <row r="6046" spans="1:3">
      <c r="A6046" s="571" t="s">
        <v>324</v>
      </c>
      <c r="B6046" s="572">
        <v>68.1614</v>
      </c>
      <c r="C6046" s="572">
        <v>393.60899999999998</v>
      </c>
    </row>
    <row r="6047" spans="1:3">
      <c r="A6047" s="571" t="s">
        <v>324</v>
      </c>
      <c r="B6047" s="572">
        <v>70.989999999999995</v>
      </c>
      <c r="C6047" s="572">
        <v>395.75400000000002</v>
      </c>
    </row>
    <row r="6048" spans="1:3">
      <c r="A6048" s="571" t="s">
        <v>324</v>
      </c>
      <c r="B6048" s="572">
        <v>81.844700000000003</v>
      </c>
      <c r="C6048" s="572">
        <v>408.98599999999999</v>
      </c>
    </row>
    <row r="6049" spans="1:3">
      <c r="A6049" s="571" t="s">
        <v>324</v>
      </c>
      <c r="B6049" s="572">
        <v>96.909599999999998</v>
      </c>
      <c r="C6049" s="572">
        <v>411.56599999999997</v>
      </c>
    </row>
    <row r="6050" spans="1:3">
      <c r="A6050" s="573" t="s">
        <v>324</v>
      </c>
      <c r="B6050" s="574">
        <v>101.38500000000001</v>
      </c>
      <c r="C6050" s="574">
        <v>413.61399999999998</v>
      </c>
    </row>
    <row r="6051" spans="1:3">
      <c r="A6051" s="573" t="s">
        <v>324</v>
      </c>
      <c r="B6051" s="574">
        <v>110.328</v>
      </c>
      <c r="C6051" s="574">
        <v>414.24299999999999</v>
      </c>
    </row>
    <row r="6052" spans="1:3">
      <c r="A6052" s="573" t="s">
        <v>324</v>
      </c>
      <c r="B6052" s="574">
        <v>116.212</v>
      </c>
      <c r="C6052" s="574">
        <v>415.05200000000002</v>
      </c>
    </row>
    <row r="6053" spans="1:3">
      <c r="A6053" s="573" t="s">
        <v>324</v>
      </c>
      <c r="B6053" s="574">
        <v>129.892</v>
      </c>
      <c r="C6053" s="574">
        <v>429.274</v>
      </c>
    </row>
    <row r="6054" spans="1:3">
      <c r="A6054" s="573" t="s">
        <v>324</v>
      </c>
      <c r="B6054" s="574">
        <v>143.786</v>
      </c>
      <c r="C6054" s="574">
        <v>434.23500000000001</v>
      </c>
    </row>
    <row r="6055" spans="1:3">
      <c r="A6055" s="573" t="s">
        <v>324</v>
      </c>
      <c r="B6055" s="574">
        <v>152.499</v>
      </c>
      <c r="C6055" s="574">
        <v>437.18900000000002</v>
      </c>
    </row>
    <row r="6056" spans="1:3">
      <c r="A6056" s="573" t="s">
        <v>324</v>
      </c>
      <c r="B6056" s="574">
        <v>170.41200000000001</v>
      </c>
      <c r="C6056" s="574">
        <v>450.005</v>
      </c>
    </row>
    <row r="6057" spans="1:3">
      <c r="A6057" s="571" t="s">
        <v>325</v>
      </c>
      <c r="B6057" s="572">
        <v>1.0914899999999998</v>
      </c>
      <c r="C6057" s="572">
        <v>9.0676400000000008</v>
      </c>
    </row>
    <row r="6058" spans="1:3">
      <c r="A6058" s="571" t="s">
        <v>325</v>
      </c>
      <c r="B6058" s="572">
        <v>1.5495000000000001</v>
      </c>
      <c r="C6058" s="572">
        <v>28.546399999999998</v>
      </c>
    </row>
    <row r="6059" spans="1:3">
      <c r="A6059" s="571" t="s">
        <v>325</v>
      </c>
      <c r="B6059" s="572">
        <v>2.0048300000000001</v>
      </c>
      <c r="C6059" s="572">
        <v>54.9086</v>
      </c>
    </row>
    <row r="6060" spans="1:3">
      <c r="A6060" s="571" t="s">
        <v>325</v>
      </c>
      <c r="B6060" s="572">
        <v>3.3895099999999996</v>
      </c>
      <c r="C6060" s="572">
        <v>85.8108</v>
      </c>
    </row>
    <row r="6061" spans="1:3">
      <c r="A6061" s="571" t="s">
        <v>325</v>
      </c>
      <c r="B6061" s="572">
        <v>3.3944099999999997</v>
      </c>
      <c r="C6061" s="572">
        <v>73.191100000000006</v>
      </c>
    </row>
    <row r="6062" spans="1:3">
      <c r="A6062" s="571" t="s">
        <v>325</v>
      </c>
      <c r="B6062" s="572">
        <v>4.5503099999999996</v>
      </c>
      <c r="C6062" s="572">
        <v>93.780299999999997</v>
      </c>
    </row>
    <row r="6063" spans="1:3">
      <c r="A6063" s="571" t="s">
        <v>325</v>
      </c>
      <c r="B6063" s="572">
        <v>5.2451100000000004</v>
      </c>
      <c r="C6063" s="572">
        <v>102.92100000000001</v>
      </c>
    </row>
    <row r="6064" spans="1:3">
      <c r="A6064" s="571" t="s">
        <v>325</v>
      </c>
      <c r="B6064" s="572">
        <v>6.4023500000000002</v>
      </c>
      <c r="C6064" s="572">
        <v>120.069</v>
      </c>
    </row>
    <row r="6065" spans="1:3">
      <c r="A6065" s="571" t="s">
        <v>325</v>
      </c>
      <c r="B6065" s="572">
        <v>8.4929500000000004</v>
      </c>
      <c r="C6065" s="572">
        <v>131.43100000000001</v>
      </c>
    </row>
    <row r="6066" spans="1:3">
      <c r="A6066" s="571" t="s">
        <v>325</v>
      </c>
      <c r="B6066" s="572">
        <v>13.606199999999999</v>
      </c>
      <c r="C6066" s="572">
        <v>151.81200000000001</v>
      </c>
    </row>
    <row r="6067" spans="1:3">
      <c r="A6067" s="571" t="s">
        <v>325</v>
      </c>
      <c r="B6067" s="572">
        <v>15.4649</v>
      </c>
      <c r="C6067" s="572">
        <v>160.892</v>
      </c>
    </row>
    <row r="6068" spans="1:3">
      <c r="A6068" s="571" t="s">
        <v>325</v>
      </c>
      <c r="B6068" s="572">
        <v>17.791399999999999</v>
      </c>
      <c r="C6068" s="572">
        <v>164.21100000000001</v>
      </c>
    </row>
    <row r="6069" spans="1:3">
      <c r="A6069" s="571" t="s">
        <v>325</v>
      </c>
      <c r="B6069" s="572">
        <v>19.885100000000001</v>
      </c>
      <c r="C6069" s="572">
        <v>167.542</v>
      </c>
    </row>
    <row r="6070" spans="1:3">
      <c r="A6070" s="571" t="s">
        <v>325</v>
      </c>
      <c r="B6070" s="572">
        <v>23.140999999999998</v>
      </c>
      <c r="C6070" s="572">
        <v>175.40100000000001</v>
      </c>
    </row>
    <row r="6071" spans="1:3">
      <c r="A6071" s="571" t="s">
        <v>325</v>
      </c>
      <c r="B6071" s="572">
        <v>26.8642</v>
      </c>
      <c r="C6071" s="572">
        <v>178.64699999999999</v>
      </c>
    </row>
    <row r="6072" spans="1:3">
      <c r="A6072" s="571" t="s">
        <v>325</v>
      </c>
      <c r="B6072" s="572">
        <v>29.8904</v>
      </c>
      <c r="C6072" s="572">
        <v>178.48699999999999</v>
      </c>
    </row>
    <row r="6073" spans="1:3">
      <c r="A6073" s="571" t="s">
        <v>325</v>
      </c>
      <c r="B6073" s="572">
        <v>33.380800000000001</v>
      </c>
      <c r="C6073" s="572">
        <v>181.745</v>
      </c>
    </row>
    <row r="6074" spans="1:3">
      <c r="A6074" s="571" t="s">
        <v>325</v>
      </c>
      <c r="B6074" s="572">
        <v>35.941400000000002</v>
      </c>
      <c r="C6074" s="572">
        <v>181.61</v>
      </c>
    </row>
    <row r="6075" spans="1:3">
      <c r="A6075" s="571" t="s">
        <v>325</v>
      </c>
      <c r="B6075" s="572">
        <v>40.362499999999997</v>
      </c>
      <c r="C6075" s="572">
        <v>185.96600000000001</v>
      </c>
    </row>
    <row r="6076" spans="1:3">
      <c r="A6076" s="571" t="s">
        <v>325</v>
      </c>
      <c r="B6076" s="572">
        <v>43.8538</v>
      </c>
      <c r="C6076" s="572">
        <v>186.93</v>
      </c>
    </row>
    <row r="6077" spans="1:3">
      <c r="A6077" s="571" t="s">
        <v>325</v>
      </c>
      <c r="B6077" s="572">
        <v>47.111499999999999</v>
      </c>
      <c r="C6077" s="572">
        <v>190.2</v>
      </c>
    </row>
    <row r="6078" spans="1:3">
      <c r="A6078" s="571" t="s">
        <v>325</v>
      </c>
      <c r="B6078" s="572">
        <v>50.138100000000001</v>
      </c>
      <c r="C6078" s="572">
        <v>188.893</v>
      </c>
    </row>
    <row r="6079" spans="1:3">
      <c r="A6079" s="571" t="s">
        <v>325</v>
      </c>
      <c r="B6079" s="572">
        <v>54.327800000000003</v>
      </c>
      <c r="C6079" s="572">
        <v>189.82</v>
      </c>
    </row>
    <row r="6080" spans="1:3">
      <c r="A6080" s="571" t="s">
        <v>325</v>
      </c>
      <c r="B6080" s="572">
        <v>57.819099999999999</v>
      </c>
      <c r="C6080" s="572">
        <v>190.78299999999999</v>
      </c>
    </row>
    <row r="6081" spans="1:3">
      <c r="A6081" s="571" t="s">
        <v>325</v>
      </c>
      <c r="B6081" s="572">
        <v>63.636499999999998</v>
      </c>
      <c r="C6081" s="572">
        <v>196.21299999999999</v>
      </c>
    </row>
    <row r="6082" spans="1:3">
      <c r="A6082" s="571" t="s">
        <v>325</v>
      </c>
      <c r="B6082" s="572">
        <v>69.921599999999998</v>
      </c>
      <c r="C6082" s="572">
        <v>195.88200000000001</v>
      </c>
    </row>
    <row r="6083" spans="1:3">
      <c r="A6083" s="571" t="s">
        <v>325</v>
      </c>
      <c r="B6083" s="572">
        <v>83.421800000000005</v>
      </c>
      <c r="C6083" s="572">
        <v>198.61199999999999</v>
      </c>
    </row>
    <row r="6084" spans="1:3">
      <c r="A6084" s="571" t="s">
        <v>325</v>
      </c>
      <c r="B6084" s="572">
        <v>90.636700000000005</v>
      </c>
      <c r="C6084" s="572">
        <v>201.67400000000001</v>
      </c>
    </row>
    <row r="6085" spans="1:3">
      <c r="A6085" s="571" t="s">
        <v>325</v>
      </c>
      <c r="B6085" s="572">
        <v>95.991600000000005</v>
      </c>
      <c r="C6085" s="572">
        <v>199.09700000000001</v>
      </c>
    </row>
    <row r="6086" spans="1:3">
      <c r="A6086" s="571" t="s">
        <v>325</v>
      </c>
      <c r="B6086" s="572">
        <v>98.784199999999998</v>
      </c>
      <c r="C6086" s="572">
        <v>201.244</v>
      </c>
    </row>
    <row r="6087" spans="1:3">
      <c r="A6087" s="573" t="s">
        <v>325</v>
      </c>
      <c r="B6087" s="574">
        <v>109.026</v>
      </c>
      <c r="C6087" s="574">
        <v>202.999</v>
      </c>
    </row>
    <row r="6088" spans="1:3">
      <c r="A6088" s="573" t="s">
        <v>325</v>
      </c>
      <c r="B6088" s="574">
        <v>125.553</v>
      </c>
      <c r="C6088" s="574">
        <v>203.27600000000001</v>
      </c>
    </row>
    <row r="6089" spans="1:3">
      <c r="A6089" s="573" t="s">
        <v>325</v>
      </c>
      <c r="B6089" s="574">
        <v>130.209</v>
      </c>
      <c r="C6089" s="574">
        <v>203.03100000000001</v>
      </c>
    </row>
    <row r="6090" spans="1:3">
      <c r="A6090" s="573" t="s">
        <v>325</v>
      </c>
      <c r="B6090" s="574">
        <v>138.822</v>
      </c>
      <c r="C6090" s="574">
        <v>202.577</v>
      </c>
    </row>
    <row r="6091" spans="1:3">
      <c r="A6091" s="573" t="s">
        <v>325</v>
      </c>
      <c r="B6091" s="574">
        <v>144.40799999999999</v>
      </c>
      <c r="C6091" s="574">
        <v>203.43</v>
      </c>
    </row>
    <row r="6092" spans="1:3">
      <c r="A6092" s="573" t="s">
        <v>325</v>
      </c>
      <c r="B6092" s="574">
        <v>157.44300000000001</v>
      </c>
      <c r="C6092" s="574">
        <v>205.03800000000001</v>
      </c>
    </row>
    <row r="6093" spans="1:3">
      <c r="A6093" s="573" t="s">
        <v>325</v>
      </c>
      <c r="B6093" s="574">
        <v>171.17699999999999</v>
      </c>
      <c r="C6093" s="574">
        <v>204.31399999999999</v>
      </c>
    </row>
    <row r="6094" spans="1:3">
      <c r="A6094" s="573" t="s">
        <v>325</v>
      </c>
      <c r="B6094" s="574">
        <v>180.02199999999999</v>
      </c>
      <c r="C6094" s="574">
        <v>207.29</v>
      </c>
    </row>
    <row r="6095" spans="1:3">
      <c r="A6095" s="573" t="s">
        <v>325</v>
      </c>
      <c r="B6095" s="574">
        <v>198.64500000000001</v>
      </c>
      <c r="C6095" s="574">
        <v>205.16200000000001</v>
      </c>
    </row>
    <row r="6096" spans="1:3">
      <c r="A6096" s="571" t="s">
        <v>326</v>
      </c>
      <c r="B6096" s="572">
        <v>0.6313899999999999</v>
      </c>
      <c r="C6096" s="572">
        <v>1.6313899999999999</v>
      </c>
    </row>
    <row r="6097" spans="1:3">
      <c r="A6097" s="571" t="s">
        <v>326</v>
      </c>
      <c r="B6097" s="572">
        <v>1.0975000000000001</v>
      </c>
      <c r="C6097" s="572">
        <v>84.796599999999998</v>
      </c>
    </row>
    <row r="6098" spans="1:3">
      <c r="A6098" s="571" t="s">
        <v>326</v>
      </c>
      <c r="B6098" s="572">
        <v>1.3305600000000002</v>
      </c>
      <c r="C6098" s="572">
        <v>116.908</v>
      </c>
    </row>
    <row r="6099" spans="1:3">
      <c r="A6099" s="571" t="s">
        <v>326</v>
      </c>
      <c r="B6099" s="572">
        <v>2.4958399999999998</v>
      </c>
      <c r="C6099" s="572">
        <v>150.12299999999999</v>
      </c>
    </row>
    <row r="6100" spans="1:3">
      <c r="A6100" s="571" t="s">
        <v>326</v>
      </c>
      <c r="B6100" s="572">
        <v>3.4280600000000003</v>
      </c>
      <c r="C6100" s="572">
        <v>168.435</v>
      </c>
    </row>
    <row r="6101" spans="1:3">
      <c r="A6101" s="571" t="s">
        <v>326</v>
      </c>
      <c r="B6101" s="572">
        <v>4.8263999999999996</v>
      </c>
      <c r="C6101" s="572">
        <v>195.90299999999999</v>
      </c>
    </row>
    <row r="6102" spans="1:3">
      <c r="A6102" s="571" t="s">
        <v>326</v>
      </c>
      <c r="B6102" s="572">
        <v>5.29251</v>
      </c>
      <c r="C6102" s="572">
        <v>207.35400000000001</v>
      </c>
    </row>
    <row r="6103" spans="1:3">
      <c r="A6103" s="571" t="s">
        <v>326</v>
      </c>
      <c r="B6103" s="572">
        <v>6.6908399999999997</v>
      </c>
      <c r="C6103" s="572">
        <v>221.05500000000001</v>
      </c>
    </row>
    <row r="6104" spans="1:3">
      <c r="A6104" s="571" t="s">
        <v>326</v>
      </c>
      <c r="B6104" s="572">
        <v>7.1569599999999998</v>
      </c>
      <c r="C6104" s="572">
        <v>235.947</v>
      </c>
    </row>
    <row r="6105" spans="1:3">
      <c r="A6105" s="571" t="s">
        <v>326</v>
      </c>
      <c r="B6105" s="572">
        <v>8.3222400000000007</v>
      </c>
      <c r="C6105" s="572">
        <v>248.512</v>
      </c>
    </row>
    <row r="6106" spans="1:3">
      <c r="A6106" s="571" t="s">
        <v>326</v>
      </c>
      <c r="B6106" s="572">
        <v>12.750299999999999</v>
      </c>
      <c r="C6106" s="572">
        <v>282.721</v>
      </c>
    </row>
    <row r="6107" spans="1:3">
      <c r="A6107" s="571" t="s">
        <v>326</v>
      </c>
      <c r="B6107" s="572">
        <v>15.3139</v>
      </c>
      <c r="C6107" s="572">
        <v>296.36799999999999</v>
      </c>
    </row>
    <row r="6108" spans="1:3">
      <c r="A6108" s="571" t="s">
        <v>326</v>
      </c>
      <c r="B6108" s="572">
        <v>17.644500000000001</v>
      </c>
      <c r="C6108" s="572">
        <v>303.142</v>
      </c>
    </row>
    <row r="6109" spans="1:3">
      <c r="A6109" s="571" t="s">
        <v>326</v>
      </c>
      <c r="B6109" s="572">
        <v>21.1403</v>
      </c>
      <c r="C6109" s="572">
        <v>308.71499999999997</v>
      </c>
    </row>
    <row r="6110" spans="1:3">
      <c r="A6110" s="571" t="s">
        <v>326</v>
      </c>
      <c r="B6110" s="572">
        <v>23.4709</v>
      </c>
      <c r="C6110" s="572">
        <v>314.34199999999998</v>
      </c>
    </row>
    <row r="6111" spans="1:3">
      <c r="A6111" s="571" t="s">
        <v>326</v>
      </c>
      <c r="B6111" s="572">
        <v>27.1998</v>
      </c>
      <c r="C6111" s="572">
        <v>325.63900000000001</v>
      </c>
    </row>
    <row r="6112" spans="1:3">
      <c r="A6112" s="571" t="s">
        <v>326</v>
      </c>
      <c r="B6112" s="572">
        <v>29.996400000000001</v>
      </c>
      <c r="C6112" s="572">
        <v>330.09699999999998</v>
      </c>
    </row>
    <row r="6113" spans="1:3">
      <c r="A6113" s="571" t="s">
        <v>326</v>
      </c>
      <c r="B6113" s="572">
        <v>33.026200000000003</v>
      </c>
      <c r="C6113" s="572">
        <v>333.39699999999999</v>
      </c>
    </row>
    <row r="6114" spans="1:3">
      <c r="A6114" s="571" t="s">
        <v>326</v>
      </c>
      <c r="B6114" s="572">
        <v>35.589799999999997</v>
      </c>
      <c r="C6114" s="572">
        <v>334.42399999999998</v>
      </c>
    </row>
    <row r="6115" spans="1:3">
      <c r="A6115" s="571" t="s">
        <v>326</v>
      </c>
      <c r="B6115" s="572">
        <v>36.288899999999998</v>
      </c>
      <c r="C6115" s="572">
        <v>341.27499999999998</v>
      </c>
    </row>
    <row r="6116" spans="1:3">
      <c r="A6116" s="571" t="s">
        <v>326</v>
      </c>
      <c r="B6116" s="572">
        <v>40.250900000000001</v>
      </c>
      <c r="C6116" s="572">
        <v>349.12</v>
      </c>
    </row>
    <row r="6117" spans="1:3">
      <c r="A6117" s="571" t="s">
        <v>326</v>
      </c>
      <c r="B6117" s="572">
        <v>43.2806</v>
      </c>
      <c r="C6117" s="572">
        <v>350.125</v>
      </c>
    </row>
    <row r="6118" spans="1:3">
      <c r="A6118" s="571" t="s">
        <v>326</v>
      </c>
      <c r="B6118" s="572">
        <v>47.009500000000003</v>
      </c>
      <c r="C6118" s="572">
        <v>355.68700000000001</v>
      </c>
    </row>
    <row r="6119" spans="1:3">
      <c r="A6119" s="571" t="s">
        <v>326</v>
      </c>
      <c r="B6119" s="572">
        <v>50.039200000000001</v>
      </c>
      <c r="C6119" s="572">
        <v>356.69200000000001</v>
      </c>
    </row>
    <row r="6120" spans="1:3">
      <c r="A6120" s="571" t="s">
        <v>326</v>
      </c>
      <c r="B6120" s="572">
        <v>54.001199999999997</v>
      </c>
      <c r="C6120" s="572">
        <v>359.94799999999998</v>
      </c>
    </row>
    <row r="6121" spans="1:3">
      <c r="A6121" s="571" t="s">
        <v>326</v>
      </c>
      <c r="B6121" s="572">
        <v>56.331699999999998</v>
      </c>
      <c r="C6121" s="572">
        <v>363.28100000000001</v>
      </c>
    </row>
    <row r="6122" spans="1:3">
      <c r="A6122" s="571" t="s">
        <v>326</v>
      </c>
      <c r="B6122" s="572">
        <v>57.7301</v>
      </c>
      <c r="C6122" s="572">
        <v>364.363</v>
      </c>
    </row>
    <row r="6123" spans="1:3">
      <c r="A6123" s="571" t="s">
        <v>326</v>
      </c>
      <c r="B6123" s="572">
        <v>63.5565</v>
      </c>
      <c r="C6123" s="572">
        <v>368.67899999999997</v>
      </c>
    </row>
    <row r="6124" spans="1:3">
      <c r="A6124" s="571" t="s">
        <v>326</v>
      </c>
      <c r="B6124" s="572">
        <v>69.382900000000006</v>
      </c>
      <c r="C6124" s="572">
        <v>370.7</v>
      </c>
    </row>
    <row r="6125" spans="1:3">
      <c r="A6125" s="571" t="s">
        <v>326</v>
      </c>
      <c r="B6125" s="572">
        <v>71.014300000000006</v>
      </c>
      <c r="C6125" s="572">
        <v>375.21300000000002</v>
      </c>
    </row>
    <row r="6126" spans="1:3">
      <c r="A6126" s="571" t="s">
        <v>326</v>
      </c>
      <c r="B6126" s="572">
        <v>75.675399999999996</v>
      </c>
      <c r="C6126" s="572">
        <v>378.43599999999998</v>
      </c>
    </row>
    <row r="6127" spans="1:3">
      <c r="A6127" s="571" t="s">
        <v>326</v>
      </c>
      <c r="B6127" s="572">
        <v>82.900099999999995</v>
      </c>
      <c r="C6127" s="572">
        <v>382.68700000000001</v>
      </c>
    </row>
    <row r="6128" spans="1:3">
      <c r="A6128" s="571" t="s">
        <v>326</v>
      </c>
      <c r="B6128" s="572">
        <v>89.658699999999996</v>
      </c>
      <c r="C6128" s="572">
        <v>384.66500000000002</v>
      </c>
    </row>
    <row r="6129" spans="1:3">
      <c r="A6129" s="571" t="s">
        <v>326</v>
      </c>
      <c r="B6129" s="572">
        <v>95.485100000000003</v>
      </c>
      <c r="C6129" s="572">
        <v>388.98099999999999</v>
      </c>
    </row>
    <row r="6130" spans="1:3">
      <c r="A6130" s="571" t="s">
        <v>326</v>
      </c>
      <c r="B6130" s="572">
        <v>98.281800000000004</v>
      </c>
      <c r="C6130" s="572">
        <v>391.14499999999998</v>
      </c>
    </row>
    <row r="6131" spans="1:3">
      <c r="A6131" s="573" t="s">
        <v>326</v>
      </c>
      <c r="B6131" s="574">
        <v>109.468</v>
      </c>
      <c r="C6131" s="574">
        <v>395.21</v>
      </c>
    </row>
    <row r="6132" spans="1:3">
      <c r="A6132" s="573" t="s">
        <v>326</v>
      </c>
      <c r="B6132" s="574">
        <v>124.617</v>
      </c>
      <c r="C6132" s="574">
        <v>404.82499999999999</v>
      </c>
    </row>
    <row r="6133" spans="1:3">
      <c r="A6133" s="573" t="s">
        <v>326</v>
      </c>
      <c r="B6133" s="574">
        <v>129.744</v>
      </c>
      <c r="C6133" s="574">
        <v>406.88</v>
      </c>
    </row>
    <row r="6134" spans="1:3">
      <c r="A6134" s="573" t="s">
        <v>326</v>
      </c>
      <c r="B6134" s="574">
        <v>138.13399999999999</v>
      </c>
      <c r="C6134" s="574">
        <v>407.63400000000001</v>
      </c>
    </row>
    <row r="6135" spans="1:3">
      <c r="A6135" s="573" t="s">
        <v>326</v>
      </c>
      <c r="B6135" s="574">
        <v>144.19399999999999</v>
      </c>
      <c r="C6135" s="574">
        <v>410.79199999999997</v>
      </c>
    </row>
    <row r="6136" spans="1:3">
      <c r="A6136" s="573" t="s">
        <v>326</v>
      </c>
      <c r="B6136" s="574">
        <v>157.012</v>
      </c>
      <c r="C6136" s="574">
        <v>415.928</v>
      </c>
    </row>
    <row r="6137" spans="1:3">
      <c r="A6137" s="573" t="s">
        <v>326</v>
      </c>
      <c r="B6137" s="574">
        <v>171.22800000000001</v>
      </c>
      <c r="C6137" s="574">
        <v>419.851</v>
      </c>
    </row>
    <row r="6138" spans="1:3">
      <c r="A6138" s="573" t="s">
        <v>326</v>
      </c>
      <c r="B6138" s="574">
        <v>179.851</v>
      </c>
      <c r="C6138" s="574">
        <v>426.33100000000002</v>
      </c>
    </row>
    <row r="6139" spans="1:3">
      <c r="A6139" s="573" t="s">
        <v>326</v>
      </c>
      <c r="B6139" s="574">
        <v>198.26300000000001</v>
      </c>
      <c r="C6139" s="574">
        <v>436.94099999999997</v>
      </c>
    </row>
    <row r="6140" spans="1:3">
      <c r="A6140" s="571" t="s">
        <v>327</v>
      </c>
      <c r="B6140" s="572">
        <v>0.1632499999999999</v>
      </c>
      <c r="C6140" s="572">
        <v>12.5891</v>
      </c>
    </row>
    <row r="6141" spans="1:3">
      <c r="A6141" s="571" t="s">
        <v>327</v>
      </c>
      <c r="B6141" s="572">
        <v>0.39981</v>
      </c>
      <c r="C6141" s="572">
        <v>25.221699999999998</v>
      </c>
    </row>
    <row r="6142" spans="1:3">
      <c r="A6142" s="571" t="s">
        <v>327</v>
      </c>
      <c r="B6142" s="572">
        <v>1.1010499999999999</v>
      </c>
      <c r="C6142" s="572">
        <v>41.280700000000003</v>
      </c>
    </row>
    <row r="6143" spans="1:3">
      <c r="A6143" s="571" t="s">
        <v>327</v>
      </c>
      <c r="B6143" s="572">
        <v>2.0366200000000001</v>
      </c>
      <c r="C6143" s="572">
        <v>64.225399999999993</v>
      </c>
    </row>
    <row r="6144" spans="1:3">
      <c r="A6144" s="571" t="s">
        <v>327</v>
      </c>
      <c r="B6144" s="572">
        <v>4.5948000000000002</v>
      </c>
      <c r="C6144" s="572">
        <v>89.392700000000005</v>
      </c>
    </row>
    <row r="6145" spans="1:3">
      <c r="A6145" s="571" t="s">
        <v>327</v>
      </c>
      <c r="B6145" s="572">
        <v>6.2196300000000004</v>
      </c>
      <c r="C6145" s="572">
        <v>97.362399999999994</v>
      </c>
    </row>
    <row r="6146" spans="1:3">
      <c r="A6146" s="571" t="s">
        <v>327</v>
      </c>
      <c r="B6146" s="572">
        <v>8.3100199999999997</v>
      </c>
      <c r="C6146" s="572">
        <v>111.057</v>
      </c>
    </row>
    <row r="6147" spans="1:3">
      <c r="A6147" s="571" t="s">
        <v>327</v>
      </c>
      <c r="B6147" s="572">
        <v>11.7882</v>
      </c>
      <c r="C6147" s="572">
        <v>118.94</v>
      </c>
    </row>
    <row r="6148" spans="1:3">
      <c r="A6148" s="571" t="s">
        <v>327</v>
      </c>
      <c r="B6148" s="572">
        <v>15.7285</v>
      </c>
      <c r="C6148" s="572">
        <v>123.35299999999999</v>
      </c>
    </row>
    <row r="6149" spans="1:3">
      <c r="A6149" s="571" t="s">
        <v>327</v>
      </c>
      <c r="B6149" s="572">
        <v>19.437000000000001</v>
      </c>
      <c r="C6149" s="572">
        <v>127.777</v>
      </c>
    </row>
    <row r="6150" spans="1:3">
      <c r="A6150" s="571" t="s">
        <v>327</v>
      </c>
      <c r="B6150" s="572">
        <v>23.376000000000001</v>
      </c>
      <c r="C6150" s="572">
        <v>128.74100000000001</v>
      </c>
    </row>
    <row r="6151" spans="1:3">
      <c r="A6151" s="571" t="s">
        <v>327</v>
      </c>
      <c r="B6151" s="572">
        <v>28.2424</v>
      </c>
      <c r="C6151" s="572">
        <v>131.96100000000001</v>
      </c>
    </row>
    <row r="6152" spans="1:3">
      <c r="A6152" s="571" t="s">
        <v>327</v>
      </c>
      <c r="B6152" s="572">
        <v>32.414400000000001</v>
      </c>
      <c r="C6152" s="572">
        <v>136.363</v>
      </c>
    </row>
    <row r="6153" spans="1:3">
      <c r="A6153" s="571" t="s">
        <v>327</v>
      </c>
      <c r="B6153" s="572">
        <v>35.195799999999998</v>
      </c>
      <c r="C6153" s="572">
        <v>139.68100000000001</v>
      </c>
    </row>
    <row r="6154" spans="1:3">
      <c r="A6154" s="571" t="s">
        <v>327</v>
      </c>
      <c r="B6154" s="572">
        <v>38.670400000000001</v>
      </c>
      <c r="C6154" s="572">
        <v>138.369</v>
      </c>
    </row>
    <row r="6155" spans="1:3">
      <c r="A6155" s="571" t="s">
        <v>327</v>
      </c>
      <c r="B6155" s="572">
        <v>41.914299999999997</v>
      </c>
      <c r="C6155" s="572">
        <v>139.36600000000001</v>
      </c>
    </row>
    <row r="6156" spans="1:3">
      <c r="A6156" s="571" t="s">
        <v>327</v>
      </c>
      <c r="B6156" s="572">
        <v>46.779899999999998</v>
      </c>
      <c r="C6156" s="572">
        <v>140.28700000000001</v>
      </c>
    </row>
    <row r="6157" spans="1:3">
      <c r="A6157" s="571" t="s">
        <v>327</v>
      </c>
      <c r="B6157" s="572">
        <v>49.096200000000003</v>
      </c>
      <c r="C6157" s="572">
        <v>139.029</v>
      </c>
    </row>
    <row r="6158" spans="1:3">
      <c r="A6158" s="571" t="s">
        <v>327</v>
      </c>
      <c r="B6158" s="572">
        <v>55.120699999999999</v>
      </c>
      <c r="C6158" s="572">
        <v>141.04499999999999</v>
      </c>
    </row>
    <row r="6159" spans="1:3">
      <c r="A6159" s="571" t="s">
        <v>327</v>
      </c>
      <c r="B6159" s="572">
        <v>61.145499999999998</v>
      </c>
      <c r="C6159" s="572">
        <v>144.21100000000001</v>
      </c>
    </row>
    <row r="6160" spans="1:3">
      <c r="A6160" s="571" t="s">
        <v>327</v>
      </c>
      <c r="B6160" s="572">
        <v>67.863600000000005</v>
      </c>
      <c r="C6160" s="572">
        <v>142.74600000000001</v>
      </c>
    </row>
    <row r="6161" spans="1:3">
      <c r="A6161" s="571" t="s">
        <v>327</v>
      </c>
      <c r="B6161" s="572">
        <v>74.814700000000002</v>
      </c>
      <c r="C6161" s="572">
        <v>144.71899999999999</v>
      </c>
    </row>
    <row r="6162" spans="1:3">
      <c r="A6162" s="571" t="s">
        <v>327</v>
      </c>
      <c r="B6162" s="572">
        <v>87.556799999999996</v>
      </c>
      <c r="C6162" s="572">
        <v>144.12100000000001</v>
      </c>
    </row>
    <row r="6163" spans="1:3">
      <c r="A6163" s="573" t="s">
        <v>327</v>
      </c>
      <c r="B6163" s="574">
        <v>116.05500000000001</v>
      </c>
      <c r="C6163" s="574">
        <v>147.38200000000001</v>
      </c>
    </row>
    <row r="6164" spans="1:3">
      <c r="A6164" s="573" t="s">
        <v>327</v>
      </c>
      <c r="B6164" s="574">
        <v>149.184</v>
      </c>
      <c r="C6164" s="574">
        <v>146.977</v>
      </c>
    </row>
    <row r="6165" spans="1:3">
      <c r="A6165" s="573" t="s">
        <v>327</v>
      </c>
      <c r="B6165" s="574">
        <v>172.35300000000001</v>
      </c>
      <c r="C6165" s="574">
        <v>148.18899999999999</v>
      </c>
    </row>
    <row r="6166" spans="1:3">
      <c r="A6166" s="573" t="s">
        <v>327</v>
      </c>
      <c r="B6166" s="574">
        <v>190.886</v>
      </c>
      <c r="C6166" s="574">
        <v>146.16999999999999</v>
      </c>
    </row>
    <row r="6167" spans="1:3">
      <c r="A6167" s="571" t="s">
        <v>328</v>
      </c>
      <c r="B6167" s="572">
        <v>0.40023999999999993</v>
      </c>
      <c r="C6167" s="572">
        <v>26.328900000000001</v>
      </c>
    </row>
    <row r="6168" spans="1:3">
      <c r="A6168" s="571" t="s">
        <v>328</v>
      </c>
      <c r="B6168" s="572">
        <v>0.62660000000000005</v>
      </c>
      <c r="C6168" s="572">
        <v>12.552899999999999</v>
      </c>
    </row>
    <row r="6169" spans="1:3">
      <c r="A6169" s="571" t="s">
        <v>328</v>
      </c>
      <c r="B6169" s="572">
        <v>1.1005799999999999</v>
      </c>
      <c r="C6169" s="572">
        <v>40.066899999999997</v>
      </c>
    </row>
    <row r="6170" spans="1:3">
      <c r="A6170" s="571" t="s">
        <v>328</v>
      </c>
      <c r="B6170" s="572">
        <v>2.4994900000000002</v>
      </c>
      <c r="C6170" s="572">
        <v>62.954099999999997</v>
      </c>
    </row>
    <row r="6171" spans="1:3">
      <c r="A6171" s="571" t="s">
        <v>328</v>
      </c>
      <c r="B6171" s="572">
        <v>3.9006100000000004</v>
      </c>
      <c r="C6171" s="572">
        <v>91.577399999999997</v>
      </c>
    </row>
    <row r="6172" spans="1:3">
      <c r="A6172" s="571" t="s">
        <v>328</v>
      </c>
      <c r="B6172" s="572">
        <v>7.6206999999999994</v>
      </c>
      <c r="C6172" s="572">
        <v>125.842</v>
      </c>
    </row>
    <row r="6173" spans="1:3">
      <c r="A6173" s="571" t="s">
        <v>328</v>
      </c>
      <c r="B6173" s="572">
        <v>11.5702</v>
      </c>
      <c r="C6173" s="572">
        <v>154.36099999999999</v>
      </c>
    </row>
    <row r="6174" spans="1:3">
      <c r="A6174" s="571" t="s">
        <v>328</v>
      </c>
      <c r="B6174" s="572">
        <v>13.657999999999999</v>
      </c>
      <c r="C6174" s="572">
        <v>161.15899999999999</v>
      </c>
    </row>
    <row r="6175" spans="1:3">
      <c r="A6175" s="571" t="s">
        <v>328</v>
      </c>
      <c r="B6175" s="572">
        <v>15.284099999999999</v>
      </c>
      <c r="C6175" s="572">
        <v>172.56399999999999</v>
      </c>
    </row>
    <row r="6176" spans="1:3">
      <c r="A6176" s="571" t="s">
        <v>328</v>
      </c>
      <c r="B6176" s="572">
        <v>18.070399999999999</v>
      </c>
      <c r="C6176" s="572">
        <v>188.511</v>
      </c>
    </row>
    <row r="6177" spans="1:3">
      <c r="A6177" s="571" t="s">
        <v>328</v>
      </c>
      <c r="B6177" s="572">
        <v>21.087499999999999</v>
      </c>
      <c r="C6177" s="572">
        <v>202.154</v>
      </c>
    </row>
    <row r="6178" spans="1:3">
      <c r="A6178" s="571" t="s">
        <v>328</v>
      </c>
      <c r="B6178" s="572">
        <v>24.800999999999998</v>
      </c>
      <c r="C6178" s="572">
        <v>219.21100000000001</v>
      </c>
    </row>
    <row r="6179" spans="1:3">
      <c r="A6179" s="571" t="s">
        <v>328</v>
      </c>
      <c r="B6179" s="572">
        <v>28.046600000000002</v>
      </c>
      <c r="C6179" s="572">
        <v>224.81399999999999</v>
      </c>
    </row>
    <row r="6180" spans="1:3">
      <c r="A6180" s="571" t="s">
        <v>328</v>
      </c>
      <c r="B6180" s="572">
        <v>32.222099999999998</v>
      </c>
      <c r="C6180" s="572">
        <v>238.40899999999999</v>
      </c>
    </row>
    <row r="6181" spans="1:3">
      <c r="A6181" s="571" t="s">
        <v>328</v>
      </c>
      <c r="B6181" s="572">
        <v>34.541499999999999</v>
      </c>
      <c r="C6181" s="572">
        <v>245.19800000000001</v>
      </c>
    </row>
    <row r="6182" spans="1:3">
      <c r="A6182" s="571" t="s">
        <v>328</v>
      </c>
      <c r="B6182" s="572">
        <v>38.715600000000002</v>
      </c>
      <c r="C6182" s="572">
        <v>255.352</v>
      </c>
    </row>
    <row r="6183" spans="1:3">
      <c r="A6183" s="571" t="s">
        <v>328</v>
      </c>
      <c r="B6183" s="572">
        <v>41.961300000000001</v>
      </c>
      <c r="C6183" s="572">
        <v>260.95499999999998</v>
      </c>
    </row>
    <row r="6184" spans="1:3">
      <c r="A6184" s="571" t="s">
        <v>328</v>
      </c>
      <c r="B6184" s="572">
        <v>46.133600000000001</v>
      </c>
      <c r="C6184" s="572">
        <v>266.52</v>
      </c>
    </row>
    <row r="6185" spans="1:3">
      <c r="A6185" s="571" t="s">
        <v>328</v>
      </c>
      <c r="B6185" s="572">
        <v>47.526400000000002</v>
      </c>
      <c r="C6185" s="572">
        <v>273.346</v>
      </c>
    </row>
    <row r="6186" spans="1:3">
      <c r="A6186" s="571" t="s">
        <v>328</v>
      </c>
      <c r="B6186" s="572">
        <v>49.382399999999997</v>
      </c>
      <c r="C6186" s="572">
        <v>280.154</v>
      </c>
    </row>
    <row r="6187" spans="1:3">
      <c r="A6187" s="571" t="s">
        <v>328</v>
      </c>
      <c r="B6187" s="572">
        <v>55.408200000000001</v>
      </c>
      <c r="C6187" s="572">
        <v>285.64299999999997</v>
      </c>
    </row>
    <row r="6188" spans="1:3">
      <c r="A6188" s="571" t="s">
        <v>328</v>
      </c>
      <c r="B6188" s="572">
        <v>60.046999999999997</v>
      </c>
      <c r="C6188" s="572">
        <v>299.22000000000003</v>
      </c>
    </row>
    <row r="6189" spans="1:3">
      <c r="A6189" s="571" t="s">
        <v>328</v>
      </c>
      <c r="B6189" s="572">
        <v>62.364199999999997</v>
      </c>
      <c r="C6189" s="572">
        <v>300.27199999999999</v>
      </c>
    </row>
    <row r="6190" spans="1:3">
      <c r="A6190" s="571" t="s">
        <v>328</v>
      </c>
      <c r="B6190" s="572">
        <v>67.464100000000002</v>
      </c>
      <c r="C6190" s="572">
        <v>308.09399999999999</v>
      </c>
    </row>
    <row r="6191" spans="1:3">
      <c r="A6191" s="571" t="s">
        <v>328</v>
      </c>
      <c r="B6191" s="572">
        <v>74.649100000000004</v>
      </c>
      <c r="C6191" s="572">
        <v>315.83</v>
      </c>
    </row>
    <row r="6192" spans="1:3">
      <c r="A6192" s="571" t="s">
        <v>328</v>
      </c>
      <c r="B6192" s="572">
        <v>81.602500000000006</v>
      </c>
      <c r="C6192" s="572">
        <v>323.57499999999999</v>
      </c>
    </row>
    <row r="6193" spans="1:3">
      <c r="A6193" s="571" t="s">
        <v>328</v>
      </c>
      <c r="B6193" s="572">
        <v>87.164900000000003</v>
      </c>
      <c r="C6193" s="572">
        <v>329.084</v>
      </c>
    </row>
    <row r="6194" spans="1:3">
      <c r="A6194" s="571" t="s">
        <v>328</v>
      </c>
      <c r="B6194" s="572">
        <v>90.643600000000006</v>
      </c>
      <c r="C6194" s="572">
        <v>338.11900000000003</v>
      </c>
    </row>
    <row r="6195" spans="1:3">
      <c r="A6195" s="573" t="s">
        <v>328</v>
      </c>
      <c r="B6195" s="574">
        <v>101.07299999999999</v>
      </c>
      <c r="C6195" s="574">
        <v>349.16399999999999</v>
      </c>
    </row>
    <row r="6196" spans="1:3">
      <c r="A6196" s="573" t="s">
        <v>328</v>
      </c>
      <c r="B6196" s="574">
        <v>115.673</v>
      </c>
      <c r="C6196" s="574">
        <v>360.03800000000001</v>
      </c>
    </row>
    <row r="6197" spans="1:3">
      <c r="A6197" s="573" t="s">
        <v>328</v>
      </c>
      <c r="B6197" s="574">
        <v>120.77200000000001</v>
      </c>
      <c r="C6197" s="574">
        <v>364.41800000000001</v>
      </c>
    </row>
    <row r="6198" spans="1:3">
      <c r="A6198" s="573" t="s">
        <v>328</v>
      </c>
      <c r="B6198" s="574">
        <v>129.34700000000001</v>
      </c>
      <c r="C6198" s="574">
        <v>373.24400000000003</v>
      </c>
    </row>
    <row r="6199" spans="1:3">
      <c r="A6199" s="573" t="s">
        <v>328</v>
      </c>
      <c r="B6199" s="574">
        <v>135.83600000000001</v>
      </c>
      <c r="C6199" s="574">
        <v>377.56700000000001</v>
      </c>
    </row>
    <row r="6200" spans="1:3">
      <c r="A6200" s="573" t="s">
        <v>328</v>
      </c>
      <c r="B6200" s="574">
        <v>148.81299999999999</v>
      </c>
      <c r="C6200" s="574">
        <v>386.214</v>
      </c>
    </row>
    <row r="6201" spans="1:3">
      <c r="A6201" s="573" t="s">
        <v>328</v>
      </c>
      <c r="B6201" s="574">
        <v>162.95099999999999</v>
      </c>
      <c r="C6201" s="574">
        <v>399.40100000000001</v>
      </c>
    </row>
    <row r="6202" spans="1:3">
      <c r="A6202" s="573" t="s">
        <v>328</v>
      </c>
      <c r="B6202" s="574">
        <v>171.988</v>
      </c>
      <c r="C6202" s="574">
        <v>403.62</v>
      </c>
    </row>
    <row r="6203" spans="1:3">
      <c r="A6203" s="573" t="s">
        <v>328</v>
      </c>
      <c r="B6203" s="574">
        <v>190.29300000000001</v>
      </c>
      <c r="C6203" s="574">
        <v>410.9</v>
      </c>
    </row>
    <row r="6204" spans="1:3">
      <c r="A6204" s="571" t="s">
        <v>329</v>
      </c>
      <c r="B6204" s="572">
        <v>0.15938999999999992</v>
      </c>
      <c r="C6204" s="572">
        <v>10.269600000000001</v>
      </c>
    </row>
    <row r="6205" spans="1:3">
      <c r="A6205" s="571" t="s">
        <v>329</v>
      </c>
      <c r="B6205" s="572">
        <v>0.62729999999999997</v>
      </c>
      <c r="C6205" s="572">
        <v>25.161200000000001</v>
      </c>
    </row>
    <row r="6206" spans="1:3">
      <c r="A6206" s="571" t="s">
        <v>329</v>
      </c>
      <c r="B6206" s="572">
        <v>1.0974200000000001</v>
      </c>
      <c r="C6206" s="572">
        <v>45.788800000000002</v>
      </c>
    </row>
    <row r="6207" spans="1:3">
      <c r="A6207" s="571" t="s">
        <v>329</v>
      </c>
      <c r="B6207" s="572">
        <v>2.7233900000000002</v>
      </c>
      <c r="C6207" s="572">
        <v>67.508399999999995</v>
      </c>
    </row>
    <row r="6208" spans="1:3">
      <c r="A6208" s="571" t="s">
        <v>329</v>
      </c>
      <c r="B6208" s="572">
        <v>3.8849799999999997</v>
      </c>
      <c r="C6208" s="572">
        <v>83.514099999999999</v>
      </c>
    </row>
    <row r="6209" spans="1:3">
      <c r="A6209" s="571" t="s">
        <v>329</v>
      </c>
      <c r="B6209" s="572">
        <v>6.1975800000000003</v>
      </c>
      <c r="C6209" s="572">
        <v>87.992500000000007</v>
      </c>
    </row>
    <row r="6210" spans="1:3">
      <c r="A6210" s="571" t="s">
        <v>329</v>
      </c>
      <c r="B6210" s="572">
        <v>8.2843900000000001</v>
      </c>
      <c r="C6210" s="572">
        <v>106.248</v>
      </c>
    </row>
    <row r="6211" spans="1:3">
      <c r="A6211" s="571" t="s">
        <v>329</v>
      </c>
      <c r="B6211" s="572">
        <v>10.135300000000001</v>
      </c>
      <c r="C6211" s="572">
        <v>111.896</v>
      </c>
    </row>
    <row r="6212" spans="1:3">
      <c r="A6212" s="571" t="s">
        <v>329</v>
      </c>
      <c r="B6212" s="572">
        <v>13.139799999999999</v>
      </c>
      <c r="C6212" s="572">
        <v>112.9</v>
      </c>
    </row>
    <row r="6213" spans="1:3">
      <c r="A6213" s="571" t="s">
        <v>329</v>
      </c>
      <c r="B6213" s="572">
        <v>15.915400000000002</v>
      </c>
      <c r="C6213" s="572">
        <v>119.65</v>
      </c>
    </row>
    <row r="6214" spans="1:3">
      <c r="A6214" s="571" t="s">
        <v>329</v>
      </c>
      <c r="B6214" s="572">
        <v>19.153700000000001</v>
      </c>
      <c r="C6214" s="572">
        <v>127.526</v>
      </c>
    </row>
    <row r="6215" spans="1:3">
      <c r="A6215" s="571" t="s">
        <v>329</v>
      </c>
      <c r="B6215" s="572">
        <v>21.926600000000001</v>
      </c>
      <c r="C6215" s="572">
        <v>127.39400000000001</v>
      </c>
    </row>
    <row r="6216" spans="1:3">
      <c r="A6216" s="571" t="s">
        <v>329</v>
      </c>
      <c r="B6216" s="572">
        <v>26.088799999999999</v>
      </c>
      <c r="C6216" s="572">
        <v>134.078</v>
      </c>
    </row>
    <row r="6217" spans="1:3">
      <c r="A6217" s="571" t="s">
        <v>329</v>
      </c>
      <c r="B6217" s="572">
        <v>28.6294</v>
      </c>
      <c r="C6217" s="572">
        <v>130.51499999999999</v>
      </c>
    </row>
    <row r="6218" spans="1:3">
      <c r="A6218" s="571" t="s">
        <v>329</v>
      </c>
      <c r="B6218" s="572">
        <v>32.097799999999999</v>
      </c>
      <c r="C6218" s="572">
        <v>136.08500000000001</v>
      </c>
    </row>
    <row r="6219" spans="1:3">
      <c r="A6219" s="571" t="s">
        <v>329</v>
      </c>
      <c r="B6219" s="572">
        <v>35.564</v>
      </c>
      <c r="C6219" s="572">
        <v>135.91999999999999</v>
      </c>
    </row>
    <row r="6220" spans="1:3">
      <c r="A6220" s="571" t="s">
        <v>329</v>
      </c>
      <c r="B6220" s="572">
        <v>39.2622</v>
      </c>
      <c r="C6220" s="572">
        <v>138.03700000000001</v>
      </c>
    </row>
    <row r="6221" spans="1:3">
      <c r="A6221" s="571" t="s">
        <v>329</v>
      </c>
      <c r="B6221" s="572">
        <v>42.4983</v>
      </c>
      <c r="C6221" s="572">
        <v>140.17699999999999</v>
      </c>
    </row>
    <row r="6222" spans="1:3">
      <c r="A6222" s="571" t="s">
        <v>329</v>
      </c>
      <c r="B6222" s="572">
        <v>47.121299999999998</v>
      </c>
      <c r="C6222" s="572">
        <v>143.398</v>
      </c>
    </row>
    <row r="6223" spans="1:3">
      <c r="A6223" s="571" t="s">
        <v>329</v>
      </c>
      <c r="B6223" s="572">
        <v>50.125300000000003</v>
      </c>
      <c r="C6223" s="572">
        <v>143.25399999999999</v>
      </c>
    </row>
    <row r="6224" spans="1:3">
      <c r="A6224" s="571" t="s">
        <v>329</v>
      </c>
      <c r="B6224" s="572">
        <v>55.671300000000002</v>
      </c>
      <c r="C6224" s="572">
        <v>142.989</v>
      </c>
    </row>
    <row r="6225" spans="1:3">
      <c r="A6225" s="571" t="s">
        <v>329</v>
      </c>
      <c r="B6225" s="572">
        <v>62.374000000000002</v>
      </c>
      <c r="C6225" s="572">
        <v>146.11000000000001</v>
      </c>
    </row>
    <row r="6226" spans="1:3">
      <c r="A6226" s="571" t="s">
        <v>329</v>
      </c>
      <c r="B6226" s="572">
        <v>67.920400000000001</v>
      </c>
      <c r="C6226" s="572">
        <v>146.99199999999999</v>
      </c>
    </row>
    <row r="6227" spans="1:3">
      <c r="A6227" s="571" t="s">
        <v>329</v>
      </c>
      <c r="B6227" s="572">
        <v>82.017300000000006</v>
      </c>
      <c r="C6227" s="572">
        <v>148.613</v>
      </c>
    </row>
    <row r="6228" spans="1:3">
      <c r="A6228" s="571" t="s">
        <v>329</v>
      </c>
      <c r="B6228" s="572">
        <v>88.027299999999997</v>
      </c>
      <c r="C6228" s="572">
        <v>152.91499999999999</v>
      </c>
    </row>
    <row r="6229" spans="1:3">
      <c r="A6229" s="573" t="s">
        <v>329</v>
      </c>
      <c r="B6229" s="574">
        <v>116.221</v>
      </c>
      <c r="C6229" s="574">
        <v>156.15600000000001</v>
      </c>
    </row>
    <row r="6230" spans="1:3">
      <c r="A6230" s="573" t="s">
        <v>329</v>
      </c>
      <c r="B6230" s="574">
        <v>149.26599999999999</v>
      </c>
      <c r="C6230" s="574">
        <v>154.57599999999999</v>
      </c>
    </row>
    <row r="6231" spans="1:3">
      <c r="A6231" s="573" t="s">
        <v>329</v>
      </c>
      <c r="B6231" s="574">
        <v>171.91200000000001</v>
      </c>
      <c r="C6231" s="574">
        <v>154.64099999999999</v>
      </c>
    </row>
    <row r="6232" spans="1:3">
      <c r="A6232" s="573" t="s">
        <v>329</v>
      </c>
      <c r="B6232" s="574">
        <v>190.16800000000001</v>
      </c>
      <c r="C6232" s="574">
        <v>154.91499999999999</v>
      </c>
    </row>
    <row r="6233" spans="1:3">
      <c r="A6233" s="571" t="s">
        <v>330</v>
      </c>
      <c r="B6233" s="572">
        <v>0.39091000000000009</v>
      </c>
      <c r="C6233" s="572">
        <v>11.405799999999999</v>
      </c>
    </row>
    <row r="6234" spans="1:3">
      <c r="A6234" s="571" t="s">
        <v>330</v>
      </c>
      <c r="B6234" s="572">
        <v>0.63260000000000005</v>
      </c>
      <c r="C6234" s="572">
        <v>38.927700000000002</v>
      </c>
    </row>
    <row r="6235" spans="1:3">
      <c r="A6235" s="571" t="s">
        <v>330</v>
      </c>
      <c r="B6235" s="572">
        <v>0.64409000000000005</v>
      </c>
      <c r="C6235" s="572">
        <v>68.755099999999999</v>
      </c>
    </row>
    <row r="6236" spans="1:3">
      <c r="A6236" s="571" t="s">
        <v>330</v>
      </c>
      <c r="B6236" s="572">
        <v>1.1146500000000001</v>
      </c>
      <c r="C6236" s="572">
        <v>90.529899999999998</v>
      </c>
    </row>
    <row r="6237" spans="1:3">
      <c r="A6237" s="571" t="s">
        <v>330</v>
      </c>
      <c r="B6237" s="572">
        <v>2.0504600000000002</v>
      </c>
      <c r="C6237" s="572">
        <v>120.313</v>
      </c>
    </row>
    <row r="6238" spans="1:3">
      <c r="A6238" s="571" t="s">
        <v>330</v>
      </c>
      <c r="B6238" s="572">
        <v>3.9168000000000003</v>
      </c>
      <c r="C6238" s="572">
        <v>166.113</v>
      </c>
    </row>
    <row r="6239" spans="1:3">
      <c r="A6239" s="571" t="s">
        <v>330</v>
      </c>
      <c r="B6239" s="572">
        <v>4.6122500000000004</v>
      </c>
      <c r="C6239" s="572">
        <v>171.816</v>
      </c>
    </row>
    <row r="6240" spans="1:3">
      <c r="A6240" s="571" t="s">
        <v>330</v>
      </c>
      <c r="B6240" s="572">
        <v>6.0036100000000001</v>
      </c>
      <c r="C6240" s="572">
        <v>184.369</v>
      </c>
    </row>
    <row r="6241" spans="1:3">
      <c r="A6241" s="571" t="s">
        <v>330</v>
      </c>
      <c r="B6241" s="572">
        <v>6.7065799999999998</v>
      </c>
      <c r="C6241" s="572">
        <v>209.57400000000001</v>
      </c>
    </row>
    <row r="6242" spans="1:3">
      <c r="A6242" s="571" t="s">
        <v>330</v>
      </c>
      <c r="B6242" s="572">
        <v>8.0979299999999999</v>
      </c>
      <c r="C6242" s="572">
        <v>222.12700000000001</v>
      </c>
    </row>
    <row r="6243" spans="1:3">
      <c r="A6243" s="571" t="s">
        <v>330</v>
      </c>
      <c r="B6243" s="572">
        <v>9.2585999999999995</v>
      </c>
      <c r="C6243" s="572">
        <v>235.83799999999999</v>
      </c>
    </row>
    <row r="6244" spans="1:3">
      <c r="A6244" s="571" t="s">
        <v>330</v>
      </c>
      <c r="B6244" s="572">
        <v>11.1126</v>
      </c>
      <c r="C6244" s="572">
        <v>249.517</v>
      </c>
    </row>
    <row r="6245" spans="1:3">
      <c r="A6245" s="571" t="s">
        <v>330</v>
      </c>
      <c r="B6245" s="572">
        <v>13.194599999999999</v>
      </c>
      <c r="C6245" s="572">
        <v>255.15299999999999</v>
      </c>
    </row>
    <row r="6246" spans="1:3">
      <c r="A6246" s="571" t="s">
        <v>330</v>
      </c>
      <c r="B6246" s="572">
        <v>14.121499999999999</v>
      </c>
      <c r="C6246" s="572">
        <v>261.99200000000002</v>
      </c>
    </row>
    <row r="6247" spans="1:3">
      <c r="A6247" s="571" t="s">
        <v>330</v>
      </c>
      <c r="B6247" s="572">
        <v>15.048999999999999</v>
      </c>
      <c r="C6247" s="572">
        <v>269.97899999999998</v>
      </c>
    </row>
    <row r="6248" spans="1:3">
      <c r="A6248" s="571" t="s">
        <v>330</v>
      </c>
      <c r="B6248" s="572">
        <v>18.520099999999999</v>
      </c>
      <c r="C6248" s="572">
        <v>282.43200000000002</v>
      </c>
    </row>
    <row r="6249" spans="1:3">
      <c r="A6249" s="571" t="s">
        <v>330</v>
      </c>
      <c r="B6249" s="572">
        <v>20.373100000000001</v>
      </c>
      <c r="C6249" s="572">
        <v>293.81599999999997</v>
      </c>
    </row>
    <row r="6250" spans="1:3">
      <c r="A6250" s="571" t="s">
        <v>330</v>
      </c>
      <c r="B6250" s="572">
        <v>22.456900000000001</v>
      </c>
      <c r="C6250" s="572">
        <v>304.041</v>
      </c>
    </row>
    <row r="6251" spans="1:3">
      <c r="A6251" s="571" t="s">
        <v>330</v>
      </c>
      <c r="B6251" s="572">
        <v>25.696899999999999</v>
      </c>
      <c r="C6251" s="572">
        <v>316.50599999999997</v>
      </c>
    </row>
    <row r="6252" spans="1:3">
      <c r="A6252" s="571" t="s">
        <v>330</v>
      </c>
      <c r="B6252" s="572">
        <v>28.472100000000001</v>
      </c>
      <c r="C6252" s="572">
        <v>322.10899999999998</v>
      </c>
    </row>
    <row r="6253" spans="1:3">
      <c r="A6253" s="571" t="s">
        <v>330</v>
      </c>
      <c r="B6253" s="572">
        <v>32.636000000000003</v>
      </c>
      <c r="C6253" s="572">
        <v>333.38299999999998</v>
      </c>
    </row>
    <row r="6254" spans="1:3">
      <c r="A6254" s="571" t="s">
        <v>330</v>
      </c>
      <c r="B6254" s="572">
        <v>36.3386</v>
      </c>
      <c r="C6254" s="572">
        <v>346.97199999999998</v>
      </c>
    </row>
    <row r="6255" spans="1:3">
      <c r="A6255" s="571" t="s">
        <v>330</v>
      </c>
      <c r="B6255" s="572">
        <v>39.114699999999999</v>
      </c>
      <c r="C6255" s="572">
        <v>354.87</v>
      </c>
    </row>
    <row r="6256" spans="1:3">
      <c r="A6256" s="571" t="s">
        <v>330</v>
      </c>
      <c r="B6256" s="572">
        <v>42.350299999999997</v>
      </c>
      <c r="C6256" s="572">
        <v>355.863</v>
      </c>
    </row>
    <row r="6257" spans="1:3">
      <c r="A6257" s="571" t="s">
        <v>330</v>
      </c>
      <c r="B6257" s="572">
        <v>45.8187</v>
      </c>
      <c r="C6257" s="572">
        <v>361.43299999999999</v>
      </c>
    </row>
    <row r="6258" spans="1:3">
      <c r="A6258" s="571" t="s">
        <v>330</v>
      </c>
      <c r="B6258" s="572">
        <v>48.364600000000003</v>
      </c>
      <c r="C6258" s="572">
        <v>371.63600000000002</v>
      </c>
    </row>
    <row r="6259" spans="1:3">
      <c r="A6259" s="571" t="s">
        <v>330</v>
      </c>
      <c r="B6259" s="572">
        <v>49.521299999999997</v>
      </c>
      <c r="C6259" s="572">
        <v>375.02300000000002</v>
      </c>
    </row>
    <row r="6260" spans="1:3">
      <c r="A6260" s="571" t="s">
        <v>330</v>
      </c>
      <c r="B6260" s="572">
        <v>55.531700000000001</v>
      </c>
      <c r="C6260" s="572">
        <v>380.47199999999998</v>
      </c>
    </row>
    <row r="6261" spans="1:3">
      <c r="A6261" s="571" t="s">
        <v>330</v>
      </c>
      <c r="B6261" s="572">
        <v>61.310499999999998</v>
      </c>
      <c r="C6261" s="572">
        <v>384.78399999999999</v>
      </c>
    </row>
    <row r="6262" spans="1:3">
      <c r="A6262" s="571" t="s">
        <v>330</v>
      </c>
      <c r="B6262" s="572">
        <v>63.1614</v>
      </c>
      <c r="C6262" s="572">
        <v>390.43200000000002</v>
      </c>
    </row>
    <row r="6263" spans="1:3">
      <c r="A6263" s="571" t="s">
        <v>330</v>
      </c>
      <c r="B6263" s="572">
        <v>68.478899999999996</v>
      </c>
      <c r="C6263" s="572">
        <v>397.06099999999998</v>
      </c>
    </row>
    <row r="6264" spans="1:3">
      <c r="A6264" s="571" t="s">
        <v>330</v>
      </c>
      <c r="B6264" s="572">
        <v>74.951400000000007</v>
      </c>
      <c r="C6264" s="572">
        <v>402.488</v>
      </c>
    </row>
    <row r="6265" spans="1:3">
      <c r="A6265" s="571" t="s">
        <v>330</v>
      </c>
      <c r="B6265" s="572">
        <v>82.118499999999997</v>
      </c>
      <c r="C6265" s="572">
        <v>411.32299999999998</v>
      </c>
    </row>
    <row r="6266" spans="1:3">
      <c r="A6266" s="571" t="s">
        <v>330</v>
      </c>
      <c r="B6266" s="572">
        <v>88.127600000000001</v>
      </c>
      <c r="C6266" s="572">
        <v>413.33</v>
      </c>
    </row>
    <row r="6267" spans="1:3">
      <c r="A6267" s="571" t="s">
        <v>330</v>
      </c>
      <c r="B6267" s="572">
        <v>91.365799999999993</v>
      </c>
      <c r="C6267" s="572">
        <v>421.20600000000002</v>
      </c>
    </row>
    <row r="6268" spans="1:3">
      <c r="A6268" s="573" t="s">
        <v>330</v>
      </c>
      <c r="B6268" s="574">
        <v>101.535</v>
      </c>
      <c r="C6268" s="574">
        <v>425.30900000000003</v>
      </c>
    </row>
    <row r="6269" spans="1:3">
      <c r="A6269" s="573" t="s">
        <v>330</v>
      </c>
      <c r="B6269" s="574">
        <v>116.792</v>
      </c>
      <c r="C6269" s="574">
        <v>439.49400000000003</v>
      </c>
    </row>
    <row r="6270" spans="1:3">
      <c r="A6270" s="573" t="s">
        <v>330</v>
      </c>
      <c r="B6270" s="574">
        <v>121.414</v>
      </c>
      <c r="C6270" s="574">
        <v>440.42</v>
      </c>
    </row>
    <row r="6271" spans="1:3">
      <c r="A6271" s="573" t="s">
        <v>330</v>
      </c>
      <c r="B6271" s="574">
        <v>130.428</v>
      </c>
      <c r="C6271" s="574">
        <v>442.28399999999999</v>
      </c>
    </row>
    <row r="6272" spans="1:3">
      <c r="A6272" s="573" t="s">
        <v>330</v>
      </c>
      <c r="B6272" s="574">
        <v>136.43700000000001</v>
      </c>
      <c r="C6272" s="574">
        <v>444.291</v>
      </c>
    </row>
    <row r="6273" spans="1:3">
      <c r="A6273" s="573" t="s">
        <v>330</v>
      </c>
      <c r="B6273" s="574">
        <v>149.149</v>
      </c>
      <c r="C6273" s="574">
        <v>450.56700000000001</v>
      </c>
    </row>
    <row r="6274" spans="1:3">
      <c r="A6274" s="573" t="s">
        <v>330</v>
      </c>
      <c r="B6274" s="574">
        <v>163.25</v>
      </c>
      <c r="C6274" s="574">
        <v>463.65899999999999</v>
      </c>
    </row>
    <row r="6275" spans="1:3">
      <c r="A6275" s="573" t="s">
        <v>330</v>
      </c>
      <c r="B6275" s="574">
        <v>171.80199999999999</v>
      </c>
      <c r="C6275" s="574">
        <v>467.839</v>
      </c>
    </row>
    <row r="6276" spans="1:3">
      <c r="A6276" s="573" t="s">
        <v>330</v>
      </c>
      <c r="B6276" s="574">
        <v>190.524</v>
      </c>
      <c r="C6276" s="574">
        <v>478.41699999999997</v>
      </c>
    </row>
    <row r="6277" spans="1:3">
      <c r="A6277" s="48" t="s">
        <v>331</v>
      </c>
      <c r="B6277" s="549">
        <v>-0.29935900000000004</v>
      </c>
      <c r="C6277" s="549">
        <v>4.5777099999999997</v>
      </c>
    </row>
    <row r="6278" spans="1:3">
      <c r="A6278" s="48" t="s">
        <v>331</v>
      </c>
      <c r="B6278" s="549">
        <v>-5.4513999999999951E-2</v>
      </c>
      <c r="C6278" s="549">
        <v>20.6905</v>
      </c>
    </row>
    <row r="6279" spans="1:3">
      <c r="A6279" s="48" t="s">
        <v>331</v>
      </c>
      <c r="B6279" s="549">
        <v>-4.2026000000000008E-2</v>
      </c>
      <c r="C6279" s="549">
        <v>36.812800000000003</v>
      </c>
    </row>
    <row r="6280" spans="1:3">
      <c r="A6280" s="571" t="s">
        <v>331</v>
      </c>
      <c r="B6280" s="572">
        <v>0.66486000000000001</v>
      </c>
      <c r="C6280" s="572">
        <v>49.451700000000002</v>
      </c>
    </row>
    <row r="6281" spans="1:3">
      <c r="A6281" s="571" t="s">
        <v>331</v>
      </c>
      <c r="B6281" s="572">
        <v>1.1420599999999999</v>
      </c>
      <c r="C6281" s="572">
        <v>65.554900000000004</v>
      </c>
    </row>
    <row r="6282" spans="1:3">
      <c r="A6282" s="571" t="s">
        <v>331</v>
      </c>
      <c r="B6282" s="572">
        <v>3.7131600000000002</v>
      </c>
      <c r="C6282" s="572">
        <v>85.026899999999998</v>
      </c>
    </row>
    <row r="6283" spans="1:3">
      <c r="A6283" s="571" t="s">
        <v>331</v>
      </c>
      <c r="B6283" s="572">
        <v>5.1278199999999998</v>
      </c>
      <c r="C6283" s="572">
        <v>111.456</v>
      </c>
    </row>
    <row r="6284" spans="1:3">
      <c r="A6284" s="571" t="s">
        <v>331</v>
      </c>
      <c r="B6284" s="572">
        <v>7.9187899999999996</v>
      </c>
      <c r="C6284" s="572">
        <v>114.79600000000001</v>
      </c>
    </row>
    <row r="6285" spans="1:3">
      <c r="A6285" s="571" t="s">
        <v>331</v>
      </c>
      <c r="B6285" s="572">
        <v>9.5497999999999994</v>
      </c>
      <c r="C6285" s="572">
        <v>120.48699999999999</v>
      </c>
    </row>
    <row r="6286" spans="1:3">
      <c r="A6286" s="571" t="s">
        <v>331</v>
      </c>
      <c r="B6286" s="572">
        <v>11.877800000000001</v>
      </c>
      <c r="C6286" s="572">
        <v>126.15</v>
      </c>
    </row>
    <row r="6287" spans="1:3">
      <c r="A6287" s="571" t="s">
        <v>331</v>
      </c>
      <c r="B6287" s="572">
        <v>15.5928</v>
      </c>
      <c r="C6287" s="572">
        <v>122.542</v>
      </c>
    </row>
    <row r="6288" spans="1:3">
      <c r="A6288" s="571" t="s">
        <v>331</v>
      </c>
      <c r="B6288" s="572">
        <v>18.849399999999999</v>
      </c>
      <c r="C6288" s="572">
        <v>127.015</v>
      </c>
    </row>
    <row r="6289" spans="1:3">
      <c r="A6289" s="571" t="s">
        <v>331</v>
      </c>
      <c r="B6289" s="572">
        <v>22.102399999999999</v>
      </c>
      <c r="C6289" s="572">
        <v>126.881</v>
      </c>
    </row>
    <row r="6290" spans="1:3">
      <c r="A6290" s="571" t="s">
        <v>331</v>
      </c>
      <c r="B6290" s="572">
        <v>23.7271</v>
      </c>
      <c r="C6290" s="572">
        <v>124.511</v>
      </c>
    </row>
    <row r="6291" spans="1:3">
      <c r="A6291" s="571" t="s">
        <v>331</v>
      </c>
      <c r="B6291" s="572">
        <v>26.979299999999999</v>
      </c>
      <c r="C6291" s="572">
        <v>123.22499999999999</v>
      </c>
    </row>
    <row r="6292" spans="1:3">
      <c r="A6292" s="571" t="s">
        <v>331</v>
      </c>
      <c r="B6292" s="572">
        <v>29.305499999999999</v>
      </c>
      <c r="C6292" s="572">
        <v>126.58499999999999</v>
      </c>
    </row>
    <row r="6293" spans="1:3">
      <c r="A6293" s="571" t="s">
        <v>331</v>
      </c>
      <c r="B6293" s="572">
        <v>32.325299999999999</v>
      </c>
      <c r="C6293" s="572">
        <v>125.309</v>
      </c>
    </row>
    <row r="6294" spans="1:3">
      <c r="A6294" s="571" t="s">
        <v>331</v>
      </c>
      <c r="B6294" s="572">
        <v>35.576500000000003</v>
      </c>
      <c r="C6294" s="572">
        <v>122.872</v>
      </c>
    </row>
    <row r="6295" spans="1:3">
      <c r="A6295" s="571" t="s">
        <v>331</v>
      </c>
      <c r="B6295" s="572">
        <v>39.524799999999999</v>
      </c>
      <c r="C6295" s="572">
        <v>120.40600000000001</v>
      </c>
    </row>
    <row r="6296" spans="1:3">
      <c r="A6296" s="571" t="s">
        <v>331</v>
      </c>
      <c r="B6296" s="572">
        <v>42.316699999999997</v>
      </c>
      <c r="C6296" s="572">
        <v>124.898</v>
      </c>
    </row>
    <row r="6297" spans="1:3">
      <c r="A6297" s="571" t="s">
        <v>331</v>
      </c>
      <c r="B6297" s="572">
        <v>46.963799999999999</v>
      </c>
      <c r="C6297" s="572">
        <v>124.70699999999999</v>
      </c>
    </row>
    <row r="6298" spans="1:3">
      <c r="A6298" s="571" t="s">
        <v>331</v>
      </c>
      <c r="B6298" s="572">
        <v>49.286499999999997</v>
      </c>
      <c r="C6298" s="572">
        <v>123.46</v>
      </c>
    </row>
    <row r="6299" spans="1:3">
      <c r="A6299" s="571" t="s">
        <v>331</v>
      </c>
      <c r="B6299" s="572">
        <v>55.560200000000002</v>
      </c>
      <c r="C6299" s="572">
        <v>123.202</v>
      </c>
    </row>
    <row r="6300" spans="1:3">
      <c r="A6300" s="571" t="s">
        <v>331</v>
      </c>
      <c r="B6300" s="572">
        <v>61.137599999999999</v>
      </c>
      <c r="C6300" s="572">
        <v>124.124</v>
      </c>
    </row>
    <row r="6301" spans="1:3">
      <c r="A6301" s="571" t="s">
        <v>331</v>
      </c>
      <c r="B6301" s="572">
        <v>88.324399999999997</v>
      </c>
      <c r="C6301" s="572">
        <v>124.157</v>
      </c>
    </row>
    <row r="6302" spans="1:3">
      <c r="A6302" s="571" t="s">
        <v>331</v>
      </c>
      <c r="B6302" s="572">
        <v>90.878500000000003</v>
      </c>
      <c r="C6302" s="572">
        <v>121.749</v>
      </c>
    </row>
    <row r="6303" spans="1:3">
      <c r="A6303" s="573" t="s">
        <v>331</v>
      </c>
      <c r="B6303" s="574">
        <v>116.90300000000001</v>
      </c>
      <c r="C6303" s="574">
        <v>120.679</v>
      </c>
    </row>
    <row r="6304" spans="1:3">
      <c r="A6304" s="573" t="s">
        <v>331</v>
      </c>
      <c r="B6304" s="574">
        <v>150.59299999999999</v>
      </c>
      <c r="C6304" s="574">
        <v>116.99</v>
      </c>
    </row>
    <row r="6305" spans="1:3">
      <c r="A6305" s="573" t="s">
        <v>331</v>
      </c>
      <c r="B6305" s="574">
        <v>173.36600000000001</v>
      </c>
      <c r="C6305" s="574">
        <v>118.35599999999999</v>
      </c>
    </row>
    <row r="6306" spans="1:3">
      <c r="A6306" s="573" t="s">
        <v>331</v>
      </c>
      <c r="B6306" s="574">
        <v>191.25200000000001</v>
      </c>
      <c r="C6306" s="574">
        <v>110.711</v>
      </c>
    </row>
    <row r="6307" spans="1:3">
      <c r="A6307" s="48" t="s">
        <v>332</v>
      </c>
      <c r="B6307" s="549">
        <v>-0.290439</v>
      </c>
      <c r="C6307" s="549">
        <v>16.093699999999998</v>
      </c>
    </row>
    <row r="6308" spans="1:3">
      <c r="A6308" s="48" t="s">
        <v>332</v>
      </c>
      <c r="B6308" s="549">
        <v>-0.26814000000000004</v>
      </c>
      <c r="C6308" s="549">
        <v>44.883499999999998</v>
      </c>
    </row>
    <row r="6309" spans="1:3">
      <c r="A6309" s="48" t="s">
        <v>332</v>
      </c>
      <c r="B6309" s="549">
        <v>-4.8270000000000035E-2</v>
      </c>
      <c r="C6309" s="549">
        <v>28.7516</v>
      </c>
    </row>
    <row r="6310" spans="1:3">
      <c r="A6310" s="571" t="s">
        <v>332</v>
      </c>
      <c r="B6310" s="572">
        <v>0.43873999999999991</v>
      </c>
      <c r="C6310" s="572">
        <v>57.522399999999998</v>
      </c>
    </row>
    <row r="6311" spans="1:3">
      <c r="A6311" s="571" t="s">
        <v>332</v>
      </c>
      <c r="B6311" s="572">
        <v>1.3869099999999999</v>
      </c>
      <c r="C6311" s="572">
        <v>81.667699999999996</v>
      </c>
    </row>
    <row r="6312" spans="1:3">
      <c r="A6312" s="571" t="s">
        <v>332</v>
      </c>
      <c r="B6312" s="572">
        <v>2.8015699999999999</v>
      </c>
      <c r="C6312" s="572">
        <v>108.09699999999999</v>
      </c>
    </row>
    <row r="6313" spans="1:3">
      <c r="A6313" s="571" t="s">
        <v>332</v>
      </c>
      <c r="B6313" s="572">
        <v>4.4575100000000001</v>
      </c>
      <c r="C6313" s="572">
        <v>146.03299999999999</v>
      </c>
    </row>
    <row r="6314" spans="1:3">
      <c r="A6314" s="571" t="s">
        <v>332</v>
      </c>
      <c r="B6314" s="572">
        <v>5.63178</v>
      </c>
      <c r="C6314" s="572">
        <v>162.107</v>
      </c>
    </row>
    <row r="6315" spans="1:3">
      <c r="A6315" s="571" t="s">
        <v>332</v>
      </c>
      <c r="B6315" s="572">
        <v>6.8087400000000002</v>
      </c>
      <c r="C6315" s="572">
        <v>181.637</v>
      </c>
    </row>
    <row r="6316" spans="1:3">
      <c r="A6316" s="571" t="s">
        <v>332</v>
      </c>
      <c r="B6316" s="572">
        <v>7.9821200000000001</v>
      </c>
      <c r="C6316" s="572">
        <v>196.56</v>
      </c>
    </row>
    <row r="6317" spans="1:3">
      <c r="A6317" s="571" t="s">
        <v>332</v>
      </c>
      <c r="B6317" s="572">
        <v>8.6872199999999999</v>
      </c>
      <c r="C6317" s="572">
        <v>206.89500000000001</v>
      </c>
    </row>
    <row r="6318" spans="1:3">
      <c r="A6318" s="571" t="s">
        <v>332</v>
      </c>
      <c r="B6318" s="572">
        <v>10.556800000000001</v>
      </c>
      <c r="C6318" s="572">
        <v>220.63800000000001</v>
      </c>
    </row>
    <row r="6319" spans="1:3">
      <c r="A6319" s="571" t="s">
        <v>332</v>
      </c>
      <c r="B6319" s="572">
        <v>12.4299</v>
      </c>
      <c r="C6319" s="572">
        <v>238.98699999999999</v>
      </c>
    </row>
    <row r="6320" spans="1:3">
      <c r="A6320" s="571" t="s">
        <v>332</v>
      </c>
      <c r="B6320" s="572">
        <v>14.2897</v>
      </c>
      <c r="C6320" s="572">
        <v>240.06200000000001</v>
      </c>
    </row>
    <row r="6321" spans="1:3">
      <c r="A6321" s="571" t="s">
        <v>332</v>
      </c>
      <c r="B6321" s="572">
        <v>15.4559</v>
      </c>
      <c r="C6321" s="572">
        <v>245.77199999999999</v>
      </c>
    </row>
    <row r="6322" spans="1:3">
      <c r="A6322" s="571" t="s">
        <v>332</v>
      </c>
      <c r="B6322" s="572">
        <v>18.9573</v>
      </c>
      <c r="C6322" s="572">
        <v>266.358</v>
      </c>
    </row>
    <row r="6323" spans="1:3">
      <c r="A6323" s="571" t="s">
        <v>332</v>
      </c>
      <c r="B6323" s="572">
        <v>21.9941</v>
      </c>
      <c r="C6323" s="572">
        <v>286.96199999999999</v>
      </c>
    </row>
    <row r="6324" spans="1:3">
      <c r="A6324" s="571" t="s">
        <v>332</v>
      </c>
      <c r="B6324" s="572">
        <v>25.958400000000001</v>
      </c>
      <c r="C6324" s="572">
        <v>305.22500000000002</v>
      </c>
    </row>
    <row r="6325" spans="1:3">
      <c r="A6325" s="571" t="s">
        <v>332</v>
      </c>
      <c r="B6325" s="572">
        <v>28.5242</v>
      </c>
      <c r="C6325" s="572">
        <v>317.78800000000001</v>
      </c>
    </row>
    <row r="6326" spans="1:3">
      <c r="A6326" s="571" t="s">
        <v>332</v>
      </c>
      <c r="B6326" s="572">
        <v>29.689499999999999</v>
      </c>
      <c r="C6326" s="572">
        <v>322.346</v>
      </c>
    </row>
    <row r="6327" spans="1:3">
      <c r="A6327" s="571" t="s">
        <v>332</v>
      </c>
      <c r="B6327" s="572">
        <v>33.881799999999998</v>
      </c>
      <c r="C6327" s="572">
        <v>334.84199999999998</v>
      </c>
    </row>
    <row r="6328" spans="1:3">
      <c r="A6328" s="571" t="s">
        <v>332</v>
      </c>
      <c r="B6328" s="572">
        <v>36.910400000000003</v>
      </c>
      <c r="C6328" s="572">
        <v>345.08199999999999</v>
      </c>
    </row>
    <row r="6329" spans="1:3">
      <c r="A6329" s="571" t="s">
        <v>332</v>
      </c>
      <c r="B6329" s="572">
        <v>40.637999999999998</v>
      </c>
      <c r="C6329" s="572">
        <v>357.596</v>
      </c>
    </row>
    <row r="6330" spans="1:3">
      <c r="A6330" s="571" t="s">
        <v>332</v>
      </c>
      <c r="B6330" s="572">
        <v>43.664900000000003</v>
      </c>
      <c r="C6330" s="572">
        <v>365.53300000000002</v>
      </c>
    </row>
    <row r="6331" spans="1:3">
      <c r="A6331" s="571" t="s">
        <v>332</v>
      </c>
      <c r="B6331" s="572">
        <v>47.389699999999998</v>
      </c>
      <c r="C6331" s="572">
        <v>374.59300000000002</v>
      </c>
    </row>
    <row r="6332" spans="1:3">
      <c r="A6332" s="571" t="s">
        <v>332</v>
      </c>
      <c r="B6332" s="572">
        <v>50.883099999999999</v>
      </c>
      <c r="C6332" s="572">
        <v>384.81400000000002</v>
      </c>
    </row>
    <row r="6333" spans="1:3">
      <c r="A6333" s="571" t="s">
        <v>332</v>
      </c>
      <c r="B6333" s="572">
        <v>56.936</v>
      </c>
      <c r="C6333" s="572">
        <v>399.536</v>
      </c>
    </row>
    <row r="6334" spans="1:3">
      <c r="A6334" s="571" t="s">
        <v>332</v>
      </c>
      <c r="B6334" s="572">
        <v>63.449200000000005</v>
      </c>
      <c r="C6334" s="572">
        <v>408.48200000000003</v>
      </c>
    </row>
    <row r="6335" spans="1:3">
      <c r="A6335" s="571" t="s">
        <v>332</v>
      </c>
      <c r="B6335" s="572">
        <v>64.615399999999994</v>
      </c>
      <c r="C6335" s="572">
        <v>414.19200000000001</v>
      </c>
    </row>
    <row r="6336" spans="1:3">
      <c r="A6336" s="571" t="s">
        <v>332</v>
      </c>
      <c r="B6336" s="572">
        <v>69.730900000000005</v>
      </c>
      <c r="C6336" s="572">
        <v>418.58800000000002</v>
      </c>
    </row>
    <row r="6337" spans="1:3">
      <c r="A6337" s="571" t="s">
        <v>332</v>
      </c>
      <c r="B6337" s="572">
        <v>76.244900000000001</v>
      </c>
      <c r="C6337" s="572">
        <v>428.685</v>
      </c>
    </row>
    <row r="6338" spans="1:3">
      <c r="A6338" s="571" t="s">
        <v>332</v>
      </c>
      <c r="B6338" s="572">
        <v>83.688400000000001</v>
      </c>
      <c r="C6338" s="572">
        <v>438.74299999999999</v>
      </c>
    </row>
    <row r="6339" spans="1:3">
      <c r="A6339" s="571" t="s">
        <v>332</v>
      </c>
      <c r="B6339" s="572">
        <v>89.971000000000004</v>
      </c>
      <c r="C6339" s="572">
        <v>450.00099999999998</v>
      </c>
    </row>
    <row r="6340" spans="1:3">
      <c r="A6340" s="571" t="s">
        <v>332</v>
      </c>
      <c r="B6340" s="572">
        <v>93.227500000000006</v>
      </c>
      <c r="C6340" s="572">
        <v>454.47399999999999</v>
      </c>
    </row>
    <row r="6341" spans="1:3">
      <c r="A6341" s="573" t="s">
        <v>332</v>
      </c>
      <c r="B6341" s="574">
        <v>104.161</v>
      </c>
      <c r="C6341" s="574">
        <v>470.14699999999999</v>
      </c>
    </row>
    <row r="6342" spans="1:3">
      <c r="A6342" s="573" t="s">
        <v>332</v>
      </c>
      <c r="B6342" s="574">
        <v>118.111</v>
      </c>
      <c r="C6342" s="574">
        <v>481.089</v>
      </c>
    </row>
    <row r="6343" spans="1:3">
      <c r="A6343" s="573" t="s">
        <v>332</v>
      </c>
      <c r="B6343" s="574">
        <v>123.22799999999999</v>
      </c>
      <c r="C6343" s="574">
        <v>486.637</v>
      </c>
    </row>
    <row r="6344" spans="1:3">
      <c r="A6344" s="573" t="s">
        <v>332</v>
      </c>
      <c r="B6344" s="574">
        <v>132.52799999999999</v>
      </c>
      <c r="C6344" s="574">
        <v>494.31599999999997</v>
      </c>
    </row>
    <row r="6345" spans="1:3">
      <c r="A6345" s="573" t="s">
        <v>332</v>
      </c>
      <c r="B6345" s="574">
        <v>138.80500000000001</v>
      </c>
      <c r="C6345" s="574">
        <v>498.66399999999999</v>
      </c>
    </row>
    <row r="6346" spans="1:3">
      <c r="A6346" s="573" t="s">
        <v>332</v>
      </c>
      <c r="B6346" s="574">
        <v>151.82900000000001</v>
      </c>
      <c r="C6346" s="574">
        <v>513.1</v>
      </c>
    </row>
    <row r="6347" spans="1:3">
      <c r="A6347" s="573" t="s">
        <v>332</v>
      </c>
      <c r="B6347" s="574">
        <v>165.78399999999999</v>
      </c>
      <c r="C6347" s="574">
        <v>529.80100000000004</v>
      </c>
    </row>
    <row r="6348" spans="1:3">
      <c r="A6348" s="573" t="s">
        <v>332</v>
      </c>
      <c r="B6348" s="574">
        <v>175.07900000000001</v>
      </c>
      <c r="C6348" s="574">
        <v>530.57000000000005</v>
      </c>
    </row>
    <row r="6349" spans="1:3">
      <c r="A6349" s="573" t="s">
        <v>332</v>
      </c>
      <c r="B6349" s="574">
        <v>193.672</v>
      </c>
      <c r="C6349" s="574">
        <v>535.56299999999999</v>
      </c>
    </row>
    <row r="6350" spans="1:3">
      <c r="A6350" s="571" t="s">
        <v>1978</v>
      </c>
      <c r="B6350" s="572">
        <v>0</v>
      </c>
      <c r="C6350" s="572">
        <v>1.17096</v>
      </c>
    </row>
    <row r="6351" spans="1:3">
      <c r="A6351" s="571" t="s">
        <v>1978</v>
      </c>
      <c r="B6351" s="572">
        <v>1.17188</v>
      </c>
      <c r="C6351" s="572">
        <v>5.8548</v>
      </c>
    </row>
    <row r="6352" spans="1:3">
      <c r="A6352" s="571" t="s">
        <v>1978</v>
      </c>
      <c r="B6352" s="572">
        <v>2.7343799999999998</v>
      </c>
      <c r="C6352" s="572">
        <v>9.36768</v>
      </c>
    </row>
    <row r="6353" spans="1:3">
      <c r="A6353" s="571" t="s">
        <v>1978</v>
      </c>
      <c r="B6353" s="572">
        <v>3.5156200000000002</v>
      </c>
      <c r="C6353" s="572">
        <v>19.906300000000002</v>
      </c>
    </row>
    <row r="6354" spans="1:3">
      <c r="A6354" s="571" t="s">
        <v>1978</v>
      </c>
      <c r="B6354" s="572">
        <v>4.2968799999999998</v>
      </c>
      <c r="C6354" s="572">
        <v>24.590199999999999</v>
      </c>
    </row>
    <row r="6355" spans="1:3">
      <c r="A6355" s="571" t="s">
        <v>1978</v>
      </c>
      <c r="B6355" s="572">
        <v>5.46875</v>
      </c>
      <c r="C6355" s="572">
        <v>29.274000000000001</v>
      </c>
    </row>
    <row r="6356" spans="1:3">
      <c r="A6356" s="571" t="s">
        <v>1978</v>
      </c>
      <c r="B6356" s="572">
        <v>7.8125</v>
      </c>
      <c r="C6356" s="572">
        <v>32.786900000000003</v>
      </c>
    </row>
    <row r="6357" spans="1:3">
      <c r="A6357" s="571" t="s">
        <v>1978</v>
      </c>
      <c r="B6357" s="572">
        <v>10.1562</v>
      </c>
      <c r="C6357" s="572">
        <v>35.128799999999998</v>
      </c>
    </row>
    <row r="6358" spans="1:3">
      <c r="A6358" s="571" t="s">
        <v>1978</v>
      </c>
      <c r="B6358" s="572">
        <v>13.2812</v>
      </c>
      <c r="C6358" s="572">
        <v>37.470700000000001</v>
      </c>
    </row>
    <row r="6359" spans="1:3">
      <c r="A6359" s="571" t="s">
        <v>1978</v>
      </c>
      <c r="B6359" s="572">
        <v>16.406199999999998</v>
      </c>
      <c r="C6359" s="572">
        <v>39.812600000000003</v>
      </c>
    </row>
    <row r="6360" spans="1:3">
      <c r="A6360" s="571" t="s">
        <v>1978</v>
      </c>
      <c r="B6360" s="572">
        <v>18.75</v>
      </c>
      <c r="C6360" s="572">
        <v>40.983600000000003</v>
      </c>
    </row>
    <row r="6361" spans="1:3">
      <c r="A6361" s="571" t="s">
        <v>1978</v>
      </c>
      <c r="B6361" s="572">
        <v>22.265599999999999</v>
      </c>
      <c r="C6361" s="572">
        <v>43.325499999999998</v>
      </c>
    </row>
    <row r="6362" spans="1:3">
      <c r="A6362" s="571" t="s">
        <v>1978</v>
      </c>
      <c r="B6362" s="572">
        <v>25</v>
      </c>
      <c r="C6362" s="572">
        <v>46.8384</v>
      </c>
    </row>
    <row r="6363" spans="1:3">
      <c r="A6363" s="571" t="s">
        <v>1978</v>
      </c>
      <c r="B6363" s="572">
        <v>28.125</v>
      </c>
      <c r="C6363" s="572">
        <v>49.180300000000003</v>
      </c>
    </row>
    <row r="6364" spans="1:3">
      <c r="A6364" s="571" t="s">
        <v>1978</v>
      </c>
      <c r="B6364" s="572">
        <v>42.1875</v>
      </c>
      <c r="C6364" s="572">
        <v>51.522199999999998</v>
      </c>
    </row>
    <row r="6365" spans="1:3">
      <c r="A6365" s="571" t="s">
        <v>1978</v>
      </c>
      <c r="B6365" s="572">
        <v>56.640599999999999</v>
      </c>
      <c r="C6365" s="572">
        <v>51.522199999999998</v>
      </c>
    </row>
    <row r="6366" spans="1:3">
      <c r="A6366" s="571" t="s">
        <v>1978</v>
      </c>
      <c r="B6366" s="572">
        <v>70.703100000000006</v>
      </c>
      <c r="C6366" s="572">
        <v>52.693199999999997</v>
      </c>
    </row>
    <row r="6367" spans="1:3">
      <c r="A6367" s="571" t="s">
        <v>1978</v>
      </c>
      <c r="B6367" s="572">
        <v>91.406199999999998</v>
      </c>
      <c r="C6367" s="572">
        <v>55.0351</v>
      </c>
    </row>
    <row r="6368" spans="1:3">
      <c r="A6368" s="573" t="s">
        <v>1978</v>
      </c>
      <c r="B6368" s="574">
        <v>119.14100000000001</v>
      </c>
      <c r="C6368" s="574">
        <v>56.206099999999999</v>
      </c>
    </row>
    <row r="6369" spans="1:3">
      <c r="A6369" s="573" t="s">
        <v>1978</v>
      </c>
      <c r="B6369" s="574">
        <v>147.26599999999999</v>
      </c>
      <c r="C6369" s="574">
        <v>58.548000000000002</v>
      </c>
    </row>
    <row r="6370" spans="1:3">
      <c r="A6370" s="573" t="s">
        <v>1978</v>
      </c>
      <c r="B6370" s="574">
        <v>175</v>
      </c>
      <c r="C6370" s="574">
        <v>57.377000000000002</v>
      </c>
    </row>
    <row r="6371" spans="1:3">
      <c r="A6371" s="571" t="s">
        <v>1979</v>
      </c>
      <c r="B6371" s="572">
        <v>0.32658799999999999</v>
      </c>
      <c r="C6371" s="572">
        <v>81.967200000000005</v>
      </c>
    </row>
    <row r="6372" spans="1:3">
      <c r="A6372" s="571" t="s">
        <v>1979</v>
      </c>
      <c r="B6372" s="572">
        <v>1.07125</v>
      </c>
      <c r="C6372" s="572">
        <v>128.80600000000001</v>
      </c>
    </row>
    <row r="6373" spans="1:3">
      <c r="A6373" s="571" t="s">
        <v>1979</v>
      </c>
      <c r="B6373" s="572">
        <v>1.07948</v>
      </c>
      <c r="C6373" s="572">
        <v>118.267</v>
      </c>
    </row>
    <row r="6374" spans="1:3">
      <c r="A6374" s="571" t="s">
        <v>1979</v>
      </c>
      <c r="B6374" s="572">
        <v>1.09595</v>
      </c>
      <c r="C6374" s="572">
        <v>97.189700000000002</v>
      </c>
    </row>
    <row r="6375" spans="1:3">
      <c r="A6375" s="571" t="s">
        <v>1979</v>
      </c>
      <c r="B6375" s="572">
        <v>1.1014299999999999</v>
      </c>
      <c r="C6375" s="572">
        <v>90.163899999999998</v>
      </c>
    </row>
    <row r="6376" spans="1:3">
      <c r="A6376" s="571" t="s">
        <v>1979</v>
      </c>
      <c r="B6376" s="572">
        <v>1.45364</v>
      </c>
      <c r="C6376" s="572">
        <v>139.34399999999999</v>
      </c>
    </row>
    <row r="6377" spans="1:3">
      <c r="A6377" s="571" t="s">
        <v>1979</v>
      </c>
      <c r="B6377" s="572">
        <v>3.0097299999999998</v>
      </c>
      <c r="C6377" s="572">
        <v>147.541</v>
      </c>
    </row>
    <row r="6378" spans="1:3">
      <c r="A6378" s="571" t="s">
        <v>1979</v>
      </c>
      <c r="B6378" s="572">
        <v>4.5694900000000001</v>
      </c>
      <c r="C6378" s="572">
        <v>151.054</v>
      </c>
    </row>
    <row r="6379" spans="1:3">
      <c r="A6379" s="571" t="s">
        <v>1979</v>
      </c>
      <c r="B6379" s="572">
        <v>6.1283300000000001</v>
      </c>
      <c r="C6379" s="572">
        <v>155.738</v>
      </c>
    </row>
    <row r="6380" spans="1:3">
      <c r="A6380" s="571" t="s">
        <v>1979</v>
      </c>
      <c r="B6380" s="572">
        <v>8.0805399999999992</v>
      </c>
      <c r="C6380" s="572">
        <v>156.90899999999999</v>
      </c>
    </row>
    <row r="6381" spans="1:3">
      <c r="A6381" s="571" t="s">
        <v>1979</v>
      </c>
      <c r="B6381" s="572">
        <v>10.0291</v>
      </c>
      <c r="C6381" s="572">
        <v>162.76300000000001</v>
      </c>
    </row>
    <row r="6382" spans="1:3">
      <c r="A6382" s="571" t="s">
        <v>1979</v>
      </c>
      <c r="B6382" s="572">
        <v>11.588800000000001</v>
      </c>
      <c r="C6382" s="572">
        <v>166.27600000000001</v>
      </c>
    </row>
    <row r="6383" spans="1:3">
      <c r="A6383" s="571" t="s">
        <v>1979</v>
      </c>
      <c r="B6383" s="572">
        <v>13.146800000000001</v>
      </c>
      <c r="C6383" s="572">
        <v>172.131</v>
      </c>
    </row>
    <row r="6384" spans="1:3">
      <c r="A6384" s="571" t="s">
        <v>1979</v>
      </c>
      <c r="B6384" s="572">
        <v>15.097200000000001</v>
      </c>
      <c r="C6384" s="572">
        <v>175.64400000000001</v>
      </c>
    </row>
    <row r="6385" spans="1:3">
      <c r="A6385" s="571" t="s">
        <v>1979</v>
      </c>
      <c r="B6385" s="572">
        <v>17.440000000000001</v>
      </c>
      <c r="C6385" s="572">
        <v>176.815</v>
      </c>
    </row>
    <row r="6386" spans="1:3">
      <c r="A6386" s="571" t="s">
        <v>1979</v>
      </c>
      <c r="B6386" s="572">
        <v>20.172499999999999</v>
      </c>
      <c r="C6386" s="572">
        <v>179.15700000000001</v>
      </c>
    </row>
    <row r="6387" spans="1:3">
      <c r="A6387" s="571" t="s">
        <v>1979</v>
      </c>
      <c r="B6387" s="572">
        <v>22.903199999999998</v>
      </c>
      <c r="C6387" s="572">
        <v>183.84100000000001</v>
      </c>
    </row>
    <row r="6388" spans="1:3">
      <c r="A6388" s="571" t="s">
        <v>1979</v>
      </c>
      <c r="B6388" s="572">
        <v>25.247</v>
      </c>
      <c r="C6388" s="572">
        <v>183.84100000000001</v>
      </c>
    </row>
    <row r="6389" spans="1:3">
      <c r="A6389" s="571" t="s">
        <v>1979</v>
      </c>
      <c r="B6389" s="572">
        <v>26.807700000000001</v>
      </c>
      <c r="C6389" s="572">
        <v>186.18299999999999</v>
      </c>
    </row>
    <row r="6390" spans="1:3">
      <c r="A6390" s="571" t="s">
        <v>1979</v>
      </c>
      <c r="B6390" s="572">
        <v>28.759</v>
      </c>
      <c r="C6390" s="572">
        <v>188.52500000000001</v>
      </c>
    </row>
    <row r="6391" spans="1:3">
      <c r="A6391" s="571" t="s">
        <v>1979</v>
      </c>
      <c r="B6391" s="572">
        <v>42.0366</v>
      </c>
      <c r="C6391" s="572">
        <v>193.208</v>
      </c>
    </row>
    <row r="6392" spans="1:3">
      <c r="A6392" s="571" t="s">
        <v>1979</v>
      </c>
      <c r="B6392" s="572">
        <v>56.093600000000002</v>
      </c>
      <c r="C6392" s="572">
        <v>200.23400000000001</v>
      </c>
    </row>
    <row r="6393" spans="1:3">
      <c r="A6393" s="571" t="s">
        <v>1979</v>
      </c>
      <c r="B6393" s="572">
        <v>70.150599999999997</v>
      </c>
      <c r="C6393" s="572">
        <v>207.26</v>
      </c>
    </row>
    <row r="6394" spans="1:3">
      <c r="A6394" s="571" t="s">
        <v>1979</v>
      </c>
      <c r="B6394" s="572">
        <v>91.237899999999996</v>
      </c>
      <c r="C6394" s="572">
        <v>215.45699999999999</v>
      </c>
    </row>
    <row r="6395" spans="1:3">
      <c r="A6395" s="573" t="s">
        <v>1979</v>
      </c>
      <c r="B6395" s="574">
        <v>118.97</v>
      </c>
      <c r="C6395" s="574">
        <v>218.97</v>
      </c>
    </row>
    <row r="6396" spans="1:3">
      <c r="A6396" s="573" t="s">
        <v>1979</v>
      </c>
      <c r="B6396" s="574">
        <v>147.09299999999999</v>
      </c>
      <c r="C6396" s="574">
        <v>221.31100000000001</v>
      </c>
    </row>
    <row r="6397" spans="1:3">
      <c r="A6397" s="573" t="s">
        <v>1979</v>
      </c>
      <c r="B6397" s="574">
        <v>174.82400000000001</v>
      </c>
      <c r="C6397" s="574">
        <v>224.82400000000001</v>
      </c>
    </row>
    <row r="6398" spans="1:3">
      <c r="A6398" s="571" t="s">
        <v>1980</v>
      </c>
      <c r="B6398" s="572">
        <v>1.17188</v>
      </c>
      <c r="C6398" s="572">
        <v>1.17188</v>
      </c>
    </row>
    <row r="6399" spans="1:3">
      <c r="A6399" s="571" t="s">
        <v>1980</v>
      </c>
      <c r="B6399" s="572">
        <v>1.95312</v>
      </c>
      <c r="C6399" s="572">
        <v>197.904</v>
      </c>
    </row>
    <row r="6400" spans="1:3">
      <c r="A6400" s="571" t="s">
        <v>1980</v>
      </c>
      <c r="B6400" s="572">
        <v>3.125</v>
      </c>
      <c r="C6400" s="572">
        <v>203.76499999999999</v>
      </c>
    </row>
    <row r="6401" spans="1:3">
      <c r="A6401" s="571" t="s">
        <v>1980</v>
      </c>
      <c r="B6401" s="572">
        <v>4.6875</v>
      </c>
      <c r="C6401" s="572">
        <v>210.8</v>
      </c>
    </row>
    <row r="6402" spans="1:3">
      <c r="A6402" s="571" t="s">
        <v>1980</v>
      </c>
      <c r="B6402" s="572">
        <v>7.03125</v>
      </c>
      <c r="C6402" s="572">
        <v>219.011</v>
      </c>
    </row>
    <row r="6403" spans="1:3">
      <c r="A6403" s="571" t="s">
        <v>1980</v>
      </c>
      <c r="B6403" s="572">
        <v>10.1562</v>
      </c>
      <c r="C6403" s="572">
        <v>228.39699999999999</v>
      </c>
    </row>
    <row r="6404" spans="1:3">
      <c r="A6404" s="571" t="s">
        <v>1980</v>
      </c>
      <c r="B6404" s="572">
        <v>13.2812</v>
      </c>
      <c r="C6404" s="572">
        <v>236.61199999999999</v>
      </c>
    </row>
    <row r="6405" spans="1:3">
      <c r="A6405" s="571" t="s">
        <v>1980</v>
      </c>
      <c r="B6405" s="572">
        <v>16.015599999999999</v>
      </c>
      <c r="C6405" s="572">
        <v>242.483</v>
      </c>
    </row>
    <row r="6406" spans="1:3">
      <c r="A6406" s="571" t="s">
        <v>1980</v>
      </c>
      <c r="B6406" s="572">
        <v>19.531199999999998</v>
      </c>
      <c r="C6406" s="572">
        <v>242.50299999999999</v>
      </c>
    </row>
    <row r="6407" spans="1:3">
      <c r="A6407" s="571" t="s">
        <v>1980</v>
      </c>
      <c r="B6407" s="572">
        <v>22.656199999999998</v>
      </c>
      <c r="C6407" s="572">
        <v>247.20500000000001</v>
      </c>
    </row>
    <row r="6408" spans="1:3">
      <c r="A6408" s="571" t="s">
        <v>1980</v>
      </c>
      <c r="B6408" s="572">
        <v>25</v>
      </c>
      <c r="C6408" s="572">
        <v>254.245</v>
      </c>
    </row>
    <row r="6409" spans="1:3">
      <c r="A6409" s="571" t="s">
        <v>1980</v>
      </c>
      <c r="B6409" s="572">
        <v>29.296900000000001</v>
      </c>
      <c r="C6409" s="572">
        <v>254.27</v>
      </c>
    </row>
    <row r="6410" spans="1:3">
      <c r="A6410" s="571" t="s">
        <v>1980</v>
      </c>
      <c r="B6410" s="572">
        <v>42.1875</v>
      </c>
      <c r="C6410" s="572">
        <v>259.029</v>
      </c>
    </row>
    <row r="6411" spans="1:3">
      <c r="A6411" s="571" t="s">
        <v>1980</v>
      </c>
      <c r="B6411" s="572">
        <v>56.640599999999999</v>
      </c>
      <c r="C6411" s="572">
        <v>268.48200000000003</v>
      </c>
    </row>
    <row r="6412" spans="1:3">
      <c r="A6412" s="571" t="s">
        <v>1980</v>
      </c>
      <c r="B6412" s="572">
        <v>70.3125</v>
      </c>
      <c r="C6412" s="572">
        <v>277.92899999999997</v>
      </c>
    </row>
    <row r="6413" spans="1:3">
      <c r="A6413" s="571" t="s">
        <v>1980</v>
      </c>
      <c r="B6413" s="572">
        <v>91.015600000000006</v>
      </c>
      <c r="C6413" s="572">
        <v>285.07600000000002</v>
      </c>
    </row>
    <row r="6414" spans="1:3">
      <c r="A6414" s="573" t="s">
        <v>1980</v>
      </c>
      <c r="B6414" s="574">
        <v>119.53100000000001</v>
      </c>
      <c r="C6414" s="574">
        <v>288.75599999999997</v>
      </c>
    </row>
    <row r="6415" spans="1:3">
      <c r="A6415" s="573" t="s">
        <v>1980</v>
      </c>
      <c r="B6415" s="574">
        <v>147.26599999999999</v>
      </c>
      <c r="C6415" s="574">
        <v>291.26</v>
      </c>
    </row>
    <row r="6416" spans="1:3">
      <c r="A6416" s="573" t="s">
        <v>1980</v>
      </c>
      <c r="B6416" s="574">
        <v>175.78100000000001</v>
      </c>
      <c r="C6416" s="574">
        <v>296.11099999999999</v>
      </c>
    </row>
    <row r="6417" spans="1:3">
      <c r="A6417" s="571" t="s">
        <v>1981</v>
      </c>
      <c r="B6417" s="572">
        <v>0.54030400000000001</v>
      </c>
      <c r="C6417" s="572">
        <v>308.411</v>
      </c>
    </row>
    <row r="6418" spans="1:3">
      <c r="A6418" s="571" t="s">
        <v>1981</v>
      </c>
      <c r="B6418" s="572">
        <v>0.57498499999999997</v>
      </c>
      <c r="C6418" s="572">
        <v>264.01900000000001</v>
      </c>
    </row>
    <row r="6419" spans="1:3">
      <c r="A6419" s="571" t="s">
        <v>1981</v>
      </c>
      <c r="B6419" s="572">
        <v>0.61696799999999996</v>
      </c>
      <c r="C6419" s="572">
        <v>210.28</v>
      </c>
    </row>
    <row r="6420" spans="1:3">
      <c r="A6420" s="571" t="s">
        <v>1981</v>
      </c>
      <c r="B6420" s="572">
        <v>0.92180200000000001</v>
      </c>
      <c r="C6420" s="572">
        <v>320.09300000000002</v>
      </c>
    </row>
    <row r="6421" spans="1:3">
      <c r="A6421" s="571" t="s">
        <v>1981</v>
      </c>
      <c r="B6421" s="572">
        <v>0.94096800000000003</v>
      </c>
      <c r="C6421" s="572">
        <v>295.56099999999998</v>
      </c>
    </row>
    <row r="6422" spans="1:3">
      <c r="A6422" s="571" t="s">
        <v>1981</v>
      </c>
      <c r="B6422" s="572">
        <v>2.0599099999999999</v>
      </c>
      <c r="C6422" s="572">
        <v>363.31799999999998</v>
      </c>
    </row>
    <row r="6423" spans="1:3">
      <c r="A6423" s="571" t="s">
        <v>1981</v>
      </c>
      <c r="B6423" s="572">
        <v>2.0690300000000001</v>
      </c>
      <c r="C6423" s="572">
        <v>351.63600000000002</v>
      </c>
    </row>
    <row r="6424" spans="1:3">
      <c r="A6424" s="571" t="s">
        <v>1981</v>
      </c>
      <c r="B6424" s="572">
        <v>3.2263099999999998</v>
      </c>
      <c r="C6424" s="572">
        <v>370.327</v>
      </c>
    </row>
    <row r="6425" spans="1:3">
      <c r="A6425" s="571" t="s">
        <v>1981</v>
      </c>
      <c r="B6425" s="572">
        <v>4.7815099999999999</v>
      </c>
      <c r="C6425" s="572">
        <v>379.673</v>
      </c>
    </row>
    <row r="6426" spans="1:3">
      <c r="A6426" s="571" t="s">
        <v>1981</v>
      </c>
      <c r="B6426" s="572">
        <v>6.7318899999999999</v>
      </c>
      <c r="C6426" s="572">
        <v>383.178</v>
      </c>
    </row>
    <row r="6427" spans="1:3">
      <c r="A6427" s="571" t="s">
        <v>1981</v>
      </c>
      <c r="B6427" s="572">
        <v>9.4589700000000008</v>
      </c>
      <c r="C6427" s="572">
        <v>392.52300000000002</v>
      </c>
    </row>
    <row r="6428" spans="1:3">
      <c r="A6428" s="571" t="s">
        <v>1981</v>
      </c>
      <c r="B6428" s="572">
        <v>12.5794</v>
      </c>
      <c r="C6428" s="572">
        <v>398.36399999999998</v>
      </c>
    </row>
    <row r="6429" spans="1:3">
      <c r="A6429" s="571" t="s">
        <v>1981</v>
      </c>
      <c r="B6429" s="572">
        <v>15.700799999999999</v>
      </c>
      <c r="C6429" s="572">
        <v>403.03699999999998</v>
      </c>
    </row>
    <row r="6430" spans="1:3">
      <c r="A6430" s="571" t="s">
        <v>1981</v>
      </c>
      <c r="B6430" s="572">
        <v>18.822099999999999</v>
      </c>
      <c r="C6430" s="572">
        <v>407.71</v>
      </c>
    </row>
    <row r="6431" spans="1:3">
      <c r="A6431" s="571" t="s">
        <v>1981</v>
      </c>
      <c r="B6431" s="572">
        <v>21.552800000000001</v>
      </c>
      <c r="C6431" s="572">
        <v>412.38299999999998</v>
      </c>
    </row>
    <row r="6432" spans="1:3">
      <c r="A6432" s="571" t="s">
        <v>1981</v>
      </c>
      <c r="B6432" s="572">
        <v>24.674199999999999</v>
      </c>
      <c r="C6432" s="572">
        <v>417.05599999999998</v>
      </c>
    </row>
    <row r="6433" spans="1:3">
      <c r="A6433" s="571" t="s">
        <v>1981</v>
      </c>
      <c r="B6433" s="572">
        <v>27.7973</v>
      </c>
      <c r="C6433" s="572">
        <v>419.39299999999997</v>
      </c>
    </row>
    <row r="6434" spans="1:3">
      <c r="A6434" s="571" t="s">
        <v>1981</v>
      </c>
      <c r="B6434" s="572">
        <v>41.857100000000003</v>
      </c>
      <c r="C6434" s="572">
        <v>422.89699999999999</v>
      </c>
    </row>
    <row r="6435" spans="1:3">
      <c r="A6435" s="571" t="s">
        <v>1981</v>
      </c>
      <c r="B6435" s="572">
        <v>55.916899999999998</v>
      </c>
      <c r="C6435" s="572">
        <v>426.40199999999999</v>
      </c>
    </row>
    <row r="6436" spans="1:3">
      <c r="A6436" s="571" t="s">
        <v>1981</v>
      </c>
      <c r="B6436" s="572">
        <v>70.369100000000003</v>
      </c>
      <c r="C6436" s="572">
        <v>427.57</v>
      </c>
    </row>
    <row r="6437" spans="1:3">
      <c r="A6437" s="571" t="s">
        <v>1981</v>
      </c>
      <c r="B6437" s="572">
        <v>90.676100000000005</v>
      </c>
      <c r="C6437" s="572">
        <v>434.57900000000001</v>
      </c>
    </row>
    <row r="6438" spans="1:3">
      <c r="A6438" s="573" t="s">
        <v>1981</v>
      </c>
      <c r="B6438" s="574">
        <v>119.187</v>
      </c>
      <c r="C6438" s="574">
        <v>440.42099999999999</v>
      </c>
    </row>
    <row r="6439" spans="1:3">
      <c r="A6439" s="573" t="s">
        <v>1981</v>
      </c>
      <c r="B6439" s="574">
        <v>146.91900000000001</v>
      </c>
      <c r="C6439" s="574">
        <v>443.92500000000001</v>
      </c>
    </row>
    <row r="6440" spans="1:3">
      <c r="A6440" s="573" t="s">
        <v>1981</v>
      </c>
      <c r="B6440" s="574">
        <v>175.03899999999999</v>
      </c>
      <c r="C6440" s="574">
        <v>449.76600000000002</v>
      </c>
    </row>
    <row r="6441" spans="1:3">
      <c r="A6441" s="571" t="s">
        <v>1982</v>
      </c>
      <c r="B6441" s="572">
        <v>0</v>
      </c>
      <c r="C6441" s="572">
        <v>1.17371</v>
      </c>
    </row>
    <row r="6442" spans="1:3">
      <c r="A6442" s="571" t="s">
        <v>1982</v>
      </c>
      <c r="B6442" s="572">
        <v>1.5655600000000001</v>
      </c>
      <c r="C6442" s="572">
        <v>3.5303100000000001</v>
      </c>
    </row>
    <row r="6443" spans="1:3">
      <c r="A6443" s="571" t="s">
        <v>1982</v>
      </c>
      <c r="B6443" s="572">
        <v>4.3052799999999998</v>
      </c>
      <c r="C6443" s="572">
        <v>8.2412299999999998</v>
      </c>
    </row>
    <row r="6444" spans="1:3">
      <c r="A6444" s="571" t="s">
        <v>1982</v>
      </c>
      <c r="B6444" s="572">
        <v>5.8708400000000003</v>
      </c>
      <c r="C6444" s="572">
        <v>14.119</v>
      </c>
    </row>
    <row r="6445" spans="1:3">
      <c r="A6445" s="571" t="s">
        <v>1982</v>
      </c>
      <c r="B6445" s="572">
        <v>9.3933499999999999</v>
      </c>
      <c r="C6445" s="572">
        <v>14.1396</v>
      </c>
    </row>
    <row r="6446" spans="1:3">
      <c r="A6446" s="571" t="s">
        <v>1982</v>
      </c>
      <c r="B6446" s="572">
        <v>12.915900000000001</v>
      </c>
      <c r="C6446" s="572">
        <v>18.8551</v>
      </c>
    </row>
    <row r="6447" spans="1:3">
      <c r="A6447" s="571" t="s">
        <v>1982</v>
      </c>
      <c r="B6447" s="572">
        <v>16.047000000000001</v>
      </c>
      <c r="C6447" s="572">
        <v>27.089500000000001</v>
      </c>
    </row>
    <row r="6448" spans="1:3">
      <c r="A6448" s="571" t="s">
        <v>1982</v>
      </c>
      <c r="B6448" s="572">
        <v>19.178100000000001</v>
      </c>
      <c r="C6448" s="572">
        <v>29.455300000000001</v>
      </c>
    </row>
    <row r="6449" spans="1:3">
      <c r="A6449" s="571" t="s">
        <v>1982</v>
      </c>
      <c r="B6449" s="572">
        <v>21.9178</v>
      </c>
      <c r="C6449" s="572">
        <v>30.645099999999999</v>
      </c>
    </row>
    <row r="6450" spans="1:3">
      <c r="A6450" s="571" t="s">
        <v>1982</v>
      </c>
      <c r="B6450" s="572">
        <v>24.657499999999999</v>
      </c>
      <c r="C6450" s="572">
        <v>31.834800000000001</v>
      </c>
    </row>
    <row r="6451" spans="1:3">
      <c r="A6451" s="571" t="s">
        <v>1982</v>
      </c>
      <c r="B6451" s="572">
        <v>28.18</v>
      </c>
      <c r="C6451" s="572">
        <v>34.2029</v>
      </c>
    </row>
    <row r="6452" spans="1:3">
      <c r="A6452" s="571" t="s">
        <v>1982</v>
      </c>
      <c r="B6452" s="572">
        <v>42.270099999999999</v>
      </c>
      <c r="C6452" s="572">
        <v>34.285600000000002</v>
      </c>
    </row>
    <row r="6453" spans="1:3">
      <c r="A6453" s="571" t="s">
        <v>1982</v>
      </c>
      <c r="B6453" s="572">
        <v>55.968699999999998</v>
      </c>
      <c r="C6453" s="572">
        <v>34.366</v>
      </c>
    </row>
    <row r="6454" spans="1:3">
      <c r="A6454" s="571" t="s">
        <v>1982</v>
      </c>
      <c r="B6454" s="572">
        <v>70.058700000000002</v>
      </c>
      <c r="C6454" s="572">
        <v>34.448700000000002</v>
      </c>
    </row>
    <row r="6455" spans="1:3">
      <c r="A6455" s="571" t="s">
        <v>1982</v>
      </c>
      <c r="B6455" s="572">
        <v>84.148700000000005</v>
      </c>
      <c r="C6455" s="572">
        <v>35.705100000000002</v>
      </c>
    </row>
    <row r="6456" spans="1:3">
      <c r="A6456" s="573" t="s">
        <v>1982</v>
      </c>
      <c r="B6456" s="574">
        <v>118.982</v>
      </c>
      <c r="C6456" s="574">
        <v>35.909500000000001</v>
      </c>
    </row>
    <row r="6457" spans="1:3">
      <c r="A6457" s="573" t="s">
        <v>1982</v>
      </c>
      <c r="B6457" s="574">
        <v>147.554</v>
      </c>
      <c r="C6457" s="574">
        <v>39.598300000000002</v>
      </c>
    </row>
    <row r="6458" spans="1:3">
      <c r="A6458" s="573" t="s">
        <v>1982</v>
      </c>
      <c r="B6458" s="574">
        <v>174.95099999999999</v>
      </c>
      <c r="C6458" s="574">
        <v>42.106499999999997</v>
      </c>
    </row>
    <row r="6459" spans="1:3">
      <c r="A6459" s="571" t="s">
        <v>1983</v>
      </c>
      <c r="B6459" s="572">
        <v>0.44835000000000003</v>
      </c>
      <c r="C6459" s="572">
        <v>72.767300000000006</v>
      </c>
    </row>
    <row r="6460" spans="1:3">
      <c r="A6460" s="571" t="s">
        <v>1983</v>
      </c>
      <c r="B6460" s="572">
        <v>0.476831</v>
      </c>
      <c r="C6460" s="572">
        <v>109.152</v>
      </c>
    </row>
    <row r="6461" spans="1:3">
      <c r="A6461" s="571" t="s">
        <v>1983</v>
      </c>
      <c r="B6461" s="572">
        <v>0.87648800000000004</v>
      </c>
      <c r="C6461" s="572">
        <v>119.71299999999999</v>
      </c>
    </row>
    <row r="6462" spans="1:3">
      <c r="A6462" s="571" t="s">
        <v>1983</v>
      </c>
      <c r="B6462" s="572">
        <v>2.8380200000000002</v>
      </c>
      <c r="C6462" s="572">
        <v>125.57</v>
      </c>
    </row>
    <row r="6463" spans="1:3">
      <c r="A6463" s="571" t="s">
        <v>1983</v>
      </c>
      <c r="B6463" s="572">
        <v>5.5795700000000004</v>
      </c>
      <c r="C6463" s="572">
        <v>127.902</v>
      </c>
    </row>
    <row r="6464" spans="1:3">
      <c r="A6464" s="571" t="s">
        <v>1983</v>
      </c>
      <c r="B6464" s="572">
        <v>9.4989600000000003</v>
      </c>
      <c r="C6464" s="572">
        <v>134.92099999999999</v>
      </c>
    </row>
    <row r="6465" spans="1:3">
      <c r="A6465" s="571" t="s">
        <v>1983</v>
      </c>
      <c r="B6465" s="572">
        <v>13.023300000000001</v>
      </c>
      <c r="C6465" s="572">
        <v>137.24799999999999</v>
      </c>
    </row>
    <row r="6466" spans="1:3">
      <c r="A6466" s="571" t="s">
        <v>1983</v>
      </c>
      <c r="B6466" s="572">
        <v>16.1553</v>
      </c>
      <c r="C6466" s="572">
        <v>138.40299999999999</v>
      </c>
    </row>
    <row r="6467" spans="1:3">
      <c r="A6467" s="571" t="s">
        <v>1983</v>
      </c>
      <c r="B6467" s="572">
        <v>18.895</v>
      </c>
      <c r="C6467" s="572">
        <v>138.387</v>
      </c>
    </row>
    <row r="6468" spans="1:3">
      <c r="A6468" s="571" t="s">
        <v>1983</v>
      </c>
      <c r="B6468" s="572">
        <v>21.636600000000001</v>
      </c>
      <c r="C6468" s="572">
        <v>140.71799999999999</v>
      </c>
    </row>
    <row r="6469" spans="1:3">
      <c r="A6469" s="571" t="s">
        <v>1983</v>
      </c>
      <c r="B6469" s="572">
        <v>25.161799999999999</v>
      </c>
      <c r="C6469" s="572">
        <v>144.21899999999999</v>
      </c>
    </row>
    <row r="6470" spans="1:3">
      <c r="A6470" s="571" t="s">
        <v>1983</v>
      </c>
      <c r="B6470" s="572">
        <v>27.904299999999999</v>
      </c>
      <c r="C6470" s="572">
        <v>147.72399999999999</v>
      </c>
    </row>
    <row r="6471" spans="1:3">
      <c r="A6471" s="571" t="s">
        <v>1983</v>
      </c>
      <c r="B6471" s="572">
        <v>41.997900000000001</v>
      </c>
      <c r="C6471" s="572">
        <v>152.33600000000001</v>
      </c>
    </row>
    <row r="6472" spans="1:3">
      <c r="A6472" s="571" t="s">
        <v>1983</v>
      </c>
      <c r="B6472" s="572">
        <v>56.092500000000001</v>
      </c>
      <c r="C6472" s="572">
        <v>158.12200000000001</v>
      </c>
    </row>
    <row r="6473" spans="1:3">
      <c r="A6473" s="571" t="s">
        <v>1983</v>
      </c>
      <c r="B6473" s="572">
        <v>70.186099999999996</v>
      </c>
      <c r="C6473" s="572">
        <v>162.73400000000001</v>
      </c>
    </row>
    <row r="6474" spans="1:3">
      <c r="A6474" s="571" t="s">
        <v>1983</v>
      </c>
      <c r="B6474" s="572">
        <v>84.280600000000007</v>
      </c>
      <c r="C6474" s="572">
        <v>168.51900000000001</v>
      </c>
    </row>
    <row r="6475" spans="1:3">
      <c r="A6475" s="573" t="s">
        <v>1983</v>
      </c>
      <c r="B6475" s="574">
        <v>119.12</v>
      </c>
      <c r="C6475" s="574">
        <v>175.357</v>
      </c>
    </row>
    <row r="6476" spans="1:3">
      <c r="A6476" s="573" t="s">
        <v>1983</v>
      </c>
      <c r="B6476" s="574">
        <v>147.30099999999999</v>
      </c>
      <c r="C6476" s="574">
        <v>177.53899999999999</v>
      </c>
    </row>
    <row r="6477" spans="1:3">
      <c r="A6477" s="573" t="s">
        <v>1983</v>
      </c>
      <c r="B6477" s="574">
        <v>175.09200000000001</v>
      </c>
      <c r="C6477" s="574">
        <v>179.72399999999999</v>
      </c>
    </row>
    <row r="6478" spans="1:3">
      <c r="A6478" s="571" t="s">
        <v>1984</v>
      </c>
      <c r="B6478" s="572">
        <v>0.39138899999999999</v>
      </c>
      <c r="C6478" s="572">
        <v>0.39138899999999999</v>
      </c>
    </row>
    <row r="6479" spans="1:3">
      <c r="A6479" s="571" t="s">
        <v>1984</v>
      </c>
      <c r="B6479" s="572">
        <v>0.39138899999999999</v>
      </c>
      <c r="C6479" s="572">
        <v>0.39138899999999999</v>
      </c>
    </row>
    <row r="6480" spans="1:3">
      <c r="A6480" s="571" t="s">
        <v>1984</v>
      </c>
      <c r="B6480" s="572">
        <v>1.1741699999999999</v>
      </c>
      <c r="C6480" s="572">
        <v>128.80600000000001</v>
      </c>
    </row>
    <row r="6481" spans="1:3">
      <c r="A6481" s="571" t="s">
        <v>1984</v>
      </c>
      <c r="B6481" s="572">
        <v>1.1741699999999999</v>
      </c>
      <c r="C6481" s="572">
        <v>128.80600000000001</v>
      </c>
    </row>
    <row r="6482" spans="1:3">
      <c r="A6482" s="571" t="s">
        <v>1984</v>
      </c>
      <c r="B6482" s="572">
        <v>1.5655600000000001</v>
      </c>
      <c r="C6482" s="572">
        <v>155.738</v>
      </c>
    </row>
    <row r="6483" spans="1:3">
      <c r="A6483" s="571" t="s">
        <v>1984</v>
      </c>
      <c r="B6483" s="572">
        <v>3.5225</v>
      </c>
      <c r="C6483" s="572">
        <v>161.59299999999999</v>
      </c>
    </row>
    <row r="6484" spans="1:3">
      <c r="A6484" s="571" t="s">
        <v>1984</v>
      </c>
      <c r="B6484" s="572">
        <v>5.4794499999999999</v>
      </c>
      <c r="C6484" s="572">
        <v>162.76300000000001</v>
      </c>
    </row>
    <row r="6485" spans="1:3">
      <c r="A6485" s="571" t="s">
        <v>1984</v>
      </c>
      <c r="B6485" s="572">
        <v>9.7847399999999993</v>
      </c>
      <c r="C6485" s="572">
        <v>168.61799999999999</v>
      </c>
    </row>
    <row r="6486" spans="1:3">
      <c r="A6486" s="571" t="s">
        <v>1984</v>
      </c>
      <c r="B6486" s="572">
        <v>12.915900000000001</v>
      </c>
      <c r="C6486" s="572">
        <v>174.47300000000001</v>
      </c>
    </row>
    <row r="6487" spans="1:3">
      <c r="A6487" s="571" t="s">
        <v>1984</v>
      </c>
      <c r="B6487" s="572">
        <v>15.6556</v>
      </c>
      <c r="C6487" s="572">
        <v>176.815</v>
      </c>
    </row>
    <row r="6488" spans="1:3">
      <c r="A6488" s="571" t="s">
        <v>1984</v>
      </c>
      <c r="B6488" s="572">
        <v>18.7867</v>
      </c>
      <c r="C6488" s="572">
        <v>181.499</v>
      </c>
    </row>
    <row r="6489" spans="1:3">
      <c r="A6489" s="571" t="s">
        <v>1984</v>
      </c>
      <c r="B6489" s="572">
        <v>22.309200000000001</v>
      </c>
      <c r="C6489" s="572">
        <v>183.84100000000001</v>
      </c>
    </row>
    <row r="6490" spans="1:3">
      <c r="A6490" s="571" t="s">
        <v>1984</v>
      </c>
      <c r="B6490" s="572">
        <v>24.657499999999999</v>
      </c>
      <c r="C6490" s="572">
        <v>186.18299999999999</v>
      </c>
    </row>
    <row r="6491" spans="1:3">
      <c r="A6491" s="571" t="s">
        <v>1984</v>
      </c>
      <c r="B6491" s="572">
        <v>28.18</v>
      </c>
      <c r="C6491" s="572">
        <v>189.696</v>
      </c>
    </row>
    <row r="6492" spans="1:3">
      <c r="A6492" s="571" t="s">
        <v>1984</v>
      </c>
      <c r="B6492" s="572">
        <v>41.878700000000002</v>
      </c>
      <c r="C6492" s="572">
        <v>188.52500000000001</v>
      </c>
    </row>
    <row r="6493" spans="1:3">
      <c r="A6493" s="571" t="s">
        <v>1984</v>
      </c>
      <c r="B6493" s="572">
        <v>55.968699999999998</v>
      </c>
      <c r="C6493" s="572">
        <v>196.721</v>
      </c>
    </row>
    <row r="6494" spans="1:3">
      <c r="A6494" s="571" t="s">
        <v>1984</v>
      </c>
      <c r="B6494" s="572">
        <v>70.450100000000006</v>
      </c>
      <c r="C6494" s="572">
        <v>204.91800000000001</v>
      </c>
    </row>
    <row r="6495" spans="1:3">
      <c r="A6495" s="571" t="s">
        <v>1984</v>
      </c>
      <c r="B6495" s="572">
        <v>84.148700000000005</v>
      </c>
      <c r="C6495" s="572">
        <v>210.773</v>
      </c>
    </row>
    <row r="6496" spans="1:3">
      <c r="A6496" s="573" t="s">
        <v>1984</v>
      </c>
      <c r="B6496" s="574">
        <v>119.374</v>
      </c>
      <c r="C6496" s="574">
        <v>223.65299999999999</v>
      </c>
    </row>
    <row r="6497" spans="1:3">
      <c r="A6497" s="573" t="s">
        <v>1984</v>
      </c>
      <c r="B6497" s="574">
        <v>146.38</v>
      </c>
      <c r="C6497" s="574">
        <v>224.82400000000001</v>
      </c>
    </row>
    <row r="6498" spans="1:3">
      <c r="A6498" s="573" t="s">
        <v>1984</v>
      </c>
      <c r="B6498" s="574">
        <v>174.95099999999999</v>
      </c>
      <c r="C6498" s="574">
        <v>229.50800000000001</v>
      </c>
    </row>
    <row r="6499" spans="1:3">
      <c r="A6499" s="571" t="s">
        <v>1985</v>
      </c>
      <c r="B6499" s="572">
        <v>0.39138899999999999</v>
      </c>
      <c r="C6499" s="572">
        <v>44.496499999999997</v>
      </c>
    </row>
    <row r="6500" spans="1:3">
      <c r="A6500" s="571" t="s">
        <v>1985</v>
      </c>
      <c r="B6500" s="572">
        <v>0.782779</v>
      </c>
      <c r="C6500" s="572">
        <v>217.79900000000001</v>
      </c>
    </row>
    <row r="6501" spans="1:3">
      <c r="A6501" s="571" t="s">
        <v>1985</v>
      </c>
      <c r="B6501" s="572">
        <v>1.1741699999999999</v>
      </c>
      <c r="C6501" s="572">
        <v>231.85</v>
      </c>
    </row>
    <row r="6502" spans="1:3">
      <c r="A6502" s="571" t="s">
        <v>1985</v>
      </c>
      <c r="B6502" s="572">
        <v>2.3483399999999999</v>
      </c>
      <c r="C6502" s="572">
        <v>265.80799999999999</v>
      </c>
    </row>
    <row r="6503" spans="1:3">
      <c r="A6503" s="571" t="s">
        <v>1985</v>
      </c>
      <c r="B6503" s="572">
        <v>2.7397300000000002</v>
      </c>
      <c r="C6503" s="572">
        <v>278.68900000000002</v>
      </c>
    </row>
    <row r="6504" spans="1:3">
      <c r="A6504" s="571" t="s">
        <v>1985</v>
      </c>
      <c r="B6504" s="572">
        <v>3.9138899999999999</v>
      </c>
      <c r="C6504" s="572">
        <v>285.714</v>
      </c>
    </row>
    <row r="6505" spans="1:3">
      <c r="A6505" s="571" t="s">
        <v>1985</v>
      </c>
      <c r="B6505" s="572">
        <v>5.4794499999999999</v>
      </c>
      <c r="C6505" s="572">
        <v>291.56900000000002</v>
      </c>
    </row>
    <row r="6506" spans="1:3">
      <c r="A6506" s="571" t="s">
        <v>1985</v>
      </c>
      <c r="B6506" s="572">
        <v>7.0450100000000004</v>
      </c>
      <c r="C6506" s="572">
        <v>293.911</v>
      </c>
    </row>
    <row r="6507" spans="1:3">
      <c r="A6507" s="571" t="s">
        <v>1985</v>
      </c>
      <c r="B6507" s="572">
        <v>9.3933499999999999</v>
      </c>
      <c r="C6507" s="572">
        <v>299.76600000000002</v>
      </c>
    </row>
    <row r="6508" spans="1:3">
      <c r="A6508" s="571" t="s">
        <v>1985</v>
      </c>
      <c r="B6508" s="572">
        <v>13.3072</v>
      </c>
      <c r="C6508" s="572">
        <v>305.62099999999998</v>
      </c>
    </row>
    <row r="6509" spans="1:3">
      <c r="A6509" s="571" t="s">
        <v>1985</v>
      </c>
      <c r="B6509" s="572">
        <v>16.047000000000001</v>
      </c>
      <c r="C6509" s="572">
        <v>310.30399999999997</v>
      </c>
    </row>
    <row r="6510" spans="1:3">
      <c r="A6510" s="571" t="s">
        <v>1985</v>
      </c>
      <c r="B6510" s="572">
        <v>19.569500000000001</v>
      </c>
      <c r="C6510" s="572">
        <v>311.47500000000002</v>
      </c>
    </row>
    <row r="6511" spans="1:3">
      <c r="A6511" s="571" t="s">
        <v>1985</v>
      </c>
      <c r="B6511" s="572">
        <v>22.309200000000001</v>
      </c>
      <c r="C6511" s="572">
        <v>314.988</v>
      </c>
    </row>
    <row r="6512" spans="1:3">
      <c r="A6512" s="571" t="s">
        <v>1985</v>
      </c>
      <c r="B6512" s="572">
        <v>25.0489</v>
      </c>
      <c r="C6512" s="572">
        <v>318.50099999999998</v>
      </c>
    </row>
    <row r="6513" spans="1:3">
      <c r="A6513" s="571" t="s">
        <v>1985</v>
      </c>
      <c r="B6513" s="572">
        <v>27.788599999999999</v>
      </c>
      <c r="C6513" s="572">
        <v>319.67200000000003</v>
      </c>
    </row>
    <row r="6514" spans="1:3">
      <c r="A6514" s="571" t="s">
        <v>1985</v>
      </c>
      <c r="B6514" s="572">
        <v>41.878700000000002</v>
      </c>
      <c r="C6514" s="572">
        <v>324.35599999999999</v>
      </c>
    </row>
    <row r="6515" spans="1:3">
      <c r="A6515" s="571" t="s">
        <v>1985</v>
      </c>
      <c r="B6515" s="572">
        <v>56.360100000000003</v>
      </c>
      <c r="C6515" s="572">
        <v>327.86900000000003</v>
      </c>
    </row>
    <row r="6516" spans="1:3">
      <c r="A6516" s="571" t="s">
        <v>1985</v>
      </c>
      <c r="B6516" s="572">
        <v>69.667299999999997</v>
      </c>
      <c r="C6516" s="572">
        <v>331.38200000000001</v>
      </c>
    </row>
    <row r="6517" spans="1:3">
      <c r="A6517" s="571" t="s">
        <v>1985</v>
      </c>
      <c r="B6517" s="572">
        <v>84.148700000000005</v>
      </c>
      <c r="C6517" s="572">
        <v>336.06599999999997</v>
      </c>
    </row>
    <row r="6518" spans="1:3">
      <c r="A6518" s="573" t="s">
        <v>1985</v>
      </c>
      <c r="B6518" s="574">
        <v>118.982</v>
      </c>
      <c r="C6518" s="574">
        <v>341.92</v>
      </c>
    </row>
    <row r="6519" spans="1:3">
      <c r="A6519" s="573" t="s">
        <v>1985</v>
      </c>
      <c r="B6519" s="574">
        <v>147.16200000000001</v>
      </c>
      <c r="C6519" s="574">
        <v>343.09100000000001</v>
      </c>
    </row>
    <row r="6520" spans="1:3">
      <c r="A6520" s="573" t="s">
        <v>1985</v>
      </c>
      <c r="B6520" s="574">
        <v>174.56</v>
      </c>
      <c r="C6520" s="574">
        <v>343.09100000000001</v>
      </c>
    </row>
    <row r="6521" spans="1:3">
      <c r="A6521" s="571" t="s">
        <v>1986</v>
      </c>
      <c r="B6521" s="572">
        <v>0.52477600000000002</v>
      </c>
      <c r="C6521" s="572">
        <v>83.135400000000004</v>
      </c>
    </row>
    <row r="6522" spans="1:3">
      <c r="A6522" s="571" t="s">
        <v>1986</v>
      </c>
      <c r="B6522" s="572">
        <v>0.98958199999999996</v>
      </c>
      <c r="C6522" s="572">
        <v>171.02099999999999</v>
      </c>
    </row>
    <row r="6523" spans="1:3">
      <c r="A6523" s="571" t="s">
        <v>1986</v>
      </c>
      <c r="B6523" s="572">
        <v>1.22523</v>
      </c>
      <c r="C6523" s="572">
        <v>187.648</v>
      </c>
    </row>
    <row r="6524" spans="1:3">
      <c r="A6524" s="571" t="s">
        <v>1986</v>
      </c>
      <c r="B6524" s="572">
        <v>1.5802499999999999</v>
      </c>
      <c r="C6524" s="572">
        <v>199.52500000000001</v>
      </c>
    </row>
    <row r="6525" spans="1:3">
      <c r="A6525" s="571" t="s">
        <v>1986</v>
      </c>
      <c r="B6525" s="572">
        <v>2.5303300000000002</v>
      </c>
      <c r="C6525" s="572">
        <v>203.08799999999999</v>
      </c>
    </row>
    <row r="6526" spans="1:3">
      <c r="A6526" s="571" t="s">
        <v>1986</v>
      </c>
      <c r="B6526" s="572">
        <v>3.53952</v>
      </c>
      <c r="C6526" s="572">
        <v>209.02600000000001</v>
      </c>
    </row>
    <row r="6527" spans="1:3">
      <c r="A6527" s="571" t="s">
        <v>1986</v>
      </c>
      <c r="B6527" s="572">
        <v>4.6084100000000001</v>
      </c>
      <c r="C6527" s="572">
        <v>212.589</v>
      </c>
    </row>
    <row r="6528" spans="1:3">
      <c r="A6528" s="571" t="s">
        <v>1986</v>
      </c>
      <c r="B6528" s="572">
        <v>6.9835099999999999</v>
      </c>
      <c r="C6528" s="572">
        <v>222.09</v>
      </c>
    </row>
    <row r="6529" spans="1:3">
      <c r="A6529" s="571" t="s">
        <v>1986</v>
      </c>
      <c r="B6529" s="572">
        <v>9.9529599999999991</v>
      </c>
      <c r="C6529" s="572">
        <v>229.21600000000001</v>
      </c>
    </row>
    <row r="6530" spans="1:3">
      <c r="A6530" s="571" t="s">
        <v>1986</v>
      </c>
      <c r="B6530" s="572">
        <v>12.9818</v>
      </c>
      <c r="C6530" s="572">
        <v>236.34200000000001</v>
      </c>
    </row>
    <row r="6531" spans="1:3">
      <c r="A6531" s="571" t="s">
        <v>1986</v>
      </c>
      <c r="B6531" s="572">
        <v>15.951599999999999</v>
      </c>
      <c r="C6531" s="572">
        <v>241.09299999999999</v>
      </c>
    </row>
    <row r="6532" spans="1:3">
      <c r="A6532" s="571" t="s">
        <v>1986</v>
      </c>
      <c r="B6532" s="572">
        <v>19.040199999999999</v>
      </c>
      <c r="C6532" s="572">
        <v>244.65600000000001</v>
      </c>
    </row>
    <row r="6533" spans="1:3">
      <c r="A6533" s="571" t="s">
        <v>1986</v>
      </c>
      <c r="B6533" s="572">
        <v>21.951000000000001</v>
      </c>
      <c r="C6533" s="572">
        <v>245.84299999999999</v>
      </c>
    </row>
    <row r="6534" spans="1:3">
      <c r="A6534" s="571" t="s">
        <v>1986</v>
      </c>
      <c r="B6534" s="572">
        <v>24.98</v>
      </c>
      <c r="C6534" s="572">
        <v>251.78100000000001</v>
      </c>
    </row>
    <row r="6535" spans="1:3">
      <c r="A6535" s="571" t="s">
        <v>1986</v>
      </c>
      <c r="B6535" s="572">
        <v>27.8903</v>
      </c>
      <c r="C6535" s="572">
        <v>256.53199999999998</v>
      </c>
    </row>
    <row r="6536" spans="1:3">
      <c r="A6536" s="571" t="s">
        <v>1987</v>
      </c>
      <c r="B6536" s="572">
        <v>0.475248</v>
      </c>
      <c r="C6536" s="572">
        <v>82.142899999999997</v>
      </c>
    </row>
    <row r="6537" spans="1:3">
      <c r="A6537" s="571" t="s">
        <v>1987</v>
      </c>
      <c r="B6537" s="572">
        <v>0.83168299999999995</v>
      </c>
      <c r="C6537" s="572">
        <v>138.095</v>
      </c>
    </row>
    <row r="6538" spans="1:3">
      <c r="A6538" s="571" t="s">
        <v>1987</v>
      </c>
      <c r="B6538" s="572">
        <v>0.95049499999999998</v>
      </c>
      <c r="C6538" s="572">
        <v>145.238</v>
      </c>
    </row>
    <row r="6539" spans="1:3">
      <c r="A6539" s="571" t="s">
        <v>1987</v>
      </c>
      <c r="B6539" s="572">
        <v>1.5445500000000001</v>
      </c>
      <c r="C6539" s="572">
        <v>173.81</v>
      </c>
    </row>
    <row r="6540" spans="1:3">
      <c r="A6540" s="571" t="s">
        <v>1987</v>
      </c>
      <c r="B6540" s="572">
        <v>2.5544600000000002</v>
      </c>
      <c r="C6540" s="572">
        <v>185.714</v>
      </c>
    </row>
    <row r="6541" spans="1:3">
      <c r="A6541" s="571" t="s">
        <v>1987</v>
      </c>
      <c r="B6541" s="572">
        <v>3.50495</v>
      </c>
      <c r="C6541" s="572">
        <v>191.667</v>
      </c>
    </row>
    <row r="6542" spans="1:3">
      <c r="A6542" s="571" t="s">
        <v>1987</v>
      </c>
      <c r="B6542" s="572">
        <v>5.1089099999999998</v>
      </c>
      <c r="C6542" s="572">
        <v>195.238</v>
      </c>
    </row>
    <row r="6543" spans="1:3">
      <c r="A6543" s="571" t="s">
        <v>1987</v>
      </c>
      <c r="B6543" s="572">
        <v>7.0693099999999998</v>
      </c>
      <c r="C6543" s="572">
        <v>197.619</v>
      </c>
    </row>
    <row r="6544" spans="1:3">
      <c r="A6544" s="571" t="s">
        <v>1987</v>
      </c>
      <c r="B6544" s="572">
        <v>10.1584</v>
      </c>
      <c r="C6544" s="572">
        <v>203.571</v>
      </c>
    </row>
    <row r="6545" spans="1:3">
      <c r="A6545" s="571" t="s">
        <v>1987</v>
      </c>
      <c r="B6545" s="572">
        <v>13.0099</v>
      </c>
      <c r="C6545" s="572">
        <v>208.333</v>
      </c>
    </row>
    <row r="6546" spans="1:3">
      <c r="A6546" s="571" t="s">
        <v>1987</v>
      </c>
      <c r="B6546" s="572">
        <v>16.0396</v>
      </c>
      <c r="C6546" s="572">
        <v>214.286</v>
      </c>
    </row>
    <row r="6547" spans="1:3">
      <c r="A6547" s="571" t="s">
        <v>1987</v>
      </c>
      <c r="B6547" s="572">
        <v>19.009899999999998</v>
      </c>
      <c r="C6547" s="572">
        <v>221.429</v>
      </c>
    </row>
    <row r="6548" spans="1:3">
      <c r="A6548" s="571" t="s">
        <v>1987</v>
      </c>
      <c r="B6548" s="572">
        <v>22.0396</v>
      </c>
      <c r="C6548" s="572">
        <v>227.381</v>
      </c>
    </row>
    <row r="6549" spans="1:3">
      <c r="A6549" s="571" t="s">
        <v>1987</v>
      </c>
      <c r="B6549" s="572">
        <v>24.950500000000002</v>
      </c>
      <c r="C6549" s="572">
        <v>230.952</v>
      </c>
    </row>
    <row r="6550" spans="1:3">
      <c r="A6550" s="571" t="s">
        <v>1987</v>
      </c>
      <c r="B6550" s="572">
        <v>27.9802</v>
      </c>
      <c r="C6550" s="572">
        <v>234.524</v>
      </c>
    </row>
    <row r="6551" spans="1:3">
      <c r="A6551" s="571" t="s">
        <v>1988</v>
      </c>
      <c r="B6551" s="572">
        <v>0.238569</v>
      </c>
      <c r="C6551" s="572">
        <v>1.1876500000000001</v>
      </c>
    </row>
    <row r="6552" spans="1:3">
      <c r="A6552" s="571" t="s">
        <v>1988</v>
      </c>
      <c r="B6552" s="572">
        <v>0.35785299999999998</v>
      </c>
      <c r="C6552" s="572">
        <v>59.382399999999997</v>
      </c>
    </row>
    <row r="6553" spans="1:3">
      <c r="A6553" s="571" t="s">
        <v>1988</v>
      </c>
      <c r="B6553" s="572">
        <v>0.417495</v>
      </c>
      <c r="C6553" s="572">
        <v>92.636600000000001</v>
      </c>
    </row>
    <row r="6554" spans="1:3">
      <c r="A6554" s="571" t="s">
        <v>1988</v>
      </c>
      <c r="B6554" s="572">
        <v>0.47713699999999998</v>
      </c>
      <c r="C6554" s="572">
        <v>103.325</v>
      </c>
    </row>
    <row r="6555" spans="1:3">
      <c r="A6555" s="571" t="s">
        <v>1988</v>
      </c>
      <c r="B6555" s="572">
        <v>0.65606399999999998</v>
      </c>
      <c r="C6555" s="572">
        <v>117.577</v>
      </c>
    </row>
    <row r="6556" spans="1:3">
      <c r="A6556" s="571" t="s">
        <v>1988</v>
      </c>
      <c r="B6556" s="572">
        <v>1.0735600000000001</v>
      </c>
      <c r="C6556" s="572">
        <v>128.26599999999999</v>
      </c>
    </row>
    <row r="6557" spans="1:3">
      <c r="A6557" s="571" t="s">
        <v>1988</v>
      </c>
      <c r="B6557" s="572">
        <v>1.4314100000000001</v>
      </c>
      <c r="C6557" s="572">
        <v>148.45599999999999</v>
      </c>
    </row>
    <row r="6558" spans="1:3">
      <c r="A6558" s="571" t="s">
        <v>1988</v>
      </c>
      <c r="B6558" s="572">
        <v>2.4453299999999998</v>
      </c>
      <c r="C6558" s="572">
        <v>159.14500000000001</v>
      </c>
    </row>
    <row r="6559" spans="1:3">
      <c r="A6559" s="571" t="s">
        <v>1988</v>
      </c>
      <c r="B6559" s="572">
        <v>4.0556700000000001</v>
      </c>
      <c r="C6559" s="572">
        <v>162.708</v>
      </c>
    </row>
    <row r="6560" spans="1:3">
      <c r="A6560" s="571" t="s">
        <v>1988</v>
      </c>
      <c r="B6560" s="572">
        <v>4.9503000000000004</v>
      </c>
      <c r="C6560" s="572">
        <v>166.27099999999999</v>
      </c>
    </row>
    <row r="6561" spans="1:3">
      <c r="A6561" s="571" t="s">
        <v>1988</v>
      </c>
      <c r="B6561" s="572">
        <v>5.9642099999999996</v>
      </c>
      <c r="C6561" s="572">
        <v>167.458</v>
      </c>
    </row>
    <row r="6562" spans="1:3">
      <c r="A6562" s="571" t="s">
        <v>1988</v>
      </c>
      <c r="B6562" s="572">
        <v>7.0377700000000001</v>
      </c>
      <c r="C6562" s="572">
        <v>166.27099999999999</v>
      </c>
    </row>
    <row r="6563" spans="1:3">
      <c r="A6563" s="571" t="s">
        <v>1988</v>
      </c>
      <c r="B6563" s="572">
        <v>9.9602400000000006</v>
      </c>
      <c r="C6563" s="572">
        <v>171.02099999999999</v>
      </c>
    </row>
    <row r="6564" spans="1:3">
      <c r="A6564" s="571" t="s">
        <v>1988</v>
      </c>
      <c r="B6564" s="572">
        <v>13.002000000000001</v>
      </c>
      <c r="C6564" s="572">
        <v>175.77199999999999</v>
      </c>
    </row>
    <row r="6565" spans="1:3">
      <c r="A6565" s="571" t="s">
        <v>1988</v>
      </c>
      <c r="B6565" s="572">
        <v>15.9841</v>
      </c>
      <c r="C6565" s="572">
        <v>176.96</v>
      </c>
    </row>
    <row r="6566" spans="1:3">
      <c r="A6566" s="571" t="s">
        <v>1988</v>
      </c>
      <c r="B6566" s="572">
        <v>18.966200000000001</v>
      </c>
      <c r="C6566" s="572">
        <v>179.33500000000001</v>
      </c>
    </row>
    <row r="6567" spans="1:3">
      <c r="A6567" s="571" t="s">
        <v>1988</v>
      </c>
      <c r="B6567" s="572">
        <v>22.067599999999999</v>
      </c>
      <c r="C6567" s="572">
        <v>182.898</v>
      </c>
    </row>
    <row r="6568" spans="1:3">
      <c r="A6568" s="571" t="s">
        <v>1988</v>
      </c>
      <c r="B6568" s="572">
        <v>25.049700000000001</v>
      </c>
      <c r="C6568" s="572">
        <v>185.273</v>
      </c>
    </row>
    <row r="6569" spans="1:3">
      <c r="A6569" s="571" t="s">
        <v>1988</v>
      </c>
      <c r="B6569" s="572">
        <v>28.0318</v>
      </c>
      <c r="C6569" s="572">
        <v>191.21100000000001</v>
      </c>
    </row>
    <row r="6570" spans="1:3">
      <c r="A6570" s="571" t="s">
        <v>1989</v>
      </c>
      <c r="B6570" s="572">
        <v>0.34881899999999999</v>
      </c>
      <c r="C6570" s="572">
        <v>32.052700000000002</v>
      </c>
    </row>
    <row r="6571" spans="1:3">
      <c r="A6571" s="571" t="s">
        <v>1989</v>
      </c>
      <c r="B6571" s="572">
        <v>0.45944800000000002</v>
      </c>
      <c r="C6571" s="572">
        <v>43.922199999999997</v>
      </c>
    </row>
    <row r="6572" spans="1:3">
      <c r="A6572" s="571" t="s">
        <v>1989</v>
      </c>
      <c r="B6572" s="572">
        <v>0.46114100000000002</v>
      </c>
      <c r="C6572" s="572">
        <v>59.364199999999997</v>
      </c>
    </row>
    <row r="6573" spans="1:3">
      <c r="A6573" s="571" t="s">
        <v>1989</v>
      </c>
      <c r="B6573" s="572">
        <v>0.51659699999999997</v>
      </c>
      <c r="C6573" s="572">
        <v>66.490099999999998</v>
      </c>
    </row>
    <row r="6574" spans="1:3">
      <c r="A6574" s="571" t="s">
        <v>1989</v>
      </c>
      <c r="B6574" s="572">
        <v>0.52421600000000002</v>
      </c>
      <c r="C6574" s="572">
        <v>75.989099999999993</v>
      </c>
    </row>
    <row r="6575" spans="1:3">
      <c r="A6575" s="571" t="s">
        <v>1989</v>
      </c>
      <c r="B6575" s="572">
        <v>0.69312300000000004</v>
      </c>
      <c r="C6575" s="572">
        <v>83.108000000000004</v>
      </c>
    </row>
    <row r="6576" spans="1:3">
      <c r="A6576" s="571" t="s">
        <v>1989</v>
      </c>
      <c r="B6576" s="572">
        <v>0.75111799999999995</v>
      </c>
      <c r="C6576" s="572">
        <v>89.043899999999994</v>
      </c>
    </row>
    <row r="6577" spans="1:3">
      <c r="A6577" s="571" t="s">
        <v>1989</v>
      </c>
      <c r="B6577" s="572">
        <v>0.92764400000000002</v>
      </c>
      <c r="C6577" s="572">
        <v>96.162800000000004</v>
      </c>
    </row>
    <row r="6578" spans="1:3">
      <c r="A6578" s="571" t="s">
        <v>1989</v>
      </c>
      <c r="B6578" s="572">
        <v>0.98563999999999996</v>
      </c>
      <c r="C6578" s="572">
        <v>102.099</v>
      </c>
    </row>
    <row r="6579" spans="1:3">
      <c r="A6579" s="571" t="s">
        <v>1989</v>
      </c>
      <c r="B6579" s="572">
        <v>1.5771599999999999</v>
      </c>
      <c r="C6579" s="572">
        <v>112.764</v>
      </c>
    </row>
    <row r="6580" spans="1:3">
      <c r="A6580" s="571" t="s">
        <v>1989</v>
      </c>
      <c r="B6580" s="572">
        <v>2.4645899999999998</v>
      </c>
      <c r="C6580" s="572">
        <v>128.16800000000001</v>
      </c>
    </row>
    <row r="6581" spans="1:3">
      <c r="A6581" s="571" t="s">
        <v>1989</v>
      </c>
      <c r="B6581" s="572">
        <v>3.47281</v>
      </c>
      <c r="C6581" s="572">
        <v>135.25399999999999</v>
      </c>
    </row>
    <row r="6582" spans="1:3">
      <c r="A6582" s="571" t="s">
        <v>1989</v>
      </c>
      <c r="B6582" s="572">
        <v>5.0168200000000001</v>
      </c>
      <c r="C6582" s="572">
        <v>137.56899999999999</v>
      </c>
    </row>
    <row r="6583" spans="1:3">
      <c r="A6583" s="571" t="s">
        <v>1989</v>
      </c>
      <c r="B6583" s="572">
        <v>6.9172599999999997</v>
      </c>
      <c r="C6583" s="572">
        <v>139.869</v>
      </c>
    </row>
    <row r="6584" spans="1:3">
      <c r="A6584" s="571" t="s">
        <v>1989</v>
      </c>
      <c r="B6584" s="572">
        <v>10.0061</v>
      </c>
      <c r="C6584" s="572">
        <v>140.934</v>
      </c>
    </row>
    <row r="6585" spans="1:3">
      <c r="A6585" s="571" t="s">
        <v>1989</v>
      </c>
      <c r="B6585" s="572">
        <v>13.034700000000001</v>
      </c>
      <c r="C6585" s="572">
        <v>145.565</v>
      </c>
    </row>
    <row r="6586" spans="1:3">
      <c r="A6586" s="571" t="s">
        <v>1989</v>
      </c>
      <c r="B6586" s="572">
        <v>15.9445</v>
      </c>
      <c r="C6586" s="572">
        <v>150.19999999999999</v>
      </c>
    </row>
    <row r="6587" spans="1:3">
      <c r="A6587" s="571" t="s">
        <v>1989</v>
      </c>
      <c r="B6587" s="572">
        <v>19.151900000000001</v>
      </c>
      <c r="C6587" s="572">
        <v>152.44800000000001</v>
      </c>
    </row>
    <row r="6588" spans="1:3">
      <c r="A6588" s="571" t="s">
        <v>1989</v>
      </c>
      <c r="B6588" s="572">
        <v>22.002300000000002</v>
      </c>
      <c r="C6588" s="572">
        <v>157.08600000000001</v>
      </c>
    </row>
    <row r="6589" spans="1:3">
      <c r="A6589" s="571" t="s">
        <v>1989</v>
      </c>
      <c r="B6589" s="572">
        <v>25.031400000000001</v>
      </c>
      <c r="C6589" s="572">
        <v>159.34200000000001</v>
      </c>
    </row>
    <row r="6590" spans="1:3">
      <c r="A6590" s="571" t="s">
        <v>1989</v>
      </c>
      <c r="B6590" s="572">
        <v>27.881799999999998</v>
      </c>
      <c r="C6590" s="572">
        <v>163.97900000000001</v>
      </c>
    </row>
    <row r="6591" spans="1:3">
      <c r="A6591" s="571" t="s">
        <v>1990</v>
      </c>
      <c r="B6591" s="572">
        <v>0.29761900000000002</v>
      </c>
      <c r="C6591" s="572">
        <v>2.8400000000000001E-14</v>
      </c>
    </row>
    <row r="6592" spans="1:3">
      <c r="A6592" s="571" t="s">
        <v>1990</v>
      </c>
      <c r="B6592" s="572">
        <v>0.41666700000000001</v>
      </c>
      <c r="C6592" s="572">
        <v>211.905</v>
      </c>
    </row>
    <row r="6593" spans="1:3">
      <c r="A6593" s="571" t="s">
        <v>1990</v>
      </c>
      <c r="B6593" s="572">
        <v>0.47619</v>
      </c>
      <c r="C6593" s="572">
        <v>296.42899999999997</v>
      </c>
    </row>
    <row r="6594" spans="1:3">
      <c r="A6594" s="571" t="s">
        <v>1990</v>
      </c>
      <c r="B6594" s="572">
        <v>0.53571400000000002</v>
      </c>
      <c r="C6594" s="572">
        <v>309.524</v>
      </c>
    </row>
    <row r="6595" spans="1:3">
      <c r="A6595" s="571" t="s">
        <v>1990</v>
      </c>
      <c r="B6595" s="572">
        <v>0.65476199999999996</v>
      </c>
      <c r="C6595" s="572">
        <v>323.81</v>
      </c>
    </row>
    <row r="6596" spans="1:3">
      <c r="A6596" s="571" t="s">
        <v>1990</v>
      </c>
      <c r="B6596" s="572">
        <v>1.3690500000000001</v>
      </c>
      <c r="C6596" s="572">
        <v>354.762</v>
      </c>
    </row>
    <row r="6597" spans="1:3">
      <c r="A6597" s="571" t="s">
        <v>1990</v>
      </c>
      <c r="B6597" s="572">
        <v>2.3214299999999999</v>
      </c>
      <c r="C6597" s="572">
        <v>361.90499999999997</v>
      </c>
    </row>
    <row r="6598" spans="1:3">
      <c r="A6598" s="571" t="s">
        <v>1990</v>
      </c>
      <c r="B6598" s="572">
        <v>3.3333300000000001</v>
      </c>
      <c r="C6598" s="572">
        <v>371.42899999999997</v>
      </c>
    </row>
    <row r="6599" spans="1:3">
      <c r="A6599" s="571" t="s">
        <v>1990</v>
      </c>
      <c r="B6599" s="572">
        <v>4.3452400000000004</v>
      </c>
      <c r="C6599" s="572">
        <v>378.57100000000003</v>
      </c>
    </row>
    <row r="6600" spans="1:3">
      <c r="A6600" s="571" t="s">
        <v>1990</v>
      </c>
      <c r="B6600" s="572">
        <v>5.3571400000000002</v>
      </c>
      <c r="C6600" s="572">
        <v>384.524</v>
      </c>
    </row>
    <row r="6601" spans="1:3">
      <c r="A6601" s="571" t="s">
        <v>1990</v>
      </c>
      <c r="B6601" s="572">
        <v>6.4285699999999997</v>
      </c>
      <c r="C6601" s="572">
        <v>386.90499999999997</v>
      </c>
    </row>
    <row r="6602" spans="1:3">
      <c r="A6602" s="571" t="s">
        <v>1990</v>
      </c>
      <c r="B6602" s="572">
        <v>10.0595</v>
      </c>
      <c r="C6602" s="572">
        <v>392.85700000000003</v>
      </c>
    </row>
    <row r="6603" spans="1:3">
      <c r="A6603" s="571" t="s">
        <v>1990</v>
      </c>
      <c r="B6603" s="572">
        <v>12.9762</v>
      </c>
      <c r="C6603" s="572">
        <v>401.19</v>
      </c>
    </row>
    <row r="6604" spans="1:3">
      <c r="A6604" s="571" t="s">
        <v>1990</v>
      </c>
      <c r="B6604" s="572">
        <v>15.952400000000001</v>
      </c>
      <c r="C6604" s="572">
        <v>403.57100000000003</v>
      </c>
    </row>
    <row r="6605" spans="1:3">
      <c r="A6605" s="571" t="s">
        <v>1990</v>
      </c>
      <c r="B6605" s="572">
        <v>18.928599999999999</v>
      </c>
      <c r="C6605" s="572">
        <v>408.33300000000003</v>
      </c>
    </row>
    <row r="6606" spans="1:3">
      <c r="A6606" s="571" t="s">
        <v>1990</v>
      </c>
      <c r="B6606" s="572">
        <v>21.964300000000001</v>
      </c>
      <c r="C6606" s="572">
        <v>414.286</v>
      </c>
    </row>
    <row r="6607" spans="1:3">
      <c r="A6607" s="571" t="s">
        <v>1990</v>
      </c>
      <c r="B6607" s="572">
        <v>24.9405</v>
      </c>
      <c r="C6607" s="572">
        <v>416.66699999999997</v>
      </c>
    </row>
    <row r="6608" spans="1:3">
      <c r="A6608" s="571" t="s">
        <v>1990</v>
      </c>
      <c r="B6608" s="572">
        <v>28.035699999999999</v>
      </c>
      <c r="C6608" s="572">
        <v>420.238</v>
      </c>
    </row>
    <row r="6609" spans="1:3">
      <c r="A6609" s="571" t="s">
        <v>1991</v>
      </c>
      <c r="B6609" s="572">
        <v>0.38847700000000002</v>
      </c>
      <c r="C6609" s="572">
        <v>223.84</v>
      </c>
    </row>
    <row r="6610" spans="1:3">
      <c r="A6610" s="571" t="s">
        <v>1991</v>
      </c>
      <c r="B6610" s="572">
        <v>0.39116000000000001</v>
      </c>
      <c r="C6610" s="572">
        <v>201.22200000000001</v>
      </c>
    </row>
    <row r="6611" spans="1:3">
      <c r="A6611" s="571" t="s">
        <v>1991</v>
      </c>
      <c r="B6611" s="572">
        <v>0.50592400000000004</v>
      </c>
      <c r="C6611" s="572">
        <v>233.37299999999999</v>
      </c>
    </row>
    <row r="6612" spans="1:3">
      <c r="A6612" s="571" t="s">
        <v>1991</v>
      </c>
      <c r="B6612" s="572">
        <v>0.68251799999999996</v>
      </c>
      <c r="C6612" s="572">
        <v>244.102</v>
      </c>
    </row>
    <row r="6613" spans="1:3">
      <c r="A6613" s="571" t="s">
        <v>1991</v>
      </c>
      <c r="B6613" s="572">
        <v>0.73771200000000003</v>
      </c>
      <c r="C6613" s="572">
        <v>278.63</v>
      </c>
    </row>
    <row r="6614" spans="1:3">
      <c r="A6614" s="571" t="s">
        <v>1991</v>
      </c>
      <c r="B6614" s="572">
        <v>0.85487599999999997</v>
      </c>
      <c r="C6614" s="572">
        <v>290.54399999999998</v>
      </c>
    </row>
    <row r="6615" spans="1:3">
      <c r="A6615" s="571" t="s">
        <v>1991</v>
      </c>
      <c r="B6615" s="572">
        <v>0.97161699999999995</v>
      </c>
      <c r="C6615" s="572">
        <v>306.029</v>
      </c>
    </row>
    <row r="6616" spans="1:3">
      <c r="A6616" s="571" t="s">
        <v>1991</v>
      </c>
      <c r="B6616" s="572">
        <v>1.7999499999999999</v>
      </c>
      <c r="C6616" s="572">
        <v>320.38099999999997</v>
      </c>
    </row>
    <row r="6617" spans="1:3">
      <c r="A6617" s="571" t="s">
        <v>1991</v>
      </c>
      <c r="B6617" s="572">
        <v>2.9250099999999999</v>
      </c>
      <c r="C6617" s="572">
        <v>332.375</v>
      </c>
    </row>
    <row r="6618" spans="1:3">
      <c r="A6618" s="571" t="s">
        <v>1991</v>
      </c>
      <c r="B6618" s="572">
        <v>3.8730600000000002</v>
      </c>
      <c r="C6618" s="572">
        <v>337.21199999999999</v>
      </c>
    </row>
    <row r="6619" spans="1:3">
      <c r="A6619" s="571" t="s">
        <v>1991</v>
      </c>
      <c r="B6619" s="572">
        <v>4.8208200000000003</v>
      </c>
      <c r="C6619" s="572">
        <v>344.43</v>
      </c>
    </row>
    <row r="6620" spans="1:3">
      <c r="A6620" s="571" t="s">
        <v>1991</v>
      </c>
      <c r="B6620" s="572">
        <v>5.8871599999999997</v>
      </c>
      <c r="C6620" s="572">
        <v>351.65800000000002</v>
      </c>
    </row>
    <row r="6621" spans="1:3">
      <c r="A6621" s="571" t="s">
        <v>1991</v>
      </c>
      <c r="B6621" s="572">
        <v>6.8947700000000003</v>
      </c>
      <c r="C6621" s="572">
        <v>354.11900000000003</v>
      </c>
    </row>
    <row r="6622" spans="1:3">
      <c r="A6622" s="571" t="s">
        <v>1991</v>
      </c>
      <c r="B6622" s="572">
        <v>9.9764700000000008</v>
      </c>
      <c r="C6622" s="572">
        <v>365.077</v>
      </c>
    </row>
    <row r="6623" spans="1:3">
      <c r="A6623" s="571" t="s">
        <v>1991</v>
      </c>
      <c r="B6623" s="572">
        <v>12.881</v>
      </c>
      <c r="C6623" s="572">
        <v>370.07</v>
      </c>
    </row>
    <row r="6624" spans="1:3">
      <c r="A6624" s="571" t="s">
        <v>1991</v>
      </c>
      <c r="B6624" s="572">
        <v>15.7851</v>
      </c>
      <c r="C6624" s="572">
        <v>378.63400000000001</v>
      </c>
    </row>
    <row r="6625" spans="1:3">
      <c r="A6625" s="571" t="s">
        <v>1991</v>
      </c>
      <c r="B6625" s="572">
        <v>18.9268</v>
      </c>
      <c r="C6625" s="572">
        <v>383.64499999999998</v>
      </c>
    </row>
    <row r="6626" spans="1:3">
      <c r="A6626" s="571" t="s">
        <v>1991</v>
      </c>
      <c r="B6626" s="572">
        <v>21.5947</v>
      </c>
      <c r="C6626" s="572">
        <v>385.04700000000003</v>
      </c>
    </row>
    <row r="6627" spans="1:3">
      <c r="A6627" s="571" t="s">
        <v>1991</v>
      </c>
      <c r="B6627" s="572">
        <v>24.736499999999999</v>
      </c>
      <c r="C6627" s="572">
        <v>388.86799999999999</v>
      </c>
    </row>
    <row r="6628" spans="1:3">
      <c r="A6628" s="571" t="s">
        <v>1991</v>
      </c>
      <c r="B6628" s="572">
        <v>27.759599999999999</v>
      </c>
      <c r="C6628" s="572">
        <v>393.87</v>
      </c>
    </row>
    <row r="6629" spans="1:3">
      <c r="A6629" s="571" t="s">
        <v>1992</v>
      </c>
      <c r="B6629" s="572">
        <v>0.237482</v>
      </c>
      <c r="C6629" s="572">
        <v>1.19048</v>
      </c>
    </row>
    <row r="6630" spans="1:3">
      <c r="A6630" s="571" t="s">
        <v>1992</v>
      </c>
      <c r="B6630" s="572">
        <v>0.489958</v>
      </c>
      <c r="C6630" s="572">
        <v>123.81</v>
      </c>
    </row>
    <row r="6631" spans="1:3">
      <c r="A6631" s="571" t="s">
        <v>1992</v>
      </c>
      <c r="B6631" s="572">
        <v>0.85770900000000005</v>
      </c>
      <c r="C6631" s="572">
        <v>219.048</v>
      </c>
    </row>
    <row r="6632" spans="1:3">
      <c r="A6632" s="571" t="s">
        <v>1992</v>
      </c>
      <c r="B6632" s="572">
        <v>1.0968899999999999</v>
      </c>
      <c r="C6632" s="572">
        <v>232.143</v>
      </c>
    </row>
    <row r="6633" spans="1:3">
      <c r="A6633" s="571" t="s">
        <v>1992</v>
      </c>
      <c r="B6633" s="572">
        <v>1.33663</v>
      </c>
      <c r="C6633" s="572">
        <v>250</v>
      </c>
    </row>
    <row r="6634" spans="1:3">
      <c r="A6634" s="571" t="s">
        <v>1992</v>
      </c>
      <c r="B6634" s="572">
        <v>2.17001</v>
      </c>
      <c r="C6634" s="572">
        <v>264.286</v>
      </c>
    </row>
    <row r="6635" spans="1:3">
      <c r="A6635" s="571" t="s">
        <v>1992</v>
      </c>
      <c r="B6635" s="572">
        <v>2.8841600000000001</v>
      </c>
      <c r="C6635" s="572">
        <v>275</v>
      </c>
    </row>
    <row r="6636" spans="1:3">
      <c r="A6636" s="571" t="s">
        <v>1992</v>
      </c>
      <c r="B6636" s="572">
        <v>3.7171099999999999</v>
      </c>
      <c r="C6636" s="572">
        <v>285.714</v>
      </c>
    </row>
    <row r="6637" spans="1:3">
      <c r="A6637" s="571" t="s">
        <v>1992</v>
      </c>
      <c r="B6637" s="572">
        <v>4.3113200000000003</v>
      </c>
      <c r="C6637" s="572">
        <v>286.90499999999997</v>
      </c>
    </row>
    <row r="6638" spans="1:3">
      <c r="A6638" s="571" t="s">
        <v>1992</v>
      </c>
      <c r="B6638" s="572">
        <v>5.1432799999999999</v>
      </c>
      <c r="C6638" s="572">
        <v>289.286</v>
      </c>
    </row>
    <row r="6639" spans="1:3">
      <c r="A6639" s="571" t="s">
        <v>1992</v>
      </c>
      <c r="B6639" s="572">
        <v>5.7968900000000003</v>
      </c>
      <c r="C6639" s="572">
        <v>290.476</v>
      </c>
    </row>
    <row r="6640" spans="1:3">
      <c r="A6640" s="571" t="s">
        <v>1992</v>
      </c>
      <c r="B6640" s="572">
        <v>6.98543</v>
      </c>
      <c r="C6640" s="572">
        <v>294.048</v>
      </c>
    </row>
    <row r="6641" spans="1:3">
      <c r="A6641" s="571" t="s">
        <v>1992</v>
      </c>
      <c r="B6641" s="572">
        <v>9.9562899999999992</v>
      </c>
      <c r="C6641" s="572">
        <v>298.81</v>
      </c>
    </row>
    <row r="6642" spans="1:3">
      <c r="A6642" s="571" t="s">
        <v>1992</v>
      </c>
      <c r="B6642" s="572">
        <v>12.986800000000001</v>
      </c>
      <c r="C6642" s="572">
        <v>305.952</v>
      </c>
    </row>
    <row r="6643" spans="1:3">
      <c r="A6643" s="571" t="s">
        <v>1992</v>
      </c>
      <c r="B6643" s="572">
        <v>16.017099999999999</v>
      </c>
      <c r="C6643" s="572">
        <v>310.714</v>
      </c>
    </row>
    <row r="6644" spans="1:3">
      <c r="A6644" s="571" t="s">
        <v>1992</v>
      </c>
      <c r="B6644" s="572">
        <v>19.047000000000001</v>
      </c>
      <c r="C6644" s="572">
        <v>311.90499999999997</v>
      </c>
    </row>
    <row r="6645" spans="1:3">
      <c r="A6645" s="571" t="s">
        <v>1992</v>
      </c>
      <c r="B6645" s="572">
        <v>21.958300000000001</v>
      </c>
      <c r="C6645" s="572">
        <v>315.476</v>
      </c>
    </row>
    <row r="6646" spans="1:3">
      <c r="A6646" s="571" t="s">
        <v>1992</v>
      </c>
      <c r="B6646" s="572">
        <v>24.928999999999998</v>
      </c>
      <c r="C6646" s="572">
        <v>319.048</v>
      </c>
    </row>
    <row r="6647" spans="1:3">
      <c r="A6647" s="571" t="s">
        <v>1992</v>
      </c>
      <c r="B6647" s="572">
        <v>27.9588</v>
      </c>
      <c r="C6647" s="572">
        <v>320.238</v>
      </c>
    </row>
    <row r="6648" spans="1:3">
      <c r="A6648" s="571" t="s">
        <v>1993</v>
      </c>
      <c r="B6648" s="572">
        <v>0.29761900000000002</v>
      </c>
      <c r="C6648" s="572">
        <v>5.9382400000000004</v>
      </c>
    </row>
    <row r="6649" spans="1:3">
      <c r="A6649" s="571" t="s">
        <v>1993</v>
      </c>
      <c r="B6649" s="572">
        <v>0.35714299999999999</v>
      </c>
      <c r="C6649" s="572">
        <v>15.439399999999999</v>
      </c>
    </row>
    <row r="6650" spans="1:3">
      <c r="A6650" s="571" t="s">
        <v>1993</v>
      </c>
      <c r="B6650" s="572">
        <v>0.53571400000000002</v>
      </c>
      <c r="C6650" s="572">
        <v>45.130600000000001</v>
      </c>
    </row>
    <row r="6651" spans="1:3">
      <c r="A6651" s="571" t="s">
        <v>1993</v>
      </c>
      <c r="B6651" s="572">
        <v>0.59523800000000004</v>
      </c>
      <c r="C6651" s="572">
        <v>66.508300000000006</v>
      </c>
    </row>
    <row r="6652" spans="1:3">
      <c r="A6652" s="571" t="s">
        <v>1993</v>
      </c>
      <c r="B6652" s="572">
        <v>0.65476199999999996</v>
      </c>
      <c r="C6652" s="572">
        <v>70.071299999999994</v>
      </c>
    </row>
    <row r="6653" spans="1:3">
      <c r="A6653" s="571" t="s">
        <v>1993</v>
      </c>
      <c r="B6653" s="572">
        <v>0.77381</v>
      </c>
      <c r="C6653" s="572">
        <v>108.07599999999999</v>
      </c>
    </row>
    <row r="6654" spans="1:3">
      <c r="A6654" s="571" t="s">
        <v>1993</v>
      </c>
      <c r="B6654" s="572">
        <v>0.95238100000000003</v>
      </c>
      <c r="C6654" s="572">
        <v>128.26599999999999</v>
      </c>
    </row>
    <row r="6655" spans="1:3">
      <c r="A6655" s="571" t="s">
        <v>1993</v>
      </c>
      <c r="B6655" s="572">
        <v>1.84524</v>
      </c>
      <c r="C6655" s="572">
        <v>168.64599999999999</v>
      </c>
    </row>
    <row r="6656" spans="1:3">
      <c r="A6656" s="571" t="s">
        <v>1993</v>
      </c>
      <c r="B6656" s="572">
        <v>2.9166699999999999</v>
      </c>
      <c r="C6656" s="572">
        <v>194.774</v>
      </c>
    </row>
    <row r="6657" spans="1:3">
      <c r="A6657" s="571" t="s">
        <v>1993</v>
      </c>
      <c r="B6657" s="572">
        <v>3.9285700000000001</v>
      </c>
      <c r="C6657" s="572">
        <v>206.65100000000001</v>
      </c>
    </row>
    <row r="6658" spans="1:3">
      <c r="A6658" s="571" t="s">
        <v>1993</v>
      </c>
      <c r="B6658" s="572">
        <v>4.94048</v>
      </c>
      <c r="C6658" s="572">
        <v>210.214</v>
      </c>
    </row>
    <row r="6659" spans="1:3">
      <c r="A6659" s="571" t="s">
        <v>1993</v>
      </c>
      <c r="B6659" s="572">
        <v>5.8928599999999998</v>
      </c>
      <c r="C6659" s="572">
        <v>214.964</v>
      </c>
    </row>
    <row r="6660" spans="1:3">
      <c r="A6660" s="571" t="s">
        <v>1993</v>
      </c>
      <c r="B6660" s="572">
        <v>6.9047599999999996</v>
      </c>
      <c r="C6660" s="572">
        <v>217.34</v>
      </c>
    </row>
    <row r="6661" spans="1:3">
      <c r="A6661" s="571" t="s">
        <v>1993</v>
      </c>
      <c r="B6661" s="572">
        <v>9.8809500000000003</v>
      </c>
      <c r="C6661" s="572">
        <v>225.65299999999999</v>
      </c>
    </row>
    <row r="6662" spans="1:3">
      <c r="A6662" s="571" t="s">
        <v>1993</v>
      </c>
      <c r="B6662" s="572">
        <v>12.916700000000001</v>
      </c>
      <c r="C6662" s="572">
        <v>236.34200000000001</v>
      </c>
    </row>
    <row r="6663" spans="1:3">
      <c r="A6663" s="571" t="s">
        <v>1993</v>
      </c>
      <c r="B6663" s="572">
        <v>15.892899999999999</v>
      </c>
      <c r="C6663" s="572">
        <v>248.21899999999999</v>
      </c>
    </row>
    <row r="6664" spans="1:3">
      <c r="A6664" s="571" t="s">
        <v>1993</v>
      </c>
      <c r="B6664" s="572">
        <v>18.869</v>
      </c>
      <c r="C6664" s="572">
        <v>254.15700000000001</v>
      </c>
    </row>
    <row r="6665" spans="1:3">
      <c r="A6665" s="571" t="s">
        <v>1993</v>
      </c>
      <c r="B6665" s="572">
        <v>21.904800000000002</v>
      </c>
      <c r="C6665" s="572">
        <v>258.90699999999998</v>
      </c>
    </row>
    <row r="6666" spans="1:3">
      <c r="A6666" s="571" t="s">
        <v>1993</v>
      </c>
      <c r="B6666" s="572">
        <v>24.9405</v>
      </c>
      <c r="C6666" s="572">
        <v>262.47000000000003</v>
      </c>
    </row>
    <row r="6667" spans="1:3">
      <c r="A6667" s="571" t="s">
        <v>1993</v>
      </c>
      <c r="B6667" s="572">
        <v>27.916699999999999</v>
      </c>
      <c r="C6667" s="572">
        <v>264.846</v>
      </c>
    </row>
    <row r="6668" spans="1:3">
      <c r="A6668" s="571" t="s">
        <v>333</v>
      </c>
      <c r="B6668" s="572">
        <v>0</v>
      </c>
      <c r="C6668" s="572">
        <v>0</v>
      </c>
    </row>
    <row r="6669" spans="1:3">
      <c r="A6669" s="571" t="s">
        <v>333</v>
      </c>
      <c r="B6669" s="572">
        <v>0.27777800000000002</v>
      </c>
      <c r="C6669" s="572">
        <v>60.273899999999998</v>
      </c>
    </row>
    <row r="6670" spans="1:3">
      <c r="A6670" s="571" t="s">
        <v>333</v>
      </c>
      <c r="B6670" s="572">
        <v>0.41666700000000001</v>
      </c>
      <c r="C6670" s="572">
        <v>79.671899999999994</v>
      </c>
    </row>
    <row r="6671" spans="1:3">
      <c r="A6671" s="571" t="s">
        <v>333</v>
      </c>
      <c r="B6671" s="572">
        <v>0.55555600000000005</v>
      </c>
      <c r="C6671" s="572">
        <v>94.219899999999996</v>
      </c>
    </row>
    <row r="6672" spans="1:3">
      <c r="A6672" s="571" t="s">
        <v>333</v>
      </c>
      <c r="B6672" s="572">
        <v>0.69444399999999995</v>
      </c>
      <c r="C6672" s="572">
        <v>114.31100000000001</v>
      </c>
    </row>
    <row r="6673" spans="1:3">
      <c r="A6673" s="571" t="s">
        <v>333</v>
      </c>
      <c r="B6673" s="572">
        <v>0.83333299999999999</v>
      </c>
      <c r="C6673" s="572">
        <v>134.40100000000001</v>
      </c>
    </row>
    <row r="6674" spans="1:3">
      <c r="A6674" s="571" t="s">
        <v>333</v>
      </c>
      <c r="B6674" s="572">
        <v>1.38889</v>
      </c>
      <c r="C6674" s="572">
        <v>167.65100000000001</v>
      </c>
    </row>
    <row r="6675" spans="1:3">
      <c r="A6675" s="571" t="s">
        <v>333</v>
      </c>
      <c r="B6675" s="572">
        <v>2.36111</v>
      </c>
      <c r="C6675" s="572">
        <v>188.42500000000001</v>
      </c>
    </row>
    <row r="6676" spans="1:3">
      <c r="A6676" s="571" t="s">
        <v>333</v>
      </c>
      <c r="B6676" s="572">
        <v>3.3333300000000001</v>
      </c>
      <c r="C6676" s="572">
        <v>204.34899999999999</v>
      </c>
    </row>
    <row r="6677" spans="1:3">
      <c r="A6677" s="571" t="s">
        <v>333</v>
      </c>
      <c r="B6677" s="572">
        <v>4.7222200000000001</v>
      </c>
      <c r="C6677" s="572">
        <v>219.57599999999999</v>
      </c>
    </row>
    <row r="6678" spans="1:3">
      <c r="A6678" s="571" t="s">
        <v>333</v>
      </c>
      <c r="B6678" s="572">
        <v>6.9444400000000002</v>
      </c>
      <c r="C6678" s="572">
        <v>229.94300000000001</v>
      </c>
    </row>
    <row r="6679" spans="1:3">
      <c r="A6679" s="571" t="s">
        <v>333</v>
      </c>
      <c r="B6679" s="572">
        <v>9.7222200000000001</v>
      </c>
      <c r="C6679" s="572">
        <v>237.53200000000001</v>
      </c>
    </row>
    <row r="6680" spans="1:3">
      <c r="A6680" s="571" t="s">
        <v>333</v>
      </c>
      <c r="B6680" s="572">
        <v>13.0556</v>
      </c>
      <c r="C6680" s="572">
        <v>243.036</v>
      </c>
    </row>
    <row r="6681" spans="1:3">
      <c r="A6681" s="571" t="s">
        <v>333</v>
      </c>
      <c r="B6681" s="572">
        <v>16.25</v>
      </c>
      <c r="C6681" s="572">
        <v>248.542</v>
      </c>
    </row>
    <row r="6682" spans="1:3">
      <c r="A6682" s="571" t="s">
        <v>333</v>
      </c>
      <c r="B6682" s="572">
        <v>19.444400000000002</v>
      </c>
      <c r="C6682" s="572">
        <v>249.89099999999999</v>
      </c>
    </row>
    <row r="6683" spans="1:3">
      <c r="A6683" s="571" t="s">
        <v>333</v>
      </c>
      <c r="B6683" s="572">
        <v>22.6389</v>
      </c>
      <c r="C6683" s="572">
        <v>251.24</v>
      </c>
    </row>
    <row r="6684" spans="1:3">
      <c r="A6684" s="571" t="s">
        <v>333</v>
      </c>
      <c r="B6684" s="572">
        <v>25.416699999999999</v>
      </c>
      <c r="C6684" s="572">
        <v>253.286</v>
      </c>
    </row>
    <row r="6685" spans="1:3">
      <c r="A6685" s="571" t="s">
        <v>333</v>
      </c>
      <c r="B6685" s="572">
        <v>28.6111</v>
      </c>
      <c r="C6685" s="572">
        <v>258.09899999999999</v>
      </c>
    </row>
    <row r="6686" spans="1:3">
      <c r="A6686" s="571" t="s">
        <v>333</v>
      </c>
      <c r="B6686" s="572">
        <v>31.527799999999999</v>
      </c>
      <c r="C6686" s="572">
        <v>262.91500000000002</v>
      </c>
    </row>
    <row r="6687" spans="1:3">
      <c r="A6687" s="571" t="s">
        <v>333</v>
      </c>
      <c r="B6687" s="572">
        <v>34.444400000000002</v>
      </c>
      <c r="C6687" s="572">
        <v>264.95999999999998</v>
      </c>
    </row>
    <row r="6688" spans="1:3">
      <c r="A6688" s="571" t="s">
        <v>333</v>
      </c>
      <c r="B6688" s="572">
        <v>37.222200000000001</v>
      </c>
      <c r="C6688" s="572">
        <v>266.31400000000002</v>
      </c>
    </row>
    <row r="6689" spans="1:3">
      <c r="A6689" s="571" t="s">
        <v>333</v>
      </c>
      <c r="B6689" s="572">
        <v>40.694400000000002</v>
      </c>
      <c r="C6689" s="572">
        <v>269.738</v>
      </c>
    </row>
    <row r="6690" spans="1:3">
      <c r="A6690" s="571" t="s">
        <v>333</v>
      </c>
      <c r="B6690" s="572">
        <v>43.75</v>
      </c>
      <c r="C6690" s="572">
        <v>271.78100000000001</v>
      </c>
    </row>
    <row r="6691" spans="1:3">
      <c r="A6691" s="571" t="s">
        <v>333</v>
      </c>
      <c r="B6691" s="572">
        <v>47.3611</v>
      </c>
      <c r="C6691" s="572">
        <v>273.81799999999998</v>
      </c>
    </row>
    <row r="6692" spans="1:3">
      <c r="A6692" s="571" t="s">
        <v>333</v>
      </c>
      <c r="B6692" s="572">
        <v>50.555599999999998</v>
      </c>
      <c r="C6692" s="572">
        <v>278.63099999999997</v>
      </c>
    </row>
    <row r="6693" spans="1:3">
      <c r="A6693" s="571" t="s">
        <v>333</v>
      </c>
      <c r="B6693" s="572">
        <v>54.722200000000001</v>
      </c>
      <c r="C6693" s="572">
        <v>279.27600000000001</v>
      </c>
    </row>
    <row r="6694" spans="1:3">
      <c r="A6694" s="571" t="s">
        <v>333</v>
      </c>
      <c r="B6694" s="572">
        <v>57.916699999999999</v>
      </c>
      <c r="C6694" s="572">
        <v>281.31700000000001</v>
      </c>
    </row>
    <row r="6695" spans="1:3">
      <c r="A6695" s="571" t="s">
        <v>333</v>
      </c>
      <c r="B6695" s="572">
        <v>59.722200000000001</v>
      </c>
      <c r="C6695" s="572">
        <v>279.911</v>
      </c>
    </row>
    <row r="6696" spans="1:3">
      <c r="A6696" s="571" t="s">
        <v>334</v>
      </c>
      <c r="B6696" s="572">
        <v>0</v>
      </c>
      <c r="C6696" s="572">
        <v>0</v>
      </c>
    </row>
    <row r="6697" spans="1:3">
      <c r="A6697" s="571" t="s">
        <v>334</v>
      </c>
      <c r="B6697" s="572">
        <v>0.28483399999999998</v>
      </c>
      <c r="C6697" s="572">
        <v>15.2425</v>
      </c>
    </row>
    <row r="6698" spans="1:3">
      <c r="A6698" s="571" t="s">
        <v>334</v>
      </c>
      <c r="B6698" s="572">
        <v>0.98697699999999999</v>
      </c>
      <c r="C6698" s="572">
        <v>31.870699999999999</v>
      </c>
    </row>
    <row r="6699" spans="1:3">
      <c r="A6699" s="571" t="s">
        <v>334</v>
      </c>
      <c r="B6699" s="572">
        <v>1.68848</v>
      </c>
      <c r="C6699" s="572">
        <v>47.113199999999999</v>
      </c>
    </row>
    <row r="6700" spans="1:3">
      <c r="A6700" s="571" t="s">
        <v>334</v>
      </c>
      <c r="B6700" s="572">
        <v>2.6684000000000001</v>
      </c>
      <c r="C6700" s="572">
        <v>63.741300000000003</v>
      </c>
    </row>
    <row r="6701" spans="1:3">
      <c r="A6701" s="571" t="s">
        <v>334</v>
      </c>
      <c r="B6701" s="572">
        <v>4.20099</v>
      </c>
      <c r="C6701" s="572">
        <v>74.133899999999997</v>
      </c>
    </row>
    <row r="6702" spans="1:3">
      <c r="A6702" s="571" t="s">
        <v>334</v>
      </c>
      <c r="B6702" s="572">
        <v>6.5649899999999999</v>
      </c>
      <c r="C6702" s="572">
        <v>80.369500000000002</v>
      </c>
    </row>
    <row r="6703" spans="1:3">
      <c r="A6703" s="571" t="s">
        <v>334</v>
      </c>
      <c r="B6703" s="572">
        <v>9.3456499999999991</v>
      </c>
      <c r="C6703" s="572">
        <v>86.605099999999993</v>
      </c>
    </row>
    <row r="6704" spans="1:3">
      <c r="A6704" s="571" t="s">
        <v>334</v>
      </c>
      <c r="B6704" s="572">
        <v>11.986800000000001</v>
      </c>
      <c r="C6704" s="572">
        <v>91.454999999999998</v>
      </c>
    </row>
    <row r="6705" spans="1:3">
      <c r="A6705" s="571" t="s">
        <v>334</v>
      </c>
      <c r="B6705" s="572">
        <v>15.1812</v>
      </c>
      <c r="C6705" s="572">
        <v>91.454999999999998</v>
      </c>
    </row>
    <row r="6706" spans="1:3">
      <c r="A6706" s="571" t="s">
        <v>334</v>
      </c>
      <c r="B6706" s="572">
        <v>18.237100000000002</v>
      </c>
      <c r="C6706" s="572">
        <v>92.147800000000004</v>
      </c>
    </row>
    <row r="6707" spans="1:3">
      <c r="A6707" s="571" t="s">
        <v>334</v>
      </c>
      <c r="B6707" s="572">
        <v>21.571999999999999</v>
      </c>
      <c r="C6707" s="572">
        <v>95.611999999999995</v>
      </c>
    </row>
    <row r="6708" spans="1:3">
      <c r="A6708" s="571" t="s">
        <v>334</v>
      </c>
      <c r="B6708" s="572">
        <v>25.183800000000002</v>
      </c>
      <c r="C6708" s="572">
        <v>96.997699999999995</v>
      </c>
    </row>
    <row r="6709" spans="1:3">
      <c r="A6709" s="571" t="s">
        <v>334</v>
      </c>
      <c r="B6709" s="572">
        <v>28.796500000000002</v>
      </c>
      <c r="C6709" s="572">
        <v>100.462</v>
      </c>
    </row>
    <row r="6710" spans="1:3">
      <c r="A6710" s="571" t="s">
        <v>334</v>
      </c>
      <c r="B6710" s="572">
        <v>32.269399999999997</v>
      </c>
      <c r="C6710" s="572">
        <v>101.848</v>
      </c>
    </row>
    <row r="6711" spans="1:3">
      <c r="A6711" s="571" t="s">
        <v>334</v>
      </c>
      <c r="B6711" s="572">
        <v>35.464500000000001</v>
      </c>
      <c r="C6711" s="572">
        <v>103.233</v>
      </c>
    </row>
    <row r="6712" spans="1:3">
      <c r="A6712" s="571" t="s">
        <v>334</v>
      </c>
      <c r="B6712" s="572">
        <v>38.381799999999998</v>
      </c>
      <c r="C6712" s="572">
        <v>104.619</v>
      </c>
    </row>
    <row r="6713" spans="1:3">
      <c r="A6713" s="571" t="s">
        <v>334</v>
      </c>
      <c r="B6713" s="572">
        <v>41.993499999999997</v>
      </c>
      <c r="C6713" s="572">
        <v>106.005</v>
      </c>
    </row>
    <row r="6714" spans="1:3">
      <c r="A6714" s="571" t="s">
        <v>334</v>
      </c>
      <c r="B6714" s="572">
        <v>45.327500000000001</v>
      </c>
      <c r="C6714" s="572">
        <v>107.39</v>
      </c>
    </row>
    <row r="6715" spans="1:3">
      <c r="A6715" s="571" t="s">
        <v>334</v>
      </c>
      <c r="B6715" s="572">
        <v>48.244799999999998</v>
      </c>
      <c r="C6715" s="572">
        <v>108.776</v>
      </c>
    </row>
    <row r="6716" spans="1:3">
      <c r="A6716" s="571" t="s">
        <v>334</v>
      </c>
      <c r="B6716" s="572">
        <v>50.745100000000001</v>
      </c>
      <c r="C6716" s="572">
        <v>109.46899999999999</v>
      </c>
    </row>
    <row r="6717" spans="1:3">
      <c r="A6717" s="571" t="s">
        <v>334</v>
      </c>
      <c r="B6717" s="572">
        <v>53.801299999999998</v>
      </c>
      <c r="C6717" s="572">
        <v>110.855</v>
      </c>
    </row>
    <row r="6718" spans="1:3">
      <c r="A6718" s="571" t="s">
        <v>335</v>
      </c>
      <c r="B6718" s="572">
        <v>0</v>
      </c>
      <c r="C6718" s="572">
        <v>0.69284100000000004</v>
      </c>
    </row>
    <row r="6719" spans="1:3">
      <c r="A6719" s="571" t="s">
        <v>335</v>
      </c>
      <c r="B6719" s="572">
        <v>0.69284100000000004</v>
      </c>
      <c r="C6719" s="572">
        <v>20.092400000000001</v>
      </c>
    </row>
    <row r="6720" spans="1:3">
      <c r="A6720" s="571" t="s">
        <v>335</v>
      </c>
      <c r="B6720" s="572">
        <v>1.66282</v>
      </c>
      <c r="C6720" s="572">
        <v>36.027700000000003</v>
      </c>
    </row>
    <row r="6721" spans="1:3">
      <c r="A6721" s="571" t="s">
        <v>335</v>
      </c>
      <c r="B6721" s="572">
        <v>3.0485000000000002</v>
      </c>
      <c r="C6721" s="572">
        <v>47.113199999999999</v>
      </c>
    </row>
    <row r="6722" spans="1:3">
      <c r="A6722" s="571" t="s">
        <v>335</v>
      </c>
      <c r="B6722" s="572">
        <v>5.1270199999999999</v>
      </c>
      <c r="C6722" s="572">
        <v>57.505800000000001</v>
      </c>
    </row>
    <row r="6723" spans="1:3">
      <c r="A6723" s="571" t="s">
        <v>335</v>
      </c>
      <c r="B6723" s="572">
        <v>8.1755200000000006</v>
      </c>
      <c r="C6723" s="572">
        <v>64.434200000000004</v>
      </c>
    </row>
    <row r="6724" spans="1:3">
      <c r="A6724" s="571" t="s">
        <v>335</v>
      </c>
      <c r="B6724" s="572">
        <v>10.669700000000001</v>
      </c>
      <c r="C6724" s="572">
        <v>68.591200000000001</v>
      </c>
    </row>
    <row r="6725" spans="1:3">
      <c r="A6725" s="571" t="s">
        <v>335</v>
      </c>
      <c r="B6725" s="572">
        <v>13.8568</v>
      </c>
      <c r="C6725" s="572">
        <v>70.669700000000006</v>
      </c>
    </row>
    <row r="6726" spans="1:3">
      <c r="A6726" s="571" t="s">
        <v>335</v>
      </c>
      <c r="B6726" s="572">
        <v>16.7667</v>
      </c>
      <c r="C6726" s="572">
        <v>74.133899999999997</v>
      </c>
    </row>
    <row r="6727" spans="1:3">
      <c r="A6727" s="571" t="s">
        <v>335</v>
      </c>
      <c r="B6727" s="572">
        <v>19.3995</v>
      </c>
      <c r="C6727" s="572">
        <v>72.7483</v>
      </c>
    </row>
    <row r="6728" spans="1:3">
      <c r="A6728" s="571" t="s">
        <v>335</v>
      </c>
      <c r="B6728" s="572">
        <v>21.893799999999999</v>
      </c>
      <c r="C6728" s="572">
        <v>76.212500000000006</v>
      </c>
    </row>
    <row r="6729" spans="1:3">
      <c r="A6729" s="571" t="s">
        <v>335</v>
      </c>
      <c r="B6729" s="572">
        <v>25.2194</v>
      </c>
      <c r="C6729" s="572">
        <v>75.519599999999997</v>
      </c>
    </row>
    <row r="6730" spans="1:3">
      <c r="A6730" s="571" t="s">
        <v>335</v>
      </c>
      <c r="B6730" s="572">
        <v>29.515000000000001</v>
      </c>
      <c r="C6730" s="572">
        <v>78.290999999999997</v>
      </c>
    </row>
    <row r="6731" spans="1:3">
      <c r="A6731" s="571" t="s">
        <v>335</v>
      </c>
      <c r="B6731" s="572">
        <v>33.533499999999997</v>
      </c>
      <c r="C6731" s="572">
        <v>79.676699999999997</v>
      </c>
    </row>
    <row r="6732" spans="1:3">
      <c r="A6732" s="571" t="s">
        <v>335</v>
      </c>
      <c r="B6732" s="572">
        <v>36.997700000000002</v>
      </c>
      <c r="C6732" s="572">
        <v>80.369500000000002</v>
      </c>
    </row>
    <row r="6733" spans="1:3">
      <c r="A6733" s="571" t="s">
        <v>335</v>
      </c>
      <c r="B6733" s="572">
        <v>40.738999999999997</v>
      </c>
      <c r="C6733" s="572">
        <v>83.140900000000002</v>
      </c>
    </row>
    <row r="6734" spans="1:3">
      <c r="A6734" s="571" t="s">
        <v>335</v>
      </c>
      <c r="B6734" s="572">
        <v>43.926099999999998</v>
      </c>
      <c r="C6734" s="572">
        <v>82.447999999999993</v>
      </c>
    </row>
    <row r="6735" spans="1:3">
      <c r="A6735" s="571" t="s">
        <v>335</v>
      </c>
      <c r="B6735" s="572">
        <v>46.004600000000003</v>
      </c>
      <c r="C6735" s="572">
        <v>84.526600000000002</v>
      </c>
    </row>
    <row r="6736" spans="1:3">
      <c r="A6736" s="571" t="s">
        <v>335</v>
      </c>
      <c r="B6736" s="572">
        <v>48.6374</v>
      </c>
      <c r="C6736" s="572">
        <v>83.833699999999993</v>
      </c>
    </row>
    <row r="6737" spans="1:3">
      <c r="A6737" s="571" t="s">
        <v>335</v>
      </c>
      <c r="B6737" s="572">
        <v>51.963000000000001</v>
      </c>
      <c r="C6737" s="572">
        <v>84.526600000000002</v>
      </c>
    </row>
    <row r="6738" spans="1:3">
      <c r="A6738" s="571" t="s">
        <v>336</v>
      </c>
      <c r="B6738" s="572">
        <v>0.13888900000000001</v>
      </c>
      <c r="C6738" s="572">
        <v>1.38089</v>
      </c>
    </row>
    <row r="6739" spans="1:3">
      <c r="A6739" s="571" t="s">
        <v>336</v>
      </c>
      <c r="B6739" s="572">
        <v>0.69444399999999995</v>
      </c>
      <c r="C6739" s="572">
        <v>15.890599999999999</v>
      </c>
    </row>
    <row r="6740" spans="1:3">
      <c r="A6740" s="571" t="s">
        <v>336</v>
      </c>
      <c r="B6740" s="572">
        <v>1.9444399999999999</v>
      </c>
      <c r="C6740" s="572">
        <v>28.3186</v>
      </c>
    </row>
    <row r="6741" spans="1:3">
      <c r="A6741" s="571" t="s">
        <v>336</v>
      </c>
      <c r="B6741" s="572">
        <v>4.0277799999999999</v>
      </c>
      <c r="C6741" s="572">
        <v>41.4283</v>
      </c>
    </row>
    <row r="6742" spans="1:3">
      <c r="A6742" s="571" t="s">
        <v>336</v>
      </c>
      <c r="B6742" s="572">
        <v>7.5</v>
      </c>
      <c r="C6742" s="572">
        <v>47.609400000000001</v>
      </c>
    </row>
    <row r="6743" spans="1:3">
      <c r="A6743" s="571" t="s">
        <v>336</v>
      </c>
      <c r="B6743" s="572">
        <v>10.972200000000001</v>
      </c>
      <c r="C6743" s="572">
        <v>50.334400000000002</v>
      </c>
    </row>
    <row r="6744" spans="1:3">
      <c r="A6744" s="571" t="s">
        <v>336</v>
      </c>
      <c r="B6744" s="572">
        <v>14.8611</v>
      </c>
      <c r="C6744" s="572">
        <v>56.510800000000003</v>
      </c>
    </row>
    <row r="6745" spans="1:3">
      <c r="A6745" s="571" t="s">
        <v>336</v>
      </c>
      <c r="B6745" s="572">
        <v>18.472200000000001</v>
      </c>
      <c r="C6745" s="572">
        <v>55.777999999999999</v>
      </c>
    </row>
    <row r="6746" spans="1:3">
      <c r="A6746" s="571" t="s">
        <v>336</v>
      </c>
      <c r="B6746" s="572">
        <v>22.6389</v>
      </c>
      <c r="C6746" s="572">
        <v>56.421199999999999</v>
      </c>
    </row>
    <row r="6747" spans="1:3">
      <c r="A6747" s="571" t="s">
        <v>336</v>
      </c>
      <c r="B6747" s="572">
        <v>26.25</v>
      </c>
      <c r="C6747" s="572">
        <v>56.379600000000003</v>
      </c>
    </row>
    <row r="6748" spans="1:3">
      <c r="A6748" s="571" t="s">
        <v>336</v>
      </c>
      <c r="B6748" s="572">
        <v>29.583300000000001</v>
      </c>
      <c r="C6748" s="572">
        <v>59.106200000000001</v>
      </c>
    </row>
    <row r="6749" spans="1:3">
      <c r="A6749" s="571" t="s">
        <v>336</v>
      </c>
      <c r="B6749" s="572">
        <v>33.333300000000001</v>
      </c>
      <c r="C6749" s="572">
        <v>59.063000000000002</v>
      </c>
    </row>
    <row r="6750" spans="1:3">
      <c r="A6750" s="571" t="s">
        <v>336</v>
      </c>
      <c r="B6750" s="572">
        <v>37.3611</v>
      </c>
      <c r="C6750" s="572">
        <v>59.707799999999999</v>
      </c>
    </row>
    <row r="6751" spans="1:3">
      <c r="A6751" s="571" t="s">
        <v>336</v>
      </c>
      <c r="B6751" s="572">
        <v>41.1111</v>
      </c>
      <c r="C6751" s="572">
        <v>59.6646</v>
      </c>
    </row>
    <row r="6752" spans="1:3">
      <c r="A6752" s="571" t="s">
        <v>336</v>
      </c>
      <c r="B6752" s="572">
        <v>44.722200000000001</v>
      </c>
      <c r="C6752" s="572">
        <v>61.005499999999998</v>
      </c>
    </row>
    <row r="6753" spans="1:3">
      <c r="A6753" s="571" t="s">
        <v>336</v>
      </c>
      <c r="B6753" s="572">
        <v>48.6111</v>
      </c>
      <c r="C6753" s="572">
        <v>60.960700000000003</v>
      </c>
    </row>
    <row r="6754" spans="1:3">
      <c r="A6754" s="571" t="s">
        <v>336</v>
      </c>
      <c r="B6754" s="572">
        <v>52.5</v>
      </c>
      <c r="C6754" s="572">
        <v>62.989600000000003</v>
      </c>
    </row>
    <row r="6755" spans="1:3">
      <c r="A6755" s="571" t="s">
        <v>336</v>
      </c>
      <c r="B6755" s="572">
        <v>56.25</v>
      </c>
      <c r="C6755" s="572">
        <v>63.637700000000002</v>
      </c>
    </row>
    <row r="6756" spans="1:3">
      <c r="A6756" s="571" t="s">
        <v>336</v>
      </c>
      <c r="B6756" s="572">
        <v>60.277799999999999</v>
      </c>
      <c r="C6756" s="572">
        <v>63.591299999999997</v>
      </c>
    </row>
    <row r="6757" spans="1:3">
      <c r="A6757" s="571" t="s">
        <v>1994</v>
      </c>
      <c r="B6757" s="572">
        <v>0</v>
      </c>
      <c r="C6757" s="572">
        <v>0.80862500000000004</v>
      </c>
    </row>
    <row r="6758" spans="1:3">
      <c r="A6758" s="571" t="s">
        <v>1994</v>
      </c>
      <c r="B6758" s="572">
        <v>7.7348100000000004</v>
      </c>
      <c r="C6758" s="572">
        <v>46.104199999999999</v>
      </c>
    </row>
    <row r="6759" spans="1:3">
      <c r="A6759" s="571" t="s">
        <v>1994</v>
      </c>
      <c r="B6759" s="572">
        <v>13.2597</v>
      </c>
      <c r="C6759" s="572">
        <v>90.587500000000006</v>
      </c>
    </row>
    <row r="6760" spans="1:3">
      <c r="A6760" s="571" t="s">
        <v>1994</v>
      </c>
      <c r="B6760" s="572">
        <v>30.386700000000001</v>
      </c>
      <c r="C6760" s="572">
        <v>146.41</v>
      </c>
    </row>
    <row r="6761" spans="1:3">
      <c r="A6761" s="571" t="s">
        <v>1994</v>
      </c>
      <c r="B6761" s="572">
        <v>56.906100000000002</v>
      </c>
      <c r="C6761" s="572">
        <v>154.53899999999999</v>
      </c>
    </row>
    <row r="6762" spans="1:3">
      <c r="A6762" s="573" t="s">
        <v>1994</v>
      </c>
      <c r="B6762" s="574">
        <v>111.602</v>
      </c>
      <c r="C6762" s="574">
        <v>174.84399999999999</v>
      </c>
    </row>
    <row r="6763" spans="1:3">
      <c r="A6763" s="573" t="s">
        <v>1994</v>
      </c>
      <c r="B6763" s="574">
        <v>244.19900000000001</v>
      </c>
      <c r="C6763" s="574">
        <v>212.255</v>
      </c>
    </row>
    <row r="6764" spans="1:3">
      <c r="A6764" s="573" t="s">
        <v>1994</v>
      </c>
      <c r="B6764" s="574">
        <v>482.32</v>
      </c>
      <c r="C6764" s="574">
        <v>209.405</v>
      </c>
    </row>
    <row r="6765" spans="1:3">
      <c r="A6765" s="48" t="s">
        <v>1995</v>
      </c>
      <c r="B6765" s="549">
        <v>-1.48354E-3</v>
      </c>
      <c r="C6765" s="549">
        <v>0.80645199999999995</v>
      </c>
    </row>
    <row r="6766" spans="1:3">
      <c r="A6766" s="571" t="s">
        <v>1995</v>
      </c>
      <c r="B6766" s="572">
        <v>13.627800000000001</v>
      </c>
      <c r="C6766" s="572">
        <v>91.935500000000005</v>
      </c>
    </row>
    <row r="6767" spans="1:3">
      <c r="A6767" s="571" t="s">
        <v>1995</v>
      </c>
      <c r="B6767" s="572">
        <v>29.528400000000001</v>
      </c>
      <c r="C6767" s="572">
        <v>148.387</v>
      </c>
    </row>
    <row r="6768" spans="1:3">
      <c r="A6768" s="571" t="s">
        <v>1995</v>
      </c>
      <c r="B6768" s="572">
        <v>57.662199999999999</v>
      </c>
      <c r="C6768" s="572">
        <v>154.839</v>
      </c>
    </row>
    <row r="6769" spans="1:3">
      <c r="A6769" s="573" t="s">
        <v>1995</v>
      </c>
      <c r="B6769" s="574">
        <v>112.262</v>
      </c>
      <c r="C6769" s="574">
        <v>174.19399999999999</v>
      </c>
    </row>
    <row r="6770" spans="1:3">
      <c r="A6770" s="573" t="s">
        <v>1995</v>
      </c>
      <c r="B6770" s="574">
        <v>250.73</v>
      </c>
      <c r="C6770" s="574">
        <v>203.226</v>
      </c>
    </row>
    <row r="6771" spans="1:3">
      <c r="A6771" s="573" t="s">
        <v>1995</v>
      </c>
      <c r="B6771" s="574">
        <v>488.55200000000002</v>
      </c>
      <c r="C6771" s="574">
        <v>223.387</v>
      </c>
    </row>
    <row r="6772" spans="1:3">
      <c r="A6772" s="571" t="s">
        <v>1996</v>
      </c>
      <c r="B6772" s="572">
        <v>0.55335400000000001</v>
      </c>
      <c r="C6772" s="572">
        <v>0.80339899999999997</v>
      </c>
    </row>
    <row r="6773" spans="1:3">
      <c r="A6773" s="571" t="s">
        <v>1996</v>
      </c>
      <c r="B6773" s="572">
        <v>3.1810499999999999</v>
      </c>
      <c r="C6773" s="572">
        <v>70.782600000000002</v>
      </c>
    </row>
    <row r="6774" spans="1:3">
      <c r="A6774" s="571" t="s">
        <v>1996</v>
      </c>
      <c r="B6774" s="572">
        <v>6.9287700000000001</v>
      </c>
      <c r="C6774" s="572">
        <v>133.523</v>
      </c>
    </row>
    <row r="6775" spans="1:3">
      <c r="A6775" s="571" t="s">
        <v>1996</v>
      </c>
      <c r="B6775" s="572">
        <v>12.409000000000001</v>
      </c>
      <c r="C6775" s="572">
        <v>154.44399999999999</v>
      </c>
    </row>
    <row r="6776" spans="1:3">
      <c r="A6776" s="571" t="s">
        <v>1996</v>
      </c>
      <c r="B6776" s="572">
        <v>28.2803</v>
      </c>
      <c r="C6776" s="572">
        <v>226.85499999999999</v>
      </c>
    </row>
    <row r="6777" spans="1:3">
      <c r="A6777" s="571" t="s">
        <v>1996</v>
      </c>
      <c r="B6777" s="572">
        <v>67.384900000000002</v>
      </c>
      <c r="C6777" s="572">
        <v>269.54500000000002</v>
      </c>
    </row>
    <row r="6778" spans="1:3">
      <c r="A6778" s="573" t="s">
        <v>1996</v>
      </c>
      <c r="B6778" s="574">
        <v>111.533</v>
      </c>
      <c r="C6778" s="574">
        <v>270.42099999999999</v>
      </c>
    </row>
    <row r="6779" spans="1:3">
      <c r="A6779" s="573" t="s">
        <v>1996</v>
      </c>
      <c r="B6779" s="574">
        <v>224.06299999999999</v>
      </c>
      <c r="C6779" s="574">
        <v>299.55599999999998</v>
      </c>
    </row>
    <row r="6780" spans="1:3">
      <c r="A6780" s="573" t="s">
        <v>1996</v>
      </c>
      <c r="B6780" s="574">
        <v>438.14699999999999</v>
      </c>
      <c r="C6780" s="574">
        <v>323.22500000000002</v>
      </c>
    </row>
    <row r="6781" spans="1:3">
      <c r="A6781" s="571" t="s">
        <v>1997</v>
      </c>
      <c r="B6781" s="572">
        <v>0.55248600000000003</v>
      </c>
      <c r="C6781" s="572">
        <v>0.80317899999999998</v>
      </c>
    </row>
    <row r="6782" spans="1:3">
      <c r="A6782" s="571" t="s">
        <v>1997</v>
      </c>
      <c r="B6782" s="572">
        <v>3.8673999999999999</v>
      </c>
      <c r="C6782" s="572">
        <v>63.531100000000002</v>
      </c>
    </row>
    <row r="6783" spans="1:3">
      <c r="A6783" s="571" t="s">
        <v>1997</v>
      </c>
      <c r="B6783" s="572">
        <v>7.7348100000000004</v>
      </c>
      <c r="C6783" s="572">
        <v>110.172</v>
      </c>
    </row>
    <row r="6784" spans="1:3">
      <c r="A6784" s="571" t="s">
        <v>1997</v>
      </c>
      <c r="B6784" s="572">
        <v>18.784500000000001</v>
      </c>
      <c r="C6784" s="572">
        <v>123.82299999999999</v>
      </c>
    </row>
    <row r="6785" spans="1:3">
      <c r="A6785" s="571" t="s">
        <v>1997</v>
      </c>
      <c r="B6785" s="572">
        <v>57.458599999999997</v>
      </c>
      <c r="C6785" s="572">
        <v>161.547</v>
      </c>
    </row>
    <row r="6786" spans="1:3">
      <c r="A6786" s="573" t="s">
        <v>1997</v>
      </c>
      <c r="B6786" s="574">
        <v>111.05</v>
      </c>
      <c r="C6786" s="574">
        <v>184.76300000000001</v>
      </c>
    </row>
    <row r="6787" spans="1:3">
      <c r="A6787" s="573" t="s">
        <v>1997</v>
      </c>
      <c r="B6787" s="574">
        <v>258.01100000000002</v>
      </c>
      <c r="C6787" s="574">
        <v>251.22399999999999</v>
      </c>
    </row>
    <row r="6788" spans="1:3">
      <c r="A6788" s="573" t="s">
        <v>1997</v>
      </c>
      <c r="B6788" s="574">
        <v>496.13299999999998</v>
      </c>
      <c r="C6788" s="574">
        <v>240.28899999999999</v>
      </c>
    </row>
    <row r="6789" spans="1:3">
      <c r="A6789" s="571" t="s">
        <v>1998</v>
      </c>
      <c r="B6789" s="572">
        <v>1.1010599999999999</v>
      </c>
      <c r="C6789" s="572">
        <v>0.80428999999999995</v>
      </c>
    </row>
    <row r="6790" spans="1:3">
      <c r="A6790" s="571" t="s">
        <v>1998</v>
      </c>
      <c r="B6790" s="572">
        <v>2.10162</v>
      </c>
      <c r="C6790" s="572">
        <v>56.3003</v>
      </c>
    </row>
    <row r="6791" spans="1:3">
      <c r="A6791" s="571" t="s">
        <v>1998</v>
      </c>
      <c r="B6791" s="572">
        <v>6.3639700000000001</v>
      </c>
      <c r="C6791" s="572">
        <v>136.72900000000001</v>
      </c>
    </row>
    <row r="6792" spans="1:3">
      <c r="A6792" s="571" t="s">
        <v>1998</v>
      </c>
      <c r="B6792" s="572">
        <v>14.535399999999999</v>
      </c>
      <c r="C6792" s="572">
        <v>189.81200000000001</v>
      </c>
    </row>
    <row r="6793" spans="1:3">
      <c r="A6793" s="571" t="s">
        <v>1998</v>
      </c>
      <c r="B6793" s="572">
        <v>28.2255</v>
      </c>
      <c r="C6793" s="572">
        <v>239.678</v>
      </c>
    </row>
    <row r="6794" spans="1:3">
      <c r="A6794" s="571" t="s">
        <v>1998</v>
      </c>
      <c r="B6794" s="572">
        <v>61.162700000000001</v>
      </c>
      <c r="C6794" s="572">
        <v>315.28199999999998</v>
      </c>
    </row>
    <row r="6795" spans="1:3">
      <c r="A6795" s="573" t="s">
        <v>1998</v>
      </c>
      <c r="B6795" s="574">
        <v>111.312</v>
      </c>
      <c r="C6795" s="574">
        <v>324.12900000000002</v>
      </c>
    </row>
    <row r="6796" spans="1:3">
      <c r="A6796" s="573" t="s">
        <v>1998</v>
      </c>
      <c r="B6796" s="574">
        <v>238.078</v>
      </c>
      <c r="C6796" s="574">
        <v>337.80200000000002</v>
      </c>
    </row>
    <row r="6797" spans="1:3">
      <c r="A6797" s="573" t="s">
        <v>1998</v>
      </c>
      <c r="B6797" s="574">
        <v>453.03</v>
      </c>
      <c r="C6797" s="574">
        <v>361.12599999999998</v>
      </c>
    </row>
    <row r="6798" spans="1:3">
      <c r="A6798" s="571" t="s">
        <v>337</v>
      </c>
      <c r="B6798" s="572">
        <v>1.5243899999999999</v>
      </c>
      <c r="C6798" s="572">
        <v>2.53796</v>
      </c>
    </row>
    <row r="6799" spans="1:3">
      <c r="A6799" s="571" t="s">
        <v>337</v>
      </c>
      <c r="B6799" s="572">
        <v>3.9146299999999998</v>
      </c>
      <c r="C6799" s="572">
        <v>164.023</v>
      </c>
    </row>
    <row r="6800" spans="1:3">
      <c r="A6800" s="571" t="s">
        <v>337</v>
      </c>
      <c r="B6800" s="572">
        <v>7.5252499999999998</v>
      </c>
      <c r="C6800" s="572">
        <v>328.06800000000004</v>
      </c>
    </row>
    <row r="6801" spans="1:3">
      <c r="A6801" s="571" t="s">
        <v>337</v>
      </c>
      <c r="B6801" s="572">
        <v>14.4328</v>
      </c>
      <c r="C6801" s="572">
        <v>462.71800000000002</v>
      </c>
    </row>
    <row r="6802" spans="1:3">
      <c r="A6802" s="571" t="s">
        <v>337</v>
      </c>
      <c r="B6802" s="572">
        <v>21.536899999999999</v>
      </c>
      <c r="C6802" s="572">
        <v>531.1</v>
      </c>
    </row>
    <row r="6803" spans="1:3">
      <c r="A6803" s="571" t="s">
        <v>337</v>
      </c>
      <c r="B6803" s="572">
        <v>28.914999999999999</v>
      </c>
      <c r="C6803" s="572">
        <v>580.91000000000008</v>
      </c>
    </row>
    <row r="6804" spans="1:3">
      <c r="A6804" s="571" t="s">
        <v>337</v>
      </c>
      <c r="B6804" s="572">
        <v>35.642099999999999</v>
      </c>
      <c r="C6804" s="572">
        <v>604.26700000000005</v>
      </c>
    </row>
    <row r="6805" spans="1:3">
      <c r="A6805" s="571" t="s">
        <v>337</v>
      </c>
      <c r="B6805" s="572">
        <v>49.087600000000002</v>
      </c>
      <c r="C6805" s="572">
        <v>645.68000000000006</v>
      </c>
    </row>
    <row r="6806" spans="1:3">
      <c r="A6806" s="571" t="s">
        <v>337</v>
      </c>
      <c r="B6806" s="572">
        <v>55.793199999999999</v>
      </c>
      <c r="C6806" s="572">
        <v>655.78700000000003</v>
      </c>
    </row>
    <row r="6807" spans="1:3">
      <c r="A6807" s="571" t="s">
        <v>337</v>
      </c>
      <c r="B6807" s="572">
        <v>63.402200000000001</v>
      </c>
      <c r="C6807" s="572">
        <v>660.52699999999993</v>
      </c>
    </row>
    <row r="6808" spans="1:3">
      <c r="A6808" s="571" t="s">
        <v>337</v>
      </c>
      <c r="B6808" s="572">
        <v>91.072100000000006</v>
      </c>
      <c r="C6808" s="572">
        <v>661.14</v>
      </c>
    </row>
    <row r="6809" spans="1:3">
      <c r="A6809" s="573" t="s">
        <v>337</v>
      </c>
      <c r="B6809" s="574">
        <v>119.693</v>
      </c>
      <c r="C6809" s="574">
        <v>685.53499999999997</v>
      </c>
    </row>
    <row r="6810" spans="1:3">
      <c r="A6810" s="573" t="s">
        <v>337</v>
      </c>
      <c r="B6810" s="574">
        <v>179.62299999999999</v>
      </c>
      <c r="C6810" s="574">
        <v>704.97500000000002</v>
      </c>
    </row>
    <row r="6811" spans="1:3">
      <c r="A6811" s="571" t="s">
        <v>338</v>
      </c>
      <c r="B6811" s="572">
        <v>1.5200899999999999</v>
      </c>
      <c r="C6811" s="572">
        <v>0.111903</v>
      </c>
    </row>
    <row r="6812" spans="1:3">
      <c r="A6812" s="571" t="s">
        <v>338</v>
      </c>
      <c r="B6812" s="572">
        <v>7.3963299999999998</v>
      </c>
      <c r="C6812" s="572">
        <v>248.57199999999997</v>
      </c>
    </row>
    <row r="6813" spans="1:3">
      <c r="A6813" s="571" t="s">
        <v>338</v>
      </c>
      <c r="B6813" s="572">
        <v>21.660499999999999</v>
      </c>
      <c r="C6813" s="572">
        <v>419.78399999999999</v>
      </c>
    </row>
    <row r="6814" spans="1:3">
      <c r="A6814" s="571" t="s">
        <v>338</v>
      </c>
      <c r="B6814" s="572">
        <v>35.457299999999996</v>
      </c>
      <c r="C6814" s="572">
        <v>490.32300000000004</v>
      </c>
    </row>
    <row r="6815" spans="1:3">
      <c r="A6815" s="571" t="s">
        <v>338</v>
      </c>
      <c r="B6815" s="572">
        <v>49.493699999999997</v>
      </c>
      <c r="C6815" s="572">
        <v>521.09100000000001</v>
      </c>
    </row>
    <row r="6816" spans="1:3">
      <c r="A6816" s="571" t="s">
        <v>338</v>
      </c>
      <c r="B6816" s="572">
        <v>56.828800000000001</v>
      </c>
      <c r="C6816" s="572">
        <v>544.40300000000002</v>
      </c>
    </row>
    <row r="6817" spans="1:3">
      <c r="A6817" s="571" t="s">
        <v>338</v>
      </c>
      <c r="B6817" s="572">
        <v>91.564099999999996</v>
      </c>
      <c r="C6817" s="572">
        <v>589.54899999999998</v>
      </c>
    </row>
    <row r="6818" spans="1:3">
      <c r="A6818" s="573" t="s">
        <v>338</v>
      </c>
      <c r="B6818" s="574">
        <v>119.286</v>
      </c>
      <c r="C6818" s="574">
        <v>621.96100000000001</v>
      </c>
    </row>
    <row r="6819" spans="1:3">
      <c r="A6819" s="573" t="s">
        <v>338</v>
      </c>
      <c r="B6819" s="574">
        <v>179.79400000000001</v>
      </c>
      <c r="C6819" s="574">
        <v>622.80700000000002</v>
      </c>
    </row>
    <row r="6820" spans="1:3">
      <c r="A6820" s="571" t="s">
        <v>339</v>
      </c>
      <c r="B6820" s="572">
        <v>1.5200899999999999</v>
      </c>
      <c r="C6820" s="572">
        <v>0.111903</v>
      </c>
    </row>
    <row r="6821" spans="1:3">
      <c r="A6821" s="571" t="s">
        <v>339</v>
      </c>
      <c r="B6821" s="572">
        <v>4.1284099999999997</v>
      </c>
      <c r="C6821" s="572">
        <v>108.35300000000001</v>
      </c>
    </row>
    <row r="6822" spans="1:3">
      <c r="A6822" s="571" t="s">
        <v>339</v>
      </c>
      <c r="B6822" s="572">
        <v>8.2267399999999995</v>
      </c>
      <c r="C6822" s="572">
        <v>198.15799999999999</v>
      </c>
    </row>
    <row r="6823" spans="1:3">
      <c r="A6823" s="571" t="s">
        <v>339</v>
      </c>
      <c r="B6823" s="572">
        <v>21.335000000000001</v>
      </c>
      <c r="C6823" s="572">
        <v>406.55700000000002</v>
      </c>
    </row>
    <row r="6824" spans="1:3">
      <c r="A6824" s="571" t="s">
        <v>339</v>
      </c>
      <c r="B6824" s="572">
        <v>29.008500000000002</v>
      </c>
      <c r="C6824" s="572">
        <v>451.04499999999996</v>
      </c>
    </row>
    <row r="6825" spans="1:3">
      <c r="A6825" s="571" t="s">
        <v>339</v>
      </c>
      <c r="B6825" s="572">
        <v>35.170499999999997</v>
      </c>
      <c r="C6825" s="572">
        <v>500.94399999999996</v>
      </c>
    </row>
    <row r="6826" spans="1:3">
      <c r="A6826" s="571" t="s">
        <v>339</v>
      </c>
      <c r="B6826" s="572">
        <v>42.492699999999999</v>
      </c>
      <c r="C6826" s="572">
        <v>516.30600000000004</v>
      </c>
    </row>
    <row r="6827" spans="1:3">
      <c r="A6827" s="571" t="s">
        <v>339</v>
      </c>
      <c r="B6827" s="572">
        <v>49.549500000000002</v>
      </c>
      <c r="C6827" s="572">
        <v>555.54000000000008</v>
      </c>
    </row>
    <row r="6828" spans="1:3">
      <c r="A6828" s="571" t="s">
        <v>339</v>
      </c>
      <c r="B6828" s="572">
        <v>56.8889</v>
      </c>
      <c r="C6828" s="572">
        <v>581.50100000000009</v>
      </c>
    </row>
    <row r="6829" spans="1:3">
      <c r="A6829" s="571" t="s">
        <v>339</v>
      </c>
      <c r="B6829" s="572">
        <v>63.607399999999998</v>
      </c>
      <c r="C6829" s="572">
        <v>599.55799999999999</v>
      </c>
    </row>
    <row r="6830" spans="1:3">
      <c r="A6830" s="571" t="s">
        <v>339</v>
      </c>
      <c r="B6830" s="572">
        <v>70.638499999999993</v>
      </c>
      <c r="C6830" s="572">
        <v>622.89200000000005</v>
      </c>
    </row>
    <row r="6831" spans="1:3">
      <c r="A6831" s="573" t="s">
        <v>339</v>
      </c>
      <c r="B6831" s="574">
        <v>120.271</v>
      </c>
      <c r="C6831" s="574">
        <v>666.94100000000003</v>
      </c>
    </row>
    <row r="6832" spans="1:3">
      <c r="A6832" s="573" t="s">
        <v>339</v>
      </c>
      <c r="B6832" s="574">
        <v>180.22200000000001</v>
      </c>
      <c r="C6832" s="574">
        <v>699.63</v>
      </c>
    </row>
    <row r="6833" spans="1:3">
      <c r="A6833" s="571" t="s">
        <v>340</v>
      </c>
      <c r="B6833" s="572">
        <v>1.2328600000000001</v>
      </c>
      <c r="C6833" s="572">
        <v>2.5592900000000003</v>
      </c>
    </row>
    <row r="6834" spans="1:3">
      <c r="A6834" s="571" t="s">
        <v>340</v>
      </c>
      <c r="B6834" s="572">
        <v>1.6368400000000001</v>
      </c>
      <c r="C6834" s="572">
        <v>61.656799999999997</v>
      </c>
    </row>
    <row r="6835" spans="1:3">
      <c r="A6835" s="571" t="s">
        <v>340</v>
      </c>
      <c r="B6835" s="572">
        <v>2.6418499999999998</v>
      </c>
      <c r="C6835" s="572">
        <v>112.62700000000001</v>
      </c>
    </row>
    <row r="6836" spans="1:3">
      <c r="A6836" s="571" t="s">
        <v>340</v>
      </c>
      <c r="B6836" s="572">
        <v>3.6424500000000002</v>
      </c>
      <c r="C6836" s="572">
        <v>160.91</v>
      </c>
    </row>
    <row r="6837" spans="1:3">
      <c r="A6837" s="571" t="s">
        <v>340</v>
      </c>
      <c r="B6837" s="572">
        <v>7.5127499999999996</v>
      </c>
      <c r="C6837" s="572">
        <v>273.40799999999996</v>
      </c>
    </row>
    <row r="6838" spans="1:3">
      <c r="A6838" s="571" t="s">
        <v>340</v>
      </c>
      <c r="B6838" s="572">
        <v>14.4498</v>
      </c>
      <c r="C6838" s="572">
        <v>382.89800000000002</v>
      </c>
    </row>
    <row r="6839" spans="1:3">
      <c r="A6839" s="571" t="s">
        <v>340</v>
      </c>
      <c r="B6839" s="572">
        <v>21.939399999999999</v>
      </c>
      <c r="C6839" s="572">
        <v>454.69599999999997</v>
      </c>
    </row>
    <row r="6840" spans="1:3">
      <c r="A6840" s="571" t="s">
        <v>340</v>
      </c>
      <c r="B6840" s="572">
        <v>28.4329</v>
      </c>
      <c r="C6840" s="572">
        <v>480.899</v>
      </c>
    </row>
    <row r="6841" spans="1:3">
      <c r="A6841" s="571" t="s">
        <v>340</v>
      </c>
      <c r="B6841" s="572">
        <v>35.536099999999998</v>
      </c>
      <c r="C6841" s="572">
        <v>504.34999999999997</v>
      </c>
    </row>
    <row r="6842" spans="1:3">
      <c r="A6842" s="571" t="s">
        <v>340</v>
      </c>
      <c r="B6842" s="572">
        <v>42.972900000000003</v>
      </c>
      <c r="C6842" s="572">
        <v>543.89499999999998</v>
      </c>
    </row>
    <row r="6843" spans="1:3">
      <c r="A6843" s="571" t="s">
        <v>340</v>
      </c>
      <c r="B6843" s="572">
        <v>64.1815</v>
      </c>
      <c r="C6843" s="572">
        <v>552.42999999999995</v>
      </c>
    </row>
    <row r="6844" spans="1:3">
      <c r="A6844" s="571" t="s">
        <v>340</v>
      </c>
      <c r="B6844" s="572">
        <v>70.964399999999998</v>
      </c>
      <c r="C6844" s="572">
        <v>567.84999999999991</v>
      </c>
    </row>
    <row r="6845" spans="1:3">
      <c r="A6845" s="571" t="s">
        <v>340</v>
      </c>
      <c r="B6845" s="572">
        <v>78.023600000000002</v>
      </c>
      <c r="C6845" s="572">
        <v>564.42400000000009</v>
      </c>
    </row>
    <row r="6846" spans="1:3">
      <c r="A6846" s="571" t="s">
        <v>340</v>
      </c>
      <c r="B6846" s="572">
        <v>84.490600000000001</v>
      </c>
      <c r="C6846" s="572">
        <v>574.50100000000009</v>
      </c>
    </row>
    <row r="6847" spans="1:3">
      <c r="A6847" s="571" t="s">
        <v>340</v>
      </c>
      <c r="B6847" s="572">
        <v>91.589500000000001</v>
      </c>
      <c r="C6847" s="572">
        <v>595.26400000000001</v>
      </c>
    </row>
    <row r="6848" spans="1:3">
      <c r="A6848" s="573" t="s">
        <v>340</v>
      </c>
      <c r="B6848" s="574">
        <v>181.28899999999999</v>
      </c>
      <c r="C6848" s="574">
        <v>599.32799999999997</v>
      </c>
    </row>
    <row r="6849" spans="1:3">
      <c r="A6849" s="571" t="s">
        <v>341</v>
      </c>
      <c r="B6849" s="572">
        <v>1.2328600000000001</v>
      </c>
      <c r="C6849" s="572">
        <v>2.5592900000000003</v>
      </c>
    </row>
    <row r="6850" spans="1:3">
      <c r="A6850" s="571" t="s">
        <v>341</v>
      </c>
      <c r="B6850" s="572">
        <v>3.3309299999999999</v>
      </c>
      <c r="C6850" s="572">
        <v>158.25400000000002</v>
      </c>
    </row>
    <row r="6851" spans="1:3">
      <c r="A6851" s="571" t="s">
        <v>341</v>
      </c>
      <c r="B6851" s="572">
        <v>8.7588200000000001</v>
      </c>
      <c r="C6851" s="572">
        <v>284.03100000000001</v>
      </c>
    </row>
    <row r="6852" spans="1:3">
      <c r="A6852" s="571" t="s">
        <v>341</v>
      </c>
      <c r="B6852" s="572">
        <v>14.4498</v>
      </c>
      <c r="C6852" s="572">
        <v>382.89800000000002</v>
      </c>
    </row>
    <row r="6853" spans="1:3">
      <c r="A6853" s="571" t="s">
        <v>341</v>
      </c>
      <c r="B6853" s="572">
        <v>21.890999999999998</v>
      </c>
      <c r="C6853" s="572">
        <v>425.13099999999997</v>
      </c>
    </row>
    <row r="6854" spans="1:3">
      <c r="A6854" s="571" t="s">
        <v>341</v>
      </c>
      <c r="B6854" s="572">
        <v>28.700399999999998</v>
      </c>
      <c r="C6854" s="572">
        <v>456.67700000000002</v>
      </c>
    </row>
    <row r="6855" spans="1:3">
      <c r="A6855" s="571" t="s">
        <v>341</v>
      </c>
      <c r="B6855" s="572">
        <v>42.893700000000003</v>
      </c>
      <c r="C6855" s="572">
        <v>495.51600000000002</v>
      </c>
    </row>
    <row r="6856" spans="1:3">
      <c r="A6856" s="571" t="s">
        <v>341</v>
      </c>
      <c r="B6856" s="572">
        <v>49.413499999999999</v>
      </c>
      <c r="C6856" s="572">
        <v>537.84500000000003</v>
      </c>
    </row>
    <row r="6857" spans="1:3">
      <c r="A6857" s="571" t="s">
        <v>341</v>
      </c>
      <c r="B6857" s="572">
        <v>64.185900000000004</v>
      </c>
      <c r="C6857" s="572">
        <v>555.11800000000005</v>
      </c>
    </row>
    <row r="6858" spans="1:3">
      <c r="A6858" s="571" t="s">
        <v>341</v>
      </c>
      <c r="B6858" s="572">
        <v>70.630899999999997</v>
      </c>
      <c r="C6858" s="572">
        <v>551.75599999999997</v>
      </c>
    </row>
    <row r="6859" spans="1:3">
      <c r="A6859" s="571" t="s">
        <v>341</v>
      </c>
      <c r="B6859" s="572">
        <v>78.2911</v>
      </c>
      <c r="C6859" s="572">
        <v>540.20299999999997</v>
      </c>
    </row>
    <row r="6860" spans="1:3">
      <c r="A6860" s="573" t="s">
        <v>341</v>
      </c>
      <c r="B6860" s="574">
        <v>180.92</v>
      </c>
      <c r="C6860" s="574">
        <v>561.73199999999997</v>
      </c>
    </row>
    <row r="6861" spans="1:3">
      <c r="A6861" s="571" t="s">
        <v>342</v>
      </c>
      <c r="B6861" s="572">
        <v>1.33413</v>
      </c>
      <c r="C6861" s="572">
        <v>64.3767</v>
      </c>
    </row>
    <row r="6862" spans="1:3">
      <c r="A6862" s="571" t="s">
        <v>342</v>
      </c>
      <c r="B6862" s="572">
        <v>1.3693599999999999</v>
      </c>
      <c r="C6862" s="572">
        <v>85.878399999999999</v>
      </c>
    </row>
    <row r="6863" spans="1:3">
      <c r="A6863" s="571" t="s">
        <v>342</v>
      </c>
      <c r="B6863" s="572">
        <v>1.5311699999999999</v>
      </c>
      <c r="C6863" s="572">
        <v>2.8482400000000001</v>
      </c>
    </row>
    <row r="6864" spans="1:3">
      <c r="A6864" s="571" t="s">
        <v>342</v>
      </c>
      <c r="B6864" s="572">
        <v>2.9753799999999999</v>
      </c>
      <c r="C6864" s="572">
        <v>128.721</v>
      </c>
    </row>
    <row r="6865" spans="1:3">
      <c r="A6865" s="571" t="s">
        <v>342</v>
      </c>
      <c r="B6865" s="572">
        <v>3.6468500000000001</v>
      </c>
      <c r="C6865" s="572">
        <v>163.59699999999998</v>
      </c>
    </row>
    <row r="6866" spans="1:3">
      <c r="A6866" s="571" t="s">
        <v>342</v>
      </c>
      <c r="B6866" s="572">
        <v>8.4737200000000001</v>
      </c>
      <c r="C6866" s="572">
        <v>297.50100000000003</v>
      </c>
    </row>
    <row r="6867" spans="1:3">
      <c r="A6867" s="571" t="s">
        <v>342</v>
      </c>
      <c r="B6867" s="572">
        <v>14.4498</v>
      </c>
      <c r="C6867" s="572">
        <v>382.89800000000002</v>
      </c>
    </row>
    <row r="6868" spans="1:3">
      <c r="A6868" s="571" t="s">
        <v>342</v>
      </c>
      <c r="B6868" s="572">
        <v>22.259799999999998</v>
      </c>
      <c r="C6868" s="572">
        <v>462.72699999999998</v>
      </c>
    </row>
    <row r="6869" spans="1:3">
      <c r="A6869" s="571" t="s">
        <v>342</v>
      </c>
      <c r="B6869" s="572">
        <v>35.567</v>
      </c>
      <c r="C6869" s="572">
        <v>523.16399999999999</v>
      </c>
    </row>
    <row r="6870" spans="1:3">
      <c r="A6870" s="571" t="s">
        <v>342</v>
      </c>
      <c r="B6870" s="572">
        <v>42.6614</v>
      </c>
      <c r="C6870" s="572">
        <v>541.23900000000003</v>
      </c>
    </row>
    <row r="6871" spans="1:3">
      <c r="A6871" s="571" t="s">
        <v>342</v>
      </c>
      <c r="B6871" s="572">
        <v>49.457599999999999</v>
      </c>
      <c r="C6871" s="572">
        <v>564.72199999999998</v>
      </c>
    </row>
    <row r="6872" spans="1:3">
      <c r="A6872" s="571" t="s">
        <v>342</v>
      </c>
      <c r="B6872" s="572">
        <v>57.148600000000002</v>
      </c>
      <c r="C6872" s="572">
        <v>571.98300000000006</v>
      </c>
    </row>
    <row r="6873" spans="1:3">
      <c r="A6873" s="571" t="s">
        <v>342</v>
      </c>
      <c r="B6873" s="572">
        <v>63.6113</v>
      </c>
      <c r="C6873" s="572">
        <v>579.37199999999996</v>
      </c>
    </row>
    <row r="6874" spans="1:3">
      <c r="A6874" s="571" t="s">
        <v>342</v>
      </c>
      <c r="B6874" s="572">
        <v>92.199299999999994</v>
      </c>
      <c r="C6874" s="572">
        <v>592.51200000000006</v>
      </c>
    </row>
    <row r="6875" spans="1:3">
      <c r="A6875" s="573" t="s">
        <v>342</v>
      </c>
      <c r="B6875" s="574">
        <v>121.41500000000001</v>
      </c>
      <c r="C6875" s="574">
        <v>613.65099999999995</v>
      </c>
    </row>
    <row r="6876" spans="1:3">
      <c r="A6876" s="573" t="s">
        <v>342</v>
      </c>
      <c r="B6876" s="574">
        <v>181.33699999999999</v>
      </c>
      <c r="C6876" s="574">
        <v>628.89200000000005</v>
      </c>
    </row>
    <row r="6877" spans="1:3">
      <c r="A6877" s="571" t="s">
        <v>343</v>
      </c>
      <c r="B6877" s="572">
        <v>1.88232</v>
      </c>
      <c r="C6877" s="572">
        <v>23.9968</v>
      </c>
    </row>
    <row r="6878" spans="1:3">
      <c r="A6878" s="571" t="s">
        <v>343</v>
      </c>
      <c r="B6878" s="572">
        <v>3.1592099999999999</v>
      </c>
      <c r="C6878" s="572">
        <v>53.433199999999999</v>
      </c>
    </row>
    <row r="6879" spans="1:3">
      <c r="A6879" s="571" t="s">
        <v>343</v>
      </c>
      <c r="B6879" s="572">
        <v>4.1554000000000002</v>
      </c>
      <c r="C6879" s="572">
        <v>99.028000000000006</v>
      </c>
    </row>
    <row r="6880" spans="1:3">
      <c r="A6880" s="571" t="s">
        <v>343</v>
      </c>
      <c r="B6880" s="572">
        <v>7.4599099999999998</v>
      </c>
      <c r="C6880" s="572">
        <v>241.15600000000001</v>
      </c>
    </row>
    <row r="6881" spans="1:3">
      <c r="A6881" s="571" t="s">
        <v>343</v>
      </c>
      <c r="B6881" s="572">
        <v>14.9672</v>
      </c>
      <c r="C6881" s="572">
        <v>323.70400000000001</v>
      </c>
    </row>
    <row r="6882" spans="1:3">
      <c r="A6882" s="571" t="s">
        <v>343</v>
      </c>
      <c r="B6882" s="572">
        <v>22.452400000000001</v>
      </c>
      <c r="C6882" s="572">
        <v>392.81400000000002</v>
      </c>
    </row>
    <row r="6883" spans="1:3">
      <c r="A6883" s="571" t="s">
        <v>343</v>
      </c>
      <c r="B6883" s="572">
        <v>29.257300000000001</v>
      </c>
      <c r="C6883" s="572">
        <v>421.673</v>
      </c>
    </row>
    <row r="6884" spans="1:3">
      <c r="A6884" s="571" t="s">
        <v>343</v>
      </c>
      <c r="B6884" s="572">
        <v>35.496499999999997</v>
      </c>
      <c r="C6884" s="572">
        <v>480.15999999999997</v>
      </c>
    </row>
    <row r="6885" spans="1:3">
      <c r="A6885" s="571" t="s">
        <v>343</v>
      </c>
      <c r="B6885" s="572">
        <v>43.240400000000001</v>
      </c>
      <c r="C6885" s="572">
        <v>519.673</v>
      </c>
    </row>
    <row r="6886" spans="1:3">
      <c r="A6886" s="571" t="s">
        <v>343</v>
      </c>
      <c r="B6886" s="572">
        <v>49.698599999999999</v>
      </c>
      <c r="C6886" s="572">
        <v>524.37400000000002</v>
      </c>
    </row>
    <row r="6887" spans="1:3">
      <c r="A6887" s="571" t="s">
        <v>343</v>
      </c>
      <c r="B6887" s="572">
        <v>57.670400000000001</v>
      </c>
      <c r="C6887" s="572">
        <v>515.47699999999998</v>
      </c>
    </row>
    <row r="6888" spans="1:3">
      <c r="A6888" s="571" t="s">
        <v>343</v>
      </c>
      <c r="B6888" s="572">
        <v>64.431299999999993</v>
      </c>
      <c r="C6888" s="572">
        <v>517.45799999999997</v>
      </c>
    </row>
    <row r="6889" spans="1:3">
      <c r="A6889" s="571" t="s">
        <v>343</v>
      </c>
      <c r="B6889" s="572">
        <v>91.7821</v>
      </c>
      <c r="C6889" s="572">
        <v>525.351</v>
      </c>
    </row>
    <row r="6890" spans="1:3">
      <c r="A6890" s="573" t="s">
        <v>343</v>
      </c>
      <c r="B6890" s="574">
        <v>181.512</v>
      </c>
      <c r="C6890" s="574">
        <v>548.22899999999993</v>
      </c>
    </row>
    <row r="6891" spans="1:3">
      <c r="A6891" s="571" t="s">
        <v>1999</v>
      </c>
      <c r="B6891" s="572">
        <v>1.2328600000000001</v>
      </c>
      <c r="C6891" s="572">
        <v>2.5592900000000003</v>
      </c>
    </row>
    <row r="6892" spans="1:3">
      <c r="A6892" s="571" t="s">
        <v>1999</v>
      </c>
      <c r="B6892" s="572">
        <v>7.4819300000000002</v>
      </c>
      <c r="C6892" s="572">
        <v>254.59399999999999</v>
      </c>
    </row>
    <row r="6893" spans="1:3">
      <c r="A6893" s="571" t="s">
        <v>1999</v>
      </c>
      <c r="B6893" s="572">
        <v>14.4718</v>
      </c>
      <c r="C6893" s="572">
        <v>396.33699999999999</v>
      </c>
    </row>
    <row r="6894" spans="1:3">
      <c r="A6894" s="571" t="s">
        <v>1999</v>
      </c>
      <c r="B6894" s="572">
        <v>22.308199999999999</v>
      </c>
      <c r="C6894" s="572">
        <v>492.29200000000003</v>
      </c>
    </row>
    <row r="6895" spans="1:3">
      <c r="A6895" s="571" t="s">
        <v>1999</v>
      </c>
      <c r="B6895" s="572">
        <v>28.863299999999999</v>
      </c>
      <c r="C6895" s="572">
        <v>556.12199999999996</v>
      </c>
    </row>
    <row r="6896" spans="1:3">
      <c r="A6896" s="571" t="s">
        <v>1999</v>
      </c>
      <c r="B6896" s="572">
        <v>35.966500000000003</v>
      </c>
      <c r="C6896" s="572">
        <v>579.57299999999998</v>
      </c>
    </row>
    <row r="6897" spans="1:3">
      <c r="A6897" s="571" t="s">
        <v>1999</v>
      </c>
      <c r="B6897" s="572">
        <v>43.394500000000001</v>
      </c>
      <c r="C6897" s="572">
        <v>613.74300000000005</v>
      </c>
    </row>
    <row r="6898" spans="1:3">
      <c r="A6898" s="571" t="s">
        <v>1999</v>
      </c>
      <c r="B6898" s="572">
        <v>49.8748</v>
      </c>
      <c r="C6898" s="572">
        <v>631.88299999999992</v>
      </c>
    </row>
    <row r="6899" spans="1:3">
      <c r="A6899" s="571" t="s">
        <v>1999</v>
      </c>
      <c r="B6899" s="572">
        <v>57.280700000000003</v>
      </c>
      <c r="C6899" s="572">
        <v>652.61400000000003</v>
      </c>
    </row>
    <row r="6900" spans="1:3">
      <c r="A6900" s="571" t="s">
        <v>1999</v>
      </c>
      <c r="B6900" s="572">
        <v>64.357600000000005</v>
      </c>
      <c r="C6900" s="572">
        <v>659.93900000000008</v>
      </c>
    </row>
    <row r="6901" spans="1:3">
      <c r="A6901" s="571" t="s">
        <v>1999</v>
      </c>
      <c r="B6901" s="572">
        <v>92.384299999999996</v>
      </c>
      <c r="C6901" s="572">
        <v>705.39600000000007</v>
      </c>
    </row>
    <row r="6902" spans="1:3">
      <c r="A6902" s="573" t="s">
        <v>1999</v>
      </c>
      <c r="B6902" s="574">
        <v>121.613</v>
      </c>
      <c r="C6902" s="574">
        <v>734.59799999999996</v>
      </c>
    </row>
    <row r="6903" spans="1:3">
      <c r="A6903" s="573" t="s">
        <v>1999</v>
      </c>
      <c r="B6903" s="574">
        <v>181.184</v>
      </c>
      <c r="C6903" s="574">
        <v>722.99400000000003</v>
      </c>
    </row>
    <row r="6904" spans="1:3">
      <c r="A6904" s="571" t="s">
        <v>2000</v>
      </c>
      <c r="B6904" s="572">
        <v>1.3578699999999999</v>
      </c>
      <c r="C6904" s="572">
        <v>87.355900000000005</v>
      </c>
    </row>
    <row r="6905" spans="1:3">
      <c r="A6905" s="571" t="s">
        <v>2000</v>
      </c>
      <c r="B6905" s="572">
        <v>1.5243899999999999</v>
      </c>
      <c r="C6905" s="572">
        <v>2.53796</v>
      </c>
    </row>
    <row r="6906" spans="1:3">
      <c r="A6906" s="571" t="s">
        <v>2000</v>
      </c>
      <c r="B6906" s="572">
        <v>7.7089499999999997</v>
      </c>
      <c r="C6906" s="572">
        <v>253.84899999999999</v>
      </c>
    </row>
    <row r="6907" spans="1:3">
      <c r="A6907" s="571" t="s">
        <v>2000</v>
      </c>
      <c r="B6907" s="572">
        <v>15.087</v>
      </c>
      <c r="C6907" s="572">
        <v>303.65999999999997</v>
      </c>
    </row>
    <row r="6908" spans="1:3">
      <c r="A6908" s="571" t="s">
        <v>2000</v>
      </c>
      <c r="B6908" s="572">
        <v>29.200700000000001</v>
      </c>
      <c r="C6908" s="572">
        <v>382.12600000000003</v>
      </c>
    </row>
    <row r="6909" spans="1:3">
      <c r="A6909" s="571" t="s">
        <v>2000</v>
      </c>
      <c r="B6909" s="572">
        <v>35.936399999999999</v>
      </c>
      <c r="C6909" s="572">
        <v>410.78199999999998</v>
      </c>
    </row>
    <row r="6910" spans="1:3">
      <c r="A6910" s="571" t="s">
        <v>2000</v>
      </c>
      <c r="B6910" s="572">
        <v>42.663499999999999</v>
      </c>
      <c r="C6910" s="572">
        <v>434.13800000000003</v>
      </c>
    </row>
    <row r="6911" spans="1:3">
      <c r="A6911" s="571" t="s">
        <v>2000</v>
      </c>
      <c r="B6911" s="572">
        <v>49.99</v>
      </c>
      <c r="C6911" s="572">
        <v>452.15</v>
      </c>
    </row>
    <row r="6912" spans="1:3">
      <c r="A6912" s="571" t="s">
        <v>2000</v>
      </c>
      <c r="B6912" s="572">
        <v>56.982399999999998</v>
      </c>
      <c r="C6912" s="572">
        <v>451.63599999999997</v>
      </c>
    </row>
    <row r="6913" spans="1:3">
      <c r="A6913" s="571" t="s">
        <v>2000</v>
      </c>
      <c r="B6913" s="572">
        <v>63.383899999999997</v>
      </c>
      <c r="C6913" s="572">
        <v>461.76499999999999</v>
      </c>
    </row>
    <row r="6914" spans="1:3">
      <c r="A6914" s="571" t="s">
        <v>2000</v>
      </c>
      <c r="B6914" s="572">
        <v>70.997299999999996</v>
      </c>
      <c r="C6914" s="572">
        <v>469.15499999999997</v>
      </c>
    </row>
    <row r="6915" spans="1:3">
      <c r="A6915" s="571" t="s">
        <v>2000</v>
      </c>
      <c r="B6915" s="572">
        <v>77.403099999999995</v>
      </c>
      <c r="C6915" s="572">
        <v>481.93399999999997</v>
      </c>
    </row>
    <row r="6916" spans="1:3">
      <c r="A6916" s="571" t="s">
        <v>2000</v>
      </c>
      <c r="B6916" s="572">
        <v>91.700599999999994</v>
      </c>
      <c r="C6916" s="572">
        <v>486.18200000000002</v>
      </c>
    </row>
    <row r="6917" spans="1:3">
      <c r="A6917" s="573" t="s">
        <v>2000</v>
      </c>
      <c r="B6917" s="574">
        <v>120.283</v>
      </c>
      <c r="C6917" s="574">
        <v>486.72800000000001</v>
      </c>
    </row>
    <row r="6918" spans="1:3">
      <c r="A6918" s="573" t="s">
        <v>2000</v>
      </c>
      <c r="B6918" s="574">
        <v>180.238</v>
      </c>
      <c r="C6918" s="574">
        <v>522.06699999999989</v>
      </c>
    </row>
    <row r="6919" spans="1:3">
      <c r="A6919" s="48" t="s">
        <v>344</v>
      </c>
      <c r="B6919" s="549">
        <v>-8.4469000000000016E-2</v>
      </c>
      <c r="C6919" s="549">
        <v>0.89605000000000001</v>
      </c>
    </row>
    <row r="6920" spans="1:3">
      <c r="A6920" s="571" t="s">
        <v>344</v>
      </c>
      <c r="B6920" s="572">
        <v>0.14440999999999993</v>
      </c>
      <c r="C6920" s="572">
        <v>12.979699999999999</v>
      </c>
    </row>
    <row r="6921" spans="1:3">
      <c r="A6921" s="571" t="s">
        <v>344</v>
      </c>
      <c r="B6921" s="572">
        <v>0.44958999999999993</v>
      </c>
      <c r="C6921" s="572">
        <v>25.985399999999998</v>
      </c>
    </row>
    <row r="6922" spans="1:3">
      <c r="A6922" s="571" t="s">
        <v>344</v>
      </c>
      <c r="B6922" s="572">
        <v>0.98364999999999991</v>
      </c>
      <c r="C6922" s="572">
        <v>34.645699999999998</v>
      </c>
    </row>
    <row r="6923" spans="1:3">
      <c r="A6923" s="571" t="s">
        <v>344</v>
      </c>
      <c r="B6923" s="572">
        <v>1.70845</v>
      </c>
      <c r="C6923" s="572">
        <v>40.697000000000003</v>
      </c>
    </row>
    <row r="6924" spans="1:3">
      <c r="A6924" s="571" t="s">
        <v>344</v>
      </c>
      <c r="B6924" s="572">
        <v>2.5858300000000001</v>
      </c>
      <c r="C6924" s="572">
        <v>51.081899999999997</v>
      </c>
    </row>
    <row r="6925" spans="1:3">
      <c r="A6925" s="571" t="s">
        <v>344</v>
      </c>
      <c r="B6925" s="572">
        <v>3.3869199999999999</v>
      </c>
      <c r="C6925" s="572">
        <v>63.204599999999999</v>
      </c>
    </row>
    <row r="6926" spans="1:3">
      <c r="A6926" s="571" t="s">
        <v>344</v>
      </c>
      <c r="B6926" s="572">
        <v>4.2261600000000001</v>
      </c>
      <c r="C6926" s="572">
        <v>73.590800000000002</v>
      </c>
    </row>
    <row r="6927" spans="1:3">
      <c r="A6927" s="571" t="s">
        <v>344</v>
      </c>
      <c r="B6927" s="572">
        <v>5.0654000000000003</v>
      </c>
      <c r="C6927" s="572">
        <v>83.109200000000001</v>
      </c>
    </row>
    <row r="6928" spans="1:3">
      <c r="A6928" s="571" t="s">
        <v>344</v>
      </c>
      <c r="B6928" s="572">
        <v>5.8664899999999998</v>
      </c>
      <c r="C6928" s="572">
        <v>90.893500000000003</v>
      </c>
    </row>
    <row r="6929" spans="1:3">
      <c r="A6929" s="571" t="s">
        <v>344</v>
      </c>
      <c r="B6929" s="572">
        <v>6.5531300000000003</v>
      </c>
      <c r="C6929" s="572">
        <v>99.549000000000007</v>
      </c>
    </row>
    <row r="6930" spans="1:3">
      <c r="A6930" s="571" t="s">
        <v>344</v>
      </c>
      <c r="B6930" s="572">
        <v>7.2397799999999997</v>
      </c>
      <c r="C6930" s="572">
        <v>106.46899999999999</v>
      </c>
    </row>
    <row r="6931" spans="1:3">
      <c r="A6931" s="571" t="s">
        <v>344</v>
      </c>
      <c r="B6931" s="572">
        <v>7.8119899999999998</v>
      </c>
      <c r="C6931" s="572">
        <v>114.261</v>
      </c>
    </row>
    <row r="6932" spans="1:3">
      <c r="A6932" s="571" t="s">
        <v>344</v>
      </c>
      <c r="B6932" s="572">
        <v>8.5367800000000003</v>
      </c>
      <c r="C6932" s="572">
        <v>123.783</v>
      </c>
    </row>
    <row r="6933" spans="1:3">
      <c r="A6933" s="571" t="s">
        <v>344</v>
      </c>
      <c r="B6933" s="572">
        <v>9.2233999999999998</v>
      </c>
      <c r="C6933" s="572">
        <v>128.96700000000001</v>
      </c>
    </row>
    <row r="6934" spans="1:3">
      <c r="A6934" s="571" t="s">
        <v>344</v>
      </c>
      <c r="B6934" s="572">
        <v>9.8338000000000001</v>
      </c>
      <c r="C6934" s="572">
        <v>136.75800000000001</v>
      </c>
    </row>
    <row r="6935" spans="1:3">
      <c r="A6935" s="571" t="s">
        <v>344</v>
      </c>
      <c r="B6935" s="572">
        <v>10.5586</v>
      </c>
      <c r="C6935" s="572">
        <v>145.41200000000001</v>
      </c>
    </row>
    <row r="6936" spans="1:3">
      <c r="A6936" s="571" t="s">
        <v>344</v>
      </c>
      <c r="B6936" s="572">
        <v>11.3597</v>
      </c>
      <c r="C6936" s="572">
        <v>153.196</v>
      </c>
    </row>
    <row r="6937" spans="1:3">
      <c r="A6937" s="571" t="s">
        <v>344</v>
      </c>
      <c r="B6937" s="572">
        <v>12.0845</v>
      </c>
      <c r="C6937" s="572">
        <v>160.983</v>
      </c>
    </row>
    <row r="6938" spans="1:3">
      <c r="A6938" s="571" t="s">
        <v>344</v>
      </c>
      <c r="B6938" s="572">
        <v>13</v>
      </c>
      <c r="C6938" s="572">
        <v>169.631</v>
      </c>
    </row>
    <row r="6939" spans="1:3">
      <c r="A6939" s="571" t="s">
        <v>344</v>
      </c>
      <c r="B6939" s="572">
        <v>13.8011</v>
      </c>
      <c r="C6939" s="572">
        <v>175.68</v>
      </c>
    </row>
    <row r="6940" spans="1:3">
      <c r="A6940" s="571" t="s">
        <v>344</v>
      </c>
      <c r="B6940" s="572">
        <v>14.564</v>
      </c>
      <c r="C6940" s="572">
        <v>182.59800000000001</v>
      </c>
    </row>
    <row r="6941" spans="1:3">
      <c r="A6941" s="571" t="s">
        <v>344</v>
      </c>
      <c r="B6941" s="572">
        <v>15.327000000000002</v>
      </c>
      <c r="C6941" s="572">
        <v>189.51599999999999</v>
      </c>
    </row>
    <row r="6942" spans="1:3">
      <c r="A6942" s="571" t="s">
        <v>344</v>
      </c>
      <c r="B6942" s="572">
        <v>16.1281</v>
      </c>
      <c r="C6942" s="572">
        <v>194.697</v>
      </c>
    </row>
    <row r="6943" spans="1:3">
      <c r="A6943" s="571" t="s">
        <v>344</v>
      </c>
      <c r="B6943" s="572">
        <v>17.081700000000001</v>
      </c>
      <c r="C6943" s="572">
        <v>201.60900000000001</v>
      </c>
    </row>
    <row r="6944" spans="1:3">
      <c r="A6944" s="571" t="s">
        <v>344</v>
      </c>
      <c r="B6944" s="572">
        <v>17.8828</v>
      </c>
      <c r="C6944" s="572">
        <v>207.65799999999999</v>
      </c>
    </row>
    <row r="6945" spans="1:3">
      <c r="A6945" s="571" t="s">
        <v>344</v>
      </c>
      <c r="B6945" s="572">
        <v>18.607600000000001</v>
      </c>
      <c r="C6945" s="572">
        <v>212.84100000000001</v>
      </c>
    </row>
    <row r="6946" spans="1:3">
      <c r="A6946" s="571" t="s">
        <v>344</v>
      </c>
      <c r="B6946" s="572">
        <v>19.2943</v>
      </c>
      <c r="C6946" s="572">
        <v>218.02600000000001</v>
      </c>
    </row>
    <row r="6947" spans="1:3">
      <c r="A6947" s="571" t="s">
        <v>344</v>
      </c>
      <c r="B6947" s="572">
        <v>20.057200000000002</v>
      </c>
      <c r="C6947" s="572">
        <v>223.209</v>
      </c>
    </row>
    <row r="6948" spans="1:3">
      <c r="A6948" s="571" t="s">
        <v>344</v>
      </c>
      <c r="B6948" s="572">
        <v>20.8583</v>
      </c>
      <c r="C6948" s="572">
        <v>228.39</v>
      </c>
    </row>
    <row r="6949" spans="1:3">
      <c r="A6949" s="571" t="s">
        <v>344</v>
      </c>
      <c r="B6949" s="572">
        <v>21.583100000000002</v>
      </c>
      <c r="C6949" s="572">
        <v>231.83799999999999</v>
      </c>
    </row>
    <row r="6950" spans="1:3">
      <c r="A6950" s="571" t="s">
        <v>344</v>
      </c>
      <c r="B6950" s="572">
        <v>22.2698</v>
      </c>
      <c r="C6950" s="572">
        <v>238.75800000000001</v>
      </c>
    </row>
    <row r="6951" spans="1:3">
      <c r="A6951" s="571" t="s">
        <v>344</v>
      </c>
      <c r="B6951" s="572">
        <v>22.956399999999999</v>
      </c>
      <c r="C6951" s="572">
        <v>242.208</v>
      </c>
    </row>
    <row r="6952" spans="1:3">
      <c r="A6952" s="571" t="s">
        <v>344</v>
      </c>
      <c r="B6952" s="572">
        <v>23.6812</v>
      </c>
      <c r="C6952" s="572">
        <v>249.12700000000001</v>
      </c>
    </row>
    <row r="6953" spans="1:3">
      <c r="A6953" s="571" t="s">
        <v>344</v>
      </c>
      <c r="B6953" s="572">
        <v>24.367799999999999</v>
      </c>
      <c r="C6953" s="572">
        <v>252.57599999999999</v>
      </c>
    </row>
    <row r="6954" spans="1:3">
      <c r="A6954" s="571" t="s">
        <v>344</v>
      </c>
      <c r="B6954" s="572">
        <v>25.092600000000001</v>
      </c>
      <c r="C6954" s="572">
        <v>258.62700000000001</v>
      </c>
    </row>
    <row r="6955" spans="1:3">
      <c r="A6955" s="571" t="s">
        <v>344</v>
      </c>
      <c r="B6955" s="572">
        <v>25.779299999999999</v>
      </c>
      <c r="C6955" s="572">
        <v>262.94499999999999</v>
      </c>
    </row>
    <row r="6956" spans="1:3">
      <c r="A6956" s="571" t="s">
        <v>344</v>
      </c>
      <c r="B6956" s="572">
        <v>26.542200000000001</v>
      </c>
      <c r="C6956" s="572">
        <v>265.524</v>
      </c>
    </row>
    <row r="6957" spans="1:3">
      <c r="A6957" s="571" t="s">
        <v>344</v>
      </c>
      <c r="B6957" s="572">
        <v>27.1144</v>
      </c>
      <c r="C6957" s="572">
        <v>268.97699999999998</v>
      </c>
    </row>
    <row r="6958" spans="1:3">
      <c r="A6958" s="48" t="s">
        <v>345</v>
      </c>
      <c r="B6958" s="549">
        <v>-8.1740000000000146E-3</v>
      </c>
      <c r="C6958" s="549">
        <v>5.1753400000000003</v>
      </c>
    </row>
    <row r="6959" spans="1:3">
      <c r="A6959" s="571" t="s">
        <v>345</v>
      </c>
      <c r="B6959" s="572">
        <v>0.25886000000000009</v>
      </c>
      <c r="C6959" s="572">
        <v>20.785299999999999</v>
      </c>
    </row>
    <row r="6960" spans="1:3">
      <c r="A6960" s="571" t="s">
        <v>345</v>
      </c>
      <c r="B6960" s="572">
        <v>0.64033000000000007</v>
      </c>
      <c r="C6960" s="572">
        <v>36.3917</v>
      </c>
    </row>
    <row r="6961" spans="1:3">
      <c r="A6961" s="571" t="s">
        <v>345</v>
      </c>
      <c r="B6961" s="572">
        <v>1.0599500000000002</v>
      </c>
      <c r="C6961" s="572">
        <v>51.129199999999997</v>
      </c>
    </row>
    <row r="6962" spans="1:3">
      <c r="A6962" s="571" t="s">
        <v>345</v>
      </c>
      <c r="B6962" s="572">
        <v>1.5940099999999999</v>
      </c>
      <c r="C6962" s="572">
        <v>64.995500000000007</v>
      </c>
    </row>
    <row r="6963" spans="1:3">
      <c r="A6963" s="571" t="s">
        <v>345</v>
      </c>
      <c r="B6963" s="572">
        <v>2.0899200000000002</v>
      </c>
      <c r="C6963" s="572">
        <v>77.995400000000004</v>
      </c>
    </row>
    <row r="6964" spans="1:3">
      <c r="A6964" s="571" t="s">
        <v>345</v>
      </c>
      <c r="B6964" s="572">
        <v>2.7002700000000002</v>
      </c>
      <c r="C6964" s="572">
        <v>89.256299999999996</v>
      </c>
    </row>
    <row r="6965" spans="1:3">
      <c r="A6965" s="571" t="s">
        <v>345</v>
      </c>
      <c r="B6965" s="572">
        <v>3.2343299999999999</v>
      </c>
      <c r="C6965" s="572">
        <v>100.52</v>
      </c>
    </row>
    <row r="6966" spans="1:3">
      <c r="A6966" s="571" t="s">
        <v>345</v>
      </c>
      <c r="B6966" s="572">
        <v>3.8446899999999999</v>
      </c>
      <c r="C6966" s="572">
        <v>111.78</v>
      </c>
    </row>
    <row r="6967" spans="1:3">
      <c r="A6967" s="571" t="s">
        <v>345</v>
      </c>
      <c r="B6967" s="572">
        <v>4.3787500000000001</v>
      </c>
      <c r="C6967" s="572">
        <v>120.441</v>
      </c>
    </row>
    <row r="6968" spans="1:3">
      <c r="A6968" s="571" t="s">
        <v>345</v>
      </c>
      <c r="B6968" s="572">
        <v>4.9890999999999996</v>
      </c>
      <c r="C6968" s="572">
        <v>130.834</v>
      </c>
    </row>
    <row r="6969" spans="1:3">
      <c r="A6969" s="571" t="s">
        <v>345</v>
      </c>
      <c r="B6969" s="572">
        <v>5.5613099999999998</v>
      </c>
      <c r="C6969" s="572">
        <v>137.75800000000001</v>
      </c>
    </row>
    <row r="6970" spans="1:3">
      <c r="A6970" s="571" t="s">
        <v>345</v>
      </c>
      <c r="B6970" s="572">
        <v>6.1716600000000001</v>
      </c>
      <c r="C6970" s="572">
        <v>148.15100000000001</v>
      </c>
    </row>
    <row r="6971" spans="1:3">
      <c r="A6971" s="571" t="s">
        <v>345</v>
      </c>
      <c r="B6971" s="572">
        <v>6.7820200000000002</v>
      </c>
      <c r="C6971" s="572">
        <v>158.54400000000001</v>
      </c>
    </row>
    <row r="6972" spans="1:3">
      <c r="A6972" s="571" t="s">
        <v>345</v>
      </c>
      <c r="B6972" s="572">
        <v>7.3542199999999998</v>
      </c>
      <c r="C6972" s="572">
        <v>168.071</v>
      </c>
    </row>
    <row r="6973" spans="1:3">
      <c r="A6973" s="571" t="s">
        <v>345</v>
      </c>
      <c r="B6973" s="572">
        <v>7.9264299999999999</v>
      </c>
      <c r="C6973" s="572">
        <v>175.86199999999999</v>
      </c>
    </row>
    <row r="6974" spans="1:3">
      <c r="A6974" s="571" t="s">
        <v>345</v>
      </c>
      <c r="B6974" s="572">
        <v>8.6130800000000001</v>
      </c>
      <c r="C6974" s="572">
        <v>183.65</v>
      </c>
    </row>
    <row r="6975" spans="1:3">
      <c r="A6975" s="571" t="s">
        <v>345</v>
      </c>
      <c r="B6975" s="572">
        <v>9.2615999999999996</v>
      </c>
      <c r="C6975" s="572">
        <v>190.571</v>
      </c>
    </row>
    <row r="6976" spans="1:3">
      <c r="A6976" s="571" t="s">
        <v>345</v>
      </c>
      <c r="B6976" s="572">
        <v>10.0245</v>
      </c>
      <c r="C6976" s="572">
        <v>198.357</v>
      </c>
    </row>
    <row r="6977" spans="1:3">
      <c r="A6977" s="571" t="s">
        <v>345</v>
      </c>
      <c r="B6977" s="572">
        <v>10.7875</v>
      </c>
      <c r="C6977" s="572">
        <v>206.142</v>
      </c>
    </row>
    <row r="6978" spans="1:3">
      <c r="A6978" s="571" t="s">
        <v>345</v>
      </c>
      <c r="B6978" s="572">
        <v>11.436</v>
      </c>
      <c r="C6978" s="572">
        <v>213.06399999999999</v>
      </c>
    </row>
    <row r="6979" spans="1:3">
      <c r="A6979" s="571" t="s">
        <v>345</v>
      </c>
      <c r="B6979" s="572">
        <v>12.2371</v>
      </c>
      <c r="C6979" s="572">
        <v>219.98</v>
      </c>
    </row>
    <row r="6980" spans="1:3">
      <c r="A6980" s="571" t="s">
        <v>345</v>
      </c>
      <c r="B6980" s="572">
        <v>13.0381</v>
      </c>
      <c r="C6980" s="572">
        <v>226.029</v>
      </c>
    </row>
    <row r="6981" spans="1:3">
      <c r="A6981" s="571" t="s">
        <v>345</v>
      </c>
      <c r="B6981" s="572">
        <v>13.8392</v>
      </c>
      <c r="C6981" s="572">
        <v>233.81299999999999</v>
      </c>
    </row>
    <row r="6982" spans="1:3">
      <c r="A6982" s="571" t="s">
        <v>345</v>
      </c>
      <c r="B6982" s="572">
        <v>14.6022</v>
      </c>
      <c r="C6982" s="572">
        <v>238.12799999999999</v>
      </c>
    </row>
    <row r="6983" spans="1:3">
      <c r="A6983" s="571" t="s">
        <v>345</v>
      </c>
      <c r="B6983" s="572">
        <v>15.288799999999998</v>
      </c>
      <c r="C6983" s="572">
        <v>243.31299999999999</v>
      </c>
    </row>
    <row r="6984" spans="1:3">
      <c r="A6984" s="571" t="s">
        <v>345</v>
      </c>
      <c r="B6984" s="572">
        <v>16.1281</v>
      </c>
      <c r="C6984" s="572">
        <v>249.36099999999999</v>
      </c>
    </row>
    <row r="6985" spans="1:3">
      <c r="A6985" s="571" t="s">
        <v>345</v>
      </c>
      <c r="B6985" s="572">
        <v>16.890999999999998</v>
      </c>
      <c r="C6985" s="572">
        <v>254.54300000000001</v>
      </c>
    </row>
    <row r="6986" spans="1:3">
      <c r="A6986" s="571" t="s">
        <v>345</v>
      </c>
      <c r="B6986" s="572">
        <v>17.8065</v>
      </c>
      <c r="C6986" s="572">
        <v>259.721</v>
      </c>
    </row>
    <row r="6987" spans="1:3">
      <c r="A6987" s="571" t="s">
        <v>345</v>
      </c>
      <c r="B6987" s="572">
        <v>18.531300000000002</v>
      </c>
      <c r="C6987" s="572">
        <v>264.03699999999998</v>
      </c>
    </row>
    <row r="6988" spans="1:3">
      <c r="A6988" s="571" t="s">
        <v>345</v>
      </c>
      <c r="B6988" s="572">
        <v>19.3706</v>
      </c>
      <c r="C6988" s="572">
        <v>269.21699999999998</v>
      </c>
    </row>
    <row r="6989" spans="1:3">
      <c r="A6989" s="571" t="s">
        <v>345</v>
      </c>
      <c r="B6989" s="572">
        <v>20.209800000000001</v>
      </c>
      <c r="C6989" s="572">
        <v>273.529</v>
      </c>
    </row>
    <row r="6990" spans="1:3">
      <c r="A6990" s="571" t="s">
        <v>345</v>
      </c>
      <c r="B6990" s="572">
        <v>21.125299999999999</v>
      </c>
      <c r="C6990" s="572">
        <v>278.70699999999999</v>
      </c>
    </row>
    <row r="6991" spans="1:3">
      <c r="A6991" s="571" t="s">
        <v>345</v>
      </c>
      <c r="B6991" s="572">
        <v>22.079000000000001</v>
      </c>
      <c r="C6991" s="572">
        <v>283.88400000000001</v>
      </c>
    </row>
    <row r="6992" spans="1:3">
      <c r="A6992" s="571" t="s">
        <v>345</v>
      </c>
      <c r="B6992" s="572">
        <v>23.070799999999998</v>
      </c>
      <c r="C6992" s="572">
        <v>290.79399999999998</v>
      </c>
    </row>
    <row r="6993" spans="1:3">
      <c r="A6993" s="571" t="s">
        <v>345</v>
      </c>
      <c r="B6993" s="572">
        <v>23.9864</v>
      </c>
      <c r="C6993" s="572">
        <v>295.10399999999998</v>
      </c>
    </row>
    <row r="6994" spans="1:3">
      <c r="A6994" s="571" t="s">
        <v>345</v>
      </c>
      <c r="B6994" s="572">
        <v>24.825600000000001</v>
      </c>
      <c r="C6994" s="572">
        <v>301.15199999999999</v>
      </c>
    </row>
    <row r="6995" spans="1:3">
      <c r="A6995" s="571" t="s">
        <v>345</v>
      </c>
      <c r="B6995" s="572">
        <v>25.6267</v>
      </c>
      <c r="C6995" s="572">
        <v>304.59800000000001</v>
      </c>
    </row>
    <row r="6996" spans="1:3">
      <c r="A6996" s="571" t="s">
        <v>345</v>
      </c>
      <c r="B6996" s="572">
        <v>26.389600000000002</v>
      </c>
      <c r="C6996" s="572">
        <v>308.04500000000002</v>
      </c>
    </row>
    <row r="6997" spans="1:3">
      <c r="A6997" s="571" t="s">
        <v>345</v>
      </c>
      <c r="B6997" s="572">
        <v>27.0763</v>
      </c>
      <c r="C6997" s="572">
        <v>311.49400000000003</v>
      </c>
    </row>
    <row r="6998" spans="1:3">
      <c r="A6998" s="48" t="s">
        <v>346</v>
      </c>
      <c r="B6998" s="549">
        <v>-4.6321999999999974E-2</v>
      </c>
      <c r="C6998" s="549">
        <v>1.7058</v>
      </c>
    </row>
    <row r="6999" spans="1:3">
      <c r="A6999" s="571" t="s">
        <v>346</v>
      </c>
      <c r="B6999" s="572">
        <v>0.25886000000000009</v>
      </c>
      <c r="C6999" s="572">
        <v>16.446899999999999</v>
      </c>
    </row>
    <row r="7000" spans="1:3">
      <c r="A7000" s="571" t="s">
        <v>346</v>
      </c>
      <c r="B7000" s="572">
        <v>0.60217999999999994</v>
      </c>
      <c r="C7000" s="572">
        <v>30.319099999999999</v>
      </c>
    </row>
    <row r="7001" spans="1:3">
      <c r="A7001" s="571" t="s">
        <v>346</v>
      </c>
      <c r="B7001" s="572">
        <v>1.1743899999999998</v>
      </c>
      <c r="C7001" s="572">
        <v>43.316600000000001</v>
      </c>
    </row>
    <row r="7002" spans="1:3">
      <c r="A7002" s="571" t="s">
        <v>346</v>
      </c>
      <c r="B7002" s="572">
        <v>1.7465899999999999</v>
      </c>
      <c r="C7002" s="572">
        <v>51.9756</v>
      </c>
    </row>
    <row r="7003" spans="1:3">
      <c r="A7003" s="571" t="s">
        <v>346</v>
      </c>
      <c r="B7003" s="572">
        <v>2.2806500000000001</v>
      </c>
      <c r="C7003" s="572">
        <v>64.1066</v>
      </c>
    </row>
    <row r="7004" spans="1:3">
      <c r="A7004" s="571" t="s">
        <v>346</v>
      </c>
      <c r="B7004" s="572">
        <v>2.9672999999999998</v>
      </c>
      <c r="C7004" s="572">
        <v>72.762100000000004</v>
      </c>
    </row>
    <row r="7005" spans="1:3">
      <c r="A7005" s="571" t="s">
        <v>346</v>
      </c>
      <c r="B7005" s="572">
        <v>3.6920999999999999</v>
      </c>
      <c r="C7005" s="572">
        <v>78.813400000000001</v>
      </c>
    </row>
    <row r="7006" spans="1:3">
      <c r="A7006" s="571" t="s">
        <v>346</v>
      </c>
      <c r="B7006" s="572">
        <v>4.3024500000000003</v>
      </c>
      <c r="C7006" s="572">
        <v>89.206599999999995</v>
      </c>
    </row>
    <row r="7007" spans="1:3">
      <c r="A7007" s="571" t="s">
        <v>346</v>
      </c>
      <c r="B7007" s="572">
        <v>4.8365099999999996</v>
      </c>
      <c r="C7007" s="572">
        <v>96.999200000000002</v>
      </c>
    </row>
    <row r="7008" spans="1:3">
      <c r="A7008" s="571" t="s">
        <v>346</v>
      </c>
      <c r="B7008" s="572">
        <v>5.2942799999999997</v>
      </c>
      <c r="C7008" s="572">
        <v>104.794</v>
      </c>
    </row>
    <row r="7009" spans="1:3">
      <c r="A7009" s="571" t="s">
        <v>346</v>
      </c>
      <c r="B7009" s="572">
        <v>5.90463</v>
      </c>
      <c r="C7009" s="572">
        <v>111.717</v>
      </c>
    </row>
    <row r="7010" spans="1:3">
      <c r="A7010" s="571" t="s">
        <v>346</v>
      </c>
      <c r="B7010" s="572">
        <v>6.5531300000000003</v>
      </c>
      <c r="C7010" s="572">
        <v>117.77</v>
      </c>
    </row>
    <row r="7011" spans="1:3">
      <c r="A7011" s="571" t="s">
        <v>346</v>
      </c>
      <c r="B7011" s="572">
        <v>7.3160799999999995</v>
      </c>
      <c r="C7011" s="572">
        <v>128.15899999999999</v>
      </c>
    </row>
    <row r="7012" spans="1:3">
      <c r="A7012" s="571" t="s">
        <v>346</v>
      </c>
      <c r="B7012" s="572">
        <v>7.9645799999999998</v>
      </c>
      <c r="C7012" s="572">
        <v>135.08000000000001</v>
      </c>
    </row>
    <row r="7013" spans="1:3">
      <c r="A7013" s="571" t="s">
        <v>346</v>
      </c>
      <c r="B7013" s="572">
        <v>8.8038100000000004</v>
      </c>
      <c r="C7013" s="572">
        <v>140.26</v>
      </c>
    </row>
    <row r="7014" spans="1:3">
      <c r="A7014" s="571" t="s">
        <v>346</v>
      </c>
      <c r="B7014" s="572">
        <v>9.6049000000000007</v>
      </c>
      <c r="C7014" s="572">
        <v>149.78</v>
      </c>
    </row>
    <row r="7015" spans="1:3">
      <c r="A7015" s="571" t="s">
        <v>346</v>
      </c>
      <c r="B7015" s="572">
        <v>10.291600000000001</v>
      </c>
      <c r="C7015" s="572">
        <v>155.83199999999999</v>
      </c>
    </row>
    <row r="7016" spans="1:3">
      <c r="A7016" s="571" t="s">
        <v>346</v>
      </c>
      <c r="B7016" s="572">
        <v>11.092599999999999</v>
      </c>
      <c r="C7016" s="572">
        <v>163.61699999999999</v>
      </c>
    </row>
    <row r="7017" spans="1:3">
      <c r="A7017" s="571" t="s">
        <v>346</v>
      </c>
      <c r="B7017" s="572">
        <v>11.702999999999999</v>
      </c>
      <c r="C7017" s="572">
        <v>172.274</v>
      </c>
    </row>
    <row r="7018" spans="1:3">
      <c r="A7018" s="571" t="s">
        <v>346</v>
      </c>
      <c r="B7018" s="572">
        <v>12.3515</v>
      </c>
      <c r="C7018" s="572">
        <v>179.196</v>
      </c>
    </row>
    <row r="7019" spans="1:3">
      <c r="A7019" s="571" t="s">
        <v>346</v>
      </c>
      <c r="B7019" s="572">
        <v>12.9619</v>
      </c>
      <c r="C7019" s="572">
        <v>183.51499999999999</v>
      </c>
    </row>
    <row r="7020" spans="1:3">
      <c r="A7020" s="571" t="s">
        <v>346</v>
      </c>
      <c r="B7020" s="572">
        <v>13.7248</v>
      </c>
      <c r="C7020" s="572">
        <v>188.69800000000001</v>
      </c>
    </row>
    <row r="7021" spans="1:3">
      <c r="A7021" s="571" t="s">
        <v>346</v>
      </c>
      <c r="B7021" s="572">
        <v>14.4496</v>
      </c>
      <c r="C7021" s="572">
        <v>194.749</v>
      </c>
    </row>
    <row r="7022" spans="1:3">
      <c r="A7022" s="571" t="s">
        <v>346</v>
      </c>
      <c r="B7022" s="572">
        <v>15.021799999999999</v>
      </c>
      <c r="C7022" s="572">
        <v>201.673</v>
      </c>
    </row>
    <row r="7023" spans="1:3">
      <c r="A7023" s="571" t="s">
        <v>346</v>
      </c>
      <c r="B7023" s="572">
        <v>15.861000000000001</v>
      </c>
      <c r="C7023" s="572">
        <v>209.45599999999999</v>
      </c>
    </row>
    <row r="7024" spans="1:3">
      <c r="A7024" s="571" t="s">
        <v>346</v>
      </c>
      <c r="B7024" s="572">
        <v>16.585799999999999</v>
      </c>
      <c r="C7024" s="572">
        <v>218.97800000000001</v>
      </c>
    </row>
    <row r="7025" spans="1:3">
      <c r="A7025" s="571" t="s">
        <v>346</v>
      </c>
      <c r="B7025" s="572">
        <v>17.348800000000001</v>
      </c>
      <c r="C7025" s="572">
        <v>224.16</v>
      </c>
    </row>
    <row r="7026" spans="1:3">
      <c r="A7026" s="571" t="s">
        <v>346</v>
      </c>
      <c r="B7026" s="572">
        <v>18.111699999999999</v>
      </c>
      <c r="C7026" s="572">
        <v>230.21</v>
      </c>
    </row>
    <row r="7027" spans="1:3">
      <c r="A7027" s="571" t="s">
        <v>346</v>
      </c>
      <c r="B7027" s="572">
        <v>19.027200000000001</v>
      </c>
      <c r="C7027" s="572">
        <v>233.65299999999999</v>
      </c>
    </row>
    <row r="7028" spans="1:3">
      <c r="A7028" s="571" t="s">
        <v>346</v>
      </c>
      <c r="B7028" s="572">
        <v>19.790199999999999</v>
      </c>
      <c r="C7028" s="572">
        <v>240.57</v>
      </c>
    </row>
    <row r="7029" spans="1:3">
      <c r="A7029" s="571" t="s">
        <v>346</v>
      </c>
      <c r="B7029" s="572">
        <v>20.515000000000001</v>
      </c>
      <c r="C7029" s="572">
        <v>245.75399999999999</v>
      </c>
    </row>
    <row r="7030" spans="1:3">
      <c r="A7030" s="571" t="s">
        <v>346</v>
      </c>
      <c r="B7030" s="572">
        <v>21.316099999999999</v>
      </c>
      <c r="C7030" s="572">
        <v>254.40600000000001</v>
      </c>
    </row>
    <row r="7031" spans="1:3">
      <c r="A7031" s="571" t="s">
        <v>346</v>
      </c>
      <c r="B7031" s="572">
        <v>22.079000000000001</v>
      </c>
      <c r="C7031" s="572">
        <v>259.589</v>
      </c>
    </row>
    <row r="7032" spans="1:3">
      <c r="A7032" s="571" t="s">
        <v>346</v>
      </c>
      <c r="B7032" s="572">
        <v>22.994599999999998</v>
      </c>
      <c r="C7032" s="572">
        <v>264.76600000000002</v>
      </c>
    </row>
    <row r="7033" spans="1:3">
      <c r="A7033" s="571" t="s">
        <v>346</v>
      </c>
      <c r="B7033" s="572">
        <v>23.7575</v>
      </c>
      <c r="C7033" s="572">
        <v>270.81599999999997</v>
      </c>
    </row>
    <row r="7034" spans="1:3">
      <c r="A7034" s="571" t="s">
        <v>346</v>
      </c>
      <c r="B7034" s="572">
        <v>24.596699999999998</v>
      </c>
      <c r="C7034" s="572">
        <v>273.39299999999997</v>
      </c>
    </row>
    <row r="7035" spans="1:3">
      <c r="A7035" s="571" t="s">
        <v>346</v>
      </c>
      <c r="B7035" s="572">
        <v>25.436</v>
      </c>
      <c r="C7035" s="572">
        <v>277.70600000000002</v>
      </c>
    </row>
    <row r="7036" spans="1:3">
      <c r="A7036" s="571" t="s">
        <v>346</v>
      </c>
      <c r="B7036" s="572">
        <v>26.122599999999998</v>
      </c>
      <c r="C7036" s="572">
        <v>280.28699999999998</v>
      </c>
    </row>
    <row r="7037" spans="1:3">
      <c r="A7037" s="571" t="s">
        <v>346</v>
      </c>
      <c r="B7037" s="572">
        <v>26.733000000000001</v>
      </c>
      <c r="C7037" s="572">
        <v>282.87200000000001</v>
      </c>
    </row>
    <row r="7038" spans="1:3">
      <c r="A7038" s="571" t="s">
        <v>346</v>
      </c>
      <c r="B7038" s="572">
        <v>27.1526</v>
      </c>
      <c r="C7038" s="572">
        <v>286.32900000000001</v>
      </c>
    </row>
    <row r="7039" spans="1:3">
      <c r="A7039" s="571" t="s">
        <v>347</v>
      </c>
      <c r="B7039" s="572">
        <v>2.5723500000000001</v>
      </c>
      <c r="C7039" s="572">
        <v>2.5723500000000001</v>
      </c>
    </row>
    <row r="7040" spans="1:3">
      <c r="A7040" s="571" t="s">
        <v>347</v>
      </c>
      <c r="B7040" s="572">
        <v>2.5723500000000001</v>
      </c>
      <c r="C7040" s="572">
        <v>2.5723500000000001</v>
      </c>
    </row>
    <row r="7041" spans="1:3">
      <c r="A7041" s="571" t="s">
        <v>347</v>
      </c>
      <c r="B7041" s="572">
        <v>5.1446899999999998</v>
      </c>
      <c r="C7041" s="572">
        <v>203.846</v>
      </c>
    </row>
    <row r="7042" spans="1:3">
      <c r="A7042" s="571" t="s">
        <v>347</v>
      </c>
      <c r="B7042" s="572">
        <v>7.7170399999999999</v>
      </c>
      <c r="C7042" s="572">
        <v>38.461500000000001</v>
      </c>
    </row>
    <row r="7043" spans="1:3">
      <c r="A7043" s="571" t="s">
        <v>347</v>
      </c>
      <c r="B7043" s="572">
        <v>7.7170399999999999</v>
      </c>
      <c r="C7043" s="572">
        <v>38.461500000000001</v>
      </c>
    </row>
    <row r="7044" spans="1:3">
      <c r="A7044" s="571" t="s">
        <v>347</v>
      </c>
      <c r="B7044" s="572">
        <v>10.289400000000001</v>
      </c>
      <c r="C7044" s="572">
        <v>276.923</v>
      </c>
    </row>
    <row r="7045" spans="1:3">
      <c r="A7045" s="571" t="s">
        <v>347</v>
      </c>
      <c r="B7045" s="572">
        <v>12.861700000000001</v>
      </c>
      <c r="C7045" s="572">
        <v>315.38499999999999</v>
      </c>
    </row>
    <row r="7046" spans="1:3">
      <c r="A7046" s="571" t="s">
        <v>347</v>
      </c>
      <c r="B7046" s="572">
        <v>15.434100000000001</v>
      </c>
      <c r="C7046" s="572">
        <v>330.76900000000001</v>
      </c>
    </row>
    <row r="7047" spans="1:3">
      <c r="A7047" s="571" t="s">
        <v>347</v>
      </c>
      <c r="B7047" s="572">
        <v>20.578800000000001</v>
      </c>
      <c r="C7047" s="572">
        <v>357.69200000000001</v>
      </c>
    </row>
    <row r="7048" spans="1:3">
      <c r="A7048" s="571" t="s">
        <v>347</v>
      </c>
      <c r="B7048" s="572">
        <v>23.1511</v>
      </c>
      <c r="C7048" s="572">
        <v>373.077</v>
      </c>
    </row>
    <row r="7049" spans="1:3">
      <c r="A7049" s="571" t="s">
        <v>347</v>
      </c>
      <c r="B7049" s="572">
        <v>25.723500000000001</v>
      </c>
      <c r="C7049" s="572">
        <v>384.61500000000001</v>
      </c>
    </row>
    <row r="7050" spans="1:3">
      <c r="A7050" s="571" t="s">
        <v>347</v>
      </c>
      <c r="B7050" s="572">
        <v>33.4405</v>
      </c>
      <c r="C7050" s="572">
        <v>403.846</v>
      </c>
    </row>
    <row r="7051" spans="1:3">
      <c r="A7051" s="571" t="s">
        <v>347</v>
      </c>
      <c r="B7051" s="572">
        <v>43.729900000000001</v>
      </c>
      <c r="C7051" s="572">
        <v>423.077</v>
      </c>
    </row>
    <row r="7052" spans="1:3">
      <c r="A7052" s="571" t="s">
        <v>347</v>
      </c>
      <c r="B7052" s="572">
        <v>56.5916</v>
      </c>
      <c r="C7052" s="572">
        <v>423.077</v>
      </c>
    </row>
    <row r="7053" spans="1:3">
      <c r="A7053" s="571" t="s">
        <v>347</v>
      </c>
      <c r="B7053" s="572">
        <v>72.025700000000001</v>
      </c>
      <c r="C7053" s="572">
        <v>442.30799999999999</v>
      </c>
    </row>
    <row r="7054" spans="1:3">
      <c r="A7054" s="571" t="s">
        <v>347</v>
      </c>
      <c r="B7054" s="572">
        <v>87.459800000000001</v>
      </c>
      <c r="C7054" s="572">
        <v>450</v>
      </c>
    </row>
    <row r="7055" spans="1:3">
      <c r="A7055" s="571" t="s">
        <v>347</v>
      </c>
      <c r="B7055" s="572">
        <v>95.1768</v>
      </c>
      <c r="C7055" s="572">
        <v>438.46199999999999</v>
      </c>
    </row>
    <row r="7056" spans="1:3">
      <c r="A7056" s="573" t="s">
        <v>347</v>
      </c>
      <c r="B7056" s="574">
        <v>108.039</v>
      </c>
      <c r="C7056" s="574">
        <v>450</v>
      </c>
    </row>
    <row r="7057" spans="1:3">
      <c r="A7057" s="573" t="s">
        <v>347</v>
      </c>
      <c r="B7057" s="574">
        <v>118.328</v>
      </c>
      <c r="C7057" s="574">
        <v>457.69200000000001</v>
      </c>
    </row>
    <row r="7058" spans="1:3">
      <c r="A7058" s="573" t="s">
        <v>347</v>
      </c>
      <c r="B7058" s="574">
        <v>131.19</v>
      </c>
      <c r="C7058" s="574">
        <v>465.38499999999999</v>
      </c>
    </row>
    <row r="7059" spans="1:3">
      <c r="A7059" s="573" t="s">
        <v>347</v>
      </c>
      <c r="B7059" s="574">
        <v>146.624</v>
      </c>
      <c r="C7059" s="574">
        <v>473.077</v>
      </c>
    </row>
    <row r="7060" spans="1:3">
      <c r="A7060" s="573" t="s">
        <v>347</v>
      </c>
      <c r="B7060" s="574">
        <v>162.05799999999999</v>
      </c>
      <c r="C7060" s="574">
        <v>473.077</v>
      </c>
    </row>
    <row r="7061" spans="1:3">
      <c r="A7061" s="573" t="s">
        <v>347</v>
      </c>
      <c r="B7061" s="574">
        <v>177.49199999999999</v>
      </c>
      <c r="C7061" s="574">
        <v>473.077</v>
      </c>
    </row>
    <row r="7062" spans="1:3">
      <c r="A7062" s="573" t="s">
        <v>347</v>
      </c>
      <c r="B7062" s="574">
        <v>195.49799999999999</v>
      </c>
      <c r="C7062" s="574">
        <v>476.923</v>
      </c>
    </row>
    <row r="7063" spans="1:3">
      <c r="A7063" s="573" t="s">
        <v>347</v>
      </c>
      <c r="B7063" s="574">
        <v>226.36699999999999</v>
      </c>
      <c r="C7063" s="574">
        <v>484.61500000000001</v>
      </c>
    </row>
    <row r="7064" spans="1:3">
      <c r="A7064" s="573" t="s">
        <v>347</v>
      </c>
      <c r="B7064" s="574">
        <v>254.66200000000001</v>
      </c>
      <c r="C7064" s="574">
        <v>484.61500000000001</v>
      </c>
    </row>
    <row r="7065" spans="1:3">
      <c r="A7065" s="573" t="s">
        <v>347</v>
      </c>
      <c r="B7065" s="574">
        <v>277.81400000000002</v>
      </c>
      <c r="C7065" s="574">
        <v>484.61500000000001</v>
      </c>
    </row>
    <row r="7066" spans="1:3">
      <c r="A7066" s="573" t="s">
        <v>347</v>
      </c>
      <c r="B7066" s="574">
        <v>300.96499999999997</v>
      </c>
      <c r="C7066" s="574">
        <v>500</v>
      </c>
    </row>
    <row r="7067" spans="1:3">
      <c r="A7067" s="573" t="s">
        <v>347</v>
      </c>
      <c r="B7067" s="574">
        <v>365.27300000000002</v>
      </c>
      <c r="C7067" s="574">
        <v>500</v>
      </c>
    </row>
    <row r="7068" spans="1:3">
      <c r="A7068" s="573" t="s">
        <v>347</v>
      </c>
      <c r="B7068" s="574">
        <v>414.14800000000002</v>
      </c>
      <c r="C7068" s="574">
        <v>503.846</v>
      </c>
    </row>
    <row r="7069" spans="1:3">
      <c r="A7069" s="569" t="s">
        <v>347</v>
      </c>
      <c r="B7069" s="570">
        <v>586.495</v>
      </c>
      <c r="C7069" s="570">
        <v>530.76900000000001</v>
      </c>
    </row>
    <row r="7070" spans="1:3">
      <c r="A7070" s="571" t="s">
        <v>348</v>
      </c>
      <c r="B7070" s="572">
        <v>5.1446899999999998</v>
      </c>
      <c r="C7070" s="572">
        <v>11.538500000000001</v>
      </c>
    </row>
    <row r="7071" spans="1:3">
      <c r="A7071" s="571" t="s">
        <v>348</v>
      </c>
      <c r="B7071" s="572">
        <v>7.7170399999999999</v>
      </c>
      <c r="C7071" s="572">
        <v>34.615400000000001</v>
      </c>
    </row>
    <row r="7072" spans="1:3">
      <c r="A7072" s="571" t="s">
        <v>348</v>
      </c>
      <c r="B7072" s="572">
        <v>18.006399999999999</v>
      </c>
      <c r="C7072" s="572">
        <v>76.923100000000005</v>
      </c>
    </row>
    <row r="7073" spans="1:3">
      <c r="A7073" s="571" t="s">
        <v>348</v>
      </c>
      <c r="B7073" s="572">
        <v>28.2958</v>
      </c>
      <c r="C7073" s="572">
        <v>103.846</v>
      </c>
    </row>
    <row r="7074" spans="1:3">
      <c r="A7074" s="571" t="s">
        <v>348</v>
      </c>
      <c r="B7074" s="572">
        <v>38.5852</v>
      </c>
      <c r="C7074" s="572">
        <v>111.538</v>
      </c>
    </row>
    <row r="7075" spans="1:3">
      <c r="A7075" s="571" t="s">
        <v>348</v>
      </c>
      <c r="B7075" s="572">
        <v>48.874600000000001</v>
      </c>
      <c r="C7075" s="572">
        <v>126.923</v>
      </c>
    </row>
    <row r="7076" spans="1:3">
      <c r="A7076" s="571" t="s">
        <v>348</v>
      </c>
      <c r="B7076" s="572">
        <v>59.164000000000001</v>
      </c>
      <c r="C7076" s="572">
        <v>130.76900000000001</v>
      </c>
    </row>
    <row r="7077" spans="1:3">
      <c r="A7077" s="571" t="s">
        <v>348</v>
      </c>
      <c r="B7077" s="572">
        <v>72.025700000000001</v>
      </c>
      <c r="C7077" s="572">
        <v>134.61500000000001</v>
      </c>
    </row>
    <row r="7078" spans="1:3">
      <c r="A7078" s="571" t="s">
        <v>348</v>
      </c>
      <c r="B7078" s="572">
        <v>79.742800000000003</v>
      </c>
      <c r="C7078" s="572">
        <v>142.30799999999999</v>
      </c>
    </row>
    <row r="7079" spans="1:3">
      <c r="A7079" s="571" t="s">
        <v>348</v>
      </c>
      <c r="B7079" s="572">
        <v>95.1768</v>
      </c>
      <c r="C7079" s="572">
        <v>142.30799999999999</v>
      </c>
    </row>
    <row r="7080" spans="1:3">
      <c r="A7080" s="573" t="s">
        <v>348</v>
      </c>
      <c r="B7080" s="574">
        <v>105.46599999999999</v>
      </c>
      <c r="C7080" s="574">
        <v>142.30799999999999</v>
      </c>
    </row>
    <row r="7081" spans="1:3">
      <c r="A7081" s="573" t="s">
        <v>348</v>
      </c>
      <c r="B7081" s="574">
        <v>126.045</v>
      </c>
      <c r="C7081" s="574">
        <v>150</v>
      </c>
    </row>
    <row r="7082" spans="1:3">
      <c r="A7082" s="573" t="s">
        <v>348</v>
      </c>
      <c r="B7082" s="574">
        <v>144.05099999999999</v>
      </c>
      <c r="C7082" s="574">
        <v>157.69200000000001</v>
      </c>
    </row>
    <row r="7083" spans="1:3">
      <c r="A7083" s="573" t="s">
        <v>348</v>
      </c>
      <c r="B7083" s="574">
        <v>159.48599999999999</v>
      </c>
      <c r="C7083" s="574">
        <v>161.53800000000001</v>
      </c>
    </row>
    <row r="7084" spans="1:3">
      <c r="A7084" s="573" t="s">
        <v>348</v>
      </c>
      <c r="B7084" s="574">
        <v>177.49199999999999</v>
      </c>
      <c r="C7084" s="574">
        <v>165.38499999999999</v>
      </c>
    </row>
    <row r="7085" spans="1:3">
      <c r="A7085" s="573" t="s">
        <v>348</v>
      </c>
      <c r="B7085" s="574">
        <v>198.071</v>
      </c>
      <c r="C7085" s="574">
        <v>165.38499999999999</v>
      </c>
    </row>
    <row r="7086" spans="1:3">
      <c r="A7086" s="573" t="s">
        <v>348</v>
      </c>
      <c r="B7086" s="574">
        <v>226.36699999999999</v>
      </c>
      <c r="C7086" s="574">
        <v>173.077</v>
      </c>
    </row>
    <row r="7087" spans="1:3">
      <c r="A7087" s="573" t="s">
        <v>348</v>
      </c>
      <c r="B7087" s="574">
        <v>254.66200000000001</v>
      </c>
      <c r="C7087" s="574">
        <v>173.077</v>
      </c>
    </row>
    <row r="7088" spans="1:3">
      <c r="A7088" s="573" t="s">
        <v>348</v>
      </c>
      <c r="B7088" s="574">
        <v>277.81400000000002</v>
      </c>
      <c r="C7088" s="574">
        <v>176.923</v>
      </c>
    </row>
    <row r="7089" spans="1:3">
      <c r="A7089" s="573" t="s">
        <v>348</v>
      </c>
      <c r="B7089" s="574">
        <v>298.392</v>
      </c>
      <c r="C7089" s="574">
        <v>176.923</v>
      </c>
    </row>
    <row r="7090" spans="1:3">
      <c r="A7090" s="573" t="s">
        <v>348</v>
      </c>
      <c r="B7090" s="574">
        <v>367.846</v>
      </c>
      <c r="C7090" s="574">
        <v>184.61500000000001</v>
      </c>
    </row>
    <row r="7091" spans="1:3">
      <c r="A7091" s="573" t="s">
        <v>348</v>
      </c>
      <c r="B7091" s="574">
        <v>414.14800000000002</v>
      </c>
      <c r="C7091" s="574">
        <v>188.46199999999999</v>
      </c>
    </row>
    <row r="7092" spans="1:3">
      <c r="A7092" s="569" t="s">
        <v>348</v>
      </c>
      <c r="B7092" s="570">
        <v>586.495</v>
      </c>
      <c r="C7092" s="570">
        <v>200</v>
      </c>
    </row>
    <row r="7093" spans="1:3">
      <c r="A7093" s="571" t="s">
        <v>349</v>
      </c>
      <c r="B7093" s="572">
        <v>2.8400000000000001E-14</v>
      </c>
      <c r="C7093" s="572">
        <v>2.8400000000000001E-14</v>
      </c>
    </row>
    <row r="7094" spans="1:3">
      <c r="A7094" s="571" t="s">
        <v>349</v>
      </c>
      <c r="B7094" s="572">
        <v>2.53165</v>
      </c>
      <c r="C7094" s="572">
        <v>203.226</v>
      </c>
    </row>
    <row r="7095" spans="1:3">
      <c r="A7095" s="571" t="s">
        <v>349</v>
      </c>
      <c r="B7095" s="572">
        <v>5.0632900000000003</v>
      </c>
      <c r="C7095" s="572">
        <v>244.624</v>
      </c>
    </row>
    <row r="7096" spans="1:3">
      <c r="A7096" s="571" t="s">
        <v>349</v>
      </c>
      <c r="B7096" s="572">
        <v>10.1266</v>
      </c>
      <c r="C7096" s="572">
        <v>278.495</v>
      </c>
    </row>
    <row r="7097" spans="1:3">
      <c r="A7097" s="571" t="s">
        <v>349</v>
      </c>
      <c r="B7097" s="572">
        <v>12.658200000000001</v>
      </c>
      <c r="C7097" s="572">
        <v>316.12900000000002</v>
      </c>
    </row>
    <row r="7098" spans="1:3">
      <c r="A7098" s="571" t="s">
        <v>349</v>
      </c>
      <c r="B7098" s="572">
        <v>17.721499999999999</v>
      </c>
      <c r="C7098" s="572">
        <v>323.65600000000001</v>
      </c>
    </row>
    <row r="7099" spans="1:3">
      <c r="A7099" s="571" t="s">
        <v>349</v>
      </c>
      <c r="B7099" s="572">
        <v>20.2532</v>
      </c>
      <c r="C7099" s="572">
        <v>353.76299999999998</v>
      </c>
    </row>
    <row r="7100" spans="1:3">
      <c r="A7100" s="571" t="s">
        <v>349</v>
      </c>
      <c r="B7100" s="572">
        <v>25.316500000000001</v>
      </c>
      <c r="C7100" s="572">
        <v>372.58100000000002</v>
      </c>
    </row>
    <row r="7101" spans="1:3">
      <c r="A7101" s="571" t="s">
        <v>349</v>
      </c>
      <c r="B7101" s="572">
        <v>27.848099999999999</v>
      </c>
      <c r="C7101" s="572">
        <v>387.63400000000001</v>
      </c>
    </row>
    <row r="7102" spans="1:3">
      <c r="A7102" s="571" t="s">
        <v>349</v>
      </c>
      <c r="B7102" s="572">
        <v>37.974699999999999</v>
      </c>
      <c r="C7102" s="572">
        <v>402.68799999999999</v>
      </c>
    </row>
    <row r="7103" spans="1:3">
      <c r="A7103" s="571" t="s">
        <v>349</v>
      </c>
      <c r="B7103" s="572">
        <v>53.1646</v>
      </c>
      <c r="C7103" s="572">
        <v>417.74200000000002</v>
      </c>
    </row>
    <row r="7104" spans="1:3">
      <c r="A7104" s="571" t="s">
        <v>349</v>
      </c>
      <c r="B7104" s="572">
        <v>63.2911</v>
      </c>
      <c r="C7104" s="572">
        <v>417.74200000000002</v>
      </c>
    </row>
    <row r="7105" spans="1:3">
      <c r="A7105" s="571" t="s">
        <v>349</v>
      </c>
      <c r="B7105" s="572">
        <v>75.949399999999997</v>
      </c>
      <c r="C7105" s="572">
        <v>429.03199999999998</v>
      </c>
    </row>
    <row r="7106" spans="1:3">
      <c r="A7106" s="571" t="s">
        <v>349</v>
      </c>
      <c r="B7106" s="572">
        <v>78.480999999999995</v>
      </c>
      <c r="C7106" s="572">
        <v>436.55900000000003</v>
      </c>
    </row>
    <row r="7107" spans="1:3">
      <c r="A7107" s="571" t="s">
        <v>349</v>
      </c>
      <c r="B7107" s="572">
        <v>96.202500000000001</v>
      </c>
      <c r="C7107" s="572">
        <v>429.03199999999998</v>
      </c>
    </row>
    <row r="7108" spans="1:3">
      <c r="A7108" s="571" t="s">
        <v>349</v>
      </c>
      <c r="B7108" s="572">
        <v>98.734200000000001</v>
      </c>
      <c r="C7108" s="572">
        <v>440.32299999999998</v>
      </c>
    </row>
    <row r="7109" spans="1:3">
      <c r="A7109" s="573" t="s">
        <v>349</v>
      </c>
      <c r="B7109" s="574">
        <v>111.392</v>
      </c>
      <c r="C7109" s="574">
        <v>451.613</v>
      </c>
    </row>
    <row r="7110" spans="1:3">
      <c r="A7110" s="573" t="s">
        <v>349</v>
      </c>
      <c r="B7110" s="574">
        <v>126.58199999999999</v>
      </c>
      <c r="C7110" s="574">
        <v>459.14</v>
      </c>
    </row>
    <row r="7111" spans="1:3">
      <c r="A7111" s="573" t="s">
        <v>349</v>
      </c>
      <c r="B7111" s="574">
        <v>144.304</v>
      </c>
      <c r="C7111" s="574">
        <v>466.66699999999997</v>
      </c>
    </row>
    <row r="7112" spans="1:3">
      <c r="A7112" s="573" t="s">
        <v>349</v>
      </c>
      <c r="B7112" s="574">
        <v>159.494</v>
      </c>
      <c r="C7112" s="574">
        <v>474.19400000000002</v>
      </c>
    </row>
    <row r="7113" spans="1:3">
      <c r="A7113" s="573" t="s">
        <v>349</v>
      </c>
      <c r="B7113" s="574">
        <v>172.15199999999999</v>
      </c>
      <c r="C7113" s="574">
        <v>477.95699999999999</v>
      </c>
    </row>
    <row r="7114" spans="1:3">
      <c r="A7114" s="573" t="s">
        <v>349</v>
      </c>
      <c r="B7114" s="574">
        <v>194.93700000000001</v>
      </c>
      <c r="C7114" s="574">
        <v>485.48399999999998</v>
      </c>
    </row>
    <row r="7115" spans="1:3">
      <c r="A7115" s="573" t="s">
        <v>349</v>
      </c>
      <c r="B7115" s="574">
        <v>227.84800000000001</v>
      </c>
      <c r="C7115" s="574">
        <v>485.48399999999998</v>
      </c>
    </row>
    <row r="7116" spans="1:3">
      <c r="A7116" s="573" t="s">
        <v>349</v>
      </c>
      <c r="B7116" s="574">
        <v>253.16499999999999</v>
      </c>
      <c r="C7116" s="574">
        <v>485.48399999999998</v>
      </c>
    </row>
    <row r="7117" spans="1:3">
      <c r="A7117" s="573" t="s">
        <v>349</v>
      </c>
      <c r="B7117" s="574">
        <v>275.94900000000001</v>
      </c>
      <c r="C7117" s="574">
        <v>500.53800000000001</v>
      </c>
    </row>
    <row r="7118" spans="1:3">
      <c r="A7118" s="573" t="s">
        <v>349</v>
      </c>
      <c r="B7118" s="574">
        <v>296.20299999999997</v>
      </c>
      <c r="C7118" s="574">
        <v>500.53800000000001</v>
      </c>
    </row>
    <row r="7119" spans="1:3">
      <c r="A7119" s="573" t="s">
        <v>349</v>
      </c>
      <c r="B7119" s="574">
        <v>364.55700000000002</v>
      </c>
      <c r="C7119" s="574">
        <v>500.53800000000001</v>
      </c>
    </row>
    <row r="7120" spans="1:3">
      <c r="A7120" s="573" t="s">
        <v>349</v>
      </c>
      <c r="B7120" s="574">
        <v>415.19</v>
      </c>
      <c r="C7120" s="574">
        <v>508.065</v>
      </c>
    </row>
    <row r="7121" spans="1:3">
      <c r="A7121" s="569" t="s">
        <v>349</v>
      </c>
      <c r="B7121" s="570">
        <v>587.34199999999998</v>
      </c>
      <c r="C7121" s="570">
        <v>526.88199999999995</v>
      </c>
    </row>
    <row r="7122" spans="1:3">
      <c r="A7122" s="48" t="s">
        <v>350</v>
      </c>
      <c r="B7122" s="549">
        <v>-2.53165</v>
      </c>
      <c r="C7122" s="549">
        <v>15.053800000000001</v>
      </c>
    </row>
    <row r="7123" spans="1:3">
      <c r="A7123" s="571" t="s">
        <v>350</v>
      </c>
      <c r="B7123" s="572">
        <v>2.53165</v>
      </c>
      <c r="C7123" s="572">
        <v>33.871000000000002</v>
      </c>
    </row>
    <row r="7124" spans="1:3">
      <c r="A7124" s="571" t="s">
        <v>350</v>
      </c>
      <c r="B7124" s="572">
        <v>5.0632900000000003</v>
      </c>
      <c r="C7124" s="572">
        <v>60.2151</v>
      </c>
    </row>
    <row r="7125" spans="1:3">
      <c r="A7125" s="571" t="s">
        <v>350</v>
      </c>
      <c r="B7125" s="572">
        <v>10.1266</v>
      </c>
      <c r="C7125" s="572">
        <v>97.849500000000006</v>
      </c>
    </row>
    <row r="7126" spans="1:3">
      <c r="A7126" s="571" t="s">
        <v>350</v>
      </c>
      <c r="B7126" s="572">
        <v>22.784800000000001</v>
      </c>
      <c r="C7126" s="572">
        <v>120.43</v>
      </c>
    </row>
    <row r="7127" spans="1:3">
      <c r="A7127" s="571" t="s">
        <v>350</v>
      </c>
      <c r="B7127" s="572">
        <v>30.3797</v>
      </c>
      <c r="C7127" s="572">
        <v>131.72</v>
      </c>
    </row>
    <row r="7128" spans="1:3">
      <c r="A7128" s="571" t="s">
        <v>350</v>
      </c>
      <c r="B7128" s="572">
        <v>43.037999999999997</v>
      </c>
      <c r="C7128" s="572">
        <v>139.24700000000001</v>
      </c>
    </row>
    <row r="7129" spans="1:3">
      <c r="A7129" s="571" t="s">
        <v>350</v>
      </c>
      <c r="B7129" s="572">
        <v>55.696199999999997</v>
      </c>
      <c r="C7129" s="572">
        <v>150.53800000000001</v>
      </c>
    </row>
    <row r="7130" spans="1:3">
      <c r="A7130" s="571" t="s">
        <v>350</v>
      </c>
      <c r="B7130" s="572">
        <v>68.354399999999998</v>
      </c>
      <c r="C7130" s="572">
        <v>158.065</v>
      </c>
    </row>
    <row r="7131" spans="1:3">
      <c r="A7131" s="571" t="s">
        <v>350</v>
      </c>
      <c r="B7131" s="572">
        <v>78.480999999999995</v>
      </c>
      <c r="C7131" s="572">
        <v>161.828</v>
      </c>
    </row>
    <row r="7132" spans="1:3">
      <c r="A7132" s="571" t="s">
        <v>350</v>
      </c>
      <c r="B7132" s="572">
        <v>93.670900000000003</v>
      </c>
      <c r="C7132" s="572">
        <v>165.59100000000001</v>
      </c>
    </row>
    <row r="7133" spans="1:3">
      <c r="A7133" s="573" t="s">
        <v>350</v>
      </c>
      <c r="B7133" s="574">
        <v>106.32899999999999</v>
      </c>
      <c r="C7133" s="574">
        <v>169.35499999999999</v>
      </c>
    </row>
    <row r="7134" spans="1:3">
      <c r="A7134" s="573" t="s">
        <v>350</v>
      </c>
      <c r="B7134" s="574">
        <v>124.051</v>
      </c>
      <c r="C7134" s="574">
        <v>176.88200000000001</v>
      </c>
    </row>
    <row r="7135" spans="1:3">
      <c r="A7135" s="573" t="s">
        <v>350</v>
      </c>
      <c r="B7135" s="574">
        <v>129.114</v>
      </c>
      <c r="C7135" s="574">
        <v>184.40899999999999</v>
      </c>
    </row>
    <row r="7136" spans="1:3">
      <c r="A7136" s="573" t="s">
        <v>350</v>
      </c>
      <c r="B7136" s="574">
        <v>144.304</v>
      </c>
      <c r="C7136" s="574">
        <v>184.40899999999999</v>
      </c>
    </row>
    <row r="7137" spans="1:3">
      <c r="A7137" s="573" t="s">
        <v>350</v>
      </c>
      <c r="B7137" s="574">
        <v>162.02500000000001</v>
      </c>
      <c r="C7137" s="574">
        <v>195.69900000000001</v>
      </c>
    </row>
    <row r="7138" spans="1:3">
      <c r="A7138" s="573" t="s">
        <v>350</v>
      </c>
      <c r="B7138" s="574">
        <v>174.684</v>
      </c>
      <c r="C7138" s="574">
        <v>199.46199999999999</v>
      </c>
    </row>
    <row r="7139" spans="1:3">
      <c r="A7139" s="573" t="s">
        <v>350</v>
      </c>
      <c r="B7139" s="574">
        <v>192.405</v>
      </c>
      <c r="C7139" s="574">
        <v>206.989</v>
      </c>
    </row>
    <row r="7140" spans="1:3">
      <c r="A7140" s="573" t="s">
        <v>350</v>
      </c>
      <c r="B7140" s="574">
        <v>227.84800000000001</v>
      </c>
      <c r="C7140" s="574">
        <v>210.75299999999999</v>
      </c>
    </row>
    <row r="7141" spans="1:3">
      <c r="A7141" s="573" t="s">
        <v>350</v>
      </c>
      <c r="B7141" s="574">
        <v>253.16499999999999</v>
      </c>
      <c r="C7141" s="574">
        <v>206.989</v>
      </c>
    </row>
    <row r="7142" spans="1:3">
      <c r="A7142" s="573" t="s">
        <v>350</v>
      </c>
      <c r="B7142" s="574">
        <v>273.41800000000001</v>
      </c>
      <c r="C7142" s="574">
        <v>210.75299999999999</v>
      </c>
    </row>
    <row r="7143" spans="1:3">
      <c r="A7143" s="573" t="s">
        <v>350</v>
      </c>
      <c r="B7143" s="574">
        <v>296.20299999999997</v>
      </c>
      <c r="C7143" s="574">
        <v>210.75299999999999</v>
      </c>
    </row>
    <row r="7144" spans="1:3">
      <c r="A7144" s="573" t="s">
        <v>350</v>
      </c>
      <c r="B7144" s="574">
        <v>367.089</v>
      </c>
      <c r="C7144" s="574">
        <v>210.75299999999999</v>
      </c>
    </row>
    <row r="7145" spans="1:3">
      <c r="A7145" s="573" t="s">
        <v>350</v>
      </c>
      <c r="B7145" s="574">
        <v>412.65800000000002</v>
      </c>
      <c r="C7145" s="574">
        <v>218.28</v>
      </c>
    </row>
    <row r="7146" spans="1:3">
      <c r="A7146" s="569" t="s">
        <v>350</v>
      </c>
      <c r="B7146" s="570">
        <v>584.80999999999995</v>
      </c>
      <c r="C7146" s="570">
        <v>233.333</v>
      </c>
    </row>
    <row r="7147" spans="1:3">
      <c r="A7147" s="571" t="s">
        <v>351</v>
      </c>
      <c r="B7147" s="572">
        <v>5.0955399999999997</v>
      </c>
      <c r="C7147" s="572">
        <v>61.202199999999998</v>
      </c>
    </row>
    <row r="7148" spans="1:3">
      <c r="A7148" s="571" t="s">
        <v>351</v>
      </c>
      <c r="B7148" s="572">
        <v>7.6433099999999996</v>
      </c>
      <c r="C7148" s="572">
        <v>237.15799999999999</v>
      </c>
    </row>
    <row r="7149" spans="1:3">
      <c r="A7149" s="571" t="s">
        <v>351</v>
      </c>
      <c r="B7149" s="572">
        <v>10.1911</v>
      </c>
      <c r="C7149" s="572">
        <v>260.10899999999998</v>
      </c>
    </row>
    <row r="7150" spans="1:3">
      <c r="A7150" s="571" t="s">
        <v>351</v>
      </c>
      <c r="B7150" s="572">
        <v>12.738899999999999</v>
      </c>
      <c r="C7150" s="572">
        <v>279.23500000000001</v>
      </c>
    </row>
    <row r="7151" spans="1:3">
      <c r="A7151" s="571" t="s">
        <v>351</v>
      </c>
      <c r="B7151" s="572">
        <v>17.834399999999999</v>
      </c>
      <c r="C7151" s="572">
        <v>298.36099999999999</v>
      </c>
    </row>
    <row r="7152" spans="1:3">
      <c r="A7152" s="571" t="s">
        <v>351</v>
      </c>
      <c r="B7152" s="572">
        <v>20.382200000000001</v>
      </c>
      <c r="C7152" s="572">
        <v>325.137</v>
      </c>
    </row>
    <row r="7153" spans="1:3">
      <c r="A7153" s="571" t="s">
        <v>351</v>
      </c>
      <c r="B7153" s="572">
        <v>25.477699999999999</v>
      </c>
      <c r="C7153" s="572">
        <v>363.38799999999998</v>
      </c>
    </row>
    <row r="7154" spans="1:3">
      <c r="A7154" s="571" t="s">
        <v>351</v>
      </c>
      <c r="B7154" s="572">
        <v>40.764299999999999</v>
      </c>
      <c r="C7154" s="572">
        <v>378.68900000000002</v>
      </c>
    </row>
    <row r="7155" spans="1:3">
      <c r="A7155" s="571" t="s">
        <v>351</v>
      </c>
      <c r="B7155" s="572">
        <v>63.694299999999998</v>
      </c>
      <c r="C7155" s="572">
        <v>382.51400000000001</v>
      </c>
    </row>
    <row r="7156" spans="1:3">
      <c r="A7156" s="571" t="s">
        <v>351</v>
      </c>
      <c r="B7156" s="572">
        <v>73.885400000000004</v>
      </c>
      <c r="C7156" s="572">
        <v>393.98899999999998</v>
      </c>
    </row>
    <row r="7157" spans="1:3">
      <c r="A7157" s="571" t="s">
        <v>351</v>
      </c>
      <c r="B7157" s="572">
        <v>84.076400000000007</v>
      </c>
      <c r="C7157" s="572">
        <v>397.81400000000002</v>
      </c>
    </row>
    <row r="7158" spans="1:3">
      <c r="A7158" s="571" t="s">
        <v>351</v>
      </c>
      <c r="B7158" s="572">
        <v>91.719700000000003</v>
      </c>
      <c r="C7158" s="572">
        <v>413.11500000000001</v>
      </c>
    </row>
    <row r="7159" spans="1:3">
      <c r="A7159" s="573" t="s">
        <v>351</v>
      </c>
      <c r="B7159" s="574">
        <v>109.554</v>
      </c>
      <c r="C7159" s="574">
        <v>420.76499999999999</v>
      </c>
    </row>
    <row r="7160" spans="1:3">
      <c r="A7160" s="573" t="s">
        <v>351</v>
      </c>
      <c r="B7160" s="574">
        <v>117.197</v>
      </c>
      <c r="C7160" s="574">
        <v>436.06599999999997</v>
      </c>
    </row>
    <row r="7161" spans="1:3">
      <c r="A7161" s="573" t="s">
        <v>351</v>
      </c>
      <c r="B7161" s="574">
        <v>127.389</v>
      </c>
      <c r="C7161" s="574">
        <v>447.541</v>
      </c>
    </row>
    <row r="7162" spans="1:3">
      <c r="A7162" s="573" t="s">
        <v>351</v>
      </c>
      <c r="B7162" s="574">
        <v>147.77099999999999</v>
      </c>
      <c r="C7162" s="574">
        <v>451.36599999999999</v>
      </c>
    </row>
    <row r="7163" spans="1:3">
      <c r="A7163" s="573" t="s">
        <v>351</v>
      </c>
      <c r="B7163" s="574">
        <v>157.96199999999999</v>
      </c>
      <c r="C7163" s="574">
        <v>451.36599999999999</v>
      </c>
    </row>
    <row r="7164" spans="1:3">
      <c r="A7164" s="573" t="s">
        <v>351</v>
      </c>
      <c r="B7164" s="574">
        <v>173.24799999999999</v>
      </c>
      <c r="C7164" s="574">
        <v>459.01600000000002</v>
      </c>
    </row>
    <row r="7165" spans="1:3">
      <c r="A7165" s="573" t="s">
        <v>351</v>
      </c>
      <c r="B7165" s="574">
        <v>193.631</v>
      </c>
      <c r="C7165" s="574">
        <v>466.66699999999997</v>
      </c>
    </row>
    <row r="7166" spans="1:3">
      <c r="A7166" s="573" t="s">
        <v>351</v>
      </c>
      <c r="B7166" s="574">
        <v>226.75200000000001</v>
      </c>
      <c r="C7166" s="574">
        <v>470.49200000000002</v>
      </c>
    </row>
    <row r="7167" spans="1:3">
      <c r="A7167" s="573" t="s">
        <v>351</v>
      </c>
      <c r="B7167" s="574">
        <v>254.77699999999999</v>
      </c>
      <c r="C7167" s="574">
        <v>478.142</v>
      </c>
    </row>
    <row r="7168" spans="1:3">
      <c r="A7168" s="573" t="s">
        <v>351</v>
      </c>
      <c r="B7168" s="574">
        <v>275.15899999999999</v>
      </c>
      <c r="C7168" s="574">
        <v>481.96699999999998</v>
      </c>
    </row>
    <row r="7169" spans="1:3">
      <c r="A7169" s="573" t="s">
        <v>351</v>
      </c>
      <c r="B7169" s="574">
        <v>298.089</v>
      </c>
      <c r="C7169" s="574">
        <v>485.79199999999997</v>
      </c>
    </row>
    <row r="7170" spans="1:3">
      <c r="A7170" s="573" t="s">
        <v>351</v>
      </c>
      <c r="B7170" s="574">
        <v>364.33100000000002</v>
      </c>
      <c r="C7170" s="574">
        <v>497.26799999999997</v>
      </c>
    </row>
    <row r="7171" spans="1:3">
      <c r="A7171" s="573" t="s">
        <v>351</v>
      </c>
      <c r="B7171" s="574">
        <v>415.28699999999998</v>
      </c>
      <c r="C7171" s="574">
        <v>501.09300000000002</v>
      </c>
    </row>
    <row r="7172" spans="1:3">
      <c r="A7172" s="569" t="s">
        <v>351</v>
      </c>
      <c r="B7172" s="570">
        <v>585.98699999999997</v>
      </c>
      <c r="C7172" s="570">
        <v>524.04399999999998</v>
      </c>
    </row>
    <row r="7173" spans="1:3">
      <c r="A7173" s="571" t="s">
        <v>352</v>
      </c>
      <c r="B7173" s="572">
        <v>5.0955399999999997</v>
      </c>
      <c r="C7173" s="572">
        <v>5.0955399999999997</v>
      </c>
    </row>
    <row r="7174" spans="1:3">
      <c r="A7174" s="571" t="s">
        <v>352</v>
      </c>
      <c r="B7174" s="572">
        <v>15.2866</v>
      </c>
      <c r="C7174" s="572">
        <v>68.852500000000006</v>
      </c>
    </row>
    <row r="7175" spans="1:3">
      <c r="A7175" s="571" t="s">
        <v>352</v>
      </c>
      <c r="B7175" s="572">
        <v>15.2866</v>
      </c>
      <c r="C7175" s="572">
        <v>68.852500000000006</v>
      </c>
    </row>
    <row r="7176" spans="1:3">
      <c r="A7176" s="571" t="s">
        <v>352</v>
      </c>
      <c r="B7176" s="572">
        <v>20.382200000000001</v>
      </c>
      <c r="C7176" s="572">
        <v>110.929</v>
      </c>
    </row>
    <row r="7177" spans="1:3">
      <c r="A7177" s="571" t="s">
        <v>352</v>
      </c>
      <c r="B7177" s="572">
        <v>28.025500000000001</v>
      </c>
      <c r="C7177" s="572">
        <v>130.05500000000001</v>
      </c>
    </row>
    <row r="7178" spans="1:3">
      <c r="A7178" s="571" t="s">
        <v>352</v>
      </c>
      <c r="B7178" s="572">
        <v>40.764299999999999</v>
      </c>
      <c r="C7178" s="572">
        <v>141.53</v>
      </c>
    </row>
    <row r="7179" spans="1:3">
      <c r="A7179" s="571" t="s">
        <v>352</v>
      </c>
      <c r="B7179" s="572">
        <v>48.407600000000002</v>
      </c>
      <c r="C7179" s="572">
        <v>156.83099999999999</v>
      </c>
    </row>
    <row r="7180" spans="1:3">
      <c r="A7180" s="571" t="s">
        <v>352</v>
      </c>
      <c r="B7180" s="572">
        <v>56.051000000000002</v>
      </c>
      <c r="C7180" s="572">
        <v>160.65600000000001</v>
      </c>
    </row>
    <row r="7181" spans="1:3">
      <c r="A7181" s="571" t="s">
        <v>352</v>
      </c>
      <c r="B7181" s="572">
        <v>63.694299999999998</v>
      </c>
      <c r="C7181" s="572">
        <v>172.131</v>
      </c>
    </row>
    <row r="7182" spans="1:3">
      <c r="A7182" s="571" t="s">
        <v>352</v>
      </c>
      <c r="B7182" s="572">
        <v>76.433099999999996</v>
      </c>
      <c r="C7182" s="572">
        <v>179.78100000000001</v>
      </c>
    </row>
    <row r="7183" spans="1:3">
      <c r="A7183" s="571" t="s">
        <v>352</v>
      </c>
      <c r="B7183" s="572">
        <v>91.719700000000003</v>
      </c>
      <c r="C7183" s="572">
        <v>191.25700000000001</v>
      </c>
    </row>
    <row r="7184" spans="1:3">
      <c r="A7184" s="573" t="s">
        <v>352</v>
      </c>
      <c r="B7184" s="574">
        <v>109.554</v>
      </c>
      <c r="C7184" s="574">
        <v>195.08199999999999</v>
      </c>
    </row>
    <row r="7185" spans="1:3">
      <c r="A7185" s="573" t="s">
        <v>352</v>
      </c>
      <c r="B7185" s="574">
        <v>122.29300000000001</v>
      </c>
      <c r="C7185" s="574">
        <v>198.90700000000001</v>
      </c>
    </row>
    <row r="7186" spans="1:3">
      <c r="A7186" s="573" t="s">
        <v>352</v>
      </c>
      <c r="B7186" s="574">
        <v>129.93600000000001</v>
      </c>
      <c r="C7186" s="574">
        <v>202.732</v>
      </c>
    </row>
    <row r="7187" spans="1:3">
      <c r="A7187" s="573" t="s">
        <v>352</v>
      </c>
      <c r="B7187" s="574">
        <v>147.77099999999999</v>
      </c>
      <c r="C7187" s="574">
        <v>210.38300000000001</v>
      </c>
    </row>
    <row r="7188" spans="1:3">
      <c r="A7188" s="573" t="s">
        <v>352</v>
      </c>
      <c r="B7188" s="574">
        <v>163.05699999999999</v>
      </c>
      <c r="C7188" s="574">
        <v>218.03299999999999</v>
      </c>
    </row>
    <row r="7189" spans="1:3">
      <c r="A7189" s="573" t="s">
        <v>352</v>
      </c>
      <c r="B7189" s="574">
        <v>178.34399999999999</v>
      </c>
      <c r="C7189" s="574">
        <v>221.858</v>
      </c>
    </row>
    <row r="7190" spans="1:3">
      <c r="A7190" s="573" t="s">
        <v>352</v>
      </c>
      <c r="B7190" s="574">
        <v>198.726</v>
      </c>
      <c r="C7190" s="574">
        <v>237.15799999999999</v>
      </c>
    </row>
    <row r="7191" spans="1:3">
      <c r="A7191" s="573" t="s">
        <v>352</v>
      </c>
      <c r="B7191" s="574">
        <v>229.29900000000001</v>
      </c>
      <c r="C7191" s="574">
        <v>233.333</v>
      </c>
    </row>
    <row r="7192" spans="1:3">
      <c r="A7192" s="573" t="s">
        <v>352</v>
      </c>
      <c r="B7192" s="574">
        <v>257.32499999999999</v>
      </c>
      <c r="C7192" s="574">
        <v>237.15799999999999</v>
      </c>
    </row>
    <row r="7193" spans="1:3">
      <c r="A7193" s="573" t="s">
        <v>352</v>
      </c>
      <c r="B7193" s="574">
        <v>280.255</v>
      </c>
      <c r="C7193" s="574">
        <v>240.98400000000001</v>
      </c>
    </row>
    <row r="7194" spans="1:3">
      <c r="A7194" s="573" t="s">
        <v>352</v>
      </c>
      <c r="B7194" s="574">
        <v>298.089</v>
      </c>
      <c r="C7194" s="574">
        <v>244.809</v>
      </c>
    </row>
    <row r="7195" spans="1:3">
      <c r="A7195" s="573" t="s">
        <v>352</v>
      </c>
      <c r="B7195" s="574">
        <v>366.87900000000002</v>
      </c>
      <c r="C7195" s="574">
        <v>244.809</v>
      </c>
    </row>
    <row r="7196" spans="1:3">
      <c r="A7196" s="573" t="s">
        <v>352</v>
      </c>
      <c r="B7196" s="574">
        <v>417.834</v>
      </c>
      <c r="C7196" s="574">
        <v>252.459</v>
      </c>
    </row>
    <row r="7197" spans="1:3">
      <c r="A7197" s="569" t="s">
        <v>352</v>
      </c>
      <c r="B7197" s="570">
        <v>585.98699999999997</v>
      </c>
      <c r="C7197" s="570">
        <v>263.93400000000003</v>
      </c>
    </row>
    <row r="7198" spans="1:3">
      <c r="A7198" s="48" t="s">
        <v>353</v>
      </c>
      <c r="B7198" s="549">
        <v>-2.8400000000000001E-14</v>
      </c>
      <c r="C7198" s="549">
        <v>78.536600000000007</v>
      </c>
    </row>
    <row r="7199" spans="1:3">
      <c r="A7199" s="571" t="s">
        <v>353</v>
      </c>
      <c r="B7199" s="572">
        <v>2.5559099999999999</v>
      </c>
      <c r="C7199" s="572">
        <v>215.12200000000001</v>
      </c>
    </row>
    <row r="7200" spans="1:3">
      <c r="A7200" s="571" t="s">
        <v>353</v>
      </c>
      <c r="B7200" s="572">
        <v>5.1118199999999998</v>
      </c>
      <c r="C7200" s="572">
        <v>228.78</v>
      </c>
    </row>
    <row r="7201" spans="1:3">
      <c r="A7201" s="571" t="s">
        <v>353</v>
      </c>
      <c r="B7201" s="572">
        <v>7.6677299999999997</v>
      </c>
      <c r="C7201" s="572">
        <v>160.488</v>
      </c>
    </row>
    <row r="7202" spans="1:3">
      <c r="A7202" s="571" t="s">
        <v>353</v>
      </c>
      <c r="B7202" s="572">
        <v>10.223599999999999</v>
      </c>
      <c r="C7202" s="572">
        <v>249.268</v>
      </c>
    </row>
    <row r="7203" spans="1:3">
      <c r="A7203" s="571" t="s">
        <v>353</v>
      </c>
      <c r="B7203" s="572">
        <v>12.7796</v>
      </c>
      <c r="C7203" s="572">
        <v>269.75599999999997</v>
      </c>
    </row>
    <row r="7204" spans="1:3">
      <c r="A7204" s="571" t="s">
        <v>353</v>
      </c>
      <c r="B7204" s="572">
        <v>15.3355</v>
      </c>
      <c r="C7204" s="572">
        <v>290.24400000000003</v>
      </c>
    </row>
    <row r="7205" spans="1:3">
      <c r="A7205" s="571" t="s">
        <v>353</v>
      </c>
      <c r="B7205" s="572">
        <v>20.447299999999998</v>
      </c>
      <c r="C7205" s="572">
        <v>320.976</v>
      </c>
    </row>
    <row r="7206" spans="1:3">
      <c r="A7206" s="571" t="s">
        <v>353</v>
      </c>
      <c r="B7206" s="572">
        <v>30.6709</v>
      </c>
      <c r="C7206" s="572">
        <v>338.04899999999998</v>
      </c>
    </row>
    <row r="7207" spans="1:3">
      <c r="A7207" s="571" t="s">
        <v>353</v>
      </c>
      <c r="B7207" s="572">
        <v>43.450499999999998</v>
      </c>
      <c r="C7207" s="572">
        <v>351.70699999999999</v>
      </c>
    </row>
    <row r="7208" spans="1:3">
      <c r="A7208" s="571" t="s">
        <v>353</v>
      </c>
      <c r="B7208" s="572">
        <v>56.23</v>
      </c>
      <c r="C7208" s="572">
        <v>379.024</v>
      </c>
    </row>
    <row r="7209" spans="1:3">
      <c r="A7209" s="571" t="s">
        <v>353</v>
      </c>
      <c r="B7209" s="572">
        <v>69.009600000000006</v>
      </c>
      <c r="C7209" s="572">
        <v>392.68299999999999</v>
      </c>
    </row>
    <row r="7210" spans="1:3">
      <c r="A7210" s="571" t="s">
        <v>353</v>
      </c>
      <c r="B7210" s="572">
        <v>79.233199999999997</v>
      </c>
      <c r="C7210" s="572">
        <v>402.92700000000002</v>
      </c>
    </row>
    <row r="7211" spans="1:3">
      <c r="A7211" s="571" t="s">
        <v>353</v>
      </c>
      <c r="B7211" s="572">
        <v>92.012799999999999</v>
      </c>
      <c r="C7211" s="572">
        <v>413.17099999999999</v>
      </c>
    </row>
    <row r="7212" spans="1:3">
      <c r="A7212" s="573" t="s">
        <v>353</v>
      </c>
      <c r="B7212" s="574">
        <v>109.904</v>
      </c>
      <c r="C7212" s="574">
        <v>420</v>
      </c>
    </row>
    <row r="7213" spans="1:3">
      <c r="A7213" s="573" t="s">
        <v>353</v>
      </c>
      <c r="B7213" s="574">
        <v>122.684</v>
      </c>
      <c r="C7213" s="574">
        <v>430.24400000000003</v>
      </c>
    </row>
    <row r="7214" spans="1:3">
      <c r="A7214" s="573" t="s">
        <v>353</v>
      </c>
      <c r="B7214" s="574">
        <v>127.79600000000001</v>
      </c>
      <c r="C7214" s="574">
        <v>437.07299999999998</v>
      </c>
    </row>
    <row r="7215" spans="1:3">
      <c r="A7215" s="573" t="s">
        <v>353</v>
      </c>
      <c r="B7215" s="574">
        <v>145.68700000000001</v>
      </c>
      <c r="C7215" s="574">
        <v>437.07299999999998</v>
      </c>
    </row>
    <row r="7216" spans="1:3">
      <c r="A7216" s="573" t="s">
        <v>353</v>
      </c>
      <c r="B7216" s="574">
        <v>158.46600000000001</v>
      </c>
      <c r="C7216" s="574">
        <v>450.73200000000003</v>
      </c>
    </row>
    <row r="7217" spans="1:3">
      <c r="A7217" s="573" t="s">
        <v>353</v>
      </c>
      <c r="B7217" s="574">
        <v>173.80199999999999</v>
      </c>
      <c r="C7217" s="574">
        <v>460.976</v>
      </c>
    </row>
    <row r="7218" spans="1:3">
      <c r="A7218" s="573" t="s">
        <v>353</v>
      </c>
      <c r="B7218" s="574">
        <v>194.249</v>
      </c>
      <c r="C7218" s="574">
        <v>464.39</v>
      </c>
    </row>
    <row r="7219" spans="1:3">
      <c r="A7219" s="573" t="s">
        <v>353</v>
      </c>
      <c r="B7219" s="574">
        <v>227.476</v>
      </c>
      <c r="C7219" s="574">
        <v>467.80500000000001</v>
      </c>
    </row>
    <row r="7220" spans="1:3">
      <c r="A7220" s="573" t="s">
        <v>353</v>
      </c>
      <c r="B7220" s="574">
        <v>255.59100000000001</v>
      </c>
      <c r="C7220" s="574">
        <v>471.22</v>
      </c>
    </row>
    <row r="7221" spans="1:3">
      <c r="A7221" s="573" t="s">
        <v>353</v>
      </c>
      <c r="B7221" s="574">
        <v>276.03800000000001</v>
      </c>
      <c r="C7221" s="574">
        <v>474.63400000000001</v>
      </c>
    </row>
    <row r="7222" spans="1:3">
      <c r="A7222" s="573" t="s">
        <v>353</v>
      </c>
      <c r="B7222" s="574">
        <v>296.48599999999999</v>
      </c>
      <c r="C7222" s="574">
        <v>481.46300000000002</v>
      </c>
    </row>
    <row r="7223" spans="1:3">
      <c r="A7223" s="573" t="s">
        <v>353</v>
      </c>
      <c r="B7223" s="574">
        <v>368.05099999999999</v>
      </c>
      <c r="C7223" s="574">
        <v>478.04899999999998</v>
      </c>
    </row>
    <row r="7224" spans="1:3">
      <c r="A7224" s="573" t="s">
        <v>353</v>
      </c>
      <c r="B7224" s="574">
        <v>414.05799999999999</v>
      </c>
      <c r="C7224" s="574">
        <v>481.46300000000002</v>
      </c>
    </row>
    <row r="7225" spans="1:3">
      <c r="A7225" s="569" t="s">
        <v>353</v>
      </c>
      <c r="B7225" s="570">
        <v>585.30399999999997</v>
      </c>
      <c r="C7225" s="570">
        <v>512.19500000000005</v>
      </c>
    </row>
    <row r="7226" spans="1:3">
      <c r="A7226" s="48" t="s">
        <v>354</v>
      </c>
      <c r="B7226" s="549">
        <v>-2.8400000000000001E-14</v>
      </c>
      <c r="C7226" s="549">
        <v>2.8400000000000001E-14</v>
      </c>
    </row>
    <row r="7227" spans="1:3">
      <c r="A7227" s="571" t="s">
        <v>354</v>
      </c>
      <c r="B7227" s="572">
        <v>5.1118199999999998</v>
      </c>
      <c r="C7227" s="572">
        <v>61.4634</v>
      </c>
    </row>
    <row r="7228" spans="1:3">
      <c r="A7228" s="571" t="s">
        <v>354</v>
      </c>
      <c r="B7228" s="572">
        <v>10.223599999999999</v>
      </c>
      <c r="C7228" s="572">
        <v>78.536600000000007</v>
      </c>
    </row>
    <row r="7229" spans="1:3">
      <c r="A7229" s="571" t="s">
        <v>354</v>
      </c>
      <c r="B7229" s="572">
        <v>17.891400000000001</v>
      </c>
      <c r="C7229" s="572">
        <v>99.0244</v>
      </c>
    </row>
    <row r="7230" spans="1:3">
      <c r="A7230" s="571" t="s">
        <v>354</v>
      </c>
      <c r="B7230" s="572">
        <v>28.114999999999998</v>
      </c>
      <c r="C7230" s="572">
        <v>116.098</v>
      </c>
    </row>
    <row r="7231" spans="1:3">
      <c r="A7231" s="571" t="s">
        <v>354</v>
      </c>
      <c r="B7231" s="572">
        <v>35.782699999999998</v>
      </c>
      <c r="C7231" s="572">
        <v>133.17099999999999</v>
      </c>
    </row>
    <row r="7232" spans="1:3">
      <c r="A7232" s="571" t="s">
        <v>354</v>
      </c>
      <c r="B7232" s="572">
        <v>40.894599999999997</v>
      </c>
      <c r="C7232" s="572">
        <v>150.244</v>
      </c>
    </row>
    <row r="7233" spans="1:3">
      <c r="A7233" s="571" t="s">
        <v>354</v>
      </c>
      <c r="B7233" s="572">
        <v>48.5623</v>
      </c>
      <c r="C7233" s="572">
        <v>163.90199999999999</v>
      </c>
    </row>
    <row r="7234" spans="1:3">
      <c r="A7234" s="571" t="s">
        <v>354</v>
      </c>
      <c r="B7234" s="572">
        <v>53.674100000000003</v>
      </c>
      <c r="C7234" s="572">
        <v>170.732</v>
      </c>
    </row>
    <row r="7235" spans="1:3">
      <c r="A7235" s="571" t="s">
        <v>354</v>
      </c>
      <c r="B7235" s="572">
        <v>58.785899999999998</v>
      </c>
      <c r="C7235" s="572">
        <v>180.976</v>
      </c>
    </row>
    <row r="7236" spans="1:3">
      <c r="A7236" s="571" t="s">
        <v>354</v>
      </c>
      <c r="B7236" s="572">
        <v>71.5655</v>
      </c>
      <c r="C7236" s="572">
        <v>187.80500000000001</v>
      </c>
    </row>
    <row r="7237" spans="1:3">
      <c r="A7237" s="571" t="s">
        <v>354</v>
      </c>
      <c r="B7237" s="572">
        <v>79.233199999999997</v>
      </c>
      <c r="C7237" s="572">
        <v>198.04900000000001</v>
      </c>
    </row>
    <row r="7238" spans="1:3">
      <c r="A7238" s="571" t="s">
        <v>354</v>
      </c>
      <c r="B7238" s="572">
        <v>92.012799999999999</v>
      </c>
      <c r="C7238" s="572">
        <v>201.46299999999999</v>
      </c>
    </row>
    <row r="7239" spans="1:3">
      <c r="A7239" s="573" t="s">
        <v>354</v>
      </c>
      <c r="B7239" s="574">
        <v>104.792</v>
      </c>
      <c r="C7239" s="574">
        <v>211.70699999999999</v>
      </c>
    </row>
    <row r="7240" spans="1:3">
      <c r="A7240" s="573" t="s">
        <v>354</v>
      </c>
      <c r="B7240" s="574">
        <v>122.684</v>
      </c>
      <c r="C7240" s="574">
        <v>221.95099999999999</v>
      </c>
    </row>
    <row r="7241" spans="1:3">
      <c r="A7241" s="573" t="s">
        <v>354</v>
      </c>
      <c r="B7241" s="574">
        <v>130.351</v>
      </c>
      <c r="C7241" s="574">
        <v>225.36600000000001</v>
      </c>
    </row>
    <row r="7242" spans="1:3">
      <c r="A7242" s="573" t="s">
        <v>354</v>
      </c>
      <c r="B7242" s="574">
        <v>145.68700000000001</v>
      </c>
      <c r="C7242" s="574">
        <v>239.024</v>
      </c>
    </row>
    <row r="7243" spans="1:3">
      <c r="A7243" s="573" t="s">
        <v>354</v>
      </c>
      <c r="B7243" s="574">
        <v>158.46600000000001</v>
      </c>
      <c r="C7243" s="574">
        <v>245.85400000000001</v>
      </c>
    </row>
    <row r="7244" spans="1:3">
      <c r="A7244" s="573" t="s">
        <v>354</v>
      </c>
      <c r="B7244" s="574">
        <v>173.80199999999999</v>
      </c>
      <c r="C7244" s="574">
        <v>249.268</v>
      </c>
    </row>
    <row r="7245" spans="1:3">
      <c r="A7245" s="573" t="s">
        <v>354</v>
      </c>
      <c r="B7245" s="574">
        <v>196.80500000000001</v>
      </c>
      <c r="C7245" s="574">
        <v>259.512</v>
      </c>
    </row>
    <row r="7246" spans="1:3">
      <c r="A7246" s="573" t="s">
        <v>354</v>
      </c>
      <c r="B7246" s="574">
        <v>227.476</v>
      </c>
      <c r="C7246" s="574">
        <v>266.34100000000001</v>
      </c>
    </row>
    <row r="7247" spans="1:3">
      <c r="A7247" s="573" t="s">
        <v>354</v>
      </c>
      <c r="B7247" s="574">
        <v>255.59100000000001</v>
      </c>
      <c r="C7247" s="574">
        <v>269.75599999999997</v>
      </c>
    </row>
    <row r="7248" spans="1:3">
      <c r="A7248" s="573" t="s">
        <v>354</v>
      </c>
      <c r="B7248" s="574">
        <v>276.03800000000001</v>
      </c>
      <c r="C7248" s="574">
        <v>276.58499999999998</v>
      </c>
    </row>
    <row r="7249" spans="1:3">
      <c r="A7249" s="573" t="s">
        <v>354</v>
      </c>
      <c r="B7249" s="574">
        <v>299.04199999999997</v>
      </c>
      <c r="C7249" s="574">
        <v>283.41500000000002</v>
      </c>
    </row>
    <row r="7250" spans="1:3">
      <c r="A7250" s="573" t="s">
        <v>354</v>
      </c>
      <c r="B7250" s="574">
        <v>368.05099999999999</v>
      </c>
      <c r="C7250" s="574">
        <v>280</v>
      </c>
    </row>
    <row r="7251" spans="1:3">
      <c r="A7251" s="573" t="s">
        <v>354</v>
      </c>
      <c r="B7251" s="574">
        <v>414.05799999999999</v>
      </c>
      <c r="C7251" s="574">
        <v>286.82900000000001</v>
      </c>
    </row>
    <row r="7252" spans="1:3">
      <c r="A7252" s="569" t="s">
        <v>354</v>
      </c>
      <c r="B7252" s="570">
        <v>587.85900000000004</v>
      </c>
      <c r="C7252" s="570">
        <v>297.07299999999998</v>
      </c>
    </row>
    <row r="7253" spans="1:3">
      <c r="A7253" s="48" t="s">
        <v>355</v>
      </c>
      <c r="B7253" s="549">
        <v>-2.8400000000000001E-14</v>
      </c>
      <c r="C7253" s="549">
        <v>51.776600000000002</v>
      </c>
    </row>
    <row r="7254" spans="1:3">
      <c r="A7254" s="571" t="s">
        <v>355</v>
      </c>
      <c r="B7254" s="572">
        <v>2.63158</v>
      </c>
      <c r="C7254" s="572">
        <v>85.279200000000003</v>
      </c>
    </row>
    <row r="7255" spans="1:3">
      <c r="A7255" s="571" t="s">
        <v>355</v>
      </c>
      <c r="B7255" s="572">
        <v>5.2631600000000001</v>
      </c>
      <c r="C7255" s="572">
        <v>134.01</v>
      </c>
    </row>
    <row r="7256" spans="1:3">
      <c r="A7256" s="571" t="s">
        <v>355</v>
      </c>
      <c r="B7256" s="572">
        <v>10.526300000000001</v>
      </c>
      <c r="C7256" s="572">
        <v>161.42099999999999</v>
      </c>
    </row>
    <row r="7257" spans="1:3">
      <c r="A7257" s="571" t="s">
        <v>355</v>
      </c>
      <c r="B7257" s="572">
        <v>13.1579</v>
      </c>
      <c r="C7257" s="572">
        <v>207.107</v>
      </c>
    </row>
    <row r="7258" spans="1:3">
      <c r="A7258" s="571" t="s">
        <v>355</v>
      </c>
      <c r="B7258" s="572">
        <v>18.421099999999999</v>
      </c>
      <c r="C7258" s="572">
        <v>225.381</v>
      </c>
    </row>
    <row r="7259" spans="1:3">
      <c r="A7259" s="571" t="s">
        <v>355</v>
      </c>
      <c r="B7259" s="572">
        <v>23.684200000000001</v>
      </c>
      <c r="C7259" s="572">
        <v>246.70099999999999</v>
      </c>
    </row>
    <row r="7260" spans="1:3">
      <c r="A7260" s="571" t="s">
        <v>355</v>
      </c>
      <c r="B7260" s="572">
        <v>28.947399999999998</v>
      </c>
      <c r="C7260" s="572">
        <v>258.88299999999998</v>
      </c>
    </row>
    <row r="7261" spans="1:3">
      <c r="A7261" s="571" t="s">
        <v>355</v>
      </c>
      <c r="B7261" s="572">
        <v>36.842100000000002</v>
      </c>
      <c r="C7261" s="572">
        <v>277.15699999999998</v>
      </c>
    </row>
    <row r="7262" spans="1:3">
      <c r="A7262" s="571" t="s">
        <v>355</v>
      </c>
      <c r="B7262" s="572">
        <v>39.473700000000001</v>
      </c>
      <c r="C7262" s="572">
        <v>295.43099999999998</v>
      </c>
    </row>
    <row r="7263" spans="1:3">
      <c r="A7263" s="571" t="s">
        <v>355</v>
      </c>
      <c r="B7263" s="572">
        <v>55.263199999999998</v>
      </c>
      <c r="C7263" s="572">
        <v>310.66000000000003</v>
      </c>
    </row>
    <row r="7264" spans="1:3">
      <c r="A7264" s="571" t="s">
        <v>355</v>
      </c>
      <c r="B7264" s="572">
        <v>65.789500000000004</v>
      </c>
      <c r="C7264" s="572">
        <v>307.61399999999998</v>
      </c>
    </row>
    <row r="7265" spans="1:3">
      <c r="A7265" s="571" t="s">
        <v>355</v>
      </c>
      <c r="B7265" s="572">
        <v>68.421099999999996</v>
      </c>
      <c r="C7265" s="572">
        <v>328.93400000000003</v>
      </c>
    </row>
    <row r="7266" spans="1:3">
      <c r="A7266" s="571" t="s">
        <v>355</v>
      </c>
      <c r="B7266" s="572">
        <v>78.947400000000002</v>
      </c>
      <c r="C7266" s="572">
        <v>341.11700000000002</v>
      </c>
    </row>
    <row r="7267" spans="1:3">
      <c r="A7267" s="571" t="s">
        <v>355</v>
      </c>
      <c r="B7267" s="572">
        <v>92.1053</v>
      </c>
      <c r="C7267" s="572">
        <v>350.25400000000002</v>
      </c>
    </row>
    <row r="7268" spans="1:3">
      <c r="A7268" s="573" t="s">
        <v>355</v>
      </c>
      <c r="B7268" s="574">
        <v>107.895</v>
      </c>
      <c r="C7268" s="574">
        <v>362.43700000000001</v>
      </c>
    </row>
    <row r="7269" spans="1:3">
      <c r="A7269" s="573" t="s">
        <v>355</v>
      </c>
      <c r="B7269" s="574">
        <v>123.684</v>
      </c>
      <c r="C7269" s="574">
        <v>377.66500000000002</v>
      </c>
    </row>
    <row r="7270" spans="1:3">
      <c r="A7270" s="573" t="s">
        <v>355</v>
      </c>
      <c r="B7270" s="574">
        <v>131.57900000000001</v>
      </c>
      <c r="C7270" s="574">
        <v>374.61900000000003</v>
      </c>
    </row>
    <row r="7271" spans="1:3">
      <c r="A7271" s="573" t="s">
        <v>355</v>
      </c>
      <c r="B7271" s="574">
        <v>147.36799999999999</v>
      </c>
      <c r="C7271" s="574">
        <v>386.80200000000002</v>
      </c>
    </row>
    <row r="7272" spans="1:3">
      <c r="A7272" s="573" t="s">
        <v>355</v>
      </c>
      <c r="B7272" s="574">
        <v>157.89500000000001</v>
      </c>
      <c r="C7272" s="574">
        <v>395.93900000000002</v>
      </c>
    </row>
    <row r="7273" spans="1:3">
      <c r="A7273" s="573" t="s">
        <v>355</v>
      </c>
      <c r="B7273" s="574">
        <v>171.053</v>
      </c>
      <c r="C7273" s="574">
        <v>408.12200000000001</v>
      </c>
    </row>
    <row r="7274" spans="1:3">
      <c r="A7274" s="573" t="s">
        <v>355</v>
      </c>
      <c r="B7274" s="574">
        <v>197.36799999999999</v>
      </c>
      <c r="C7274" s="574">
        <v>405.07600000000002</v>
      </c>
    </row>
    <row r="7275" spans="1:3">
      <c r="A7275" s="573" t="s">
        <v>355</v>
      </c>
      <c r="B7275" s="574">
        <v>226.316</v>
      </c>
      <c r="C7275" s="574">
        <v>411.16800000000001</v>
      </c>
    </row>
    <row r="7276" spans="1:3">
      <c r="A7276" s="573" t="s">
        <v>355</v>
      </c>
      <c r="B7276" s="574">
        <v>252.63200000000001</v>
      </c>
      <c r="C7276" s="574">
        <v>420.30500000000001</v>
      </c>
    </row>
    <row r="7277" spans="1:3">
      <c r="A7277" s="573" t="s">
        <v>355</v>
      </c>
      <c r="B7277" s="574">
        <v>276.31599999999997</v>
      </c>
      <c r="C7277" s="574">
        <v>417.25900000000001</v>
      </c>
    </row>
    <row r="7278" spans="1:3">
      <c r="A7278" s="573" t="s">
        <v>355</v>
      </c>
      <c r="B7278" s="574">
        <v>297.36799999999999</v>
      </c>
      <c r="C7278" s="574">
        <v>417.25900000000001</v>
      </c>
    </row>
    <row r="7279" spans="1:3">
      <c r="A7279" s="573" t="s">
        <v>355</v>
      </c>
      <c r="B7279" s="574">
        <v>368.42099999999999</v>
      </c>
      <c r="C7279" s="574">
        <v>429.44200000000001</v>
      </c>
    </row>
    <row r="7280" spans="1:3">
      <c r="A7280" s="573" t="s">
        <v>355</v>
      </c>
      <c r="B7280" s="574">
        <v>418.42099999999999</v>
      </c>
      <c r="C7280" s="574">
        <v>444.67</v>
      </c>
    </row>
    <row r="7281" spans="1:3">
      <c r="A7281" s="569" t="s">
        <v>355</v>
      </c>
      <c r="B7281" s="570">
        <v>589.47400000000005</v>
      </c>
      <c r="C7281" s="570">
        <v>465.99</v>
      </c>
    </row>
    <row r="7282" spans="1:3">
      <c r="A7282" s="571" t="s">
        <v>356</v>
      </c>
      <c r="B7282" s="572">
        <v>2.6229499999999999</v>
      </c>
      <c r="C7282" s="572">
        <v>2.6229499999999999</v>
      </c>
    </row>
    <row r="7283" spans="1:3">
      <c r="A7283" s="571" t="s">
        <v>356</v>
      </c>
      <c r="B7283" s="572">
        <v>5.2458999999999998</v>
      </c>
      <c r="C7283" s="572">
        <v>118.782</v>
      </c>
    </row>
    <row r="7284" spans="1:3">
      <c r="A7284" s="571" t="s">
        <v>356</v>
      </c>
      <c r="B7284" s="572">
        <v>5.2458999999999998</v>
      </c>
      <c r="C7284" s="572">
        <v>118.782</v>
      </c>
    </row>
    <row r="7285" spans="1:3">
      <c r="A7285" s="571" t="s">
        <v>356</v>
      </c>
      <c r="B7285" s="572">
        <v>10.4918</v>
      </c>
      <c r="C7285" s="572">
        <v>197.97</v>
      </c>
    </row>
    <row r="7286" spans="1:3">
      <c r="A7286" s="571" t="s">
        <v>356</v>
      </c>
      <c r="B7286" s="572">
        <v>13.114800000000001</v>
      </c>
      <c r="C7286" s="572">
        <v>231.47200000000001</v>
      </c>
    </row>
    <row r="7287" spans="1:3">
      <c r="A7287" s="571" t="s">
        <v>356</v>
      </c>
      <c r="B7287" s="572">
        <v>23.6066</v>
      </c>
      <c r="C7287" s="572">
        <v>237.56299999999999</v>
      </c>
    </row>
    <row r="7288" spans="1:3">
      <c r="A7288" s="571" t="s">
        <v>356</v>
      </c>
      <c r="B7288" s="572">
        <v>31.4754</v>
      </c>
      <c r="C7288" s="572">
        <v>261.92899999999997</v>
      </c>
    </row>
    <row r="7289" spans="1:3">
      <c r="A7289" s="571" t="s">
        <v>356</v>
      </c>
      <c r="B7289" s="572">
        <v>34.098399999999998</v>
      </c>
      <c r="C7289" s="572">
        <v>274.11200000000002</v>
      </c>
    </row>
    <row r="7290" spans="1:3">
      <c r="A7290" s="571" t="s">
        <v>356</v>
      </c>
      <c r="B7290" s="572">
        <v>44.590200000000003</v>
      </c>
      <c r="C7290" s="572">
        <v>286.29399999999998</v>
      </c>
    </row>
    <row r="7291" spans="1:3">
      <c r="A7291" s="571" t="s">
        <v>356</v>
      </c>
      <c r="B7291" s="572">
        <v>47.213099999999997</v>
      </c>
      <c r="C7291" s="572">
        <v>307.61399999999998</v>
      </c>
    </row>
    <row r="7292" spans="1:3">
      <c r="A7292" s="571" t="s">
        <v>356</v>
      </c>
      <c r="B7292" s="572">
        <v>57.704900000000002</v>
      </c>
      <c r="C7292" s="572">
        <v>322.84300000000002</v>
      </c>
    </row>
    <row r="7293" spans="1:3">
      <c r="A7293" s="571" t="s">
        <v>356</v>
      </c>
      <c r="B7293" s="572">
        <v>62.950800000000001</v>
      </c>
      <c r="C7293" s="572">
        <v>335.02499999999998</v>
      </c>
    </row>
    <row r="7294" spans="1:3">
      <c r="A7294" s="571" t="s">
        <v>356</v>
      </c>
      <c r="B7294" s="572">
        <v>70.819699999999997</v>
      </c>
      <c r="C7294" s="572">
        <v>350.25400000000002</v>
      </c>
    </row>
    <row r="7295" spans="1:3">
      <c r="A7295" s="571" t="s">
        <v>356</v>
      </c>
      <c r="B7295" s="572">
        <v>81.311499999999995</v>
      </c>
      <c r="C7295" s="572">
        <v>359.39100000000002</v>
      </c>
    </row>
    <row r="7296" spans="1:3">
      <c r="A7296" s="571" t="s">
        <v>356</v>
      </c>
      <c r="B7296" s="572">
        <v>94.426199999999994</v>
      </c>
      <c r="C7296" s="572">
        <v>362.43700000000001</v>
      </c>
    </row>
    <row r="7297" spans="1:3">
      <c r="A7297" s="573" t="s">
        <v>356</v>
      </c>
      <c r="B7297" s="574">
        <v>107.541</v>
      </c>
      <c r="C7297" s="574">
        <v>374.61900000000003</v>
      </c>
    </row>
    <row r="7298" spans="1:3">
      <c r="A7298" s="573" t="s">
        <v>356</v>
      </c>
      <c r="B7298" s="574">
        <v>123.279</v>
      </c>
      <c r="C7298" s="574">
        <v>377.66500000000002</v>
      </c>
    </row>
    <row r="7299" spans="1:3">
      <c r="A7299" s="573" t="s">
        <v>356</v>
      </c>
      <c r="B7299" s="574">
        <v>131.148</v>
      </c>
      <c r="C7299" s="574">
        <v>380.71100000000001</v>
      </c>
    </row>
    <row r="7300" spans="1:3">
      <c r="A7300" s="573" t="s">
        <v>356</v>
      </c>
      <c r="B7300" s="574">
        <v>146.88499999999999</v>
      </c>
      <c r="C7300" s="574">
        <v>389.84800000000001</v>
      </c>
    </row>
    <row r="7301" spans="1:3">
      <c r="A7301" s="573" t="s">
        <v>356</v>
      </c>
      <c r="B7301" s="574">
        <v>160</v>
      </c>
      <c r="C7301" s="574">
        <v>389.84800000000001</v>
      </c>
    </row>
    <row r="7302" spans="1:3">
      <c r="A7302" s="573" t="s">
        <v>356</v>
      </c>
      <c r="B7302" s="574">
        <v>173.11500000000001</v>
      </c>
      <c r="C7302" s="574">
        <v>392.89299999999997</v>
      </c>
    </row>
    <row r="7303" spans="1:3">
      <c r="A7303" s="573" t="s">
        <v>356</v>
      </c>
      <c r="B7303" s="574">
        <v>194.09800000000001</v>
      </c>
      <c r="C7303" s="574">
        <v>392.89299999999997</v>
      </c>
    </row>
    <row r="7304" spans="1:3">
      <c r="A7304" s="573" t="s">
        <v>356</v>
      </c>
      <c r="B7304" s="574">
        <v>228.197</v>
      </c>
      <c r="C7304" s="574">
        <v>398.98500000000001</v>
      </c>
    </row>
    <row r="7305" spans="1:3">
      <c r="A7305" s="573" t="s">
        <v>356</v>
      </c>
      <c r="B7305" s="574">
        <v>254.42599999999999</v>
      </c>
      <c r="C7305" s="574">
        <v>408.12200000000001</v>
      </c>
    </row>
    <row r="7306" spans="1:3">
      <c r="A7306" s="573" t="s">
        <v>356</v>
      </c>
      <c r="B7306" s="574">
        <v>275.41000000000003</v>
      </c>
      <c r="C7306" s="574">
        <v>405.07600000000002</v>
      </c>
    </row>
    <row r="7307" spans="1:3">
      <c r="A7307" s="573" t="s">
        <v>356</v>
      </c>
      <c r="B7307" s="574">
        <v>296.39299999999997</v>
      </c>
      <c r="C7307" s="574">
        <v>414.21300000000002</v>
      </c>
    </row>
    <row r="7308" spans="1:3">
      <c r="A7308" s="573" t="s">
        <v>356</v>
      </c>
      <c r="B7308" s="574">
        <v>369.83600000000001</v>
      </c>
      <c r="C7308" s="574">
        <v>417.25900000000001</v>
      </c>
    </row>
    <row r="7309" spans="1:3">
      <c r="A7309" s="573" t="s">
        <v>356</v>
      </c>
      <c r="B7309" s="574">
        <v>417.04899999999998</v>
      </c>
      <c r="C7309" s="574">
        <v>432.48700000000002</v>
      </c>
    </row>
    <row r="7310" spans="1:3">
      <c r="A7310" s="569" t="s">
        <v>356</v>
      </c>
      <c r="B7310" s="570">
        <v>584.91800000000001</v>
      </c>
      <c r="C7310" s="570">
        <v>459.89800000000002</v>
      </c>
    </row>
    <row r="7311" spans="1:3">
      <c r="A7311" s="571" t="s">
        <v>357</v>
      </c>
      <c r="B7311" s="572">
        <v>0</v>
      </c>
      <c r="C7311" s="572">
        <v>81.406999999999996</v>
      </c>
    </row>
    <row r="7312" spans="1:3">
      <c r="A7312" s="571" t="s">
        <v>357</v>
      </c>
      <c r="B7312" s="572">
        <v>2.6402600000000001</v>
      </c>
      <c r="C7312" s="572">
        <v>99.497500000000002</v>
      </c>
    </row>
    <row r="7313" spans="1:3">
      <c r="A7313" s="571" t="s">
        <v>357</v>
      </c>
      <c r="B7313" s="572">
        <v>5.2805299999999997</v>
      </c>
      <c r="C7313" s="572">
        <v>150.75399999999999</v>
      </c>
    </row>
    <row r="7314" spans="1:3">
      <c r="A7314" s="571" t="s">
        <v>357</v>
      </c>
      <c r="B7314" s="572">
        <v>7.9207900000000002</v>
      </c>
      <c r="C7314" s="572">
        <v>159.79900000000001</v>
      </c>
    </row>
    <row r="7315" spans="1:3">
      <c r="A7315" s="571" t="s">
        <v>357</v>
      </c>
      <c r="B7315" s="572">
        <v>13.2013</v>
      </c>
      <c r="C7315" s="572">
        <v>220.101</v>
      </c>
    </row>
    <row r="7316" spans="1:3">
      <c r="A7316" s="571" t="s">
        <v>357</v>
      </c>
      <c r="B7316" s="572">
        <v>18.4818</v>
      </c>
      <c r="C7316" s="572">
        <v>235.17599999999999</v>
      </c>
    </row>
    <row r="7317" spans="1:3">
      <c r="A7317" s="571" t="s">
        <v>357</v>
      </c>
      <c r="B7317" s="572">
        <v>26.4026</v>
      </c>
      <c r="C7317" s="572">
        <v>250.251</v>
      </c>
    </row>
    <row r="7318" spans="1:3">
      <c r="A7318" s="571" t="s">
        <v>357</v>
      </c>
      <c r="B7318" s="572">
        <v>31.683199999999999</v>
      </c>
      <c r="C7318" s="572">
        <v>259.29599999999999</v>
      </c>
    </row>
    <row r="7319" spans="1:3">
      <c r="A7319" s="571" t="s">
        <v>357</v>
      </c>
      <c r="B7319" s="572">
        <v>36.963700000000003</v>
      </c>
      <c r="C7319" s="572">
        <v>268.34199999999998</v>
      </c>
    </row>
    <row r="7320" spans="1:3">
      <c r="A7320" s="571" t="s">
        <v>357</v>
      </c>
      <c r="B7320" s="572">
        <v>47.524799999999999</v>
      </c>
      <c r="C7320" s="572">
        <v>283.41699999999997</v>
      </c>
    </row>
    <row r="7321" spans="1:3">
      <c r="A7321" s="571" t="s">
        <v>357</v>
      </c>
      <c r="B7321" s="572">
        <v>52.805300000000003</v>
      </c>
      <c r="C7321" s="572">
        <v>295.47699999999998</v>
      </c>
    </row>
    <row r="7322" spans="1:3">
      <c r="A7322" s="571" t="s">
        <v>357</v>
      </c>
      <c r="B7322" s="572">
        <v>58.085799999999999</v>
      </c>
      <c r="C7322" s="572">
        <v>307.53800000000001</v>
      </c>
    </row>
    <row r="7323" spans="1:3">
      <c r="A7323" s="571" t="s">
        <v>357</v>
      </c>
      <c r="B7323" s="572">
        <v>63.366300000000003</v>
      </c>
      <c r="C7323" s="572">
        <v>316.58300000000003</v>
      </c>
    </row>
    <row r="7324" spans="1:3">
      <c r="A7324" s="571" t="s">
        <v>357</v>
      </c>
      <c r="B7324" s="572">
        <v>73.927400000000006</v>
      </c>
      <c r="C7324" s="572">
        <v>325.62799999999999</v>
      </c>
    </row>
    <row r="7325" spans="1:3">
      <c r="A7325" s="571" t="s">
        <v>357</v>
      </c>
      <c r="B7325" s="572">
        <v>89.769000000000005</v>
      </c>
      <c r="C7325" s="572">
        <v>334.673</v>
      </c>
    </row>
    <row r="7326" spans="1:3">
      <c r="A7326" s="573" t="s">
        <v>357</v>
      </c>
      <c r="B7326" s="574">
        <v>105.611</v>
      </c>
      <c r="C7326" s="574">
        <v>349.74900000000002</v>
      </c>
    </row>
    <row r="7327" spans="1:3">
      <c r="A7327" s="573" t="s">
        <v>357</v>
      </c>
      <c r="B7327" s="574">
        <v>121.452</v>
      </c>
      <c r="C7327" s="574">
        <v>361.80900000000003</v>
      </c>
    </row>
    <row r="7328" spans="1:3">
      <c r="A7328" s="573" t="s">
        <v>357</v>
      </c>
      <c r="B7328" s="574">
        <v>126.733</v>
      </c>
      <c r="C7328" s="574">
        <v>373.86900000000003</v>
      </c>
    </row>
    <row r="7329" spans="1:3">
      <c r="A7329" s="573" t="s">
        <v>357</v>
      </c>
      <c r="B7329" s="574">
        <v>145.215</v>
      </c>
      <c r="C7329" s="574">
        <v>373.86900000000003</v>
      </c>
    </row>
    <row r="7330" spans="1:3">
      <c r="A7330" s="573" t="s">
        <v>357</v>
      </c>
      <c r="B7330" s="574">
        <v>158.416</v>
      </c>
      <c r="C7330" s="574">
        <v>376.88400000000001</v>
      </c>
    </row>
    <row r="7331" spans="1:3">
      <c r="A7331" s="573" t="s">
        <v>357</v>
      </c>
      <c r="B7331" s="574">
        <v>174.25700000000001</v>
      </c>
      <c r="C7331" s="574">
        <v>385.93</v>
      </c>
    </row>
    <row r="7332" spans="1:3">
      <c r="A7332" s="573" t="s">
        <v>357</v>
      </c>
      <c r="B7332" s="574">
        <v>192.739</v>
      </c>
      <c r="C7332" s="574">
        <v>382.91500000000002</v>
      </c>
    </row>
    <row r="7333" spans="1:3">
      <c r="A7333" s="573" t="s">
        <v>357</v>
      </c>
      <c r="B7333" s="574">
        <v>227.06299999999999</v>
      </c>
      <c r="C7333" s="574">
        <v>394.97500000000002</v>
      </c>
    </row>
    <row r="7334" spans="1:3">
      <c r="A7334" s="573" t="s">
        <v>357</v>
      </c>
      <c r="B7334" s="574">
        <v>256.10599999999999</v>
      </c>
      <c r="C7334" s="574">
        <v>404.02</v>
      </c>
    </row>
    <row r="7335" spans="1:3">
      <c r="A7335" s="573" t="s">
        <v>357</v>
      </c>
      <c r="B7335" s="574">
        <v>277.22800000000001</v>
      </c>
      <c r="C7335" s="574">
        <v>416.08</v>
      </c>
    </row>
    <row r="7336" spans="1:3">
      <c r="A7336" s="573" t="s">
        <v>357</v>
      </c>
      <c r="B7336" s="574">
        <v>295.70999999999998</v>
      </c>
      <c r="C7336" s="574">
        <v>422.11099999999999</v>
      </c>
    </row>
    <row r="7337" spans="1:3">
      <c r="A7337" s="573" t="s">
        <v>357</v>
      </c>
      <c r="B7337" s="574">
        <v>366.99700000000001</v>
      </c>
      <c r="C7337" s="574">
        <v>428.14100000000002</v>
      </c>
    </row>
    <row r="7338" spans="1:3">
      <c r="A7338" s="573" t="s">
        <v>357</v>
      </c>
      <c r="B7338" s="574">
        <v>414.52100000000002</v>
      </c>
      <c r="C7338" s="574">
        <v>434.17099999999999</v>
      </c>
    </row>
    <row r="7339" spans="1:3">
      <c r="A7339" s="569" t="s">
        <v>357</v>
      </c>
      <c r="B7339" s="570">
        <v>588.779</v>
      </c>
      <c r="C7339" s="570">
        <v>446.23099999999999</v>
      </c>
    </row>
    <row r="7340" spans="1:3">
      <c r="A7340" s="571" t="s">
        <v>358</v>
      </c>
      <c r="B7340" s="572">
        <v>2.8400000000000001E-14</v>
      </c>
      <c r="C7340" s="572">
        <v>88.775499999999994</v>
      </c>
    </row>
    <row r="7341" spans="1:3">
      <c r="A7341" s="571" t="s">
        <v>358</v>
      </c>
      <c r="B7341" s="572">
        <v>2.6143800000000001</v>
      </c>
      <c r="C7341" s="572">
        <v>143.87799999999999</v>
      </c>
    </row>
    <row r="7342" spans="1:3">
      <c r="A7342" s="571" t="s">
        <v>358</v>
      </c>
      <c r="B7342" s="572">
        <v>5.2287600000000003</v>
      </c>
      <c r="C7342" s="572">
        <v>113.265</v>
      </c>
    </row>
    <row r="7343" spans="1:3">
      <c r="A7343" s="571" t="s">
        <v>358</v>
      </c>
      <c r="B7343" s="572">
        <v>7.84314</v>
      </c>
      <c r="C7343" s="572">
        <v>180.61199999999999</v>
      </c>
    </row>
    <row r="7344" spans="1:3">
      <c r="A7344" s="571" t="s">
        <v>358</v>
      </c>
      <c r="B7344" s="572">
        <v>10.4575</v>
      </c>
      <c r="C7344" s="572">
        <v>205.102</v>
      </c>
    </row>
    <row r="7345" spans="1:3">
      <c r="A7345" s="571" t="s">
        <v>358</v>
      </c>
      <c r="B7345" s="572">
        <v>13.071899999999999</v>
      </c>
      <c r="C7345" s="572">
        <v>226.53100000000001</v>
      </c>
    </row>
    <row r="7346" spans="1:3">
      <c r="A7346" s="571" t="s">
        <v>358</v>
      </c>
      <c r="B7346" s="572">
        <v>15.686299999999999</v>
      </c>
      <c r="C7346" s="572">
        <v>235.714</v>
      </c>
    </row>
    <row r="7347" spans="1:3">
      <c r="A7347" s="571" t="s">
        <v>358</v>
      </c>
      <c r="B7347" s="572">
        <v>23.529399999999999</v>
      </c>
      <c r="C7347" s="572">
        <v>263.26499999999999</v>
      </c>
    </row>
    <row r="7348" spans="1:3">
      <c r="A7348" s="571" t="s">
        <v>358</v>
      </c>
      <c r="B7348" s="572">
        <v>26.143799999999999</v>
      </c>
      <c r="C7348" s="572">
        <v>272.44900000000001</v>
      </c>
    </row>
    <row r="7349" spans="1:3">
      <c r="A7349" s="571" t="s">
        <v>358</v>
      </c>
      <c r="B7349" s="572">
        <v>36.601300000000002</v>
      </c>
      <c r="C7349" s="572">
        <v>281.63299999999998</v>
      </c>
    </row>
    <row r="7350" spans="1:3">
      <c r="A7350" s="571" t="s">
        <v>358</v>
      </c>
      <c r="B7350" s="572">
        <v>41.830100000000002</v>
      </c>
      <c r="C7350" s="572">
        <v>290.81599999999997</v>
      </c>
    </row>
    <row r="7351" spans="1:3">
      <c r="A7351" s="571" t="s">
        <v>358</v>
      </c>
      <c r="B7351" s="572">
        <v>52.287599999999998</v>
      </c>
      <c r="C7351" s="572">
        <v>293.87799999999999</v>
      </c>
    </row>
    <row r="7352" spans="1:3">
      <c r="A7352" s="571" t="s">
        <v>358</v>
      </c>
      <c r="B7352" s="572">
        <v>54.902000000000001</v>
      </c>
      <c r="C7352" s="572">
        <v>309.18400000000003</v>
      </c>
    </row>
    <row r="7353" spans="1:3">
      <c r="A7353" s="571" t="s">
        <v>358</v>
      </c>
      <c r="B7353" s="572">
        <v>60.130699999999997</v>
      </c>
      <c r="C7353" s="572">
        <v>318.36700000000002</v>
      </c>
    </row>
    <row r="7354" spans="1:3">
      <c r="A7354" s="571" t="s">
        <v>358</v>
      </c>
      <c r="B7354" s="572">
        <v>70.588200000000001</v>
      </c>
      <c r="C7354" s="572">
        <v>333.673</v>
      </c>
    </row>
    <row r="7355" spans="1:3">
      <c r="A7355" s="571" t="s">
        <v>358</v>
      </c>
      <c r="B7355" s="572">
        <v>78.431399999999996</v>
      </c>
      <c r="C7355" s="572">
        <v>342.85700000000003</v>
      </c>
    </row>
    <row r="7356" spans="1:3">
      <c r="A7356" s="571" t="s">
        <v>358</v>
      </c>
      <c r="B7356" s="572">
        <v>94.117599999999996</v>
      </c>
      <c r="C7356" s="572">
        <v>352.041</v>
      </c>
    </row>
    <row r="7357" spans="1:3">
      <c r="A7357" s="573" t="s">
        <v>358</v>
      </c>
      <c r="B7357" s="574">
        <v>107.19</v>
      </c>
      <c r="C7357" s="574">
        <v>358.16300000000001</v>
      </c>
    </row>
    <row r="7358" spans="1:3">
      <c r="A7358" s="573" t="s">
        <v>358</v>
      </c>
      <c r="B7358" s="574">
        <v>120.261</v>
      </c>
      <c r="C7358" s="574">
        <v>364.286</v>
      </c>
    </row>
    <row r="7359" spans="1:3">
      <c r="A7359" s="573" t="s">
        <v>358</v>
      </c>
      <c r="B7359" s="574">
        <v>128.10499999999999</v>
      </c>
      <c r="C7359" s="574">
        <v>367.34699999999998</v>
      </c>
    </row>
    <row r="7360" spans="1:3">
      <c r="A7360" s="573" t="s">
        <v>358</v>
      </c>
      <c r="B7360" s="574">
        <v>146.405</v>
      </c>
      <c r="C7360" s="574">
        <v>376.53100000000001</v>
      </c>
    </row>
    <row r="7361" spans="1:3">
      <c r="A7361" s="573" t="s">
        <v>358</v>
      </c>
      <c r="B7361" s="574">
        <v>159.477</v>
      </c>
      <c r="C7361" s="574">
        <v>379.59199999999998</v>
      </c>
    </row>
    <row r="7362" spans="1:3">
      <c r="A7362" s="573" t="s">
        <v>358</v>
      </c>
      <c r="B7362" s="574">
        <v>175.16300000000001</v>
      </c>
      <c r="C7362" s="574">
        <v>382.65300000000002</v>
      </c>
    </row>
    <row r="7363" spans="1:3">
      <c r="A7363" s="573" t="s">
        <v>358</v>
      </c>
      <c r="B7363" s="574">
        <v>196.078</v>
      </c>
      <c r="C7363" s="574">
        <v>385.714</v>
      </c>
    </row>
    <row r="7364" spans="1:3">
      <c r="A7364" s="573" t="s">
        <v>358</v>
      </c>
      <c r="B7364" s="574">
        <v>227.45099999999999</v>
      </c>
      <c r="C7364" s="574">
        <v>388.77600000000001</v>
      </c>
    </row>
    <row r="7365" spans="1:3">
      <c r="A7365" s="573" t="s">
        <v>358</v>
      </c>
      <c r="B7365" s="574">
        <v>256.209</v>
      </c>
      <c r="C7365" s="574">
        <v>397.959</v>
      </c>
    </row>
    <row r="7366" spans="1:3">
      <c r="A7366" s="573" t="s">
        <v>358</v>
      </c>
      <c r="B7366" s="574">
        <v>274.51</v>
      </c>
      <c r="C7366" s="574">
        <v>407.14299999999997</v>
      </c>
    </row>
    <row r="7367" spans="1:3">
      <c r="A7367" s="573" t="s">
        <v>358</v>
      </c>
      <c r="B7367" s="574">
        <v>298.03899999999999</v>
      </c>
      <c r="C7367" s="574">
        <v>413.26499999999999</v>
      </c>
    </row>
    <row r="7368" spans="1:3">
      <c r="A7368" s="573" t="s">
        <v>358</v>
      </c>
      <c r="B7368" s="574">
        <v>366.01299999999998</v>
      </c>
      <c r="C7368" s="574">
        <v>413.26499999999999</v>
      </c>
    </row>
    <row r="7369" spans="1:3">
      <c r="A7369" s="573" t="s">
        <v>358</v>
      </c>
      <c r="B7369" s="574">
        <v>415.68599999999998</v>
      </c>
      <c r="C7369" s="574">
        <v>419.38799999999998</v>
      </c>
    </row>
    <row r="7370" spans="1:3">
      <c r="A7370" s="569" t="s">
        <v>358</v>
      </c>
      <c r="B7370" s="570">
        <v>585.62099999999998</v>
      </c>
      <c r="C7370" s="570">
        <v>434.69400000000002</v>
      </c>
    </row>
    <row r="7371" spans="1:3">
      <c r="A7371" s="571" t="s">
        <v>359</v>
      </c>
      <c r="B7371" s="572">
        <v>1.0119599999999999E-2</v>
      </c>
      <c r="C7371" s="572">
        <v>3.54901E-3</v>
      </c>
    </row>
    <row r="7372" spans="1:3">
      <c r="A7372" s="571" t="s">
        <v>359</v>
      </c>
      <c r="B7372" s="572">
        <v>1.6473000000000002E-2</v>
      </c>
      <c r="C7372" s="572">
        <v>0.149058</v>
      </c>
    </row>
    <row r="7373" spans="1:3">
      <c r="A7373" s="571" t="s">
        <v>359</v>
      </c>
      <c r="B7373" s="572">
        <v>2.64981E-2</v>
      </c>
      <c r="C7373" s="572">
        <v>3.0415000000000001</v>
      </c>
    </row>
    <row r="7374" spans="1:3">
      <c r="A7374" s="571" t="s">
        <v>359</v>
      </c>
      <c r="B7374" s="572">
        <v>4.26261E-2</v>
      </c>
      <c r="C7374" s="572">
        <v>0.432979</v>
      </c>
    </row>
    <row r="7375" spans="1:3">
      <c r="A7375" s="571" t="s">
        <v>359</v>
      </c>
      <c r="B7375" s="572">
        <v>8.00265E-2</v>
      </c>
      <c r="C7375" s="572">
        <v>2.12941</v>
      </c>
    </row>
    <row r="7376" spans="1:3">
      <c r="A7376" s="571" t="s">
        <v>359</v>
      </c>
      <c r="B7376" s="572">
        <v>0.13824900000000001</v>
      </c>
      <c r="C7376" s="572">
        <v>4.7166399999999999</v>
      </c>
    </row>
    <row r="7377" spans="1:3">
      <c r="A7377" s="571" t="s">
        <v>359</v>
      </c>
      <c r="B7377" s="572">
        <v>0.247506</v>
      </c>
      <c r="C7377" s="572">
        <v>10.043699999999999</v>
      </c>
    </row>
    <row r="7378" spans="1:3">
      <c r="A7378" s="571" t="s">
        <v>359</v>
      </c>
      <c r="B7378" s="572">
        <v>0.427597</v>
      </c>
      <c r="C7378" s="572">
        <v>18.131900000000002</v>
      </c>
    </row>
    <row r="7379" spans="1:3">
      <c r="A7379" s="571" t="s">
        <v>359</v>
      </c>
      <c r="B7379" s="572">
        <v>0.72134200000000004</v>
      </c>
      <c r="C7379" s="572">
        <v>20.726199999999999</v>
      </c>
    </row>
    <row r="7380" spans="1:3">
      <c r="A7380" s="571" t="s">
        <v>359</v>
      </c>
      <c r="B7380" s="572">
        <v>1.21699</v>
      </c>
      <c r="C7380" s="572">
        <v>34.322499999999998</v>
      </c>
    </row>
    <row r="7381" spans="1:3">
      <c r="A7381" s="571" t="s">
        <v>359</v>
      </c>
      <c r="B7381" s="572">
        <v>1.9813499999999999</v>
      </c>
      <c r="C7381" s="572">
        <v>50.679900000000004</v>
      </c>
    </row>
    <row r="7382" spans="1:3">
      <c r="A7382" s="571" t="s">
        <v>359</v>
      </c>
      <c r="B7382" s="572">
        <v>3.1503000000000001</v>
      </c>
      <c r="C7382" s="572">
        <v>78.046300000000002</v>
      </c>
    </row>
    <row r="7383" spans="1:3">
      <c r="A7383" s="571" t="s">
        <v>359</v>
      </c>
      <c r="B7383" s="572">
        <v>4.8917200000000003</v>
      </c>
      <c r="C7383" s="572">
        <v>116.422</v>
      </c>
    </row>
    <row r="7384" spans="1:3">
      <c r="A7384" s="571" t="s">
        <v>359</v>
      </c>
      <c r="B7384" s="572">
        <v>7.9657400000000003</v>
      </c>
      <c r="C7384" s="572">
        <v>157.53399999999999</v>
      </c>
    </row>
    <row r="7385" spans="1:3">
      <c r="A7385" s="571" t="s">
        <v>359</v>
      </c>
      <c r="B7385" s="572">
        <v>10.4741</v>
      </c>
      <c r="C7385" s="572">
        <v>206.96100000000001</v>
      </c>
    </row>
    <row r="7386" spans="1:3">
      <c r="A7386" s="571" t="s">
        <v>359</v>
      </c>
      <c r="B7386" s="572">
        <v>14.271000000000001</v>
      </c>
      <c r="C7386" s="572">
        <v>245.375</v>
      </c>
    </row>
    <row r="7387" spans="1:3">
      <c r="A7387" s="571" t="s">
        <v>359</v>
      </c>
      <c r="B7387" s="572">
        <v>19.449100000000001</v>
      </c>
      <c r="C7387" s="572">
        <v>314.04500000000002</v>
      </c>
    </row>
    <row r="7388" spans="1:3">
      <c r="A7388" s="571" t="s">
        <v>359</v>
      </c>
      <c r="B7388" s="572">
        <v>27.4663</v>
      </c>
      <c r="C7388" s="572">
        <v>374.45299999999997</v>
      </c>
    </row>
    <row r="7389" spans="1:3">
      <c r="A7389" s="571" t="s">
        <v>359</v>
      </c>
      <c r="B7389" s="572">
        <v>38.33</v>
      </c>
      <c r="C7389" s="572">
        <v>434.86399999999998</v>
      </c>
    </row>
    <row r="7390" spans="1:3">
      <c r="A7390" s="571" t="s">
        <v>359</v>
      </c>
      <c r="B7390" s="572">
        <v>56.762799999999999</v>
      </c>
      <c r="C7390" s="572">
        <v>489.75700000000001</v>
      </c>
    </row>
    <row r="7391" spans="1:3">
      <c r="A7391" s="571" t="s">
        <v>359</v>
      </c>
      <c r="B7391" s="572">
        <v>86.081800000000001</v>
      </c>
      <c r="C7391" s="572">
        <v>544.64200000000005</v>
      </c>
    </row>
    <row r="7392" spans="1:3">
      <c r="A7392" s="573" t="s">
        <v>359</v>
      </c>
      <c r="B7392" s="574">
        <v>138.52099999999999</v>
      </c>
      <c r="C7392" s="574">
        <v>585.75699999999995</v>
      </c>
    </row>
    <row r="7393" spans="1:3">
      <c r="A7393" s="573" t="s">
        <v>359</v>
      </c>
      <c r="B7393" s="574">
        <v>228.244</v>
      </c>
      <c r="C7393" s="574">
        <v>615.86400000000003</v>
      </c>
    </row>
    <row r="7394" spans="1:3">
      <c r="A7394" s="573" t="s">
        <v>359</v>
      </c>
      <c r="B7394" s="574">
        <v>337.89600000000002</v>
      </c>
      <c r="C7394" s="574">
        <v>632.24900000000002</v>
      </c>
    </row>
    <row r="7395" spans="1:3">
      <c r="A7395" s="573" t="s">
        <v>359</v>
      </c>
      <c r="B7395" s="574">
        <v>433.69</v>
      </c>
      <c r="C7395" s="574">
        <v>634.92499999999995</v>
      </c>
    </row>
    <row r="7396" spans="1:3">
      <c r="A7396" s="571" t="s">
        <v>360</v>
      </c>
      <c r="B7396" s="572">
        <v>1.02405E-2</v>
      </c>
      <c r="C7396" s="572">
        <v>7.09802E-3</v>
      </c>
    </row>
    <row r="7397" spans="1:3">
      <c r="A7397" s="571" t="s">
        <v>360</v>
      </c>
      <c r="B7397" s="572">
        <v>1.66708E-2</v>
      </c>
      <c r="C7397" s="572">
        <v>5.3483599999999996</v>
      </c>
    </row>
    <row r="7398" spans="1:3">
      <c r="A7398" s="571" t="s">
        <v>360</v>
      </c>
      <c r="B7398" s="572">
        <v>2.5571199999999999E-2</v>
      </c>
      <c r="C7398" s="572">
        <v>2.47011</v>
      </c>
    </row>
    <row r="7399" spans="1:3">
      <c r="A7399" s="571" t="s">
        <v>360</v>
      </c>
      <c r="B7399" s="572">
        <v>4.16259E-2</v>
      </c>
      <c r="C7399" s="572">
        <v>2.3246000000000002</v>
      </c>
    </row>
    <row r="7400" spans="1:3">
      <c r="A7400" s="571" t="s">
        <v>360</v>
      </c>
      <c r="B7400" s="572">
        <v>7.1912199999999996E-2</v>
      </c>
      <c r="C7400" s="572">
        <v>7.6623200000000002</v>
      </c>
    </row>
    <row r="7401" spans="1:3">
      <c r="A7401" s="571" t="s">
        <v>360</v>
      </c>
      <c r="B7401" s="572">
        <v>0.15945100000000001</v>
      </c>
      <c r="C7401" s="572">
        <v>12.9255</v>
      </c>
    </row>
    <row r="7402" spans="1:3">
      <c r="A7402" s="571" t="s">
        <v>360</v>
      </c>
      <c r="B7402" s="572">
        <v>0.26898300000000003</v>
      </c>
      <c r="C7402" s="572">
        <v>12.769299999999999</v>
      </c>
    </row>
    <row r="7403" spans="1:3">
      <c r="A7403" s="571" t="s">
        <v>360</v>
      </c>
      <c r="B7403" s="572">
        <v>0.52330600000000005</v>
      </c>
      <c r="C7403" s="572">
        <v>12.570600000000001</v>
      </c>
    </row>
    <row r="7404" spans="1:3">
      <c r="A7404" s="571" t="s">
        <v>360</v>
      </c>
      <c r="B7404" s="572">
        <v>0.89339599999999997</v>
      </c>
      <c r="C7404" s="572">
        <v>20.662299999999998</v>
      </c>
    </row>
    <row r="7405" spans="1:3">
      <c r="A7405" s="571" t="s">
        <v>360</v>
      </c>
      <c r="B7405" s="572">
        <v>1.6974800000000001</v>
      </c>
      <c r="C7405" s="572">
        <v>34.223100000000002</v>
      </c>
    </row>
    <row r="7406" spans="1:3">
      <c r="A7406" s="571" t="s">
        <v>360</v>
      </c>
      <c r="B7406" s="572">
        <v>3.0394000000000001</v>
      </c>
      <c r="C7406" s="572">
        <v>56.053100000000001</v>
      </c>
    </row>
    <row r="7407" spans="1:3">
      <c r="A7407" s="571" t="s">
        <v>360</v>
      </c>
      <c r="B7407" s="572">
        <v>5.57423</v>
      </c>
      <c r="C7407" s="572">
        <v>102.63</v>
      </c>
    </row>
    <row r="7408" spans="1:3">
      <c r="A7408" s="571" t="s">
        <v>360</v>
      </c>
      <c r="B7408" s="572">
        <v>8.9705399999999997</v>
      </c>
      <c r="C7408" s="572">
        <v>151.99700000000001</v>
      </c>
    </row>
    <row r="7409" spans="1:3">
      <c r="A7409" s="571" t="s">
        <v>360</v>
      </c>
      <c r="B7409" s="572">
        <v>14.099399999999999</v>
      </c>
      <c r="C7409" s="572">
        <v>220.624</v>
      </c>
    </row>
    <row r="7410" spans="1:3">
      <c r="A7410" s="571" t="s">
        <v>360</v>
      </c>
      <c r="B7410" s="572">
        <v>21.643699999999999</v>
      </c>
      <c r="C7410" s="572">
        <v>308.512</v>
      </c>
    </row>
    <row r="7411" spans="1:3">
      <c r="A7411" s="571" t="s">
        <v>360</v>
      </c>
      <c r="B7411" s="572">
        <v>32.829099999999997</v>
      </c>
      <c r="C7411" s="572">
        <v>385.40100000000001</v>
      </c>
    </row>
    <row r="7412" spans="1:3">
      <c r="A7412" s="571" t="s">
        <v>360</v>
      </c>
      <c r="B7412" s="572">
        <v>47.480200000000004</v>
      </c>
      <c r="C7412" s="572">
        <v>454.053</v>
      </c>
    </row>
    <row r="7413" spans="1:3">
      <c r="A7413" s="571" t="s">
        <v>360</v>
      </c>
      <c r="B7413" s="572">
        <v>71.158900000000003</v>
      </c>
      <c r="C7413" s="572">
        <v>517.19399999999996</v>
      </c>
    </row>
    <row r="7414" spans="1:3">
      <c r="A7414" s="573" t="s">
        <v>360</v>
      </c>
      <c r="B7414" s="574">
        <v>104.13200000000001</v>
      </c>
      <c r="C7414" s="574">
        <v>569.34</v>
      </c>
    </row>
    <row r="7415" spans="1:3">
      <c r="A7415" s="573" t="s">
        <v>360</v>
      </c>
      <c r="B7415" s="574">
        <v>161.70500000000001</v>
      </c>
      <c r="C7415" s="574">
        <v>615.96600000000001</v>
      </c>
    </row>
    <row r="7416" spans="1:3">
      <c r="A7416" s="573" t="s">
        <v>360</v>
      </c>
      <c r="B7416" s="574">
        <v>233.821</v>
      </c>
      <c r="C7416" s="574">
        <v>659.86400000000003</v>
      </c>
    </row>
    <row r="7417" spans="1:3">
      <c r="A7417" s="573" t="s">
        <v>360</v>
      </c>
      <c r="B7417" s="574">
        <v>289.66000000000003</v>
      </c>
      <c r="C7417" s="574">
        <v>687.30499999999995</v>
      </c>
    </row>
    <row r="7418" spans="1:3">
      <c r="A7418" s="571" t="s">
        <v>361</v>
      </c>
      <c r="B7418" s="572">
        <v>1.04866E-2</v>
      </c>
      <c r="C7418" s="572">
        <v>2.7646799999999998</v>
      </c>
    </row>
    <row r="7419" spans="1:3">
      <c r="A7419" s="571" t="s">
        <v>361</v>
      </c>
      <c r="B7419" s="572">
        <v>1.55231E-2</v>
      </c>
      <c r="C7419" s="572">
        <v>2.61917</v>
      </c>
    </row>
    <row r="7420" spans="1:3">
      <c r="A7420" s="571" t="s">
        <v>361</v>
      </c>
      <c r="B7420" s="572">
        <v>2.5878100000000001E-2</v>
      </c>
      <c r="C7420" s="572">
        <v>7.96753</v>
      </c>
    </row>
    <row r="7421" spans="1:3">
      <c r="A7421" s="571" t="s">
        <v>361</v>
      </c>
      <c r="B7421" s="572">
        <v>4.2125500000000003E-2</v>
      </c>
      <c r="C7421" s="572">
        <v>7.8220200000000002</v>
      </c>
    </row>
    <row r="7422" spans="1:3">
      <c r="A7422" s="571" t="s">
        <v>361</v>
      </c>
      <c r="B7422" s="572">
        <v>6.7765099999999995E-2</v>
      </c>
      <c r="C7422" s="572">
        <v>10.4305</v>
      </c>
    </row>
    <row r="7423" spans="1:3">
      <c r="A7423" s="571" t="s">
        <v>361</v>
      </c>
      <c r="B7423" s="572">
        <v>0.138265</v>
      </c>
      <c r="C7423" s="572">
        <v>18.469100000000001</v>
      </c>
    </row>
    <row r="7424" spans="1:3">
      <c r="A7424" s="571" t="s">
        <v>361</v>
      </c>
      <c r="B7424" s="572">
        <v>0.23325399999999999</v>
      </c>
      <c r="C7424" s="572">
        <v>23.8139</v>
      </c>
    </row>
    <row r="7425" spans="1:3">
      <c r="A7425" s="571" t="s">
        <v>361</v>
      </c>
      <c r="B7425" s="572">
        <v>0.40300399999999997</v>
      </c>
      <c r="C7425" s="572">
        <v>40.153500000000001</v>
      </c>
    </row>
    <row r="7426" spans="1:3">
      <c r="A7426" s="571" t="s">
        <v>361</v>
      </c>
      <c r="B7426" s="572">
        <v>0.69628800000000002</v>
      </c>
      <c r="C7426" s="572">
        <v>56.493200000000002</v>
      </c>
    </row>
    <row r="7427" spans="1:3">
      <c r="A7427" s="571" t="s">
        <v>361</v>
      </c>
      <c r="B7427" s="572">
        <v>1.1610400000000001</v>
      </c>
      <c r="C7427" s="572">
        <v>89.346400000000003</v>
      </c>
    </row>
    <row r="7428" spans="1:3">
      <c r="A7428" s="571" t="s">
        <v>361</v>
      </c>
      <c r="B7428" s="572">
        <v>1.8243799999999999</v>
      </c>
      <c r="C7428" s="572">
        <v>127.718</v>
      </c>
    </row>
    <row r="7429" spans="1:3">
      <c r="A7429" s="571" t="s">
        <v>361</v>
      </c>
      <c r="B7429" s="572">
        <v>2.70153</v>
      </c>
      <c r="C7429" s="572">
        <v>174.35900000000001</v>
      </c>
    </row>
    <row r="7430" spans="1:3">
      <c r="A7430" s="571" t="s">
        <v>361</v>
      </c>
      <c r="B7430" s="572">
        <v>4.0008800000000004</v>
      </c>
      <c r="C7430" s="572">
        <v>234.75299999999999</v>
      </c>
    </row>
    <row r="7431" spans="1:3">
      <c r="A7431" s="571" t="s">
        <v>361</v>
      </c>
      <c r="B7431" s="572">
        <v>5.9264200000000002</v>
      </c>
      <c r="C7431" s="572">
        <v>319.90100000000001</v>
      </c>
    </row>
    <row r="7432" spans="1:3">
      <c r="A7432" s="571" t="s">
        <v>361</v>
      </c>
      <c r="B7432" s="572">
        <v>8.9908800000000006</v>
      </c>
      <c r="C7432" s="572">
        <v>418.79399999999998</v>
      </c>
    </row>
    <row r="7433" spans="1:3">
      <c r="A7433" s="571" t="s">
        <v>361</v>
      </c>
      <c r="B7433" s="572">
        <v>12.4031</v>
      </c>
      <c r="C7433" s="572">
        <v>520.46600000000001</v>
      </c>
    </row>
    <row r="7434" spans="1:3">
      <c r="A7434" s="571" t="s">
        <v>361</v>
      </c>
      <c r="B7434" s="572">
        <v>16.511500000000002</v>
      </c>
      <c r="C7434" s="572">
        <v>624.899</v>
      </c>
    </row>
    <row r="7435" spans="1:3">
      <c r="A7435" s="571" t="s">
        <v>361</v>
      </c>
      <c r="B7435" s="572">
        <v>24.174299999999999</v>
      </c>
      <c r="C7435" s="572">
        <v>734.80499999999995</v>
      </c>
    </row>
    <row r="7436" spans="1:3">
      <c r="A7436" s="571" t="s">
        <v>361</v>
      </c>
      <c r="B7436" s="572">
        <v>32.952800000000003</v>
      </c>
      <c r="C7436" s="572">
        <v>828.22900000000004</v>
      </c>
    </row>
    <row r="7437" spans="1:3">
      <c r="A7437" s="571" t="s">
        <v>361</v>
      </c>
      <c r="B7437" s="572">
        <v>43.8598</v>
      </c>
      <c r="C7437" s="572">
        <v>910.65899999999999</v>
      </c>
    </row>
    <row r="7438" spans="1:3">
      <c r="A7438" s="571" t="s">
        <v>361</v>
      </c>
      <c r="B7438" s="572">
        <v>69.770399999999995</v>
      </c>
      <c r="C7438" s="572">
        <v>995.78499999999997</v>
      </c>
    </row>
    <row r="7439" spans="1:3">
      <c r="A7439" s="573" t="s">
        <v>361</v>
      </c>
      <c r="B7439" s="574">
        <v>104.568</v>
      </c>
      <c r="C7439" s="574">
        <v>1061.68</v>
      </c>
    </row>
    <row r="7440" spans="1:3">
      <c r="A7440" s="573" t="s">
        <v>361</v>
      </c>
      <c r="B7440" s="574">
        <v>166.27199999999999</v>
      </c>
      <c r="C7440" s="574">
        <v>1097.29</v>
      </c>
    </row>
    <row r="7441" spans="1:3">
      <c r="A7441" s="573" t="s">
        <v>361</v>
      </c>
      <c r="B7441" s="574">
        <v>261.24599999999998</v>
      </c>
      <c r="C7441" s="574">
        <v>1124.6600000000001</v>
      </c>
    </row>
    <row r="7442" spans="1:3">
      <c r="A7442" s="573" t="s">
        <v>361</v>
      </c>
      <c r="B7442" s="574">
        <v>382.23599999999999</v>
      </c>
      <c r="C7442" s="574">
        <v>1157.56</v>
      </c>
    </row>
    <row r="7443" spans="1:3">
      <c r="A7443" s="571" t="s">
        <v>362</v>
      </c>
      <c r="B7443" s="572">
        <v>1.0363199999999999E-2</v>
      </c>
      <c r="C7443" s="572">
        <v>2.7398400000000001</v>
      </c>
    </row>
    <row r="7444" spans="1:3">
      <c r="A7444" s="571" t="s">
        <v>362</v>
      </c>
      <c r="B7444" s="572">
        <v>1.58961E-2</v>
      </c>
      <c r="C7444" s="572">
        <v>0.13841100000000001</v>
      </c>
    </row>
    <row r="7445" spans="1:3">
      <c r="A7445" s="571" t="s">
        <v>362</v>
      </c>
      <c r="B7445" s="572">
        <v>2.4095999999999999E-2</v>
      </c>
      <c r="C7445" s="572">
        <v>2.48786</v>
      </c>
    </row>
    <row r="7446" spans="1:3">
      <c r="A7446" s="571" t="s">
        <v>362</v>
      </c>
      <c r="B7446" s="572">
        <v>3.5245699999999998E-2</v>
      </c>
      <c r="C7446" s="572">
        <v>2.3742899999999998</v>
      </c>
    </row>
    <row r="7447" spans="1:3">
      <c r="A7447" s="571" t="s">
        <v>362</v>
      </c>
      <c r="B7447" s="572">
        <v>5.2170800000000003E-2</v>
      </c>
      <c r="C7447" s="572">
        <v>2.2571699999999999</v>
      </c>
    </row>
    <row r="7448" spans="1:3">
      <c r="A7448" s="571" t="s">
        <v>362</v>
      </c>
      <c r="B7448" s="572">
        <v>8.0985100000000004E-2</v>
      </c>
      <c r="C7448" s="572">
        <v>4.8763399999999999</v>
      </c>
    </row>
    <row r="7449" spans="1:3">
      <c r="A7449" s="571" t="s">
        <v>362</v>
      </c>
      <c r="B7449" s="572">
        <v>0.130277</v>
      </c>
      <c r="C7449" s="572">
        <v>7.4848699999999999</v>
      </c>
    </row>
    <row r="7450" spans="1:3">
      <c r="A7450" s="571" t="s">
        <v>362</v>
      </c>
      <c r="B7450" s="572">
        <v>0.19984499999999999</v>
      </c>
      <c r="C7450" s="572">
        <v>12.8581</v>
      </c>
    </row>
    <row r="7451" spans="1:3">
      <c r="A7451" s="571" t="s">
        <v>362</v>
      </c>
      <c r="B7451" s="572">
        <v>0.30294100000000002</v>
      </c>
      <c r="C7451" s="572">
        <v>18.2348</v>
      </c>
    </row>
    <row r="7452" spans="1:3">
      <c r="A7452" s="571" t="s">
        <v>362</v>
      </c>
      <c r="B7452" s="572">
        <v>0.47592299999999998</v>
      </c>
      <c r="C7452" s="572">
        <v>31.852399999999999</v>
      </c>
    </row>
    <row r="7453" spans="1:3">
      <c r="A7453" s="571" t="s">
        <v>362</v>
      </c>
      <c r="B7453" s="572">
        <v>0.74773299999999998</v>
      </c>
      <c r="C7453" s="572">
        <v>53.721400000000003</v>
      </c>
    </row>
    <row r="7454" spans="1:3">
      <c r="A7454" s="571" t="s">
        <v>362</v>
      </c>
      <c r="B7454" s="572">
        <v>1.17483</v>
      </c>
      <c r="C7454" s="572">
        <v>81.091399999999993</v>
      </c>
    </row>
    <row r="7455" spans="1:3">
      <c r="A7455" s="571" t="s">
        <v>362</v>
      </c>
      <c r="B7455" s="572">
        <v>1.7813600000000001</v>
      </c>
      <c r="C7455" s="572">
        <v>116.723</v>
      </c>
    </row>
    <row r="7456" spans="1:3">
      <c r="A7456" s="571" t="s">
        <v>362</v>
      </c>
      <c r="B7456" s="572">
        <v>2.4856600000000002</v>
      </c>
      <c r="C7456" s="572">
        <v>163.38200000000001</v>
      </c>
    </row>
    <row r="7457" spans="1:3">
      <c r="A7457" s="571" t="s">
        <v>362</v>
      </c>
      <c r="B7457" s="572">
        <v>3.5098699999999998</v>
      </c>
      <c r="C7457" s="572">
        <v>210.03800000000001</v>
      </c>
    </row>
    <row r="7458" spans="1:3">
      <c r="A7458" s="571" t="s">
        <v>362</v>
      </c>
      <c r="B7458" s="572">
        <v>4.9567899999999998</v>
      </c>
      <c r="C7458" s="572">
        <v>273.19600000000003</v>
      </c>
    </row>
    <row r="7459" spans="1:3">
      <c r="A7459" s="571" t="s">
        <v>362</v>
      </c>
      <c r="B7459" s="572">
        <v>6.4409799999999997</v>
      </c>
      <c r="C7459" s="572">
        <v>328.12700000000001</v>
      </c>
    </row>
    <row r="7460" spans="1:3">
      <c r="A7460" s="571" t="s">
        <v>362</v>
      </c>
      <c r="B7460" s="572">
        <v>8.5722699999999996</v>
      </c>
      <c r="C7460" s="572">
        <v>402.30500000000001</v>
      </c>
    </row>
    <row r="7461" spans="1:3">
      <c r="A7461" s="571" t="s">
        <v>362</v>
      </c>
      <c r="B7461" s="572">
        <v>10.878399999999999</v>
      </c>
      <c r="C7461" s="572">
        <v>468.24599999999998</v>
      </c>
    </row>
    <row r="7462" spans="1:3">
      <c r="A7462" s="571" t="s">
        <v>362</v>
      </c>
      <c r="B7462" s="572">
        <v>13.164</v>
      </c>
      <c r="C7462" s="572">
        <v>534.20100000000002</v>
      </c>
    </row>
    <row r="7463" spans="1:3">
      <c r="A7463" s="571" t="s">
        <v>362</v>
      </c>
      <c r="B7463" s="572">
        <v>16.509599999999999</v>
      </c>
      <c r="C7463" s="572">
        <v>611.14700000000005</v>
      </c>
    </row>
    <row r="7464" spans="1:3">
      <c r="A7464" s="571" t="s">
        <v>362</v>
      </c>
      <c r="B7464" s="572">
        <v>21.457000000000001</v>
      </c>
      <c r="C7464" s="572">
        <v>688.08199999999999</v>
      </c>
    </row>
    <row r="7465" spans="1:3">
      <c r="A7465" s="571" t="s">
        <v>362</v>
      </c>
      <c r="B7465" s="572">
        <v>28.222999999999999</v>
      </c>
      <c r="C7465" s="572">
        <v>776.01599999999996</v>
      </c>
    </row>
    <row r="7466" spans="1:3">
      <c r="A7466" s="571" t="s">
        <v>362</v>
      </c>
      <c r="B7466" s="572">
        <v>36.247100000000003</v>
      </c>
      <c r="C7466" s="572">
        <v>852.95500000000004</v>
      </c>
    </row>
    <row r="7467" spans="1:3">
      <c r="A7467" s="571" t="s">
        <v>362</v>
      </c>
      <c r="B7467" s="572">
        <v>47.672400000000003</v>
      </c>
      <c r="C7467" s="572">
        <v>929.88699999999994</v>
      </c>
    </row>
    <row r="7468" spans="1:3">
      <c r="A7468" s="571" t="s">
        <v>362</v>
      </c>
      <c r="B7468" s="572">
        <v>62.687199999999997</v>
      </c>
      <c r="C7468" s="572">
        <v>984.81500000000005</v>
      </c>
    </row>
    <row r="7469" spans="1:3">
      <c r="A7469" s="571" t="s">
        <v>362</v>
      </c>
      <c r="B7469" s="572">
        <v>90.6571</v>
      </c>
      <c r="C7469" s="572">
        <v>1045.22</v>
      </c>
    </row>
    <row r="7470" spans="1:3">
      <c r="A7470" s="573" t="s">
        <v>362</v>
      </c>
      <c r="B7470" s="574">
        <v>126.503</v>
      </c>
      <c r="C7470" s="574">
        <v>1094.6300000000001</v>
      </c>
    </row>
    <row r="7471" spans="1:3">
      <c r="A7471" s="573" t="s">
        <v>362</v>
      </c>
      <c r="B7471" s="574">
        <v>168.31899999999999</v>
      </c>
      <c r="C7471" s="574">
        <v>1138.55</v>
      </c>
    </row>
    <row r="7472" spans="1:3">
      <c r="A7472" s="573" t="s">
        <v>362</v>
      </c>
      <c r="B7472" s="574">
        <v>229.339</v>
      </c>
      <c r="C7472" s="574">
        <v>1179.71</v>
      </c>
    </row>
    <row r="7473" spans="1:3">
      <c r="A7473" s="573" t="s">
        <v>362</v>
      </c>
      <c r="B7473" s="574">
        <v>316.209</v>
      </c>
      <c r="C7473" s="574">
        <v>1218.1199999999999</v>
      </c>
    </row>
    <row r="7474" spans="1:3">
      <c r="A7474" s="571" t="s">
        <v>363</v>
      </c>
      <c r="B7474" s="572">
        <v>0.01</v>
      </c>
      <c r="C7474" s="572">
        <v>0</v>
      </c>
    </row>
    <row r="7475" spans="1:3">
      <c r="A7475" s="571" t="s">
        <v>363</v>
      </c>
      <c r="B7475" s="572">
        <v>1.09411E-2</v>
      </c>
      <c r="C7475" s="572">
        <v>3.14941</v>
      </c>
    </row>
    <row r="7476" spans="1:3">
      <c r="A7476" s="571" t="s">
        <v>363</v>
      </c>
      <c r="B7476" s="572">
        <v>1.2715499999999999E-2</v>
      </c>
      <c r="C7476" s="572">
        <v>3.19021</v>
      </c>
    </row>
    <row r="7477" spans="1:3">
      <c r="A7477" s="571" t="s">
        <v>363</v>
      </c>
      <c r="B7477" s="572">
        <v>1.43368E-2</v>
      </c>
      <c r="C7477" s="572">
        <v>6.3477800000000002</v>
      </c>
    </row>
    <row r="7478" spans="1:3">
      <c r="A7478" s="571" t="s">
        <v>363</v>
      </c>
      <c r="B7478" s="572">
        <v>1.76943E-2</v>
      </c>
      <c r="C7478" s="572">
        <v>6.4048999999999996</v>
      </c>
    </row>
    <row r="7479" spans="1:3">
      <c r="A7479" s="571" t="s">
        <v>363</v>
      </c>
      <c r="B7479" s="572">
        <v>2.1186400000000001E-2</v>
      </c>
      <c r="C7479" s="572">
        <v>9.5787899999999997</v>
      </c>
    </row>
    <row r="7480" spans="1:3">
      <c r="A7480" s="571" t="s">
        <v>363</v>
      </c>
      <c r="B7480" s="572">
        <v>2.3893299999999999E-2</v>
      </c>
      <c r="C7480" s="572">
        <v>9.6114200000000007</v>
      </c>
    </row>
    <row r="7481" spans="1:3">
      <c r="A7481" s="571" t="s">
        <v>363</v>
      </c>
      <c r="B7481" s="572">
        <v>3.03959E-2</v>
      </c>
      <c r="C7481" s="572">
        <v>6.5517599999999998</v>
      </c>
    </row>
    <row r="7482" spans="1:3">
      <c r="A7482" s="571" t="s">
        <v>363</v>
      </c>
      <c r="B7482" s="572">
        <v>3.75143E-2</v>
      </c>
      <c r="C7482" s="572">
        <v>6.6088699999999996</v>
      </c>
    </row>
    <row r="7483" spans="1:3">
      <c r="A7483" s="571" t="s">
        <v>363</v>
      </c>
      <c r="B7483" s="572">
        <v>4.4918199999999998E-2</v>
      </c>
      <c r="C7483" s="572">
        <v>9.7827599999999997</v>
      </c>
    </row>
    <row r="7484" spans="1:3">
      <c r="A7484" s="571" t="s">
        <v>363</v>
      </c>
      <c r="B7484" s="572">
        <v>5.3795999999999997E-2</v>
      </c>
      <c r="C7484" s="572">
        <v>9.8317200000000007</v>
      </c>
    </row>
    <row r="7485" spans="1:3">
      <c r="A7485" s="571" t="s">
        <v>363</v>
      </c>
      <c r="B7485" s="572">
        <v>6.0669099999999997E-2</v>
      </c>
      <c r="C7485" s="572">
        <v>9.86435</v>
      </c>
    </row>
    <row r="7486" spans="1:3">
      <c r="A7486" s="571" t="s">
        <v>363</v>
      </c>
      <c r="B7486" s="572">
        <v>7.2660000000000002E-2</v>
      </c>
      <c r="C7486" s="572">
        <v>9.9133099999999992</v>
      </c>
    </row>
    <row r="7487" spans="1:3">
      <c r="A7487" s="571" t="s">
        <v>363</v>
      </c>
      <c r="B7487" s="572">
        <v>8.4423999999999999E-2</v>
      </c>
      <c r="C7487" s="572">
        <v>13.079000000000001</v>
      </c>
    </row>
    <row r="7488" spans="1:3">
      <c r="A7488" s="571" t="s">
        <v>363</v>
      </c>
      <c r="B7488" s="572">
        <v>0.10111000000000001</v>
      </c>
      <c r="C7488" s="572">
        <v>13.128</v>
      </c>
    </row>
    <row r="7489" spans="1:3">
      <c r="A7489" s="571" t="s">
        <v>363</v>
      </c>
      <c r="B7489" s="572">
        <v>0.12106500000000001</v>
      </c>
      <c r="C7489" s="572">
        <v>16.3019</v>
      </c>
    </row>
    <row r="7490" spans="1:3">
      <c r="A7490" s="571" t="s">
        <v>363</v>
      </c>
      <c r="B7490" s="572">
        <v>0.15401300000000001</v>
      </c>
      <c r="C7490" s="572">
        <v>13.2422</v>
      </c>
    </row>
    <row r="7491" spans="1:3">
      <c r="A7491" s="571" t="s">
        <v>363</v>
      </c>
      <c r="B7491" s="572">
        <v>0.18440899999999999</v>
      </c>
      <c r="C7491" s="572">
        <v>16.4161</v>
      </c>
    </row>
    <row r="7492" spans="1:3">
      <c r="A7492" s="571" t="s">
        <v>363</v>
      </c>
      <c r="B7492" s="572">
        <v>0.220856</v>
      </c>
      <c r="C7492" s="572">
        <v>16.4651</v>
      </c>
    </row>
    <row r="7493" spans="1:3">
      <c r="A7493" s="571" t="s">
        <v>363</v>
      </c>
      <c r="B7493" s="572">
        <v>0.26444499999999999</v>
      </c>
      <c r="C7493" s="572">
        <v>19.638999999999999</v>
      </c>
    </row>
    <row r="7494" spans="1:3">
      <c r="A7494" s="571" t="s">
        <v>363</v>
      </c>
      <c r="B7494" s="572">
        <v>0.298232</v>
      </c>
      <c r="C7494" s="572">
        <v>19.671600000000002</v>
      </c>
    </row>
    <row r="7495" spans="1:3">
      <c r="A7495" s="571" t="s">
        <v>363</v>
      </c>
      <c r="B7495" s="572">
        <v>0.35725899999999999</v>
      </c>
      <c r="C7495" s="572">
        <v>16.595600000000001</v>
      </c>
    </row>
    <row r="7496" spans="1:3">
      <c r="A7496" s="571" t="s">
        <v>363</v>
      </c>
      <c r="B7496" s="572">
        <v>0.40290399999999998</v>
      </c>
      <c r="C7496" s="572">
        <v>16.628299999999999</v>
      </c>
    </row>
    <row r="7497" spans="1:3">
      <c r="A7497" s="571" t="s">
        <v>363</v>
      </c>
      <c r="B7497" s="572">
        <v>0.45438000000000001</v>
      </c>
      <c r="C7497" s="572">
        <v>16.660900000000002</v>
      </c>
    </row>
    <row r="7498" spans="1:3">
      <c r="A7498" s="571" t="s">
        <v>363</v>
      </c>
      <c r="B7498" s="572">
        <v>0.51243399999999995</v>
      </c>
      <c r="C7498" s="572">
        <v>16.6935</v>
      </c>
    </row>
    <row r="7499" spans="1:3">
      <c r="A7499" s="571" t="s">
        <v>363</v>
      </c>
      <c r="B7499" s="572">
        <v>0.59540000000000004</v>
      </c>
      <c r="C7499" s="572">
        <v>19.859300000000001</v>
      </c>
    </row>
    <row r="7500" spans="1:3">
      <c r="A7500" s="571" t="s">
        <v>363</v>
      </c>
      <c r="B7500" s="572">
        <v>0.67131300000000005</v>
      </c>
      <c r="C7500" s="572">
        <v>23.0168</v>
      </c>
    </row>
    <row r="7501" spans="1:3">
      <c r="A7501" s="571" t="s">
        <v>363</v>
      </c>
      <c r="B7501" s="572">
        <v>0.75708299999999995</v>
      </c>
      <c r="C7501" s="572">
        <v>23.049499999999998</v>
      </c>
    </row>
    <row r="7502" spans="1:3">
      <c r="A7502" s="571" t="s">
        <v>363</v>
      </c>
      <c r="B7502" s="572">
        <v>0.85381099999999999</v>
      </c>
      <c r="C7502" s="572">
        <v>23.082100000000001</v>
      </c>
    </row>
    <row r="7503" spans="1:3">
      <c r="A7503" s="571" t="s">
        <v>363</v>
      </c>
      <c r="B7503" s="572">
        <v>0.962897</v>
      </c>
      <c r="C7503" s="572">
        <v>23.114699999999999</v>
      </c>
    </row>
    <row r="7504" spans="1:3">
      <c r="A7504" s="571" t="s">
        <v>363</v>
      </c>
      <c r="B7504" s="572">
        <v>1.1532100000000001</v>
      </c>
      <c r="C7504" s="572">
        <v>23.163699999999999</v>
      </c>
    </row>
    <row r="7505" spans="1:3">
      <c r="A7505" s="571" t="s">
        <v>363</v>
      </c>
      <c r="B7505" s="572">
        <v>1.38113</v>
      </c>
      <c r="C7505" s="572">
        <v>23.212599999999998</v>
      </c>
    </row>
    <row r="7506" spans="1:3">
      <c r="A7506" s="571" t="s">
        <v>363</v>
      </c>
      <c r="B7506" s="572">
        <v>1.51111</v>
      </c>
      <c r="C7506" s="572">
        <v>26.362100000000002</v>
      </c>
    </row>
    <row r="7507" spans="1:3">
      <c r="A7507" s="571" t="s">
        <v>363</v>
      </c>
      <c r="B7507" s="572">
        <v>1.70418</v>
      </c>
      <c r="C7507" s="572">
        <v>26.3947</v>
      </c>
    </row>
    <row r="7508" spans="1:3">
      <c r="A7508" s="571" t="s">
        <v>363</v>
      </c>
      <c r="B7508" s="572">
        <v>1.92191</v>
      </c>
      <c r="C7508" s="572">
        <v>26.427299999999999</v>
      </c>
    </row>
    <row r="7509" spans="1:3">
      <c r="A7509" s="571" t="s">
        <v>363</v>
      </c>
      <c r="B7509" s="572">
        <v>2.1674600000000002</v>
      </c>
      <c r="C7509" s="572">
        <v>26.46</v>
      </c>
    </row>
    <row r="7510" spans="1:3">
      <c r="A7510" s="571" t="s">
        <v>363</v>
      </c>
      <c r="B7510" s="572">
        <v>2.3714400000000002</v>
      </c>
      <c r="C7510" s="572">
        <v>29.609400000000001</v>
      </c>
    </row>
    <row r="7511" spans="1:3">
      <c r="A7511" s="571" t="s">
        <v>363</v>
      </c>
      <c r="B7511" s="572">
        <v>2.6744300000000001</v>
      </c>
      <c r="C7511" s="572">
        <v>29.641999999999999</v>
      </c>
    </row>
    <row r="7512" spans="1:3">
      <c r="A7512" s="571" t="s">
        <v>363</v>
      </c>
      <c r="B7512" s="572">
        <v>3.0154200000000002</v>
      </c>
      <c r="C7512" s="572">
        <v>32.799599999999998</v>
      </c>
    </row>
    <row r="7513" spans="1:3">
      <c r="A7513" s="571" t="s">
        <v>363</v>
      </c>
      <c r="B7513" s="572">
        <v>3.5044499999999998</v>
      </c>
      <c r="C7513" s="572">
        <v>32.840400000000002</v>
      </c>
    </row>
    <row r="7514" spans="1:3">
      <c r="A7514" s="571" t="s">
        <v>363</v>
      </c>
      <c r="B7514" s="572">
        <v>4.0718399999999999</v>
      </c>
      <c r="C7514" s="572">
        <v>36.006100000000004</v>
      </c>
    </row>
    <row r="7515" spans="1:3">
      <c r="A7515" s="571" t="s">
        <v>363</v>
      </c>
      <c r="B7515" s="572">
        <v>4.45505</v>
      </c>
      <c r="C7515" s="572">
        <v>39.155500000000004</v>
      </c>
    </row>
    <row r="7516" spans="1:3">
      <c r="A7516" s="571" t="s">
        <v>363</v>
      </c>
      <c r="B7516" s="572">
        <v>5.3355600000000001</v>
      </c>
      <c r="C7516" s="572">
        <v>39.204500000000003</v>
      </c>
    </row>
    <row r="7517" spans="1:3">
      <c r="A7517" s="571" t="s">
        <v>363</v>
      </c>
      <c r="B7517" s="572">
        <v>6.2008700000000001</v>
      </c>
      <c r="C7517" s="572">
        <v>39.2453</v>
      </c>
    </row>
    <row r="7518" spans="1:3">
      <c r="A7518" s="571" t="s">
        <v>363</v>
      </c>
      <c r="B7518" s="572">
        <v>6.9931200000000002</v>
      </c>
      <c r="C7518" s="572">
        <v>39.277900000000002</v>
      </c>
    </row>
    <row r="7519" spans="1:3">
      <c r="A7519" s="571" t="s">
        <v>363</v>
      </c>
      <c r="B7519" s="572">
        <v>8.1272599999999997</v>
      </c>
      <c r="C7519" s="572">
        <v>39.3187</v>
      </c>
    </row>
    <row r="7520" spans="1:3">
      <c r="A7520" s="571" t="s">
        <v>363</v>
      </c>
      <c r="B7520" s="572">
        <v>9.1656300000000002</v>
      </c>
      <c r="C7520" s="572">
        <v>39.351399999999998</v>
      </c>
    </row>
    <row r="7521" spans="1:3">
      <c r="A7521" s="571" t="s">
        <v>363</v>
      </c>
      <c r="B7521" s="572">
        <v>10.3391</v>
      </c>
      <c r="C7521" s="572">
        <v>36.259099999999997</v>
      </c>
    </row>
    <row r="7522" spans="1:3">
      <c r="A7522" s="571" t="s">
        <v>363</v>
      </c>
      <c r="B7522" s="572">
        <v>12.0159</v>
      </c>
      <c r="C7522" s="572">
        <v>36.299799999999998</v>
      </c>
    </row>
    <row r="7523" spans="1:3">
      <c r="A7523" s="571" t="s">
        <v>363</v>
      </c>
      <c r="B7523" s="572">
        <v>13.156000000000001</v>
      </c>
      <c r="C7523" s="572">
        <v>30.0745</v>
      </c>
    </row>
    <row r="7524" spans="1:3">
      <c r="A7524" s="571" t="s">
        <v>363</v>
      </c>
      <c r="B7524" s="572">
        <v>14.8368</v>
      </c>
      <c r="C7524" s="572">
        <v>30.107099999999999</v>
      </c>
    </row>
    <row r="7525" spans="1:3">
      <c r="A7525" s="571" t="s">
        <v>363</v>
      </c>
      <c r="B7525" s="572">
        <v>16.244599999999998</v>
      </c>
      <c r="C7525" s="572">
        <v>23.881699999999999</v>
      </c>
    </row>
    <row r="7526" spans="1:3">
      <c r="A7526" s="571" t="s">
        <v>363</v>
      </c>
      <c r="B7526" s="572">
        <v>18.328700000000001</v>
      </c>
      <c r="C7526" s="572">
        <v>17.6645</v>
      </c>
    </row>
    <row r="7527" spans="1:3">
      <c r="A7527" s="571" t="s">
        <v>363</v>
      </c>
      <c r="B7527" s="572">
        <v>20.670400000000001</v>
      </c>
      <c r="C7527" s="572">
        <v>17.697099999999999</v>
      </c>
    </row>
    <row r="7528" spans="1:3">
      <c r="A7528" s="571" t="s">
        <v>363</v>
      </c>
      <c r="B7528" s="572">
        <v>23.322299999999998</v>
      </c>
      <c r="C7528" s="572">
        <v>11.479900000000001</v>
      </c>
    </row>
    <row r="7529" spans="1:3">
      <c r="A7529" s="571" t="s">
        <v>363</v>
      </c>
      <c r="B7529" s="572">
        <v>24.779</v>
      </c>
      <c r="C7529" s="572">
        <v>5.2462999999999997</v>
      </c>
    </row>
    <row r="7530" spans="1:3">
      <c r="A7530" s="571" t="s">
        <v>363</v>
      </c>
      <c r="B7530" s="572">
        <v>27.123799999999999</v>
      </c>
      <c r="C7530" s="572">
        <v>2.1458400000000002</v>
      </c>
    </row>
    <row r="7531" spans="1:3">
      <c r="A7531" s="571" t="s">
        <v>363</v>
      </c>
      <c r="B7531" s="572">
        <v>29.6904</v>
      </c>
      <c r="C7531" s="572">
        <v>0.95461499999999999</v>
      </c>
    </row>
    <row r="7532" spans="1:3">
      <c r="A7532" s="571" t="s">
        <v>363</v>
      </c>
      <c r="B7532" s="572">
        <v>33.499499999999998</v>
      </c>
      <c r="C7532" s="572">
        <v>7.1718500000000001</v>
      </c>
    </row>
    <row r="7533" spans="1:3">
      <c r="A7533" s="571" t="s">
        <v>363</v>
      </c>
      <c r="B7533" s="572">
        <v>38.950699999999998</v>
      </c>
      <c r="C7533" s="572">
        <v>13.3809</v>
      </c>
    </row>
    <row r="7534" spans="1:3">
      <c r="A7534" s="571" t="s">
        <v>363</v>
      </c>
      <c r="B7534" s="572">
        <v>42.6464</v>
      </c>
      <c r="C7534" s="572">
        <v>19.606300000000001</v>
      </c>
    </row>
    <row r="7535" spans="1:3">
      <c r="A7535" s="571" t="s">
        <v>363</v>
      </c>
      <c r="B7535" s="572">
        <v>46.692799999999998</v>
      </c>
      <c r="C7535" s="572">
        <v>25.831700000000001</v>
      </c>
    </row>
    <row r="7536" spans="1:3">
      <c r="A7536" s="571" t="s">
        <v>363</v>
      </c>
      <c r="B7536" s="572">
        <v>51.111199999999997</v>
      </c>
      <c r="C7536" s="572">
        <v>28.932200000000002</v>
      </c>
    </row>
    <row r="7537" spans="1:3">
      <c r="A7537" s="571" t="s">
        <v>363</v>
      </c>
      <c r="B7537" s="572">
        <v>55.960799999999999</v>
      </c>
      <c r="C7537" s="572">
        <v>35.157600000000002</v>
      </c>
    </row>
    <row r="7538" spans="1:3">
      <c r="A7538" s="571" t="s">
        <v>363</v>
      </c>
      <c r="B7538" s="572">
        <v>63.1402</v>
      </c>
      <c r="C7538" s="572">
        <v>41.3748</v>
      </c>
    </row>
    <row r="7539" spans="1:3">
      <c r="A7539" s="571" t="s">
        <v>363</v>
      </c>
      <c r="B7539" s="572">
        <v>69.147400000000005</v>
      </c>
      <c r="C7539" s="572">
        <v>50.725099999999998</v>
      </c>
    </row>
    <row r="7540" spans="1:3">
      <c r="A7540" s="571" t="s">
        <v>363</v>
      </c>
      <c r="B7540" s="572">
        <v>75.725999999999999</v>
      </c>
      <c r="C7540" s="572">
        <v>60.075499999999998</v>
      </c>
    </row>
    <row r="7541" spans="1:3">
      <c r="A7541" s="571" t="s">
        <v>363</v>
      </c>
      <c r="B7541" s="572">
        <v>85.441199999999995</v>
      </c>
      <c r="C7541" s="572">
        <v>66.292699999999996</v>
      </c>
    </row>
    <row r="7542" spans="1:3">
      <c r="A7542" s="571" t="s">
        <v>363</v>
      </c>
      <c r="B7542" s="572">
        <v>93.570099999999996</v>
      </c>
      <c r="C7542" s="572">
        <v>75.643000000000001</v>
      </c>
    </row>
    <row r="7543" spans="1:3">
      <c r="A7543" s="573" t="s">
        <v>363</v>
      </c>
      <c r="B7543" s="574">
        <v>102.496</v>
      </c>
      <c r="C7543" s="574">
        <v>88.118300000000005</v>
      </c>
    </row>
    <row r="7544" spans="1:3">
      <c r="A7544" s="573" t="s">
        <v>363</v>
      </c>
      <c r="B7544" s="574">
        <v>108.899</v>
      </c>
      <c r="C7544" s="574">
        <v>94.351900000000001</v>
      </c>
    </row>
    <row r="7545" spans="1:3">
      <c r="A7545" s="573" t="s">
        <v>363</v>
      </c>
      <c r="B7545" s="574">
        <v>115.7</v>
      </c>
      <c r="C7545" s="574">
        <v>100.58499999999999</v>
      </c>
    </row>
    <row r="7546" spans="1:3">
      <c r="A7546" s="573" t="s">
        <v>363</v>
      </c>
      <c r="B7546" s="574">
        <v>126.708</v>
      </c>
      <c r="C7546" s="574">
        <v>109.93600000000001</v>
      </c>
    </row>
    <row r="7547" spans="1:3">
      <c r="A7547" s="573" t="s">
        <v>363</v>
      </c>
      <c r="B7547" s="574">
        <v>138.76300000000001</v>
      </c>
      <c r="C7547" s="574">
        <v>119.286</v>
      </c>
    </row>
    <row r="7548" spans="1:3">
      <c r="A7548" s="573" t="s">
        <v>363</v>
      </c>
      <c r="B7548" s="574">
        <v>156.602</v>
      </c>
      <c r="C7548" s="574">
        <v>128.62799999999999</v>
      </c>
    </row>
    <row r="7549" spans="1:3">
      <c r="A7549" s="573" t="s">
        <v>363</v>
      </c>
      <c r="B7549" s="574">
        <v>166.46199999999999</v>
      </c>
      <c r="C7549" s="574">
        <v>141.11199999999999</v>
      </c>
    </row>
    <row r="7550" spans="1:3">
      <c r="A7550" s="571" t="s">
        <v>364</v>
      </c>
      <c r="B7550" s="572">
        <v>0.01</v>
      </c>
      <c r="C7550" s="572">
        <v>0</v>
      </c>
    </row>
    <row r="7551" spans="1:3">
      <c r="A7551" s="571" t="s">
        <v>364</v>
      </c>
      <c r="B7551" s="572">
        <v>1.1612600000000001E-2</v>
      </c>
      <c r="C7551" s="572">
        <v>0.12222</v>
      </c>
    </row>
    <row r="7552" spans="1:3">
      <c r="A7552" s="571" t="s">
        <v>364</v>
      </c>
      <c r="B7552" s="572">
        <v>1.3088000000000001E-2</v>
      </c>
      <c r="C7552" s="572">
        <v>0.219995</v>
      </c>
    </row>
    <row r="7553" spans="1:3">
      <c r="A7553" s="571" t="s">
        <v>364</v>
      </c>
      <c r="B7553" s="572">
        <v>1.5659800000000001E-2</v>
      </c>
      <c r="C7553" s="572">
        <v>0.36665900000000001</v>
      </c>
    </row>
    <row r="7554" spans="1:3">
      <c r="A7554" s="571" t="s">
        <v>364</v>
      </c>
      <c r="B7554" s="572">
        <v>1.9299E-2</v>
      </c>
      <c r="C7554" s="572">
        <v>3.6747299999999998</v>
      </c>
    </row>
    <row r="7555" spans="1:3">
      <c r="A7555" s="571" t="s">
        <v>364</v>
      </c>
      <c r="B7555" s="572">
        <v>2.3099499999999999E-2</v>
      </c>
      <c r="C7555" s="572">
        <v>0.68442899999999995</v>
      </c>
    </row>
    <row r="7556" spans="1:3">
      <c r="A7556" s="571" t="s">
        <v>364</v>
      </c>
      <c r="B7556" s="572">
        <v>2.60343E-2</v>
      </c>
      <c r="C7556" s="572">
        <v>0.78220500000000004</v>
      </c>
    </row>
    <row r="7557" spans="1:3">
      <c r="A7557" s="571" t="s">
        <v>364</v>
      </c>
      <c r="B7557" s="572">
        <v>3.1150199999999999E-2</v>
      </c>
      <c r="C7557" s="572">
        <v>0.92886800000000003</v>
      </c>
    </row>
    <row r="7558" spans="1:3">
      <c r="A7558" s="571" t="s">
        <v>364</v>
      </c>
      <c r="B7558" s="572">
        <v>3.6173499999999997E-2</v>
      </c>
      <c r="C7558" s="572">
        <v>1.0510900000000001</v>
      </c>
    </row>
    <row r="7559" spans="1:3">
      <c r="A7559" s="571" t="s">
        <v>364</v>
      </c>
      <c r="B7559" s="572">
        <v>4.3281800000000002E-2</v>
      </c>
      <c r="C7559" s="572">
        <v>1.1977500000000001</v>
      </c>
    </row>
    <row r="7560" spans="1:3">
      <c r="A7560" s="571" t="s">
        <v>364</v>
      </c>
      <c r="B7560" s="572">
        <v>5.0261399999999998E-2</v>
      </c>
      <c r="C7560" s="572">
        <v>1.3199700000000001</v>
      </c>
    </row>
    <row r="7561" spans="1:3">
      <c r="A7561" s="571" t="s">
        <v>364</v>
      </c>
      <c r="B7561" s="572">
        <v>6.01381E-2</v>
      </c>
      <c r="C7561" s="572">
        <v>1.4666300000000001</v>
      </c>
    </row>
    <row r="7562" spans="1:3">
      <c r="A7562" s="571" t="s">
        <v>364</v>
      </c>
      <c r="B7562" s="572">
        <v>7.1955500000000006E-2</v>
      </c>
      <c r="C7562" s="572">
        <v>1.6133</v>
      </c>
    </row>
    <row r="7563" spans="1:3">
      <c r="A7563" s="571" t="s">
        <v>364</v>
      </c>
      <c r="B7563" s="572">
        <v>8.60953E-2</v>
      </c>
      <c r="C7563" s="572">
        <v>1.75996</v>
      </c>
    </row>
    <row r="7564" spans="1:3">
      <c r="A7564" s="571" t="s">
        <v>364</v>
      </c>
      <c r="B7564" s="572">
        <v>9.9978899999999996E-2</v>
      </c>
      <c r="C7564" s="572">
        <v>1.88218</v>
      </c>
    </row>
    <row r="7565" spans="1:3">
      <c r="A7565" s="571" t="s">
        <v>364</v>
      </c>
      <c r="B7565" s="572">
        <v>0.119625</v>
      </c>
      <c r="C7565" s="572">
        <v>2.0288400000000002</v>
      </c>
    </row>
    <row r="7566" spans="1:3">
      <c r="A7566" s="571" t="s">
        <v>364</v>
      </c>
      <c r="B7566" s="572">
        <v>0.13886699999999999</v>
      </c>
      <c r="C7566" s="572">
        <v>5.28803</v>
      </c>
    </row>
    <row r="7567" spans="1:3">
      <c r="A7567" s="571" t="s">
        <v>364</v>
      </c>
      <c r="B7567" s="572">
        <v>0.15651000000000001</v>
      </c>
      <c r="C7567" s="572">
        <v>5.3858100000000002</v>
      </c>
    </row>
    <row r="7568" spans="1:3">
      <c r="A7568" s="571" t="s">
        <v>364</v>
      </c>
      <c r="B7568" s="572">
        <v>0.18726599999999999</v>
      </c>
      <c r="C7568" s="572">
        <v>5.53247</v>
      </c>
    </row>
    <row r="7569" spans="1:3">
      <c r="A7569" s="571" t="s">
        <v>364</v>
      </c>
      <c r="B7569" s="572">
        <v>0.21746399999999999</v>
      </c>
      <c r="C7569" s="572">
        <v>5.6546900000000004</v>
      </c>
    </row>
    <row r="7570" spans="1:3">
      <c r="A7570" s="571" t="s">
        <v>364</v>
      </c>
      <c r="B7570" s="572">
        <v>0.24509300000000001</v>
      </c>
      <c r="C7570" s="572">
        <v>5.7524600000000001</v>
      </c>
    </row>
    <row r="7571" spans="1:3">
      <c r="A7571" s="571" t="s">
        <v>364</v>
      </c>
      <c r="B7571" s="572">
        <v>0.27613500000000002</v>
      </c>
      <c r="C7571" s="572">
        <v>8.9872099999999993</v>
      </c>
    </row>
    <row r="7572" spans="1:3">
      <c r="A7572" s="571" t="s">
        <v>364</v>
      </c>
      <c r="B7572" s="572">
        <v>0.32055099999999997</v>
      </c>
      <c r="C7572" s="572">
        <v>12.2464</v>
      </c>
    </row>
    <row r="7573" spans="1:3">
      <c r="A7573" s="571" t="s">
        <v>364</v>
      </c>
      <c r="B7573" s="572">
        <v>0.37237399999999998</v>
      </c>
      <c r="C7573" s="572">
        <v>9.2316500000000001</v>
      </c>
    </row>
    <row r="7574" spans="1:3">
      <c r="A7574" s="571" t="s">
        <v>364</v>
      </c>
      <c r="B7574" s="572">
        <v>0.43226999999999999</v>
      </c>
      <c r="C7574" s="572">
        <v>12.4908</v>
      </c>
    </row>
    <row r="7575" spans="1:3">
      <c r="A7575" s="571" t="s">
        <v>364</v>
      </c>
      <c r="B7575" s="572">
        <v>0.50180100000000005</v>
      </c>
      <c r="C7575" s="572">
        <v>15.75</v>
      </c>
    </row>
    <row r="7576" spans="1:3">
      <c r="A7576" s="571" t="s">
        <v>364</v>
      </c>
      <c r="B7576" s="572">
        <v>0.56555500000000003</v>
      </c>
      <c r="C7576" s="572">
        <v>15.847799999999999</v>
      </c>
    </row>
    <row r="7577" spans="1:3">
      <c r="A7577" s="571" t="s">
        <v>364</v>
      </c>
      <c r="B7577" s="572">
        <v>0.65675600000000001</v>
      </c>
      <c r="C7577" s="572">
        <v>15.97</v>
      </c>
    </row>
    <row r="7578" spans="1:3">
      <c r="A7578" s="571" t="s">
        <v>364</v>
      </c>
      <c r="B7578" s="572">
        <v>0.74019699999999999</v>
      </c>
      <c r="C7578" s="572">
        <v>16.067799999999998</v>
      </c>
    </row>
    <row r="7579" spans="1:3">
      <c r="A7579" s="571" t="s">
        <v>364</v>
      </c>
      <c r="B7579" s="572">
        <v>0.83394599999999997</v>
      </c>
      <c r="C7579" s="572">
        <v>19.302499999999998</v>
      </c>
    </row>
    <row r="7580" spans="1:3">
      <c r="A7580" s="571" t="s">
        <v>364</v>
      </c>
      <c r="B7580" s="572">
        <v>0.93989900000000004</v>
      </c>
      <c r="C7580" s="572">
        <v>19.400300000000001</v>
      </c>
    </row>
    <row r="7581" spans="1:3">
      <c r="A7581" s="571" t="s">
        <v>364</v>
      </c>
      <c r="B7581" s="572">
        <v>1.0914699999999999</v>
      </c>
      <c r="C7581" s="572">
        <v>19.522500000000001</v>
      </c>
    </row>
    <row r="7582" spans="1:3">
      <c r="A7582" s="571" t="s">
        <v>364</v>
      </c>
      <c r="B7582" s="572">
        <v>1.23014</v>
      </c>
      <c r="C7582" s="572">
        <v>19.6203</v>
      </c>
    </row>
    <row r="7583" spans="1:3">
      <c r="A7583" s="571" t="s">
        <v>364</v>
      </c>
      <c r="B7583" s="572">
        <v>1.4285099999999999</v>
      </c>
      <c r="C7583" s="572">
        <v>19.7425</v>
      </c>
    </row>
    <row r="7584" spans="1:3">
      <c r="A7584" s="571" t="s">
        <v>364</v>
      </c>
      <c r="B7584" s="572">
        <v>1.6094299999999999</v>
      </c>
      <c r="C7584" s="572">
        <v>22.9773</v>
      </c>
    </row>
    <row r="7585" spans="1:3">
      <c r="A7585" s="571" t="s">
        <v>364</v>
      </c>
      <c r="B7585" s="572">
        <v>1.86897</v>
      </c>
      <c r="C7585" s="572">
        <v>23.099499999999999</v>
      </c>
    </row>
    <row r="7586" spans="1:3">
      <c r="A7586" s="571" t="s">
        <v>364</v>
      </c>
      <c r="B7586" s="572">
        <v>2.1703600000000001</v>
      </c>
      <c r="C7586" s="572">
        <v>23.221699999999998</v>
      </c>
    </row>
    <row r="7587" spans="1:3">
      <c r="A7587" s="571" t="s">
        <v>364</v>
      </c>
      <c r="B7587" s="572">
        <v>2.4460999999999999</v>
      </c>
      <c r="C7587" s="572">
        <v>23.319500000000001</v>
      </c>
    </row>
    <row r="7588" spans="1:3">
      <c r="A7588" s="571" t="s">
        <v>364</v>
      </c>
      <c r="B7588" s="572">
        <v>2.6756700000000002</v>
      </c>
      <c r="C7588" s="572">
        <v>23.392800000000001</v>
      </c>
    </row>
    <row r="7589" spans="1:3">
      <c r="A7589" s="571" t="s">
        <v>364</v>
      </c>
      <c r="B7589" s="572">
        <v>3.0156100000000001</v>
      </c>
      <c r="C7589" s="572">
        <v>23.490600000000001</v>
      </c>
    </row>
    <row r="7590" spans="1:3">
      <c r="A7590" s="571" t="s">
        <v>364</v>
      </c>
      <c r="B7590" s="572">
        <v>3.3987500000000002</v>
      </c>
      <c r="C7590" s="572">
        <v>23.5884</v>
      </c>
    </row>
    <row r="7591" spans="1:3">
      <c r="A7591" s="571" t="s">
        <v>364</v>
      </c>
      <c r="B7591" s="572">
        <v>3.8305600000000002</v>
      </c>
      <c r="C7591" s="572">
        <v>23.6861</v>
      </c>
    </row>
    <row r="7592" spans="1:3">
      <c r="A7592" s="571" t="s">
        <v>364</v>
      </c>
      <c r="B7592" s="572">
        <v>4.3172300000000003</v>
      </c>
      <c r="C7592" s="572">
        <v>23.783899999999999</v>
      </c>
    </row>
    <row r="7593" spans="1:3">
      <c r="A7593" s="571" t="s">
        <v>364</v>
      </c>
      <c r="B7593" s="572">
        <v>4.8657399999999997</v>
      </c>
      <c r="C7593" s="572">
        <v>23.881699999999999</v>
      </c>
    </row>
    <row r="7594" spans="1:3">
      <c r="A7594" s="571" t="s">
        <v>364</v>
      </c>
      <c r="B7594" s="572">
        <v>5.4858599999999997</v>
      </c>
      <c r="C7594" s="572">
        <v>20.842500000000001</v>
      </c>
    </row>
    <row r="7595" spans="1:3">
      <c r="A7595" s="571" t="s">
        <v>364</v>
      </c>
      <c r="B7595" s="572">
        <v>6.1850100000000001</v>
      </c>
      <c r="C7595" s="572">
        <v>17.8033</v>
      </c>
    </row>
    <row r="7596" spans="1:3">
      <c r="A7596" s="571" t="s">
        <v>364</v>
      </c>
      <c r="B7596" s="572">
        <v>6.9732799999999999</v>
      </c>
      <c r="C7596" s="572">
        <v>14.764099999999999</v>
      </c>
    </row>
    <row r="7597" spans="1:3">
      <c r="A7597" s="571" t="s">
        <v>364</v>
      </c>
      <c r="B7597" s="572">
        <v>8.0977800000000002</v>
      </c>
      <c r="C7597" s="572">
        <v>14.8863</v>
      </c>
    </row>
    <row r="7598" spans="1:3">
      <c r="A7598" s="571" t="s">
        <v>364</v>
      </c>
      <c r="B7598" s="572">
        <v>9.4069299999999991</v>
      </c>
      <c r="C7598" s="572">
        <v>11.871600000000001</v>
      </c>
    </row>
    <row r="7599" spans="1:3">
      <c r="A7599" s="571" t="s">
        <v>364</v>
      </c>
      <c r="B7599" s="572">
        <v>10.609500000000001</v>
      </c>
      <c r="C7599" s="572">
        <v>5.69543</v>
      </c>
    </row>
    <row r="7600" spans="1:3">
      <c r="A7600" s="571" t="s">
        <v>364</v>
      </c>
      <c r="B7600" s="572">
        <v>12.320399999999999</v>
      </c>
      <c r="C7600" s="572">
        <v>5.8176500000000004</v>
      </c>
    </row>
    <row r="7601" spans="1:3">
      <c r="A7601" s="571" t="s">
        <v>364</v>
      </c>
      <c r="B7601" s="572">
        <v>14.312200000000001</v>
      </c>
      <c r="C7601" s="572">
        <v>2.8029000000000002</v>
      </c>
    </row>
    <row r="7602" spans="1:3">
      <c r="A7602" s="571" t="s">
        <v>364</v>
      </c>
      <c r="B7602" s="572">
        <v>15.6609</v>
      </c>
      <c r="C7602" s="572">
        <v>0.26073499999999999</v>
      </c>
    </row>
    <row r="7603" spans="1:3">
      <c r="A7603" s="571" t="s">
        <v>364</v>
      </c>
      <c r="B7603" s="572">
        <v>18.192799999999998</v>
      </c>
      <c r="C7603" s="572">
        <v>3.2754799999999999</v>
      </c>
    </row>
    <row r="7604" spans="1:3">
      <c r="A7604" s="571" t="s">
        <v>364</v>
      </c>
      <c r="B7604" s="572">
        <v>20.518599999999999</v>
      </c>
      <c r="C7604" s="572">
        <v>9.4516399999999994</v>
      </c>
    </row>
    <row r="7605" spans="1:3">
      <c r="A7605" s="571" t="s">
        <v>364</v>
      </c>
      <c r="B7605" s="572">
        <v>23.827500000000001</v>
      </c>
      <c r="C7605" s="572">
        <v>9.3294200000000007</v>
      </c>
    </row>
    <row r="7606" spans="1:3">
      <c r="A7606" s="571" t="s">
        <v>364</v>
      </c>
      <c r="B7606" s="572">
        <v>27.689299999999999</v>
      </c>
      <c r="C7606" s="572">
        <v>15.4811</v>
      </c>
    </row>
    <row r="7607" spans="1:3">
      <c r="A7607" s="571" t="s">
        <v>364</v>
      </c>
      <c r="B7607" s="572">
        <v>29.4268</v>
      </c>
      <c r="C7607" s="572">
        <v>24.8432</v>
      </c>
    </row>
    <row r="7608" spans="1:3">
      <c r="A7608" s="571" t="s">
        <v>364</v>
      </c>
      <c r="B7608" s="572">
        <v>33.177100000000003</v>
      </c>
      <c r="C7608" s="572">
        <v>27.882300000000001</v>
      </c>
    </row>
    <row r="7609" spans="1:3">
      <c r="A7609" s="571" t="s">
        <v>364</v>
      </c>
      <c r="B7609" s="572">
        <v>35.234099999999998</v>
      </c>
      <c r="C7609" s="572">
        <v>30.970400000000001</v>
      </c>
    </row>
    <row r="7610" spans="1:3">
      <c r="A7610" s="571" t="s">
        <v>364</v>
      </c>
      <c r="B7610" s="572">
        <v>38.567900000000002</v>
      </c>
      <c r="C7610" s="572">
        <v>37.170999999999999</v>
      </c>
    </row>
    <row r="7611" spans="1:3">
      <c r="A7611" s="571" t="s">
        <v>364</v>
      </c>
      <c r="B7611" s="572">
        <v>42.231999999999999</v>
      </c>
      <c r="C7611" s="572">
        <v>46.508600000000001</v>
      </c>
    </row>
    <row r="7612" spans="1:3">
      <c r="A7612" s="571" t="s">
        <v>364</v>
      </c>
      <c r="B7612" s="572">
        <v>46.228000000000002</v>
      </c>
      <c r="C7612" s="572">
        <v>52.709200000000003</v>
      </c>
    </row>
    <row r="7613" spans="1:3">
      <c r="A7613" s="571" t="s">
        <v>364</v>
      </c>
      <c r="B7613" s="572">
        <v>50.601999999999997</v>
      </c>
      <c r="C7613" s="572">
        <v>58.909799999999997</v>
      </c>
    </row>
    <row r="7614" spans="1:3">
      <c r="A7614" s="571" t="s">
        <v>364</v>
      </c>
      <c r="B7614" s="572">
        <v>53.777099999999997</v>
      </c>
      <c r="C7614" s="572">
        <v>68.271799999999999</v>
      </c>
    </row>
    <row r="7615" spans="1:3">
      <c r="A7615" s="571" t="s">
        <v>364</v>
      </c>
      <c r="B7615" s="572">
        <v>60.673499999999997</v>
      </c>
      <c r="C7615" s="572">
        <v>77.584900000000005</v>
      </c>
    </row>
    <row r="7616" spans="1:3">
      <c r="A7616" s="571" t="s">
        <v>364</v>
      </c>
      <c r="B7616" s="572">
        <v>66.414400000000001</v>
      </c>
      <c r="C7616" s="572">
        <v>83.785499999999999</v>
      </c>
    </row>
    <row r="7617" spans="1:3">
      <c r="A7617" s="571" t="s">
        <v>364</v>
      </c>
      <c r="B7617" s="572">
        <v>72.724100000000007</v>
      </c>
      <c r="C7617" s="572">
        <v>93.123099999999994</v>
      </c>
    </row>
    <row r="7618" spans="1:3">
      <c r="A7618" s="571" t="s">
        <v>364</v>
      </c>
      <c r="B7618" s="572">
        <v>79.633099999999999</v>
      </c>
      <c r="C7618" s="572">
        <v>102.461</v>
      </c>
    </row>
    <row r="7619" spans="1:3">
      <c r="A7619" s="571" t="s">
        <v>364</v>
      </c>
      <c r="B7619" s="572">
        <v>87.168000000000006</v>
      </c>
      <c r="C7619" s="572">
        <v>108.661</v>
      </c>
    </row>
    <row r="7620" spans="1:3">
      <c r="A7620" s="571" t="s">
        <v>364</v>
      </c>
      <c r="B7620" s="572">
        <v>92.637500000000003</v>
      </c>
      <c r="C7620" s="572">
        <v>118.023</v>
      </c>
    </row>
    <row r="7621" spans="1:3">
      <c r="A7621" s="573" t="s">
        <v>364</v>
      </c>
      <c r="B7621" s="574">
        <v>101.40300000000001</v>
      </c>
      <c r="C7621" s="574">
        <v>124.224</v>
      </c>
    </row>
    <row r="7622" spans="1:3">
      <c r="A7622" s="573" t="s">
        <v>364</v>
      </c>
      <c r="B7622" s="574">
        <v>107.76600000000001</v>
      </c>
      <c r="C7622" s="574">
        <v>133.58600000000001</v>
      </c>
    </row>
    <row r="7623" spans="1:3">
      <c r="A7623" s="573" t="s">
        <v>364</v>
      </c>
      <c r="B7623" s="574">
        <v>121.54300000000001</v>
      </c>
      <c r="C7623" s="574">
        <v>139.762</v>
      </c>
    </row>
    <row r="7624" spans="1:3">
      <c r="A7624" s="573" t="s">
        <v>364</v>
      </c>
      <c r="B7624" s="574">
        <v>129.124</v>
      </c>
      <c r="C7624" s="574">
        <v>145.98699999999999</v>
      </c>
    </row>
    <row r="7625" spans="1:3">
      <c r="A7625" s="573" t="s">
        <v>364</v>
      </c>
      <c r="B7625" s="574">
        <v>133.137</v>
      </c>
      <c r="C7625" s="574">
        <v>152.23699999999999</v>
      </c>
    </row>
    <row r="7626" spans="1:3">
      <c r="A7626" s="573" t="s">
        <v>364</v>
      </c>
      <c r="B7626" s="574">
        <v>145.785</v>
      </c>
      <c r="C7626" s="574">
        <v>161.57400000000001</v>
      </c>
    </row>
    <row r="7627" spans="1:3">
      <c r="A7627" s="573" t="s">
        <v>364</v>
      </c>
      <c r="B7627" s="574">
        <v>154.93299999999999</v>
      </c>
      <c r="C7627" s="574">
        <v>170.93600000000001</v>
      </c>
    </row>
    <row r="7628" spans="1:3">
      <c r="A7628" s="573" t="s">
        <v>364</v>
      </c>
      <c r="B7628" s="574">
        <v>164.654</v>
      </c>
      <c r="C7628" s="574">
        <v>180.298</v>
      </c>
    </row>
    <row r="7629" spans="1:3">
      <c r="A7629" s="573" t="s">
        <v>364</v>
      </c>
      <c r="B7629" s="574">
        <v>180.23400000000001</v>
      </c>
      <c r="C7629" s="574">
        <v>186.499</v>
      </c>
    </row>
    <row r="7630" spans="1:3">
      <c r="A7630" s="573" t="s">
        <v>364</v>
      </c>
      <c r="B7630" s="574">
        <v>185.83500000000001</v>
      </c>
      <c r="C7630" s="574">
        <v>192.74799999999999</v>
      </c>
    </row>
    <row r="7631" spans="1:3">
      <c r="A7631" s="571" t="s">
        <v>365</v>
      </c>
      <c r="B7631" s="572">
        <v>0.01</v>
      </c>
      <c r="C7631" s="572">
        <v>0</v>
      </c>
    </row>
    <row r="7632" spans="1:3">
      <c r="A7632" s="571" t="s">
        <v>365</v>
      </c>
      <c r="B7632" s="572">
        <v>1.12776E-2</v>
      </c>
      <c r="C7632" s="572">
        <v>3.2636400000000003E-2</v>
      </c>
    </row>
    <row r="7633" spans="1:3">
      <c r="A7633" s="571" t="s">
        <v>365</v>
      </c>
      <c r="B7633" s="572">
        <v>1.2341899999999999E-2</v>
      </c>
      <c r="C7633" s="572">
        <v>5.7113700000000003E-2</v>
      </c>
    </row>
    <row r="7634" spans="1:3">
      <c r="A7634" s="571" t="s">
        <v>365</v>
      </c>
      <c r="B7634" s="572">
        <v>1.43435E-2</v>
      </c>
      <c r="C7634" s="572">
        <v>9.7909200000000002E-2</v>
      </c>
    </row>
    <row r="7635" spans="1:3">
      <c r="A7635" s="571" t="s">
        <v>365</v>
      </c>
      <c r="B7635" s="572">
        <v>1.6176099999999999E-2</v>
      </c>
      <c r="C7635" s="572">
        <v>0.130546</v>
      </c>
    </row>
    <row r="7636" spans="1:3">
      <c r="A7636" s="571" t="s">
        <v>365</v>
      </c>
      <c r="B7636" s="572">
        <v>1.93732E-2</v>
      </c>
      <c r="C7636" s="572">
        <v>0.17949999999999999</v>
      </c>
    </row>
    <row r="7637" spans="1:3">
      <c r="A7637" s="571" t="s">
        <v>365</v>
      </c>
      <c r="B7637" s="572">
        <v>2.1853500000000001E-2</v>
      </c>
      <c r="C7637" s="572">
        <v>2.9127999999999998</v>
      </c>
    </row>
    <row r="7638" spans="1:3">
      <c r="A7638" s="571" t="s">
        <v>365</v>
      </c>
      <c r="B7638" s="572">
        <v>2.5397599999999999E-2</v>
      </c>
      <c r="C7638" s="572">
        <v>2.8719999999999999</v>
      </c>
    </row>
    <row r="7639" spans="1:3">
      <c r="A7639" s="571" t="s">
        <v>365</v>
      </c>
      <c r="B7639" s="572">
        <v>2.7787900000000001E-2</v>
      </c>
      <c r="C7639" s="572">
        <v>0.27740900000000002</v>
      </c>
    </row>
    <row r="7640" spans="1:3">
      <c r="A7640" s="571" t="s">
        <v>365</v>
      </c>
      <c r="B7640" s="572">
        <v>3.2294499999999997E-2</v>
      </c>
      <c r="C7640" s="572">
        <v>0.31820500000000002</v>
      </c>
    </row>
    <row r="7641" spans="1:3">
      <c r="A7641" s="571" t="s">
        <v>365</v>
      </c>
      <c r="B7641" s="572">
        <v>3.6420500000000001E-2</v>
      </c>
      <c r="C7641" s="572">
        <v>0.35084100000000001</v>
      </c>
    </row>
    <row r="7642" spans="1:3">
      <c r="A7642" s="571" t="s">
        <v>365</v>
      </c>
      <c r="B7642" s="572">
        <v>4.1073800000000001E-2</v>
      </c>
      <c r="C7642" s="572">
        <v>0.38347799999999999</v>
      </c>
    </row>
    <row r="7643" spans="1:3">
      <c r="A7643" s="571" t="s">
        <v>365</v>
      </c>
      <c r="B7643" s="572">
        <v>4.6321500000000002E-2</v>
      </c>
      <c r="C7643" s="572">
        <v>0.41611399999999998</v>
      </c>
    </row>
    <row r="7644" spans="1:3">
      <c r="A7644" s="571" t="s">
        <v>365</v>
      </c>
      <c r="B7644" s="572">
        <v>5.2252E-2</v>
      </c>
      <c r="C7644" s="572">
        <v>2.6761900000000001</v>
      </c>
    </row>
    <row r="7645" spans="1:3">
      <c r="A7645" s="571" t="s">
        <v>365</v>
      </c>
      <c r="B7645" s="572">
        <v>5.7182999999999998E-2</v>
      </c>
      <c r="C7645" s="572">
        <v>2.65171</v>
      </c>
    </row>
    <row r="7646" spans="1:3">
      <c r="A7646" s="571" t="s">
        <v>365</v>
      </c>
      <c r="B7646" s="572">
        <v>6.4488900000000002E-2</v>
      </c>
      <c r="C7646" s="572">
        <v>2.6190699999999998</v>
      </c>
    </row>
    <row r="7647" spans="1:3">
      <c r="A7647" s="571" t="s">
        <v>365</v>
      </c>
      <c r="B7647" s="572">
        <v>7.2728299999999996E-2</v>
      </c>
      <c r="C7647" s="572">
        <v>2.5864400000000001</v>
      </c>
    </row>
    <row r="7648" spans="1:3">
      <c r="A7648" s="571" t="s">
        <v>365</v>
      </c>
      <c r="B7648" s="572">
        <v>8.2020300000000004E-2</v>
      </c>
      <c r="C7648" s="572">
        <v>2.5537999999999998</v>
      </c>
    </row>
    <row r="7649" spans="1:3">
      <c r="A7649" s="571" t="s">
        <v>365</v>
      </c>
      <c r="B7649" s="572">
        <v>9.2499600000000001E-2</v>
      </c>
      <c r="C7649" s="572">
        <v>2.5211600000000001</v>
      </c>
    </row>
    <row r="7650" spans="1:3">
      <c r="A7650" s="571" t="s">
        <v>365</v>
      </c>
      <c r="B7650" s="572">
        <v>0.10431799999999999</v>
      </c>
      <c r="C7650" s="572">
        <v>2.4885299999999999</v>
      </c>
    </row>
    <row r="7651" spans="1:3">
      <c r="A7651" s="571" t="s">
        <v>365</v>
      </c>
      <c r="B7651" s="572">
        <v>0.117646</v>
      </c>
      <c r="C7651" s="572">
        <v>2.4558900000000001</v>
      </c>
    </row>
    <row r="7652" spans="1:3">
      <c r="A7652" s="571" t="s">
        <v>365</v>
      </c>
      <c r="B7652" s="572">
        <v>0.13672500000000001</v>
      </c>
      <c r="C7652" s="572">
        <v>2.4150900000000002</v>
      </c>
    </row>
    <row r="7653" spans="1:3">
      <c r="A7653" s="571" t="s">
        <v>365</v>
      </c>
      <c r="B7653" s="572">
        <v>0.154194</v>
      </c>
      <c r="C7653" s="572">
        <v>2.38246</v>
      </c>
    </row>
    <row r="7654" spans="1:3">
      <c r="A7654" s="571" t="s">
        <v>365</v>
      </c>
      <c r="B7654" s="572">
        <v>0.16878499999999999</v>
      </c>
      <c r="C7654" s="572">
        <v>5.48292</v>
      </c>
    </row>
    <row r="7655" spans="1:3">
      <c r="A7655" s="571" t="s">
        <v>365</v>
      </c>
      <c r="B7655" s="572">
        <v>0.18471299999999999</v>
      </c>
      <c r="C7655" s="572">
        <v>5.4584400000000004</v>
      </c>
    </row>
    <row r="7656" spans="1:3">
      <c r="A7656" s="571" t="s">
        <v>365</v>
      </c>
      <c r="B7656" s="572">
        <v>0.214669</v>
      </c>
      <c r="C7656" s="572">
        <v>5.4176399999999996</v>
      </c>
    </row>
    <row r="7657" spans="1:3">
      <c r="A7657" s="571" t="s">
        <v>365</v>
      </c>
      <c r="B7657" s="572">
        <v>0.24209600000000001</v>
      </c>
      <c r="C7657" s="572">
        <v>5.3850100000000003</v>
      </c>
    </row>
    <row r="7658" spans="1:3">
      <c r="A7658" s="571" t="s">
        <v>365</v>
      </c>
      <c r="B7658" s="572">
        <v>0.26494200000000001</v>
      </c>
      <c r="C7658" s="572">
        <v>5.3605299999999998</v>
      </c>
    </row>
    <row r="7659" spans="1:3">
      <c r="A7659" s="571" t="s">
        <v>365</v>
      </c>
      <c r="B7659" s="572">
        <v>0.29886299999999999</v>
      </c>
      <c r="C7659" s="572">
        <v>8.4528300000000005</v>
      </c>
    </row>
    <row r="7660" spans="1:3">
      <c r="A7660" s="571" t="s">
        <v>365</v>
      </c>
      <c r="B7660" s="572">
        <v>0.357931</v>
      </c>
      <c r="C7660" s="572">
        <v>8.4038799999999991</v>
      </c>
    </row>
    <row r="7661" spans="1:3">
      <c r="A7661" s="571" t="s">
        <v>365</v>
      </c>
      <c r="B7661" s="572">
        <v>0.403756</v>
      </c>
      <c r="C7661" s="572">
        <v>11.4962</v>
      </c>
    </row>
    <row r="7662" spans="1:3">
      <c r="A7662" s="571" t="s">
        <v>365</v>
      </c>
      <c r="B7662" s="572">
        <v>0.46934700000000001</v>
      </c>
      <c r="C7662" s="572">
        <v>14.580299999999999</v>
      </c>
    </row>
    <row r="7663" spans="1:3">
      <c r="A7663" s="571" t="s">
        <v>365</v>
      </c>
      <c r="B7663" s="572">
        <v>0.52931300000000003</v>
      </c>
      <c r="C7663" s="572">
        <v>14.547700000000001</v>
      </c>
    </row>
    <row r="7664" spans="1:3">
      <c r="A7664" s="571" t="s">
        <v>365</v>
      </c>
      <c r="B7664" s="572">
        <v>0.61529999999999996</v>
      </c>
      <c r="C7664" s="572">
        <v>17.631799999999998</v>
      </c>
    </row>
    <row r="7665" spans="1:3">
      <c r="A7665" s="571" t="s">
        <v>365</v>
      </c>
      <c r="B7665" s="572">
        <v>0.69407700000000006</v>
      </c>
      <c r="C7665" s="572">
        <v>20.7241</v>
      </c>
    </row>
    <row r="7666" spans="1:3">
      <c r="A7666" s="571" t="s">
        <v>365</v>
      </c>
      <c r="B7666" s="572">
        <v>0.75975400000000004</v>
      </c>
      <c r="C7666" s="572">
        <v>23.8246</v>
      </c>
    </row>
    <row r="7667" spans="1:3">
      <c r="A7667" s="571" t="s">
        <v>365</v>
      </c>
      <c r="B7667" s="572">
        <v>0.88297000000000003</v>
      </c>
      <c r="C7667" s="572">
        <v>23.783799999999999</v>
      </c>
    </row>
    <row r="7668" spans="1:3">
      <c r="A7668" s="571" t="s">
        <v>365</v>
      </c>
      <c r="B7668" s="572">
        <v>0.96629500000000002</v>
      </c>
      <c r="C7668" s="572">
        <v>23.7593</v>
      </c>
    </row>
    <row r="7669" spans="1:3">
      <c r="A7669" s="571" t="s">
        <v>365</v>
      </c>
      <c r="B7669" s="572">
        <v>1.0900099999999999</v>
      </c>
      <c r="C7669" s="572">
        <v>26.851600000000001</v>
      </c>
    </row>
    <row r="7670" spans="1:3">
      <c r="A7670" s="571" t="s">
        <v>365</v>
      </c>
      <c r="B7670" s="572">
        <v>1.26738</v>
      </c>
      <c r="C7670" s="572">
        <v>33.060699999999997</v>
      </c>
    </row>
    <row r="7671" spans="1:3">
      <c r="A7671" s="571" t="s">
        <v>365</v>
      </c>
      <c r="B7671" s="572">
        <v>1.3876299999999999</v>
      </c>
      <c r="C7671" s="572">
        <v>39.286099999999998</v>
      </c>
    </row>
    <row r="7672" spans="1:3">
      <c r="A7672" s="571" t="s">
        <v>365</v>
      </c>
      <c r="B7672" s="572">
        <v>1.5652900000000001</v>
      </c>
      <c r="C7672" s="572">
        <v>42.378399999999999</v>
      </c>
    </row>
    <row r="7673" spans="1:3">
      <c r="A7673" s="571" t="s">
        <v>365</v>
      </c>
      <c r="B7673" s="572">
        <v>1.8195699999999999</v>
      </c>
      <c r="C7673" s="572">
        <v>45.462499999999999</v>
      </c>
    </row>
    <row r="7674" spans="1:3">
      <c r="A7674" s="571" t="s">
        <v>365</v>
      </c>
      <c r="B7674" s="572">
        <v>2.05301</v>
      </c>
      <c r="C7674" s="572">
        <v>51.6798</v>
      </c>
    </row>
    <row r="7675" spans="1:3">
      <c r="A7675" s="571" t="s">
        <v>365</v>
      </c>
      <c r="B7675" s="572">
        <v>2.3163999999999998</v>
      </c>
      <c r="C7675" s="572">
        <v>57.896999999999998</v>
      </c>
    </row>
    <row r="7676" spans="1:3">
      <c r="A7676" s="571" t="s">
        <v>365</v>
      </c>
      <c r="B7676" s="572">
        <v>2.6135799999999998</v>
      </c>
      <c r="C7676" s="572">
        <v>64.114199999999997</v>
      </c>
    </row>
    <row r="7677" spans="1:3">
      <c r="A7677" s="571" t="s">
        <v>365</v>
      </c>
      <c r="B7677" s="572">
        <v>2.8615699999999999</v>
      </c>
      <c r="C7677" s="572">
        <v>70.339600000000004</v>
      </c>
    </row>
    <row r="7678" spans="1:3">
      <c r="A7678" s="571" t="s">
        <v>365</v>
      </c>
      <c r="B7678" s="572">
        <v>3.2294499999999999</v>
      </c>
      <c r="C7678" s="572">
        <v>79.681799999999996</v>
      </c>
    </row>
    <row r="7679" spans="1:3">
      <c r="A7679" s="571" t="s">
        <v>365</v>
      </c>
      <c r="B7679" s="572">
        <v>3.4311600000000002</v>
      </c>
      <c r="C7679" s="572">
        <v>85.915300000000002</v>
      </c>
    </row>
    <row r="7680" spans="1:3">
      <c r="A7680" s="571" t="s">
        <v>365</v>
      </c>
      <c r="B7680" s="572">
        <v>3.8722699999999999</v>
      </c>
      <c r="C7680" s="572">
        <v>95.257499999999993</v>
      </c>
    </row>
    <row r="7681" spans="1:3">
      <c r="A7681" s="571" t="s">
        <v>365</v>
      </c>
      <c r="B7681" s="572">
        <v>4.2406699999999997</v>
      </c>
      <c r="C7681" s="572">
        <v>104.608</v>
      </c>
    </row>
    <row r="7682" spans="1:3">
      <c r="A7682" s="571" t="s">
        <v>365</v>
      </c>
      <c r="B7682" s="572">
        <v>4.6430400000000001</v>
      </c>
      <c r="C7682" s="572">
        <v>110.833</v>
      </c>
    </row>
    <row r="7683" spans="1:3">
      <c r="A7683" s="571" t="s">
        <v>365</v>
      </c>
      <c r="B7683" s="572">
        <v>5.0847800000000003</v>
      </c>
      <c r="C7683" s="572">
        <v>120.184</v>
      </c>
    </row>
    <row r="7684" spans="1:3">
      <c r="A7684" s="571" t="s">
        <v>365</v>
      </c>
      <c r="B7684" s="572">
        <v>5.56724</v>
      </c>
      <c r="C7684" s="572">
        <v>126.40900000000001</v>
      </c>
    </row>
    <row r="7685" spans="1:3">
      <c r="A7685" s="571" t="s">
        <v>365</v>
      </c>
      <c r="B7685" s="572">
        <v>6.0969100000000003</v>
      </c>
      <c r="C7685" s="572">
        <v>135.75899999999999</v>
      </c>
    </row>
    <row r="7686" spans="1:3">
      <c r="A7686" s="571" t="s">
        <v>365</v>
      </c>
      <c r="B7686" s="572">
        <v>6.8807200000000002</v>
      </c>
      <c r="C7686" s="572">
        <v>145.101</v>
      </c>
    </row>
    <row r="7687" spans="1:3">
      <c r="A7687" s="571" t="s">
        <v>365</v>
      </c>
      <c r="B7687" s="572">
        <v>7.5335799999999997</v>
      </c>
      <c r="C7687" s="572">
        <v>151.327</v>
      </c>
    </row>
    <row r="7688" spans="1:3">
      <c r="A7688" s="571" t="s">
        <v>365</v>
      </c>
      <c r="B7688" s="572">
        <v>8.2503299999999999</v>
      </c>
      <c r="C7688" s="572">
        <v>160.67699999999999</v>
      </c>
    </row>
    <row r="7689" spans="1:3">
      <c r="A7689" s="571" t="s">
        <v>365</v>
      </c>
      <c r="B7689" s="572">
        <v>8.7697699999999994</v>
      </c>
      <c r="C7689" s="572">
        <v>173.161</v>
      </c>
    </row>
    <row r="7690" spans="1:3">
      <c r="A7690" s="571" t="s">
        <v>365</v>
      </c>
      <c r="B7690" s="572">
        <v>9.0437600000000007</v>
      </c>
      <c r="C7690" s="572">
        <v>182.52699999999999</v>
      </c>
    </row>
    <row r="7691" spans="1:3">
      <c r="A7691" s="571" t="s">
        <v>365</v>
      </c>
      <c r="B7691" s="572">
        <v>9.3284900000000004</v>
      </c>
      <c r="C7691" s="572">
        <v>195.01900000000001</v>
      </c>
    </row>
    <row r="7692" spans="1:3">
      <c r="A7692" s="571" t="s">
        <v>365</v>
      </c>
      <c r="B7692" s="572">
        <v>9.9134899999999995</v>
      </c>
      <c r="C7692" s="572">
        <v>204.37700000000001</v>
      </c>
    </row>
    <row r="7693" spans="1:3">
      <c r="A7693" s="571" t="s">
        <v>365</v>
      </c>
      <c r="B7693" s="572">
        <v>10.8567</v>
      </c>
      <c r="C7693" s="572">
        <v>213.72800000000001</v>
      </c>
    </row>
    <row r="7694" spans="1:3">
      <c r="A7694" s="571" t="s">
        <v>365</v>
      </c>
      <c r="B7694" s="572">
        <v>11.534800000000001</v>
      </c>
      <c r="C7694" s="572">
        <v>219.96100000000001</v>
      </c>
    </row>
    <row r="7695" spans="1:3">
      <c r="A7695" s="571" t="s">
        <v>365</v>
      </c>
      <c r="B7695" s="572">
        <v>12.632199999999999</v>
      </c>
      <c r="C7695" s="572">
        <v>229.31200000000001</v>
      </c>
    </row>
    <row r="7696" spans="1:3">
      <c r="A7696" s="571" t="s">
        <v>365</v>
      </c>
      <c r="B7696" s="572">
        <v>13.4244</v>
      </c>
      <c r="C7696" s="572">
        <v>238.67</v>
      </c>
    </row>
    <row r="7697" spans="1:3">
      <c r="A7697" s="571" t="s">
        <v>365</v>
      </c>
      <c r="B7697" s="572">
        <v>13.8438</v>
      </c>
      <c r="C7697" s="572">
        <v>248.03700000000001</v>
      </c>
    </row>
    <row r="7698" spans="1:3">
      <c r="A7698" s="571" t="s">
        <v>365</v>
      </c>
      <c r="B7698" s="572">
        <v>14.7119</v>
      </c>
      <c r="C7698" s="572">
        <v>257.39499999999998</v>
      </c>
    </row>
    <row r="7699" spans="1:3">
      <c r="A7699" s="571" t="s">
        <v>365</v>
      </c>
      <c r="B7699" s="572">
        <v>15.634499999999999</v>
      </c>
      <c r="C7699" s="572">
        <v>266.75400000000002</v>
      </c>
    </row>
    <row r="7700" spans="1:3">
      <c r="A7700" s="571" t="s">
        <v>365</v>
      </c>
      <c r="B7700" s="572">
        <v>16.126799999999999</v>
      </c>
      <c r="C7700" s="572">
        <v>279.245</v>
      </c>
    </row>
    <row r="7701" spans="1:3">
      <c r="A7701" s="571" t="s">
        <v>365</v>
      </c>
      <c r="B7701" s="572">
        <v>16.630600000000001</v>
      </c>
      <c r="C7701" s="572">
        <v>288.61200000000002</v>
      </c>
    </row>
    <row r="7702" spans="1:3">
      <c r="A7702" s="571" t="s">
        <v>365</v>
      </c>
      <c r="B7702" s="572">
        <v>17.673500000000001</v>
      </c>
      <c r="C7702" s="572">
        <v>297.97000000000003</v>
      </c>
    </row>
    <row r="7703" spans="1:3">
      <c r="A7703" s="571" t="s">
        <v>365</v>
      </c>
      <c r="B7703" s="572">
        <v>18.7818</v>
      </c>
      <c r="C7703" s="572">
        <v>307.32900000000001</v>
      </c>
    </row>
    <row r="7704" spans="1:3">
      <c r="A7704" s="571" t="s">
        <v>365</v>
      </c>
      <c r="B7704" s="572">
        <v>19.368600000000001</v>
      </c>
      <c r="C7704" s="572">
        <v>316.69600000000003</v>
      </c>
    </row>
    <row r="7705" spans="1:3">
      <c r="A7705" s="571" t="s">
        <v>365</v>
      </c>
      <c r="B7705" s="572">
        <v>20.583200000000001</v>
      </c>
      <c r="C7705" s="572">
        <v>326.05399999999997</v>
      </c>
    </row>
    <row r="7706" spans="1:3">
      <c r="A7706" s="571" t="s">
        <v>365</v>
      </c>
      <c r="B7706" s="572">
        <v>21.873999999999999</v>
      </c>
      <c r="C7706" s="572">
        <v>335.41300000000001</v>
      </c>
    </row>
    <row r="7707" spans="1:3">
      <c r="A7707" s="571" t="s">
        <v>365</v>
      </c>
      <c r="B7707" s="572">
        <v>22.552099999999999</v>
      </c>
      <c r="C7707" s="572">
        <v>341.654</v>
      </c>
    </row>
    <row r="7708" spans="1:3">
      <c r="A7708" s="571" t="s">
        <v>365</v>
      </c>
      <c r="B7708" s="572">
        <v>23.9664</v>
      </c>
      <c r="C7708" s="572">
        <v>351.01299999999998</v>
      </c>
    </row>
    <row r="7709" spans="1:3">
      <c r="A7709" s="571" t="s">
        <v>365</v>
      </c>
      <c r="B7709" s="572">
        <v>24.7151</v>
      </c>
      <c r="C7709" s="572">
        <v>360.37900000000002</v>
      </c>
    </row>
    <row r="7710" spans="1:3">
      <c r="A7710" s="571" t="s">
        <v>365</v>
      </c>
      <c r="B7710" s="572">
        <v>25.487300000000001</v>
      </c>
      <c r="C7710" s="572">
        <v>369.74599999999998</v>
      </c>
    </row>
    <row r="7711" spans="1:3">
      <c r="A7711" s="571" t="s">
        <v>365</v>
      </c>
      <c r="B7711" s="572">
        <v>27.085599999999999</v>
      </c>
      <c r="C7711" s="572">
        <v>379.10500000000002</v>
      </c>
    </row>
    <row r="7712" spans="1:3">
      <c r="A7712" s="571" t="s">
        <v>365</v>
      </c>
      <c r="B7712" s="572">
        <v>27.931799999999999</v>
      </c>
      <c r="C7712" s="572">
        <v>388.471</v>
      </c>
    </row>
    <row r="7713" spans="1:3">
      <c r="A7713" s="571" t="s">
        <v>365</v>
      </c>
      <c r="B7713" s="572">
        <v>29.683399999999999</v>
      </c>
      <c r="C7713" s="572">
        <v>397.83</v>
      </c>
    </row>
    <row r="7714" spans="1:3">
      <c r="A7714" s="571" t="s">
        <v>365</v>
      </c>
      <c r="B7714" s="572">
        <v>31.530100000000001</v>
      </c>
      <c r="C7714" s="572">
        <v>400.93799999999999</v>
      </c>
    </row>
    <row r="7715" spans="1:3">
      <c r="A7715" s="571" t="s">
        <v>365</v>
      </c>
      <c r="B7715" s="572">
        <v>32.5075</v>
      </c>
      <c r="C7715" s="572">
        <v>407.18</v>
      </c>
    </row>
    <row r="7716" spans="1:3">
      <c r="A7716" s="571" t="s">
        <v>365</v>
      </c>
      <c r="B7716" s="572">
        <v>33.5152</v>
      </c>
      <c r="C7716" s="572">
        <v>413.42200000000003</v>
      </c>
    </row>
    <row r="7717" spans="1:3">
      <c r="A7717" s="571" t="s">
        <v>365</v>
      </c>
      <c r="B7717" s="572">
        <v>35.625399999999999</v>
      </c>
      <c r="C7717" s="572">
        <v>425.90499999999997</v>
      </c>
    </row>
    <row r="7718" spans="1:3">
      <c r="A7718" s="571" t="s">
        <v>365</v>
      </c>
      <c r="B7718" s="572">
        <v>37.8506</v>
      </c>
      <c r="C7718" s="572">
        <v>432.13900000000001</v>
      </c>
    </row>
    <row r="7719" spans="1:3">
      <c r="A7719" s="571" t="s">
        <v>365</v>
      </c>
      <c r="B7719" s="572">
        <v>40.224200000000003</v>
      </c>
      <c r="C7719" s="572">
        <v>441.49700000000001</v>
      </c>
    </row>
    <row r="7720" spans="1:3">
      <c r="A7720" s="571" t="s">
        <v>365</v>
      </c>
      <c r="B7720" s="572">
        <v>44.051099999999998</v>
      </c>
      <c r="C7720" s="572">
        <v>450.84800000000001</v>
      </c>
    </row>
    <row r="7721" spans="1:3">
      <c r="A7721" s="571" t="s">
        <v>365</v>
      </c>
      <c r="B7721" s="572">
        <v>46.813600000000001</v>
      </c>
      <c r="C7721" s="572">
        <v>460.20600000000002</v>
      </c>
    </row>
    <row r="7722" spans="1:3">
      <c r="A7722" s="571" t="s">
        <v>365</v>
      </c>
      <c r="B7722" s="572">
        <v>49.749299999999998</v>
      </c>
      <c r="C7722" s="572">
        <v>469.565</v>
      </c>
    </row>
    <row r="7723" spans="1:3">
      <c r="A7723" s="571" t="s">
        <v>365</v>
      </c>
      <c r="B7723" s="572">
        <v>52.869199999999999</v>
      </c>
      <c r="C7723" s="572">
        <v>478.923</v>
      </c>
    </row>
    <row r="7724" spans="1:3">
      <c r="A7724" s="571" t="s">
        <v>365</v>
      </c>
      <c r="B7724" s="572">
        <v>54.520899999999997</v>
      </c>
      <c r="C7724" s="572">
        <v>488.29</v>
      </c>
    </row>
    <row r="7725" spans="1:3">
      <c r="A7725" s="571" t="s">
        <v>365</v>
      </c>
      <c r="B7725" s="572">
        <v>57.939900000000002</v>
      </c>
      <c r="C7725" s="572">
        <v>497.64800000000002</v>
      </c>
    </row>
    <row r="7726" spans="1:3">
      <c r="A7726" s="571" t="s">
        <v>365</v>
      </c>
      <c r="B7726" s="572">
        <v>63.452399999999997</v>
      </c>
      <c r="C7726" s="572">
        <v>506.99799999999999</v>
      </c>
    </row>
    <row r="7727" spans="1:3">
      <c r="A7727" s="571" t="s">
        <v>365</v>
      </c>
      <c r="B7727" s="572">
        <v>67.415700000000001</v>
      </c>
      <c r="C7727" s="572">
        <v>513.23199999999997</v>
      </c>
    </row>
    <row r="7728" spans="1:3">
      <c r="A7728" s="571" t="s">
        <v>365</v>
      </c>
      <c r="B7728" s="572">
        <v>71.6434</v>
      </c>
      <c r="C7728" s="572">
        <v>522.59100000000001</v>
      </c>
    </row>
    <row r="7729" spans="1:3">
      <c r="A7729" s="571" t="s">
        <v>365</v>
      </c>
      <c r="B7729" s="572">
        <v>76.136200000000002</v>
      </c>
      <c r="C7729" s="572">
        <v>531.94899999999996</v>
      </c>
    </row>
    <row r="7730" spans="1:3">
      <c r="A7730" s="571" t="s">
        <v>365</v>
      </c>
      <c r="B7730" s="572">
        <v>80.910700000000006</v>
      </c>
      <c r="C7730" s="572">
        <v>541.30700000000002</v>
      </c>
    </row>
    <row r="7731" spans="1:3">
      <c r="A7731" s="571" t="s">
        <v>365</v>
      </c>
      <c r="B7731" s="572">
        <v>85.984700000000004</v>
      </c>
      <c r="C7731" s="572">
        <v>550.66600000000005</v>
      </c>
    </row>
    <row r="7732" spans="1:3">
      <c r="A7732" s="571" t="s">
        <v>365</v>
      </c>
      <c r="B7732" s="572">
        <v>94.143199999999993</v>
      </c>
      <c r="C7732" s="572">
        <v>556.89099999999996</v>
      </c>
    </row>
    <row r="7733" spans="1:3">
      <c r="A7733" s="573" t="s">
        <v>365</v>
      </c>
      <c r="B7733" s="574">
        <v>103.07599999999999</v>
      </c>
      <c r="C7733" s="574">
        <v>563.11699999999996</v>
      </c>
    </row>
    <row r="7734" spans="1:3">
      <c r="A7734" s="573" t="s">
        <v>365</v>
      </c>
      <c r="B7734" s="574">
        <v>109.514</v>
      </c>
      <c r="C7734" s="574">
        <v>569.35</v>
      </c>
    </row>
    <row r="7735" spans="1:3">
      <c r="A7735" s="573" t="s">
        <v>365</v>
      </c>
      <c r="B7735" s="574">
        <v>119.905</v>
      </c>
      <c r="C7735" s="574">
        <v>575.57600000000002</v>
      </c>
    </row>
    <row r="7736" spans="1:3">
      <c r="A7736" s="573" t="s">
        <v>365</v>
      </c>
      <c r="B7736" s="574">
        <v>131.251</v>
      </c>
      <c r="C7736" s="574">
        <v>578.67600000000004</v>
      </c>
    </row>
    <row r="7737" spans="1:3">
      <c r="A7737" s="573" t="s">
        <v>365</v>
      </c>
      <c r="B7737" s="574">
        <v>139.44900000000001</v>
      </c>
      <c r="C7737" s="574">
        <v>584.91</v>
      </c>
    </row>
    <row r="7738" spans="1:3">
      <c r="A7738" s="573" t="s">
        <v>365</v>
      </c>
      <c r="B7738" s="574">
        <v>148.15899999999999</v>
      </c>
      <c r="C7738" s="574">
        <v>591.14300000000003</v>
      </c>
    </row>
    <row r="7739" spans="1:3">
      <c r="A7739" s="573" t="s">
        <v>365</v>
      </c>
      <c r="B7739" s="574">
        <v>162.179</v>
      </c>
      <c r="C7739" s="574">
        <v>594.24400000000003</v>
      </c>
    </row>
    <row r="7740" spans="1:3">
      <c r="A7740" s="571" t="s">
        <v>366</v>
      </c>
      <c r="B7740" s="572">
        <v>0.01</v>
      </c>
      <c r="C7740" s="572">
        <v>0</v>
      </c>
    </row>
    <row r="7741" spans="1:3">
      <c r="A7741" s="571" t="s">
        <v>366</v>
      </c>
      <c r="B7741" s="572">
        <v>1.03035E-2</v>
      </c>
      <c r="C7741" s="572">
        <v>2.4443900000000001E-2</v>
      </c>
    </row>
    <row r="7742" spans="1:3">
      <c r="A7742" s="571" t="s">
        <v>366</v>
      </c>
      <c r="B7742" s="572">
        <v>1.1612600000000001E-2</v>
      </c>
      <c r="C7742" s="572">
        <v>0.12222</v>
      </c>
    </row>
    <row r="7743" spans="1:3">
      <c r="A7743" s="571" t="s">
        <v>366</v>
      </c>
      <c r="B7743" s="572">
        <v>1.3088000000000001E-2</v>
      </c>
      <c r="C7743" s="572">
        <v>0.219995</v>
      </c>
    </row>
    <row r="7744" spans="1:3">
      <c r="A7744" s="571" t="s">
        <v>366</v>
      </c>
      <c r="B7744" s="572">
        <v>1.5659800000000001E-2</v>
      </c>
      <c r="C7744" s="572">
        <v>0.36665900000000001</v>
      </c>
    </row>
    <row r="7745" spans="1:3">
      <c r="A7745" s="571" t="s">
        <v>366</v>
      </c>
      <c r="B7745" s="572">
        <v>1.87371E-2</v>
      </c>
      <c r="C7745" s="572">
        <v>0.51332199999999994</v>
      </c>
    </row>
    <row r="7746" spans="1:3">
      <c r="A7746" s="571" t="s">
        <v>366</v>
      </c>
      <c r="B7746" s="572">
        <v>2.1751E-2</v>
      </c>
      <c r="C7746" s="572">
        <v>3.77251</v>
      </c>
    </row>
    <row r="7747" spans="1:3">
      <c r="A7747" s="571" t="s">
        <v>366</v>
      </c>
      <c r="B7747" s="572">
        <v>2.52585E-2</v>
      </c>
      <c r="C7747" s="572">
        <v>3.89473</v>
      </c>
    </row>
    <row r="7748" spans="1:3">
      <c r="A7748" s="571" t="s">
        <v>366</v>
      </c>
      <c r="B7748" s="572">
        <v>2.9331699999999999E-2</v>
      </c>
      <c r="C7748" s="572">
        <v>4.0169499999999996</v>
      </c>
    </row>
    <row r="7749" spans="1:3">
      <c r="A7749" s="571" t="s">
        <v>366</v>
      </c>
      <c r="B7749" s="572">
        <v>3.6173499999999997E-2</v>
      </c>
      <c r="C7749" s="572">
        <v>1.0510900000000001</v>
      </c>
    </row>
    <row r="7750" spans="1:3">
      <c r="A7750" s="571" t="s">
        <v>366</v>
      </c>
      <c r="B7750" s="572">
        <v>4.0769300000000001E-2</v>
      </c>
      <c r="C7750" s="572">
        <v>1.14886</v>
      </c>
    </row>
    <row r="7751" spans="1:3">
      <c r="A7751" s="571" t="s">
        <v>366</v>
      </c>
      <c r="B7751" s="572">
        <v>4.8780799999999999E-2</v>
      </c>
      <c r="C7751" s="572">
        <v>1.2955300000000001</v>
      </c>
    </row>
    <row r="7752" spans="1:3">
      <c r="A7752" s="571" t="s">
        <v>366</v>
      </c>
      <c r="B7752" s="572">
        <v>5.6647099999999999E-2</v>
      </c>
      <c r="C7752" s="572">
        <v>1.4177500000000001</v>
      </c>
    </row>
    <row r="7753" spans="1:3">
      <c r="A7753" s="571" t="s">
        <v>366</v>
      </c>
      <c r="B7753" s="572">
        <v>6.5781999999999993E-2</v>
      </c>
      <c r="C7753" s="572">
        <v>1.5399700000000001</v>
      </c>
    </row>
    <row r="7754" spans="1:3">
      <c r="A7754" s="571" t="s">
        <v>366</v>
      </c>
      <c r="B7754" s="572">
        <v>8.1069000000000002E-2</v>
      </c>
      <c r="C7754" s="572">
        <v>4.8480400000000001</v>
      </c>
    </row>
    <row r="7755" spans="1:3">
      <c r="A7755" s="571" t="s">
        <v>366</v>
      </c>
      <c r="B7755" s="572">
        <v>9.4142100000000006E-2</v>
      </c>
      <c r="C7755" s="572">
        <v>4.9702599999999997</v>
      </c>
    </row>
    <row r="7756" spans="1:3">
      <c r="A7756" s="571" t="s">
        <v>366</v>
      </c>
      <c r="B7756" s="572">
        <v>0.11264200000000001</v>
      </c>
      <c r="C7756" s="572">
        <v>5.1169200000000004</v>
      </c>
    </row>
    <row r="7757" spans="1:3">
      <c r="A7757" s="571" t="s">
        <v>366</v>
      </c>
      <c r="B7757" s="572">
        <v>0.134824</v>
      </c>
      <c r="C7757" s="572">
        <v>2.12662</v>
      </c>
    </row>
    <row r="7758" spans="1:3">
      <c r="A7758" s="571" t="s">
        <v>366</v>
      </c>
      <c r="B7758" s="572">
        <v>0.16131799999999999</v>
      </c>
      <c r="C7758" s="572">
        <v>2.2732800000000002</v>
      </c>
    </row>
    <row r="7759" spans="1:3">
      <c r="A7759" s="571" t="s">
        <v>366</v>
      </c>
      <c r="B7759" s="572">
        <v>0.18187700000000001</v>
      </c>
      <c r="C7759" s="572">
        <v>0.76590899999999995</v>
      </c>
    </row>
    <row r="7760" spans="1:3">
      <c r="A7760" s="571" t="s">
        <v>366</v>
      </c>
      <c r="B7760" s="572">
        <v>0.204984</v>
      </c>
      <c r="C7760" s="572">
        <v>0.66813299999999998</v>
      </c>
    </row>
    <row r="7761" spans="1:3">
      <c r="A7761" s="571" t="s">
        <v>366</v>
      </c>
      <c r="B7761" s="572">
        <v>0.24535100000000001</v>
      </c>
      <c r="C7761" s="572">
        <v>3.6584400000000001</v>
      </c>
    </row>
    <row r="7762" spans="1:3">
      <c r="A7762" s="571" t="s">
        <v>366</v>
      </c>
      <c r="B7762" s="572">
        <v>0.27642600000000001</v>
      </c>
      <c r="C7762" s="572">
        <v>0.42369400000000002</v>
      </c>
    </row>
    <row r="7763" spans="1:3">
      <c r="A7763" s="571" t="s">
        <v>366</v>
      </c>
      <c r="B7763" s="572">
        <v>0.32111499999999998</v>
      </c>
      <c r="C7763" s="572">
        <v>3.4384399999999999</v>
      </c>
    </row>
    <row r="7764" spans="1:3">
      <c r="A7764" s="571" t="s">
        <v>366</v>
      </c>
      <c r="B7764" s="572">
        <v>0.373029</v>
      </c>
      <c r="C7764" s="572">
        <v>6.4531900000000002</v>
      </c>
    </row>
    <row r="7765" spans="1:3">
      <c r="A7765" s="571" t="s">
        <v>366</v>
      </c>
      <c r="B7765" s="572">
        <v>0.433031</v>
      </c>
      <c r="C7765" s="572">
        <v>3.194</v>
      </c>
    </row>
    <row r="7766" spans="1:3">
      <c r="A7766" s="571" t="s">
        <v>366</v>
      </c>
      <c r="B7766" s="572">
        <v>0.48821999999999999</v>
      </c>
      <c r="C7766" s="572">
        <v>6.2331899999999996</v>
      </c>
    </row>
    <row r="7767" spans="1:3">
      <c r="A7767" s="571" t="s">
        <v>366</v>
      </c>
      <c r="B7767" s="572">
        <v>0.56694900000000004</v>
      </c>
      <c r="C7767" s="572">
        <v>6.1109799999999996</v>
      </c>
    </row>
    <row r="7768" spans="1:3">
      <c r="A7768" s="571" t="s">
        <v>366</v>
      </c>
      <c r="B7768" s="572">
        <v>0.65837500000000004</v>
      </c>
      <c r="C7768" s="572">
        <v>5.9887600000000001</v>
      </c>
    </row>
    <row r="7769" spans="1:3">
      <c r="A7769" s="571" t="s">
        <v>366</v>
      </c>
      <c r="B7769" s="572">
        <v>0.76481299999999997</v>
      </c>
      <c r="C7769" s="572">
        <v>9.0035000000000007</v>
      </c>
    </row>
    <row r="7770" spans="1:3">
      <c r="A7770" s="571" t="s">
        <v>366</v>
      </c>
      <c r="B7770" s="572">
        <v>0.862286</v>
      </c>
      <c r="C7770" s="572">
        <v>12.0427</v>
      </c>
    </row>
    <row r="7771" spans="1:3">
      <c r="A7771" s="571" t="s">
        <v>366</v>
      </c>
      <c r="B7771" s="572">
        <v>0.94321100000000002</v>
      </c>
      <c r="C7771" s="572">
        <v>11.9694</v>
      </c>
    </row>
    <row r="7772" spans="1:3">
      <c r="A7772" s="571" t="s">
        <v>366</v>
      </c>
      <c r="B7772" s="572">
        <v>1.1632199999999999</v>
      </c>
      <c r="C7772" s="572">
        <v>14.9352</v>
      </c>
    </row>
    <row r="7773" spans="1:3">
      <c r="A7773" s="571" t="s">
        <v>366</v>
      </c>
      <c r="B7773" s="572">
        <v>1.31193</v>
      </c>
      <c r="C7773" s="572">
        <v>21.1114</v>
      </c>
    </row>
    <row r="7774" spans="1:3">
      <c r="A7774" s="571" t="s">
        <v>366</v>
      </c>
      <c r="B7774" s="572">
        <v>1.52403</v>
      </c>
      <c r="C7774" s="572">
        <v>24.126100000000001</v>
      </c>
    </row>
    <row r="7775" spans="1:3">
      <c r="A7775" s="571" t="s">
        <v>366</v>
      </c>
      <c r="B7775" s="572">
        <v>1.6682300000000001</v>
      </c>
      <c r="C7775" s="572">
        <v>30.326699999999999</v>
      </c>
    </row>
    <row r="7776" spans="1:3">
      <c r="A7776" s="571" t="s">
        <v>366</v>
      </c>
      <c r="B7776" s="572">
        <v>1.9379299999999999</v>
      </c>
      <c r="C7776" s="572">
        <v>33.341500000000003</v>
      </c>
    </row>
    <row r="7777" spans="1:3">
      <c r="A7777" s="571" t="s">
        <v>366</v>
      </c>
      <c r="B7777" s="572">
        <v>2.2520199999999999</v>
      </c>
      <c r="C7777" s="572">
        <v>39.493200000000002</v>
      </c>
    </row>
    <row r="7778" spans="1:3">
      <c r="A7778" s="571" t="s">
        <v>366</v>
      </c>
      <c r="B7778" s="572">
        <v>2.4651100000000001</v>
      </c>
      <c r="C7778" s="572">
        <v>45.693800000000003</v>
      </c>
    </row>
    <row r="7779" spans="1:3">
      <c r="A7779" s="571" t="s">
        <v>366</v>
      </c>
      <c r="B7779" s="572">
        <v>2.77928</v>
      </c>
      <c r="C7779" s="572">
        <v>48.732999999999997</v>
      </c>
    </row>
    <row r="7780" spans="1:3">
      <c r="A7780" s="571" t="s">
        <v>366</v>
      </c>
      <c r="B7780" s="572">
        <v>3.1345900000000002</v>
      </c>
      <c r="C7780" s="572">
        <v>54.909199999999998</v>
      </c>
    </row>
    <row r="7781" spans="1:3">
      <c r="A7781" s="571" t="s">
        <v>366</v>
      </c>
      <c r="B7781" s="572">
        <v>3.3300999999999998</v>
      </c>
      <c r="C7781" s="572">
        <v>61.1342</v>
      </c>
    </row>
    <row r="7782" spans="1:3">
      <c r="A7782" s="571" t="s">
        <v>366</v>
      </c>
      <c r="B7782" s="572">
        <v>3.7571599999999998</v>
      </c>
      <c r="C7782" s="572">
        <v>70.447299999999998</v>
      </c>
    </row>
    <row r="7783" spans="1:3">
      <c r="A7783" s="571" t="s">
        <v>366</v>
      </c>
      <c r="B7783" s="572">
        <v>3.9914999999999998</v>
      </c>
      <c r="C7783" s="572">
        <v>76.672399999999996</v>
      </c>
    </row>
    <row r="7784" spans="1:3">
      <c r="A7784" s="571" t="s">
        <v>366</v>
      </c>
      <c r="B7784" s="572">
        <v>4.2404700000000002</v>
      </c>
      <c r="C7784" s="572">
        <v>82.897400000000005</v>
      </c>
    </row>
    <row r="7785" spans="1:3">
      <c r="A7785" s="571" t="s">
        <v>366</v>
      </c>
      <c r="B7785" s="572">
        <v>4.5049599999999996</v>
      </c>
      <c r="C7785" s="572">
        <v>89.122500000000002</v>
      </c>
    </row>
    <row r="7786" spans="1:3">
      <c r="A7786" s="571" t="s">
        <v>366</v>
      </c>
      <c r="B7786" s="572">
        <v>4.9312199999999997</v>
      </c>
      <c r="C7786" s="572">
        <v>95.323099999999997</v>
      </c>
    </row>
    <row r="7787" spans="1:3">
      <c r="A7787" s="571" t="s">
        <v>366</v>
      </c>
      <c r="B7787" s="572">
        <v>5.5636000000000001</v>
      </c>
      <c r="C7787" s="572">
        <v>104.636</v>
      </c>
    </row>
    <row r="7788" spans="1:3">
      <c r="A7788" s="571" t="s">
        <v>366</v>
      </c>
      <c r="B7788" s="572">
        <v>6.0921599999999998</v>
      </c>
      <c r="C7788" s="572">
        <v>113.974</v>
      </c>
    </row>
    <row r="7789" spans="1:3">
      <c r="A7789" s="571" t="s">
        <v>366</v>
      </c>
      <c r="B7789" s="572">
        <v>6.6685999999999996</v>
      </c>
      <c r="C7789" s="572">
        <v>120.17400000000001</v>
      </c>
    </row>
    <row r="7790" spans="1:3">
      <c r="A7790" s="571" t="s">
        <v>366</v>
      </c>
      <c r="B7790" s="572">
        <v>7.0870300000000004</v>
      </c>
      <c r="C7790" s="572">
        <v>129.536</v>
      </c>
    </row>
    <row r="7791" spans="1:3">
      <c r="A7791" s="571" t="s">
        <v>366</v>
      </c>
      <c r="B7791" s="572">
        <v>7.7603299999999997</v>
      </c>
      <c r="C7791" s="572">
        <v>138.874</v>
      </c>
    </row>
    <row r="7792" spans="1:3">
      <c r="A7792" s="571" t="s">
        <v>366</v>
      </c>
      <c r="B7792" s="572">
        <v>8.4975900000000006</v>
      </c>
      <c r="C7792" s="572">
        <v>148.21199999999999</v>
      </c>
    </row>
    <row r="7793" spans="1:3">
      <c r="A7793" s="571" t="s">
        <v>366</v>
      </c>
      <c r="B7793" s="572">
        <v>9.0276200000000006</v>
      </c>
      <c r="C7793" s="572">
        <v>154.43700000000001</v>
      </c>
    </row>
    <row r="7794" spans="1:3">
      <c r="A7794" s="571" t="s">
        <v>366</v>
      </c>
      <c r="B7794" s="572">
        <v>9.8852799999999998</v>
      </c>
      <c r="C7794" s="572">
        <v>163.774</v>
      </c>
    </row>
    <row r="7795" spans="1:3">
      <c r="A7795" s="571" t="s">
        <v>366</v>
      </c>
      <c r="B7795" s="572">
        <v>10.5093</v>
      </c>
      <c r="C7795" s="572">
        <v>176.273</v>
      </c>
    </row>
    <row r="7796" spans="1:3">
      <c r="A7796" s="571" t="s">
        <v>366</v>
      </c>
      <c r="B7796" s="572">
        <v>11.1647</v>
      </c>
      <c r="C7796" s="572">
        <v>182.49799999999999</v>
      </c>
    </row>
    <row r="7797" spans="1:3">
      <c r="A7797" s="571" t="s">
        <v>366</v>
      </c>
      <c r="B7797" s="572">
        <v>11.8653</v>
      </c>
      <c r="C7797" s="572">
        <v>191.86</v>
      </c>
    </row>
    <row r="7798" spans="1:3">
      <c r="A7798" s="571" t="s">
        <v>366</v>
      </c>
      <c r="B7798" s="572">
        <v>12.6143</v>
      </c>
      <c r="C7798" s="572">
        <v>204.35900000000001</v>
      </c>
    </row>
    <row r="7799" spans="1:3">
      <c r="A7799" s="571" t="s">
        <v>366</v>
      </c>
      <c r="B7799" s="572">
        <v>13.010899999999999</v>
      </c>
      <c r="C7799" s="572">
        <v>213.74600000000001</v>
      </c>
    </row>
    <row r="7800" spans="1:3">
      <c r="A7800" s="571" t="s">
        <v>366</v>
      </c>
      <c r="B7800" s="572">
        <v>13.827199999999999</v>
      </c>
      <c r="C7800" s="572">
        <v>223.108</v>
      </c>
    </row>
    <row r="7801" spans="1:3">
      <c r="A7801" s="571" t="s">
        <v>366</v>
      </c>
      <c r="B7801" s="572">
        <v>14.6897</v>
      </c>
      <c r="C7801" s="572">
        <v>229.333</v>
      </c>
    </row>
    <row r="7802" spans="1:3">
      <c r="A7802" s="571" t="s">
        <v>366</v>
      </c>
      <c r="B7802" s="572">
        <v>15.6114</v>
      </c>
      <c r="C7802" s="572">
        <v>238.69499999999999</v>
      </c>
    </row>
    <row r="7803" spans="1:3">
      <c r="A7803" s="571" t="s">
        <v>366</v>
      </c>
      <c r="B7803" s="572">
        <v>16.5852</v>
      </c>
      <c r="C7803" s="572">
        <v>244.92</v>
      </c>
    </row>
    <row r="7804" spans="1:3">
      <c r="A7804" s="571" t="s">
        <v>366</v>
      </c>
      <c r="B7804" s="572">
        <v>18.160799999999998</v>
      </c>
      <c r="C7804" s="572">
        <v>254.25700000000001</v>
      </c>
    </row>
    <row r="7805" spans="1:3">
      <c r="A7805" s="571" t="s">
        <v>366</v>
      </c>
      <c r="B7805" s="572">
        <v>19.293600000000001</v>
      </c>
      <c r="C7805" s="572">
        <v>260.48200000000003</v>
      </c>
    </row>
    <row r="7806" spans="1:3">
      <c r="A7806" s="571" t="s">
        <v>366</v>
      </c>
      <c r="B7806" s="572">
        <v>20.504200000000001</v>
      </c>
      <c r="C7806" s="572">
        <v>269.84399999999999</v>
      </c>
    </row>
    <row r="7807" spans="1:3">
      <c r="A7807" s="571" t="s">
        <v>366</v>
      </c>
      <c r="B7807" s="572">
        <v>22.460100000000001</v>
      </c>
      <c r="C7807" s="572">
        <v>282.31900000000002</v>
      </c>
    </row>
    <row r="7808" spans="1:3">
      <c r="A7808" s="571" t="s">
        <v>366</v>
      </c>
      <c r="B7808" s="572">
        <v>23.869399999999999</v>
      </c>
      <c r="C7808" s="572">
        <v>291.68099999999998</v>
      </c>
    </row>
    <row r="7809" spans="1:3">
      <c r="A7809" s="571" t="s">
        <v>366</v>
      </c>
      <c r="B7809" s="572">
        <v>26.1463</v>
      </c>
      <c r="C7809" s="572">
        <v>304.15499999999997</v>
      </c>
    </row>
    <row r="7810" spans="1:3">
      <c r="A7810" s="571" t="s">
        <v>366</v>
      </c>
      <c r="B7810" s="572">
        <v>28.620200000000001</v>
      </c>
      <c r="C7810" s="572">
        <v>310.35599999999999</v>
      </c>
    </row>
    <row r="7811" spans="1:3">
      <c r="A7811" s="571" t="s">
        <v>366</v>
      </c>
      <c r="B7811" s="572">
        <v>29.509699999999999</v>
      </c>
      <c r="C7811" s="572">
        <v>316.60599999999999</v>
      </c>
    </row>
    <row r="7812" spans="1:3">
      <c r="A7812" s="571" t="s">
        <v>366</v>
      </c>
      <c r="B7812" s="572">
        <v>32.324599999999997</v>
      </c>
      <c r="C7812" s="572">
        <v>329.08</v>
      </c>
    </row>
    <row r="7813" spans="1:3">
      <c r="A7813" s="571" t="s">
        <v>366</v>
      </c>
      <c r="B7813" s="572">
        <v>34.352899999999998</v>
      </c>
      <c r="C7813" s="572">
        <v>338.44200000000001</v>
      </c>
    </row>
    <row r="7814" spans="1:3">
      <c r="A7814" s="571" t="s">
        <v>366</v>
      </c>
      <c r="B7814" s="572">
        <v>36.495600000000003</v>
      </c>
      <c r="C7814" s="572">
        <v>344.66699999999997</v>
      </c>
    </row>
    <row r="7815" spans="1:3">
      <c r="A7815" s="571" t="s">
        <v>366</v>
      </c>
      <c r="B7815" s="572">
        <v>38.785600000000002</v>
      </c>
      <c r="C7815" s="572">
        <v>354.029</v>
      </c>
    </row>
    <row r="7816" spans="1:3">
      <c r="A7816" s="571" t="s">
        <v>366</v>
      </c>
      <c r="B7816" s="572">
        <v>40.005000000000003</v>
      </c>
      <c r="C7816" s="572">
        <v>363.416</v>
      </c>
    </row>
    <row r="7817" spans="1:3">
      <c r="A7817" s="571" t="s">
        <v>366</v>
      </c>
      <c r="B7817" s="572">
        <v>42.5152</v>
      </c>
      <c r="C7817" s="572">
        <v>372.77800000000002</v>
      </c>
    </row>
    <row r="7818" spans="1:3">
      <c r="A7818" s="571" t="s">
        <v>366</v>
      </c>
      <c r="B7818" s="572">
        <v>43.851900000000001</v>
      </c>
      <c r="C7818" s="572">
        <v>382.16399999999999</v>
      </c>
    </row>
    <row r="7819" spans="1:3">
      <c r="A7819" s="571" t="s">
        <v>366</v>
      </c>
      <c r="B7819" s="572">
        <v>46.603499999999997</v>
      </c>
      <c r="C7819" s="572">
        <v>391.52600000000001</v>
      </c>
    </row>
    <row r="7820" spans="1:3">
      <c r="A7820" s="571" t="s">
        <v>366</v>
      </c>
      <c r="B7820" s="572">
        <v>48.0518</v>
      </c>
      <c r="C7820" s="572">
        <v>397.77600000000001</v>
      </c>
    </row>
    <row r="7821" spans="1:3">
      <c r="A7821" s="571" t="s">
        <v>366</v>
      </c>
      <c r="B7821" s="572">
        <v>52.598399999999998</v>
      </c>
      <c r="C7821" s="572">
        <v>403.976</v>
      </c>
    </row>
    <row r="7822" spans="1:3">
      <c r="A7822" s="571" t="s">
        <v>366</v>
      </c>
      <c r="B7822" s="572">
        <v>54.252200000000002</v>
      </c>
      <c r="C7822" s="572">
        <v>413.363</v>
      </c>
    </row>
    <row r="7823" spans="1:3">
      <c r="A7823" s="571" t="s">
        <v>366</v>
      </c>
      <c r="B7823" s="572">
        <v>59.406300000000002</v>
      </c>
      <c r="C7823" s="572">
        <v>422.7</v>
      </c>
    </row>
    <row r="7824" spans="1:3">
      <c r="A7824" s="571" t="s">
        <v>366</v>
      </c>
      <c r="B7824" s="572">
        <v>63.133899999999997</v>
      </c>
      <c r="C7824" s="572">
        <v>432.06200000000001</v>
      </c>
    </row>
    <row r="7825" spans="1:3">
      <c r="A7825" s="571" t="s">
        <v>366</v>
      </c>
      <c r="B7825" s="572">
        <v>67.095399999999998</v>
      </c>
      <c r="C7825" s="572">
        <v>441.42399999999998</v>
      </c>
    </row>
    <row r="7826" spans="1:3">
      <c r="A7826" s="571" t="s">
        <v>366</v>
      </c>
      <c r="B7826" s="572">
        <v>71.2804</v>
      </c>
      <c r="C7826" s="572">
        <v>447.649</v>
      </c>
    </row>
    <row r="7827" spans="1:3">
      <c r="A7827" s="571" t="s">
        <v>366</v>
      </c>
      <c r="B7827" s="572">
        <v>75.753</v>
      </c>
      <c r="C7827" s="572">
        <v>457.01100000000002</v>
      </c>
    </row>
    <row r="7828" spans="1:3">
      <c r="A7828" s="571" t="s">
        <v>366</v>
      </c>
      <c r="B7828" s="572">
        <v>80.449700000000007</v>
      </c>
      <c r="C7828" s="572">
        <v>460.09899999999999</v>
      </c>
    </row>
    <row r="7829" spans="1:3">
      <c r="A7829" s="571" t="s">
        <v>366</v>
      </c>
      <c r="B7829" s="572">
        <v>85.497699999999995</v>
      </c>
      <c r="C7829" s="572">
        <v>469.46100000000001</v>
      </c>
    </row>
    <row r="7830" spans="1:3">
      <c r="A7830" s="571" t="s">
        <v>366</v>
      </c>
      <c r="B7830" s="572">
        <v>90.830500000000001</v>
      </c>
      <c r="C7830" s="572">
        <v>475.68599999999998</v>
      </c>
    </row>
    <row r="7831" spans="1:3">
      <c r="A7831" s="571" t="s">
        <v>366</v>
      </c>
      <c r="B7831" s="572">
        <v>93.653300000000002</v>
      </c>
      <c r="C7831" s="572">
        <v>481.93599999999998</v>
      </c>
    </row>
    <row r="7832" spans="1:3">
      <c r="A7832" s="573" t="s">
        <v>366</v>
      </c>
      <c r="B7832" s="574">
        <v>102.515</v>
      </c>
      <c r="C7832" s="574">
        <v>488.137</v>
      </c>
    </row>
    <row r="7833" spans="1:3">
      <c r="A7833" s="573" t="s">
        <v>366</v>
      </c>
      <c r="B7833" s="574">
        <v>112.175</v>
      </c>
      <c r="C7833" s="574">
        <v>491.2</v>
      </c>
    </row>
    <row r="7834" spans="1:3">
      <c r="A7834" s="573" t="s">
        <v>366</v>
      </c>
      <c r="B7834" s="574">
        <v>122.746</v>
      </c>
      <c r="C7834" s="574">
        <v>494.26400000000001</v>
      </c>
    </row>
    <row r="7835" spans="1:3">
      <c r="A7835" s="573" t="s">
        <v>366</v>
      </c>
      <c r="B7835" s="574">
        <v>130.40199999999999</v>
      </c>
      <c r="C7835" s="574">
        <v>500.48899999999998</v>
      </c>
    </row>
    <row r="7836" spans="1:3">
      <c r="A7836" s="573" t="s">
        <v>366</v>
      </c>
      <c r="B7836" s="574">
        <v>142.74</v>
      </c>
      <c r="C7836" s="574">
        <v>506.68900000000002</v>
      </c>
    </row>
    <row r="7837" spans="1:3">
      <c r="A7837" s="573" t="s">
        <v>366</v>
      </c>
      <c r="B7837" s="574">
        <v>151.643</v>
      </c>
      <c r="C7837" s="574">
        <v>512.91499999999996</v>
      </c>
    </row>
    <row r="7838" spans="1:3">
      <c r="A7838" s="573" t="s">
        <v>366</v>
      </c>
      <c r="B7838" s="574">
        <v>165.93299999999999</v>
      </c>
      <c r="C7838" s="574">
        <v>515.97799999999995</v>
      </c>
    </row>
    <row r="7839" spans="1:3">
      <c r="A7839" s="573" t="s">
        <v>366</v>
      </c>
      <c r="B7839" s="574">
        <v>171.15</v>
      </c>
      <c r="C7839" s="574">
        <v>525.36500000000001</v>
      </c>
    </row>
    <row r="7840" spans="1:3">
      <c r="A7840" s="573" t="s">
        <v>366</v>
      </c>
      <c r="B7840" s="574">
        <v>187.279</v>
      </c>
      <c r="C7840" s="574">
        <v>528.428</v>
      </c>
    </row>
    <row r="7841" spans="1:3">
      <c r="A7841" s="571" t="s">
        <v>2001</v>
      </c>
      <c r="B7841" s="572">
        <v>1.1976</v>
      </c>
      <c r="C7841" s="572">
        <v>0</v>
      </c>
    </row>
    <row r="7842" spans="1:3">
      <c r="A7842" s="571" t="s">
        <v>2001</v>
      </c>
      <c r="B7842" s="572">
        <v>3.5928100000000001</v>
      </c>
      <c r="C7842" s="572">
        <v>18.75</v>
      </c>
    </row>
    <row r="7843" spans="1:3">
      <c r="A7843" s="571" t="s">
        <v>2001</v>
      </c>
      <c r="B7843" s="572">
        <v>7.1856299999999997</v>
      </c>
      <c r="C7843" s="572">
        <v>68.75</v>
      </c>
    </row>
    <row r="7844" spans="1:3">
      <c r="A7844" s="571" t="s">
        <v>2001</v>
      </c>
      <c r="B7844" s="572">
        <v>8.3832299999999993</v>
      </c>
      <c r="C7844" s="572">
        <v>76.25</v>
      </c>
    </row>
    <row r="7845" spans="1:3">
      <c r="A7845" s="571" t="s">
        <v>2001</v>
      </c>
      <c r="B7845" s="572">
        <v>9.5808400000000002</v>
      </c>
      <c r="C7845" s="572">
        <v>90</v>
      </c>
    </row>
    <row r="7846" spans="1:3">
      <c r="A7846" s="571" t="s">
        <v>2001</v>
      </c>
      <c r="B7846" s="572">
        <v>14.3713</v>
      </c>
      <c r="C7846" s="572">
        <v>97.5</v>
      </c>
    </row>
    <row r="7847" spans="1:3">
      <c r="A7847" s="571" t="s">
        <v>2001</v>
      </c>
      <c r="B7847" s="572">
        <v>19.1617</v>
      </c>
      <c r="C7847" s="572">
        <v>113.75</v>
      </c>
    </row>
    <row r="7848" spans="1:3">
      <c r="A7848" s="571" t="s">
        <v>2001</v>
      </c>
      <c r="B7848" s="572">
        <v>23.952100000000002</v>
      </c>
      <c r="C7848" s="572">
        <v>116.25</v>
      </c>
    </row>
    <row r="7849" spans="1:3">
      <c r="A7849" s="571" t="s">
        <v>2001</v>
      </c>
      <c r="B7849" s="572">
        <v>27.544899999999998</v>
      </c>
      <c r="C7849" s="572">
        <v>140</v>
      </c>
    </row>
    <row r="7850" spans="1:3">
      <c r="A7850" s="571" t="s">
        <v>2001</v>
      </c>
      <c r="B7850" s="572">
        <v>31.137699999999999</v>
      </c>
      <c r="C7850" s="572">
        <v>142.5</v>
      </c>
    </row>
    <row r="7851" spans="1:3">
      <c r="A7851" s="571" t="s">
        <v>2001</v>
      </c>
      <c r="B7851" s="572">
        <v>41.916200000000003</v>
      </c>
      <c r="C7851" s="572">
        <v>152.5</v>
      </c>
    </row>
    <row r="7852" spans="1:3">
      <c r="A7852" s="571" t="s">
        <v>2001</v>
      </c>
      <c r="B7852" s="572">
        <v>47.904200000000003</v>
      </c>
      <c r="C7852" s="572">
        <v>166.25</v>
      </c>
    </row>
    <row r="7853" spans="1:3">
      <c r="A7853" s="571" t="s">
        <v>2001</v>
      </c>
      <c r="B7853" s="572">
        <v>56.287399999999998</v>
      </c>
      <c r="C7853" s="572">
        <v>171.25</v>
      </c>
    </row>
    <row r="7854" spans="1:3">
      <c r="A7854" s="571" t="s">
        <v>2001</v>
      </c>
      <c r="B7854" s="572">
        <v>65.868300000000005</v>
      </c>
      <c r="C7854" s="572">
        <v>182.5</v>
      </c>
    </row>
    <row r="7855" spans="1:3">
      <c r="A7855" s="571" t="s">
        <v>2001</v>
      </c>
      <c r="B7855" s="572">
        <v>73.053899999999999</v>
      </c>
      <c r="C7855" s="572">
        <v>195</v>
      </c>
    </row>
    <row r="7856" spans="1:3">
      <c r="A7856" s="571" t="s">
        <v>2001</v>
      </c>
      <c r="B7856" s="572">
        <v>79.041899999999998</v>
      </c>
      <c r="C7856" s="572">
        <v>186.25</v>
      </c>
    </row>
    <row r="7857" spans="1:3">
      <c r="A7857" s="571" t="s">
        <v>2001</v>
      </c>
      <c r="B7857" s="572">
        <v>91.018000000000001</v>
      </c>
      <c r="C7857" s="572">
        <v>205</v>
      </c>
    </row>
    <row r="7858" spans="1:3">
      <c r="A7858" s="573" t="s">
        <v>2001</v>
      </c>
      <c r="B7858" s="574">
        <v>102.994</v>
      </c>
      <c r="C7858" s="574">
        <v>218.75</v>
      </c>
    </row>
    <row r="7859" spans="1:3">
      <c r="A7859" s="573" t="s">
        <v>2001</v>
      </c>
      <c r="B7859" s="574">
        <v>119.76</v>
      </c>
      <c r="C7859" s="574">
        <v>226.25</v>
      </c>
    </row>
    <row r="7860" spans="1:3">
      <c r="A7860" s="573" t="s">
        <v>2001</v>
      </c>
      <c r="B7860" s="574">
        <v>131.73699999999999</v>
      </c>
      <c r="C7860" s="574">
        <v>231.25</v>
      </c>
    </row>
    <row r="7861" spans="1:3">
      <c r="A7861" s="573" t="s">
        <v>2001</v>
      </c>
      <c r="B7861" s="574">
        <v>148.50299999999999</v>
      </c>
      <c r="C7861" s="574">
        <v>233.75</v>
      </c>
    </row>
    <row r="7862" spans="1:3">
      <c r="A7862" s="573" t="s">
        <v>2001</v>
      </c>
      <c r="B7862" s="574">
        <v>167.66499999999999</v>
      </c>
      <c r="C7862" s="574">
        <v>222.5</v>
      </c>
    </row>
    <row r="7863" spans="1:3">
      <c r="A7863" s="573" t="s">
        <v>2001</v>
      </c>
      <c r="B7863" s="574">
        <v>189.22200000000001</v>
      </c>
      <c r="C7863" s="574">
        <v>237.5</v>
      </c>
    </row>
    <row r="7864" spans="1:3">
      <c r="A7864" s="573" t="s">
        <v>2001</v>
      </c>
      <c r="B7864" s="574">
        <v>216.76599999999999</v>
      </c>
      <c r="C7864" s="574">
        <v>235</v>
      </c>
    </row>
    <row r="7865" spans="1:3">
      <c r="A7865" s="573" t="s">
        <v>2001</v>
      </c>
      <c r="B7865" s="574">
        <v>250.29900000000001</v>
      </c>
      <c r="C7865" s="574">
        <v>228.75</v>
      </c>
    </row>
    <row r="7866" spans="1:3">
      <c r="A7866" s="573" t="s">
        <v>2001</v>
      </c>
      <c r="B7866" s="574">
        <v>320.95800000000003</v>
      </c>
      <c r="C7866" s="574">
        <v>225</v>
      </c>
    </row>
    <row r="7867" spans="1:3">
      <c r="A7867" s="573" t="s">
        <v>2001</v>
      </c>
      <c r="B7867" s="574">
        <v>368.86200000000002</v>
      </c>
      <c r="C7867" s="574">
        <v>247.5</v>
      </c>
    </row>
    <row r="7868" spans="1:3">
      <c r="A7868" s="573" t="s">
        <v>2001</v>
      </c>
      <c r="B7868" s="574">
        <v>371.25700000000001</v>
      </c>
      <c r="C7868" s="574">
        <v>246.25</v>
      </c>
    </row>
    <row r="7869" spans="1:3">
      <c r="A7869" s="573" t="s">
        <v>2001</v>
      </c>
      <c r="B7869" s="574">
        <v>373.65300000000002</v>
      </c>
      <c r="C7869" s="574">
        <v>250</v>
      </c>
    </row>
    <row r="7870" spans="1:3">
      <c r="A7870" s="573" t="s">
        <v>2001</v>
      </c>
      <c r="B7870" s="574">
        <v>378.44299999999998</v>
      </c>
      <c r="C7870" s="574">
        <v>258.75</v>
      </c>
    </row>
    <row r="7871" spans="1:3">
      <c r="A7871" s="573" t="s">
        <v>2001</v>
      </c>
      <c r="B7871" s="574">
        <v>401.19799999999998</v>
      </c>
      <c r="C7871" s="574">
        <v>257.5</v>
      </c>
    </row>
    <row r="7872" spans="1:3">
      <c r="A7872" s="573" t="s">
        <v>2001</v>
      </c>
      <c r="B7872" s="574">
        <v>421.55700000000002</v>
      </c>
      <c r="C7872" s="574">
        <v>265</v>
      </c>
    </row>
    <row r="7873" spans="1:3">
      <c r="A7873" s="573" t="s">
        <v>2001</v>
      </c>
      <c r="B7873" s="574">
        <v>499.40100000000001</v>
      </c>
      <c r="C7873" s="574">
        <v>262.5</v>
      </c>
    </row>
    <row r="7874" spans="1:3">
      <c r="A7874" s="571" t="s">
        <v>2002</v>
      </c>
      <c r="B7874" s="572">
        <v>2.4622700000000002</v>
      </c>
      <c r="C7874" s="572">
        <v>27.324100000000001</v>
      </c>
    </row>
    <row r="7875" spans="1:3">
      <c r="A7875" s="571" t="s">
        <v>2002</v>
      </c>
      <c r="B7875" s="572">
        <v>2.51403</v>
      </c>
      <c r="C7875" s="572">
        <v>44.715299999999999</v>
      </c>
    </row>
    <row r="7876" spans="1:3">
      <c r="A7876" s="571" t="s">
        <v>2002</v>
      </c>
      <c r="B7876" s="572">
        <v>6.1778700000000004</v>
      </c>
      <c r="C7876" s="572">
        <v>75.763599999999997</v>
      </c>
    </row>
    <row r="7877" spans="1:3">
      <c r="A7877" s="571" t="s">
        <v>2002</v>
      </c>
      <c r="B7877" s="572">
        <v>7.4348799999999997</v>
      </c>
      <c r="C7877" s="572">
        <v>98.121300000000005</v>
      </c>
    </row>
    <row r="7878" spans="1:3">
      <c r="A7878" s="571" t="s">
        <v>2002</v>
      </c>
      <c r="B7878" s="572">
        <v>8.6771100000000008</v>
      </c>
      <c r="C7878" s="572">
        <v>115.51</v>
      </c>
    </row>
    <row r="7879" spans="1:3">
      <c r="A7879" s="571" t="s">
        <v>2002</v>
      </c>
      <c r="B7879" s="572">
        <v>12.263299999999999</v>
      </c>
      <c r="C7879" s="572">
        <v>120.47199999999999</v>
      </c>
    </row>
    <row r="7880" spans="1:3">
      <c r="A7880" s="571" t="s">
        <v>2002</v>
      </c>
      <c r="B7880" s="572">
        <v>14.6738</v>
      </c>
      <c r="C7880" s="572">
        <v>130.404</v>
      </c>
    </row>
    <row r="7881" spans="1:3">
      <c r="A7881" s="571" t="s">
        <v>2002</v>
      </c>
      <c r="B7881" s="572">
        <v>17.0806</v>
      </c>
      <c r="C7881" s="572">
        <v>139.095</v>
      </c>
    </row>
    <row r="7882" spans="1:3">
      <c r="A7882" s="571" t="s">
        <v>2002</v>
      </c>
      <c r="B7882" s="572">
        <v>20.674199999999999</v>
      </c>
      <c r="C7882" s="572">
        <v>146.541</v>
      </c>
    </row>
    <row r="7883" spans="1:3">
      <c r="A7883" s="571" t="s">
        <v>2002</v>
      </c>
      <c r="B7883" s="572">
        <v>20.700099999999999</v>
      </c>
      <c r="C7883" s="572">
        <v>155.23699999999999</v>
      </c>
    </row>
    <row r="7884" spans="1:3">
      <c r="A7884" s="571" t="s">
        <v>2002</v>
      </c>
      <c r="B7884" s="572">
        <v>22.995999999999999</v>
      </c>
      <c r="C7884" s="572">
        <v>126.66</v>
      </c>
    </row>
    <row r="7885" spans="1:3">
      <c r="A7885" s="571" t="s">
        <v>2002</v>
      </c>
      <c r="B7885" s="572">
        <v>24.2087</v>
      </c>
      <c r="C7885" s="572">
        <v>134.11099999999999</v>
      </c>
    </row>
    <row r="7886" spans="1:3">
      <c r="A7886" s="571" t="s">
        <v>2002</v>
      </c>
      <c r="B7886" s="572">
        <v>30.168399999999998</v>
      </c>
      <c r="C7886" s="572">
        <v>136.584</v>
      </c>
    </row>
    <row r="7887" spans="1:3">
      <c r="A7887" s="571" t="s">
        <v>2002</v>
      </c>
      <c r="B7887" s="572">
        <v>31.384799999999998</v>
      </c>
      <c r="C7887" s="572">
        <v>145.27699999999999</v>
      </c>
    </row>
    <row r="7888" spans="1:3">
      <c r="A7888" s="571" t="s">
        <v>2002</v>
      </c>
      <c r="B7888" s="572">
        <v>33.784199999999998</v>
      </c>
      <c r="C7888" s="572">
        <v>151.483</v>
      </c>
    </row>
    <row r="7889" spans="1:3">
      <c r="A7889" s="571" t="s">
        <v>2002</v>
      </c>
      <c r="B7889" s="572">
        <v>42.1877</v>
      </c>
      <c r="C7889" s="572">
        <v>175.06800000000001</v>
      </c>
    </row>
    <row r="7890" spans="1:3">
      <c r="A7890" s="571" t="s">
        <v>2002</v>
      </c>
      <c r="B7890" s="572">
        <v>48.1511</v>
      </c>
      <c r="C7890" s="572">
        <v>178.78200000000001</v>
      </c>
    </row>
    <row r="7891" spans="1:3">
      <c r="A7891" s="571" t="s">
        <v>2002</v>
      </c>
      <c r="B7891" s="572">
        <v>56.517699999999998</v>
      </c>
      <c r="C7891" s="572">
        <v>189.94499999999999</v>
      </c>
    </row>
    <row r="7892" spans="1:3">
      <c r="A7892" s="571" t="s">
        <v>2002</v>
      </c>
      <c r="B7892" s="572">
        <v>68.400199999999998</v>
      </c>
      <c r="C7892" s="572">
        <v>182.46700000000001</v>
      </c>
    </row>
    <row r="7893" spans="1:3">
      <c r="A7893" s="571" t="s">
        <v>2002</v>
      </c>
      <c r="B7893" s="572">
        <v>76.7483</v>
      </c>
      <c r="C7893" s="572">
        <v>187.41900000000001</v>
      </c>
    </row>
    <row r="7894" spans="1:3">
      <c r="A7894" s="571" t="s">
        <v>2002</v>
      </c>
      <c r="B7894" s="572">
        <v>98.235900000000001</v>
      </c>
      <c r="C7894" s="572">
        <v>207.25</v>
      </c>
    </row>
    <row r="7895" spans="1:3">
      <c r="A7895" s="573" t="s">
        <v>2002</v>
      </c>
      <c r="B7895" s="574">
        <v>125.60899999999999</v>
      </c>
      <c r="C7895" s="574">
        <v>204.709</v>
      </c>
    </row>
    <row r="7896" spans="1:3">
      <c r="A7896" s="573" t="s">
        <v>2002</v>
      </c>
      <c r="B7896" s="574">
        <v>157.767</v>
      </c>
      <c r="C7896" s="574">
        <v>209.61099999999999</v>
      </c>
    </row>
    <row r="7897" spans="1:3">
      <c r="A7897" s="573" t="s">
        <v>2002</v>
      </c>
      <c r="B7897" s="574">
        <v>228.001</v>
      </c>
      <c r="C7897" s="574">
        <v>208.22399999999999</v>
      </c>
    </row>
    <row r="7898" spans="1:3">
      <c r="A7898" s="573" t="s">
        <v>2002</v>
      </c>
      <c r="B7898" s="574">
        <v>331.64499999999998</v>
      </c>
      <c r="C7898" s="574">
        <v>232.85400000000001</v>
      </c>
    </row>
    <row r="7899" spans="1:3">
      <c r="A7899" s="573" t="s">
        <v>2002</v>
      </c>
      <c r="B7899" s="574">
        <v>410.25299999999999</v>
      </c>
      <c r="C7899" s="574">
        <v>245.113</v>
      </c>
    </row>
    <row r="7900" spans="1:3">
      <c r="A7900" s="571" t="s">
        <v>2003</v>
      </c>
      <c r="B7900" s="572">
        <v>1.1952199999999999</v>
      </c>
      <c r="C7900" s="572">
        <v>0.63391399999999998</v>
      </c>
    </row>
    <row r="7901" spans="1:3">
      <c r="A7901" s="571" t="s">
        <v>2003</v>
      </c>
      <c r="B7901" s="572">
        <v>2.9880499999999999</v>
      </c>
      <c r="C7901" s="572">
        <v>45.007899999999999</v>
      </c>
    </row>
    <row r="7902" spans="1:3">
      <c r="A7902" s="571" t="s">
        <v>2003</v>
      </c>
      <c r="B7902" s="572">
        <v>9.56175</v>
      </c>
      <c r="C7902" s="572">
        <v>110.935</v>
      </c>
    </row>
    <row r="7903" spans="1:3">
      <c r="A7903" s="571" t="s">
        <v>2003</v>
      </c>
      <c r="B7903" s="572">
        <v>13.744999999999999</v>
      </c>
      <c r="C7903" s="572">
        <v>121.712</v>
      </c>
    </row>
    <row r="7904" spans="1:3">
      <c r="A7904" s="571" t="s">
        <v>2003</v>
      </c>
      <c r="B7904" s="572">
        <v>32.270899999999997</v>
      </c>
      <c r="C7904" s="572">
        <v>214.89699999999999</v>
      </c>
    </row>
    <row r="7905" spans="1:3">
      <c r="A7905" s="571" t="s">
        <v>2003</v>
      </c>
      <c r="B7905" s="572">
        <v>93.227099999999993</v>
      </c>
      <c r="C7905" s="572">
        <v>187.005</v>
      </c>
    </row>
    <row r="7906" spans="1:3">
      <c r="A7906" s="573" t="s">
        <v>2003</v>
      </c>
      <c r="B7906" s="574">
        <v>161.952</v>
      </c>
      <c r="C7906" s="574">
        <v>178.76400000000001</v>
      </c>
    </row>
    <row r="7907" spans="1:3">
      <c r="A7907" s="573" t="s">
        <v>2003</v>
      </c>
      <c r="B7907" s="574">
        <v>343.625</v>
      </c>
      <c r="C7907" s="574">
        <v>308.71600000000001</v>
      </c>
    </row>
    <row r="7908" spans="1:3">
      <c r="A7908" s="569" t="s">
        <v>2003</v>
      </c>
      <c r="B7908" s="570">
        <v>527.09199999999998</v>
      </c>
      <c r="C7908" s="570">
        <v>193.34399999999999</v>
      </c>
    </row>
    <row r="7909" spans="1:3">
      <c r="A7909" s="571" t="s">
        <v>2004</v>
      </c>
      <c r="B7909" s="572">
        <v>1.1952199999999999</v>
      </c>
      <c r="C7909" s="572">
        <v>1.26783</v>
      </c>
    </row>
    <row r="7910" spans="1:3">
      <c r="A7910" s="571" t="s">
        <v>2004</v>
      </c>
      <c r="B7910" s="572">
        <v>2.3904399999999999</v>
      </c>
      <c r="C7910" s="572">
        <v>74.168000000000006</v>
      </c>
    </row>
    <row r="7911" spans="1:3">
      <c r="A7911" s="571" t="s">
        <v>2004</v>
      </c>
      <c r="B7911" s="572">
        <v>4.1832700000000003</v>
      </c>
      <c r="C7911" s="572">
        <v>38.668799999999997</v>
      </c>
    </row>
    <row r="7912" spans="1:3">
      <c r="A7912" s="571" t="s">
        <v>2004</v>
      </c>
      <c r="B7912" s="572">
        <v>5.3784900000000002</v>
      </c>
      <c r="C7912" s="572">
        <v>72.900199999999998</v>
      </c>
    </row>
    <row r="7913" spans="1:3">
      <c r="A7913" s="571" t="s">
        <v>2004</v>
      </c>
      <c r="B7913" s="572">
        <v>7.7689199999999996</v>
      </c>
      <c r="C7913" s="572">
        <v>108.399</v>
      </c>
    </row>
    <row r="7914" spans="1:3">
      <c r="A7914" s="571" t="s">
        <v>2004</v>
      </c>
      <c r="B7914" s="572">
        <v>11.3546</v>
      </c>
      <c r="C7914" s="572">
        <v>82.408900000000003</v>
      </c>
    </row>
    <row r="7915" spans="1:3">
      <c r="A7915" s="571" t="s">
        <v>2004</v>
      </c>
      <c r="B7915" s="572">
        <v>12.549799999999999</v>
      </c>
      <c r="C7915" s="572">
        <v>112.203</v>
      </c>
    </row>
    <row r="7916" spans="1:3">
      <c r="A7916" s="571" t="s">
        <v>2004</v>
      </c>
      <c r="B7916" s="572">
        <v>15.537800000000001</v>
      </c>
      <c r="C7916" s="572">
        <v>72.900199999999998</v>
      </c>
    </row>
    <row r="7917" spans="1:3">
      <c r="A7917" s="571" t="s">
        <v>2004</v>
      </c>
      <c r="B7917" s="572">
        <v>31.673300000000001</v>
      </c>
      <c r="C7917" s="572">
        <v>170.523</v>
      </c>
    </row>
    <row r="7918" spans="1:3">
      <c r="A7918" s="571" t="s">
        <v>2004</v>
      </c>
      <c r="B7918" s="572">
        <v>93.227099999999993</v>
      </c>
      <c r="C7918" s="572">
        <v>117.274</v>
      </c>
    </row>
    <row r="7919" spans="1:3">
      <c r="A7919" s="573" t="s">
        <v>2004</v>
      </c>
      <c r="B7919" s="574">
        <v>161.952</v>
      </c>
      <c r="C7919" s="574">
        <v>163.55000000000001</v>
      </c>
    </row>
    <row r="7920" spans="1:3">
      <c r="A7920" s="573" t="s">
        <v>2004</v>
      </c>
      <c r="B7920" s="574">
        <v>344.22300000000001</v>
      </c>
      <c r="C7920" s="574">
        <v>270.048</v>
      </c>
    </row>
    <row r="7921" spans="1:3">
      <c r="A7921" s="569" t="s">
        <v>2004</v>
      </c>
      <c r="B7921" s="570">
        <v>527.09199999999998</v>
      </c>
      <c r="C7921" s="570">
        <v>176.86199999999999</v>
      </c>
    </row>
    <row r="7922" spans="1:3">
      <c r="A7922" s="571" t="s">
        <v>2005</v>
      </c>
      <c r="B7922" s="572">
        <v>1.1952199999999999</v>
      </c>
      <c r="C7922" s="572">
        <v>1.26783</v>
      </c>
    </row>
    <row r="7923" spans="1:3">
      <c r="A7923" s="571" t="s">
        <v>2005</v>
      </c>
      <c r="B7923" s="572">
        <v>4.7808799999999998</v>
      </c>
      <c r="C7923" s="572">
        <v>72.266199999999998</v>
      </c>
    </row>
    <row r="7924" spans="1:3">
      <c r="A7924" s="571" t="s">
        <v>2005</v>
      </c>
      <c r="B7924" s="572">
        <v>7.1713100000000001</v>
      </c>
      <c r="C7924" s="572">
        <v>107.765</v>
      </c>
    </row>
    <row r="7925" spans="1:3">
      <c r="A7925" s="571" t="s">
        <v>2005</v>
      </c>
      <c r="B7925" s="572">
        <v>14.940200000000001</v>
      </c>
      <c r="C7925" s="572">
        <v>133.12200000000001</v>
      </c>
    </row>
    <row r="7926" spans="1:3">
      <c r="A7926" s="571" t="s">
        <v>2005</v>
      </c>
      <c r="B7926" s="572">
        <v>32.270899999999997</v>
      </c>
      <c r="C7926" s="572">
        <v>228.209</v>
      </c>
    </row>
    <row r="7927" spans="1:3">
      <c r="A7927" s="571" t="s">
        <v>2005</v>
      </c>
      <c r="B7927" s="572">
        <v>93.227099999999993</v>
      </c>
      <c r="C7927" s="572">
        <v>179.398</v>
      </c>
    </row>
    <row r="7928" spans="1:3">
      <c r="A7928" s="573" t="s">
        <v>2005</v>
      </c>
      <c r="B7928" s="574">
        <v>161.952</v>
      </c>
      <c r="C7928" s="574">
        <v>166.08600000000001</v>
      </c>
    </row>
    <row r="7929" spans="1:3">
      <c r="A7929" s="573" t="s">
        <v>2005</v>
      </c>
      <c r="B7929" s="574">
        <v>343.625</v>
      </c>
      <c r="C7929" s="574">
        <v>289.065</v>
      </c>
    </row>
    <row r="7930" spans="1:3">
      <c r="A7930" s="569" t="s">
        <v>2005</v>
      </c>
      <c r="B7930" s="570">
        <v>527.09199999999998</v>
      </c>
      <c r="C7930" s="570">
        <v>192.71</v>
      </c>
    </row>
    <row r="7931" spans="1:3">
      <c r="A7931" s="571" t="s">
        <v>2006</v>
      </c>
      <c r="B7931" s="572">
        <v>0.3125</v>
      </c>
      <c r="C7931" s="572">
        <v>1.7885000000000002</v>
      </c>
    </row>
    <row r="7932" spans="1:3">
      <c r="A7932" s="571" t="s">
        <v>2006</v>
      </c>
      <c r="B7932" s="572">
        <v>7.1875</v>
      </c>
      <c r="C7932" s="572">
        <v>178.636</v>
      </c>
    </row>
    <row r="7933" spans="1:3">
      <c r="A7933" s="571" t="s">
        <v>2006</v>
      </c>
      <c r="B7933" s="572">
        <v>28.4375</v>
      </c>
      <c r="C7933" s="572">
        <v>275.25399999999996</v>
      </c>
    </row>
    <row r="7934" spans="1:3">
      <c r="A7934" s="571" t="s">
        <v>2006</v>
      </c>
      <c r="B7934" s="572">
        <v>55.9375</v>
      </c>
      <c r="C7934" s="572">
        <v>379.07099999999997</v>
      </c>
    </row>
    <row r="7935" spans="1:3">
      <c r="A7935" s="571" t="s">
        <v>2006</v>
      </c>
      <c r="B7935" s="572">
        <v>89.6875</v>
      </c>
      <c r="C7935" s="572">
        <v>420.44400000000002</v>
      </c>
    </row>
    <row r="7936" spans="1:3">
      <c r="A7936" s="573" t="s">
        <v>2006</v>
      </c>
      <c r="B7936" s="574">
        <v>119.688</v>
      </c>
      <c r="C7936" s="574">
        <v>445.71100000000001</v>
      </c>
    </row>
    <row r="7937" spans="1:3">
      <c r="A7937" s="573" t="s">
        <v>2006</v>
      </c>
      <c r="B7937" s="574">
        <v>150</v>
      </c>
      <c r="C7937" s="574">
        <v>472.76800000000003</v>
      </c>
    </row>
    <row r="7938" spans="1:3">
      <c r="A7938" s="573" t="s">
        <v>2006</v>
      </c>
      <c r="B7938" s="574">
        <v>180.625</v>
      </c>
      <c r="C7938" s="574">
        <v>492.68399999999997</v>
      </c>
    </row>
    <row r="7939" spans="1:3">
      <c r="A7939" s="571" t="s">
        <v>2007</v>
      </c>
      <c r="B7939" s="572">
        <v>0.31087100000000001</v>
      </c>
      <c r="C7939" s="572">
        <v>1.53607</v>
      </c>
    </row>
    <row r="7940" spans="1:3">
      <c r="A7940" s="571" t="s">
        <v>2007</v>
      </c>
      <c r="B7940" s="572">
        <v>7.0411200000000003</v>
      </c>
      <c r="C7940" s="572">
        <v>175.43900000000002</v>
      </c>
    </row>
    <row r="7941" spans="1:3">
      <c r="A7941" s="571" t="s">
        <v>2007</v>
      </c>
      <c r="B7941" s="572">
        <v>28.0746</v>
      </c>
      <c r="C7941" s="572">
        <v>275.601</v>
      </c>
    </row>
    <row r="7942" spans="1:3">
      <c r="A7942" s="571" t="s">
        <v>2007</v>
      </c>
      <c r="B7942" s="572">
        <v>55.618899999999996</v>
      </c>
      <c r="C7942" s="572">
        <v>377.351</v>
      </c>
    </row>
    <row r="7943" spans="1:3">
      <c r="A7943" s="571" t="s">
        <v>2007</v>
      </c>
      <c r="B7943" s="572">
        <v>89.085700000000003</v>
      </c>
      <c r="C7943" s="572">
        <v>419.14699999999999</v>
      </c>
    </row>
    <row r="7944" spans="1:3">
      <c r="A7944" s="573" t="s">
        <v>2007</v>
      </c>
      <c r="B7944" s="574">
        <v>119.15</v>
      </c>
      <c r="C7944" s="574">
        <v>445.53200000000004</v>
      </c>
    </row>
    <row r="7945" spans="1:3">
      <c r="A7945" s="573" t="s">
        <v>2007</v>
      </c>
      <c r="B7945" s="574">
        <v>148.59299999999999</v>
      </c>
      <c r="C7945" s="574">
        <v>471.91200000000003</v>
      </c>
    </row>
    <row r="7946" spans="1:3">
      <c r="A7946" s="573" t="s">
        <v>2007</v>
      </c>
      <c r="B7946" s="574">
        <v>178.971</v>
      </c>
      <c r="C7946" s="574">
        <v>490.60699999999997</v>
      </c>
    </row>
    <row r="7947" spans="1:3">
      <c r="A7947" s="571" t="s">
        <v>2008</v>
      </c>
      <c r="B7947" s="572">
        <v>0.30978800000000001</v>
      </c>
      <c r="C7947" s="572">
        <v>1.9851100000000002</v>
      </c>
    </row>
    <row r="7948" spans="1:3">
      <c r="A7948" s="571" t="s">
        <v>2008</v>
      </c>
      <c r="B7948" s="572">
        <v>6.5910900000000003</v>
      </c>
      <c r="C7948" s="572">
        <v>178.66</v>
      </c>
    </row>
    <row r="7949" spans="1:3">
      <c r="A7949" s="571" t="s">
        <v>2008</v>
      </c>
      <c r="B7949" s="572">
        <v>28.055900000000001</v>
      </c>
      <c r="C7949" s="572">
        <v>271.96000000000004</v>
      </c>
    </row>
    <row r="7950" spans="1:3">
      <c r="A7950" s="571" t="s">
        <v>2008</v>
      </c>
      <c r="B7950" s="572">
        <v>55.425899999999999</v>
      </c>
      <c r="C7950" s="572">
        <v>377.17100000000005</v>
      </c>
    </row>
    <row r="7951" spans="1:3">
      <c r="A7951" s="571" t="s">
        <v>2008</v>
      </c>
      <c r="B7951" s="572">
        <v>89.6036</v>
      </c>
      <c r="C7951" s="572">
        <v>418.85899999999998</v>
      </c>
    </row>
    <row r="7952" spans="1:3">
      <c r="A7952" s="573" t="s">
        <v>2008</v>
      </c>
      <c r="B7952" s="574">
        <v>119.117</v>
      </c>
      <c r="C7952" s="574">
        <v>444.66499999999996</v>
      </c>
    </row>
    <row r="7953" spans="1:3">
      <c r="A7953" s="573" t="s">
        <v>2008</v>
      </c>
      <c r="B7953" s="574">
        <v>149.56200000000001</v>
      </c>
      <c r="C7953" s="574">
        <v>472.45699999999999</v>
      </c>
    </row>
    <row r="7954" spans="1:3">
      <c r="A7954" s="573" t="s">
        <v>2008</v>
      </c>
      <c r="B7954" s="574">
        <v>179.69399999999999</v>
      </c>
      <c r="C7954" s="574">
        <v>492.30799999999999</v>
      </c>
    </row>
    <row r="7955" spans="1:3">
      <c r="A7955" s="571" t="s">
        <v>2009</v>
      </c>
      <c r="B7955" s="572">
        <v>0.56762400000000002</v>
      </c>
      <c r="C7955" s="572">
        <v>1.58317</v>
      </c>
    </row>
    <row r="7956" spans="1:3">
      <c r="A7956" s="571" t="s">
        <v>2009</v>
      </c>
      <c r="B7956" s="572">
        <v>5.9581200000000001</v>
      </c>
      <c r="C7956" s="572">
        <v>335.76300000000003</v>
      </c>
    </row>
    <row r="7957" spans="1:3">
      <c r="A7957" s="571" t="s">
        <v>2009</v>
      </c>
      <c r="B7957" s="572">
        <v>13.8263</v>
      </c>
      <c r="C7957" s="572">
        <v>410.64299999999997</v>
      </c>
    </row>
    <row r="7958" spans="1:3">
      <c r="A7958" s="571" t="s">
        <v>2009</v>
      </c>
      <c r="B7958" s="572">
        <v>20.587599999999998</v>
      </c>
      <c r="C7958" s="572">
        <v>453.69</v>
      </c>
    </row>
    <row r="7959" spans="1:3">
      <c r="A7959" s="571" t="s">
        <v>2009</v>
      </c>
      <c r="B7959" s="572">
        <v>26.813500000000001</v>
      </c>
      <c r="C7959" s="572">
        <v>458.54699999999997</v>
      </c>
    </row>
    <row r="7960" spans="1:3">
      <c r="A7960" s="571" t="s">
        <v>2009</v>
      </c>
      <c r="B7960" s="572">
        <v>55.098100000000002</v>
      </c>
      <c r="C7960" s="572">
        <v>498.70600000000002</v>
      </c>
    </row>
    <row r="7961" spans="1:3">
      <c r="A7961" s="571" t="s">
        <v>2009</v>
      </c>
      <c r="B7961" s="572">
        <v>82.830600000000004</v>
      </c>
      <c r="C7961" s="572">
        <v>521.35699999999997</v>
      </c>
    </row>
    <row r="7962" spans="1:3">
      <c r="A7962" s="573" t="s">
        <v>2009</v>
      </c>
      <c r="B7962" s="574">
        <v>111.71</v>
      </c>
      <c r="C7962" s="574">
        <v>526.52300000000002</v>
      </c>
    </row>
    <row r="7963" spans="1:3">
      <c r="A7963" s="573" t="s">
        <v>2009</v>
      </c>
      <c r="B7963" s="574">
        <v>139.44999999999999</v>
      </c>
      <c r="C7963" s="574">
        <v>539.62900000000002</v>
      </c>
    </row>
    <row r="7964" spans="1:3">
      <c r="A7964" s="573" t="s">
        <v>2009</v>
      </c>
      <c r="B7964" s="574">
        <v>168.33500000000001</v>
      </c>
      <c r="C7964" s="574">
        <v>538.43200000000002</v>
      </c>
    </row>
    <row r="7965" spans="1:3">
      <c r="A7965" s="573" t="s">
        <v>2009</v>
      </c>
      <c r="B7965" s="574">
        <v>196.095</v>
      </c>
      <c r="C7965" s="574">
        <v>526.08299999999997</v>
      </c>
    </row>
    <row r="7966" spans="1:3">
      <c r="A7966" s="573" t="s">
        <v>2009</v>
      </c>
      <c r="B7966" s="574">
        <v>223.81800000000001</v>
      </c>
      <c r="C7966" s="574">
        <v>561.46100000000001</v>
      </c>
    </row>
    <row r="7967" spans="1:3">
      <c r="A7967" s="573" t="s">
        <v>2009</v>
      </c>
      <c r="B7967" s="574">
        <v>252.124</v>
      </c>
      <c r="C7967" s="574">
        <v>574.57399999999996</v>
      </c>
    </row>
    <row r="7968" spans="1:3">
      <c r="A7968" s="573" t="s">
        <v>2009</v>
      </c>
      <c r="B7968" s="574">
        <v>280.43299999999999</v>
      </c>
      <c r="C7968" s="574">
        <v>584.50599999999997</v>
      </c>
    </row>
    <row r="7969" spans="1:3">
      <c r="A7969" s="573" t="s">
        <v>2009</v>
      </c>
      <c r="B7969" s="574">
        <v>300.24700000000001</v>
      </c>
      <c r="C7969" s="574">
        <v>594.322</v>
      </c>
    </row>
    <row r="7970" spans="1:3">
      <c r="A7970" s="573" t="s">
        <v>2009</v>
      </c>
      <c r="B7970" s="574">
        <v>321.76299999999998</v>
      </c>
      <c r="C7970" s="574">
        <v>600.97900000000004</v>
      </c>
    </row>
    <row r="7971" spans="1:3">
      <c r="A7971" s="571" t="s">
        <v>2010</v>
      </c>
      <c r="B7971" s="572">
        <v>0.12919900000000001</v>
      </c>
      <c r="C7971" s="572">
        <v>4.5454499999999998</v>
      </c>
    </row>
    <row r="7972" spans="1:3">
      <c r="A7972" s="571" t="s">
        <v>2010</v>
      </c>
      <c r="B7972" s="572">
        <v>0.904393</v>
      </c>
      <c r="C7972" s="572">
        <v>77.2727</v>
      </c>
    </row>
    <row r="7973" spans="1:3">
      <c r="A7973" s="571" t="s">
        <v>2010</v>
      </c>
      <c r="B7973" s="572">
        <v>4.0051699999999997</v>
      </c>
      <c r="C7973" s="572">
        <v>160.60600000000002</v>
      </c>
    </row>
    <row r="7974" spans="1:3">
      <c r="A7974" s="571" t="s">
        <v>2010</v>
      </c>
      <c r="B7974" s="572">
        <v>5.8139500000000002</v>
      </c>
      <c r="C7974" s="572">
        <v>201.51499999999999</v>
      </c>
    </row>
    <row r="7975" spans="1:3">
      <c r="A7975" s="571" t="s">
        <v>2010</v>
      </c>
      <c r="B7975" s="572">
        <v>7.1059400000000004</v>
      </c>
      <c r="C7975" s="572">
        <v>200</v>
      </c>
    </row>
    <row r="7976" spans="1:3">
      <c r="A7976" s="571" t="s">
        <v>2010</v>
      </c>
      <c r="B7976" s="572">
        <v>14.2119</v>
      </c>
      <c r="C7976" s="572">
        <v>251.51500000000001</v>
      </c>
    </row>
    <row r="7977" spans="1:3">
      <c r="A7977" s="571" t="s">
        <v>2010</v>
      </c>
      <c r="B7977" s="572">
        <v>20.930199999999999</v>
      </c>
      <c r="C7977" s="572">
        <v>281.81799999999998</v>
      </c>
    </row>
    <row r="7978" spans="1:3">
      <c r="A7978" s="571" t="s">
        <v>2010</v>
      </c>
      <c r="B7978" s="572">
        <v>27.907</v>
      </c>
      <c r="C7978" s="572">
        <v>303.02999999999997</v>
      </c>
    </row>
    <row r="7979" spans="1:3">
      <c r="A7979" s="571" t="s">
        <v>2010</v>
      </c>
      <c r="B7979" s="572">
        <v>35.012900000000002</v>
      </c>
      <c r="C7979" s="572">
        <v>328.78800000000001</v>
      </c>
    </row>
    <row r="7980" spans="1:3">
      <c r="A7980" s="571" t="s">
        <v>2010</v>
      </c>
      <c r="B7980" s="572">
        <v>41.989699999999999</v>
      </c>
      <c r="C7980" s="572">
        <v>340.90899999999999</v>
      </c>
    </row>
    <row r="7981" spans="1:3">
      <c r="A7981" s="571" t="s">
        <v>2010</v>
      </c>
      <c r="B7981" s="572">
        <v>48.9664</v>
      </c>
      <c r="C7981" s="572">
        <v>354.54500000000002</v>
      </c>
    </row>
    <row r="7982" spans="1:3">
      <c r="A7982" s="571" t="s">
        <v>2010</v>
      </c>
      <c r="B7982" s="572">
        <v>55.555599999999998</v>
      </c>
      <c r="C7982" s="572">
        <v>372.72699999999998</v>
      </c>
    </row>
    <row r="7983" spans="1:3">
      <c r="A7983" s="571" t="s">
        <v>2010</v>
      </c>
      <c r="B7983" s="572">
        <v>63.1783</v>
      </c>
      <c r="C7983" s="572">
        <v>365.15199999999999</v>
      </c>
    </row>
    <row r="7984" spans="1:3">
      <c r="A7984" s="571" t="s">
        <v>2010</v>
      </c>
      <c r="B7984" s="572">
        <v>70.155000000000001</v>
      </c>
      <c r="C7984" s="572">
        <v>371.21199999999999</v>
      </c>
    </row>
    <row r="7985" spans="1:3">
      <c r="A7985" s="571" t="s">
        <v>2010</v>
      </c>
      <c r="B7985" s="572">
        <v>77.002600000000001</v>
      </c>
      <c r="C7985" s="572">
        <v>389.39400000000001</v>
      </c>
    </row>
    <row r="7986" spans="1:3">
      <c r="A7986" s="571" t="s">
        <v>2010</v>
      </c>
      <c r="B7986" s="572">
        <v>84.237700000000004</v>
      </c>
      <c r="C7986" s="572">
        <v>384.84800000000001</v>
      </c>
    </row>
    <row r="7987" spans="1:3">
      <c r="A7987" s="571" t="s">
        <v>2010</v>
      </c>
      <c r="B7987" s="572">
        <v>91.214500000000001</v>
      </c>
      <c r="C7987" s="572">
        <v>386.36400000000003</v>
      </c>
    </row>
    <row r="7988" spans="1:3">
      <c r="A7988" s="571" t="s">
        <v>2010</v>
      </c>
      <c r="B7988" s="572">
        <v>98.061999999999998</v>
      </c>
      <c r="C7988" s="572">
        <v>401.51499999999999</v>
      </c>
    </row>
    <row r="7989" spans="1:3">
      <c r="A7989" s="571" t="s">
        <v>367</v>
      </c>
      <c r="B7989" s="572">
        <v>0.15942500000000001</v>
      </c>
      <c r="C7989" s="572">
        <v>6.4249400000000003</v>
      </c>
    </row>
    <row r="7990" spans="1:3">
      <c r="A7990" s="571" t="s">
        <v>367</v>
      </c>
      <c r="B7990" s="572">
        <v>0.61819299999999999</v>
      </c>
      <c r="C7990" s="572">
        <v>20.9725</v>
      </c>
    </row>
    <row r="7991" spans="1:3">
      <c r="A7991" s="571" t="s">
        <v>367</v>
      </c>
      <c r="B7991" s="572">
        <v>1.38707</v>
      </c>
      <c r="C7991" s="572">
        <v>56.442100000000003</v>
      </c>
    </row>
    <row r="7992" spans="1:3">
      <c r="A7992" s="571" t="s">
        <v>367</v>
      </c>
      <c r="B7992" s="572">
        <v>1.5384199999999999</v>
      </c>
      <c r="C7992" s="572">
        <v>69.329800000000006</v>
      </c>
    </row>
    <row r="7993" spans="1:3">
      <c r="A7993" s="571" t="s">
        <v>367</v>
      </c>
      <c r="B7993" s="572">
        <v>2.1539199999999998</v>
      </c>
      <c r="C7993" s="572">
        <v>96.739900000000006</v>
      </c>
    </row>
    <row r="7994" spans="1:3">
      <c r="A7994" s="571" t="s">
        <v>367</v>
      </c>
      <c r="B7994" s="572">
        <v>3.0761699999999998</v>
      </c>
      <c r="C7994" s="572">
        <v>140.26900000000001</v>
      </c>
    </row>
    <row r="7995" spans="1:3">
      <c r="A7995" s="571" t="s">
        <v>367</v>
      </c>
      <c r="B7995" s="572">
        <v>3.88137</v>
      </c>
      <c r="C7995" s="572">
        <v>88.831699999999998</v>
      </c>
    </row>
    <row r="7996" spans="1:3">
      <c r="A7996" s="571" t="s">
        <v>367</v>
      </c>
      <c r="B7996" s="572">
        <v>5.1305300000000003</v>
      </c>
      <c r="C7996" s="572">
        <v>100.19799999999999</v>
      </c>
    </row>
    <row r="7997" spans="1:3">
      <c r="A7997" s="571" t="s">
        <v>367</v>
      </c>
      <c r="B7997" s="572">
        <v>6.2263299999999999</v>
      </c>
      <c r="C7997" s="572">
        <v>103.505</v>
      </c>
    </row>
    <row r="7998" spans="1:3">
      <c r="A7998" s="571" t="s">
        <v>367</v>
      </c>
      <c r="B7998" s="572">
        <v>6.8478899999999996</v>
      </c>
      <c r="C7998" s="572">
        <v>116.431</v>
      </c>
    </row>
    <row r="7999" spans="1:3">
      <c r="A7999" s="571" t="s">
        <v>367</v>
      </c>
      <c r="B7999" s="572">
        <v>8.2510999999999992</v>
      </c>
      <c r="C7999" s="572">
        <v>134.24799999999999</v>
      </c>
    </row>
    <row r="8000" spans="1:3">
      <c r="A8000" s="571" t="s">
        <v>367</v>
      </c>
      <c r="B8000" s="572">
        <v>9.3435299999999994</v>
      </c>
      <c r="C8000" s="572">
        <v>145.602</v>
      </c>
    </row>
    <row r="8001" spans="1:3">
      <c r="A8001" s="571" t="s">
        <v>367</v>
      </c>
      <c r="B8001" s="572">
        <v>10.9015</v>
      </c>
      <c r="C8001" s="572">
        <v>168.25899999999999</v>
      </c>
    </row>
    <row r="8002" spans="1:3">
      <c r="A8002" s="571" t="s">
        <v>367</v>
      </c>
      <c r="B8002" s="572">
        <v>11.9979</v>
      </c>
      <c r="C8002" s="572">
        <v>169.95699999999999</v>
      </c>
    </row>
    <row r="8003" spans="1:3">
      <c r="A8003" s="571" t="s">
        <v>367</v>
      </c>
      <c r="B8003" s="572">
        <v>13.090999999999999</v>
      </c>
      <c r="C8003" s="572">
        <v>179.702</v>
      </c>
    </row>
    <row r="8004" spans="1:3">
      <c r="A8004" s="571" t="s">
        <v>367</v>
      </c>
      <c r="B8004" s="572">
        <v>14.1868</v>
      </c>
      <c r="C8004" s="572">
        <v>183.00899999999999</v>
      </c>
    </row>
    <row r="8005" spans="1:3">
      <c r="A8005" s="571" t="s">
        <v>367</v>
      </c>
      <c r="B8005" s="572">
        <v>14.968500000000001</v>
      </c>
      <c r="C8005" s="572">
        <v>187.9</v>
      </c>
    </row>
    <row r="8006" spans="1:3">
      <c r="A8006" s="571" t="s">
        <v>367</v>
      </c>
      <c r="B8006" s="572">
        <v>17.159400000000002</v>
      </c>
      <c r="C8006" s="572">
        <v>196.12299999999999</v>
      </c>
    </row>
    <row r="8007" spans="1:3">
      <c r="A8007" s="571" t="s">
        <v>367</v>
      </c>
      <c r="B8007" s="572">
        <v>19.0321</v>
      </c>
      <c r="C8007" s="572">
        <v>215.58699999999999</v>
      </c>
    </row>
    <row r="8008" spans="1:3">
      <c r="A8008" s="571" t="s">
        <v>367</v>
      </c>
      <c r="B8008" s="572">
        <v>21.223099999999999</v>
      </c>
      <c r="C8008" s="572">
        <v>223.81100000000001</v>
      </c>
    </row>
    <row r="8009" spans="1:3">
      <c r="A8009" s="571" t="s">
        <v>367</v>
      </c>
      <c r="B8009" s="572">
        <v>23.095800000000001</v>
      </c>
      <c r="C8009" s="572">
        <v>243.27500000000001</v>
      </c>
    </row>
    <row r="8010" spans="1:3">
      <c r="A8010" s="571" t="s">
        <v>367</v>
      </c>
      <c r="B8010" s="572">
        <v>24.969899999999999</v>
      </c>
      <c r="C8010" s="572">
        <v>259.52</v>
      </c>
    </row>
    <row r="8011" spans="1:3">
      <c r="A8011" s="571" t="s">
        <v>367</v>
      </c>
      <c r="B8011" s="572">
        <v>28.101199999999999</v>
      </c>
      <c r="C8011" s="572">
        <v>267.81900000000002</v>
      </c>
    </row>
    <row r="8012" spans="1:3">
      <c r="A8012" s="571" t="s">
        <v>367</v>
      </c>
      <c r="B8012" s="572">
        <v>31.069800000000001</v>
      </c>
      <c r="C8012" s="572">
        <v>290.58999999999997</v>
      </c>
    </row>
    <row r="8013" spans="1:3">
      <c r="A8013" s="571" t="s">
        <v>367</v>
      </c>
      <c r="B8013" s="572">
        <v>32.950600000000001</v>
      </c>
      <c r="C8013" s="572">
        <v>290.74200000000002</v>
      </c>
    </row>
    <row r="8014" spans="1:3">
      <c r="A8014" s="571" t="s">
        <v>367</v>
      </c>
      <c r="B8014" s="572">
        <v>35.140799999999999</v>
      </c>
      <c r="C8014" s="572">
        <v>300.57499999999999</v>
      </c>
    </row>
    <row r="8015" spans="1:3">
      <c r="A8015" s="571" t="s">
        <v>367</v>
      </c>
      <c r="B8015" s="572">
        <v>38.270099999999999</v>
      </c>
      <c r="C8015" s="572">
        <v>313.702</v>
      </c>
    </row>
    <row r="8016" spans="1:3">
      <c r="A8016" s="571" t="s">
        <v>367</v>
      </c>
      <c r="B8016" s="572">
        <v>39.990900000000003</v>
      </c>
      <c r="C8016" s="572">
        <v>321.88799999999998</v>
      </c>
    </row>
    <row r="8017" spans="1:3">
      <c r="A8017" s="571" t="s">
        <v>367</v>
      </c>
      <c r="B8017" s="572">
        <v>43.906500000000001</v>
      </c>
      <c r="C8017" s="572">
        <v>328.64100000000002</v>
      </c>
    </row>
    <row r="8018" spans="1:3">
      <c r="A8018" s="571" t="s">
        <v>367</v>
      </c>
      <c r="B8018" s="572">
        <v>47.0379</v>
      </c>
      <c r="C8018" s="572">
        <v>336.94</v>
      </c>
    </row>
    <row r="8019" spans="1:3">
      <c r="A8019" s="571" t="s">
        <v>367</v>
      </c>
      <c r="B8019" s="572">
        <v>48.917999999999999</v>
      </c>
      <c r="C8019" s="572">
        <v>338.7</v>
      </c>
    </row>
    <row r="8020" spans="1:3">
      <c r="A8020" s="571" t="s">
        <v>367</v>
      </c>
      <c r="B8020" s="572">
        <v>53.151200000000003</v>
      </c>
      <c r="C8020" s="572">
        <v>335.822</v>
      </c>
    </row>
    <row r="8021" spans="1:3">
      <c r="A8021" s="571" t="s">
        <v>367</v>
      </c>
      <c r="B8021" s="572">
        <v>55.956200000000003</v>
      </c>
      <c r="C8021" s="572">
        <v>374.67500000000001</v>
      </c>
    </row>
    <row r="8022" spans="1:3">
      <c r="A8022" s="571" t="s">
        <v>367</v>
      </c>
      <c r="B8022" s="572">
        <v>60.196800000000003</v>
      </c>
      <c r="C8022" s="572">
        <v>354.09300000000002</v>
      </c>
    </row>
    <row r="8023" spans="1:3">
      <c r="A8023" s="571" t="s">
        <v>367</v>
      </c>
      <c r="B8023" s="572">
        <v>63.1721</v>
      </c>
      <c r="C8023" s="572">
        <v>360.77</v>
      </c>
    </row>
    <row r="8024" spans="1:3">
      <c r="A8024" s="571" t="s">
        <v>367</v>
      </c>
      <c r="B8024" s="572">
        <v>66.931700000000006</v>
      </c>
      <c r="C8024" s="572">
        <v>365.90100000000001</v>
      </c>
    </row>
    <row r="8025" spans="1:3">
      <c r="A8025" s="571" t="s">
        <v>367</v>
      </c>
      <c r="B8025" s="572">
        <v>70.055599999999998</v>
      </c>
      <c r="C8025" s="572">
        <v>391.904</v>
      </c>
    </row>
    <row r="8026" spans="1:3">
      <c r="A8026" s="571" t="s">
        <v>367</v>
      </c>
      <c r="B8026" s="572">
        <v>73.984099999999998</v>
      </c>
      <c r="C8026" s="572">
        <v>368.07799999999997</v>
      </c>
    </row>
    <row r="8027" spans="1:3">
      <c r="A8027" s="571" t="s">
        <v>367</v>
      </c>
      <c r="B8027" s="572">
        <v>76.953999999999994</v>
      </c>
      <c r="C8027" s="572">
        <v>387.63</v>
      </c>
    </row>
    <row r="8028" spans="1:3">
      <c r="A8028" s="571" t="s">
        <v>367</v>
      </c>
      <c r="B8028" s="572">
        <v>81.968100000000007</v>
      </c>
      <c r="C8028" s="572">
        <v>391.25299999999999</v>
      </c>
    </row>
    <row r="8029" spans="1:3">
      <c r="A8029" s="571" t="s">
        <v>367</v>
      </c>
      <c r="B8029" s="572">
        <v>84.0124</v>
      </c>
      <c r="C8029" s="572">
        <v>375.32299999999998</v>
      </c>
    </row>
    <row r="8030" spans="1:3">
      <c r="A8030" s="571" t="s">
        <v>367</v>
      </c>
      <c r="B8030" s="572">
        <v>87.1417</v>
      </c>
      <c r="C8030" s="572">
        <v>388.45</v>
      </c>
    </row>
    <row r="8031" spans="1:3">
      <c r="A8031" s="571" t="s">
        <v>367</v>
      </c>
      <c r="B8031" s="572">
        <v>90.111599999999996</v>
      </c>
      <c r="C8031" s="572">
        <v>408.00299999999999</v>
      </c>
    </row>
    <row r="8032" spans="1:3">
      <c r="A8032" s="571" t="s">
        <v>368</v>
      </c>
      <c r="B8032" s="572">
        <v>0.30076900000000001</v>
      </c>
      <c r="C8032" s="572">
        <v>11.2613</v>
      </c>
    </row>
    <row r="8033" spans="1:3">
      <c r="A8033" s="571" t="s">
        <v>368</v>
      </c>
      <c r="B8033" s="572">
        <v>0.59150199999999997</v>
      </c>
      <c r="C8033" s="572">
        <v>32.157899999999998</v>
      </c>
    </row>
    <row r="8034" spans="1:3">
      <c r="A8034" s="571" t="s">
        <v>368</v>
      </c>
      <c r="B8034" s="572">
        <v>1.4854499999999999</v>
      </c>
      <c r="C8034" s="572">
        <v>73.971199999999996</v>
      </c>
    </row>
    <row r="8035" spans="1:3">
      <c r="A8035" s="571" t="s">
        <v>368</v>
      </c>
      <c r="B8035" s="572">
        <v>2.3827400000000001</v>
      </c>
      <c r="C8035" s="572">
        <v>112.57299999999999</v>
      </c>
    </row>
    <row r="8036" spans="1:3">
      <c r="A8036" s="571" t="s">
        <v>368</v>
      </c>
      <c r="B8036" s="572">
        <v>2.9675500000000001</v>
      </c>
      <c r="C8036" s="572">
        <v>151.154</v>
      </c>
    </row>
    <row r="8037" spans="1:3">
      <c r="A8037" s="571" t="s">
        <v>368</v>
      </c>
      <c r="B8037" s="572">
        <v>3.64269</v>
      </c>
      <c r="C8037" s="572">
        <v>103.018</v>
      </c>
    </row>
    <row r="8038" spans="1:3">
      <c r="A8038" s="571" t="s">
        <v>368</v>
      </c>
      <c r="B8038" s="572">
        <v>5.1983899999999998</v>
      </c>
      <c r="C8038" s="572">
        <v>109.542</v>
      </c>
    </row>
    <row r="8039" spans="1:3">
      <c r="A8039" s="571" t="s">
        <v>368</v>
      </c>
      <c r="B8039" s="572">
        <v>5.8166599999999997</v>
      </c>
      <c r="C8039" s="572">
        <v>116.005</v>
      </c>
    </row>
    <row r="8040" spans="1:3">
      <c r="A8040" s="571" t="s">
        <v>368</v>
      </c>
      <c r="B8040" s="572">
        <v>7.0582099999999999</v>
      </c>
      <c r="C8040" s="572">
        <v>124.11499999999999</v>
      </c>
    </row>
    <row r="8041" spans="1:3">
      <c r="A8041" s="571" t="s">
        <v>368</v>
      </c>
      <c r="B8041" s="572">
        <v>7.8093000000000004</v>
      </c>
      <c r="C8041" s="572">
        <v>153.071</v>
      </c>
    </row>
    <row r="8042" spans="1:3">
      <c r="A8042" s="571" t="s">
        <v>368</v>
      </c>
      <c r="B8042" s="572">
        <v>9.2070900000000009</v>
      </c>
      <c r="C8042" s="572">
        <v>161.191</v>
      </c>
    </row>
    <row r="8043" spans="1:3">
      <c r="A8043" s="571" t="s">
        <v>368</v>
      </c>
      <c r="B8043" s="572">
        <v>10.2857</v>
      </c>
      <c r="C8043" s="572">
        <v>175.714</v>
      </c>
    </row>
    <row r="8044" spans="1:3">
      <c r="A8044" s="571" t="s">
        <v>368</v>
      </c>
      <c r="B8044" s="572">
        <v>11.9977</v>
      </c>
      <c r="C8044" s="572">
        <v>182.24799999999999</v>
      </c>
    </row>
    <row r="8045" spans="1:3">
      <c r="A8045" s="571" t="s">
        <v>368</v>
      </c>
      <c r="B8045" s="572">
        <v>13.081300000000001</v>
      </c>
      <c r="C8045" s="572">
        <v>191.95400000000001</v>
      </c>
    </row>
    <row r="8046" spans="1:3">
      <c r="A8046" s="571" t="s">
        <v>368</v>
      </c>
      <c r="B8046" s="572">
        <v>14.008699999999999</v>
      </c>
      <c r="C8046" s="572">
        <v>201.649</v>
      </c>
    </row>
    <row r="8047" spans="1:3">
      <c r="A8047" s="571" t="s">
        <v>368</v>
      </c>
      <c r="B8047" s="572">
        <v>14.9361</v>
      </c>
      <c r="C8047" s="572">
        <v>211.345</v>
      </c>
    </row>
    <row r="8048" spans="1:3">
      <c r="A8048" s="571" t="s">
        <v>368</v>
      </c>
      <c r="B8048" s="572">
        <v>16.9605</v>
      </c>
      <c r="C8048" s="572">
        <v>217.899</v>
      </c>
    </row>
    <row r="8049" spans="1:3">
      <c r="A8049" s="571" t="s">
        <v>368</v>
      </c>
      <c r="B8049" s="572">
        <v>18.973199999999999</v>
      </c>
      <c r="C8049" s="572">
        <v>235.69399999999999</v>
      </c>
    </row>
    <row r="8050" spans="1:3">
      <c r="A8050" s="571" t="s">
        <v>368</v>
      </c>
      <c r="B8050" s="572">
        <v>20.834700000000002</v>
      </c>
      <c r="C8050" s="572">
        <v>248.66200000000001</v>
      </c>
    </row>
    <row r="8051" spans="1:3">
      <c r="A8051" s="571" t="s">
        <v>368</v>
      </c>
      <c r="B8051" s="572">
        <v>23.008700000000001</v>
      </c>
      <c r="C8051" s="572">
        <v>261.649</v>
      </c>
    </row>
    <row r="8052" spans="1:3">
      <c r="A8052" s="571" t="s">
        <v>368</v>
      </c>
      <c r="B8052" s="572">
        <v>24.870200000000001</v>
      </c>
      <c r="C8052" s="572">
        <v>274.61700000000002</v>
      </c>
    </row>
    <row r="8053" spans="1:3">
      <c r="A8053" s="571" t="s">
        <v>368</v>
      </c>
      <c r="B8053" s="572">
        <v>27.979900000000001</v>
      </c>
      <c r="C8053" s="572">
        <v>289.27100000000002</v>
      </c>
    </row>
    <row r="8054" spans="1:3">
      <c r="A8054" s="571" t="s">
        <v>368</v>
      </c>
      <c r="B8054" s="572">
        <v>30.6143</v>
      </c>
      <c r="C8054" s="572">
        <v>310.31799999999998</v>
      </c>
    </row>
    <row r="8055" spans="1:3">
      <c r="A8055" s="571" t="s">
        <v>368</v>
      </c>
      <c r="B8055" s="572">
        <v>33.109099999999998</v>
      </c>
      <c r="C8055" s="572">
        <v>315.29599999999999</v>
      </c>
    </row>
    <row r="8056" spans="1:3">
      <c r="A8056" s="571" t="s">
        <v>368</v>
      </c>
      <c r="B8056" s="572">
        <v>34.817700000000002</v>
      </c>
      <c r="C8056" s="572">
        <v>325.04199999999997</v>
      </c>
    </row>
    <row r="8057" spans="1:3">
      <c r="A8057" s="571" t="s">
        <v>368</v>
      </c>
      <c r="B8057" s="572">
        <v>38.085299999999997</v>
      </c>
      <c r="C8057" s="572">
        <v>338.1</v>
      </c>
    </row>
    <row r="8058" spans="1:3">
      <c r="A8058" s="571" t="s">
        <v>368</v>
      </c>
      <c r="B8058" s="572">
        <v>39.6477</v>
      </c>
      <c r="C8058" s="572">
        <v>338.2</v>
      </c>
    </row>
    <row r="8059" spans="1:3">
      <c r="A8059" s="571" t="s">
        <v>368</v>
      </c>
      <c r="B8059" s="572">
        <v>43.8645</v>
      </c>
      <c r="C8059" s="572">
        <v>340.077</v>
      </c>
    </row>
    <row r="8060" spans="1:3">
      <c r="A8060" s="571" t="s">
        <v>368</v>
      </c>
      <c r="B8060" s="572">
        <v>46.668500000000002</v>
      </c>
      <c r="C8060" s="572">
        <v>348.28699999999998</v>
      </c>
    </row>
    <row r="8061" spans="1:3">
      <c r="A8061" s="571" t="s">
        <v>368</v>
      </c>
      <c r="B8061" s="572">
        <v>49.008699999999997</v>
      </c>
      <c r="C8061" s="572">
        <v>351.649</v>
      </c>
    </row>
    <row r="8062" spans="1:3">
      <c r="A8062" s="571" t="s">
        <v>368</v>
      </c>
      <c r="B8062" s="572">
        <v>52.904699999999998</v>
      </c>
      <c r="C8062" s="572">
        <v>361.536</v>
      </c>
    </row>
    <row r="8063" spans="1:3">
      <c r="A8063" s="571" t="s">
        <v>368</v>
      </c>
      <c r="B8063" s="572">
        <v>56.006</v>
      </c>
      <c r="C8063" s="572">
        <v>384.21899999999999</v>
      </c>
    </row>
    <row r="8064" spans="1:3">
      <c r="A8064" s="571" t="s">
        <v>368</v>
      </c>
      <c r="B8064" s="572">
        <v>59.775799999999997</v>
      </c>
      <c r="C8064" s="572">
        <v>365.18900000000002</v>
      </c>
    </row>
    <row r="8065" spans="1:3">
      <c r="A8065" s="571" t="s">
        <v>368</v>
      </c>
      <c r="B8065" s="572">
        <v>62.732700000000001</v>
      </c>
      <c r="C8065" s="572">
        <v>376.62099999999998</v>
      </c>
    </row>
    <row r="8066" spans="1:3">
      <c r="A8066" s="571" t="s">
        <v>368</v>
      </c>
      <c r="B8066" s="572">
        <v>66.942800000000005</v>
      </c>
      <c r="C8066" s="572">
        <v>384.92099999999999</v>
      </c>
    </row>
    <row r="8067" spans="1:3">
      <c r="A8067" s="571" t="s">
        <v>368</v>
      </c>
      <c r="B8067" s="572">
        <v>69.734999999999999</v>
      </c>
      <c r="C8067" s="572">
        <v>404.37299999999999</v>
      </c>
    </row>
    <row r="8068" spans="1:3">
      <c r="A8068" s="571" t="s">
        <v>368</v>
      </c>
      <c r="B8068" s="572">
        <v>73.819000000000003</v>
      </c>
      <c r="C8068" s="572">
        <v>383.75700000000001</v>
      </c>
    </row>
    <row r="8069" spans="1:3">
      <c r="A8069" s="571" t="s">
        <v>368</v>
      </c>
      <c r="B8069" s="572">
        <v>76.767499999999998</v>
      </c>
      <c r="C8069" s="572">
        <v>403.21800000000002</v>
      </c>
    </row>
    <row r="8070" spans="1:3">
      <c r="A8070" s="571" t="s">
        <v>368</v>
      </c>
      <c r="B8070" s="572">
        <v>81.6143</v>
      </c>
      <c r="C8070" s="572">
        <v>400.31799999999998</v>
      </c>
    </row>
    <row r="8071" spans="1:3">
      <c r="A8071" s="571" t="s">
        <v>368</v>
      </c>
      <c r="B8071" s="572">
        <v>83.497500000000002</v>
      </c>
      <c r="C8071" s="572">
        <v>392.40899999999999</v>
      </c>
    </row>
    <row r="8072" spans="1:3">
      <c r="A8072" s="571" t="s">
        <v>368</v>
      </c>
      <c r="B8072" s="572">
        <v>86.776799999999994</v>
      </c>
      <c r="C8072" s="572">
        <v>394.22500000000002</v>
      </c>
    </row>
    <row r="8073" spans="1:3">
      <c r="A8073" s="571" t="s">
        <v>368</v>
      </c>
      <c r="B8073" s="572">
        <v>89.869900000000001</v>
      </c>
      <c r="C8073" s="572">
        <v>424.93799999999999</v>
      </c>
    </row>
    <row r="8074" spans="1:3">
      <c r="A8074" s="571" t="s">
        <v>369</v>
      </c>
      <c r="B8074" s="572">
        <v>0.14685500000000001</v>
      </c>
      <c r="C8074" s="572">
        <v>24.200700000000001</v>
      </c>
    </row>
    <row r="8075" spans="1:3">
      <c r="A8075" s="571" t="s">
        <v>369</v>
      </c>
      <c r="B8075" s="572">
        <v>0.156307</v>
      </c>
      <c r="C8075" s="572">
        <v>1.6204700000000001</v>
      </c>
    </row>
    <row r="8076" spans="1:3">
      <c r="A8076" s="571" t="s">
        <v>369</v>
      </c>
      <c r="B8076" s="572">
        <v>0.91893999999999998</v>
      </c>
      <c r="C8076" s="572">
        <v>54.883200000000002</v>
      </c>
    </row>
    <row r="8077" spans="1:3">
      <c r="A8077" s="571" t="s">
        <v>369</v>
      </c>
      <c r="B8077" s="572">
        <v>1.6950799999999999</v>
      </c>
      <c r="C8077" s="572">
        <v>75.888499999999993</v>
      </c>
    </row>
    <row r="8078" spans="1:3">
      <c r="A8078" s="571" t="s">
        <v>369</v>
      </c>
      <c r="B8078" s="572">
        <v>2.6275200000000001</v>
      </c>
      <c r="C8078" s="572">
        <v>98.514200000000002</v>
      </c>
    </row>
    <row r="8079" spans="1:3">
      <c r="A8079" s="571" t="s">
        <v>369</v>
      </c>
      <c r="B8079" s="572">
        <v>2.7777500000000002</v>
      </c>
      <c r="C8079" s="572">
        <v>114.651</v>
      </c>
    </row>
    <row r="8080" spans="1:3">
      <c r="A8080" s="571" t="s">
        <v>369</v>
      </c>
      <c r="B8080" s="572">
        <v>3.40028</v>
      </c>
      <c r="C8080" s="572">
        <v>127.584</v>
      </c>
    </row>
    <row r="8081" spans="1:3">
      <c r="A8081" s="571" t="s">
        <v>369</v>
      </c>
      <c r="B8081" s="572">
        <v>4.0268600000000001</v>
      </c>
      <c r="C8081" s="572">
        <v>130.84</v>
      </c>
    </row>
    <row r="8082" spans="1:3">
      <c r="A8082" s="571" t="s">
        <v>369</v>
      </c>
      <c r="B8082" s="572">
        <v>4.8083999999999998</v>
      </c>
      <c r="C8082" s="572">
        <v>138.94200000000001</v>
      </c>
    </row>
    <row r="8083" spans="1:3">
      <c r="A8083" s="571" t="s">
        <v>369</v>
      </c>
      <c r="B8083" s="572">
        <v>5.7421899999999999</v>
      </c>
      <c r="C8083" s="572">
        <v>158.34200000000001</v>
      </c>
    </row>
    <row r="8084" spans="1:3">
      <c r="A8084" s="571" t="s">
        <v>369</v>
      </c>
      <c r="B8084" s="572">
        <v>6.68004</v>
      </c>
      <c r="C8084" s="572">
        <v>168.065</v>
      </c>
    </row>
    <row r="8085" spans="1:3">
      <c r="A8085" s="571" t="s">
        <v>369</v>
      </c>
      <c r="B8085" s="572">
        <v>7.77149</v>
      </c>
      <c r="C8085" s="572">
        <v>185.86</v>
      </c>
    </row>
    <row r="8086" spans="1:3">
      <c r="A8086" s="571" t="s">
        <v>369</v>
      </c>
      <c r="B8086" s="572">
        <v>9.6458300000000001</v>
      </c>
      <c r="C8086" s="572">
        <v>208.53100000000001</v>
      </c>
    </row>
    <row r="8087" spans="1:3">
      <c r="A8087" s="571" t="s">
        <v>369</v>
      </c>
      <c r="B8087" s="572">
        <v>10.5776</v>
      </c>
      <c r="C8087" s="572">
        <v>232.77</v>
      </c>
    </row>
    <row r="8088" spans="1:3">
      <c r="A8088" s="571" t="s">
        <v>369</v>
      </c>
      <c r="B8088" s="572">
        <v>11.9918</v>
      </c>
      <c r="C8088" s="572">
        <v>229.613</v>
      </c>
    </row>
    <row r="8089" spans="1:3">
      <c r="A8089" s="571" t="s">
        <v>369</v>
      </c>
      <c r="B8089" s="572">
        <v>12.7659</v>
      </c>
      <c r="C8089" s="572">
        <v>255.45599999999999</v>
      </c>
    </row>
    <row r="8090" spans="1:3">
      <c r="A8090" s="571" t="s">
        <v>369</v>
      </c>
      <c r="B8090" s="572">
        <v>13.707800000000001</v>
      </c>
      <c r="C8090" s="572">
        <v>255.50200000000001</v>
      </c>
    </row>
    <row r="8091" spans="1:3">
      <c r="A8091" s="571" t="s">
        <v>369</v>
      </c>
      <c r="B8091" s="572">
        <v>15.7378</v>
      </c>
      <c r="C8091" s="572">
        <v>281.40699999999998</v>
      </c>
    </row>
    <row r="8092" spans="1:3">
      <c r="A8092" s="571" t="s">
        <v>369</v>
      </c>
      <c r="B8092" s="572">
        <v>17.778500000000001</v>
      </c>
      <c r="C8092" s="572">
        <v>281.505</v>
      </c>
    </row>
    <row r="8093" spans="1:3">
      <c r="A8093" s="571" t="s">
        <v>369</v>
      </c>
      <c r="B8093" s="572">
        <v>18.715699999999998</v>
      </c>
      <c r="C8093" s="572">
        <v>292.84100000000001</v>
      </c>
    </row>
    <row r="8094" spans="1:3">
      <c r="A8094" s="571" t="s">
        <v>369</v>
      </c>
      <c r="B8094" s="572">
        <v>21.998200000000001</v>
      </c>
      <c r="C8094" s="572">
        <v>326.87099999999998</v>
      </c>
    </row>
    <row r="8095" spans="1:3">
      <c r="A8095" s="571" t="s">
        <v>369</v>
      </c>
      <c r="B8095" s="572">
        <v>24.972100000000001</v>
      </c>
      <c r="C8095" s="572">
        <v>347.983</v>
      </c>
    </row>
    <row r="8096" spans="1:3">
      <c r="A8096" s="571" t="s">
        <v>369</v>
      </c>
      <c r="B8096" s="572">
        <v>26.998699999999999</v>
      </c>
      <c r="C8096" s="572">
        <v>381.952</v>
      </c>
    </row>
    <row r="8097" spans="1:3">
      <c r="A8097" s="571" t="s">
        <v>369</v>
      </c>
      <c r="B8097" s="572">
        <v>28.716699999999999</v>
      </c>
      <c r="C8097" s="572">
        <v>403.00200000000001</v>
      </c>
    </row>
    <row r="8098" spans="1:3">
      <c r="A8098" s="571" t="s">
        <v>369</v>
      </c>
      <c r="B8098" s="572">
        <v>31.8597</v>
      </c>
      <c r="C8098" s="572">
        <v>395.09</v>
      </c>
    </row>
    <row r="8099" spans="1:3">
      <c r="A8099" s="571" t="s">
        <v>369</v>
      </c>
      <c r="B8099" s="572">
        <v>33.742800000000003</v>
      </c>
      <c r="C8099" s="572">
        <v>396.79399999999998</v>
      </c>
    </row>
    <row r="8100" spans="1:3">
      <c r="A8100" s="571" t="s">
        <v>369</v>
      </c>
      <c r="B8100" s="572">
        <v>35.772799999999997</v>
      </c>
      <c r="C8100" s="572">
        <v>422.69900000000001</v>
      </c>
    </row>
    <row r="8101" spans="1:3">
      <c r="A8101" s="571" t="s">
        <v>369</v>
      </c>
      <c r="B8101" s="572">
        <v>38.753500000000003</v>
      </c>
      <c r="C8101" s="572">
        <v>427.68200000000002</v>
      </c>
    </row>
    <row r="8102" spans="1:3">
      <c r="A8102" s="571" t="s">
        <v>369</v>
      </c>
      <c r="B8102" s="572">
        <v>40.943100000000001</v>
      </c>
      <c r="C8102" s="572">
        <v>447.142</v>
      </c>
    </row>
    <row r="8103" spans="1:3">
      <c r="A8103" s="571" t="s">
        <v>369</v>
      </c>
      <c r="B8103" s="572">
        <v>42.822200000000002</v>
      </c>
      <c r="C8103" s="572">
        <v>458.524</v>
      </c>
    </row>
    <row r="8104" spans="1:3">
      <c r="A8104" s="571" t="s">
        <v>369</v>
      </c>
      <c r="B8104" s="572">
        <v>46.114800000000002</v>
      </c>
      <c r="C8104" s="572">
        <v>468.36</v>
      </c>
    </row>
    <row r="8105" spans="1:3">
      <c r="A8105" s="571" t="s">
        <v>369</v>
      </c>
      <c r="B8105" s="572">
        <v>47.840200000000003</v>
      </c>
      <c r="C8105" s="572">
        <v>471.67</v>
      </c>
    </row>
    <row r="8106" spans="1:3">
      <c r="A8106" s="571" t="s">
        <v>369</v>
      </c>
      <c r="B8106" s="572">
        <v>49.721299999999999</v>
      </c>
      <c r="C8106" s="572">
        <v>478.21199999999999</v>
      </c>
    </row>
    <row r="8107" spans="1:3">
      <c r="A8107" s="571" t="s">
        <v>369</v>
      </c>
      <c r="B8107" s="572">
        <v>52.863700000000001</v>
      </c>
      <c r="C8107" s="572">
        <v>471.91300000000001</v>
      </c>
    </row>
    <row r="8108" spans="1:3">
      <c r="A8108" s="571" t="s">
        <v>369</v>
      </c>
      <c r="B8108" s="572">
        <v>55.055999999999997</v>
      </c>
      <c r="C8108" s="572">
        <v>484.92200000000003</v>
      </c>
    </row>
    <row r="8109" spans="1:3">
      <c r="A8109" s="571" t="s">
        <v>369</v>
      </c>
      <c r="B8109" s="572">
        <v>57.100900000000003</v>
      </c>
      <c r="C8109" s="572">
        <v>475.34399999999999</v>
      </c>
    </row>
    <row r="8110" spans="1:3">
      <c r="A8110" s="571" t="s">
        <v>369</v>
      </c>
      <c r="B8110" s="572">
        <v>59.921799999999998</v>
      </c>
      <c r="C8110" s="572">
        <v>486.77</v>
      </c>
    </row>
    <row r="8111" spans="1:3">
      <c r="A8111" s="571" t="s">
        <v>369</v>
      </c>
      <c r="B8111" s="572">
        <v>62.735300000000002</v>
      </c>
      <c r="C8111" s="572">
        <v>515.93899999999996</v>
      </c>
    </row>
    <row r="8112" spans="1:3">
      <c r="A8112" s="571" t="s">
        <v>369</v>
      </c>
      <c r="B8112" s="572">
        <v>66.808800000000005</v>
      </c>
      <c r="C8112" s="572">
        <v>535.49099999999999</v>
      </c>
    </row>
    <row r="8113" spans="1:3">
      <c r="A8113" s="571" t="s">
        <v>369</v>
      </c>
      <c r="B8113" s="572">
        <v>69.949799999999996</v>
      </c>
      <c r="C8113" s="572">
        <v>532.41700000000003</v>
      </c>
    </row>
    <row r="8114" spans="1:3">
      <c r="A8114" s="571" t="s">
        <v>369</v>
      </c>
      <c r="B8114" s="572">
        <v>74.968500000000006</v>
      </c>
      <c r="C8114" s="572">
        <v>543.95000000000005</v>
      </c>
    </row>
    <row r="8115" spans="1:3">
      <c r="A8115" s="571" t="s">
        <v>369</v>
      </c>
      <c r="B8115" s="572">
        <v>78.108800000000002</v>
      </c>
      <c r="C8115" s="572">
        <v>542.48900000000003</v>
      </c>
    </row>
    <row r="8116" spans="1:3">
      <c r="A8116" s="571" t="s">
        <v>369</v>
      </c>
      <c r="B8116" s="572">
        <v>80.9251</v>
      </c>
      <c r="C8116" s="572">
        <v>565.20600000000002</v>
      </c>
    </row>
    <row r="8117" spans="1:3">
      <c r="A8117" s="571" t="s">
        <v>369</v>
      </c>
      <c r="B8117" s="572">
        <v>85.000600000000006</v>
      </c>
      <c r="C8117" s="572">
        <v>579.91899999999998</v>
      </c>
    </row>
    <row r="8118" spans="1:3">
      <c r="A8118" s="571" t="s">
        <v>369</v>
      </c>
      <c r="B8118" s="572">
        <v>89.080100000000002</v>
      </c>
      <c r="C8118" s="572">
        <v>584.95500000000004</v>
      </c>
    </row>
    <row r="8119" spans="1:3">
      <c r="A8119" s="571" t="s">
        <v>369</v>
      </c>
      <c r="B8119" s="572">
        <v>92.039100000000005</v>
      </c>
      <c r="C8119" s="572">
        <v>641.54999999999995</v>
      </c>
    </row>
    <row r="8120" spans="1:3">
      <c r="A8120" s="48" t="s">
        <v>370</v>
      </c>
      <c r="B8120" s="549">
        <v>-0.15765799999999999</v>
      </c>
      <c r="C8120" s="549">
        <v>1.60527</v>
      </c>
    </row>
    <row r="8121" spans="1:3">
      <c r="A8121" s="48" t="s">
        <v>370</v>
      </c>
      <c r="B8121" s="549">
        <v>-7.4271399999999996E-3</v>
      </c>
      <c r="C8121" s="549">
        <v>17.741599999999998</v>
      </c>
    </row>
    <row r="8122" spans="1:3">
      <c r="A8122" s="571" t="s">
        <v>370</v>
      </c>
      <c r="B8122" s="572">
        <v>0.92366599999999999</v>
      </c>
      <c r="C8122" s="572">
        <v>43.5931</v>
      </c>
    </row>
    <row r="8123" spans="1:3">
      <c r="A8123" s="571" t="s">
        <v>370</v>
      </c>
      <c r="B8123" s="572">
        <v>2.0110700000000001</v>
      </c>
      <c r="C8123" s="572">
        <v>71.065100000000001</v>
      </c>
    </row>
    <row r="8124" spans="1:3">
      <c r="A8124" s="571" t="s">
        <v>370</v>
      </c>
      <c r="B8124" s="572">
        <v>2.4732400000000001</v>
      </c>
      <c r="C8124" s="572">
        <v>92.055199999999999</v>
      </c>
    </row>
    <row r="8125" spans="1:3">
      <c r="A8125" s="571" t="s">
        <v>370</v>
      </c>
      <c r="B8125" s="572">
        <v>3.56671</v>
      </c>
      <c r="C8125" s="572">
        <v>105.011</v>
      </c>
    </row>
    <row r="8126" spans="1:3">
      <c r="A8126" s="571" t="s">
        <v>370</v>
      </c>
      <c r="B8126" s="572">
        <v>5.60006</v>
      </c>
      <c r="C8126" s="572">
        <v>122.852</v>
      </c>
    </row>
    <row r="8127" spans="1:3">
      <c r="A8127" s="571" t="s">
        <v>370</v>
      </c>
      <c r="B8127" s="572">
        <v>6.5358799999999997</v>
      </c>
      <c r="C8127" s="572">
        <v>137.41300000000001</v>
      </c>
    </row>
    <row r="8128" spans="1:3">
      <c r="A8128" s="571" t="s">
        <v>370</v>
      </c>
      <c r="B8128" s="572">
        <v>7.6327299999999996</v>
      </c>
      <c r="C8128" s="572">
        <v>142.30500000000001</v>
      </c>
    </row>
    <row r="8129" spans="1:3">
      <c r="A8129" s="571" t="s">
        <v>370</v>
      </c>
      <c r="B8129" s="572">
        <v>9.0401799999999994</v>
      </c>
      <c r="C8129" s="572">
        <v>155.27600000000001</v>
      </c>
    </row>
    <row r="8130" spans="1:3">
      <c r="A8130" s="571" t="s">
        <v>370</v>
      </c>
      <c r="B8130" s="572">
        <v>9.5050500000000007</v>
      </c>
      <c r="C8130" s="572">
        <v>169.815</v>
      </c>
    </row>
    <row r="8131" spans="1:3">
      <c r="A8131" s="571" t="s">
        <v>370</v>
      </c>
      <c r="B8131" s="572">
        <v>10.9132</v>
      </c>
      <c r="C8131" s="572">
        <v>181.173</v>
      </c>
    </row>
    <row r="8132" spans="1:3">
      <c r="A8132" s="571" t="s">
        <v>370</v>
      </c>
      <c r="B8132" s="572">
        <v>12.947900000000001</v>
      </c>
      <c r="C8132" s="572">
        <v>195.78800000000001</v>
      </c>
    </row>
    <row r="8133" spans="1:3">
      <c r="A8133" s="571" t="s">
        <v>370</v>
      </c>
      <c r="B8133" s="572">
        <v>13.7287</v>
      </c>
      <c r="C8133" s="572">
        <v>205.50299999999999</v>
      </c>
    </row>
    <row r="8134" spans="1:3">
      <c r="A8134" s="571" t="s">
        <v>370</v>
      </c>
      <c r="B8134" s="572">
        <v>15.4474</v>
      </c>
      <c r="C8134" s="572">
        <v>224.941</v>
      </c>
    </row>
    <row r="8135" spans="1:3">
      <c r="A8135" s="571" t="s">
        <v>370</v>
      </c>
      <c r="B8135" s="572">
        <v>17.644500000000001</v>
      </c>
      <c r="C8135" s="572">
        <v>226.66</v>
      </c>
    </row>
    <row r="8136" spans="1:3">
      <c r="A8136" s="571" t="s">
        <v>370</v>
      </c>
      <c r="B8136" s="572">
        <v>18.895700000000001</v>
      </c>
      <c r="C8136" s="572">
        <v>238.011</v>
      </c>
    </row>
    <row r="8137" spans="1:3">
      <c r="A8137" s="571" t="s">
        <v>370</v>
      </c>
      <c r="B8137" s="572">
        <v>21.866199999999999</v>
      </c>
      <c r="C8137" s="572">
        <v>267.18700000000001</v>
      </c>
    </row>
    <row r="8138" spans="1:3">
      <c r="A8138" s="571" t="s">
        <v>370</v>
      </c>
      <c r="B8138" s="572">
        <v>24.842099999999999</v>
      </c>
      <c r="C8138" s="572">
        <v>283.45999999999998</v>
      </c>
    </row>
    <row r="8139" spans="1:3">
      <c r="A8139" s="571" t="s">
        <v>370</v>
      </c>
      <c r="B8139" s="572">
        <v>26.87</v>
      </c>
      <c r="C8139" s="572">
        <v>314.20299999999997</v>
      </c>
    </row>
    <row r="8140" spans="1:3">
      <c r="A8140" s="571" t="s">
        <v>370</v>
      </c>
      <c r="B8140" s="572">
        <v>28.7471</v>
      </c>
      <c r="C8140" s="572">
        <v>330.423</v>
      </c>
    </row>
    <row r="8141" spans="1:3">
      <c r="A8141" s="571" t="s">
        <v>370</v>
      </c>
      <c r="B8141" s="572">
        <v>31.888100000000001</v>
      </c>
      <c r="C8141" s="572">
        <v>327.34899999999999</v>
      </c>
    </row>
    <row r="8142" spans="1:3">
      <c r="A8142" s="571" t="s">
        <v>370</v>
      </c>
      <c r="B8142" s="572">
        <v>33.7712</v>
      </c>
      <c r="C8142" s="572">
        <v>329.053</v>
      </c>
    </row>
    <row r="8143" spans="1:3">
      <c r="A8143" s="571" t="s">
        <v>370</v>
      </c>
      <c r="B8143" s="572">
        <v>35.801200000000001</v>
      </c>
      <c r="C8143" s="572">
        <v>354.95800000000003</v>
      </c>
    </row>
    <row r="8144" spans="1:3">
      <c r="A8144" s="571" t="s">
        <v>370</v>
      </c>
      <c r="B8144" s="572">
        <v>39.0944</v>
      </c>
      <c r="C8144" s="572">
        <v>363.18200000000002</v>
      </c>
    </row>
    <row r="8145" spans="1:3">
      <c r="A8145" s="571" t="s">
        <v>370</v>
      </c>
      <c r="B8145" s="572">
        <v>40.971499999999999</v>
      </c>
      <c r="C8145" s="572">
        <v>379.40199999999999</v>
      </c>
    </row>
    <row r="8146" spans="1:3">
      <c r="A8146" s="571" t="s">
        <v>370</v>
      </c>
      <c r="B8146" s="572">
        <v>42.848500000000001</v>
      </c>
      <c r="C8146" s="572">
        <v>395.62200000000001</v>
      </c>
    </row>
    <row r="8147" spans="1:3">
      <c r="A8147" s="571" t="s">
        <v>370</v>
      </c>
      <c r="B8147" s="572">
        <v>45.984099999999998</v>
      </c>
      <c r="C8147" s="572">
        <v>405.45100000000002</v>
      </c>
    </row>
    <row r="8148" spans="1:3">
      <c r="A8148" s="571" t="s">
        <v>370</v>
      </c>
      <c r="B8148" s="572">
        <v>47.867199999999997</v>
      </c>
      <c r="C8148" s="572">
        <v>407.15499999999997</v>
      </c>
    </row>
    <row r="8149" spans="1:3">
      <c r="A8149" s="571" t="s">
        <v>370</v>
      </c>
      <c r="B8149" s="572">
        <v>49.750300000000003</v>
      </c>
      <c r="C8149" s="572">
        <v>408.85899999999998</v>
      </c>
    </row>
    <row r="8150" spans="1:3">
      <c r="A8150" s="571" t="s">
        <v>370</v>
      </c>
      <c r="B8150" s="572">
        <v>52.731000000000002</v>
      </c>
      <c r="C8150" s="572">
        <v>413.84199999999998</v>
      </c>
    </row>
    <row r="8151" spans="1:3">
      <c r="A8151" s="571" t="s">
        <v>370</v>
      </c>
      <c r="B8151" s="572">
        <v>54.922699999999999</v>
      </c>
      <c r="C8151" s="572">
        <v>428.464</v>
      </c>
    </row>
    <row r="8152" spans="1:3">
      <c r="A8152" s="571" t="s">
        <v>370</v>
      </c>
      <c r="B8152" s="572">
        <v>56.968200000000003</v>
      </c>
      <c r="C8152" s="572">
        <v>417.27300000000002</v>
      </c>
    </row>
    <row r="8153" spans="1:3">
      <c r="A8153" s="571" t="s">
        <v>370</v>
      </c>
      <c r="B8153" s="572">
        <v>59.787100000000002</v>
      </c>
      <c r="C8153" s="572">
        <v>433.53800000000001</v>
      </c>
    </row>
    <row r="8154" spans="1:3">
      <c r="A8154" s="571" t="s">
        <v>370</v>
      </c>
      <c r="B8154" s="572">
        <v>62.915300000000002</v>
      </c>
      <c r="C8154" s="572">
        <v>461.10899999999998</v>
      </c>
    </row>
    <row r="8155" spans="1:3">
      <c r="A8155" s="571" t="s">
        <v>370</v>
      </c>
      <c r="B8155" s="572">
        <v>66.990099999999998</v>
      </c>
      <c r="C8155" s="572">
        <v>477.435</v>
      </c>
    </row>
    <row r="8156" spans="1:3">
      <c r="A8156" s="571" t="s">
        <v>370</v>
      </c>
      <c r="B8156" s="572">
        <v>69.974100000000007</v>
      </c>
      <c r="C8156" s="572">
        <v>474.35399999999998</v>
      </c>
    </row>
    <row r="8157" spans="1:3">
      <c r="A8157" s="571" t="s">
        <v>370</v>
      </c>
      <c r="B8157" s="572">
        <v>74.990799999999993</v>
      </c>
      <c r="C8157" s="572">
        <v>490.72500000000002</v>
      </c>
    </row>
    <row r="8158" spans="1:3">
      <c r="A8158" s="571" t="s">
        <v>370</v>
      </c>
      <c r="B8158" s="572">
        <v>77.973500000000001</v>
      </c>
      <c r="C8158" s="572">
        <v>490.87</v>
      </c>
    </row>
    <row r="8159" spans="1:3">
      <c r="A8159" s="571" t="s">
        <v>370</v>
      </c>
      <c r="B8159" s="572">
        <v>80.793099999999995</v>
      </c>
      <c r="C8159" s="572">
        <v>505.52199999999999</v>
      </c>
    </row>
    <row r="8160" spans="1:3">
      <c r="A8160" s="571" t="s">
        <v>370</v>
      </c>
      <c r="B8160" s="572">
        <v>84.867199999999997</v>
      </c>
      <c r="C8160" s="572">
        <v>523.46100000000001</v>
      </c>
    </row>
    <row r="8161" spans="1:3">
      <c r="A8161" s="571" t="s">
        <v>370</v>
      </c>
      <c r="B8161" s="572">
        <v>88.946100000000001</v>
      </c>
      <c r="C8161" s="572">
        <v>530.11</v>
      </c>
    </row>
    <row r="8162" spans="1:3">
      <c r="A8162" s="571" t="s">
        <v>370</v>
      </c>
      <c r="B8162" s="572">
        <v>91.908500000000004</v>
      </c>
      <c r="C8162" s="572">
        <v>578.64099999999996</v>
      </c>
    </row>
    <row r="8163" spans="1:3">
      <c r="A8163" s="571" t="s">
        <v>3731</v>
      </c>
      <c r="B8163" s="572">
        <v>0.15563199999999999</v>
      </c>
      <c r="C8163" s="572">
        <v>3.2333400000000001</v>
      </c>
    </row>
    <row r="8164" spans="1:3">
      <c r="A8164" s="571" t="s">
        <v>3731</v>
      </c>
      <c r="B8164" s="572">
        <v>0.30653799999999998</v>
      </c>
      <c r="C8164" s="572">
        <v>17.756799999999998</v>
      </c>
    </row>
    <row r="8165" spans="1:3">
      <c r="A8165" s="571" t="s">
        <v>3731</v>
      </c>
      <c r="B8165" s="572">
        <v>1.0799700000000001</v>
      </c>
      <c r="C8165" s="572">
        <v>45.213500000000003</v>
      </c>
    </row>
    <row r="8166" spans="1:3">
      <c r="A8166" s="571" t="s">
        <v>3731</v>
      </c>
      <c r="B8166" s="572">
        <v>1.84598</v>
      </c>
      <c r="C8166" s="572">
        <v>90.411900000000003</v>
      </c>
    </row>
    <row r="8167" spans="1:3">
      <c r="A8167" s="571" t="s">
        <v>3731</v>
      </c>
      <c r="B8167" s="572">
        <v>2.76695</v>
      </c>
      <c r="C8167" s="572">
        <v>140.45599999999999</v>
      </c>
    </row>
    <row r="8168" spans="1:3">
      <c r="A8168" s="571" t="s">
        <v>3731</v>
      </c>
      <c r="B8168" s="572">
        <v>5.13924</v>
      </c>
      <c r="C8168" s="572">
        <v>98.635800000000003</v>
      </c>
    </row>
    <row r="8169" spans="1:3">
      <c r="A8169" s="571" t="s">
        <v>3731</v>
      </c>
      <c r="B8169" s="572">
        <v>5.7631199999999998</v>
      </c>
      <c r="C8169" s="572">
        <v>108.343</v>
      </c>
    </row>
    <row r="8170" spans="1:3">
      <c r="A8170" s="571" t="s">
        <v>3731</v>
      </c>
      <c r="B8170" s="572">
        <v>6.7009699999999999</v>
      </c>
      <c r="C8170" s="572">
        <v>118.066</v>
      </c>
    </row>
    <row r="8171" spans="1:3">
      <c r="A8171" s="571" t="s">
        <v>3731</v>
      </c>
      <c r="B8171" s="572">
        <v>7.78972</v>
      </c>
      <c r="C8171" s="572">
        <v>142.31200000000001</v>
      </c>
    </row>
    <row r="8172" spans="1:3">
      <c r="A8172" s="571" t="s">
        <v>3731</v>
      </c>
      <c r="B8172" s="572">
        <v>8.8838699999999999</v>
      </c>
      <c r="C8172" s="572">
        <v>153.65600000000001</v>
      </c>
    </row>
    <row r="8173" spans="1:3">
      <c r="A8173" s="571" t="s">
        <v>3731</v>
      </c>
      <c r="B8173" s="572">
        <v>9.82104</v>
      </c>
      <c r="C8173" s="572">
        <v>164.99100000000001</v>
      </c>
    </row>
    <row r="8174" spans="1:3">
      <c r="A8174" s="571" t="s">
        <v>3731</v>
      </c>
      <c r="B8174" s="572">
        <v>10.606</v>
      </c>
      <c r="C8174" s="572">
        <v>165.029</v>
      </c>
    </row>
    <row r="8175" spans="1:3">
      <c r="A8175" s="571" t="s">
        <v>3731</v>
      </c>
      <c r="B8175" s="572">
        <v>12.0154</v>
      </c>
      <c r="C8175" s="572">
        <v>173.16200000000001</v>
      </c>
    </row>
    <row r="8176" spans="1:3">
      <c r="A8176" s="571" t="s">
        <v>3731</v>
      </c>
      <c r="B8176" s="572">
        <v>12.7963</v>
      </c>
      <c r="C8176" s="572">
        <v>182.87700000000001</v>
      </c>
    </row>
    <row r="8177" spans="1:3">
      <c r="A8177" s="571" t="s">
        <v>3731</v>
      </c>
      <c r="B8177" s="572">
        <v>13.5771</v>
      </c>
      <c r="C8177" s="572">
        <v>192.59200000000001</v>
      </c>
    </row>
    <row r="8178" spans="1:3">
      <c r="A8178" s="571" t="s">
        <v>3731</v>
      </c>
      <c r="B8178" s="572">
        <v>14.6713</v>
      </c>
      <c r="C8178" s="572">
        <v>203.93600000000001</v>
      </c>
    </row>
    <row r="8179" spans="1:3">
      <c r="A8179" s="571" t="s">
        <v>3731</v>
      </c>
      <c r="B8179" s="572">
        <v>16.867699999999999</v>
      </c>
      <c r="C8179" s="572">
        <v>207.268</v>
      </c>
    </row>
    <row r="8180" spans="1:3">
      <c r="A8180" s="571" t="s">
        <v>3731</v>
      </c>
      <c r="B8180" s="572">
        <v>19.056000000000001</v>
      </c>
      <c r="C8180" s="572">
        <v>229.95400000000001</v>
      </c>
    </row>
    <row r="8181" spans="1:3">
      <c r="A8181" s="571" t="s">
        <v>3731</v>
      </c>
      <c r="B8181" s="572">
        <v>20.9344</v>
      </c>
      <c r="C8181" s="572">
        <v>242.94800000000001</v>
      </c>
    </row>
    <row r="8182" spans="1:3">
      <c r="A8182" s="571" t="s">
        <v>3731</v>
      </c>
      <c r="B8182" s="572">
        <v>22.9711</v>
      </c>
      <c r="C8182" s="572">
        <v>252.72399999999999</v>
      </c>
    </row>
    <row r="8183" spans="1:3">
      <c r="A8183" s="571" t="s">
        <v>3731</v>
      </c>
      <c r="B8183" s="572">
        <v>24.849499999999999</v>
      </c>
      <c r="C8183" s="572">
        <v>265.71899999999999</v>
      </c>
    </row>
    <row r="8184" spans="1:3">
      <c r="A8184" s="571" t="s">
        <v>3731</v>
      </c>
      <c r="B8184" s="572">
        <v>27.9817</v>
      </c>
      <c r="C8184" s="572">
        <v>283.61200000000002</v>
      </c>
    </row>
    <row r="8185" spans="1:3">
      <c r="A8185" s="571" t="s">
        <v>3731</v>
      </c>
      <c r="B8185" s="572">
        <v>30.956299999999999</v>
      </c>
      <c r="C8185" s="572">
        <v>303.11099999999999</v>
      </c>
    </row>
    <row r="8186" spans="1:3">
      <c r="A8186" s="571" t="s">
        <v>3731</v>
      </c>
      <c r="B8186" s="572">
        <v>32.838799999999999</v>
      </c>
      <c r="C8186" s="572">
        <v>306.428</v>
      </c>
    </row>
    <row r="8187" spans="1:3">
      <c r="A8187" s="571" t="s">
        <v>3731</v>
      </c>
      <c r="B8187" s="572">
        <v>34.875500000000002</v>
      </c>
      <c r="C8187" s="572">
        <v>316.20400000000001</v>
      </c>
    </row>
    <row r="8188" spans="1:3">
      <c r="A8188" s="571" t="s">
        <v>3731</v>
      </c>
      <c r="B8188" s="572">
        <v>38.009099999999997</v>
      </c>
      <c r="C8188" s="572">
        <v>330.87099999999998</v>
      </c>
    </row>
    <row r="8189" spans="1:3">
      <c r="A8189" s="571" t="s">
        <v>3731</v>
      </c>
      <c r="B8189" s="572">
        <v>40.049199999999999</v>
      </c>
      <c r="C8189" s="572">
        <v>332.58300000000003</v>
      </c>
    </row>
    <row r="8190" spans="1:3">
      <c r="A8190" s="571" t="s">
        <v>3731</v>
      </c>
      <c r="B8190" s="572">
        <v>43.972999999999999</v>
      </c>
      <c r="C8190" s="572">
        <v>334.38600000000002</v>
      </c>
    </row>
    <row r="8191" spans="1:3">
      <c r="A8191" s="571" t="s">
        <v>3731</v>
      </c>
      <c r="B8191" s="572">
        <v>46.795400000000001</v>
      </c>
      <c r="C8191" s="572">
        <v>342.58699999999999</v>
      </c>
    </row>
    <row r="8192" spans="1:3">
      <c r="A8192" s="571" t="s">
        <v>3731</v>
      </c>
      <c r="B8192" s="572">
        <v>48.835500000000003</v>
      </c>
      <c r="C8192" s="572">
        <v>344.298</v>
      </c>
    </row>
    <row r="8193" spans="1:3">
      <c r="A8193" s="571" t="s">
        <v>3731</v>
      </c>
      <c r="B8193" s="572">
        <v>52.913600000000002</v>
      </c>
      <c r="C8193" s="572">
        <v>352.56</v>
      </c>
    </row>
    <row r="8194" spans="1:3">
      <c r="A8194" s="571" t="s">
        <v>3731</v>
      </c>
      <c r="B8194" s="572">
        <v>56.041800000000002</v>
      </c>
      <c r="C8194" s="572">
        <v>380.13099999999997</v>
      </c>
    </row>
    <row r="8195" spans="1:3">
      <c r="A8195" s="571" t="s">
        <v>3731</v>
      </c>
      <c r="B8195" s="572">
        <v>59.9758</v>
      </c>
      <c r="C8195" s="572">
        <v>357.74099999999999</v>
      </c>
    </row>
    <row r="8196" spans="1:3">
      <c r="A8196" s="571" t="s">
        <v>3731</v>
      </c>
      <c r="B8196" s="572">
        <v>62.953800000000001</v>
      </c>
      <c r="C8196" s="572">
        <v>369.17500000000001</v>
      </c>
    </row>
    <row r="8197" spans="1:3">
      <c r="A8197" s="571" t="s">
        <v>3731</v>
      </c>
      <c r="B8197" s="572">
        <v>66.875</v>
      </c>
      <c r="C8197" s="572">
        <v>377.42899999999997</v>
      </c>
    </row>
    <row r="8198" spans="1:3">
      <c r="A8198" s="571" t="s">
        <v>3731</v>
      </c>
      <c r="B8198" s="572">
        <v>70.006500000000003</v>
      </c>
      <c r="C8198" s="572">
        <v>396.93599999999998</v>
      </c>
    </row>
    <row r="8199" spans="1:3">
      <c r="A8199" s="571" t="s">
        <v>3731</v>
      </c>
      <c r="B8199" s="572">
        <v>73.939899999999994</v>
      </c>
      <c r="C8199" s="572">
        <v>376.15800000000002</v>
      </c>
    </row>
    <row r="8200" spans="1:3">
      <c r="A8200" s="571" t="s">
        <v>3731</v>
      </c>
      <c r="B8200" s="572">
        <v>77.070700000000002</v>
      </c>
      <c r="C8200" s="572">
        <v>397.27800000000002</v>
      </c>
    </row>
    <row r="8201" spans="1:3">
      <c r="A8201" s="571" t="s">
        <v>3731</v>
      </c>
      <c r="B8201" s="572">
        <v>81.780900000000003</v>
      </c>
      <c r="C8201" s="572">
        <v>395.89299999999997</v>
      </c>
    </row>
    <row r="8202" spans="1:3">
      <c r="A8202" s="571" t="s">
        <v>3731</v>
      </c>
      <c r="B8202" s="572">
        <v>83.825000000000003</v>
      </c>
      <c r="C8202" s="572">
        <v>387.92700000000002</v>
      </c>
    </row>
    <row r="8203" spans="1:3">
      <c r="A8203" s="571" t="s">
        <v>3731</v>
      </c>
      <c r="B8203" s="572">
        <v>86.963999999999999</v>
      </c>
      <c r="C8203" s="572">
        <v>389.69200000000001</v>
      </c>
    </row>
    <row r="8204" spans="1:3">
      <c r="A8204" s="571" t="s">
        <v>3731</v>
      </c>
      <c r="B8204" s="572">
        <v>89.778899999999993</v>
      </c>
      <c r="C8204" s="572">
        <v>415.63400000000001</v>
      </c>
    </row>
    <row r="8205" spans="1:3">
      <c r="A8205" s="571" t="s">
        <v>3732</v>
      </c>
      <c r="B8205" s="572">
        <v>3.5814200000000001E-3</v>
      </c>
      <c r="C8205" s="572">
        <v>5.5691100000000002</v>
      </c>
    </row>
    <row r="8206" spans="1:3">
      <c r="A8206" s="571" t="s">
        <v>3732</v>
      </c>
      <c r="B8206" s="572">
        <v>0.467972</v>
      </c>
      <c r="C8206" s="572">
        <v>22.3033</v>
      </c>
    </row>
    <row r="8207" spans="1:3">
      <c r="A8207" s="571" t="s">
        <v>3732</v>
      </c>
      <c r="B8207" s="572">
        <v>1.0823799999999999</v>
      </c>
      <c r="C8207" s="572">
        <v>66.891999999999996</v>
      </c>
    </row>
    <row r="8208" spans="1:3">
      <c r="A8208" s="571" t="s">
        <v>3732</v>
      </c>
      <c r="B8208" s="572">
        <v>2.1779000000000002</v>
      </c>
      <c r="C8208" s="572">
        <v>113.364</v>
      </c>
    </row>
    <row r="8209" spans="1:3">
      <c r="A8209" s="571" t="s">
        <v>3732</v>
      </c>
      <c r="B8209" s="572">
        <v>3.12459</v>
      </c>
      <c r="C8209" s="572">
        <v>141.26300000000001</v>
      </c>
    </row>
    <row r="8210" spans="1:3">
      <c r="A8210" s="571" t="s">
        <v>3732</v>
      </c>
      <c r="B8210" s="572">
        <v>3.9606499999999998</v>
      </c>
      <c r="C8210" s="572">
        <v>91.185900000000004</v>
      </c>
    </row>
    <row r="8211" spans="1:3">
      <c r="A8211" s="571" t="s">
        <v>3732</v>
      </c>
      <c r="B8211" s="572">
        <v>5.0788500000000001</v>
      </c>
      <c r="C8211" s="572">
        <v>102.387</v>
      </c>
    </row>
    <row r="8212" spans="1:3">
      <c r="A8212" s="571" t="s">
        <v>3732</v>
      </c>
      <c r="B8212" s="572">
        <v>5.8791000000000002</v>
      </c>
      <c r="C8212" s="572">
        <v>108.001</v>
      </c>
    </row>
    <row r="8213" spans="1:3">
      <c r="A8213" s="571" t="s">
        <v>3732</v>
      </c>
      <c r="B8213" s="572">
        <v>6.9984900000000003</v>
      </c>
      <c r="C8213" s="572">
        <v>117.345</v>
      </c>
    </row>
    <row r="8214" spans="1:3">
      <c r="A8214" s="571" t="s">
        <v>3732</v>
      </c>
      <c r="B8214" s="572">
        <v>8.1131100000000007</v>
      </c>
      <c r="C8214" s="572">
        <v>134.11500000000001</v>
      </c>
    </row>
    <row r="8215" spans="1:3">
      <c r="A8215" s="571" t="s">
        <v>3732</v>
      </c>
      <c r="B8215" s="572">
        <v>9.2265300000000003</v>
      </c>
      <c r="C8215" s="572">
        <v>152.74199999999999</v>
      </c>
    </row>
    <row r="8216" spans="1:3">
      <c r="A8216" s="571" t="s">
        <v>3732</v>
      </c>
      <c r="B8216" s="572">
        <v>9.8624299999999998</v>
      </c>
      <c r="C8216" s="572">
        <v>163.916</v>
      </c>
    </row>
    <row r="8217" spans="1:3">
      <c r="A8217" s="571" t="s">
        <v>3732</v>
      </c>
      <c r="B8217" s="572">
        <v>10.665100000000001</v>
      </c>
      <c r="C8217" s="572">
        <v>165.81700000000001</v>
      </c>
    </row>
    <row r="8218" spans="1:3">
      <c r="A8218" s="571" t="s">
        <v>3732</v>
      </c>
      <c r="B8218" s="572">
        <v>12.2691</v>
      </c>
      <c r="C8218" s="572">
        <v>171.47499999999999</v>
      </c>
    </row>
    <row r="8219" spans="1:3">
      <c r="A8219" s="571" t="s">
        <v>3732</v>
      </c>
      <c r="B8219" s="572">
        <v>13.223000000000001</v>
      </c>
      <c r="C8219" s="572">
        <v>188.23599999999999</v>
      </c>
    </row>
    <row r="8220" spans="1:3">
      <c r="A8220" s="571" t="s">
        <v>3732</v>
      </c>
      <c r="B8220" s="572">
        <v>14.0268</v>
      </c>
      <c r="C8220" s="572">
        <v>188.28100000000001</v>
      </c>
    </row>
    <row r="8221" spans="1:3">
      <c r="A8221" s="571" t="s">
        <v>3732</v>
      </c>
      <c r="B8221" s="572">
        <v>14.8283</v>
      </c>
      <c r="C8221" s="572">
        <v>192.03899999999999</v>
      </c>
    </row>
    <row r="8222" spans="1:3">
      <c r="A8222" s="571" t="s">
        <v>3732</v>
      </c>
      <c r="B8222" s="572">
        <v>17.234999999999999</v>
      </c>
      <c r="C8222" s="572">
        <v>199.59800000000001</v>
      </c>
    </row>
    <row r="8223" spans="1:3">
      <c r="A8223" s="571" t="s">
        <v>3732</v>
      </c>
      <c r="B8223" s="572">
        <v>19.312999999999999</v>
      </c>
      <c r="C8223" s="572">
        <v>218.279</v>
      </c>
    </row>
    <row r="8224" spans="1:3">
      <c r="A8224" s="571" t="s">
        <v>3732</v>
      </c>
      <c r="B8224" s="572">
        <v>21.237400000000001</v>
      </c>
      <c r="C8224" s="572">
        <v>225.81100000000001</v>
      </c>
    </row>
    <row r="8225" spans="1:3">
      <c r="A8225" s="571" t="s">
        <v>3732</v>
      </c>
      <c r="B8225" s="572">
        <v>22.6724</v>
      </c>
      <c r="C8225" s="572">
        <v>244.45599999999999</v>
      </c>
    </row>
    <row r="8226" spans="1:3">
      <c r="A8226" s="571" t="s">
        <v>3732</v>
      </c>
      <c r="B8226" s="572">
        <v>24.915900000000001</v>
      </c>
      <c r="C8226" s="572">
        <v>255.71899999999999</v>
      </c>
    </row>
    <row r="8227" spans="1:3">
      <c r="A8227" s="571" t="s">
        <v>3732</v>
      </c>
      <c r="B8227" s="572">
        <v>27.9633</v>
      </c>
      <c r="C8227" s="572">
        <v>267.02800000000002</v>
      </c>
    </row>
    <row r="8228" spans="1:3">
      <c r="A8228" s="571" t="s">
        <v>3732</v>
      </c>
      <c r="B8228" s="572">
        <v>30.8428</v>
      </c>
      <c r="C8228" s="572">
        <v>289.46499999999997</v>
      </c>
    </row>
    <row r="8229" spans="1:3">
      <c r="A8229" s="571" t="s">
        <v>3732</v>
      </c>
      <c r="B8229" s="572">
        <v>32.61</v>
      </c>
      <c r="C8229" s="572">
        <v>291.42</v>
      </c>
    </row>
    <row r="8230" spans="1:3">
      <c r="A8230" s="571" t="s">
        <v>3732</v>
      </c>
      <c r="B8230" s="572">
        <v>35.015500000000003</v>
      </c>
      <c r="C8230" s="572">
        <v>300.83600000000001</v>
      </c>
    </row>
    <row r="8231" spans="1:3">
      <c r="A8231" s="571" t="s">
        <v>3732</v>
      </c>
      <c r="B8231" s="572">
        <v>37.901000000000003</v>
      </c>
      <c r="C8231" s="572">
        <v>313.99200000000002</v>
      </c>
    </row>
    <row r="8232" spans="1:3">
      <c r="A8232" s="571" t="s">
        <v>3732</v>
      </c>
      <c r="B8232" s="572">
        <v>39.825400000000002</v>
      </c>
      <c r="C8232" s="572">
        <v>321.52499999999998</v>
      </c>
    </row>
    <row r="8233" spans="1:3">
      <c r="A8233" s="571" t="s">
        <v>3732</v>
      </c>
      <c r="B8233" s="572">
        <v>43.841000000000001</v>
      </c>
      <c r="C8233" s="572">
        <v>327.31799999999998</v>
      </c>
    </row>
    <row r="8234" spans="1:3">
      <c r="A8234" s="571" t="s">
        <v>3732</v>
      </c>
      <c r="B8234" s="572">
        <v>46.890700000000002</v>
      </c>
      <c r="C8234" s="572">
        <v>334.91300000000001</v>
      </c>
    </row>
    <row r="8235" spans="1:3">
      <c r="A8235" s="571" t="s">
        <v>3732</v>
      </c>
      <c r="B8235" s="572">
        <v>48.980699999999999</v>
      </c>
      <c r="C8235" s="572">
        <v>335.03</v>
      </c>
    </row>
    <row r="8236" spans="1:3">
      <c r="A8236" s="571" t="s">
        <v>3732</v>
      </c>
      <c r="B8236" s="572">
        <v>52.998600000000003</v>
      </c>
      <c r="C8236" s="572">
        <v>337.11</v>
      </c>
    </row>
    <row r="8237" spans="1:3">
      <c r="A8237" s="571" t="s">
        <v>3732</v>
      </c>
      <c r="B8237" s="572">
        <v>56.030500000000004</v>
      </c>
      <c r="C8237" s="572">
        <v>372.55099999999999</v>
      </c>
    </row>
    <row r="8238" spans="1:3">
      <c r="A8238" s="571" t="s">
        <v>3732</v>
      </c>
      <c r="B8238" s="572">
        <v>59.7425</v>
      </c>
      <c r="C8238" s="572">
        <v>350.48099999999999</v>
      </c>
    </row>
    <row r="8239" spans="1:3">
      <c r="A8239" s="571" t="s">
        <v>3732</v>
      </c>
      <c r="B8239" s="572">
        <v>63.113799999999998</v>
      </c>
      <c r="C8239" s="572">
        <v>358.09399999999999</v>
      </c>
    </row>
    <row r="8240" spans="1:3">
      <c r="A8240" s="571" t="s">
        <v>3732</v>
      </c>
      <c r="B8240" s="572">
        <v>67.129300000000001</v>
      </c>
      <c r="C8240" s="572">
        <v>363.887</v>
      </c>
    </row>
    <row r="8241" spans="1:3">
      <c r="A8241" s="571" t="s">
        <v>3732</v>
      </c>
      <c r="B8241" s="572">
        <v>70.006399999999999</v>
      </c>
      <c r="C8241" s="572">
        <v>390.03699999999998</v>
      </c>
    </row>
    <row r="8242" spans="1:3">
      <c r="A8242" s="571" t="s">
        <v>3732</v>
      </c>
      <c r="B8242" s="572">
        <v>73.877899999999997</v>
      </c>
      <c r="C8242" s="572">
        <v>369.83199999999999</v>
      </c>
    </row>
    <row r="8243" spans="1:3">
      <c r="A8243" s="571" t="s">
        <v>3732</v>
      </c>
      <c r="B8243" s="572">
        <v>76.759799999999998</v>
      </c>
      <c r="C8243" s="572">
        <v>388.55700000000002</v>
      </c>
    </row>
    <row r="8244" spans="1:3">
      <c r="A8244" s="571" t="s">
        <v>3732</v>
      </c>
      <c r="B8244" s="572">
        <v>81.7423</v>
      </c>
      <c r="C8244" s="572">
        <v>390.69099999999997</v>
      </c>
    </row>
    <row r="8245" spans="1:3">
      <c r="A8245" s="571" t="s">
        <v>3732</v>
      </c>
      <c r="B8245" s="572">
        <v>83.684600000000003</v>
      </c>
      <c r="C8245" s="572">
        <v>370.37799999999999</v>
      </c>
    </row>
    <row r="8246" spans="1:3">
      <c r="A8246" s="571" t="s">
        <v>3732</v>
      </c>
      <c r="B8246" s="572">
        <v>86.729600000000005</v>
      </c>
      <c r="C8246" s="572">
        <v>385.4</v>
      </c>
    </row>
    <row r="8247" spans="1:3">
      <c r="A8247" s="571" t="s">
        <v>3732</v>
      </c>
      <c r="B8247" s="572">
        <v>89.771100000000004</v>
      </c>
      <c r="C8247" s="572">
        <v>405.99</v>
      </c>
    </row>
    <row r="8248" spans="1:3">
      <c r="A8248" s="48" t="s">
        <v>371</v>
      </c>
      <c r="B8248" s="549">
        <v>-0.159715</v>
      </c>
      <c r="C8248" s="549">
        <v>1.8653299999999999</v>
      </c>
    </row>
    <row r="8249" spans="1:3">
      <c r="A8249" s="571" t="s">
        <v>371</v>
      </c>
      <c r="B8249" s="572">
        <v>0.15176899999999999</v>
      </c>
      <c r="C8249" s="572">
        <v>20.429200000000002</v>
      </c>
    </row>
    <row r="8250" spans="1:3">
      <c r="A8250" s="571" t="s">
        <v>371</v>
      </c>
      <c r="B8250" s="572">
        <v>0.61978999999999995</v>
      </c>
      <c r="C8250" s="572">
        <v>52.014699999999998</v>
      </c>
    </row>
    <row r="8251" spans="1:3">
      <c r="A8251" s="571" t="s">
        <v>371</v>
      </c>
      <c r="B8251" s="572">
        <v>0.93683700000000003</v>
      </c>
      <c r="C8251" s="572">
        <v>61.314599999999999</v>
      </c>
    </row>
    <row r="8252" spans="1:3">
      <c r="A8252" s="571" t="s">
        <v>371</v>
      </c>
      <c r="B8252" s="572">
        <v>1.7282599999999999</v>
      </c>
      <c r="C8252" s="572">
        <v>87.348699999999994</v>
      </c>
    </row>
    <row r="8253" spans="1:3">
      <c r="A8253" s="571" t="s">
        <v>371</v>
      </c>
      <c r="B8253" s="572">
        <v>2.8375300000000001</v>
      </c>
      <c r="C8253" s="572">
        <v>120.82599999999999</v>
      </c>
    </row>
    <row r="8254" spans="1:3">
      <c r="A8254" s="571" t="s">
        <v>371</v>
      </c>
      <c r="B8254" s="572">
        <v>3.98414</v>
      </c>
      <c r="C8254" s="572">
        <v>67.053600000000003</v>
      </c>
    </row>
    <row r="8255" spans="1:3">
      <c r="A8255" s="571" t="s">
        <v>371</v>
      </c>
      <c r="B8255" s="572">
        <v>5.10215</v>
      </c>
      <c r="C8255" s="572">
        <v>80.110900000000001</v>
      </c>
    </row>
    <row r="8256" spans="1:3">
      <c r="A8256" s="571" t="s">
        <v>371</v>
      </c>
      <c r="B8256" s="572">
        <v>5.9094600000000002</v>
      </c>
      <c r="C8256" s="572">
        <v>69.017200000000003</v>
      </c>
    </row>
    <row r="8257" spans="1:3">
      <c r="A8257" s="571" t="s">
        <v>371</v>
      </c>
      <c r="B8257" s="572">
        <v>7.0274700000000001</v>
      </c>
      <c r="C8257" s="572">
        <v>82.0745</v>
      </c>
    </row>
    <row r="8258" spans="1:3">
      <c r="A8258" s="571" t="s">
        <v>371</v>
      </c>
      <c r="B8258" s="572">
        <v>7.9865599999999999</v>
      </c>
      <c r="C8258" s="572">
        <v>91.4101</v>
      </c>
    </row>
    <row r="8259" spans="1:3">
      <c r="A8259" s="571" t="s">
        <v>371</v>
      </c>
      <c r="B8259" s="572">
        <v>9.2690400000000004</v>
      </c>
      <c r="C8259" s="572">
        <v>95.194400000000002</v>
      </c>
    </row>
    <row r="8260" spans="1:3">
      <c r="A8260" s="571" t="s">
        <v>371</v>
      </c>
      <c r="B8260" s="572">
        <v>10.0692</v>
      </c>
      <c r="C8260" s="572">
        <v>100.80800000000001</v>
      </c>
    </row>
    <row r="8261" spans="1:3">
      <c r="A8261" s="571" t="s">
        <v>371</v>
      </c>
      <c r="B8261" s="572">
        <v>11.0291</v>
      </c>
      <c r="C8261" s="572">
        <v>108.288</v>
      </c>
    </row>
    <row r="8262" spans="1:3">
      <c r="A8262" s="571" t="s">
        <v>371</v>
      </c>
      <c r="B8262" s="572">
        <v>11.989800000000001</v>
      </c>
      <c r="C8262" s="572">
        <v>113.91</v>
      </c>
    </row>
    <row r="8263" spans="1:3">
      <c r="A8263" s="571" t="s">
        <v>371</v>
      </c>
      <c r="B8263" s="572">
        <v>12.790699999999999</v>
      </c>
      <c r="C8263" s="572">
        <v>117.66800000000001</v>
      </c>
    </row>
    <row r="8264" spans="1:3">
      <c r="A8264" s="571" t="s">
        <v>371</v>
      </c>
      <c r="B8264" s="572">
        <v>14.0732</v>
      </c>
      <c r="C8264" s="572">
        <v>121.452</v>
      </c>
    </row>
    <row r="8265" spans="1:3">
      <c r="A8265" s="571" t="s">
        <v>371</v>
      </c>
      <c r="B8265" s="572">
        <v>14.8718</v>
      </c>
      <c r="C8265" s="572">
        <v>130.779</v>
      </c>
    </row>
    <row r="8266" spans="1:3">
      <c r="A8266" s="571" t="s">
        <v>371</v>
      </c>
      <c r="B8266" s="572">
        <v>17.1173</v>
      </c>
      <c r="C8266" s="572">
        <v>134.61699999999999</v>
      </c>
    </row>
    <row r="8267" spans="1:3">
      <c r="A8267" s="571" t="s">
        <v>371</v>
      </c>
      <c r="B8267" s="572">
        <v>19.035499999999999</v>
      </c>
      <c r="C8267" s="572">
        <v>153.28800000000001</v>
      </c>
    </row>
    <row r="8268" spans="1:3">
      <c r="A8268" s="571" t="s">
        <v>371</v>
      </c>
      <c r="B8268" s="572">
        <v>20.957699999999999</v>
      </c>
      <c r="C8268" s="572">
        <v>162.67699999999999</v>
      </c>
    </row>
    <row r="8269" spans="1:3">
      <c r="A8269" s="571" t="s">
        <v>371</v>
      </c>
      <c r="B8269" s="572">
        <v>22.880600000000001</v>
      </c>
      <c r="C8269" s="572">
        <v>170.21</v>
      </c>
    </row>
    <row r="8270" spans="1:3">
      <c r="A8270" s="571" t="s">
        <v>371</v>
      </c>
      <c r="B8270" s="572">
        <v>25.1206</v>
      </c>
      <c r="C8270" s="572">
        <v>187.04300000000001</v>
      </c>
    </row>
    <row r="8271" spans="1:3">
      <c r="A8271" s="571" t="s">
        <v>371</v>
      </c>
      <c r="B8271" s="572">
        <v>27.845300000000002</v>
      </c>
      <c r="C8271" s="572">
        <v>196.477</v>
      </c>
    </row>
    <row r="8272" spans="1:3">
      <c r="A8272" s="571" t="s">
        <v>371</v>
      </c>
      <c r="B8272" s="572">
        <v>30.7257</v>
      </c>
      <c r="C8272" s="572">
        <v>217.05799999999999</v>
      </c>
    </row>
    <row r="8273" spans="1:3">
      <c r="A8273" s="571" t="s">
        <v>371</v>
      </c>
      <c r="B8273" s="572">
        <v>32.972099999999998</v>
      </c>
      <c r="C8273" s="572">
        <v>219.03899999999999</v>
      </c>
    </row>
    <row r="8274" spans="1:3">
      <c r="A8274" s="571" t="s">
        <v>371</v>
      </c>
      <c r="B8274" s="572">
        <v>35.055500000000002</v>
      </c>
      <c r="C8274" s="572">
        <v>226.58099999999999</v>
      </c>
    </row>
    <row r="8275" spans="1:3">
      <c r="A8275" s="571" t="s">
        <v>371</v>
      </c>
      <c r="B8275" s="572">
        <v>37.941499999999998</v>
      </c>
      <c r="C8275" s="572">
        <v>234.16800000000001</v>
      </c>
    </row>
    <row r="8276" spans="1:3">
      <c r="A8276" s="571" t="s">
        <v>371</v>
      </c>
      <c r="B8276" s="572">
        <v>40.024999999999999</v>
      </c>
      <c r="C8276" s="572">
        <v>241.709</v>
      </c>
    </row>
    <row r="8277" spans="1:3">
      <c r="A8277" s="571" t="s">
        <v>371</v>
      </c>
      <c r="B8277" s="572">
        <v>44.036099999999998</v>
      </c>
      <c r="C8277" s="572">
        <v>245.64599999999999</v>
      </c>
    </row>
    <row r="8278" spans="1:3">
      <c r="A8278" s="571" t="s">
        <v>371</v>
      </c>
      <c r="B8278" s="572">
        <v>46.918900000000001</v>
      </c>
      <c r="C8278" s="572">
        <v>260.65800000000002</v>
      </c>
    </row>
    <row r="8279" spans="1:3">
      <c r="A8279" s="571" t="s">
        <v>371</v>
      </c>
      <c r="B8279" s="572">
        <v>49.004800000000003</v>
      </c>
      <c r="C8279" s="572">
        <v>262.63</v>
      </c>
    </row>
    <row r="8280" spans="1:3">
      <c r="A8280" s="571" t="s">
        <v>371</v>
      </c>
      <c r="B8280" s="572">
        <v>52.858600000000003</v>
      </c>
      <c r="C8280" s="572">
        <v>259.13200000000001</v>
      </c>
    </row>
    <row r="8281" spans="1:3">
      <c r="A8281" s="571" t="s">
        <v>371</v>
      </c>
      <c r="B8281" s="572">
        <v>55.734299999999998</v>
      </c>
      <c r="C8281" s="572">
        <v>290.85199999999998</v>
      </c>
    </row>
    <row r="8282" spans="1:3">
      <c r="A8282" s="571" t="s">
        <v>371</v>
      </c>
      <c r="B8282" s="572">
        <v>59.914700000000003</v>
      </c>
      <c r="C8282" s="572">
        <v>274.37599999999998</v>
      </c>
    </row>
    <row r="8283" spans="1:3">
      <c r="A8283" s="571" t="s">
        <v>371</v>
      </c>
      <c r="B8283" s="572">
        <v>62.799100000000003</v>
      </c>
      <c r="C8283" s="572">
        <v>285.67599999999999</v>
      </c>
    </row>
    <row r="8284" spans="1:3">
      <c r="A8284" s="571" t="s">
        <v>371</v>
      </c>
      <c r="B8284" s="572">
        <v>66.969899999999996</v>
      </c>
      <c r="C8284" s="572">
        <v>291.47699999999998</v>
      </c>
    </row>
    <row r="8285" spans="1:3">
      <c r="A8285" s="571" t="s">
        <v>371</v>
      </c>
      <c r="B8285" s="572">
        <v>69.849599999999995</v>
      </c>
      <c r="C8285" s="572">
        <v>313.91500000000002</v>
      </c>
    </row>
    <row r="8286" spans="1:3">
      <c r="A8286" s="571" t="s">
        <v>371</v>
      </c>
      <c r="B8286" s="572">
        <v>73.865499999999997</v>
      </c>
      <c r="C8286" s="572">
        <v>306.71300000000002</v>
      </c>
    </row>
    <row r="8287" spans="1:3">
      <c r="A8287" s="571" t="s">
        <v>371</v>
      </c>
      <c r="B8287" s="572">
        <v>76.909599999999998</v>
      </c>
      <c r="C8287" s="572">
        <v>319.87700000000001</v>
      </c>
    </row>
    <row r="8288" spans="1:3">
      <c r="A8288" s="571" t="s">
        <v>371</v>
      </c>
      <c r="B8288" s="572">
        <v>81.721000000000004</v>
      </c>
      <c r="C8288" s="572">
        <v>329.428</v>
      </c>
    </row>
    <row r="8289" spans="1:3">
      <c r="A8289" s="571" t="s">
        <v>371</v>
      </c>
      <c r="B8289" s="572">
        <v>83.816299999999998</v>
      </c>
      <c r="C8289" s="572">
        <v>309.12299999999999</v>
      </c>
    </row>
    <row r="8290" spans="1:3">
      <c r="A8290" s="571" t="s">
        <v>371</v>
      </c>
      <c r="B8290" s="572">
        <v>86.8596</v>
      </c>
      <c r="C8290" s="572">
        <v>324.14400000000001</v>
      </c>
    </row>
    <row r="8291" spans="1:3">
      <c r="A8291" s="571" t="s">
        <v>371</v>
      </c>
      <c r="B8291" s="572">
        <v>90.060299999999998</v>
      </c>
      <c r="C8291" s="572">
        <v>346.6</v>
      </c>
    </row>
    <row r="8292" spans="1:3">
      <c r="A8292" s="48" t="s">
        <v>3733</v>
      </c>
      <c r="B8292" s="549">
        <v>-3.2461899999999999E-3</v>
      </c>
      <c r="C8292" s="549">
        <v>14.8513</v>
      </c>
    </row>
    <row r="8293" spans="1:3">
      <c r="A8293" s="571" t="s">
        <v>3733</v>
      </c>
      <c r="B8293" s="572">
        <v>4.0577300000000001E-4</v>
      </c>
      <c r="C8293" s="572">
        <v>1.8564099999999999</v>
      </c>
    </row>
    <row r="8294" spans="1:3">
      <c r="A8294" s="571" t="s">
        <v>3733</v>
      </c>
      <c r="B8294" s="572">
        <v>0.47921799999999998</v>
      </c>
      <c r="C8294" s="572">
        <v>57.5762</v>
      </c>
    </row>
    <row r="8295" spans="1:3">
      <c r="A8295" s="571" t="s">
        <v>3733</v>
      </c>
      <c r="B8295" s="572">
        <v>1.1333200000000001</v>
      </c>
      <c r="C8295" s="572">
        <v>65.038399999999996</v>
      </c>
    </row>
    <row r="8296" spans="1:3">
      <c r="A8296" s="571" t="s">
        <v>3733</v>
      </c>
      <c r="B8296" s="572">
        <v>1.7825599999999999</v>
      </c>
      <c r="C8296" s="572">
        <v>94.777500000000003</v>
      </c>
    </row>
    <row r="8297" spans="1:3">
      <c r="A8297" s="571" t="s">
        <v>3733</v>
      </c>
      <c r="B8297" s="572">
        <v>2.1084000000000001</v>
      </c>
      <c r="C8297" s="572">
        <v>104.078</v>
      </c>
    </row>
    <row r="8298" spans="1:3">
      <c r="A8298" s="571" t="s">
        <v>3733</v>
      </c>
      <c r="B8298" s="572">
        <v>2.7556099999999999</v>
      </c>
      <c r="C8298" s="572">
        <v>143.09899999999999</v>
      </c>
    </row>
    <row r="8299" spans="1:3">
      <c r="A8299" s="571" t="s">
        <v>3733</v>
      </c>
      <c r="B8299" s="572">
        <v>3.5846</v>
      </c>
      <c r="C8299" s="572">
        <v>100.447</v>
      </c>
    </row>
    <row r="8300" spans="1:3">
      <c r="A8300" s="571" t="s">
        <v>3733</v>
      </c>
      <c r="B8300" s="572">
        <v>4.7325299999999997</v>
      </c>
      <c r="C8300" s="572">
        <v>98.654700000000005</v>
      </c>
    </row>
    <row r="8301" spans="1:3">
      <c r="A8301" s="571" t="s">
        <v>3733</v>
      </c>
      <c r="B8301" s="572">
        <v>5.7141000000000002</v>
      </c>
      <c r="C8301" s="572">
        <v>107.992</v>
      </c>
    </row>
    <row r="8302" spans="1:3">
      <c r="A8302" s="571" t="s">
        <v>3733</v>
      </c>
      <c r="B8302" s="572">
        <v>6.6952600000000002</v>
      </c>
      <c r="C8302" s="572">
        <v>119.185</v>
      </c>
    </row>
    <row r="8303" spans="1:3">
      <c r="A8303" s="571" t="s">
        <v>3733</v>
      </c>
      <c r="B8303" s="572">
        <v>7.83711</v>
      </c>
      <c r="C8303" s="572">
        <v>145.238</v>
      </c>
    </row>
    <row r="8304" spans="1:3">
      <c r="A8304" s="571" t="s">
        <v>3733</v>
      </c>
      <c r="B8304" s="572">
        <v>8.9822000000000006</v>
      </c>
      <c r="C8304" s="572">
        <v>156.441</v>
      </c>
    </row>
    <row r="8305" spans="1:3">
      <c r="A8305" s="571" t="s">
        <v>3733</v>
      </c>
      <c r="B8305" s="572">
        <v>9.7990200000000005</v>
      </c>
      <c r="C8305" s="572">
        <v>169.48099999999999</v>
      </c>
    </row>
    <row r="8306" spans="1:3">
      <c r="A8306" s="571" t="s">
        <v>3733</v>
      </c>
      <c r="B8306" s="572">
        <v>10.7834</v>
      </c>
      <c r="C8306" s="572">
        <v>165.82300000000001</v>
      </c>
    </row>
    <row r="8307" spans="1:3">
      <c r="A8307" s="571" t="s">
        <v>3733</v>
      </c>
      <c r="B8307" s="572">
        <v>11.765000000000001</v>
      </c>
      <c r="C8307" s="572">
        <v>175.16</v>
      </c>
    </row>
    <row r="8308" spans="1:3">
      <c r="A8308" s="571" t="s">
        <v>3733</v>
      </c>
      <c r="B8308" s="572">
        <v>12.7462</v>
      </c>
      <c r="C8308" s="572">
        <v>186.35300000000001</v>
      </c>
    </row>
    <row r="8309" spans="1:3">
      <c r="A8309" s="571" t="s">
        <v>3733</v>
      </c>
      <c r="B8309" s="572">
        <v>13.7285</v>
      </c>
      <c r="C8309" s="572">
        <v>191.977</v>
      </c>
    </row>
    <row r="8310" spans="1:3">
      <c r="A8310" s="571" t="s">
        <v>3733</v>
      </c>
      <c r="B8310" s="572">
        <v>14.873200000000001</v>
      </c>
      <c r="C8310" s="572">
        <v>205.036</v>
      </c>
    </row>
    <row r="8311" spans="1:3">
      <c r="A8311" s="571" t="s">
        <v>3733</v>
      </c>
      <c r="B8311" s="572">
        <v>17.003499999999999</v>
      </c>
      <c r="C8311" s="572">
        <v>208.86799999999999</v>
      </c>
    </row>
    <row r="8312" spans="1:3">
      <c r="A8312" s="571" t="s">
        <v>3733</v>
      </c>
      <c r="B8312" s="572">
        <v>18.9663</v>
      </c>
      <c r="C8312" s="572">
        <v>229.398</v>
      </c>
    </row>
    <row r="8313" spans="1:3">
      <c r="A8313" s="571" t="s">
        <v>3733</v>
      </c>
      <c r="B8313" s="572">
        <v>20.930599999999998</v>
      </c>
      <c r="C8313" s="572">
        <v>242.50200000000001</v>
      </c>
    </row>
    <row r="8314" spans="1:3">
      <c r="A8314" s="571" t="s">
        <v>3733</v>
      </c>
      <c r="B8314" s="572">
        <v>22.895399999999999</v>
      </c>
      <c r="C8314" s="572">
        <v>253.75</v>
      </c>
    </row>
    <row r="8315" spans="1:3">
      <c r="A8315" s="571" t="s">
        <v>3733</v>
      </c>
      <c r="B8315" s="572">
        <v>24.860099999999999</v>
      </c>
      <c r="C8315" s="572">
        <v>264.99799999999999</v>
      </c>
    </row>
    <row r="8316" spans="1:3">
      <c r="A8316" s="571" t="s">
        <v>3733</v>
      </c>
      <c r="B8316" s="572">
        <v>27.806799999999999</v>
      </c>
      <c r="C8316" s="572">
        <v>283.72699999999998</v>
      </c>
    </row>
    <row r="8317" spans="1:3">
      <c r="A8317" s="571" t="s">
        <v>3733</v>
      </c>
      <c r="B8317" s="572">
        <v>30.917100000000001</v>
      </c>
      <c r="C8317" s="572">
        <v>304.32100000000003</v>
      </c>
    </row>
    <row r="8318" spans="1:3">
      <c r="A8318" s="571" t="s">
        <v>3733</v>
      </c>
      <c r="B8318" s="572">
        <v>32.883499999999998</v>
      </c>
      <c r="C8318" s="572">
        <v>308.14299999999997</v>
      </c>
    </row>
    <row r="8319" spans="1:3">
      <c r="A8319" s="571" t="s">
        <v>3733</v>
      </c>
      <c r="B8319" s="572">
        <v>34.848999999999997</v>
      </c>
      <c r="C8319" s="572">
        <v>315.678</v>
      </c>
    </row>
    <row r="8320" spans="1:3">
      <c r="A8320" s="571" t="s">
        <v>3733</v>
      </c>
      <c r="B8320" s="572">
        <v>37.960900000000002</v>
      </c>
      <c r="C8320" s="572">
        <v>328.84699999999998</v>
      </c>
    </row>
    <row r="8321" spans="1:3">
      <c r="A8321" s="571" t="s">
        <v>3733</v>
      </c>
      <c r="B8321" s="572">
        <v>39.927300000000002</v>
      </c>
      <c r="C8321" s="572">
        <v>332.66899999999998</v>
      </c>
    </row>
    <row r="8322" spans="1:3">
      <c r="A8322" s="571" t="s">
        <v>3733</v>
      </c>
      <c r="B8322" s="572">
        <v>43.8613</v>
      </c>
      <c r="C8322" s="572">
        <v>334.745</v>
      </c>
    </row>
    <row r="8323" spans="1:3">
      <c r="A8323" s="571" t="s">
        <v>3733</v>
      </c>
      <c r="B8323" s="572">
        <v>46.810400000000001</v>
      </c>
      <c r="C8323" s="572">
        <v>342.33499999999998</v>
      </c>
    </row>
    <row r="8324" spans="1:3">
      <c r="A8324" s="571" t="s">
        <v>3733</v>
      </c>
      <c r="B8324" s="572">
        <v>48.777999999999999</v>
      </c>
      <c r="C8324" s="572">
        <v>340.58800000000002</v>
      </c>
    </row>
    <row r="8325" spans="1:3">
      <c r="A8325" s="571" t="s">
        <v>3733</v>
      </c>
      <c r="B8325" s="572">
        <v>52.8735</v>
      </c>
      <c r="C8325" s="572">
        <v>353.81099999999998</v>
      </c>
    </row>
    <row r="8326" spans="1:3">
      <c r="A8326" s="571" t="s">
        <v>3733</v>
      </c>
      <c r="B8326" s="572">
        <v>55.982900000000001</v>
      </c>
      <c r="C8326" s="572">
        <v>378.11799999999999</v>
      </c>
    </row>
    <row r="8327" spans="1:3">
      <c r="A8327" s="571" t="s">
        <v>3733</v>
      </c>
      <c r="B8327" s="572">
        <v>59.921799999999998</v>
      </c>
      <c r="C8327" s="572">
        <v>357.916</v>
      </c>
    </row>
    <row r="8328" spans="1:3">
      <c r="A8328" s="571" t="s">
        <v>3733</v>
      </c>
      <c r="B8328" s="572">
        <v>62.870100000000001</v>
      </c>
      <c r="C8328" s="572">
        <v>369.21899999999999</v>
      </c>
    </row>
    <row r="8329" spans="1:3">
      <c r="A8329" s="571" t="s">
        <v>3733</v>
      </c>
      <c r="B8329" s="572">
        <v>66.966800000000006</v>
      </c>
      <c r="C8329" s="572">
        <v>376.87299999999999</v>
      </c>
    </row>
    <row r="8330" spans="1:3">
      <c r="A8330" s="571" t="s">
        <v>3733</v>
      </c>
      <c r="B8330" s="572">
        <v>70.0779</v>
      </c>
      <c r="C8330" s="572">
        <v>393.75400000000002</v>
      </c>
    </row>
    <row r="8331" spans="1:3">
      <c r="A8331" s="571" t="s">
        <v>3733</v>
      </c>
      <c r="B8331" s="572">
        <v>74.015900000000002</v>
      </c>
      <c r="C8331" s="572">
        <v>377.26600000000002</v>
      </c>
    </row>
    <row r="8332" spans="1:3">
      <c r="A8332" s="571" t="s">
        <v>3733</v>
      </c>
      <c r="B8332" s="572">
        <v>76.799099999999996</v>
      </c>
      <c r="C8332" s="572">
        <v>394.12900000000002</v>
      </c>
    </row>
    <row r="8333" spans="1:3">
      <c r="A8333" s="571" t="s">
        <v>3733</v>
      </c>
      <c r="B8333" s="572">
        <v>82.044899999999998</v>
      </c>
      <c r="C8333" s="572">
        <v>394.42099999999999</v>
      </c>
    </row>
    <row r="8334" spans="1:3">
      <c r="A8334" s="571" t="s">
        <v>3733</v>
      </c>
      <c r="B8334" s="572">
        <v>84.0137</v>
      </c>
      <c r="C8334" s="572">
        <v>387.10500000000002</v>
      </c>
    </row>
    <row r="8335" spans="1:3">
      <c r="A8335" s="571" t="s">
        <v>3733</v>
      </c>
      <c r="B8335" s="572">
        <v>86.799400000000006</v>
      </c>
      <c r="C8335" s="572">
        <v>392.82900000000001</v>
      </c>
    </row>
    <row r="8336" spans="1:3">
      <c r="A8336" s="571" t="s">
        <v>3733</v>
      </c>
      <c r="B8336" s="572">
        <v>89.908799999999999</v>
      </c>
      <c r="C8336" s="572">
        <v>417.13600000000002</v>
      </c>
    </row>
    <row r="8337" spans="1:3">
      <c r="A8337" s="48" t="s">
        <v>372</v>
      </c>
      <c r="B8337" s="549">
        <v>-0.32786500000000002</v>
      </c>
      <c r="C8337" s="549">
        <v>1.82598E-2</v>
      </c>
    </row>
    <row r="8338" spans="1:3">
      <c r="A8338" s="48" t="s">
        <v>372</v>
      </c>
      <c r="B8338" s="549">
        <v>-0.16555600000000001</v>
      </c>
      <c r="C8338" s="549">
        <v>7.4165200000000002</v>
      </c>
    </row>
    <row r="8339" spans="1:3">
      <c r="A8339" s="571" t="s">
        <v>372</v>
      </c>
      <c r="B8339" s="572">
        <v>0.97913099999999997</v>
      </c>
      <c r="C8339" s="572">
        <v>20.475300000000001</v>
      </c>
    </row>
    <row r="8340" spans="1:3">
      <c r="A8340" s="571" t="s">
        <v>372</v>
      </c>
      <c r="B8340" s="572">
        <v>1.9566399999999999</v>
      </c>
      <c r="C8340" s="572">
        <v>48.376300000000001</v>
      </c>
    </row>
    <row r="8341" spans="1:3">
      <c r="A8341" s="571" t="s">
        <v>372</v>
      </c>
      <c r="B8341" s="572">
        <v>2.7694000000000001</v>
      </c>
      <c r="C8341" s="572">
        <v>79.980999999999995</v>
      </c>
    </row>
    <row r="8342" spans="1:3">
      <c r="A8342" s="571" t="s">
        <v>372</v>
      </c>
      <c r="B8342" s="572">
        <v>3.27013</v>
      </c>
      <c r="C8342" s="572">
        <v>39.167299999999997</v>
      </c>
    </row>
    <row r="8343" spans="1:3">
      <c r="A8343" s="571" t="s">
        <v>372</v>
      </c>
      <c r="B8343" s="572">
        <v>4.4180599999999997</v>
      </c>
      <c r="C8343" s="572">
        <v>37.3748</v>
      </c>
    </row>
    <row r="8344" spans="1:3">
      <c r="A8344" s="571" t="s">
        <v>372</v>
      </c>
      <c r="B8344" s="572">
        <v>5.7303300000000004</v>
      </c>
      <c r="C8344" s="572">
        <v>33.734999999999999</v>
      </c>
    </row>
    <row r="8345" spans="1:3">
      <c r="A8345" s="571" t="s">
        <v>372</v>
      </c>
      <c r="B8345" s="572">
        <v>6.2221299999999999</v>
      </c>
      <c r="C8345" s="572">
        <v>33.7624</v>
      </c>
    </row>
    <row r="8346" spans="1:3">
      <c r="A8346" s="571" t="s">
        <v>372</v>
      </c>
      <c r="B8346" s="572">
        <v>7.2041000000000004</v>
      </c>
      <c r="C8346" s="572">
        <v>41.242800000000003</v>
      </c>
    </row>
    <row r="8347" spans="1:3">
      <c r="A8347" s="571" t="s">
        <v>372</v>
      </c>
      <c r="B8347" s="572">
        <v>7.5299399999999999</v>
      </c>
      <c r="C8347" s="572">
        <v>50.543100000000003</v>
      </c>
    </row>
    <row r="8348" spans="1:3">
      <c r="A8348" s="571" t="s">
        <v>372</v>
      </c>
      <c r="B8348" s="572">
        <v>8.6762499999999996</v>
      </c>
      <c r="C8348" s="572">
        <v>56.176299999999998</v>
      </c>
    </row>
    <row r="8349" spans="1:3">
      <c r="A8349" s="571" t="s">
        <v>372</v>
      </c>
      <c r="B8349" s="572">
        <v>9.9864899999999999</v>
      </c>
      <c r="C8349" s="572">
        <v>61.818600000000004</v>
      </c>
    </row>
    <row r="8350" spans="1:3">
      <c r="A8350" s="571" t="s">
        <v>372</v>
      </c>
      <c r="B8350" s="572">
        <v>10.9693</v>
      </c>
      <c r="C8350" s="572">
        <v>65.586200000000005</v>
      </c>
    </row>
    <row r="8351" spans="1:3">
      <c r="A8351" s="571" t="s">
        <v>372</v>
      </c>
      <c r="B8351" s="572">
        <v>12.1168</v>
      </c>
      <c r="C8351" s="572">
        <v>65.650099999999995</v>
      </c>
    </row>
    <row r="8352" spans="1:3">
      <c r="A8352" s="571" t="s">
        <v>372</v>
      </c>
      <c r="B8352" s="572">
        <v>13.9192</v>
      </c>
      <c r="C8352" s="572">
        <v>69.463300000000004</v>
      </c>
    </row>
    <row r="8353" spans="1:3">
      <c r="A8353" s="571" t="s">
        <v>372</v>
      </c>
      <c r="B8353" s="572">
        <v>14.7361</v>
      </c>
      <c r="C8353" s="572">
        <v>82.503900000000002</v>
      </c>
    </row>
    <row r="8354" spans="1:3">
      <c r="A8354" s="571" t="s">
        <v>372</v>
      </c>
      <c r="B8354" s="572">
        <v>16.866399999999999</v>
      </c>
      <c r="C8354" s="572">
        <v>86.335400000000007</v>
      </c>
    </row>
    <row r="8355" spans="1:3">
      <c r="A8355" s="571" t="s">
        <v>372</v>
      </c>
      <c r="B8355" s="572">
        <v>18.994299999999999</v>
      </c>
      <c r="C8355" s="572">
        <v>101.30500000000001</v>
      </c>
    </row>
    <row r="8356" spans="1:3">
      <c r="A8356" s="571" t="s">
        <v>372</v>
      </c>
      <c r="B8356" s="572">
        <v>20.795500000000001</v>
      </c>
      <c r="C8356" s="572">
        <v>110.688</v>
      </c>
    </row>
    <row r="8357" spans="1:3">
      <c r="A8357" s="571" t="s">
        <v>372</v>
      </c>
      <c r="B8357" s="572">
        <v>22.760999999999999</v>
      </c>
      <c r="C8357" s="572">
        <v>118.223</v>
      </c>
    </row>
    <row r="8358" spans="1:3">
      <c r="A8358" s="571" t="s">
        <v>372</v>
      </c>
      <c r="B8358" s="572">
        <v>24.725000000000001</v>
      </c>
      <c r="C8358" s="572">
        <v>133.184</v>
      </c>
    </row>
    <row r="8359" spans="1:3">
      <c r="A8359" s="571" t="s">
        <v>372</v>
      </c>
      <c r="B8359" s="572">
        <v>27.8369</v>
      </c>
      <c r="C8359" s="572">
        <v>146.352</v>
      </c>
    </row>
    <row r="8360" spans="1:3">
      <c r="A8360" s="571" t="s">
        <v>372</v>
      </c>
      <c r="B8360" s="572">
        <v>30.784800000000001</v>
      </c>
      <c r="C8360" s="572">
        <v>159.512</v>
      </c>
    </row>
    <row r="8361" spans="1:3">
      <c r="A8361" s="571" t="s">
        <v>372</v>
      </c>
      <c r="B8361" s="572">
        <v>32.750799999999998</v>
      </c>
      <c r="C8361" s="572">
        <v>165.19</v>
      </c>
    </row>
    <row r="8362" spans="1:3">
      <c r="A8362" s="571" t="s">
        <v>372</v>
      </c>
      <c r="B8362" s="572">
        <v>34.880699999999997</v>
      </c>
      <c r="C8362" s="572">
        <v>170.87799999999999</v>
      </c>
    </row>
    <row r="8363" spans="1:3">
      <c r="A8363" s="571" t="s">
        <v>372</v>
      </c>
      <c r="B8363" s="572">
        <v>37.992199999999997</v>
      </c>
      <c r="C8363" s="572">
        <v>185.90299999999999</v>
      </c>
    </row>
    <row r="8364" spans="1:3">
      <c r="A8364" s="571" t="s">
        <v>372</v>
      </c>
      <c r="B8364" s="572">
        <v>39.795000000000002</v>
      </c>
      <c r="C8364" s="572">
        <v>187.86</v>
      </c>
    </row>
    <row r="8365" spans="1:3">
      <c r="A8365" s="571" t="s">
        <v>372</v>
      </c>
      <c r="B8365" s="572">
        <v>43.8917</v>
      </c>
      <c r="C8365" s="572">
        <v>195.51400000000001</v>
      </c>
    </row>
    <row r="8366" spans="1:3">
      <c r="A8366" s="571" t="s">
        <v>372</v>
      </c>
      <c r="B8366" s="572">
        <v>46.839599999999997</v>
      </c>
      <c r="C8366" s="572">
        <v>208.673</v>
      </c>
    </row>
    <row r="8367" spans="1:3">
      <c r="A8367" s="571" t="s">
        <v>372</v>
      </c>
      <c r="B8367" s="572">
        <v>48.806800000000003</v>
      </c>
      <c r="C8367" s="572">
        <v>208.78299999999999</v>
      </c>
    </row>
    <row r="8368" spans="1:3">
      <c r="A8368" s="571" t="s">
        <v>372</v>
      </c>
      <c r="B8368" s="572">
        <v>53.069499999999998</v>
      </c>
      <c r="C8368" s="572">
        <v>207.16399999999999</v>
      </c>
    </row>
    <row r="8369" spans="1:3">
      <c r="A8369" s="571" t="s">
        <v>372</v>
      </c>
      <c r="B8369" s="572">
        <v>56.014600000000002</v>
      </c>
      <c r="C8369" s="572">
        <v>233.31800000000001</v>
      </c>
    </row>
    <row r="8370" spans="1:3">
      <c r="A8370" s="571" t="s">
        <v>372</v>
      </c>
      <c r="B8370" s="572">
        <v>59.952199999999998</v>
      </c>
      <c r="C8370" s="572">
        <v>218.685</v>
      </c>
    </row>
    <row r="8371" spans="1:3">
      <c r="A8371" s="571" t="s">
        <v>372</v>
      </c>
      <c r="B8371" s="572">
        <v>62.900500000000001</v>
      </c>
      <c r="C8371" s="572">
        <v>229.988</v>
      </c>
    </row>
    <row r="8372" spans="1:3">
      <c r="A8372" s="571" t="s">
        <v>372</v>
      </c>
      <c r="B8372" s="572">
        <v>66.834900000000005</v>
      </c>
      <c r="C8372" s="572">
        <v>230.20699999999999</v>
      </c>
    </row>
    <row r="8373" spans="1:3">
      <c r="A8373" s="571" t="s">
        <v>372</v>
      </c>
      <c r="B8373" s="572">
        <v>69.943600000000004</v>
      </c>
      <c r="C8373" s="572">
        <v>258.22699999999998</v>
      </c>
    </row>
    <row r="8374" spans="1:3">
      <c r="A8374" s="571" t="s">
        <v>372</v>
      </c>
      <c r="B8374" s="572">
        <v>73.880799999999994</v>
      </c>
      <c r="C8374" s="572">
        <v>245.45099999999999</v>
      </c>
    </row>
    <row r="8375" spans="1:3">
      <c r="A8375" s="571" t="s">
        <v>372</v>
      </c>
      <c r="B8375" s="572">
        <v>76.828299999999999</v>
      </c>
      <c r="C8375" s="572">
        <v>260.46699999999998</v>
      </c>
    </row>
    <row r="8376" spans="1:3">
      <c r="A8376" s="571" t="s">
        <v>372</v>
      </c>
      <c r="B8376" s="572">
        <v>81.907799999999995</v>
      </c>
      <c r="C8376" s="572">
        <v>271.88799999999998</v>
      </c>
    </row>
    <row r="8377" spans="1:3">
      <c r="A8377" s="571" t="s">
        <v>372</v>
      </c>
      <c r="B8377" s="572">
        <v>84.043800000000005</v>
      </c>
      <c r="C8377" s="572">
        <v>249.73</v>
      </c>
    </row>
    <row r="8378" spans="1:3">
      <c r="A8378" s="571" t="s">
        <v>372</v>
      </c>
      <c r="B8378" s="572">
        <v>87.155199999999994</v>
      </c>
      <c r="C8378" s="572">
        <v>264.755</v>
      </c>
    </row>
    <row r="8379" spans="1:3">
      <c r="A8379" s="571" t="s">
        <v>372</v>
      </c>
      <c r="B8379" s="572">
        <v>89.938400000000001</v>
      </c>
      <c r="C8379" s="572">
        <v>281.61799999999999</v>
      </c>
    </row>
    <row r="8380" spans="1:3">
      <c r="A8380" s="571" t="s">
        <v>373</v>
      </c>
      <c r="B8380" s="572">
        <v>9.9120000000000097E-2</v>
      </c>
      <c r="C8380" s="572">
        <v>1.8917299999999999</v>
      </c>
    </row>
    <row r="8381" spans="1:3">
      <c r="A8381" s="571" t="s">
        <v>373</v>
      </c>
      <c r="B8381" s="572">
        <v>0.4194</v>
      </c>
      <c r="C8381" s="572">
        <v>31.255400000000002</v>
      </c>
    </row>
    <row r="8382" spans="1:3">
      <c r="A8382" s="571" t="s">
        <v>373</v>
      </c>
      <c r="B8382" s="572">
        <v>1.7210900000000002</v>
      </c>
      <c r="C8382" s="572">
        <v>47.792999999999999</v>
      </c>
    </row>
    <row r="8383" spans="1:3">
      <c r="A8383" s="571" t="s">
        <v>373</v>
      </c>
      <c r="B8383" s="572">
        <v>2.6942599999999999</v>
      </c>
      <c r="C8383" s="572">
        <v>75.333799999999997</v>
      </c>
    </row>
    <row r="8384" spans="1:3">
      <c r="A8384" s="571" t="s">
        <v>373</v>
      </c>
      <c r="B8384" s="572">
        <v>2.6968800000000002</v>
      </c>
      <c r="C8384" s="572">
        <v>62.489899999999999</v>
      </c>
    </row>
    <row r="8385" spans="1:3">
      <c r="A8385" s="571" t="s">
        <v>373</v>
      </c>
      <c r="B8385" s="572">
        <v>3.9966999999999997</v>
      </c>
      <c r="C8385" s="572">
        <v>88.201800000000006</v>
      </c>
    </row>
    <row r="8386" spans="1:3">
      <c r="A8386" s="571" t="s">
        <v>373</v>
      </c>
      <c r="B8386" s="572">
        <v>4.6454800000000001</v>
      </c>
      <c r="C8386" s="572">
        <v>106.562</v>
      </c>
    </row>
    <row r="8387" spans="1:3">
      <c r="A8387" s="571" t="s">
        <v>373</v>
      </c>
      <c r="B8387" s="572">
        <v>5.9482900000000001</v>
      </c>
      <c r="C8387" s="572">
        <v>117.595</v>
      </c>
    </row>
    <row r="8388" spans="1:3">
      <c r="A8388" s="571" t="s">
        <v>373</v>
      </c>
      <c r="B8388" s="572">
        <v>6.9237099999999998</v>
      </c>
      <c r="C8388" s="572">
        <v>134.12700000000001</v>
      </c>
    </row>
    <row r="8389" spans="1:3">
      <c r="A8389" s="571" t="s">
        <v>373</v>
      </c>
      <c r="B8389" s="572">
        <v>8.7136999999999993</v>
      </c>
      <c r="C8389" s="572">
        <v>156.178</v>
      </c>
    </row>
    <row r="8390" spans="1:3">
      <c r="A8390" s="571" t="s">
        <v>373</v>
      </c>
      <c r="B8390" s="572">
        <v>10.993399999999999</v>
      </c>
      <c r="C8390" s="572">
        <v>176.404</v>
      </c>
    </row>
    <row r="8391" spans="1:3">
      <c r="A8391" s="571" t="s">
        <v>373</v>
      </c>
      <c r="B8391" s="572">
        <v>12.946099999999999</v>
      </c>
      <c r="C8391" s="572">
        <v>200.29300000000001</v>
      </c>
    </row>
    <row r="8392" spans="1:3">
      <c r="A8392" s="571" t="s">
        <v>373</v>
      </c>
      <c r="B8392" s="572">
        <v>14.736799999999999</v>
      </c>
      <c r="C8392" s="572">
        <v>218.67400000000001</v>
      </c>
    </row>
    <row r="8393" spans="1:3">
      <c r="A8393" s="571" t="s">
        <v>373</v>
      </c>
      <c r="B8393" s="572">
        <v>16.854900000000001</v>
      </c>
      <c r="C8393" s="572">
        <v>231.55699999999999</v>
      </c>
    </row>
    <row r="8394" spans="1:3">
      <c r="A8394" s="571" t="s">
        <v>373</v>
      </c>
      <c r="B8394" s="572">
        <v>18.808700000000002</v>
      </c>
      <c r="C8394" s="572">
        <v>249.941</v>
      </c>
    </row>
    <row r="8395" spans="1:3">
      <c r="A8395" s="571" t="s">
        <v>373</v>
      </c>
      <c r="B8395" s="572">
        <v>21.088799999999999</v>
      </c>
      <c r="C8395" s="572">
        <v>268.33199999999999</v>
      </c>
    </row>
    <row r="8396" spans="1:3">
      <c r="A8396" s="571" t="s">
        <v>373</v>
      </c>
      <c r="B8396" s="572">
        <v>23.206600000000002</v>
      </c>
      <c r="C8396" s="572">
        <v>283.05</v>
      </c>
    </row>
    <row r="8397" spans="1:3">
      <c r="A8397" s="571" t="s">
        <v>373</v>
      </c>
      <c r="B8397" s="572">
        <v>24.9969</v>
      </c>
      <c r="C8397" s="572">
        <v>303.26600000000002</v>
      </c>
    </row>
    <row r="8398" spans="1:3">
      <c r="A8398" s="571" t="s">
        <v>373</v>
      </c>
      <c r="B8398" s="572">
        <v>29.070700000000002</v>
      </c>
      <c r="C8398" s="572">
        <v>325.35899999999998</v>
      </c>
    </row>
    <row r="8399" spans="1:3">
      <c r="A8399" s="571" t="s">
        <v>373</v>
      </c>
      <c r="B8399" s="572">
        <v>32.980600000000003</v>
      </c>
      <c r="C8399" s="572">
        <v>351.11900000000003</v>
      </c>
    </row>
    <row r="8400" spans="1:3">
      <c r="A8400" s="571" t="s">
        <v>373</v>
      </c>
      <c r="B8400" s="572">
        <v>38.033200000000001</v>
      </c>
      <c r="C8400" s="572">
        <v>373.23</v>
      </c>
    </row>
    <row r="8401" spans="1:3">
      <c r="A8401" s="571" t="s">
        <v>373</v>
      </c>
      <c r="B8401" s="572">
        <v>40.967300000000002</v>
      </c>
      <c r="C8401" s="572">
        <v>384.29300000000001</v>
      </c>
    </row>
    <row r="8402" spans="1:3">
      <c r="A8402" s="571" t="s">
        <v>373</v>
      </c>
      <c r="B8402" s="572">
        <v>45.040700000000001</v>
      </c>
      <c r="C8402" s="572">
        <v>408.221</v>
      </c>
    </row>
    <row r="8403" spans="1:3">
      <c r="A8403" s="571" t="s">
        <v>373</v>
      </c>
      <c r="B8403" s="572">
        <v>49.116399999999999</v>
      </c>
      <c r="C8403" s="572">
        <v>421.14</v>
      </c>
    </row>
    <row r="8404" spans="1:3">
      <c r="A8404" s="571" t="s">
        <v>373</v>
      </c>
      <c r="B8404" s="572">
        <v>53.0289</v>
      </c>
      <c r="C8404" s="572">
        <v>434.05599999999998</v>
      </c>
    </row>
    <row r="8405" spans="1:3">
      <c r="A8405" s="571" t="s">
        <v>373</v>
      </c>
      <c r="B8405" s="572">
        <v>56.940399999999997</v>
      </c>
      <c r="C8405" s="572">
        <v>452.476</v>
      </c>
    </row>
    <row r="8406" spans="1:3">
      <c r="A8406" s="571" t="s">
        <v>373</v>
      </c>
      <c r="B8406" s="572">
        <v>60.8551</v>
      </c>
      <c r="C8406" s="572">
        <v>454.38299999999998</v>
      </c>
    </row>
    <row r="8407" spans="1:3">
      <c r="A8407" s="571" t="s">
        <v>373</v>
      </c>
      <c r="B8407" s="572">
        <v>65.256299999999996</v>
      </c>
      <c r="C8407" s="572">
        <v>470.97699999999998</v>
      </c>
    </row>
    <row r="8408" spans="1:3">
      <c r="A8408" s="571" t="s">
        <v>373</v>
      </c>
      <c r="B8408" s="572">
        <v>69.172600000000003</v>
      </c>
      <c r="C8408" s="572">
        <v>465.54399999999998</v>
      </c>
    </row>
    <row r="8409" spans="1:3">
      <c r="A8409" s="571" t="s">
        <v>373</v>
      </c>
      <c r="B8409" s="572">
        <v>73.571899999999999</v>
      </c>
      <c r="C8409" s="572">
        <v>491.31299999999999</v>
      </c>
    </row>
    <row r="8410" spans="1:3">
      <c r="A8410" s="571" t="s">
        <v>373</v>
      </c>
      <c r="B8410" s="572">
        <v>76.998099999999994</v>
      </c>
      <c r="C8410" s="572">
        <v>489.541</v>
      </c>
    </row>
    <row r="8411" spans="1:3">
      <c r="A8411" s="571" t="s">
        <v>373</v>
      </c>
      <c r="B8411" s="572">
        <v>81.074799999999996</v>
      </c>
      <c r="C8411" s="572">
        <v>496.95600000000002</v>
      </c>
    </row>
    <row r="8412" spans="1:3">
      <c r="A8412" s="571" t="s">
        <v>374</v>
      </c>
      <c r="B8412" s="572">
        <v>0.26188000000000011</v>
      </c>
      <c r="C8412" s="572">
        <v>3.7295799999999999</v>
      </c>
    </row>
    <row r="8413" spans="1:3">
      <c r="A8413" s="571" t="s">
        <v>374</v>
      </c>
      <c r="B8413" s="572">
        <v>2.0529599999999997</v>
      </c>
      <c r="C8413" s="572">
        <v>20.276199999999999</v>
      </c>
    </row>
    <row r="8414" spans="1:3">
      <c r="A8414" s="571" t="s">
        <v>374</v>
      </c>
      <c r="B8414" s="572">
        <v>3.0321199999999999</v>
      </c>
      <c r="C8414" s="572">
        <v>18.459299999999999</v>
      </c>
    </row>
    <row r="8415" spans="1:3">
      <c r="A8415" s="571" t="s">
        <v>374</v>
      </c>
      <c r="B8415" s="572">
        <v>4.0101699999999996</v>
      </c>
      <c r="C8415" s="572">
        <v>22.146999999999998</v>
      </c>
    </row>
    <row r="8416" spans="1:3">
      <c r="A8416" s="571" t="s">
        <v>374</v>
      </c>
      <c r="B8416" s="572">
        <v>4.9897</v>
      </c>
      <c r="C8416" s="572">
        <v>18.495200000000001</v>
      </c>
    </row>
    <row r="8417" spans="1:3">
      <c r="A8417" s="571" t="s">
        <v>374</v>
      </c>
      <c r="B8417" s="572">
        <v>5.9692399999999992</v>
      </c>
      <c r="C8417" s="572">
        <v>14.843500000000001</v>
      </c>
    </row>
    <row r="8418" spans="1:3">
      <c r="A8418" s="571" t="s">
        <v>374</v>
      </c>
      <c r="B8418" s="572">
        <v>6.9476600000000008</v>
      </c>
      <c r="C8418" s="572">
        <v>16.696300000000001</v>
      </c>
    </row>
    <row r="8419" spans="1:3">
      <c r="A8419" s="571" t="s">
        <v>374</v>
      </c>
      <c r="B8419" s="572">
        <v>8.9048999999999996</v>
      </c>
      <c r="C8419" s="572">
        <v>18.5671</v>
      </c>
    </row>
    <row r="8420" spans="1:3">
      <c r="A8420" s="571" t="s">
        <v>374</v>
      </c>
      <c r="B8420" s="572">
        <v>11.024800000000001</v>
      </c>
      <c r="C8420" s="572">
        <v>22.275700000000001</v>
      </c>
    </row>
    <row r="8421" spans="1:3">
      <c r="A8421" s="571" t="s">
        <v>374</v>
      </c>
      <c r="B8421" s="572">
        <v>12.8185</v>
      </c>
      <c r="C8421" s="572">
        <v>25.978300000000001</v>
      </c>
    </row>
    <row r="8422" spans="1:3">
      <c r="A8422" s="571" t="s">
        <v>374</v>
      </c>
      <c r="B8422" s="572">
        <v>14.938099999999999</v>
      </c>
      <c r="C8422" s="572">
        <v>31.521799999999999</v>
      </c>
    </row>
    <row r="8423" spans="1:3">
      <c r="A8423" s="571" t="s">
        <v>374</v>
      </c>
      <c r="B8423" s="572">
        <v>16.895700000000001</v>
      </c>
      <c r="C8423" s="572">
        <v>31.557700000000001</v>
      </c>
    </row>
    <row r="8424" spans="1:3">
      <c r="A8424" s="571" t="s">
        <v>374</v>
      </c>
      <c r="B8424" s="572">
        <v>19.015999999999998</v>
      </c>
      <c r="C8424" s="572">
        <v>33.4315</v>
      </c>
    </row>
    <row r="8425" spans="1:3">
      <c r="A8425" s="571" t="s">
        <v>374</v>
      </c>
      <c r="B8425" s="572">
        <v>20.809699999999999</v>
      </c>
      <c r="C8425" s="572">
        <v>37.134099999999997</v>
      </c>
    </row>
    <row r="8426" spans="1:3">
      <c r="A8426" s="571" t="s">
        <v>374</v>
      </c>
      <c r="B8426" s="572">
        <v>23.091699999999999</v>
      </c>
      <c r="C8426" s="572">
        <v>46.350299999999997</v>
      </c>
    </row>
    <row r="8427" spans="1:3">
      <c r="A8427" s="571" t="s">
        <v>374</v>
      </c>
      <c r="B8427" s="572">
        <v>25.051500000000001</v>
      </c>
      <c r="C8427" s="572">
        <v>35.377099999999999</v>
      </c>
    </row>
    <row r="8428" spans="1:3">
      <c r="A8428" s="571" t="s">
        <v>374</v>
      </c>
      <c r="B8428" s="572">
        <v>28.964400000000001</v>
      </c>
      <c r="C8428" s="572">
        <v>46.458100000000002</v>
      </c>
    </row>
    <row r="8429" spans="1:3">
      <c r="A8429" s="571" t="s">
        <v>374</v>
      </c>
      <c r="B8429" s="572">
        <v>33.041200000000003</v>
      </c>
      <c r="C8429" s="572">
        <v>53.872300000000003</v>
      </c>
    </row>
    <row r="8430" spans="1:3">
      <c r="A8430" s="571" t="s">
        <v>374</v>
      </c>
      <c r="B8430" s="572">
        <v>37.1188</v>
      </c>
      <c r="C8430" s="572">
        <v>57.616900000000001</v>
      </c>
    </row>
    <row r="8431" spans="1:3">
      <c r="A8431" s="571" t="s">
        <v>374</v>
      </c>
      <c r="B8431" s="572">
        <v>41.194800000000001</v>
      </c>
      <c r="C8431" s="572">
        <v>68.700800000000001</v>
      </c>
    </row>
    <row r="8432" spans="1:3">
      <c r="A8432" s="571" t="s">
        <v>374</v>
      </c>
      <c r="B8432" s="572">
        <v>46.086500000000001</v>
      </c>
      <c r="C8432" s="572">
        <v>79.799800000000005</v>
      </c>
    </row>
    <row r="8433" spans="1:3">
      <c r="A8433" s="571" t="s">
        <v>374</v>
      </c>
      <c r="B8433" s="572">
        <v>49.022100000000002</v>
      </c>
      <c r="C8433" s="572">
        <v>83.523300000000006</v>
      </c>
    </row>
    <row r="8434" spans="1:3">
      <c r="A8434" s="571" t="s">
        <v>374</v>
      </c>
      <c r="B8434" s="572">
        <v>53.0989</v>
      </c>
      <c r="C8434" s="572">
        <v>90.937600000000003</v>
      </c>
    </row>
    <row r="8435" spans="1:3">
      <c r="A8435" s="571" t="s">
        <v>374</v>
      </c>
      <c r="B8435" s="572">
        <v>57.011400000000002</v>
      </c>
      <c r="C8435" s="572">
        <v>103.85299999999999</v>
      </c>
    </row>
    <row r="8436" spans="1:3">
      <c r="A8436" s="571" t="s">
        <v>374</v>
      </c>
      <c r="B8436" s="572">
        <v>60.9255</v>
      </c>
      <c r="C8436" s="572">
        <v>109.43</v>
      </c>
    </row>
    <row r="8437" spans="1:3">
      <c r="A8437" s="571" t="s">
        <v>374</v>
      </c>
      <c r="B8437" s="572">
        <v>65.000799999999998</v>
      </c>
      <c r="C8437" s="572">
        <v>124.184</v>
      </c>
    </row>
    <row r="8438" spans="1:3">
      <c r="A8438" s="571" t="s">
        <v>374</v>
      </c>
      <c r="B8438" s="572">
        <v>69.079800000000006</v>
      </c>
      <c r="C8438" s="572">
        <v>120.589</v>
      </c>
    </row>
    <row r="8439" spans="1:3">
      <c r="A8439" s="571" t="s">
        <v>374</v>
      </c>
      <c r="B8439" s="572">
        <v>73.154399999999995</v>
      </c>
      <c r="C8439" s="572">
        <v>139.012</v>
      </c>
    </row>
    <row r="8440" spans="1:3">
      <c r="A8440" s="571" t="s">
        <v>374</v>
      </c>
      <c r="B8440" s="572">
        <v>77.071399999999997</v>
      </c>
      <c r="C8440" s="572">
        <v>129.91</v>
      </c>
    </row>
    <row r="8441" spans="1:3">
      <c r="A8441" s="571" t="s">
        <v>374</v>
      </c>
      <c r="B8441" s="572">
        <v>80.980599999999995</v>
      </c>
      <c r="C8441" s="572">
        <v>159.339</v>
      </c>
    </row>
    <row r="8442" spans="1:3">
      <c r="A8442" s="571" t="s">
        <v>374</v>
      </c>
      <c r="B8442" s="572">
        <v>84.897199999999998</v>
      </c>
      <c r="C8442" s="572">
        <v>152.072</v>
      </c>
    </row>
    <row r="8443" spans="1:3">
      <c r="A8443" s="571" t="s">
        <v>374</v>
      </c>
      <c r="B8443" s="572">
        <v>88.974400000000003</v>
      </c>
      <c r="C8443" s="572">
        <v>157.65100000000001</v>
      </c>
    </row>
    <row r="8444" spans="1:3">
      <c r="A8444" s="571" t="s">
        <v>375</v>
      </c>
      <c r="B8444" s="572">
        <v>0.42500999999999989</v>
      </c>
      <c r="C8444" s="572">
        <v>3.7325699999999999</v>
      </c>
    </row>
    <row r="8445" spans="1:3">
      <c r="A8445" s="571" t="s">
        <v>375</v>
      </c>
      <c r="B8445" s="572">
        <v>0.74230000000000018</v>
      </c>
      <c r="C8445" s="572">
        <v>47.775100000000002</v>
      </c>
    </row>
    <row r="8446" spans="1:3">
      <c r="A8446" s="571" t="s">
        <v>375</v>
      </c>
      <c r="B8446" s="572">
        <v>2.0383699999999996</v>
      </c>
      <c r="C8446" s="572">
        <v>91.835599999999999</v>
      </c>
    </row>
    <row r="8447" spans="1:3">
      <c r="A8447" s="571" t="s">
        <v>375</v>
      </c>
      <c r="B8447" s="572">
        <v>3.0130400000000002</v>
      </c>
      <c r="C8447" s="572">
        <v>112.03700000000001</v>
      </c>
    </row>
    <row r="8448" spans="1:3">
      <c r="A8448" s="571" t="s">
        <v>375</v>
      </c>
      <c r="B8448" s="572">
        <v>3.8219700000000003</v>
      </c>
      <c r="C8448" s="572">
        <v>145.07900000000001</v>
      </c>
    </row>
    <row r="8449" spans="1:3">
      <c r="A8449" s="571" t="s">
        <v>375</v>
      </c>
      <c r="B8449" s="572">
        <v>4.96089</v>
      </c>
      <c r="C8449" s="572">
        <v>159.779</v>
      </c>
    </row>
    <row r="8450" spans="1:3">
      <c r="A8450" s="571" t="s">
        <v>375</v>
      </c>
      <c r="B8450" s="572">
        <v>5.77318</v>
      </c>
      <c r="C8450" s="572">
        <v>176.30799999999999</v>
      </c>
    </row>
    <row r="8451" spans="1:3">
      <c r="A8451" s="571" t="s">
        <v>375</v>
      </c>
      <c r="B8451" s="572">
        <v>7.0733999999999995</v>
      </c>
      <c r="C8451" s="572">
        <v>200.185</v>
      </c>
    </row>
    <row r="8452" spans="1:3">
      <c r="A8452" s="571" t="s">
        <v>375</v>
      </c>
      <c r="B8452" s="572">
        <v>8.8603000000000005</v>
      </c>
      <c r="C8452" s="572">
        <v>236.91499999999999</v>
      </c>
    </row>
    <row r="8453" spans="1:3">
      <c r="A8453" s="571" t="s">
        <v>375</v>
      </c>
      <c r="B8453" s="572">
        <v>10.9758</v>
      </c>
      <c r="C8453" s="572">
        <v>262.642</v>
      </c>
    </row>
    <row r="8454" spans="1:3">
      <c r="A8454" s="571" t="s">
        <v>375</v>
      </c>
      <c r="B8454" s="572">
        <v>12.928100000000001</v>
      </c>
      <c r="C8454" s="572">
        <v>288.36599999999999</v>
      </c>
    </row>
    <row r="8455" spans="1:3">
      <c r="A8455" s="571" t="s">
        <v>375</v>
      </c>
      <c r="B8455" s="572">
        <v>15.043199999999999</v>
      </c>
      <c r="C8455" s="572">
        <v>315.92700000000002</v>
      </c>
    </row>
    <row r="8456" spans="1:3">
      <c r="A8456" s="571" t="s">
        <v>375</v>
      </c>
      <c r="B8456" s="572">
        <v>17.159800000000001</v>
      </c>
      <c r="C8456" s="572">
        <v>336.15</v>
      </c>
    </row>
    <row r="8457" spans="1:3">
      <c r="A8457" s="571" t="s">
        <v>375</v>
      </c>
      <c r="B8457" s="572">
        <v>18.950199999999999</v>
      </c>
      <c r="C8457" s="572">
        <v>356.36599999999999</v>
      </c>
    </row>
    <row r="8458" spans="1:3">
      <c r="A8458" s="571" t="s">
        <v>375</v>
      </c>
      <c r="B8458" s="572">
        <v>21.068300000000001</v>
      </c>
      <c r="C8458" s="572">
        <v>369.24900000000002</v>
      </c>
    </row>
    <row r="8459" spans="1:3">
      <c r="A8459" s="571" t="s">
        <v>375</v>
      </c>
      <c r="B8459" s="572">
        <v>22.8582</v>
      </c>
      <c r="C8459" s="572">
        <v>391.3</v>
      </c>
    </row>
    <row r="8460" spans="1:3">
      <c r="A8460" s="571" t="s">
        <v>375</v>
      </c>
      <c r="B8460" s="572">
        <v>24.976299999999998</v>
      </c>
      <c r="C8460" s="572">
        <v>404.18299999999999</v>
      </c>
    </row>
    <row r="8461" spans="1:3">
      <c r="A8461" s="571" t="s">
        <v>375</v>
      </c>
      <c r="B8461" s="572">
        <v>29.049399999999999</v>
      </c>
      <c r="C8461" s="572">
        <v>429.94600000000003</v>
      </c>
    </row>
    <row r="8462" spans="1:3">
      <c r="A8462" s="571" t="s">
        <v>375</v>
      </c>
      <c r="B8462" s="572">
        <v>32.959699999999998</v>
      </c>
      <c r="C8462" s="572">
        <v>453.87099999999998</v>
      </c>
    </row>
    <row r="8463" spans="1:3">
      <c r="A8463" s="571" t="s">
        <v>375</v>
      </c>
      <c r="B8463" s="572">
        <v>37.032699999999998</v>
      </c>
      <c r="C8463" s="572">
        <v>479.63400000000001</v>
      </c>
    </row>
    <row r="8464" spans="1:3">
      <c r="A8464" s="571" t="s">
        <v>375</v>
      </c>
      <c r="B8464" s="572">
        <v>42.084899999999998</v>
      </c>
      <c r="C8464" s="572">
        <v>503.58</v>
      </c>
    </row>
    <row r="8465" spans="1:3">
      <c r="A8465" s="571" t="s">
        <v>375</v>
      </c>
      <c r="B8465" s="572">
        <v>45.019799999999996</v>
      </c>
      <c r="C8465" s="572">
        <v>510.97300000000001</v>
      </c>
    </row>
    <row r="8466" spans="1:3">
      <c r="A8466" s="571" t="s">
        <v>375</v>
      </c>
      <c r="B8466" s="572">
        <v>49.095100000000002</v>
      </c>
      <c r="C8466" s="572">
        <v>525.72699999999998</v>
      </c>
    </row>
    <row r="8467" spans="1:3">
      <c r="A8467" s="571" t="s">
        <v>375</v>
      </c>
      <c r="B8467" s="572">
        <v>53.170400000000001</v>
      </c>
      <c r="C8467" s="572">
        <v>540.48</v>
      </c>
    </row>
    <row r="8468" spans="1:3">
      <c r="A8468" s="571" t="s">
        <v>375</v>
      </c>
      <c r="B8468" s="572">
        <v>56.920200000000001</v>
      </c>
      <c r="C8468" s="572">
        <v>551.55799999999999</v>
      </c>
    </row>
    <row r="8469" spans="1:3">
      <c r="A8469" s="571" t="s">
        <v>375</v>
      </c>
      <c r="B8469" s="572">
        <v>61.158600000000007</v>
      </c>
      <c r="C8469" s="572">
        <v>566.31500000000005</v>
      </c>
    </row>
    <row r="8470" spans="1:3">
      <c r="A8470" s="571" t="s">
        <v>375</v>
      </c>
      <c r="B8470" s="572">
        <v>64.911000000000001</v>
      </c>
      <c r="C8470" s="572">
        <v>564.54899999999998</v>
      </c>
    </row>
    <row r="8471" spans="1:3">
      <c r="A8471" s="571" t="s">
        <v>375</v>
      </c>
      <c r="B8471" s="572">
        <v>69.148300000000006</v>
      </c>
      <c r="C8471" s="572">
        <v>584.80999999999995</v>
      </c>
    </row>
    <row r="8472" spans="1:3">
      <c r="A8472" s="571" t="s">
        <v>375</v>
      </c>
      <c r="B8472" s="572">
        <v>73.228800000000007</v>
      </c>
      <c r="C8472" s="572">
        <v>573.87599999999998</v>
      </c>
    </row>
    <row r="8473" spans="1:3">
      <c r="A8473" s="571" t="s">
        <v>375</v>
      </c>
      <c r="B8473" s="572">
        <v>76.9756</v>
      </c>
      <c r="C8473" s="572">
        <v>599.63300000000004</v>
      </c>
    </row>
    <row r="8474" spans="1:3">
      <c r="A8474" s="571" t="s">
        <v>375</v>
      </c>
      <c r="B8474" s="572">
        <v>81.218100000000007</v>
      </c>
      <c r="C8474" s="572">
        <v>594.20600000000002</v>
      </c>
    </row>
    <row r="8475" spans="1:3">
      <c r="A8475" s="571" t="s">
        <v>375</v>
      </c>
      <c r="B8475" s="572">
        <v>85.132199999999997</v>
      </c>
      <c r="C8475" s="572">
        <v>599.78200000000004</v>
      </c>
    </row>
    <row r="8476" spans="1:3">
      <c r="A8476" s="48" t="s">
        <v>376</v>
      </c>
      <c r="B8476" s="549">
        <v>-4.7518200000000003E-3</v>
      </c>
      <c r="C8476" s="549">
        <v>17.733799999999999</v>
      </c>
    </row>
    <row r="8477" spans="1:3">
      <c r="A8477" s="571" t="s">
        <v>376</v>
      </c>
      <c r="B8477" s="572">
        <v>1.1119300000000001</v>
      </c>
      <c r="C8477" s="572">
        <v>50.2956</v>
      </c>
    </row>
    <row r="8478" spans="1:3">
      <c r="A8478" s="571" t="s">
        <v>376</v>
      </c>
      <c r="B8478" s="572">
        <v>1.4243600000000001</v>
      </c>
      <c r="C8478" s="572">
        <v>84.299599999999998</v>
      </c>
    </row>
    <row r="8479" spans="1:3">
      <c r="A8479" s="571" t="s">
        <v>376</v>
      </c>
      <c r="B8479" s="572">
        <v>1.90469</v>
      </c>
      <c r="C8479" s="572">
        <v>91.710099999999997</v>
      </c>
    </row>
    <row r="8480" spans="1:3">
      <c r="A8480" s="571" t="s">
        <v>376</v>
      </c>
      <c r="B8480" s="572">
        <v>2.8613900000000001</v>
      </c>
      <c r="C8480" s="572">
        <v>121.309</v>
      </c>
    </row>
    <row r="8481" spans="1:3">
      <c r="A8481" s="571" t="s">
        <v>376</v>
      </c>
      <c r="B8481" s="572">
        <v>4.8029000000000002</v>
      </c>
      <c r="C8481" s="572">
        <v>75.582400000000007</v>
      </c>
    </row>
    <row r="8482" spans="1:3">
      <c r="A8482" s="571" t="s">
        <v>376</v>
      </c>
      <c r="B8482" s="572">
        <v>5.7698900000000002</v>
      </c>
      <c r="C8482" s="572">
        <v>66.758300000000006</v>
      </c>
    </row>
    <row r="8483" spans="1:3">
      <c r="A8483" s="571" t="s">
        <v>376</v>
      </c>
      <c r="B8483" s="572">
        <v>6.8913200000000003</v>
      </c>
      <c r="C8483" s="572">
        <v>81.586299999999994</v>
      </c>
    </row>
    <row r="8484" spans="1:3">
      <c r="A8484" s="571" t="s">
        <v>376</v>
      </c>
      <c r="B8484" s="572">
        <v>7.6928000000000001</v>
      </c>
      <c r="C8484" s="572">
        <v>90.488799999999998</v>
      </c>
    </row>
    <row r="8485" spans="1:3">
      <c r="A8485" s="571" t="s">
        <v>376</v>
      </c>
      <c r="B8485" s="572">
        <v>9.2985100000000003</v>
      </c>
      <c r="C8485" s="572">
        <v>97.949200000000005</v>
      </c>
    </row>
    <row r="8486" spans="1:3">
      <c r="A8486" s="571" t="s">
        <v>376</v>
      </c>
      <c r="B8486" s="572">
        <v>9.9415899999999997</v>
      </c>
      <c r="C8486" s="572">
        <v>97.977699999999999</v>
      </c>
    </row>
    <row r="8487" spans="1:3">
      <c r="A8487" s="571" t="s">
        <v>376</v>
      </c>
      <c r="B8487" s="572">
        <v>11.0646</v>
      </c>
      <c r="C8487" s="572">
        <v>106.89400000000001</v>
      </c>
    </row>
    <row r="8488" spans="1:3">
      <c r="A8488" s="571" t="s">
        <v>376</v>
      </c>
      <c r="B8488" s="572">
        <v>12.0288</v>
      </c>
      <c r="C8488" s="572">
        <v>108.41500000000001</v>
      </c>
    </row>
    <row r="8489" spans="1:3">
      <c r="A8489" s="571" t="s">
        <v>376</v>
      </c>
      <c r="B8489" s="572">
        <v>12.829499999999999</v>
      </c>
      <c r="C8489" s="572">
        <v>120.273</v>
      </c>
    </row>
    <row r="8490" spans="1:3">
      <c r="A8490" s="571" t="s">
        <v>376</v>
      </c>
      <c r="B8490" s="572">
        <v>13.794499999999999</v>
      </c>
      <c r="C8490" s="572">
        <v>118.83799999999999</v>
      </c>
    </row>
    <row r="8491" spans="1:3">
      <c r="A8491" s="571" t="s">
        <v>376</v>
      </c>
      <c r="B8491" s="572">
        <v>14.756</v>
      </c>
      <c r="C8491" s="572">
        <v>130.703</v>
      </c>
    </row>
    <row r="8492" spans="1:3">
      <c r="A8492" s="571" t="s">
        <v>376</v>
      </c>
      <c r="B8492" s="572">
        <v>16.844799999999999</v>
      </c>
      <c r="C8492" s="572">
        <v>135.22999999999999</v>
      </c>
    </row>
    <row r="8493" spans="1:3">
      <c r="A8493" s="571" t="s">
        <v>376</v>
      </c>
      <c r="B8493" s="572">
        <v>18.7697</v>
      </c>
      <c r="C8493" s="572">
        <v>151.571</v>
      </c>
    </row>
    <row r="8494" spans="1:3">
      <c r="A8494" s="571" t="s">
        <v>376</v>
      </c>
      <c r="B8494" s="572">
        <v>20.696899999999999</v>
      </c>
      <c r="C8494" s="572">
        <v>159.04599999999999</v>
      </c>
    </row>
    <row r="8495" spans="1:3">
      <c r="A8495" s="571" t="s">
        <v>376</v>
      </c>
      <c r="B8495" s="572">
        <v>22.944500000000001</v>
      </c>
      <c r="C8495" s="572">
        <v>170.96799999999999</v>
      </c>
    </row>
    <row r="8496" spans="1:3">
      <c r="A8496" s="571" t="s">
        <v>376</v>
      </c>
      <c r="B8496" s="572">
        <v>24.8706</v>
      </c>
      <c r="C8496" s="572">
        <v>182.876</v>
      </c>
    </row>
    <row r="8497" spans="1:3">
      <c r="A8497" s="571" t="s">
        <v>376</v>
      </c>
      <c r="B8497" s="572">
        <v>27.761299999999999</v>
      </c>
      <c r="C8497" s="572">
        <v>194.827</v>
      </c>
    </row>
    <row r="8498" spans="1:3">
      <c r="A8498" s="571" t="s">
        <v>376</v>
      </c>
      <c r="B8498" s="572">
        <v>30.6492</v>
      </c>
      <c r="C8498" s="572">
        <v>217.12200000000001</v>
      </c>
    </row>
    <row r="8499" spans="1:3">
      <c r="A8499" s="571" t="s">
        <v>376</v>
      </c>
      <c r="B8499" s="572">
        <v>32.738799999999998</v>
      </c>
      <c r="C8499" s="572">
        <v>218.69300000000001</v>
      </c>
    </row>
    <row r="8500" spans="1:3">
      <c r="A8500" s="571" t="s">
        <v>376</v>
      </c>
      <c r="B8500" s="572">
        <v>34.988399999999999</v>
      </c>
      <c r="C8500" s="572">
        <v>223.226</v>
      </c>
    </row>
    <row r="8501" spans="1:3">
      <c r="A8501" s="571" t="s">
        <v>376</v>
      </c>
      <c r="B8501" s="572">
        <v>37.718299999999999</v>
      </c>
      <c r="C8501" s="572">
        <v>235.17</v>
      </c>
    </row>
    <row r="8502" spans="1:3">
      <c r="A8502" s="571" t="s">
        <v>376</v>
      </c>
      <c r="B8502" s="572">
        <v>39.806800000000003</v>
      </c>
      <c r="C8502" s="572">
        <v>241.17400000000001</v>
      </c>
    </row>
    <row r="8503" spans="1:3">
      <c r="A8503" s="571" t="s">
        <v>376</v>
      </c>
      <c r="B8503" s="572">
        <v>43.824800000000003</v>
      </c>
      <c r="C8503" s="572">
        <v>245.785</v>
      </c>
    </row>
    <row r="8504" spans="1:3">
      <c r="A8504" s="571" t="s">
        <v>376</v>
      </c>
      <c r="B8504" s="572">
        <v>46.7151</v>
      </c>
      <c r="C8504" s="572">
        <v>259.214</v>
      </c>
    </row>
    <row r="8505" spans="1:3">
      <c r="A8505" s="571" t="s">
        <v>376</v>
      </c>
      <c r="B8505" s="572">
        <v>48.643599999999999</v>
      </c>
      <c r="C8505" s="572">
        <v>262.255</v>
      </c>
    </row>
    <row r="8506" spans="1:3">
      <c r="A8506" s="571" t="s">
        <v>376</v>
      </c>
      <c r="B8506" s="572">
        <v>52.823599999999999</v>
      </c>
      <c r="C8506" s="572">
        <v>262.44</v>
      </c>
    </row>
    <row r="8507" spans="1:3">
      <c r="A8507" s="571" t="s">
        <v>376</v>
      </c>
      <c r="B8507" s="572">
        <v>55.869900000000001</v>
      </c>
      <c r="C8507" s="572">
        <v>293.61</v>
      </c>
    </row>
    <row r="8508" spans="1:3">
      <c r="A8508" s="571" t="s">
        <v>376</v>
      </c>
      <c r="B8508" s="572">
        <v>59.894300000000001</v>
      </c>
      <c r="C8508" s="572">
        <v>274.577</v>
      </c>
    </row>
    <row r="8509" spans="1:3">
      <c r="A8509" s="571" t="s">
        <v>376</v>
      </c>
      <c r="B8509" s="572">
        <v>62.945700000000002</v>
      </c>
      <c r="C8509" s="572">
        <v>286.53500000000003</v>
      </c>
    </row>
    <row r="8510" spans="1:3">
      <c r="A8510" s="571" t="s">
        <v>376</v>
      </c>
      <c r="B8510" s="572">
        <v>67.123800000000003</v>
      </c>
      <c r="C8510" s="572">
        <v>294.10899999999998</v>
      </c>
    </row>
    <row r="8511" spans="1:3">
      <c r="A8511" s="571" t="s">
        <v>376</v>
      </c>
      <c r="B8511" s="572">
        <v>69.850899999999996</v>
      </c>
      <c r="C8511" s="572">
        <v>316.39699999999999</v>
      </c>
    </row>
    <row r="8512" spans="1:3">
      <c r="A8512" s="571" t="s">
        <v>376</v>
      </c>
      <c r="B8512" s="572">
        <v>74.033299999999997</v>
      </c>
      <c r="C8512" s="572">
        <v>307.71600000000001</v>
      </c>
    </row>
    <row r="8513" spans="1:3">
      <c r="A8513" s="571" t="s">
        <v>376</v>
      </c>
      <c r="B8513" s="572">
        <v>76.923599999999993</v>
      </c>
      <c r="C8513" s="572">
        <v>321.14400000000001</v>
      </c>
    </row>
    <row r="8514" spans="1:3">
      <c r="A8514" s="571" t="s">
        <v>376</v>
      </c>
      <c r="B8514" s="572">
        <v>81.904700000000005</v>
      </c>
      <c r="C8514" s="572">
        <v>331.71</v>
      </c>
    </row>
    <row r="8515" spans="1:3">
      <c r="A8515" s="571" t="s">
        <v>376</v>
      </c>
      <c r="B8515" s="572">
        <v>84.000200000000007</v>
      </c>
      <c r="C8515" s="572">
        <v>311.113</v>
      </c>
    </row>
    <row r="8516" spans="1:3">
      <c r="A8516" s="571" t="s">
        <v>376</v>
      </c>
      <c r="B8516" s="572">
        <v>87.212500000000006</v>
      </c>
      <c r="C8516" s="572">
        <v>323.07799999999997</v>
      </c>
    </row>
    <row r="8517" spans="1:3">
      <c r="A8517" s="571" t="s">
        <v>376</v>
      </c>
      <c r="B8517" s="572">
        <v>90.261200000000002</v>
      </c>
      <c r="C8517" s="572">
        <v>345.38099999999997</v>
      </c>
    </row>
    <row r="8518" spans="1:3">
      <c r="A8518" s="48" t="s">
        <v>377</v>
      </c>
      <c r="B8518" s="549">
        <v>-0.15997800000000001</v>
      </c>
      <c r="C8518" s="549">
        <v>2.9627599999999998</v>
      </c>
    </row>
    <row r="8519" spans="1:3">
      <c r="A8519" s="48" t="s">
        <v>377</v>
      </c>
      <c r="B8519" s="549">
        <v>-8.7116599999999995E-3</v>
      </c>
      <c r="C8519" s="549">
        <v>32.511899999999997</v>
      </c>
    </row>
    <row r="8520" spans="1:3">
      <c r="A8520" s="571" t="s">
        <v>377</v>
      </c>
      <c r="B8520" s="572">
        <v>0.62922</v>
      </c>
      <c r="C8520" s="572">
        <v>51.752000000000002</v>
      </c>
    </row>
    <row r="8521" spans="1:3">
      <c r="A8521" s="571" t="s">
        <v>377</v>
      </c>
      <c r="B8521" s="572">
        <v>0.95194699999999999</v>
      </c>
      <c r="C8521" s="572">
        <v>47.332799999999999</v>
      </c>
    </row>
    <row r="8522" spans="1:3">
      <c r="A8522" s="571" t="s">
        <v>377</v>
      </c>
      <c r="B8522" s="572">
        <v>1.75065</v>
      </c>
      <c r="C8522" s="572">
        <v>66.580100000000002</v>
      </c>
    </row>
    <row r="8523" spans="1:3">
      <c r="A8523" s="571" t="s">
        <v>377</v>
      </c>
      <c r="B8523" s="572">
        <v>2.54935</v>
      </c>
      <c r="C8523" s="572">
        <v>85.827299999999994</v>
      </c>
    </row>
    <row r="8524" spans="1:3">
      <c r="A8524" s="571" t="s">
        <v>377</v>
      </c>
      <c r="B8524" s="572">
        <v>4.1519000000000004</v>
      </c>
      <c r="C8524" s="572">
        <v>105.11</v>
      </c>
    </row>
    <row r="8525" spans="1:3">
      <c r="A8525" s="571" t="s">
        <v>377</v>
      </c>
      <c r="B8525" s="572">
        <v>4.95139</v>
      </c>
      <c r="C8525" s="572">
        <v>121.402</v>
      </c>
    </row>
    <row r="8526" spans="1:3">
      <c r="A8526" s="571" t="s">
        <v>377</v>
      </c>
      <c r="B8526" s="572">
        <v>6.0744100000000003</v>
      </c>
      <c r="C8526" s="572">
        <v>130.31899999999999</v>
      </c>
    </row>
    <row r="8527" spans="1:3">
      <c r="A8527" s="571" t="s">
        <v>377</v>
      </c>
      <c r="B8527" s="572">
        <v>6.8746900000000002</v>
      </c>
      <c r="C8527" s="572">
        <v>143.655</v>
      </c>
    </row>
    <row r="8528" spans="1:3">
      <c r="A8528" s="571" t="s">
        <v>377</v>
      </c>
      <c r="B8528" s="572">
        <v>7.8373299999999997</v>
      </c>
      <c r="C8528" s="572">
        <v>151.08600000000001</v>
      </c>
    </row>
    <row r="8529" spans="1:3">
      <c r="A8529" s="571" t="s">
        <v>377</v>
      </c>
      <c r="B8529" s="572">
        <v>8.7952200000000005</v>
      </c>
      <c r="C8529" s="572">
        <v>176.25200000000001</v>
      </c>
    </row>
    <row r="8530" spans="1:3">
      <c r="A8530" s="571" t="s">
        <v>377</v>
      </c>
      <c r="B8530" s="572">
        <v>9.7590400000000006</v>
      </c>
      <c r="C8530" s="572">
        <v>179.25</v>
      </c>
    </row>
    <row r="8531" spans="1:3">
      <c r="A8531" s="571" t="s">
        <v>377</v>
      </c>
      <c r="B8531" s="572">
        <v>10.8856</v>
      </c>
      <c r="C8531" s="572">
        <v>174.86699999999999</v>
      </c>
    </row>
    <row r="8532" spans="1:3">
      <c r="A8532" s="571" t="s">
        <v>377</v>
      </c>
      <c r="B8532" s="572">
        <v>11.847099999999999</v>
      </c>
      <c r="C8532" s="572">
        <v>186.732</v>
      </c>
    </row>
    <row r="8533" spans="1:3">
      <c r="A8533" s="571" t="s">
        <v>377</v>
      </c>
      <c r="B8533" s="572">
        <v>12.9701</v>
      </c>
      <c r="C8533" s="572">
        <v>195.649</v>
      </c>
    </row>
    <row r="8534" spans="1:3">
      <c r="A8534" s="571" t="s">
        <v>377</v>
      </c>
      <c r="B8534" s="572">
        <v>14.0923</v>
      </c>
      <c r="C8534" s="572">
        <v>207.52099999999999</v>
      </c>
    </row>
    <row r="8535" spans="1:3">
      <c r="A8535" s="571" t="s">
        <v>377</v>
      </c>
      <c r="B8535" s="572">
        <v>15.858000000000001</v>
      </c>
      <c r="C8535" s="572">
        <v>217.94399999999999</v>
      </c>
    </row>
    <row r="8536" spans="1:3">
      <c r="A8536" s="571" t="s">
        <v>377</v>
      </c>
      <c r="B8536" s="572">
        <v>16.6555</v>
      </c>
      <c r="C8536" s="572">
        <v>241.625</v>
      </c>
    </row>
    <row r="8537" spans="1:3">
      <c r="A8537" s="571" t="s">
        <v>377</v>
      </c>
      <c r="B8537" s="572">
        <v>17.942499999999999</v>
      </c>
      <c r="C8537" s="572">
        <v>238.727</v>
      </c>
    </row>
    <row r="8538" spans="1:3">
      <c r="A8538" s="571" t="s">
        <v>377</v>
      </c>
      <c r="B8538" s="572">
        <v>18.9039</v>
      </c>
      <c r="C8538" s="572">
        <v>250.59200000000001</v>
      </c>
    </row>
    <row r="8539" spans="1:3">
      <c r="A8539" s="571" t="s">
        <v>377</v>
      </c>
      <c r="B8539" s="572">
        <v>19.867699999999999</v>
      </c>
      <c r="C8539" s="572">
        <v>253.59</v>
      </c>
    </row>
    <row r="8540" spans="1:3">
      <c r="A8540" s="571" t="s">
        <v>377</v>
      </c>
      <c r="B8540" s="572">
        <v>21.790600000000001</v>
      </c>
      <c r="C8540" s="572">
        <v>277.32100000000003</v>
      </c>
    </row>
    <row r="8541" spans="1:3">
      <c r="A8541" s="571" t="s">
        <v>377</v>
      </c>
      <c r="B8541" s="572">
        <v>24.042200000000001</v>
      </c>
      <c r="C8541" s="572">
        <v>274.46499999999997</v>
      </c>
    </row>
    <row r="8542" spans="1:3">
      <c r="A8542" s="571" t="s">
        <v>377</v>
      </c>
      <c r="B8542" s="572">
        <v>25.006399999999999</v>
      </c>
      <c r="C8542" s="572">
        <v>275.98599999999999</v>
      </c>
    </row>
    <row r="8543" spans="1:3">
      <c r="A8543" s="571" t="s">
        <v>377</v>
      </c>
      <c r="B8543" s="572">
        <v>28.053100000000001</v>
      </c>
      <c r="C8543" s="572">
        <v>305.67700000000002</v>
      </c>
    </row>
    <row r="8544" spans="1:3">
      <c r="A8544" s="571" t="s">
        <v>377</v>
      </c>
      <c r="B8544" s="572">
        <v>30.624300000000002</v>
      </c>
      <c r="C8544" s="572">
        <v>310.22500000000002</v>
      </c>
    </row>
    <row r="8545" spans="1:3">
      <c r="A8545" s="571" t="s">
        <v>377</v>
      </c>
      <c r="B8545" s="572">
        <v>32.8675</v>
      </c>
      <c r="C8545" s="572">
        <v>338.40300000000002</v>
      </c>
    </row>
    <row r="8546" spans="1:3">
      <c r="A8546" s="571" t="s">
        <v>377</v>
      </c>
      <c r="B8546" s="572">
        <v>34.951999999999998</v>
      </c>
      <c r="C8546" s="572">
        <v>359.185</v>
      </c>
    </row>
    <row r="8547" spans="1:3">
      <c r="A8547" s="571" t="s">
        <v>377</v>
      </c>
      <c r="B8547" s="572">
        <v>38.008600000000001</v>
      </c>
      <c r="C8547" s="572">
        <v>351.93099999999998</v>
      </c>
    </row>
    <row r="8548" spans="1:3">
      <c r="A8548" s="571" t="s">
        <v>377</v>
      </c>
      <c r="B8548" s="572">
        <v>39.615900000000003</v>
      </c>
      <c r="C8548" s="572">
        <v>353.48099999999999</v>
      </c>
    </row>
    <row r="8549" spans="1:3">
      <c r="A8549" s="571" t="s">
        <v>377</v>
      </c>
      <c r="B8549" s="572">
        <v>41.861899999999999</v>
      </c>
      <c r="C8549" s="572">
        <v>371.31400000000002</v>
      </c>
    </row>
    <row r="8550" spans="1:3">
      <c r="A8550" s="571" t="s">
        <v>377</v>
      </c>
      <c r="B8550" s="572">
        <v>44.755800000000001</v>
      </c>
      <c r="C8550" s="572">
        <v>371.44200000000001</v>
      </c>
    </row>
    <row r="8551" spans="1:3">
      <c r="A8551" s="571" t="s">
        <v>377</v>
      </c>
      <c r="B8551" s="572">
        <v>46.840600000000002</v>
      </c>
      <c r="C8551" s="572">
        <v>390.74700000000001</v>
      </c>
    </row>
    <row r="8552" spans="1:3">
      <c r="A8552" s="571" t="s">
        <v>377</v>
      </c>
      <c r="B8552" s="572">
        <v>48.926299999999998</v>
      </c>
      <c r="C8552" s="572">
        <v>407.09500000000003</v>
      </c>
    </row>
    <row r="8553" spans="1:3">
      <c r="A8553" s="571" t="s">
        <v>377</v>
      </c>
      <c r="B8553" s="572">
        <v>51.819699999999997</v>
      </c>
      <c r="C8553" s="572">
        <v>408.70100000000002</v>
      </c>
    </row>
    <row r="8554" spans="1:3">
      <c r="A8554" s="571" t="s">
        <v>377</v>
      </c>
      <c r="B8554" s="572">
        <v>54.069299999999998</v>
      </c>
      <c r="C8554" s="572">
        <v>413.23500000000001</v>
      </c>
    </row>
    <row r="8555" spans="1:3">
      <c r="A8555" s="571" t="s">
        <v>377</v>
      </c>
      <c r="B8555" s="572">
        <v>55.997</v>
      </c>
      <c r="C8555" s="572">
        <v>419.23099999999999</v>
      </c>
    </row>
    <row r="8556" spans="1:3">
      <c r="A8556" s="571" t="s">
        <v>377</v>
      </c>
      <c r="B8556" s="572">
        <v>58.890799999999999</v>
      </c>
      <c r="C8556" s="572">
        <v>419.36</v>
      </c>
    </row>
    <row r="8557" spans="1:3">
      <c r="A8557" s="571" t="s">
        <v>377</v>
      </c>
      <c r="B8557" s="572">
        <v>61.138100000000001</v>
      </c>
      <c r="C8557" s="572">
        <v>432.76</v>
      </c>
    </row>
    <row r="8558" spans="1:3">
      <c r="A8558" s="571" t="s">
        <v>377</v>
      </c>
      <c r="B8558" s="572">
        <v>63.070099999999996</v>
      </c>
      <c r="C8558" s="572">
        <v>422.50099999999998</v>
      </c>
    </row>
    <row r="8559" spans="1:3">
      <c r="A8559" s="571" t="s">
        <v>377</v>
      </c>
      <c r="B8559" s="572">
        <v>66.121499999999997</v>
      </c>
      <c r="C8559" s="572">
        <v>434.459</v>
      </c>
    </row>
    <row r="8560" spans="1:3">
      <c r="A8560" s="571" t="s">
        <v>377</v>
      </c>
      <c r="B8560" s="572">
        <v>69.009</v>
      </c>
      <c r="C8560" s="572">
        <v>458.23200000000003</v>
      </c>
    </row>
    <row r="8561" spans="1:3">
      <c r="A8561" s="571" t="s">
        <v>377</v>
      </c>
      <c r="B8561" s="572">
        <v>73.023899999999998</v>
      </c>
      <c r="C8561" s="572">
        <v>474.666</v>
      </c>
    </row>
    <row r="8562" spans="1:3">
      <c r="A8562" s="571" t="s">
        <v>377</v>
      </c>
      <c r="B8562" s="572">
        <v>76.079400000000007</v>
      </c>
      <c r="C8562" s="572">
        <v>471.846</v>
      </c>
    </row>
    <row r="8563" spans="1:3">
      <c r="A8563" s="571" t="s">
        <v>377</v>
      </c>
      <c r="B8563" s="572">
        <v>81.060400000000001</v>
      </c>
      <c r="C8563" s="572">
        <v>482.41199999999998</v>
      </c>
    </row>
    <row r="8564" spans="1:3">
      <c r="A8564" s="571" t="s">
        <v>377</v>
      </c>
      <c r="B8564" s="572">
        <v>84.115499999999997</v>
      </c>
      <c r="C8564" s="572">
        <v>481.06900000000002</v>
      </c>
    </row>
    <row r="8565" spans="1:3">
      <c r="A8565" s="571" t="s">
        <v>377</v>
      </c>
      <c r="B8565" s="572">
        <v>87.325699999999998</v>
      </c>
      <c r="C8565" s="572">
        <v>500.423</v>
      </c>
    </row>
    <row r="8566" spans="1:3">
      <c r="A8566" s="571" t="s">
        <v>377</v>
      </c>
      <c r="B8566" s="572">
        <v>91.177899999999994</v>
      </c>
      <c r="C8566" s="572">
        <v>524.23900000000003</v>
      </c>
    </row>
    <row r="8567" spans="1:3">
      <c r="A8567" s="571" t="s">
        <v>378</v>
      </c>
      <c r="B8567" s="572">
        <v>3.1063200000000002</v>
      </c>
      <c r="C8567" s="572">
        <v>6.3601799999999997</v>
      </c>
    </row>
    <row r="8568" spans="1:3">
      <c r="A8568" s="571" t="s">
        <v>378</v>
      </c>
      <c r="B8568" s="572">
        <v>3.65944</v>
      </c>
      <c r="C8568" s="572">
        <v>44.6678</v>
      </c>
    </row>
    <row r="8569" spans="1:3">
      <c r="A8569" s="571" t="s">
        <v>378</v>
      </c>
      <c r="B8569" s="572">
        <v>4.1255899999999999</v>
      </c>
      <c r="C8569" s="572">
        <v>60.009599999999999</v>
      </c>
    </row>
    <row r="8570" spans="1:3">
      <c r="A8570" s="571" t="s">
        <v>378</v>
      </c>
      <c r="B8570" s="572">
        <v>5.0545</v>
      </c>
      <c r="C8570" s="572">
        <v>101.407</v>
      </c>
    </row>
    <row r="8571" spans="1:3">
      <c r="A8571" s="571" t="s">
        <v>378</v>
      </c>
      <c r="B8571" s="572">
        <v>5.9877500000000001</v>
      </c>
      <c r="C8571" s="572">
        <v>129.03</v>
      </c>
    </row>
    <row r="8572" spans="1:3">
      <c r="A8572" s="571" t="s">
        <v>378</v>
      </c>
      <c r="B8572" s="572">
        <v>7.9546700000000001</v>
      </c>
      <c r="C8572" s="572">
        <v>164.38399999999999</v>
      </c>
    </row>
    <row r="8573" spans="1:3">
      <c r="A8573" s="571" t="s">
        <v>378</v>
      </c>
      <c r="B8573" s="572">
        <v>8.9835399999999996</v>
      </c>
      <c r="C8573" s="572">
        <v>187.422</v>
      </c>
    </row>
    <row r="8574" spans="1:3">
      <c r="A8574" s="571" t="s">
        <v>378</v>
      </c>
      <c r="B8574" s="572">
        <v>9.8288399999999996</v>
      </c>
      <c r="C8574" s="572">
        <v>195.14</v>
      </c>
    </row>
    <row r="8575" spans="1:3">
      <c r="A8575" s="571" t="s">
        <v>378</v>
      </c>
      <c r="B8575" s="572">
        <v>13.950100000000001</v>
      </c>
      <c r="C8575" s="572">
        <v>268.92500000000001</v>
      </c>
    </row>
    <row r="8576" spans="1:3">
      <c r="A8576" s="571" t="s">
        <v>378</v>
      </c>
      <c r="B8576" s="572">
        <v>16.948799999999999</v>
      </c>
      <c r="C8576" s="572">
        <v>318.13400000000001</v>
      </c>
    </row>
    <row r="8577" spans="1:3">
      <c r="A8577" s="571" t="s">
        <v>378</v>
      </c>
      <c r="B8577" s="572">
        <v>21.084</v>
      </c>
      <c r="C8577" s="572">
        <v>347.53199999999998</v>
      </c>
    </row>
    <row r="8578" spans="1:3">
      <c r="A8578" s="571" t="s">
        <v>378</v>
      </c>
      <c r="B8578" s="572">
        <v>27.945900000000002</v>
      </c>
      <c r="C8578" s="572">
        <v>392.44499999999999</v>
      </c>
    </row>
    <row r="8579" spans="1:3">
      <c r="A8579" s="571" t="s">
        <v>378</v>
      </c>
      <c r="B8579" s="572">
        <v>44.034399999999998</v>
      </c>
      <c r="C8579" s="572">
        <v>450.30900000000003</v>
      </c>
    </row>
    <row r="8580" spans="1:3">
      <c r="A8580" s="571" t="s">
        <v>378</v>
      </c>
      <c r="B8580" s="572">
        <v>52.974699999999999</v>
      </c>
      <c r="C8580" s="572">
        <v>475.483</v>
      </c>
    </row>
    <row r="8581" spans="1:3">
      <c r="A8581" s="571" t="s">
        <v>379</v>
      </c>
      <c r="B8581" s="572">
        <v>4.8959200000000003</v>
      </c>
      <c r="C8581" s="572">
        <v>6.4971399999999999</v>
      </c>
    </row>
    <row r="8582" spans="1:3">
      <c r="A8582" s="571" t="s">
        <v>379</v>
      </c>
      <c r="B8582" s="572">
        <v>6.0252299999999996</v>
      </c>
      <c r="C8582" s="572">
        <v>9.6447900000000004</v>
      </c>
    </row>
    <row r="8583" spans="1:3">
      <c r="A8583" s="571" t="s">
        <v>379</v>
      </c>
      <c r="B8583" s="572">
        <v>7.9080500000000002</v>
      </c>
      <c r="C8583" s="572">
        <v>12.850099999999999</v>
      </c>
    </row>
    <row r="8584" spans="1:3">
      <c r="A8584" s="571" t="s">
        <v>379</v>
      </c>
      <c r="B8584" s="572">
        <v>8.9441400000000009</v>
      </c>
      <c r="C8584" s="572">
        <v>12.929399999999999</v>
      </c>
    </row>
    <row r="8585" spans="1:3">
      <c r="A8585" s="571" t="s">
        <v>379</v>
      </c>
      <c r="B8585" s="572">
        <v>9.9826200000000007</v>
      </c>
      <c r="C8585" s="572">
        <v>5.35581</v>
      </c>
    </row>
    <row r="8586" spans="1:3">
      <c r="A8586" s="571" t="s">
        <v>379</v>
      </c>
      <c r="B8586" s="572">
        <v>14.1236</v>
      </c>
      <c r="C8586" s="572">
        <v>16.387</v>
      </c>
    </row>
    <row r="8587" spans="1:3">
      <c r="A8587" s="571" t="s">
        <v>379</v>
      </c>
      <c r="B8587" s="572">
        <v>16.8536</v>
      </c>
      <c r="C8587" s="572">
        <v>21.187799999999999</v>
      </c>
    </row>
    <row r="8588" spans="1:3">
      <c r="A8588" s="571" t="s">
        <v>379</v>
      </c>
      <c r="B8588" s="572">
        <v>20.904699999999998</v>
      </c>
      <c r="C8588" s="572">
        <v>18.436599999999999</v>
      </c>
    </row>
    <row r="8589" spans="1:3">
      <c r="A8589" s="571" t="s">
        <v>379</v>
      </c>
      <c r="B8589" s="572">
        <v>28.058800000000002</v>
      </c>
      <c r="C8589" s="572">
        <v>32.759599999999999</v>
      </c>
    </row>
    <row r="8590" spans="1:3">
      <c r="A8590" s="571" t="s">
        <v>379</v>
      </c>
      <c r="B8590" s="572">
        <v>44.067100000000003</v>
      </c>
      <c r="C8590" s="572">
        <v>46.229599999999998</v>
      </c>
    </row>
    <row r="8591" spans="1:3">
      <c r="A8591" s="571" t="s">
        <v>379</v>
      </c>
      <c r="B8591" s="572">
        <v>53.104999999999997</v>
      </c>
      <c r="C8591" s="572">
        <v>60.696800000000003</v>
      </c>
    </row>
    <row r="8592" spans="1:3">
      <c r="A8592" s="48" t="s">
        <v>380</v>
      </c>
      <c r="B8592" s="549">
        <v>-0.71684599999999998</v>
      </c>
      <c r="C8592" s="549">
        <v>3.2945700000000002</v>
      </c>
    </row>
    <row r="8593" spans="1:3">
      <c r="A8593" s="571" t="s">
        <v>380</v>
      </c>
      <c r="B8593" s="572">
        <v>2.8673799999999998</v>
      </c>
      <c r="C8593" s="572">
        <v>14.922499999999999</v>
      </c>
    </row>
    <row r="8594" spans="1:3">
      <c r="A8594" s="571" t="s">
        <v>380</v>
      </c>
      <c r="B8594" s="572">
        <v>5.0179200000000002</v>
      </c>
      <c r="C8594" s="572">
        <v>40.116300000000003</v>
      </c>
    </row>
    <row r="8595" spans="1:3">
      <c r="A8595" s="571" t="s">
        <v>380</v>
      </c>
      <c r="B8595" s="572">
        <v>8.60215</v>
      </c>
      <c r="C8595" s="572">
        <v>50.775199999999998</v>
      </c>
    </row>
    <row r="8596" spans="1:3">
      <c r="A8596" s="571" t="s">
        <v>380</v>
      </c>
      <c r="B8596" s="572">
        <v>13.620100000000001</v>
      </c>
      <c r="C8596" s="572">
        <v>69.186000000000007</v>
      </c>
    </row>
    <row r="8597" spans="1:3">
      <c r="A8597" s="571" t="s">
        <v>380</v>
      </c>
      <c r="B8597" s="572">
        <v>17.921099999999999</v>
      </c>
      <c r="C8597" s="572">
        <v>84.689899999999994</v>
      </c>
    </row>
    <row r="8598" spans="1:3">
      <c r="A8598" s="571" t="s">
        <v>380</v>
      </c>
      <c r="B8598" s="572">
        <v>19.354800000000001</v>
      </c>
      <c r="C8598" s="572">
        <v>103.101</v>
      </c>
    </row>
    <row r="8599" spans="1:3">
      <c r="A8599" s="571" t="s">
        <v>380</v>
      </c>
      <c r="B8599" s="572">
        <v>25.089600000000001</v>
      </c>
      <c r="C8599" s="572">
        <v>121.512</v>
      </c>
    </row>
    <row r="8600" spans="1:3">
      <c r="A8600" s="571" t="s">
        <v>380</v>
      </c>
      <c r="B8600" s="572">
        <v>32.258099999999999</v>
      </c>
      <c r="C8600" s="572">
        <v>141.86000000000001</v>
      </c>
    </row>
    <row r="8601" spans="1:3">
      <c r="A8601" s="571" t="s">
        <v>380</v>
      </c>
      <c r="B8601" s="572">
        <v>39.426499999999997</v>
      </c>
      <c r="C8601" s="572">
        <v>162.209</v>
      </c>
    </row>
    <row r="8602" spans="1:3">
      <c r="A8602" s="571" t="s">
        <v>380</v>
      </c>
      <c r="B8602" s="572">
        <v>49.462400000000002</v>
      </c>
      <c r="C8602" s="572">
        <v>187.40299999999999</v>
      </c>
    </row>
    <row r="8603" spans="1:3">
      <c r="A8603" s="571" t="s">
        <v>380</v>
      </c>
      <c r="B8603" s="572">
        <v>65.233000000000004</v>
      </c>
      <c r="C8603" s="572">
        <v>206.78299999999999</v>
      </c>
    </row>
    <row r="8604" spans="1:3">
      <c r="A8604" s="571" t="s">
        <v>380</v>
      </c>
      <c r="B8604" s="572">
        <v>79.569900000000004</v>
      </c>
      <c r="C8604" s="572">
        <v>222.28700000000001</v>
      </c>
    </row>
    <row r="8605" spans="1:3">
      <c r="A8605" s="573" t="s">
        <v>380</v>
      </c>
      <c r="B8605" s="574">
        <v>100.358</v>
      </c>
      <c r="C8605" s="574">
        <v>241.667</v>
      </c>
    </row>
    <row r="8606" spans="1:3">
      <c r="A8606" s="573" t="s">
        <v>380</v>
      </c>
      <c r="B8606" s="574">
        <v>125.44799999999999</v>
      </c>
      <c r="C8606" s="574">
        <v>267.82900000000001</v>
      </c>
    </row>
    <row r="8607" spans="1:3">
      <c r="A8607" s="573" t="s">
        <v>380</v>
      </c>
      <c r="B8607" s="574">
        <v>156.989</v>
      </c>
      <c r="C8607" s="574">
        <v>273.64299999999997</v>
      </c>
    </row>
    <row r="8608" spans="1:3">
      <c r="A8608" s="573" t="s">
        <v>380</v>
      </c>
      <c r="B8608" s="574">
        <v>199.28299999999999</v>
      </c>
      <c r="C8608" s="574">
        <v>284.30200000000002</v>
      </c>
    </row>
    <row r="8609" spans="1:3">
      <c r="A8609" s="573" t="s">
        <v>380</v>
      </c>
      <c r="B8609" s="574">
        <v>251.613</v>
      </c>
      <c r="C8609" s="574">
        <v>282.36399999999998</v>
      </c>
    </row>
    <row r="8610" spans="1:3">
      <c r="A8610" s="573" t="s">
        <v>380</v>
      </c>
      <c r="B8610" s="574">
        <v>273.11799999999999</v>
      </c>
      <c r="C8610" s="574">
        <v>291.08499999999998</v>
      </c>
    </row>
    <row r="8611" spans="1:3">
      <c r="A8611" s="48" t="s">
        <v>381</v>
      </c>
      <c r="B8611" s="549">
        <v>-0.71684599999999998</v>
      </c>
      <c r="C8611" s="549">
        <v>1.35659</v>
      </c>
    </row>
    <row r="8612" spans="1:3">
      <c r="A8612" s="571" t="s">
        <v>381</v>
      </c>
      <c r="B8612" s="572">
        <v>1.4336899999999999</v>
      </c>
      <c r="C8612" s="572">
        <v>21.705400000000001</v>
      </c>
    </row>
    <row r="8613" spans="1:3">
      <c r="A8613" s="571" t="s">
        <v>381</v>
      </c>
      <c r="B8613" s="572">
        <v>2.1505399999999999</v>
      </c>
      <c r="C8613" s="572">
        <v>39.147300000000001</v>
      </c>
    </row>
    <row r="8614" spans="1:3">
      <c r="A8614" s="571" t="s">
        <v>381</v>
      </c>
      <c r="B8614" s="572">
        <v>2.8673799999999998</v>
      </c>
      <c r="C8614" s="572">
        <v>64.341099999999997</v>
      </c>
    </row>
    <row r="8615" spans="1:3">
      <c r="A8615" s="571" t="s">
        <v>381</v>
      </c>
      <c r="B8615" s="572">
        <v>5.0179200000000002</v>
      </c>
      <c r="C8615" s="572">
        <v>73.061999999999998</v>
      </c>
    </row>
    <row r="8616" spans="1:3">
      <c r="A8616" s="571" t="s">
        <v>381</v>
      </c>
      <c r="B8616" s="572">
        <v>7.1684599999999996</v>
      </c>
      <c r="C8616" s="572">
        <v>84.689899999999994</v>
      </c>
    </row>
    <row r="8617" spans="1:3">
      <c r="A8617" s="571" t="s">
        <v>381</v>
      </c>
      <c r="B8617" s="572">
        <v>12.186400000000001</v>
      </c>
      <c r="C8617" s="572">
        <v>132.17099999999999</v>
      </c>
    </row>
    <row r="8618" spans="1:3">
      <c r="A8618" s="571" t="s">
        <v>381</v>
      </c>
      <c r="B8618" s="572">
        <v>15.053800000000001</v>
      </c>
      <c r="C8618" s="572">
        <v>148.643</v>
      </c>
    </row>
    <row r="8619" spans="1:3">
      <c r="A8619" s="571" t="s">
        <v>381</v>
      </c>
      <c r="B8619" s="572">
        <v>17.921099999999999</v>
      </c>
      <c r="C8619" s="572">
        <v>170.93</v>
      </c>
    </row>
    <row r="8620" spans="1:3">
      <c r="A8620" s="571" t="s">
        <v>381</v>
      </c>
      <c r="B8620" s="572">
        <v>24.372800000000002</v>
      </c>
      <c r="C8620" s="572">
        <v>193.21700000000001</v>
      </c>
    </row>
    <row r="8621" spans="1:3">
      <c r="A8621" s="571" t="s">
        <v>381</v>
      </c>
      <c r="B8621" s="572">
        <v>30.824400000000001</v>
      </c>
      <c r="C8621" s="572">
        <v>216.47300000000001</v>
      </c>
    </row>
    <row r="8622" spans="1:3">
      <c r="A8622" s="571" t="s">
        <v>381</v>
      </c>
      <c r="B8622" s="572">
        <v>39.426499999999997</v>
      </c>
      <c r="C8622" s="572">
        <v>245.54300000000001</v>
      </c>
    </row>
    <row r="8623" spans="1:3">
      <c r="A8623" s="571" t="s">
        <v>381</v>
      </c>
      <c r="B8623" s="572">
        <v>48.7455</v>
      </c>
      <c r="C8623" s="572">
        <v>271.70499999999998</v>
      </c>
    </row>
    <row r="8624" spans="1:3">
      <c r="A8624" s="571" t="s">
        <v>381</v>
      </c>
      <c r="B8624" s="572">
        <v>65.233000000000004</v>
      </c>
      <c r="C8624" s="572">
        <v>298.83699999999999</v>
      </c>
    </row>
    <row r="8625" spans="1:3">
      <c r="A8625" s="571" t="s">
        <v>381</v>
      </c>
      <c r="B8625" s="572">
        <v>79.569900000000004</v>
      </c>
      <c r="C8625" s="572">
        <v>313.37200000000001</v>
      </c>
    </row>
    <row r="8626" spans="1:3">
      <c r="A8626" s="573" t="s">
        <v>381</v>
      </c>
      <c r="B8626" s="574">
        <v>101.075</v>
      </c>
      <c r="C8626" s="574">
        <v>333.721</v>
      </c>
    </row>
    <row r="8627" spans="1:3">
      <c r="A8627" s="573" t="s">
        <v>381</v>
      </c>
      <c r="B8627" s="574">
        <v>126.88200000000001</v>
      </c>
      <c r="C8627" s="574">
        <v>359.88400000000001</v>
      </c>
    </row>
    <row r="8628" spans="1:3">
      <c r="A8628" s="573" t="s">
        <v>381</v>
      </c>
      <c r="B8628" s="574">
        <v>156.989</v>
      </c>
      <c r="C8628" s="574">
        <v>369.57400000000001</v>
      </c>
    </row>
    <row r="8629" spans="1:3">
      <c r="A8629" s="573" t="s">
        <v>381</v>
      </c>
      <c r="B8629" s="574">
        <v>199.28299999999999</v>
      </c>
      <c r="C8629" s="574">
        <v>379.26400000000001</v>
      </c>
    </row>
    <row r="8630" spans="1:3">
      <c r="A8630" s="573" t="s">
        <v>381</v>
      </c>
      <c r="B8630" s="574">
        <v>250.89599999999999</v>
      </c>
      <c r="C8630" s="574">
        <v>387.01600000000002</v>
      </c>
    </row>
    <row r="8631" spans="1:3">
      <c r="A8631" s="573" t="s">
        <v>381</v>
      </c>
      <c r="B8631" s="574">
        <v>273.83499999999998</v>
      </c>
      <c r="C8631" s="574">
        <v>380.233</v>
      </c>
    </row>
    <row r="8632" spans="1:3">
      <c r="A8632" s="48" t="s">
        <v>2011</v>
      </c>
      <c r="B8632" s="549">
        <v>-8.3206199999999995E-4</v>
      </c>
      <c r="C8632" s="549">
        <v>1.9886200000000001</v>
      </c>
    </row>
    <row r="8633" spans="1:3">
      <c r="A8633" s="571" t="s">
        <v>2011</v>
      </c>
      <c r="B8633" s="572">
        <v>6.9560120000000003</v>
      </c>
      <c r="C8633" s="572">
        <v>175.13200000000001</v>
      </c>
    </row>
    <row r="8634" spans="1:3">
      <c r="A8634" s="571" t="s">
        <v>2011</v>
      </c>
      <c r="B8634" s="572">
        <v>13.956110000000001</v>
      </c>
      <c r="C8634" s="572">
        <v>244.86699999999999</v>
      </c>
    </row>
    <row r="8635" spans="1:3">
      <c r="A8635" s="571" t="s">
        <v>2011</v>
      </c>
      <c r="B8635" s="572">
        <v>20.962900000000001</v>
      </c>
      <c r="C8635" s="572">
        <v>298.69200000000001</v>
      </c>
    </row>
    <row r="8636" spans="1:3">
      <c r="A8636" s="571" t="s">
        <v>2011</v>
      </c>
      <c r="B8636" s="572">
        <v>27.97214</v>
      </c>
      <c r="C8636" s="572">
        <v>346.553</v>
      </c>
    </row>
    <row r="8637" spans="1:3">
      <c r="A8637" s="571" t="s">
        <v>2011</v>
      </c>
      <c r="B8637" s="572">
        <v>55.752130000000001</v>
      </c>
      <c r="C8637" s="572">
        <v>452.47599999999994</v>
      </c>
    </row>
    <row r="8638" spans="1:3">
      <c r="A8638" s="571" t="s">
        <v>2011</v>
      </c>
      <c r="B8638" s="572">
        <v>83.842500000000001</v>
      </c>
      <c r="C8638" s="572">
        <v>516.64499999999998</v>
      </c>
    </row>
    <row r="8639" spans="1:3">
      <c r="A8639" s="573" t="s">
        <v>2011</v>
      </c>
      <c r="B8639" s="574">
        <v>181.94049999999999</v>
      </c>
      <c r="C8639" s="574">
        <v>562.25300000000004</v>
      </c>
    </row>
    <row r="8640" spans="1:3">
      <c r="A8640" s="571" t="s">
        <v>2012</v>
      </c>
      <c r="B8640" s="572">
        <v>0</v>
      </c>
      <c r="C8640" s="572">
        <v>0</v>
      </c>
    </row>
    <row r="8641" spans="1:3">
      <c r="A8641" s="571" t="s">
        <v>2012</v>
      </c>
      <c r="B8641" s="572">
        <v>6.6365040000000004</v>
      </c>
      <c r="C8641" s="572">
        <v>238.762</v>
      </c>
    </row>
    <row r="8642" spans="1:3">
      <c r="A8642" s="571" t="s">
        <v>2012</v>
      </c>
      <c r="B8642" s="572">
        <v>13.914529999999999</v>
      </c>
      <c r="C8642" s="572">
        <v>344.298</v>
      </c>
    </row>
    <row r="8643" spans="1:3">
      <c r="A8643" s="571" t="s">
        <v>2012</v>
      </c>
      <c r="B8643" s="572">
        <v>20.917120000000001</v>
      </c>
      <c r="C8643" s="572">
        <v>408.06699999999995</v>
      </c>
    </row>
    <row r="8644" spans="1:3">
      <c r="A8644" s="571" t="s">
        <v>2012</v>
      </c>
      <c r="B8644" s="572">
        <v>28.21847</v>
      </c>
      <c r="C8644" s="572">
        <v>457.92099999999999</v>
      </c>
    </row>
    <row r="8645" spans="1:3">
      <c r="A8645" s="571" t="s">
        <v>2012</v>
      </c>
      <c r="B8645" s="572">
        <v>55.717970000000001</v>
      </c>
      <c r="C8645" s="572">
        <v>534.01</v>
      </c>
    </row>
    <row r="8646" spans="1:3">
      <c r="A8646" s="571" t="s">
        <v>2012</v>
      </c>
      <c r="B8646" s="572">
        <v>83.810299999999998</v>
      </c>
      <c r="C8646" s="572">
        <v>594.20100000000002</v>
      </c>
    </row>
    <row r="8647" spans="1:3">
      <c r="A8647" s="573" t="s">
        <v>2012</v>
      </c>
      <c r="B8647" s="574">
        <v>181.91460000000001</v>
      </c>
      <c r="C8647" s="574">
        <v>623.9</v>
      </c>
    </row>
    <row r="8648" spans="1:3">
      <c r="A8648" s="48" t="s">
        <v>2013</v>
      </c>
      <c r="B8648" s="549">
        <v>-8.3206199999999995E-4</v>
      </c>
      <c r="C8648" s="549">
        <v>1.9886200000000001</v>
      </c>
    </row>
    <row r="8649" spans="1:3">
      <c r="A8649" s="571" t="s">
        <v>2013</v>
      </c>
      <c r="B8649" s="572">
        <v>6.9718179999999998</v>
      </c>
      <c r="C8649" s="572">
        <v>137.34800000000001</v>
      </c>
    </row>
    <row r="8650" spans="1:3">
      <c r="A8650" s="571" t="s">
        <v>2013</v>
      </c>
      <c r="B8650" s="572">
        <v>13.68318</v>
      </c>
      <c r="C8650" s="572">
        <v>197.13400000000001</v>
      </c>
    </row>
    <row r="8651" spans="1:3">
      <c r="A8651" s="571" t="s">
        <v>2013</v>
      </c>
      <c r="B8651" s="572">
        <v>20.689969999999999</v>
      </c>
      <c r="C8651" s="572">
        <v>250.95999999999998</v>
      </c>
    </row>
    <row r="8652" spans="1:3">
      <c r="A8652" s="571" t="s">
        <v>2013</v>
      </c>
      <c r="B8652" s="572">
        <v>27.994610000000002</v>
      </c>
      <c r="C8652" s="572">
        <v>292.86</v>
      </c>
    </row>
    <row r="8653" spans="1:3">
      <c r="A8653" s="571" t="s">
        <v>2013</v>
      </c>
      <c r="B8653" s="572">
        <v>56.059989999999999</v>
      </c>
      <c r="C8653" s="572">
        <v>416.68700000000001</v>
      </c>
    </row>
    <row r="8654" spans="1:3">
      <c r="A8654" s="571" t="s">
        <v>2013</v>
      </c>
      <c r="B8654" s="572">
        <v>83.867699999999999</v>
      </c>
      <c r="C8654" s="572">
        <v>456.98600000000005</v>
      </c>
    </row>
    <row r="8655" spans="1:3">
      <c r="A8655" s="573" t="s">
        <v>2013</v>
      </c>
      <c r="B8655" s="574">
        <v>181.6626</v>
      </c>
      <c r="C8655" s="574">
        <v>526.452</v>
      </c>
    </row>
    <row r="8656" spans="1:3">
      <c r="A8656" s="571" t="s">
        <v>2014</v>
      </c>
      <c r="B8656" s="572">
        <v>0</v>
      </c>
      <c r="C8656" s="572">
        <v>2.2199999999999999E-14</v>
      </c>
    </row>
    <row r="8657" spans="1:3">
      <c r="A8657" s="571" t="s">
        <v>2014</v>
      </c>
      <c r="B8657" s="572">
        <v>7.0440300000000002</v>
      </c>
      <c r="C8657" s="572">
        <v>160.75700000000001</v>
      </c>
    </row>
    <row r="8658" spans="1:3">
      <c r="A8658" s="571" t="s">
        <v>2014</v>
      </c>
      <c r="B8658" s="572">
        <v>14.07784</v>
      </c>
      <c r="C8658" s="572">
        <v>284.23699999999997</v>
      </c>
    </row>
    <row r="8659" spans="1:3">
      <c r="A8659" s="571" t="s">
        <v>2014</v>
      </c>
      <c r="B8659" s="572">
        <v>21.092960000000001</v>
      </c>
      <c r="C8659" s="572">
        <v>339.37599999999998</v>
      </c>
    </row>
    <row r="8660" spans="1:3">
      <c r="A8660" s="571" t="s">
        <v>2014</v>
      </c>
      <c r="B8660" s="572">
        <v>28.106400000000001</v>
      </c>
      <c r="C8660" s="572">
        <v>388.30200000000002</v>
      </c>
    </row>
    <row r="8661" spans="1:3">
      <c r="A8661" s="571" t="s">
        <v>2014</v>
      </c>
      <c r="B8661" s="572">
        <v>55.948970000000003</v>
      </c>
      <c r="C8661" s="572">
        <v>513.61500000000001</v>
      </c>
    </row>
    <row r="8662" spans="1:3">
      <c r="A8662" s="571" t="s">
        <v>2015</v>
      </c>
      <c r="B8662" s="572">
        <v>9.6455100000000002E-2</v>
      </c>
      <c r="C8662" s="572">
        <v>2.0602999999999998</v>
      </c>
    </row>
    <row r="8663" spans="1:3">
      <c r="A8663" s="571" t="s">
        <v>2015</v>
      </c>
      <c r="B8663" s="572">
        <v>7.0593599999999999</v>
      </c>
      <c r="C8663" s="572">
        <v>216.67200000000003</v>
      </c>
    </row>
    <row r="8664" spans="1:3">
      <c r="A8664" s="571" t="s">
        <v>2015</v>
      </c>
      <c r="B8664" s="572">
        <v>13.987679999999999</v>
      </c>
      <c r="C8664" s="572">
        <v>304.95699999999999</v>
      </c>
    </row>
    <row r="8665" spans="1:3">
      <c r="A8665" s="571" t="s">
        <v>2015</v>
      </c>
      <c r="B8665" s="572">
        <v>21.103179999999998</v>
      </c>
      <c r="C8665" s="572">
        <v>376.65300000000002</v>
      </c>
    </row>
    <row r="8666" spans="1:3">
      <c r="A8666" s="571" t="s">
        <v>2015</v>
      </c>
      <c r="B8666" s="572">
        <v>28.117740000000001</v>
      </c>
      <c r="C8666" s="572">
        <v>429.721</v>
      </c>
    </row>
    <row r="8667" spans="1:3">
      <c r="A8667" s="571" t="s">
        <v>2015</v>
      </c>
      <c r="B8667" s="572">
        <v>56.052779999999998</v>
      </c>
      <c r="C8667" s="572">
        <v>542.59799999999996</v>
      </c>
    </row>
    <row r="8668" spans="1:3">
      <c r="A8668" s="571" t="s">
        <v>2016</v>
      </c>
      <c r="B8668" s="572">
        <v>5.6700000000000001E-4</v>
      </c>
      <c r="C8668" s="572">
        <v>2.0709399999999998</v>
      </c>
    </row>
    <row r="8669" spans="1:3">
      <c r="A8669" s="571" t="s">
        <v>2016</v>
      </c>
      <c r="B8669" s="572">
        <v>6.961773</v>
      </c>
      <c r="C8669" s="572">
        <v>210.46999999999997</v>
      </c>
    </row>
    <row r="8670" spans="1:3">
      <c r="A8670" s="571" t="s">
        <v>2016</v>
      </c>
      <c r="B8670" s="572">
        <v>13.992229999999999</v>
      </c>
      <c r="C8670" s="572">
        <v>321.52500000000003</v>
      </c>
    </row>
    <row r="8671" spans="1:3">
      <c r="A8671" s="571" t="s">
        <v>2016</v>
      </c>
      <c r="B8671" s="572">
        <v>21.016940000000002</v>
      </c>
      <c r="C8671" s="572">
        <v>411.86899999999997</v>
      </c>
    </row>
    <row r="8672" spans="1:3">
      <c r="A8672" s="571" t="s">
        <v>2016</v>
      </c>
      <c r="B8672" s="572">
        <v>28.033740000000002</v>
      </c>
      <c r="C8672" s="572">
        <v>473.221</v>
      </c>
    </row>
    <row r="8673" spans="1:3">
      <c r="A8673" s="571" t="s">
        <v>2016</v>
      </c>
      <c r="B8673" s="572">
        <v>55.969900000000003</v>
      </c>
      <c r="C8673" s="572">
        <v>590.24</v>
      </c>
    </row>
    <row r="8674" spans="1:3">
      <c r="A8674" s="571" t="s">
        <v>2017</v>
      </c>
      <c r="B8674" s="572">
        <v>9.7778199999999996E-2</v>
      </c>
      <c r="C8674" s="572">
        <v>2.5535800000000002</v>
      </c>
    </row>
    <row r="8675" spans="1:3">
      <c r="A8675" s="571" t="s">
        <v>2017</v>
      </c>
      <c r="B8675" s="572">
        <v>7.1333599999999997</v>
      </c>
      <c r="C8675" s="572">
        <v>472.65899999999999</v>
      </c>
    </row>
    <row r="8676" spans="1:3">
      <c r="A8676" s="571" t="s">
        <v>2017</v>
      </c>
      <c r="B8676" s="572">
        <v>8.0191999999999997</v>
      </c>
      <c r="C8676" s="572">
        <v>513.69100000000003</v>
      </c>
    </row>
    <row r="8677" spans="1:3">
      <c r="A8677" s="571" t="s">
        <v>2017</v>
      </c>
      <c r="B8677" s="572">
        <v>9.0972600000000003</v>
      </c>
      <c r="C8677" s="572">
        <v>549.51600000000008</v>
      </c>
    </row>
    <row r="8678" spans="1:3">
      <c r="A8678" s="571" t="s">
        <v>2017</v>
      </c>
      <c r="B8678" s="572">
        <v>10.0725</v>
      </c>
      <c r="C8678" s="572">
        <v>567.31700000000001</v>
      </c>
    </row>
    <row r="8679" spans="1:3">
      <c r="A8679" s="571" t="s">
        <v>2017</v>
      </c>
      <c r="B8679" s="572">
        <v>14.059799999999999</v>
      </c>
      <c r="C8679" s="572">
        <v>604.96999999999991</v>
      </c>
    </row>
    <row r="8680" spans="1:3">
      <c r="A8680" s="571" t="s">
        <v>2017</v>
      </c>
      <c r="B8680" s="572">
        <v>21.0565</v>
      </c>
      <c r="C8680" s="572">
        <v>654.74199999999996</v>
      </c>
    </row>
    <row r="8681" spans="1:3">
      <c r="A8681" s="571" t="s">
        <v>2017</v>
      </c>
      <c r="B8681" s="572">
        <v>27.947099999999999</v>
      </c>
      <c r="C8681" s="572">
        <v>676.17399999999998</v>
      </c>
    </row>
    <row r="8682" spans="1:3">
      <c r="A8682" s="571" t="s">
        <v>2017</v>
      </c>
      <c r="B8682" s="572">
        <v>36.972099999999998</v>
      </c>
      <c r="C8682" s="572">
        <v>702.21400000000006</v>
      </c>
    </row>
    <row r="8683" spans="1:3">
      <c r="A8683" s="571" t="s">
        <v>2017</v>
      </c>
      <c r="B8683" s="572">
        <v>63.164700000000003</v>
      </c>
      <c r="C8683" s="572">
        <v>749.61399999999992</v>
      </c>
    </row>
    <row r="8684" spans="1:3">
      <c r="A8684" s="571" t="s">
        <v>2018</v>
      </c>
      <c r="B8684" s="572">
        <v>8.3333699999999997E-4</v>
      </c>
      <c r="C8684" s="572">
        <v>2.5785800000000001</v>
      </c>
    </row>
    <row r="8685" spans="1:3">
      <c r="A8685" s="571" t="s">
        <v>2018</v>
      </c>
      <c r="B8685" s="572">
        <v>7.1400300000000003</v>
      </c>
      <c r="C8685" s="572">
        <v>493.28800000000001</v>
      </c>
    </row>
    <row r="8686" spans="1:3">
      <c r="A8686" s="571" t="s">
        <v>2018</v>
      </c>
      <c r="B8686" s="572">
        <v>7.9355900000000004</v>
      </c>
      <c r="C8686" s="572">
        <v>554.97399999999993</v>
      </c>
    </row>
    <row r="8687" spans="1:3">
      <c r="A8687" s="571" t="s">
        <v>2018</v>
      </c>
      <c r="B8687" s="572">
        <v>9.0144800000000007</v>
      </c>
      <c r="C8687" s="572">
        <v>593.37699999999995</v>
      </c>
    </row>
    <row r="8688" spans="1:3">
      <c r="A8688" s="571" t="s">
        <v>2018</v>
      </c>
      <c r="B8688" s="572">
        <v>9.9914299999999994</v>
      </c>
      <c r="C8688" s="572">
        <v>616.33500000000004</v>
      </c>
    </row>
    <row r="8689" spans="1:3">
      <c r="A8689" s="571" t="s">
        <v>2018</v>
      </c>
      <c r="B8689" s="572">
        <v>14.078900000000001</v>
      </c>
      <c r="C8689" s="572">
        <v>664.27800000000002</v>
      </c>
    </row>
    <row r="8690" spans="1:3">
      <c r="A8690" s="571" t="s">
        <v>2018</v>
      </c>
      <c r="B8690" s="572">
        <v>21.079799999999999</v>
      </c>
      <c r="C8690" s="572">
        <v>726.94200000000001</v>
      </c>
    </row>
    <row r="8691" spans="1:3">
      <c r="A8691" s="571" t="s">
        <v>2018</v>
      </c>
      <c r="B8691" s="572">
        <v>28.068200000000001</v>
      </c>
      <c r="C8691" s="572">
        <v>750.928</v>
      </c>
    </row>
    <row r="8692" spans="1:3">
      <c r="A8692" s="571" t="s">
        <v>2018</v>
      </c>
      <c r="B8692" s="572">
        <v>36.998800000000003</v>
      </c>
      <c r="C8692" s="572">
        <v>784.72799999999995</v>
      </c>
    </row>
    <row r="8693" spans="1:3">
      <c r="A8693" s="571" t="s">
        <v>2018</v>
      </c>
      <c r="B8693" s="572">
        <v>63.093600000000002</v>
      </c>
      <c r="C8693" s="572">
        <v>829.57500000000005</v>
      </c>
    </row>
    <row r="8694" spans="1:3">
      <c r="A8694" s="571" t="s">
        <v>2019</v>
      </c>
      <c r="B8694" s="572">
        <v>9.8164799999999997E-2</v>
      </c>
      <c r="C8694" s="572">
        <v>2.4256899999999998E-2</v>
      </c>
    </row>
    <row r="8695" spans="1:3">
      <c r="A8695" s="571" t="s">
        <v>2019</v>
      </c>
      <c r="B8695" s="572">
        <v>1.1312800000000001</v>
      </c>
      <c r="C8695" s="572">
        <v>304.58500000000004</v>
      </c>
    </row>
    <row r="8696" spans="1:3">
      <c r="A8696" s="571" t="s">
        <v>2019</v>
      </c>
      <c r="B8696" s="572">
        <v>2.0391699999999999</v>
      </c>
      <c r="C8696" s="572">
        <v>354.09099999999995</v>
      </c>
    </row>
    <row r="8697" spans="1:3">
      <c r="A8697" s="571" t="s">
        <v>2019</v>
      </c>
      <c r="B8697" s="572">
        <v>3.2362600000000001</v>
      </c>
      <c r="C8697" s="572">
        <v>392.714</v>
      </c>
    </row>
    <row r="8698" spans="1:3">
      <c r="A8698" s="571" t="s">
        <v>2019</v>
      </c>
      <c r="B8698" s="572">
        <v>7.0079099999999999</v>
      </c>
      <c r="C8698" s="572">
        <v>476.10599999999994</v>
      </c>
    </row>
    <row r="8699" spans="1:3">
      <c r="A8699" s="571" t="s">
        <v>2019</v>
      </c>
      <c r="B8699" s="572">
        <v>13.996700000000001</v>
      </c>
      <c r="C8699" s="572">
        <v>513.298</v>
      </c>
    </row>
    <row r="8700" spans="1:3">
      <c r="A8700" s="571" t="s">
        <v>2019</v>
      </c>
      <c r="B8700" s="572">
        <v>20.985499999999998</v>
      </c>
      <c r="C8700" s="572">
        <v>550.49</v>
      </c>
    </row>
    <row r="8701" spans="1:3">
      <c r="A8701" s="571" t="s">
        <v>2019</v>
      </c>
      <c r="B8701" s="572">
        <v>28.057600000000001</v>
      </c>
      <c r="C8701" s="572">
        <v>557.39099999999996</v>
      </c>
    </row>
    <row r="8702" spans="1:3">
      <c r="A8702" s="571" t="s">
        <v>2019</v>
      </c>
      <c r="B8702" s="572">
        <v>55.9587</v>
      </c>
      <c r="C8702" s="572">
        <v>595.90199999999993</v>
      </c>
    </row>
    <row r="8703" spans="1:3">
      <c r="A8703" s="571" t="s">
        <v>2020</v>
      </c>
      <c r="B8703" s="572">
        <v>9.9226099999999998E-2</v>
      </c>
      <c r="C8703" s="572">
        <v>2.1376400000000002</v>
      </c>
    </row>
    <row r="8704" spans="1:3">
      <c r="A8704" s="571" t="s">
        <v>2020</v>
      </c>
      <c r="B8704" s="572">
        <v>1.05965</v>
      </c>
      <c r="C8704" s="572">
        <v>358.65699999999998</v>
      </c>
    </row>
    <row r="8705" spans="1:3">
      <c r="A8705" s="571" t="s">
        <v>2020</v>
      </c>
      <c r="B8705" s="572">
        <v>1.96011</v>
      </c>
      <c r="C8705" s="572">
        <v>393.029</v>
      </c>
    </row>
    <row r="8706" spans="1:3">
      <c r="A8706" s="571" t="s">
        <v>2020</v>
      </c>
      <c r="B8706" s="572">
        <v>3.0579700000000001</v>
      </c>
      <c r="C8706" s="572">
        <v>429.51499999999999</v>
      </c>
    </row>
    <row r="8707" spans="1:3">
      <c r="A8707" s="571" t="s">
        <v>2020</v>
      </c>
      <c r="B8707" s="572">
        <v>7.0164</v>
      </c>
      <c r="C8707" s="572">
        <v>493.40099999999995</v>
      </c>
    </row>
    <row r="8708" spans="1:3">
      <c r="A8708" s="571" t="s">
        <v>2020</v>
      </c>
      <c r="B8708" s="572">
        <v>14.0137</v>
      </c>
      <c r="C8708" s="572">
        <v>547.88900000000001</v>
      </c>
    </row>
    <row r="8709" spans="1:3">
      <c r="A8709" s="571" t="s">
        <v>2020</v>
      </c>
      <c r="B8709" s="572">
        <v>21.1038</v>
      </c>
      <c r="C8709" s="572">
        <v>591.54200000000003</v>
      </c>
    </row>
    <row r="8710" spans="1:3">
      <c r="A8710" s="571" t="s">
        <v>2020</v>
      </c>
      <c r="B8710" s="572">
        <v>28.0852</v>
      </c>
      <c r="C8710" s="572">
        <v>613.601</v>
      </c>
    </row>
    <row r="8711" spans="1:3">
      <c r="A8711" s="571" t="s">
        <v>2020</v>
      </c>
      <c r="B8711" s="572">
        <v>55.993699999999997</v>
      </c>
      <c r="C8711" s="572">
        <v>667.245</v>
      </c>
    </row>
    <row r="8712" spans="1:3">
      <c r="A8712" s="571" t="s">
        <v>2021</v>
      </c>
      <c r="B8712" s="572">
        <v>0.39113399999999998</v>
      </c>
      <c r="C8712" s="572">
        <v>2.2699999999999999E-13</v>
      </c>
    </row>
    <row r="8713" spans="1:3">
      <c r="A8713" s="571" t="s">
        <v>2021</v>
      </c>
      <c r="B8713" s="572">
        <v>1.1734</v>
      </c>
      <c r="C8713" s="572">
        <v>38.169600000000003</v>
      </c>
    </row>
    <row r="8714" spans="1:3">
      <c r="A8714" s="571" t="s">
        <v>2021</v>
      </c>
      <c r="B8714" s="572">
        <v>1.56454</v>
      </c>
      <c r="C8714" s="572">
        <v>64.285700000000006</v>
      </c>
    </row>
    <row r="8715" spans="1:3">
      <c r="A8715" s="571" t="s">
        <v>2021</v>
      </c>
      <c r="B8715" s="572">
        <v>1.95567</v>
      </c>
      <c r="C8715" s="572">
        <v>86.383899999999997</v>
      </c>
    </row>
    <row r="8716" spans="1:3">
      <c r="A8716" s="571" t="s">
        <v>2021</v>
      </c>
      <c r="B8716" s="572">
        <v>2.73794</v>
      </c>
      <c r="C8716" s="572">
        <v>104.464</v>
      </c>
    </row>
    <row r="8717" spans="1:3">
      <c r="A8717" s="571" t="s">
        <v>2021</v>
      </c>
      <c r="B8717" s="572">
        <v>4.6936099999999996</v>
      </c>
      <c r="C8717" s="572">
        <v>156.696</v>
      </c>
    </row>
    <row r="8718" spans="1:3">
      <c r="A8718" s="571" t="s">
        <v>2021</v>
      </c>
      <c r="B8718" s="572">
        <v>6.6492800000000001</v>
      </c>
      <c r="C8718" s="572">
        <v>174.77699999999999</v>
      </c>
    </row>
    <row r="8719" spans="1:3">
      <c r="A8719" s="571" t="s">
        <v>2021</v>
      </c>
      <c r="B8719" s="572">
        <v>13.6897</v>
      </c>
      <c r="C8719" s="572">
        <v>289.286</v>
      </c>
    </row>
    <row r="8720" spans="1:3">
      <c r="A8720" s="571" t="s">
        <v>2021</v>
      </c>
      <c r="B8720" s="572">
        <v>20.7301</v>
      </c>
      <c r="C8720" s="572">
        <v>317.411</v>
      </c>
    </row>
    <row r="8721" spans="1:3">
      <c r="A8721" s="571" t="s">
        <v>2021</v>
      </c>
      <c r="B8721" s="572">
        <v>27.770499999999998</v>
      </c>
      <c r="C8721" s="572">
        <v>427.90199999999999</v>
      </c>
    </row>
    <row r="8722" spans="1:3">
      <c r="A8722" s="571" t="s">
        <v>2021</v>
      </c>
      <c r="B8722" s="572">
        <v>56.323300000000003</v>
      </c>
      <c r="C8722" s="572">
        <v>474.10700000000003</v>
      </c>
    </row>
    <row r="8723" spans="1:3">
      <c r="A8723" s="571" t="s">
        <v>2021</v>
      </c>
      <c r="B8723" s="572">
        <v>83.702699999999993</v>
      </c>
      <c r="C8723" s="572">
        <v>450</v>
      </c>
    </row>
    <row r="8724" spans="1:3">
      <c r="A8724" s="573" t="s">
        <v>2021</v>
      </c>
      <c r="B8724" s="574">
        <v>112.256</v>
      </c>
      <c r="C8724" s="574">
        <v>536.38400000000001</v>
      </c>
    </row>
    <row r="8725" spans="1:3">
      <c r="A8725" s="573" t="s">
        <v>2021</v>
      </c>
      <c r="B8725" s="574">
        <v>139.244</v>
      </c>
      <c r="C8725" s="574">
        <v>570.53599999999994</v>
      </c>
    </row>
    <row r="8726" spans="1:3">
      <c r="A8726" s="573" t="s">
        <v>2021</v>
      </c>
      <c r="B8726" s="574">
        <v>280.05200000000002</v>
      </c>
      <c r="C8726" s="574">
        <v>552.45500000000004</v>
      </c>
    </row>
    <row r="8727" spans="1:3">
      <c r="A8727" s="571" t="s">
        <v>2022</v>
      </c>
      <c r="B8727" s="572">
        <v>0.39113399999999998</v>
      </c>
      <c r="C8727" s="572">
        <v>2.2699999999999999E-13</v>
      </c>
    </row>
    <row r="8728" spans="1:3">
      <c r="A8728" s="571" t="s">
        <v>2022</v>
      </c>
      <c r="B8728" s="572">
        <v>1.1734</v>
      </c>
      <c r="C8728" s="572">
        <v>38.169600000000003</v>
      </c>
    </row>
    <row r="8729" spans="1:3">
      <c r="A8729" s="571" t="s">
        <v>2022</v>
      </c>
      <c r="B8729" s="572">
        <v>2.73794</v>
      </c>
      <c r="C8729" s="572">
        <v>50.223199999999999</v>
      </c>
    </row>
    <row r="8730" spans="1:3">
      <c r="A8730" s="571" t="s">
        <v>2022</v>
      </c>
      <c r="B8730" s="572">
        <v>5.8670099999999996</v>
      </c>
      <c r="C8730" s="572">
        <v>94.419600000000003</v>
      </c>
    </row>
    <row r="8731" spans="1:3">
      <c r="A8731" s="571" t="s">
        <v>2022</v>
      </c>
      <c r="B8731" s="572">
        <v>7.0404200000000001</v>
      </c>
      <c r="C8731" s="572">
        <v>124.554</v>
      </c>
    </row>
    <row r="8732" spans="1:3">
      <c r="A8732" s="571" t="s">
        <v>2022</v>
      </c>
      <c r="B8732" s="572">
        <v>14.0808</v>
      </c>
      <c r="C8732" s="572">
        <v>216.964</v>
      </c>
    </row>
    <row r="8733" spans="1:3">
      <c r="A8733" s="571" t="s">
        <v>2022</v>
      </c>
      <c r="B8733" s="572">
        <v>19.947800000000001</v>
      </c>
      <c r="C8733" s="572">
        <v>237.054</v>
      </c>
    </row>
    <row r="8734" spans="1:3">
      <c r="A8734" s="571" t="s">
        <v>2022</v>
      </c>
      <c r="B8734" s="572">
        <v>26.988299999999999</v>
      </c>
      <c r="C8734" s="572">
        <v>331.47300000000001</v>
      </c>
    </row>
    <row r="8735" spans="1:3">
      <c r="A8735" s="571" t="s">
        <v>2022</v>
      </c>
      <c r="B8735" s="572">
        <v>55.932200000000002</v>
      </c>
      <c r="C8735" s="572">
        <v>361.60700000000003</v>
      </c>
    </row>
    <row r="8736" spans="1:3">
      <c r="A8736" s="571" t="s">
        <v>2022</v>
      </c>
      <c r="B8736" s="572">
        <v>83.702699999999993</v>
      </c>
      <c r="C8736" s="572">
        <v>313.39299999999997</v>
      </c>
    </row>
    <row r="8737" spans="1:3">
      <c r="A8737" s="573" t="s">
        <v>2022</v>
      </c>
      <c r="B8737" s="574">
        <v>111.864</v>
      </c>
      <c r="C8737" s="574">
        <v>351.56299999999999</v>
      </c>
    </row>
    <row r="8738" spans="1:3">
      <c r="A8738" s="573" t="s">
        <v>2022</v>
      </c>
      <c r="B8738" s="574">
        <v>139.63499999999999</v>
      </c>
      <c r="C8738" s="574">
        <v>488.17</v>
      </c>
    </row>
    <row r="8739" spans="1:3">
      <c r="A8739" s="573" t="s">
        <v>2022</v>
      </c>
      <c r="B8739" s="574">
        <v>279.661</v>
      </c>
      <c r="C8739" s="574">
        <v>399.77699999999999</v>
      </c>
    </row>
    <row r="8740" spans="1:3">
      <c r="A8740" s="571" t="s">
        <v>2023</v>
      </c>
      <c r="B8740" s="572">
        <v>0.39113399999999998</v>
      </c>
      <c r="C8740" s="572">
        <v>2.2699999999999999E-13</v>
      </c>
    </row>
    <row r="8741" spans="1:3">
      <c r="A8741" s="571" t="s">
        <v>2023</v>
      </c>
      <c r="B8741" s="572">
        <v>1.95567</v>
      </c>
      <c r="C8741" s="572">
        <v>66.294600000000003</v>
      </c>
    </row>
    <row r="8742" spans="1:3">
      <c r="A8742" s="571" t="s">
        <v>2023</v>
      </c>
      <c r="B8742" s="572">
        <v>4.3024800000000001</v>
      </c>
      <c r="C8742" s="572">
        <v>124.554</v>
      </c>
    </row>
    <row r="8743" spans="1:3">
      <c r="A8743" s="571" t="s">
        <v>2023</v>
      </c>
      <c r="B8743" s="572">
        <v>7.0404200000000001</v>
      </c>
      <c r="C8743" s="572">
        <v>146.65199999999999</v>
      </c>
    </row>
    <row r="8744" spans="1:3">
      <c r="A8744" s="571" t="s">
        <v>2023</v>
      </c>
      <c r="B8744" s="572">
        <v>13.6897</v>
      </c>
      <c r="C8744" s="572">
        <v>243.08</v>
      </c>
    </row>
    <row r="8745" spans="1:3">
      <c r="A8745" s="571" t="s">
        <v>2023</v>
      </c>
      <c r="B8745" s="572">
        <v>20.7301</v>
      </c>
      <c r="C8745" s="572">
        <v>259.15199999999999</v>
      </c>
    </row>
    <row r="8746" spans="1:3">
      <c r="A8746" s="571" t="s">
        <v>2023</v>
      </c>
      <c r="B8746" s="572">
        <v>27.770499999999998</v>
      </c>
      <c r="C8746" s="572">
        <v>345.536</v>
      </c>
    </row>
    <row r="8747" spans="1:3">
      <c r="A8747" s="571" t="s">
        <v>2023</v>
      </c>
      <c r="B8747" s="572">
        <v>55.932200000000002</v>
      </c>
      <c r="C8747" s="572">
        <v>381.69600000000003</v>
      </c>
    </row>
    <row r="8748" spans="1:3">
      <c r="A8748" s="571" t="s">
        <v>2023</v>
      </c>
      <c r="B8748" s="572">
        <v>83.702699999999993</v>
      </c>
      <c r="C8748" s="572">
        <v>353.57100000000003</v>
      </c>
    </row>
    <row r="8749" spans="1:3">
      <c r="A8749" s="573" t="s">
        <v>2023</v>
      </c>
      <c r="B8749" s="574">
        <v>112.256</v>
      </c>
      <c r="C8749" s="574">
        <v>355.58</v>
      </c>
    </row>
    <row r="8750" spans="1:3">
      <c r="A8750" s="573" t="s">
        <v>2023</v>
      </c>
      <c r="B8750" s="574">
        <v>139.63499999999999</v>
      </c>
      <c r="C8750" s="574">
        <v>423.88400000000001</v>
      </c>
    </row>
    <row r="8751" spans="1:3">
      <c r="A8751" s="573" t="s">
        <v>2023</v>
      </c>
      <c r="B8751" s="574">
        <v>280.05200000000002</v>
      </c>
      <c r="C8751" s="574">
        <v>456.02699999999999</v>
      </c>
    </row>
    <row r="8752" spans="1:3">
      <c r="A8752" s="571" t="s">
        <v>2024</v>
      </c>
      <c r="B8752" s="572">
        <v>0.58055199999999996</v>
      </c>
      <c r="C8752" s="572">
        <v>1.1399999999999999E-13</v>
      </c>
    </row>
    <row r="8753" spans="1:3">
      <c r="A8753" s="571" t="s">
        <v>2024</v>
      </c>
      <c r="B8753" s="572">
        <v>1.7416499999999999</v>
      </c>
      <c r="C8753" s="572">
        <v>26.3291</v>
      </c>
    </row>
    <row r="8754" spans="1:3">
      <c r="A8754" s="571" t="s">
        <v>2024</v>
      </c>
      <c r="B8754" s="572">
        <v>6.3860700000000001</v>
      </c>
      <c r="C8754" s="572">
        <v>93.164599999999993</v>
      </c>
    </row>
    <row r="8755" spans="1:3">
      <c r="A8755" s="571" t="s">
        <v>2024</v>
      </c>
      <c r="B8755" s="572">
        <v>13.933199999999999</v>
      </c>
      <c r="C8755" s="572">
        <v>151.899</v>
      </c>
    </row>
    <row r="8756" spans="1:3">
      <c r="A8756" s="571" t="s">
        <v>2024</v>
      </c>
      <c r="B8756" s="572">
        <v>21.480399999999999</v>
      </c>
      <c r="C8756" s="572">
        <v>234.93700000000001</v>
      </c>
    </row>
    <row r="8757" spans="1:3">
      <c r="A8757" s="571" t="s">
        <v>2024</v>
      </c>
      <c r="B8757" s="572">
        <v>28.446999999999999</v>
      </c>
      <c r="C8757" s="572">
        <v>283.54399999999998</v>
      </c>
    </row>
    <row r="8758" spans="1:3">
      <c r="A8758" s="571" t="s">
        <v>2024</v>
      </c>
      <c r="B8758" s="572">
        <v>56.313499999999998</v>
      </c>
      <c r="C8758" s="572">
        <v>370.63299999999998</v>
      </c>
    </row>
    <row r="8759" spans="1:3">
      <c r="A8759" s="571" t="s">
        <v>2024</v>
      </c>
      <c r="B8759" s="572">
        <v>84.18</v>
      </c>
      <c r="C8759" s="572">
        <v>295.69600000000003</v>
      </c>
    </row>
    <row r="8760" spans="1:3">
      <c r="A8760" s="573" t="s">
        <v>2024</v>
      </c>
      <c r="B8760" s="574">
        <v>112.627</v>
      </c>
      <c r="C8760" s="574">
        <v>238.98699999999999</v>
      </c>
    </row>
    <row r="8761" spans="1:3">
      <c r="A8761" s="573" t="s">
        <v>2024</v>
      </c>
      <c r="B8761" s="574">
        <v>140.49299999999999</v>
      </c>
      <c r="C8761" s="574">
        <v>259.24099999999999</v>
      </c>
    </row>
    <row r="8762" spans="1:3">
      <c r="A8762" s="573" t="s">
        <v>2024</v>
      </c>
      <c r="B8762" s="574">
        <v>167.19900000000001</v>
      </c>
      <c r="C8762" s="574">
        <v>295.69600000000003</v>
      </c>
    </row>
    <row r="8763" spans="1:3">
      <c r="A8763" s="573" t="s">
        <v>2024</v>
      </c>
      <c r="B8763" s="574">
        <v>350.65300000000002</v>
      </c>
      <c r="C8763" s="574">
        <v>415.19</v>
      </c>
    </row>
    <row r="8764" spans="1:3">
      <c r="A8764" s="48" t="s">
        <v>2025</v>
      </c>
      <c r="B8764" s="549">
        <v>-7.1100000000000008E-15</v>
      </c>
      <c r="C8764" s="549">
        <v>1.1399999999999999E-13</v>
      </c>
    </row>
    <row r="8765" spans="1:3">
      <c r="A8765" s="571" t="s">
        <v>2025</v>
      </c>
      <c r="B8765" s="572">
        <v>1.7416499999999999</v>
      </c>
      <c r="C8765" s="572">
        <v>36.4557</v>
      </c>
    </row>
    <row r="8766" spans="1:3">
      <c r="A8766" s="571" t="s">
        <v>2025</v>
      </c>
      <c r="B8766" s="572">
        <v>3.4833099999999999</v>
      </c>
      <c r="C8766" s="572">
        <v>105.316</v>
      </c>
    </row>
    <row r="8767" spans="1:3">
      <c r="A8767" s="571" t="s">
        <v>2025</v>
      </c>
      <c r="B8767" s="572">
        <v>4.6444099999999997</v>
      </c>
      <c r="C8767" s="572">
        <v>115.443</v>
      </c>
    </row>
    <row r="8768" spans="1:3">
      <c r="A8768" s="571" t="s">
        <v>2025</v>
      </c>
      <c r="B8768" s="572">
        <v>5.2249600000000003</v>
      </c>
      <c r="C8768" s="572">
        <v>164.05099999999999</v>
      </c>
    </row>
    <row r="8769" spans="1:3">
      <c r="A8769" s="571" t="s">
        <v>2025</v>
      </c>
      <c r="B8769" s="572">
        <v>5.8055199999999996</v>
      </c>
      <c r="C8769" s="572">
        <v>127.595</v>
      </c>
    </row>
    <row r="8770" spans="1:3">
      <c r="A8770" s="571" t="s">
        <v>2025</v>
      </c>
      <c r="B8770" s="572">
        <v>6.3860700000000001</v>
      </c>
      <c r="C8770" s="572">
        <v>194.43</v>
      </c>
    </row>
    <row r="8771" spans="1:3">
      <c r="A8771" s="571" t="s">
        <v>2025</v>
      </c>
      <c r="B8771" s="572">
        <v>12.7721</v>
      </c>
      <c r="C8771" s="572">
        <v>287.59500000000003</v>
      </c>
    </row>
    <row r="8772" spans="1:3">
      <c r="A8772" s="571" t="s">
        <v>2025</v>
      </c>
      <c r="B8772" s="572">
        <v>20.899899999999999</v>
      </c>
      <c r="C8772" s="572">
        <v>354.43</v>
      </c>
    </row>
    <row r="8773" spans="1:3">
      <c r="A8773" s="571" t="s">
        <v>2025</v>
      </c>
      <c r="B8773" s="572">
        <v>27.866499999999998</v>
      </c>
      <c r="C8773" s="572">
        <v>370.63299999999998</v>
      </c>
    </row>
    <row r="8774" spans="1:3">
      <c r="A8774" s="571" t="s">
        <v>2025</v>
      </c>
      <c r="B8774" s="572">
        <v>55.732900000000001</v>
      </c>
      <c r="C8774" s="572">
        <v>463.79700000000003</v>
      </c>
    </row>
    <row r="8775" spans="1:3">
      <c r="A8775" s="571" t="s">
        <v>2025</v>
      </c>
      <c r="B8775" s="572">
        <v>84.18</v>
      </c>
      <c r="C8775" s="572">
        <v>398.98700000000002</v>
      </c>
    </row>
    <row r="8776" spans="1:3">
      <c r="A8776" s="573" t="s">
        <v>2025</v>
      </c>
      <c r="B8776" s="574">
        <v>112.04600000000001</v>
      </c>
      <c r="C8776" s="574">
        <v>338.22800000000001</v>
      </c>
    </row>
    <row r="8777" spans="1:3">
      <c r="A8777" s="573" t="s">
        <v>2025</v>
      </c>
      <c r="B8777" s="574">
        <v>140.49299999999999</v>
      </c>
      <c r="C8777" s="574">
        <v>360.50599999999997</v>
      </c>
    </row>
    <row r="8778" spans="1:3">
      <c r="A8778" s="573" t="s">
        <v>2025</v>
      </c>
      <c r="B8778" s="574">
        <v>167.19900000000001</v>
      </c>
      <c r="C8778" s="574">
        <v>390.88600000000002</v>
      </c>
    </row>
    <row r="8779" spans="1:3">
      <c r="A8779" s="573" t="s">
        <v>2025</v>
      </c>
      <c r="B8779" s="574">
        <v>350.65300000000002</v>
      </c>
      <c r="C8779" s="574">
        <v>524.55700000000002</v>
      </c>
    </row>
    <row r="8780" spans="1:3">
      <c r="A8780" s="571" t="s">
        <v>2026</v>
      </c>
      <c r="B8780" s="572">
        <v>0.58055199999999996</v>
      </c>
      <c r="C8780" s="572">
        <v>4.05063</v>
      </c>
    </row>
    <row r="8781" spans="1:3">
      <c r="A8781" s="571" t="s">
        <v>2026</v>
      </c>
      <c r="B8781" s="572">
        <v>1.1611</v>
      </c>
      <c r="C8781" s="572">
        <v>34.430399999999999</v>
      </c>
    </row>
    <row r="8782" spans="1:3">
      <c r="A8782" s="571" t="s">
        <v>2026</v>
      </c>
      <c r="B8782" s="572">
        <v>2.3222100000000001</v>
      </c>
      <c r="C8782" s="572">
        <v>81.012699999999995</v>
      </c>
    </row>
    <row r="8783" spans="1:3">
      <c r="A8783" s="571" t="s">
        <v>2026</v>
      </c>
      <c r="B8783" s="572">
        <v>2.9027599999999998</v>
      </c>
      <c r="C8783" s="572">
        <v>89.113900000000001</v>
      </c>
    </row>
    <row r="8784" spans="1:3">
      <c r="A8784" s="571" t="s">
        <v>2026</v>
      </c>
      <c r="B8784" s="572">
        <v>5.8055199999999996</v>
      </c>
      <c r="C8784" s="572">
        <v>151.899</v>
      </c>
    </row>
    <row r="8785" spans="1:3">
      <c r="A8785" s="571" t="s">
        <v>2026</v>
      </c>
      <c r="B8785" s="572">
        <v>6.9666199999999998</v>
      </c>
      <c r="C8785" s="572">
        <v>176.203</v>
      </c>
    </row>
    <row r="8786" spans="1:3">
      <c r="A8786" s="571" t="s">
        <v>2026</v>
      </c>
      <c r="B8786" s="572">
        <v>13.3527</v>
      </c>
      <c r="C8786" s="572">
        <v>267.34199999999998</v>
      </c>
    </row>
    <row r="8787" spans="1:3">
      <c r="A8787" s="571" t="s">
        <v>2026</v>
      </c>
      <c r="B8787" s="572">
        <v>21.480399999999999</v>
      </c>
      <c r="C8787" s="572">
        <v>332.15199999999999</v>
      </c>
    </row>
    <row r="8788" spans="1:3">
      <c r="A8788" s="571" t="s">
        <v>2026</v>
      </c>
      <c r="B8788" s="572">
        <v>27.866499999999998</v>
      </c>
      <c r="C8788" s="572">
        <v>352.40499999999997</v>
      </c>
    </row>
    <row r="8789" spans="1:3">
      <c r="A8789" s="571" t="s">
        <v>2026</v>
      </c>
      <c r="B8789" s="572">
        <v>55.732900000000001</v>
      </c>
      <c r="C8789" s="572">
        <v>445.57</v>
      </c>
    </row>
    <row r="8790" spans="1:3">
      <c r="A8790" s="571" t="s">
        <v>2026</v>
      </c>
      <c r="B8790" s="572">
        <v>84.18</v>
      </c>
      <c r="C8790" s="572">
        <v>372.65800000000002</v>
      </c>
    </row>
    <row r="8791" spans="1:3">
      <c r="A8791" s="573" t="s">
        <v>2026</v>
      </c>
      <c r="B8791" s="574">
        <v>112.04600000000001</v>
      </c>
      <c r="C8791" s="574">
        <v>317.97500000000002</v>
      </c>
    </row>
    <row r="8792" spans="1:3">
      <c r="A8792" s="573" t="s">
        <v>2026</v>
      </c>
      <c r="B8792" s="574">
        <v>140.49299999999999</v>
      </c>
      <c r="C8792" s="574">
        <v>338.22800000000001</v>
      </c>
    </row>
    <row r="8793" spans="1:3">
      <c r="A8793" s="573" t="s">
        <v>2026</v>
      </c>
      <c r="B8793" s="574">
        <v>167.19900000000001</v>
      </c>
      <c r="C8793" s="574">
        <v>372.65800000000002</v>
      </c>
    </row>
    <row r="8794" spans="1:3">
      <c r="A8794" s="573" t="s">
        <v>2026</v>
      </c>
      <c r="B8794" s="574">
        <v>350.65300000000002</v>
      </c>
      <c r="C8794" s="574">
        <v>500.25299999999999</v>
      </c>
    </row>
    <row r="8795" spans="1:3">
      <c r="A8795" s="48" t="s">
        <v>2027</v>
      </c>
      <c r="B8795" s="549">
        <v>-1.42E-14</v>
      </c>
      <c r="C8795" s="549">
        <v>2.2699999999999999E-13</v>
      </c>
    </row>
    <row r="8796" spans="1:3">
      <c r="A8796" s="571" t="s">
        <v>2027</v>
      </c>
      <c r="B8796" s="572">
        <v>3.4718</v>
      </c>
      <c r="C8796" s="572">
        <v>1.97278</v>
      </c>
    </row>
    <row r="8797" spans="1:3">
      <c r="A8797" s="571" t="s">
        <v>2027</v>
      </c>
      <c r="B8797" s="572">
        <v>4.0665100000000001</v>
      </c>
      <c r="C8797" s="572">
        <v>19.9207</v>
      </c>
    </row>
    <row r="8798" spans="1:3">
      <c r="A8798" s="571" t="s">
        <v>2027</v>
      </c>
      <c r="B8798" s="572">
        <v>4.07803</v>
      </c>
      <c r="C8798" s="572">
        <v>35.841200000000001</v>
      </c>
    </row>
    <row r="8799" spans="1:3">
      <c r="A8799" s="571" t="s">
        <v>2027</v>
      </c>
      <c r="B8799" s="572">
        <v>5.2415399999999996</v>
      </c>
      <c r="C8799" s="572">
        <v>43.807200000000002</v>
      </c>
    </row>
    <row r="8800" spans="1:3">
      <c r="A8800" s="571" t="s">
        <v>2027</v>
      </c>
      <c r="B8800" s="572">
        <v>5.8290499999999996</v>
      </c>
      <c r="C8800" s="572">
        <v>55.750399999999999</v>
      </c>
    </row>
    <row r="8801" spans="1:3">
      <c r="A8801" s="571" t="s">
        <v>2027</v>
      </c>
      <c r="B8801" s="572">
        <v>13.9765</v>
      </c>
      <c r="C8801" s="572">
        <v>115.492</v>
      </c>
    </row>
    <row r="8802" spans="1:3">
      <c r="A8802" s="571" t="s">
        <v>2027</v>
      </c>
      <c r="B8802" s="572">
        <v>19.795500000000001</v>
      </c>
      <c r="C8802" s="572">
        <v>157.31200000000001</v>
      </c>
    </row>
    <row r="8803" spans="1:3">
      <c r="A8803" s="571" t="s">
        <v>2027</v>
      </c>
      <c r="B8803" s="572">
        <v>26.7621</v>
      </c>
      <c r="C8803" s="572">
        <v>185.208</v>
      </c>
    </row>
    <row r="8804" spans="1:3">
      <c r="A8804" s="571" t="s">
        <v>2027</v>
      </c>
      <c r="B8804" s="572">
        <v>56.327800000000003</v>
      </c>
      <c r="C8804" s="572">
        <v>245.05600000000001</v>
      </c>
    </row>
    <row r="8805" spans="1:3">
      <c r="A8805" s="571" t="s">
        <v>2027</v>
      </c>
      <c r="B8805" s="572">
        <v>84.738699999999994</v>
      </c>
      <c r="C8805" s="572">
        <v>308.87900000000002</v>
      </c>
    </row>
    <row r="8806" spans="1:3">
      <c r="A8806" s="573" t="s">
        <v>2027</v>
      </c>
      <c r="B8806" s="574">
        <v>113.114</v>
      </c>
      <c r="C8806" s="574">
        <v>322.95100000000002</v>
      </c>
    </row>
    <row r="8807" spans="1:3">
      <c r="A8807" s="573" t="s">
        <v>2027</v>
      </c>
      <c r="B8807" s="574">
        <v>140.90700000000001</v>
      </c>
      <c r="C8807" s="574">
        <v>333.03899999999999</v>
      </c>
    </row>
    <row r="8808" spans="1:3">
      <c r="A8808" s="573" t="s">
        <v>2027</v>
      </c>
      <c r="B8808" s="574">
        <v>168.036</v>
      </c>
      <c r="C8808" s="574">
        <v>225.71199999999999</v>
      </c>
    </row>
    <row r="8809" spans="1:3">
      <c r="A8809" s="573" t="s">
        <v>2027</v>
      </c>
      <c r="B8809" s="574">
        <v>383.43</v>
      </c>
      <c r="C8809" s="574">
        <v>300.41500000000002</v>
      </c>
    </row>
    <row r="8810" spans="1:3">
      <c r="A8810" s="571" t="s">
        <v>2028</v>
      </c>
      <c r="B8810" s="572">
        <v>1.7337400000000001</v>
      </c>
      <c r="C8810" s="572">
        <v>3.9714700000000001</v>
      </c>
    </row>
    <row r="8811" spans="1:3">
      <c r="A8811" s="571" t="s">
        <v>2028</v>
      </c>
      <c r="B8811" s="572">
        <v>3.4818799999999999</v>
      </c>
      <c r="C8811" s="572">
        <v>11.957599999999999</v>
      </c>
    </row>
    <row r="8812" spans="1:3">
      <c r="A8812" s="571" t="s">
        <v>2028</v>
      </c>
      <c r="B8812" s="572">
        <v>5.2328999999999999</v>
      </c>
      <c r="C8812" s="572">
        <v>31.866800000000001</v>
      </c>
    </row>
    <row r="8813" spans="1:3">
      <c r="A8813" s="571" t="s">
        <v>2028</v>
      </c>
      <c r="B8813" s="572">
        <v>6.4007300000000003</v>
      </c>
      <c r="C8813" s="572">
        <v>45.802999999999997</v>
      </c>
    </row>
    <row r="8814" spans="1:3">
      <c r="A8814" s="571" t="s">
        <v>2028</v>
      </c>
      <c r="B8814" s="572">
        <v>13.960599999999999</v>
      </c>
      <c r="C8814" s="572">
        <v>93.601799999999997</v>
      </c>
    </row>
    <row r="8815" spans="1:3">
      <c r="A8815" s="571" t="s">
        <v>2028</v>
      </c>
      <c r="B8815" s="572">
        <v>20.938800000000001</v>
      </c>
      <c r="C8815" s="572">
        <v>137.41800000000001</v>
      </c>
    </row>
    <row r="8816" spans="1:3">
      <c r="A8816" s="571" t="s">
        <v>2028</v>
      </c>
      <c r="B8816" s="572">
        <v>27.9026</v>
      </c>
      <c r="C8816" s="572">
        <v>161.333</v>
      </c>
    </row>
    <row r="8817" spans="1:3">
      <c r="A8817" s="571" t="s">
        <v>2028</v>
      </c>
      <c r="B8817" s="572">
        <v>55.7288</v>
      </c>
      <c r="C8817" s="572">
        <v>217.19300000000001</v>
      </c>
    </row>
    <row r="8818" spans="1:3">
      <c r="A8818" s="571" t="s">
        <v>2028</v>
      </c>
      <c r="B8818" s="572">
        <v>83.572299999999998</v>
      </c>
      <c r="C8818" s="572">
        <v>296.93299999999999</v>
      </c>
    </row>
    <row r="8819" spans="1:3">
      <c r="A8819" s="573" t="s">
        <v>2028</v>
      </c>
      <c r="B8819" s="574">
        <v>112.526</v>
      </c>
      <c r="C8819" s="574">
        <v>311.00799999999998</v>
      </c>
    </row>
    <row r="8820" spans="1:3">
      <c r="A8820" s="573" t="s">
        <v>2028</v>
      </c>
      <c r="B8820" s="574">
        <v>140.31899999999999</v>
      </c>
      <c r="C8820" s="574">
        <v>321.096</v>
      </c>
    </row>
    <row r="8821" spans="1:3">
      <c r="A8821" s="573" t="s">
        <v>2028</v>
      </c>
      <c r="B8821" s="574">
        <v>167.44800000000001</v>
      </c>
      <c r="C8821" s="574">
        <v>213.768</v>
      </c>
    </row>
    <row r="8822" spans="1:3">
      <c r="A8822" s="573" t="s">
        <v>2028</v>
      </c>
      <c r="B8822" s="574">
        <v>383.41399999999999</v>
      </c>
      <c r="C8822" s="574">
        <v>278.524</v>
      </c>
    </row>
    <row r="8823" spans="1:3">
      <c r="A8823" s="48" t="s">
        <v>2029</v>
      </c>
      <c r="B8823" s="549">
        <v>-1.42E-14</v>
      </c>
      <c r="C8823" s="549">
        <v>2.2699999999999999E-13</v>
      </c>
    </row>
    <row r="8824" spans="1:3">
      <c r="A8824" s="571" t="s">
        <v>2029</v>
      </c>
      <c r="B8824" s="572">
        <v>3.4732400000000001</v>
      </c>
      <c r="C8824" s="572">
        <v>1.7279800000000001E-2</v>
      </c>
    </row>
    <row r="8825" spans="1:3">
      <c r="A8825" s="571" t="s">
        <v>2029</v>
      </c>
      <c r="B8825" s="572">
        <v>3.4876399999999999</v>
      </c>
      <c r="C8825" s="572">
        <v>19.9178</v>
      </c>
    </row>
    <row r="8826" spans="1:3">
      <c r="A8826" s="571" t="s">
        <v>2029</v>
      </c>
      <c r="B8826" s="572">
        <v>4.0765900000000004</v>
      </c>
      <c r="C8826" s="572">
        <v>33.851100000000002</v>
      </c>
    </row>
    <row r="8827" spans="1:3">
      <c r="A8827" s="571" t="s">
        <v>2029</v>
      </c>
      <c r="B8827" s="572">
        <v>4.66411</v>
      </c>
      <c r="C8827" s="572">
        <v>45.7943</v>
      </c>
    </row>
    <row r="8828" spans="1:3">
      <c r="A8828" s="571" t="s">
        <v>2029</v>
      </c>
      <c r="B8828" s="572">
        <v>5.8290499999999996</v>
      </c>
      <c r="C8828" s="572">
        <v>55.750399999999999</v>
      </c>
    </row>
    <row r="8829" spans="1:3">
      <c r="A8829" s="571" t="s">
        <v>2029</v>
      </c>
      <c r="B8829" s="572">
        <v>13.975</v>
      </c>
      <c r="C8829" s="572">
        <v>113.502</v>
      </c>
    </row>
    <row r="8830" spans="1:3">
      <c r="A8830" s="571" t="s">
        <v>2029</v>
      </c>
      <c r="B8830" s="572">
        <v>20.953199999999999</v>
      </c>
      <c r="C8830" s="572">
        <v>157.31800000000001</v>
      </c>
    </row>
    <row r="8831" spans="1:3">
      <c r="A8831" s="571" t="s">
        <v>2029</v>
      </c>
      <c r="B8831" s="572">
        <v>27.918399999999998</v>
      </c>
      <c r="C8831" s="572">
        <v>183.22300000000001</v>
      </c>
    </row>
    <row r="8832" spans="1:3">
      <c r="A8832" s="571" t="s">
        <v>2029</v>
      </c>
      <c r="B8832" s="572">
        <v>56.322099999999999</v>
      </c>
      <c r="C8832" s="572">
        <v>237.096</v>
      </c>
    </row>
    <row r="8833" spans="1:3">
      <c r="A8833" s="571" t="s">
        <v>2029</v>
      </c>
      <c r="B8833" s="572">
        <v>84.162700000000001</v>
      </c>
      <c r="C8833" s="572">
        <v>312.85700000000003</v>
      </c>
    </row>
    <row r="8834" spans="1:3">
      <c r="A8834" s="573" t="s">
        <v>2029</v>
      </c>
      <c r="B8834" s="574">
        <v>112.538</v>
      </c>
      <c r="C8834" s="574">
        <v>326.928</v>
      </c>
    </row>
    <row r="8835" spans="1:3">
      <c r="A8835" s="573" t="s">
        <v>2029</v>
      </c>
      <c r="B8835" s="574">
        <v>139.75</v>
      </c>
      <c r="C8835" s="574">
        <v>335.024</v>
      </c>
    </row>
    <row r="8836" spans="1:3">
      <c r="A8836" s="573" t="s">
        <v>2029</v>
      </c>
      <c r="B8836" s="574">
        <v>166.87799999999999</v>
      </c>
      <c r="C8836" s="574">
        <v>225.70599999999999</v>
      </c>
    </row>
    <row r="8837" spans="1:3">
      <c r="A8837" s="573" t="s">
        <v>2029</v>
      </c>
      <c r="B8837" s="574">
        <v>384.01</v>
      </c>
      <c r="C8837" s="574">
        <v>302.40800000000002</v>
      </c>
    </row>
    <row r="8838" spans="1:3">
      <c r="A8838" s="48" t="s">
        <v>2030</v>
      </c>
      <c r="B8838" s="549">
        <v>-7.1100000000000008E-15</v>
      </c>
      <c r="C8838" s="549">
        <v>0</v>
      </c>
    </row>
    <row r="8839" spans="1:3">
      <c r="A8839" s="571" t="s">
        <v>2030</v>
      </c>
      <c r="B8839" s="572">
        <v>1.2058500000000001</v>
      </c>
      <c r="C8839" s="572">
        <v>23.5931</v>
      </c>
    </row>
    <row r="8840" spans="1:3">
      <c r="A8840" s="571" t="s">
        <v>2030</v>
      </c>
      <c r="B8840" s="572">
        <v>3.6463199999999998</v>
      </c>
      <c r="C8840" s="572">
        <v>90.435599999999994</v>
      </c>
    </row>
    <row r="8841" spans="1:3">
      <c r="A8841" s="571" t="s">
        <v>2030</v>
      </c>
      <c r="B8841" s="572">
        <v>5.4493299999999998</v>
      </c>
      <c r="C8841" s="572">
        <v>121.89400000000001</v>
      </c>
    </row>
    <row r="8842" spans="1:3">
      <c r="A8842" s="571" t="s">
        <v>2030</v>
      </c>
      <c r="B8842" s="572">
        <v>22.089400000000001</v>
      </c>
      <c r="C8842" s="572">
        <v>287.08600000000001</v>
      </c>
    </row>
    <row r="8843" spans="1:3">
      <c r="A8843" s="571" t="s">
        <v>2030</v>
      </c>
      <c r="B8843" s="572">
        <v>29.2209</v>
      </c>
      <c r="C8843" s="572">
        <v>357.88299999999998</v>
      </c>
    </row>
    <row r="8844" spans="1:3">
      <c r="A8844" s="571" t="s">
        <v>2030</v>
      </c>
      <c r="B8844" s="572">
        <v>56.899299999999997</v>
      </c>
      <c r="C8844" s="572">
        <v>462.19600000000003</v>
      </c>
    </row>
    <row r="8845" spans="1:3">
      <c r="A8845" s="571" t="s">
        <v>2030</v>
      </c>
      <c r="B8845" s="572">
        <v>83.825000000000003</v>
      </c>
      <c r="C8845" s="572">
        <v>452.5</v>
      </c>
    </row>
    <row r="8846" spans="1:3">
      <c r="A8846" s="573" t="s">
        <v>2030</v>
      </c>
      <c r="B8846" s="574">
        <v>111.96</v>
      </c>
      <c r="C8846" s="574">
        <v>468.363</v>
      </c>
    </row>
    <row r="8847" spans="1:3">
      <c r="A8847" s="573" t="s">
        <v>2030</v>
      </c>
      <c r="B8847" s="574">
        <v>140.755</v>
      </c>
      <c r="C8847" s="574">
        <v>535.33500000000004</v>
      </c>
    </row>
    <row r="8848" spans="1:3">
      <c r="A8848" s="573" t="s">
        <v>2030</v>
      </c>
      <c r="B8848" s="574">
        <v>169.48</v>
      </c>
      <c r="C8848" s="574">
        <v>555.13300000000004</v>
      </c>
    </row>
    <row r="8849" spans="1:3">
      <c r="A8849" s="573" t="s">
        <v>2030</v>
      </c>
      <c r="B8849" s="574">
        <v>371.07600000000002</v>
      </c>
      <c r="C8849" s="574">
        <v>644.57500000000005</v>
      </c>
    </row>
    <row r="8850" spans="1:3">
      <c r="A8850" s="571" t="s">
        <v>2031</v>
      </c>
      <c r="B8850" s="572">
        <v>0.58565199999999995</v>
      </c>
      <c r="C8850" s="572">
        <v>1.9559899999999999</v>
      </c>
    </row>
    <row r="8851" spans="1:3">
      <c r="A8851" s="571" t="s">
        <v>2031</v>
      </c>
      <c r="B8851" s="572">
        <v>1.75695</v>
      </c>
      <c r="C8851" s="572">
        <v>46.943800000000003</v>
      </c>
    </row>
    <row r="8852" spans="1:3">
      <c r="A8852" s="571" t="s">
        <v>2031</v>
      </c>
      <c r="B8852" s="572">
        <v>3.5139100000000001</v>
      </c>
      <c r="C8852" s="572">
        <v>89.9756</v>
      </c>
    </row>
    <row r="8853" spans="1:3">
      <c r="A8853" s="571" t="s">
        <v>2031</v>
      </c>
      <c r="B8853" s="572">
        <v>4.0995600000000003</v>
      </c>
      <c r="C8853" s="572">
        <v>99.755499999999998</v>
      </c>
    </row>
    <row r="8854" spans="1:3">
      <c r="A8854" s="571" t="s">
        <v>2031</v>
      </c>
      <c r="B8854" s="572">
        <v>4.6852099999999997</v>
      </c>
      <c r="C8854" s="572">
        <v>107.57899999999999</v>
      </c>
    </row>
    <row r="8855" spans="1:3">
      <c r="A8855" s="571" t="s">
        <v>2031</v>
      </c>
      <c r="B8855" s="572">
        <v>5.2708599999999999</v>
      </c>
      <c r="C8855" s="572">
        <v>144.74299999999999</v>
      </c>
    </row>
    <row r="8856" spans="1:3">
      <c r="A8856" s="571" t="s">
        <v>2031</v>
      </c>
      <c r="B8856" s="572">
        <v>6.44217</v>
      </c>
      <c r="C8856" s="572">
        <v>166.25899999999999</v>
      </c>
    </row>
    <row r="8857" spans="1:3">
      <c r="A8857" s="571" t="s">
        <v>2031</v>
      </c>
      <c r="B8857" s="572">
        <v>13.47</v>
      </c>
      <c r="C8857" s="572">
        <v>266.01499999999999</v>
      </c>
    </row>
    <row r="8858" spans="1:3">
      <c r="A8858" s="571" t="s">
        <v>2031</v>
      </c>
      <c r="B8858" s="572">
        <v>21.083500000000001</v>
      </c>
      <c r="C8858" s="572">
        <v>393.154</v>
      </c>
    </row>
    <row r="8859" spans="1:3">
      <c r="A8859" s="571" t="s">
        <v>2031</v>
      </c>
      <c r="B8859" s="572">
        <v>28.1113</v>
      </c>
      <c r="C8859" s="572">
        <v>338.38600000000002</v>
      </c>
    </row>
    <row r="8860" spans="1:3">
      <c r="A8860" s="571" t="s">
        <v>2031</v>
      </c>
      <c r="B8860" s="572">
        <v>56.222499999999997</v>
      </c>
      <c r="C8860" s="572">
        <v>373.59399999999999</v>
      </c>
    </row>
    <row r="8861" spans="1:3">
      <c r="A8861" s="571" t="s">
        <v>2031</v>
      </c>
      <c r="B8861" s="572">
        <v>82.576899999999995</v>
      </c>
      <c r="C8861" s="572">
        <v>447.92200000000003</v>
      </c>
    </row>
    <row r="8862" spans="1:3">
      <c r="A8862" s="573" t="s">
        <v>2031</v>
      </c>
      <c r="B8862" s="574">
        <v>111.85899999999999</v>
      </c>
      <c r="C8862" s="574">
        <v>453.79</v>
      </c>
    </row>
    <row r="8863" spans="1:3">
      <c r="A8863" s="573" t="s">
        <v>2031</v>
      </c>
      <c r="B8863" s="574">
        <v>139.971</v>
      </c>
      <c r="C8863" s="574">
        <v>424.45</v>
      </c>
    </row>
    <row r="8864" spans="1:3">
      <c r="A8864" s="573" t="s">
        <v>2031</v>
      </c>
      <c r="B8864" s="574">
        <v>168.08199999999999</v>
      </c>
      <c r="C8864" s="574">
        <v>422.49400000000003</v>
      </c>
    </row>
    <row r="8865" spans="1:3">
      <c r="A8865" s="573" t="s">
        <v>2031</v>
      </c>
      <c r="B8865" s="574">
        <v>368.96</v>
      </c>
      <c r="C8865" s="574">
        <v>629.82899999999995</v>
      </c>
    </row>
    <row r="8866" spans="1:3">
      <c r="A8866" s="571" t="s">
        <v>2032</v>
      </c>
      <c r="B8866" s="572">
        <v>0.58565199999999995</v>
      </c>
      <c r="C8866" s="572">
        <v>2.2699999999999999E-13</v>
      </c>
    </row>
    <row r="8867" spans="1:3">
      <c r="A8867" s="571" t="s">
        <v>2032</v>
      </c>
      <c r="B8867" s="572">
        <v>1.75695</v>
      </c>
      <c r="C8867" s="572">
        <v>56.723700000000001</v>
      </c>
    </row>
    <row r="8868" spans="1:3">
      <c r="A8868" s="571" t="s">
        <v>2032</v>
      </c>
      <c r="B8868" s="572">
        <v>2.9282599999999999</v>
      </c>
      <c r="C8868" s="572">
        <v>86.063599999999994</v>
      </c>
    </row>
    <row r="8869" spans="1:3">
      <c r="A8869" s="571" t="s">
        <v>2032</v>
      </c>
      <c r="B8869" s="572">
        <v>5.2708599999999999</v>
      </c>
      <c r="C8869" s="572">
        <v>121.271</v>
      </c>
    </row>
    <row r="8870" spans="1:3">
      <c r="A8870" s="571" t="s">
        <v>2032</v>
      </c>
      <c r="B8870" s="572">
        <v>7.0278200000000002</v>
      </c>
      <c r="C8870" s="572">
        <v>166.25899999999999</v>
      </c>
    </row>
    <row r="8871" spans="1:3">
      <c r="A8871" s="571" t="s">
        <v>2032</v>
      </c>
      <c r="B8871" s="572">
        <v>13.47</v>
      </c>
      <c r="C8871" s="572">
        <v>252.32300000000001</v>
      </c>
    </row>
    <row r="8872" spans="1:3">
      <c r="A8872" s="571" t="s">
        <v>2032</v>
      </c>
      <c r="B8872" s="572">
        <v>21.083500000000001</v>
      </c>
      <c r="C8872" s="572">
        <v>309.04599999999999</v>
      </c>
    </row>
    <row r="8873" spans="1:3">
      <c r="A8873" s="571" t="s">
        <v>2032</v>
      </c>
      <c r="B8873" s="572">
        <v>27.525600000000001</v>
      </c>
      <c r="C8873" s="572">
        <v>352.07799999999997</v>
      </c>
    </row>
    <row r="8874" spans="1:3">
      <c r="A8874" s="571" t="s">
        <v>2032</v>
      </c>
      <c r="B8874" s="572">
        <v>55.636899999999997</v>
      </c>
      <c r="C8874" s="572">
        <v>465.52600000000001</v>
      </c>
    </row>
    <row r="8875" spans="1:3">
      <c r="A8875" s="571" t="s">
        <v>2032</v>
      </c>
      <c r="B8875" s="572">
        <v>83.162499999999994</v>
      </c>
      <c r="C8875" s="572">
        <v>440.09800000000001</v>
      </c>
    </row>
    <row r="8876" spans="1:3">
      <c r="A8876" s="573" t="s">
        <v>2032</v>
      </c>
      <c r="B8876" s="574">
        <v>111.274</v>
      </c>
      <c r="C8876" s="574">
        <v>442.05399999999997</v>
      </c>
    </row>
    <row r="8877" spans="1:3">
      <c r="A8877" s="573" t="s">
        <v>2032</v>
      </c>
      <c r="B8877" s="574">
        <v>139.38499999999999</v>
      </c>
      <c r="C8877" s="574">
        <v>502.68900000000002</v>
      </c>
    </row>
    <row r="8878" spans="1:3">
      <c r="A8878" s="573" t="s">
        <v>2032</v>
      </c>
      <c r="B8878" s="574">
        <v>167.49600000000001</v>
      </c>
      <c r="C8878" s="574">
        <v>494.86599999999999</v>
      </c>
    </row>
    <row r="8879" spans="1:3">
      <c r="A8879" s="573" t="s">
        <v>2032</v>
      </c>
      <c r="B8879" s="574">
        <v>369.54599999999999</v>
      </c>
      <c r="C8879" s="574">
        <v>702.2</v>
      </c>
    </row>
    <row r="8880" spans="1:3">
      <c r="A8880" s="571" t="s">
        <v>2033</v>
      </c>
      <c r="B8880" s="572">
        <v>1.12967</v>
      </c>
      <c r="C8880" s="572">
        <v>100.01900000000001</v>
      </c>
    </row>
    <row r="8881" spans="1:3">
      <c r="A8881" s="571" t="s">
        <v>2033</v>
      </c>
      <c r="B8881" s="572">
        <v>1.61992</v>
      </c>
      <c r="C8881" s="572">
        <v>116.977</v>
      </c>
    </row>
    <row r="8882" spans="1:3">
      <c r="A8882" s="571" t="s">
        <v>2033</v>
      </c>
      <c r="B8882" s="572">
        <v>2.92869</v>
      </c>
      <c r="C8882" s="572">
        <v>155.982</v>
      </c>
    </row>
    <row r="8883" spans="1:3">
      <c r="A8883" s="571" t="s">
        <v>2033</v>
      </c>
      <c r="B8883" s="572">
        <v>5.7209599999999998</v>
      </c>
      <c r="C8883" s="572">
        <v>191.62200000000001</v>
      </c>
    </row>
    <row r="8884" spans="1:3">
      <c r="A8884" s="571" t="s">
        <v>2033</v>
      </c>
      <c r="B8884" s="572">
        <v>8.6771799999999999</v>
      </c>
      <c r="C8884" s="572">
        <v>230.65600000000001</v>
      </c>
    </row>
    <row r="8885" spans="1:3">
      <c r="A8885" s="571" t="s">
        <v>2033</v>
      </c>
      <c r="B8885" s="572">
        <v>12.1256</v>
      </c>
      <c r="C8885" s="572">
        <v>278.17200000000003</v>
      </c>
    </row>
    <row r="8886" spans="1:3">
      <c r="A8886" s="571" t="s">
        <v>2033</v>
      </c>
      <c r="B8886" s="572">
        <v>15.0815</v>
      </c>
      <c r="C8886" s="572">
        <v>318.89999999999998</v>
      </c>
    </row>
    <row r="8887" spans="1:3">
      <c r="A8887" s="571" t="s">
        <v>2033</v>
      </c>
      <c r="B8887" s="572">
        <v>17.877300000000002</v>
      </c>
      <c r="C8887" s="572">
        <v>339.286</v>
      </c>
    </row>
    <row r="8888" spans="1:3">
      <c r="A8888" s="571" t="s">
        <v>2033</v>
      </c>
      <c r="B8888" s="572">
        <v>20.6828</v>
      </c>
      <c r="C8888" s="572">
        <v>318.995</v>
      </c>
    </row>
    <row r="8889" spans="1:3">
      <c r="A8889" s="571" t="s">
        <v>2033</v>
      </c>
      <c r="B8889" s="572">
        <v>27.776700000000002</v>
      </c>
      <c r="C8889" s="572">
        <v>276.74200000000002</v>
      </c>
    </row>
    <row r="8890" spans="1:3">
      <c r="A8890" s="571" t="s">
        <v>2033</v>
      </c>
      <c r="B8890" s="572">
        <v>34.856699999999996</v>
      </c>
      <c r="C8890" s="572">
        <v>293.81099999999998</v>
      </c>
    </row>
    <row r="8891" spans="1:3">
      <c r="A8891" s="571" t="s">
        <v>2033</v>
      </c>
      <c r="B8891" s="572">
        <v>41.938699999999997</v>
      </c>
      <c r="C8891" s="572">
        <v>302.40600000000001</v>
      </c>
    </row>
    <row r="8892" spans="1:3">
      <c r="A8892" s="571" t="s">
        <v>2033</v>
      </c>
      <c r="B8892" s="572">
        <v>48.69</v>
      </c>
      <c r="C8892" s="572">
        <v>316.07900000000001</v>
      </c>
    </row>
    <row r="8893" spans="1:3">
      <c r="A8893" s="571" t="s">
        <v>2033</v>
      </c>
      <c r="B8893" s="572">
        <v>55.773200000000003</v>
      </c>
      <c r="C8893" s="572">
        <v>319.589</v>
      </c>
    </row>
    <row r="8894" spans="1:3">
      <c r="A8894" s="571" t="s">
        <v>2033</v>
      </c>
      <c r="B8894" s="572">
        <v>63.019599999999997</v>
      </c>
      <c r="C8894" s="572">
        <v>329.88200000000001</v>
      </c>
    </row>
    <row r="8895" spans="1:3">
      <c r="A8895" s="571" t="s">
        <v>2033</v>
      </c>
      <c r="B8895" s="572">
        <v>69.444999999999993</v>
      </c>
      <c r="C8895" s="572">
        <v>328.29599999999999</v>
      </c>
    </row>
    <row r="8896" spans="1:3">
      <c r="A8896" s="571" t="s">
        <v>2033</v>
      </c>
      <c r="B8896" s="572">
        <v>76.528599999999997</v>
      </c>
      <c r="C8896" s="572">
        <v>330.11099999999999</v>
      </c>
    </row>
    <row r="8897" spans="1:3">
      <c r="A8897" s="571" t="s">
        <v>2033</v>
      </c>
      <c r="B8897" s="572">
        <v>83.776899999999998</v>
      </c>
      <c r="C8897" s="572">
        <v>331.928</v>
      </c>
    </row>
    <row r="8898" spans="1:3">
      <c r="A8898" s="571" t="s">
        <v>2033</v>
      </c>
      <c r="B8898" s="572">
        <v>91.026799999999994</v>
      </c>
      <c r="C8898" s="572">
        <v>326.96699999999998</v>
      </c>
    </row>
    <row r="8899" spans="1:3">
      <c r="A8899" s="571" t="s">
        <v>2034</v>
      </c>
      <c r="B8899" s="572">
        <v>0.75231800000000004</v>
      </c>
      <c r="C8899" s="572">
        <v>303.40300000000002</v>
      </c>
    </row>
    <row r="8900" spans="1:3">
      <c r="A8900" s="571" t="s">
        <v>2034</v>
      </c>
      <c r="B8900" s="572">
        <v>1.5692600000000001</v>
      </c>
      <c r="C8900" s="572">
        <v>332.23</v>
      </c>
    </row>
    <row r="8901" spans="1:3">
      <c r="A8901" s="571" t="s">
        <v>2034</v>
      </c>
      <c r="B8901" s="572">
        <v>2.5485500000000001</v>
      </c>
      <c r="C8901" s="572">
        <v>371.23</v>
      </c>
    </row>
    <row r="8902" spans="1:3">
      <c r="A8902" s="571" t="s">
        <v>2034</v>
      </c>
      <c r="B8902" s="572">
        <v>5.8326599999999997</v>
      </c>
      <c r="C8902" s="572">
        <v>417.048</v>
      </c>
    </row>
    <row r="8903" spans="1:3">
      <c r="A8903" s="571" t="s">
        <v>2034</v>
      </c>
      <c r="B8903" s="572">
        <v>8.4565900000000003</v>
      </c>
      <c r="C8903" s="572">
        <v>467.94</v>
      </c>
    </row>
    <row r="8904" spans="1:3">
      <c r="A8904" s="571" t="s">
        <v>2034</v>
      </c>
      <c r="B8904" s="572">
        <v>11.7431</v>
      </c>
      <c r="C8904" s="572">
        <v>503.589</v>
      </c>
    </row>
    <row r="8905" spans="1:3">
      <c r="A8905" s="571" t="s">
        <v>2034</v>
      </c>
      <c r="B8905" s="572">
        <v>14.8668</v>
      </c>
      <c r="C8905" s="572">
        <v>530.76</v>
      </c>
    </row>
    <row r="8906" spans="1:3">
      <c r="A8906" s="571" t="s">
        <v>2034</v>
      </c>
      <c r="B8906" s="572">
        <v>17.8215</v>
      </c>
      <c r="C8906" s="572">
        <v>576.57299999999998</v>
      </c>
    </row>
    <row r="8907" spans="1:3">
      <c r="A8907" s="571" t="s">
        <v>2034</v>
      </c>
      <c r="B8907" s="572">
        <v>20.790900000000001</v>
      </c>
      <c r="C8907" s="572">
        <v>559.67399999999998</v>
      </c>
    </row>
    <row r="8908" spans="1:3">
      <c r="A8908" s="571" t="s">
        <v>2034</v>
      </c>
      <c r="B8908" s="572">
        <v>27.7225</v>
      </c>
      <c r="C8908" s="572">
        <v>507.25</v>
      </c>
    </row>
    <row r="8909" spans="1:3">
      <c r="A8909" s="571" t="s">
        <v>2034</v>
      </c>
      <c r="B8909" s="572">
        <v>34.636099999999999</v>
      </c>
      <c r="C8909" s="572">
        <v>531.096</v>
      </c>
    </row>
    <row r="8910" spans="1:3">
      <c r="A8910" s="571" t="s">
        <v>2034</v>
      </c>
      <c r="B8910" s="572">
        <v>41.552999999999997</v>
      </c>
      <c r="C8910" s="572">
        <v>541.38199999999995</v>
      </c>
    </row>
    <row r="8911" spans="1:3">
      <c r="A8911" s="571" t="s">
        <v>2034</v>
      </c>
      <c r="B8911" s="572">
        <v>48.634599999999999</v>
      </c>
      <c r="C8911" s="572">
        <v>551.67200000000003</v>
      </c>
    </row>
    <row r="8912" spans="1:3">
      <c r="A8912" s="571" t="s">
        <v>2034</v>
      </c>
      <c r="B8912" s="572">
        <v>55.552599999999998</v>
      </c>
      <c r="C8912" s="572">
        <v>556.87400000000002</v>
      </c>
    </row>
    <row r="8913" spans="1:3">
      <c r="A8913" s="571" t="s">
        <v>2034</v>
      </c>
      <c r="B8913" s="572">
        <v>62.633400000000002</v>
      </c>
      <c r="C8913" s="572">
        <v>570.553</v>
      </c>
    </row>
    <row r="8914" spans="1:3">
      <c r="A8914" s="571" t="s">
        <v>2034</v>
      </c>
      <c r="B8914" s="572">
        <v>69.702699999999993</v>
      </c>
      <c r="C8914" s="572">
        <v>633.38499999999999</v>
      </c>
    </row>
    <row r="8915" spans="1:3">
      <c r="A8915" s="571" t="s">
        <v>2034</v>
      </c>
      <c r="B8915" s="572">
        <v>76.786299999999997</v>
      </c>
      <c r="C8915" s="572">
        <v>635.20000000000005</v>
      </c>
    </row>
    <row r="8916" spans="1:3">
      <c r="A8916" s="571" t="s">
        <v>2034</v>
      </c>
      <c r="B8916" s="572">
        <v>83.706299999999999</v>
      </c>
      <c r="C8916" s="572">
        <v>631.92700000000002</v>
      </c>
    </row>
    <row r="8917" spans="1:3">
      <c r="A8917" s="571" t="s">
        <v>2035</v>
      </c>
      <c r="B8917" s="572">
        <v>0.77784699999999996</v>
      </c>
      <c r="C8917" s="572">
        <v>194.928</v>
      </c>
    </row>
    <row r="8918" spans="1:3">
      <c r="A8918" s="571" t="s">
        <v>2035</v>
      </c>
      <c r="B8918" s="572">
        <v>1.5915900000000001</v>
      </c>
      <c r="C8918" s="572">
        <v>237.315</v>
      </c>
    </row>
    <row r="8919" spans="1:3">
      <c r="A8919" s="571" t="s">
        <v>2035</v>
      </c>
      <c r="B8919" s="572">
        <v>2.56291</v>
      </c>
      <c r="C8919" s="572">
        <v>310.21300000000002</v>
      </c>
    </row>
    <row r="8920" spans="1:3">
      <c r="A8920" s="571" t="s">
        <v>2035</v>
      </c>
      <c r="B8920" s="572">
        <v>5.5103499999999999</v>
      </c>
      <c r="C8920" s="572">
        <v>386.53399999999999</v>
      </c>
    </row>
    <row r="8921" spans="1:3">
      <c r="A8921" s="571" t="s">
        <v>2035</v>
      </c>
      <c r="B8921" s="572">
        <v>8.4657699999999991</v>
      </c>
      <c r="C8921" s="572">
        <v>428.95699999999999</v>
      </c>
    </row>
    <row r="8922" spans="1:3">
      <c r="A8922" s="571" t="s">
        <v>2035</v>
      </c>
      <c r="B8922" s="572">
        <v>11.913</v>
      </c>
      <c r="C8922" s="572">
        <v>481.55799999999999</v>
      </c>
    </row>
    <row r="8923" spans="1:3">
      <c r="A8923" s="571" t="s">
        <v>2035</v>
      </c>
      <c r="B8923" s="572">
        <v>14.706099999999999</v>
      </c>
      <c r="C8923" s="572">
        <v>513.80899999999997</v>
      </c>
    </row>
    <row r="8924" spans="1:3">
      <c r="A8924" s="571" t="s">
        <v>2035</v>
      </c>
      <c r="B8924" s="572">
        <v>17.9922</v>
      </c>
      <c r="C8924" s="572">
        <v>551.15200000000004</v>
      </c>
    </row>
    <row r="8925" spans="1:3">
      <c r="A8925" s="571" t="s">
        <v>2035</v>
      </c>
      <c r="B8925" s="572">
        <v>20.954799999999999</v>
      </c>
      <c r="C8925" s="572">
        <v>563.06700000000001</v>
      </c>
    </row>
    <row r="8926" spans="1:3">
      <c r="A8926" s="571" t="s">
        <v>2035</v>
      </c>
      <c r="B8926" s="572">
        <v>27.877600000000001</v>
      </c>
      <c r="C8926" s="572">
        <v>547.92999999999995</v>
      </c>
    </row>
    <row r="8927" spans="1:3">
      <c r="A8927" s="571" t="s">
        <v>2035</v>
      </c>
      <c r="B8927" s="572">
        <v>34.794899999999998</v>
      </c>
      <c r="C8927" s="572">
        <v>556.52200000000005</v>
      </c>
    </row>
    <row r="8928" spans="1:3">
      <c r="A8928" s="571" t="s">
        <v>2035</v>
      </c>
      <c r="B8928" s="572">
        <v>41.735700000000001</v>
      </c>
      <c r="C8928" s="572">
        <v>465.11399999999998</v>
      </c>
    </row>
    <row r="8929" spans="1:3">
      <c r="A8929" s="571" t="s">
        <v>2035</v>
      </c>
      <c r="B8929" s="572">
        <v>48.487400000000001</v>
      </c>
      <c r="C8929" s="572">
        <v>477.09300000000002</v>
      </c>
    </row>
    <row r="8930" spans="1:3">
      <c r="A8930" s="571" t="s">
        <v>2035</v>
      </c>
      <c r="B8930" s="572">
        <v>55.570999999999998</v>
      </c>
      <c r="C8930" s="572">
        <v>478.90800000000002</v>
      </c>
    </row>
    <row r="8931" spans="1:3">
      <c r="A8931" s="571" t="s">
        <v>2035</v>
      </c>
      <c r="B8931" s="572">
        <v>62.651800000000001</v>
      </c>
      <c r="C8931" s="572">
        <v>492.58699999999999</v>
      </c>
    </row>
    <row r="8932" spans="1:3">
      <c r="A8932" s="571" t="s">
        <v>2035</v>
      </c>
      <c r="B8932" s="572">
        <v>69.569000000000003</v>
      </c>
      <c r="C8932" s="572">
        <v>501.17899999999997</v>
      </c>
    </row>
    <row r="8933" spans="1:3">
      <c r="A8933" s="571" t="s">
        <v>2035</v>
      </c>
      <c r="B8933" s="572">
        <v>76.818600000000004</v>
      </c>
      <c r="C8933" s="572">
        <v>497.91199999999998</v>
      </c>
    </row>
    <row r="8934" spans="1:3">
      <c r="A8934" s="571" t="s">
        <v>2035</v>
      </c>
      <c r="B8934" s="572">
        <v>83.572699999999998</v>
      </c>
      <c r="C8934" s="572">
        <v>499.72199999999998</v>
      </c>
    </row>
    <row r="8935" spans="1:3">
      <c r="A8935" s="571" t="s">
        <v>2035</v>
      </c>
      <c r="B8935" s="572">
        <v>90.822199999999995</v>
      </c>
      <c r="C8935" s="572">
        <v>496.45499999999998</v>
      </c>
    </row>
    <row r="8936" spans="1:3">
      <c r="A8936" s="571" t="s">
        <v>2036</v>
      </c>
      <c r="B8936" s="572">
        <v>1.44919</v>
      </c>
      <c r="C8936" s="572">
        <v>142.39699999999999</v>
      </c>
    </row>
    <row r="8937" spans="1:3">
      <c r="A8937" s="571" t="s">
        <v>2036</v>
      </c>
      <c r="B8937" s="572">
        <v>1.76511</v>
      </c>
      <c r="C8937" s="572">
        <v>200.03</v>
      </c>
    </row>
    <row r="8938" spans="1:3">
      <c r="A8938" s="571" t="s">
        <v>2036</v>
      </c>
      <c r="B8938" s="572">
        <v>3.0695000000000001</v>
      </c>
      <c r="C8938" s="572">
        <v>257.67899999999997</v>
      </c>
    </row>
    <row r="8939" spans="1:3">
      <c r="A8939" s="571" t="s">
        <v>2036</v>
      </c>
      <c r="B8939" s="572">
        <v>5.8565899999999997</v>
      </c>
      <c r="C8939" s="572">
        <v>315.35399999999998</v>
      </c>
    </row>
    <row r="8940" spans="1:3">
      <c r="A8940" s="571" t="s">
        <v>2036</v>
      </c>
      <c r="B8940" s="572">
        <v>8.8112100000000009</v>
      </c>
      <c r="C8940" s="572">
        <v>361.166</v>
      </c>
    </row>
    <row r="8941" spans="1:3">
      <c r="A8941" s="571" t="s">
        <v>2036</v>
      </c>
      <c r="B8941" s="572">
        <v>11.931800000000001</v>
      </c>
      <c r="C8941" s="572">
        <v>401.89699999999999</v>
      </c>
    </row>
    <row r="8942" spans="1:3">
      <c r="A8942" s="571" t="s">
        <v>2036</v>
      </c>
      <c r="B8942" s="572">
        <v>15.0543</v>
      </c>
      <c r="C8942" s="572">
        <v>434.15300000000002</v>
      </c>
    </row>
    <row r="8943" spans="1:3">
      <c r="A8943" s="571" t="s">
        <v>2036</v>
      </c>
      <c r="B8943" s="572">
        <v>17.848600000000001</v>
      </c>
      <c r="C8943" s="572">
        <v>461.31900000000002</v>
      </c>
    </row>
    <row r="8944" spans="1:3">
      <c r="A8944" s="571" t="s">
        <v>2036</v>
      </c>
      <c r="B8944" s="572">
        <v>20.9815</v>
      </c>
      <c r="C8944" s="572">
        <v>449.50799999999998</v>
      </c>
    </row>
    <row r="8945" spans="1:3">
      <c r="A8945" s="571" t="s">
        <v>2036</v>
      </c>
      <c r="B8945" s="572">
        <v>27.8904</v>
      </c>
      <c r="C8945" s="572">
        <v>493.69299999999998</v>
      </c>
    </row>
    <row r="8946" spans="1:3">
      <c r="A8946" s="571" t="s">
        <v>2036</v>
      </c>
      <c r="B8946" s="572">
        <v>34.639299999999999</v>
      </c>
      <c r="C8946" s="572">
        <v>517.53599999999994</v>
      </c>
    </row>
    <row r="8947" spans="1:3">
      <c r="A8947" s="571" t="s">
        <v>2036</v>
      </c>
      <c r="B8947" s="572">
        <v>41.556600000000003</v>
      </c>
      <c r="C8947" s="572">
        <v>526.12800000000004</v>
      </c>
    </row>
    <row r="8948" spans="1:3">
      <c r="A8948" s="571" t="s">
        <v>2036</v>
      </c>
      <c r="B8948" s="572">
        <v>48.8033</v>
      </c>
      <c r="C8948" s="572">
        <v>534.72500000000002</v>
      </c>
    </row>
    <row r="8949" spans="1:3">
      <c r="A8949" s="571" t="s">
        <v>2036</v>
      </c>
      <c r="B8949" s="572">
        <v>55.721400000000003</v>
      </c>
      <c r="C8949" s="572">
        <v>539.92700000000002</v>
      </c>
    </row>
    <row r="8950" spans="1:3">
      <c r="A8950" s="571" t="s">
        <v>2036</v>
      </c>
      <c r="B8950" s="572">
        <v>62.802599999999998</v>
      </c>
      <c r="C8950" s="572">
        <v>551.91200000000003</v>
      </c>
    </row>
    <row r="8951" spans="1:3">
      <c r="A8951" s="571" t="s">
        <v>2036</v>
      </c>
      <c r="B8951" s="572">
        <v>69.882599999999996</v>
      </c>
      <c r="C8951" s="572">
        <v>568.98099999999999</v>
      </c>
    </row>
    <row r="8952" spans="1:3">
      <c r="A8952" s="571" t="s">
        <v>2036</v>
      </c>
      <c r="B8952" s="572">
        <v>76.801000000000002</v>
      </c>
      <c r="C8952" s="572">
        <v>572.48800000000006</v>
      </c>
    </row>
    <row r="8953" spans="1:3">
      <c r="A8953" s="571" t="s">
        <v>2036</v>
      </c>
      <c r="B8953" s="572">
        <v>83.719499999999996</v>
      </c>
      <c r="C8953" s="572">
        <v>575.995</v>
      </c>
    </row>
    <row r="8954" spans="1:3">
      <c r="A8954" s="571" t="s">
        <v>2036</v>
      </c>
      <c r="B8954" s="572">
        <v>90.968999999999994</v>
      </c>
      <c r="C8954" s="572">
        <v>572.72799999999995</v>
      </c>
    </row>
    <row r="8955" spans="1:3">
      <c r="A8955" s="571" t="s">
        <v>3734</v>
      </c>
      <c r="B8955" s="572">
        <v>1.98875</v>
      </c>
      <c r="C8955" s="572">
        <v>167.958</v>
      </c>
    </row>
    <row r="8956" spans="1:3">
      <c r="A8956" s="571" t="s">
        <v>3734</v>
      </c>
      <c r="B8956" s="572">
        <v>2.0615299999999999</v>
      </c>
      <c r="C8956" s="572">
        <v>207.042</v>
      </c>
    </row>
    <row r="8957" spans="1:3">
      <c r="A8957" s="571" t="s">
        <v>3734</v>
      </c>
      <c r="B8957" s="572">
        <v>2.9900099999999998</v>
      </c>
      <c r="C8957" s="572">
        <v>255.63399999999999</v>
      </c>
    </row>
    <row r="8958" spans="1:3">
      <c r="A8958" s="571" t="s">
        <v>3734</v>
      </c>
      <c r="B8958" s="572">
        <v>5.6180700000000003</v>
      </c>
      <c r="C8958" s="572">
        <v>316.90100000000001</v>
      </c>
    </row>
    <row r="8959" spans="1:3">
      <c r="A8959" s="571" t="s">
        <v>3734</v>
      </c>
      <c r="B8959" s="572">
        <v>9.6585099999999997</v>
      </c>
      <c r="C8959" s="572">
        <v>236.62</v>
      </c>
    </row>
    <row r="8960" spans="1:3">
      <c r="A8960" s="571" t="s">
        <v>3734</v>
      </c>
      <c r="B8960" s="572">
        <v>11.415100000000001</v>
      </c>
      <c r="C8960" s="572">
        <v>279.93</v>
      </c>
    </row>
    <row r="8961" spans="1:3">
      <c r="A8961" s="571" t="s">
        <v>3734</v>
      </c>
      <c r="B8961" s="572">
        <v>14.818199999999999</v>
      </c>
      <c r="C8961" s="572">
        <v>307.39400000000001</v>
      </c>
    </row>
    <row r="8962" spans="1:3">
      <c r="A8962" s="571" t="s">
        <v>3734</v>
      </c>
      <c r="B8962" s="572">
        <v>18.215399999999999</v>
      </c>
      <c r="C8962" s="572">
        <v>331.69</v>
      </c>
    </row>
    <row r="8963" spans="1:3">
      <c r="A8963" s="571" t="s">
        <v>3734</v>
      </c>
      <c r="B8963" s="572">
        <v>20.7058</v>
      </c>
      <c r="C8963" s="572">
        <v>319.01400000000001</v>
      </c>
    </row>
    <row r="8964" spans="1:3">
      <c r="A8964" s="571" t="s">
        <v>3734</v>
      </c>
      <c r="B8964" s="572">
        <v>28.192599999999999</v>
      </c>
      <c r="C8964" s="572">
        <v>289.43700000000001</v>
      </c>
    </row>
    <row r="8965" spans="1:3">
      <c r="A8965" s="571" t="s">
        <v>3734</v>
      </c>
      <c r="B8965" s="572">
        <v>34.918199999999999</v>
      </c>
      <c r="C8965" s="572">
        <v>301.05599999999998</v>
      </c>
    </row>
    <row r="8966" spans="1:3">
      <c r="A8966" s="571" t="s">
        <v>3734</v>
      </c>
      <c r="B8966" s="572">
        <v>42.477800000000002</v>
      </c>
      <c r="C8966" s="572">
        <v>310.56299999999999</v>
      </c>
    </row>
    <row r="8967" spans="1:3">
      <c r="A8967" s="571" t="s">
        <v>3734</v>
      </c>
      <c r="B8967" s="572">
        <v>48.355499999999999</v>
      </c>
      <c r="C8967" s="572">
        <v>316.90100000000001</v>
      </c>
    </row>
    <row r="8968" spans="1:3">
      <c r="A8968" s="571" t="s">
        <v>3734</v>
      </c>
      <c r="B8968" s="572">
        <v>56.741300000000003</v>
      </c>
      <c r="C8968" s="572">
        <v>320.07</v>
      </c>
    </row>
    <row r="8969" spans="1:3">
      <c r="A8969" s="571" t="s">
        <v>3734</v>
      </c>
      <c r="B8969" s="572">
        <v>63.470799999999997</v>
      </c>
      <c r="C8969" s="572">
        <v>333.803</v>
      </c>
    </row>
    <row r="8970" spans="1:3">
      <c r="A8970" s="571" t="s">
        <v>3734</v>
      </c>
      <c r="B8970" s="572">
        <v>71.022499999999994</v>
      </c>
      <c r="C8970" s="572">
        <v>339.08499999999998</v>
      </c>
    </row>
    <row r="8971" spans="1:3">
      <c r="A8971" s="571" t="s">
        <v>3734</v>
      </c>
      <c r="B8971" s="572">
        <v>77.726399999999998</v>
      </c>
      <c r="C8971" s="572">
        <v>339.08499999999998</v>
      </c>
    </row>
    <row r="8972" spans="1:3">
      <c r="A8972" s="571" t="s">
        <v>3734</v>
      </c>
      <c r="B8972" s="572">
        <v>83.590400000000002</v>
      </c>
      <c r="C8972" s="572">
        <v>338.02800000000002</v>
      </c>
    </row>
    <row r="8973" spans="1:3">
      <c r="A8973" s="571" t="s">
        <v>3734</v>
      </c>
      <c r="B8973" s="572">
        <v>91.130300000000005</v>
      </c>
      <c r="C8973" s="572">
        <v>336.97199999999998</v>
      </c>
    </row>
    <row r="8974" spans="1:3">
      <c r="A8974" s="573" t="s">
        <v>3734</v>
      </c>
      <c r="B8974" s="574">
        <v>179.98099999999999</v>
      </c>
      <c r="C8974" s="574">
        <v>349.64800000000002</v>
      </c>
    </row>
    <row r="8975" spans="1:3">
      <c r="A8975" s="573" t="s">
        <v>3734</v>
      </c>
      <c r="B8975" s="574">
        <v>326.66199999999998</v>
      </c>
      <c r="C8975" s="574">
        <v>367.60599999999999</v>
      </c>
    </row>
    <row r="8976" spans="1:3">
      <c r="A8976" s="48" t="s">
        <v>382</v>
      </c>
      <c r="B8976" s="549">
        <v>-3.0211299999999999E-3</v>
      </c>
      <c r="C8976" s="549">
        <v>0.60299999999999998</v>
      </c>
    </row>
    <row r="8977" spans="1:3">
      <c r="A8977" s="571" t="s">
        <v>382</v>
      </c>
      <c r="B8977" s="572">
        <v>3.5619200000000002</v>
      </c>
      <c r="C8977" s="572">
        <v>9.0400000000000009</v>
      </c>
    </row>
    <row r="8978" spans="1:3">
      <c r="A8978" s="571" t="s">
        <v>382</v>
      </c>
      <c r="B8978" s="572">
        <v>8.3625000000000007</v>
      </c>
      <c r="C8978" s="572">
        <v>10.8459</v>
      </c>
    </row>
    <row r="8979" spans="1:3">
      <c r="A8979" s="571" t="s">
        <v>382</v>
      </c>
      <c r="B8979" s="572">
        <v>9.6238200000000003</v>
      </c>
      <c r="C8979" s="572">
        <v>0.91400000000000003</v>
      </c>
    </row>
    <row r="8980" spans="1:3">
      <c r="A8980" s="571" t="s">
        <v>382</v>
      </c>
      <c r="B8980" s="572">
        <v>10.853400000000001</v>
      </c>
      <c r="C8980" s="572">
        <v>6.34</v>
      </c>
    </row>
    <row r="8981" spans="1:3">
      <c r="A8981" s="571" t="s">
        <v>382</v>
      </c>
      <c r="B8981" s="572">
        <v>14.4863</v>
      </c>
      <c r="C8981" s="572">
        <v>11.4718</v>
      </c>
    </row>
    <row r="8982" spans="1:3">
      <c r="A8982" s="571" t="s">
        <v>382</v>
      </c>
      <c r="B8982" s="572">
        <v>27.7974</v>
      </c>
      <c r="C8982" s="572">
        <v>28.369600000000002</v>
      </c>
    </row>
    <row r="8983" spans="1:3">
      <c r="A8983" s="571" t="s">
        <v>382</v>
      </c>
      <c r="B8983" s="572">
        <v>53.122100000000003</v>
      </c>
      <c r="C8983" s="572">
        <v>43.168999999999997</v>
      </c>
    </row>
    <row r="8984" spans="1:3">
      <c r="A8984" s="571" t="s">
        <v>382</v>
      </c>
      <c r="B8984" s="572">
        <v>57.338099999999997</v>
      </c>
      <c r="C8984" s="572">
        <v>44.680700000000002</v>
      </c>
    </row>
    <row r="8985" spans="1:3">
      <c r="A8985" s="571" t="s">
        <v>382</v>
      </c>
      <c r="B8985" s="572">
        <v>74.177899999999994</v>
      </c>
      <c r="C8985" s="572">
        <v>45.903700000000001</v>
      </c>
    </row>
    <row r="8986" spans="1:3">
      <c r="A8986" s="571" t="s">
        <v>382</v>
      </c>
      <c r="B8986" s="572">
        <v>87.422499999999999</v>
      </c>
      <c r="C8986" s="572">
        <v>49.5351</v>
      </c>
    </row>
    <row r="8987" spans="1:3">
      <c r="A8987" s="573" t="s">
        <v>382</v>
      </c>
      <c r="B8987" s="574">
        <v>101.851</v>
      </c>
      <c r="C8987" s="574">
        <v>49.549599999999998</v>
      </c>
    </row>
    <row r="8988" spans="1:3">
      <c r="A8988" s="573" t="s">
        <v>382</v>
      </c>
      <c r="B8988" s="574">
        <v>117.49299999999999</v>
      </c>
      <c r="C8988" s="574">
        <v>51.675899999999999</v>
      </c>
    </row>
    <row r="8989" spans="1:3">
      <c r="A8989" s="573" t="s">
        <v>382</v>
      </c>
      <c r="B8989" s="574">
        <v>131.32900000000001</v>
      </c>
      <c r="C8989" s="574">
        <v>53.197300000000006</v>
      </c>
    </row>
    <row r="8990" spans="1:3">
      <c r="A8990" s="573" t="s">
        <v>382</v>
      </c>
      <c r="B8990" s="574">
        <v>144.56</v>
      </c>
      <c r="C8990" s="574">
        <v>54.115100000000005</v>
      </c>
    </row>
    <row r="8991" spans="1:3">
      <c r="A8991" s="573" t="s">
        <v>382</v>
      </c>
      <c r="B8991" s="574">
        <v>159.011</v>
      </c>
      <c r="C8991" s="574">
        <v>58.652300000000004</v>
      </c>
    </row>
    <row r="8992" spans="1:3">
      <c r="A8992" s="573" t="s">
        <v>382</v>
      </c>
      <c r="B8992" s="574">
        <v>189.7</v>
      </c>
      <c r="C8992" s="574">
        <v>64.110299999999995</v>
      </c>
    </row>
    <row r="8993" spans="1:3">
      <c r="A8993" s="573" t="s">
        <v>382</v>
      </c>
      <c r="B8993" s="574">
        <v>215.57</v>
      </c>
      <c r="C8993" s="574">
        <v>67.754300000000001</v>
      </c>
    </row>
    <row r="8994" spans="1:3">
      <c r="A8994" s="573" t="s">
        <v>382</v>
      </c>
      <c r="B8994" s="574">
        <v>249.84800000000001</v>
      </c>
      <c r="C8994" s="574">
        <v>69.597799999999992</v>
      </c>
    </row>
    <row r="8995" spans="1:3">
      <c r="A8995" s="573" t="s">
        <v>382</v>
      </c>
      <c r="B8995" s="574">
        <v>303.387</v>
      </c>
      <c r="C8995" s="574">
        <v>75.9833</v>
      </c>
    </row>
    <row r="8996" spans="1:3">
      <c r="A8996" s="573" t="s">
        <v>382</v>
      </c>
      <c r="B8996" s="574">
        <v>336.44400000000002</v>
      </c>
      <c r="C8996" s="574">
        <v>74.207499999999996</v>
      </c>
    </row>
    <row r="8997" spans="1:3">
      <c r="A8997" s="573" t="s">
        <v>382</v>
      </c>
      <c r="B8997" s="574">
        <v>366.512</v>
      </c>
      <c r="C8997" s="574">
        <v>75.745199999999997</v>
      </c>
    </row>
    <row r="8998" spans="1:3">
      <c r="A8998" s="573" t="s">
        <v>382</v>
      </c>
      <c r="B8998" s="574">
        <v>398.95400000000001</v>
      </c>
      <c r="C8998" s="574">
        <v>71.255200000000002</v>
      </c>
    </row>
    <row r="8999" spans="1:3">
      <c r="A8999" s="573" t="s">
        <v>382</v>
      </c>
      <c r="B8999" s="574">
        <v>428.39100000000002</v>
      </c>
      <c r="C8999" s="574">
        <v>66.762199999999993</v>
      </c>
    </row>
    <row r="9000" spans="1:3">
      <c r="A9000" s="573" t="s">
        <v>382</v>
      </c>
      <c r="B9000" s="574">
        <v>459.05700000000002</v>
      </c>
      <c r="C9000" s="574">
        <v>67.697500000000005</v>
      </c>
    </row>
    <row r="9001" spans="1:3">
      <c r="A9001" s="573" t="s">
        <v>382</v>
      </c>
      <c r="B9001" s="574">
        <v>495.13</v>
      </c>
      <c r="C9001" s="574">
        <v>68.035299999999992</v>
      </c>
    </row>
    <row r="9002" spans="1:3">
      <c r="A9002" s="571" t="s">
        <v>383</v>
      </c>
      <c r="B9002" s="572">
        <v>0.60060100000000005</v>
      </c>
      <c r="C9002" s="572">
        <v>0.3</v>
      </c>
    </row>
    <row r="9003" spans="1:3">
      <c r="A9003" s="571" t="s">
        <v>383</v>
      </c>
      <c r="B9003" s="572">
        <v>2.4024000000000001</v>
      </c>
      <c r="C9003" s="572">
        <v>5.7</v>
      </c>
    </row>
    <row r="9004" spans="1:3">
      <c r="A9004" s="571" t="s">
        <v>383</v>
      </c>
      <c r="B9004" s="572">
        <v>6.0060099999999998</v>
      </c>
      <c r="C9004" s="572">
        <v>9.8999999999999986</v>
      </c>
    </row>
    <row r="9005" spans="1:3">
      <c r="A9005" s="571" t="s">
        <v>383</v>
      </c>
      <c r="B9005" s="572">
        <v>8.4084099999999999</v>
      </c>
      <c r="C9005" s="572">
        <v>8.4</v>
      </c>
    </row>
    <row r="9006" spans="1:3">
      <c r="A9006" s="571" t="s">
        <v>383</v>
      </c>
      <c r="B9006" s="572">
        <v>10.2102</v>
      </c>
      <c r="C9006" s="572">
        <v>0.9</v>
      </c>
    </row>
    <row r="9007" spans="1:3">
      <c r="A9007" s="571" t="s">
        <v>383</v>
      </c>
      <c r="B9007" s="572">
        <v>12.012</v>
      </c>
      <c r="C9007" s="572">
        <v>7.4999999999999991</v>
      </c>
    </row>
    <row r="9008" spans="1:3">
      <c r="A9008" s="571" t="s">
        <v>383</v>
      </c>
      <c r="B9008" s="572">
        <v>13.813800000000001</v>
      </c>
      <c r="C9008" s="572">
        <v>13.799999999999999</v>
      </c>
    </row>
    <row r="9009" spans="1:3">
      <c r="A9009" s="571" t="s">
        <v>383</v>
      </c>
      <c r="B9009" s="572">
        <v>26.426400000000001</v>
      </c>
      <c r="C9009" s="572">
        <v>33</v>
      </c>
    </row>
    <row r="9010" spans="1:3">
      <c r="A9010" s="571" t="s">
        <v>383</v>
      </c>
      <c r="B9010" s="572">
        <v>51.651699999999998</v>
      </c>
      <c r="C9010" s="572">
        <v>48.6</v>
      </c>
    </row>
    <row r="9011" spans="1:3">
      <c r="A9011" s="571" t="s">
        <v>383</v>
      </c>
      <c r="B9011" s="572">
        <v>57.657699999999998</v>
      </c>
      <c r="C9011" s="572">
        <v>50.4</v>
      </c>
    </row>
    <row r="9012" spans="1:3">
      <c r="A9012" s="571" t="s">
        <v>383</v>
      </c>
      <c r="B9012" s="572">
        <v>73.873900000000006</v>
      </c>
      <c r="C9012" s="572">
        <v>52.5</v>
      </c>
    </row>
    <row r="9013" spans="1:3">
      <c r="A9013" s="571" t="s">
        <v>383</v>
      </c>
      <c r="B9013" s="572">
        <v>87.087100000000007</v>
      </c>
      <c r="C9013" s="572">
        <v>56.400000000000006</v>
      </c>
    </row>
    <row r="9014" spans="1:3">
      <c r="A9014" s="573" t="s">
        <v>383</v>
      </c>
      <c r="B9014" s="574">
        <v>102.102</v>
      </c>
      <c r="C9014" s="574">
        <v>56.400000000000006</v>
      </c>
    </row>
    <row r="9015" spans="1:3">
      <c r="A9015" s="573" t="s">
        <v>383</v>
      </c>
      <c r="B9015" s="574">
        <v>117.117</v>
      </c>
      <c r="C9015" s="574">
        <v>57.300000000000004</v>
      </c>
    </row>
    <row r="9016" spans="1:3">
      <c r="A9016" s="573" t="s">
        <v>383</v>
      </c>
      <c r="B9016" s="574">
        <v>130.93100000000001</v>
      </c>
      <c r="C9016" s="574">
        <v>59.699999999999996</v>
      </c>
    </row>
    <row r="9017" spans="1:3">
      <c r="A9017" s="573" t="s">
        <v>383</v>
      </c>
      <c r="B9017" s="574">
        <v>144.14400000000001</v>
      </c>
      <c r="C9017" s="574">
        <v>59.999999999999993</v>
      </c>
    </row>
    <row r="9018" spans="1:3">
      <c r="A9018" s="573" t="s">
        <v>383</v>
      </c>
      <c r="B9018" s="574">
        <v>158.559</v>
      </c>
      <c r="C9018" s="574">
        <v>63</v>
      </c>
    </row>
    <row r="9019" spans="1:3">
      <c r="A9019" s="573" t="s">
        <v>383</v>
      </c>
      <c r="B9019" s="574">
        <v>189.79</v>
      </c>
      <c r="C9019" s="574">
        <v>69.899999999999991</v>
      </c>
    </row>
    <row r="9020" spans="1:3">
      <c r="A9020" s="573" t="s">
        <v>383</v>
      </c>
      <c r="B9020" s="574">
        <v>216.21600000000001</v>
      </c>
      <c r="C9020" s="574">
        <v>74.7</v>
      </c>
    </row>
    <row r="9021" spans="1:3">
      <c r="A9021" s="573" t="s">
        <v>383</v>
      </c>
      <c r="B9021" s="574">
        <v>249.85</v>
      </c>
      <c r="C9021" s="574">
        <v>76.2</v>
      </c>
    </row>
    <row r="9022" spans="1:3">
      <c r="A9022" s="573" t="s">
        <v>383</v>
      </c>
      <c r="B9022" s="574">
        <v>303.303</v>
      </c>
      <c r="C9022" s="574">
        <v>85.8</v>
      </c>
    </row>
    <row r="9023" spans="1:3">
      <c r="A9023" s="573" t="s">
        <v>383</v>
      </c>
      <c r="B9023" s="574">
        <v>336.33600000000001</v>
      </c>
      <c r="C9023" s="574">
        <v>81.3</v>
      </c>
    </row>
    <row r="9024" spans="1:3">
      <c r="A9024" s="573" t="s">
        <v>383</v>
      </c>
      <c r="B9024" s="574">
        <v>365.16500000000002</v>
      </c>
      <c r="C9024" s="574">
        <v>82.2</v>
      </c>
    </row>
    <row r="9025" spans="1:3">
      <c r="A9025" s="573" t="s">
        <v>383</v>
      </c>
      <c r="B9025" s="574">
        <v>398.79899999999998</v>
      </c>
      <c r="C9025" s="574">
        <v>77.7</v>
      </c>
    </row>
    <row r="9026" spans="1:3">
      <c r="A9026" s="573" t="s">
        <v>383</v>
      </c>
      <c r="B9026" s="574">
        <v>428.22800000000001</v>
      </c>
      <c r="C9026" s="574">
        <v>72.599999999999994</v>
      </c>
    </row>
    <row r="9027" spans="1:3">
      <c r="A9027" s="573" t="s">
        <v>383</v>
      </c>
      <c r="B9027" s="574">
        <v>459.459</v>
      </c>
      <c r="C9027" s="574">
        <v>74.099999999999994</v>
      </c>
    </row>
    <row r="9028" spans="1:3">
      <c r="A9028" s="573" t="s">
        <v>383</v>
      </c>
      <c r="B9028" s="574">
        <v>493.69400000000002</v>
      </c>
      <c r="C9028" s="574">
        <v>74.099999999999994</v>
      </c>
    </row>
    <row r="9029" spans="1:3">
      <c r="A9029" s="571" t="s">
        <v>384</v>
      </c>
      <c r="B9029" s="572">
        <v>2.4</v>
      </c>
      <c r="C9029" s="572">
        <v>0</v>
      </c>
    </row>
    <row r="9030" spans="1:3">
      <c r="A9030" s="571" t="s">
        <v>384</v>
      </c>
      <c r="B9030" s="572">
        <v>26.767499999999998</v>
      </c>
      <c r="C9030" s="572">
        <v>46.5</v>
      </c>
    </row>
    <row r="9031" spans="1:3">
      <c r="A9031" s="571" t="s">
        <v>384</v>
      </c>
      <c r="B9031" s="572">
        <v>30.340499999999999</v>
      </c>
      <c r="C9031" s="572">
        <v>51.900000000000006</v>
      </c>
    </row>
    <row r="9032" spans="1:3">
      <c r="A9032" s="571" t="s">
        <v>384</v>
      </c>
      <c r="B9032" s="572">
        <v>46.486499999999999</v>
      </c>
      <c r="C9032" s="572">
        <v>62.699999999999996</v>
      </c>
    </row>
    <row r="9033" spans="1:3">
      <c r="A9033" s="571" t="s">
        <v>384</v>
      </c>
      <c r="B9033" s="572">
        <v>60.863999999999997</v>
      </c>
      <c r="C9033" s="572">
        <v>67.2</v>
      </c>
    </row>
    <row r="9034" spans="1:3">
      <c r="A9034" s="571" t="s">
        <v>384</v>
      </c>
      <c r="B9034" s="572">
        <v>73.462500000000006</v>
      </c>
      <c r="C9034" s="572">
        <v>67.5</v>
      </c>
    </row>
    <row r="9035" spans="1:3">
      <c r="A9035" s="571" t="s">
        <v>384</v>
      </c>
      <c r="B9035" s="572">
        <v>90.251999999999995</v>
      </c>
      <c r="C9035" s="572">
        <v>69.599999999999994</v>
      </c>
    </row>
    <row r="9036" spans="1:3">
      <c r="A9036" s="573" t="s">
        <v>384</v>
      </c>
      <c r="B9036" s="574">
        <v>104.04</v>
      </c>
      <c r="C9036" s="574">
        <v>72</v>
      </c>
    </row>
    <row r="9037" spans="1:3">
      <c r="A9037" s="573" t="s">
        <v>384</v>
      </c>
      <c r="B9037" s="574">
        <v>117.831</v>
      </c>
      <c r="C9037" s="574">
        <v>73.800000000000011</v>
      </c>
    </row>
    <row r="9038" spans="1:3">
      <c r="A9038" s="573" t="s">
        <v>384</v>
      </c>
      <c r="B9038" s="574">
        <v>131.61000000000001</v>
      </c>
      <c r="C9038" s="574">
        <v>78</v>
      </c>
    </row>
    <row r="9039" spans="1:3">
      <c r="A9039" s="573" t="s">
        <v>384</v>
      </c>
      <c r="B9039" s="574">
        <v>162.173</v>
      </c>
      <c r="C9039" s="574">
        <v>85.5</v>
      </c>
    </row>
    <row r="9040" spans="1:3">
      <c r="A9040" s="573" t="s">
        <v>384</v>
      </c>
      <c r="B9040" s="574">
        <v>188.55099999999999</v>
      </c>
      <c r="C9040" s="574">
        <v>89.7</v>
      </c>
    </row>
    <row r="9041" spans="1:3">
      <c r="A9041" s="573" t="s">
        <v>384</v>
      </c>
      <c r="B9041" s="574">
        <v>221.53200000000001</v>
      </c>
      <c r="C9041" s="574">
        <v>93.6</v>
      </c>
    </row>
    <row r="9042" spans="1:3">
      <c r="A9042" s="573" t="s">
        <v>384</v>
      </c>
      <c r="B9042" s="574">
        <v>275.51100000000002</v>
      </c>
      <c r="C9042" s="574">
        <v>97.8</v>
      </c>
    </row>
    <row r="9043" spans="1:3">
      <c r="A9043" s="573" t="s">
        <v>384</v>
      </c>
      <c r="B9043" s="574">
        <v>309.11</v>
      </c>
      <c r="C9043" s="574">
        <v>98.100000000000009</v>
      </c>
    </row>
    <row r="9044" spans="1:3">
      <c r="A9044" s="573" t="s">
        <v>384</v>
      </c>
      <c r="B9044" s="574">
        <v>338.50200000000001</v>
      </c>
      <c r="C9044" s="574">
        <v>99.6</v>
      </c>
    </row>
    <row r="9045" spans="1:3">
      <c r="A9045" s="573" t="s">
        <v>384</v>
      </c>
      <c r="B9045" s="574">
        <v>371.52199999999999</v>
      </c>
      <c r="C9045" s="574">
        <v>95.699999999999989</v>
      </c>
    </row>
    <row r="9046" spans="1:3">
      <c r="A9046" s="573" t="s">
        <v>384</v>
      </c>
      <c r="B9046" s="574">
        <v>400.35399999999998</v>
      </c>
      <c r="C9046" s="574">
        <v>89.1</v>
      </c>
    </row>
    <row r="9047" spans="1:3">
      <c r="A9047" s="573" t="s">
        <v>384</v>
      </c>
      <c r="B9047" s="574">
        <v>430.94499999999999</v>
      </c>
      <c r="C9047" s="574">
        <v>90.899999999999991</v>
      </c>
    </row>
    <row r="9048" spans="1:3">
      <c r="A9048" s="573" t="s">
        <v>384</v>
      </c>
      <c r="B9048" s="574">
        <v>466.95600000000002</v>
      </c>
      <c r="C9048" s="574">
        <v>88.8</v>
      </c>
    </row>
    <row r="9049" spans="1:3">
      <c r="A9049" s="48" t="s">
        <v>385</v>
      </c>
      <c r="B9049" s="549">
        <v>-1.42E-14</v>
      </c>
      <c r="C9049" s="549">
        <v>0.30099999999999999</v>
      </c>
    </row>
    <row r="9050" spans="1:3">
      <c r="A9050" s="571" t="s">
        <v>385</v>
      </c>
      <c r="B9050" s="572">
        <v>2.4048099999999999</v>
      </c>
      <c r="C9050" s="572">
        <v>5.72</v>
      </c>
    </row>
    <row r="9051" spans="1:3">
      <c r="A9051" s="571" t="s">
        <v>385</v>
      </c>
      <c r="B9051" s="572">
        <v>4.8096199999999998</v>
      </c>
      <c r="C9051" s="572">
        <v>9.33</v>
      </c>
    </row>
    <row r="9052" spans="1:3">
      <c r="A9052" s="571" t="s">
        <v>385</v>
      </c>
      <c r="B9052" s="572">
        <v>8.4168299999999991</v>
      </c>
      <c r="C9052" s="572">
        <v>9.93</v>
      </c>
    </row>
    <row r="9053" spans="1:3">
      <c r="A9053" s="571" t="s">
        <v>385</v>
      </c>
      <c r="B9053" s="572">
        <v>9.6192399999999996</v>
      </c>
      <c r="C9053" s="572">
        <v>0.89700000000000002</v>
      </c>
    </row>
    <row r="9054" spans="1:3">
      <c r="A9054" s="571" t="s">
        <v>385</v>
      </c>
      <c r="B9054" s="572">
        <v>11.422800000000001</v>
      </c>
      <c r="C9054" s="572">
        <v>6.6099999999999994</v>
      </c>
    </row>
    <row r="9055" spans="1:3">
      <c r="A9055" s="571" t="s">
        <v>385</v>
      </c>
      <c r="B9055" s="572">
        <v>13.8277</v>
      </c>
      <c r="C9055" s="572">
        <v>13.827699999999998</v>
      </c>
    </row>
    <row r="9056" spans="1:3">
      <c r="A9056" s="571" t="s">
        <v>385</v>
      </c>
      <c r="B9056" s="572">
        <v>27.054099999999998</v>
      </c>
      <c r="C9056" s="572">
        <v>33.369900000000001</v>
      </c>
    </row>
    <row r="9057" spans="1:3">
      <c r="A9057" s="571" t="s">
        <v>385</v>
      </c>
      <c r="B9057" s="572">
        <v>52.905799999999999</v>
      </c>
      <c r="C9057" s="572">
        <v>47.4923</v>
      </c>
    </row>
    <row r="9058" spans="1:3">
      <c r="A9058" s="571" t="s">
        <v>385</v>
      </c>
      <c r="B9058" s="572">
        <v>56.512999999999998</v>
      </c>
      <c r="C9058" s="572">
        <v>49.295000000000002</v>
      </c>
    </row>
    <row r="9059" spans="1:3">
      <c r="A9059" s="571" t="s">
        <v>385</v>
      </c>
      <c r="B9059" s="572">
        <v>73.346699999999998</v>
      </c>
      <c r="C9059" s="572">
        <v>51.993299999999998</v>
      </c>
    </row>
    <row r="9060" spans="1:3">
      <c r="A9060" s="571" t="s">
        <v>385</v>
      </c>
      <c r="B9060" s="572">
        <v>87.174300000000002</v>
      </c>
      <c r="C9060" s="572">
        <v>54.993900000000004</v>
      </c>
    </row>
    <row r="9061" spans="1:3">
      <c r="A9061" s="573" t="s">
        <v>385</v>
      </c>
      <c r="B9061" s="574">
        <v>101.60299999999999</v>
      </c>
      <c r="C9061" s="574">
        <v>54.385200000000005</v>
      </c>
    </row>
    <row r="9062" spans="1:3">
      <c r="A9062" s="573" t="s">
        <v>385</v>
      </c>
      <c r="B9062" s="574">
        <v>116.633</v>
      </c>
      <c r="C9062" s="574">
        <v>56.482900000000001</v>
      </c>
    </row>
    <row r="9063" spans="1:3">
      <c r="A9063" s="573" t="s">
        <v>385</v>
      </c>
      <c r="B9063" s="574">
        <v>131.06200000000001</v>
      </c>
      <c r="C9063" s="574">
        <v>58.580899999999993</v>
      </c>
    </row>
    <row r="9064" spans="1:3">
      <c r="A9064" s="573" t="s">
        <v>385</v>
      </c>
      <c r="B9064" s="574">
        <v>144.28899999999999</v>
      </c>
      <c r="C9064" s="574">
        <v>60.378799999999998</v>
      </c>
    </row>
    <row r="9065" spans="1:3">
      <c r="A9065" s="573" t="s">
        <v>385</v>
      </c>
      <c r="B9065" s="574">
        <v>159.31899999999999</v>
      </c>
      <c r="C9065" s="574">
        <v>62.476500000000001</v>
      </c>
    </row>
    <row r="9066" spans="1:3">
      <c r="A9066" s="573" t="s">
        <v>385</v>
      </c>
      <c r="B9066" s="574">
        <v>189.98</v>
      </c>
      <c r="C9066" s="574">
        <v>69.077699999999993</v>
      </c>
    </row>
    <row r="9067" spans="1:3">
      <c r="A9067" s="573" t="s">
        <v>385</v>
      </c>
      <c r="B9067" s="574">
        <v>215.83199999999999</v>
      </c>
      <c r="C9067" s="574">
        <v>73.275300000000001</v>
      </c>
    </row>
    <row r="9068" spans="1:3">
      <c r="A9068" s="573" t="s">
        <v>385</v>
      </c>
      <c r="B9068" s="574">
        <v>249.499</v>
      </c>
      <c r="C9068" s="574">
        <v>75.363700000000009</v>
      </c>
    </row>
    <row r="9069" spans="1:3">
      <c r="A9069" s="573" t="s">
        <v>385</v>
      </c>
      <c r="B9069" s="574">
        <v>302.40499999999997</v>
      </c>
      <c r="C9069" s="574">
        <v>81.652900000000002</v>
      </c>
    </row>
    <row r="9070" spans="1:3">
      <c r="A9070" s="573" t="s">
        <v>385</v>
      </c>
      <c r="B9070" s="574">
        <v>336.673</v>
      </c>
      <c r="C9070" s="574">
        <v>81.034199999999998</v>
      </c>
    </row>
    <row r="9071" spans="1:3">
      <c r="A9071" s="573" t="s">
        <v>385</v>
      </c>
      <c r="B9071" s="574">
        <v>366.13200000000001</v>
      </c>
      <c r="C9071" s="574">
        <v>81.019499999999994</v>
      </c>
    </row>
    <row r="9072" spans="1:3">
      <c r="A9072" s="573" t="s">
        <v>385</v>
      </c>
      <c r="B9072" s="574">
        <v>399.19799999999998</v>
      </c>
      <c r="C9072" s="574">
        <v>76.491600000000005</v>
      </c>
    </row>
    <row r="9073" spans="1:3">
      <c r="A9073" s="573" t="s">
        <v>385</v>
      </c>
      <c r="B9073" s="574">
        <v>428.65699999999998</v>
      </c>
      <c r="C9073" s="574">
        <v>71.6648</v>
      </c>
    </row>
    <row r="9074" spans="1:3">
      <c r="A9074" s="573" t="s">
        <v>385</v>
      </c>
      <c r="B9074" s="574">
        <v>458.71699999999998</v>
      </c>
      <c r="C9074" s="574">
        <v>73.754999999999995</v>
      </c>
    </row>
    <row r="9075" spans="1:3">
      <c r="A9075" s="573" t="s">
        <v>385</v>
      </c>
      <c r="B9075" s="574">
        <v>493.58699999999999</v>
      </c>
      <c r="C9075" s="574">
        <v>73.7376</v>
      </c>
    </row>
    <row r="9076" spans="1:3">
      <c r="A9076" s="571" t="s">
        <v>386</v>
      </c>
      <c r="B9076" s="572">
        <v>0</v>
      </c>
      <c r="C9076" s="572">
        <v>0.38200000000000001</v>
      </c>
    </row>
    <row r="9077" spans="1:3">
      <c r="A9077" s="571" t="s">
        <v>386</v>
      </c>
      <c r="B9077" s="572">
        <v>3.0441400000000001</v>
      </c>
      <c r="C9077" s="572">
        <v>5.7299999999999995</v>
      </c>
    </row>
    <row r="9078" spans="1:3">
      <c r="A9078" s="571" t="s">
        <v>386</v>
      </c>
      <c r="B9078" s="572">
        <v>7.6103500000000004</v>
      </c>
      <c r="C9078" s="572">
        <v>10.7006</v>
      </c>
    </row>
    <row r="9079" spans="1:3">
      <c r="A9079" s="571" t="s">
        <v>386</v>
      </c>
      <c r="B9079" s="572">
        <v>10.654500000000001</v>
      </c>
      <c r="C9079" s="572">
        <v>1.53</v>
      </c>
    </row>
    <row r="9080" spans="1:3">
      <c r="A9080" s="571" t="s">
        <v>386</v>
      </c>
      <c r="B9080" s="572">
        <v>12.9376</v>
      </c>
      <c r="C9080" s="572">
        <v>6.1099999999999994</v>
      </c>
    </row>
    <row r="9081" spans="1:3">
      <c r="A9081" s="571" t="s">
        <v>386</v>
      </c>
      <c r="B9081" s="572">
        <v>13.698600000000001</v>
      </c>
      <c r="C9081" s="572">
        <v>11.465</v>
      </c>
    </row>
    <row r="9082" spans="1:3">
      <c r="A9082" s="571" t="s">
        <v>386</v>
      </c>
      <c r="B9082" s="572">
        <v>27.397300000000001</v>
      </c>
      <c r="C9082" s="572">
        <v>28.280299999999997</v>
      </c>
    </row>
    <row r="9083" spans="1:3">
      <c r="A9083" s="571" t="s">
        <v>386</v>
      </c>
      <c r="B9083" s="572">
        <v>52.511400000000002</v>
      </c>
      <c r="C9083" s="572">
        <v>43.566900000000004</v>
      </c>
    </row>
    <row r="9084" spans="1:3">
      <c r="A9084" s="571" t="s">
        <v>386</v>
      </c>
      <c r="B9084" s="572">
        <v>56.316600000000001</v>
      </c>
      <c r="C9084" s="572">
        <v>45.095500000000001</v>
      </c>
    </row>
    <row r="9085" spans="1:3">
      <c r="A9085" s="571" t="s">
        <v>386</v>
      </c>
      <c r="B9085" s="572">
        <v>73.059399999999997</v>
      </c>
      <c r="C9085" s="572">
        <v>45.859900000000003</v>
      </c>
    </row>
    <row r="9086" spans="1:3">
      <c r="A9086" s="571" t="s">
        <v>386</v>
      </c>
      <c r="B9086" s="572">
        <v>86.757999999999996</v>
      </c>
      <c r="C9086" s="572">
        <v>49.681499999999993</v>
      </c>
    </row>
    <row r="9087" spans="1:3">
      <c r="A9087" s="573" t="s">
        <v>386</v>
      </c>
      <c r="B9087" s="574">
        <v>102.74</v>
      </c>
      <c r="C9087" s="574">
        <v>49.681499999999993</v>
      </c>
    </row>
    <row r="9088" spans="1:3">
      <c r="A9088" s="573" t="s">
        <v>386</v>
      </c>
      <c r="B9088" s="574">
        <v>117.199</v>
      </c>
      <c r="C9088" s="574">
        <v>51.592399999999998</v>
      </c>
    </row>
    <row r="9089" spans="1:3">
      <c r="A9089" s="573" t="s">
        <v>386</v>
      </c>
      <c r="B9089" s="574">
        <v>131.65899999999999</v>
      </c>
      <c r="C9089" s="574">
        <v>53.120999999999995</v>
      </c>
    </row>
    <row r="9090" spans="1:3">
      <c r="A9090" s="573" t="s">
        <v>386</v>
      </c>
      <c r="B9090" s="574">
        <v>143.83600000000001</v>
      </c>
      <c r="C9090" s="574">
        <v>54.267499999999998</v>
      </c>
    </row>
    <row r="9091" spans="1:3">
      <c r="A9091" s="573" t="s">
        <v>386</v>
      </c>
      <c r="B9091" s="574">
        <v>159.81700000000001</v>
      </c>
      <c r="C9091" s="574">
        <v>58.853499999999997</v>
      </c>
    </row>
    <row r="9092" spans="1:3">
      <c r="A9092" s="573" t="s">
        <v>386</v>
      </c>
      <c r="B9092" s="574">
        <v>188.73699999999999</v>
      </c>
      <c r="C9092" s="574">
        <v>63.439499999999995</v>
      </c>
    </row>
    <row r="9093" spans="1:3">
      <c r="A9093" s="573" t="s">
        <v>386</v>
      </c>
      <c r="B9093" s="574">
        <v>216.13399999999999</v>
      </c>
      <c r="C9093" s="574">
        <v>67.261099999999999</v>
      </c>
    </row>
    <row r="9094" spans="1:3">
      <c r="A9094" s="573" t="s">
        <v>386</v>
      </c>
      <c r="B9094" s="574">
        <v>249.619</v>
      </c>
      <c r="C9094" s="574">
        <v>69.172000000000011</v>
      </c>
    </row>
    <row r="9095" spans="1:3">
      <c r="A9095" s="573" t="s">
        <v>386</v>
      </c>
      <c r="B9095" s="574">
        <v>302.892</v>
      </c>
      <c r="C9095" s="574">
        <v>75.668800000000005</v>
      </c>
    </row>
    <row r="9096" spans="1:3">
      <c r="A9096" s="573" t="s">
        <v>386</v>
      </c>
      <c r="B9096" s="574">
        <v>336.37700000000001</v>
      </c>
      <c r="C9096" s="574">
        <v>73.75800000000001</v>
      </c>
    </row>
    <row r="9097" spans="1:3">
      <c r="A9097" s="573" t="s">
        <v>386</v>
      </c>
      <c r="B9097" s="574">
        <v>365.29700000000003</v>
      </c>
      <c r="C9097" s="574">
        <v>75.668800000000005</v>
      </c>
    </row>
    <row r="9098" spans="1:3">
      <c r="A9098" s="573" t="s">
        <v>386</v>
      </c>
      <c r="B9098" s="574">
        <v>398.78199999999998</v>
      </c>
      <c r="C9098" s="574">
        <v>71.465000000000003</v>
      </c>
    </row>
    <row r="9099" spans="1:3">
      <c r="A9099" s="573" t="s">
        <v>386</v>
      </c>
      <c r="B9099" s="574">
        <v>427.702</v>
      </c>
      <c r="C9099" s="574">
        <v>67.261099999999999</v>
      </c>
    </row>
    <row r="9100" spans="1:3">
      <c r="A9100" s="573" t="s">
        <v>386</v>
      </c>
      <c r="B9100" s="574">
        <v>458.904</v>
      </c>
      <c r="C9100" s="574">
        <v>67.261099999999999</v>
      </c>
    </row>
    <row r="9101" spans="1:3">
      <c r="A9101" s="573" t="s">
        <v>386</v>
      </c>
      <c r="B9101" s="574">
        <v>494.673</v>
      </c>
      <c r="C9101" s="574">
        <v>66.879000000000005</v>
      </c>
    </row>
    <row r="9102" spans="1:3">
      <c r="A9102" s="48" t="s">
        <v>387</v>
      </c>
      <c r="B9102" s="549">
        <v>-0.76103500000000002</v>
      </c>
      <c r="C9102" s="549">
        <v>0.38200000000000001</v>
      </c>
    </row>
    <row r="9103" spans="1:3">
      <c r="A9103" s="571" t="s">
        <v>387</v>
      </c>
      <c r="B9103" s="572">
        <v>3.0441400000000001</v>
      </c>
      <c r="C9103" s="572">
        <v>5.33</v>
      </c>
    </row>
    <row r="9104" spans="1:3">
      <c r="A9104" s="571" t="s">
        <v>387</v>
      </c>
      <c r="B9104" s="572">
        <v>3.80518</v>
      </c>
      <c r="C9104" s="572">
        <v>9.14</v>
      </c>
    </row>
    <row r="9105" spans="1:3">
      <c r="A9105" s="571" t="s">
        <v>387</v>
      </c>
      <c r="B9105" s="572">
        <v>7.6103500000000004</v>
      </c>
      <c r="C9105" s="572">
        <v>8.3800000000000008</v>
      </c>
    </row>
    <row r="9106" spans="1:3">
      <c r="A9106" s="571" t="s">
        <v>387</v>
      </c>
      <c r="B9106" s="572">
        <v>8.3713899999999999</v>
      </c>
      <c r="C9106" s="572">
        <v>6.3800000000000003E-3</v>
      </c>
    </row>
    <row r="9107" spans="1:3">
      <c r="A9107" s="571" t="s">
        <v>387</v>
      </c>
      <c r="B9107" s="572">
        <v>9.1324199999999998</v>
      </c>
      <c r="C9107" s="572">
        <v>7.25</v>
      </c>
    </row>
    <row r="9108" spans="1:3">
      <c r="A9108" s="571" t="s">
        <v>387</v>
      </c>
      <c r="B9108" s="572">
        <v>12.9376</v>
      </c>
      <c r="C9108" s="572">
        <v>14.1051</v>
      </c>
    </row>
    <row r="9109" spans="1:3">
      <c r="A9109" s="571" t="s">
        <v>387</v>
      </c>
      <c r="B9109" s="572">
        <v>26.636199999999999</v>
      </c>
      <c r="C9109" s="572">
        <v>33.163200000000003</v>
      </c>
    </row>
    <row r="9110" spans="1:3">
      <c r="A9110" s="571" t="s">
        <v>387</v>
      </c>
      <c r="B9110" s="572">
        <v>51.750399999999999</v>
      </c>
      <c r="C9110" s="572">
        <v>47.658500000000004</v>
      </c>
    </row>
    <row r="9111" spans="1:3">
      <c r="A9111" s="571" t="s">
        <v>387</v>
      </c>
      <c r="B9111" s="572">
        <v>56.316600000000001</v>
      </c>
      <c r="C9111" s="572">
        <v>50.328600000000002</v>
      </c>
    </row>
    <row r="9112" spans="1:3">
      <c r="A9112" s="571" t="s">
        <v>387</v>
      </c>
      <c r="B9112" s="572">
        <v>73.820400000000006</v>
      </c>
      <c r="C9112" s="572">
        <v>52.627700000000004</v>
      </c>
    </row>
    <row r="9113" spans="1:3">
      <c r="A9113" s="571" t="s">
        <v>387</v>
      </c>
      <c r="B9113" s="572">
        <v>88.280100000000004</v>
      </c>
      <c r="C9113" s="572">
        <v>56.067300000000003</v>
      </c>
    </row>
    <row r="9114" spans="1:3">
      <c r="A9114" s="573" t="s">
        <v>387</v>
      </c>
      <c r="B9114" s="574">
        <v>101.218</v>
      </c>
      <c r="C9114" s="574">
        <v>55.696200000000005</v>
      </c>
    </row>
    <row r="9115" spans="1:3">
      <c r="A9115" s="573" t="s">
        <v>387</v>
      </c>
      <c r="B9115" s="574">
        <v>116.438</v>
      </c>
      <c r="C9115" s="574">
        <v>57.2316</v>
      </c>
    </row>
    <row r="9116" spans="1:3">
      <c r="A9116" s="573" t="s">
        <v>387</v>
      </c>
      <c r="B9116" s="574">
        <v>130.898</v>
      </c>
      <c r="C9116" s="574">
        <v>59.147400000000005</v>
      </c>
    </row>
    <row r="9117" spans="1:3">
      <c r="A9117" s="573" t="s">
        <v>387</v>
      </c>
      <c r="B9117" s="574">
        <v>144.59700000000001</v>
      </c>
      <c r="C9117" s="574">
        <v>59.538699999999999</v>
      </c>
    </row>
    <row r="9118" spans="1:3">
      <c r="A9118" s="573" t="s">
        <v>387</v>
      </c>
      <c r="B9118" s="574">
        <v>158.29499999999999</v>
      </c>
      <c r="C9118" s="574">
        <v>63.358699999999999</v>
      </c>
    </row>
    <row r="9119" spans="1:3">
      <c r="A9119" s="573" t="s">
        <v>387</v>
      </c>
      <c r="B9119" s="574">
        <v>190.25899999999999</v>
      </c>
      <c r="C9119" s="574">
        <v>69.478300000000004</v>
      </c>
    </row>
    <row r="9120" spans="1:3">
      <c r="A9120" s="573" t="s">
        <v>387</v>
      </c>
      <c r="B9120" s="574">
        <v>215.37299999999999</v>
      </c>
      <c r="C9120" s="574">
        <v>74.830800000000011</v>
      </c>
    </row>
    <row r="9121" spans="1:3">
      <c r="A9121" s="573" t="s">
        <v>387</v>
      </c>
      <c r="B9121" s="574">
        <v>249.619</v>
      </c>
      <c r="C9121" s="574">
        <v>76.380700000000004</v>
      </c>
    </row>
    <row r="9122" spans="1:3">
      <c r="A9122" s="573" t="s">
        <v>387</v>
      </c>
      <c r="B9122" s="574">
        <v>302.892</v>
      </c>
      <c r="C9122" s="574">
        <v>85.564099999999996</v>
      </c>
    </row>
    <row r="9123" spans="1:3">
      <c r="A9123" s="573" t="s">
        <v>387</v>
      </c>
      <c r="B9123" s="574">
        <v>336.37700000000001</v>
      </c>
      <c r="C9123" s="574">
        <v>81.018200000000007</v>
      </c>
    </row>
    <row r="9124" spans="1:3">
      <c r="A9124" s="573" t="s">
        <v>387</v>
      </c>
      <c r="B9124" s="574">
        <v>364.536</v>
      </c>
      <c r="C9124" s="574">
        <v>82.182500000000005</v>
      </c>
    </row>
    <row r="9125" spans="1:3">
      <c r="A9125" s="573" t="s">
        <v>387</v>
      </c>
      <c r="B9125" s="574">
        <v>399.54300000000001</v>
      </c>
      <c r="C9125" s="574">
        <v>77.637699999999995</v>
      </c>
    </row>
    <row r="9126" spans="1:3">
      <c r="A9126" s="573" t="s">
        <v>387</v>
      </c>
      <c r="B9126" s="574">
        <v>427.702</v>
      </c>
      <c r="C9126" s="574">
        <v>72.706800000000001</v>
      </c>
    </row>
    <row r="9127" spans="1:3">
      <c r="A9127" s="573" t="s">
        <v>387</v>
      </c>
      <c r="B9127" s="574">
        <v>458.14299999999997</v>
      </c>
      <c r="C9127" s="574">
        <v>74.253799999999998</v>
      </c>
    </row>
    <row r="9128" spans="1:3">
      <c r="A9128" s="573" t="s">
        <v>387</v>
      </c>
      <c r="B9128" s="574">
        <v>494.673</v>
      </c>
      <c r="C9128" s="574">
        <v>74.662599999999998</v>
      </c>
    </row>
    <row r="9129" spans="1:3">
      <c r="A9129" s="571" t="s">
        <v>388</v>
      </c>
      <c r="B9129" s="572">
        <v>1.52284</v>
      </c>
      <c r="C9129" s="572">
        <v>0.38</v>
      </c>
    </row>
    <row r="9130" spans="1:3">
      <c r="A9130" s="571" t="s">
        <v>388</v>
      </c>
      <c r="B9130" s="572">
        <v>25.888300000000001</v>
      </c>
      <c r="C9130" s="572">
        <v>45.949400000000004</v>
      </c>
    </row>
    <row r="9131" spans="1:3">
      <c r="A9131" s="571" t="s">
        <v>388</v>
      </c>
      <c r="B9131" s="572">
        <v>31.218299999999999</v>
      </c>
      <c r="C9131" s="572">
        <v>51.265800000000006</v>
      </c>
    </row>
    <row r="9132" spans="1:3">
      <c r="A9132" s="571" t="s">
        <v>388</v>
      </c>
      <c r="B9132" s="572">
        <v>47.208100000000002</v>
      </c>
      <c r="C9132" s="572">
        <v>63.038000000000004</v>
      </c>
    </row>
    <row r="9133" spans="1:3">
      <c r="A9133" s="571" t="s">
        <v>388</v>
      </c>
      <c r="B9133" s="572">
        <v>60.913699999999999</v>
      </c>
      <c r="C9133" s="572">
        <v>66.455699999999993</v>
      </c>
    </row>
    <row r="9134" spans="1:3">
      <c r="A9134" s="571" t="s">
        <v>388</v>
      </c>
      <c r="B9134" s="572">
        <v>75.380700000000004</v>
      </c>
      <c r="C9134" s="572">
        <v>67.215199999999996</v>
      </c>
    </row>
    <row r="9135" spans="1:3">
      <c r="A9135" s="571" t="s">
        <v>388</v>
      </c>
      <c r="B9135" s="572">
        <v>90.609099999999998</v>
      </c>
      <c r="C9135" s="572">
        <v>69.49369999999999</v>
      </c>
    </row>
    <row r="9136" spans="1:3">
      <c r="A9136" s="573" t="s">
        <v>388</v>
      </c>
      <c r="B9136" s="574">
        <v>103.553</v>
      </c>
      <c r="C9136" s="574">
        <v>72.151899999999998</v>
      </c>
    </row>
    <row r="9137" spans="1:3">
      <c r="A9137" s="573" t="s">
        <v>388</v>
      </c>
      <c r="B9137" s="574">
        <v>118.02</v>
      </c>
      <c r="C9137" s="574">
        <v>73.670900000000003</v>
      </c>
    </row>
    <row r="9138" spans="1:3">
      <c r="A9138" s="573" t="s">
        <v>388</v>
      </c>
      <c r="B9138" s="574">
        <v>132.48699999999999</v>
      </c>
      <c r="C9138" s="574">
        <v>77.848100000000002</v>
      </c>
    </row>
    <row r="9139" spans="1:3">
      <c r="A9139" s="573" t="s">
        <v>388</v>
      </c>
      <c r="B9139" s="574">
        <v>162.94399999999999</v>
      </c>
      <c r="C9139" s="574">
        <v>86.202500000000001</v>
      </c>
    </row>
    <row r="9140" spans="1:3">
      <c r="A9140" s="573" t="s">
        <v>388</v>
      </c>
      <c r="B9140" s="574">
        <v>189.59399999999999</v>
      </c>
      <c r="C9140" s="574">
        <v>89.6203</v>
      </c>
    </row>
    <row r="9141" spans="1:3">
      <c r="A9141" s="573" t="s">
        <v>388</v>
      </c>
      <c r="B9141" s="574">
        <v>221.57400000000001</v>
      </c>
      <c r="C9141" s="574">
        <v>93.037999999999997</v>
      </c>
    </row>
    <row r="9142" spans="1:3">
      <c r="A9142" s="573" t="s">
        <v>388</v>
      </c>
      <c r="B9142" s="574">
        <v>276.39600000000002</v>
      </c>
      <c r="C9142" s="574">
        <v>97.59490000000001</v>
      </c>
    </row>
    <row r="9143" spans="1:3">
      <c r="A9143" s="573" t="s">
        <v>388</v>
      </c>
      <c r="B9143" s="574">
        <v>310.66000000000003</v>
      </c>
      <c r="C9143" s="574">
        <v>97.974699999999999</v>
      </c>
    </row>
    <row r="9144" spans="1:3">
      <c r="A9144" s="573" t="s">
        <v>388</v>
      </c>
      <c r="B9144" s="574">
        <v>338.83199999999999</v>
      </c>
      <c r="C9144" s="574">
        <v>99.493700000000004</v>
      </c>
    </row>
    <row r="9145" spans="1:3">
      <c r="A9145" s="573" t="s">
        <v>388</v>
      </c>
      <c r="B9145" s="574">
        <v>372.33499999999998</v>
      </c>
      <c r="C9145" s="574">
        <v>94.936700000000002</v>
      </c>
    </row>
    <row r="9146" spans="1:3">
      <c r="A9146" s="573" t="s">
        <v>388</v>
      </c>
      <c r="B9146" s="574">
        <v>400.50799999999998</v>
      </c>
      <c r="C9146" s="574">
        <v>88.860799999999998</v>
      </c>
    </row>
    <row r="9147" spans="1:3">
      <c r="A9147" s="573" t="s">
        <v>388</v>
      </c>
      <c r="B9147" s="574">
        <v>433.24900000000002</v>
      </c>
      <c r="C9147" s="574">
        <v>90.3797</v>
      </c>
    </row>
    <row r="9148" spans="1:3">
      <c r="A9148" s="573" t="s">
        <v>388</v>
      </c>
      <c r="B9148" s="574">
        <v>467.51299999999998</v>
      </c>
      <c r="C9148" s="574">
        <v>88.860799999999998</v>
      </c>
    </row>
    <row r="9149" spans="1:3">
      <c r="A9149" s="571" t="s">
        <v>389</v>
      </c>
      <c r="B9149" s="572">
        <v>0.76103500000000002</v>
      </c>
      <c r="C9149" s="572">
        <v>0.38200000000000001</v>
      </c>
    </row>
    <row r="9150" spans="1:3">
      <c r="A9150" s="571" t="s">
        <v>389</v>
      </c>
      <c r="B9150" s="572">
        <v>2.2831100000000002</v>
      </c>
      <c r="C9150" s="572">
        <v>6.48</v>
      </c>
    </row>
    <row r="9151" spans="1:3">
      <c r="A9151" s="571" t="s">
        <v>389</v>
      </c>
      <c r="B9151" s="572">
        <v>8.3713899999999999</v>
      </c>
      <c r="C9151" s="572">
        <v>10.673</v>
      </c>
    </row>
    <row r="9152" spans="1:3">
      <c r="A9152" s="571" t="s">
        <v>389</v>
      </c>
      <c r="B9152" s="572">
        <v>9.1324199999999998</v>
      </c>
      <c r="C9152" s="572">
        <v>0.374</v>
      </c>
    </row>
    <row r="9153" spans="1:3">
      <c r="A9153" s="571" t="s">
        <v>389</v>
      </c>
      <c r="B9153" s="572">
        <v>12.176600000000001</v>
      </c>
      <c r="C9153" s="572">
        <v>6.0900000000000007</v>
      </c>
    </row>
    <row r="9154" spans="1:3">
      <c r="A9154" s="571" t="s">
        <v>389</v>
      </c>
      <c r="B9154" s="572">
        <v>15.220700000000001</v>
      </c>
      <c r="C9154" s="572">
        <v>11.7979</v>
      </c>
    </row>
    <row r="9155" spans="1:3">
      <c r="A9155" s="571" t="s">
        <v>389</v>
      </c>
      <c r="B9155" s="572">
        <v>26.636199999999999</v>
      </c>
      <c r="C9155" s="572">
        <v>32.741600000000005</v>
      </c>
    </row>
    <row r="9156" spans="1:3">
      <c r="A9156" s="571" t="s">
        <v>389</v>
      </c>
      <c r="B9156" s="572">
        <v>52.511400000000002</v>
      </c>
      <c r="C9156" s="572">
        <v>47.198100000000004</v>
      </c>
    </row>
    <row r="9157" spans="1:3">
      <c r="A9157" s="571" t="s">
        <v>389</v>
      </c>
      <c r="B9157" s="572">
        <v>57.838700000000003</v>
      </c>
      <c r="C9157" s="572">
        <v>49.098800000000004</v>
      </c>
    </row>
    <row r="9158" spans="1:3">
      <c r="A9158" s="571" t="s">
        <v>389</v>
      </c>
      <c r="B9158" s="572">
        <v>73.820400000000006</v>
      </c>
      <c r="C9158" s="572">
        <v>52.5152</v>
      </c>
    </row>
    <row r="9159" spans="1:3">
      <c r="A9159" s="571" t="s">
        <v>389</v>
      </c>
      <c r="B9159" s="572">
        <v>88.280100000000004</v>
      </c>
      <c r="C9159" s="572">
        <v>55.551799999999993</v>
      </c>
    </row>
    <row r="9160" spans="1:3">
      <c r="A9160" s="573" t="s">
        <v>389</v>
      </c>
      <c r="B9160" s="574">
        <v>101.979</v>
      </c>
      <c r="C9160" s="574">
        <v>55.160400000000003</v>
      </c>
    </row>
    <row r="9161" spans="1:3">
      <c r="A9161" s="573" t="s">
        <v>389</v>
      </c>
      <c r="B9161" s="574">
        <v>116.438</v>
      </c>
      <c r="C9161" s="574">
        <v>57.054100000000005</v>
      </c>
    </row>
    <row r="9162" spans="1:3">
      <c r="A9162" s="573" t="s">
        <v>389</v>
      </c>
      <c r="B9162" s="574">
        <v>130.898</v>
      </c>
      <c r="C9162" s="574">
        <v>58.947899999999997</v>
      </c>
    </row>
    <row r="9163" spans="1:3">
      <c r="A9163" s="573" t="s">
        <v>389</v>
      </c>
      <c r="B9163" s="574">
        <v>144.59700000000001</v>
      </c>
      <c r="C9163" s="574">
        <v>59.699399999999997</v>
      </c>
    </row>
    <row r="9164" spans="1:3">
      <c r="A9164" s="573" t="s">
        <v>389</v>
      </c>
      <c r="B9164" s="574">
        <v>158.29499999999999</v>
      </c>
      <c r="C9164" s="574">
        <v>62.355600000000003</v>
      </c>
    </row>
    <row r="9165" spans="1:3">
      <c r="A9165" s="573" t="s">
        <v>389</v>
      </c>
      <c r="B9165" s="574">
        <v>188.73699999999999</v>
      </c>
      <c r="C9165" s="574">
        <v>68.808599999999998</v>
      </c>
    </row>
    <row r="9166" spans="1:3">
      <c r="A9166" s="573" t="s">
        <v>389</v>
      </c>
      <c r="B9166" s="574">
        <v>216.13399999999999</v>
      </c>
      <c r="C9166" s="574">
        <v>73.359099999999998</v>
      </c>
    </row>
    <row r="9167" spans="1:3">
      <c r="A9167" s="573" t="s">
        <v>389</v>
      </c>
      <c r="B9167" s="574">
        <v>250.381</v>
      </c>
      <c r="C9167" s="574">
        <v>74.85690000000001</v>
      </c>
    </row>
    <row r="9168" spans="1:3">
      <c r="A9168" s="573" t="s">
        <v>389</v>
      </c>
      <c r="B9168" s="574">
        <v>302.13099999999997</v>
      </c>
      <c r="C9168" s="574">
        <v>81.674599999999998</v>
      </c>
    </row>
    <row r="9169" spans="1:3">
      <c r="A9169" s="573" t="s">
        <v>389</v>
      </c>
      <c r="B9169" s="574">
        <v>335.61599999999999</v>
      </c>
      <c r="C9169" s="574">
        <v>80.88709999999999</v>
      </c>
    </row>
    <row r="9170" spans="1:3">
      <c r="A9170" s="573" t="s">
        <v>389</v>
      </c>
      <c r="B9170" s="574">
        <v>366.81900000000002</v>
      </c>
      <c r="C9170" s="574">
        <v>80.482399999999998</v>
      </c>
    </row>
    <row r="9171" spans="1:3">
      <c r="A9171" s="573" t="s">
        <v>389</v>
      </c>
      <c r="B9171" s="574">
        <v>398.78199999999998</v>
      </c>
      <c r="C9171" s="574">
        <v>76.267600000000002</v>
      </c>
    </row>
    <row r="9172" spans="1:3">
      <c r="A9172" s="573" t="s">
        <v>389</v>
      </c>
      <c r="B9172" s="574">
        <v>428.46300000000002</v>
      </c>
      <c r="C9172" s="574">
        <v>71.673600000000008</v>
      </c>
    </row>
    <row r="9173" spans="1:3">
      <c r="A9173" s="573" t="s">
        <v>389</v>
      </c>
      <c r="B9173" s="574">
        <v>458.904</v>
      </c>
      <c r="C9173" s="574">
        <v>73.555099999999996</v>
      </c>
    </row>
    <row r="9174" spans="1:3">
      <c r="A9174" s="573" t="s">
        <v>389</v>
      </c>
      <c r="B9174" s="574">
        <v>493.15100000000001</v>
      </c>
      <c r="C9174" s="574">
        <v>73.148099999999999</v>
      </c>
    </row>
    <row r="9175" spans="1:3">
      <c r="A9175" s="571" t="s">
        <v>390</v>
      </c>
      <c r="B9175" s="572">
        <v>0.54054100000000005</v>
      </c>
      <c r="C9175" s="572">
        <v>0.60399999999999998</v>
      </c>
    </row>
    <row r="9176" spans="1:3">
      <c r="A9176" s="571" t="s">
        <v>390</v>
      </c>
      <c r="B9176" s="572">
        <v>4.3243200000000002</v>
      </c>
      <c r="C9176" s="572">
        <v>7.25</v>
      </c>
    </row>
    <row r="9177" spans="1:3">
      <c r="A9177" s="571" t="s">
        <v>390</v>
      </c>
      <c r="B9177" s="572">
        <v>8.1081099999999999</v>
      </c>
      <c r="C9177" s="572">
        <v>7.25</v>
      </c>
    </row>
    <row r="9178" spans="1:3">
      <c r="A9178" s="571" t="s">
        <v>390</v>
      </c>
      <c r="B9178" s="572">
        <v>10.270300000000001</v>
      </c>
      <c r="C9178" s="572">
        <v>2.73</v>
      </c>
    </row>
    <row r="9179" spans="1:3">
      <c r="A9179" s="571" t="s">
        <v>390</v>
      </c>
      <c r="B9179" s="572">
        <v>11.3514</v>
      </c>
      <c r="C9179" s="572">
        <v>8.4700000000000006</v>
      </c>
    </row>
    <row r="9180" spans="1:3">
      <c r="A9180" s="571" t="s">
        <v>390</v>
      </c>
      <c r="B9180" s="572">
        <v>14.0541</v>
      </c>
      <c r="C9180" s="572">
        <v>15.1204</v>
      </c>
    </row>
    <row r="9181" spans="1:3">
      <c r="A9181" s="571" t="s">
        <v>390</v>
      </c>
      <c r="B9181" s="572">
        <v>28.1081</v>
      </c>
      <c r="C9181" s="572">
        <v>32.356699999999996</v>
      </c>
    </row>
    <row r="9182" spans="1:3">
      <c r="A9182" s="571" t="s">
        <v>390</v>
      </c>
      <c r="B9182" s="572">
        <v>51.8919</v>
      </c>
      <c r="C9182" s="572">
        <v>46.575299999999999</v>
      </c>
    </row>
    <row r="9183" spans="1:3">
      <c r="A9183" s="571" t="s">
        <v>390</v>
      </c>
      <c r="B9183" s="572">
        <v>57.837800000000001</v>
      </c>
      <c r="C9183" s="572">
        <v>47.787300000000002</v>
      </c>
    </row>
    <row r="9184" spans="1:3">
      <c r="A9184" s="571" t="s">
        <v>390</v>
      </c>
      <c r="B9184" s="572">
        <v>74.054100000000005</v>
      </c>
      <c r="C9184" s="572">
        <v>49.609100000000005</v>
      </c>
    </row>
    <row r="9185" spans="1:3">
      <c r="A9185" s="571" t="s">
        <v>390</v>
      </c>
      <c r="B9185" s="572">
        <v>87.567599999999999</v>
      </c>
      <c r="C9185" s="572">
        <v>52.638599999999997</v>
      </c>
    </row>
    <row r="9186" spans="1:3">
      <c r="A9186" s="573" t="s">
        <v>390</v>
      </c>
      <c r="B9186" s="574">
        <v>102.16200000000001</v>
      </c>
      <c r="C9186" s="574">
        <v>52.948199999999993</v>
      </c>
    </row>
    <row r="9187" spans="1:3">
      <c r="A9187" s="573" t="s">
        <v>390</v>
      </c>
      <c r="B9187" s="574">
        <v>116.75700000000001</v>
      </c>
      <c r="C9187" s="574">
        <v>52.955500000000001</v>
      </c>
    </row>
    <row r="9188" spans="1:3">
      <c r="A9188" s="573" t="s">
        <v>390</v>
      </c>
      <c r="B9188" s="574">
        <v>130.27000000000001</v>
      </c>
      <c r="C9188" s="574">
        <v>54.171399999999998</v>
      </c>
    </row>
    <row r="9189" spans="1:3">
      <c r="A9189" s="573" t="s">
        <v>390</v>
      </c>
      <c r="B9189" s="574">
        <v>145.946</v>
      </c>
      <c r="C9189" s="574">
        <v>55.388400000000004</v>
      </c>
    </row>
    <row r="9190" spans="1:3">
      <c r="A9190" s="573" t="s">
        <v>390</v>
      </c>
      <c r="B9190" s="574">
        <v>158.91900000000001</v>
      </c>
      <c r="C9190" s="574">
        <v>58.115300000000005</v>
      </c>
    </row>
    <row r="9191" spans="1:3">
      <c r="A9191" s="573" t="s">
        <v>390</v>
      </c>
      <c r="B9191" s="574">
        <v>190.27</v>
      </c>
      <c r="C9191" s="574">
        <v>64.176500000000004</v>
      </c>
    </row>
    <row r="9192" spans="1:3">
      <c r="A9192" s="573" t="s">
        <v>390</v>
      </c>
      <c r="B9192" s="574">
        <v>215.67599999999999</v>
      </c>
      <c r="C9192" s="574">
        <v>67.2119</v>
      </c>
    </row>
    <row r="9193" spans="1:3">
      <c r="A9193" s="573" t="s">
        <v>390</v>
      </c>
      <c r="B9193" s="574">
        <v>250.27</v>
      </c>
      <c r="C9193" s="574">
        <v>69.647499999999994</v>
      </c>
    </row>
    <row r="9194" spans="1:3">
      <c r="A9194" s="573" t="s">
        <v>390</v>
      </c>
      <c r="B9194" s="574">
        <v>302.16199999999998</v>
      </c>
      <c r="C9194" s="574">
        <v>78.741600000000005</v>
      </c>
    </row>
    <row r="9195" spans="1:3">
      <c r="A9195" s="573" t="s">
        <v>390</v>
      </c>
      <c r="B9195" s="574">
        <v>337.29700000000003</v>
      </c>
      <c r="C9195" s="574">
        <v>75.132099999999994</v>
      </c>
    </row>
    <row r="9196" spans="1:3">
      <c r="A9196" s="573" t="s">
        <v>390</v>
      </c>
      <c r="B9196" s="574">
        <v>365.40499999999997</v>
      </c>
      <c r="C9196" s="574">
        <v>71.519099999999995</v>
      </c>
    </row>
    <row r="9197" spans="1:3">
      <c r="A9197" s="573" t="s">
        <v>390</v>
      </c>
      <c r="B9197" s="574">
        <v>398.91899999999998</v>
      </c>
      <c r="C9197" s="574">
        <v>70.326899999999995</v>
      </c>
    </row>
    <row r="9198" spans="1:3">
      <c r="A9198" s="573" t="s">
        <v>390</v>
      </c>
      <c r="B9198" s="574">
        <v>427.02699999999999</v>
      </c>
      <c r="C9198" s="574">
        <v>69.132000000000005</v>
      </c>
    </row>
    <row r="9199" spans="1:3">
      <c r="A9199" s="573" t="s">
        <v>390</v>
      </c>
      <c r="B9199" s="574">
        <v>458.37799999999999</v>
      </c>
      <c r="C9199" s="574">
        <v>67.636499999999998</v>
      </c>
    </row>
    <row r="9200" spans="1:3">
      <c r="A9200" s="573" t="s">
        <v>390</v>
      </c>
      <c r="B9200" s="574">
        <v>494.59500000000003</v>
      </c>
      <c r="C9200" s="574">
        <v>65.538800000000009</v>
      </c>
    </row>
    <row r="9201" spans="1:3">
      <c r="A9201" s="48" t="s">
        <v>391</v>
      </c>
      <c r="B9201" s="549">
        <v>-1.08206</v>
      </c>
      <c r="C9201" s="549">
        <v>2.1699999999999998E-14</v>
      </c>
    </row>
    <row r="9202" spans="1:3">
      <c r="A9202" s="571" t="s">
        <v>391</v>
      </c>
      <c r="B9202" s="572">
        <v>6.4923400000000004</v>
      </c>
      <c r="C9202" s="572">
        <v>8.42</v>
      </c>
    </row>
    <row r="9203" spans="1:3">
      <c r="A9203" s="571" t="s">
        <v>391</v>
      </c>
      <c r="B9203" s="572">
        <v>8.1154200000000003</v>
      </c>
      <c r="C9203" s="572">
        <v>2.71</v>
      </c>
    </row>
    <row r="9204" spans="1:3">
      <c r="A9204" s="571" t="s">
        <v>391</v>
      </c>
      <c r="B9204" s="572">
        <v>9.1974800000000005</v>
      </c>
      <c r="C9204" s="572">
        <v>9.32</v>
      </c>
    </row>
    <row r="9205" spans="1:3">
      <c r="A9205" s="571" t="s">
        <v>391</v>
      </c>
      <c r="B9205" s="572">
        <v>14.066700000000001</v>
      </c>
      <c r="C9205" s="572">
        <v>14.736799999999999</v>
      </c>
    </row>
    <row r="9206" spans="1:3">
      <c r="A9206" s="571" t="s">
        <v>391</v>
      </c>
      <c r="B9206" s="572">
        <v>27.051400000000001</v>
      </c>
      <c r="C9206" s="572">
        <v>34.586500000000001</v>
      </c>
    </row>
    <row r="9207" spans="1:3">
      <c r="A9207" s="571" t="s">
        <v>391</v>
      </c>
      <c r="B9207" s="572">
        <v>53.020699999999998</v>
      </c>
      <c r="C9207" s="572">
        <v>48.721800000000002</v>
      </c>
    </row>
    <row r="9208" spans="1:3">
      <c r="A9208" s="571" t="s">
        <v>391</v>
      </c>
      <c r="B9208" s="572">
        <v>57.348999999999997</v>
      </c>
      <c r="C9208" s="572">
        <v>49.924799999999998</v>
      </c>
    </row>
    <row r="9209" spans="1:3">
      <c r="A9209" s="571" t="s">
        <v>391</v>
      </c>
      <c r="B9209" s="572">
        <v>73.038799999999995</v>
      </c>
      <c r="C9209" s="572">
        <v>50.526300000000006</v>
      </c>
    </row>
    <row r="9210" spans="1:3">
      <c r="A9210" s="571" t="s">
        <v>391</v>
      </c>
      <c r="B9210" s="572">
        <v>87.646500000000003</v>
      </c>
      <c r="C9210" s="572">
        <v>54.436100000000003</v>
      </c>
    </row>
    <row r="9211" spans="1:3">
      <c r="A9211" s="573" t="s">
        <v>391</v>
      </c>
      <c r="B9211" s="574">
        <v>101.71299999999999</v>
      </c>
      <c r="C9211" s="574">
        <v>54.436100000000003</v>
      </c>
    </row>
    <row r="9212" spans="1:3">
      <c r="A9212" s="573" t="s">
        <v>391</v>
      </c>
      <c r="B9212" s="574">
        <v>116.321</v>
      </c>
      <c r="C9212" s="574">
        <v>55.338299999999997</v>
      </c>
    </row>
    <row r="9213" spans="1:3">
      <c r="A9213" s="573" t="s">
        <v>391</v>
      </c>
      <c r="B9213" s="574">
        <v>130.38800000000001</v>
      </c>
      <c r="C9213" s="574">
        <v>57.142900000000004</v>
      </c>
    </row>
    <row r="9214" spans="1:3">
      <c r="A9214" s="573" t="s">
        <v>391</v>
      </c>
      <c r="B9214" s="574">
        <v>144.45400000000001</v>
      </c>
      <c r="C9214" s="574">
        <v>58.045099999999998</v>
      </c>
    </row>
    <row r="9215" spans="1:3">
      <c r="A9215" s="573" t="s">
        <v>391</v>
      </c>
      <c r="B9215" s="574">
        <v>159.06200000000001</v>
      </c>
      <c r="C9215" s="574">
        <v>61.353400000000001</v>
      </c>
    </row>
    <row r="9216" spans="1:3">
      <c r="A9216" s="573" t="s">
        <v>391</v>
      </c>
      <c r="B9216" s="574">
        <v>189.36</v>
      </c>
      <c r="C9216" s="574">
        <v>67.669200000000004</v>
      </c>
    </row>
    <row r="9217" spans="1:3">
      <c r="A9217" s="573" t="s">
        <v>391</v>
      </c>
      <c r="B9217" s="574">
        <v>215.32900000000001</v>
      </c>
      <c r="C9217" s="574">
        <v>71.578900000000004</v>
      </c>
    </row>
    <row r="9218" spans="1:3">
      <c r="A9218" s="573" t="s">
        <v>391</v>
      </c>
      <c r="B9218" s="574">
        <v>249.41399999999999</v>
      </c>
      <c r="C9218" s="574">
        <v>71.8797</v>
      </c>
    </row>
    <row r="9219" spans="1:3">
      <c r="A9219" s="573" t="s">
        <v>391</v>
      </c>
      <c r="B9219" s="574">
        <v>302.435</v>
      </c>
      <c r="C9219" s="574">
        <v>82.1053</v>
      </c>
    </row>
    <row r="9220" spans="1:3">
      <c r="A9220" s="573" t="s">
        <v>391</v>
      </c>
      <c r="B9220" s="574">
        <v>335.97800000000001</v>
      </c>
      <c r="C9220" s="574">
        <v>76.691699999999997</v>
      </c>
    </row>
    <row r="9221" spans="1:3">
      <c r="A9221" s="573" t="s">
        <v>391</v>
      </c>
      <c r="B9221" s="574">
        <v>365.19400000000002</v>
      </c>
      <c r="C9221" s="574">
        <v>77.594000000000008</v>
      </c>
    </row>
    <row r="9222" spans="1:3">
      <c r="A9222" s="573" t="s">
        <v>391</v>
      </c>
      <c r="B9222" s="574">
        <v>398.197</v>
      </c>
      <c r="C9222" s="574">
        <v>73.984999999999999</v>
      </c>
    </row>
    <row r="9223" spans="1:3">
      <c r="A9223" s="573" t="s">
        <v>391</v>
      </c>
      <c r="B9223" s="574">
        <v>426.87099999999998</v>
      </c>
      <c r="C9223" s="574">
        <v>68.270699999999991</v>
      </c>
    </row>
    <row r="9224" spans="1:3">
      <c r="A9224" s="573" t="s">
        <v>391</v>
      </c>
      <c r="B9224" s="574">
        <v>458.25099999999998</v>
      </c>
      <c r="C9224" s="574">
        <v>69.473699999999994</v>
      </c>
    </row>
    <row r="9225" spans="1:3">
      <c r="A9225" s="573" t="s">
        <v>391</v>
      </c>
      <c r="B9225" s="574">
        <v>492.87599999999998</v>
      </c>
      <c r="C9225" s="574">
        <v>69.172899999999998</v>
      </c>
    </row>
    <row r="9226" spans="1:3">
      <c r="A9226" s="571" t="s">
        <v>392</v>
      </c>
      <c r="B9226" s="572">
        <v>2.16411</v>
      </c>
      <c r="C9226" s="572">
        <v>0.30199999999999999</v>
      </c>
    </row>
    <row r="9227" spans="1:3">
      <c r="A9227" s="571" t="s">
        <v>392</v>
      </c>
      <c r="B9227" s="572">
        <v>26.510400000000001</v>
      </c>
      <c r="C9227" s="572">
        <v>54.122</v>
      </c>
    </row>
    <row r="9228" spans="1:3">
      <c r="A9228" s="571" t="s">
        <v>392</v>
      </c>
      <c r="B9228" s="572">
        <v>31.3796</v>
      </c>
      <c r="C9228" s="572">
        <v>58.330100000000002</v>
      </c>
    </row>
    <row r="9229" spans="1:3">
      <c r="A9229" s="571" t="s">
        <v>392</v>
      </c>
      <c r="B9229" s="572">
        <v>47.069400000000002</v>
      </c>
      <c r="C9229" s="572">
        <v>64.337299999999999</v>
      </c>
    </row>
    <row r="9230" spans="1:3">
      <c r="A9230" s="571" t="s">
        <v>392</v>
      </c>
      <c r="B9230" s="572">
        <v>61.136200000000002</v>
      </c>
      <c r="C9230" s="572">
        <v>69.142300000000006</v>
      </c>
    </row>
    <row r="9231" spans="1:3">
      <c r="A9231" s="571" t="s">
        <v>392</v>
      </c>
      <c r="B9231" s="572">
        <v>75.743899999999996</v>
      </c>
      <c r="C9231" s="572">
        <v>68.834199999999996</v>
      </c>
    </row>
    <row r="9232" spans="1:3">
      <c r="A9232" s="571" t="s">
        <v>392</v>
      </c>
      <c r="B9232" s="572">
        <v>90.351699999999994</v>
      </c>
      <c r="C9232" s="572">
        <v>73.338200000000001</v>
      </c>
    </row>
    <row r="9233" spans="1:3">
      <c r="A9233" s="573" t="s">
        <v>392</v>
      </c>
      <c r="B9233" s="574">
        <v>103.877</v>
      </c>
      <c r="C9233" s="574">
        <v>74.835099999999997</v>
      </c>
    </row>
    <row r="9234" spans="1:3">
      <c r="A9234" s="573" t="s">
        <v>392</v>
      </c>
      <c r="B9234" s="574">
        <v>117.944</v>
      </c>
      <c r="C9234" s="574">
        <v>76.331900000000005</v>
      </c>
    </row>
    <row r="9235" spans="1:3">
      <c r="A9235" s="573" t="s">
        <v>392</v>
      </c>
      <c r="B9235" s="574">
        <v>132.55199999999999</v>
      </c>
      <c r="C9235" s="574">
        <v>80.835800000000006</v>
      </c>
    </row>
    <row r="9236" spans="1:3">
      <c r="A9236" s="573" t="s">
        <v>392</v>
      </c>
      <c r="B9236" s="574">
        <v>162.84899999999999</v>
      </c>
      <c r="C9236" s="574">
        <v>86.835700000000003</v>
      </c>
    </row>
    <row r="9237" spans="1:3">
      <c r="A9237" s="573" t="s">
        <v>392</v>
      </c>
      <c r="B9237" s="574">
        <v>189.36</v>
      </c>
      <c r="C9237" s="574">
        <v>88.927599999999998</v>
      </c>
    </row>
    <row r="9238" spans="1:3">
      <c r="A9238" s="573" t="s">
        <v>392</v>
      </c>
      <c r="B9238" s="574">
        <v>223.44499999999999</v>
      </c>
      <c r="C9238" s="574">
        <v>91.316599999999994</v>
      </c>
    </row>
    <row r="9239" spans="1:3">
      <c r="A9239" s="573" t="s">
        <v>392</v>
      </c>
      <c r="B9239" s="574">
        <v>276.46499999999997</v>
      </c>
      <c r="C9239" s="574">
        <v>94.899000000000001</v>
      </c>
    </row>
    <row r="9240" spans="1:3">
      <c r="A9240" s="573" t="s">
        <v>392</v>
      </c>
      <c r="B9240" s="574">
        <v>310.00900000000001</v>
      </c>
      <c r="C9240" s="574">
        <v>89.468699999999998</v>
      </c>
    </row>
    <row r="9241" spans="1:3">
      <c r="A9241" s="573" t="s">
        <v>392</v>
      </c>
      <c r="B9241" s="574">
        <v>339.22500000000002</v>
      </c>
      <c r="C9241" s="574">
        <v>90.656999999999996</v>
      </c>
    </row>
    <row r="9242" spans="1:3">
      <c r="A9242" s="573" t="s">
        <v>392</v>
      </c>
      <c r="B9242" s="574">
        <v>372.22699999999998</v>
      </c>
      <c r="C9242" s="574">
        <v>87.63300000000001</v>
      </c>
    </row>
    <row r="9243" spans="1:3">
      <c r="A9243" s="573" t="s">
        <v>392</v>
      </c>
      <c r="B9243" s="574">
        <v>401.44299999999998</v>
      </c>
      <c r="C9243" s="574">
        <v>68.670999999999992</v>
      </c>
    </row>
    <row r="9244" spans="1:3">
      <c r="A9244" s="573" t="s">
        <v>392</v>
      </c>
      <c r="B9244" s="574">
        <v>432.28100000000001</v>
      </c>
      <c r="C9244" s="574">
        <v>83.392299999999992</v>
      </c>
    </row>
    <row r="9245" spans="1:3">
      <c r="A9245" s="573" t="s">
        <v>392</v>
      </c>
      <c r="B9245" s="574">
        <v>466.90699999999998</v>
      </c>
      <c r="C9245" s="574">
        <v>56.908800000000006</v>
      </c>
    </row>
    <row r="9246" spans="1:3">
      <c r="A9246" s="48" t="s">
        <v>393</v>
      </c>
      <c r="B9246" s="549">
        <v>-0.541516</v>
      </c>
      <c r="C9246" s="549">
        <v>0</v>
      </c>
    </row>
    <row r="9247" spans="1:3">
      <c r="A9247" s="571" t="s">
        <v>393</v>
      </c>
      <c r="B9247" s="572">
        <v>2.7075800000000001</v>
      </c>
      <c r="C9247" s="572">
        <v>5.13</v>
      </c>
    </row>
    <row r="9248" spans="1:3">
      <c r="A9248" s="571" t="s">
        <v>393</v>
      </c>
      <c r="B9248" s="572">
        <v>7.0397100000000004</v>
      </c>
      <c r="C9248" s="572">
        <v>7.24</v>
      </c>
    </row>
    <row r="9249" spans="1:3">
      <c r="A9249" s="571" t="s">
        <v>393</v>
      </c>
      <c r="B9249" s="572">
        <v>8.6642600000000005</v>
      </c>
      <c r="C9249" s="572">
        <v>0.60299999999999998</v>
      </c>
    </row>
    <row r="9250" spans="1:3">
      <c r="A9250" s="571" t="s">
        <v>393</v>
      </c>
      <c r="B9250" s="572">
        <v>10.2888</v>
      </c>
      <c r="C9250" s="572">
        <v>7.24</v>
      </c>
    </row>
    <row r="9251" spans="1:3">
      <c r="A9251" s="571" t="s">
        <v>393</v>
      </c>
      <c r="B9251" s="572">
        <v>14.620900000000001</v>
      </c>
      <c r="C9251" s="572">
        <v>15.075399999999998</v>
      </c>
    </row>
    <row r="9252" spans="1:3">
      <c r="A9252" s="571" t="s">
        <v>393</v>
      </c>
      <c r="B9252" s="572">
        <v>27.6173</v>
      </c>
      <c r="C9252" s="572">
        <v>33.165799999999997</v>
      </c>
    </row>
    <row r="9253" spans="1:3">
      <c r="A9253" s="571" t="s">
        <v>393</v>
      </c>
      <c r="B9253" s="572">
        <v>53.068600000000004</v>
      </c>
      <c r="C9253" s="572">
        <v>46.432199999999995</v>
      </c>
    </row>
    <row r="9254" spans="1:3">
      <c r="A9254" s="571" t="s">
        <v>393</v>
      </c>
      <c r="B9254" s="572">
        <v>58.483800000000002</v>
      </c>
      <c r="C9254" s="572">
        <v>51.557800000000007</v>
      </c>
    </row>
    <row r="9255" spans="1:3">
      <c r="A9255" s="571" t="s">
        <v>393</v>
      </c>
      <c r="B9255" s="572">
        <v>73.104699999999994</v>
      </c>
      <c r="C9255" s="572">
        <v>53.065299999999993</v>
      </c>
    </row>
    <row r="9256" spans="1:3">
      <c r="A9256" s="571" t="s">
        <v>393</v>
      </c>
      <c r="B9256" s="572">
        <v>87.184100000000001</v>
      </c>
      <c r="C9256" s="572">
        <v>56.381900000000002</v>
      </c>
    </row>
    <row r="9257" spans="1:3">
      <c r="A9257" s="573" t="s">
        <v>393</v>
      </c>
      <c r="B9257" s="574">
        <v>101.80500000000001</v>
      </c>
      <c r="C9257" s="574">
        <v>56.381900000000002</v>
      </c>
    </row>
    <row r="9258" spans="1:3">
      <c r="A9258" s="573" t="s">
        <v>393</v>
      </c>
      <c r="B9258" s="574">
        <v>115.884</v>
      </c>
      <c r="C9258" s="574">
        <v>57.889400000000002</v>
      </c>
    </row>
    <row r="9259" spans="1:3">
      <c r="A9259" s="573" t="s">
        <v>393</v>
      </c>
      <c r="B9259" s="574">
        <v>130.505</v>
      </c>
      <c r="C9259" s="574">
        <v>58.4925</v>
      </c>
    </row>
    <row r="9260" spans="1:3">
      <c r="A9260" s="573" t="s">
        <v>393</v>
      </c>
      <c r="B9260" s="574">
        <v>144.04300000000001</v>
      </c>
      <c r="C9260" s="574">
        <v>60.301500000000004</v>
      </c>
    </row>
    <row r="9261" spans="1:3">
      <c r="A9261" s="573" t="s">
        <v>393</v>
      </c>
      <c r="B9261" s="574">
        <v>159.20599999999999</v>
      </c>
      <c r="C9261" s="574">
        <v>63.618099999999998</v>
      </c>
    </row>
    <row r="9262" spans="1:3">
      <c r="A9262" s="573" t="s">
        <v>393</v>
      </c>
      <c r="B9262" s="574">
        <v>189.53100000000001</v>
      </c>
      <c r="C9262" s="574">
        <v>69.346699999999998</v>
      </c>
    </row>
    <row r="9263" spans="1:3">
      <c r="A9263" s="573" t="s">
        <v>393</v>
      </c>
      <c r="B9263" s="574">
        <v>214.982</v>
      </c>
      <c r="C9263" s="574">
        <v>73.567800000000005</v>
      </c>
    </row>
    <row r="9264" spans="1:3">
      <c r="A9264" s="573" t="s">
        <v>393</v>
      </c>
      <c r="B9264" s="574">
        <v>250.72200000000001</v>
      </c>
      <c r="C9264" s="574">
        <v>75.979900000000001</v>
      </c>
    </row>
    <row r="9265" spans="1:3">
      <c r="A9265" s="573" t="s">
        <v>393</v>
      </c>
      <c r="B9265" s="574">
        <v>302.70800000000003</v>
      </c>
      <c r="C9265" s="574">
        <v>83.819099999999992</v>
      </c>
    </row>
    <row r="9266" spans="1:3">
      <c r="A9266" s="573" t="s">
        <v>393</v>
      </c>
      <c r="B9266" s="574">
        <v>336.82299999999998</v>
      </c>
      <c r="C9266" s="574">
        <v>79.597999999999999</v>
      </c>
    </row>
    <row r="9267" spans="1:3">
      <c r="A9267" s="573" t="s">
        <v>393</v>
      </c>
      <c r="B9267" s="574">
        <v>366.065</v>
      </c>
      <c r="C9267" s="574">
        <v>80.804000000000002</v>
      </c>
    </row>
    <row r="9268" spans="1:3">
      <c r="A9268" s="573" t="s">
        <v>393</v>
      </c>
      <c r="B9268" s="574">
        <v>399.63900000000001</v>
      </c>
      <c r="C9268" s="574">
        <v>78.391999999999996</v>
      </c>
    </row>
    <row r="9269" spans="1:3">
      <c r="A9269" s="573" t="s">
        <v>393</v>
      </c>
      <c r="B9269" s="574">
        <v>428.339</v>
      </c>
      <c r="C9269" s="574">
        <v>72.361800000000002</v>
      </c>
    </row>
    <row r="9270" spans="1:3">
      <c r="A9270" s="573" t="s">
        <v>393</v>
      </c>
      <c r="B9270" s="574">
        <v>459.20600000000002</v>
      </c>
      <c r="C9270" s="574">
        <v>75.075400000000002</v>
      </c>
    </row>
    <row r="9271" spans="1:3">
      <c r="A9271" s="573" t="s">
        <v>393</v>
      </c>
      <c r="B9271" s="574">
        <v>493.863</v>
      </c>
      <c r="C9271" s="574">
        <v>75.376900000000006</v>
      </c>
    </row>
    <row r="9272" spans="1:3">
      <c r="A9272" s="571" t="s">
        <v>394</v>
      </c>
      <c r="B9272" s="572">
        <v>0.81053699999999995</v>
      </c>
      <c r="C9272" s="572">
        <v>0.55999999999999994</v>
      </c>
    </row>
    <row r="9273" spans="1:3">
      <c r="A9273" s="571" t="s">
        <v>394</v>
      </c>
      <c r="B9273" s="572">
        <v>2.8368799999999998</v>
      </c>
      <c r="C9273" s="572">
        <v>3.5500000000000003</v>
      </c>
    </row>
    <row r="9274" spans="1:3">
      <c r="A9274" s="571" t="s">
        <v>394</v>
      </c>
      <c r="B9274" s="572">
        <v>5.2684899999999999</v>
      </c>
      <c r="C9274" s="572">
        <v>6.53</v>
      </c>
    </row>
    <row r="9275" spans="1:3">
      <c r="A9275" s="571" t="s">
        <v>394</v>
      </c>
      <c r="B9275" s="572">
        <v>8.5106400000000004</v>
      </c>
      <c r="C9275" s="572">
        <v>9.89</v>
      </c>
    </row>
    <row r="9276" spans="1:3">
      <c r="A9276" s="571" t="s">
        <v>394</v>
      </c>
      <c r="B9276" s="572">
        <v>14.1844</v>
      </c>
      <c r="C9276" s="572">
        <v>14.933300000000001</v>
      </c>
    </row>
    <row r="9277" spans="1:3">
      <c r="A9277" s="571" t="s">
        <v>394</v>
      </c>
      <c r="B9277" s="572">
        <v>21.884499999999999</v>
      </c>
      <c r="C9277" s="572">
        <v>20.533300000000001</v>
      </c>
    </row>
    <row r="9278" spans="1:3">
      <c r="A9278" s="571" t="s">
        <v>394</v>
      </c>
      <c r="B9278" s="572">
        <v>28.774100000000001</v>
      </c>
      <c r="C9278" s="572">
        <v>25.386700000000001</v>
      </c>
    </row>
    <row r="9279" spans="1:3">
      <c r="A9279" s="571" t="s">
        <v>394</v>
      </c>
      <c r="B9279" s="572">
        <v>33.637300000000003</v>
      </c>
      <c r="C9279" s="572">
        <v>30.4267</v>
      </c>
    </row>
    <row r="9280" spans="1:3">
      <c r="A9280" s="571" t="s">
        <v>394</v>
      </c>
      <c r="B9280" s="572">
        <v>40.932099999999998</v>
      </c>
      <c r="C9280" s="572">
        <v>31.92</v>
      </c>
    </row>
    <row r="9281" spans="1:3">
      <c r="A9281" s="571" t="s">
        <v>394</v>
      </c>
      <c r="B9281" s="572">
        <v>68.085099999999997</v>
      </c>
      <c r="C9281" s="572">
        <v>40.32</v>
      </c>
    </row>
    <row r="9282" spans="1:3">
      <c r="A9282" s="573" t="s">
        <v>394</v>
      </c>
      <c r="B9282" s="574">
        <v>101.31699999999999</v>
      </c>
      <c r="C9282" s="574">
        <v>43.68</v>
      </c>
    </row>
    <row r="9283" spans="1:3">
      <c r="A9283" s="573" t="s">
        <v>394</v>
      </c>
      <c r="B9283" s="574">
        <v>154.00200000000001</v>
      </c>
      <c r="C9283" s="574">
        <v>49.093300000000006</v>
      </c>
    </row>
    <row r="9284" spans="1:3">
      <c r="A9284" s="573" t="s">
        <v>394</v>
      </c>
      <c r="B9284" s="574">
        <v>188.04499999999999</v>
      </c>
      <c r="C9284" s="574">
        <v>50.213299999999997</v>
      </c>
    </row>
    <row r="9285" spans="1:3">
      <c r="A9285" s="573" t="s">
        <v>394</v>
      </c>
      <c r="B9285" s="574">
        <v>216.81899999999999</v>
      </c>
      <c r="C9285" s="574">
        <v>50.773299999999999</v>
      </c>
    </row>
    <row r="9286" spans="1:3">
      <c r="A9286" s="573" t="s">
        <v>394</v>
      </c>
      <c r="B9286" s="574">
        <v>250.05099999999999</v>
      </c>
      <c r="C9286" s="574">
        <v>49.839999999999996</v>
      </c>
    </row>
    <row r="9287" spans="1:3">
      <c r="A9287" s="573" t="s">
        <v>394</v>
      </c>
      <c r="B9287" s="574">
        <v>278.82499999999999</v>
      </c>
      <c r="C9287" s="574">
        <v>47.973299999999995</v>
      </c>
    </row>
    <row r="9288" spans="1:3">
      <c r="A9288" s="573" t="s">
        <v>394</v>
      </c>
      <c r="B9288" s="574">
        <v>309.625</v>
      </c>
      <c r="C9288" s="574">
        <v>47.226700000000001</v>
      </c>
    </row>
    <row r="9289" spans="1:3">
      <c r="A9289" s="573" t="s">
        <v>394</v>
      </c>
      <c r="B9289" s="574">
        <v>344.47800000000001</v>
      </c>
      <c r="C9289" s="574">
        <v>43.493299999999998</v>
      </c>
    </row>
    <row r="9290" spans="1:3">
      <c r="A9290" s="571" t="s">
        <v>395</v>
      </c>
      <c r="B9290" s="572">
        <v>1.21827</v>
      </c>
      <c r="C9290" s="572">
        <v>0</v>
      </c>
    </row>
    <row r="9291" spans="1:3">
      <c r="A9291" s="571" t="s">
        <v>395</v>
      </c>
      <c r="B9291" s="572">
        <v>2.43655</v>
      </c>
      <c r="C9291" s="572">
        <v>2.8</v>
      </c>
    </row>
    <row r="9292" spans="1:3">
      <c r="A9292" s="571" t="s">
        <v>395</v>
      </c>
      <c r="B9292" s="572">
        <v>3.65482</v>
      </c>
      <c r="C9292" s="572">
        <v>5.2299999999999995</v>
      </c>
    </row>
    <row r="9293" spans="1:3">
      <c r="A9293" s="571" t="s">
        <v>395</v>
      </c>
      <c r="B9293" s="572">
        <v>5.2791899999999998</v>
      </c>
      <c r="C9293" s="572">
        <v>6.35</v>
      </c>
    </row>
    <row r="9294" spans="1:3">
      <c r="A9294" s="571" t="s">
        <v>395</v>
      </c>
      <c r="B9294" s="572">
        <v>6.0913700000000004</v>
      </c>
      <c r="C9294" s="572">
        <v>7.65</v>
      </c>
    </row>
    <row r="9295" spans="1:3">
      <c r="A9295" s="571" t="s">
        <v>395</v>
      </c>
      <c r="B9295" s="572">
        <v>7.3096399999999999</v>
      </c>
      <c r="C9295" s="572">
        <v>10.08</v>
      </c>
    </row>
    <row r="9296" spans="1:3">
      <c r="A9296" s="571" t="s">
        <v>395</v>
      </c>
      <c r="B9296" s="572">
        <v>12.994899999999999</v>
      </c>
      <c r="C9296" s="572">
        <v>13.253299999999999</v>
      </c>
    </row>
    <row r="9297" spans="1:3">
      <c r="A9297" s="571" t="s">
        <v>395</v>
      </c>
      <c r="B9297" s="572">
        <v>21.5228</v>
      </c>
      <c r="C9297" s="572">
        <v>17.7333</v>
      </c>
    </row>
    <row r="9298" spans="1:3">
      <c r="A9298" s="571" t="s">
        <v>395</v>
      </c>
      <c r="B9298" s="572">
        <v>28.8325</v>
      </c>
      <c r="C9298" s="572">
        <v>23.52</v>
      </c>
    </row>
    <row r="9299" spans="1:3">
      <c r="A9299" s="571" t="s">
        <v>395</v>
      </c>
      <c r="B9299" s="572">
        <v>32.8934</v>
      </c>
      <c r="C9299" s="572">
        <v>28.56</v>
      </c>
    </row>
    <row r="9300" spans="1:3">
      <c r="A9300" s="571" t="s">
        <v>395</v>
      </c>
      <c r="B9300" s="572">
        <v>40.609099999999998</v>
      </c>
      <c r="C9300" s="572">
        <v>30.986700000000003</v>
      </c>
    </row>
    <row r="9301" spans="1:3">
      <c r="A9301" s="571" t="s">
        <v>395</v>
      </c>
      <c r="B9301" s="572">
        <v>67.411199999999994</v>
      </c>
      <c r="C9301" s="572">
        <v>39.573300000000003</v>
      </c>
    </row>
    <row r="9302" spans="1:3">
      <c r="A9302" s="573" t="s">
        <v>395</v>
      </c>
      <c r="B9302" s="574">
        <v>100.711</v>
      </c>
      <c r="C9302" s="574">
        <v>43.68</v>
      </c>
    </row>
    <row r="9303" spans="1:3">
      <c r="A9303" s="573" t="s">
        <v>395</v>
      </c>
      <c r="B9303" s="574">
        <v>153.90899999999999</v>
      </c>
      <c r="C9303" s="574">
        <v>50.213299999999997</v>
      </c>
    </row>
    <row r="9304" spans="1:3">
      <c r="A9304" s="573" t="s">
        <v>395</v>
      </c>
      <c r="B9304" s="574">
        <v>188.02</v>
      </c>
      <c r="C9304" s="574">
        <v>50.96</v>
      </c>
    </row>
    <row r="9305" spans="1:3">
      <c r="A9305" s="573" t="s">
        <v>395</v>
      </c>
      <c r="B9305" s="574">
        <v>216.85300000000001</v>
      </c>
      <c r="C9305" s="574">
        <v>52.08</v>
      </c>
    </row>
    <row r="9306" spans="1:3">
      <c r="A9306" s="573" t="s">
        <v>395</v>
      </c>
      <c r="B9306" s="574">
        <v>250.55799999999999</v>
      </c>
      <c r="C9306" s="574">
        <v>51.706699999999998</v>
      </c>
    </row>
    <row r="9307" spans="1:3">
      <c r="A9307" s="573" t="s">
        <v>395</v>
      </c>
      <c r="B9307" s="574">
        <v>278.57900000000001</v>
      </c>
      <c r="C9307" s="574">
        <v>50.026699999999998</v>
      </c>
    </row>
    <row r="9308" spans="1:3">
      <c r="A9308" s="573" t="s">
        <v>395</v>
      </c>
      <c r="B9308" s="574">
        <v>310.25400000000002</v>
      </c>
      <c r="C9308" s="574">
        <v>49.280000000000008</v>
      </c>
    </row>
    <row r="9309" spans="1:3">
      <c r="A9309" s="573" t="s">
        <v>395</v>
      </c>
      <c r="B9309" s="574">
        <v>345.178</v>
      </c>
      <c r="C9309" s="574">
        <v>45.173299999999998</v>
      </c>
    </row>
    <row r="9310" spans="1:3">
      <c r="A9310" s="571" t="s">
        <v>396</v>
      </c>
      <c r="B9310" s="572">
        <v>0.81135900000000005</v>
      </c>
      <c r="C9310" s="572">
        <v>3.8000000000000002E-4</v>
      </c>
    </row>
    <row r="9311" spans="1:3">
      <c r="A9311" s="571" t="s">
        <v>396</v>
      </c>
      <c r="B9311" s="572">
        <v>2.0284</v>
      </c>
      <c r="C9311" s="572">
        <v>3.18</v>
      </c>
    </row>
    <row r="9312" spans="1:3">
      <c r="A9312" s="571" t="s">
        <v>396</v>
      </c>
      <c r="B9312" s="572">
        <v>2.8397600000000001</v>
      </c>
      <c r="C9312" s="572">
        <v>7.3</v>
      </c>
    </row>
    <row r="9313" spans="1:3">
      <c r="A9313" s="571" t="s">
        <v>396</v>
      </c>
      <c r="B9313" s="572">
        <v>4.86815</v>
      </c>
      <c r="C9313" s="572">
        <v>8.7999999999999989</v>
      </c>
    </row>
    <row r="9314" spans="1:3">
      <c r="A9314" s="571" t="s">
        <v>396</v>
      </c>
      <c r="B9314" s="572">
        <v>6.4908700000000001</v>
      </c>
      <c r="C9314" s="572">
        <v>10.110000000000001</v>
      </c>
    </row>
    <row r="9315" spans="1:3">
      <c r="A9315" s="571" t="s">
        <v>396</v>
      </c>
      <c r="B9315" s="572">
        <v>8.1135900000000003</v>
      </c>
      <c r="C9315" s="572">
        <v>12.169599999999999</v>
      </c>
    </row>
    <row r="9316" spans="1:3">
      <c r="A9316" s="571" t="s">
        <v>396</v>
      </c>
      <c r="B9316" s="572">
        <v>13.3874</v>
      </c>
      <c r="C9316" s="572">
        <v>16.663999999999998</v>
      </c>
    </row>
    <row r="9317" spans="1:3">
      <c r="A9317" s="571" t="s">
        <v>396</v>
      </c>
      <c r="B9317" s="572">
        <v>21.906700000000001</v>
      </c>
      <c r="C9317" s="572">
        <v>22.095800000000001</v>
      </c>
    </row>
    <row r="9318" spans="1:3">
      <c r="A9318" s="571" t="s">
        <v>396</v>
      </c>
      <c r="B9318" s="572">
        <v>28.8032</v>
      </c>
      <c r="C9318" s="572">
        <v>26.591000000000001</v>
      </c>
    </row>
    <row r="9319" spans="1:3">
      <c r="A9319" s="571" t="s">
        <v>396</v>
      </c>
      <c r="B9319" s="572">
        <v>32.86</v>
      </c>
      <c r="C9319" s="572">
        <v>32.956600000000002</v>
      </c>
    </row>
    <row r="9320" spans="1:3">
      <c r="A9320" s="571" t="s">
        <v>396</v>
      </c>
      <c r="B9320" s="572">
        <v>40.973599999999998</v>
      </c>
      <c r="C9320" s="572">
        <v>34.644800000000004</v>
      </c>
    </row>
    <row r="9321" spans="1:3">
      <c r="A9321" s="571" t="s">
        <v>396</v>
      </c>
      <c r="B9321" s="572">
        <v>66.531400000000005</v>
      </c>
      <c r="C9321" s="572">
        <v>42.892099999999999</v>
      </c>
    </row>
    <row r="9322" spans="1:3">
      <c r="A9322" s="573" t="s">
        <v>396</v>
      </c>
      <c r="B9322" s="574">
        <v>101.014</v>
      </c>
      <c r="C9322" s="574">
        <v>48.523199999999996</v>
      </c>
    </row>
    <row r="9323" spans="1:3">
      <c r="A9323" s="573" t="s">
        <v>396</v>
      </c>
      <c r="B9323" s="574">
        <v>154.15799999999999</v>
      </c>
      <c r="C9323" s="574">
        <v>54.162999999999997</v>
      </c>
    </row>
    <row r="9324" spans="1:3">
      <c r="A9324" s="573" t="s">
        <v>396</v>
      </c>
      <c r="B9324" s="574">
        <v>188.23500000000001</v>
      </c>
      <c r="C9324" s="574">
        <v>56.986499999999999</v>
      </c>
    </row>
    <row r="9325" spans="1:3">
      <c r="A9325" s="573" t="s">
        <v>396</v>
      </c>
      <c r="B9325" s="574">
        <v>216.63300000000001</v>
      </c>
      <c r="C9325" s="574">
        <v>57.935599999999994</v>
      </c>
    </row>
    <row r="9326" spans="1:3">
      <c r="A9326" s="573" t="s">
        <v>396</v>
      </c>
      <c r="B9326" s="574">
        <v>249.899</v>
      </c>
      <c r="C9326" s="574">
        <v>56.828200000000002</v>
      </c>
    </row>
    <row r="9327" spans="1:3">
      <c r="A9327" s="573" t="s">
        <v>396</v>
      </c>
      <c r="B9327" s="574">
        <v>279.108</v>
      </c>
      <c r="C9327" s="574">
        <v>55.157299999999999</v>
      </c>
    </row>
    <row r="9328" spans="1:3">
      <c r="A9328" s="573" t="s">
        <v>396</v>
      </c>
      <c r="B9328" s="574">
        <v>309.53300000000002</v>
      </c>
      <c r="C9328" s="574">
        <v>53.299900000000001</v>
      </c>
    </row>
    <row r="9329" spans="1:3">
      <c r="A9329" s="573" t="s">
        <v>396</v>
      </c>
      <c r="B9329" s="574">
        <v>344.42200000000003</v>
      </c>
      <c r="C9329" s="574">
        <v>50.695899999999995</v>
      </c>
    </row>
    <row r="9330" spans="1:3">
      <c r="A9330" s="571" t="s">
        <v>2037</v>
      </c>
      <c r="B9330" s="572">
        <v>0.68259400000000003</v>
      </c>
      <c r="C9330" s="572">
        <v>0</v>
      </c>
    </row>
    <row r="9331" spans="1:3">
      <c r="A9331" s="571" t="s">
        <v>2037</v>
      </c>
      <c r="B9331" s="572">
        <v>1.3651899999999999</v>
      </c>
      <c r="C9331" s="572">
        <v>29.126200000000001</v>
      </c>
    </row>
    <row r="9332" spans="1:3">
      <c r="A9332" s="571" t="s">
        <v>2037</v>
      </c>
      <c r="B9332" s="572">
        <v>2.7303799999999998</v>
      </c>
      <c r="C9332" s="572">
        <v>58.252400000000002</v>
      </c>
    </row>
    <row r="9333" spans="1:3">
      <c r="A9333" s="571" t="s">
        <v>2037</v>
      </c>
      <c r="B9333" s="572">
        <v>3.4129700000000001</v>
      </c>
      <c r="C9333" s="572">
        <v>72.8155</v>
      </c>
    </row>
    <row r="9334" spans="1:3">
      <c r="A9334" s="571" t="s">
        <v>2037</v>
      </c>
      <c r="B9334" s="572">
        <v>6.1433400000000002</v>
      </c>
      <c r="C9334" s="572">
        <v>84.951499999999996</v>
      </c>
    </row>
    <row r="9335" spans="1:3">
      <c r="A9335" s="571" t="s">
        <v>2037</v>
      </c>
      <c r="B9335" s="572">
        <v>6.8259400000000001</v>
      </c>
      <c r="C9335" s="572">
        <v>118.932</v>
      </c>
    </row>
    <row r="9336" spans="1:3">
      <c r="A9336" s="571" t="s">
        <v>2037</v>
      </c>
      <c r="B9336" s="572">
        <v>15.017099999999999</v>
      </c>
      <c r="C9336" s="572">
        <v>160.19399999999999</v>
      </c>
    </row>
    <row r="9337" spans="1:3">
      <c r="A9337" s="571" t="s">
        <v>2037</v>
      </c>
      <c r="B9337" s="572">
        <v>20.477799999999998</v>
      </c>
      <c r="C9337" s="572">
        <v>199.029</v>
      </c>
    </row>
    <row r="9338" spans="1:3">
      <c r="A9338" s="571" t="s">
        <v>2037</v>
      </c>
      <c r="B9338" s="572">
        <v>27.303799999999999</v>
      </c>
      <c r="C9338" s="572">
        <v>218.447</v>
      </c>
    </row>
    <row r="9339" spans="1:3">
      <c r="A9339" s="571" t="s">
        <v>2037</v>
      </c>
      <c r="B9339" s="572">
        <v>65.528999999999996</v>
      </c>
      <c r="C9339" s="572">
        <v>250</v>
      </c>
    </row>
    <row r="9340" spans="1:3">
      <c r="A9340" s="571" t="s">
        <v>2037</v>
      </c>
      <c r="B9340" s="572">
        <v>97.610900000000001</v>
      </c>
      <c r="C9340" s="572">
        <v>279.12599999999998</v>
      </c>
    </row>
    <row r="9341" spans="1:3">
      <c r="A9341" s="573" t="s">
        <v>2037</v>
      </c>
      <c r="B9341" s="574">
        <v>133.10599999999999</v>
      </c>
      <c r="C9341" s="574">
        <v>276.69900000000001</v>
      </c>
    </row>
    <row r="9342" spans="1:3">
      <c r="A9342" s="573" t="s">
        <v>2037</v>
      </c>
      <c r="B9342" s="574">
        <v>160.41</v>
      </c>
      <c r="C9342" s="574">
        <v>286.40800000000002</v>
      </c>
    </row>
    <row r="9343" spans="1:3">
      <c r="A9343" s="573" t="s">
        <v>2037</v>
      </c>
      <c r="B9343" s="574">
        <v>189.078</v>
      </c>
      <c r="C9343" s="574">
        <v>266.99</v>
      </c>
    </row>
    <row r="9344" spans="1:3">
      <c r="A9344" s="573" t="s">
        <v>2037</v>
      </c>
      <c r="B9344" s="574">
        <v>219.113</v>
      </c>
      <c r="C9344" s="574">
        <v>245.14599999999999</v>
      </c>
    </row>
    <row r="9345" spans="1:3">
      <c r="A9345" s="573" t="s">
        <v>2037</v>
      </c>
      <c r="B9345" s="574">
        <v>250.512</v>
      </c>
      <c r="C9345" s="574">
        <v>247.57300000000001</v>
      </c>
    </row>
    <row r="9346" spans="1:3">
      <c r="A9346" s="573" t="s">
        <v>2037</v>
      </c>
      <c r="B9346" s="574">
        <v>281.911</v>
      </c>
      <c r="C9346" s="574">
        <v>213.59200000000001</v>
      </c>
    </row>
    <row r="9347" spans="1:3">
      <c r="A9347" s="573" t="s">
        <v>2037</v>
      </c>
      <c r="B9347" s="574">
        <v>313.99299999999999</v>
      </c>
      <c r="C9347" s="574">
        <v>242.71799999999999</v>
      </c>
    </row>
    <row r="9348" spans="1:3">
      <c r="A9348" s="573" t="s">
        <v>2037</v>
      </c>
      <c r="B9348" s="574">
        <v>372.01400000000001</v>
      </c>
      <c r="C9348" s="574">
        <v>266.99</v>
      </c>
    </row>
    <row r="9349" spans="1:3">
      <c r="A9349" s="571" t="s">
        <v>2038</v>
      </c>
      <c r="B9349" s="572">
        <v>0</v>
      </c>
      <c r="C9349" s="572">
        <v>2.4213100000000001</v>
      </c>
    </row>
    <row r="9350" spans="1:3">
      <c r="A9350" s="571" t="s">
        <v>2038</v>
      </c>
      <c r="B9350" s="572">
        <v>1.3675200000000001</v>
      </c>
      <c r="C9350" s="572">
        <v>55.690100000000001</v>
      </c>
    </row>
    <row r="9351" spans="1:3">
      <c r="A9351" s="571" t="s">
        <v>2038</v>
      </c>
      <c r="B9351" s="572">
        <v>5.4700899999999999</v>
      </c>
      <c r="C9351" s="572">
        <v>84.745800000000003</v>
      </c>
    </row>
    <row r="9352" spans="1:3">
      <c r="A9352" s="571" t="s">
        <v>2038</v>
      </c>
      <c r="B9352" s="572">
        <v>14.359</v>
      </c>
      <c r="C9352" s="572">
        <v>135.59299999999999</v>
      </c>
    </row>
    <row r="9353" spans="1:3">
      <c r="A9353" s="571" t="s">
        <v>2038</v>
      </c>
      <c r="B9353" s="572">
        <v>21.1966</v>
      </c>
      <c r="C9353" s="572">
        <v>176.755</v>
      </c>
    </row>
    <row r="9354" spans="1:3">
      <c r="A9354" s="571" t="s">
        <v>2038</v>
      </c>
      <c r="B9354" s="572">
        <v>28.7179</v>
      </c>
      <c r="C9354" s="572">
        <v>193.70500000000001</v>
      </c>
    </row>
    <row r="9355" spans="1:3">
      <c r="A9355" s="571" t="s">
        <v>2038</v>
      </c>
      <c r="B9355" s="572">
        <v>64.273499999999999</v>
      </c>
      <c r="C9355" s="572">
        <v>227.60300000000001</v>
      </c>
    </row>
    <row r="9356" spans="1:3">
      <c r="A9356" s="571" t="s">
        <v>2038</v>
      </c>
      <c r="B9356" s="572">
        <v>97.777799999999999</v>
      </c>
      <c r="C9356" s="572">
        <v>239.709</v>
      </c>
    </row>
    <row r="9357" spans="1:3">
      <c r="A9357" s="573" t="s">
        <v>2038</v>
      </c>
      <c r="B9357" s="574">
        <v>131.28200000000001</v>
      </c>
      <c r="C9357" s="574">
        <v>239.709</v>
      </c>
    </row>
    <row r="9358" spans="1:3">
      <c r="A9358" s="573" t="s">
        <v>2038</v>
      </c>
      <c r="B9358" s="574">
        <v>158.63200000000001</v>
      </c>
      <c r="C9358" s="574">
        <v>251.816</v>
      </c>
    </row>
    <row r="9359" spans="1:3">
      <c r="A9359" s="573" t="s">
        <v>2038</v>
      </c>
      <c r="B9359" s="574">
        <v>188.71799999999999</v>
      </c>
      <c r="C9359" s="574">
        <v>215.49600000000001</v>
      </c>
    </row>
    <row r="9360" spans="1:3">
      <c r="A9360" s="573" t="s">
        <v>2038</v>
      </c>
      <c r="B9360" s="574">
        <v>218.12</v>
      </c>
      <c r="C9360" s="574">
        <v>225.18199999999999</v>
      </c>
    </row>
    <row r="9361" spans="1:3">
      <c r="A9361" s="573" t="s">
        <v>2038</v>
      </c>
      <c r="B9361" s="574">
        <v>252.30799999999999</v>
      </c>
      <c r="C9361" s="574">
        <v>227.60300000000001</v>
      </c>
    </row>
    <row r="9362" spans="1:3">
      <c r="A9362" s="573" t="s">
        <v>2038</v>
      </c>
      <c r="B9362" s="574">
        <v>280.34199999999998</v>
      </c>
      <c r="C9362" s="574">
        <v>203.39</v>
      </c>
    </row>
    <row r="9363" spans="1:3">
      <c r="A9363" s="573" t="s">
        <v>2038</v>
      </c>
      <c r="B9363" s="574">
        <v>313.16199999999998</v>
      </c>
      <c r="C9363" s="574">
        <v>213.07499999999999</v>
      </c>
    </row>
    <row r="9364" spans="1:3">
      <c r="A9364" s="573" t="s">
        <v>2038</v>
      </c>
      <c r="B9364" s="574">
        <v>371.28199999999998</v>
      </c>
      <c r="C9364" s="574">
        <v>217.91800000000001</v>
      </c>
    </row>
    <row r="9365" spans="1:3">
      <c r="A9365" s="571" t="s">
        <v>2039</v>
      </c>
      <c r="B9365" s="572">
        <v>0.67814399999999997</v>
      </c>
      <c r="C9365" s="572">
        <v>4.8233600000000001</v>
      </c>
    </row>
    <row r="9366" spans="1:3">
      <c r="A9366" s="571" t="s">
        <v>2039</v>
      </c>
      <c r="B9366" s="572">
        <v>0.70934200000000003</v>
      </c>
      <c r="C9366" s="572">
        <v>40.959600000000002</v>
      </c>
    </row>
    <row r="9367" spans="1:3">
      <c r="A9367" s="571" t="s">
        <v>2039</v>
      </c>
      <c r="B9367" s="572">
        <v>0.72247799999999995</v>
      </c>
      <c r="C9367" s="572">
        <v>60.236600000000003</v>
      </c>
    </row>
    <row r="9368" spans="1:3">
      <c r="A9368" s="571" t="s">
        <v>2039</v>
      </c>
      <c r="B9368" s="572">
        <v>4.1591800000000001</v>
      </c>
      <c r="C9368" s="572">
        <v>103.589</v>
      </c>
    </row>
    <row r="9369" spans="1:3">
      <c r="A9369" s="571" t="s">
        <v>2039</v>
      </c>
      <c r="B9369" s="572">
        <v>11.712400000000001</v>
      </c>
      <c r="C9369" s="572">
        <v>187.881</v>
      </c>
    </row>
    <row r="9370" spans="1:3">
      <c r="A9370" s="571" t="s">
        <v>2039</v>
      </c>
      <c r="B9370" s="572">
        <v>20.593900000000001</v>
      </c>
      <c r="C9370" s="572">
        <v>221.56299999999999</v>
      </c>
    </row>
    <row r="9371" spans="1:3">
      <c r="A9371" s="571" t="s">
        <v>2039</v>
      </c>
      <c r="B9371" s="572">
        <v>28.129000000000001</v>
      </c>
      <c r="C9371" s="572">
        <v>279.34899999999999</v>
      </c>
    </row>
    <row r="9372" spans="1:3">
      <c r="A9372" s="571" t="s">
        <v>2039</v>
      </c>
      <c r="B9372" s="572">
        <v>63.606000000000002</v>
      </c>
      <c r="C9372" s="572">
        <v>341.786</v>
      </c>
    </row>
    <row r="9373" spans="1:3">
      <c r="A9373" s="571" t="s">
        <v>2039</v>
      </c>
      <c r="B9373" s="572">
        <v>89.521600000000007</v>
      </c>
      <c r="C9373" s="572">
        <v>372.95499999999998</v>
      </c>
    </row>
    <row r="9374" spans="1:3">
      <c r="A9374" s="573" t="s">
        <v>2039</v>
      </c>
      <c r="B9374" s="574">
        <v>123.608</v>
      </c>
      <c r="C9374" s="574">
        <v>394.43599999999998</v>
      </c>
    </row>
    <row r="9375" spans="1:3">
      <c r="A9375" s="573" t="s">
        <v>2039</v>
      </c>
      <c r="B9375" s="574">
        <v>151.56899999999999</v>
      </c>
      <c r="C9375" s="574">
        <v>428.00299999999999</v>
      </c>
    </row>
    <row r="9376" spans="1:3">
      <c r="A9376" s="573" t="s">
        <v>2039</v>
      </c>
      <c r="B9376" s="574">
        <v>181.54599999999999</v>
      </c>
      <c r="C9376" s="574">
        <v>418.18299999999999</v>
      </c>
    </row>
    <row r="9377" spans="1:3">
      <c r="A9377" s="573" t="s">
        <v>2039</v>
      </c>
      <c r="B9377" s="574">
        <v>210.13800000000001</v>
      </c>
      <c r="C9377" s="574">
        <v>377.04700000000003</v>
      </c>
    </row>
    <row r="9378" spans="1:3">
      <c r="A9378" s="573" t="s">
        <v>2039</v>
      </c>
      <c r="B9378" s="574">
        <v>242.17099999999999</v>
      </c>
      <c r="C9378" s="574">
        <v>386.49299999999999</v>
      </c>
    </row>
    <row r="9379" spans="1:3">
      <c r="A9379" s="573" t="s">
        <v>2039</v>
      </c>
      <c r="B9379" s="574">
        <v>273.49700000000001</v>
      </c>
      <c r="C9379" s="574">
        <v>357.38900000000001</v>
      </c>
    </row>
    <row r="9380" spans="1:3">
      <c r="A9380" s="573" t="s">
        <v>2039</v>
      </c>
      <c r="B9380" s="574">
        <v>305.56900000000002</v>
      </c>
      <c r="C9380" s="574">
        <v>422.25599999999997</v>
      </c>
    </row>
    <row r="9381" spans="1:3">
      <c r="A9381" s="573" t="s">
        <v>2039</v>
      </c>
      <c r="B9381" s="574">
        <v>368.262</v>
      </c>
      <c r="C9381" s="574">
        <v>424.28800000000001</v>
      </c>
    </row>
    <row r="9382" spans="1:3">
      <c r="A9382" s="571" t="s">
        <v>2040</v>
      </c>
      <c r="B9382" s="572">
        <v>0.68027199999999999</v>
      </c>
      <c r="C9382" s="572">
        <v>0</v>
      </c>
    </row>
    <row r="9383" spans="1:3">
      <c r="A9383" s="571" t="s">
        <v>2040</v>
      </c>
      <c r="B9383" s="572">
        <v>6.1749000000000001</v>
      </c>
      <c r="C9383" s="572">
        <v>77.108400000000003</v>
      </c>
    </row>
    <row r="9384" spans="1:3">
      <c r="A9384" s="571" t="s">
        <v>2040</v>
      </c>
      <c r="B9384" s="572">
        <v>13.0448</v>
      </c>
      <c r="C9384" s="572">
        <v>175.904</v>
      </c>
    </row>
    <row r="9385" spans="1:3">
      <c r="A9385" s="571" t="s">
        <v>2040</v>
      </c>
      <c r="B9385" s="572">
        <v>20.5426</v>
      </c>
      <c r="C9385" s="572">
        <v>197.59</v>
      </c>
    </row>
    <row r="9386" spans="1:3">
      <c r="A9386" s="571" t="s">
        <v>2040</v>
      </c>
      <c r="B9386" s="572">
        <v>28.063300000000002</v>
      </c>
      <c r="C9386" s="572">
        <v>253.012</v>
      </c>
    </row>
    <row r="9387" spans="1:3">
      <c r="A9387" s="571" t="s">
        <v>2040</v>
      </c>
      <c r="B9387" s="572">
        <v>64.1374</v>
      </c>
      <c r="C9387" s="572">
        <v>281.928</v>
      </c>
    </row>
    <row r="9388" spans="1:3">
      <c r="A9388" s="571" t="s">
        <v>2040</v>
      </c>
      <c r="B9388" s="572">
        <v>89.325500000000005</v>
      </c>
      <c r="C9388" s="572">
        <v>308.43400000000003</v>
      </c>
    </row>
    <row r="9389" spans="1:3">
      <c r="A9389" s="573" t="s">
        <v>2040</v>
      </c>
      <c r="B9389" s="574">
        <v>123.34399999999999</v>
      </c>
      <c r="C9389" s="574">
        <v>315.66300000000001</v>
      </c>
    </row>
    <row r="9390" spans="1:3">
      <c r="A9390" s="573" t="s">
        <v>2040</v>
      </c>
      <c r="B9390" s="574">
        <v>151.24799999999999</v>
      </c>
      <c r="C9390" s="574">
        <v>334.94</v>
      </c>
    </row>
    <row r="9391" spans="1:3">
      <c r="A9391" s="573" t="s">
        <v>2040</v>
      </c>
      <c r="B9391" s="574">
        <v>180.50700000000001</v>
      </c>
      <c r="C9391" s="574">
        <v>344.57799999999997</v>
      </c>
    </row>
    <row r="9392" spans="1:3">
      <c r="A9392" s="573" t="s">
        <v>2040</v>
      </c>
      <c r="B9392" s="574">
        <v>209.75</v>
      </c>
      <c r="C9392" s="574">
        <v>332.53</v>
      </c>
    </row>
    <row r="9393" spans="1:3">
      <c r="A9393" s="573" t="s">
        <v>2040</v>
      </c>
      <c r="B9393" s="574">
        <v>242.411</v>
      </c>
      <c r="C9393" s="574">
        <v>344.57799999999997</v>
      </c>
    </row>
    <row r="9394" spans="1:3">
      <c r="A9394" s="573" t="s">
        <v>2040</v>
      </c>
      <c r="B9394" s="574">
        <v>271.64699999999999</v>
      </c>
      <c r="C9394" s="574">
        <v>320.48200000000003</v>
      </c>
    </row>
    <row r="9395" spans="1:3">
      <c r="A9395" s="573" t="s">
        <v>2040</v>
      </c>
      <c r="B9395" s="574">
        <v>304.98500000000001</v>
      </c>
      <c r="C9395" s="574">
        <v>327.71100000000001</v>
      </c>
    </row>
    <row r="9396" spans="1:3">
      <c r="A9396" s="573" t="s">
        <v>2040</v>
      </c>
      <c r="B9396" s="574">
        <v>367.58</v>
      </c>
      <c r="C9396" s="574">
        <v>342.16899999999998</v>
      </c>
    </row>
    <row r="9397" spans="1:3">
      <c r="A9397" s="571" t="s">
        <v>2041</v>
      </c>
      <c r="B9397" s="572">
        <v>1.3674599999999999</v>
      </c>
      <c r="C9397" s="572">
        <v>4.1998300000000002E-2</v>
      </c>
    </row>
    <row r="9398" spans="1:3">
      <c r="A9398" s="571" t="s">
        <v>2041</v>
      </c>
      <c r="B9398" s="572">
        <v>2.77861</v>
      </c>
      <c r="C9398" s="572">
        <v>31.855699999999999</v>
      </c>
    </row>
    <row r="9399" spans="1:3">
      <c r="A9399" s="571" t="s">
        <v>2041</v>
      </c>
      <c r="B9399" s="572">
        <v>3.4824999999999999</v>
      </c>
      <c r="C9399" s="572">
        <v>46.576099999999997</v>
      </c>
    </row>
    <row r="9400" spans="1:3">
      <c r="A9400" s="571" t="s">
        <v>2041</v>
      </c>
      <c r="B9400" s="572">
        <v>3.51274</v>
      </c>
      <c r="C9400" s="572">
        <v>68.688199999999995</v>
      </c>
    </row>
    <row r="9401" spans="1:3">
      <c r="A9401" s="571" t="s">
        <v>2041</v>
      </c>
      <c r="B9401" s="572">
        <v>4.2300700000000004</v>
      </c>
      <c r="C9401" s="572">
        <v>93.236199999999997</v>
      </c>
    </row>
    <row r="9402" spans="1:3">
      <c r="A9402" s="571" t="s">
        <v>2041</v>
      </c>
      <c r="B9402" s="572">
        <v>6.9918699999999996</v>
      </c>
      <c r="C9402" s="572">
        <v>112.807</v>
      </c>
    </row>
    <row r="9403" spans="1:3">
      <c r="A9403" s="571" t="s">
        <v>2041</v>
      </c>
      <c r="B9403" s="572">
        <v>13.253</v>
      </c>
      <c r="C9403" s="572">
        <v>191.239</v>
      </c>
    </row>
    <row r="9404" spans="1:3">
      <c r="A9404" s="571" t="s">
        <v>2041</v>
      </c>
      <c r="B9404" s="572">
        <v>21.5182</v>
      </c>
      <c r="C9404" s="572">
        <v>235.21100000000001</v>
      </c>
    </row>
    <row r="9405" spans="1:3">
      <c r="A9405" s="571" t="s">
        <v>2041</v>
      </c>
      <c r="B9405" s="572">
        <v>27.715499999999999</v>
      </c>
      <c r="C9405" s="572">
        <v>266.96199999999999</v>
      </c>
    </row>
    <row r="9406" spans="1:3">
      <c r="A9406" s="571" t="s">
        <v>2041</v>
      </c>
      <c r="B9406" s="572">
        <v>44.886099999999999</v>
      </c>
      <c r="C9406" s="572">
        <v>322.94600000000003</v>
      </c>
    </row>
    <row r="9407" spans="1:3">
      <c r="A9407" s="571" t="s">
        <v>2041</v>
      </c>
      <c r="B9407" s="572">
        <v>81.164199999999994</v>
      </c>
      <c r="C9407" s="572">
        <v>351.31599999999997</v>
      </c>
    </row>
    <row r="9408" spans="1:3">
      <c r="A9408" s="573" t="s">
        <v>2041</v>
      </c>
      <c r="B9408" s="574">
        <v>105.82599999999999</v>
      </c>
      <c r="C9408" s="574">
        <v>384.95600000000002</v>
      </c>
    </row>
    <row r="9409" spans="1:3">
      <c r="A9409" s="573" t="s">
        <v>2041</v>
      </c>
      <c r="B9409" s="574">
        <v>140.773</v>
      </c>
      <c r="C9409" s="574">
        <v>440.39400000000001</v>
      </c>
    </row>
    <row r="9410" spans="1:3">
      <c r="A9410" s="573" t="s">
        <v>2041</v>
      </c>
      <c r="B9410" s="574">
        <v>166.11500000000001</v>
      </c>
      <c r="C9410" s="574">
        <v>471.55700000000002</v>
      </c>
    </row>
    <row r="9411" spans="1:3">
      <c r="A9411" s="573" t="s">
        <v>2041</v>
      </c>
      <c r="B9411" s="574">
        <v>196.869</v>
      </c>
      <c r="C9411" s="574">
        <v>460.78399999999999</v>
      </c>
    </row>
    <row r="9412" spans="1:3">
      <c r="A9412" s="573" t="s">
        <v>2041</v>
      </c>
      <c r="B9412" s="574">
        <v>227.62700000000001</v>
      </c>
      <c r="C9412" s="574">
        <v>452.46800000000002</v>
      </c>
    </row>
    <row r="9413" spans="1:3">
      <c r="A9413" s="573" t="s">
        <v>2041</v>
      </c>
      <c r="B9413" s="574">
        <v>259.78300000000002</v>
      </c>
      <c r="C9413" s="574">
        <v>466.22300000000001</v>
      </c>
    </row>
    <row r="9414" spans="1:3">
      <c r="A9414" s="573" t="s">
        <v>2041</v>
      </c>
      <c r="B9414" s="574">
        <v>289.16300000000001</v>
      </c>
      <c r="C9414" s="574">
        <v>450.57900000000001</v>
      </c>
    </row>
    <row r="9415" spans="1:3">
      <c r="A9415" s="573" t="s">
        <v>2041</v>
      </c>
      <c r="B9415" s="574">
        <v>321.99900000000002</v>
      </c>
      <c r="C9415" s="574">
        <v>461.85500000000002</v>
      </c>
    </row>
    <row r="9416" spans="1:3">
      <c r="A9416" s="573" t="s">
        <v>2041</v>
      </c>
      <c r="B9416" s="574">
        <v>361.68599999999998</v>
      </c>
      <c r="C9416" s="574">
        <v>482.74900000000002</v>
      </c>
    </row>
    <row r="9417" spans="1:3">
      <c r="A9417" s="48" t="s">
        <v>2042</v>
      </c>
      <c r="B9417" s="549">
        <v>-5.0187599999999997E-3</v>
      </c>
      <c r="C9417" s="549">
        <v>2.4508299999999998</v>
      </c>
    </row>
    <row r="9418" spans="1:3">
      <c r="A9418" s="571" t="s">
        <v>2042</v>
      </c>
      <c r="B9418" s="572">
        <v>2.8857900000000001</v>
      </c>
      <c r="C9418" s="572">
        <v>75.891999999999996</v>
      </c>
    </row>
    <row r="9419" spans="1:3">
      <c r="A9419" s="571" t="s">
        <v>2042</v>
      </c>
      <c r="B9419" s="572">
        <v>14.760199999999999</v>
      </c>
      <c r="C9419" s="572">
        <v>207.881</v>
      </c>
    </row>
    <row r="9420" spans="1:3">
      <c r="A9420" s="571" t="s">
        <v>2042</v>
      </c>
      <c r="B9420" s="572">
        <v>22.945799999999998</v>
      </c>
      <c r="C9420" s="572">
        <v>205.179</v>
      </c>
    </row>
    <row r="9421" spans="1:3">
      <c r="A9421" s="571" t="s">
        <v>2042</v>
      </c>
      <c r="B9421" s="572">
        <v>29.148900000000001</v>
      </c>
      <c r="C9421" s="572">
        <v>234.40100000000001</v>
      </c>
    </row>
    <row r="9422" spans="1:3">
      <c r="A9422" s="571" t="s">
        <v>2042</v>
      </c>
      <c r="B9422" s="572">
        <v>45.6205</v>
      </c>
      <c r="C9422" s="572">
        <v>278.01400000000001</v>
      </c>
    </row>
    <row r="9423" spans="1:3">
      <c r="A9423" s="571" t="s">
        <v>2042</v>
      </c>
      <c r="B9423" s="572">
        <v>81.323899999999995</v>
      </c>
      <c r="C9423" s="572">
        <v>379.86099999999999</v>
      </c>
    </row>
    <row r="9424" spans="1:3">
      <c r="A9424" s="573" t="s">
        <v>2042</v>
      </c>
      <c r="B9424" s="574">
        <v>139.36600000000001</v>
      </c>
      <c r="C9424" s="574">
        <v>390.33800000000002</v>
      </c>
    </row>
    <row r="9425" spans="1:3">
      <c r="A9425" s="573" t="s">
        <v>2042</v>
      </c>
      <c r="B9425" s="574">
        <v>166</v>
      </c>
      <c r="C9425" s="574">
        <v>396.875</v>
      </c>
    </row>
    <row r="9426" spans="1:3">
      <c r="A9426" s="573" t="s">
        <v>2042</v>
      </c>
      <c r="B9426" s="574">
        <v>197.363</v>
      </c>
      <c r="C9426" s="574">
        <v>378.75700000000001</v>
      </c>
    </row>
    <row r="9427" spans="1:3">
      <c r="A9427" s="573" t="s">
        <v>2042</v>
      </c>
      <c r="B9427" s="574">
        <v>227.41</v>
      </c>
      <c r="C9427" s="574">
        <v>385.19</v>
      </c>
    </row>
    <row r="9428" spans="1:3">
      <c r="A9428" s="573" t="s">
        <v>2042</v>
      </c>
      <c r="B9428" s="574">
        <v>258.83199999999999</v>
      </c>
      <c r="C9428" s="574">
        <v>396.48200000000003</v>
      </c>
    </row>
    <row r="9429" spans="1:3">
      <c r="A9429" s="573" t="s">
        <v>2042</v>
      </c>
      <c r="B9429" s="574">
        <v>290.2</v>
      </c>
      <c r="C9429" s="574">
        <v>380.815</v>
      </c>
    </row>
    <row r="9430" spans="1:3">
      <c r="A9430" s="573" t="s">
        <v>2042</v>
      </c>
      <c r="B9430" s="574">
        <v>322.96699999999998</v>
      </c>
      <c r="C9430" s="574">
        <v>382.262</v>
      </c>
    </row>
    <row r="9431" spans="1:3">
      <c r="A9431" s="573" t="s">
        <v>2042</v>
      </c>
      <c r="B9431" s="574">
        <v>359.83499999999998</v>
      </c>
      <c r="C9431" s="574">
        <v>386.03399999999999</v>
      </c>
    </row>
    <row r="9432" spans="1:3">
      <c r="A9432" s="571" t="s">
        <v>2043</v>
      </c>
      <c r="B9432" s="572">
        <v>1.02772</v>
      </c>
      <c r="C9432" s="572">
        <v>2.1183299999999998</v>
      </c>
    </row>
    <row r="9433" spans="1:3">
      <c r="A9433" s="571" t="s">
        <v>2043</v>
      </c>
      <c r="B9433" s="572">
        <v>8.71753</v>
      </c>
      <c r="C9433" s="572">
        <v>126.77500000000001</v>
      </c>
    </row>
    <row r="9434" spans="1:3">
      <c r="A9434" s="571" t="s">
        <v>2043</v>
      </c>
      <c r="B9434" s="572">
        <v>25.9971</v>
      </c>
      <c r="C9434" s="572">
        <v>217.91499999999999</v>
      </c>
    </row>
    <row r="9435" spans="1:3">
      <c r="A9435" s="571" t="s">
        <v>2043</v>
      </c>
      <c r="B9435" s="572">
        <v>78.935500000000005</v>
      </c>
      <c r="C9435" s="572">
        <v>178.79400000000001</v>
      </c>
    </row>
    <row r="9436" spans="1:3">
      <c r="A9436" s="573" t="s">
        <v>2043</v>
      </c>
      <c r="B9436" s="574">
        <v>109.908</v>
      </c>
      <c r="C9436" s="574">
        <v>182.86</v>
      </c>
    </row>
    <row r="9437" spans="1:3">
      <c r="A9437" s="573" t="s">
        <v>2043</v>
      </c>
      <c r="B9437" s="574">
        <v>148.68600000000001</v>
      </c>
      <c r="C9437" s="574">
        <v>195.48400000000001</v>
      </c>
    </row>
    <row r="9438" spans="1:3">
      <c r="A9438" s="573" t="s">
        <v>2043</v>
      </c>
      <c r="B9438" s="574">
        <v>304.459</v>
      </c>
      <c r="C9438" s="574">
        <v>207.85300000000001</v>
      </c>
    </row>
    <row r="9439" spans="1:3">
      <c r="A9439" s="569" t="s">
        <v>2043</v>
      </c>
      <c r="B9439" s="570">
        <v>514.38900000000001</v>
      </c>
      <c r="C9439" s="570">
        <v>211.79900000000001</v>
      </c>
    </row>
    <row r="9440" spans="1:3">
      <c r="A9440" s="569" t="s">
        <v>2043</v>
      </c>
      <c r="B9440" s="570">
        <v>945.024</v>
      </c>
      <c r="C9440" s="570">
        <v>209.28800000000001</v>
      </c>
    </row>
    <row r="9441" spans="1:3">
      <c r="A9441" s="571" t="s">
        <v>2044</v>
      </c>
      <c r="B9441" s="572">
        <v>2.7614899999999998</v>
      </c>
      <c r="C9441" s="572">
        <v>91.1661</v>
      </c>
    </row>
    <row r="9442" spans="1:3">
      <c r="A9442" s="571" t="s">
        <v>2044</v>
      </c>
      <c r="B9442" s="572">
        <v>3.6579000000000002</v>
      </c>
      <c r="C9442" s="572">
        <v>122.968</v>
      </c>
    </row>
    <row r="9443" spans="1:3">
      <c r="A9443" s="571" t="s">
        <v>2044</v>
      </c>
      <c r="B9443" s="572">
        <v>4.6254299999999997</v>
      </c>
      <c r="C9443" s="572">
        <v>133.56899999999999</v>
      </c>
    </row>
    <row r="9444" spans="1:3">
      <c r="A9444" s="571" t="s">
        <v>2044</v>
      </c>
      <c r="B9444" s="572">
        <v>5.57761</v>
      </c>
      <c r="C9444" s="572">
        <v>163.251</v>
      </c>
    </row>
    <row r="9445" spans="1:3">
      <c r="A9445" s="571" t="s">
        <v>2044</v>
      </c>
      <c r="B9445" s="572">
        <v>16.9147</v>
      </c>
      <c r="C9445" s="572">
        <v>267.13799999999998</v>
      </c>
    </row>
    <row r="9446" spans="1:3">
      <c r="A9446" s="571" t="s">
        <v>2044</v>
      </c>
      <c r="B9446" s="572">
        <v>21.049299999999999</v>
      </c>
      <c r="C9446" s="572">
        <v>290.459</v>
      </c>
    </row>
    <row r="9447" spans="1:3">
      <c r="A9447" s="571" t="s">
        <v>2044</v>
      </c>
      <c r="B9447" s="572">
        <v>25.806000000000001</v>
      </c>
      <c r="C9447" s="572">
        <v>286.21899999999999</v>
      </c>
    </row>
    <row r="9448" spans="1:3">
      <c r="A9448" s="571" t="s">
        <v>2044</v>
      </c>
      <c r="B9448" s="572">
        <v>46.075499999999998</v>
      </c>
      <c r="C9448" s="572">
        <v>281.97899999999998</v>
      </c>
    </row>
    <row r="9449" spans="1:3">
      <c r="A9449" s="571" t="s">
        <v>2044</v>
      </c>
      <c r="B9449" s="572">
        <v>63.012700000000002</v>
      </c>
      <c r="C9449" s="572">
        <v>290.459</v>
      </c>
    </row>
    <row r="9450" spans="1:3">
      <c r="A9450" s="571" t="s">
        <v>2044</v>
      </c>
      <c r="B9450" s="572">
        <v>77.252300000000005</v>
      </c>
      <c r="C9450" s="572">
        <v>286.21899999999999</v>
      </c>
    </row>
    <row r="9451" spans="1:3">
      <c r="A9451" s="571" t="s">
        <v>2044</v>
      </c>
      <c r="B9451" s="572">
        <v>94.720299999999995</v>
      </c>
      <c r="C9451" s="572">
        <v>277.73899999999998</v>
      </c>
    </row>
    <row r="9452" spans="1:3">
      <c r="A9452" s="571" t="s">
        <v>2045</v>
      </c>
      <c r="B9452" s="572">
        <v>1.43387</v>
      </c>
      <c r="C9452" s="572">
        <v>4.2402800000000003</v>
      </c>
    </row>
    <row r="9453" spans="1:3">
      <c r="A9453" s="571" t="s">
        <v>2045</v>
      </c>
      <c r="B9453" s="572">
        <v>1.4787699999999999</v>
      </c>
      <c r="C9453" s="572">
        <v>14.840999999999999</v>
      </c>
    </row>
    <row r="9454" spans="1:3">
      <c r="A9454" s="571" t="s">
        <v>2045</v>
      </c>
      <c r="B9454" s="572">
        <v>2.7582800000000001</v>
      </c>
      <c r="C9454" s="572">
        <v>135.68899999999999</v>
      </c>
    </row>
    <row r="9455" spans="1:3">
      <c r="A9455" s="571" t="s">
        <v>2045</v>
      </c>
      <c r="B9455" s="572">
        <v>5.9182499999999996</v>
      </c>
      <c r="C9455" s="572">
        <v>292.58</v>
      </c>
    </row>
    <row r="9456" spans="1:3">
      <c r="A9456" s="571" t="s">
        <v>2045</v>
      </c>
      <c r="B9456" s="572">
        <v>17.0992</v>
      </c>
      <c r="C9456" s="572">
        <v>451.59</v>
      </c>
    </row>
    <row r="9457" spans="1:3">
      <c r="A9457" s="571" t="s">
        <v>2045</v>
      </c>
      <c r="B9457" s="572">
        <v>21.598099999999999</v>
      </c>
      <c r="C9457" s="572">
        <v>504.59399999999999</v>
      </c>
    </row>
    <row r="9458" spans="1:3">
      <c r="A9458" s="571" t="s">
        <v>2045</v>
      </c>
      <c r="B9458" s="572">
        <v>26.471499999999999</v>
      </c>
      <c r="C9458" s="572">
        <v>510.95400000000001</v>
      </c>
    </row>
    <row r="9459" spans="1:3">
      <c r="A9459" s="571" t="s">
        <v>2045</v>
      </c>
      <c r="B9459" s="572">
        <v>65.5274</v>
      </c>
      <c r="C9459" s="572">
        <v>591.51900000000001</v>
      </c>
    </row>
    <row r="9460" spans="1:3">
      <c r="A9460" s="571" t="s">
        <v>2045</v>
      </c>
      <c r="B9460" s="572">
        <v>79.091099999999997</v>
      </c>
      <c r="C9460" s="572">
        <v>585.15899999999999</v>
      </c>
    </row>
    <row r="9461" spans="1:3">
      <c r="A9461" s="571" t="s">
        <v>2045</v>
      </c>
      <c r="B9461" s="572">
        <v>96.953400000000002</v>
      </c>
      <c r="C9461" s="572">
        <v>585.15899999999999</v>
      </c>
    </row>
    <row r="9462" spans="1:3">
      <c r="A9462" s="571" t="s">
        <v>2046</v>
      </c>
      <c r="B9462" s="572">
        <v>1.83663</v>
      </c>
      <c r="C9462" s="572">
        <v>0.37583299999999997</v>
      </c>
    </row>
    <row r="9463" spans="1:3">
      <c r="A9463" s="571" t="s">
        <v>2046</v>
      </c>
      <c r="B9463" s="572">
        <v>2.1672099999999999</v>
      </c>
      <c r="C9463" s="572">
        <v>1.6570800000000001</v>
      </c>
    </row>
    <row r="9464" spans="1:3">
      <c r="A9464" s="571" t="s">
        <v>2046</v>
      </c>
      <c r="B9464" s="572">
        <v>8.9213400000000007</v>
      </c>
      <c r="C9464" s="572">
        <v>359.50099999999998</v>
      </c>
    </row>
    <row r="9465" spans="1:3">
      <c r="A9465" s="571" t="s">
        <v>2046</v>
      </c>
      <c r="B9465" s="572">
        <v>25.727499999999999</v>
      </c>
      <c r="C9465" s="572">
        <v>493.36599999999999</v>
      </c>
    </row>
    <row r="9466" spans="1:3">
      <c r="A9466" s="571" t="s">
        <v>2046</v>
      </c>
      <c r="B9466" s="572">
        <v>77.52</v>
      </c>
      <c r="C9466" s="572">
        <v>509.76600000000002</v>
      </c>
    </row>
    <row r="9467" spans="1:3">
      <c r="A9467" s="571" t="s">
        <v>2046</v>
      </c>
      <c r="B9467" s="572">
        <v>86.912800000000004</v>
      </c>
      <c r="C9467" s="572">
        <v>481.93700000000001</v>
      </c>
    </row>
    <row r="9468" spans="1:3">
      <c r="A9468" s="573" t="s">
        <v>2046</v>
      </c>
      <c r="B9468" s="574">
        <v>107.84099999999999</v>
      </c>
      <c r="C9468" s="574">
        <v>520.23800000000006</v>
      </c>
    </row>
    <row r="9469" spans="1:3">
      <c r="A9469" s="573" t="s">
        <v>2046</v>
      </c>
      <c r="B9469" s="574">
        <v>134.40299999999999</v>
      </c>
      <c r="C9469" s="574">
        <v>526.50800000000004</v>
      </c>
    </row>
    <row r="9470" spans="1:3">
      <c r="A9470" s="573" t="s">
        <v>2046</v>
      </c>
      <c r="B9470" s="574">
        <v>316.17599999999999</v>
      </c>
      <c r="C9470" s="574">
        <v>534.52</v>
      </c>
    </row>
    <row r="9471" spans="1:3">
      <c r="A9471" s="569" t="s">
        <v>2046</v>
      </c>
      <c r="B9471" s="570">
        <v>947.63</v>
      </c>
      <c r="C9471" s="570">
        <v>589.35699999999997</v>
      </c>
    </row>
    <row r="9472" spans="1:3">
      <c r="A9472" s="571" t="s">
        <v>2047</v>
      </c>
      <c r="B9472" s="572">
        <v>3.1806199999999998</v>
      </c>
      <c r="C9472" s="572">
        <v>78.4452</v>
      </c>
    </row>
    <row r="9473" spans="1:3">
      <c r="A9473" s="571" t="s">
        <v>2047</v>
      </c>
      <c r="B9473" s="572">
        <v>3.89636</v>
      </c>
      <c r="C9473" s="572">
        <v>103.887</v>
      </c>
    </row>
    <row r="9474" spans="1:3">
      <c r="A9474" s="571" t="s">
        <v>2047</v>
      </c>
      <c r="B9474" s="572">
        <v>5.9418800000000003</v>
      </c>
      <c r="C9474" s="572">
        <v>139.929</v>
      </c>
    </row>
    <row r="9475" spans="1:3">
      <c r="A9475" s="571" t="s">
        <v>2047</v>
      </c>
      <c r="B9475" s="572">
        <v>6.5245100000000003</v>
      </c>
      <c r="C9475" s="572">
        <v>156.88999999999999</v>
      </c>
    </row>
    <row r="9476" spans="1:3">
      <c r="A9476" s="571" t="s">
        <v>2047</v>
      </c>
      <c r="B9476" s="572">
        <v>7.63089</v>
      </c>
      <c r="C9476" s="572">
        <v>156.88999999999999</v>
      </c>
    </row>
    <row r="9477" spans="1:3">
      <c r="A9477" s="571" t="s">
        <v>2047</v>
      </c>
      <c r="B9477" s="572">
        <v>8.9233899999999995</v>
      </c>
      <c r="C9477" s="572">
        <v>163.251</v>
      </c>
    </row>
    <row r="9478" spans="1:3">
      <c r="A9478" s="571" t="s">
        <v>2047</v>
      </c>
      <c r="B9478" s="572">
        <v>10.2744</v>
      </c>
      <c r="C9478" s="572">
        <v>163.251</v>
      </c>
    </row>
    <row r="9479" spans="1:3">
      <c r="A9479" s="571" t="s">
        <v>2047</v>
      </c>
      <c r="B9479" s="572">
        <v>25.4711</v>
      </c>
      <c r="C9479" s="572">
        <v>186.572</v>
      </c>
    </row>
    <row r="9480" spans="1:3">
      <c r="A9480" s="571" t="s">
        <v>2047</v>
      </c>
      <c r="B9480" s="572">
        <v>35.942799999999998</v>
      </c>
      <c r="C9480" s="572">
        <v>195.053</v>
      </c>
    </row>
    <row r="9481" spans="1:3">
      <c r="A9481" s="571" t="s">
        <v>2047</v>
      </c>
      <c r="B9481" s="572">
        <v>51.543100000000003</v>
      </c>
      <c r="C9481" s="572">
        <v>186.572</v>
      </c>
    </row>
    <row r="9482" spans="1:3">
      <c r="A9482" s="571" t="s">
        <v>2048</v>
      </c>
      <c r="B9482" s="572">
        <v>1.4333199999999999</v>
      </c>
      <c r="C9482" s="572">
        <v>10.6007</v>
      </c>
    </row>
    <row r="9483" spans="1:3">
      <c r="A9483" s="571" t="s">
        <v>2048</v>
      </c>
      <c r="B9483" s="572">
        <v>3.9456199999999999</v>
      </c>
      <c r="C9483" s="572">
        <v>222.61500000000001</v>
      </c>
    </row>
    <row r="9484" spans="1:3">
      <c r="A9484" s="571" t="s">
        <v>2048</v>
      </c>
      <c r="B9484" s="572">
        <v>6.0113500000000002</v>
      </c>
      <c r="C9484" s="572">
        <v>294.7</v>
      </c>
    </row>
    <row r="9485" spans="1:3">
      <c r="A9485" s="571" t="s">
        <v>2048</v>
      </c>
      <c r="B9485" s="572">
        <v>7.8372000000000002</v>
      </c>
      <c r="C9485" s="572">
        <v>334.98200000000003</v>
      </c>
    </row>
    <row r="9486" spans="1:3">
      <c r="A9486" s="571" t="s">
        <v>2048</v>
      </c>
      <c r="B9486" s="572">
        <v>10.2193</v>
      </c>
      <c r="C9486" s="572">
        <v>368.90499999999997</v>
      </c>
    </row>
    <row r="9487" spans="1:3">
      <c r="A9487" s="571" t="s">
        <v>2048</v>
      </c>
      <c r="B9487" s="572">
        <v>25.2745</v>
      </c>
      <c r="C9487" s="572">
        <v>483.392</v>
      </c>
    </row>
    <row r="9488" spans="1:3">
      <c r="A9488" s="571" t="s">
        <v>2048</v>
      </c>
      <c r="B9488" s="572">
        <v>36.202300000000001</v>
      </c>
      <c r="C9488" s="572">
        <v>519.43499999999995</v>
      </c>
    </row>
    <row r="9489" spans="1:3">
      <c r="A9489" s="571" t="s">
        <v>2048</v>
      </c>
      <c r="B9489" s="572">
        <v>51.846400000000003</v>
      </c>
      <c r="C9489" s="572">
        <v>561.83699999999999</v>
      </c>
    </row>
    <row r="9490" spans="1:3">
      <c r="A9490" s="571" t="s">
        <v>2049</v>
      </c>
      <c r="B9490" s="572">
        <v>2.93099</v>
      </c>
      <c r="C9490" s="572">
        <v>16.417100000000001</v>
      </c>
    </row>
    <row r="9491" spans="1:3">
      <c r="A9491" s="571" t="s">
        <v>2049</v>
      </c>
      <c r="B9491" s="572">
        <v>3.3474499999999998</v>
      </c>
      <c r="C9491" s="572">
        <v>54.769100000000002</v>
      </c>
    </row>
    <row r="9492" spans="1:3">
      <c r="A9492" s="571" t="s">
        <v>2049</v>
      </c>
      <c r="B9492" s="572">
        <v>5.9681300000000004</v>
      </c>
      <c r="C9492" s="572">
        <v>69.358199999999997</v>
      </c>
    </row>
    <row r="9493" spans="1:3">
      <c r="A9493" s="571" t="s">
        <v>2049</v>
      </c>
      <c r="B9493" s="572">
        <v>8.3000799999999995</v>
      </c>
      <c r="C9493" s="572">
        <v>81.965699999999998</v>
      </c>
    </row>
    <row r="9494" spans="1:3">
      <c r="A9494" s="571" t="s">
        <v>2049</v>
      </c>
      <c r="B9494" s="572">
        <v>9.4542699999999993</v>
      </c>
      <c r="C9494" s="572">
        <v>139.536</v>
      </c>
    </row>
    <row r="9495" spans="1:3">
      <c r="A9495" s="571" t="s">
        <v>2049</v>
      </c>
      <c r="B9495" s="572">
        <v>13.5207</v>
      </c>
      <c r="C9495" s="572">
        <v>149.99100000000001</v>
      </c>
    </row>
    <row r="9496" spans="1:3">
      <c r="A9496" s="571" t="s">
        <v>2049</v>
      </c>
      <c r="B9496" s="572">
        <v>16.8261</v>
      </c>
      <c r="C9496" s="572">
        <v>166.93799999999999</v>
      </c>
    </row>
    <row r="9497" spans="1:3">
      <c r="A9497" s="571" t="s">
        <v>2049</v>
      </c>
      <c r="B9497" s="572">
        <v>19.290700000000001</v>
      </c>
      <c r="C9497" s="572">
        <v>177.53</v>
      </c>
    </row>
    <row r="9498" spans="1:3">
      <c r="A9498" s="571" t="s">
        <v>2049</v>
      </c>
      <c r="B9498" s="572">
        <v>23.331700000000001</v>
      </c>
      <c r="C9498" s="572">
        <v>200.9</v>
      </c>
    </row>
    <row r="9499" spans="1:3">
      <c r="A9499" s="571" t="s">
        <v>2049</v>
      </c>
      <c r="B9499" s="572">
        <v>49.302700000000002</v>
      </c>
      <c r="C9499" s="572">
        <v>185.49100000000001</v>
      </c>
    </row>
    <row r="9500" spans="1:3">
      <c r="A9500" s="571" t="s">
        <v>2049</v>
      </c>
      <c r="B9500" s="572">
        <v>68.243899999999996</v>
      </c>
      <c r="C9500" s="572">
        <v>232.26499999999999</v>
      </c>
    </row>
    <row r="9501" spans="1:3">
      <c r="A9501" s="573" t="s">
        <v>2049</v>
      </c>
      <c r="B9501" s="574">
        <v>118.495</v>
      </c>
      <c r="C9501" s="574">
        <v>238.32900000000001</v>
      </c>
    </row>
    <row r="9502" spans="1:3">
      <c r="A9502" s="573" t="s">
        <v>2049</v>
      </c>
      <c r="B9502" s="574">
        <v>143.571</v>
      </c>
      <c r="C9502" s="574">
        <v>248.887</v>
      </c>
    </row>
    <row r="9503" spans="1:3">
      <c r="A9503" s="573" t="s">
        <v>2049</v>
      </c>
      <c r="B9503" s="574">
        <v>194.45599999999999</v>
      </c>
      <c r="C9503" s="574">
        <v>252.97</v>
      </c>
    </row>
    <row r="9504" spans="1:3">
      <c r="A9504" s="573" t="s">
        <v>2049</v>
      </c>
      <c r="B9504" s="574">
        <v>347.82100000000003</v>
      </c>
      <c r="C9504" s="574">
        <v>244.06899999999999</v>
      </c>
    </row>
    <row r="9505" spans="1:3">
      <c r="A9505" s="569" t="s">
        <v>2049</v>
      </c>
      <c r="B9505" s="570">
        <v>540.41999999999996</v>
      </c>
      <c r="C9505" s="570">
        <v>254.47300000000001</v>
      </c>
    </row>
    <row r="9506" spans="1:3">
      <c r="A9506" s="569" t="s">
        <v>2049</v>
      </c>
      <c r="B9506" s="570">
        <v>753.35599999999999</v>
      </c>
      <c r="C9506" s="570">
        <v>249.99700000000001</v>
      </c>
    </row>
    <row r="9507" spans="1:3">
      <c r="A9507" s="569" t="s">
        <v>2049</v>
      </c>
      <c r="B9507" s="570">
        <v>1021.27</v>
      </c>
      <c r="C9507" s="570">
        <v>247.67400000000001</v>
      </c>
    </row>
    <row r="9508" spans="1:3">
      <c r="A9508" s="571" t="s">
        <v>2050</v>
      </c>
      <c r="B9508" s="572">
        <v>1.99244</v>
      </c>
      <c r="C9508" s="572">
        <v>10.25</v>
      </c>
    </row>
    <row r="9509" spans="1:3">
      <c r="A9509" s="571" t="s">
        <v>2050</v>
      </c>
      <c r="B9509" s="572">
        <v>2.0308199999999998</v>
      </c>
      <c r="C9509" s="572">
        <v>72.159899999999993</v>
      </c>
    </row>
    <row r="9510" spans="1:3">
      <c r="A9510" s="571" t="s">
        <v>2050</v>
      </c>
      <c r="B9510" s="572">
        <v>2.157</v>
      </c>
      <c r="C9510" s="572">
        <v>35.823700000000002</v>
      </c>
    </row>
    <row r="9511" spans="1:3">
      <c r="A9511" s="571" t="s">
        <v>2050</v>
      </c>
      <c r="B9511" s="572">
        <v>2.3269099999999998</v>
      </c>
      <c r="C9511" s="572">
        <v>87.022400000000005</v>
      </c>
    </row>
    <row r="9512" spans="1:3">
      <c r="A9512" s="571" t="s">
        <v>2050</v>
      </c>
      <c r="B9512" s="572">
        <v>3.08386</v>
      </c>
      <c r="C9512" s="572">
        <v>48.414099999999998</v>
      </c>
    </row>
    <row r="9513" spans="1:3">
      <c r="A9513" s="571" t="s">
        <v>2050</v>
      </c>
      <c r="B9513" s="572">
        <v>6.0866800000000003</v>
      </c>
      <c r="C9513" s="572">
        <v>126.997</v>
      </c>
    </row>
    <row r="9514" spans="1:3">
      <c r="A9514" s="571" t="s">
        <v>2050</v>
      </c>
      <c r="B9514" s="572">
        <v>7.07287</v>
      </c>
      <c r="C9514" s="572">
        <v>240.072</v>
      </c>
    </row>
    <row r="9515" spans="1:3">
      <c r="A9515" s="571" t="s">
        <v>2050</v>
      </c>
      <c r="B9515" s="572">
        <v>8.1352200000000003</v>
      </c>
      <c r="C9515" s="572">
        <v>227.17400000000001</v>
      </c>
    </row>
    <row r="9516" spans="1:3">
      <c r="A9516" s="571" t="s">
        <v>2050</v>
      </c>
      <c r="B9516" s="572">
        <v>8.5393500000000007</v>
      </c>
      <c r="C9516" s="572">
        <v>276.25400000000002</v>
      </c>
    </row>
    <row r="9517" spans="1:3">
      <c r="A9517" s="571" t="s">
        <v>2050</v>
      </c>
      <c r="B9517" s="572">
        <v>10.070399999999999</v>
      </c>
      <c r="C9517" s="572">
        <v>282.55799999999999</v>
      </c>
    </row>
    <row r="9518" spans="1:3">
      <c r="A9518" s="571" t="s">
        <v>2050</v>
      </c>
      <c r="B9518" s="572">
        <v>16.8642</v>
      </c>
      <c r="C9518" s="572">
        <v>350.56700000000001</v>
      </c>
    </row>
    <row r="9519" spans="1:3">
      <c r="A9519" s="571" t="s">
        <v>2050</v>
      </c>
      <c r="B9519" s="572">
        <v>18.779699999999998</v>
      </c>
      <c r="C9519" s="572">
        <v>371.85199999999998</v>
      </c>
    </row>
    <row r="9520" spans="1:3">
      <c r="A9520" s="571" t="s">
        <v>2050</v>
      </c>
      <c r="B9520" s="572">
        <v>23.322500000000002</v>
      </c>
      <c r="C9520" s="572">
        <v>403.74700000000001</v>
      </c>
    </row>
    <row r="9521" spans="1:3">
      <c r="A9521" s="571" t="s">
        <v>2050</v>
      </c>
      <c r="B9521" s="572">
        <v>49.036700000000003</v>
      </c>
      <c r="C9521" s="572">
        <v>424.64</v>
      </c>
    </row>
    <row r="9522" spans="1:3">
      <c r="A9522" s="571" t="s">
        <v>2050</v>
      </c>
      <c r="B9522" s="572">
        <v>68.076400000000007</v>
      </c>
      <c r="C9522" s="572">
        <v>450.06</v>
      </c>
    </row>
    <row r="9523" spans="1:3">
      <c r="A9523" s="573" t="s">
        <v>2050</v>
      </c>
      <c r="B9523" s="574">
        <v>124.259</v>
      </c>
      <c r="C9523" s="574">
        <v>494.52800000000002</v>
      </c>
    </row>
    <row r="9524" spans="1:3">
      <c r="A9524" s="573" t="s">
        <v>2050</v>
      </c>
      <c r="B9524" s="574">
        <v>150.15600000000001</v>
      </c>
      <c r="C9524" s="574">
        <v>524.30399999999997</v>
      </c>
    </row>
    <row r="9525" spans="1:3">
      <c r="A9525" s="573" t="s">
        <v>2050</v>
      </c>
      <c r="B9525" s="574">
        <v>181.50299999999999</v>
      </c>
      <c r="C9525" s="574">
        <v>551.94500000000005</v>
      </c>
    </row>
    <row r="9526" spans="1:3">
      <c r="A9526" s="573" t="s">
        <v>2050</v>
      </c>
      <c r="B9526" s="574">
        <v>351.77699999999999</v>
      </c>
      <c r="C9526" s="574">
        <v>562.21199999999999</v>
      </c>
    </row>
    <row r="9527" spans="1:3">
      <c r="A9527" s="569" t="s">
        <v>2050</v>
      </c>
      <c r="B9527" s="570">
        <v>562.21199999999999</v>
      </c>
      <c r="C9527" s="570">
        <v>568.32799999999997</v>
      </c>
    </row>
    <row r="9528" spans="1:3">
      <c r="A9528" s="569" t="s">
        <v>2050</v>
      </c>
      <c r="B9528" s="570">
        <v>783.96600000000001</v>
      </c>
      <c r="C9528" s="570">
        <v>561.71600000000001</v>
      </c>
    </row>
    <row r="9529" spans="1:3">
      <c r="A9529" s="569" t="s">
        <v>2050</v>
      </c>
      <c r="B9529" s="570">
        <v>923.43499999999995</v>
      </c>
      <c r="C9529" s="570">
        <v>576.56200000000001</v>
      </c>
    </row>
    <row r="9530" spans="1:3">
      <c r="A9530" s="571" t="s">
        <v>2051</v>
      </c>
      <c r="B9530" s="572">
        <v>0.31734699999999999</v>
      </c>
      <c r="C9530" s="572">
        <v>3.46021</v>
      </c>
    </row>
    <row r="9531" spans="1:3">
      <c r="A9531" s="571" t="s">
        <v>2051</v>
      </c>
      <c r="B9531" s="572">
        <v>0.42922199999999999</v>
      </c>
      <c r="C9531" s="572">
        <v>62.283699999999996</v>
      </c>
    </row>
    <row r="9532" spans="1:3">
      <c r="A9532" s="571" t="s">
        <v>2051</v>
      </c>
      <c r="B9532" s="572">
        <v>0.43616899999999997</v>
      </c>
      <c r="C9532" s="572">
        <v>128.02799999999999</v>
      </c>
    </row>
    <row r="9533" spans="1:3">
      <c r="A9533" s="571" t="s">
        <v>2051</v>
      </c>
      <c r="B9533" s="572">
        <v>0.44348100000000001</v>
      </c>
      <c r="C9533" s="572">
        <v>197.232</v>
      </c>
    </row>
    <row r="9534" spans="1:3">
      <c r="A9534" s="571" t="s">
        <v>2051</v>
      </c>
      <c r="B9534" s="572">
        <v>0.556454</v>
      </c>
      <c r="C9534" s="572">
        <v>266.43599999999998</v>
      </c>
    </row>
    <row r="9535" spans="1:3">
      <c r="A9535" s="571" t="s">
        <v>2051</v>
      </c>
      <c r="B9535" s="572">
        <v>0.56413100000000005</v>
      </c>
      <c r="C9535" s="572">
        <v>339.1</v>
      </c>
    </row>
    <row r="9536" spans="1:3">
      <c r="A9536" s="571" t="s">
        <v>2051</v>
      </c>
      <c r="B9536" s="572">
        <v>0.57107799999999997</v>
      </c>
      <c r="C9536" s="572">
        <v>404.84399999999999</v>
      </c>
    </row>
    <row r="9537" spans="1:3">
      <c r="A9537" s="571" t="s">
        <v>2051</v>
      </c>
      <c r="B9537" s="572">
        <v>0.57729299999999995</v>
      </c>
      <c r="C9537" s="572">
        <v>463.66800000000001</v>
      </c>
    </row>
    <row r="9538" spans="1:3">
      <c r="A9538" s="571" t="s">
        <v>2051</v>
      </c>
      <c r="B9538" s="572">
        <v>0.89719899999999997</v>
      </c>
      <c r="C9538" s="572">
        <v>491.34899999999999</v>
      </c>
    </row>
    <row r="9539" spans="1:3">
      <c r="A9539" s="571" t="s">
        <v>2051</v>
      </c>
      <c r="B9539" s="572">
        <v>2.2722500000000001</v>
      </c>
      <c r="C9539" s="572">
        <v>505.19000000000005</v>
      </c>
    </row>
    <row r="9540" spans="1:3">
      <c r="A9540" s="571" t="s">
        <v>2051</v>
      </c>
      <c r="B9540" s="572">
        <v>4.1759599999999999</v>
      </c>
      <c r="C9540" s="572">
        <v>522.49099999999999</v>
      </c>
    </row>
    <row r="9541" spans="1:3">
      <c r="A9541" s="571" t="s">
        <v>2051</v>
      </c>
      <c r="B9541" s="572">
        <v>5.9729200000000002</v>
      </c>
      <c r="C9541" s="572">
        <v>529.41200000000003</v>
      </c>
    </row>
    <row r="9542" spans="1:3">
      <c r="A9542" s="571" t="s">
        <v>2051</v>
      </c>
      <c r="B9542" s="572">
        <v>7.9822899999999999</v>
      </c>
      <c r="C9542" s="572">
        <v>546.71299999999997</v>
      </c>
    </row>
    <row r="9543" spans="1:3">
      <c r="A9543" s="571" t="s">
        <v>2051</v>
      </c>
      <c r="B9543" s="572">
        <v>9.9920299999999997</v>
      </c>
      <c r="C9543" s="572">
        <v>567.47400000000005</v>
      </c>
    </row>
    <row r="9544" spans="1:3">
      <c r="A9544" s="571" t="s">
        <v>2051</v>
      </c>
      <c r="B9544" s="572">
        <v>12.107799999999999</v>
      </c>
      <c r="C9544" s="572">
        <v>591.69600000000003</v>
      </c>
    </row>
    <row r="9545" spans="1:3">
      <c r="A9545" s="571" t="s">
        <v>2051</v>
      </c>
      <c r="B9545" s="572">
        <v>14.3285</v>
      </c>
      <c r="C9545" s="572">
        <v>608.99699999999996</v>
      </c>
    </row>
    <row r="9546" spans="1:3">
      <c r="A9546" s="571" t="s">
        <v>2051</v>
      </c>
      <c r="B9546" s="572">
        <v>16.5488</v>
      </c>
      <c r="C9546" s="572">
        <v>622.83699999999999</v>
      </c>
    </row>
    <row r="9547" spans="1:3">
      <c r="A9547" s="571" t="s">
        <v>2051</v>
      </c>
      <c r="B9547" s="572">
        <v>19.0869</v>
      </c>
      <c r="C9547" s="572">
        <v>643.59900000000005</v>
      </c>
    </row>
    <row r="9548" spans="1:3">
      <c r="A9548" s="571" t="s">
        <v>2051</v>
      </c>
      <c r="B9548" s="572">
        <v>21.307200000000002</v>
      </c>
      <c r="C9548" s="572">
        <v>657.43899999999996</v>
      </c>
    </row>
    <row r="9549" spans="1:3">
      <c r="A9549" s="571" t="s">
        <v>2051</v>
      </c>
      <c r="B9549" s="572">
        <v>23.633199999999999</v>
      </c>
      <c r="C9549" s="572">
        <v>671.28</v>
      </c>
    </row>
    <row r="9550" spans="1:3">
      <c r="A9550" s="571" t="s">
        <v>2051</v>
      </c>
      <c r="B9550" s="572">
        <v>25.8535</v>
      </c>
      <c r="C9550" s="572">
        <v>685.12099999999998</v>
      </c>
    </row>
    <row r="9551" spans="1:3">
      <c r="A9551" s="571" t="s">
        <v>2051</v>
      </c>
      <c r="B9551" s="572">
        <v>27.9682</v>
      </c>
      <c r="C9551" s="572">
        <v>698.96199999999999</v>
      </c>
    </row>
    <row r="9552" spans="1:3">
      <c r="A9552" s="571" t="s">
        <v>2052</v>
      </c>
      <c r="B9552" s="572">
        <v>0.31734699999999999</v>
      </c>
      <c r="C9552" s="572">
        <v>3.46021</v>
      </c>
    </row>
    <row r="9553" spans="1:3">
      <c r="A9553" s="571" t="s">
        <v>2052</v>
      </c>
      <c r="B9553" s="572">
        <v>0.429954</v>
      </c>
      <c r="C9553" s="572">
        <v>69.2042</v>
      </c>
    </row>
    <row r="9554" spans="1:3">
      <c r="A9554" s="571" t="s">
        <v>2052</v>
      </c>
      <c r="B9554" s="572">
        <v>0.43690000000000001</v>
      </c>
      <c r="C9554" s="572">
        <v>134.94800000000001</v>
      </c>
    </row>
    <row r="9555" spans="1:3">
      <c r="A9555" s="571" t="s">
        <v>2052</v>
      </c>
      <c r="B9555" s="572">
        <v>0.54950699999999997</v>
      </c>
      <c r="C9555" s="572">
        <v>200.69200000000001</v>
      </c>
    </row>
    <row r="9556" spans="1:3">
      <c r="A9556" s="571" t="s">
        <v>2052</v>
      </c>
      <c r="B9556" s="572">
        <v>0.55681899999999995</v>
      </c>
      <c r="C9556" s="572">
        <v>269.89600000000002</v>
      </c>
    </row>
    <row r="9557" spans="1:3">
      <c r="A9557" s="571" t="s">
        <v>2052</v>
      </c>
      <c r="B9557" s="572">
        <v>0.56559400000000004</v>
      </c>
      <c r="C9557" s="572">
        <v>352.94100000000003</v>
      </c>
    </row>
    <row r="9558" spans="1:3">
      <c r="A9558" s="571" t="s">
        <v>2052</v>
      </c>
      <c r="B9558" s="572">
        <v>0.67746899999999999</v>
      </c>
      <c r="C9558" s="572">
        <v>411.76499999999999</v>
      </c>
    </row>
    <row r="9559" spans="1:3">
      <c r="A9559" s="571" t="s">
        <v>2052</v>
      </c>
      <c r="B9559" s="572">
        <v>0.99700999999999995</v>
      </c>
      <c r="C9559" s="572">
        <v>435.98599999999999</v>
      </c>
    </row>
    <row r="9560" spans="1:3">
      <c r="A9560" s="571" t="s">
        <v>2052</v>
      </c>
      <c r="B9560" s="572">
        <v>2.2656700000000001</v>
      </c>
      <c r="C9560" s="572">
        <v>442.90699999999998</v>
      </c>
    </row>
    <row r="9561" spans="1:3">
      <c r="A9561" s="571" t="s">
        <v>2052</v>
      </c>
      <c r="B9561" s="572">
        <v>3.85276</v>
      </c>
      <c r="C9561" s="572">
        <v>463.66800000000001</v>
      </c>
    </row>
    <row r="9562" spans="1:3">
      <c r="A9562" s="571" t="s">
        <v>2052</v>
      </c>
      <c r="B9562" s="572">
        <v>5.54589</v>
      </c>
      <c r="C9562" s="572">
        <v>487.88900000000001</v>
      </c>
    </row>
    <row r="9563" spans="1:3">
      <c r="A9563" s="571" t="s">
        <v>2052</v>
      </c>
      <c r="B9563" s="572">
        <v>7.5548999999999999</v>
      </c>
      <c r="C9563" s="572">
        <v>501.73</v>
      </c>
    </row>
    <row r="9564" spans="1:3">
      <c r="A9564" s="571" t="s">
        <v>2052</v>
      </c>
      <c r="B9564" s="572">
        <v>9.3518600000000003</v>
      </c>
      <c r="C9564" s="572">
        <v>508.65099999999995</v>
      </c>
    </row>
    <row r="9565" spans="1:3">
      <c r="A9565" s="571" t="s">
        <v>2052</v>
      </c>
      <c r="B9565" s="572">
        <v>11.2545</v>
      </c>
      <c r="C9565" s="572">
        <v>515.57100000000003</v>
      </c>
    </row>
    <row r="9566" spans="1:3">
      <c r="A9566" s="571" t="s">
        <v>2052</v>
      </c>
      <c r="B9566" s="572">
        <v>13.157500000000001</v>
      </c>
      <c r="C9566" s="572">
        <v>525.952</v>
      </c>
    </row>
    <row r="9567" spans="1:3">
      <c r="A9567" s="571" t="s">
        <v>2052</v>
      </c>
      <c r="B9567" s="572">
        <v>15.1661</v>
      </c>
      <c r="C9567" s="572">
        <v>536.33199999999999</v>
      </c>
    </row>
    <row r="9568" spans="1:3">
      <c r="A9568" s="571" t="s">
        <v>2052</v>
      </c>
      <c r="B9568" s="572">
        <v>17.281099999999999</v>
      </c>
      <c r="C9568" s="572">
        <v>553.63300000000004</v>
      </c>
    </row>
    <row r="9569" spans="1:3">
      <c r="A9569" s="571" t="s">
        <v>2052</v>
      </c>
      <c r="B9569" s="572">
        <v>19.395800000000001</v>
      </c>
      <c r="C9569" s="572">
        <v>567.47400000000005</v>
      </c>
    </row>
    <row r="9570" spans="1:3">
      <c r="A9570" s="571" t="s">
        <v>2052</v>
      </c>
      <c r="B9570" s="572">
        <v>21.5108</v>
      </c>
      <c r="C9570" s="572">
        <v>584.77500000000009</v>
      </c>
    </row>
    <row r="9571" spans="1:3">
      <c r="A9571" s="571" t="s">
        <v>2052</v>
      </c>
      <c r="B9571" s="572">
        <v>24.048500000000001</v>
      </c>
      <c r="C9571" s="572">
        <v>602.07599999999991</v>
      </c>
    </row>
    <row r="9572" spans="1:3">
      <c r="A9572" s="571" t="s">
        <v>2052</v>
      </c>
      <c r="B9572" s="572">
        <v>25.8462</v>
      </c>
      <c r="C9572" s="572">
        <v>615.91700000000003</v>
      </c>
    </row>
    <row r="9573" spans="1:3">
      <c r="A9573" s="571" t="s">
        <v>2052</v>
      </c>
      <c r="B9573" s="572">
        <v>27.432200000000002</v>
      </c>
      <c r="C9573" s="572">
        <v>626.298</v>
      </c>
    </row>
    <row r="9574" spans="1:3">
      <c r="A9574" s="571" t="s">
        <v>2052</v>
      </c>
      <c r="B9574" s="572">
        <v>27.960899999999999</v>
      </c>
      <c r="C9574" s="572">
        <v>629.75800000000004</v>
      </c>
    </row>
    <row r="9575" spans="1:3">
      <c r="A9575" s="571" t="s">
        <v>2053</v>
      </c>
      <c r="B9575" s="572">
        <v>0.528667</v>
      </c>
      <c r="C9575" s="572">
        <v>3.46021</v>
      </c>
    </row>
    <row r="9576" spans="1:3">
      <c r="A9576" s="571" t="s">
        <v>2053</v>
      </c>
      <c r="B9576" s="572">
        <v>0.53268899999999997</v>
      </c>
      <c r="C9576" s="572">
        <v>41.522499999999994</v>
      </c>
    </row>
    <row r="9577" spans="1:3">
      <c r="A9577" s="571" t="s">
        <v>2053</v>
      </c>
      <c r="B9577" s="572">
        <v>0.64346800000000004</v>
      </c>
      <c r="C9577" s="572">
        <v>89.965400000000002</v>
      </c>
    </row>
    <row r="9578" spans="1:3">
      <c r="A9578" s="571" t="s">
        <v>2053</v>
      </c>
      <c r="B9578" s="572">
        <v>0.64785499999999996</v>
      </c>
      <c r="C9578" s="572">
        <v>131.488</v>
      </c>
    </row>
    <row r="9579" spans="1:3">
      <c r="A9579" s="571" t="s">
        <v>2053</v>
      </c>
      <c r="B9579" s="572">
        <v>0.65297400000000005</v>
      </c>
      <c r="C9579" s="572">
        <v>179.93100000000001</v>
      </c>
    </row>
    <row r="9580" spans="1:3">
      <c r="A9580" s="571" t="s">
        <v>2053</v>
      </c>
      <c r="B9580" s="572">
        <v>0.65882399999999997</v>
      </c>
      <c r="C9580" s="572">
        <v>235.29400000000001</v>
      </c>
    </row>
    <row r="9581" spans="1:3">
      <c r="A9581" s="571" t="s">
        <v>2053</v>
      </c>
      <c r="B9581" s="572">
        <v>0.87636000000000003</v>
      </c>
      <c r="C9581" s="572">
        <v>294.11799999999999</v>
      </c>
    </row>
    <row r="9582" spans="1:3">
      <c r="A9582" s="571" t="s">
        <v>2053</v>
      </c>
      <c r="B9582" s="572">
        <v>0.88220900000000002</v>
      </c>
      <c r="C9582" s="572">
        <v>349.48099999999999</v>
      </c>
    </row>
    <row r="9583" spans="1:3">
      <c r="A9583" s="571" t="s">
        <v>2053</v>
      </c>
      <c r="B9583" s="572">
        <v>0.99152600000000002</v>
      </c>
      <c r="C9583" s="572">
        <v>384.08300000000003</v>
      </c>
    </row>
    <row r="9584" spans="1:3">
      <c r="A9584" s="571" t="s">
        <v>2053</v>
      </c>
      <c r="B9584" s="572">
        <v>2.3647499999999999</v>
      </c>
      <c r="C9584" s="572">
        <v>380.62299999999999</v>
      </c>
    </row>
    <row r="9585" spans="1:3">
      <c r="A9585" s="571" t="s">
        <v>2053</v>
      </c>
      <c r="B9585" s="572">
        <v>3.84545</v>
      </c>
      <c r="C9585" s="572">
        <v>394.464</v>
      </c>
    </row>
    <row r="9586" spans="1:3">
      <c r="A9586" s="571" t="s">
        <v>2053</v>
      </c>
      <c r="B9586" s="572">
        <v>5.0091799999999997</v>
      </c>
      <c r="C9586" s="572">
        <v>408.30399999999997</v>
      </c>
    </row>
    <row r="9587" spans="1:3">
      <c r="A9587" s="571" t="s">
        <v>2053</v>
      </c>
      <c r="B9587" s="572">
        <v>6.2789299999999999</v>
      </c>
      <c r="C9587" s="572">
        <v>425.60599999999999</v>
      </c>
    </row>
    <row r="9588" spans="1:3">
      <c r="A9588" s="571" t="s">
        <v>2053</v>
      </c>
      <c r="B9588" s="572">
        <v>7.9705899999999996</v>
      </c>
      <c r="C9588" s="572">
        <v>435.98599999999999</v>
      </c>
    </row>
    <row r="9589" spans="1:3">
      <c r="A9589" s="571" t="s">
        <v>2053</v>
      </c>
      <c r="B9589" s="572">
        <v>10.1906</v>
      </c>
      <c r="C9589" s="572">
        <v>446.36700000000002</v>
      </c>
    </row>
    <row r="9590" spans="1:3">
      <c r="A9590" s="571" t="s">
        <v>2053</v>
      </c>
      <c r="B9590" s="572">
        <v>12.199199999999999</v>
      </c>
      <c r="C9590" s="572">
        <v>456.74700000000001</v>
      </c>
    </row>
    <row r="9591" spans="1:3">
      <c r="A9591" s="571" t="s">
        <v>2053</v>
      </c>
      <c r="B9591" s="572">
        <v>14.419499999999999</v>
      </c>
      <c r="C9591" s="572">
        <v>470.58800000000002</v>
      </c>
    </row>
    <row r="9592" spans="1:3">
      <c r="A9592" s="571" t="s">
        <v>2053</v>
      </c>
      <c r="B9592" s="572">
        <v>16.851900000000001</v>
      </c>
      <c r="C9592" s="572">
        <v>491.34899999999999</v>
      </c>
    </row>
    <row r="9593" spans="1:3">
      <c r="A9593" s="571" t="s">
        <v>2053</v>
      </c>
      <c r="B9593" s="572">
        <v>18.966200000000001</v>
      </c>
      <c r="C9593" s="572">
        <v>501.73</v>
      </c>
    </row>
    <row r="9594" spans="1:3">
      <c r="A9594" s="571" t="s">
        <v>2053</v>
      </c>
      <c r="B9594" s="572">
        <v>21.081600000000002</v>
      </c>
      <c r="C9594" s="572">
        <v>522.49099999999999</v>
      </c>
    </row>
    <row r="9595" spans="1:3">
      <c r="A9595" s="571" t="s">
        <v>2053</v>
      </c>
      <c r="B9595" s="572">
        <v>23.0914</v>
      </c>
      <c r="C9595" s="572">
        <v>543.25299999999993</v>
      </c>
    </row>
    <row r="9596" spans="1:3">
      <c r="A9596" s="571" t="s">
        <v>2053</v>
      </c>
      <c r="B9596" s="572">
        <v>25.206800000000001</v>
      </c>
      <c r="C9596" s="572">
        <v>564.01400000000001</v>
      </c>
    </row>
    <row r="9597" spans="1:3">
      <c r="A9597" s="571" t="s">
        <v>2053</v>
      </c>
      <c r="B9597" s="572">
        <v>27.005199999999999</v>
      </c>
      <c r="C9597" s="572">
        <v>584.77500000000009</v>
      </c>
    </row>
    <row r="9598" spans="1:3">
      <c r="A9598" s="571" t="s">
        <v>2053</v>
      </c>
      <c r="B9598" s="572">
        <v>28.062899999999999</v>
      </c>
      <c r="C9598" s="572">
        <v>595.15600000000006</v>
      </c>
    </row>
    <row r="9599" spans="1:3">
      <c r="A9599" s="571" t="s">
        <v>2054</v>
      </c>
      <c r="B9599" s="572">
        <v>0.103371</v>
      </c>
      <c r="C9599" s="572">
        <v>3.44828</v>
      </c>
    </row>
    <row r="9600" spans="1:3">
      <c r="A9600" s="571" t="s">
        <v>2054</v>
      </c>
      <c r="B9600" s="572">
        <v>0.115575</v>
      </c>
      <c r="C9600" s="572">
        <v>55.172400000000003</v>
      </c>
    </row>
    <row r="9601" spans="1:3">
      <c r="A9601" s="571" t="s">
        <v>2054</v>
      </c>
      <c r="B9601" s="572">
        <v>0.127778</v>
      </c>
      <c r="C9601" s="572">
        <v>113.79300000000001</v>
      </c>
    </row>
    <row r="9602" spans="1:3">
      <c r="A9602" s="571" t="s">
        <v>2054</v>
      </c>
      <c r="B9602" s="572">
        <v>0.14213600000000001</v>
      </c>
      <c r="C9602" s="572">
        <v>182.75900000000001</v>
      </c>
    </row>
    <row r="9603" spans="1:3">
      <c r="A9603" s="571" t="s">
        <v>2054</v>
      </c>
      <c r="B9603" s="572">
        <v>0.26058199999999998</v>
      </c>
      <c r="C9603" s="572">
        <v>251.72399999999999</v>
      </c>
    </row>
    <row r="9604" spans="1:3">
      <c r="A9604" s="571" t="s">
        <v>2054</v>
      </c>
      <c r="B9604" s="572">
        <v>0.273503</v>
      </c>
      <c r="C9604" s="572">
        <v>313.79300000000001</v>
      </c>
    </row>
    <row r="9605" spans="1:3">
      <c r="A9605" s="571" t="s">
        <v>2054</v>
      </c>
      <c r="B9605" s="572">
        <v>0.38764300000000002</v>
      </c>
      <c r="C9605" s="572">
        <v>362.06899999999996</v>
      </c>
    </row>
    <row r="9606" spans="1:3">
      <c r="A9606" s="571" t="s">
        <v>2054</v>
      </c>
      <c r="B9606" s="572">
        <v>0.61233199999999999</v>
      </c>
      <c r="C9606" s="572">
        <v>441.37900000000002</v>
      </c>
    </row>
    <row r="9607" spans="1:3">
      <c r="A9607" s="571" t="s">
        <v>2054</v>
      </c>
      <c r="B9607" s="572">
        <v>0.93680300000000005</v>
      </c>
      <c r="C9607" s="572">
        <v>500</v>
      </c>
    </row>
    <row r="9608" spans="1:3">
      <c r="A9608" s="571" t="s">
        <v>2054</v>
      </c>
      <c r="B9608" s="572">
        <v>1.67476</v>
      </c>
      <c r="C9608" s="572">
        <v>544.82799999999997</v>
      </c>
    </row>
    <row r="9609" spans="1:3">
      <c r="A9609" s="571" t="s">
        <v>2054</v>
      </c>
      <c r="B9609" s="572">
        <v>2.7221099999999998</v>
      </c>
      <c r="C9609" s="572">
        <v>575.86199999999997</v>
      </c>
    </row>
    <row r="9610" spans="1:3">
      <c r="A9610" s="571" t="s">
        <v>2054</v>
      </c>
      <c r="B9610" s="572">
        <v>4.2906300000000002</v>
      </c>
      <c r="C9610" s="572">
        <v>610.34500000000003</v>
      </c>
    </row>
    <row r="9611" spans="1:3">
      <c r="A9611" s="571" t="s">
        <v>2054</v>
      </c>
      <c r="B9611" s="572">
        <v>6.0651700000000002</v>
      </c>
      <c r="C9611" s="572">
        <v>634.48300000000006</v>
      </c>
    </row>
    <row r="9612" spans="1:3">
      <c r="A9612" s="571" t="s">
        <v>2054</v>
      </c>
      <c r="B9612" s="572">
        <v>8.5683399999999992</v>
      </c>
      <c r="C9612" s="572">
        <v>658.62099999999998</v>
      </c>
    </row>
    <row r="9613" spans="1:3">
      <c r="A9613" s="571" t="s">
        <v>2054</v>
      </c>
      <c r="B9613" s="572">
        <v>10.863300000000001</v>
      </c>
      <c r="C9613" s="572">
        <v>682.75900000000001</v>
      </c>
    </row>
    <row r="9614" spans="1:3">
      <c r="A9614" s="571" t="s">
        <v>2054</v>
      </c>
      <c r="B9614" s="572">
        <v>13.471299999999999</v>
      </c>
      <c r="C9614" s="572">
        <v>710.34500000000003</v>
      </c>
    </row>
    <row r="9615" spans="1:3">
      <c r="A9615" s="571" t="s">
        <v>2054</v>
      </c>
      <c r="B9615" s="572">
        <v>15.763400000000001</v>
      </c>
      <c r="C9615" s="572">
        <v>720.69</v>
      </c>
    </row>
    <row r="9616" spans="1:3">
      <c r="A9616" s="571" t="s">
        <v>2054</v>
      </c>
      <c r="B9616" s="572">
        <v>18.057700000000001</v>
      </c>
      <c r="C9616" s="572">
        <v>741.37900000000002</v>
      </c>
    </row>
    <row r="9617" spans="1:3">
      <c r="A9617" s="571" t="s">
        <v>2054</v>
      </c>
      <c r="B9617" s="572">
        <v>20.453199999999999</v>
      </c>
      <c r="C9617" s="572">
        <v>748.27600000000007</v>
      </c>
    </row>
    <row r="9618" spans="1:3">
      <c r="A9618" s="571" t="s">
        <v>2054</v>
      </c>
      <c r="B9618" s="572">
        <v>22.953499999999998</v>
      </c>
      <c r="C9618" s="572">
        <v>758.62099999999998</v>
      </c>
    </row>
    <row r="9619" spans="1:3">
      <c r="A9619" s="571" t="s">
        <v>2054</v>
      </c>
      <c r="B9619" s="572">
        <v>25.662700000000001</v>
      </c>
      <c r="C9619" s="572">
        <v>772.4140000000001</v>
      </c>
    </row>
    <row r="9620" spans="1:3">
      <c r="A9620" s="571" t="s">
        <v>2054</v>
      </c>
      <c r="B9620" s="572">
        <v>28.162199999999999</v>
      </c>
      <c r="C9620" s="572">
        <v>779.31</v>
      </c>
    </row>
    <row r="9621" spans="1:3">
      <c r="A9621" s="571" t="s">
        <v>2055</v>
      </c>
      <c r="B9621" s="572">
        <v>0.104807</v>
      </c>
      <c r="C9621" s="572">
        <v>3.44828</v>
      </c>
    </row>
    <row r="9622" spans="1:3">
      <c r="A9622" s="571" t="s">
        <v>2055</v>
      </c>
      <c r="B9622" s="572">
        <v>0.21751100000000001</v>
      </c>
      <c r="C9622" s="572">
        <v>44.827600000000004</v>
      </c>
    </row>
    <row r="9623" spans="1:3">
      <c r="A9623" s="571" t="s">
        <v>2055</v>
      </c>
      <c r="B9623" s="572">
        <v>0.32949600000000001</v>
      </c>
      <c r="C9623" s="572">
        <v>82.758600000000001</v>
      </c>
    </row>
    <row r="9624" spans="1:3">
      <c r="A9624" s="571" t="s">
        <v>2055</v>
      </c>
      <c r="B9624" s="572">
        <v>0.336675</v>
      </c>
      <c r="C9624" s="572">
        <v>117.241</v>
      </c>
    </row>
    <row r="9625" spans="1:3">
      <c r="A9625" s="571" t="s">
        <v>2055</v>
      </c>
      <c r="B9625" s="572">
        <v>0.35820999999999997</v>
      </c>
      <c r="C9625" s="572">
        <v>220.69</v>
      </c>
    </row>
    <row r="9626" spans="1:3">
      <c r="A9626" s="571" t="s">
        <v>2055</v>
      </c>
      <c r="B9626" s="572">
        <v>0.45081399999999999</v>
      </c>
      <c r="C9626" s="572">
        <v>165.517</v>
      </c>
    </row>
    <row r="9627" spans="1:3">
      <c r="A9627" s="571" t="s">
        <v>2055</v>
      </c>
      <c r="B9627" s="572">
        <v>0.47306799999999999</v>
      </c>
      <c r="C9627" s="572">
        <v>272.41399999999999</v>
      </c>
    </row>
    <row r="9628" spans="1:3">
      <c r="A9628" s="571" t="s">
        <v>2055</v>
      </c>
      <c r="B9628" s="572">
        <v>0.4824</v>
      </c>
      <c r="C9628" s="572">
        <v>317.24099999999999</v>
      </c>
    </row>
    <row r="9629" spans="1:3">
      <c r="A9629" s="571" t="s">
        <v>2055</v>
      </c>
      <c r="B9629" s="572">
        <v>0.60084599999999999</v>
      </c>
      <c r="C9629" s="572">
        <v>386.20700000000005</v>
      </c>
    </row>
    <row r="9630" spans="1:3">
      <c r="A9630" s="571" t="s">
        <v>2055</v>
      </c>
      <c r="B9630" s="572">
        <v>0.62238199999999999</v>
      </c>
      <c r="C9630" s="572">
        <v>489.65500000000003</v>
      </c>
    </row>
    <row r="9631" spans="1:3">
      <c r="A9631" s="571" t="s">
        <v>2055</v>
      </c>
      <c r="B9631" s="572">
        <v>0.71785699999999997</v>
      </c>
      <c r="C9631" s="572">
        <v>448.27600000000001</v>
      </c>
    </row>
    <row r="9632" spans="1:3">
      <c r="A9632" s="571" t="s">
        <v>2055</v>
      </c>
      <c r="B9632" s="572">
        <v>0.94685299999999994</v>
      </c>
      <c r="C9632" s="572">
        <v>548.27599999999995</v>
      </c>
    </row>
    <row r="9633" spans="1:3">
      <c r="A9633" s="571" t="s">
        <v>2055</v>
      </c>
      <c r="B9633" s="572">
        <v>1.1657999999999999</v>
      </c>
      <c r="C9633" s="572">
        <v>600</v>
      </c>
    </row>
    <row r="9634" spans="1:3">
      <c r="A9634" s="571" t="s">
        <v>2055</v>
      </c>
      <c r="B9634" s="572">
        <v>2.2160199999999999</v>
      </c>
      <c r="C9634" s="572">
        <v>644.82799999999997</v>
      </c>
    </row>
    <row r="9635" spans="1:3">
      <c r="A9635" s="571" t="s">
        <v>2055</v>
      </c>
      <c r="B9635" s="572">
        <v>3.6833200000000001</v>
      </c>
      <c r="C9635" s="572">
        <v>693.10300000000007</v>
      </c>
    </row>
    <row r="9636" spans="1:3">
      <c r="A9636" s="571" t="s">
        <v>2055</v>
      </c>
      <c r="B9636" s="572">
        <v>5.14703</v>
      </c>
      <c r="C9636" s="572">
        <v>724.13799999999992</v>
      </c>
    </row>
    <row r="9637" spans="1:3">
      <c r="A9637" s="571" t="s">
        <v>2055</v>
      </c>
      <c r="B9637" s="572">
        <v>6.6100199999999996</v>
      </c>
      <c r="C9637" s="572">
        <v>751.72399999999993</v>
      </c>
    </row>
    <row r="9638" spans="1:3">
      <c r="A9638" s="571" t="s">
        <v>2055</v>
      </c>
      <c r="B9638" s="572">
        <v>9.1117500000000007</v>
      </c>
      <c r="C9638" s="572">
        <v>768.96600000000001</v>
      </c>
    </row>
    <row r="9639" spans="1:3">
      <c r="A9639" s="571" t="s">
        <v>2055</v>
      </c>
      <c r="B9639" s="572">
        <v>11.4039</v>
      </c>
      <c r="C9639" s="572">
        <v>779.31</v>
      </c>
    </row>
    <row r="9640" spans="1:3">
      <c r="A9640" s="571" t="s">
        <v>2055</v>
      </c>
      <c r="B9640" s="572">
        <v>13.8001</v>
      </c>
      <c r="C9640" s="572">
        <v>789.65499999999997</v>
      </c>
    </row>
    <row r="9641" spans="1:3">
      <c r="A9641" s="571" t="s">
        <v>2055</v>
      </c>
      <c r="B9641" s="572">
        <v>16.926300000000001</v>
      </c>
      <c r="C9641" s="572">
        <v>806.89699999999993</v>
      </c>
    </row>
    <row r="9642" spans="1:3">
      <c r="A9642" s="571" t="s">
        <v>2055</v>
      </c>
      <c r="B9642" s="572">
        <v>20.0533</v>
      </c>
      <c r="C9642" s="572">
        <v>827.58600000000001</v>
      </c>
    </row>
    <row r="9643" spans="1:3">
      <c r="A9643" s="571" t="s">
        <v>2055</v>
      </c>
      <c r="B9643" s="572">
        <v>22.762499999999999</v>
      </c>
      <c r="C9643" s="572">
        <v>841.37900000000002</v>
      </c>
    </row>
    <row r="9644" spans="1:3">
      <c r="A9644" s="571" t="s">
        <v>2055</v>
      </c>
      <c r="B9644" s="572">
        <v>25.3691</v>
      </c>
      <c r="C9644" s="572">
        <v>862.06899999999996</v>
      </c>
    </row>
    <row r="9645" spans="1:3">
      <c r="A9645" s="571" t="s">
        <v>2055</v>
      </c>
      <c r="B9645" s="572">
        <v>28.182300000000001</v>
      </c>
      <c r="C9645" s="572">
        <v>875.86200000000008</v>
      </c>
    </row>
    <row r="9646" spans="1:3">
      <c r="A9646" s="571" t="s">
        <v>2056</v>
      </c>
      <c r="B9646" s="572">
        <v>0.104089</v>
      </c>
      <c r="C9646" s="572">
        <v>0</v>
      </c>
    </row>
    <row r="9647" spans="1:3">
      <c r="A9647" s="571" t="s">
        <v>2056</v>
      </c>
      <c r="B9647" s="572">
        <v>0.225407</v>
      </c>
      <c r="C9647" s="572">
        <v>82.758600000000001</v>
      </c>
    </row>
    <row r="9648" spans="1:3">
      <c r="A9648" s="571" t="s">
        <v>2056</v>
      </c>
      <c r="B9648" s="572">
        <v>0.320164</v>
      </c>
      <c r="C9648" s="572">
        <v>37.930999999999997</v>
      </c>
    </row>
    <row r="9649" spans="1:3">
      <c r="A9649" s="571" t="s">
        <v>2056</v>
      </c>
      <c r="B9649" s="572">
        <v>0.34098200000000001</v>
      </c>
      <c r="C9649" s="572">
        <v>137.93100000000001</v>
      </c>
    </row>
    <row r="9650" spans="1:3">
      <c r="A9650" s="571" t="s">
        <v>2056</v>
      </c>
      <c r="B9650" s="572">
        <v>0.45583899999999999</v>
      </c>
      <c r="C9650" s="572">
        <v>189.655</v>
      </c>
    </row>
    <row r="9651" spans="1:3">
      <c r="A9651" s="571" t="s">
        <v>2056</v>
      </c>
      <c r="B9651" s="572">
        <v>0.46732499999999999</v>
      </c>
      <c r="C9651" s="572">
        <v>244.828</v>
      </c>
    </row>
    <row r="9652" spans="1:3">
      <c r="A9652" s="571" t="s">
        <v>2056</v>
      </c>
      <c r="B9652" s="572">
        <v>0.58218199999999998</v>
      </c>
      <c r="C9652" s="572">
        <v>296.55199999999996</v>
      </c>
    </row>
    <row r="9653" spans="1:3">
      <c r="A9653" s="571" t="s">
        <v>2056</v>
      </c>
      <c r="B9653" s="572">
        <v>0.59294999999999998</v>
      </c>
      <c r="C9653" s="572">
        <v>348.27599999999995</v>
      </c>
    </row>
    <row r="9654" spans="1:3">
      <c r="A9654" s="571" t="s">
        <v>2056</v>
      </c>
      <c r="B9654" s="572">
        <v>0.81189599999999995</v>
      </c>
      <c r="C9654" s="572">
        <v>400</v>
      </c>
    </row>
    <row r="9655" spans="1:3">
      <c r="A9655" s="571" t="s">
        <v>2056</v>
      </c>
      <c r="B9655" s="572">
        <v>1.03156</v>
      </c>
      <c r="C9655" s="572">
        <v>455.17200000000003</v>
      </c>
    </row>
    <row r="9656" spans="1:3">
      <c r="A9656" s="571" t="s">
        <v>2056</v>
      </c>
      <c r="B9656" s="572">
        <v>1.24763</v>
      </c>
      <c r="C9656" s="572">
        <v>493.10300000000001</v>
      </c>
    </row>
    <row r="9657" spans="1:3">
      <c r="A9657" s="571" t="s">
        <v>2056</v>
      </c>
      <c r="B9657" s="572">
        <v>2.1923300000000001</v>
      </c>
      <c r="C9657" s="572">
        <v>531.03399999999999</v>
      </c>
    </row>
    <row r="9658" spans="1:3">
      <c r="A9658" s="571" t="s">
        <v>2056</v>
      </c>
      <c r="B9658" s="572">
        <v>3.55626</v>
      </c>
      <c r="C9658" s="572">
        <v>582.75900000000001</v>
      </c>
    </row>
    <row r="9659" spans="1:3">
      <c r="A9659" s="571" t="s">
        <v>2056</v>
      </c>
      <c r="B9659" s="572">
        <v>5.3329599999999999</v>
      </c>
      <c r="C9659" s="572">
        <v>617.24099999999999</v>
      </c>
    </row>
    <row r="9660" spans="1:3">
      <c r="A9660" s="571" t="s">
        <v>2056</v>
      </c>
      <c r="B9660" s="572">
        <v>7.4197699999999998</v>
      </c>
      <c r="C9660" s="572">
        <v>641.37900000000002</v>
      </c>
    </row>
    <row r="9661" spans="1:3">
      <c r="A9661" s="571" t="s">
        <v>2056</v>
      </c>
      <c r="B9661" s="572">
        <v>9.4039199999999994</v>
      </c>
      <c r="C9661" s="572">
        <v>672.41399999999999</v>
      </c>
    </row>
    <row r="9662" spans="1:3">
      <c r="A9662" s="571" t="s">
        <v>2056</v>
      </c>
      <c r="B9662" s="572">
        <v>11.2811</v>
      </c>
      <c r="C9662" s="572">
        <v>689.65499999999997</v>
      </c>
    </row>
    <row r="9663" spans="1:3">
      <c r="A9663" s="571" t="s">
        <v>2056</v>
      </c>
      <c r="B9663" s="572">
        <v>12.951599999999999</v>
      </c>
      <c r="C9663" s="572">
        <v>713.79300000000001</v>
      </c>
    </row>
    <row r="9664" spans="1:3">
      <c r="A9664" s="571" t="s">
        <v>2056</v>
      </c>
      <c r="B9664" s="572">
        <v>14.827999999999999</v>
      </c>
      <c r="C9664" s="572">
        <v>727.5859999999999</v>
      </c>
    </row>
    <row r="9665" spans="1:3">
      <c r="A9665" s="571" t="s">
        <v>2056</v>
      </c>
      <c r="B9665" s="572">
        <v>16.706</v>
      </c>
      <c r="C9665" s="572">
        <v>748.27600000000007</v>
      </c>
    </row>
    <row r="9666" spans="1:3">
      <c r="A9666" s="571" t="s">
        <v>2056</v>
      </c>
      <c r="B9666" s="572">
        <v>18.271599999999999</v>
      </c>
      <c r="C9666" s="572">
        <v>768.96600000000001</v>
      </c>
    </row>
    <row r="9667" spans="1:3">
      <c r="A9667" s="571" t="s">
        <v>2056</v>
      </c>
      <c r="B9667" s="572">
        <v>20.148800000000001</v>
      </c>
      <c r="C9667" s="572">
        <v>786.20699999999999</v>
      </c>
    </row>
    <row r="9668" spans="1:3">
      <c r="A9668" s="571" t="s">
        <v>2056</v>
      </c>
      <c r="B9668" s="572">
        <v>21.816400000000002</v>
      </c>
      <c r="C9668" s="572">
        <v>796.55200000000002</v>
      </c>
    </row>
    <row r="9669" spans="1:3">
      <c r="A9669" s="571" t="s">
        <v>2056</v>
      </c>
      <c r="B9669" s="572">
        <v>23.796199999999999</v>
      </c>
      <c r="C9669" s="572">
        <v>806.89699999999993</v>
      </c>
    </row>
    <row r="9670" spans="1:3">
      <c r="A9670" s="571" t="s">
        <v>2056</v>
      </c>
      <c r="B9670" s="572">
        <v>25.8795</v>
      </c>
      <c r="C9670" s="572">
        <v>813.79300000000001</v>
      </c>
    </row>
    <row r="9671" spans="1:3">
      <c r="A9671" s="571" t="s">
        <v>2056</v>
      </c>
      <c r="B9671" s="572">
        <v>27.2333</v>
      </c>
      <c r="C9671" s="572">
        <v>817.24099999999999</v>
      </c>
    </row>
    <row r="9672" spans="1:3">
      <c r="A9672" s="571" t="s">
        <v>2056</v>
      </c>
      <c r="B9672" s="572">
        <v>28.066800000000001</v>
      </c>
      <c r="C9672" s="572">
        <v>820.69</v>
      </c>
    </row>
    <row r="9673" spans="1:3">
      <c r="A9673" s="571" t="s">
        <v>2057</v>
      </c>
      <c r="B9673" s="572">
        <v>0.29821500000000001</v>
      </c>
      <c r="C9673" s="572">
        <v>3.44828</v>
      </c>
    </row>
    <row r="9674" spans="1:3">
      <c r="A9674" s="571" t="s">
        <v>2057</v>
      </c>
      <c r="B9674" s="572">
        <v>0.40161400000000003</v>
      </c>
      <c r="C9674" s="572">
        <v>44.827600000000004</v>
      </c>
    </row>
    <row r="9675" spans="1:3">
      <c r="A9675" s="571" t="s">
        <v>2057</v>
      </c>
      <c r="B9675" s="572">
        <v>0.50501300000000005</v>
      </c>
      <c r="C9675" s="572">
        <v>86.206900000000005</v>
      </c>
    </row>
    <row r="9676" spans="1:3">
      <c r="A9676" s="571" t="s">
        <v>2057</v>
      </c>
      <c r="B9676" s="572">
        <v>0.50980700000000001</v>
      </c>
      <c r="C9676" s="572">
        <v>134.483</v>
      </c>
    </row>
    <row r="9677" spans="1:3">
      <c r="A9677" s="571" t="s">
        <v>2057</v>
      </c>
      <c r="B9677" s="572">
        <v>0.51939299999999999</v>
      </c>
      <c r="C9677" s="572">
        <v>231.03399999999999</v>
      </c>
    </row>
    <row r="9678" spans="1:3">
      <c r="A9678" s="571" t="s">
        <v>2057</v>
      </c>
      <c r="B9678" s="572">
        <v>0.52487200000000001</v>
      </c>
      <c r="C9678" s="572">
        <v>286.20699999999999</v>
      </c>
    </row>
    <row r="9679" spans="1:3">
      <c r="A9679" s="571" t="s">
        <v>2057</v>
      </c>
      <c r="B9679" s="572">
        <v>0.52829499999999996</v>
      </c>
      <c r="C9679" s="572">
        <v>320.69</v>
      </c>
    </row>
    <row r="9680" spans="1:3">
      <c r="A9680" s="571" t="s">
        <v>2057</v>
      </c>
      <c r="B9680" s="572">
        <v>0.61389099999999996</v>
      </c>
      <c r="C9680" s="572">
        <v>182.75900000000001</v>
      </c>
    </row>
    <row r="9681" spans="1:3">
      <c r="A9681" s="571" t="s">
        <v>2057</v>
      </c>
      <c r="B9681" s="572">
        <v>0.63272200000000001</v>
      </c>
      <c r="C9681" s="572">
        <v>372.41400000000004</v>
      </c>
    </row>
    <row r="9682" spans="1:3">
      <c r="A9682" s="571" t="s">
        <v>2057</v>
      </c>
      <c r="B9682" s="572">
        <v>0.73612100000000003</v>
      </c>
      <c r="C9682" s="572">
        <v>413.79300000000001</v>
      </c>
    </row>
    <row r="9683" spans="1:3">
      <c r="A9683" s="571" t="s">
        <v>2057</v>
      </c>
      <c r="B9683" s="572">
        <v>0.83917799999999998</v>
      </c>
      <c r="C9683" s="572">
        <v>451.72399999999999</v>
      </c>
    </row>
    <row r="9684" spans="1:3">
      <c r="A9684" s="571" t="s">
        <v>2057</v>
      </c>
      <c r="B9684" s="572">
        <v>2.0316900000000002</v>
      </c>
      <c r="C9684" s="572">
        <v>462.06900000000002</v>
      </c>
    </row>
    <row r="9685" spans="1:3">
      <c r="A9685" s="571" t="s">
        <v>2057</v>
      </c>
      <c r="B9685" s="572">
        <v>3.5217399999999999</v>
      </c>
      <c r="C9685" s="572">
        <v>468.96600000000001</v>
      </c>
    </row>
    <row r="9686" spans="1:3">
      <c r="A9686" s="571" t="s">
        <v>2057</v>
      </c>
      <c r="B9686" s="572">
        <v>5.30966</v>
      </c>
      <c r="C9686" s="572">
        <v>475.86200000000002</v>
      </c>
    </row>
    <row r="9687" spans="1:3">
      <c r="A9687" s="571" t="s">
        <v>2057</v>
      </c>
      <c r="B9687" s="572">
        <v>6.7004200000000003</v>
      </c>
      <c r="C9687" s="572">
        <v>482.75900000000001</v>
      </c>
    </row>
    <row r="9688" spans="1:3">
      <c r="A9688" s="571" t="s">
        <v>2057</v>
      </c>
      <c r="B9688" s="572">
        <v>8.2907799999999998</v>
      </c>
      <c r="C9688" s="572">
        <v>500</v>
      </c>
    </row>
    <row r="9689" spans="1:3">
      <c r="A9689" s="571" t="s">
        <v>2057</v>
      </c>
      <c r="B9689" s="572">
        <v>9.7818500000000004</v>
      </c>
      <c r="C9689" s="572">
        <v>517.24099999999999</v>
      </c>
    </row>
    <row r="9690" spans="1:3">
      <c r="A9690" s="571" t="s">
        <v>2057</v>
      </c>
      <c r="B9690" s="572">
        <v>11.471500000000001</v>
      </c>
      <c r="C9690" s="572">
        <v>534.48300000000006</v>
      </c>
    </row>
    <row r="9691" spans="1:3">
      <c r="A9691" s="571" t="s">
        <v>2057</v>
      </c>
      <c r="B9691" s="572">
        <v>13.2608</v>
      </c>
      <c r="C9691" s="572">
        <v>555.17200000000003</v>
      </c>
    </row>
    <row r="9692" spans="1:3">
      <c r="A9692" s="571" t="s">
        <v>2057</v>
      </c>
      <c r="B9692" s="572">
        <v>14.9498</v>
      </c>
      <c r="C9692" s="572">
        <v>565.51700000000005</v>
      </c>
    </row>
    <row r="9693" spans="1:3">
      <c r="A9693" s="571" t="s">
        <v>2057</v>
      </c>
      <c r="B9693" s="572">
        <v>16.539400000000001</v>
      </c>
      <c r="C9693" s="572">
        <v>575.86199999999997</v>
      </c>
    </row>
    <row r="9694" spans="1:3">
      <c r="A9694" s="571" t="s">
        <v>2057</v>
      </c>
      <c r="B9694" s="572">
        <v>18.3277</v>
      </c>
      <c r="C9694" s="572">
        <v>586.20699999999999</v>
      </c>
    </row>
    <row r="9695" spans="1:3">
      <c r="A9695" s="571" t="s">
        <v>2057</v>
      </c>
      <c r="B9695" s="572">
        <v>20.016999999999999</v>
      </c>
      <c r="C9695" s="572">
        <v>600</v>
      </c>
    </row>
    <row r="9696" spans="1:3">
      <c r="A9696" s="571" t="s">
        <v>2057</v>
      </c>
      <c r="B9696" s="572">
        <v>21.805299999999999</v>
      </c>
      <c r="C9696" s="572">
        <v>610.34500000000003</v>
      </c>
    </row>
    <row r="9697" spans="1:3">
      <c r="A9697" s="571" t="s">
        <v>2057</v>
      </c>
      <c r="B9697" s="572">
        <v>23.6935</v>
      </c>
      <c r="C9697" s="572">
        <v>627.58600000000001</v>
      </c>
    </row>
    <row r="9698" spans="1:3">
      <c r="A9698" s="571" t="s">
        <v>2057</v>
      </c>
      <c r="B9698" s="572">
        <v>25.382100000000001</v>
      </c>
      <c r="C9698" s="572">
        <v>634.48300000000006</v>
      </c>
    </row>
    <row r="9699" spans="1:3">
      <c r="A9699" s="571" t="s">
        <v>2057</v>
      </c>
      <c r="B9699" s="572">
        <v>26.971800000000002</v>
      </c>
      <c r="C9699" s="572">
        <v>644.82799999999997</v>
      </c>
    </row>
    <row r="9700" spans="1:3">
      <c r="A9700" s="571" t="s">
        <v>2057</v>
      </c>
      <c r="B9700" s="572">
        <v>28.064699999999998</v>
      </c>
      <c r="C9700" s="572">
        <v>651.72399999999993</v>
      </c>
    </row>
    <row r="9701" spans="1:3">
      <c r="A9701" s="571" t="s">
        <v>2058</v>
      </c>
      <c r="B9701" s="572">
        <v>0.29821500000000001</v>
      </c>
      <c r="C9701" s="572">
        <v>3.44828</v>
      </c>
    </row>
    <row r="9702" spans="1:3">
      <c r="A9702" s="571" t="s">
        <v>2058</v>
      </c>
      <c r="B9702" s="572">
        <v>0.30232300000000001</v>
      </c>
      <c r="C9702" s="572">
        <v>44.827600000000004</v>
      </c>
    </row>
    <row r="9703" spans="1:3">
      <c r="A9703" s="571" t="s">
        <v>2058</v>
      </c>
      <c r="B9703" s="572">
        <v>0.50535600000000003</v>
      </c>
      <c r="C9703" s="572">
        <v>89.655200000000008</v>
      </c>
    </row>
    <row r="9704" spans="1:3">
      <c r="A9704" s="571" t="s">
        <v>2058</v>
      </c>
      <c r="B9704" s="572">
        <v>0.51014899999999996</v>
      </c>
      <c r="C9704" s="572">
        <v>137.93100000000001</v>
      </c>
    </row>
    <row r="9705" spans="1:3">
      <c r="A9705" s="571" t="s">
        <v>2058</v>
      </c>
      <c r="B9705" s="572">
        <v>0.61354900000000001</v>
      </c>
      <c r="C9705" s="572">
        <v>179.31</v>
      </c>
    </row>
    <row r="9706" spans="1:3">
      <c r="A9706" s="571" t="s">
        <v>2058</v>
      </c>
      <c r="B9706" s="572">
        <v>0.61834199999999995</v>
      </c>
      <c r="C9706" s="572">
        <v>227.58600000000001</v>
      </c>
    </row>
    <row r="9707" spans="1:3">
      <c r="A9707" s="571" t="s">
        <v>2058</v>
      </c>
      <c r="B9707" s="572">
        <v>0.72208399999999995</v>
      </c>
      <c r="C9707" s="572">
        <v>272.41399999999999</v>
      </c>
    </row>
    <row r="9708" spans="1:3">
      <c r="A9708" s="571" t="s">
        <v>2058</v>
      </c>
      <c r="B9708" s="572">
        <v>0.726877</v>
      </c>
      <c r="C9708" s="572">
        <v>320.69</v>
      </c>
    </row>
    <row r="9709" spans="1:3">
      <c r="A9709" s="571" t="s">
        <v>2058</v>
      </c>
      <c r="B9709" s="572">
        <v>0.73201300000000002</v>
      </c>
      <c r="C9709" s="572">
        <v>372.41400000000004</v>
      </c>
    </row>
    <row r="9710" spans="1:3">
      <c r="A9710" s="571" t="s">
        <v>2058</v>
      </c>
      <c r="B9710" s="572">
        <v>0.93230599999999997</v>
      </c>
      <c r="C9710" s="572">
        <v>389.65499999999997</v>
      </c>
    </row>
    <row r="9711" spans="1:3">
      <c r="A9711" s="571" t="s">
        <v>2058</v>
      </c>
      <c r="B9711" s="572">
        <v>1.82592</v>
      </c>
      <c r="C9711" s="572">
        <v>389.65499999999997</v>
      </c>
    </row>
    <row r="9712" spans="1:3">
      <c r="A9712" s="571" t="s">
        <v>2058</v>
      </c>
      <c r="B9712" s="572">
        <v>3.4145799999999999</v>
      </c>
      <c r="C9712" s="572">
        <v>389.65499999999997</v>
      </c>
    </row>
    <row r="9713" spans="1:3">
      <c r="A9713" s="571" t="s">
        <v>2058</v>
      </c>
      <c r="B9713" s="572">
        <v>4.5077999999999996</v>
      </c>
      <c r="C9713" s="572">
        <v>400</v>
      </c>
    </row>
    <row r="9714" spans="1:3">
      <c r="A9714" s="571" t="s">
        <v>2058</v>
      </c>
      <c r="B9714" s="572">
        <v>5.7989199999999999</v>
      </c>
      <c r="C9714" s="572">
        <v>403.44799999999998</v>
      </c>
    </row>
    <row r="9715" spans="1:3">
      <c r="A9715" s="571" t="s">
        <v>2058</v>
      </c>
      <c r="B9715" s="572">
        <v>6.9911000000000003</v>
      </c>
      <c r="C9715" s="572">
        <v>410.34500000000003</v>
      </c>
    </row>
    <row r="9716" spans="1:3">
      <c r="A9716" s="571" t="s">
        <v>2058</v>
      </c>
      <c r="B9716" s="572">
        <v>8.3825400000000005</v>
      </c>
      <c r="C9716" s="572">
        <v>424.13800000000003</v>
      </c>
    </row>
    <row r="9717" spans="1:3">
      <c r="A9717" s="571" t="s">
        <v>2058</v>
      </c>
      <c r="B9717" s="572">
        <v>9.7739799999999999</v>
      </c>
      <c r="C9717" s="572">
        <v>437.93100000000004</v>
      </c>
    </row>
    <row r="9718" spans="1:3">
      <c r="A9718" s="571" t="s">
        <v>2058</v>
      </c>
      <c r="B9718" s="572">
        <v>11.0665</v>
      </c>
      <c r="C9718" s="572">
        <v>455.17200000000003</v>
      </c>
    </row>
    <row r="9719" spans="1:3">
      <c r="A9719" s="571" t="s">
        <v>2058</v>
      </c>
      <c r="B9719" s="572">
        <v>12.6562</v>
      </c>
      <c r="C9719" s="572">
        <v>465.517</v>
      </c>
    </row>
    <row r="9720" spans="1:3">
      <c r="A9720" s="571" t="s">
        <v>2058</v>
      </c>
      <c r="B9720" s="572">
        <v>14.1469</v>
      </c>
      <c r="C9720" s="572">
        <v>479.31</v>
      </c>
    </row>
    <row r="9721" spans="1:3">
      <c r="A9721" s="571" t="s">
        <v>2058</v>
      </c>
      <c r="B9721" s="572">
        <v>15.7372</v>
      </c>
      <c r="C9721" s="572">
        <v>496.55200000000002</v>
      </c>
    </row>
    <row r="9722" spans="1:3">
      <c r="A9722" s="571" t="s">
        <v>2058</v>
      </c>
      <c r="B9722" s="572">
        <v>17.425899999999999</v>
      </c>
      <c r="C9722" s="572">
        <v>503.44799999999998</v>
      </c>
    </row>
    <row r="9723" spans="1:3">
      <c r="A9723" s="571" t="s">
        <v>2058</v>
      </c>
      <c r="B9723" s="572">
        <v>19.015899999999998</v>
      </c>
      <c r="C9723" s="572">
        <v>517.24099999999999</v>
      </c>
    </row>
    <row r="9724" spans="1:3">
      <c r="A9724" s="571" t="s">
        <v>2058</v>
      </c>
      <c r="B9724" s="572">
        <v>21.002700000000001</v>
      </c>
      <c r="C9724" s="572">
        <v>527.58600000000001</v>
      </c>
    </row>
    <row r="9725" spans="1:3">
      <c r="A9725" s="571" t="s">
        <v>2058</v>
      </c>
      <c r="B9725" s="572">
        <v>22.890599999999999</v>
      </c>
      <c r="C9725" s="572">
        <v>541.37900000000002</v>
      </c>
    </row>
    <row r="9726" spans="1:3">
      <c r="A9726" s="571" t="s">
        <v>2058</v>
      </c>
      <c r="B9726" s="572">
        <v>24.877800000000001</v>
      </c>
      <c r="C9726" s="572">
        <v>555.17200000000003</v>
      </c>
    </row>
    <row r="9727" spans="1:3">
      <c r="A9727" s="571" t="s">
        <v>2058</v>
      </c>
      <c r="B9727" s="572">
        <v>26.666399999999999</v>
      </c>
      <c r="C9727" s="572">
        <v>568.96600000000001</v>
      </c>
    </row>
    <row r="9728" spans="1:3">
      <c r="A9728" s="571" t="s">
        <v>2058</v>
      </c>
      <c r="B9728" s="572">
        <v>27.957899999999999</v>
      </c>
      <c r="C9728" s="572">
        <v>575.86199999999997</v>
      </c>
    </row>
    <row r="9729" spans="1:3">
      <c r="A9729" s="571" t="s">
        <v>2059</v>
      </c>
      <c r="B9729" s="572">
        <v>9.8941100000000004E-2</v>
      </c>
      <c r="C9729" s="572">
        <v>1.23E-2</v>
      </c>
    </row>
    <row r="9730" spans="1:3">
      <c r="A9730" s="571" t="s">
        <v>2059</v>
      </c>
      <c r="B9730" s="572">
        <v>0.102033</v>
      </c>
      <c r="C9730" s="572">
        <v>31.262699999999999</v>
      </c>
    </row>
    <row r="9731" spans="1:3">
      <c r="A9731" s="571" t="s">
        <v>2059</v>
      </c>
      <c r="B9731" s="572">
        <v>0.205097</v>
      </c>
      <c r="C9731" s="572">
        <v>72.942099999999996</v>
      </c>
    </row>
    <row r="9732" spans="1:3">
      <c r="A9732" s="571" t="s">
        <v>2059</v>
      </c>
      <c r="B9732" s="572">
        <v>0.209563</v>
      </c>
      <c r="C9732" s="572">
        <v>118.08200000000001</v>
      </c>
    </row>
    <row r="9733" spans="1:3">
      <c r="A9733" s="571" t="s">
        <v>2059</v>
      </c>
      <c r="B9733" s="572">
        <v>0.214029</v>
      </c>
      <c r="C9733" s="572">
        <v>163.221</v>
      </c>
    </row>
    <row r="9734" spans="1:3">
      <c r="A9734" s="571" t="s">
        <v>2059</v>
      </c>
      <c r="B9734" s="572">
        <v>0.21883900000000001</v>
      </c>
      <c r="C9734" s="572">
        <v>211.833</v>
      </c>
    </row>
    <row r="9735" spans="1:3">
      <c r="A9735" s="571" t="s">
        <v>2059</v>
      </c>
      <c r="B9735" s="572">
        <v>0.32087199999999999</v>
      </c>
      <c r="C9735" s="572">
        <v>243.095</v>
      </c>
    </row>
    <row r="9736" spans="1:3">
      <c r="A9736" s="571" t="s">
        <v>2059</v>
      </c>
      <c r="B9736" s="572">
        <v>0.325681</v>
      </c>
      <c r="C9736" s="572">
        <v>291.70699999999999</v>
      </c>
    </row>
    <row r="9737" spans="1:3">
      <c r="A9737" s="571" t="s">
        <v>2059</v>
      </c>
      <c r="B9737" s="572">
        <v>0.42977599999999999</v>
      </c>
      <c r="C9737" s="572">
        <v>343.803</v>
      </c>
    </row>
    <row r="9738" spans="1:3">
      <c r="A9738" s="571" t="s">
        <v>2059</v>
      </c>
      <c r="B9738" s="572">
        <v>0.43389800000000001</v>
      </c>
      <c r="C9738" s="572">
        <v>385.46999999999997</v>
      </c>
    </row>
    <row r="9739" spans="1:3">
      <c r="A9739" s="571" t="s">
        <v>2059</v>
      </c>
      <c r="B9739" s="572">
        <v>0.73450099999999996</v>
      </c>
      <c r="C9739" s="572">
        <v>423.702</v>
      </c>
    </row>
    <row r="9740" spans="1:3">
      <c r="A9740" s="571" t="s">
        <v>2059</v>
      </c>
      <c r="B9740" s="572">
        <v>1.0350999999999999</v>
      </c>
      <c r="C9740" s="572">
        <v>461.93400000000003</v>
      </c>
    </row>
    <row r="9741" spans="1:3">
      <c r="A9741" s="571" t="s">
        <v>2059</v>
      </c>
      <c r="B9741" s="572">
        <v>1.73078</v>
      </c>
      <c r="C9741" s="572">
        <v>493.27</v>
      </c>
    </row>
    <row r="9742" spans="1:3">
      <c r="A9742" s="571" t="s">
        <v>2059</v>
      </c>
      <c r="B9742" s="572">
        <v>2.72329</v>
      </c>
      <c r="C9742" s="572">
        <v>524.64299999999992</v>
      </c>
    </row>
    <row r="9743" spans="1:3">
      <c r="A9743" s="571" t="s">
        <v>2059</v>
      </c>
      <c r="B9743" s="572">
        <v>3.4172500000000001</v>
      </c>
      <c r="C9743" s="572">
        <v>538.61800000000005</v>
      </c>
    </row>
    <row r="9744" spans="1:3">
      <c r="A9744" s="571" t="s">
        <v>2059</v>
      </c>
      <c r="B9744" s="572">
        <v>4.8041400000000003</v>
      </c>
      <c r="C9744" s="572">
        <v>556.15099999999995</v>
      </c>
    </row>
    <row r="9745" spans="1:3">
      <c r="A9745" s="571" t="s">
        <v>2059</v>
      </c>
      <c r="B9745" s="572">
        <v>6.2896299999999998</v>
      </c>
      <c r="C9745" s="572">
        <v>570.22399999999993</v>
      </c>
    </row>
    <row r="9746" spans="1:3">
      <c r="A9746" s="571" t="s">
        <v>2059</v>
      </c>
      <c r="B9746" s="572">
        <v>7.5769000000000002</v>
      </c>
      <c r="C9746" s="572">
        <v>580.80100000000004</v>
      </c>
    </row>
    <row r="9747" spans="1:3">
      <c r="A9747" s="571" t="s">
        <v>2059</v>
      </c>
      <c r="B9747" s="572">
        <v>9.3595600000000001</v>
      </c>
      <c r="C9747" s="572">
        <v>598.38300000000004</v>
      </c>
    </row>
    <row r="9748" spans="1:3">
      <c r="A9748" s="571" t="s">
        <v>2059</v>
      </c>
      <c r="B9748" s="572">
        <v>11.240500000000001</v>
      </c>
      <c r="C9748" s="572">
        <v>609.03300000000002</v>
      </c>
    </row>
    <row r="9749" spans="1:3">
      <c r="A9749" s="571" t="s">
        <v>2059</v>
      </c>
      <c r="B9749" s="572">
        <v>12.726000000000001</v>
      </c>
      <c r="C9749" s="572">
        <v>623.10599999999999</v>
      </c>
    </row>
    <row r="9750" spans="1:3">
      <c r="A9750" s="571" t="s">
        <v>2059</v>
      </c>
      <c r="B9750" s="572">
        <v>14.5083</v>
      </c>
      <c r="C9750" s="572">
        <v>637.21600000000001</v>
      </c>
    </row>
    <row r="9751" spans="1:3">
      <c r="A9751" s="571" t="s">
        <v>2059</v>
      </c>
      <c r="B9751" s="572">
        <v>16.3888</v>
      </c>
      <c r="C9751" s="572">
        <v>644.39300000000003</v>
      </c>
    </row>
    <row r="9752" spans="1:3">
      <c r="A9752" s="571" t="s">
        <v>2059</v>
      </c>
      <c r="B9752" s="572">
        <v>18.171500000000002</v>
      </c>
      <c r="C9752" s="572">
        <v>661.976</v>
      </c>
    </row>
    <row r="9753" spans="1:3">
      <c r="A9753" s="571" t="s">
        <v>2059</v>
      </c>
      <c r="B9753" s="572">
        <v>19.458400000000001</v>
      </c>
      <c r="C9753" s="572">
        <v>669.08</v>
      </c>
    </row>
    <row r="9754" spans="1:3">
      <c r="A9754" s="571" t="s">
        <v>2059</v>
      </c>
      <c r="B9754" s="572">
        <v>21.041799999999999</v>
      </c>
      <c r="C9754" s="572">
        <v>672.74800000000005</v>
      </c>
    </row>
    <row r="9755" spans="1:3">
      <c r="A9755" s="571" t="s">
        <v>2059</v>
      </c>
      <c r="B9755" s="572">
        <v>22.428000000000001</v>
      </c>
      <c r="C9755" s="572">
        <v>683.33699999999999</v>
      </c>
    </row>
    <row r="9756" spans="1:3">
      <c r="A9756" s="571" t="s">
        <v>2059</v>
      </c>
      <c r="B9756" s="572">
        <v>24.110399999999998</v>
      </c>
      <c r="C9756" s="572">
        <v>687.01800000000003</v>
      </c>
    </row>
    <row r="9757" spans="1:3">
      <c r="A9757" s="571" t="s">
        <v>2059</v>
      </c>
      <c r="B9757" s="572">
        <v>25.595199999999998</v>
      </c>
      <c r="C9757" s="572">
        <v>694.14600000000007</v>
      </c>
    </row>
    <row r="9758" spans="1:3">
      <c r="A9758" s="571" t="s">
        <v>2059</v>
      </c>
      <c r="B9758" s="572">
        <v>26.783200000000001</v>
      </c>
      <c r="C9758" s="572">
        <v>701.23800000000006</v>
      </c>
    </row>
    <row r="9759" spans="1:3">
      <c r="A9759" s="571" t="s">
        <v>2059</v>
      </c>
      <c r="B9759" s="572">
        <v>28.168299999999999</v>
      </c>
      <c r="C9759" s="572">
        <v>701.41</v>
      </c>
    </row>
    <row r="9760" spans="1:3">
      <c r="A9760" s="571" t="s">
        <v>2060</v>
      </c>
      <c r="B9760" s="572">
        <v>3.4354600000000002E-4</v>
      </c>
      <c r="C9760" s="572">
        <v>3.4722599999999999</v>
      </c>
    </row>
    <row r="9761" spans="1:3">
      <c r="A9761" s="571" t="s">
        <v>2060</v>
      </c>
      <c r="B9761" s="572">
        <v>0.103751</v>
      </c>
      <c r="C9761" s="572">
        <v>48.624000000000002</v>
      </c>
    </row>
    <row r="9762" spans="1:3">
      <c r="A9762" s="571" t="s">
        <v>2060</v>
      </c>
      <c r="B9762" s="572">
        <v>0.107873</v>
      </c>
      <c r="C9762" s="572">
        <v>90.291200000000003</v>
      </c>
    </row>
    <row r="9763" spans="1:3">
      <c r="A9763" s="571" t="s">
        <v>2060</v>
      </c>
      <c r="B9763" s="572">
        <v>0.21265500000000001</v>
      </c>
      <c r="C9763" s="572">
        <v>149.33199999999999</v>
      </c>
    </row>
    <row r="9764" spans="1:3">
      <c r="A9764" s="571" t="s">
        <v>2060</v>
      </c>
      <c r="B9764" s="572">
        <v>0.21746399999999999</v>
      </c>
      <c r="C9764" s="572">
        <v>197.94400000000002</v>
      </c>
    </row>
    <row r="9765" spans="1:3">
      <c r="A9765" s="571" t="s">
        <v>2060</v>
      </c>
      <c r="B9765" s="572">
        <v>0.22296099999999999</v>
      </c>
      <c r="C9765" s="572">
        <v>253.5</v>
      </c>
    </row>
    <row r="9766" spans="1:3">
      <c r="A9766" s="571" t="s">
        <v>2060</v>
      </c>
      <c r="B9766" s="572">
        <v>0.32808599999999999</v>
      </c>
      <c r="C9766" s="572">
        <v>316.01299999999998</v>
      </c>
    </row>
    <row r="9767" spans="1:3">
      <c r="A9767" s="571" t="s">
        <v>2060</v>
      </c>
      <c r="B9767" s="572">
        <v>0.33289600000000003</v>
      </c>
      <c r="C9767" s="572">
        <v>364.625</v>
      </c>
    </row>
    <row r="9768" spans="1:3">
      <c r="A9768" s="571" t="s">
        <v>2060</v>
      </c>
      <c r="B9768" s="572">
        <v>0.43595899999999999</v>
      </c>
      <c r="C9768" s="572">
        <v>406.30399999999997</v>
      </c>
    </row>
    <row r="9769" spans="1:3">
      <c r="A9769" s="571" t="s">
        <v>2060</v>
      </c>
      <c r="B9769" s="572">
        <v>0.63727699999999998</v>
      </c>
      <c r="C9769" s="572">
        <v>441.05100000000004</v>
      </c>
    </row>
    <row r="9770" spans="1:3">
      <c r="A9770" s="571" t="s">
        <v>2060</v>
      </c>
      <c r="B9770" s="572">
        <v>0.74034100000000003</v>
      </c>
      <c r="C9770" s="572">
        <v>482.73099999999999</v>
      </c>
    </row>
    <row r="9771" spans="1:3">
      <c r="A9771" s="571" t="s">
        <v>2060</v>
      </c>
      <c r="B9771" s="572">
        <v>1.63219</v>
      </c>
      <c r="C9771" s="572">
        <v>496.73</v>
      </c>
    </row>
    <row r="9772" spans="1:3">
      <c r="A9772" s="571" t="s">
        <v>2060</v>
      </c>
      <c r="B9772" s="572">
        <v>2.6240000000000001</v>
      </c>
      <c r="C9772" s="572">
        <v>521.15899999999999</v>
      </c>
    </row>
    <row r="9773" spans="1:3">
      <c r="A9773" s="571" t="s">
        <v>2060</v>
      </c>
      <c r="B9773" s="572">
        <v>3.3179599999999998</v>
      </c>
      <c r="C9773" s="572">
        <v>535.13400000000001</v>
      </c>
    </row>
    <row r="9774" spans="1:3">
      <c r="A9774" s="571" t="s">
        <v>2060</v>
      </c>
      <c r="B9774" s="572">
        <v>4.4080300000000001</v>
      </c>
      <c r="C9774" s="572">
        <v>552.63</v>
      </c>
    </row>
    <row r="9775" spans="1:3">
      <c r="A9775" s="571" t="s">
        <v>2060</v>
      </c>
      <c r="B9775" s="572">
        <v>5.49742</v>
      </c>
      <c r="C9775" s="572">
        <v>563.18200000000002</v>
      </c>
    </row>
    <row r="9776" spans="1:3">
      <c r="A9776" s="571" t="s">
        <v>2060</v>
      </c>
      <c r="B9776" s="572">
        <v>6.9825699999999999</v>
      </c>
      <c r="C9776" s="572">
        <v>573.78300000000002</v>
      </c>
    </row>
    <row r="9777" spans="1:3">
      <c r="A9777" s="571" t="s">
        <v>2060</v>
      </c>
      <c r="B9777" s="572">
        <v>8.5663099999999996</v>
      </c>
      <c r="C9777" s="572">
        <v>580.923</v>
      </c>
    </row>
    <row r="9778" spans="1:3">
      <c r="A9778" s="571" t="s">
        <v>2060</v>
      </c>
      <c r="B9778" s="572">
        <v>9.8535799999999991</v>
      </c>
      <c r="C9778" s="572">
        <v>591.5</v>
      </c>
    </row>
    <row r="9779" spans="1:3">
      <c r="A9779" s="571" t="s">
        <v>2060</v>
      </c>
      <c r="B9779" s="572">
        <v>11.1408</v>
      </c>
      <c r="C9779" s="572">
        <v>602.07599999999991</v>
      </c>
    </row>
    <row r="9780" spans="1:3">
      <c r="A9780" s="571" t="s">
        <v>2060</v>
      </c>
      <c r="B9780" s="572">
        <v>12.5267</v>
      </c>
      <c r="C9780" s="572">
        <v>609.19200000000001</v>
      </c>
    </row>
    <row r="9781" spans="1:3">
      <c r="A9781" s="571" t="s">
        <v>2060</v>
      </c>
      <c r="B9781" s="572">
        <v>13.814</v>
      </c>
      <c r="C9781" s="572">
        <v>619.76900000000001</v>
      </c>
    </row>
    <row r="9782" spans="1:3">
      <c r="A9782" s="571" t="s">
        <v>2060</v>
      </c>
      <c r="B9782" s="572">
        <v>15.1995</v>
      </c>
      <c r="C9782" s="572">
        <v>623.41300000000001</v>
      </c>
    </row>
    <row r="9783" spans="1:3">
      <c r="A9783" s="571" t="s">
        <v>2060</v>
      </c>
      <c r="B9783" s="572">
        <v>16.486799999999999</v>
      </c>
      <c r="C9783" s="572">
        <v>633.98900000000003</v>
      </c>
    </row>
    <row r="9784" spans="1:3">
      <c r="A9784" s="571" t="s">
        <v>2060</v>
      </c>
      <c r="B9784" s="572">
        <v>17.674700000000001</v>
      </c>
      <c r="C9784" s="572">
        <v>641.08100000000002</v>
      </c>
    </row>
    <row r="9785" spans="1:3">
      <c r="A9785" s="571" t="s">
        <v>2060</v>
      </c>
      <c r="B9785" s="572">
        <v>19.159199999999998</v>
      </c>
      <c r="C9785" s="572">
        <v>644.73699999999997</v>
      </c>
    </row>
    <row r="9786" spans="1:3">
      <c r="A9786" s="571" t="s">
        <v>2060</v>
      </c>
      <c r="B9786" s="572">
        <v>21.0398</v>
      </c>
      <c r="C9786" s="572">
        <v>651.91500000000008</v>
      </c>
    </row>
    <row r="9787" spans="1:3">
      <c r="A9787" s="571" t="s">
        <v>2060</v>
      </c>
      <c r="B9787" s="572">
        <v>22.7225</v>
      </c>
      <c r="C9787" s="572">
        <v>659.06799999999998</v>
      </c>
    </row>
    <row r="9788" spans="1:3">
      <c r="A9788" s="571" t="s">
        <v>2060</v>
      </c>
      <c r="B9788" s="572">
        <v>24.404800000000002</v>
      </c>
      <c r="C9788" s="572">
        <v>662.74900000000002</v>
      </c>
    </row>
    <row r="9789" spans="1:3">
      <c r="A9789" s="571" t="s">
        <v>2060</v>
      </c>
      <c r="B9789" s="572">
        <v>26.0871</v>
      </c>
      <c r="C9789" s="572">
        <v>666.42900000000009</v>
      </c>
    </row>
    <row r="9790" spans="1:3">
      <c r="A9790" s="571" t="s">
        <v>2060</v>
      </c>
      <c r="B9790" s="572">
        <v>27.571899999999999</v>
      </c>
      <c r="C9790" s="572">
        <v>673.55799999999999</v>
      </c>
    </row>
    <row r="9791" spans="1:3">
      <c r="A9791" s="571" t="s">
        <v>2060</v>
      </c>
      <c r="B9791" s="572">
        <v>28.066600000000001</v>
      </c>
      <c r="C9791" s="572">
        <v>673.61899999999991</v>
      </c>
    </row>
    <row r="9792" spans="1:3">
      <c r="A9792" s="571" t="s">
        <v>2061</v>
      </c>
      <c r="B9792" s="572">
        <v>0.40875899999999998</v>
      </c>
      <c r="C9792" s="572">
        <v>408.75899999999996</v>
      </c>
    </row>
    <row r="9793" spans="1:3">
      <c r="A9793" s="571" t="s">
        <v>2061</v>
      </c>
      <c r="B9793" s="572">
        <v>0.51094899999999999</v>
      </c>
      <c r="C9793" s="572">
        <v>475.58800000000002</v>
      </c>
    </row>
    <row r="9794" spans="1:3">
      <c r="A9794" s="571" t="s">
        <v>2061</v>
      </c>
      <c r="B9794" s="572">
        <v>0.51094899999999999</v>
      </c>
      <c r="C9794" s="572">
        <v>475.58800000000002</v>
      </c>
    </row>
    <row r="9795" spans="1:3">
      <c r="A9795" s="571" t="s">
        <v>2061</v>
      </c>
      <c r="B9795" s="572">
        <v>0.51094899999999999</v>
      </c>
      <c r="C9795" s="572">
        <v>475.58800000000002</v>
      </c>
    </row>
    <row r="9796" spans="1:3">
      <c r="A9796" s="571" t="s">
        <v>2061</v>
      </c>
      <c r="B9796" s="572">
        <v>0.61313899999999999</v>
      </c>
      <c r="C9796" s="572">
        <v>143.43299999999999</v>
      </c>
    </row>
    <row r="9797" spans="1:3">
      <c r="A9797" s="571" t="s">
        <v>2061</v>
      </c>
      <c r="B9797" s="572">
        <v>0.61313899999999999</v>
      </c>
      <c r="C9797" s="572">
        <v>143.43299999999999</v>
      </c>
    </row>
    <row r="9798" spans="1:3">
      <c r="A9798" s="571" t="s">
        <v>2061</v>
      </c>
      <c r="B9798" s="572">
        <v>0.61313899999999999</v>
      </c>
      <c r="C9798" s="572">
        <v>143.43299999999999</v>
      </c>
    </row>
    <row r="9799" spans="1:3">
      <c r="A9799" s="571" t="s">
        <v>2061</v>
      </c>
      <c r="B9799" s="572">
        <v>0.91970799999999997</v>
      </c>
      <c r="C9799" s="572">
        <v>493.12200000000001</v>
      </c>
    </row>
    <row r="9800" spans="1:3">
      <c r="A9800" s="571" t="s">
        <v>2061</v>
      </c>
      <c r="B9800" s="572">
        <v>1.9416100000000001</v>
      </c>
      <c r="C9800" s="572">
        <v>493.24899999999997</v>
      </c>
    </row>
    <row r="9801" spans="1:3">
      <c r="A9801" s="571" t="s">
        <v>2061</v>
      </c>
      <c r="B9801" s="572">
        <v>3.27007</v>
      </c>
      <c r="C9801" s="572">
        <v>514.39400000000001</v>
      </c>
    </row>
    <row r="9802" spans="1:3">
      <c r="A9802" s="571" t="s">
        <v>2061</v>
      </c>
      <c r="B9802" s="572">
        <v>5.4160599999999999</v>
      </c>
      <c r="C9802" s="572">
        <v>521.65499999999997</v>
      </c>
    </row>
    <row r="9803" spans="1:3">
      <c r="A9803" s="571" t="s">
        <v>2061</v>
      </c>
      <c r="B9803" s="572">
        <v>7.1532799999999996</v>
      </c>
      <c r="C9803" s="572">
        <v>535.85799999999995</v>
      </c>
    </row>
    <row r="9804" spans="1:3">
      <c r="A9804" s="571" t="s">
        <v>2061</v>
      </c>
      <c r="B9804" s="572">
        <v>9.0948899999999995</v>
      </c>
      <c r="C9804" s="572">
        <v>553.58300000000008</v>
      </c>
    </row>
    <row r="9805" spans="1:3">
      <c r="A9805" s="571" t="s">
        <v>2061</v>
      </c>
      <c r="B9805" s="572">
        <v>10.832100000000001</v>
      </c>
      <c r="C9805" s="572">
        <v>567.78600000000006</v>
      </c>
    </row>
    <row r="9806" spans="1:3">
      <c r="A9806" s="571" t="s">
        <v>2061</v>
      </c>
      <c r="B9806" s="572">
        <v>12.7737</v>
      </c>
      <c r="C9806" s="572">
        <v>582.01499999999999</v>
      </c>
    </row>
    <row r="9807" spans="1:3">
      <c r="A9807" s="571" t="s">
        <v>2061</v>
      </c>
      <c r="B9807" s="572">
        <v>14.919700000000001</v>
      </c>
      <c r="C9807" s="572">
        <v>596.26900000000001</v>
      </c>
    </row>
    <row r="9808" spans="1:3">
      <c r="A9808" s="571" t="s">
        <v>2061</v>
      </c>
      <c r="B9808" s="572">
        <v>17.678799999999999</v>
      </c>
      <c r="C9808" s="572">
        <v>610.59900000000005</v>
      </c>
    </row>
    <row r="9809" spans="1:3">
      <c r="A9809" s="571" t="s">
        <v>2061</v>
      </c>
      <c r="B9809" s="572">
        <v>19.5182</v>
      </c>
      <c r="C9809" s="572">
        <v>621.31799999999998</v>
      </c>
    </row>
    <row r="9810" spans="1:3">
      <c r="A9810" s="571" t="s">
        <v>2061</v>
      </c>
      <c r="B9810" s="572">
        <v>21.459900000000001</v>
      </c>
      <c r="C9810" s="572">
        <v>628.55399999999997</v>
      </c>
    </row>
    <row r="9811" spans="1:3">
      <c r="A9811" s="571" t="s">
        <v>2061</v>
      </c>
      <c r="B9811" s="572">
        <v>23.299299999999999</v>
      </c>
      <c r="C9811" s="572">
        <v>646.26599999999996</v>
      </c>
    </row>
    <row r="9812" spans="1:3">
      <c r="A9812" s="571" t="s">
        <v>2061</v>
      </c>
      <c r="B9812" s="572">
        <v>25.1387</v>
      </c>
      <c r="C9812" s="572">
        <v>646.49599999999998</v>
      </c>
    </row>
    <row r="9813" spans="1:3">
      <c r="A9813" s="571" t="s">
        <v>2061</v>
      </c>
      <c r="B9813" s="572">
        <v>26.569299999999998</v>
      </c>
      <c r="C9813" s="572">
        <v>653.66800000000001</v>
      </c>
    </row>
    <row r="9814" spans="1:3">
      <c r="A9814" s="571" t="s">
        <v>2061</v>
      </c>
      <c r="B9814" s="572">
        <v>27.8978</v>
      </c>
      <c r="C9814" s="572">
        <v>657.32999999999993</v>
      </c>
    </row>
    <row r="9815" spans="1:3">
      <c r="A9815" s="571" t="s">
        <v>2062</v>
      </c>
      <c r="B9815" s="572">
        <v>0.40875899999999998</v>
      </c>
      <c r="C9815" s="572">
        <v>408.75899999999996</v>
      </c>
    </row>
    <row r="9816" spans="1:3">
      <c r="A9816" s="571" t="s">
        <v>2062</v>
      </c>
      <c r="B9816" s="572">
        <v>0.51094899999999999</v>
      </c>
      <c r="C9816" s="572">
        <v>125.93799999999999</v>
      </c>
    </row>
    <row r="9817" spans="1:3">
      <c r="A9817" s="571" t="s">
        <v>2062</v>
      </c>
      <c r="B9817" s="572">
        <v>0.61313899999999999</v>
      </c>
      <c r="C9817" s="572">
        <v>521.05599999999993</v>
      </c>
    </row>
    <row r="9818" spans="1:3">
      <c r="A9818" s="571" t="s">
        <v>2062</v>
      </c>
      <c r="B9818" s="572">
        <v>0.61313899999999999</v>
      </c>
      <c r="C9818" s="572">
        <v>521.05599999999993</v>
      </c>
    </row>
    <row r="9819" spans="1:3">
      <c r="A9819" s="571" t="s">
        <v>2062</v>
      </c>
      <c r="B9819" s="572">
        <v>0.61313899999999999</v>
      </c>
      <c r="C9819" s="572">
        <v>521.05599999999993</v>
      </c>
    </row>
    <row r="9820" spans="1:3">
      <c r="A9820" s="571" t="s">
        <v>2062</v>
      </c>
      <c r="B9820" s="572">
        <v>0.61313899999999999</v>
      </c>
      <c r="C9820" s="572">
        <v>521.05599999999993</v>
      </c>
    </row>
    <row r="9821" spans="1:3">
      <c r="A9821" s="571" t="s">
        <v>2062</v>
      </c>
      <c r="B9821" s="572">
        <v>0.71532799999999996</v>
      </c>
      <c r="C9821" s="572">
        <v>339.25</v>
      </c>
    </row>
    <row r="9822" spans="1:3">
      <c r="A9822" s="571" t="s">
        <v>2062</v>
      </c>
      <c r="B9822" s="572">
        <v>2.1459899999999998</v>
      </c>
      <c r="C9822" s="572">
        <v>531.73699999999997</v>
      </c>
    </row>
    <row r="9823" spans="1:3">
      <c r="A9823" s="571" t="s">
        <v>2062</v>
      </c>
      <c r="B9823" s="572">
        <v>3.7810199999999998</v>
      </c>
      <c r="C9823" s="572">
        <v>545.92700000000002</v>
      </c>
    </row>
    <row r="9824" spans="1:3">
      <c r="A9824" s="571" t="s">
        <v>2062</v>
      </c>
      <c r="B9824" s="572">
        <v>5.4160599999999999</v>
      </c>
      <c r="C9824" s="572">
        <v>553.12399999999991</v>
      </c>
    </row>
    <row r="9825" spans="1:3">
      <c r="A9825" s="571" t="s">
        <v>2062</v>
      </c>
      <c r="B9825" s="572">
        <v>7.1532799999999996</v>
      </c>
      <c r="C9825" s="572">
        <v>563.83000000000004</v>
      </c>
    </row>
    <row r="9826" spans="1:3">
      <c r="A9826" s="571" t="s">
        <v>2062</v>
      </c>
      <c r="B9826" s="572">
        <v>8.8905100000000008</v>
      </c>
      <c r="C9826" s="572">
        <v>574.53699999999992</v>
      </c>
    </row>
    <row r="9827" spans="1:3">
      <c r="A9827" s="571" t="s">
        <v>2062</v>
      </c>
      <c r="B9827" s="572">
        <v>10.321199999999999</v>
      </c>
      <c r="C9827" s="572">
        <v>585.20499999999993</v>
      </c>
    </row>
    <row r="9828" spans="1:3">
      <c r="A9828" s="571" t="s">
        <v>2062</v>
      </c>
      <c r="B9828" s="572">
        <v>11.853999999999999</v>
      </c>
      <c r="C9828" s="572">
        <v>588.89300000000003</v>
      </c>
    </row>
    <row r="9829" spans="1:3">
      <c r="A9829" s="571" t="s">
        <v>2062</v>
      </c>
      <c r="B9829" s="572">
        <v>13.591200000000001</v>
      </c>
      <c r="C9829" s="572">
        <v>599.59900000000005</v>
      </c>
    </row>
    <row r="9830" spans="1:3">
      <c r="A9830" s="571" t="s">
        <v>2062</v>
      </c>
      <c r="B9830" s="572">
        <v>15.0219</v>
      </c>
      <c r="C9830" s="572">
        <v>606.77099999999996</v>
      </c>
    </row>
    <row r="9831" spans="1:3">
      <c r="A9831" s="571" t="s">
        <v>2062</v>
      </c>
      <c r="B9831" s="572">
        <v>16.248200000000001</v>
      </c>
      <c r="C9831" s="572">
        <v>610.42099999999994</v>
      </c>
    </row>
    <row r="9832" spans="1:3">
      <c r="A9832" s="571" t="s">
        <v>2062</v>
      </c>
      <c r="B9832" s="572">
        <v>17.576599999999999</v>
      </c>
      <c r="C9832" s="572">
        <v>617.58000000000004</v>
      </c>
    </row>
    <row r="9833" spans="1:3">
      <c r="A9833" s="571" t="s">
        <v>2062</v>
      </c>
      <c r="B9833" s="572">
        <v>19.3139</v>
      </c>
      <c r="C9833" s="572">
        <v>621.29300000000001</v>
      </c>
    </row>
    <row r="9834" spans="1:3">
      <c r="A9834" s="571" t="s">
        <v>2062</v>
      </c>
      <c r="B9834" s="572">
        <v>20.846699999999998</v>
      </c>
      <c r="C9834" s="572">
        <v>628.47699999999998</v>
      </c>
    </row>
    <row r="9835" spans="1:3">
      <c r="A9835" s="571" t="s">
        <v>2062</v>
      </c>
      <c r="B9835" s="572">
        <v>22.4818</v>
      </c>
      <c r="C9835" s="572">
        <v>639.17100000000005</v>
      </c>
    </row>
    <row r="9836" spans="1:3">
      <c r="A9836" s="571" t="s">
        <v>2062</v>
      </c>
      <c r="B9836" s="572">
        <v>23.810199999999998</v>
      </c>
      <c r="C9836" s="572">
        <v>642.83299999999997</v>
      </c>
    </row>
    <row r="9837" spans="1:3">
      <c r="A9837" s="571" t="s">
        <v>2062</v>
      </c>
      <c r="B9837" s="572">
        <v>25.5474</v>
      </c>
      <c r="C9837" s="572">
        <v>650.04300000000001</v>
      </c>
    </row>
    <row r="9838" spans="1:3">
      <c r="A9838" s="571" t="s">
        <v>2062</v>
      </c>
      <c r="B9838" s="572">
        <v>26.978100000000001</v>
      </c>
      <c r="C9838" s="572">
        <v>657.21500000000003</v>
      </c>
    </row>
    <row r="9839" spans="1:3">
      <c r="A9839" s="571" t="s">
        <v>2062</v>
      </c>
      <c r="B9839" s="572">
        <v>28</v>
      </c>
      <c r="C9839" s="572">
        <v>657.34299999999996</v>
      </c>
    </row>
    <row r="9840" spans="1:3">
      <c r="A9840" s="571" t="s">
        <v>2063</v>
      </c>
      <c r="B9840" s="572">
        <v>0.30656899999999998</v>
      </c>
      <c r="C9840" s="572">
        <v>3.8300000000000001E-2</v>
      </c>
    </row>
    <row r="9841" spans="1:3">
      <c r="A9841" s="571" t="s">
        <v>2063</v>
      </c>
      <c r="B9841" s="572">
        <v>0.51094899999999999</v>
      </c>
      <c r="C9841" s="572">
        <v>28.035799999999998</v>
      </c>
    </row>
    <row r="9842" spans="1:3">
      <c r="A9842" s="571" t="s">
        <v>2063</v>
      </c>
      <c r="B9842" s="572">
        <v>0.61313899999999999</v>
      </c>
      <c r="C9842" s="572">
        <v>111.96499999999999</v>
      </c>
    </row>
    <row r="9843" spans="1:3">
      <c r="A9843" s="571" t="s">
        <v>2063</v>
      </c>
      <c r="B9843" s="572">
        <v>0.61313899999999999</v>
      </c>
      <c r="C9843" s="572">
        <v>111.96499999999999</v>
      </c>
    </row>
    <row r="9844" spans="1:3">
      <c r="A9844" s="571" t="s">
        <v>2063</v>
      </c>
      <c r="B9844" s="572">
        <v>0.71532799999999996</v>
      </c>
      <c r="C9844" s="572">
        <v>269.32</v>
      </c>
    </row>
    <row r="9845" spans="1:3">
      <c r="A9845" s="571" t="s">
        <v>2063</v>
      </c>
      <c r="B9845" s="572">
        <v>0.71532799999999996</v>
      </c>
      <c r="C9845" s="572">
        <v>269.32</v>
      </c>
    </row>
    <row r="9846" spans="1:3">
      <c r="A9846" s="571" t="s">
        <v>2063</v>
      </c>
      <c r="B9846" s="572">
        <v>0.81751799999999997</v>
      </c>
      <c r="C9846" s="572">
        <v>419.68299999999999</v>
      </c>
    </row>
    <row r="9847" spans="1:3">
      <c r="A9847" s="571" t="s">
        <v>2063</v>
      </c>
      <c r="B9847" s="572">
        <v>1.8394200000000001</v>
      </c>
      <c r="C9847" s="572">
        <v>433.79599999999999</v>
      </c>
    </row>
    <row r="9848" spans="1:3">
      <c r="A9848" s="571" t="s">
        <v>2063</v>
      </c>
      <c r="B9848" s="572">
        <v>3.3722599999999998</v>
      </c>
      <c r="C9848" s="572">
        <v>444.47700000000003</v>
      </c>
    </row>
    <row r="9849" spans="1:3">
      <c r="A9849" s="571" t="s">
        <v>2063</v>
      </c>
      <c r="B9849" s="572">
        <v>5.1094900000000001</v>
      </c>
      <c r="C9849" s="572">
        <v>451.68700000000001</v>
      </c>
    </row>
    <row r="9850" spans="1:3">
      <c r="A9850" s="571" t="s">
        <v>2063</v>
      </c>
      <c r="B9850" s="572">
        <v>6.6423399999999999</v>
      </c>
      <c r="C9850" s="572">
        <v>451.87799999999999</v>
      </c>
    </row>
    <row r="9851" spans="1:3">
      <c r="A9851" s="571" t="s">
        <v>2063</v>
      </c>
      <c r="B9851" s="572">
        <v>7.8686100000000003</v>
      </c>
      <c r="C9851" s="572">
        <v>459.02500000000003</v>
      </c>
    </row>
    <row r="9852" spans="1:3">
      <c r="A9852" s="571" t="s">
        <v>2063</v>
      </c>
      <c r="B9852" s="572">
        <v>10.0146</v>
      </c>
      <c r="C9852" s="572">
        <v>469.78199999999998</v>
      </c>
    </row>
    <row r="9853" spans="1:3">
      <c r="A9853" s="571" t="s">
        <v>2063</v>
      </c>
      <c r="B9853" s="572">
        <v>11.6496</v>
      </c>
      <c r="C9853" s="572">
        <v>476.97899999999998</v>
      </c>
    </row>
    <row r="9854" spans="1:3">
      <c r="A9854" s="571" t="s">
        <v>2063</v>
      </c>
      <c r="B9854" s="572">
        <v>13.386900000000001</v>
      </c>
      <c r="C9854" s="572">
        <v>487.68600000000004</v>
      </c>
    </row>
    <row r="9855" spans="1:3">
      <c r="A9855" s="571" t="s">
        <v>2063</v>
      </c>
      <c r="B9855" s="572">
        <v>15.2263</v>
      </c>
      <c r="C9855" s="572">
        <v>501.90100000000007</v>
      </c>
    </row>
    <row r="9856" spans="1:3">
      <c r="A9856" s="571" t="s">
        <v>2063</v>
      </c>
      <c r="B9856" s="572">
        <v>17.0657</v>
      </c>
      <c r="C9856" s="572">
        <v>519.61400000000003</v>
      </c>
    </row>
    <row r="9857" spans="1:3">
      <c r="A9857" s="571" t="s">
        <v>2063</v>
      </c>
      <c r="B9857" s="572">
        <v>18.802900000000001</v>
      </c>
      <c r="C9857" s="572">
        <v>533.81700000000001</v>
      </c>
    </row>
    <row r="9858" spans="1:3">
      <c r="A9858" s="571" t="s">
        <v>2063</v>
      </c>
      <c r="B9858" s="572">
        <v>20.540099999999999</v>
      </c>
      <c r="C9858" s="572">
        <v>544.52300000000002</v>
      </c>
    </row>
    <row r="9859" spans="1:3">
      <c r="A9859" s="571" t="s">
        <v>2063</v>
      </c>
      <c r="B9859" s="572">
        <v>22.1752</v>
      </c>
      <c r="C9859" s="572">
        <v>551.72</v>
      </c>
    </row>
    <row r="9860" spans="1:3">
      <c r="A9860" s="571" t="s">
        <v>2063</v>
      </c>
      <c r="B9860" s="572">
        <v>24.014600000000002</v>
      </c>
      <c r="C9860" s="572">
        <v>551.95000000000005</v>
      </c>
    </row>
    <row r="9861" spans="1:3">
      <c r="A9861" s="571" t="s">
        <v>2063</v>
      </c>
      <c r="B9861" s="572">
        <v>25.5474</v>
      </c>
      <c r="C9861" s="572">
        <v>552.14099999999996</v>
      </c>
    </row>
    <row r="9862" spans="1:3">
      <c r="A9862" s="571" t="s">
        <v>2063</v>
      </c>
      <c r="B9862" s="572">
        <v>27.386900000000001</v>
      </c>
      <c r="C9862" s="572">
        <v>555.86699999999996</v>
      </c>
    </row>
    <row r="9863" spans="1:3">
      <c r="A9863" s="571" t="s">
        <v>2063</v>
      </c>
      <c r="B9863" s="572">
        <v>28.1022</v>
      </c>
      <c r="C9863" s="572">
        <v>555.95699999999999</v>
      </c>
    </row>
    <row r="9864" spans="1:3">
      <c r="A9864" s="571" t="s">
        <v>2064</v>
      </c>
      <c r="B9864" s="572">
        <v>0</v>
      </c>
      <c r="C9864" s="572">
        <v>0</v>
      </c>
    </row>
    <row r="9865" spans="1:3">
      <c r="A9865" s="571" t="s">
        <v>2064</v>
      </c>
      <c r="B9865" s="572">
        <v>0.117573</v>
      </c>
      <c r="C9865" s="572">
        <v>73.170700000000011</v>
      </c>
    </row>
    <row r="9866" spans="1:3">
      <c r="A9866" s="571" t="s">
        <v>2064</v>
      </c>
      <c r="B9866" s="572">
        <v>0.23300299999999999</v>
      </c>
      <c r="C9866" s="572">
        <v>135.88900000000001</v>
      </c>
    </row>
    <row r="9867" spans="1:3">
      <c r="A9867" s="571" t="s">
        <v>2064</v>
      </c>
      <c r="B9867" s="572">
        <v>0.245868</v>
      </c>
      <c r="C9867" s="572">
        <v>198.60599999999999</v>
      </c>
    </row>
    <row r="9868" spans="1:3">
      <c r="A9868" s="571" t="s">
        <v>2064</v>
      </c>
      <c r="B9868" s="572">
        <v>0.35772399999999999</v>
      </c>
      <c r="C9868" s="572">
        <v>243.90200000000002</v>
      </c>
    </row>
    <row r="9869" spans="1:3">
      <c r="A9869" s="571" t="s">
        <v>2064</v>
      </c>
      <c r="B9869" s="572">
        <v>0.36773</v>
      </c>
      <c r="C9869" s="572">
        <v>292.68300000000005</v>
      </c>
    </row>
    <row r="9870" spans="1:3">
      <c r="A9870" s="571" t="s">
        <v>2064</v>
      </c>
      <c r="B9870" s="572">
        <v>0.48101500000000003</v>
      </c>
      <c r="C9870" s="572">
        <v>344.94799999999998</v>
      </c>
    </row>
    <row r="9871" spans="1:3">
      <c r="A9871" s="571" t="s">
        <v>2064</v>
      </c>
      <c r="B9871" s="572">
        <v>0.49102099999999999</v>
      </c>
      <c r="C9871" s="572">
        <v>393.72800000000001</v>
      </c>
    </row>
    <row r="9872" spans="1:3">
      <c r="A9872" s="571" t="s">
        <v>2064</v>
      </c>
      <c r="B9872" s="572">
        <v>0.50245700000000004</v>
      </c>
      <c r="C9872" s="572">
        <v>449.47700000000003</v>
      </c>
    </row>
    <row r="9873" spans="1:3">
      <c r="A9873" s="571" t="s">
        <v>2064</v>
      </c>
      <c r="B9873" s="572">
        <v>0.72045000000000003</v>
      </c>
      <c r="C9873" s="572">
        <v>512.19499999999994</v>
      </c>
    </row>
    <row r="9874" spans="1:3">
      <c r="A9874" s="571" t="s">
        <v>2064</v>
      </c>
      <c r="B9874" s="572">
        <v>1.2432799999999999</v>
      </c>
      <c r="C9874" s="572">
        <v>560.976</v>
      </c>
    </row>
    <row r="9875" spans="1:3">
      <c r="A9875" s="571" t="s">
        <v>2064</v>
      </c>
      <c r="B9875" s="572">
        <v>2.3814899999999999</v>
      </c>
      <c r="C9875" s="572">
        <v>609.75599999999997</v>
      </c>
    </row>
    <row r="9876" spans="1:3">
      <c r="A9876" s="571" t="s">
        <v>2064</v>
      </c>
      <c r="B9876" s="572">
        <v>3.9285299999999999</v>
      </c>
      <c r="C9876" s="572">
        <v>651.56799999999998</v>
      </c>
    </row>
    <row r="9877" spans="1:3">
      <c r="A9877" s="571" t="s">
        <v>2064</v>
      </c>
      <c r="B9877" s="572">
        <v>5.88368</v>
      </c>
      <c r="C9877" s="572">
        <v>682.92699999999991</v>
      </c>
    </row>
    <row r="9878" spans="1:3">
      <c r="A9878" s="571" t="s">
        <v>2064</v>
      </c>
      <c r="B9878" s="572">
        <v>7.7348299999999997</v>
      </c>
      <c r="C9878" s="572">
        <v>707.31700000000001</v>
      </c>
    </row>
    <row r="9879" spans="1:3">
      <c r="A9879" s="571" t="s">
        <v>2064</v>
      </c>
      <c r="B9879" s="572">
        <v>9.4827100000000009</v>
      </c>
      <c r="C9879" s="572">
        <v>728.22299999999996</v>
      </c>
    </row>
    <row r="9880" spans="1:3">
      <c r="A9880" s="571" t="s">
        <v>2064</v>
      </c>
      <c r="B9880" s="572">
        <v>11.230600000000001</v>
      </c>
      <c r="C9880" s="572">
        <v>749.12900000000002</v>
      </c>
    </row>
    <row r="9881" spans="1:3">
      <c r="A9881" s="571" t="s">
        <v>2064</v>
      </c>
      <c r="B9881" s="572">
        <v>12.4649</v>
      </c>
      <c r="C9881" s="572">
        <v>766.55099999999993</v>
      </c>
    </row>
    <row r="9882" spans="1:3">
      <c r="A9882" s="571" t="s">
        <v>2064</v>
      </c>
      <c r="B9882" s="572">
        <v>13.8004</v>
      </c>
      <c r="C9882" s="572">
        <v>777.00300000000004</v>
      </c>
    </row>
    <row r="9883" spans="1:3">
      <c r="A9883" s="571" t="s">
        <v>2064</v>
      </c>
      <c r="B9883" s="572">
        <v>15.648</v>
      </c>
      <c r="C9883" s="572">
        <v>783.97199999999998</v>
      </c>
    </row>
    <row r="9884" spans="1:3">
      <c r="A9884" s="571" t="s">
        <v>2064</v>
      </c>
      <c r="B9884" s="572">
        <v>17.187899999999999</v>
      </c>
      <c r="C9884" s="572">
        <v>790.94100000000003</v>
      </c>
    </row>
    <row r="9885" spans="1:3">
      <c r="A9885" s="571" t="s">
        <v>2064</v>
      </c>
      <c r="B9885" s="572">
        <v>18.729199999999999</v>
      </c>
      <c r="C9885" s="572">
        <v>804.87799999999993</v>
      </c>
    </row>
    <row r="9886" spans="1:3">
      <c r="A9886" s="571" t="s">
        <v>2064</v>
      </c>
      <c r="B9886" s="572">
        <v>20.064</v>
      </c>
      <c r="C9886" s="572">
        <v>811.84699999999998</v>
      </c>
    </row>
    <row r="9887" spans="1:3">
      <c r="A9887" s="571" t="s">
        <v>2064</v>
      </c>
      <c r="B9887" s="572">
        <v>21.9116</v>
      </c>
      <c r="C9887" s="572">
        <v>818.81499999999994</v>
      </c>
    </row>
    <row r="9888" spans="1:3">
      <c r="A9888" s="571" t="s">
        <v>2064</v>
      </c>
      <c r="B9888" s="572">
        <v>23.965</v>
      </c>
      <c r="C9888" s="572">
        <v>829.26800000000003</v>
      </c>
    </row>
    <row r="9889" spans="1:3">
      <c r="A9889" s="571" t="s">
        <v>2064</v>
      </c>
      <c r="B9889" s="572">
        <v>25.916599999999999</v>
      </c>
      <c r="C9889" s="572">
        <v>843.20600000000002</v>
      </c>
    </row>
    <row r="9890" spans="1:3">
      <c r="A9890" s="571" t="s">
        <v>2064</v>
      </c>
      <c r="B9890" s="572">
        <v>28.1737</v>
      </c>
      <c r="C9890" s="572">
        <v>846.69</v>
      </c>
    </row>
    <row r="9891" spans="1:3">
      <c r="A9891" s="571" t="s">
        <v>2065</v>
      </c>
      <c r="B9891" s="572">
        <v>0.102564</v>
      </c>
      <c r="C9891" s="572">
        <v>0</v>
      </c>
    </row>
    <row r="9892" spans="1:3">
      <c r="A9892" s="571" t="s">
        <v>2065</v>
      </c>
      <c r="B9892" s="572">
        <v>0.107567</v>
      </c>
      <c r="C9892" s="572">
        <v>24.3902</v>
      </c>
    </row>
    <row r="9893" spans="1:3">
      <c r="A9893" s="571" t="s">
        <v>2065</v>
      </c>
      <c r="B9893" s="572">
        <v>0.217279</v>
      </c>
      <c r="C9893" s="572">
        <v>59.233399999999996</v>
      </c>
    </row>
    <row r="9894" spans="1:3">
      <c r="A9894" s="571" t="s">
        <v>2065</v>
      </c>
      <c r="B9894" s="572">
        <v>0.22800000000000001</v>
      </c>
      <c r="C9894" s="572">
        <v>111.498</v>
      </c>
    </row>
    <row r="9895" spans="1:3">
      <c r="A9895" s="571" t="s">
        <v>2065</v>
      </c>
      <c r="B9895" s="572">
        <v>0.25087100000000001</v>
      </c>
      <c r="C9895" s="572">
        <v>222.99700000000001</v>
      </c>
    </row>
    <row r="9896" spans="1:3">
      <c r="A9896" s="571" t="s">
        <v>2065</v>
      </c>
      <c r="B9896" s="572">
        <v>0.341999</v>
      </c>
      <c r="C9896" s="572">
        <v>167.24700000000001</v>
      </c>
    </row>
    <row r="9897" spans="1:3">
      <c r="A9897" s="571" t="s">
        <v>2065</v>
      </c>
      <c r="B9897" s="572">
        <v>0.36415599999999998</v>
      </c>
      <c r="C9897" s="572">
        <v>275.26099999999997</v>
      </c>
    </row>
    <row r="9898" spans="1:3">
      <c r="A9898" s="571" t="s">
        <v>2065</v>
      </c>
      <c r="B9898" s="572">
        <v>0.37487700000000002</v>
      </c>
      <c r="C9898" s="572">
        <v>327.52600000000001</v>
      </c>
    </row>
    <row r="9899" spans="1:3">
      <c r="A9899" s="571" t="s">
        <v>2065</v>
      </c>
      <c r="B9899" s="572">
        <v>0.38774199999999998</v>
      </c>
      <c r="C9899" s="572">
        <v>390.24399999999997</v>
      </c>
    </row>
    <row r="9900" spans="1:3">
      <c r="A9900" s="571" t="s">
        <v>2065</v>
      </c>
      <c r="B9900" s="572">
        <v>0.49959799999999999</v>
      </c>
      <c r="C9900" s="572">
        <v>435.53999999999996</v>
      </c>
    </row>
    <row r="9901" spans="1:3">
      <c r="A9901" s="571" t="s">
        <v>2065</v>
      </c>
      <c r="B9901" s="572">
        <v>0.82158500000000001</v>
      </c>
      <c r="C9901" s="572">
        <v>505.22599999999994</v>
      </c>
    </row>
    <row r="9902" spans="1:3">
      <c r="A9902" s="571" t="s">
        <v>2065</v>
      </c>
      <c r="B9902" s="572">
        <v>1.2425600000000001</v>
      </c>
      <c r="C9902" s="572">
        <v>557.49099999999999</v>
      </c>
    </row>
    <row r="9903" spans="1:3">
      <c r="A9903" s="571" t="s">
        <v>2065</v>
      </c>
      <c r="B9903" s="572">
        <v>2.5837599999999998</v>
      </c>
      <c r="C9903" s="572">
        <v>595.81899999999996</v>
      </c>
    </row>
    <row r="9904" spans="1:3">
      <c r="A9904" s="571" t="s">
        <v>2065</v>
      </c>
      <c r="B9904" s="572">
        <v>3.7176800000000001</v>
      </c>
      <c r="C9904" s="572">
        <v>623.6930000000001</v>
      </c>
    </row>
    <row r="9905" spans="1:3">
      <c r="A9905" s="571" t="s">
        <v>2065</v>
      </c>
      <c r="B9905" s="572">
        <v>5.2597199999999997</v>
      </c>
      <c r="C9905" s="572">
        <v>641.11500000000001</v>
      </c>
    </row>
    <row r="9906" spans="1:3">
      <c r="A9906" s="571" t="s">
        <v>2065</v>
      </c>
      <c r="B9906" s="572">
        <v>6.8017500000000002</v>
      </c>
      <c r="C9906" s="572">
        <v>658.53700000000003</v>
      </c>
    </row>
    <row r="9907" spans="1:3">
      <c r="A9907" s="571" t="s">
        <v>2065</v>
      </c>
      <c r="B9907" s="572">
        <v>8.4449199999999998</v>
      </c>
      <c r="C9907" s="572">
        <v>668.99</v>
      </c>
    </row>
    <row r="9908" spans="1:3">
      <c r="A9908" s="571" t="s">
        <v>2065</v>
      </c>
      <c r="B9908" s="572">
        <v>10.088800000000001</v>
      </c>
      <c r="C9908" s="572">
        <v>682.92699999999991</v>
      </c>
    </row>
    <row r="9909" spans="1:3">
      <c r="A9909" s="571" t="s">
        <v>2065</v>
      </c>
      <c r="B9909" s="572">
        <v>11.8338</v>
      </c>
      <c r="C9909" s="572">
        <v>689.89499999999998</v>
      </c>
    </row>
    <row r="9910" spans="1:3">
      <c r="A9910" s="571" t="s">
        <v>2065</v>
      </c>
      <c r="B9910" s="572">
        <v>13.6821</v>
      </c>
      <c r="C9910" s="572">
        <v>700.34799999999996</v>
      </c>
    </row>
    <row r="9911" spans="1:3">
      <c r="A9911" s="571" t="s">
        <v>2065</v>
      </c>
      <c r="B9911" s="572">
        <v>16.556799999999999</v>
      </c>
      <c r="C9911" s="572">
        <v>714.28599999999994</v>
      </c>
    </row>
    <row r="9912" spans="1:3">
      <c r="A9912" s="571" t="s">
        <v>2065</v>
      </c>
      <c r="B9912" s="572">
        <v>18.917899999999999</v>
      </c>
      <c r="C9912" s="572">
        <v>724.73900000000003</v>
      </c>
    </row>
    <row r="9913" spans="1:3">
      <c r="A9913" s="571" t="s">
        <v>2065</v>
      </c>
      <c r="B9913" s="572">
        <v>21.0717</v>
      </c>
      <c r="C9913" s="572">
        <v>724.73900000000003</v>
      </c>
    </row>
    <row r="9914" spans="1:3">
      <c r="A9914" s="571" t="s">
        <v>2065</v>
      </c>
      <c r="B9914" s="572">
        <v>23.4314</v>
      </c>
      <c r="C9914" s="572">
        <v>728.22299999999996</v>
      </c>
    </row>
    <row r="9915" spans="1:3">
      <c r="A9915" s="571" t="s">
        <v>2065</v>
      </c>
      <c r="B9915" s="572">
        <v>25.7925</v>
      </c>
      <c r="C9915" s="572">
        <v>738.67600000000004</v>
      </c>
    </row>
    <row r="9916" spans="1:3">
      <c r="A9916" s="571" t="s">
        <v>2065</v>
      </c>
      <c r="B9916" s="572">
        <v>27.640799999999999</v>
      </c>
      <c r="C9916" s="572">
        <v>749.12900000000002</v>
      </c>
    </row>
    <row r="9917" spans="1:3">
      <c r="A9917" s="571" t="s">
        <v>2065</v>
      </c>
      <c r="B9917" s="572">
        <v>28.256900000000002</v>
      </c>
      <c r="C9917" s="572">
        <v>752.61299999999994</v>
      </c>
    </row>
    <row r="9918" spans="1:3">
      <c r="A9918" s="571" t="s">
        <v>2066</v>
      </c>
      <c r="B9918" s="572">
        <v>0</v>
      </c>
      <c r="C9918" s="572">
        <v>0</v>
      </c>
    </row>
    <row r="9919" spans="1:3">
      <c r="A9919" s="571" t="s">
        <v>2066</v>
      </c>
      <c r="B9919" s="572">
        <v>0.109711</v>
      </c>
      <c r="C9919" s="572">
        <v>34.843199999999996</v>
      </c>
    </row>
    <row r="9920" spans="1:3">
      <c r="A9920" s="571" t="s">
        <v>2066</v>
      </c>
      <c r="B9920" s="572">
        <v>0.220138</v>
      </c>
      <c r="C9920" s="572">
        <v>73.170700000000011</v>
      </c>
    </row>
    <row r="9921" spans="1:3">
      <c r="A9921" s="571" t="s">
        <v>2066</v>
      </c>
      <c r="B9921" s="572">
        <v>0.23014399999999999</v>
      </c>
      <c r="C9921" s="572">
        <v>121.95100000000001</v>
      </c>
    </row>
    <row r="9922" spans="1:3">
      <c r="A9922" s="571" t="s">
        <v>2066</v>
      </c>
      <c r="B9922" s="572">
        <v>0.248727</v>
      </c>
      <c r="C9922" s="572">
        <v>212.54400000000001</v>
      </c>
    </row>
    <row r="9923" spans="1:3">
      <c r="A9923" s="571" t="s">
        <v>2066</v>
      </c>
      <c r="B9923" s="572">
        <v>0.25730399999999998</v>
      </c>
      <c r="C9923" s="572">
        <v>254.35499999999999</v>
      </c>
    </row>
    <row r="9924" spans="1:3">
      <c r="A9924" s="571" t="s">
        <v>2066</v>
      </c>
      <c r="B9924" s="572">
        <v>0.34128500000000001</v>
      </c>
      <c r="C9924" s="572">
        <v>163.76300000000001</v>
      </c>
    </row>
    <row r="9925" spans="1:3">
      <c r="A9925" s="571" t="s">
        <v>2066</v>
      </c>
      <c r="B9925" s="572">
        <v>0.37845099999999998</v>
      </c>
      <c r="C9925" s="572">
        <v>344.94799999999998</v>
      </c>
    </row>
    <row r="9926" spans="1:3">
      <c r="A9926" s="571" t="s">
        <v>2066</v>
      </c>
      <c r="B9926" s="572">
        <v>0.388457</v>
      </c>
      <c r="C9926" s="572">
        <v>393.72800000000001</v>
      </c>
    </row>
    <row r="9927" spans="1:3">
      <c r="A9927" s="571" t="s">
        <v>2066</v>
      </c>
      <c r="B9927" s="572">
        <v>0.397034</v>
      </c>
      <c r="C9927" s="572">
        <v>435.53999999999996</v>
      </c>
    </row>
    <row r="9928" spans="1:3">
      <c r="A9928" s="571" t="s">
        <v>2066</v>
      </c>
      <c r="B9928" s="572">
        <v>0.471723</v>
      </c>
      <c r="C9928" s="572">
        <v>299.65199999999999</v>
      </c>
    </row>
    <row r="9929" spans="1:3">
      <c r="A9929" s="571" t="s">
        <v>2066</v>
      </c>
      <c r="B9929" s="572">
        <v>0.82158500000000001</v>
      </c>
      <c r="C9929" s="572">
        <v>505.22599999999994</v>
      </c>
    </row>
    <row r="9930" spans="1:3">
      <c r="A9930" s="571" t="s">
        <v>2066</v>
      </c>
      <c r="B9930" s="572">
        <v>1.1385700000000001</v>
      </c>
      <c r="C9930" s="572">
        <v>550.52300000000002</v>
      </c>
    </row>
    <row r="9931" spans="1:3">
      <c r="A9931" s="571" t="s">
        <v>2066</v>
      </c>
      <c r="B9931" s="572">
        <v>1.6578200000000001</v>
      </c>
      <c r="C9931" s="572">
        <v>581.88200000000006</v>
      </c>
    </row>
    <row r="9932" spans="1:3">
      <c r="A9932" s="571" t="s">
        <v>2066</v>
      </c>
      <c r="B9932" s="572">
        <v>2.6906099999999999</v>
      </c>
      <c r="C9932" s="572">
        <v>616.72500000000002</v>
      </c>
    </row>
    <row r="9933" spans="1:3">
      <c r="A9933" s="571" t="s">
        <v>2066</v>
      </c>
      <c r="B9933" s="572">
        <v>3.7219699999999998</v>
      </c>
      <c r="C9933" s="572">
        <v>644.59900000000005</v>
      </c>
    </row>
    <row r="9934" spans="1:3">
      <c r="A9934" s="571" t="s">
        <v>2066</v>
      </c>
      <c r="B9934" s="572">
        <v>5.1628699999999998</v>
      </c>
      <c r="C9934" s="572">
        <v>668.99</v>
      </c>
    </row>
    <row r="9935" spans="1:3">
      <c r="A9935" s="571" t="s">
        <v>2066</v>
      </c>
      <c r="B9935" s="572">
        <v>6.4969200000000003</v>
      </c>
      <c r="C9935" s="572">
        <v>672.47400000000005</v>
      </c>
    </row>
    <row r="9936" spans="1:3">
      <c r="A9936" s="571" t="s">
        <v>2066</v>
      </c>
      <c r="B9936" s="572">
        <v>8.0368099999999991</v>
      </c>
      <c r="C9936" s="572">
        <v>679.44299999999998</v>
      </c>
    </row>
    <row r="9937" spans="1:3">
      <c r="A9937" s="571" t="s">
        <v>2066</v>
      </c>
      <c r="B9937" s="572">
        <v>9.3715700000000002</v>
      </c>
      <c r="C9937" s="572">
        <v>686.41099999999994</v>
      </c>
    </row>
    <row r="9938" spans="1:3">
      <c r="A9938" s="571" t="s">
        <v>2066</v>
      </c>
      <c r="B9938" s="572">
        <v>10.8096</v>
      </c>
      <c r="C9938" s="572">
        <v>696.86400000000003</v>
      </c>
    </row>
    <row r="9939" spans="1:3">
      <c r="A9939" s="571" t="s">
        <v>2066</v>
      </c>
      <c r="B9939" s="572">
        <v>12.143700000000001</v>
      </c>
      <c r="C9939" s="572">
        <v>700.34799999999996</v>
      </c>
    </row>
    <row r="9940" spans="1:3">
      <c r="A9940" s="571" t="s">
        <v>2066</v>
      </c>
      <c r="B9940" s="572">
        <v>13.477</v>
      </c>
      <c r="C9940" s="572">
        <v>700.34799999999996</v>
      </c>
    </row>
    <row r="9941" spans="1:3">
      <c r="A9941" s="571" t="s">
        <v>2066</v>
      </c>
      <c r="B9941" s="572">
        <v>14.913600000000001</v>
      </c>
      <c r="C9941" s="572">
        <v>703.83300000000008</v>
      </c>
    </row>
    <row r="9942" spans="1:3">
      <c r="A9942" s="571" t="s">
        <v>2066</v>
      </c>
      <c r="B9942" s="572">
        <v>16.350200000000001</v>
      </c>
      <c r="C9942" s="572">
        <v>707.31700000000001</v>
      </c>
    </row>
    <row r="9943" spans="1:3">
      <c r="A9943" s="571" t="s">
        <v>2066</v>
      </c>
      <c r="B9943" s="572">
        <v>18.0945</v>
      </c>
      <c r="C9943" s="572">
        <v>710.80100000000004</v>
      </c>
    </row>
    <row r="9944" spans="1:3">
      <c r="A9944" s="571" t="s">
        <v>2066</v>
      </c>
      <c r="B9944" s="572">
        <v>19.428599999999999</v>
      </c>
      <c r="C9944" s="572">
        <v>714.28599999999994</v>
      </c>
    </row>
    <row r="9945" spans="1:3">
      <c r="A9945" s="571" t="s">
        <v>2066</v>
      </c>
      <c r="B9945" s="572">
        <v>20.967700000000001</v>
      </c>
      <c r="C9945" s="572">
        <v>717.77</v>
      </c>
    </row>
    <row r="9946" spans="1:3">
      <c r="A9946" s="571" t="s">
        <v>2066</v>
      </c>
      <c r="B9946" s="572">
        <v>22.3018</v>
      </c>
      <c r="C9946" s="572">
        <v>721.25399999999991</v>
      </c>
    </row>
    <row r="9947" spans="1:3">
      <c r="A9947" s="571" t="s">
        <v>2066</v>
      </c>
      <c r="B9947" s="572">
        <v>24.045400000000001</v>
      </c>
      <c r="C9947" s="572">
        <v>721.25399999999991</v>
      </c>
    </row>
    <row r="9948" spans="1:3">
      <c r="A9948" s="571" t="s">
        <v>2066</v>
      </c>
      <c r="B9948" s="572">
        <v>25.9955</v>
      </c>
      <c r="C9948" s="572">
        <v>728.22299999999996</v>
      </c>
    </row>
    <row r="9949" spans="1:3">
      <c r="A9949" s="571" t="s">
        <v>2066</v>
      </c>
      <c r="B9949" s="572">
        <v>27.739100000000001</v>
      </c>
      <c r="C9949" s="572">
        <v>728.22299999999996</v>
      </c>
    </row>
    <row r="9950" spans="1:3">
      <c r="A9950" s="571" t="s">
        <v>3735</v>
      </c>
      <c r="B9950" s="572">
        <v>0</v>
      </c>
      <c r="C9950" s="572">
        <v>0</v>
      </c>
    </row>
    <row r="9951" spans="1:3">
      <c r="A9951" s="571" t="s">
        <v>3735</v>
      </c>
      <c r="B9951" s="572">
        <v>1.5115000000000001</v>
      </c>
      <c r="C9951" s="572">
        <v>15.7578</v>
      </c>
    </row>
    <row r="9952" spans="1:3">
      <c r="A9952" s="571" t="s">
        <v>3735</v>
      </c>
      <c r="B9952" s="572">
        <v>3.5237599999999998</v>
      </c>
      <c r="C9952" s="572">
        <v>38.870399999999997</v>
      </c>
    </row>
    <row r="9953" spans="1:3">
      <c r="A9953" s="571" t="s">
        <v>3735</v>
      </c>
      <c r="B9953" s="572">
        <v>5.0352499999999996</v>
      </c>
      <c r="C9953" s="572">
        <v>54.6282</v>
      </c>
    </row>
    <row r="9954" spans="1:3">
      <c r="A9954" s="571" t="s">
        <v>3735</v>
      </c>
      <c r="B9954" s="572">
        <v>6.55443</v>
      </c>
      <c r="C9954" s="572">
        <v>65.130700000000004</v>
      </c>
    </row>
    <row r="9955" spans="1:3">
      <c r="A9955" s="571" t="s">
        <v>3735</v>
      </c>
      <c r="B9955" s="572">
        <v>8.0751399999999993</v>
      </c>
      <c r="C9955" s="572">
        <v>74.5822</v>
      </c>
    </row>
    <row r="9956" spans="1:3">
      <c r="A9956" s="571" t="s">
        <v>3735</v>
      </c>
      <c r="B9956" s="572">
        <v>8.5774399999999993</v>
      </c>
      <c r="C9956" s="572">
        <v>80.885900000000007</v>
      </c>
    </row>
    <row r="9957" spans="1:3">
      <c r="A9957" s="571" t="s">
        <v>3735</v>
      </c>
      <c r="B9957" s="572">
        <v>10.6066</v>
      </c>
      <c r="C9957" s="572">
        <v>92.436800000000005</v>
      </c>
    </row>
    <row r="9958" spans="1:3">
      <c r="A9958" s="571" t="s">
        <v>3735</v>
      </c>
      <c r="B9958" s="572">
        <v>14.164099999999999</v>
      </c>
      <c r="C9958" s="572">
        <v>108.184</v>
      </c>
    </row>
    <row r="9959" spans="1:3">
      <c r="A9959" s="571" t="s">
        <v>3735</v>
      </c>
      <c r="B9959" s="572">
        <v>17.710899999999999</v>
      </c>
      <c r="C9959" s="572">
        <v>131.28800000000001</v>
      </c>
    </row>
    <row r="9960" spans="1:3">
      <c r="A9960" s="571" t="s">
        <v>3735</v>
      </c>
      <c r="B9960" s="572">
        <v>21.2608</v>
      </c>
      <c r="C9960" s="572">
        <v>152.291</v>
      </c>
    </row>
    <row r="9961" spans="1:3">
      <c r="A9961" s="571" t="s">
        <v>3735</v>
      </c>
      <c r="B9961" s="572">
        <v>24.292999999999999</v>
      </c>
      <c r="C9961" s="572">
        <v>177.5</v>
      </c>
    </row>
    <row r="9962" spans="1:3">
      <c r="A9962" s="571" t="s">
        <v>3735</v>
      </c>
      <c r="B9962" s="572">
        <v>30.913499999999999</v>
      </c>
      <c r="C9962" s="572">
        <v>197.435</v>
      </c>
    </row>
    <row r="9963" spans="1:3">
      <c r="A9963" s="571" t="s">
        <v>3735</v>
      </c>
      <c r="B9963" s="572">
        <v>38.557000000000002</v>
      </c>
      <c r="C9963" s="572">
        <v>217.36500000000001</v>
      </c>
    </row>
    <row r="9964" spans="1:3">
      <c r="A9964" s="571" t="s">
        <v>3735</v>
      </c>
      <c r="B9964" s="572">
        <v>49.781100000000002</v>
      </c>
      <c r="C9964" s="572">
        <v>237.27600000000001</v>
      </c>
    </row>
    <row r="9965" spans="1:3">
      <c r="A9965" s="571" t="s">
        <v>3735</v>
      </c>
      <c r="B9965" s="572">
        <v>62.045099999999998</v>
      </c>
      <c r="C9965" s="572">
        <v>245.62</v>
      </c>
    </row>
    <row r="9966" spans="1:3">
      <c r="A9966" s="571" t="s">
        <v>3735</v>
      </c>
      <c r="B9966" s="572">
        <v>73.284599999999998</v>
      </c>
      <c r="C9966" s="572">
        <v>255.02</v>
      </c>
    </row>
    <row r="9967" spans="1:3">
      <c r="A9967" s="571" t="s">
        <v>3735</v>
      </c>
      <c r="B9967" s="572">
        <v>98.847899999999996</v>
      </c>
      <c r="C9967" s="572">
        <v>263.29399999999998</v>
      </c>
    </row>
    <row r="9968" spans="1:3">
      <c r="A9968" s="573" t="s">
        <v>3735</v>
      </c>
      <c r="B9968" s="574">
        <v>123.9</v>
      </c>
      <c r="C9968" s="574">
        <v>271.57100000000003</v>
      </c>
    </row>
    <row r="9969" spans="1:3">
      <c r="A9969" s="573" t="s">
        <v>3735</v>
      </c>
      <c r="B9969" s="574">
        <v>156.61500000000001</v>
      </c>
      <c r="C9969" s="574">
        <v>286.11399999999998</v>
      </c>
    </row>
    <row r="9970" spans="1:3">
      <c r="A9970" s="573" t="s">
        <v>3735</v>
      </c>
      <c r="B9970" s="574">
        <v>187.292</v>
      </c>
      <c r="C9970" s="574">
        <v>295.41199999999998</v>
      </c>
    </row>
    <row r="9971" spans="1:3">
      <c r="A9971" s="571" t="s">
        <v>3736</v>
      </c>
      <c r="B9971" s="572">
        <v>9.2164499999999993E-3</v>
      </c>
      <c r="C9971" s="572">
        <v>6.3063500000000001</v>
      </c>
    </row>
    <row r="9972" spans="1:3">
      <c r="A9972" s="571" t="s">
        <v>3736</v>
      </c>
      <c r="B9972" s="572">
        <v>1.0030600000000001</v>
      </c>
      <c r="C9972" s="572">
        <v>13.6584</v>
      </c>
    </row>
    <row r="9973" spans="1:3">
      <c r="A9973" s="571" t="s">
        <v>3736</v>
      </c>
      <c r="B9973" s="572">
        <v>1.0230300000000001</v>
      </c>
      <c r="C9973" s="572">
        <v>5.3762599999999999E-3</v>
      </c>
    </row>
    <row r="9974" spans="1:3">
      <c r="A9974" s="571" t="s">
        <v>3736</v>
      </c>
      <c r="B9974" s="572">
        <v>2.0107200000000001</v>
      </c>
      <c r="C9974" s="572">
        <v>24.163599999999999</v>
      </c>
    </row>
    <row r="9975" spans="1:3">
      <c r="A9975" s="571" t="s">
        <v>3736</v>
      </c>
      <c r="B9975" s="572">
        <v>3.0199199999999999</v>
      </c>
      <c r="C9975" s="572">
        <v>33.617800000000003</v>
      </c>
    </row>
    <row r="9976" spans="1:3">
      <c r="A9976" s="571" t="s">
        <v>3736</v>
      </c>
      <c r="B9976" s="572">
        <v>4.0245199999999999</v>
      </c>
      <c r="C9976" s="572">
        <v>46.225099999999998</v>
      </c>
    </row>
    <row r="9977" spans="1:3">
      <c r="A9977" s="571" t="s">
        <v>3736</v>
      </c>
      <c r="B9977" s="572">
        <v>5.5467700000000004</v>
      </c>
      <c r="C9977" s="572">
        <v>54.625500000000002</v>
      </c>
    </row>
    <row r="9978" spans="1:3">
      <c r="A9978" s="571" t="s">
        <v>3736</v>
      </c>
      <c r="B9978" s="572">
        <v>6.55443</v>
      </c>
      <c r="C9978" s="572">
        <v>65.130700000000004</v>
      </c>
    </row>
    <row r="9979" spans="1:3">
      <c r="A9979" s="571" t="s">
        <v>3736</v>
      </c>
      <c r="B9979" s="572">
        <v>8.07822</v>
      </c>
      <c r="C9979" s="572">
        <v>72.480099999999993</v>
      </c>
    </row>
    <row r="9980" spans="1:3">
      <c r="A9980" s="571" t="s">
        <v>3736</v>
      </c>
      <c r="B9980" s="572">
        <v>10.1104</v>
      </c>
      <c r="C9980" s="572">
        <v>81.928799999999995</v>
      </c>
    </row>
    <row r="9981" spans="1:3">
      <c r="A9981" s="571" t="s">
        <v>3736</v>
      </c>
      <c r="B9981" s="572">
        <v>11.1166</v>
      </c>
      <c r="C9981" s="572">
        <v>93.485100000000003</v>
      </c>
    </row>
    <row r="9982" spans="1:3">
      <c r="A9982" s="571" t="s">
        <v>3736</v>
      </c>
      <c r="B9982" s="572">
        <v>13.1473</v>
      </c>
      <c r="C9982" s="572">
        <v>103.985</v>
      </c>
    </row>
    <row r="9983" spans="1:3">
      <c r="A9983" s="571" t="s">
        <v>3736</v>
      </c>
      <c r="B9983" s="572">
        <v>15.178000000000001</v>
      </c>
      <c r="C9983" s="572">
        <v>114.485</v>
      </c>
    </row>
    <row r="9984" spans="1:3">
      <c r="A9984" s="571" t="s">
        <v>3736</v>
      </c>
      <c r="B9984" s="572">
        <v>16.694099999999999</v>
      </c>
      <c r="C9984" s="572">
        <v>127.089</v>
      </c>
    </row>
    <row r="9985" spans="1:3">
      <c r="A9985" s="571" t="s">
        <v>3736</v>
      </c>
      <c r="B9985" s="572">
        <v>19.2347</v>
      </c>
      <c r="C9985" s="572">
        <v>138.63800000000001</v>
      </c>
    </row>
    <row r="9986" spans="1:3">
      <c r="A9986" s="571" t="s">
        <v>3736</v>
      </c>
      <c r="B9986" s="572">
        <v>22.285399999999999</v>
      </c>
      <c r="C9986" s="572">
        <v>151.23400000000001</v>
      </c>
    </row>
    <row r="9987" spans="1:3">
      <c r="A9987" s="571" t="s">
        <v>3736</v>
      </c>
      <c r="B9987" s="572">
        <v>24.305299999999999</v>
      </c>
      <c r="C9987" s="572">
        <v>169.09100000000001</v>
      </c>
    </row>
    <row r="9988" spans="1:3">
      <c r="A9988" s="571" t="s">
        <v>3736</v>
      </c>
      <c r="B9988" s="572">
        <v>29.891999999999999</v>
      </c>
      <c r="C9988" s="572">
        <v>196.38900000000001</v>
      </c>
    </row>
    <row r="9989" spans="1:3">
      <c r="A9989" s="571" t="s">
        <v>3736</v>
      </c>
      <c r="B9989" s="572">
        <v>38.558500000000002</v>
      </c>
      <c r="C9989" s="572">
        <v>216.31399999999999</v>
      </c>
    </row>
    <row r="9990" spans="1:3">
      <c r="A9990" s="571" t="s">
        <v>3736</v>
      </c>
      <c r="B9990" s="572">
        <v>49.269599999999997</v>
      </c>
      <c r="C9990" s="572">
        <v>237.279</v>
      </c>
    </row>
    <row r="9991" spans="1:3">
      <c r="A9991" s="571" t="s">
        <v>3736</v>
      </c>
      <c r="B9991" s="572">
        <v>62.035899999999998</v>
      </c>
      <c r="C9991" s="572">
        <v>251.92599999999999</v>
      </c>
    </row>
    <row r="9992" spans="1:3">
      <c r="A9992" s="571" t="s">
        <v>3736</v>
      </c>
      <c r="B9992" s="572">
        <v>73.773099999999999</v>
      </c>
      <c r="C9992" s="572">
        <v>270.78300000000002</v>
      </c>
    </row>
    <row r="9993" spans="1:3">
      <c r="A9993" s="571" t="s">
        <v>3736</v>
      </c>
      <c r="B9993" s="572">
        <v>97.801900000000003</v>
      </c>
      <c r="C9993" s="572">
        <v>279.06599999999997</v>
      </c>
    </row>
    <row r="9994" spans="1:3">
      <c r="A9994" s="573" t="s">
        <v>3736</v>
      </c>
      <c r="B9994" s="574">
        <v>123.86799999999999</v>
      </c>
      <c r="C9994" s="574">
        <v>293.64299999999997</v>
      </c>
    </row>
    <row r="9995" spans="1:3">
      <c r="A9995" s="573" t="s">
        <v>3736</v>
      </c>
      <c r="B9995" s="574">
        <v>156.59800000000001</v>
      </c>
      <c r="C9995" s="574">
        <v>297.67599999999999</v>
      </c>
    </row>
    <row r="9996" spans="1:3">
      <c r="A9996" s="573" t="s">
        <v>3736</v>
      </c>
      <c r="B9996" s="574">
        <v>185.23500000000001</v>
      </c>
      <c r="C9996" s="574">
        <v>302.77999999999997</v>
      </c>
    </row>
    <row r="9997" spans="1:3">
      <c r="A9997" s="571" t="s">
        <v>3737</v>
      </c>
      <c r="B9997" s="572">
        <v>1.0245599999999999</v>
      </c>
      <c r="C9997" s="572">
        <v>1.05644</v>
      </c>
    </row>
    <row r="9998" spans="1:3">
      <c r="A9998" s="571" t="s">
        <v>3737</v>
      </c>
      <c r="B9998" s="572">
        <v>1.52532</v>
      </c>
      <c r="C9998" s="572">
        <v>6.2982899999999997</v>
      </c>
    </row>
    <row r="9999" spans="1:3">
      <c r="A9999" s="571" t="s">
        <v>3737</v>
      </c>
      <c r="B9999" s="572">
        <v>2.0214699999999999</v>
      </c>
      <c r="C9999" s="572">
        <v>16.8062</v>
      </c>
    </row>
    <row r="10000" spans="1:3">
      <c r="A10000" s="571" t="s">
        <v>3737</v>
      </c>
      <c r="B10000" s="572">
        <v>4.0383399999999998</v>
      </c>
      <c r="C10000" s="572">
        <v>36.765599999999999</v>
      </c>
    </row>
    <row r="10001" spans="1:3">
      <c r="A10001" s="571" t="s">
        <v>3737</v>
      </c>
      <c r="B10001" s="572">
        <v>6.5667200000000001</v>
      </c>
      <c r="C10001" s="572">
        <v>56.722200000000001</v>
      </c>
    </row>
    <row r="10002" spans="1:3">
      <c r="A10002" s="571" t="s">
        <v>3737</v>
      </c>
      <c r="B10002" s="572">
        <v>9.0935600000000001</v>
      </c>
      <c r="C10002" s="572">
        <v>77.73</v>
      </c>
    </row>
    <row r="10003" spans="1:3">
      <c r="A10003" s="571" t="s">
        <v>3737</v>
      </c>
      <c r="B10003" s="572">
        <v>12.1488</v>
      </c>
      <c r="C10003" s="572">
        <v>87.173400000000001</v>
      </c>
    </row>
    <row r="10004" spans="1:3">
      <c r="A10004" s="571" t="s">
        <v>3737</v>
      </c>
      <c r="B10004" s="572">
        <v>15.188700000000001</v>
      </c>
      <c r="C10004" s="572">
        <v>107.127</v>
      </c>
    </row>
    <row r="10005" spans="1:3">
      <c r="A10005" s="571" t="s">
        <v>3737</v>
      </c>
      <c r="B10005" s="572">
        <v>17.2148</v>
      </c>
      <c r="C10005" s="572">
        <v>120.78</v>
      </c>
    </row>
    <row r="10006" spans="1:3">
      <c r="A10006" s="571" t="s">
        <v>3737</v>
      </c>
      <c r="B10006" s="572">
        <v>18.734000000000002</v>
      </c>
      <c r="C10006" s="572">
        <v>131.28299999999999</v>
      </c>
    </row>
    <row r="10007" spans="1:3">
      <c r="A10007" s="571" t="s">
        <v>3737</v>
      </c>
      <c r="B10007" s="572">
        <v>20.766200000000001</v>
      </c>
      <c r="C10007" s="572">
        <v>140.732</v>
      </c>
    </row>
    <row r="10008" spans="1:3">
      <c r="A10008" s="571" t="s">
        <v>3737</v>
      </c>
      <c r="B10008" s="572">
        <v>24.8383</v>
      </c>
      <c r="C10008" s="572">
        <v>154.374</v>
      </c>
    </row>
    <row r="10009" spans="1:3">
      <c r="A10009" s="571" t="s">
        <v>3737</v>
      </c>
      <c r="B10009" s="572">
        <v>30.939599999999999</v>
      </c>
      <c r="C10009" s="572">
        <v>179.56700000000001</v>
      </c>
    </row>
    <row r="10010" spans="1:3">
      <c r="A10010" s="571" t="s">
        <v>3737</v>
      </c>
      <c r="B10010" s="572">
        <v>38.067</v>
      </c>
      <c r="C10010" s="572">
        <v>202.65299999999999</v>
      </c>
    </row>
    <row r="10011" spans="1:3">
      <c r="A10011" s="571" t="s">
        <v>3737</v>
      </c>
      <c r="B10011" s="572">
        <v>48.779600000000002</v>
      </c>
      <c r="C10011" s="572">
        <v>222.566</v>
      </c>
    </row>
    <row r="10012" spans="1:3">
      <c r="A10012" s="571" t="s">
        <v>3737</v>
      </c>
      <c r="B10012" s="572">
        <v>62.570500000000003</v>
      </c>
      <c r="C10012" s="572">
        <v>236.15799999999999</v>
      </c>
    </row>
    <row r="10013" spans="1:3">
      <c r="A10013" s="571" t="s">
        <v>3737</v>
      </c>
      <c r="B10013" s="572">
        <v>74.318399999999997</v>
      </c>
      <c r="C10013" s="572">
        <v>247.65700000000001</v>
      </c>
    </row>
    <row r="10014" spans="1:3">
      <c r="A10014" s="571" t="s">
        <v>3737</v>
      </c>
      <c r="B10014" s="572">
        <v>98.857200000000006</v>
      </c>
      <c r="C10014" s="572">
        <v>256.988</v>
      </c>
    </row>
    <row r="10015" spans="1:3">
      <c r="A10015" s="573" t="s">
        <v>3737</v>
      </c>
      <c r="B10015" s="574">
        <v>124.42400000000001</v>
      </c>
      <c r="C10015" s="574">
        <v>263.16000000000003</v>
      </c>
    </row>
    <row r="10016" spans="1:3">
      <c r="A10016" s="573" t="s">
        <v>3737</v>
      </c>
      <c r="B10016" s="574">
        <v>157.14699999999999</v>
      </c>
      <c r="C10016" s="574">
        <v>272.447</v>
      </c>
    </row>
    <row r="10017" spans="1:3">
      <c r="A10017" s="573" t="s">
        <v>3737</v>
      </c>
      <c r="B10017" s="574">
        <v>198.57</v>
      </c>
      <c r="C10017" s="574">
        <v>278.536</v>
      </c>
    </row>
    <row r="10018" spans="1:3">
      <c r="A10018" s="48" t="s">
        <v>3738</v>
      </c>
      <c r="B10018" s="549">
        <v>-9.0002299999999997E-3</v>
      </c>
      <c r="C10018" s="549">
        <v>6.2686599999999997</v>
      </c>
    </row>
    <row r="10019" spans="1:3">
      <c r="A10019" s="571" t="s">
        <v>3738</v>
      </c>
      <c r="B10019" s="572">
        <v>0.89402199999999998</v>
      </c>
      <c r="C10019" s="572">
        <v>77.313400000000001</v>
      </c>
    </row>
    <row r="10020" spans="1:3">
      <c r="A10020" s="571" t="s">
        <v>3738</v>
      </c>
      <c r="B10020" s="572">
        <v>1.4250400000000001</v>
      </c>
      <c r="C10020" s="572">
        <v>57.462699999999998</v>
      </c>
    </row>
    <row r="10021" spans="1:3">
      <c r="A10021" s="571" t="s">
        <v>3738</v>
      </c>
      <c r="B10021" s="572">
        <v>1.4445399999999999</v>
      </c>
      <c r="C10021" s="572">
        <v>43.880600000000001</v>
      </c>
    </row>
    <row r="10022" spans="1:3">
      <c r="A10022" s="571" t="s">
        <v>3738</v>
      </c>
      <c r="B10022" s="572">
        <v>1.4730399999999999</v>
      </c>
      <c r="C10022" s="572">
        <v>24.029900000000001</v>
      </c>
    </row>
    <row r="10023" spans="1:3">
      <c r="A10023" s="571" t="s">
        <v>3738</v>
      </c>
      <c r="B10023" s="572">
        <v>4.8751199999999999</v>
      </c>
      <c r="C10023" s="572">
        <v>104.47799999999999</v>
      </c>
    </row>
    <row r="10024" spans="1:3">
      <c r="A10024" s="571" t="s">
        <v>3738</v>
      </c>
      <c r="B10024" s="572">
        <v>6.87317</v>
      </c>
      <c r="C10024" s="572">
        <v>112.836</v>
      </c>
    </row>
    <row r="10025" spans="1:3">
      <c r="A10025" s="571" t="s">
        <v>3738</v>
      </c>
      <c r="B10025" s="572">
        <v>9.37073</v>
      </c>
      <c r="C10025" s="572">
        <v>123.28400000000001</v>
      </c>
    </row>
    <row r="10026" spans="1:3">
      <c r="A10026" s="571" t="s">
        <v>3738</v>
      </c>
      <c r="B10026" s="572">
        <v>14.3644</v>
      </c>
      <c r="C10026" s="572">
        <v>145.22399999999999</v>
      </c>
    </row>
    <row r="10027" spans="1:3">
      <c r="A10027" s="571" t="s">
        <v>3738</v>
      </c>
      <c r="B10027" s="572">
        <v>19.361000000000001</v>
      </c>
      <c r="C10027" s="572">
        <v>165.07499999999999</v>
      </c>
    </row>
    <row r="10028" spans="1:3">
      <c r="A10028" s="571" t="s">
        <v>3738</v>
      </c>
      <c r="B10028" s="572">
        <v>24.351600000000001</v>
      </c>
      <c r="C10028" s="572">
        <v>189.10400000000001</v>
      </c>
    </row>
    <row r="10029" spans="1:3">
      <c r="A10029" s="571" t="s">
        <v>3738</v>
      </c>
      <c r="B10029" s="572">
        <v>30.351800000000001</v>
      </c>
      <c r="C10029" s="572">
        <v>210</v>
      </c>
    </row>
    <row r="10030" spans="1:3">
      <c r="A10030" s="571" t="s">
        <v>3738</v>
      </c>
      <c r="B10030" s="572">
        <v>38.360500000000002</v>
      </c>
      <c r="C10030" s="572">
        <v>231.94</v>
      </c>
    </row>
    <row r="10031" spans="1:3">
      <c r="A10031" s="571" t="s">
        <v>3738</v>
      </c>
      <c r="B10031" s="572">
        <v>49.3887</v>
      </c>
      <c r="C10031" s="572">
        <v>250.74600000000001</v>
      </c>
    </row>
    <row r="10032" spans="1:3">
      <c r="A10032" s="571" t="s">
        <v>3738</v>
      </c>
      <c r="B10032" s="572">
        <v>61.924500000000002</v>
      </c>
      <c r="C10032" s="572">
        <v>269.55200000000002</v>
      </c>
    </row>
    <row r="10033" spans="1:3">
      <c r="A10033" s="571" t="s">
        <v>3738</v>
      </c>
      <c r="B10033" s="572">
        <v>73.965299999999999</v>
      </c>
      <c r="C10033" s="572">
        <v>283.13400000000001</v>
      </c>
    </row>
    <row r="10034" spans="1:3">
      <c r="A10034" s="571" t="s">
        <v>3738</v>
      </c>
      <c r="B10034" s="572">
        <v>98.569000000000003</v>
      </c>
      <c r="C10034" s="572">
        <v>296.71600000000001</v>
      </c>
    </row>
    <row r="10035" spans="1:3">
      <c r="A10035" s="573" t="s">
        <v>3738</v>
      </c>
      <c r="B10035" s="574">
        <v>124.182</v>
      </c>
      <c r="C10035" s="574">
        <v>307.16399999999999</v>
      </c>
    </row>
    <row r="10036" spans="1:3">
      <c r="A10036" s="573" t="s">
        <v>3738</v>
      </c>
      <c r="B10036" s="574">
        <v>157.34200000000001</v>
      </c>
      <c r="C10036" s="574">
        <v>311.34300000000002</v>
      </c>
    </row>
    <row r="10037" spans="1:3">
      <c r="A10037" s="573" t="s">
        <v>3738</v>
      </c>
      <c r="B10037" s="574">
        <v>177.94200000000001</v>
      </c>
      <c r="C10037" s="574">
        <v>313.43299999999999</v>
      </c>
    </row>
    <row r="10038" spans="1:3">
      <c r="A10038" s="571" t="s">
        <v>3739</v>
      </c>
      <c r="B10038" s="572">
        <v>0.50401300000000004</v>
      </c>
      <c r="C10038" s="572">
        <v>1.04478</v>
      </c>
    </row>
    <row r="10039" spans="1:3">
      <c r="A10039" s="571" t="s">
        <v>3739</v>
      </c>
      <c r="B10039" s="572">
        <v>0.93152299999999999</v>
      </c>
      <c r="C10039" s="572">
        <v>51.194000000000003</v>
      </c>
    </row>
    <row r="10040" spans="1:3">
      <c r="A10040" s="571" t="s">
        <v>3739</v>
      </c>
      <c r="B10040" s="572">
        <v>0.969024</v>
      </c>
      <c r="C10040" s="572">
        <v>25.0746</v>
      </c>
    </row>
    <row r="10041" spans="1:3">
      <c r="A10041" s="571" t="s">
        <v>3739</v>
      </c>
      <c r="B10041" s="572">
        <v>1.45204</v>
      </c>
      <c r="C10041" s="572">
        <v>38.656700000000001</v>
      </c>
    </row>
    <row r="10042" spans="1:3">
      <c r="A10042" s="571" t="s">
        <v>3739</v>
      </c>
      <c r="B10042" s="572">
        <v>2.91757</v>
      </c>
      <c r="C10042" s="572">
        <v>67.910399999999996</v>
      </c>
    </row>
    <row r="10043" spans="1:3">
      <c r="A10043" s="571" t="s">
        <v>3739</v>
      </c>
      <c r="B10043" s="572">
        <v>3.9045999999999998</v>
      </c>
      <c r="C10043" s="572">
        <v>80.447800000000001</v>
      </c>
    </row>
    <row r="10044" spans="1:3">
      <c r="A10044" s="571" t="s">
        <v>3739</v>
      </c>
      <c r="B10044" s="572">
        <v>5.4001400000000004</v>
      </c>
      <c r="C10044" s="572">
        <v>88.805999999999997</v>
      </c>
    </row>
    <row r="10045" spans="1:3">
      <c r="A10045" s="571" t="s">
        <v>3739</v>
      </c>
      <c r="B10045" s="572">
        <v>6.3901599999999998</v>
      </c>
      <c r="C10045" s="572">
        <v>99.253699999999995</v>
      </c>
    </row>
    <row r="10046" spans="1:3">
      <c r="A10046" s="571" t="s">
        <v>3739</v>
      </c>
      <c r="B10046" s="572">
        <v>9.3842300000000005</v>
      </c>
      <c r="C10046" s="572">
        <v>113.881</v>
      </c>
    </row>
    <row r="10047" spans="1:3">
      <c r="A10047" s="571" t="s">
        <v>3739</v>
      </c>
      <c r="B10047" s="572">
        <v>13.863300000000001</v>
      </c>
      <c r="C10047" s="572">
        <v>144.179</v>
      </c>
    </row>
    <row r="10048" spans="1:3">
      <c r="A10048" s="571" t="s">
        <v>3739</v>
      </c>
      <c r="B10048" s="572">
        <v>18.858499999999999</v>
      </c>
      <c r="C10048" s="572">
        <v>165.07499999999999</v>
      </c>
    </row>
    <row r="10049" spans="1:3">
      <c r="A10049" s="571" t="s">
        <v>3739</v>
      </c>
      <c r="B10049" s="572">
        <v>23.8476</v>
      </c>
      <c r="C10049" s="572">
        <v>190.149</v>
      </c>
    </row>
    <row r="10050" spans="1:3">
      <c r="A10050" s="571" t="s">
        <v>3739</v>
      </c>
      <c r="B10050" s="572">
        <v>30.345800000000001</v>
      </c>
      <c r="C10050" s="572">
        <v>214.179</v>
      </c>
    </row>
    <row r="10051" spans="1:3">
      <c r="A10051" s="571" t="s">
        <v>3739</v>
      </c>
      <c r="B10051" s="572">
        <v>38.357500000000002</v>
      </c>
      <c r="C10051" s="572">
        <v>234.03</v>
      </c>
    </row>
    <row r="10052" spans="1:3">
      <c r="A10052" s="571" t="s">
        <v>3739</v>
      </c>
      <c r="B10052" s="572">
        <v>49.3842</v>
      </c>
      <c r="C10052" s="572">
        <v>253.881</v>
      </c>
    </row>
    <row r="10053" spans="1:3">
      <c r="A10053" s="571" t="s">
        <v>3739</v>
      </c>
      <c r="B10053" s="572">
        <v>61.923000000000002</v>
      </c>
      <c r="C10053" s="572">
        <v>270.59699999999998</v>
      </c>
    </row>
    <row r="10054" spans="1:3">
      <c r="A10054" s="571" t="s">
        <v>3739</v>
      </c>
      <c r="B10054" s="572">
        <v>74.478399999999993</v>
      </c>
      <c r="C10054" s="572">
        <v>275.82100000000003</v>
      </c>
    </row>
    <row r="10055" spans="1:3">
      <c r="A10055" s="571" t="s">
        <v>3739</v>
      </c>
      <c r="B10055" s="572">
        <v>99.081999999999994</v>
      </c>
      <c r="C10055" s="572">
        <v>289.40300000000002</v>
      </c>
    </row>
    <row r="10056" spans="1:3">
      <c r="A10056" s="573" t="s">
        <v>3739</v>
      </c>
      <c r="B10056" s="574">
        <v>124.694</v>
      </c>
      <c r="C10056" s="574">
        <v>300.89600000000002</v>
      </c>
    </row>
    <row r="10057" spans="1:3">
      <c r="A10057" s="573" t="s">
        <v>3739</v>
      </c>
      <c r="B10057" s="574">
        <v>156.84200000000001</v>
      </c>
      <c r="C10057" s="574">
        <v>309.25400000000002</v>
      </c>
    </row>
    <row r="10058" spans="1:3">
      <c r="A10058" s="573" t="s">
        <v>3739</v>
      </c>
      <c r="B10058" s="574">
        <v>187.49</v>
      </c>
      <c r="C10058" s="574">
        <v>313.43299999999999</v>
      </c>
    </row>
    <row r="10059" spans="1:3">
      <c r="A10059" s="571" t="s">
        <v>2067</v>
      </c>
      <c r="B10059" s="572">
        <v>0.11148583300000001</v>
      </c>
      <c r="C10059" s="572">
        <v>8.9485499999999991</v>
      </c>
    </row>
    <row r="10060" spans="1:3">
      <c r="A10060" s="571" t="s">
        <v>2067</v>
      </c>
      <c r="B10060" s="572">
        <v>0.19547125000000001</v>
      </c>
      <c r="C10060" s="572">
        <v>19.015699999999999</v>
      </c>
    </row>
    <row r="10061" spans="1:3">
      <c r="A10061" s="571" t="s">
        <v>2067</v>
      </c>
      <c r="B10061" s="572">
        <v>0.27958041700000003</v>
      </c>
      <c r="C10061" s="572">
        <v>30.2013</v>
      </c>
    </row>
    <row r="10062" spans="1:3">
      <c r="A10062" s="571" t="s">
        <v>2067</v>
      </c>
      <c r="B10062" s="572">
        <v>0.39118999999999998</v>
      </c>
      <c r="C10062" s="572">
        <v>40.268500000000003</v>
      </c>
    </row>
    <row r="10063" spans="1:3">
      <c r="A10063" s="571" t="s">
        <v>2067</v>
      </c>
      <c r="B10063" s="572">
        <v>0.4753</v>
      </c>
      <c r="C10063" s="572">
        <v>51.454099999999997</v>
      </c>
    </row>
    <row r="10064" spans="1:3">
      <c r="A10064" s="571" t="s">
        <v>2067</v>
      </c>
      <c r="B10064" s="572">
        <v>0.586908333</v>
      </c>
      <c r="C10064" s="572">
        <v>61.521299999999997</v>
      </c>
    </row>
    <row r="10065" spans="1:3">
      <c r="A10065" s="571" t="s">
        <v>2067</v>
      </c>
      <c r="B10065" s="572">
        <v>0.69851666700000004</v>
      </c>
      <c r="C10065" s="572">
        <v>71.588399999999993</v>
      </c>
    </row>
    <row r="10066" spans="1:3">
      <c r="A10066" s="571" t="s">
        <v>2067</v>
      </c>
      <c r="B10066" s="572">
        <v>0.83774999999999999</v>
      </c>
      <c r="C10066" s="572">
        <v>81.655500000000004</v>
      </c>
    </row>
    <row r="10067" spans="1:3">
      <c r="A10067" s="571" t="s">
        <v>2067</v>
      </c>
      <c r="B10067" s="572">
        <v>0.97698750000000001</v>
      </c>
      <c r="C10067" s="572">
        <v>91.7226</v>
      </c>
    </row>
    <row r="10068" spans="1:3">
      <c r="A10068" s="571" t="s">
        <v>2067</v>
      </c>
      <c r="B10068" s="572">
        <v>1.1440916670000001</v>
      </c>
      <c r="C10068" s="572">
        <v>104.027</v>
      </c>
    </row>
    <row r="10069" spans="1:3">
      <c r="A10069" s="571" t="s">
        <v>2067</v>
      </c>
      <c r="B10069" s="572">
        <v>1.338325</v>
      </c>
      <c r="C10069" s="572">
        <v>111.857</v>
      </c>
    </row>
    <row r="10070" spans="1:3">
      <c r="A10070" s="571" t="s">
        <v>2067</v>
      </c>
      <c r="B10070" s="572">
        <v>1.5599375</v>
      </c>
      <c r="C10070" s="572">
        <v>117.45</v>
      </c>
    </row>
    <row r="10071" spans="1:3">
      <c r="A10071" s="571" t="s">
        <v>2067</v>
      </c>
      <c r="B10071" s="572">
        <v>1.7540500000000001</v>
      </c>
      <c r="C10071" s="572">
        <v>124.161</v>
      </c>
    </row>
    <row r="10072" spans="1:3">
      <c r="A10072" s="571" t="s">
        <v>2067</v>
      </c>
      <c r="B10072" s="572">
        <v>1.9759125</v>
      </c>
      <c r="C10072" s="572">
        <v>131.99100000000001</v>
      </c>
    </row>
    <row r="10073" spans="1:3">
      <c r="A10073" s="571" t="s">
        <v>2067</v>
      </c>
      <c r="B10073" s="572">
        <v>2.0314083329999999</v>
      </c>
      <c r="C10073" s="572">
        <v>134.22800000000001</v>
      </c>
    </row>
    <row r="10074" spans="1:3">
      <c r="A10074" s="571" t="s">
        <v>2067</v>
      </c>
      <c r="B10074" s="572">
        <v>2.2256416670000001</v>
      </c>
      <c r="C10074" s="572">
        <v>142.05799999999999</v>
      </c>
    </row>
    <row r="10075" spans="1:3">
      <c r="A10075" s="571" t="s">
        <v>2067</v>
      </c>
      <c r="B10075" s="572">
        <v>2.4747541669999999</v>
      </c>
      <c r="C10075" s="572">
        <v>146.53200000000001</v>
      </c>
    </row>
    <row r="10076" spans="1:3">
      <c r="A10076" s="571" t="s">
        <v>2067</v>
      </c>
      <c r="B10076" s="572">
        <v>2.6963666669999999</v>
      </c>
      <c r="C10076" s="572">
        <v>152.125</v>
      </c>
    </row>
    <row r="10077" spans="1:3">
      <c r="A10077" s="571" t="s">
        <v>2067</v>
      </c>
      <c r="B10077" s="572">
        <v>2.9456041669999999</v>
      </c>
      <c r="C10077" s="572">
        <v>157.71799999999999</v>
      </c>
    </row>
    <row r="10078" spans="1:3">
      <c r="A10078" s="571" t="s">
        <v>2067</v>
      </c>
      <c r="B10078" s="572">
        <v>3.1673416670000001</v>
      </c>
      <c r="C10078" s="572">
        <v>164.43</v>
      </c>
    </row>
    <row r="10079" spans="1:3">
      <c r="A10079" s="571" t="s">
        <v>2067</v>
      </c>
      <c r="B10079" s="572">
        <v>3.4164541669999999</v>
      </c>
      <c r="C10079" s="572">
        <v>168.904</v>
      </c>
    </row>
    <row r="10080" spans="1:3">
      <c r="A10080" s="571" t="s">
        <v>2067</v>
      </c>
      <c r="B10080" s="572">
        <v>3.6655666669999998</v>
      </c>
      <c r="C10080" s="572">
        <v>173.37799999999999</v>
      </c>
    </row>
    <row r="10081" spans="1:3">
      <c r="A10081" s="571" t="s">
        <v>2067</v>
      </c>
      <c r="B10081" s="572">
        <v>3.9146791670000001</v>
      </c>
      <c r="C10081" s="572">
        <v>177.852</v>
      </c>
    </row>
    <row r="10082" spans="1:3">
      <c r="A10082" s="571" t="s">
        <v>2067</v>
      </c>
      <c r="B10082" s="572">
        <v>4.0255458329999998</v>
      </c>
      <c r="C10082" s="572">
        <v>181.208</v>
      </c>
    </row>
    <row r="10083" spans="1:3">
      <c r="A10083" s="571" t="s">
        <v>2067</v>
      </c>
      <c r="B10083" s="572">
        <v>4.1921666670000004</v>
      </c>
      <c r="C10083" s="572">
        <v>189.03800000000001</v>
      </c>
    </row>
    <row r="10084" spans="1:3">
      <c r="A10084" s="571" t="s">
        <v>2067</v>
      </c>
      <c r="B10084" s="572">
        <v>4.4136666670000002</v>
      </c>
      <c r="C10084" s="572">
        <v>193.512</v>
      </c>
    </row>
    <row r="10085" spans="1:3">
      <c r="A10085" s="571" t="s">
        <v>2067</v>
      </c>
      <c r="B10085" s="572">
        <v>4.8843750000000004</v>
      </c>
      <c r="C10085" s="572">
        <v>203.57900000000001</v>
      </c>
    </row>
    <row r="10086" spans="1:3">
      <c r="A10086" s="571" t="s">
        <v>2067</v>
      </c>
      <c r="B10086" s="572">
        <v>5.0786249999999997</v>
      </c>
      <c r="C10086" s="572">
        <v>211.40899999999999</v>
      </c>
    </row>
    <row r="10087" spans="1:3">
      <c r="A10087" s="571" t="s">
        <v>2067</v>
      </c>
      <c r="B10087" s="572">
        <v>5.3275833329999998</v>
      </c>
      <c r="C10087" s="572">
        <v>214.76499999999999</v>
      </c>
    </row>
    <row r="10088" spans="1:3">
      <c r="A10088" s="571" t="s">
        <v>2067</v>
      </c>
      <c r="B10088" s="572">
        <v>5.5492083330000002</v>
      </c>
      <c r="C10088" s="572">
        <v>220.358</v>
      </c>
    </row>
    <row r="10089" spans="1:3">
      <c r="A10089" s="571" t="s">
        <v>2067</v>
      </c>
      <c r="B10089" s="572">
        <v>5.7983333330000004</v>
      </c>
      <c r="C10089" s="572">
        <v>224.83199999999999</v>
      </c>
    </row>
    <row r="10090" spans="1:3">
      <c r="A10090" s="571" t="s">
        <v>2067</v>
      </c>
      <c r="B10090" s="572">
        <v>6.0200416670000001</v>
      </c>
      <c r="C10090" s="572">
        <v>231.54400000000001</v>
      </c>
    </row>
    <row r="10091" spans="1:3">
      <c r="A10091" s="571" t="s">
        <v>2067</v>
      </c>
      <c r="B10091" s="572">
        <v>6.2141666669999998</v>
      </c>
      <c r="C10091" s="572">
        <v>238.255</v>
      </c>
    </row>
    <row r="10092" spans="1:3">
      <c r="A10092" s="571" t="s">
        <v>2067</v>
      </c>
      <c r="B10092" s="572">
        <v>6.4631666670000003</v>
      </c>
      <c r="C10092" s="572">
        <v>241.61099999999999</v>
      </c>
    </row>
    <row r="10093" spans="1:3">
      <c r="A10093" s="571" t="s">
        <v>2067</v>
      </c>
      <c r="B10093" s="572">
        <v>6.7124166670000003</v>
      </c>
      <c r="C10093" s="572">
        <v>247.20400000000001</v>
      </c>
    </row>
    <row r="10094" spans="1:3">
      <c r="A10094" s="571" t="s">
        <v>2067</v>
      </c>
      <c r="B10094" s="572">
        <v>6.9616249999999997</v>
      </c>
      <c r="C10094" s="572">
        <v>252.79599999999999</v>
      </c>
    </row>
    <row r="10095" spans="1:3">
      <c r="A10095" s="571" t="s">
        <v>2067</v>
      </c>
      <c r="B10095" s="572">
        <v>7.1556249999999997</v>
      </c>
      <c r="C10095" s="572">
        <v>258.38900000000001</v>
      </c>
    </row>
    <row r="10096" spans="1:3">
      <c r="A10096" s="571" t="s">
        <v>2067</v>
      </c>
      <c r="B10096" s="572">
        <v>7.3771250000000004</v>
      </c>
      <c r="C10096" s="572">
        <v>262.86399999999998</v>
      </c>
    </row>
    <row r="10097" spans="1:3">
      <c r="A10097" s="571" t="s">
        <v>2067</v>
      </c>
      <c r="B10097" s="572">
        <v>7.6262083330000001</v>
      </c>
      <c r="C10097" s="572">
        <v>267.33800000000002</v>
      </c>
    </row>
    <row r="10098" spans="1:3">
      <c r="A10098" s="571" t="s">
        <v>2067</v>
      </c>
      <c r="B10098" s="572">
        <v>7.8754583330000001</v>
      </c>
      <c r="C10098" s="572">
        <v>272.93099999999998</v>
      </c>
    </row>
    <row r="10099" spans="1:3">
      <c r="A10099" s="571" t="s">
        <v>2067</v>
      </c>
      <c r="B10099" s="572">
        <v>8.0417083330000008</v>
      </c>
      <c r="C10099" s="572">
        <v>277.40499999999997</v>
      </c>
    </row>
    <row r="10100" spans="1:3">
      <c r="A10100" s="571" t="s">
        <v>2067</v>
      </c>
      <c r="B10100" s="572">
        <v>8.2908333330000001</v>
      </c>
      <c r="C10100" s="572">
        <v>281.87900000000002</v>
      </c>
    </row>
    <row r="10101" spans="1:3">
      <c r="A10101" s="571" t="s">
        <v>2067</v>
      </c>
      <c r="B10101" s="572">
        <v>8.5122916669999995</v>
      </c>
      <c r="C10101" s="572">
        <v>286.35300000000001</v>
      </c>
    </row>
    <row r="10102" spans="1:3">
      <c r="A10102" s="571" t="s">
        <v>2067</v>
      </c>
      <c r="B10102" s="572">
        <v>8.7615416669999995</v>
      </c>
      <c r="C10102" s="572">
        <v>291.94600000000003</v>
      </c>
    </row>
    <row r="10103" spans="1:3">
      <c r="A10103" s="571" t="s">
        <v>2067</v>
      </c>
      <c r="B10103" s="572">
        <v>9.4535</v>
      </c>
      <c r="C10103" s="572">
        <v>304.25099999999998</v>
      </c>
    </row>
    <row r="10104" spans="1:3">
      <c r="A10104" s="571" t="s">
        <v>2067</v>
      </c>
      <c r="B10104" s="572">
        <v>9.7025000000000006</v>
      </c>
      <c r="C10104" s="572">
        <v>307.60599999999999</v>
      </c>
    </row>
    <row r="10105" spans="1:3">
      <c r="A10105" s="571" t="s">
        <v>2067</v>
      </c>
      <c r="B10105" s="572">
        <v>9.9517500000000005</v>
      </c>
      <c r="C10105" s="572">
        <v>313.19900000000001</v>
      </c>
    </row>
    <row r="10106" spans="1:3">
      <c r="A10106" s="571" t="s">
        <v>2067</v>
      </c>
      <c r="B10106" s="572">
        <v>10.03495833</v>
      </c>
      <c r="C10106" s="572">
        <v>316.55500000000001</v>
      </c>
    </row>
    <row r="10107" spans="1:3">
      <c r="A10107" s="571" t="s">
        <v>2067</v>
      </c>
      <c r="B10107" s="572">
        <v>10.283958330000001</v>
      </c>
      <c r="C10107" s="572">
        <v>319.911</v>
      </c>
    </row>
    <row r="10108" spans="1:3">
      <c r="A10108" s="571" t="s">
        <v>2067</v>
      </c>
      <c r="B10108" s="572">
        <v>10.532833330000001</v>
      </c>
      <c r="C10108" s="572">
        <v>322.14800000000002</v>
      </c>
    </row>
    <row r="10109" spans="1:3">
      <c r="A10109" s="571" t="s">
        <v>2067</v>
      </c>
      <c r="B10109" s="572">
        <v>10.78183333</v>
      </c>
      <c r="C10109" s="572">
        <v>325.50299999999999</v>
      </c>
    </row>
    <row r="10110" spans="1:3">
      <c r="A10110" s="571" t="s">
        <v>2067</v>
      </c>
      <c r="B10110" s="572">
        <v>11.00341667</v>
      </c>
      <c r="C10110" s="572">
        <v>331.096</v>
      </c>
    </row>
    <row r="10111" spans="1:3">
      <c r="A10111" s="571" t="s">
        <v>2067</v>
      </c>
      <c r="B10111" s="572">
        <v>11.22504167</v>
      </c>
      <c r="C10111" s="572">
        <v>336.68900000000002</v>
      </c>
    </row>
    <row r="10112" spans="1:3">
      <c r="A10112" s="571" t="s">
        <v>2067</v>
      </c>
      <c r="B10112" s="572">
        <v>11.47366667</v>
      </c>
      <c r="C10112" s="572">
        <v>336.68900000000002</v>
      </c>
    </row>
    <row r="10113" spans="1:3">
      <c r="A10113" s="571" t="s">
        <v>2067</v>
      </c>
      <c r="B10113" s="572">
        <v>11.722791669999999</v>
      </c>
      <c r="C10113" s="572">
        <v>341.16300000000001</v>
      </c>
    </row>
    <row r="10114" spans="1:3">
      <c r="A10114" s="571" t="s">
        <v>2067</v>
      </c>
      <c r="B10114" s="572">
        <v>12.027374999999999</v>
      </c>
      <c r="C10114" s="572">
        <v>347.875</v>
      </c>
    </row>
    <row r="10115" spans="1:3">
      <c r="A10115" s="571" t="s">
        <v>2067</v>
      </c>
      <c r="B10115" s="572">
        <v>12.248749999999999</v>
      </c>
      <c r="C10115" s="572">
        <v>351.23</v>
      </c>
    </row>
    <row r="10116" spans="1:3">
      <c r="A10116" s="571" t="s">
        <v>2067</v>
      </c>
      <c r="B10116" s="572">
        <v>12.469749999999999</v>
      </c>
      <c r="C10116" s="572">
        <v>351.23</v>
      </c>
    </row>
    <row r="10117" spans="1:3">
      <c r="A10117" s="571" t="s">
        <v>2067</v>
      </c>
      <c r="B10117" s="572">
        <v>12.718875000000001</v>
      </c>
      <c r="C10117" s="572">
        <v>355.70499999999998</v>
      </c>
    </row>
    <row r="10118" spans="1:3">
      <c r="A10118" s="571" t="s">
        <v>2067</v>
      </c>
      <c r="B10118" s="572">
        <v>12.96795833</v>
      </c>
      <c r="C10118" s="572">
        <v>360.17899999999997</v>
      </c>
    </row>
    <row r="10119" spans="1:3">
      <c r="A10119" s="571" t="s">
        <v>2067</v>
      </c>
      <c r="B10119" s="572">
        <v>13.217083329999999</v>
      </c>
      <c r="C10119" s="572">
        <v>364.65300000000002</v>
      </c>
    </row>
    <row r="10120" spans="1:3">
      <c r="A10120" s="571" t="s">
        <v>2067</v>
      </c>
      <c r="B10120" s="572">
        <v>13.465583329999999</v>
      </c>
      <c r="C10120" s="572">
        <v>363.53500000000003</v>
      </c>
    </row>
    <row r="10121" spans="1:3">
      <c r="A10121" s="571" t="s">
        <v>2067</v>
      </c>
      <c r="B10121" s="572">
        <v>13.742333329999999</v>
      </c>
      <c r="C10121" s="572">
        <v>368.00900000000001</v>
      </c>
    </row>
    <row r="10122" spans="1:3">
      <c r="A10122" s="571" t="s">
        <v>2067</v>
      </c>
      <c r="B10122" s="572">
        <v>14.018916669999999</v>
      </c>
      <c r="C10122" s="572">
        <v>371.36500000000001</v>
      </c>
    </row>
    <row r="10123" spans="1:3">
      <c r="A10123" s="571" t="s">
        <v>2067</v>
      </c>
      <c r="B10123" s="572">
        <v>14.267791669999999</v>
      </c>
      <c r="C10123" s="572">
        <v>373.60199999999998</v>
      </c>
    </row>
    <row r="10124" spans="1:3">
      <c r="A10124" s="571" t="s">
        <v>2067</v>
      </c>
      <c r="B10124" s="572">
        <v>14.54391667</v>
      </c>
      <c r="C10124" s="572">
        <v>372.483</v>
      </c>
    </row>
    <row r="10125" spans="1:3">
      <c r="A10125" s="571" t="s">
        <v>2067</v>
      </c>
      <c r="B10125" s="572">
        <v>14.79279167</v>
      </c>
      <c r="C10125" s="572">
        <v>374.72</v>
      </c>
    </row>
    <row r="10126" spans="1:3">
      <c r="A10126" s="571" t="s">
        <v>2067</v>
      </c>
      <c r="B10126" s="572">
        <v>15.041541670000001</v>
      </c>
      <c r="C10126" s="572">
        <v>375.839</v>
      </c>
    </row>
    <row r="10127" spans="1:3">
      <c r="A10127" s="571" t="s">
        <v>2067</v>
      </c>
      <c r="B10127" s="572">
        <v>15.290374999999999</v>
      </c>
      <c r="C10127" s="572">
        <v>378.07600000000002</v>
      </c>
    </row>
    <row r="10128" spans="1:3">
      <c r="A10128" s="571" t="s">
        <v>2067</v>
      </c>
      <c r="B10128" s="572">
        <v>15.566625</v>
      </c>
      <c r="C10128" s="572">
        <v>378.07600000000002</v>
      </c>
    </row>
    <row r="10129" spans="1:3">
      <c r="A10129" s="571" t="s">
        <v>2067</v>
      </c>
      <c r="B10129" s="572">
        <v>15.8155</v>
      </c>
      <c r="C10129" s="572">
        <v>380.31299999999999</v>
      </c>
    </row>
    <row r="10130" spans="1:3">
      <c r="A10130" s="571" t="s">
        <v>2067</v>
      </c>
      <c r="B10130" s="572">
        <v>16.009</v>
      </c>
      <c r="C10130" s="572">
        <v>381.43200000000002</v>
      </c>
    </row>
    <row r="10131" spans="1:3">
      <c r="A10131" s="571" t="s">
        <v>2067</v>
      </c>
      <c r="B10131" s="572">
        <v>16.285499999999999</v>
      </c>
      <c r="C10131" s="572">
        <v>383.66899999999998</v>
      </c>
    </row>
    <row r="10132" spans="1:3">
      <c r="A10132" s="571" t="s">
        <v>2067</v>
      </c>
      <c r="B10132" s="572">
        <v>16.53425</v>
      </c>
      <c r="C10132" s="572">
        <v>384.78699999999998</v>
      </c>
    </row>
    <row r="10133" spans="1:3">
      <c r="A10133" s="571" t="s">
        <v>2067</v>
      </c>
      <c r="B10133" s="572">
        <v>16.81058333</v>
      </c>
      <c r="C10133" s="572">
        <v>385.90600000000001</v>
      </c>
    </row>
    <row r="10134" spans="1:3">
      <c r="A10134" s="571" t="s">
        <v>2067</v>
      </c>
      <c r="B10134" s="572">
        <v>17.059708329999999</v>
      </c>
      <c r="C10134" s="572">
        <v>390.38</v>
      </c>
    </row>
    <row r="10135" spans="1:3">
      <c r="A10135" s="571" t="s">
        <v>2067</v>
      </c>
      <c r="B10135" s="572">
        <v>17.308208329999999</v>
      </c>
      <c r="C10135" s="572">
        <v>389.262</v>
      </c>
    </row>
    <row r="10136" spans="1:3">
      <c r="A10136" s="571" t="s">
        <v>2067</v>
      </c>
      <c r="B10136" s="572">
        <v>17.584583330000001</v>
      </c>
      <c r="C10136" s="572">
        <v>390.38</v>
      </c>
    </row>
    <row r="10137" spans="1:3">
      <c r="A10137" s="571" t="s">
        <v>2067</v>
      </c>
      <c r="B10137" s="572">
        <v>17.833458329999999</v>
      </c>
      <c r="C10137" s="572">
        <v>392.61700000000002</v>
      </c>
    </row>
    <row r="10138" spans="1:3">
      <c r="A10138" s="571" t="s">
        <v>2067</v>
      </c>
      <c r="B10138" s="572">
        <v>18.524541670000001</v>
      </c>
      <c r="C10138" s="572">
        <v>397.09199999999998</v>
      </c>
    </row>
    <row r="10139" spans="1:3">
      <c r="A10139" s="571" t="s">
        <v>2067</v>
      </c>
      <c r="B10139" s="572">
        <v>18.80104167</v>
      </c>
      <c r="C10139" s="572">
        <v>399.32900000000001</v>
      </c>
    </row>
    <row r="10140" spans="1:3">
      <c r="A10140" s="571" t="s">
        <v>2067</v>
      </c>
      <c r="B10140" s="572">
        <v>19.381374999999998</v>
      </c>
      <c r="C10140" s="572">
        <v>401.56599999999997</v>
      </c>
    </row>
    <row r="10141" spans="1:3">
      <c r="A10141" s="571" t="s">
        <v>2067</v>
      </c>
      <c r="B10141" s="572">
        <v>19.657624999999999</v>
      </c>
      <c r="C10141" s="572">
        <v>401.56599999999997</v>
      </c>
    </row>
    <row r="10142" spans="1:3">
      <c r="A10142" s="571" t="s">
        <v>2068</v>
      </c>
      <c r="B10142" s="572">
        <v>5.534E-2</v>
      </c>
      <c r="C10142" s="572">
        <v>1.1160699999999999</v>
      </c>
    </row>
    <row r="10143" spans="1:3">
      <c r="A10143" s="571" t="s">
        <v>2068</v>
      </c>
      <c r="B10143" s="572">
        <v>8.2360417000000005E-2</v>
      </c>
      <c r="C10143" s="572">
        <v>13.392899999999999</v>
      </c>
    </row>
    <row r="10144" spans="1:3">
      <c r="A10144" s="571" t="s">
        <v>2068</v>
      </c>
      <c r="B10144" s="572">
        <v>0.16472083300000001</v>
      </c>
      <c r="C10144" s="572">
        <v>26.785699999999999</v>
      </c>
    </row>
    <row r="10145" spans="1:3">
      <c r="A10145" s="571" t="s">
        <v>2068</v>
      </c>
      <c r="B10145" s="572">
        <v>0.27478249999999999</v>
      </c>
      <c r="C10145" s="572">
        <v>40.178600000000003</v>
      </c>
    </row>
    <row r="10146" spans="1:3">
      <c r="A10146" s="571" t="s">
        <v>2068</v>
      </c>
      <c r="B10146" s="572">
        <v>0.49577083300000002</v>
      </c>
      <c r="C10146" s="572">
        <v>51.339300000000001</v>
      </c>
    </row>
    <row r="10147" spans="1:3">
      <c r="A10147" s="571" t="s">
        <v>2068</v>
      </c>
      <c r="B10147" s="572">
        <v>0.71688333299999996</v>
      </c>
      <c r="C10147" s="572">
        <v>60.267899999999997</v>
      </c>
    </row>
    <row r="10148" spans="1:3">
      <c r="A10148" s="571" t="s">
        <v>2068</v>
      </c>
      <c r="B10148" s="572">
        <v>0.93811666699999996</v>
      </c>
      <c r="C10148" s="572">
        <v>66.964299999999994</v>
      </c>
    </row>
    <row r="10149" spans="1:3">
      <c r="A10149" s="571" t="s">
        <v>2068</v>
      </c>
      <c r="B10149" s="572">
        <v>1.1872416669999999</v>
      </c>
      <c r="C10149" s="572">
        <v>70.3125</v>
      </c>
    </row>
    <row r="10150" spans="1:3">
      <c r="A10150" s="571" t="s">
        <v>2068</v>
      </c>
      <c r="B10150" s="572">
        <v>1.4640625</v>
      </c>
      <c r="C10150" s="572">
        <v>73.660700000000006</v>
      </c>
    </row>
    <row r="10151" spans="1:3">
      <c r="A10151" s="571" t="s">
        <v>2068</v>
      </c>
      <c r="B10151" s="572">
        <v>1.6853625000000001</v>
      </c>
      <c r="C10151" s="572">
        <v>79.241100000000003</v>
      </c>
    </row>
    <row r="10152" spans="1:3">
      <c r="A10152" s="571" t="s">
        <v>2068</v>
      </c>
      <c r="B10152" s="572">
        <v>1.9344208329999999</v>
      </c>
      <c r="C10152" s="572">
        <v>83.705399999999997</v>
      </c>
    </row>
    <row r="10153" spans="1:3">
      <c r="A10153" s="571" t="s">
        <v>2068</v>
      </c>
      <c r="B10153" s="572">
        <v>2.0451625</v>
      </c>
      <c r="C10153" s="572">
        <v>84.821399999999997</v>
      </c>
    </row>
    <row r="10154" spans="1:3">
      <c r="A10154" s="571" t="s">
        <v>2068</v>
      </c>
      <c r="B10154" s="572">
        <v>2.2944083329999998</v>
      </c>
      <c r="C10154" s="572">
        <v>85.9375</v>
      </c>
    </row>
    <row r="10155" spans="1:3">
      <c r="A10155" s="571" t="s">
        <v>2068</v>
      </c>
      <c r="B10155" s="572">
        <v>2.5157666669999998</v>
      </c>
      <c r="C10155" s="572">
        <v>90.401799999999994</v>
      </c>
    </row>
    <row r="10156" spans="1:3">
      <c r="A10156" s="571" t="s">
        <v>2068</v>
      </c>
      <c r="B10156" s="572">
        <v>2.9580541669999998</v>
      </c>
      <c r="C10156" s="572">
        <v>107.143</v>
      </c>
    </row>
    <row r="10157" spans="1:3">
      <c r="A10157" s="571" t="s">
        <v>2068</v>
      </c>
      <c r="B10157" s="572">
        <v>3.1794125000000002</v>
      </c>
      <c r="C10157" s="572">
        <v>111.607</v>
      </c>
    </row>
    <row r="10158" spans="1:3">
      <c r="A10158" s="571" t="s">
        <v>2068</v>
      </c>
      <c r="B10158" s="572">
        <v>3.4011416670000001</v>
      </c>
      <c r="C10158" s="572">
        <v>109.375</v>
      </c>
    </row>
    <row r="10159" spans="1:3">
      <c r="A10159" s="571" t="s">
        <v>2068</v>
      </c>
      <c r="B10159" s="572">
        <v>3.650325</v>
      </c>
      <c r="C10159" s="572">
        <v>111.607</v>
      </c>
    </row>
    <row r="10160" spans="1:3">
      <c r="A10160" s="571" t="s">
        <v>2068</v>
      </c>
      <c r="B10160" s="572">
        <v>3.8715625</v>
      </c>
      <c r="C10160" s="572">
        <v>118.304</v>
      </c>
    </row>
    <row r="10161" spans="1:3">
      <c r="A10161" s="571" t="s">
        <v>2068</v>
      </c>
      <c r="B10161" s="572">
        <v>4.037270833</v>
      </c>
      <c r="C10161" s="572">
        <v>127.232</v>
      </c>
    </row>
    <row r="10162" spans="1:3">
      <c r="A10162" s="571" t="s">
        <v>2068</v>
      </c>
      <c r="B10162" s="572">
        <v>4.2865000000000002</v>
      </c>
      <c r="C10162" s="572">
        <v>128.34800000000001</v>
      </c>
    </row>
    <row r="10163" spans="1:3">
      <c r="A10163" s="571" t="s">
        <v>2068</v>
      </c>
      <c r="B10163" s="572">
        <v>4.5360833329999997</v>
      </c>
      <c r="C10163" s="572">
        <v>123.884</v>
      </c>
    </row>
    <row r="10164" spans="1:3">
      <c r="A10164" s="571" t="s">
        <v>2068</v>
      </c>
      <c r="B10164" s="572">
        <v>4.7851249999999999</v>
      </c>
      <c r="C10164" s="572">
        <v>128.34800000000001</v>
      </c>
    </row>
    <row r="10165" spans="1:3">
      <c r="A10165" s="571" t="s">
        <v>2068</v>
      </c>
      <c r="B10165" s="572">
        <v>4.9508333330000003</v>
      </c>
      <c r="C10165" s="572">
        <v>137.27699999999999</v>
      </c>
    </row>
    <row r="10166" spans="1:3">
      <c r="A10166" s="571" t="s">
        <v>2068</v>
      </c>
      <c r="B10166" s="572">
        <v>5.1443333329999996</v>
      </c>
      <c r="C10166" s="572">
        <v>145.089</v>
      </c>
    </row>
    <row r="10167" spans="1:3">
      <c r="A10167" s="571" t="s">
        <v>2068</v>
      </c>
      <c r="B10167" s="572">
        <v>5.3661666669999999</v>
      </c>
      <c r="C10167" s="572">
        <v>140.625</v>
      </c>
    </row>
    <row r="10168" spans="1:3">
      <c r="A10168" s="571" t="s">
        <v>2068</v>
      </c>
      <c r="B10168" s="572">
        <v>5.615583333</v>
      </c>
      <c r="C10168" s="572">
        <v>138.393</v>
      </c>
    </row>
    <row r="10169" spans="1:3">
      <c r="A10169" s="571" t="s">
        <v>2068</v>
      </c>
      <c r="B10169" s="572">
        <v>5.8369583330000001</v>
      </c>
      <c r="C10169" s="572">
        <v>142.857</v>
      </c>
    </row>
    <row r="10170" spans="1:3">
      <c r="A10170" s="571" t="s">
        <v>2068</v>
      </c>
      <c r="B10170" s="572">
        <v>6.0305</v>
      </c>
      <c r="C10170" s="572">
        <v>149.554</v>
      </c>
    </row>
    <row r="10171" spans="1:3">
      <c r="A10171" s="571" t="s">
        <v>2068</v>
      </c>
      <c r="B10171" s="572">
        <v>6.28</v>
      </c>
      <c r="C10171" s="572">
        <v>146.20500000000001</v>
      </c>
    </row>
    <row r="10172" spans="1:3">
      <c r="A10172" s="571" t="s">
        <v>2068</v>
      </c>
      <c r="B10172" s="572">
        <v>6.5567916669999997</v>
      </c>
      <c r="C10172" s="572">
        <v>149.554</v>
      </c>
    </row>
    <row r="10173" spans="1:3">
      <c r="A10173" s="571" t="s">
        <v>2068</v>
      </c>
      <c r="B10173" s="572">
        <v>6.7781250000000002</v>
      </c>
      <c r="C10173" s="572">
        <v>155.13399999999999</v>
      </c>
    </row>
    <row r="10174" spans="1:3">
      <c r="A10174" s="571" t="s">
        <v>2068</v>
      </c>
      <c r="B10174" s="572">
        <v>6.9994166670000002</v>
      </c>
      <c r="C10174" s="572">
        <v>160.714</v>
      </c>
    </row>
    <row r="10175" spans="1:3">
      <c r="A10175" s="571" t="s">
        <v>2068</v>
      </c>
      <c r="B10175" s="572">
        <v>7.2486666670000002</v>
      </c>
      <c r="C10175" s="572">
        <v>161.83000000000001</v>
      </c>
    </row>
    <row r="10176" spans="1:3">
      <c r="A10176" s="571" t="s">
        <v>2068</v>
      </c>
      <c r="B10176" s="572">
        <v>7.4980416669999999</v>
      </c>
      <c r="C10176" s="572">
        <v>160.714</v>
      </c>
    </row>
    <row r="10177" spans="1:3">
      <c r="A10177" s="571" t="s">
        <v>2068</v>
      </c>
      <c r="B10177" s="572">
        <v>7.7471249999999996</v>
      </c>
      <c r="C10177" s="572">
        <v>164.06299999999999</v>
      </c>
    </row>
    <row r="10178" spans="1:3">
      <c r="A10178" s="571" t="s">
        <v>2068</v>
      </c>
      <c r="B10178" s="572">
        <v>7.9962083330000002</v>
      </c>
      <c r="C10178" s="572">
        <v>168.52699999999999</v>
      </c>
    </row>
    <row r="10179" spans="1:3">
      <c r="A10179" s="571" t="s">
        <v>2068</v>
      </c>
      <c r="B10179" s="572">
        <v>8.0515416670000004</v>
      </c>
      <c r="C10179" s="572">
        <v>169.643</v>
      </c>
    </row>
    <row r="10180" spans="1:3">
      <c r="A10180" s="571" t="s">
        <v>2068</v>
      </c>
      <c r="B10180" s="572">
        <v>8.3286250000000006</v>
      </c>
      <c r="C10180" s="572">
        <v>168.52699999999999</v>
      </c>
    </row>
    <row r="10181" spans="1:3">
      <c r="A10181" s="571" t="s">
        <v>2068</v>
      </c>
      <c r="B10181" s="572">
        <v>8.57775</v>
      </c>
      <c r="C10181" s="572">
        <v>171.875</v>
      </c>
    </row>
    <row r="10182" spans="1:3">
      <c r="A10182" s="571" t="s">
        <v>2068</v>
      </c>
      <c r="B10182" s="572">
        <v>8.7713750000000008</v>
      </c>
      <c r="C10182" s="572">
        <v>176.339</v>
      </c>
    </row>
    <row r="10183" spans="1:3">
      <c r="A10183" s="571" t="s">
        <v>2068</v>
      </c>
      <c r="B10183" s="572">
        <v>9.0481666670000003</v>
      </c>
      <c r="C10183" s="572">
        <v>180.804</v>
      </c>
    </row>
    <row r="10184" spans="1:3">
      <c r="A10184" s="571" t="s">
        <v>2068</v>
      </c>
      <c r="B10184" s="572">
        <v>9.2975416670000008</v>
      </c>
      <c r="C10184" s="572">
        <v>179.68799999999999</v>
      </c>
    </row>
    <row r="10185" spans="1:3">
      <c r="A10185" s="571" t="s">
        <v>2068</v>
      </c>
      <c r="B10185" s="572">
        <v>9.5744166669999995</v>
      </c>
      <c r="C10185" s="572">
        <v>181.92</v>
      </c>
    </row>
    <row r="10186" spans="1:3">
      <c r="A10186" s="571" t="s">
        <v>2068</v>
      </c>
      <c r="B10186" s="572">
        <v>9.7957083330000003</v>
      </c>
      <c r="C10186" s="572">
        <v>187.5</v>
      </c>
    </row>
    <row r="10187" spans="1:3">
      <c r="A10187" s="571" t="s">
        <v>2068</v>
      </c>
      <c r="B10187" s="572">
        <v>10.044708330000001</v>
      </c>
      <c r="C10187" s="572">
        <v>193.08</v>
      </c>
    </row>
    <row r="10188" spans="1:3">
      <c r="A10188" s="571" t="s">
        <v>2068</v>
      </c>
      <c r="B10188" s="572">
        <v>10.32179167</v>
      </c>
      <c r="C10188" s="572">
        <v>191.964</v>
      </c>
    </row>
    <row r="10189" spans="1:3">
      <c r="A10189" s="571" t="s">
        <v>2068</v>
      </c>
      <c r="B10189" s="572">
        <v>10.571125</v>
      </c>
      <c r="C10189" s="572">
        <v>190.84800000000001</v>
      </c>
    </row>
    <row r="10190" spans="1:3">
      <c r="A10190" s="571" t="s">
        <v>2068</v>
      </c>
      <c r="B10190" s="572">
        <v>10.84783333</v>
      </c>
      <c r="C10190" s="572">
        <v>196.429</v>
      </c>
    </row>
    <row r="10191" spans="1:3">
      <c r="A10191" s="571" t="s">
        <v>2068</v>
      </c>
      <c r="B10191" s="572">
        <v>11.09695833</v>
      </c>
      <c r="C10191" s="572">
        <v>199.77699999999999</v>
      </c>
    </row>
    <row r="10192" spans="1:3">
      <c r="A10192" s="571" t="s">
        <v>2068</v>
      </c>
      <c r="B10192" s="572">
        <v>11.37391667</v>
      </c>
      <c r="C10192" s="572">
        <v>200.893</v>
      </c>
    </row>
    <row r="10193" spans="1:3">
      <c r="A10193" s="571" t="s">
        <v>2068</v>
      </c>
      <c r="B10193" s="572">
        <v>11.623208330000001</v>
      </c>
      <c r="C10193" s="572">
        <v>200.893</v>
      </c>
    </row>
    <row r="10194" spans="1:3">
      <c r="A10194" s="571" t="s">
        <v>2068</v>
      </c>
      <c r="B10194" s="572">
        <v>12.038375</v>
      </c>
      <c r="C10194" s="572">
        <v>207.589</v>
      </c>
    </row>
    <row r="10195" spans="1:3">
      <c r="A10195" s="571" t="s">
        <v>2068</v>
      </c>
      <c r="B10195" s="572">
        <v>12.287625</v>
      </c>
      <c r="C10195" s="572">
        <v>208.70500000000001</v>
      </c>
    </row>
    <row r="10196" spans="1:3">
      <c r="A10196" s="571" t="s">
        <v>2068</v>
      </c>
      <c r="B10196" s="572">
        <v>12.53708333</v>
      </c>
      <c r="C10196" s="572">
        <v>205.357</v>
      </c>
    </row>
    <row r="10197" spans="1:3">
      <c r="A10197" s="571" t="s">
        <v>2068</v>
      </c>
      <c r="B10197" s="572">
        <v>12.78608333</v>
      </c>
      <c r="C10197" s="572">
        <v>210.93799999999999</v>
      </c>
    </row>
    <row r="10198" spans="1:3">
      <c r="A10198" s="571" t="s">
        <v>2068</v>
      </c>
      <c r="B10198" s="572">
        <v>13.035083330000001</v>
      </c>
      <c r="C10198" s="572">
        <v>216.518</v>
      </c>
    </row>
    <row r="10199" spans="1:3">
      <c r="A10199" s="571" t="s">
        <v>2068</v>
      </c>
      <c r="B10199" s="572">
        <v>13.31216667</v>
      </c>
      <c r="C10199" s="572">
        <v>215.40199999999999</v>
      </c>
    </row>
    <row r="10200" spans="1:3">
      <c r="A10200" s="571" t="s">
        <v>2068</v>
      </c>
      <c r="B10200" s="572">
        <v>13.56154167</v>
      </c>
      <c r="C10200" s="572">
        <v>214.286</v>
      </c>
    </row>
    <row r="10201" spans="1:3">
      <c r="A10201" s="571" t="s">
        <v>2068</v>
      </c>
      <c r="B10201" s="572">
        <v>13.81058333</v>
      </c>
      <c r="C10201" s="572">
        <v>218.75</v>
      </c>
    </row>
    <row r="10202" spans="1:3">
      <c r="A10202" s="571" t="s">
        <v>2068</v>
      </c>
      <c r="B10202" s="572">
        <v>14.031874999999999</v>
      </c>
      <c r="C10202" s="572">
        <v>224.33</v>
      </c>
    </row>
    <row r="10203" spans="1:3">
      <c r="A10203" s="571" t="s">
        <v>2068</v>
      </c>
      <c r="B10203" s="572">
        <v>14.309041669999999</v>
      </c>
      <c r="C10203" s="572">
        <v>222.09800000000001</v>
      </c>
    </row>
    <row r="10204" spans="1:3">
      <c r="A10204" s="571" t="s">
        <v>2068</v>
      </c>
      <c r="B10204" s="572">
        <v>14.558375</v>
      </c>
      <c r="C10204" s="572">
        <v>220.982</v>
      </c>
    </row>
    <row r="10205" spans="1:3">
      <c r="A10205" s="571" t="s">
        <v>2068</v>
      </c>
      <c r="B10205" s="572">
        <v>14.83529167</v>
      </c>
      <c r="C10205" s="572">
        <v>223.214</v>
      </c>
    </row>
    <row r="10206" spans="1:3">
      <c r="A10206" s="571" t="s">
        <v>2068</v>
      </c>
      <c r="B10206" s="572">
        <v>15.08441667</v>
      </c>
      <c r="C10206" s="572">
        <v>226.56299999999999</v>
      </c>
    </row>
    <row r="10207" spans="1:3">
      <c r="A10207" s="571" t="s">
        <v>2068</v>
      </c>
      <c r="B10207" s="572">
        <v>15.361333330000001</v>
      </c>
      <c r="C10207" s="572">
        <v>227.679</v>
      </c>
    </row>
    <row r="10208" spans="1:3">
      <c r="A10208" s="571" t="s">
        <v>2068</v>
      </c>
      <c r="B10208" s="572">
        <v>15.610666670000001</v>
      </c>
      <c r="C10208" s="572">
        <v>227.679</v>
      </c>
    </row>
    <row r="10209" spans="1:3">
      <c r="A10209" s="571" t="s">
        <v>2068</v>
      </c>
      <c r="B10209" s="572">
        <v>15.88758333</v>
      </c>
      <c r="C10209" s="572">
        <v>228.79499999999999</v>
      </c>
    </row>
    <row r="10210" spans="1:3">
      <c r="A10210" s="571" t="s">
        <v>2068</v>
      </c>
      <c r="B10210" s="572">
        <v>16.026041670000001</v>
      </c>
      <c r="C10210" s="572">
        <v>229.911</v>
      </c>
    </row>
    <row r="10211" spans="1:3">
      <c r="A10211" s="571" t="s">
        <v>2068</v>
      </c>
      <c r="B10211" s="572">
        <v>16.303041669999999</v>
      </c>
      <c r="C10211" s="572">
        <v>229.911</v>
      </c>
    </row>
    <row r="10212" spans="1:3">
      <c r="A10212" s="571" t="s">
        <v>2068</v>
      </c>
      <c r="B10212" s="572">
        <v>16.58004167</v>
      </c>
      <c r="C10212" s="572">
        <v>229.911</v>
      </c>
    </row>
    <row r="10213" spans="1:3">
      <c r="A10213" s="571" t="s">
        <v>2068</v>
      </c>
      <c r="B10213" s="572">
        <v>16.829166669999999</v>
      </c>
      <c r="C10213" s="572">
        <v>233.25899999999999</v>
      </c>
    </row>
    <row r="10214" spans="1:3">
      <c r="A10214" s="571" t="s">
        <v>2068</v>
      </c>
      <c r="B10214" s="572">
        <v>17.050541670000001</v>
      </c>
      <c r="C10214" s="572">
        <v>237.72300000000001</v>
      </c>
    </row>
    <row r="10215" spans="1:3">
      <c r="A10215" s="571" t="s">
        <v>2068</v>
      </c>
      <c r="B10215" s="572">
        <v>17.327541669999999</v>
      </c>
      <c r="C10215" s="572">
        <v>237.72300000000001</v>
      </c>
    </row>
    <row r="10216" spans="1:3">
      <c r="A10216" s="571" t="s">
        <v>2068</v>
      </c>
      <c r="B10216" s="572">
        <v>17.577124999999999</v>
      </c>
      <c r="C10216" s="572">
        <v>233.25899999999999</v>
      </c>
    </row>
    <row r="10217" spans="1:3">
      <c r="A10217" s="571" t="s">
        <v>2068</v>
      </c>
      <c r="B10217" s="572">
        <v>17.826166669999999</v>
      </c>
      <c r="C10217" s="572">
        <v>237.72300000000001</v>
      </c>
    </row>
    <row r="10218" spans="1:3">
      <c r="A10218" s="571" t="s">
        <v>2068</v>
      </c>
      <c r="B10218" s="572">
        <v>18.019833330000001</v>
      </c>
      <c r="C10218" s="572">
        <v>242.18799999999999</v>
      </c>
    </row>
    <row r="10219" spans="1:3">
      <c r="A10219" s="571" t="s">
        <v>2068</v>
      </c>
      <c r="B10219" s="572">
        <v>18.296833329999998</v>
      </c>
      <c r="C10219" s="572">
        <v>242.18799999999999</v>
      </c>
    </row>
    <row r="10220" spans="1:3">
      <c r="A10220" s="571" t="s">
        <v>2068</v>
      </c>
      <c r="B10220" s="572">
        <v>18.518625</v>
      </c>
      <c r="C10220" s="572">
        <v>238.839</v>
      </c>
    </row>
    <row r="10221" spans="1:3">
      <c r="A10221" s="571" t="s">
        <v>2068</v>
      </c>
      <c r="B10221" s="572">
        <v>18.767875</v>
      </c>
      <c r="C10221" s="572">
        <v>239.95500000000001</v>
      </c>
    </row>
    <row r="10222" spans="1:3">
      <c r="A10222" s="571" t="s">
        <v>2068</v>
      </c>
      <c r="B10222" s="572">
        <v>18.989125000000001</v>
      </c>
      <c r="C10222" s="572">
        <v>246.65199999999999</v>
      </c>
    </row>
    <row r="10223" spans="1:3">
      <c r="A10223" s="571" t="s">
        <v>2068</v>
      </c>
      <c r="B10223" s="572">
        <v>19.238416669999999</v>
      </c>
      <c r="C10223" s="572">
        <v>246.65199999999999</v>
      </c>
    </row>
    <row r="10224" spans="1:3">
      <c r="A10224" s="571" t="s">
        <v>2068</v>
      </c>
      <c r="B10224" s="572">
        <v>19.515625</v>
      </c>
      <c r="C10224" s="572">
        <v>243.304</v>
      </c>
    </row>
    <row r="10225" spans="1:3">
      <c r="A10225" s="571" t="s">
        <v>2068</v>
      </c>
      <c r="B10225" s="572">
        <v>19.764833329999998</v>
      </c>
      <c r="C10225" s="572">
        <v>244.42</v>
      </c>
    </row>
    <row r="10226" spans="1:3">
      <c r="A10226" s="571" t="s">
        <v>2069</v>
      </c>
      <c r="B10226" s="572">
        <v>0</v>
      </c>
      <c r="C10226" s="572">
        <v>0</v>
      </c>
    </row>
    <row r="10227" spans="1:3">
      <c r="A10227" s="571" t="s">
        <v>2069</v>
      </c>
      <c r="B10227" s="572">
        <v>7.0070000000000077E-2</v>
      </c>
      <c r="C10227" s="572">
        <v>5.4545500000000002</v>
      </c>
    </row>
    <row r="10228" spans="1:3">
      <c r="A10228" s="571" t="s">
        <v>2069</v>
      </c>
      <c r="B10228" s="572">
        <v>0.16240999999999994</v>
      </c>
      <c r="C10228" s="572">
        <v>9.0909099999999992</v>
      </c>
    </row>
    <row r="10229" spans="1:3">
      <c r="A10229" s="571" t="s">
        <v>2069</v>
      </c>
      <c r="B10229" s="572">
        <v>0.23452999999999991</v>
      </c>
      <c r="C10229" s="572">
        <v>14.545500000000001</v>
      </c>
    </row>
    <row r="10230" spans="1:3">
      <c r="A10230" s="571" t="s">
        <v>2069</v>
      </c>
      <c r="B10230" s="572">
        <v>0.49005999999999994</v>
      </c>
      <c r="C10230" s="572">
        <v>23.636399999999998</v>
      </c>
    </row>
    <row r="10231" spans="1:3">
      <c r="A10231" s="571" t="s">
        <v>2069</v>
      </c>
      <c r="B10231" s="572">
        <v>0.61864000000000008</v>
      </c>
      <c r="C10231" s="572">
        <v>69.090900000000005</v>
      </c>
    </row>
    <row r="10232" spans="1:3">
      <c r="A10232" s="571" t="s">
        <v>2069</v>
      </c>
      <c r="B10232" s="572">
        <v>0.74513999999999991</v>
      </c>
      <c r="C10232" s="572">
        <v>116.364</v>
      </c>
    </row>
    <row r="10233" spans="1:3">
      <c r="A10233" s="571" t="s">
        <v>2069</v>
      </c>
      <c r="B10233" s="572">
        <v>0.89573999999999998</v>
      </c>
      <c r="C10233" s="572">
        <v>154.54499999999999</v>
      </c>
    </row>
    <row r="10234" spans="1:3">
      <c r="A10234" s="571" t="s">
        <v>2069</v>
      </c>
      <c r="B10234" s="572">
        <v>0.99826999999999999</v>
      </c>
      <c r="C10234" s="572">
        <v>183.636</v>
      </c>
    </row>
    <row r="10235" spans="1:3">
      <c r="A10235" s="571" t="s">
        <v>2069</v>
      </c>
      <c r="B10235" s="572">
        <v>1.13828</v>
      </c>
      <c r="C10235" s="572">
        <v>207.273</v>
      </c>
    </row>
    <row r="10236" spans="1:3">
      <c r="A10236" s="571" t="s">
        <v>2069</v>
      </c>
      <c r="B10236" s="572">
        <v>1.2881100000000001</v>
      </c>
      <c r="C10236" s="572">
        <v>216.364</v>
      </c>
    </row>
    <row r="10237" spans="1:3">
      <c r="A10237" s="571" t="s">
        <v>2069</v>
      </c>
      <c r="B10237" s="572">
        <v>1.4118599999999999</v>
      </c>
      <c r="C10237" s="572">
        <v>232.727</v>
      </c>
    </row>
    <row r="10238" spans="1:3">
      <c r="A10238" s="571" t="s">
        <v>2069</v>
      </c>
      <c r="B10238" s="572">
        <v>1.50434</v>
      </c>
      <c r="C10238" s="572">
        <v>241.81800000000001</v>
      </c>
    </row>
    <row r="10239" spans="1:3">
      <c r="A10239" s="571" t="s">
        <v>2069</v>
      </c>
      <c r="B10239" s="572">
        <v>1.7616999999999998</v>
      </c>
      <c r="C10239" s="572">
        <v>256.36399999999998</v>
      </c>
    </row>
    <row r="10240" spans="1:3">
      <c r="A10240" s="571" t="s">
        <v>2069</v>
      </c>
      <c r="B10240" s="572">
        <v>1.8035800000000002</v>
      </c>
      <c r="C10240" s="572">
        <v>260</v>
      </c>
    </row>
    <row r="10241" spans="1:3">
      <c r="A10241" s="571" t="s">
        <v>2069</v>
      </c>
      <c r="B10241" s="572">
        <v>1.91107</v>
      </c>
      <c r="C10241" s="572">
        <v>269.09100000000001</v>
      </c>
    </row>
    <row r="10242" spans="1:3">
      <c r="A10242" s="571" t="s">
        <v>2069</v>
      </c>
      <c r="B10242" s="572">
        <v>2.0226799999999998</v>
      </c>
      <c r="C10242" s="572">
        <v>274.54500000000002</v>
      </c>
    </row>
    <row r="10243" spans="1:3">
      <c r="A10243" s="571" t="s">
        <v>2069</v>
      </c>
      <c r="B10243" s="572">
        <v>2.11504</v>
      </c>
      <c r="C10243" s="572">
        <v>274.54500000000002</v>
      </c>
    </row>
    <row r="10244" spans="1:3">
      <c r="A10244" s="571" t="s">
        <v>2069</v>
      </c>
      <c r="B10244" s="572">
        <v>2.2835200000000002</v>
      </c>
      <c r="C10244" s="572">
        <v>278.18200000000002</v>
      </c>
    </row>
    <row r="10245" spans="1:3">
      <c r="A10245" s="571" t="s">
        <v>2069</v>
      </c>
      <c r="B10245" s="572">
        <v>2.4611100000000001</v>
      </c>
      <c r="C10245" s="572">
        <v>281.81799999999998</v>
      </c>
    </row>
    <row r="10246" spans="1:3">
      <c r="A10246" s="571" t="s">
        <v>2069</v>
      </c>
      <c r="B10246" s="572">
        <v>2.5668700000000002</v>
      </c>
      <c r="C10246" s="572">
        <v>281.81799999999998</v>
      </c>
    </row>
    <row r="10247" spans="1:3">
      <c r="A10247" s="571" t="s">
        <v>2069</v>
      </c>
      <c r="B10247" s="572">
        <v>2.70363</v>
      </c>
      <c r="C10247" s="572">
        <v>283.63600000000002</v>
      </c>
    </row>
    <row r="10248" spans="1:3">
      <c r="A10248" s="571" t="s">
        <v>2069</v>
      </c>
      <c r="B10248" s="572">
        <v>2.8456299999999999</v>
      </c>
      <c r="C10248" s="572">
        <v>285.45499999999998</v>
      </c>
    </row>
    <row r="10249" spans="1:3">
      <c r="A10249" s="571" t="s">
        <v>2069</v>
      </c>
      <c r="B10249" s="572">
        <v>3.0232299999999999</v>
      </c>
      <c r="C10249" s="572">
        <v>290.90899999999999</v>
      </c>
    </row>
    <row r="10250" spans="1:3">
      <c r="A10250" s="571" t="s">
        <v>2069</v>
      </c>
      <c r="B10250" s="572">
        <v>3.1461699999999997</v>
      </c>
      <c r="C10250" s="572">
        <v>298.18200000000002</v>
      </c>
    </row>
    <row r="10251" spans="1:3">
      <c r="A10251" s="571" t="s">
        <v>2069</v>
      </c>
      <c r="B10251" s="572">
        <v>3.2728599999999997</v>
      </c>
      <c r="C10251" s="572">
        <v>294.54500000000002</v>
      </c>
    </row>
    <row r="10252" spans="1:3">
      <c r="A10252" s="571" t="s">
        <v>2069</v>
      </c>
      <c r="B10252" s="572">
        <v>3.33765</v>
      </c>
      <c r="C10252" s="572">
        <v>289.09100000000001</v>
      </c>
    </row>
    <row r="10253" spans="1:3">
      <c r="A10253" s="571" t="s">
        <v>2069</v>
      </c>
      <c r="B10253" s="572">
        <v>3.5039600000000002</v>
      </c>
      <c r="C10253" s="572">
        <v>285.45499999999998</v>
      </c>
    </row>
    <row r="10254" spans="1:3">
      <c r="A10254" s="571" t="s">
        <v>2069</v>
      </c>
      <c r="B10254" s="572">
        <v>3.71197</v>
      </c>
      <c r="C10254" s="572">
        <v>290.90899999999999</v>
      </c>
    </row>
    <row r="10255" spans="1:3">
      <c r="A10255" s="571" t="s">
        <v>2069</v>
      </c>
      <c r="B10255" s="572">
        <v>3.8926299999999996</v>
      </c>
      <c r="C10255" s="572">
        <v>296.36399999999998</v>
      </c>
    </row>
    <row r="10256" spans="1:3">
      <c r="A10256" s="571" t="s">
        <v>2069</v>
      </c>
      <c r="B10256" s="572">
        <v>4.0802199999999997</v>
      </c>
      <c r="C10256" s="572">
        <v>290.90899999999999</v>
      </c>
    </row>
    <row r="10257" spans="1:3">
      <c r="A10257" s="571" t="s">
        <v>2069</v>
      </c>
      <c r="B10257" s="572">
        <v>4.3148400000000002</v>
      </c>
      <c r="C10257" s="572">
        <v>285.45499999999998</v>
      </c>
    </row>
    <row r="10258" spans="1:3">
      <c r="A10258" s="571" t="s">
        <v>2069</v>
      </c>
      <c r="B10258" s="572">
        <v>4.5602999999999998</v>
      </c>
      <c r="C10258" s="572">
        <v>289.09100000000001</v>
      </c>
    </row>
    <row r="10259" spans="1:3">
      <c r="A10259" s="571" t="s">
        <v>2069</v>
      </c>
      <c r="B10259" s="572">
        <v>4.7734800000000002</v>
      </c>
      <c r="C10259" s="572">
        <v>283.63600000000002</v>
      </c>
    </row>
    <row r="10260" spans="1:3">
      <c r="A10260" s="571" t="s">
        <v>2069</v>
      </c>
      <c r="B10260" s="572">
        <v>4.9948399999999999</v>
      </c>
      <c r="C10260" s="572">
        <v>280</v>
      </c>
    </row>
    <row r="10261" spans="1:3">
      <c r="A10261" s="571" t="s">
        <v>2069</v>
      </c>
      <c r="B10261" s="572">
        <v>5.0857400000000004</v>
      </c>
      <c r="C10261" s="572">
        <v>278.18200000000002</v>
      </c>
    </row>
    <row r="10262" spans="1:3">
      <c r="A10262" s="571" t="s">
        <v>2069</v>
      </c>
      <c r="B10262" s="572">
        <v>5.3668100000000001</v>
      </c>
      <c r="C10262" s="572">
        <v>278.18200000000002</v>
      </c>
    </row>
    <row r="10263" spans="1:3">
      <c r="A10263" s="571" t="s">
        <v>2069</v>
      </c>
      <c r="B10263" s="572">
        <v>5.6109099999999996</v>
      </c>
      <c r="C10263" s="572">
        <v>274.54500000000002</v>
      </c>
    </row>
    <row r="10264" spans="1:3">
      <c r="A10264" s="571" t="s">
        <v>2069</v>
      </c>
      <c r="B10264" s="572">
        <v>5.9684699999999999</v>
      </c>
      <c r="C10264" s="572">
        <v>278.18200000000002</v>
      </c>
    </row>
    <row r="10265" spans="1:3">
      <c r="A10265" s="571" t="s">
        <v>2069</v>
      </c>
      <c r="B10265" s="572">
        <v>6.1814</v>
      </c>
      <c r="C10265" s="572">
        <v>276.36399999999998</v>
      </c>
    </row>
    <row r="10266" spans="1:3">
      <c r="A10266" s="571" t="s">
        <v>2069</v>
      </c>
      <c r="B10266" s="572">
        <v>6.4008399999999996</v>
      </c>
      <c r="C10266" s="572">
        <v>272.72699999999998</v>
      </c>
    </row>
    <row r="10267" spans="1:3">
      <c r="A10267" s="571" t="s">
        <v>2069</v>
      </c>
      <c r="B10267" s="572">
        <v>6.68459</v>
      </c>
      <c r="C10267" s="572">
        <v>272.72699999999998</v>
      </c>
    </row>
    <row r="10268" spans="1:3">
      <c r="A10268" s="571" t="s">
        <v>2069</v>
      </c>
      <c r="B10268" s="572">
        <v>7.0394900000000007</v>
      </c>
      <c r="C10268" s="572">
        <v>269.09100000000001</v>
      </c>
    </row>
    <row r="10269" spans="1:3">
      <c r="A10269" s="571" t="s">
        <v>2069</v>
      </c>
      <c r="B10269" s="572">
        <v>7.2230500000000006</v>
      </c>
      <c r="C10269" s="572">
        <v>276.36399999999998</v>
      </c>
    </row>
    <row r="10270" spans="1:3">
      <c r="A10270" s="571" t="s">
        <v>2069</v>
      </c>
      <c r="B10270" s="572">
        <v>7.6677900000000001</v>
      </c>
      <c r="C10270" s="572">
        <v>276.36399999999998</v>
      </c>
    </row>
    <row r="10271" spans="1:3">
      <c r="A10271" s="571" t="s">
        <v>2069</v>
      </c>
      <c r="B10271" s="572">
        <v>8.2056000000000004</v>
      </c>
      <c r="C10271" s="572">
        <v>276.36399999999998</v>
      </c>
    </row>
    <row r="10272" spans="1:3">
      <c r="A10272" s="571" t="s">
        <v>2069</v>
      </c>
      <c r="B10272" s="572">
        <v>8.9250299999999996</v>
      </c>
      <c r="C10272" s="572">
        <v>276.36399999999998</v>
      </c>
    </row>
    <row r="10273" spans="1:3">
      <c r="A10273" s="571" t="s">
        <v>2069</v>
      </c>
      <c r="B10273" s="572">
        <v>9.3056000000000001</v>
      </c>
      <c r="C10273" s="572">
        <v>276.36399999999998</v>
      </c>
    </row>
    <row r="10274" spans="1:3">
      <c r="A10274" s="571" t="s">
        <v>2069</v>
      </c>
      <c r="B10274" s="572">
        <v>10.027699999999999</v>
      </c>
      <c r="C10274" s="572">
        <v>278.18200000000002</v>
      </c>
    </row>
    <row r="10275" spans="1:3">
      <c r="A10275" s="571" t="s">
        <v>2069</v>
      </c>
      <c r="B10275" s="572">
        <v>10.537000000000001</v>
      </c>
      <c r="C10275" s="572">
        <v>281.81799999999998</v>
      </c>
    </row>
    <row r="10276" spans="1:3">
      <c r="A10276" s="571" t="s">
        <v>2069</v>
      </c>
      <c r="B10276" s="572">
        <v>11.252800000000001</v>
      </c>
      <c r="C10276" s="572">
        <v>281.81799999999998</v>
      </c>
    </row>
    <row r="10277" spans="1:3">
      <c r="A10277" s="571" t="s">
        <v>2069</v>
      </c>
      <c r="B10277" s="572">
        <v>11.8187</v>
      </c>
      <c r="C10277" s="572">
        <v>278.18200000000002</v>
      </c>
    </row>
    <row r="10278" spans="1:3">
      <c r="A10278" s="571" t="s">
        <v>2069</v>
      </c>
      <c r="B10278" s="572">
        <v>12.2104</v>
      </c>
      <c r="C10278" s="572">
        <v>272.72699999999998</v>
      </c>
    </row>
    <row r="10279" spans="1:3">
      <c r="A10279" s="571" t="s">
        <v>2069</v>
      </c>
      <c r="B10279" s="572">
        <v>12.924899999999999</v>
      </c>
      <c r="C10279" s="572">
        <v>278.18200000000002</v>
      </c>
    </row>
    <row r="10280" spans="1:3">
      <c r="A10280" s="571" t="s">
        <v>2069</v>
      </c>
      <c r="B10280" s="572">
        <v>13.900600000000001</v>
      </c>
      <c r="C10280" s="572">
        <v>280</v>
      </c>
    </row>
    <row r="10281" spans="1:3">
      <c r="A10281" s="571" t="s">
        <v>2069</v>
      </c>
      <c r="B10281" s="572">
        <v>14.588699999999999</v>
      </c>
      <c r="C10281" s="572">
        <v>280</v>
      </c>
    </row>
    <row r="10282" spans="1:3">
      <c r="A10282" s="571" t="s">
        <v>2069</v>
      </c>
      <c r="B10282" s="572">
        <v>15.065100000000001</v>
      </c>
      <c r="C10282" s="572">
        <v>283.63600000000002</v>
      </c>
    </row>
    <row r="10283" spans="1:3">
      <c r="A10283" s="571" t="s">
        <v>2069</v>
      </c>
      <c r="B10283" s="572">
        <v>15.556000000000001</v>
      </c>
      <c r="C10283" s="572">
        <v>280</v>
      </c>
    </row>
    <row r="10284" spans="1:3">
      <c r="A10284" s="571" t="s">
        <v>2069</v>
      </c>
      <c r="B10284" s="572">
        <v>16.716000000000001</v>
      </c>
      <c r="C10284" s="572">
        <v>285.45499999999998</v>
      </c>
    </row>
    <row r="10285" spans="1:3">
      <c r="A10285" s="571" t="s">
        <v>2069</v>
      </c>
      <c r="B10285" s="572">
        <v>17.534199999999998</v>
      </c>
      <c r="C10285" s="572">
        <v>289.09100000000001</v>
      </c>
    </row>
    <row r="10286" spans="1:3">
      <c r="A10286" s="571" t="s">
        <v>2069</v>
      </c>
      <c r="B10286" s="572">
        <v>18.244800000000001</v>
      </c>
      <c r="C10286" s="572">
        <v>290.90899999999999</v>
      </c>
    </row>
    <row r="10287" spans="1:3">
      <c r="A10287" s="571" t="s">
        <v>2069</v>
      </c>
      <c r="B10287" s="572">
        <v>19.285699999999999</v>
      </c>
      <c r="C10287" s="572">
        <v>292.72699999999998</v>
      </c>
    </row>
    <row r="10288" spans="1:3">
      <c r="A10288" s="571" t="s">
        <v>2069</v>
      </c>
      <c r="B10288" s="572">
        <v>20.5443</v>
      </c>
      <c r="C10288" s="572">
        <v>289.09100000000001</v>
      </c>
    </row>
    <row r="10289" spans="1:3">
      <c r="A10289" s="571" t="s">
        <v>2069</v>
      </c>
      <c r="B10289" s="572">
        <v>21.709599999999998</v>
      </c>
      <c r="C10289" s="572">
        <v>290.90899999999999</v>
      </c>
    </row>
    <row r="10290" spans="1:3">
      <c r="A10290" s="571" t="s">
        <v>2069</v>
      </c>
      <c r="B10290" s="572">
        <v>23.300799999999999</v>
      </c>
      <c r="C10290" s="572">
        <v>294.54500000000002</v>
      </c>
    </row>
    <row r="10291" spans="1:3">
      <c r="A10291" s="571" t="s">
        <v>2069</v>
      </c>
      <c r="B10291" s="572">
        <v>25.003599999999999</v>
      </c>
      <c r="C10291" s="572">
        <v>296.36399999999998</v>
      </c>
    </row>
    <row r="10292" spans="1:3">
      <c r="A10292" s="571" t="s">
        <v>2069</v>
      </c>
      <c r="B10292" s="572">
        <v>26.41</v>
      </c>
      <c r="C10292" s="572">
        <v>296.36399999999998</v>
      </c>
    </row>
    <row r="10293" spans="1:3">
      <c r="A10293" s="48" t="s">
        <v>2070</v>
      </c>
      <c r="B10293" s="549">
        <v>-2.2394000000000025E-2</v>
      </c>
      <c r="C10293" s="549">
        <v>36.199100000000001</v>
      </c>
    </row>
    <row r="10294" spans="1:3">
      <c r="A10294" s="571" t="s">
        <v>2070</v>
      </c>
      <c r="B10294" s="572">
        <v>0.12839</v>
      </c>
      <c r="C10294" s="572">
        <v>0</v>
      </c>
    </row>
    <row r="10295" spans="1:3">
      <c r="A10295" s="571" t="s">
        <v>2070</v>
      </c>
      <c r="B10295" s="572">
        <v>0.3627800000000001</v>
      </c>
      <c r="C10295" s="572">
        <v>32.5792</v>
      </c>
    </row>
    <row r="10296" spans="1:3">
      <c r="A10296" s="571" t="s">
        <v>2070</v>
      </c>
      <c r="B10296" s="572">
        <v>0.60899999999999999</v>
      </c>
      <c r="C10296" s="572">
        <v>43.438899999999997</v>
      </c>
    </row>
    <row r="10297" spans="1:3">
      <c r="A10297" s="571" t="s">
        <v>2070</v>
      </c>
      <c r="B10297" s="572">
        <v>0.89972000000000008</v>
      </c>
      <c r="C10297" s="572">
        <v>139.36699999999999</v>
      </c>
    </row>
    <row r="10298" spans="1:3">
      <c r="A10298" s="571" t="s">
        <v>2070</v>
      </c>
      <c r="B10298" s="572">
        <v>1.1436199999999999</v>
      </c>
      <c r="C10298" s="572">
        <v>199.095</v>
      </c>
    </row>
    <row r="10299" spans="1:3">
      <c r="A10299" s="571" t="s">
        <v>2070</v>
      </c>
      <c r="B10299" s="572">
        <v>1.3646699999999998</v>
      </c>
      <c r="C10299" s="572">
        <v>231.67400000000001</v>
      </c>
    </row>
    <row r="10300" spans="1:3">
      <c r="A10300" s="571" t="s">
        <v>2070</v>
      </c>
      <c r="B10300" s="572">
        <v>1.6282800000000002</v>
      </c>
      <c r="C10300" s="572">
        <v>255.20400000000001</v>
      </c>
    </row>
    <row r="10301" spans="1:3">
      <c r="A10301" s="571" t="s">
        <v>2070</v>
      </c>
      <c r="B10301" s="572">
        <v>1.87751</v>
      </c>
      <c r="C10301" s="572">
        <v>271.49299999999999</v>
      </c>
    </row>
    <row r="10302" spans="1:3">
      <c r="A10302" s="571" t="s">
        <v>2070</v>
      </c>
      <c r="B10302" s="572">
        <v>2.1266699999999998</v>
      </c>
      <c r="C10302" s="572">
        <v>285.97300000000001</v>
      </c>
    </row>
    <row r="10303" spans="1:3">
      <c r="A10303" s="571" t="s">
        <v>2070</v>
      </c>
      <c r="B10303" s="572">
        <v>2.2963499999999999</v>
      </c>
      <c r="C10303" s="572">
        <v>293.21300000000002</v>
      </c>
    </row>
    <row r="10304" spans="1:3">
      <c r="A10304" s="571" t="s">
        <v>2070</v>
      </c>
      <c r="B10304" s="572">
        <v>2.44909</v>
      </c>
      <c r="C10304" s="572">
        <v>296.83300000000003</v>
      </c>
    </row>
    <row r="10305" spans="1:3">
      <c r="A10305" s="571" t="s">
        <v>2070</v>
      </c>
      <c r="B10305" s="572">
        <v>2.6362700000000001</v>
      </c>
      <c r="C10305" s="572">
        <v>302.262</v>
      </c>
    </row>
    <row r="10306" spans="1:3">
      <c r="A10306" s="571" t="s">
        <v>2070</v>
      </c>
      <c r="B10306" s="572">
        <v>3.0722699999999996</v>
      </c>
      <c r="C10306" s="572">
        <v>314.93200000000002</v>
      </c>
    </row>
    <row r="10307" spans="1:3">
      <c r="A10307" s="571" t="s">
        <v>2070</v>
      </c>
      <c r="B10307" s="572">
        <v>3.4248799999999999</v>
      </c>
      <c r="C10307" s="572">
        <v>322.17200000000003</v>
      </c>
    </row>
    <row r="10308" spans="1:3">
      <c r="A10308" s="571" t="s">
        <v>2070</v>
      </c>
      <c r="B10308" s="572">
        <v>3.8080299999999996</v>
      </c>
      <c r="C10308" s="572">
        <v>322.17200000000003</v>
      </c>
    </row>
    <row r="10309" spans="1:3">
      <c r="A10309" s="571" t="s">
        <v>2070</v>
      </c>
      <c r="B10309" s="572">
        <v>4.18506</v>
      </c>
      <c r="C10309" s="572">
        <v>322.17200000000003</v>
      </c>
    </row>
    <row r="10310" spans="1:3">
      <c r="A10310" s="571" t="s">
        <v>2070</v>
      </c>
      <c r="B10310" s="572">
        <v>4.6767300000000001</v>
      </c>
      <c r="C10310" s="572">
        <v>323.98200000000003</v>
      </c>
    </row>
    <row r="10311" spans="1:3">
      <c r="A10311" s="571" t="s">
        <v>2070</v>
      </c>
      <c r="B10311" s="572">
        <v>5.0301499999999999</v>
      </c>
      <c r="C10311" s="572">
        <v>327.60199999999998</v>
      </c>
    </row>
    <row r="10312" spans="1:3">
      <c r="A10312" s="571" t="s">
        <v>2070</v>
      </c>
      <c r="B10312" s="572">
        <v>5.3095699999999999</v>
      </c>
      <c r="C10312" s="572">
        <v>333.03199999999998</v>
      </c>
    </row>
    <row r="10313" spans="1:3">
      <c r="A10313" s="571" t="s">
        <v>2070</v>
      </c>
      <c r="B10313" s="572">
        <v>5.7023900000000003</v>
      </c>
      <c r="C10313" s="572">
        <v>334.84199999999998</v>
      </c>
    </row>
    <row r="10314" spans="1:3">
      <c r="A10314" s="571" t="s">
        <v>2070</v>
      </c>
      <c r="B10314" s="572">
        <v>5.9602199999999996</v>
      </c>
      <c r="C10314" s="572">
        <v>338.46199999999999</v>
      </c>
    </row>
    <row r="10315" spans="1:3">
      <c r="A10315" s="571" t="s">
        <v>2070</v>
      </c>
      <c r="B10315" s="572">
        <v>6.3379300000000001</v>
      </c>
      <c r="C10315" s="572">
        <v>338.46199999999999</v>
      </c>
    </row>
    <row r="10316" spans="1:3">
      <c r="A10316" s="571" t="s">
        <v>2070</v>
      </c>
      <c r="B10316" s="572">
        <v>6.7361399999999998</v>
      </c>
      <c r="C10316" s="572">
        <v>338.46199999999999</v>
      </c>
    </row>
    <row r="10317" spans="1:3">
      <c r="A10317" s="571" t="s">
        <v>2070</v>
      </c>
      <c r="B10317" s="572">
        <v>7.0946200000000008</v>
      </c>
      <c r="C10317" s="572">
        <v>342.08100000000002</v>
      </c>
    </row>
    <row r="10318" spans="1:3">
      <c r="A10318" s="571" t="s">
        <v>2070</v>
      </c>
      <c r="B10318" s="572">
        <v>7.6637299999999993</v>
      </c>
      <c r="C10318" s="572">
        <v>343.89100000000002</v>
      </c>
    </row>
    <row r="10319" spans="1:3">
      <c r="A10319" s="571" t="s">
        <v>2070</v>
      </c>
      <c r="B10319" s="572">
        <v>7.86219</v>
      </c>
      <c r="C10319" s="572">
        <v>343.89100000000002</v>
      </c>
    </row>
    <row r="10320" spans="1:3">
      <c r="A10320" s="571" t="s">
        <v>2070</v>
      </c>
      <c r="B10320" s="572">
        <v>8.3431200000000008</v>
      </c>
      <c r="C10320" s="572">
        <v>347.51100000000002</v>
      </c>
    </row>
    <row r="10321" spans="1:3">
      <c r="A10321" s="571" t="s">
        <v>2070</v>
      </c>
      <c r="B10321" s="572">
        <v>8.7025400000000008</v>
      </c>
      <c r="C10321" s="572">
        <v>349.32100000000003</v>
      </c>
    </row>
    <row r="10322" spans="1:3">
      <c r="A10322" s="571" t="s">
        <v>2070</v>
      </c>
      <c r="B10322" s="572">
        <v>8.8501399999999997</v>
      </c>
      <c r="C10322" s="572">
        <v>349.32100000000003</v>
      </c>
    </row>
    <row r="10323" spans="1:3">
      <c r="A10323" s="571" t="s">
        <v>2070</v>
      </c>
      <c r="B10323" s="572">
        <v>9.4634</v>
      </c>
      <c r="C10323" s="572">
        <v>345.70100000000002</v>
      </c>
    </row>
    <row r="10324" spans="1:3">
      <c r="A10324" s="571" t="s">
        <v>2070</v>
      </c>
      <c r="B10324" s="572">
        <v>9.8658999999999999</v>
      </c>
      <c r="C10324" s="572">
        <v>345.70100000000002</v>
      </c>
    </row>
    <row r="10325" spans="1:3">
      <c r="A10325" s="571" t="s">
        <v>2070</v>
      </c>
      <c r="B10325" s="572">
        <v>10.369400000000001</v>
      </c>
      <c r="C10325" s="572">
        <v>347.51100000000002</v>
      </c>
    </row>
    <row r="10326" spans="1:3">
      <c r="A10326" s="571" t="s">
        <v>2070</v>
      </c>
      <c r="B10326" s="572">
        <v>10.806800000000001</v>
      </c>
      <c r="C10326" s="572">
        <v>351.13099999999997</v>
      </c>
    </row>
    <row r="10327" spans="1:3">
      <c r="A10327" s="571" t="s">
        <v>2070</v>
      </c>
      <c r="B10327" s="572">
        <v>11.168699999999999</v>
      </c>
      <c r="C10327" s="572">
        <v>358.37099999999998</v>
      </c>
    </row>
    <row r="10328" spans="1:3">
      <c r="A10328" s="571" t="s">
        <v>2070</v>
      </c>
      <c r="B10328" s="572">
        <v>11.8291</v>
      </c>
      <c r="C10328" s="572">
        <v>356.56099999999998</v>
      </c>
    </row>
    <row r="10329" spans="1:3">
      <c r="A10329" s="571" t="s">
        <v>2070</v>
      </c>
      <c r="B10329" s="572">
        <v>12.627800000000001</v>
      </c>
      <c r="C10329" s="572">
        <v>354.75099999999998</v>
      </c>
    </row>
    <row r="10330" spans="1:3">
      <c r="A10330" s="571" t="s">
        <v>2070</v>
      </c>
      <c r="B10330" s="572">
        <v>13.2593</v>
      </c>
      <c r="C10330" s="572">
        <v>358.37099999999998</v>
      </c>
    </row>
    <row r="10331" spans="1:3">
      <c r="A10331" s="571" t="s">
        <v>2070</v>
      </c>
      <c r="B10331" s="572">
        <v>14.147</v>
      </c>
      <c r="C10331" s="572">
        <v>356.56099999999998</v>
      </c>
    </row>
    <row r="10332" spans="1:3">
      <c r="A10332" s="571" t="s">
        <v>2070</v>
      </c>
      <c r="B10332" s="572">
        <v>15.09</v>
      </c>
      <c r="C10332" s="572">
        <v>352.94099999999997</v>
      </c>
    </row>
    <row r="10333" spans="1:3">
      <c r="A10333" s="571" t="s">
        <v>2070</v>
      </c>
      <c r="B10333" s="572">
        <v>15.835599999999999</v>
      </c>
      <c r="C10333" s="572">
        <v>360.18099999999998</v>
      </c>
    </row>
    <row r="10334" spans="1:3">
      <c r="A10334" s="571" t="s">
        <v>2070</v>
      </c>
      <c r="B10334" s="572">
        <v>16.221299999999999</v>
      </c>
      <c r="C10334" s="572">
        <v>354.75099999999998</v>
      </c>
    </row>
    <row r="10335" spans="1:3">
      <c r="A10335" s="571" t="s">
        <v>2070</v>
      </c>
      <c r="B10335" s="572">
        <v>17.5717</v>
      </c>
      <c r="C10335" s="572">
        <v>358.37099999999998</v>
      </c>
    </row>
    <row r="10336" spans="1:3">
      <c r="A10336" s="571" t="s">
        <v>2070</v>
      </c>
      <c r="B10336" s="572">
        <v>18.579599999999999</v>
      </c>
      <c r="C10336" s="572">
        <v>361.99099999999999</v>
      </c>
    </row>
    <row r="10337" spans="1:3">
      <c r="A10337" s="571" t="s">
        <v>2070</v>
      </c>
      <c r="B10337" s="572">
        <v>19.486899999999999</v>
      </c>
      <c r="C10337" s="572">
        <v>360.18099999999998</v>
      </c>
    </row>
    <row r="10338" spans="1:3">
      <c r="A10338" s="571" t="s">
        <v>2070</v>
      </c>
      <c r="B10338" s="572">
        <v>21.093399999999999</v>
      </c>
      <c r="C10338" s="572">
        <v>361.99099999999999</v>
      </c>
    </row>
    <row r="10339" spans="1:3">
      <c r="A10339" s="571" t="s">
        <v>2070</v>
      </c>
      <c r="B10339" s="572">
        <v>21.429500000000001</v>
      </c>
      <c r="C10339" s="572">
        <v>367.42099999999999</v>
      </c>
    </row>
    <row r="10340" spans="1:3">
      <c r="A10340" s="571" t="s">
        <v>2070</v>
      </c>
      <c r="B10340" s="572">
        <v>22.825900000000001</v>
      </c>
      <c r="C10340" s="572">
        <v>363.80099999999999</v>
      </c>
    </row>
    <row r="10341" spans="1:3">
      <c r="A10341" s="571" t="s">
        <v>2070</v>
      </c>
      <c r="B10341" s="572">
        <v>24.501000000000001</v>
      </c>
      <c r="C10341" s="572">
        <v>371.041</v>
      </c>
    </row>
    <row r="10342" spans="1:3">
      <c r="A10342" s="571" t="s">
        <v>2070</v>
      </c>
      <c r="B10342" s="572">
        <v>26.500699999999998</v>
      </c>
      <c r="C10342" s="572">
        <v>369.23099999999999</v>
      </c>
    </row>
    <row r="10343" spans="1:3">
      <c r="A10343" s="48" t="s">
        <v>2071</v>
      </c>
      <c r="B10343" s="549">
        <v>-7.5209999999999999E-3</v>
      </c>
      <c r="C10343" s="549">
        <v>1.8241400000000001</v>
      </c>
    </row>
    <row r="10344" spans="1:3">
      <c r="A10344" s="571" t="s">
        <v>2071</v>
      </c>
      <c r="B10344" s="572">
        <v>6.2259999999999982E-2</v>
      </c>
      <c r="C10344" s="572">
        <v>5.40686</v>
      </c>
    </row>
    <row r="10345" spans="1:3">
      <c r="A10345" s="571" t="s">
        <v>2071</v>
      </c>
      <c r="B10345" s="572">
        <v>0.1896199999999999</v>
      </c>
      <c r="C10345" s="572">
        <v>50.771999999999998</v>
      </c>
    </row>
    <row r="10346" spans="1:3">
      <c r="A10346" s="571" t="s">
        <v>2071</v>
      </c>
      <c r="B10346" s="572">
        <v>0.34236</v>
      </c>
      <c r="C10346" s="572">
        <v>136.131</v>
      </c>
    </row>
    <row r="10347" spans="1:3">
      <c r="A10347" s="571" t="s">
        <v>2071</v>
      </c>
      <c r="B10347" s="572">
        <v>0.53774999999999995</v>
      </c>
      <c r="C10347" s="572">
        <v>112.387</v>
      </c>
    </row>
    <row r="10348" spans="1:3">
      <c r="A10348" s="571" t="s">
        <v>2071</v>
      </c>
      <c r="B10348" s="572">
        <v>0.76157999999999992</v>
      </c>
      <c r="C10348" s="572">
        <v>65.007499999999993</v>
      </c>
    </row>
    <row r="10349" spans="1:3">
      <c r="A10349" s="571" t="s">
        <v>2071</v>
      </c>
      <c r="B10349" s="572">
        <v>1.0028100000000002</v>
      </c>
      <c r="C10349" s="572">
        <v>15.815200000000001</v>
      </c>
    </row>
    <row r="10350" spans="1:3">
      <c r="A10350" s="571" t="s">
        <v>2071</v>
      </c>
      <c r="B10350" s="572">
        <v>1.2260800000000001</v>
      </c>
      <c r="C10350" s="572">
        <v>11.541</v>
      </c>
    </row>
    <row r="10351" spans="1:3">
      <c r="A10351" s="571" t="s">
        <v>2071</v>
      </c>
      <c r="B10351" s="572">
        <v>1.3117200000000002</v>
      </c>
      <c r="C10351" s="572">
        <v>13.388999999999999</v>
      </c>
    </row>
    <row r="10352" spans="1:3">
      <c r="A10352" s="571" t="s">
        <v>2071</v>
      </c>
      <c r="B10352" s="572">
        <v>1.38259</v>
      </c>
      <c r="C10352" s="572">
        <v>20.685500000000001</v>
      </c>
    </row>
    <row r="10353" spans="1:3">
      <c r="A10353" s="571" t="s">
        <v>2071</v>
      </c>
      <c r="B10353" s="572">
        <v>1.5501</v>
      </c>
      <c r="C10353" s="572">
        <v>29.830100000000002</v>
      </c>
    </row>
    <row r="10354" spans="1:3">
      <c r="A10354" s="571" t="s">
        <v>2071</v>
      </c>
      <c r="B10354" s="572">
        <v>1.70886</v>
      </c>
      <c r="C10354" s="572">
        <v>35.332299999999996</v>
      </c>
    </row>
    <row r="10355" spans="1:3">
      <c r="A10355" s="571" t="s">
        <v>2071</v>
      </c>
      <c r="B10355" s="572">
        <v>1.8558699999999999</v>
      </c>
      <c r="C10355" s="572">
        <v>37.192300000000003</v>
      </c>
    </row>
    <row r="10356" spans="1:3">
      <c r="A10356" s="571" t="s">
        <v>2071</v>
      </c>
      <c r="B10356" s="572">
        <v>2.0566499999999999</v>
      </c>
      <c r="C10356" s="572">
        <v>39.064100000000003</v>
      </c>
    </row>
    <row r="10357" spans="1:3">
      <c r="A10357" s="571" t="s">
        <v>2071</v>
      </c>
      <c r="B10357" s="572">
        <v>2.1742400000000002</v>
      </c>
      <c r="C10357" s="572">
        <v>42.7303</v>
      </c>
    </row>
    <row r="10358" spans="1:3">
      <c r="A10358" s="571" t="s">
        <v>2071</v>
      </c>
      <c r="B10358" s="572">
        <v>2.2963499999999999</v>
      </c>
      <c r="C10358" s="572">
        <v>40.941899999999997</v>
      </c>
    </row>
    <row r="10359" spans="1:3">
      <c r="A10359" s="571" t="s">
        <v>2071</v>
      </c>
      <c r="B10359" s="572">
        <v>2.3974099999999998</v>
      </c>
      <c r="C10359" s="572">
        <v>44.6021</v>
      </c>
    </row>
    <row r="10360" spans="1:3">
      <c r="A10360" s="571" t="s">
        <v>2071</v>
      </c>
      <c r="B10360" s="572">
        <v>2.5015700000000001</v>
      </c>
      <c r="C10360" s="572">
        <v>46.444099999999999</v>
      </c>
    </row>
    <row r="10361" spans="1:3">
      <c r="A10361" s="571" t="s">
        <v>2071</v>
      </c>
      <c r="B10361" s="572">
        <v>2.6089199999999999</v>
      </c>
      <c r="C10361" s="572">
        <v>42.831600000000002</v>
      </c>
    </row>
    <row r="10362" spans="1:3">
      <c r="A10362" s="571" t="s">
        <v>2071</v>
      </c>
      <c r="B10362" s="572">
        <v>2.7761499999999999</v>
      </c>
      <c r="C10362" s="572">
        <v>46.503700000000002</v>
      </c>
    </row>
    <row r="10363" spans="1:3">
      <c r="A10363" s="571" t="s">
        <v>2071</v>
      </c>
      <c r="B10363" s="572">
        <v>2.9214099999999998</v>
      </c>
      <c r="C10363" s="572">
        <v>48.351700000000001</v>
      </c>
    </row>
    <row r="10364" spans="1:3">
      <c r="A10364" s="571" t="s">
        <v>2071</v>
      </c>
      <c r="B10364" s="572">
        <v>3.0722699999999996</v>
      </c>
      <c r="C10364" s="572">
        <v>48.381500000000003</v>
      </c>
    </row>
    <row r="10365" spans="1:3">
      <c r="A10365" s="571" t="s">
        <v>2071</v>
      </c>
      <c r="B10365" s="572">
        <v>3.1655499999999996</v>
      </c>
      <c r="C10365" s="572">
        <v>46.581200000000003</v>
      </c>
    </row>
    <row r="10366" spans="1:3">
      <c r="A10366" s="571" t="s">
        <v>2071</v>
      </c>
      <c r="B10366" s="572">
        <v>3.3257899999999996</v>
      </c>
      <c r="C10366" s="572">
        <v>46.610999999999997</v>
      </c>
    </row>
    <row r="10367" spans="1:3">
      <c r="A10367" s="571" t="s">
        <v>2071</v>
      </c>
      <c r="B10367" s="572">
        <v>3.4248799999999999</v>
      </c>
      <c r="C10367" s="572">
        <v>46.628900000000002</v>
      </c>
    </row>
    <row r="10368" spans="1:3">
      <c r="A10368" s="571" t="s">
        <v>2071</v>
      </c>
      <c r="B10368" s="572">
        <v>3.5262399999999996</v>
      </c>
      <c r="C10368" s="572">
        <v>44.828600000000002</v>
      </c>
    </row>
    <row r="10369" spans="1:3">
      <c r="A10369" s="571" t="s">
        <v>2071</v>
      </c>
      <c r="B10369" s="572">
        <v>3.6299200000000003</v>
      </c>
      <c r="C10369" s="572">
        <v>52.119199999999999</v>
      </c>
    </row>
    <row r="10370" spans="1:3">
      <c r="A10370" s="571" t="s">
        <v>2071</v>
      </c>
      <c r="B10370" s="572">
        <v>3.7003599999999999</v>
      </c>
      <c r="C10370" s="572">
        <v>48.494799999999998</v>
      </c>
    </row>
    <row r="10371" spans="1:3">
      <c r="A10371" s="571" t="s">
        <v>2071</v>
      </c>
      <c r="B10371" s="572">
        <v>3.8811799999999996</v>
      </c>
      <c r="C10371" s="572">
        <v>44.888199999999998</v>
      </c>
    </row>
    <row r="10372" spans="1:3">
      <c r="A10372" s="571" t="s">
        <v>2071</v>
      </c>
      <c r="B10372" s="572">
        <v>4.1073599999999999</v>
      </c>
      <c r="C10372" s="572">
        <v>43.105800000000002</v>
      </c>
    </row>
    <row r="10373" spans="1:3">
      <c r="A10373" s="571" t="s">
        <v>2071</v>
      </c>
      <c r="B10373" s="572">
        <v>4.3038400000000001</v>
      </c>
      <c r="C10373" s="572">
        <v>43.135599999999997</v>
      </c>
    </row>
    <row r="10374" spans="1:3">
      <c r="A10374" s="571" t="s">
        <v>2071</v>
      </c>
      <c r="B10374" s="572">
        <v>4.5916600000000001</v>
      </c>
      <c r="C10374" s="572">
        <v>46.813699999999997</v>
      </c>
    </row>
    <row r="10375" spans="1:3">
      <c r="A10375" s="571" t="s">
        <v>2071</v>
      </c>
      <c r="B10375" s="572">
        <v>4.76309</v>
      </c>
      <c r="C10375" s="572">
        <v>45.019399999999997</v>
      </c>
    </row>
    <row r="10376" spans="1:3">
      <c r="A10376" s="571" t="s">
        <v>2071</v>
      </c>
      <c r="B10376" s="572">
        <v>5.1218899999999996</v>
      </c>
      <c r="C10376" s="572">
        <v>34.158000000000001</v>
      </c>
    </row>
    <row r="10377" spans="1:3">
      <c r="A10377" s="571" t="s">
        <v>2071</v>
      </c>
      <c r="B10377" s="572">
        <v>5.21502</v>
      </c>
      <c r="C10377" s="572">
        <v>37.8063</v>
      </c>
    </row>
    <row r="10378" spans="1:3">
      <c r="A10378" s="571" t="s">
        <v>2071</v>
      </c>
      <c r="B10378" s="572">
        <v>5.45411</v>
      </c>
      <c r="C10378" s="572">
        <v>37.836100000000002</v>
      </c>
    </row>
    <row r="10379" spans="1:3">
      <c r="A10379" s="571" t="s">
        <v>2071</v>
      </c>
      <c r="B10379" s="572">
        <v>5.65198</v>
      </c>
      <c r="C10379" s="572">
        <v>36.041699999999999</v>
      </c>
    </row>
    <row r="10380" spans="1:3">
      <c r="A10380" s="571" t="s">
        <v>2071</v>
      </c>
      <c r="B10380" s="572">
        <v>5.8559200000000002</v>
      </c>
      <c r="C10380" s="572">
        <v>36.065600000000003</v>
      </c>
    </row>
    <row r="10381" spans="1:3">
      <c r="A10381" s="571" t="s">
        <v>2071</v>
      </c>
      <c r="B10381" s="572">
        <v>6.22797</v>
      </c>
      <c r="C10381" s="572">
        <v>34.289099999999998</v>
      </c>
    </row>
    <row r="10382" spans="1:3">
      <c r="A10382" s="571" t="s">
        <v>2071</v>
      </c>
      <c r="B10382" s="572">
        <v>6.5629</v>
      </c>
      <c r="C10382" s="572">
        <v>34.3249</v>
      </c>
    </row>
    <row r="10383" spans="1:3">
      <c r="A10383" s="571" t="s">
        <v>2071</v>
      </c>
      <c r="B10383" s="572">
        <v>6.7947699999999998</v>
      </c>
      <c r="C10383" s="572">
        <v>34.348700000000001</v>
      </c>
    </row>
    <row r="10384" spans="1:3">
      <c r="A10384" s="571" t="s">
        <v>2071</v>
      </c>
      <c r="B10384" s="572">
        <v>7.0337399999999999</v>
      </c>
      <c r="C10384" s="572">
        <v>38.008899999999997</v>
      </c>
    </row>
    <row r="10385" spans="1:3">
      <c r="A10385" s="571" t="s">
        <v>2071</v>
      </c>
      <c r="B10385" s="572">
        <v>7.2177699999999998</v>
      </c>
      <c r="C10385" s="572">
        <v>25.299600000000002</v>
      </c>
    </row>
    <row r="10386" spans="1:3">
      <c r="A10386" s="571" t="s">
        <v>2071</v>
      </c>
      <c r="B10386" s="572">
        <v>7.3427900000000008</v>
      </c>
      <c r="C10386" s="572">
        <v>32.584200000000003</v>
      </c>
    </row>
    <row r="10387" spans="1:3">
      <c r="A10387" s="571" t="s">
        <v>2071</v>
      </c>
      <c r="B10387" s="572">
        <v>7.7293800000000008</v>
      </c>
      <c r="C10387" s="572">
        <v>34.438200000000002</v>
      </c>
    </row>
    <row r="10388" spans="1:3">
      <c r="A10388" s="571" t="s">
        <v>2071</v>
      </c>
      <c r="B10388" s="572">
        <v>7.86219</v>
      </c>
      <c r="C10388" s="572">
        <v>39.904600000000002</v>
      </c>
    </row>
    <row r="10389" spans="1:3">
      <c r="A10389" s="571" t="s">
        <v>2071</v>
      </c>
      <c r="B10389" s="572">
        <v>8.1338899999999992</v>
      </c>
      <c r="C10389" s="572">
        <v>32.655700000000003</v>
      </c>
    </row>
    <row r="10390" spans="1:3">
      <c r="A10390" s="571" t="s">
        <v>2071</v>
      </c>
      <c r="B10390" s="572">
        <v>8.4852600000000002</v>
      </c>
      <c r="C10390" s="572">
        <v>30.8674</v>
      </c>
    </row>
    <row r="10391" spans="1:3">
      <c r="A10391" s="571" t="s">
        <v>2071</v>
      </c>
      <c r="B10391" s="572">
        <v>8.8501399999999997</v>
      </c>
      <c r="C10391" s="572">
        <v>32.715400000000002</v>
      </c>
    </row>
    <row r="10392" spans="1:3">
      <c r="A10392" s="571" t="s">
        <v>2071</v>
      </c>
      <c r="B10392" s="572">
        <v>9.2291000000000007</v>
      </c>
      <c r="C10392" s="572">
        <v>27.290600000000001</v>
      </c>
    </row>
    <row r="10393" spans="1:3">
      <c r="A10393" s="571" t="s">
        <v>2071</v>
      </c>
      <c r="B10393" s="572">
        <v>9.4634</v>
      </c>
      <c r="C10393" s="572">
        <v>29.1267</v>
      </c>
    </row>
    <row r="10394" spans="1:3">
      <c r="A10394" s="571" t="s">
        <v>2071</v>
      </c>
      <c r="B10394" s="572">
        <v>9.7842000000000002</v>
      </c>
      <c r="C10394" s="572">
        <v>38.241399999999999</v>
      </c>
    </row>
    <row r="10395" spans="1:3">
      <c r="A10395" s="571" t="s">
        <v>2071</v>
      </c>
      <c r="B10395" s="572">
        <v>10.114800000000001</v>
      </c>
      <c r="C10395" s="572">
        <v>25.538</v>
      </c>
    </row>
    <row r="10396" spans="1:3">
      <c r="A10396" s="571" t="s">
        <v>2071</v>
      </c>
      <c r="B10396" s="572">
        <v>10.629799999999999</v>
      </c>
      <c r="C10396" s="572">
        <v>27.391999999999999</v>
      </c>
    </row>
    <row r="10397" spans="1:3">
      <c r="A10397" s="571" t="s">
        <v>2071</v>
      </c>
      <c r="B10397" s="572">
        <v>11.260999999999999</v>
      </c>
      <c r="C10397" s="572">
        <v>29.251899999999999</v>
      </c>
    </row>
    <row r="10398" spans="1:3">
      <c r="A10398" s="571" t="s">
        <v>2071</v>
      </c>
      <c r="B10398" s="572">
        <v>12.0243</v>
      </c>
      <c r="C10398" s="572">
        <v>20.208600000000001</v>
      </c>
    </row>
    <row r="10399" spans="1:3">
      <c r="A10399" s="571" t="s">
        <v>2071</v>
      </c>
      <c r="B10399" s="572">
        <v>12.5253</v>
      </c>
      <c r="C10399" s="572">
        <v>23.8748</v>
      </c>
    </row>
    <row r="10400" spans="1:3">
      <c r="A10400" s="571" t="s">
        <v>2071</v>
      </c>
      <c r="B10400" s="572">
        <v>13.152100000000001</v>
      </c>
      <c r="C10400" s="572">
        <v>27.546900000000001</v>
      </c>
    </row>
    <row r="10401" spans="1:3">
      <c r="A10401" s="571" t="s">
        <v>2071</v>
      </c>
      <c r="B10401" s="572">
        <v>13.3674</v>
      </c>
      <c r="C10401" s="572">
        <v>29.376999999999999</v>
      </c>
    </row>
    <row r="10402" spans="1:3">
      <c r="A10402" s="571" t="s">
        <v>2071</v>
      </c>
      <c r="B10402" s="572">
        <v>13.9201</v>
      </c>
      <c r="C10402" s="572">
        <v>22.1341</v>
      </c>
    </row>
    <row r="10403" spans="1:3">
      <c r="A10403" s="571" t="s">
        <v>2071</v>
      </c>
      <c r="B10403" s="572">
        <v>14.494</v>
      </c>
      <c r="C10403" s="572">
        <v>22.163900000000002</v>
      </c>
    </row>
    <row r="10404" spans="1:3">
      <c r="A10404" s="571" t="s">
        <v>2071</v>
      </c>
      <c r="B10404" s="572">
        <v>15.09</v>
      </c>
      <c r="C10404" s="572">
        <v>34.920999999999999</v>
      </c>
    </row>
    <row r="10405" spans="1:3">
      <c r="A10405" s="571" t="s">
        <v>2071</v>
      </c>
      <c r="B10405" s="572">
        <v>15.458600000000001</v>
      </c>
      <c r="C10405" s="572">
        <v>27.6662</v>
      </c>
    </row>
    <row r="10406" spans="1:3">
      <c r="A10406" s="571" t="s">
        <v>2071</v>
      </c>
      <c r="B10406" s="572">
        <v>16.221299999999999</v>
      </c>
      <c r="C10406" s="572">
        <v>24.0656</v>
      </c>
    </row>
    <row r="10407" spans="1:3">
      <c r="A10407" s="571" t="s">
        <v>2071</v>
      </c>
      <c r="B10407" s="572">
        <v>16.6158</v>
      </c>
      <c r="C10407" s="572">
        <v>25.901599999999998</v>
      </c>
    </row>
    <row r="10408" spans="1:3">
      <c r="A10408" s="571" t="s">
        <v>2071</v>
      </c>
      <c r="B10408" s="572">
        <v>16.749300000000002</v>
      </c>
      <c r="C10408" s="572">
        <v>34.9985</v>
      </c>
    </row>
    <row r="10409" spans="1:3">
      <c r="A10409" s="571" t="s">
        <v>2071</v>
      </c>
      <c r="B10409" s="572">
        <v>17.293399999999998</v>
      </c>
      <c r="C10409" s="572">
        <v>25.9314</v>
      </c>
    </row>
    <row r="10410" spans="1:3">
      <c r="A10410" s="571" t="s">
        <v>2071</v>
      </c>
      <c r="B10410" s="572">
        <v>18.141100000000002</v>
      </c>
      <c r="C10410" s="572">
        <v>29.6036</v>
      </c>
    </row>
    <row r="10411" spans="1:3">
      <c r="A10411" s="571" t="s">
        <v>2071</v>
      </c>
      <c r="B10411" s="572">
        <v>18.877400000000002</v>
      </c>
      <c r="C10411" s="572">
        <v>24.178799999999999</v>
      </c>
    </row>
    <row r="10412" spans="1:3">
      <c r="A10412" s="571" t="s">
        <v>2071</v>
      </c>
      <c r="B10412" s="572">
        <v>20.114999999999998</v>
      </c>
      <c r="C10412" s="572">
        <v>20.590199999999999</v>
      </c>
    </row>
    <row r="10413" spans="1:3">
      <c r="A10413" s="571" t="s">
        <v>2071</v>
      </c>
      <c r="B10413" s="572">
        <v>20.927199999999999</v>
      </c>
      <c r="C10413" s="572">
        <v>16.983599999999999</v>
      </c>
    </row>
    <row r="10414" spans="1:3">
      <c r="A10414" s="571" t="s">
        <v>2071</v>
      </c>
      <c r="B10414" s="572">
        <v>21.770700000000001</v>
      </c>
      <c r="C10414" s="572">
        <v>20.649799999999999</v>
      </c>
    </row>
    <row r="10415" spans="1:3">
      <c r="A10415" s="571" t="s">
        <v>2071</v>
      </c>
      <c r="B10415" s="572">
        <v>22.468800000000002</v>
      </c>
      <c r="C10415" s="572">
        <v>13.4009</v>
      </c>
    </row>
    <row r="10416" spans="1:3">
      <c r="A10416" s="571" t="s">
        <v>2071</v>
      </c>
      <c r="B10416" s="572">
        <v>23.5564</v>
      </c>
      <c r="C10416" s="572">
        <v>15.254799999999999</v>
      </c>
    </row>
    <row r="10417" spans="1:3">
      <c r="A10417" s="571" t="s">
        <v>2071</v>
      </c>
      <c r="B10417" s="572">
        <v>24.1189</v>
      </c>
      <c r="C10417" s="572">
        <v>13.454499999999999</v>
      </c>
    </row>
    <row r="10418" spans="1:3">
      <c r="A10418" s="571" t="s">
        <v>2071</v>
      </c>
      <c r="B10418" s="572">
        <v>25.282800000000002</v>
      </c>
      <c r="C10418" s="572">
        <v>15.3085</v>
      </c>
    </row>
    <row r="10419" spans="1:3">
      <c r="A10419" s="571" t="s">
        <v>2071</v>
      </c>
      <c r="B10419" s="572">
        <v>27.130700000000001</v>
      </c>
      <c r="C10419" s="572">
        <v>15.3621</v>
      </c>
    </row>
    <row r="10420" spans="1:3">
      <c r="A10420" s="571" t="s">
        <v>2072</v>
      </c>
      <c r="B10420" s="572">
        <v>7.5300000000000367E-3</v>
      </c>
      <c r="C10420" s="572">
        <v>0.90112000000000003</v>
      </c>
    </row>
    <row r="10421" spans="1:3">
      <c r="A10421" s="571" t="s">
        <v>2072</v>
      </c>
      <c r="B10421" s="572">
        <v>0.15315999999999996</v>
      </c>
      <c r="C10421" s="572">
        <v>2.6088200000000001</v>
      </c>
    </row>
    <row r="10422" spans="1:3">
      <c r="A10422" s="571" t="s">
        <v>2072</v>
      </c>
      <c r="B10422" s="572">
        <v>0.38058999999999998</v>
      </c>
      <c r="C10422" s="572">
        <v>20.607600000000001</v>
      </c>
    </row>
    <row r="10423" spans="1:3">
      <c r="A10423" s="571" t="s">
        <v>2072</v>
      </c>
      <c r="B10423" s="572">
        <v>0.6528799999999999</v>
      </c>
      <c r="C10423" s="572">
        <v>29.536100000000001</v>
      </c>
    </row>
    <row r="10424" spans="1:3">
      <c r="A10424" s="571" t="s">
        <v>2072</v>
      </c>
      <c r="B10424" s="572">
        <v>0.92037999999999998</v>
      </c>
      <c r="C10424" s="572">
        <v>45.744399999999999</v>
      </c>
    </row>
    <row r="10425" spans="1:3">
      <c r="A10425" s="571" t="s">
        <v>2072</v>
      </c>
      <c r="B10425" s="572">
        <v>1.18154</v>
      </c>
      <c r="C10425" s="572">
        <v>47.457999999999998</v>
      </c>
    </row>
    <row r="10426" spans="1:3">
      <c r="A10426" s="571" t="s">
        <v>2072</v>
      </c>
      <c r="B10426" s="572">
        <v>1.40496</v>
      </c>
      <c r="C10426" s="572">
        <v>47.3812</v>
      </c>
    </row>
    <row r="10427" spans="1:3">
      <c r="A10427" s="571" t="s">
        <v>2072</v>
      </c>
      <c r="B10427" s="572">
        <v>1.81521</v>
      </c>
      <c r="C10427" s="572">
        <v>40.000900000000001</v>
      </c>
    </row>
    <row r="10428" spans="1:3">
      <c r="A10428" s="571" t="s">
        <v>2072</v>
      </c>
      <c r="B10428" s="572">
        <v>2.0573299999999999</v>
      </c>
      <c r="C10428" s="572">
        <v>36.3078</v>
      </c>
    </row>
    <row r="10429" spans="1:3">
      <c r="A10429" s="571" t="s">
        <v>2072</v>
      </c>
      <c r="B10429" s="572">
        <v>2.2954500000000002</v>
      </c>
      <c r="C10429" s="572">
        <v>32.620600000000003</v>
      </c>
    </row>
    <row r="10430" spans="1:3">
      <c r="A10430" s="571" t="s">
        <v>2072</v>
      </c>
      <c r="B10430" s="572">
        <v>2.47309</v>
      </c>
      <c r="C10430" s="572">
        <v>23.508900000000001</v>
      </c>
    </row>
    <row r="10431" spans="1:3">
      <c r="A10431" s="571" t="s">
        <v>2072</v>
      </c>
      <c r="B10431" s="572">
        <v>2.71563</v>
      </c>
      <c r="C10431" s="572">
        <v>19.8276</v>
      </c>
    </row>
    <row r="10432" spans="1:3">
      <c r="A10432" s="571" t="s">
        <v>2072</v>
      </c>
      <c r="B10432" s="572">
        <v>2.9750999999999999</v>
      </c>
      <c r="C10432" s="572">
        <v>19.7744</v>
      </c>
    </row>
    <row r="10433" spans="1:3">
      <c r="A10433" s="571" t="s">
        <v>2072</v>
      </c>
      <c r="B10433" s="572">
        <v>3.1893799999999999</v>
      </c>
      <c r="C10433" s="572">
        <v>16.104900000000001</v>
      </c>
    </row>
    <row r="10434" spans="1:3">
      <c r="A10434" s="571" t="s">
        <v>2072</v>
      </c>
      <c r="B10434" s="572">
        <v>3.3169700000000004</v>
      </c>
      <c r="C10434" s="572">
        <v>16.081299999999999</v>
      </c>
    </row>
    <row r="10435" spans="1:3">
      <c r="A10435" s="571" t="s">
        <v>2072</v>
      </c>
      <c r="B10435" s="572">
        <v>3.5839299999999996</v>
      </c>
      <c r="C10435" s="572">
        <v>16.033999999999999</v>
      </c>
    </row>
    <row r="10436" spans="1:3">
      <c r="A10436" s="571" t="s">
        <v>2072</v>
      </c>
      <c r="B10436" s="572">
        <v>3.7235300000000002</v>
      </c>
      <c r="C10436" s="572">
        <v>21.4526</v>
      </c>
    </row>
    <row r="10437" spans="1:3">
      <c r="A10437" s="571" t="s">
        <v>2072</v>
      </c>
      <c r="B10437" s="572">
        <v>3.9781500000000003</v>
      </c>
      <c r="C10437" s="572">
        <v>14.154999999999999</v>
      </c>
    </row>
    <row r="10438" spans="1:3">
      <c r="A10438" s="571" t="s">
        <v>2072</v>
      </c>
      <c r="B10438" s="572">
        <v>4.2859999999999996</v>
      </c>
      <c r="C10438" s="572">
        <v>12.2936</v>
      </c>
    </row>
    <row r="10439" spans="1:3">
      <c r="A10439" s="571" t="s">
        <v>2072</v>
      </c>
      <c r="B10439" s="572">
        <v>4.4879899999999999</v>
      </c>
      <c r="C10439" s="572">
        <v>15.892200000000001</v>
      </c>
    </row>
    <row r="10440" spans="1:3">
      <c r="A10440" s="571" t="s">
        <v>2072</v>
      </c>
      <c r="B10440" s="572">
        <v>4.6551400000000003</v>
      </c>
      <c r="C10440" s="572">
        <v>17.682600000000001</v>
      </c>
    </row>
    <row r="10441" spans="1:3">
      <c r="A10441" s="571" t="s">
        <v>2072</v>
      </c>
      <c r="B10441" s="572">
        <v>5.0500499999999997</v>
      </c>
      <c r="C10441" s="572">
        <v>10.373200000000001</v>
      </c>
    </row>
    <row r="10442" spans="1:3">
      <c r="A10442" s="571" t="s">
        <v>2072</v>
      </c>
      <c r="B10442" s="572">
        <v>5.2812400000000004</v>
      </c>
      <c r="C10442" s="572">
        <v>6.71556</v>
      </c>
    </row>
    <row r="10443" spans="1:3">
      <c r="A10443" s="571" t="s">
        <v>2072</v>
      </c>
      <c r="B10443" s="572">
        <v>5.4725400000000004</v>
      </c>
      <c r="C10443" s="572">
        <v>6.6919300000000002</v>
      </c>
    </row>
    <row r="10444" spans="1:3">
      <c r="A10444" s="571" t="s">
        <v>2072</v>
      </c>
      <c r="B10444" s="572">
        <v>5.8727999999999998</v>
      </c>
      <c r="C10444" s="572">
        <v>6.64466</v>
      </c>
    </row>
    <row r="10445" spans="1:3">
      <c r="A10445" s="571" t="s">
        <v>2072</v>
      </c>
      <c r="B10445" s="572">
        <v>6.1891499999999997</v>
      </c>
      <c r="C10445" s="572">
        <v>4.79514</v>
      </c>
    </row>
    <row r="10446" spans="1:3">
      <c r="A10446" s="571" t="s">
        <v>2072</v>
      </c>
      <c r="B10446" s="572">
        <v>6.7490899999999998</v>
      </c>
      <c r="C10446" s="572">
        <v>4.7360499999999996</v>
      </c>
    </row>
    <row r="10447" spans="1:3">
      <c r="A10447" s="571" t="s">
        <v>2072</v>
      </c>
      <c r="B10447" s="572">
        <v>7.2902299999999993</v>
      </c>
      <c r="C10447" s="572">
        <v>1.0547500000000001</v>
      </c>
    </row>
    <row r="10448" spans="1:3">
      <c r="A10448" s="571" t="s">
        <v>2072</v>
      </c>
      <c r="B10448" s="572">
        <v>7.60703</v>
      </c>
      <c r="C10448" s="572">
        <v>6.46739</v>
      </c>
    </row>
    <row r="10449" spans="1:3">
      <c r="A10449" s="571" t="s">
        <v>2072</v>
      </c>
      <c r="B10449" s="572">
        <v>8.2080900000000003</v>
      </c>
      <c r="C10449" s="572">
        <v>6.4142099999999997</v>
      </c>
    </row>
    <row r="10450" spans="1:3">
      <c r="A10450" s="571" t="s">
        <v>2072</v>
      </c>
      <c r="B10450" s="572">
        <v>8.70444</v>
      </c>
      <c r="C10450" s="572">
        <v>0.93066499999999996</v>
      </c>
    </row>
    <row r="10451" spans="1:3">
      <c r="A10451" s="571" t="s">
        <v>2072</v>
      </c>
      <c r="B10451" s="572">
        <v>9.3046000000000006</v>
      </c>
      <c r="C10451" s="572">
        <v>2.74472</v>
      </c>
    </row>
    <row r="10452" spans="1:3">
      <c r="A10452" s="571" t="s">
        <v>2072</v>
      </c>
      <c r="B10452" s="572">
        <v>9.9418000000000006</v>
      </c>
      <c r="C10452" s="572">
        <v>4.6060600000000003</v>
      </c>
    </row>
    <row r="10453" spans="1:3">
      <c r="A10453" s="571" t="s">
        <v>2072</v>
      </c>
      <c r="B10453" s="572">
        <v>10.794</v>
      </c>
      <c r="C10453" s="572">
        <v>11.9214</v>
      </c>
    </row>
    <row r="10454" spans="1:3">
      <c r="A10454" s="571" t="s">
        <v>2072</v>
      </c>
      <c r="B10454" s="572">
        <v>11.9047</v>
      </c>
      <c r="C10454" s="572">
        <v>15.6204</v>
      </c>
    </row>
    <row r="10455" spans="1:3">
      <c r="A10455" s="571" t="s">
        <v>2072</v>
      </c>
      <c r="B10455" s="572">
        <v>13.0146</v>
      </c>
      <c r="C10455" s="572">
        <v>13.8713</v>
      </c>
    </row>
    <row r="10456" spans="1:3">
      <c r="A10456" s="571" t="s">
        <v>2072</v>
      </c>
      <c r="B10456" s="572">
        <v>14.219900000000001</v>
      </c>
      <c r="C10456" s="572">
        <v>12.122299999999999</v>
      </c>
    </row>
    <row r="10457" spans="1:3">
      <c r="A10457" s="571" t="s">
        <v>2072</v>
      </c>
      <c r="B10457" s="572">
        <v>15.040299999999998</v>
      </c>
      <c r="C10457" s="572">
        <v>12.163600000000001</v>
      </c>
    </row>
    <row r="10458" spans="1:3">
      <c r="A10458" s="571" t="s">
        <v>2072</v>
      </c>
      <c r="B10458" s="572">
        <v>16.419799999999999</v>
      </c>
      <c r="C10458" s="572">
        <v>14.0427</v>
      </c>
    </row>
    <row r="10459" spans="1:3">
      <c r="A10459" s="571" t="s">
        <v>2072</v>
      </c>
      <c r="B10459" s="572">
        <v>17.497</v>
      </c>
      <c r="C10459" s="572">
        <v>15.904</v>
      </c>
    </row>
    <row r="10460" spans="1:3">
      <c r="A10460" s="571" t="s">
        <v>2072</v>
      </c>
      <c r="B10460" s="572">
        <v>18.640799999999999</v>
      </c>
      <c r="C10460" s="572">
        <v>17.7654</v>
      </c>
    </row>
    <row r="10461" spans="1:3">
      <c r="A10461" s="571" t="s">
        <v>2072</v>
      </c>
      <c r="B10461" s="572">
        <v>19.855399999999999</v>
      </c>
      <c r="C10461" s="572">
        <v>15.9986</v>
      </c>
    </row>
    <row r="10462" spans="1:3">
      <c r="A10462" s="571" t="s">
        <v>2072</v>
      </c>
      <c r="B10462" s="572">
        <v>20.6523</v>
      </c>
      <c r="C10462" s="572">
        <v>12.4</v>
      </c>
    </row>
    <row r="10463" spans="1:3">
      <c r="A10463" s="571" t="s">
        <v>2072</v>
      </c>
      <c r="B10463" s="572">
        <v>21.991299999999999</v>
      </c>
      <c r="C10463" s="572">
        <v>14.2613</v>
      </c>
    </row>
    <row r="10464" spans="1:3">
      <c r="A10464" s="571" t="s">
        <v>2072</v>
      </c>
      <c r="B10464" s="572">
        <v>22.869900000000001</v>
      </c>
      <c r="C10464" s="572">
        <v>19.7331</v>
      </c>
    </row>
    <row r="10465" spans="1:3">
      <c r="A10465" s="571" t="s">
        <v>2072</v>
      </c>
      <c r="B10465" s="572">
        <v>24.346</v>
      </c>
      <c r="C10465" s="572">
        <v>19.7803</v>
      </c>
    </row>
    <row r="10466" spans="1:3">
      <c r="A10466" s="571" t="s">
        <v>2072</v>
      </c>
      <c r="B10466" s="572">
        <v>25.117899999999999</v>
      </c>
      <c r="C10466" s="572">
        <v>19.803999999999998</v>
      </c>
    </row>
    <row r="10467" spans="1:3">
      <c r="A10467" s="571" t="s">
        <v>2072</v>
      </c>
      <c r="B10467" s="572">
        <v>26.5258</v>
      </c>
      <c r="C10467" s="572">
        <v>12.5891</v>
      </c>
    </row>
    <row r="10468" spans="1:3">
      <c r="A10468" s="571" t="s">
        <v>2073</v>
      </c>
      <c r="B10468" s="572">
        <v>3.7599999999999856E-3</v>
      </c>
      <c r="C10468" s="572">
        <v>2.7210899999999998</v>
      </c>
    </row>
    <row r="10469" spans="1:3">
      <c r="A10469" s="571" t="s">
        <v>2073</v>
      </c>
      <c r="B10469" s="572">
        <v>0.16737000000000002</v>
      </c>
      <c r="C10469" s="572">
        <v>0.90702899999999997</v>
      </c>
    </row>
    <row r="10470" spans="1:3">
      <c r="A10470" s="571" t="s">
        <v>2073</v>
      </c>
      <c r="B10470" s="572">
        <v>0.39925999999999995</v>
      </c>
      <c r="C10470" s="572">
        <v>0.90702899999999997</v>
      </c>
    </row>
    <row r="10471" spans="1:3">
      <c r="A10471" s="571" t="s">
        <v>2073</v>
      </c>
      <c r="B10471" s="572">
        <v>0.6521300000000001</v>
      </c>
      <c r="C10471" s="572">
        <v>2.7210899999999998</v>
      </c>
    </row>
    <row r="10472" spans="1:3">
      <c r="A10472" s="571" t="s">
        <v>2073</v>
      </c>
      <c r="B10472" s="572">
        <v>0.9654100000000001</v>
      </c>
      <c r="C10472" s="572">
        <v>2.7210899999999998</v>
      </c>
    </row>
    <row r="10473" spans="1:3">
      <c r="A10473" s="571" t="s">
        <v>2073</v>
      </c>
      <c r="B10473" s="572">
        <v>1.1845500000000002</v>
      </c>
      <c r="C10473" s="572">
        <v>4.5351499999999998</v>
      </c>
    </row>
    <row r="10474" spans="1:3">
      <c r="A10474" s="571" t="s">
        <v>2073</v>
      </c>
      <c r="B10474" s="572">
        <v>1.5214500000000002</v>
      </c>
      <c r="C10474" s="572">
        <v>2.7210899999999998</v>
      </c>
    </row>
    <row r="10475" spans="1:3">
      <c r="A10475" s="571" t="s">
        <v>2073</v>
      </c>
      <c r="B10475" s="572">
        <v>1.8024499999999999</v>
      </c>
      <c r="C10475" s="572">
        <v>0.90702899999999997</v>
      </c>
    </row>
    <row r="10476" spans="1:3">
      <c r="A10476" s="571" t="s">
        <v>2073</v>
      </c>
      <c r="B10476" s="572">
        <v>2.0682399999999999</v>
      </c>
      <c r="C10476" s="572">
        <v>0.90702899999999997</v>
      </c>
    </row>
    <row r="10477" spans="1:3">
      <c r="A10477" s="571" t="s">
        <v>2073</v>
      </c>
      <c r="B10477" s="572">
        <v>2.30884</v>
      </c>
      <c r="C10477" s="572">
        <v>0.90702899999999997</v>
      </c>
    </row>
    <row r="10478" spans="1:3">
      <c r="A10478" s="571" t="s">
        <v>2073</v>
      </c>
      <c r="B10478" s="572">
        <v>2.46211</v>
      </c>
      <c r="C10478" s="572">
        <v>0.90702899999999997</v>
      </c>
    </row>
    <row r="10479" spans="1:3">
      <c r="A10479" s="571" t="s">
        <v>2073</v>
      </c>
      <c r="B10479" s="572">
        <v>2.7055799999999999</v>
      </c>
      <c r="C10479" s="572">
        <v>0.90702899999999997</v>
      </c>
    </row>
    <row r="10480" spans="1:3">
      <c r="A10480" s="571" t="s">
        <v>2073</v>
      </c>
      <c r="B10480" s="572">
        <v>2.93621</v>
      </c>
      <c r="C10480" s="572">
        <v>0.90702899999999997</v>
      </c>
    </row>
    <row r="10481" spans="1:3">
      <c r="A10481" s="571" t="s">
        <v>2073</v>
      </c>
      <c r="B10481" s="572">
        <v>3.2129500000000002</v>
      </c>
      <c r="C10481" s="572">
        <v>0.90702899999999997</v>
      </c>
    </row>
    <row r="10482" spans="1:3">
      <c r="A10482" s="571" t="s">
        <v>2073</v>
      </c>
      <c r="B10482" s="572">
        <v>3.4081700000000001</v>
      </c>
      <c r="C10482" s="572">
        <v>0.90702899999999997</v>
      </c>
    </row>
    <row r="10483" spans="1:3">
      <c r="A10483" s="571" t="s">
        <v>2073</v>
      </c>
      <c r="B10483" s="572">
        <v>3.6827699999999997</v>
      </c>
      <c r="C10483" s="572">
        <v>2.7210899999999998</v>
      </c>
    </row>
    <row r="10484" spans="1:3">
      <c r="A10484" s="571" t="s">
        <v>2073</v>
      </c>
      <c r="B10484" s="572">
        <v>3.8997599999999997</v>
      </c>
      <c r="C10484" s="572">
        <v>2.7210899999999998</v>
      </c>
    </row>
    <row r="10485" spans="1:3">
      <c r="A10485" s="571" t="s">
        <v>2073</v>
      </c>
      <c r="B10485" s="572">
        <v>4.20472</v>
      </c>
      <c r="C10485" s="572">
        <v>0.90702899999999997</v>
      </c>
    </row>
    <row r="10486" spans="1:3">
      <c r="A10486" s="571" t="s">
        <v>2073</v>
      </c>
      <c r="B10486" s="572">
        <v>4.4459900000000001</v>
      </c>
      <c r="C10486" s="572">
        <v>2.7210899999999998</v>
      </c>
    </row>
    <row r="10487" spans="1:3">
      <c r="A10487" s="571" t="s">
        <v>2073</v>
      </c>
      <c r="B10487" s="572">
        <v>4.6553000000000004</v>
      </c>
      <c r="C10487" s="572">
        <v>0.90702899999999997</v>
      </c>
    </row>
    <row r="10488" spans="1:3">
      <c r="A10488" s="571" t="s">
        <v>2073</v>
      </c>
      <c r="B10488" s="572">
        <v>4.8728499999999997</v>
      </c>
      <c r="C10488" s="572">
        <v>0.90702899999999997</v>
      </c>
    </row>
    <row r="10489" spans="1:3">
      <c r="A10489" s="571" t="s">
        <v>2073</v>
      </c>
      <c r="B10489" s="572">
        <v>5.0528000000000004</v>
      </c>
      <c r="C10489" s="572">
        <v>2.7210899999999998</v>
      </c>
    </row>
    <row r="10490" spans="1:3">
      <c r="A10490" s="571" t="s">
        <v>2073</v>
      </c>
      <c r="B10490" s="572">
        <v>5.2856399999999999</v>
      </c>
      <c r="C10490" s="572">
        <v>2.7210899999999998</v>
      </c>
    </row>
    <row r="10491" spans="1:3">
      <c r="A10491" s="571" t="s">
        <v>2073</v>
      </c>
      <c r="B10491" s="572">
        <v>5.6266299999999996</v>
      </c>
      <c r="C10491" s="572">
        <v>4.5351499999999998</v>
      </c>
    </row>
    <row r="10492" spans="1:3">
      <c r="A10492" s="571" t="s">
        <v>2073</v>
      </c>
      <c r="B10492" s="572">
        <v>5.8817899999999996</v>
      </c>
      <c r="C10492" s="572">
        <v>0.90702899999999997</v>
      </c>
    </row>
    <row r="10493" spans="1:3">
      <c r="A10493" s="571" t="s">
        <v>2073</v>
      </c>
      <c r="B10493" s="572">
        <v>6.1466399999999997</v>
      </c>
      <c r="C10493" s="572">
        <v>0.90702899999999997</v>
      </c>
    </row>
    <row r="10494" spans="1:3">
      <c r="A10494" s="571" t="s">
        <v>2073</v>
      </c>
      <c r="B10494" s="572">
        <v>6.42157</v>
      </c>
      <c r="C10494" s="572">
        <v>0.90702899999999997</v>
      </c>
    </row>
    <row r="10495" spans="1:3">
      <c r="A10495" s="571" t="s">
        <v>2073</v>
      </c>
      <c r="B10495" s="572">
        <v>6.7070600000000002</v>
      </c>
      <c r="C10495" s="572">
        <v>0.90702899999999997</v>
      </c>
    </row>
    <row r="10496" spans="1:3">
      <c r="A10496" s="571" t="s">
        <v>2073</v>
      </c>
      <c r="B10496" s="572">
        <v>7.0640599999999996</v>
      </c>
      <c r="C10496" s="572">
        <v>0.90702899999999997</v>
      </c>
    </row>
    <row r="10497" spans="1:3">
      <c r="A10497" s="571" t="s">
        <v>2073</v>
      </c>
      <c r="B10497" s="572">
        <v>7.3739899999999992</v>
      </c>
      <c r="C10497" s="572">
        <v>4.5351499999999998</v>
      </c>
    </row>
    <row r="10498" spans="1:3">
      <c r="A10498" s="571" t="s">
        <v>2073</v>
      </c>
      <c r="B10498" s="572">
        <v>7.6967199999999991</v>
      </c>
      <c r="C10498" s="572">
        <v>2.7210899999999998</v>
      </c>
    </row>
    <row r="10499" spans="1:3">
      <c r="A10499" s="571" t="s">
        <v>2073</v>
      </c>
      <c r="B10499" s="572">
        <v>8.23752</v>
      </c>
      <c r="C10499" s="572">
        <v>4.5351499999999998</v>
      </c>
    </row>
    <row r="10500" spans="1:3">
      <c r="A10500" s="571" t="s">
        <v>2073</v>
      </c>
      <c r="B10500" s="572">
        <v>8.4497599999999995</v>
      </c>
      <c r="C10500" s="572">
        <v>2.7210899999999998</v>
      </c>
    </row>
    <row r="10501" spans="1:3">
      <c r="A10501" s="571" t="s">
        <v>2073</v>
      </c>
      <c r="B10501" s="572">
        <v>8.7391500000000004</v>
      </c>
      <c r="C10501" s="572">
        <v>0.90702899999999997</v>
      </c>
    </row>
    <row r="10502" spans="1:3">
      <c r="A10502" s="571" t="s">
        <v>2073</v>
      </c>
      <c r="B10502" s="572">
        <v>9.2673000000000005</v>
      </c>
      <c r="C10502" s="572">
        <v>4.5351499999999998</v>
      </c>
    </row>
    <row r="10503" spans="1:3">
      <c r="A10503" s="571" t="s">
        <v>2073</v>
      </c>
      <c r="B10503" s="572">
        <v>9.7434999999999992</v>
      </c>
      <c r="C10503" s="572">
        <v>0.90702899999999997</v>
      </c>
    </row>
    <row r="10504" spans="1:3">
      <c r="A10504" s="571" t="s">
        <v>2073</v>
      </c>
      <c r="B10504" s="572">
        <v>10.072800000000001</v>
      </c>
      <c r="C10504" s="572">
        <v>0.90702899999999997</v>
      </c>
    </row>
    <row r="10505" spans="1:3">
      <c r="A10505" s="571" t="s">
        <v>2073</v>
      </c>
      <c r="B10505" s="572">
        <v>10.5855</v>
      </c>
      <c r="C10505" s="572">
        <v>4.5351499999999998</v>
      </c>
    </row>
    <row r="10506" spans="1:3">
      <c r="A10506" s="571" t="s">
        <v>2073</v>
      </c>
      <c r="B10506" s="572">
        <v>10.7622</v>
      </c>
      <c r="C10506" s="572">
        <v>0.90702899999999997</v>
      </c>
    </row>
    <row r="10507" spans="1:3">
      <c r="A10507" s="571" t="s">
        <v>2073</v>
      </c>
      <c r="B10507" s="572">
        <v>11.2142</v>
      </c>
      <c r="C10507" s="572">
        <v>4.5351499999999998</v>
      </c>
    </row>
    <row r="10508" spans="1:3">
      <c r="A10508" s="571" t="s">
        <v>2073</v>
      </c>
      <c r="B10508" s="572">
        <v>11.4945</v>
      </c>
      <c r="C10508" s="572">
        <v>0.90702899999999997</v>
      </c>
    </row>
    <row r="10509" spans="1:3">
      <c r="A10509" s="571" t="s">
        <v>2073</v>
      </c>
      <c r="B10509" s="572">
        <v>11.878</v>
      </c>
      <c r="C10509" s="572">
        <v>2.7210899999999998</v>
      </c>
    </row>
    <row r="10510" spans="1:3">
      <c r="A10510" s="571" t="s">
        <v>2073</v>
      </c>
      <c r="B10510" s="572">
        <v>12.372199999999999</v>
      </c>
      <c r="C10510" s="572">
        <v>6.3492100000000002</v>
      </c>
    </row>
    <row r="10511" spans="1:3">
      <c r="A10511" s="571" t="s">
        <v>2073</v>
      </c>
      <c r="B10511" s="572">
        <v>12.679500000000001</v>
      </c>
      <c r="C10511" s="572">
        <v>0.90702899999999997</v>
      </c>
    </row>
    <row r="10512" spans="1:3">
      <c r="A10512" s="571" t="s">
        <v>2073</v>
      </c>
      <c r="B10512" s="572">
        <v>13.0984</v>
      </c>
      <c r="C10512" s="572">
        <v>2.7210899999999998</v>
      </c>
    </row>
    <row r="10513" spans="1:3">
      <c r="A10513" s="571" t="s">
        <v>2073</v>
      </c>
      <c r="B10513" s="572">
        <v>13.752700000000001</v>
      </c>
      <c r="C10513" s="572">
        <v>4.5351499999999998</v>
      </c>
    </row>
    <row r="10514" spans="1:3">
      <c r="A10514" s="571" t="s">
        <v>2073</v>
      </c>
      <c r="B10514" s="572">
        <v>14.436299999999999</v>
      </c>
      <c r="C10514" s="572">
        <v>4.5351499999999998</v>
      </c>
    </row>
    <row r="10515" spans="1:3">
      <c r="A10515" s="571" t="s">
        <v>2073</v>
      </c>
      <c r="B10515" s="572">
        <v>15.273199999999999</v>
      </c>
      <c r="C10515" s="572">
        <v>0.90702899999999997</v>
      </c>
    </row>
    <row r="10516" spans="1:3">
      <c r="A10516" s="571" t="s">
        <v>2073</v>
      </c>
      <c r="B10516" s="572">
        <v>15.396999999999998</v>
      </c>
      <c r="C10516" s="572">
        <v>2.7210899999999998</v>
      </c>
    </row>
    <row r="10517" spans="1:3">
      <c r="A10517" s="571" t="s">
        <v>2073</v>
      </c>
      <c r="B10517" s="572">
        <v>16.1568</v>
      </c>
      <c r="C10517" s="572">
        <v>2.7210899999999998</v>
      </c>
    </row>
    <row r="10518" spans="1:3">
      <c r="A10518" s="571" t="s">
        <v>2073</v>
      </c>
      <c r="B10518" s="572">
        <v>17.5016</v>
      </c>
      <c r="C10518" s="572">
        <v>0.90702899999999997</v>
      </c>
    </row>
    <row r="10519" spans="1:3">
      <c r="A10519" s="571" t="s">
        <v>2073</v>
      </c>
      <c r="B10519" s="572">
        <v>18.3596</v>
      </c>
      <c r="C10519" s="572">
        <v>2.7210899999999998</v>
      </c>
    </row>
    <row r="10520" spans="1:3">
      <c r="A10520" s="571" t="s">
        <v>2073</v>
      </c>
      <c r="B10520" s="572">
        <v>18.953099999999999</v>
      </c>
      <c r="C10520" s="572">
        <v>2.7210899999999998</v>
      </c>
    </row>
    <row r="10521" spans="1:3">
      <c r="A10521" s="571" t="s">
        <v>2073</v>
      </c>
      <c r="B10521" s="572">
        <v>20.0352</v>
      </c>
      <c r="C10521" s="572">
        <v>0.90702899999999997</v>
      </c>
    </row>
    <row r="10522" spans="1:3">
      <c r="A10522" s="571" t="s">
        <v>2073</v>
      </c>
      <c r="B10522" s="572">
        <v>22.029499999999999</v>
      </c>
      <c r="C10522" s="572">
        <v>2.7210899999999998</v>
      </c>
    </row>
    <row r="10523" spans="1:3">
      <c r="A10523" s="571" t="s">
        <v>2073</v>
      </c>
      <c r="B10523" s="572">
        <v>23.095800000000001</v>
      </c>
      <c r="C10523" s="572">
        <v>6.3492100000000002</v>
      </c>
    </row>
    <row r="10524" spans="1:3">
      <c r="A10524" s="571" t="s">
        <v>2073</v>
      </c>
      <c r="B10524" s="572">
        <v>24.212800000000001</v>
      </c>
      <c r="C10524" s="572">
        <v>4.5351499999999998</v>
      </c>
    </row>
    <row r="10525" spans="1:3">
      <c r="A10525" s="571" t="s">
        <v>2073</v>
      </c>
      <c r="B10525" s="572">
        <v>25.382000000000001</v>
      </c>
      <c r="C10525" s="572">
        <v>0.90702899999999997</v>
      </c>
    </row>
    <row r="10526" spans="1:3">
      <c r="A10526" s="48" t="s">
        <v>2074</v>
      </c>
      <c r="B10526" s="549">
        <v>-1.1224000000000012E-2</v>
      </c>
      <c r="C10526" s="549">
        <v>8.9125899999999997E-3</v>
      </c>
    </row>
    <row r="10527" spans="1:3">
      <c r="A10527" s="571" t="s">
        <v>2074</v>
      </c>
      <c r="B10527" s="572">
        <v>0.28736000000000006</v>
      </c>
      <c r="C10527" s="572">
        <v>54.345999999999997</v>
      </c>
    </row>
    <row r="10528" spans="1:3">
      <c r="A10528" s="571" t="s">
        <v>2074</v>
      </c>
      <c r="B10528" s="572">
        <v>0.40992999999999991</v>
      </c>
      <c r="C10528" s="572">
        <v>123.36499999999999</v>
      </c>
    </row>
    <row r="10529" spans="1:3">
      <c r="A10529" s="571" t="s">
        <v>2074</v>
      </c>
      <c r="B10529" s="572">
        <v>0.54418999999999995</v>
      </c>
      <c r="C10529" s="572">
        <v>194.202</v>
      </c>
    </row>
    <row r="10530" spans="1:3">
      <c r="A10530" s="571" t="s">
        <v>2074</v>
      </c>
      <c r="B10530" s="572">
        <v>0.85027999999999992</v>
      </c>
      <c r="C10530" s="572">
        <v>219.51400000000001</v>
      </c>
    </row>
    <row r="10531" spans="1:3">
      <c r="A10531" s="571" t="s">
        <v>2074</v>
      </c>
      <c r="B10531" s="572">
        <v>0.99490999999999996</v>
      </c>
      <c r="C10531" s="572">
        <v>221.273</v>
      </c>
    </row>
    <row r="10532" spans="1:3">
      <c r="A10532" s="571" t="s">
        <v>2074</v>
      </c>
      <c r="B10532" s="572">
        <v>1.08704</v>
      </c>
      <c r="C10532" s="572">
        <v>221.23699999999999</v>
      </c>
    </row>
    <row r="10533" spans="1:3">
      <c r="A10533" s="571" t="s">
        <v>2074</v>
      </c>
      <c r="B10533" s="572">
        <v>1.3188599999999999</v>
      </c>
      <c r="C10533" s="572">
        <v>219.33600000000001</v>
      </c>
    </row>
    <row r="10534" spans="1:3">
      <c r="A10534" s="571" t="s">
        <v>2074</v>
      </c>
      <c r="B10534" s="572">
        <v>1.4626600000000001</v>
      </c>
      <c r="C10534" s="572">
        <v>215.65199999999999</v>
      </c>
    </row>
    <row r="10535" spans="1:3">
      <c r="A10535" s="571" t="s">
        <v>2074</v>
      </c>
      <c r="B10535" s="572">
        <v>1.5571199999999998</v>
      </c>
      <c r="C10535" s="572">
        <v>217.44</v>
      </c>
    </row>
    <row r="10536" spans="1:3">
      <c r="A10536" s="571" t="s">
        <v>2074</v>
      </c>
      <c r="B10536" s="572">
        <v>1.6352099999999998</v>
      </c>
      <c r="C10536" s="572">
        <v>215.59899999999999</v>
      </c>
    </row>
    <row r="10537" spans="1:3">
      <c r="A10537" s="571" t="s">
        <v>2074</v>
      </c>
      <c r="B10537" s="572">
        <v>1.7569599999999999</v>
      </c>
      <c r="C10537" s="572">
        <v>217.381</v>
      </c>
    </row>
    <row r="10538" spans="1:3">
      <c r="A10538" s="571" t="s">
        <v>2074</v>
      </c>
      <c r="B10538" s="572">
        <v>1.8627600000000002</v>
      </c>
      <c r="C10538" s="572">
        <v>220.988</v>
      </c>
    </row>
    <row r="10539" spans="1:3">
      <c r="A10539" s="571" t="s">
        <v>2074</v>
      </c>
      <c r="B10539" s="572">
        <v>1.9950199999999998</v>
      </c>
      <c r="C10539" s="572">
        <v>222.77</v>
      </c>
    </row>
    <row r="10540" spans="1:3">
      <c r="A10540" s="571" t="s">
        <v>2074</v>
      </c>
      <c r="B10540" s="572">
        <v>2.2048299999999998</v>
      </c>
      <c r="C10540" s="572">
        <v>220.899</v>
      </c>
    </row>
    <row r="10541" spans="1:3">
      <c r="A10541" s="571" t="s">
        <v>2074</v>
      </c>
      <c r="B10541" s="572">
        <v>2.56074</v>
      </c>
      <c r="C10541" s="572">
        <v>217.179</v>
      </c>
    </row>
    <row r="10542" spans="1:3">
      <c r="A10542" s="571" t="s">
        <v>2074</v>
      </c>
      <c r="B10542" s="572">
        <v>2.8102399999999998</v>
      </c>
      <c r="C10542" s="572">
        <v>217.126</v>
      </c>
    </row>
    <row r="10543" spans="1:3">
      <c r="A10543" s="571" t="s">
        <v>2074</v>
      </c>
      <c r="B10543" s="572">
        <v>3.0164499999999999</v>
      </c>
      <c r="C10543" s="572">
        <v>220.72</v>
      </c>
    </row>
    <row r="10544" spans="1:3">
      <c r="A10544" s="571" t="s">
        <v>2074</v>
      </c>
      <c r="B10544" s="572">
        <v>3.4626599999999996</v>
      </c>
      <c r="C10544" s="572">
        <v>220.637</v>
      </c>
    </row>
    <row r="10545" spans="1:3">
      <c r="A10545" s="571" t="s">
        <v>2074</v>
      </c>
      <c r="B10545" s="572">
        <v>3.92136</v>
      </c>
      <c r="C10545" s="572">
        <v>222.37799999999999</v>
      </c>
    </row>
    <row r="10546" spans="1:3">
      <c r="A10546" s="571" t="s">
        <v>2074</v>
      </c>
      <c r="B10546" s="572">
        <v>4.3062399999999998</v>
      </c>
      <c r="C10546" s="572">
        <v>227.773</v>
      </c>
    </row>
    <row r="10547" spans="1:3">
      <c r="A10547" s="571" t="s">
        <v>2074</v>
      </c>
      <c r="B10547" s="572">
        <v>5.1219900000000003</v>
      </c>
      <c r="C10547" s="572">
        <v>231.297</v>
      </c>
    </row>
    <row r="10548" spans="1:3">
      <c r="A10548" s="571" t="s">
        <v>2074</v>
      </c>
      <c r="B10548" s="572">
        <v>6.3889699999999996</v>
      </c>
      <c r="C10548" s="572">
        <v>229.33</v>
      </c>
    </row>
    <row r="10549" spans="1:3">
      <c r="A10549" s="571" t="s">
        <v>2074</v>
      </c>
      <c r="B10549" s="572">
        <v>6.7891300000000001</v>
      </c>
      <c r="C10549" s="572">
        <v>236.56100000000001</v>
      </c>
    </row>
    <row r="10550" spans="1:3">
      <c r="A10550" s="571" t="s">
        <v>2074</v>
      </c>
      <c r="B10550" s="572">
        <v>7.27285</v>
      </c>
      <c r="C10550" s="572">
        <v>241.96799999999999</v>
      </c>
    </row>
    <row r="10551" spans="1:3">
      <c r="A10551" s="571" t="s">
        <v>2074</v>
      </c>
      <c r="B10551" s="572">
        <v>7.8525100000000005</v>
      </c>
      <c r="C10551" s="572">
        <v>241.91399999999999</v>
      </c>
    </row>
    <row r="10552" spans="1:3">
      <c r="A10552" s="571" t="s">
        <v>2074</v>
      </c>
      <c r="B10552" s="572">
        <v>8.1920800000000007</v>
      </c>
      <c r="C10552" s="572">
        <v>243.703</v>
      </c>
    </row>
    <row r="10553" spans="1:3">
      <c r="A10553" s="571" t="s">
        <v>2074</v>
      </c>
      <c r="B10553" s="572">
        <v>8.6890699999999992</v>
      </c>
      <c r="C10553" s="572">
        <v>241.84299999999999</v>
      </c>
    </row>
    <row r="10554" spans="1:3">
      <c r="A10554" s="571" t="s">
        <v>2074</v>
      </c>
      <c r="B10554" s="572">
        <v>9.2908000000000008</v>
      </c>
      <c r="C10554" s="572">
        <v>247.25</v>
      </c>
    </row>
    <row r="10555" spans="1:3">
      <c r="A10555" s="571" t="s">
        <v>2074</v>
      </c>
      <c r="B10555" s="572">
        <v>9.6854999999999993</v>
      </c>
      <c r="C10555" s="572">
        <v>249.03899999999999</v>
      </c>
    </row>
    <row r="10556" spans="1:3">
      <c r="A10556" s="571" t="s">
        <v>2074</v>
      </c>
      <c r="B10556" s="572">
        <v>10.179399999999999</v>
      </c>
      <c r="C10556" s="572">
        <v>252.63900000000001</v>
      </c>
    </row>
    <row r="10557" spans="1:3">
      <c r="A10557" s="571" t="s">
        <v>2074</v>
      </c>
      <c r="B10557" s="572">
        <v>10.784000000000001</v>
      </c>
      <c r="C10557" s="572">
        <v>252.59800000000001</v>
      </c>
    </row>
    <row r="10558" spans="1:3">
      <c r="A10558" s="571" t="s">
        <v>2074</v>
      </c>
      <c r="B10558" s="572">
        <v>11.2364</v>
      </c>
      <c r="C10558" s="572">
        <v>258.02199999999999</v>
      </c>
    </row>
    <row r="10559" spans="1:3">
      <c r="A10559" s="571" t="s">
        <v>2074</v>
      </c>
      <c r="B10559" s="572">
        <v>11.8018</v>
      </c>
      <c r="C10559" s="572">
        <v>259.80500000000001</v>
      </c>
    </row>
    <row r="10560" spans="1:3">
      <c r="A10560" s="571" t="s">
        <v>2074</v>
      </c>
      <c r="B10560" s="572">
        <v>12.9072</v>
      </c>
      <c r="C10560" s="572">
        <v>265.19400000000002</v>
      </c>
    </row>
    <row r="10561" spans="1:3">
      <c r="A10561" s="571" t="s">
        <v>2074</v>
      </c>
      <c r="B10561" s="572">
        <v>13.5497</v>
      </c>
      <c r="C10561" s="572">
        <v>266.97699999999998</v>
      </c>
    </row>
    <row r="10562" spans="1:3">
      <c r="A10562" s="571" t="s">
        <v>2074</v>
      </c>
      <c r="B10562" s="572">
        <v>14.57</v>
      </c>
      <c r="C10562" s="572">
        <v>272.37799999999999</v>
      </c>
    </row>
    <row r="10563" spans="1:3">
      <c r="A10563" s="571" t="s">
        <v>2074</v>
      </c>
      <c r="B10563" s="572">
        <v>14.926299999999999</v>
      </c>
      <c r="C10563" s="572">
        <v>277.81400000000002</v>
      </c>
    </row>
    <row r="10564" spans="1:3">
      <c r="A10564" s="571" t="s">
        <v>2074</v>
      </c>
      <c r="B10564" s="572">
        <v>15.537500000000001</v>
      </c>
      <c r="C10564" s="572">
        <v>281.42099999999999</v>
      </c>
    </row>
    <row r="10565" spans="1:3">
      <c r="A10565" s="571" t="s">
        <v>2074</v>
      </c>
      <c r="B10565" s="572">
        <v>16.302099999999999</v>
      </c>
      <c r="C10565" s="572">
        <v>286.83999999999997</v>
      </c>
    </row>
    <row r="10566" spans="1:3">
      <c r="A10566" s="571" t="s">
        <v>2074</v>
      </c>
      <c r="B10566" s="572">
        <v>16.9664</v>
      </c>
      <c r="C10566" s="572">
        <v>292.26499999999999</v>
      </c>
    </row>
    <row r="10567" spans="1:3">
      <c r="A10567" s="571" t="s">
        <v>2074</v>
      </c>
      <c r="B10567" s="572">
        <v>18.081499999999998</v>
      </c>
      <c r="C10567" s="572">
        <v>294.03500000000003</v>
      </c>
    </row>
    <row r="10568" spans="1:3">
      <c r="A10568" s="571" t="s">
        <v>2074</v>
      </c>
      <c r="B10568" s="572">
        <v>19.114599999999999</v>
      </c>
      <c r="C10568" s="572">
        <v>299.44799999999998</v>
      </c>
    </row>
    <row r="10569" spans="1:3">
      <c r="A10569" s="571" t="s">
        <v>2074</v>
      </c>
      <c r="B10569" s="572">
        <v>20.044599999999999</v>
      </c>
      <c r="C10569" s="572">
        <v>304.86700000000002</v>
      </c>
    </row>
    <row r="10570" spans="1:3">
      <c r="A10570" s="571" t="s">
        <v>2074</v>
      </c>
      <c r="B10570" s="572">
        <v>21.348400000000002</v>
      </c>
      <c r="C10570" s="572">
        <v>295.72899999999998</v>
      </c>
    </row>
    <row r="10571" spans="1:3">
      <c r="A10571" s="571" t="s">
        <v>2074</v>
      </c>
      <c r="B10571" s="572">
        <v>21.69</v>
      </c>
      <c r="C10571" s="572">
        <v>308.44400000000002</v>
      </c>
    </row>
    <row r="10572" spans="1:3">
      <c r="A10572" s="571" t="s">
        <v>2074</v>
      </c>
      <c r="B10572" s="572">
        <v>22.561599999999999</v>
      </c>
      <c r="C10572" s="572">
        <v>315.68700000000001</v>
      </c>
    </row>
    <row r="10573" spans="1:3">
      <c r="A10573" s="571" t="s">
        <v>2074</v>
      </c>
      <c r="B10573" s="572">
        <v>23.8338</v>
      </c>
      <c r="C10573" s="572">
        <v>306.55399999999997</v>
      </c>
    </row>
    <row r="10574" spans="1:3">
      <c r="A10574" s="571" t="s">
        <v>2074</v>
      </c>
      <c r="B10574" s="572">
        <v>24.4025</v>
      </c>
      <c r="C10574" s="572">
        <v>313.80900000000003</v>
      </c>
    </row>
    <row r="10575" spans="1:3">
      <c r="A10575" s="571" t="s">
        <v>2074</v>
      </c>
      <c r="B10575" s="572">
        <v>24.984300000000001</v>
      </c>
      <c r="C10575" s="572">
        <v>321.06400000000002</v>
      </c>
    </row>
    <row r="10576" spans="1:3">
      <c r="A10576" s="571" t="s">
        <v>2074</v>
      </c>
      <c r="B10576" s="572">
        <v>25.975899999999999</v>
      </c>
      <c r="C10576" s="572">
        <v>302.85300000000001</v>
      </c>
    </row>
    <row r="10577" spans="1:3">
      <c r="A10577" s="571" t="s">
        <v>2075</v>
      </c>
      <c r="B10577" s="572">
        <v>0</v>
      </c>
      <c r="C10577" s="572">
        <v>0</v>
      </c>
    </row>
    <row r="10578" spans="1:3">
      <c r="A10578" s="571" t="s">
        <v>2075</v>
      </c>
      <c r="B10578" s="572">
        <v>0.26175999999999999</v>
      </c>
      <c r="C10578" s="572">
        <v>21.7195</v>
      </c>
    </row>
    <row r="10579" spans="1:3">
      <c r="A10579" s="571" t="s">
        <v>2075</v>
      </c>
      <c r="B10579" s="572">
        <v>0.4333499999999999</v>
      </c>
      <c r="C10579" s="572">
        <v>104.977</v>
      </c>
    </row>
    <row r="10580" spans="1:3">
      <c r="A10580" s="571" t="s">
        <v>2075</v>
      </c>
      <c r="B10580" s="572">
        <v>0.67785999999999991</v>
      </c>
      <c r="C10580" s="572">
        <v>170.136</v>
      </c>
    </row>
    <row r="10581" spans="1:3">
      <c r="A10581" s="571" t="s">
        <v>2075</v>
      </c>
      <c r="B10581" s="572">
        <v>0.96408000000000005</v>
      </c>
      <c r="C10581" s="572">
        <v>188.23500000000001</v>
      </c>
    </row>
    <row r="10582" spans="1:3">
      <c r="A10582" s="571" t="s">
        <v>2075</v>
      </c>
      <c r="B10582" s="572">
        <v>1.1979600000000001</v>
      </c>
      <c r="C10582" s="572">
        <v>197.285</v>
      </c>
    </row>
    <row r="10583" spans="1:3">
      <c r="A10583" s="571" t="s">
        <v>2075</v>
      </c>
      <c r="B10583" s="572">
        <v>1.3164400000000001</v>
      </c>
      <c r="C10583" s="572">
        <v>204.52500000000001</v>
      </c>
    </row>
    <row r="10584" spans="1:3">
      <c r="A10584" s="571" t="s">
        <v>2075</v>
      </c>
      <c r="B10584" s="572">
        <v>1.4782000000000002</v>
      </c>
      <c r="C10584" s="572">
        <v>204.52500000000001</v>
      </c>
    </row>
    <row r="10585" spans="1:3">
      <c r="A10585" s="571" t="s">
        <v>2075</v>
      </c>
      <c r="B10585" s="572">
        <v>1.6913299999999998</v>
      </c>
      <c r="C10585" s="572">
        <v>200.905</v>
      </c>
    </row>
    <row r="10586" spans="1:3">
      <c r="A10586" s="571" t="s">
        <v>2075</v>
      </c>
      <c r="B10586" s="572">
        <v>1.8792800000000001</v>
      </c>
      <c r="C10586" s="572">
        <v>200.905</v>
      </c>
    </row>
    <row r="10587" spans="1:3">
      <c r="A10587" s="571" t="s">
        <v>2075</v>
      </c>
      <c r="B10587" s="572">
        <v>2.0573299999999999</v>
      </c>
      <c r="C10587" s="572">
        <v>204.52500000000001</v>
      </c>
    </row>
    <row r="10588" spans="1:3">
      <c r="A10588" s="571" t="s">
        <v>2075</v>
      </c>
      <c r="B10588" s="572">
        <v>2.2463899999999999</v>
      </c>
      <c r="C10588" s="572">
        <v>204.52500000000001</v>
      </c>
    </row>
    <row r="10589" spans="1:3">
      <c r="A10589" s="571" t="s">
        <v>2075</v>
      </c>
      <c r="B10589" s="572">
        <v>2.5255899999999998</v>
      </c>
      <c r="C10589" s="572">
        <v>206.33500000000001</v>
      </c>
    </row>
    <row r="10590" spans="1:3">
      <c r="A10590" s="571" t="s">
        <v>2075</v>
      </c>
      <c r="B10590" s="572">
        <v>2.7435999999999998</v>
      </c>
      <c r="C10590" s="572">
        <v>206.33500000000001</v>
      </c>
    </row>
    <row r="10591" spans="1:3">
      <c r="A10591" s="571" t="s">
        <v>2075</v>
      </c>
      <c r="B10591" s="572">
        <v>3.0050299999999996</v>
      </c>
      <c r="C10591" s="572">
        <v>206.33500000000001</v>
      </c>
    </row>
    <row r="10592" spans="1:3">
      <c r="A10592" s="571" t="s">
        <v>2075</v>
      </c>
      <c r="B10592" s="572">
        <v>3.2847099999999996</v>
      </c>
      <c r="C10592" s="572">
        <v>208.14500000000001</v>
      </c>
    </row>
    <row r="10593" spans="1:3">
      <c r="A10593" s="571" t="s">
        <v>2075</v>
      </c>
      <c r="B10593" s="572">
        <v>3.6184399999999997</v>
      </c>
      <c r="C10593" s="572">
        <v>209.95500000000001</v>
      </c>
    </row>
    <row r="10594" spans="1:3">
      <c r="A10594" s="571" t="s">
        <v>2075</v>
      </c>
      <c r="B10594" s="572">
        <v>3.9409599999999996</v>
      </c>
      <c r="C10594" s="572">
        <v>211.76499999999999</v>
      </c>
    </row>
    <row r="10595" spans="1:3">
      <c r="A10595" s="571" t="s">
        <v>2075</v>
      </c>
      <c r="B10595" s="572">
        <v>4.3658900000000003</v>
      </c>
      <c r="C10595" s="572">
        <v>215.38499999999999</v>
      </c>
    </row>
    <row r="10596" spans="1:3">
      <c r="A10596" s="571" t="s">
        <v>2075</v>
      </c>
      <c r="B10596" s="572">
        <v>4.7838200000000004</v>
      </c>
      <c r="C10596" s="572">
        <v>215.38499999999999</v>
      </c>
    </row>
    <row r="10597" spans="1:3">
      <c r="A10597" s="571" t="s">
        <v>2075</v>
      </c>
      <c r="B10597" s="572">
        <v>5.0956000000000001</v>
      </c>
      <c r="C10597" s="572">
        <v>217.19499999999999</v>
      </c>
    </row>
    <row r="10598" spans="1:3">
      <c r="A10598" s="571" t="s">
        <v>2075</v>
      </c>
      <c r="B10598" s="572">
        <v>5.8214399999999999</v>
      </c>
      <c r="C10598" s="572">
        <v>224.434</v>
      </c>
    </row>
    <row r="10599" spans="1:3">
      <c r="A10599" s="571" t="s">
        <v>2075</v>
      </c>
      <c r="B10599" s="572">
        <v>6.9851000000000001</v>
      </c>
      <c r="C10599" s="572">
        <v>226.244</v>
      </c>
    </row>
    <row r="10600" spans="1:3">
      <c r="A10600" s="571" t="s">
        <v>2075</v>
      </c>
      <c r="B10600" s="572">
        <v>7.8691700000000004</v>
      </c>
      <c r="C10600" s="572">
        <v>233.48400000000001</v>
      </c>
    </row>
    <row r="10601" spans="1:3">
      <c r="A10601" s="571" t="s">
        <v>2075</v>
      </c>
      <c r="B10601" s="572">
        <v>9.4603000000000002</v>
      </c>
      <c r="C10601" s="572">
        <v>238.91399999999999</v>
      </c>
    </row>
    <row r="10602" spans="1:3">
      <c r="A10602" s="571" t="s">
        <v>2075</v>
      </c>
      <c r="B10602" s="572">
        <v>10.8828</v>
      </c>
      <c r="C10602" s="572">
        <v>238.91399999999999</v>
      </c>
    </row>
    <row r="10603" spans="1:3">
      <c r="A10603" s="571" t="s">
        <v>2075</v>
      </c>
      <c r="B10603" s="572">
        <v>12.0998</v>
      </c>
      <c r="C10603" s="572">
        <v>246.154</v>
      </c>
    </row>
    <row r="10604" spans="1:3">
      <c r="A10604" s="571" t="s">
        <v>2075</v>
      </c>
      <c r="B10604" s="572">
        <v>12.7028</v>
      </c>
      <c r="C10604" s="572">
        <v>251.584</v>
      </c>
    </row>
    <row r="10605" spans="1:3">
      <c r="A10605" s="571" t="s">
        <v>2075</v>
      </c>
      <c r="B10605" s="572">
        <v>14.1061</v>
      </c>
      <c r="C10605" s="572">
        <v>242.53399999999999</v>
      </c>
    </row>
    <row r="10606" spans="1:3">
      <c r="A10606" s="571" t="s">
        <v>2075</v>
      </c>
      <c r="B10606" s="572">
        <v>14.5662</v>
      </c>
      <c r="C10606" s="572">
        <v>251.584</v>
      </c>
    </row>
    <row r="10607" spans="1:3">
      <c r="A10607" s="571" t="s">
        <v>2075</v>
      </c>
      <c r="B10607" s="572">
        <v>15.282699999999998</v>
      </c>
      <c r="C10607" s="572">
        <v>247.964</v>
      </c>
    </row>
    <row r="10608" spans="1:3">
      <c r="A10608" s="571" t="s">
        <v>2075</v>
      </c>
      <c r="B10608" s="572">
        <v>17.497</v>
      </c>
      <c r="C10608" s="572">
        <v>249.774</v>
      </c>
    </row>
    <row r="10609" spans="1:3">
      <c r="A10609" s="571" t="s">
        <v>2075</v>
      </c>
      <c r="B10609" s="572">
        <v>19.544899999999998</v>
      </c>
      <c r="C10609" s="572">
        <v>257.01400000000001</v>
      </c>
    </row>
    <row r="10610" spans="1:3">
      <c r="A10610" s="571" t="s">
        <v>2075</v>
      </c>
      <c r="B10610" s="572">
        <v>20.979600000000001</v>
      </c>
      <c r="C10610" s="572">
        <v>267.87299999999999</v>
      </c>
    </row>
    <row r="10611" spans="1:3">
      <c r="A10611" s="571" t="s">
        <v>2075</v>
      </c>
      <c r="B10611" s="572">
        <v>22.691500000000001</v>
      </c>
      <c r="C10611" s="572">
        <v>275.113</v>
      </c>
    </row>
    <row r="10612" spans="1:3">
      <c r="A10612" s="571" t="s">
        <v>2075</v>
      </c>
      <c r="B10612" s="572">
        <v>24.536799999999999</v>
      </c>
      <c r="C10612" s="572">
        <v>280.54300000000001</v>
      </c>
    </row>
    <row r="10613" spans="1:3">
      <c r="A10613" s="571" t="s">
        <v>2075</v>
      </c>
      <c r="B10613" s="572">
        <v>26.3201</v>
      </c>
      <c r="C10613" s="572">
        <v>289.59300000000002</v>
      </c>
    </row>
    <row r="10614" spans="1:3">
      <c r="A10614" s="571" t="s">
        <v>2076</v>
      </c>
      <c r="B10614" s="572">
        <v>0</v>
      </c>
      <c r="C10614" s="572">
        <v>0.90293500000000004</v>
      </c>
    </row>
    <row r="10615" spans="1:3">
      <c r="A10615" s="571" t="s">
        <v>2076</v>
      </c>
      <c r="B10615" s="572">
        <v>0.2077199999999999</v>
      </c>
      <c r="C10615" s="572">
        <v>35.5105</v>
      </c>
    </row>
    <row r="10616" spans="1:3">
      <c r="A10616" s="571" t="s">
        <v>2076</v>
      </c>
      <c r="B10616" s="572">
        <v>0.33226</v>
      </c>
      <c r="C10616" s="572">
        <v>89.840500000000006</v>
      </c>
    </row>
    <row r="10617" spans="1:3">
      <c r="A10617" s="571" t="s">
        <v>2076</v>
      </c>
      <c r="B10617" s="572">
        <v>0.6458600000000001</v>
      </c>
      <c r="C10617" s="572">
        <v>86.560299999999998</v>
      </c>
    </row>
    <row r="10618" spans="1:3">
      <c r="A10618" s="571" t="s">
        <v>2076</v>
      </c>
      <c r="B10618" s="572">
        <v>0.81557999999999997</v>
      </c>
      <c r="C10618" s="572">
        <v>79.490799999999993</v>
      </c>
    </row>
    <row r="10619" spans="1:3">
      <c r="A10619" s="571" t="s">
        <v>2076</v>
      </c>
      <c r="B10619" s="572">
        <v>0.91410999999999998</v>
      </c>
      <c r="C10619" s="572">
        <v>75.962000000000003</v>
      </c>
    </row>
    <row r="10620" spans="1:3">
      <c r="A10620" s="571" t="s">
        <v>2076</v>
      </c>
      <c r="B10620" s="572">
        <v>1.0642100000000001</v>
      </c>
      <c r="C10620" s="572">
        <v>65.245199999999997</v>
      </c>
    </row>
    <row r="10621" spans="1:3">
      <c r="A10621" s="571" t="s">
        <v>2076</v>
      </c>
      <c r="B10621" s="572">
        <v>1.29433</v>
      </c>
      <c r="C10621" s="572">
        <v>54.575699999999998</v>
      </c>
    </row>
    <row r="10622" spans="1:3">
      <c r="A10622" s="571" t="s">
        <v>2076</v>
      </c>
      <c r="B10622" s="572">
        <v>1.4188399999999999</v>
      </c>
      <c r="C10622" s="572">
        <v>49.241</v>
      </c>
    </row>
    <row r="10623" spans="1:3">
      <c r="A10623" s="571" t="s">
        <v>2076</v>
      </c>
      <c r="B10623" s="572">
        <v>1.5309200000000001</v>
      </c>
      <c r="C10623" s="572">
        <v>47.5062</v>
      </c>
    </row>
    <row r="10624" spans="1:3">
      <c r="A10624" s="571" t="s">
        <v>2076</v>
      </c>
      <c r="B10624" s="572">
        <v>1.5889000000000002</v>
      </c>
      <c r="C10624" s="572">
        <v>45.735900000000001</v>
      </c>
    </row>
    <row r="10625" spans="1:3">
      <c r="A10625" s="571" t="s">
        <v>2076</v>
      </c>
      <c r="B10625" s="572">
        <v>1.70886</v>
      </c>
      <c r="C10625" s="572">
        <v>47.6128</v>
      </c>
    </row>
    <row r="10626" spans="1:3">
      <c r="A10626" s="571" t="s">
        <v>2076</v>
      </c>
      <c r="B10626" s="572">
        <v>1.9434200000000001</v>
      </c>
      <c r="C10626" s="572">
        <v>44.131300000000003</v>
      </c>
    </row>
    <row r="10627" spans="1:3">
      <c r="A10627" s="571" t="s">
        <v>2076</v>
      </c>
      <c r="B10627" s="572">
        <v>2.1982900000000001</v>
      </c>
      <c r="C10627" s="572">
        <v>46.067399999999999</v>
      </c>
    </row>
    <row r="10628" spans="1:3">
      <c r="A10628" s="571" t="s">
        <v>2076</v>
      </c>
      <c r="B10628" s="572">
        <v>2.55484</v>
      </c>
      <c r="C10628" s="572">
        <v>40.815600000000003</v>
      </c>
    </row>
    <row r="10629" spans="1:3">
      <c r="A10629" s="571" t="s">
        <v>2076</v>
      </c>
      <c r="B10629" s="572">
        <v>2.6638199999999999</v>
      </c>
      <c r="C10629" s="572">
        <v>44.474699999999999</v>
      </c>
    </row>
    <row r="10630" spans="1:3">
      <c r="A10630" s="571" t="s">
        <v>2076</v>
      </c>
      <c r="B10630" s="572">
        <v>3.0722699999999996</v>
      </c>
      <c r="C10630" s="572">
        <v>48.252200000000002</v>
      </c>
    </row>
    <row r="10631" spans="1:3">
      <c r="A10631" s="571" t="s">
        <v>2076</v>
      </c>
      <c r="B10631" s="572">
        <v>3.4584099999999998</v>
      </c>
      <c r="C10631" s="572">
        <v>46.588500000000003</v>
      </c>
    </row>
    <row r="10632" spans="1:3">
      <c r="A10632" s="571" t="s">
        <v>2076</v>
      </c>
      <c r="B10632" s="572">
        <v>3.8080299999999996</v>
      </c>
      <c r="C10632" s="572">
        <v>52.124499999999998</v>
      </c>
    </row>
    <row r="10633" spans="1:3">
      <c r="A10633" s="571" t="s">
        <v>2076</v>
      </c>
      <c r="B10633" s="572">
        <v>4.6340399999999997</v>
      </c>
      <c r="C10633" s="572">
        <v>50.567300000000003</v>
      </c>
    </row>
    <row r="10634" spans="1:3">
      <c r="A10634" s="571" t="s">
        <v>2076</v>
      </c>
      <c r="B10634" s="572">
        <v>5.5522999999999998</v>
      </c>
      <c r="C10634" s="572">
        <v>52.61</v>
      </c>
    </row>
    <row r="10635" spans="1:3">
      <c r="A10635" s="571" t="s">
        <v>2076</v>
      </c>
      <c r="B10635" s="572">
        <v>6.17361</v>
      </c>
      <c r="C10635" s="572">
        <v>58.169699999999999</v>
      </c>
    </row>
    <row r="10636" spans="1:3">
      <c r="A10636" s="571" t="s">
        <v>2076</v>
      </c>
      <c r="B10636" s="572">
        <v>6.8538399999999999</v>
      </c>
      <c r="C10636" s="572">
        <v>60.117699999999999</v>
      </c>
    </row>
    <row r="10637" spans="1:3">
      <c r="A10637" s="571" t="s">
        <v>2076</v>
      </c>
      <c r="B10637" s="572">
        <v>7.0946200000000008</v>
      </c>
      <c r="C10637" s="572">
        <v>63.776800000000001</v>
      </c>
    </row>
    <row r="10638" spans="1:3">
      <c r="A10638" s="571" t="s">
        <v>2076</v>
      </c>
      <c r="B10638" s="572">
        <v>7.4060199999999998</v>
      </c>
      <c r="C10638" s="572">
        <v>65.641900000000007</v>
      </c>
    </row>
    <row r="10639" spans="1:3">
      <c r="A10639" s="571" t="s">
        <v>2076</v>
      </c>
      <c r="B10639" s="572">
        <v>7.7955400000000008</v>
      </c>
      <c r="C10639" s="572">
        <v>67.518799999999999</v>
      </c>
    </row>
    <row r="10640" spans="1:3">
      <c r="A10640" s="571" t="s">
        <v>2076</v>
      </c>
      <c r="B10640" s="572">
        <v>8.1338899999999992</v>
      </c>
      <c r="C10640" s="572">
        <v>62.160400000000003</v>
      </c>
    </row>
    <row r="10641" spans="1:3">
      <c r="A10641" s="571" t="s">
        <v>2076</v>
      </c>
      <c r="B10641" s="572">
        <v>8.6295599999999997</v>
      </c>
      <c r="C10641" s="572">
        <v>67.660899999999998</v>
      </c>
    </row>
    <row r="10642" spans="1:3">
      <c r="A10642" s="571" t="s">
        <v>2076</v>
      </c>
      <c r="B10642" s="572">
        <v>9.4634</v>
      </c>
      <c r="C10642" s="572">
        <v>71.402900000000002</v>
      </c>
    </row>
    <row r="10643" spans="1:3">
      <c r="A10643" s="571" t="s">
        <v>2076</v>
      </c>
      <c r="B10643" s="572">
        <v>10.199</v>
      </c>
      <c r="C10643" s="572">
        <v>75.121200000000002</v>
      </c>
    </row>
    <row r="10644" spans="1:3">
      <c r="A10644" s="571" t="s">
        <v>2076</v>
      </c>
      <c r="B10644" s="572">
        <v>10.629799999999999</v>
      </c>
      <c r="C10644" s="572">
        <v>75.180400000000006</v>
      </c>
    </row>
    <row r="10645" spans="1:3">
      <c r="A10645" s="571" t="s">
        <v>2076</v>
      </c>
      <c r="B10645" s="572">
        <v>11.077199999999999</v>
      </c>
      <c r="C10645" s="572">
        <v>80.657200000000003</v>
      </c>
    </row>
    <row r="10646" spans="1:3">
      <c r="A10646" s="571" t="s">
        <v>2076</v>
      </c>
      <c r="B10646" s="572">
        <v>12.0243</v>
      </c>
      <c r="C10646" s="572">
        <v>86.193200000000004</v>
      </c>
    </row>
    <row r="10647" spans="1:3">
      <c r="A10647" s="571" t="s">
        <v>2076</v>
      </c>
      <c r="B10647" s="572">
        <v>13.2593</v>
      </c>
      <c r="C10647" s="572">
        <v>89.947100000000006</v>
      </c>
    </row>
    <row r="10648" spans="1:3">
      <c r="A10648" s="571" t="s">
        <v>2076</v>
      </c>
      <c r="B10648" s="572">
        <v>14.147</v>
      </c>
      <c r="C10648" s="572">
        <v>90.041799999999995</v>
      </c>
    </row>
    <row r="10649" spans="1:3">
      <c r="A10649" s="571" t="s">
        <v>2076</v>
      </c>
      <c r="B10649" s="572">
        <v>15.212</v>
      </c>
      <c r="C10649" s="572">
        <v>97.371899999999997</v>
      </c>
    </row>
    <row r="10650" spans="1:3">
      <c r="A10650" s="571" t="s">
        <v>2076</v>
      </c>
      <c r="B10650" s="572">
        <v>15.963200000000001</v>
      </c>
      <c r="C10650" s="572">
        <v>104.666</v>
      </c>
    </row>
    <row r="10651" spans="1:3">
      <c r="A10651" s="571" t="s">
        <v>2076</v>
      </c>
      <c r="B10651" s="572">
        <v>16.883800000000001</v>
      </c>
      <c r="C10651" s="572">
        <v>106.55500000000001</v>
      </c>
    </row>
    <row r="10652" spans="1:3">
      <c r="A10652" s="571" t="s">
        <v>2076</v>
      </c>
      <c r="B10652" s="572">
        <v>17.997199999999999</v>
      </c>
      <c r="C10652" s="572">
        <v>110.262</v>
      </c>
    </row>
    <row r="10653" spans="1:3">
      <c r="A10653" s="571" t="s">
        <v>2076</v>
      </c>
      <c r="B10653" s="572">
        <v>19.028099999999998</v>
      </c>
      <c r="C10653" s="572">
        <v>112.15</v>
      </c>
    </row>
    <row r="10654" spans="1:3">
      <c r="A10654" s="571" t="s">
        <v>2076</v>
      </c>
      <c r="B10654" s="572">
        <v>20.598600000000001</v>
      </c>
      <c r="C10654" s="572">
        <v>106.851</v>
      </c>
    </row>
    <row r="10655" spans="1:3">
      <c r="A10655" s="571" t="s">
        <v>2076</v>
      </c>
      <c r="B10655" s="572">
        <v>21.093399999999999</v>
      </c>
      <c r="C10655" s="572">
        <v>119.52800000000001</v>
      </c>
    </row>
    <row r="10656" spans="1:3">
      <c r="A10656" s="571" t="s">
        <v>2076</v>
      </c>
      <c r="B10656" s="572">
        <v>22.1172</v>
      </c>
      <c r="C10656" s="572">
        <v>121.405</v>
      </c>
    </row>
    <row r="10657" spans="1:3">
      <c r="A10657" s="571" t="s">
        <v>2076</v>
      </c>
      <c r="B10657" s="572">
        <v>22.825900000000001</v>
      </c>
      <c r="C10657" s="572">
        <v>116.03400000000001</v>
      </c>
    </row>
    <row r="10658" spans="1:3">
      <c r="A10658" s="571" t="s">
        <v>2076</v>
      </c>
      <c r="B10658" s="572">
        <v>23.9299</v>
      </c>
      <c r="C10658" s="572">
        <v>119.717</v>
      </c>
    </row>
    <row r="10659" spans="1:3">
      <c r="A10659" s="571" t="s">
        <v>2076</v>
      </c>
      <c r="B10659" s="572">
        <v>24.501000000000001</v>
      </c>
      <c r="C10659" s="572">
        <v>128.78200000000001</v>
      </c>
    </row>
    <row r="10660" spans="1:3">
      <c r="A10660" s="571" t="s">
        <v>2076</v>
      </c>
      <c r="B10660" s="572">
        <v>25.282800000000002</v>
      </c>
      <c r="C10660" s="572">
        <v>127.024</v>
      </c>
    </row>
    <row r="10661" spans="1:3">
      <c r="A10661" s="571" t="s">
        <v>2076</v>
      </c>
      <c r="B10661" s="572">
        <v>27.130700000000001</v>
      </c>
      <c r="C10661" s="572">
        <v>137.965</v>
      </c>
    </row>
    <row r="10662" spans="1:3">
      <c r="A10662" s="571" t="s">
        <v>2077</v>
      </c>
      <c r="B10662" s="572">
        <v>0</v>
      </c>
      <c r="C10662" s="572">
        <v>4.5351499999999998</v>
      </c>
    </row>
    <row r="10663" spans="1:3">
      <c r="A10663" s="571" t="s">
        <v>2077</v>
      </c>
      <c r="B10663" s="572">
        <v>0.19863999999999993</v>
      </c>
      <c r="C10663" s="572">
        <v>33.560099999999998</v>
      </c>
    </row>
    <row r="10664" spans="1:3">
      <c r="A10664" s="571" t="s">
        <v>2077</v>
      </c>
      <c r="B10664" s="572">
        <v>0.41521000000000008</v>
      </c>
      <c r="C10664" s="572">
        <v>122.449</v>
      </c>
    </row>
    <row r="10665" spans="1:3">
      <c r="A10665" s="571" t="s">
        <v>2077</v>
      </c>
      <c r="B10665" s="572">
        <v>0.58488999999999991</v>
      </c>
      <c r="C10665" s="572">
        <v>127.89100000000001</v>
      </c>
    </row>
    <row r="10666" spans="1:3">
      <c r="A10666" s="571" t="s">
        <v>2077</v>
      </c>
      <c r="B10666" s="572">
        <v>0.67090000000000005</v>
      </c>
      <c r="C10666" s="572">
        <v>122.449</v>
      </c>
    </row>
    <row r="10667" spans="1:3">
      <c r="A10667" s="571" t="s">
        <v>2077</v>
      </c>
      <c r="B10667" s="572">
        <v>0.76157999999999992</v>
      </c>
      <c r="C10667" s="572">
        <v>111.565</v>
      </c>
    </row>
    <row r="10668" spans="1:3">
      <c r="A10668" s="571" t="s">
        <v>2077</v>
      </c>
      <c r="B10668" s="572">
        <v>0.85716999999999999</v>
      </c>
      <c r="C10668" s="572">
        <v>100.68</v>
      </c>
    </row>
    <row r="10669" spans="1:3">
      <c r="A10669" s="571" t="s">
        <v>2077</v>
      </c>
      <c r="B10669" s="572">
        <v>0.94323000000000001</v>
      </c>
      <c r="C10669" s="572">
        <v>93.424000000000007</v>
      </c>
    </row>
    <row r="10670" spans="1:3">
      <c r="A10670" s="571" t="s">
        <v>2077</v>
      </c>
      <c r="B10670" s="572">
        <v>1.1114999999999999</v>
      </c>
      <c r="C10670" s="572">
        <v>86.1678</v>
      </c>
    </row>
    <row r="10671" spans="1:3">
      <c r="A10671" s="571" t="s">
        <v>2077</v>
      </c>
      <c r="B10671" s="572">
        <v>1.19272</v>
      </c>
      <c r="C10671" s="572">
        <v>82.539699999999996</v>
      </c>
    </row>
    <row r="10672" spans="1:3">
      <c r="A10672" s="571" t="s">
        <v>2077</v>
      </c>
      <c r="B10672" s="572">
        <v>1.4371700000000001</v>
      </c>
      <c r="C10672" s="572">
        <v>78.911600000000007</v>
      </c>
    </row>
    <row r="10673" spans="1:3">
      <c r="A10673" s="571" t="s">
        <v>2077</v>
      </c>
      <c r="B10673" s="572">
        <v>1.7709100000000002</v>
      </c>
      <c r="C10673" s="572">
        <v>71.655299999999997</v>
      </c>
    </row>
    <row r="10674" spans="1:3">
      <c r="A10674" s="571" t="s">
        <v>2077</v>
      </c>
      <c r="B10674" s="572">
        <v>2.1031499999999999</v>
      </c>
      <c r="C10674" s="572">
        <v>69.841300000000004</v>
      </c>
    </row>
    <row r="10675" spans="1:3">
      <c r="A10675" s="571" t="s">
        <v>2077</v>
      </c>
      <c r="B10675" s="572">
        <v>2.5015700000000001</v>
      </c>
      <c r="C10675" s="572">
        <v>73.469399999999993</v>
      </c>
    </row>
    <row r="10676" spans="1:3">
      <c r="A10676" s="571" t="s">
        <v>2077</v>
      </c>
      <c r="B10676" s="572">
        <v>2.8919199999999998</v>
      </c>
      <c r="C10676" s="572">
        <v>73.469399999999993</v>
      </c>
    </row>
    <row r="10677" spans="1:3">
      <c r="A10677" s="571" t="s">
        <v>2077</v>
      </c>
      <c r="B10677" s="572">
        <v>3.2609700000000004</v>
      </c>
      <c r="C10677" s="572">
        <v>75.2834</v>
      </c>
    </row>
    <row r="10678" spans="1:3">
      <c r="A10678" s="571" t="s">
        <v>2077</v>
      </c>
      <c r="B10678" s="572">
        <v>3.7718699999999998</v>
      </c>
      <c r="C10678" s="572">
        <v>78.911600000000007</v>
      </c>
    </row>
    <row r="10679" spans="1:3">
      <c r="A10679" s="571" t="s">
        <v>2077</v>
      </c>
      <c r="B10679" s="572">
        <v>4.8507699999999998</v>
      </c>
      <c r="C10679" s="572">
        <v>84.353700000000003</v>
      </c>
    </row>
    <row r="10680" spans="1:3">
      <c r="A10680" s="571" t="s">
        <v>2077</v>
      </c>
      <c r="B10680" s="572">
        <v>5.3095699999999999</v>
      </c>
      <c r="C10680" s="572">
        <v>87.981899999999996</v>
      </c>
    </row>
    <row r="10681" spans="1:3">
      <c r="A10681" s="571" t="s">
        <v>2077</v>
      </c>
      <c r="B10681" s="572">
        <v>6.22797</v>
      </c>
      <c r="C10681" s="572">
        <v>91.61</v>
      </c>
    </row>
    <row r="10682" spans="1:3">
      <c r="A10682" s="571" t="s">
        <v>2077</v>
      </c>
      <c r="B10682" s="572">
        <v>6.7947699999999998</v>
      </c>
      <c r="C10682" s="572">
        <v>95.238100000000003</v>
      </c>
    </row>
    <row r="10683" spans="1:3">
      <c r="A10683" s="571" t="s">
        <v>2077</v>
      </c>
      <c r="B10683" s="572">
        <v>7.0946200000000008</v>
      </c>
      <c r="C10683" s="572">
        <v>100.68</v>
      </c>
    </row>
    <row r="10684" spans="1:3">
      <c r="A10684" s="571" t="s">
        <v>2077</v>
      </c>
      <c r="B10684" s="572">
        <v>8.0651899999999994</v>
      </c>
      <c r="C10684" s="572">
        <v>104.30800000000001</v>
      </c>
    </row>
    <row r="10685" spans="1:3">
      <c r="A10685" s="571" t="s">
        <v>2077</v>
      </c>
      <c r="B10685" s="572">
        <v>8.7760599999999993</v>
      </c>
      <c r="C10685" s="572">
        <v>107.937</v>
      </c>
    </row>
    <row r="10686" spans="1:3">
      <c r="A10686" s="571" t="s">
        <v>2077</v>
      </c>
      <c r="B10686" s="572">
        <v>9.7030999999999992</v>
      </c>
      <c r="C10686" s="572">
        <v>107.937</v>
      </c>
    </row>
    <row r="10687" spans="1:3">
      <c r="A10687" s="571" t="s">
        <v>2077</v>
      </c>
      <c r="B10687" s="572">
        <v>10.806800000000001</v>
      </c>
      <c r="C10687" s="572">
        <v>109.751</v>
      </c>
    </row>
    <row r="10688" spans="1:3">
      <c r="A10688" s="571" t="s">
        <v>2077</v>
      </c>
      <c r="B10688" s="572">
        <v>11.353899999999999</v>
      </c>
      <c r="C10688" s="572">
        <v>115.193</v>
      </c>
    </row>
    <row r="10689" spans="1:3">
      <c r="A10689" s="571" t="s">
        <v>2077</v>
      </c>
      <c r="B10689" s="572">
        <v>11.8291</v>
      </c>
      <c r="C10689" s="572">
        <v>117.00700000000001</v>
      </c>
    </row>
    <row r="10690" spans="1:3">
      <c r="A10690" s="571" t="s">
        <v>2077</v>
      </c>
      <c r="B10690" s="572">
        <v>12.4236</v>
      </c>
      <c r="C10690" s="572">
        <v>111.565</v>
      </c>
    </row>
    <row r="10691" spans="1:3">
      <c r="A10691" s="571" t="s">
        <v>2077</v>
      </c>
      <c r="B10691" s="572">
        <v>12.7311</v>
      </c>
      <c r="C10691" s="572">
        <v>104.30800000000001</v>
      </c>
    </row>
    <row r="10692" spans="1:3">
      <c r="A10692" s="571" t="s">
        <v>2077</v>
      </c>
      <c r="B10692" s="572">
        <v>13.2593</v>
      </c>
      <c r="C10692" s="572">
        <v>117.00700000000001</v>
      </c>
    </row>
    <row r="10693" spans="1:3">
      <c r="A10693" s="571" t="s">
        <v>2077</v>
      </c>
      <c r="B10693" s="572">
        <v>13.6965</v>
      </c>
      <c r="C10693" s="572">
        <v>120.63500000000001</v>
      </c>
    </row>
    <row r="10694" spans="1:3">
      <c r="A10694" s="571" t="s">
        <v>2077</v>
      </c>
      <c r="B10694" s="572">
        <v>14.494</v>
      </c>
      <c r="C10694" s="572">
        <v>126.077</v>
      </c>
    </row>
    <row r="10695" spans="1:3">
      <c r="A10695" s="571" t="s">
        <v>2077</v>
      </c>
      <c r="B10695" s="572">
        <v>14.8489</v>
      </c>
      <c r="C10695" s="572">
        <v>120.63500000000001</v>
      </c>
    </row>
    <row r="10696" spans="1:3">
      <c r="A10696" s="571" t="s">
        <v>2077</v>
      </c>
      <c r="B10696" s="572">
        <v>15.583300000000001</v>
      </c>
      <c r="C10696" s="572">
        <v>120.63500000000001</v>
      </c>
    </row>
    <row r="10697" spans="1:3">
      <c r="A10697" s="571" t="s">
        <v>2077</v>
      </c>
      <c r="B10697" s="572">
        <v>16.351800000000001</v>
      </c>
      <c r="C10697" s="572">
        <v>126.077</v>
      </c>
    </row>
    <row r="10698" spans="1:3">
      <c r="A10698" s="571" t="s">
        <v>2077</v>
      </c>
      <c r="B10698" s="572">
        <v>17.293399999999998</v>
      </c>
      <c r="C10698" s="572">
        <v>133.333</v>
      </c>
    </row>
    <row r="10699" spans="1:3">
      <c r="A10699" s="571" t="s">
        <v>2077</v>
      </c>
      <c r="B10699" s="572">
        <v>18.286200000000001</v>
      </c>
      <c r="C10699" s="572">
        <v>118.821</v>
      </c>
    </row>
    <row r="10700" spans="1:3">
      <c r="A10700" s="571" t="s">
        <v>2077</v>
      </c>
      <c r="B10700" s="572">
        <v>19.642099999999999</v>
      </c>
      <c r="C10700" s="572">
        <v>144.21799999999999</v>
      </c>
    </row>
    <row r="10701" spans="1:3">
      <c r="A10701" s="571" t="s">
        <v>2077</v>
      </c>
      <c r="B10701" s="572">
        <v>21.2608</v>
      </c>
      <c r="C10701" s="572">
        <v>147.846</v>
      </c>
    </row>
    <row r="10702" spans="1:3">
      <c r="A10702" s="571" t="s">
        <v>2077</v>
      </c>
      <c r="B10702" s="572">
        <v>22.468800000000002</v>
      </c>
      <c r="C10702" s="572">
        <v>144.21799999999999</v>
      </c>
    </row>
    <row r="10703" spans="1:3">
      <c r="A10703" s="571" t="s">
        <v>2077</v>
      </c>
      <c r="B10703" s="572">
        <v>23.9299</v>
      </c>
      <c r="C10703" s="572">
        <v>144.21799999999999</v>
      </c>
    </row>
    <row r="10704" spans="1:3">
      <c r="A10704" s="571" t="s">
        <v>2077</v>
      </c>
      <c r="B10704" s="572">
        <v>25.0852</v>
      </c>
      <c r="C10704" s="572">
        <v>153.28800000000001</v>
      </c>
    </row>
    <row r="10705" spans="1:3">
      <c r="A10705" s="571" t="s">
        <v>2077</v>
      </c>
      <c r="B10705" s="572">
        <v>26.709099999999999</v>
      </c>
      <c r="C10705" s="572">
        <v>155.102</v>
      </c>
    </row>
    <row r="10706" spans="1:3">
      <c r="A10706" s="571" t="s">
        <v>397</v>
      </c>
      <c r="B10706" s="572">
        <v>0</v>
      </c>
      <c r="C10706" s="572">
        <v>22.3</v>
      </c>
    </row>
    <row r="10707" spans="1:3">
      <c r="A10707" s="571" t="s">
        <v>397</v>
      </c>
      <c r="B10707" s="572">
        <v>1.03986</v>
      </c>
      <c r="C10707" s="572">
        <v>178.17399999999998</v>
      </c>
    </row>
    <row r="10708" spans="1:3">
      <c r="A10708" s="571" t="s">
        <v>397</v>
      </c>
      <c r="B10708" s="572">
        <v>3.11958</v>
      </c>
      <c r="C10708" s="572">
        <v>334.07599999999996</v>
      </c>
    </row>
    <row r="10709" spans="1:3">
      <c r="A10709" s="571" t="s">
        <v>397</v>
      </c>
      <c r="B10709" s="572">
        <v>4.9393399999999996</v>
      </c>
      <c r="C10709" s="572">
        <v>423.16300000000001</v>
      </c>
    </row>
    <row r="10710" spans="1:3">
      <c r="A10710" s="571" t="s">
        <v>397</v>
      </c>
      <c r="B10710" s="572">
        <v>6.7591000000000001</v>
      </c>
      <c r="C10710" s="572">
        <v>512.24900000000002</v>
      </c>
    </row>
    <row r="10711" spans="1:3">
      <c r="A10711" s="571" t="s">
        <v>397</v>
      </c>
      <c r="B10711" s="572">
        <v>9.8786799999999992</v>
      </c>
      <c r="C10711" s="572">
        <v>690.423</v>
      </c>
    </row>
    <row r="10712" spans="1:3">
      <c r="A10712" s="571" t="s">
        <v>397</v>
      </c>
      <c r="B10712" s="572">
        <v>10.9185</v>
      </c>
      <c r="C10712" s="572">
        <v>601.3359999999999</v>
      </c>
    </row>
    <row r="10713" spans="1:3">
      <c r="A10713" s="571" t="s">
        <v>397</v>
      </c>
      <c r="B10713" s="572">
        <v>12.478300000000001</v>
      </c>
      <c r="C10713" s="572">
        <v>690.423</v>
      </c>
    </row>
    <row r="10714" spans="1:3">
      <c r="A10714" s="571" t="s">
        <v>397</v>
      </c>
      <c r="B10714" s="572">
        <v>13.7782</v>
      </c>
      <c r="C10714" s="572">
        <v>734.96699999999998</v>
      </c>
    </row>
    <row r="10715" spans="1:3">
      <c r="A10715" s="571" t="s">
        <v>397</v>
      </c>
      <c r="B10715" s="572">
        <v>15.077999999999999</v>
      </c>
      <c r="C10715" s="572">
        <v>824.053</v>
      </c>
    </row>
    <row r="10716" spans="1:3">
      <c r="A10716" s="571" t="s">
        <v>397</v>
      </c>
      <c r="B10716" s="572">
        <v>16.377800000000001</v>
      </c>
      <c r="C10716" s="572">
        <v>690.423</v>
      </c>
    </row>
    <row r="10717" spans="1:3">
      <c r="A10717" s="571" t="s">
        <v>397</v>
      </c>
      <c r="B10717" s="572">
        <v>17.9376</v>
      </c>
      <c r="C10717" s="572">
        <v>779.51</v>
      </c>
    </row>
    <row r="10718" spans="1:3">
      <c r="A10718" s="571" t="s">
        <v>397</v>
      </c>
      <c r="B10718" s="572">
        <v>20.017299999999999</v>
      </c>
      <c r="C10718" s="572">
        <v>868.59699999999998</v>
      </c>
    </row>
    <row r="10719" spans="1:3">
      <c r="A10719" s="571" t="s">
        <v>397</v>
      </c>
      <c r="B10719" s="572">
        <v>20.537299999999998</v>
      </c>
      <c r="C10719" s="572">
        <v>690.423</v>
      </c>
    </row>
    <row r="10720" spans="1:3">
      <c r="A10720" s="571" t="s">
        <v>397</v>
      </c>
      <c r="B10720" s="572">
        <v>27.5563</v>
      </c>
      <c r="C10720" s="572">
        <v>1002.23</v>
      </c>
    </row>
    <row r="10721" spans="1:3">
      <c r="A10721" s="571" t="s">
        <v>397</v>
      </c>
      <c r="B10721" s="572">
        <v>34.575400000000002</v>
      </c>
      <c r="C10721" s="572">
        <v>1135.8600000000001</v>
      </c>
    </row>
    <row r="10722" spans="1:3">
      <c r="A10722" s="571" t="s">
        <v>397</v>
      </c>
      <c r="B10722" s="572">
        <v>41.594499999999996</v>
      </c>
      <c r="C10722" s="572">
        <v>1224.94</v>
      </c>
    </row>
    <row r="10723" spans="1:3">
      <c r="A10723" s="571" t="s">
        <v>397</v>
      </c>
      <c r="B10723" s="572">
        <v>49.133400000000002</v>
      </c>
      <c r="C10723" s="572">
        <v>1269.49</v>
      </c>
    </row>
    <row r="10724" spans="1:3">
      <c r="A10724" s="571" t="s">
        <v>397</v>
      </c>
      <c r="B10724" s="572">
        <v>55.632599999999996</v>
      </c>
      <c r="C10724" s="572">
        <v>1403.1200000000001</v>
      </c>
    </row>
    <row r="10725" spans="1:3">
      <c r="A10725" s="571" t="s">
        <v>397</v>
      </c>
      <c r="B10725" s="572">
        <v>87.6083</v>
      </c>
      <c r="C10725" s="572">
        <v>1648.11</v>
      </c>
    </row>
    <row r="10726" spans="1:3">
      <c r="A10726" s="573" t="s">
        <v>397</v>
      </c>
      <c r="B10726" s="574">
        <v>120.624</v>
      </c>
      <c r="C10726" s="574">
        <v>1759.47</v>
      </c>
    </row>
    <row r="10727" spans="1:3">
      <c r="A10727" s="573" t="s">
        <v>397</v>
      </c>
      <c r="B10727" s="574">
        <v>136.482</v>
      </c>
      <c r="C10727" s="574">
        <v>1982.18</v>
      </c>
    </row>
    <row r="10728" spans="1:3">
      <c r="A10728" s="573" t="s">
        <v>397</v>
      </c>
      <c r="B10728" s="574">
        <v>139.34100000000001</v>
      </c>
      <c r="C10728" s="574">
        <v>1982.18</v>
      </c>
    </row>
    <row r="10729" spans="1:3">
      <c r="A10729" s="573" t="s">
        <v>397</v>
      </c>
      <c r="B10729" s="574">
        <v>152.34</v>
      </c>
      <c r="C10729" s="574">
        <v>2071.27</v>
      </c>
    </row>
    <row r="10730" spans="1:3">
      <c r="A10730" s="573" t="s">
        <v>397</v>
      </c>
      <c r="B10730" s="574">
        <v>160.399</v>
      </c>
      <c r="C10730" s="574">
        <v>2138.08</v>
      </c>
    </row>
    <row r="10731" spans="1:3">
      <c r="A10731" s="571" t="s">
        <v>398</v>
      </c>
      <c r="B10731" s="572">
        <v>1.00719</v>
      </c>
      <c r="C10731" s="572">
        <v>14.5101</v>
      </c>
    </row>
    <row r="10732" spans="1:3">
      <c r="A10732" s="571" t="s">
        <v>398</v>
      </c>
      <c r="B10732" s="572">
        <v>2.0143900000000001</v>
      </c>
      <c r="C10732" s="572">
        <v>29.294499999999999</v>
      </c>
    </row>
    <row r="10733" spans="1:3">
      <c r="A10733" s="571" t="s">
        <v>398</v>
      </c>
      <c r="B10733" s="572">
        <v>4.1966400000000004</v>
      </c>
      <c r="C10733" s="572">
        <v>53.923299999999998</v>
      </c>
    </row>
    <row r="10734" spans="1:3">
      <c r="A10734" s="571" t="s">
        <v>398</v>
      </c>
      <c r="B10734" s="572">
        <v>13.765000000000001</v>
      </c>
      <c r="C10734" s="572">
        <v>121.157</v>
      </c>
    </row>
    <row r="10735" spans="1:3">
      <c r="A10735" s="571" t="s">
        <v>398</v>
      </c>
      <c r="B10735" s="572">
        <v>20.311800000000002</v>
      </c>
      <c r="C10735" s="572">
        <v>163.78200000000001</v>
      </c>
    </row>
    <row r="10736" spans="1:3">
      <c r="A10736" s="571" t="s">
        <v>398</v>
      </c>
      <c r="B10736" s="572">
        <v>28.0336</v>
      </c>
      <c r="C10736" s="572">
        <v>189.92599999999999</v>
      </c>
    </row>
    <row r="10737" spans="1:3">
      <c r="A10737" s="571" t="s">
        <v>398</v>
      </c>
      <c r="B10737" s="572">
        <v>34.076700000000002</v>
      </c>
      <c r="C10737" s="572">
        <v>260.53399999999999</v>
      </c>
    </row>
    <row r="10738" spans="1:3">
      <c r="A10738" s="571" t="s">
        <v>398</v>
      </c>
      <c r="B10738" s="572">
        <v>41.7986</v>
      </c>
      <c r="C10738" s="572">
        <v>268.57900000000001</v>
      </c>
    </row>
    <row r="10739" spans="1:3">
      <c r="A10739" s="571" t="s">
        <v>398</v>
      </c>
      <c r="B10739" s="572">
        <v>47.673900000000003</v>
      </c>
      <c r="C10739" s="572">
        <v>281.60300000000001</v>
      </c>
    </row>
    <row r="10740" spans="1:3">
      <c r="A10740" s="571" t="s">
        <v>398</v>
      </c>
      <c r="B10740" s="572">
        <v>54.892099999999999</v>
      </c>
      <c r="C10740" s="572">
        <v>319.27600000000001</v>
      </c>
    </row>
    <row r="10741" spans="1:3">
      <c r="A10741" s="571" t="s">
        <v>398</v>
      </c>
      <c r="B10741" s="572">
        <v>60.263800000000003</v>
      </c>
      <c r="C10741" s="572">
        <v>335.60399999999998</v>
      </c>
    </row>
    <row r="10742" spans="1:3">
      <c r="A10742" s="571" t="s">
        <v>399</v>
      </c>
      <c r="B10742" s="572">
        <v>1.9073</v>
      </c>
      <c r="C10742" s="572">
        <v>11.583399999999999</v>
      </c>
    </row>
    <row r="10743" spans="1:3">
      <c r="A10743" s="571" t="s">
        <v>399</v>
      </c>
      <c r="B10743" s="572">
        <v>4.6134899999999996</v>
      </c>
      <c r="C10743" s="572">
        <v>8.1331199999999999</v>
      </c>
    </row>
    <row r="10744" spans="1:3">
      <c r="A10744" s="571" t="s">
        <v>399</v>
      </c>
      <c r="B10744" s="572">
        <v>7.1503800000000002</v>
      </c>
      <c r="C10744" s="572">
        <v>26.205200000000001</v>
      </c>
    </row>
    <row r="10745" spans="1:3">
      <c r="A10745" s="571" t="s">
        <v>399</v>
      </c>
      <c r="B10745" s="572">
        <v>14.418799999999999</v>
      </c>
      <c r="C10745" s="572">
        <v>67.242900000000006</v>
      </c>
    </row>
    <row r="10746" spans="1:3">
      <c r="A10746" s="571" t="s">
        <v>399</v>
      </c>
      <c r="B10746" s="572">
        <v>21.009399999999999</v>
      </c>
      <c r="C10746" s="572">
        <v>100.05500000000001</v>
      </c>
    </row>
    <row r="10747" spans="1:3">
      <c r="A10747" s="571" t="s">
        <v>399</v>
      </c>
      <c r="B10747" s="572">
        <v>27.932400000000001</v>
      </c>
      <c r="C10747" s="572">
        <v>119.672</v>
      </c>
    </row>
    <row r="10748" spans="1:3">
      <c r="A10748" s="571" t="s">
        <v>399</v>
      </c>
      <c r="B10748" s="572">
        <v>35.190899999999999</v>
      </c>
      <c r="C10748" s="572">
        <v>134.33600000000001</v>
      </c>
    </row>
    <row r="10749" spans="1:3">
      <c r="A10749" s="571" t="s">
        <v>399</v>
      </c>
      <c r="B10749" s="572">
        <v>42.277000000000001</v>
      </c>
      <c r="C10749" s="572">
        <v>139.114</v>
      </c>
    </row>
    <row r="10750" spans="1:3">
      <c r="A10750" s="571" t="s">
        <v>399</v>
      </c>
      <c r="B10750" s="572">
        <v>49.37</v>
      </c>
      <c r="C10750" s="572">
        <v>162.024</v>
      </c>
    </row>
    <row r="10751" spans="1:3">
      <c r="A10751" s="571" t="s">
        <v>399</v>
      </c>
      <c r="B10751" s="572">
        <v>60.506700000000002</v>
      </c>
      <c r="C10751" s="572">
        <v>173.3</v>
      </c>
    </row>
    <row r="10752" spans="1:3">
      <c r="A10752" s="571" t="s">
        <v>400</v>
      </c>
      <c r="B10752" s="572">
        <v>5.9476199999999997</v>
      </c>
      <c r="C10752" s="572">
        <v>43.8703</v>
      </c>
    </row>
    <row r="10753" spans="1:3">
      <c r="A10753" s="571" t="s">
        <v>400</v>
      </c>
      <c r="B10753" s="572">
        <v>7.1281800000000004</v>
      </c>
      <c r="C10753" s="572">
        <v>58.622900000000001</v>
      </c>
    </row>
    <row r="10754" spans="1:3">
      <c r="A10754" s="571" t="s">
        <v>400</v>
      </c>
      <c r="B10754" s="572">
        <v>14.0259</v>
      </c>
      <c r="C10754" s="572">
        <v>99.432100000000005</v>
      </c>
    </row>
    <row r="10755" spans="1:3">
      <c r="A10755" s="571" t="s">
        <v>400</v>
      </c>
      <c r="B10755" s="572">
        <v>20.9175</v>
      </c>
      <c r="C10755" s="572">
        <v>123.788</v>
      </c>
    </row>
    <row r="10756" spans="1:3">
      <c r="A10756" s="571" t="s">
        <v>400</v>
      </c>
      <c r="B10756" s="572">
        <v>28.307099999999998</v>
      </c>
      <c r="C10756" s="572">
        <v>133.31299999999999</v>
      </c>
    </row>
    <row r="10757" spans="1:3">
      <c r="A10757" s="571" t="s">
        <v>400</v>
      </c>
      <c r="B10757" s="572">
        <v>35.033900000000003</v>
      </c>
      <c r="C10757" s="572">
        <v>165.90299999999999</v>
      </c>
    </row>
    <row r="10758" spans="1:3">
      <c r="A10758" s="571" t="s">
        <v>400</v>
      </c>
      <c r="B10758" s="572">
        <v>42.089700000000001</v>
      </c>
      <c r="C10758" s="572">
        <v>180.38</v>
      </c>
    </row>
    <row r="10759" spans="1:3">
      <c r="A10759" s="571" t="s">
        <v>400</v>
      </c>
      <c r="B10759" s="572">
        <v>49.145400000000002</v>
      </c>
      <c r="C10759" s="572">
        <v>194.85599999999999</v>
      </c>
    </row>
    <row r="10760" spans="1:3">
      <c r="A10760" s="571" t="s">
        <v>400</v>
      </c>
      <c r="B10760" s="572">
        <v>55.692100000000003</v>
      </c>
      <c r="C10760" s="572">
        <v>194.548</v>
      </c>
    </row>
    <row r="10761" spans="1:3">
      <c r="A10761" s="571" t="s">
        <v>400</v>
      </c>
      <c r="B10761" s="572">
        <v>60.229900000000001</v>
      </c>
      <c r="C10761" s="572">
        <v>209.143</v>
      </c>
    </row>
    <row r="10762" spans="1:3">
      <c r="A10762" s="571" t="s">
        <v>401</v>
      </c>
      <c r="B10762" s="572">
        <v>6.4356999999999998</v>
      </c>
      <c r="C10762" s="572">
        <v>71.818100000000001</v>
      </c>
    </row>
    <row r="10763" spans="1:3">
      <c r="A10763" s="571" t="s">
        <v>401</v>
      </c>
      <c r="B10763" s="572">
        <v>14.021000000000001</v>
      </c>
      <c r="C10763" s="572">
        <v>142.21100000000001</v>
      </c>
    </row>
    <row r="10764" spans="1:3">
      <c r="A10764" s="571" t="s">
        <v>401</v>
      </c>
      <c r="B10764" s="572">
        <v>21.095300000000002</v>
      </c>
      <c r="C10764" s="572">
        <v>179.721</v>
      </c>
    </row>
    <row r="10765" spans="1:3">
      <c r="A10765" s="571" t="s">
        <v>401</v>
      </c>
      <c r="B10765" s="572">
        <v>28.167200000000001</v>
      </c>
      <c r="C10765" s="572">
        <v>204.06899999999999</v>
      </c>
    </row>
    <row r="10766" spans="1:3">
      <c r="A10766" s="571" t="s">
        <v>401</v>
      </c>
      <c r="B10766" s="572">
        <v>35.236600000000003</v>
      </c>
      <c r="C10766" s="572">
        <v>215.25399999999999</v>
      </c>
    </row>
    <row r="10767" spans="1:3">
      <c r="A10767" s="571" t="s">
        <v>401</v>
      </c>
      <c r="B10767" s="572">
        <v>42.643700000000003</v>
      </c>
      <c r="C10767" s="572">
        <v>233.00399999999999</v>
      </c>
    </row>
    <row r="10768" spans="1:3">
      <c r="A10768" s="571" t="s">
        <v>401</v>
      </c>
      <c r="B10768" s="572">
        <v>49.5535</v>
      </c>
      <c r="C10768" s="572">
        <v>290.26600000000002</v>
      </c>
    </row>
    <row r="10769" spans="1:3">
      <c r="A10769" s="571" t="s">
        <v>401</v>
      </c>
      <c r="B10769" s="572">
        <v>56.289099999999998</v>
      </c>
      <c r="C10769" s="572">
        <v>316.27499999999998</v>
      </c>
    </row>
    <row r="10770" spans="1:3">
      <c r="A10770" s="571" t="s">
        <v>401</v>
      </c>
      <c r="B10770" s="572">
        <v>60.8339</v>
      </c>
      <c r="C10770" s="572">
        <v>324.28800000000001</v>
      </c>
    </row>
    <row r="10771" spans="1:3">
      <c r="A10771" s="571" t="s">
        <v>402</v>
      </c>
      <c r="B10771" s="572">
        <v>1.0668200000000001</v>
      </c>
      <c r="C10771" s="572">
        <v>9.8398699999999995</v>
      </c>
    </row>
    <row r="10772" spans="1:3">
      <c r="A10772" s="571" t="s">
        <v>402</v>
      </c>
      <c r="B10772" s="572">
        <v>6.9518500000000003</v>
      </c>
      <c r="C10772" s="572">
        <v>35.936300000000003</v>
      </c>
    </row>
    <row r="10773" spans="1:3">
      <c r="A10773" s="571" t="s">
        <v>402</v>
      </c>
      <c r="B10773" s="572">
        <v>9.9813799999999997</v>
      </c>
      <c r="C10773" s="572">
        <v>57.222200000000001</v>
      </c>
    </row>
    <row r="10774" spans="1:3">
      <c r="A10774" s="571" t="s">
        <v>402</v>
      </c>
      <c r="B10774" s="572">
        <v>13.853899999999999</v>
      </c>
      <c r="C10774" s="572">
        <v>88.358500000000006</v>
      </c>
    </row>
    <row r="10775" spans="1:3">
      <c r="A10775" s="571" t="s">
        <v>402</v>
      </c>
      <c r="B10775" s="572">
        <v>21.0806</v>
      </c>
      <c r="C10775" s="572">
        <v>111.095</v>
      </c>
    </row>
    <row r="10776" spans="1:3">
      <c r="A10776" s="571" t="s">
        <v>402</v>
      </c>
      <c r="B10776" s="572">
        <v>25.6191</v>
      </c>
      <c r="C10776" s="572">
        <v>127.36499999999999</v>
      </c>
    </row>
    <row r="10777" spans="1:3">
      <c r="A10777" s="571" t="s">
        <v>402</v>
      </c>
      <c r="B10777" s="572">
        <v>29.9939</v>
      </c>
      <c r="C10777" s="572">
        <v>155.18100000000001</v>
      </c>
    </row>
    <row r="10778" spans="1:3">
      <c r="A10778" s="571" t="s">
        <v>403</v>
      </c>
      <c r="B10778" s="572">
        <v>1.1979200000000001</v>
      </c>
      <c r="C10778" s="572">
        <v>12.0246</v>
      </c>
    </row>
    <row r="10779" spans="1:3">
      <c r="A10779" s="571" t="s">
        <v>403</v>
      </c>
      <c r="B10779" s="572">
        <v>5.5643099999999999</v>
      </c>
      <c r="C10779" s="572">
        <v>54.176600000000001</v>
      </c>
    </row>
    <row r="10780" spans="1:3">
      <c r="A10780" s="571" t="s">
        <v>403</v>
      </c>
      <c r="B10780" s="572">
        <v>12.7685</v>
      </c>
      <c r="C10780" s="572">
        <v>71.377899999999997</v>
      </c>
    </row>
    <row r="10781" spans="1:3">
      <c r="A10781" s="571" t="s">
        <v>403</v>
      </c>
      <c r="B10781" s="572">
        <v>18.633199999999999</v>
      </c>
      <c r="C10781" s="572">
        <v>90.328000000000003</v>
      </c>
    </row>
    <row r="10782" spans="1:3">
      <c r="A10782" s="571" t="s">
        <v>403</v>
      </c>
      <c r="B10782" s="572">
        <v>24.8338</v>
      </c>
      <c r="C10782" s="572">
        <v>114.121</v>
      </c>
    </row>
    <row r="10783" spans="1:3">
      <c r="A10783" s="571" t="s">
        <v>403</v>
      </c>
      <c r="B10783" s="572">
        <v>32.8795</v>
      </c>
      <c r="C10783" s="572">
        <v>153.98699999999999</v>
      </c>
    </row>
    <row r="10784" spans="1:3">
      <c r="A10784" s="571" t="s">
        <v>403</v>
      </c>
      <c r="B10784" s="572">
        <v>38.750300000000003</v>
      </c>
      <c r="C10784" s="572">
        <v>205.428</v>
      </c>
    </row>
    <row r="10785" spans="1:3">
      <c r="A10785" s="571" t="s">
        <v>403</v>
      </c>
      <c r="B10785" s="572">
        <v>45.459699999999998</v>
      </c>
      <c r="C10785" s="572">
        <v>263.28899999999999</v>
      </c>
    </row>
    <row r="10786" spans="1:3">
      <c r="A10786" s="571" t="s">
        <v>403</v>
      </c>
      <c r="B10786" s="572">
        <v>53.174700000000001</v>
      </c>
      <c r="C10786" s="572">
        <v>325.93</v>
      </c>
    </row>
    <row r="10787" spans="1:3">
      <c r="A10787" s="571" t="s">
        <v>403</v>
      </c>
      <c r="B10787" s="572">
        <v>59.708399999999997</v>
      </c>
      <c r="C10787" s="572">
        <v>339.94499999999999</v>
      </c>
    </row>
    <row r="10788" spans="1:3">
      <c r="A10788" s="571" t="s">
        <v>404</v>
      </c>
      <c r="B10788" s="572">
        <v>0.93144800000000005</v>
      </c>
      <c r="C10788" s="572">
        <v>14.6305</v>
      </c>
    </row>
    <row r="10789" spans="1:3">
      <c r="A10789" s="571" t="s">
        <v>404</v>
      </c>
      <c r="B10789" s="572">
        <v>2.7806600000000001</v>
      </c>
      <c r="C10789" s="572">
        <v>19.435700000000001</v>
      </c>
    </row>
    <row r="10790" spans="1:3">
      <c r="A10790" s="571" t="s">
        <v>404</v>
      </c>
      <c r="B10790" s="572">
        <v>4.9747199999999996</v>
      </c>
      <c r="C10790" s="572">
        <v>40.5291</v>
      </c>
    </row>
    <row r="10791" spans="1:3">
      <c r="A10791" s="571" t="s">
        <v>404</v>
      </c>
      <c r="B10791" s="572">
        <v>13.904199999999999</v>
      </c>
      <c r="C10791" s="572">
        <v>98.808800000000005</v>
      </c>
    </row>
    <row r="10792" spans="1:3">
      <c r="A10792" s="571" t="s">
        <v>404</v>
      </c>
      <c r="B10792" s="572">
        <v>19.788499999999999</v>
      </c>
      <c r="C10792" s="572">
        <v>114.839</v>
      </c>
    </row>
    <row r="10793" spans="1:3">
      <c r="A10793" s="571" t="s">
        <v>404</v>
      </c>
      <c r="B10793" s="572">
        <v>26.8569</v>
      </c>
      <c r="C10793" s="572">
        <v>147.11799999999999</v>
      </c>
    </row>
    <row r="10794" spans="1:3">
      <c r="A10794" s="571" t="s">
        <v>404</v>
      </c>
      <c r="B10794" s="572">
        <v>32.584299999999999</v>
      </c>
      <c r="C10794" s="572">
        <v>182.721</v>
      </c>
    </row>
    <row r="10795" spans="1:3">
      <c r="A10795" s="571" t="s">
        <v>404</v>
      </c>
      <c r="B10795" s="572">
        <v>43.187800000000003</v>
      </c>
      <c r="C10795" s="572">
        <v>232.77099999999999</v>
      </c>
    </row>
    <row r="10796" spans="1:3">
      <c r="A10796" s="571" t="s">
        <v>404</v>
      </c>
      <c r="B10796" s="572">
        <v>47.241999999999997</v>
      </c>
      <c r="C10796" s="572">
        <v>278.23399999999998</v>
      </c>
    </row>
    <row r="10797" spans="1:3">
      <c r="A10797" s="571" t="s">
        <v>404</v>
      </c>
      <c r="B10797" s="572">
        <v>53.121699999999997</v>
      </c>
      <c r="C10797" s="572">
        <v>286.11200000000002</v>
      </c>
    </row>
    <row r="10798" spans="1:3">
      <c r="A10798" s="571" t="s">
        <v>404</v>
      </c>
      <c r="B10798" s="572">
        <v>60.013199999999998</v>
      </c>
      <c r="C10798" s="572">
        <v>302.096</v>
      </c>
    </row>
    <row r="10799" spans="1:3">
      <c r="A10799" s="571" t="s">
        <v>405</v>
      </c>
      <c r="B10799" s="572">
        <v>1.7027300000000001</v>
      </c>
      <c r="C10799" s="572">
        <v>19.212399999999999</v>
      </c>
    </row>
    <row r="10800" spans="1:3">
      <c r="A10800" s="571" t="s">
        <v>405</v>
      </c>
      <c r="B10800" s="572">
        <v>4.2139100000000003</v>
      </c>
      <c r="C10800" s="572">
        <v>41.929099999999998</v>
      </c>
    </row>
    <row r="10801" spans="1:3">
      <c r="A10801" s="571" t="s">
        <v>405</v>
      </c>
      <c r="B10801" s="572">
        <v>7.89682</v>
      </c>
      <c r="C10801" s="572">
        <v>74.378900000000002</v>
      </c>
    </row>
    <row r="10802" spans="1:3">
      <c r="A10802" s="571" t="s">
        <v>405</v>
      </c>
      <c r="B10802" s="572">
        <v>12.582800000000001</v>
      </c>
      <c r="C10802" s="572">
        <v>108.429</v>
      </c>
    </row>
    <row r="10803" spans="1:3">
      <c r="A10803" s="571" t="s">
        <v>405</v>
      </c>
      <c r="B10803" s="572">
        <v>20.790600000000001</v>
      </c>
      <c r="C10803" s="572">
        <v>207.483</v>
      </c>
    </row>
    <row r="10804" spans="1:3">
      <c r="A10804" s="571" t="s">
        <v>405</v>
      </c>
      <c r="B10804" s="572">
        <v>27.826699999999999</v>
      </c>
      <c r="C10804" s="572">
        <v>296.80399999999997</v>
      </c>
    </row>
    <row r="10805" spans="1:3">
      <c r="A10805" s="571" t="s">
        <v>405</v>
      </c>
      <c r="B10805" s="572">
        <v>34.852200000000003</v>
      </c>
      <c r="C10805" s="572">
        <v>329.16300000000001</v>
      </c>
    </row>
    <row r="10806" spans="1:3">
      <c r="A10806" s="571" t="s">
        <v>405</v>
      </c>
      <c r="B10806" s="572">
        <v>41.875</v>
      </c>
      <c r="C10806" s="572">
        <v>346.875</v>
      </c>
    </row>
    <row r="10807" spans="1:3">
      <c r="A10807" s="571" t="s">
        <v>405</v>
      </c>
      <c r="B10807" s="572">
        <v>48.7316</v>
      </c>
      <c r="C10807" s="572">
        <v>369.47399999999999</v>
      </c>
    </row>
    <row r="10808" spans="1:3">
      <c r="A10808" s="571" t="s">
        <v>405</v>
      </c>
      <c r="B10808" s="572">
        <v>55.757399999999997</v>
      </c>
      <c r="C10808" s="572">
        <v>403.46</v>
      </c>
    </row>
    <row r="10809" spans="1:3">
      <c r="A10809" s="571" t="s">
        <v>405</v>
      </c>
      <c r="B10809" s="572">
        <v>59.6083</v>
      </c>
      <c r="C10809" s="572">
        <v>440.78800000000001</v>
      </c>
    </row>
    <row r="10810" spans="1:3">
      <c r="A10810" s="571" t="s">
        <v>406</v>
      </c>
      <c r="B10810" s="572">
        <v>5.9620000000000006E-2</v>
      </c>
      <c r="C10810" s="572">
        <v>2.5706899999999999</v>
      </c>
    </row>
    <row r="10811" spans="1:3">
      <c r="A10811" s="571" t="s">
        <v>406</v>
      </c>
      <c r="B10811" s="572">
        <v>6.0103600000000004</v>
      </c>
      <c r="C10811" s="572">
        <v>321.33699999999999</v>
      </c>
    </row>
    <row r="10812" spans="1:3">
      <c r="A10812" s="571" t="s">
        <v>406</v>
      </c>
      <c r="B10812" s="572">
        <v>13.060700000000001</v>
      </c>
      <c r="C10812" s="572">
        <v>416.452</v>
      </c>
    </row>
    <row r="10813" spans="1:3">
      <c r="A10813" s="571" t="s">
        <v>406</v>
      </c>
      <c r="B10813" s="572">
        <v>55.089700000000001</v>
      </c>
      <c r="C10813" s="572">
        <v>532.13400000000001</v>
      </c>
    </row>
    <row r="10814" spans="1:3">
      <c r="A10814" s="571" t="s">
        <v>406</v>
      </c>
      <c r="B10814" s="572">
        <v>88.834400000000002</v>
      </c>
      <c r="C10814" s="572">
        <v>537.27499999999998</v>
      </c>
    </row>
    <row r="10815" spans="1:3">
      <c r="A10815" s="571" t="s">
        <v>407</v>
      </c>
      <c r="B10815" s="572">
        <v>6.0070000000000068E-2</v>
      </c>
      <c r="C10815" s="572">
        <v>2.72511E-2</v>
      </c>
    </row>
    <row r="10816" spans="1:3">
      <c r="A10816" s="571" t="s">
        <v>407</v>
      </c>
      <c r="B10816" s="572">
        <v>6.0053400000000003</v>
      </c>
      <c r="C10816" s="572">
        <v>349.79399999999998</v>
      </c>
    </row>
    <row r="10817" spans="1:3">
      <c r="A10817" s="571" t="s">
        <v>407</v>
      </c>
      <c r="B10817" s="572">
        <v>13.230499999999999</v>
      </c>
      <c r="C10817" s="572">
        <v>455.37900000000002</v>
      </c>
    </row>
    <row r="10818" spans="1:3">
      <c r="A10818" s="571" t="s">
        <v>407</v>
      </c>
      <c r="B10818" s="572">
        <v>54.9101</v>
      </c>
      <c r="C10818" s="572">
        <v>548.995</v>
      </c>
    </row>
    <row r="10819" spans="1:3">
      <c r="A10819" s="571" t="s">
        <v>407</v>
      </c>
      <c r="B10819" s="572">
        <v>88.812200000000004</v>
      </c>
      <c r="C10819" s="572">
        <v>662.97699999999998</v>
      </c>
    </row>
    <row r="10820" spans="1:3">
      <c r="A10820" s="571" t="s">
        <v>408</v>
      </c>
      <c r="B10820" s="572">
        <v>6.194999999999995E-2</v>
      </c>
      <c r="C10820" s="572">
        <v>2.5706899999999999</v>
      </c>
    </row>
    <row r="10821" spans="1:3">
      <c r="A10821" s="571" t="s">
        <v>408</v>
      </c>
      <c r="B10821" s="572">
        <v>6.07965</v>
      </c>
      <c r="C10821" s="572">
        <v>321.33699999999999</v>
      </c>
    </row>
    <row r="10822" spans="1:3">
      <c r="A10822" s="571" t="s">
        <v>408</v>
      </c>
      <c r="B10822" s="572">
        <v>12.805300000000001</v>
      </c>
      <c r="C10822" s="572">
        <v>449.87099999999998</v>
      </c>
    </row>
    <row r="10823" spans="1:3">
      <c r="A10823" s="571" t="s">
        <v>408</v>
      </c>
      <c r="B10823" s="572">
        <v>55.106200000000001</v>
      </c>
      <c r="C10823" s="572">
        <v>609.25400000000002</v>
      </c>
    </row>
    <row r="10824" spans="1:3">
      <c r="A10824" s="571" t="s">
        <v>408</v>
      </c>
      <c r="B10824" s="572">
        <v>88.734499999999997</v>
      </c>
      <c r="C10824" s="572">
        <v>688.94600000000003</v>
      </c>
    </row>
    <row r="10825" spans="1:3">
      <c r="A10825" s="48" t="s">
        <v>409</v>
      </c>
      <c r="B10825" s="549">
        <v>-0.11238000000000004</v>
      </c>
      <c r="C10825" s="549">
        <v>5.0173800000000002</v>
      </c>
    </row>
    <row r="10826" spans="1:3">
      <c r="A10826" s="571" t="s">
        <v>409</v>
      </c>
      <c r="B10826" s="572">
        <v>6.2852300000000003</v>
      </c>
      <c r="C10826" s="572">
        <v>279.47699999999998</v>
      </c>
    </row>
    <row r="10827" spans="1:3">
      <c r="A10827" s="571" t="s">
        <v>409</v>
      </c>
      <c r="B10827" s="572">
        <v>13.3027</v>
      </c>
      <c r="C10827" s="572">
        <v>396.54199999999997</v>
      </c>
    </row>
    <row r="10828" spans="1:3">
      <c r="A10828" s="571" t="s">
        <v>409</v>
      </c>
      <c r="B10828" s="572">
        <v>26.853300000000001</v>
      </c>
      <c r="C10828" s="572">
        <v>542.96699999999998</v>
      </c>
    </row>
    <row r="10829" spans="1:3">
      <c r="A10829" s="571" t="s">
        <v>409</v>
      </c>
      <c r="B10829" s="572">
        <v>89.459199999999996</v>
      </c>
      <c r="C10829" s="572">
        <v>635.12300000000005</v>
      </c>
    </row>
    <row r="10830" spans="1:3">
      <c r="A10830" s="48" t="s">
        <v>410</v>
      </c>
      <c r="B10830" s="549">
        <v>-0.11443700000000001</v>
      </c>
      <c r="C10830" s="549">
        <v>2.4568699999999999</v>
      </c>
    </row>
    <row r="10831" spans="1:3">
      <c r="A10831" s="571" t="s">
        <v>410</v>
      </c>
      <c r="B10831" s="572">
        <v>6.0063899999999997</v>
      </c>
      <c r="C10831" s="572">
        <v>468.767</v>
      </c>
    </row>
    <row r="10832" spans="1:3">
      <c r="A10832" s="571" t="s">
        <v>410</v>
      </c>
      <c r="B10832" s="572">
        <v>12.9933</v>
      </c>
      <c r="C10832" s="572">
        <v>559.63900000000001</v>
      </c>
    </row>
    <row r="10833" spans="1:3">
      <c r="A10833" s="571" t="s">
        <v>410</v>
      </c>
      <c r="B10833" s="572">
        <v>26.840299999999999</v>
      </c>
      <c r="C10833" s="572">
        <v>684.81200000000001</v>
      </c>
    </row>
    <row r="10834" spans="1:3">
      <c r="A10834" s="571" t="s">
        <v>410</v>
      </c>
      <c r="B10834" s="572">
        <v>88.754300000000001</v>
      </c>
      <c r="C10834" s="572">
        <v>798.16899999999998</v>
      </c>
    </row>
    <row r="10835" spans="1:3">
      <c r="A10835" s="48" t="s">
        <v>411</v>
      </c>
      <c r="B10835" s="549">
        <v>-0.11373999999999995</v>
      </c>
      <c r="C10835" s="549">
        <v>2.4567800000000002</v>
      </c>
    </row>
    <row r="10836" spans="1:3">
      <c r="A10836" s="571" t="s">
        <v>411</v>
      </c>
      <c r="B10836" s="572">
        <v>6.2938999999999998</v>
      </c>
      <c r="C10836" s="572">
        <v>263.14800000000002</v>
      </c>
    </row>
    <row r="10837" spans="1:3">
      <c r="A10837" s="571" t="s">
        <v>411</v>
      </c>
      <c r="B10837" s="572">
        <v>13.1592</v>
      </c>
      <c r="C10837" s="572">
        <v>333.43900000000002</v>
      </c>
    </row>
    <row r="10838" spans="1:3">
      <c r="A10838" s="571" t="s">
        <v>411</v>
      </c>
      <c r="B10838" s="572">
        <v>27.0764</v>
      </c>
      <c r="C10838" s="572">
        <v>456.05099999999999</v>
      </c>
    </row>
    <row r="10839" spans="1:3">
      <c r="A10839" s="571" t="s">
        <v>411</v>
      </c>
      <c r="B10839" s="572">
        <v>89.483199999999997</v>
      </c>
      <c r="C10839" s="572">
        <v>590.03599999999994</v>
      </c>
    </row>
    <row r="10840" spans="1:3">
      <c r="A10840" s="571" t="s">
        <v>412</v>
      </c>
      <c r="B10840" s="572">
        <v>8.2819999999999894E-2</v>
      </c>
      <c r="C10840" s="572">
        <v>2.4098700000000002</v>
      </c>
    </row>
    <row r="10841" spans="1:3">
      <c r="A10841" s="571" t="s">
        <v>412</v>
      </c>
      <c r="B10841" s="572">
        <v>2.1073</v>
      </c>
      <c r="C10841" s="572">
        <v>188.625</v>
      </c>
    </row>
    <row r="10842" spans="1:3">
      <c r="A10842" s="571" t="s">
        <v>412</v>
      </c>
      <c r="B10842" s="572">
        <v>55.163499999999999</v>
      </c>
      <c r="C10842" s="572">
        <v>573.11800000000005</v>
      </c>
    </row>
    <row r="10843" spans="1:3">
      <c r="A10843" s="571" t="s">
        <v>412</v>
      </c>
      <c r="B10843" s="572">
        <v>88.990899999999996</v>
      </c>
      <c r="C10843" s="572">
        <v>637.62699999999995</v>
      </c>
    </row>
    <row r="10844" spans="1:3">
      <c r="A10844" s="571" t="s">
        <v>2078</v>
      </c>
      <c r="B10844" s="572">
        <v>0.35692099999999999</v>
      </c>
      <c r="C10844" s="572">
        <v>13.2218</v>
      </c>
    </row>
    <row r="10845" spans="1:3">
      <c r="A10845" s="571" t="s">
        <v>2078</v>
      </c>
      <c r="B10845" s="572">
        <v>0.94180399999999997</v>
      </c>
      <c r="C10845" s="572">
        <v>51.674299999999995</v>
      </c>
    </row>
    <row r="10846" spans="1:3">
      <c r="A10846" s="571" t="s">
        <v>2078</v>
      </c>
      <c r="B10846" s="572">
        <v>1.6644099999999999</v>
      </c>
      <c r="C10846" s="572">
        <v>63.703600000000002</v>
      </c>
    </row>
    <row r="10847" spans="1:3">
      <c r="A10847" s="571" t="s">
        <v>2078</v>
      </c>
      <c r="B10847" s="572">
        <v>2.62595</v>
      </c>
      <c r="C10847" s="572">
        <v>82.945999999999998</v>
      </c>
    </row>
    <row r="10848" spans="1:3">
      <c r="A10848" s="571" t="s">
        <v>2078</v>
      </c>
      <c r="B10848" s="572">
        <v>4.7959699999999996</v>
      </c>
      <c r="C10848" s="572">
        <v>115.431</v>
      </c>
    </row>
    <row r="10849" spans="1:3">
      <c r="A10849" s="571" t="s">
        <v>2078</v>
      </c>
      <c r="B10849" s="572">
        <v>7.7002899999999999</v>
      </c>
      <c r="C10849" s="572">
        <v>140.726</v>
      </c>
    </row>
    <row r="10850" spans="1:3">
      <c r="A10850" s="571" t="s">
        <v>2078</v>
      </c>
      <c r="B10850" s="572">
        <v>9.0289699999999993</v>
      </c>
      <c r="C10850" s="572">
        <v>156.37300000000002</v>
      </c>
    </row>
    <row r="10851" spans="1:3">
      <c r="A10851" s="571" t="s">
        <v>2078</v>
      </c>
      <c r="B10851" s="572">
        <v>9.6306600000000007</v>
      </c>
      <c r="C10851" s="572">
        <v>167.19800000000001</v>
      </c>
    </row>
    <row r="10852" spans="1:3">
      <c r="A10852" s="571" t="s">
        <v>2078</v>
      </c>
      <c r="B10852" s="572">
        <v>11.9274</v>
      </c>
      <c r="C10852" s="572">
        <v>191.27799999999999</v>
      </c>
    </row>
    <row r="10853" spans="1:3">
      <c r="A10853" s="571" t="s">
        <v>2078</v>
      </c>
      <c r="B10853" s="572">
        <v>13.870200000000001</v>
      </c>
      <c r="C10853" s="572">
        <v>197.33</v>
      </c>
    </row>
    <row r="10854" spans="1:3">
      <c r="A10854" s="571" t="s">
        <v>2078</v>
      </c>
      <c r="B10854" s="572">
        <v>14.5885</v>
      </c>
      <c r="C10854" s="572">
        <v>216.56700000000001</v>
      </c>
    </row>
    <row r="10855" spans="1:3">
      <c r="A10855" s="571" t="s">
        <v>2078</v>
      </c>
      <c r="B10855" s="572">
        <v>15.802099999999999</v>
      </c>
      <c r="C10855" s="572">
        <v>221.40100000000001</v>
      </c>
    </row>
    <row r="10856" spans="1:3">
      <c r="A10856" s="571" t="s">
        <v>2078</v>
      </c>
      <c r="B10856" s="572">
        <v>16.778199999999998</v>
      </c>
      <c r="C10856" s="572">
        <v>216.61899999999997</v>
      </c>
    </row>
    <row r="10857" spans="1:3">
      <c r="A10857" s="571" t="s">
        <v>2078</v>
      </c>
      <c r="B10857" s="572">
        <v>17.620999999999999</v>
      </c>
      <c r="C10857" s="572">
        <v>231.054</v>
      </c>
    </row>
    <row r="10858" spans="1:3">
      <c r="A10858" s="571" t="s">
        <v>2078</v>
      </c>
      <c r="B10858" s="572">
        <v>18.706399999999999</v>
      </c>
      <c r="C10858" s="572">
        <v>246.69599999999997</v>
      </c>
    </row>
    <row r="10859" spans="1:3">
      <c r="A10859" s="571" t="s">
        <v>2078</v>
      </c>
      <c r="B10859" s="572">
        <v>20.7759</v>
      </c>
      <c r="C10859" s="572">
        <v>244.34300000000002</v>
      </c>
    </row>
    <row r="10860" spans="1:3">
      <c r="A10860" s="571" t="s">
        <v>2078</v>
      </c>
      <c r="B10860" s="572">
        <v>21.866399999999999</v>
      </c>
      <c r="C10860" s="572">
        <v>251.57600000000002</v>
      </c>
    </row>
    <row r="10861" spans="1:3">
      <c r="A10861" s="571" t="s">
        <v>2078</v>
      </c>
      <c r="B10861" s="572">
        <v>22.955500000000001</v>
      </c>
      <c r="C10861" s="572">
        <v>261.21199999999999</v>
      </c>
    </row>
    <row r="10862" spans="1:3">
      <c r="A10862" s="571" t="s">
        <v>2078</v>
      </c>
      <c r="B10862" s="572">
        <v>24.409500000000001</v>
      </c>
      <c r="C10862" s="572">
        <v>270.85699999999997</v>
      </c>
    </row>
    <row r="10863" spans="1:3">
      <c r="A10863" s="571" t="s">
        <v>2078</v>
      </c>
      <c r="B10863" s="572">
        <v>28.056100000000001</v>
      </c>
      <c r="C10863" s="572">
        <v>275.74900000000002</v>
      </c>
    </row>
    <row r="10864" spans="1:3">
      <c r="A10864" s="571" t="s">
        <v>2078</v>
      </c>
      <c r="B10864" s="572">
        <v>30.720800000000001</v>
      </c>
      <c r="C10864" s="572">
        <v>295.03199999999998</v>
      </c>
    </row>
    <row r="10865" spans="1:3">
      <c r="A10865" s="571" t="s">
        <v>2078</v>
      </c>
      <c r="B10865" s="572">
        <v>34.972799999999999</v>
      </c>
      <c r="C10865" s="572">
        <v>304.74399999999997</v>
      </c>
    </row>
    <row r="10866" spans="1:3">
      <c r="A10866" s="571" t="s">
        <v>2078</v>
      </c>
      <c r="B10866" s="572">
        <v>36.788800000000002</v>
      </c>
      <c r="C10866" s="572">
        <v>319.202</v>
      </c>
    </row>
    <row r="10867" spans="1:3">
      <c r="A10867" s="571" t="s">
        <v>2078</v>
      </c>
      <c r="B10867" s="572">
        <v>42.3812</v>
      </c>
      <c r="C10867" s="572">
        <v>325.34200000000004</v>
      </c>
    </row>
    <row r="10868" spans="1:3">
      <c r="A10868" s="571" t="s">
        <v>2078</v>
      </c>
      <c r="B10868" s="572">
        <v>49.305199999999999</v>
      </c>
      <c r="C10868" s="572">
        <v>342.32600000000002</v>
      </c>
    </row>
    <row r="10869" spans="1:3">
      <c r="A10869" s="571" t="s">
        <v>2078</v>
      </c>
      <c r="B10869" s="572">
        <v>51.862099999999998</v>
      </c>
      <c r="C10869" s="572">
        <v>338.78300000000002</v>
      </c>
    </row>
    <row r="10870" spans="1:3">
      <c r="A10870" s="571" t="s">
        <v>2078</v>
      </c>
      <c r="B10870" s="572">
        <v>59.032299999999999</v>
      </c>
      <c r="C10870" s="572">
        <v>350.96800000000002</v>
      </c>
    </row>
    <row r="10871" spans="1:3">
      <c r="A10871" s="571" t="s">
        <v>2078</v>
      </c>
      <c r="B10871" s="572">
        <v>66.563800000000001</v>
      </c>
      <c r="C10871" s="572">
        <v>369.16699999999997</v>
      </c>
    </row>
    <row r="10872" spans="1:3">
      <c r="A10872" s="571" t="s">
        <v>2078</v>
      </c>
      <c r="B10872" s="572">
        <v>74.835400000000007</v>
      </c>
      <c r="C10872" s="572">
        <v>370.56700000000001</v>
      </c>
    </row>
    <row r="10873" spans="1:3">
      <c r="A10873" s="571" t="s">
        <v>2078</v>
      </c>
      <c r="B10873" s="572">
        <v>80.780299999999997</v>
      </c>
      <c r="C10873" s="572">
        <v>397.13599999999997</v>
      </c>
    </row>
    <row r="10874" spans="1:3">
      <c r="A10874" s="571" t="s">
        <v>2078</v>
      </c>
      <c r="B10874" s="572">
        <v>87.8369</v>
      </c>
      <c r="C10874" s="572">
        <v>396.10399999999998</v>
      </c>
    </row>
    <row r="10875" spans="1:3">
      <c r="A10875" s="571" t="s">
        <v>2078</v>
      </c>
      <c r="B10875" s="572">
        <v>91.363399999999999</v>
      </c>
      <c r="C10875" s="572">
        <v>398.59100000000001</v>
      </c>
    </row>
    <row r="10876" spans="1:3">
      <c r="A10876" s="571" t="s">
        <v>413</v>
      </c>
      <c r="B10876" s="572">
        <v>2.0140499999999999E-2</v>
      </c>
      <c r="C10876" s="572">
        <v>5.9016400000000004</v>
      </c>
    </row>
    <row r="10877" spans="1:3">
      <c r="A10877" s="571" t="s">
        <v>413</v>
      </c>
      <c r="B10877" s="572">
        <v>7.0843100000000006E-2</v>
      </c>
      <c r="C10877" s="572">
        <v>35.409799999999997</v>
      </c>
    </row>
    <row r="10878" spans="1:3">
      <c r="A10878" s="571" t="s">
        <v>413</v>
      </c>
      <c r="B10878" s="572">
        <v>7.1522199999999994E-2</v>
      </c>
      <c r="C10878" s="572">
        <v>63.934399999999997</v>
      </c>
    </row>
    <row r="10879" spans="1:3">
      <c r="A10879" s="571" t="s">
        <v>413</v>
      </c>
      <c r="B10879" s="572">
        <v>0.102225</v>
      </c>
      <c r="C10879" s="572">
        <v>93.442599999999999</v>
      </c>
    </row>
    <row r="10880" spans="1:3">
      <c r="A10880" s="571" t="s">
        <v>413</v>
      </c>
      <c r="B10880" s="572">
        <v>0.21245900000000001</v>
      </c>
      <c r="C10880" s="572">
        <v>103.279</v>
      </c>
    </row>
    <row r="10881" spans="1:3">
      <c r="A10881" s="571" t="s">
        <v>413</v>
      </c>
      <c r="B10881" s="572">
        <v>0.36182700000000001</v>
      </c>
      <c r="C10881" s="572">
        <v>76.721299999999999</v>
      </c>
    </row>
    <row r="10882" spans="1:3">
      <c r="A10882" s="571" t="s">
        <v>413</v>
      </c>
      <c r="B10882" s="572">
        <v>0.63149900000000003</v>
      </c>
      <c r="C10882" s="572">
        <v>62.950800000000001</v>
      </c>
    </row>
    <row r="10883" spans="1:3">
      <c r="A10883" s="571" t="s">
        <v>413</v>
      </c>
      <c r="B10883" s="572">
        <v>0.98124100000000003</v>
      </c>
      <c r="C10883" s="572">
        <v>52.131100000000004</v>
      </c>
    </row>
    <row r="10884" spans="1:3">
      <c r="A10884" s="571" t="s">
        <v>413</v>
      </c>
      <c r="B10884" s="572">
        <v>1.3610500000000001</v>
      </c>
      <c r="C10884" s="572">
        <v>44.262300000000003</v>
      </c>
    </row>
    <row r="10885" spans="1:3">
      <c r="A10885" s="571" t="s">
        <v>413</v>
      </c>
      <c r="B10885" s="572">
        <v>1.82098</v>
      </c>
      <c r="C10885" s="572">
        <v>41.311500000000002</v>
      </c>
    </row>
    <row r="10886" spans="1:3">
      <c r="A10886" s="571" t="s">
        <v>413</v>
      </c>
      <c r="B10886" s="572">
        <v>2.2708699999999999</v>
      </c>
      <c r="C10886" s="572">
        <v>36.3934</v>
      </c>
    </row>
    <row r="10887" spans="1:3">
      <c r="A10887" s="571" t="s">
        <v>413</v>
      </c>
      <c r="B10887" s="572">
        <v>2.71082</v>
      </c>
      <c r="C10887" s="572">
        <v>34.426200000000001</v>
      </c>
    </row>
    <row r="10888" spans="1:3">
      <c r="A10888" s="571" t="s">
        <v>413</v>
      </c>
      <c r="B10888" s="572">
        <v>3.1307700000000001</v>
      </c>
      <c r="C10888" s="572">
        <v>32.459000000000003</v>
      </c>
    </row>
    <row r="10889" spans="1:3">
      <c r="A10889" s="571" t="s">
        <v>413</v>
      </c>
      <c r="B10889" s="572">
        <v>3.5508000000000002</v>
      </c>
      <c r="C10889" s="572">
        <v>33.442599999999999</v>
      </c>
    </row>
    <row r="10890" spans="1:3">
      <c r="A10890" s="571" t="s">
        <v>413</v>
      </c>
      <c r="B10890" s="572">
        <v>3.96068</v>
      </c>
      <c r="C10890" s="572">
        <v>28.5246</v>
      </c>
    </row>
    <row r="10891" spans="1:3">
      <c r="A10891" s="571" t="s">
        <v>413</v>
      </c>
      <c r="B10891" s="572">
        <v>4.34063</v>
      </c>
      <c r="C10891" s="572">
        <v>26.557400000000001</v>
      </c>
    </row>
    <row r="10892" spans="1:3">
      <c r="A10892" s="571" t="s">
        <v>413</v>
      </c>
      <c r="B10892" s="572">
        <v>4.8106600000000004</v>
      </c>
      <c r="C10892" s="572">
        <v>27.541</v>
      </c>
    </row>
    <row r="10893" spans="1:3">
      <c r="A10893" s="571" t="s">
        <v>413</v>
      </c>
      <c r="B10893" s="572">
        <v>5.3206600000000002</v>
      </c>
      <c r="C10893" s="572">
        <v>27.541</v>
      </c>
    </row>
    <row r="10894" spans="1:3">
      <c r="A10894" s="571" t="s">
        <v>414</v>
      </c>
      <c r="B10894" s="572">
        <v>1.00167E-2</v>
      </c>
      <c r="C10894" s="572">
        <v>0.98524900000000004</v>
      </c>
    </row>
    <row r="10895" spans="1:3">
      <c r="A10895" s="571" t="s">
        <v>414</v>
      </c>
      <c r="B10895" s="572">
        <v>3.00501E-2</v>
      </c>
      <c r="C10895" s="572">
        <v>36.398400000000002</v>
      </c>
    </row>
    <row r="10896" spans="1:3">
      <c r="A10896" s="571" t="s">
        <v>414</v>
      </c>
      <c r="B10896" s="572">
        <v>6.0100199999999999E-2</v>
      </c>
      <c r="C10896" s="572">
        <v>72.796700000000001</v>
      </c>
    </row>
    <row r="10897" spans="1:3">
      <c r="A10897" s="571" t="s">
        <v>414</v>
      </c>
      <c r="B10897" s="572">
        <v>0.1202</v>
      </c>
      <c r="C10897" s="572">
        <v>110.184</v>
      </c>
    </row>
    <row r="10898" spans="1:3">
      <c r="A10898" s="571" t="s">
        <v>414</v>
      </c>
      <c r="B10898" s="572">
        <v>0.130217</v>
      </c>
      <c r="C10898" s="572">
        <v>178.054</v>
      </c>
    </row>
    <row r="10899" spans="1:3">
      <c r="A10899" s="571" t="s">
        <v>414</v>
      </c>
      <c r="B10899" s="572">
        <v>0.140234</v>
      </c>
      <c r="C10899" s="572">
        <v>234.12100000000001</v>
      </c>
    </row>
    <row r="10900" spans="1:3">
      <c r="A10900" s="571" t="s">
        <v>414</v>
      </c>
      <c r="B10900" s="572">
        <v>0.16026699999999999</v>
      </c>
      <c r="C10900" s="572">
        <v>287.23899999999998</v>
      </c>
    </row>
    <row r="10901" spans="1:3">
      <c r="A10901" s="571" t="s">
        <v>414</v>
      </c>
      <c r="B10901" s="572">
        <v>0.18030099999999999</v>
      </c>
      <c r="C10901" s="572">
        <v>338.39</v>
      </c>
    </row>
    <row r="10902" spans="1:3">
      <c r="A10902" s="571" t="s">
        <v>414</v>
      </c>
      <c r="B10902" s="572">
        <v>0.21035100000000001</v>
      </c>
      <c r="C10902" s="572">
        <v>376.75599999999997</v>
      </c>
    </row>
    <row r="10903" spans="1:3">
      <c r="A10903" s="571" t="s">
        <v>414</v>
      </c>
      <c r="B10903" s="572">
        <v>0.53088500000000005</v>
      </c>
      <c r="C10903" s="572">
        <v>381.726</v>
      </c>
    </row>
    <row r="10904" spans="1:3">
      <c r="A10904" s="571" t="s">
        <v>414</v>
      </c>
      <c r="B10904" s="572">
        <v>1.0617700000000001</v>
      </c>
      <c r="C10904" s="572">
        <v>376.89499999999998</v>
      </c>
    </row>
    <row r="10905" spans="1:3">
      <c r="A10905" s="571" t="s">
        <v>414</v>
      </c>
      <c r="B10905" s="572">
        <v>1.5525899999999999</v>
      </c>
      <c r="C10905" s="572">
        <v>378.94299999999998</v>
      </c>
    </row>
    <row r="10906" spans="1:3">
      <c r="A10906" s="571" t="s">
        <v>414</v>
      </c>
      <c r="B10906" s="572">
        <v>2.1636099999999998</v>
      </c>
      <c r="C10906" s="572">
        <v>382.97800000000001</v>
      </c>
    </row>
    <row r="10907" spans="1:3">
      <c r="A10907" s="571" t="s">
        <v>414</v>
      </c>
      <c r="B10907" s="572">
        <v>2.6944900000000001</v>
      </c>
      <c r="C10907" s="572">
        <v>384.048</v>
      </c>
    </row>
    <row r="10908" spans="1:3">
      <c r="A10908" s="571" t="s">
        <v>414</v>
      </c>
      <c r="B10908" s="572">
        <v>3.2454100000000001</v>
      </c>
      <c r="C10908" s="572">
        <v>388.07299999999998</v>
      </c>
    </row>
    <row r="10909" spans="1:3">
      <c r="A10909" s="571" t="s">
        <v>414</v>
      </c>
      <c r="B10909" s="572">
        <v>3.7362299999999999</v>
      </c>
      <c r="C10909" s="572">
        <v>392.08800000000002</v>
      </c>
    </row>
    <row r="10910" spans="1:3">
      <c r="A10910" s="571" t="s">
        <v>414</v>
      </c>
      <c r="B10910" s="572">
        <v>4.1869800000000001</v>
      </c>
      <c r="C10910" s="572">
        <v>396.096</v>
      </c>
    </row>
    <row r="10911" spans="1:3">
      <c r="A10911" s="571" t="s">
        <v>414</v>
      </c>
      <c r="B10911" s="572">
        <v>4.6177000000000001</v>
      </c>
      <c r="C10911" s="572">
        <v>399.11799999999999</v>
      </c>
    </row>
    <row r="10912" spans="1:3">
      <c r="A10912" s="571" t="s">
        <v>414</v>
      </c>
      <c r="B10912" s="572">
        <v>5.0684500000000003</v>
      </c>
      <c r="C10912" s="572">
        <v>403.12599999999998</v>
      </c>
    </row>
    <row r="10913" spans="1:3">
      <c r="A10913" s="571" t="s">
        <v>415</v>
      </c>
      <c r="B10913" s="572">
        <v>1.00769E-2</v>
      </c>
      <c r="C10913" s="572">
        <v>1.9672099999999999</v>
      </c>
    </row>
    <row r="10914" spans="1:3">
      <c r="A10914" s="571" t="s">
        <v>415</v>
      </c>
      <c r="B10914" s="572">
        <v>3.1072300000000001E-2</v>
      </c>
      <c r="C10914" s="572">
        <v>23.6066</v>
      </c>
    </row>
    <row r="10915" spans="1:3">
      <c r="A10915" s="571" t="s">
        <v>415</v>
      </c>
      <c r="B10915" s="572">
        <v>8.2392000000000007E-2</v>
      </c>
      <c r="C10915" s="572">
        <v>53.114800000000002</v>
      </c>
    </row>
    <row r="10916" spans="1:3">
      <c r="A10916" s="571" t="s">
        <v>415</v>
      </c>
      <c r="B10916" s="572">
        <v>0.104089</v>
      </c>
      <c r="C10916" s="572">
        <v>89.508200000000002</v>
      </c>
    </row>
    <row r="10917" spans="1:3">
      <c r="A10917" s="571" t="s">
        <v>415</v>
      </c>
      <c r="B10917" s="572">
        <v>0.13511400000000001</v>
      </c>
      <c r="C10917" s="572">
        <v>112.131</v>
      </c>
    </row>
    <row r="10918" spans="1:3">
      <c r="A10918" s="571" t="s">
        <v>415</v>
      </c>
      <c r="B10918" s="572">
        <v>0.20607300000000001</v>
      </c>
      <c r="C10918" s="572">
        <v>134.75399999999999</v>
      </c>
    </row>
    <row r="10919" spans="1:3">
      <c r="A10919" s="571" t="s">
        <v>415</v>
      </c>
      <c r="B10919" s="572">
        <v>0.29629800000000001</v>
      </c>
      <c r="C10919" s="572">
        <v>142.62299999999999</v>
      </c>
    </row>
    <row r="10920" spans="1:3">
      <c r="A10920" s="571" t="s">
        <v>415</v>
      </c>
      <c r="B10920" s="572">
        <v>0.34733700000000001</v>
      </c>
      <c r="C10920" s="572">
        <v>166.23</v>
      </c>
    </row>
    <row r="10921" spans="1:3">
      <c r="A10921" s="571" t="s">
        <v>415</v>
      </c>
      <c r="B10921" s="572">
        <v>0.457621</v>
      </c>
      <c r="C10921" s="572">
        <v>176.066</v>
      </c>
    </row>
    <row r="10922" spans="1:3">
      <c r="A10922" s="571" t="s">
        <v>415</v>
      </c>
      <c r="B10922" s="572">
        <v>0.79682200000000003</v>
      </c>
      <c r="C10922" s="572">
        <v>171.148</v>
      </c>
    </row>
    <row r="10923" spans="1:3">
      <c r="A10923" s="571" t="s">
        <v>415</v>
      </c>
      <c r="B10923" s="572">
        <v>1.14652</v>
      </c>
      <c r="C10923" s="572">
        <v>177.04900000000001</v>
      </c>
    </row>
    <row r="10924" spans="1:3">
      <c r="A10924" s="571" t="s">
        <v>415</v>
      </c>
      <c r="B10924" s="572">
        <v>1.5562100000000001</v>
      </c>
      <c r="C10924" s="572">
        <v>184.91800000000001</v>
      </c>
    </row>
    <row r="10925" spans="1:3">
      <c r="A10925" s="571" t="s">
        <v>415</v>
      </c>
      <c r="B10925" s="572">
        <v>1.9857800000000001</v>
      </c>
      <c r="C10925" s="572">
        <v>190.82</v>
      </c>
    </row>
    <row r="10926" spans="1:3">
      <c r="A10926" s="571" t="s">
        <v>415</v>
      </c>
      <c r="B10926" s="572">
        <v>2.3554400000000002</v>
      </c>
      <c r="C10926" s="572">
        <v>196.721</v>
      </c>
    </row>
    <row r="10927" spans="1:3">
      <c r="A10927" s="571" t="s">
        <v>415</v>
      </c>
      <c r="B10927" s="572">
        <v>2.7749799999999998</v>
      </c>
      <c r="C10927" s="572">
        <v>201.63900000000001</v>
      </c>
    </row>
    <row r="10928" spans="1:3">
      <c r="A10928" s="571" t="s">
        <v>415</v>
      </c>
      <c r="B10928" s="572">
        <v>3.1545800000000002</v>
      </c>
      <c r="C10928" s="572">
        <v>206.55699999999999</v>
      </c>
    </row>
    <row r="10929" spans="1:3">
      <c r="A10929" s="571" t="s">
        <v>415</v>
      </c>
      <c r="B10929" s="572">
        <v>3.57402</v>
      </c>
      <c r="C10929" s="572">
        <v>209.50800000000001</v>
      </c>
    </row>
    <row r="10930" spans="1:3">
      <c r="A10930" s="571" t="s">
        <v>415</v>
      </c>
      <c r="B10930" s="572">
        <v>4.0235000000000003</v>
      </c>
      <c r="C10930" s="572">
        <v>214.42599999999999</v>
      </c>
    </row>
    <row r="10931" spans="1:3">
      <c r="A10931" s="571" t="s">
        <v>415</v>
      </c>
      <c r="B10931" s="572">
        <v>4.4628699999999997</v>
      </c>
      <c r="C10931" s="572">
        <v>216.393</v>
      </c>
    </row>
    <row r="10932" spans="1:3">
      <c r="A10932" s="571" t="s">
        <v>415</v>
      </c>
      <c r="B10932" s="572">
        <v>4.9123000000000001</v>
      </c>
      <c r="C10932" s="572">
        <v>220.328</v>
      </c>
    </row>
    <row r="10933" spans="1:3">
      <c r="A10933" s="571" t="s">
        <v>415</v>
      </c>
      <c r="B10933" s="572">
        <v>5.3317500000000004</v>
      </c>
      <c r="C10933" s="572">
        <v>223.279</v>
      </c>
    </row>
    <row r="10934" spans="1:3">
      <c r="A10934" s="571" t="s">
        <v>415</v>
      </c>
      <c r="B10934" s="572">
        <v>5.7512800000000004</v>
      </c>
      <c r="C10934" s="572">
        <v>228.197</v>
      </c>
    </row>
    <row r="10935" spans="1:3">
      <c r="A10935" s="571" t="s">
        <v>2079</v>
      </c>
      <c r="B10935" s="572">
        <v>0</v>
      </c>
      <c r="C10935" s="572">
        <v>17.182300000000001</v>
      </c>
    </row>
    <row r="10936" spans="1:3">
      <c r="A10936" s="571" t="s">
        <v>2079</v>
      </c>
      <c r="B10936" s="572">
        <v>4.0219999999999978E-2</v>
      </c>
      <c r="C10936" s="572">
        <v>72.388900000000007</v>
      </c>
    </row>
    <row r="10937" spans="1:3">
      <c r="A10937" s="571" t="s">
        <v>2079</v>
      </c>
      <c r="B10937" s="572">
        <v>8.1861999999999963E-2</v>
      </c>
      <c r="C10937" s="572">
        <v>215.48</v>
      </c>
    </row>
    <row r="10938" spans="1:3">
      <c r="A10938" s="571" t="s">
        <v>2079</v>
      </c>
      <c r="B10938" s="572">
        <v>0.11987400000000001</v>
      </c>
      <c r="C10938" s="572">
        <v>260.30399999999997</v>
      </c>
    </row>
    <row r="10939" spans="1:3">
      <c r="A10939" s="571" t="s">
        <v>2079</v>
      </c>
      <c r="B10939" s="572">
        <v>0.16362299999999999</v>
      </c>
      <c r="C10939" s="572">
        <v>1028.3399999999999</v>
      </c>
    </row>
    <row r="10940" spans="1:3">
      <c r="A10940" s="571" t="s">
        <v>2079</v>
      </c>
      <c r="B10940" s="572">
        <v>0.25452900000000001</v>
      </c>
      <c r="C10940" s="572">
        <v>1680.44</v>
      </c>
    </row>
    <row r="10941" spans="1:3">
      <c r="A10941" s="571" t="s">
        <v>2079</v>
      </c>
      <c r="B10941" s="572">
        <v>0.33862199999999998</v>
      </c>
      <c r="C10941" s="572">
        <v>2144.96</v>
      </c>
    </row>
    <row r="10942" spans="1:3">
      <c r="A10942" s="571" t="s">
        <v>2079</v>
      </c>
      <c r="B10942" s="572">
        <v>0.83672000000000002</v>
      </c>
      <c r="C10942" s="572">
        <v>2502.98</v>
      </c>
    </row>
    <row r="10943" spans="1:3">
      <c r="A10943" s="571" t="s">
        <v>2079</v>
      </c>
      <c r="B10943" s="572">
        <v>1.8630100000000001</v>
      </c>
      <c r="C10943" s="572">
        <v>2941.39</v>
      </c>
    </row>
    <row r="10944" spans="1:3">
      <c r="A10944" s="571" t="s">
        <v>2079</v>
      </c>
      <c r="B10944" s="572">
        <v>3.7739400000000001</v>
      </c>
      <c r="C10944" s="572">
        <v>3451.18</v>
      </c>
    </row>
    <row r="10945" spans="1:3">
      <c r="A10945" s="571" t="s">
        <v>2079</v>
      </c>
      <c r="B10945" s="572">
        <v>6.7501600000000002</v>
      </c>
      <c r="C10945" s="572">
        <v>3809.05</v>
      </c>
    </row>
    <row r="10946" spans="1:3">
      <c r="A10946" s="571" t="s">
        <v>2079</v>
      </c>
      <c r="B10946" s="572">
        <v>13.8049</v>
      </c>
      <c r="C10946" s="572">
        <v>4051.03</v>
      </c>
    </row>
    <row r="10947" spans="1:3">
      <c r="A10947" s="571" t="s">
        <v>2080</v>
      </c>
      <c r="B10947" s="572">
        <v>0</v>
      </c>
      <c r="C10947" s="572">
        <v>8.5408500000000007</v>
      </c>
    </row>
    <row r="10948" spans="1:3">
      <c r="A10948" s="571" t="s">
        <v>2080</v>
      </c>
      <c r="B10948" s="572">
        <v>4.1974999999999985E-2</v>
      </c>
      <c r="C10948" s="572">
        <v>87.801000000000002</v>
      </c>
    </row>
    <row r="10949" spans="1:3">
      <c r="A10949" s="571" t="s">
        <v>2080</v>
      </c>
      <c r="B10949" s="572">
        <v>0.12186199999999997</v>
      </c>
      <c r="C10949" s="572">
        <v>125.077</v>
      </c>
    </row>
    <row r="10950" spans="1:3">
      <c r="A10950" s="571" t="s">
        <v>2080</v>
      </c>
      <c r="B10950" s="572">
        <v>0.19699</v>
      </c>
      <c r="C10950" s="572">
        <v>744.88099999999997</v>
      </c>
    </row>
    <row r="10951" spans="1:3">
      <c r="A10951" s="571" t="s">
        <v>2080</v>
      </c>
      <c r="B10951" s="572">
        <v>0.203623</v>
      </c>
      <c r="C10951" s="572">
        <v>939.59699999999998</v>
      </c>
    </row>
    <row r="10952" spans="1:3">
      <c r="A10952" s="571" t="s">
        <v>2080</v>
      </c>
      <c r="B10952" s="572">
        <v>0.33003500000000002</v>
      </c>
      <c r="C10952" s="572">
        <v>1081.5999999999999</v>
      </c>
    </row>
    <row r="10953" spans="1:3">
      <c r="A10953" s="571" t="s">
        <v>2080</v>
      </c>
      <c r="B10953" s="572">
        <v>0.87672000000000005</v>
      </c>
      <c r="C10953" s="572">
        <v>1171.0999999999999</v>
      </c>
    </row>
    <row r="10954" spans="1:3">
      <c r="A10954" s="571" t="s">
        <v>2080</v>
      </c>
      <c r="B10954" s="572">
        <v>1.86259</v>
      </c>
      <c r="C10954" s="572">
        <v>1233.92</v>
      </c>
    </row>
    <row r="10955" spans="1:3">
      <c r="A10955" s="571" t="s">
        <v>2080</v>
      </c>
      <c r="B10955" s="572">
        <v>4.8885899999999998</v>
      </c>
      <c r="C10955" s="572">
        <v>1385.55</v>
      </c>
    </row>
    <row r="10956" spans="1:3">
      <c r="A10956" s="571" t="s">
        <v>2080</v>
      </c>
      <c r="B10956" s="572">
        <v>6.7901600000000002</v>
      </c>
      <c r="C10956" s="572">
        <v>1642.6</v>
      </c>
    </row>
    <row r="10957" spans="1:3">
      <c r="A10957" s="571" t="s">
        <v>2080</v>
      </c>
      <c r="B10957" s="572">
        <v>13.844899999999999</v>
      </c>
      <c r="C10957" s="572">
        <v>1882.43</v>
      </c>
    </row>
    <row r="10958" spans="1:3">
      <c r="A10958" s="571" t="s">
        <v>2080</v>
      </c>
      <c r="B10958" s="572">
        <v>20.751799999999999</v>
      </c>
      <c r="C10958" s="572">
        <v>2174.98</v>
      </c>
    </row>
    <row r="10959" spans="1:3">
      <c r="A10959" s="571" t="s">
        <v>2080</v>
      </c>
      <c r="B10959" s="572">
        <v>28.0916</v>
      </c>
      <c r="C10959" s="572">
        <v>2219.62</v>
      </c>
    </row>
    <row r="10960" spans="1:3">
      <c r="A10960" s="571" t="s">
        <v>2080</v>
      </c>
      <c r="B10960" s="572">
        <v>41.201299999999996</v>
      </c>
      <c r="C10960" s="572">
        <v>2344</v>
      </c>
    </row>
    <row r="10961" spans="1:3">
      <c r="A10961" s="571" t="s">
        <v>2080</v>
      </c>
      <c r="B10961" s="572">
        <v>55.728999999999999</v>
      </c>
      <c r="C10961" s="572">
        <v>2609.87</v>
      </c>
    </row>
    <row r="10962" spans="1:3">
      <c r="A10962" s="571" t="s">
        <v>2081</v>
      </c>
      <c r="B10962" s="572">
        <v>4.718E-3</v>
      </c>
      <c r="C10962" s="572">
        <v>26.831700000000001</v>
      </c>
    </row>
    <row r="10963" spans="1:3">
      <c r="A10963" s="571" t="s">
        <v>2081</v>
      </c>
      <c r="B10963" s="572">
        <v>4.5204999999999995E-2</v>
      </c>
      <c r="C10963" s="572">
        <v>18.342300000000002</v>
      </c>
    </row>
    <row r="10964" spans="1:3">
      <c r="A10964" s="571" t="s">
        <v>2081</v>
      </c>
      <c r="B10964" s="572">
        <v>8.6041000000000006E-2</v>
      </c>
      <c r="C10964" s="572">
        <v>124.82</v>
      </c>
    </row>
    <row r="10965" spans="1:3">
      <c r="A10965" s="571" t="s">
        <v>2081</v>
      </c>
      <c r="B10965" s="572">
        <v>0.20699000000000001</v>
      </c>
      <c r="C10965" s="572">
        <v>382.04899999999998</v>
      </c>
    </row>
    <row r="10966" spans="1:3">
      <c r="A10966" s="571" t="s">
        <v>2081</v>
      </c>
      <c r="B10966" s="572">
        <v>0.33088899999999999</v>
      </c>
      <c r="C10966" s="572">
        <v>426.70800000000003</v>
      </c>
    </row>
    <row r="10967" spans="1:3">
      <c r="A10967" s="571" t="s">
        <v>2081</v>
      </c>
      <c r="B10967" s="572">
        <v>0.88672000000000006</v>
      </c>
      <c r="C10967" s="572">
        <v>401.18900000000002</v>
      </c>
    </row>
    <row r="10968" spans="1:3">
      <c r="A10968" s="571" t="s">
        <v>2081</v>
      </c>
      <c r="B10968" s="572">
        <v>1.8725900000000002</v>
      </c>
      <c r="C10968" s="572">
        <v>596.75300000000004</v>
      </c>
    </row>
    <row r="10969" spans="1:3">
      <c r="A10969" s="571" t="s">
        <v>2081</v>
      </c>
      <c r="B10969" s="572">
        <v>4.7988099999999996</v>
      </c>
      <c r="C10969" s="572">
        <v>872.24699999999996</v>
      </c>
    </row>
    <row r="10970" spans="1:3">
      <c r="A10970" s="571" t="s">
        <v>2081</v>
      </c>
      <c r="B10970" s="572">
        <v>6.80016</v>
      </c>
      <c r="C10970" s="572">
        <v>943.48099999999999</v>
      </c>
    </row>
    <row r="10971" spans="1:3">
      <c r="A10971" s="571" t="s">
        <v>2081</v>
      </c>
      <c r="B10971" s="572">
        <v>13.854900000000001</v>
      </c>
      <c r="C10971" s="572">
        <v>1094.82</v>
      </c>
    </row>
    <row r="10972" spans="1:3">
      <c r="A10972" s="571" t="s">
        <v>2081</v>
      </c>
      <c r="B10972" s="572">
        <v>20.761799999999997</v>
      </c>
      <c r="C10972" s="572">
        <v>1139.5899999999999</v>
      </c>
    </row>
    <row r="10973" spans="1:3">
      <c r="A10973" s="571" t="s">
        <v>2081</v>
      </c>
      <c r="B10973" s="572">
        <v>27.540499999999998</v>
      </c>
      <c r="C10973" s="572">
        <v>1193.04</v>
      </c>
    </row>
    <row r="10974" spans="1:3">
      <c r="A10974" s="571" t="s">
        <v>2081</v>
      </c>
      <c r="B10974" s="572">
        <v>42.049700000000001</v>
      </c>
      <c r="C10974" s="572">
        <v>1326.33</v>
      </c>
    </row>
    <row r="10975" spans="1:3">
      <c r="A10975" s="571" t="s">
        <v>2081</v>
      </c>
      <c r="B10975" s="572">
        <v>55.739000000000004</v>
      </c>
      <c r="C10975" s="572">
        <v>1335.54</v>
      </c>
    </row>
    <row r="10976" spans="1:3">
      <c r="A10976" s="571" t="s">
        <v>2082</v>
      </c>
      <c r="B10976" s="572">
        <v>0</v>
      </c>
      <c r="C10976" s="572">
        <v>8.8495600000000003</v>
      </c>
    </row>
    <row r="10977" spans="1:3">
      <c r="A10977" s="571" t="s">
        <v>2082</v>
      </c>
      <c r="B10977" s="572">
        <v>8.1861999999999963E-2</v>
      </c>
      <c r="C10977" s="572">
        <v>115.044</v>
      </c>
    </row>
    <row r="10978" spans="1:3">
      <c r="A10978" s="571" t="s">
        <v>2082</v>
      </c>
      <c r="B10978" s="572">
        <v>0.15698999999999999</v>
      </c>
      <c r="C10978" s="572">
        <v>752.21199999999999</v>
      </c>
    </row>
    <row r="10979" spans="1:3">
      <c r="A10979" s="571" t="s">
        <v>2082</v>
      </c>
      <c r="B10979" s="572">
        <v>0.29003500000000004</v>
      </c>
      <c r="C10979" s="572">
        <v>1557.52</v>
      </c>
    </row>
    <row r="10980" spans="1:3">
      <c r="A10980" s="571" t="s">
        <v>2082</v>
      </c>
      <c r="B10980" s="572">
        <v>0.83672000000000002</v>
      </c>
      <c r="C10980" s="572">
        <v>1557.52</v>
      </c>
    </row>
    <row r="10981" spans="1:3">
      <c r="A10981" s="571" t="s">
        <v>2082</v>
      </c>
      <c r="B10981" s="572">
        <v>1.8225900000000002</v>
      </c>
      <c r="C10981" s="572">
        <v>1761.06</v>
      </c>
    </row>
    <row r="10982" spans="1:3">
      <c r="A10982" s="571" t="s">
        <v>2082</v>
      </c>
      <c r="B10982" s="572">
        <v>4.8485899999999997</v>
      </c>
      <c r="C10982" s="572">
        <v>1893.81</v>
      </c>
    </row>
    <row r="10983" spans="1:3">
      <c r="A10983" s="571" t="s">
        <v>2082</v>
      </c>
      <c r="B10983" s="572">
        <v>6.89053</v>
      </c>
      <c r="C10983" s="572">
        <v>1929.2</v>
      </c>
    </row>
    <row r="10984" spans="1:3">
      <c r="A10984" s="571" t="s">
        <v>2082</v>
      </c>
      <c r="B10984" s="572">
        <v>13.8049</v>
      </c>
      <c r="C10984" s="572">
        <v>1991.15</v>
      </c>
    </row>
    <row r="10985" spans="1:3">
      <c r="A10985" s="571" t="s">
        <v>2082</v>
      </c>
      <c r="B10985" s="572">
        <v>20.711799999999997</v>
      </c>
      <c r="C10985" s="572">
        <v>2000</v>
      </c>
    </row>
    <row r="10986" spans="1:3">
      <c r="A10986" s="571" t="s">
        <v>2082</v>
      </c>
      <c r="B10986" s="572">
        <v>27.490499999999997</v>
      </c>
      <c r="C10986" s="572">
        <v>1991.15</v>
      </c>
    </row>
    <row r="10987" spans="1:3">
      <c r="A10987" s="571" t="s">
        <v>2082</v>
      </c>
      <c r="B10987" s="572">
        <v>41.161299999999997</v>
      </c>
      <c r="C10987" s="572">
        <v>2026.55</v>
      </c>
    </row>
    <row r="10988" spans="1:3">
      <c r="A10988" s="571" t="s">
        <v>2082</v>
      </c>
      <c r="B10988" s="572">
        <v>56.821999999999996</v>
      </c>
      <c r="C10988" s="572">
        <v>2061.9499999999998</v>
      </c>
    </row>
    <row r="10989" spans="1:3">
      <c r="A10989" s="571" t="s">
        <v>2083</v>
      </c>
      <c r="B10989" s="572">
        <v>0</v>
      </c>
      <c r="C10989" s="572">
        <v>1.1576500000000001</v>
      </c>
    </row>
    <row r="10990" spans="1:3">
      <c r="A10990" s="571" t="s">
        <v>2083</v>
      </c>
      <c r="B10990" s="572">
        <v>8.3623000000000003E-2</v>
      </c>
      <c r="C10990" s="572">
        <v>86.951999999999998</v>
      </c>
    </row>
    <row r="10991" spans="1:3">
      <c r="A10991" s="571" t="s">
        <v>2083</v>
      </c>
      <c r="B10991" s="572">
        <v>0.16608899999999999</v>
      </c>
      <c r="C10991" s="572">
        <v>192.864</v>
      </c>
    </row>
    <row r="10992" spans="1:3">
      <c r="A10992" s="571" t="s">
        <v>2083</v>
      </c>
      <c r="B10992" s="572">
        <v>0.24851099999999998</v>
      </c>
      <c r="C10992" s="572">
        <v>228.03</v>
      </c>
    </row>
    <row r="10993" spans="1:3">
      <c r="A10993" s="571" t="s">
        <v>2083</v>
      </c>
      <c r="B10993" s="572">
        <v>0.33538500000000004</v>
      </c>
      <c r="C10993" s="572">
        <v>165.87799999999999</v>
      </c>
    </row>
    <row r="10994" spans="1:3">
      <c r="A10994" s="571" t="s">
        <v>2083</v>
      </c>
      <c r="B10994" s="572">
        <v>0.77713999999999994</v>
      </c>
      <c r="C10994" s="572">
        <v>165.15700000000001</v>
      </c>
    </row>
    <row r="10995" spans="1:3">
      <c r="A10995" s="571" t="s">
        <v>2083</v>
      </c>
      <c r="B10995" s="572">
        <v>1.7425900000000001</v>
      </c>
      <c r="C10995" s="572">
        <v>111.211</v>
      </c>
    </row>
    <row r="10996" spans="1:3">
      <c r="A10996" s="571" t="s">
        <v>2083</v>
      </c>
      <c r="B10996" s="572">
        <v>4.6688099999999997</v>
      </c>
      <c r="C10996" s="572">
        <v>128.88499999999999</v>
      </c>
    </row>
    <row r="10997" spans="1:3">
      <c r="A10997" s="571" t="s">
        <v>2083</v>
      </c>
      <c r="B10997" s="572">
        <v>6.5325899999999999</v>
      </c>
      <c r="C10997" s="572">
        <v>235.49100000000001</v>
      </c>
    </row>
    <row r="10998" spans="1:3">
      <c r="A10998" s="571" t="s">
        <v>2083</v>
      </c>
      <c r="B10998" s="572">
        <v>13.447100000000001</v>
      </c>
      <c r="C10998" s="572">
        <v>466.48</v>
      </c>
    </row>
    <row r="10999" spans="1:3">
      <c r="A10999" s="571" t="s">
        <v>2083</v>
      </c>
      <c r="B10999" s="572">
        <v>20.631799999999998</v>
      </c>
      <c r="C10999" s="572">
        <v>599.76300000000003</v>
      </c>
    </row>
    <row r="11000" spans="1:3">
      <c r="A11000" s="571" t="s">
        <v>2083</v>
      </c>
      <c r="B11000" s="572">
        <v>27.410499999999999</v>
      </c>
      <c r="C11000" s="572">
        <v>635.52200000000005</v>
      </c>
    </row>
    <row r="11001" spans="1:3">
      <c r="A11001" s="571" t="s">
        <v>2083</v>
      </c>
      <c r="B11001" s="572">
        <v>41.081299999999999</v>
      </c>
      <c r="C11001" s="572">
        <v>777.62900000000002</v>
      </c>
    </row>
    <row r="11002" spans="1:3">
      <c r="A11002" s="571" t="s">
        <v>2083</v>
      </c>
      <c r="B11002" s="572">
        <v>55.609000000000002</v>
      </c>
      <c r="C11002" s="572">
        <v>848.81100000000004</v>
      </c>
    </row>
    <row r="11003" spans="1:3">
      <c r="A11003" s="571" t="s">
        <v>2083</v>
      </c>
      <c r="B11003" s="572">
        <v>70.829499999999996</v>
      </c>
      <c r="C11003" s="572">
        <v>875.66899999999998</v>
      </c>
    </row>
    <row r="11004" spans="1:3">
      <c r="A11004" s="571" t="s">
        <v>2084</v>
      </c>
      <c r="B11004" s="572">
        <v>0</v>
      </c>
      <c r="C11004" s="572">
        <v>3.9305599999999998</v>
      </c>
    </row>
    <row r="11005" spans="1:3">
      <c r="A11005" s="571" t="s">
        <v>2084</v>
      </c>
      <c r="B11005" s="572">
        <v>4.1312999999999989E-2</v>
      </c>
      <c r="C11005" s="572">
        <v>208.483</v>
      </c>
    </row>
    <row r="11006" spans="1:3">
      <c r="A11006" s="571" t="s">
        <v>2084</v>
      </c>
      <c r="B11006" s="572">
        <v>8.5435000000000011E-2</v>
      </c>
      <c r="C11006" s="572">
        <v>696.80899999999997</v>
      </c>
    </row>
    <row r="11007" spans="1:3">
      <c r="A11007" s="571" t="s">
        <v>2084</v>
      </c>
      <c r="B11007" s="572">
        <v>0.14822699999999997</v>
      </c>
      <c r="C11007" s="572">
        <v>899.18600000000004</v>
      </c>
    </row>
    <row r="11008" spans="1:3">
      <c r="A11008" s="571" t="s">
        <v>2084</v>
      </c>
      <c r="B11008" s="572">
        <v>0.23230700000000001</v>
      </c>
      <c r="C11008" s="572">
        <v>948.38800000000003</v>
      </c>
    </row>
    <row r="11009" spans="1:3">
      <c r="A11009" s="571" t="s">
        <v>2084</v>
      </c>
      <c r="B11009" s="572">
        <v>0.32733000000000001</v>
      </c>
      <c r="C11009" s="572">
        <v>967.15200000000004</v>
      </c>
    </row>
    <row r="11010" spans="1:3">
      <c r="A11010" s="571" t="s">
        <v>2084</v>
      </c>
      <c r="B11010" s="572">
        <v>0.807944</v>
      </c>
      <c r="C11010" s="572">
        <v>972.11199999999997</v>
      </c>
    </row>
    <row r="11011" spans="1:3">
      <c r="A11011" s="571" t="s">
        <v>2084</v>
      </c>
      <c r="B11011" s="572">
        <v>1.7738500000000001</v>
      </c>
      <c r="C11011" s="572">
        <v>1232.0899999999999</v>
      </c>
    </row>
    <row r="11012" spans="1:3">
      <c r="A11012" s="571" t="s">
        <v>2084</v>
      </c>
      <c r="B11012" s="572">
        <v>3.6589499999999999</v>
      </c>
      <c r="C11012" s="572">
        <v>1277.8499999999999</v>
      </c>
    </row>
    <row r="11013" spans="1:3">
      <c r="A11013" s="571" t="s">
        <v>2084</v>
      </c>
      <c r="B11013" s="572">
        <v>6.7702299999999997</v>
      </c>
      <c r="C11013" s="572">
        <v>1354.87</v>
      </c>
    </row>
    <row r="11014" spans="1:3">
      <c r="A11014" s="571" t="s">
        <v>2084</v>
      </c>
      <c r="B11014" s="572">
        <v>13.553900000000001</v>
      </c>
      <c r="C11014" s="572">
        <v>1492.44</v>
      </c>
    </row>
    <row r="11015" spans="1:3">
      <c r="A11015" s="571" t="s">
        <v>2084</v>
      </c>
      <c r="B11015" s="572">
        <v>20.4086</v>
      </c>
      <c r="C11015" s="572">
        <v>1581.14</v>
      </c>
    </row>
    <row r="11016" spans="1:3">
      <c r="A11016" s="571" t="s">
        <v>2084</v>
      </c>
      <c r="B11016" s="572">
        <v>28.1632</v>
      </c>
      <c r="C11016" s="572">
        <v>1650.09</v>
      </c>
    </row>
    <row r="11017" spans="1:3">
      <c r="A11017" s="571" t="s">
        <v>2084</v>
      </c>
      <c r="B11017" s="572">
        <v>42.205199999999998</v>
      </c>
      <c r="C11017" s="572">
        <v>1677.58</v>
      </c>
    </row>
    <row r="11018" spans="1:3">
      <c r="A11018" s="571" t="s">
        <v>2084</v>
      </c>
      <c r="B11018" s="572">
        <v>56.806699999999999</v>
      </c>
      <c r="C11018" s="572">
        <v>1685.49</v>
      </c>
    </row>
    <row r="11019" spans="1:3">
      <c r="A11019" s="571" t="s">
        <v>2084</v>
      </c>
      <c r="B11019" s="572">
        <v>71.705600000000004</v>
      </c>
      <c r="C11019" s="572">
        <v>1683.68</v>
      </c>
    </row>
    <row r="11020" spans="1:3">
      <c r="A11020" s="571" t="s">
        <v>2084</v>
      </c>
      <c r="B11020" s="572">
        <v>90.500399999999999</v>
      </c>
      <c r="C11020" s="572">
        <v>1681.88</v>
      </c>
    </row>
    <row r="11021" spans="1:3">
      <c r="A11021" s="573" t="s">
        <v>2084</v>
      </c>
      <c r="B11021" s="574">
        <v>119.35</v>
      </c>
      <c r="C11021" s="574">
        <v>1720.56</v>
      </c>
    </row>
    <row r="11022" spans="1:3">
      <c r="A11022" s="573" t="s">
        <v>2084</v>
      </c>
      <c r="B11022" s="574">
        <v>393.858</v>
      </c>
      <c r="C11022" s="574">
        <v>1956.2</v>
      </c>
    </row>
    <row r="11023" spans="1:3">
      <c r="A11023" s="571" t="s">
        <v>2085</v>
      </c>
      <c r="B11023" s="572">
        <v>0</v>
      </c>
      <c r="C11023" s="572">
        <v>53.767000000000003</v>
      </c>
    </row>
    <row r="11024" spans="1:3">
      <c r="A11024" s="571" t="s">
        <v>2085</v>
      </c>
      <c r="B11024" s="572">
        <v>0.16844399999999998</v>
      </c>
      <c r="C11024" s="572">
        <v>50.818899999999999</v>
      </c>
    </row>
    <row r="11025" spans="1:3">
      <c r="A11025" s="571" t="s">
        <v>2085</v>
      </c>
      <c r="B11025" s="572">
        <v>0.65382099999999999</v>
      </c>
      <c r="C11025" s="572">
        <v>127.79600000000001</v>
      </c>
    </row>
    <row r="11026" spans="1:3">
      <c r="A11026" s="571" t="s">
        <v>2085</v>
      </c>
      <c r="B11026" s="572">
        <v>1.64588</v>
      </c>
      <c r="C11026" s="572">
        <v>378.19400000000002</v>
      </c>
    </row>
    <row r="11027" spans="1:3">
      <c r="A11027" s="571" t="s">
        <v>2085</v>
      </c>
      <c r="B11027" s="572">
        <v>3.64201</v>
      </c>
      <c r="C11027" s="572">
        <v>526.57899999999995</v>
      </c>
    </row>
    <row r="11028" spans="1:3">
      <c r="A11028" s="571" t="s">
        <v>2085</v>
      </c>
      <c r="B11028" s="572">
        <v>6.61965</v>
      </c>
      <c r="C11028" s="572">
        <v>818.76499999999999</v>
      </c>
    </row>
    <row r="11029" spans="1:3">
      <c r="A11029" s="571" t="s">
        <v>2085</v>
      </c>
      <c r="B11029" s="572">
        <v>13.4763</v>
      </c>
      <c r="C11029" s="572">
        <v>1099.9100000000001</v>
      </c>
    </row>
    <row r="11030" spans="1:3">
      <c r="A11030" s="571" t="s">
        <v>2085</v>
      </c>
      <c r="B11030" s="572">
        <v>20.4251</v>
      </c>
      <c r="C11030" s="572">
        <v>1260.46</v>
      </c>
    </row>
    <row r="11031" spans="1:3">
      <c r="A11031" s="571" t="s">
        <v>2085</v>
      </c>
      <c r="B11031" s="572">
        <v>27.739000000000001</v>
      </c>
      <c r="C11031" s="572">
        <v>1411.51</v>
      </c>
    </row>
    <row r="11032" spans="1:3">
      <c r="A11032" s="571" t="s">
        <v>2085</v>
      </c>
      <c r="B11032" s="572">
        <v>41.695299999999996</v>
      </c>
      <c r="C11032" s="572">
        <v>1470.05</v>
      </c>
    </row>
    <row r="11033" spans="1:3">
      <c r="A11033" s="571" t="s">
        <v>2085</v>
      </c>
      <c r="B11033" s="572">
        <v>57.599699999999999</v>
      </c>
      <c r="C11033" s="572">
        <v>1569.96</v>
      </c>
    </row>
    <row r="11034" spans="1:3">
      <c r="A11034" s="571" t="s">
        <v>2085</v>
      </c>
      <c r="B11034" s="572">
        <v>69.8429</v>
      </c>
      <c r="C11034" s="572">
        <v>1609.5</v>
      </c>
    </row>
    <row r="11035" spans="1:3">
      <c r="A11035" s="571" t="s">
        <v>2085</v>
      </c>
      <c r="B11035" s="572">
        <v>92.405000000000001</v>
      </c>
      <c r="C11035" s="572">
        <v>1709.69</v>
      </c>
    </row>
    <row r="11036" spans="1:3">
      <c r="A11036" s="573" t="s">
        <v>2085</v>
      </c>
      <c r="B11036" s="574">
        <v>119.35299999999999</v>
      </c>
      <c r="C11036" s="574">
        <v>1748.81</v>
      </c>
    </row>
    <row r="11037" spans="1:3">
      <c r="A11037" s="573" t="s">
        <v>2085</v>
      </c>
      <c r="B11037" s="574">
        <v>394.04</v>
      </c>
      <c r="C11037" s="574">
        <v>1975.57</v>
      </c>
    </row>
    <row r="11038" spans="1:3">
      <c r="A11038" s="571" t="s">
        <v>2086</v>
      </c>
      <c r="B11038" s="572">
        <v>3.8099999999999801E-3</v>
      </c>
      <c r="C11038" s="572">
        <v>61.453299999999999</v>
      </c>
    </row>
    <row r="11039" spans="1:3">
      <c r="A11039" s="571" t="s">
        <v>2086</v>
      </c>
      <c r="B11039" s="572">
        <v>0.15831799999999996</v>
      </c>
      <c r="C11039" s="572">
        <v>68.634</v>
      </c>
    </row>
    <row r="11040" spans="1:3">
      <c r="A11040" s="571" t="s">
        <v>2086</v>
      </c>
      <c r="B11040" s="572">
        <v>0.63032599999999994</v>
      </c>
      <c r="C11040" s="572">
        <v>83.644099999999995</v>
      </c>
    </row>
    <row r="11041" spans="1:3">
      <c r="A11041" s="571" t="s">
        <v>2086</v>
      </c>
      <c r="B11041" s="572">
        <v>1.52464</v>
      </c>
      <c r="C11041" s="572">
        <v>240.208</v>
      </c>
    </row>
    <row r="11042" spans="1:3">
      <c r="A11042" s="571" t="s">
        <v>2086</v>
      </c>
      <c r="B11042" s="572">
        <v>3.6405499999999997</v>
      </c>
      <c r="C11042" s="572">
        <v>274.76799999999997</v>
      </c>
    </row>
    <row r="11043" spans="1:3">
      <c r="A11043" s="571" t="s">
        <v>2086</v>
      </c>
      <c r="B11043" s="572">
        <v>6.5564099999999996</v>
      </c>
      <c r="C11043" s="572">
        <v>341.24799999999999</v>
      </c>
    </row>
    <row r="11044" spans="1:3">
      <c r="A11044" s="571" t="s">
        <v>2086</v>
      </c>
      <c r="B11044" s="572">
        <v>12.9581</v>
      </c>
      <c r="C11044" s="572">
        <v>457.41399999999999</v>
      </c>
    </row>
    <row r="11045" spans="1:3">
      <c r="A11045" s="571" t="s">
        <v>2086</v>
      </c>
      <c r="B11045" s="572">
        <v>19.977700000000002</v>
      </c>
      <c r="C11045" s="572">
        <v>534.96600000000001</v>
      </c>
    </row>
    <row r="11046" spans="1:3">
      <c r="A11046" s="571" t="s">
        <v>2086</v>
      </c>
      <c r="B11046" s="572">
        <v>26.44</v>
      </c>
      <c r="C11046" s="572">
        <v>613.65300000000002</v>
      </c>
    </row>
    <row r="11047" spans="1:3">
      <c r="A11047" s="571" t="s">
        <v>2086</v>
      </c>
      <c r="B11047" s="572">
        <v>41.428100000000001</v>
      </c>
      <c r="C11047" s="572">
        <v>660.74400000000003</v>
      </c>
    </row>
    <row r="11048" spans="1:3">
      <c r="A11048" s="571" t="s">
        <v>2086</v>
      </c>
      <c r="B11048" s="572">
        <v>54.728100000000005</v>
      </c>
      <c r="C11048" s="572">
        <v>749.53099999999995</v>
      </c>
    </row>
    <row r="11049" spans="1:3">
      <c r="A11049" s="571" t="s">
        <v>2086</v>
      </c>
      <c r="B11049" s="572">
        <v>69.142800000000008</v>
      </c>
      <c r="C11049" s="572">
        <v>757.84699999999998</v>
      </c>
    </row>
    <row r="11050" spans="1:3">
      <c r="A11050" s="571" t="s">
        <v>2086</v>
      </c>
      <c r="B11050" s="572">
        <v>89.336500000000001</v>
      </c>
      <c r="C11050" s="572">
        <v>836.69600000000003</v>
      </c>
    </row>
    <row r="11051" spans="1:3">
      <c r="A11051" s="573" t="s">
        <v>2086</v>
      </c>
      <c r="B11051" s="574">
        <v>117.895</v>
      </c>
      <c r="C11051" s="574">
        <v>925.48199999999997</v>
      </c>
    </row>
    <row r="11052" spans="1:3">
      <c r="A11052" s="573" t="s">
        <v>2086</v>
      </c>
      <c r="B11052" s="574">
        <v>379.36900000000003</v>
      </c>
      <c r="C11052" s="574">
        <v>1158.95</v>
      </c>
    </row>
    <row r="11053" spans="1:3">
      <c r="A11053" s="571" t="s">
        <v>2087</v>
      </c>
      <c r="B11053" s="572">
        <v>0</v>
      </c>
      <c r="C11053" s="572">
        <v>8.1271299999999993</v>
      </c>
    </row>
    <row r="11054" spans="1:3">
      <c r="A11054" s="571" t="s">
        <v>2087</v>
      </c>
      <c r="B11054" s="572">
        <v>4.4067999999999996E-2</v>
      </c>
      <c r="C11054" s="572">
        <v>89.035600000000002</v>
      </c>
    </row>
    <row r="11055" spans="1:3">
      <c r="A11055" s="571" t="s">
        <v>2087</v>
      </c>
      <c r="B11055" s="572">
        <v>0.12546099999999999</v>
      </c>
      <c r="C11055" s="572">
        <v>148.24799999999999</v>
      </c>
    </row>
    <row r="11056" spans="1:3">
      <c r="A11056" s="571" t="s">
        <v>2087</v>
      </c>
      <c r="B11056" s="572">
        <v>0.216173</v>
      </c>
      <c r="C11056" s="572">
        <v>324.06900000000002</v>
      </c>
    </row>
    <row r="11057" spans="1:3">
      <c r="A11057" s="571" t="s">
        <v>2087</v>
      </c>
      <c r="B11057" s="572">
        <v>0.29218099999999997</v>
      </c>
      <c r="C11057" s="572">
        <v>511.50099999999998</v>
      </c>
    </row>
    <row r="11058" spans="1:3">
      <c r="A11058" s="571" t="s">
        <v>2087</v>
      </c>
      <c r="B11058" s="572">
        <v>0.38373199999999996</v>
      </c>
      <c r="C11058" s="572">
        <v>646.32500000000005</v>
      </c>
    </row>
    <row r="11059" spans="1:3">
      <c r="A11059" s="571" t="s">
        <v>2087</v>
      </c>
      <c r="B11059" s="572">
        <v>0.88984999999999992</v>
      </c>
      <c r="C11059" s="572">
        <v>839.27099999999996</v>
      </c>
    </row>
    <row r="11060" spans="1:3">
      <c r="A11060" s="571" t="s">
        <v>2087</v>
      </c>
      <c r="B11060" s="572">
        <v>1.8919000000000001</v>
      </c>
      <c r="C11060" s="572">
        <v>1000.65</v>
      </c>
    </row>
    <row r="11061" spans="1:3">
      <c r="A11061" s="571" t="s">
        <v>2087</v>
      </c>
      <c r="B11061" s="572">
        <v>4.9609000000000005</v>
      </c>
      <c r="C11061" s="572">
        <v>1306.94</v>
      </c>
    </row>
    <row r="11062" spans="1:3">
      <c r="A11062" s="571" t="s">
        <v>2087</v>
      </c>
      <c r="B11062" s="572">
        <v>7.0637100000000004</v>
      </c>
      <c r="C11062" s="572">
        <v>1471.81</v>
      </c>
    </row>
    <row r="11063" spans="1:3">
      <c r="A11063" s="571" t="s">
        <v>2087</v>
      </c>
      <c r="B11063" s="572">
        <v>14.378499999999999</v>
      </c>
      <c r="C11063" s="572">
        <v>1538.28</v>
      </c>
    </row>
    <row r="11064" spans="1:3">
      <c r="A11064" s="571" t="s">
        <v>2087</v>
      </c>
      <c r="B11064" s="572">
        <v>21.6084</v>
      </c>
      <c r="C11064" s="572">
        <v>1586.75</v>
      </c>
    </row>
    <row r="11065" spans="1:3">
      <c r="A11065" s="571" t="s">
        <v>2087</v>
      </c>
      <c r="B11065" s="572">
        <v>28.5441</v>
      </c>
      <c r="C11065" s="572">
        <v>1626.01</v>
      </c>
    </row>
    <row r="11066" spans="1:3">
      <c r="A11066" s="571" t="s">
        <v>2087</v>
      </c>
      <c r="B11066" s="572">
        <v>56.565599999999996</v>
      </c>
      <c r="C11066" s="572">
        <v>1724.26</v>
      </c>
    </row>
    <row r="11067" spans="1:3">
      <c r="A11067" s="571" t="s">
        <v>2087</v>
      </c>
      <c r="B11067" s="572">
        <v>73.088400000000007</v>
      </c>
      <c r="C11067" s="572">
        <v>1763.73</v>
      </c>
    </row>
    <row r="11068" spans="1:3">
      <c r="A11068" s="571" t="s">
        <v>2087</v>
      </c>
      <c r="B11068" s="572">
        <v>94.342200000000005</v>
      </c>
      <c r="C11068" s="572">
        <v>1782.16</v>
      </c>
    </row>
    <row r="11069" spans="1:3">
      <c r="A11069" s="573" t="s">
        <v>2087</v>
      </c>
      <c r="B11069" s="574">
        <v>121.87400000000001</v>
      </c>
      <c r="C11069" s="574">
        <v>1821.64</v>
      </c>
    </row>
    <row r="11070" spans="1:3">
      <c r="A11070" s="573" t="s">
        <v>2087</v>
      </c>
      <c r="B11070" s="574">
        <v>153.92400000000001</v>
      </c>
      <c r="C11070" s="574">
        <v>1829.77</v>
      </c>
    </row>
    <row r="11071" spans="1:3">
      <c r="A11071" s="573" t="s">
        <v>2087</v>
      </c>
      <c r="B11071" s="574">
        <v>436.17900000000003</v>
      </c>
      <c r="C11071" s="574">
        <v>1913.79</v>
      </c>
    </row>
    <row r="11072" spans="1:3">
      <c r="A11072" s="571" t="s">
        <v>2088</v>
      </c>
      <c r="B11072" s="572">
        <v>0</v>
      </c>
      <c r="C11072" s="572">
        <v>14.513999999999999</v>
      </c>
    </row>
    <row r="11073" spans="1:3">
      <c r="A11073" s="571" t="s">
        <v>2088</v>
      </c>
      <c r="B11073" s="572">
        <v>7.6440999999999981E-2</v>
      </c>
      <c r="C11073" s="572">
        <v>2.3638400000000002</v>
      </c>
    </row>
    <row r="11074" spans="1:3">
      <c r="A11074" s="571" t="s">
        <v>2088</v>
      </c>
      <c r="B11074" s="572">
        <v>0.161269</v>
      </c>
      <c r="C11074" s="572">
        <v>30.115400000000001</v>
      </c>
    </row>
    <row r="11075" spans="1:3">
      <c r="A11075" s="571" t="s">
        <v>2088</v>
      </c>
      <c r="B11075" s="572">
        <v>0.22616900000000001</v>
      </c>
      <c r="C11075" s="572">
        <v>62.027200000000001</v>
      </c>
    </row>
    <row r="11076" spans="1:3">
      <c r="A11076" s="571" t="s">
        <v>2088</v>
      </c>
      <c r="B11076" s="572">
        <v>1.7125999999999999</v>
      </c>
      <c r="C11076" s="572">
        <v>40.610799999999998</v>
      </c>
    </row>
    <row r="11077" spans="1:3">
      <c r="A11077" s="571" t="s">
        <v>2088</v>
      </c>
      <c r="B11077" s="572">
        <v>3.6900300000000001</v>
      </c>
      <c r="C11077" s="572">
        <v>45.291200000000003</v>
      </c>
    </row>
    <row r="11078" spans="1:3">
      <c r="A11078" s="571" t="s">
        <v>2088</v>
      </c>
      <c r="B11078" s="572">
        <v>6.7214700000000001</v>
      </c>
      <c r="C11078" s="572">
        <v>38.814300000000003</v>
      </c>
    </row>
    <row r="11079" spans="1:3">
      <c r="A11079" s="571" t="s">
        <v>2088</v>
      </c>
      <c r="B11079" s="572">
        <v>13.231199999999999</v>
      </c>
      <c r="C11079" s="572">
        <v>70.158900000000003</v>
      </c>
    </row>
    <row r="11080" spans="1:3">
      <c r="A11080" s="571" t="s">
        <v>2088</v>
      </c>
      <c r="B11080" s="572">
        <v>20.325500000000002</v>
      </c>
      <c r="C11080" s="572">
        <v>77.628600000000006</v>
      </c>
    </row>
    <row r="11081" spans="1:3">
      <c r="A11081" s="571" t="s">
        <v>2088</v>
      </c>
      <c r="B11081" s="572">
        <v>27.427900000000001</v>
      </c>
      <c r="C11081" s="572">
        <v>96.255700000000004</v>
      </c>
    </row>
    <row r="11082" spans="1:3">
      <c r="A11082" s="571" t="s">
        <v>2088</v>
      </c>
      <c r="B11082" s="572">
        <v>41.164499999999997</v>
      </c>
      <c r="C11082" s="572">
        <v>134.786</v>
      </c>
    </row>
    <row r="11083" spans="1:3">
      <c r="A11083" s="571" t="s">
        <v>2088</v>
      </c>
      <c r="B11083" s="572">
        <v>77.8215</v>
      </c>
      <c r="C11083" s="572">
        <v>140.83799999999999</v>
      </c>
    </row>
    <row r="11084" spans="1:3">
      <c r="A11084" s="571" t="s">
        <v>2089</v>
      </c>
      <c r="B11084" s="572">
        <v>0</v>
      </c>
      <c r="C11084" s="572">
        <v>4.0943300000000002</v>
      </c>
    </row>
    <row r="11085" spans="1:3">
      <c r="A11085" s="571" t="s">
        <v>2089</v>
      </c>
      <c r="B11085" s="572">
        <v>4.3509999999999993E-2</v>
      </c>
      <c r="C11085" s="572">
        <v>46.698799999999999</v>
      </c>
    </row>
    <row r="11086" spans="1:3">
      <c r="A11086" s="571" t="s">
        <v>2089</v>
      </c>
      <c r="B11086" s="572">
        <v>8.2371E-2</v>
      </c>
      <c r="C11086" s="572">
        <v>88.811899999999994</v>
      </c>
    </row>
    <row r="11087" spans="1:3">
      <c r="A11087" s="571" t="s">
        <v>2089</v>
      </c>
      <c r="B11087" s="572">
        <v>0.165407</v>
      </c>
      <c r="C11087" s="572">
        <v>356.32400000000001</v>
      </c>
    </row>
    <row r="11088" spans="1:3">
      <c r="A11088" s="571" t="s">
        <v>2089</v>
      </c>
      <c r="B11088" s="572">
        <v>0.25238399999999994</v>
      </c>
      <c r="C11088" s="572">
        <v>398.928</v>
      </c>
    </row>
    <row r="11089" spans="1:3">
      <c r="A11089" s="571" t="s">
        <v>2089</v>
      </c>
      <c r="B11089" s="572">
        <v>0.32861799999999997</v>
      </c>
      <c r="C11089" s="572">
        <v>471.64400000000001</v>
      </c>
    </row>
    <row r="11090" spans="1:3">
      <c r="A11090" s="571" t="s">
        <v>2089</v>
      </c>
      <c r="B11090" s="572">
        <v>0.80583899999999997</v>
      </c>
      <c r="C11090" s="572">
        <v>578.89200000000005</v>
      </c>
    </row>
    <row r="11091" spans="1:3">
      <c r="A11091" s="571" t="s">
        <v>2089</v>
      </c>
      <c r="B11091" s="572">
        <v>1.7966</v>
      </c>
      <c r="C11091" s="572">
        <v>492.49</v>
      </c>
    </row>
    <row r="11092" spans="1:3">
      <c r="A11092" s="571" t="s">
        <v>2089</v>
      </c>
      <c r="B11092" s="572">
        <v>3.8018200000000002</v>
      </c>
      <c r="C11092" s="572">
        <v>355.084</v>
      </c>
    </row>
    <row r="11093" spans="1:3">
      <c r="A11093" s="571" t="s">
        <v>2089</v>
      </c>
      <c r="B11093" s="572">
        <v>6.8696400000000004</v>
      </c>
      <c r="C11093" s="572">
        <v>308.50200000000001</v>
      </c>
    </row>
    <row r="11094" spans="1:3">
      <c r="A11094" s="571" t="s">
        <v>2089</v>
      </c>
      <c r="B11094" s="572">
        <v>13.714499999999999</v>
      </c>
      <c r="C11094" s="572">
        <v>232.137</v>
      </c>
    </row>
    <row r="11095" spans="1:3">
      <c r="A11095" s="571" t="s">
        <v>2089</v>
      </c>
      <c r="B11095" s="572">
        <v>20.595699999999997</v>
      </c>
      <c r="C11095" s="572">
        <v>204.64599999999999</v>
      </c>
    </row>
    <row r="11096" spans="1:3">
      <c r="A11096" s="571" t="s">
        <v>2089</v>
      </c>
      <c r="B11096" s="572">
        <v>42.590399999999995</v>
      </c>
      <c r="C11096" s="572">
        <v>108.20699999999999</v>
      </c>
    </row>
    <row r="11097" spans="1:3">
      <c r="A11097" s="571" t="s">
        <v>2089</v>
      </c>
      <c r="B11097" s="572">
        <v>57.374199999999995</v>
      </c>
      <c r="C11097" s="572">
        <v>79.897999999999996</v>
      </c>
    </row>
    <row r="11098" spans="1:3">
      <c r="A11098" s="571" t="s">
        <v>2089</v>
      </c>
      <c r="B11098" s="572">
        <v>70.996600000000001</v>
      </c>
      <c r="C11098" s="572">
        <v>50.933500000000002</v>
      </c>
    </row>
    <row r="11099" spans="1:3">
      <c r="A11099" s="571" t="s">
        <v>2089</v>
      </c>
      <c r="B11099" s="572">
        <v>91.403700000000001</v>
      </c>
      <c r="C11099" s="572">
        <v>83.501000000000005</v>
      </c>
    </row>
    <row r="11100" spans="1:3">
      <c r="A11100" s="573" t="s">
        <v>2089</v>
      </c>
      <c r="B11100" s="574">
        <v>120.333</v>
      </c>
      <c r="C11100" s="574">
        <v>85.630099999999999</v>
      </c>
    </row>
    <row r="11101" spans="1:3">
      <c r="A11101" s="573" t="s">
        <v>2089</v>
      </c>
      <c r="B11101" s="574">
        <v>356.52</v>
      </c>
      <c r="C11101" s="574">
        <v>99.831500000000005</v>
      </c>
    </row>
    <row r="11102" spans="1:3">
      <c r="A11102" s="571" t="s">
        <v>2090</v>
      </c>
      <c r="B11102" s="572">
        <v>0</v>
      </c>
      <c r="C11102" s="572">
        <v>52.556800000000003</v>
      </c>
    </row>
    <row r="11103" spans="1:3">
      <c r="A11103" s="571" t="s">
        <v>2090</v>
      </c>
      <c r="B11103" s="572">
        <v>7.5534999999999963E-2</v>
      </c>
      <c r="C11103" s="572">
        <v>123.051</v>
      </c>
    </row>
    <row r="11104" spans="1:3">
      <c r="A11104" s="571" t="s">
        <v>2090</v>
      </c>
      <c r="B11104" s="572">
        <v>0.15131800000000001</v>
      </c>
      <c r="C11104" s="572">
        <v>214.49199999999999</v>
      </c>
    </row>
    <row r="11105" spans="1:3">
      <c r="A11105" s="571" t="s">
        <v>2090</v>
      </c>
      <c r="B11105" s="572">
        <v>0.64128499999999988</v>
      </c>
      <c r="C11105" s="572">
        <v>373.94</v>
      </c>
    </row>
    <row r="11106" spans="1:3">
      <c r="A11106" s="571" t="s">
        <v>2090</v>
      </c>
      <c r="B11106" s="572">
        <v>1.6334499999999998</v>
      </c>
      <c r="C11106" s="572">
        <v>615.84799999999996</v>
      </c>
    </row>
    <row r="11107" spans="1:3">
      <c r="A11107" s="571" t="s">
        <v>2090</v>
      </c>
      <c r="B11107" s="572">
        <v>3.5576499999999998</v>
      </c>
      <c r="C11107" s="572">
        <v>878.53700000000003</v>
      </c>
    </row>
    <row r="11108" spans="1:3">
      <c r="A11108" s="571" t="s">
        <v>2090</v>
      </c>
      <c r="B11108" s="572">
        <v>6.5658199999999995</v>
      </c>
      <c r="C11108" s="572">
        <v>946.21100000000001</v>
      </c>
    </row>
    <row r="11109" spans="1:3">
      <c r="A11109" s="571" t="s">
        <v>2090</v>
      </c>
      <c r="B11109" s="572">
        <v>13.008699999999999</v>
      </c>
      <c r="C11109" s="572">
        <v>1105.99</v>
      </c>
    </row>
    <row r="11110" spans="1:3">
      <c r="A11110" s="571" t="s">
        <v>2090</v>
      </c>
      <c r="B11110" s="572">
        <v>19.635000000000002</v>
      </c>
      <c r="C11110" s="572">
        <v>1154.3800000000001</v>
      </c>
    </row>
    <row r="11111" spans="1:3">
      <c r="A11111" s="571" t="s">
        <v>2090</v>
      </c>
      <c r="B11111" s="572">
        <v>27.132900000000003</v>
      </c>
      <c r="C11111" s="572">
        <v>1213.73</v>
      </c>
    </row>
    <row r="11112" spans="1:3">
      <c r="A11112" s="571" t="s">
        <v>2090</v>
      </c>
      <c r="B11112" s="572">
        <v>41.7104</v>
      </c>
      <c r="C11112" s="572">
        <v>1323.8</v>
      </c>
    </row>
    <row r="11113" spans="1:3">
      <c r="A11113" s="571" t="s">
        <v>2090</v>
      </c>
      <c r="B11113" s="572">
        <v>53.869300000000003</v>
      </c>
      <c r="C11113" s="572">
        <v>1321.81</v>
      </c>
    </row>
    <row r="11114" spans="1:3">
      <c r="A11114" s="571" t="s">
        <v>2090</v>
      </c>
      <c r="B11114" s="572">
        <v>68.185600000000008</v>
      </c>
      <c r="C11114" s="572">
        <v>1392.14</v>
      </c>
    </row>
    <row r="11115" spans="1:3">
      <c r="A11115" s="571" t="s">
        <v>2090</v>
      </c>
      <c r="B11115" s="572">
        <v>88.020899999999997</v>
      </c>
      <c r="C11115" s="572">
        <v>1400.45</v>
      </c>
    </row>
    <row r="11116" spans="1:3">
      <c r="A11116" s="573" t="s">
        <v>2090</v>
      </c>
      <c r="B11116" s="574">
        <v>373.29599999999999</v>
      </c>
      <c r="C11116" s="574">
        <v>1502.56</v>
      </c>
    </row>
    <row r="11117" spans="1:3">
      <c r="A11117" s="571" t="s">
        <v>2091</v>
      </c>
      <c r="B11117" s="572">
        <v>3.5600000000000076E-3</v>
      </c>
      <c r="C11117" s="572">
        <v>66.22</v>
      </c>
    </row>
    <row r="11118" spans="1:3">
      <c r="A11118" s="571" t="s">
        <v>2091</v>
      </c>
      <c r="B11118" s="572">
        <v>0.12245999999999999</v>
      </c>
      <c r="C11118" s="572">
        <v>112.506</v>
      </c>
    </row>
    <row r="11119" spans="1:3">
      <c r="A11119" s="571" t="s">
        <v>2091</v>
      </c>
      <c r="B11119" s="572">
        <v>0.20920400000000003</v>
      </c>
      <c r="C11119" s="572">
        <v>145.25</v>
      </c>
    </row>
    <row r="11120" spans="1:3">
      <c r="A11120" s="571" t="s">
        <v>2091</v>
      </c>
      <c r="B11120" s="572">
        <v>0.29676400000000003</v>
      </c>
      <c r="C11120" s="572">
        <v>177.66399999999999</v>
      </c>
    </row>
    <row r="11121" spans="1:3">
      <c r="A11121" s="571" t="s">
        <v>2091</v>
      </c>
      <c r="B11121" s="572">
        <v>0.78474500000000003</v>
      </c>
      <c r="C11121" s="572">
        <v>141.71100000000001</v>
      </c>
    </row>
    <row r="11122" spans="1:3">
      <c r="A11122" s="571" t="s">
        <v>2091</v>
      </c>
      <c r="B11122" s="572">
        <v>1.7426200000000001</v>
      </c>
      <c r="C11122" s="572">
        <v>17.9528</v>
      </c>
    </row>
    <row r="11123" spans="1:3">
      <c r="A11123" s="571" t="s">
        <v>2091</v>
      </c>
      <c r="B11123" s="572">
        <v>5.63239</v>
      </c>
      <c r="C11123" s="572">
        <v>215.55099999999999</v>
      </c>
    </row>
    <row r="11124" spans="1:3">
      <c r="A11124" s="571" t="s">
        <v>2091</v>
      </c>
      <c r="B11124" s="572">
        <v>8.6954699999999985</v>
      </c>
      <c r="C11124" s="572">
        <v>274.10399999999998</v>
      </c>
    </row>
    <row r="11125" spans="1:3">
      <c r="A11125" s="571" t="s">
        <v>2091</v>
      </c>
      <c r="B11125" s="572">
        <v>13.3645</v>
      </c>
      <c r="C11125" s="572">
        <v>342.96600000000001</v>
      </c>
    </row>
    <row r="11126" spans="1:3">
      <c r="A11126" s="571" t="s">
        <v>2091</v>
      </c>
      <c r="B11126" s="572">
        <v>20.049799999999998</v>
      </c>
      <c r="C11126" s="572">
        <v>381.06599999999997</v>
      </c>
    </row>
    <row r="11127" spans="1:3">
      <c r="A11127" s="571" t="s">
        <v>2091</v>
      </c>
      <c r="B11127" s="572">
        <v>27.003399999999999</v>
      </c>
      <c r="C11127" s="572">
        <v>419.99099999999999</v>
      </c>
    </row>
    <row r="11128" spans="1:3">
      <c r="A11128" s="571" t="s">
        <v>2091</v>
      </c>
      <c r="B11128" s="572">
        <v>41.271000000000001</v>
      </c>
      <c r="C11128" s="572">
        <v>478.54399999999998</v>
      </c>
    </row>
    <row r="11129" spans="1:3">
      <c r="A11129" s="571" t="s">
        <v>2091</v>
      </c>
      <c r="B11129" s="572">
        <v>54.3459</v>
      </c>
      <c r="C11129" s="572">
        <v>538.25300000000004</v>
      </c>
    </row>
    <row r="11130" spans="1:3">
      <c r="A11130" s="571" t="s">
        <v>2091</v>
      </c>
      <c r="B11130" s="572">
        <v>68.580500000000001</v>
      </c>
      <c r="C11130" s="572">
        <v>557.05499999999995</v>
      </c>
    </row>
    <row r="11131" spans="1:3">
      <c r="A11131" s="571" t="s">
        <v>2091</v>
      </c>
      <c r="B11131" s="572">
        <v>90.263600000000011</v>
      </c>
      <c r="C11131" s="572">
        <v>575.52700000000004</v>
      </c>
    </row>
    <row r="11132" spans="1:3">
      <c r="A11132" s="573" t="s">
        <v>2091</v>
      </c>
      <c r="B11132" s="574">
        <v>355.82100000000003</v>
      </c>
      <c r="C11132" s="574">
        <v>781.28800000000001</v>
      </c>
    </row>
    <row r="11133" spans="1:3">
      <c r="A11133" s="571" t="s">
        <v>2092</v>
      </c>
      <c r="B11133" s="572">
        <v>0</v>
      </c>
      <c r="C11133" s="572">
        <v>8.6885600000000007</v>
      </c>
    </row>
    <row r="11134" spans="1:3">
      <c r="A11134" s="571" t="s">
        <v>2092</v>
      </c>
      <c r="B11134" s="572">
        <v>8.1441000000000013E-2</v>
      </c>
      <c r="C11134" s="572">
        <v>13.7049</v>
      </c>
    </row>
    <row r="11135" spans="1:3">
      <c r="A11135" s="571" t="s">
        <v>2092</v>
      </c>
      <c r="B11135" s="572">
        <v>0.113703</v>
      </c>
      <c r="C11135" s="572">
        <v>12.1928</v>
      </c>
    </row>
    <row r="11136" spans="1:3">
      <c r="A11136" s="571" t="s">
        <v>2092</v>
      </c>
      <c r="B11136" s="572">
        <v>0.194554</v>
      </c>
      <c r="C11136" s="572">
        <v>53.331400000000002</v>
      </c>
    </row>
    <row r="11137" spans="1:3">
      <c r="A11137" s="571" t="s">
        <v>2092</v>
      </c>
      <c r="B11137" s="572">
        <v>0.27726299999999998</v>
      </c>
      <c r="C11137" s="572">
        <v>97.374200000000002</v>
      </c>
    </row>
    <row r="11138" spans="1:3">
      <c r="A11138" s="571" t="s">
        <v>2092</v>
      </c>
      <c r="B11138" s="572">
        <v>0.37118400000000001</v>
      </c>
      <c r="C11138" s="572">
        <v>151.61799999999999</v>
      </c>
    </row>
    <row r="11139" spans="1:3">
      <c r="A11139" s="571" t="s">
        <v>2092</v>
      </c>
      <c r="B11139" s="572">
        <v>0.86944500000000002</v>
      </c>
      <c r="C11139" s="572">
        <v>189.99600000000001</v>
      </c>
    </row>
    <row r="11140" spans="1:3">
      <c r="A11140" s="571" t="s">
        <v>2092</v>
      </c>
      <c r="B11140" s="572">
        <v>1.8312900000000001</v>
      </c>
      <c r="C11140" s="572">
        <v>9.4085999999999999</v>
      </c>
    </row>
    <row r="11141" spans="1:3">
      <c r="A11141" s="571" t="s">
        <v>2092</v>
      </c>
      <c r="B11141" s="572">
        <v>5.7628199999999996</v>
      </c>
      <c r="C11141" s="572">
        <v>187.69200000000001</v>
      </c>
    </row>
    <row r="11142" spans="1:3">
      <c r="A11142" s="571" t="s">
        <v>2092</v>
      </c>
      <c r="B11142" s="572">
        <v>8.6844100000000015</v>
      </c>
      <c r="C11142" s="572">
        <v>266.92099999999999</v>
      </c>
    </row>
    <row r="11143" spans="1:3">
      <c r="A11143" s="571" t="s">
        <v>2092</v>
      </c>
      <c r="B11143" s="572">
        <v>13.339600000000001</v>
      </c>
      <c r="C11143" s="572">
        <v>314.68400000000003</v>
      </c>
    </row>
    <row r="11144" spans="1:3">
      <c r="A11144" s="571" t="s">
        <v>2092</v>
      </c>
      <c r="B11144" s="572">
        <v>20.456099999999999</v>
      </c>
      <c r="C11144" s="572">
        <v>331.197</v>
      </c>
    </row>
    <row r="11145" spans="1:3">
      <c r="A11145" s="571" t="s">
        <v>2092</v>
      </c>
      <c r="B11145" s="572">
        <v>26.993099999999998</v>
      </c>
      <c r="C11145" s="572">
        <v>370.05599999999998</v>
      </c>
    </row>
    <row r="11146" spans="1:3">
      <c r="A11146" s="571" t="s">
        <v>2092</v>
      </c>
      <c r="B11146" s="572">
        <v>41.328800000000001</v>
      </c>
      <c r="C11146" s="572">
        <v>428.23500000000001</v>
      </c>
    </row>
    <row r="11147" spans="1:3">
      <c r="A11147" s="571" t="s">
        <v>2092</v>
      </c>
      <c r="B11147" s="572">
        <v>53.350100000000005</v>
      </c>
      <c r="C11147" s="572">
        <v>488.14299999999997</v>
      </c>
    </row>
    <row r="11148" spans="1:3">
      <c r="A11148" s="571" t="s">
        <v>2092</v>
      </c>
      <c r="B11148" s="572">
        <v>68.857900000000001</v>
      </c>
      <c r="C11148" s="572">
        <v>506.38400000000001</v>
      </c>
    </row>
    <row r="11149" spans="1:3">
      <c r="A11149" s="571" t="s">
        <v>2092</v>
      </c>
      <c r="B11149" s="572">
        <v>88.863399999999999</v>
      </c>
      <c r="C11149" s="572">
        <v>524.62599999999998</v>
      </c>
    </row>
    <row r="11150" spans="1:3">
      <c r="A11150" s="573" t="s">
        <v>2092</v>
      </c>
      <c r="B11150" s="574">
        <v>114.67099999999999</v>
      </c>
      <c r="C11150" s="574">
        <v>532.45000000000005</v>
      </c>
    </row>
    <row r="11151" spans="1:3">
      <c r="A11151" s="573" t="s">
        <v>2092</v>
      </c>
      <c r="B11151" s="574">
        <v>353.37799999999999</v>
      </c>
      <c r="C11151" s="574">
        <v>729.33500000000004</v>
      </c>
    </row>
    <row r="11152" spans="1:3">
      <c r="A11152" s="571" t="s">
        <v>2093</v>
      </c>
      <c r="B11152" s="572">
        <v>0</v>
      </c>
      <c r="C11152" s="572">
        <v>4.7403599999999999</v>
      </c>
    </row>
    <row r="11153" spans="1:3">
      <c r="A11153" s="571" t="s">
        <v>2093</v>
      </c>
      <c r="B11153" s="572">
        <v>8.7620000000000003E-2</v>
      </c>
      <c r="C11153" s="572">
        <v>175.89599999999999</v>
      </c>
    </row>
    <row r="11154" spans="1:3">
      <c r="A11154" s="571" t="s">
        <v>2093</v>
      </c>
      <c r="B11154" s="572">
        <v>0.17296399999999998</v>
      </c>
      <c r="C11154" s="572">
        <v>189.327</v>
      </c>
    </row>
    <row r="11155" spans="1:3">
      <c r="A11155" s="571" t="s">
        <v>2093</v>
      </c>
      <c r="B11155" s="572">
        <v>0.25100999999999996</v>
      </c>
      <c r="C11155" s="572">
        <v>243.554</v>
      </c>
    </row>
    <row r="11156" spans="1:3">
      <c r="A11156" s="571" t="s">
        <v>2093</v>
      </c>
      <c r="B11156" s="572">
        <v>0.33683300000000005</v>
      </c>
      <c r="C11156" s="572">
        <v>287.15100000000001</v>
      </c>
    </row>
    <row r="11157" spans="1:3">
      <c r="A11157" s="571" t="s">
        <v>2093</v>
      </c>
      <c r="B11157" s="572">
        <v>0.83862300000000001</v>
      </c>
      <c r="C11157" s="572">
        <v>315.08999999999997</v>
      </c>
    </row>
    <row r="11158" spans="1:3">
      <c r="A11158" s="571" t="s">
        <v>2093</v>
      </c>
      <c r="B11158" s="572">
        <v>1.77763</v>
      </c>
      <c r="C11158" s="572">
        <v>9.3370700000000006</v>
      </c>
    </row>
    <row r="11159" spans="1:3">
      <c r="A11159" s="571" t="s">
        <v>2093</v>
      </c>
      <c r="B11159" s="572">
        <v>3.74491</v>
      </c>
      <c r="C11159" s="572">
        <v>87.696600000000004</v>
      </c>
    </row>
    <row r="11160" spans="1:3">
      <c r="A11160" s="571" t="s">
        <v>2093</v>
      </c>
      <c r="B11160" s="572">
        <v>6.91608</v>
      </c>
      <c r="C11160" s="572">
        <v>164.97900000000001</v>
      </c>
    </row>
    <row r="11161" spans="1:3">
      <c r="A11161" s="571" t="s">
        <v>2093</v>
      </c>
      <c r="B11161" s="572">
        <v>13.5063</v>
      </c>
      <c r="C11161" s="572">
        <v>252.029</v>
      </c>
    </row>
    <row r="11162" spans="1:3">
      <c r="A11162" s="571" t="s">
        <v>2093</v>
      </c>
      <c r="B11162" s="572">
        <v>20.746700000000001</v>
      </c>
      <c r="C11162" s="572">
        <v>331.03500000000003</v>
      </c>
    </row>
    <row r="11163" spans="1:3">
      <c r="A11163" s="571" t="s">
        <v>2093</v>
      </c>
      <c r="B11163" s="572">
        <v>27.436499999999999</v>
      </c>
      <c r="C11163" s="572">
        <v>442.79300000000001</v>
      </c>
    </row>
    <row r="11164" spans="1:3">
      <c r="A11164" s="571" t="s">
        <v>2093</v>
      </c>
      <c r="B11164" s="572">
        <v>41.163600000000002</v>
      </c>
      <c r="C11164" s="572">
        <v>511.6</v>
      </c>
    </row>
    <row r="11165" spans="1:3">
      <c r="A11165" s="571" t="s">
        <v>2093</v>
      </c>
      <c r="B11165" s="572">
        <v>56.695200000000007</v>
      </c>
      <c r="C11165" s="572">
        <v>581.26800000000003</v>
      </c>
    </row>
    <row r="11166" spans="1:3">
      <c r="A11166" s="571" t="s">
        <v>2093</v>
      </c>
      <c r="B11166" s="572">
        <v>70.099400000000003</v>
      </c>
      <c r="C11166" s="572">
        <v>579.11400000000003</v>
      </c>
    </row>
    <row r="11167" spans="1:3">
      <c r="A11167" s="571" t="s">
        <v>2093</v>
      </c>
      <c r="B11167" s="572">
        <v>90.598500000000001</v>
      </c>
      <c r="C11167" s="572">
        <v>670.25800000000004</v>
      </c>
    </row>
    <row r="11168" spans="1:3">
      <c r="A11168" s="573" t="s">
        <v>2093</v>
      </c>
      <c r="B11168" s="574">
        <v>119.613</v>
      </c>
      <c r="C11168" s="574">
        <v>771.601</v>
      </c>
    </row>
    <row r="11169" spans="1:3">
      <c r="A11169" s="573" t="s">
        <v>2093</v>
      </c>
      <c r="B11169" s="574">
        <v>376.33699999999999</v>
      </c>
      <c r="C11169" s="574">
        <v>864.11</v>
      </c>
    </row>
    <row r="11170" spans="1:3">
      <c r="A11170" s="571" t="s">
        <v>2094</v>
      </c>
      <c r="B11170" s="572">
        <v>0</v>
      </c>
      <c r="C11170" s="572">
        <v>20.468</v>
      </c>
    </row>
    <row r="11171" spans="1:3">
      <c r="A11171" s="571" t="s">
        <v>2094</v>
      </c>
      <c r="B11171" s="572">
        <v>6.9202999999999987E-2</v>
      </c>
      <c r="C11171" s="572">
        <v>5.6595700000000004</v>
      </c>
    </row>
    <row r="11172" spans="1:3">
      <c r="A11172" s="571" t="s">
        <v>2094</v>
      </c>
      <c r="B11172" s="572">
        <v>0.33223899999999995</v>
      </c>
      <c r="C11172" s="572">
        <v>350.58499999999998</v>
      </c>
    </row>
    <row r="11173" spans="1:3">
      <c r="A11173" s="571" t="s">
        <v>2094</v>
      </c>
      <c r="B11173" s="572">
        <v>0.571048</v>
      </c>
      <c r="C11173" s="572">
        <v>450.80399999999997</v>
      </c>
    </row>
    <row r="11174" spans="1:3">
      <c r="A11174" s="571" t="s">
        <v>2094</v>
      </c>
      <c r="B11174" s="572">
        <v>0.82618199999999997</v>
      </c>
      <c r="C11174" s="572">
        <v>666.66899999999998</v>
      </c>
    </row>
    <row r="11175" spans="1:3">
      <c r="A11175" s="571" t="s">
        <v>2094</v>
      </c>
      <c r="B11175" s="572">
        <v>1.7855100000000002</v>
      </c>
      <c r="C11175" s="572">
        <v>887.28399999999999</v>
      </c>
    </row>
    <row r="11176" spans="1:3">
      <c r="A11176" s="571" t="s">
        <v>2094</v>
      </c>
      <c r="B11176" s="572">
        <v>2.85067</v>
      </c>
      <c r="C11176" s="572">
        <v>992.49599999999998</v>
      </c>
    </row>
    <row r="11177" spans="1:3">
      <c r="A11177" s="571" t="s">
        <v>2094</v>
      </c>
      <c r="B11177" s="572">
        <v>3.80402</v>
      </c>
      <c r="C11177" s="572">
        <v>1087.77</v>
      </c>
    </row>
    <row r="11178" spans="1:3">
      <c r="A11178" s="571" t="s">
        <v>2094</v>
      </c>
      <c r="B11178" s="572">
        <v>4.8254400000000004</v>
      </c>
      <c r="C11178" s="572">
        <v>1152.93</v>
      </c>
    </row>
    <row r="11179" spans="1:3">
      <c r="A11179" s="571" t="s">
        <v>2094</v>
      </c>
      <c r="B11179" s="572">
        <v>5.89689</v>
      </c>
      <c r="C11179" s="572">
        <v>1218.1199999999999</v>
      </c>
    </row>
    <row r="11180" spans="1:3">
      <c r="A11180" s="571" t="s">
        <v>2094</v>
      </c>
      <c r="B11180" s="572">
        <v>6.8684200000000004</v>
      </c>
      <c r="C11180" s="572">
        <v>1273.29</v>
      </c>
    </row>
    <row r="11181" spans="1:3">
      <c r="A11181" s="571" t="s">
        <v>2094</v>
      </c>
      <c r="B11181" s="572">
        <v>14.116300000000001</v>
      </c>
      <c r="C11181" s="572">
        <v>1579.3</v>
      </c>
    </row>
    <row r="11182" spans="1:3">
      <c r="A11182" s="571" t="s">
        <v>2094</v>
      </c>
      <c r="B11182" s="572">
        <v>21.136599999999998</v>
      </c>
      <c r="C11182" s="572">
        <v>1744.84</v>
      </c>
    </row>
    <row r="11183" spans="1:3">
      <c r="A11183" s="571" t="s">
        <v>2094</v>
      </c>
      <c r="B11183" s="572">
        <v>27.867599999999999</v>
      </c>
      <c r="C11183" s="572">
        <v>1820.02</v>
      </c>
    </row>
    <row r="11184" spans="1:3">
      <c r="A11184" s="571" t="s">
        <v>2095</v>
      </c>
      <c r="B11184" s="572">
        <v>3.9529999999999843E-3</v>
      </c>
      <c r="C11184" s="572">
        <v>15.357900000000001</v>
      </c>
    </row>
    <row r="11185" spans="1:3">
      <c r="A11185" s="571" t="s">
        <v>2095</v>
      </c>
      <c r="B11185" s="572">
        <v>8.7967999999999991E-2</v>
      </c>
      <c r="C11185" s="572">
        <v>10.657299999999999</v>
      </c>
    </row>
    <row r="11186" spans="1:3">
      <c r="A11186" s="571" t="s">
        <v>2095</v>
      </c>
      <c r="B11186" s="572">
        <v>0.33778799999999998</v>
      </c>
      <c r="C11186" s="572">
        <v>358.83800000000002</v>
      </c>
    </row>
    <row r="11187" spans="1:3">
      <c r="A11187" s="571" t="s">
        <v>2095</v>
      </c>
      <c r="B11187" s="572">
        <v>0.59209400000000001</v>
      </c>
      <c r="C11187" s="572">
        <v>453.54</v>
      </c>
    </row>
    <row r="11188" spans="1:3">
      <c r="A11188" s="571" t="s">
        <v>2095</v>
      </c>
      <c r="B11188" s="572">
        <v>0.84004000000000001</v>
      </c>
      <c r="C11188" s="572">
        <v>663.33299999999997</v>
      </c>
    </row>
    <row r="11189" spans="1:3">
      <c r="A11189" s="571" t="s">
        <v>2095</v>
      </c>
      <c r="B11189" s="572">
        <v>1.85239</v>
      </c>
      <c r="C11189" s="572">
        <v>822.827</v>
      </c>
    </row>
    <row r="11190" spans="1:3">
      <c r="A11190" s="571" t="s">
        <v>2095</v>
      </c>
      <c r="B11190" s="572">
        <v>2.8806499999999997</v>
      </c>
      <c r="C11190" s="572">
        <v>912.52800000000002</v>
      </c>
    </row>
    <row r="11191" spans="1:3">
      <c r="A11191" s="571" t="s">
        <v>2095</v>
      </c>
      <c r="B11191" s="572">
        <v>3.9373300000000002</v>
      </c>
      <c r="C11191" s="572">
        <v>962.31200000000001</v>
      </c>
    </row>
    <row r="11192" spans="1:3">
      <c r="A11192" s="571" t="s">
        <v>2095</v>
      </c>
      <c r="B11192" s="572">
        <v>4.9332399999999996</v>
      </c>
      <c r="C11192" s="572">
        <v>1032.1600000000001</v>
      </c>
    </row>
    <row r="11193" spans="1:3">
      <c r="A11193" s="571" t="s">
        <v>2095</v>
      </c>
      <c r="B11193" s="572">
        <v>5.8905500000000002</v>
      </c>
      <c r="C11193" s="572">
        <v>1047.03</v>
      </c>
    </row>
    <row r="11194" spans="1:3">
      <c r="A11194" s="571" t="s">
        <v>2095</v>
      </c>
      <c r="B11194" s="572">
        <v>7.0257399999999999</v>
      </c>
      <c r="C11194" s="572">
        <v>1086.9100000000001</v>
      </c>
    </row>
    <row r="11195" spans="1:3">
      <c r="A11195" s="571" t="s">
        <v>2095</v>
      </c>
      <c r="B11195" s="572">
        <v>13.962400000000001</v>
      </c>
      <c r="C11195" s="572">
        <v>1301.42</v>
      </c>
    </row>
    <row r="11196" spans="1:3">
      <c r="A11196" s="571" t="s">
        <v>2095</v>
      </c>
      <c r="B11196" s="572">
        <v>21.1662</v>
      </c>
      <c r="C11196" s="572">
        <v>1441.12</v>
      </c>
    </row>
    <row r="11197" spans="1:3">
      <c r="A11197" s="571" t="s">
        <v>2095</v>
      </c>
      <c r="B11197" s="572">
        <v>28.2392</v>
      </c>
      <c r="C11197" s="572">
        <v>1520.91</v>
      </c>
    </row>
    <row r="11198" spans="1:3">
      <c r="A11198" s="571" t="s">
        <v>2096</v>
      </c>
      <c r="B11198" s="572">
        <v>0</v>
      </c>
      <c r="C11198" s="572">
        <v>45.6008</v>
      </c>
    </row>
    <row r="11199" spans="1:3">
      <c r="A11199" s="571" t="s">
        <v>2096</v>
      </c>
      <c r="B11199" s="572">
        <v>7.990899999999998E-2</v>
      </c>
      <c r="C11199" s="572">
        <v>45.892400000000002</v>
      </c>
    </row>
    <row r="11200" spans="1:3">
      <c r="A11200" s="571" t="s">
        <v>2096</v>
      </c>
      <c r="B11200" s="572">
        <v>0.34361399999999998</v>
      </c>
      <c r="C11200" s="572">
        <v>161.994</v>
      </c>
    </row>
    <row r="11201" spans="1:3">
      <c r="A11201" s="571" t="s">
        <v>2096</v>
      </c>
      <c r="B11201" s="572">
        <v>0.58082599999999995</v>
      </c>
      <c r="C11201" s="572">
        <v>16.541899999999998</v>
      </c>
    </row>
    <row r="11202" spans="1:3">
      <c r="A11202" s="571" t="s">
        <v>2096</v>
      </c>
      <c r="B11202" s="572">
        <v>0.86625999999999992</v>
      </c>
      <c r="C11202" s="572">
        <v>108.852</v>
      </c>
    </row>
    <row r="11203" spans="1:3">
      <c r="A11203" s="571" t="s">
        <v>2096</v>
      </c>
      <c r="B11203" s="572">
        <v>1.8686700000000003</v>
      </c>
      <c r="C11203" s="572">
        <v>178.71100000000001</v>
      </c>
    </row>
    <row r="11204" spans="1:3">
      <c r="A11204" s="571" t="s">
        <v>2096</v>
      </c>
      <c r="B11204" s="572">
        <v>2.91106</v>
      </c>
      <c r="C11204" s="572">
        <v>228.66200000000001</v>
      </c>
    </row>
    <row r="11205" spans="1:3">
      <c r="A11205" s="571" t="s">
        <v>2096</v>
      </c>
      <c r="B11205" s="572">
        <v>3.9819500000000003</v>
      </c>
      <c r="C11205" s="572">
        <v>268.64600000000002</v>
      </c>
    </row>
    <row r="11206" spans="1:3">
      <c r="A11206" s="571" t="s">
        <v>2096</v>
      </c>
      <c r="B11206" s="572">
        <v>5.0540099999999999</v>
      </c>
      <c r="C11206" s="572">
        <v>318.73</v>
      </c>
    </row>
    <row r="11207" spans="1:3">
      <c r="A11207" s="571" t="s">
        <v>2096</v>
      </c>
      <c r="B11207" s="572">
        <v>6.0348300000000004</v>
      </c>
      <c r="C11207" s="572">
        <v>338.70600000000002</v>
      </c>
    </row>
    <row r="11208" spans="1:3">
      <c r="A11208" s="571" t="s">
        <v>2096</v>
      </c>
      <c r="B11208" s="572">
        <v>7.0349500000000003</v>
      </c>
      <c r="C11208" s="572">
        <v>383.82299999999998</v>
      </c>
    </row>
    <row r="11209" spans="1:3">
      <c r="A11209" s="571" t="s">
        <v>2096</v>
      </c>
      <c r="B11209" s="572">
        <v>14.3498</v>
      </c>
      <c r="C11209" s="572">
        <v>554.16800000000001</v>
      </c>
    </row>
    <row r="11210" spans="1:3">
      <c r="A11210" s="571" t="s">
        <v>2096</v>
      </c>
      <c r="B11210" s="572">
        <v>21.547699999999999</v>
      </c>
      <c r="C11210" s="572">
        <v>699.60299999999995</v>
      </c>
    </row>
    <row r="11211" spans="1:3">
      <c r="A11211" s="571" t="s">
        <v>2096</v>
      </c>
      <c r="B11211" s="572">
        <v>28.771199999999997</v>
      </c>
      <c r="C11211" s="572">
        <v>764.721</v>
      </c>
    </row>
    <row r="11212" spans="1:3">
      <c r="A11212" s="571" t="s">
        <v>2097</v>
      </c>
      <c r="B11212" s="572">
        <v>3.9019999999999888E-3</v>
      </c>
      <c r="C11212" s="572">
        <v>60</v>
      </c>
    </row>
    <row r="11213" spans="1:3">
      <c r="A11213" s="571" t="s">
        <v>2097</v>
      </c>
      <c r="B11213" s="572">
        <v>8.7748999999999994E-2</v>
      </c>
      <c r="C11213" s="572">
        <v>65</v>
      </c>
    </row>
    <row r="11214" spans="1:3">
      <c r="A11214" s="571" t="s">
        <v>2097</v>
      </c>
      <c r="B11214" s="572">
        <v>0.35104999999999997</v>
      </c>
      <c r="C11214" s="572">
        <v>165</v>
      </c>
    </row>
    <row r="11215" spans="1:3">
      <c r="A11215" s="571" t="s">
        <v>2097</v>
      </c>
      <c r="B11215" s="572">
        <v>0.60240300000000002</v>
      </c>
      <c r="C11215" s="572">
        <v>25</v>
      </c>
    </row>
    <row r="11216" spans="1:3">
      <c r="A11216" s="571" t="s">
        <v>2097</v>
      </c>
      <c r="B11216" s="572">
        <v>0.85418999999999989</v>
      </c>
      <c r="C11216" s="572">
        <v>105</v>
      </c>
    </row>
    <row r="11217" spans="1:3">
      <c r="A11217" s="571" t="s">
        <v>2097</v>
      </c>
      <c r="B11217" s="572">
        <v>1.83511</v>
      </c>
      <c r="C11217" s="572">
        <v>140</v>
      </c>
    </row>
    <row r="11218" spans="1:3">
      <c r="A11218" s="571" t="s">
        <v>2097</v>
      </c>
      <c r="B11218" s="572">
        <v>2.9250399999999996</v>
      </c>
      <c r="C11218" s="572">
        <v>155</v>
      </c>
    </row>
    <row r="11219" spans="1:3">
      <c r="A11219" s="571" t="s">
        <v>2097</v>
      </c>
      <c r="B11219" s="572">
        <v>3.9972300000000001</v>
      </c>
      <c r="C11219" s="572">
        <v>160</v>
      </c>
    </row>
    <row r="11220" spans="1:3">
      <c r="A11220" s="571" t="s">
        <v>2097</v>
      </c>
      <c r="B11220" s="572">
        <v>5.0081899999999999</v>
      </c>
      <c r="C11220" s="572">
        <v>190</v>
      </c>
    </row>
    <row r="11221" spans="1:3">
      <c r="A11221" s="571" t="s">
        <v>2097</v>
      </c>
      <c r="B11221" s="572">
        <v>5.9088500000000002</v>
      </c>
      <c r="C11221" s="572">
        <v>190</v>
      </c>
    </row>
    <row r="11222" spans="1:3">
      <c r="A11222" s="571" t="s">
        <v>2097</v>
      </c>
      <c r="B11222" s="572">
        <v>6.9627799999999995</v>
      </c>
      <c r="C11222" s="572">
        <v>235</v>
      </c>
    </row>
    <row r="11223" spans="1:3">
      <c r="A11223" s="571" t="s">
        <v>2097</v>
      </c>
      <c r="B11223" s="572">
        <v>13.850999999999999</v>
      </c>
      <c r="C11223" s="572">
        <v>275</v>
      </c>
    </row>
    <row r="11224" spans="1:3">
      <c r="A11224" s="571" t="s">
        <v>2097</v>
      </c>
      <c r="B11224" s="572">
        <v>21.004000000000001</v>
      </c>
      <c r="C11224" s="572">
        <v>330</v>
      </c>
    </row>
    <row r="11225" spans="1:3">
      <c r="A11225" s="571" t="s">
        <v>2097</v>
      </c>
      <c r="B11225" s="572">
        <v>28.683599999999998</v>
      </c>
      <c r="C11225" s="572">
        <v>350</v>
      </c>
    </row>
    <row r="11226" spans="1:3">
      <c r="A11226" s="571" t="s">
        <v>2098</v>
      </c>
      <c r="B11226" s="572">
        <v>0</v>
      </c>
      <c r="C11226" s="572">
        <v>20.8505</v>
      </c>
    </row>
    <row r="11227" spans="1:3">
      <c r="A11227" s="571" t="s">
        <v>2098</v>
      </c>
      <c r="B11227" s="572">
        <v>7.4376999999999999E-2</v>
      </c>
      <c r="C11227" s="572">
        <v>86.727199999999996</v>
      </c>
    </row>
    <row r="11228" spans="1:3">
      <c r="A11228" s="571" t="s">
        <v>2098</v>
      </c>
      <c r="B11228" s="572">
        <v>0.33870699999999998</v>
      </c>
      <c r="C11228" s="572">
        <v>138.04499999999999</v>
      </c>
    </row>
    <row r="11229" spans="1:3">
      <c r="A11229" s="571" t="s">
        <v>2098</v>
      </c>
      <c r="B11229" s="572">
        <v>0.58962099999999995</v>
      </c>
      <c r="C11229" s="572">
        <v>148.679</v>
      </c>
    </row>
    <row r="11230" spans="1:3">
      <c r="A11230" s="571" t="s">
        <v>2098</v>
      </c>
      <c r="B11230" s="572">
        <v>0.85317999999999994</v>
      </c>
      <c r="C11230" s="572">
        <v>139.06200000000001</v>
      </c>
    </row>
    <row r="11231" spans="1:3">
      <c r="A11231" s="571" t="s">
        <v>2098</v>
      </c>
      <c r="B11231" s="572">
        <v>1.8645</v>
      </c>
      <c r="C11231" s="572">
        <v>94.835700000000003</v>
      </c>
    </row>
    <row r="11232" spans="1:3">
      <c r="A11232" s="571" t="s">
        <v>2098</v>
      </c>
      <c r="B11232" s="572">
        <v>2.903</v>
      </c>
      <c r="C11232" s="572">
        <v>50.209600000000002</v>
      </c>
    </row>
    <row r="11233" spans="1:3">
      <c r="A11233" s="571" t="s">
        <v>2098</v>
      </c>
      <c r="B11233" s="572">
        <v>3.7838000000000003</v>
      </c>
      <c r="C11233" s="572">
        <v>15.400399999999999</v>
      </c>
    </row>
    <row r="11234" spans="1:3">
      <c r="A11234" s="571" t="s">
        <v>2098</v>
      </c>
      <c r="B11234" s="572">
        <v>4.8018400000000003</v>
      </c>
      <c r="C11234" s="572">
        <v>14.417</v>
      </c>
    </row>
    <row r="11235" spans="1:3">
      <c r="A11235" s="571" t="s">
        <v>2098</v>
      </c>
      <c r="B11235" s="572">
        <v>6.9216300000000004</v>
      </c>
      <c r="C11235" s="572">
        <v>104.35299999999999</v>
      </c>
    </row>
    <row r="11236" spans="1:3">
      <c r="A11236" s="571" t="s">
        <v>2098</v>
      </c>
      <c r="B11236" s="572">
        <v>14.424200000000001</v>
      </c>
      <c r="C11236" s="572">
        <v>274.15699999999998</v>
      </c>
    </row>
    <row r="11237" spans="1:3">
      <c r="A11237" s="571" t="s">
        <v>2098</v>
      </c>
      <c r="B11237" s="572">
        <v>21.374299999999998</v>
      </c>
      <c r="C11237" s="572">
        <v>353.99200000000002</v>
      </c>
    </row>
    <row r="11238" spans="1:3">
      <c r="A11238" s="571" t="s">
        <v>2098</v>
      </c>
      <c r="B11238" s="572">
        <v>27.8689</v>
      </c>
      <c r="C11238" s="572">
        <v>464.16199999999998</v>
      </c>
    </row>
    <row r="11239" spans="1:3">
      <c r="A11239" s="571" t="s">
        <v>2099</v>
      </c>
      <c r="B11239" s="572">
        <v>2.0509999999999973E-3</v>
      </c>
      <c r="C11239" s="572">
        <v>14.9254</v>
      </c>
    </row>
    <row r="11240" spans="1:3">
      <c r="A11240" s="571" t="s">
        <v>2099</v>
      </c>
      <c r="B11240" s="572">
        <v>8.5103999999999985E-2</v>
      </c>
      <c r="C11240" s="572">
        <v>84.577100000000002</v>
      </c>
    </row>
    <row r="11241" spans="1:3">
      <c r="A11241" s="571" t="s">
        <v>2099</v>
      </c>
      <c r="B11241" s="572">
        <v>0.34562300000000001</v>
      </c>
      <c r="C11241" s="572">
        <v>139.303</v>
      </c>
    </row>
    <row r="11242" spans="1:3">
      <c r="A11242" s="571" t="s">
        <v>2099</v>
      </c>
      <c r="B11242" s="572">
        <v>0.60476399999999997</v>
      </c>
      <c r="C11242" s="572">
        <v>149.25399999999999</v>
      </c>
    </row>
    <row r="11243" spans="1:3">
      <c r="A11243" s="571" t="s">
        <v>2099</v>
      </c>
      <c r="B11243" s="572">
        <v>0.85933999999999988</v>
      </c>
      <c r="C11243" s="572">
        <v>129.35300000000001</v>
      </c>
    </row>
    <row r="11244" spans="1:3">
      <c r="A11244" s="571" t="s">
        <v>2099</v>
      </c>
      <c r="B11244" s="572">
        <v>1.8950000000000002</v>
      </c>
      <c r="C11244" s="572">
        <v>114.428</v>
      </c>
    </row>
    <row r="11245" spans="1:3">
      <c r="A11245" s="571" t="s">
        <v>2099</v>
      </c>
      <c r="B11245" s="572">
        <v>2.8775899999999996</v>
      </c>
      <c r="C11245" s="572">
        <v>89.552199999999999</v>
      </c>
    </row>
    <row r="11246" spans="1:3">
      <c r="A11246" s="571" t="s">
        <v>2099</v>
      </c>
      <c r="B11246" s="572">
        <v>4.0307899999999997</v>
      </c>
      <c r="C11246" s="572">
        <v>54.726399999999998</v>
      </c>
    </row>
    <row r="11247" spans="1:3">
      <c r="A11247" s="571" t="s">
        <v>2099</v>
      </c>
      <c r="B11247" s="572">
        <v>4.9940199999999999</v>
      </c>
      <c r="C11247" s="572">
        <v>14.9254</v>
      </c>
    </row>
    <row r="11248" spans="1:3">
      <c r="A11248" s="571" t="s">
        <v>2099</v>
      </c>
      <c r="B11248" s="572">
        <v>6.0346000000000002</v>
      </c>
      <c r="C11248" s="572">
        <v>64.676599999999993</v>
      </c>
    </row>
    <row r="11249" spans="1:3">
      <c r="A11249" s="571" t="s">
        <v>2099</v>
      </c>
      <c r="B11249" s="572">
        <v>6.3260499999999995</v>
      </c>
      <c r="C11249" s="572">
        <v>24.875599999999999</v>
      </c>
    </row>
    <row r="11250" spans="1:3">
      <c r="A11250" s="571" t="s">
        <v>2099</v>
      </c>
      <c r="B11250" s="572">
        <v>7.1160699999999997</v>
      </c>
      <c r="C11250" s="572">
        <v>29.8507</v>
      </c>
    </row>
    <row r="11251" spans="1:3">
      <c r="A11251" s="571" t="s">
        <v>2099</v>
      </c>
      <c r="B11251" s="572">
        <v>14.1753</v>
      </c>
      <c r="C11251" s="572">
        <v>99.502499999999998</v>
      </c>
    </row>
    <row r="11252" spans="1:3">
      <c r="A11252" s="571" t="s">
        <v>2099</v>
      </c>
      <c r="B11252" s="572">
        <v>21.773</v>
      </c>
      <c r="C11252" s="572">
        <v>124.378</v>
      </c>
    </row>
    <row r="11253" spans="1:3">
      <c r="A11253" s="571" t="s">
        <v>2099</v>
      </c>
      <c r="B11253" s="572">
        <v>28.409800000000001</v>
      </c>
      <c r="C11253" s="572">
        <v>164.179</v>
      </c>
    </row>
    <row r="11254" spans="1:3">
      <c r="A11254" s="571" t="s">
        <v>2100</v>
      </c>
      <c r="B11254" s="572">
        <v>0.15879799999999999</v>
      </c>
      <c r="C11254" s="572">
        <v>5.6548600000000002</v>
      </c>
    </row>
    <row r="11255" spans="1:3">
      <c r="A11255" s="571" t="s">
        <v>2100</v>
      </c>
      <c r="B11255" s="572">
        <v>0.201457</v>
      </c>
      <c r="C11255" s="572">
        <v>12.7357</v>
      </c>
    </row>
    <row r="11256" spans="1:3">
      <c r="A11256" s="571" t="s">
        <v>2100</v>
      </c>
      <c r="B11256" s="572">
        <v>0.23494799999999999</v>
      </c>
      <c r="C11256" s="572">
        <v>37.113100000000003</v>
      </c>
    </row>
    <row r="11257" spans="1:3">
      <c r="A11257" s="571" t="s">
        <v>2100</v>
      </c>
      <c r="B11257" s="572">
        <v>0.31950299999999998</v>
      </c>
      <c r="C11257" s="572">
        <v>97.988799999999998</v>
      </c>
    </row>
    <row r="11258" spans="1:3">
      <c r="A11258" s="571" t="s">
        <v>2100</v>
      </c>
      <c r="B11258" s="572">
        <v>0.393596</v>
      </c>
      <c r="C11258" s="572">
        <v>213.32300000000001</v>
      </c>
    </row>
    <row r="11259" spans="1:3">
      <c r="A11259" s="571" t="s">
        <v>2100</v>
      </c>
      <c r="B11259" s="572">
        <v>0.45895000000000002</v>
      </c>
      <c r="C11259" s="572">
        <v>249.822</v>
      </c>
    </row>
    <row r="11260" spans="1:3">
      <c r="A11260" s="571" t="s">
        <v>2100</v>
      </c>
      <c r="B11260" s="572">
        <v>0.551207</v>
      </c>
      <c r="C11260" s="572">
        <v>177.255</v>
      </c>
    </row>
    <row r="11261" spans="1:3">
      <c r="A11261" s="571" t="s">
        <v>2100</v>
      </c>
      <c r="B11261" s="572">
        <v>0.952156</v>
      </c>
      <c r="C11261" s="572">
        <v>165.614</v>
      </c>
    </row>
    <row r="11262" spans="1:3">
      <c r="A11262" s="571" t="s">
        <v>2100</v>
      </c>
      <c r="B11262" s="572">
        <v>1.86629</v>
      </c>
      <c r="C11262" s="572">
        <v>135.90100000000001</v>
      </c>
    </row>
    <row r="11263" spans="1:3">
      <c r="A11263" s="571" t="s">
        <v>2100</v>
      </c>
      <c r="B11263" s="572">
        <v>4.78965</v>
      </c>
      <c r="C11263" s="572">
        <v>129.93899999999999</v>
      </c>
    </row>
    <row r="11264" spans="1:3">
      <c r="A11264" s="571" t="s">
        <v>2100</v>
      </c>
      <c r="B11264" s="572">
        <v>7.0009199999999998</v>
      </c>
      <c r="C11264" s="572">
        <v>220.51499999999999</v>
      </c>
    </row>
    <row r="11265" spans="1:3">
      <c r="A11265" s="571" t="s">
        <v>2100</v>
      </c>
      <c r="B11265" s="572">
        <v>13.9549</v>
      </c>
      <c r="C11265" s="572">
        <v>450.21300000000002</v>
      </c>
    </row>
    <row r="11266" spans="1:3">
      <c r="A11266" s="571" t="s">
        <v>2100</v>
      </c>
      <c r="B11266" s="572">
        <v>20.6995</v>
      </c>
      <c r="C11266" s="572">
        <v>589.26099999999997</v>
      </c>
    </row>
    <row r="11267" spans="1:3">
      <c r="A11267" s="571" t="s">
        <v>2100</v>
      </c>
      <c r="B11267" s="572">
        <v>27.7927</v>
      </c>
      <c r="C11267" s="572">
        <v>619.30499999999995</v>
      </c>
    </row>
    <row r="11268" spans="1:3">
      <c r="A11268" s="571" t="s">
        <v>2100</v>
      </c>
      <c r="B11268" s="572">
        <v>42.407600000000002</v>
      </c>
      <c r="C11268" s="572">
        <v>776.51</v>
      </c>
    </row>
    <row r="11269" spans="1:3">
      <c r="A11269" s="571" t="s">
        <v>2100</v>
      </c>
      <c r="B11269" s="572">
        <v>57.772500000000001</v>
      </c>
      <c r="C11269" s="572">
        <v>842.90599999999995</v>
      </c>
    </row>
    <row r="11270" spans="1:3">
      <c r="A11270" s="571" t="s">
        <v>2100</v>
      </c>
      <c r="B11270" s="572">
        <v>72.315399999999997</v>
      </c>
      <c r="C11270" s="572">
        <v>866.95100000000002</v>
      </c>
    </row>
    <row r="11271" spans="1:3">
      <c r="A11271" s="571" t="s">
        <v>2100</v>
      </c>
      <c r="B11271" s="572">
        <v>91.882099999999994</v>
      </c>
      <c r="C11271" s="572">
        <v>957.65</v>
      </c>
    </row>
    <row r="11272" spans="1:3">
      <c r="A11272" s="571" t="s">
        <v>2101</v>
      </c>
      <c r="B11272" s="572">
        <v>0.198689</v>
      </c>
      <c r="C11272" s="572">
        <v>0.60604599999999997</v>
      </c>
    </row>
    <row r="11273" spans="1:3">
      <c r="A11273" s="571" t="s">
        <v>2101</v>
      </c>
      <c r="B11273" s="572">
        <v>0.28203600000000001</v>
      </c>
      <c r="C11273" s="572">
        <v>102.74299999999999</v>
      </c>
    </row>
    <row r="11274" spans="1:3">
      <c r="A11274" s="571" t="s">
        <v>2101</v>
      </c>
      <c r="B11274" s="572">
        <v>0.36294199999999999</v>
      </c>
      <c r="C11274" s="572">
        <v>236.667</v>
      </c>
    </row>
    <row r="11275" spans="1:3">
      <c r="A11275" s="571" t="s">
        <v>2101</v>
      </c>
      <c r="B11275" s="572">
        <v>0.44160100000000002</v>
      </c>
      <c r="C11275" s="572">
        <v>260.88400000000001</v>
      </c>
    </row>
    <row r="11276" spans="1:3">
      <c r="A11276" s="571" t="s">
        <v>2101</v>
      </c>
      <c r="B11276" s="572">
        <v>0.52983199999999997</v>
      </c>
      <c r="C11276" s="572">
        <v>285.11399999999998</v>
      </c>
    </row>
    <row r="11277" spans="1:3">
      <c r="A11277" s="571" t="s">
        <v>2101</v>
      </c>
      <c r="B11277" s="572">
        <v>0.981491</v>
      </c>
      <c r="C11277" s="572">
        <v>278.47199999999998</v>
      </c>
    </row>
    <row r="11278" spans="1:3">
      <c r="A11278" s="571" t="s">
        <v>2101</v>
      </c>
      <c r="B11278" s="572">
        <v>1.97763</v>
      </c>
      <c r="C11278" s="572">
        <v>296.14600000000002</v>
      </c>
    </row>
    <row r="11279" spans="1:3">
      <c r="A11279" s="571" t="s">
        <v>2101</v>
      </c>
      <c r="B11279" s="572">
        <v>3.9293499999999999</v>
      </c>
      <c r="C11279" s="572">
        <v>405.29599999999999</v>
      </c>
    </row>
    <row r="11280" spans="1:3">
      <c r="A11280" s="571" t="s">
        <v>2101</v>
      </c>
      <c r="B11280" s="572">
        <v>6.9793200000000004</v>
      </c>
      <c r="C11280" s="572">
        <v>581.61800000000005</v>
      </c>
    </row>
    <row r="11281" spans="1:3">
      <c r="A11281" s="571" t="s">
        <v>2101</v>
      </c>
      <c r="B11281" s="572">
        <v>14.2613</v>
      </c>
      <c r="C11281" s="572">
        <v>770.01199999999994</v>
      </c>
    </row>
    <row r="11282" spans="1:3">
      <c r="A11282" s="571" t="s">
        <v>2101</v>
      </c>
      <c r="B11282" s="572">
        <v>21.1127</v>
      </c>
      <c r="C11282" s="572">
        <v>964.78800000000001</v>
      </c>
    </row>
    <row r="11283" spans="1:3">
      <c r="A11283" s="571" t="s">
        <v>2101</v>
      </c>
      <c r="B11283" s="572">
        <v>27.941400000000002</v>
      </c>
      <c r="C11283" s="572">
        <v>995.02800000000002</v>
      </c>
    </row>
    <row r="11284" spans="1:3">
      <c r="A11284" s="571" t="s">
        <v>2101</v>
      </c>
      <c r="B11284" s="572">
        <v>42.540599999999998</v>
      </c>
      <c r="C11284" s="572">
        <v>1043.44</v>
      </c>
    </row>
    <row r="11285" spans="1:3">
      <c r="A11285" s="571" t="s">
        <v>2101</v>
      </c>
      <c r="B11285" s="572">
        <v>56.299799999999998</v>
      </c>
      <c r="C11285" s="572">
        <v>1146.8499999999999</v>
      </c>
    </row>
    <row r="11286" spans="1:3">
      <c r="A11286" s="571" t="s">
        <v>2101</v>
      </c>
      <c r="B11286" s="572">
        <v>70.4482</v>
      </c>
      <c r="C11286" s="572">
        <v>1189.33</v>
      </c>
    </row>
    <row r="11287" spans="1:3">
      <c r="A11287" s="571" t="s">
        <v>2102</v>
      </c>
      <c r="B11287" s="572">
        <v>0.20688200000000001</v>
      </c>
      <c r="C11287" s="572">
        <v>5.4893200000000002</v>
      </c>
    </row>
    <row r="11288" spans="1:3">
      <c r="A11288" s="571" t="s">
        <v>2102</v>
      </c>
      <c r="B11288" s="572">
        <v>0.283804</v>
      </c>
      <c r="C11288" s="572">
        <v>201.52799999999999</v>
      </c>
    </row>
    <row r="11289" spans="1:3">
      <c r="A11289" s="571" t="s">
        <v>2102</v>
      </c>
      <c r="B11289" s="572">
        <v>0.36397000000000002</v>
      </c>
      <c r="C11289" s="572">
        <v>305.601</v>
      </c>
    </row>
    <row r="11290" spans="1:3">
      <c r="A11290" s="571" t="s">
        <v>2102</v>
      </c>
      <c r="B11290" s="572">
        <v>0.51575599999999999</v>
      </c>
      <c r="C11290" s="572">
        <v>342.101</v>
      </c>
    </row>
    <row r="11291" spans="1:3">
      <c r="A11291" s="571" t="s">
        <v>2102</v>
      </c>
      <c r="B11291" s="572">
        <v>0.96784300000000001</v>
      </c>
      <c r="C11291" s="572">
        <v>335.40699999999998</v>
      </c>
    </row>
    <row r="11292" spans="1:3">
      <c r="A11292" s="571" t="s">
        <v>2102</v>
      </c>
      <c r="B11292" s="572">
        <v>1.9724600000000001</v>
      </c>
      <c r="C11292" s="572">
        <v>377.72</v>
      </c>
    </row>
    <row r="11293" spans="1:3">
      <c r="A11293" s="571" t="s">
        <v>2102</v>
      </c>
      <c r="B11293" s="572">
        <v>3.8441399999999999</v>
      </c>
      <c r="C11293" s="572">
        <v>518.23099999999999</v>
      </c>
    </row>
    <row r="11294" spans="1:3">
      <c r="A11294" s="571" t="s">
        <v>2102</v>
      </c>
      <c r="B11294" s="572">
        <v>6.8889300000000002</v>
      </c>
      <c r="C11294" s="572">
        <v>658.81799999999998</v>
      </c>
    </row>
    <row r="11295" spans="1:3">
      <c r="A11295" s="571" t="s">
        <v>2102</v>
      </c>
      <c r="B11295" s="572">
        <v>13.742900000000001</v>
      </c>
      <c r="C11295" s="572">
        <v>964.95299999999997</v>
      </c>
    </row>
    <row r="11296" spans="1:3">
      <c r="A11296" s="571" t="s">
        <v>2102</v>
      </c>
      <c r="B11296" s="572">
        <v>20.795000000000002</v>
      </c>
      <c r="C11296" s="572">
        <v>1154.77</v>
      </c>
    </row>
    <row r="11297" spans="1:3">
      <c r="A11297" s="571" t="s">
        <v>2102</v>
      </c>
      <c r="B11297" s="572">
        <v>27.854500000000002</v>
      </c>
      <c r="C11297" s="572">
        <v>1203.5899999999999</v>
      </c>
    </row>
    <row r="11298" spans="1:3">
      <c r="A11298" s="571" t="s">
        <v>2102</v>
      </c>
      <c r="B11298" s="572">
        <v>41.119300000000003</v>
      </c>
      <c r="C11298" s="572">
        <v>1276.8599999999999</v>
      </c>
    </row>
    <row r="11299" spans="1:3">
      <c r="A11299" s="571" t="s">
        <v>2102</v>
      </c>
      <c r="B11299" s="572">
        <v>53.5045</v>
      </c>
      <c r="C11299" s="572">
        <v>1362.52</v>
      </c>
    </row>
    <row r="11300" spans="1:3">
      <c r="A11300" s="571" t="s">
        <v>2102</v>
      </c>
      <c r="B11300" s="572">
        <v>67.781400000000005</v>
      </c>
      <c r="C11300" s="572">
        <v>1405.25</v>
      </c>
    </row>
    <row r="11301" spans="1:3">
      <c r="A11301" s="571" t="s">
        <v>2103</v>
      </c>
      <c r="B11301" s="572">
        <v>0.20378299999999999</v>
      </c>
      <c r="C11301" s="572">
        <v>12.823499999999999</v>
      </c>
    </row>
    <row r="11302" spans="1:3">
      <c r="A11302" s="571" t="s">
        <v>2103</v>
      </c>
      <c r="B11302" s="572">
        <v>0.28714299999999998</v>
      </c>
      <c r="C11302" s="572">
        <v>413.70299999999997</v>
      </c>
    </row>
    <row r="11303" spans="1:3">
      <c r="A11303" s="571" t="s">
        <v>2103</v>
      </c>
      <c r="B11303" s="572">
        <v>0.36870000000000003</v>
      </c>
      <c r="C11303" s="572">
        <v>498.84800000000001</v>
      </c>
    </row>
    <row r="11304" spans="1:3">
      <c r="A11304" s="571" t="s">
        <v>2103</v>
      </c>
      <c r="B11304" s="572">
        <v>0.43561800000000001</v>
      </c>
      <c r="C11304" s="572">
        <v>547.48099999999999</v>
      </c>
    </row>
    <row r="11305" spans="1:3">
      <c r="A11305" s="571" t="s">
        <v>2103</v>
      </c>
      <c r="B11305" s="572">
        <v>0.52173700000000001</v>
      </c>
      <c r="C11305" s="572">
        <v>620.49300000000005</v>
      </c>
    </row>
    <row r="11306" spans="1:3">
      <c r="A11306" s="571" t="s">
        <v>2103</v>
      </c>
      <c r="B11306" s="572">
        <v>0.95081899999999997</v>
      </c>
      <c r="C11306" s="572">
        <v>613.86599999999999</v>
      </c>
    </row>
    <row r="11307" spans="1:3">
      <c r="A11307" s="571" t="s">
        <v>2103</v>
      </c>
      <c r="B11307" s="572">
        <v>1.96417</v>
      </c>
      <c r="C11307" s="572">
        <v>625.41999999999996</v>
      </c>
    </row>
    <row r="11308" spans="1:3">
      <c r="A11308" s="571" t="s">
        <v>2103</v>
      </c>
      <c r="B11308" s="572">
        <v>3.93344</v>
      </c>
      <c r="C11308" s="572">
        <v>862.61199999999997</v>
      </c>
    </row>
    <row r="11309" spans="1:3">
      <c r="A11309" s="571" t="s">
        <v>2103</v>
      </c>
      <c r="B11309" s="572">
        <v>6.8598100000000004</v>
      </c>
      <c r="C11309" s="572">
        <v>1008.46</v>
      </c>
    </row>
    <row r="11310" spans="1:3">
      <c r="A11310" s="571" t="s">
        <v>2103</v>
      </c>
      <c r="B11310" s="572">
        <v>13.7409</v>
      </c>
      <c r="C11310" s="572">
        <v>1227.3599999999999</v>
      </c>
    </row>
    <row r="11311" spans="1:3">
      <c r="A11311" s="571" t="s">
        <v>2103</v>
      </c>
      <c r="B11311" s="572">
        <v>20.8443</v>
      </c>
      <c r="C11311" s="572">
        <v>1367.24</v>
      </c>
    </row>
    <row r="11312" spans="1:3">
      <c r="A11312" s="571" t="s">
        <v>2103</v>
      </c>
      <c r="B11312" s="572">
        <v>27.908899999999999</v>
      </c>
      <c r="C11312" s="572">
        <v>1452.35</v>
      </c>
    </row>
    <row r="11313" spans="1:3">
      <c r="A11313" s="571" t="s">
        <v>2103</v>
      </c>
      <c r="B11313" s="572">
        <v>39.472900000000003</v>
      </c>
      <c r="C11313" s="572">
        <v>1610.58</v>
      </c>
    </row>
    <row r="11314" spans="1:3">
      <c r="A11314" s="571" t="s">
        <v>2103</v>
      </c>
      <c r="B11314" s="572">
        <v>56.637099999999997</v>
      </c>
      <c r="C11314" s="572">
        <v>1738.31</v>
      </c>
    </row>
    <row r="11315" spans="1:3">
      <c r="A11315" s="571" t="s">
        <v>2103</v>
      </c>
      <c r="B11315" s="572">
        <v>70.752099999999999</v>
      </c>
      <c r="C11315" s="572">
        <v>1792.99</v>
      </c>
    </row>
    <row r="11316" spans="1:3">
      <c r="A11316" s="571" t="s">
        <v>2104</v>
      </c>
      <c r="B11316" s="572">
        <v>0.20691399999999999</v>
      </c>
      <c r="C11316" s="572">
        <v>6.7394100000000003</v>
      </c>
    </row>
    <row r="11317" spans="1:3">
      <c r="A11317" s="571" t="s">
        <v>2104</v>
      </c>
      <c r="B11317" s="572">
        <v>0.285408</v>
      </c>
      <c r="C11317" s="572">
        <v>108.83</v>
      </c>
    </row>
    <row r="11318" spans="1:3">
      <c r="A11318" s="571" t="s">
        <v>2104</v>
      </c>
      <c r="B11318" s="572">
        <v>0.36199700000000001</v>
      </c>
      <c r="C11318" s="572">
        <v>230.572</v>
      </c>
    </row>
    <row r="11319" spans="1:3">
      <c r="A11319" s="571" t="s">
        <v>2104</v>
      </c>
      <c r="B11319" s="572">
        <v>0.43416199999999999</v>
      </c>
      <c r="C11319" s="572">
        <v>382.85</v>
      </c>
    </row>
    <row r="11320" spans="1:3">
      <c r="A11320" s="571" t="s">
        <v>2104</v>
      </c>
      <c r="B11320" s="572">
        <v>0.51348300000000002</v>
      </c>
      <c r="C11320" s="572">
        <v>468.06799999999998</v>
      </c>
    </row>
    <row r="11321" spans="1:3">
      <c r="A11321" s="571" t="s">
        <v>2104</v>
      </c>
      <c r="B11321" s="572">
        <v>0.99072099999999996</v>
      </c>
      <c r="C11321" s="572">
        <v>565.04899999999998</v>
      </c>
    </row>
    <row r="11322" spans="1:3">
      <c r="A11322" s="571" t="s">
        <v>2104</v>
      </c>
      <c r="B11322" s="572">
        <v>1.9384300000000001</v>
      </c>
      <c r="C11322" s="572">
        <v>649.822</v>
      </c>
    </row>
    <row r="11323" spans="1:3">
      <c r="A11323" s="571" t="s">
        <v>2104</v>
      </c>
      <c r="B11323" s="572">
        <v>3.9551799999999999</v>
      </c>
      <c r="C11323" s="572">
        <v>935.77800000000002</v>
      </c>
    </row>
    <row r="11324" spans="1:3">
      <c r="A11324" s="571" t="s">
        <v>2104</v>
      </c>
      <c r="B11324" s="572">
        <v>7.0170399999999997</v>
      </c>
      <c r="C11324" s="572">
        <v>1160.8800000000001</v>
      </c>
    </row>
    <row r="11325" spans="1:3">
      <c r="A11325" s="571" t="s">
        <v>2104</v>
      </c>
      <c r="B11325" s="572">
        <v>14.1188</v>
      </c>
      <c r="C11325" s="572">
        <v>1593.19</v>
      </c>
    </row>
    <row r="11326" spans="1:3">
      <c r="A11326" s="571" t="s">
        <v>2104</v>
      </c>
      <c r="B11326" s="572">
        <v>20.885200000000001</v>
      </c>
      <c r="C11326" s="572">
        <v>1781.87</v>
      </c>
    </row>
    <row r="11327" spans="1:3">
      <c r="A11327" s="571" t="s">
        <v>2104</v>
      </c>
      <c r="B11327" s="572">
        <v>28.408000000000001</v>
      </c>
      <c r="C11327" s="572">
        <v>1885.26</v>
      </c>
    </row>
    <row r="11328" spans="1:3">
      <c r="A11328" s="571" t="s">
        <v>2104</v>
      </c>
      <c r="B11328" s="572">
        <v>43.214300000000001</v>
      </c>
      <c r="C11328" s="572">
        <v>2086.11</v>
      </c>
    </row>
    <row r="11329" spans="1:3">
      <c r="A11329" s="571" t="s">
        <v>2104</v>
      </c>
      <c r="B11329" s="572">
        <v>55.582700000000003</v>
      </c>
      <c r="C11329" s="572">
        <v>2329.79</v>
      </c>
    </row>
    <row r="11330" spans="1:3">
      <c r="A11330" s="571" t="s">
        <v>2104</v>
      </c>
      <c r="B11330" s="572">
        <v>68.553899999999999</v>
      </c>
      <c r="C11330" s="572">
        <v>2463.75</v>
      </c>
    </row>
    <row r="11331" spans="1:3">
      <c r="A11331" s="571" t="s">
        <v>2105</v>
      </c>
      <c r="B11331" s="572">
        <v>1.0155700000000001</v>
      </c>
      <c r="C11331" s="572">
        <v>11.9955</v>
      </c>
    </row>
    <row r="11332" spans="1:3">
      <c r="A11332" s="571" t="s">
        <v>2105</v>
      </c>
      <c r="B11332" s="572">
        <v>2.0274800000000002</v>
      </c>
      <c r="C11332" s="572">
        <v>371.08300000000003</v>
      </c>
    </row>
    <row r="11333" spans="1:3">
      <c r="A11333" s="571" t="s">
        <v>2105</v>
      </c>
      <c r="B11333" s="572">
        <v>4.1101299999999998</v>
      </c>
      <c r="C11333" s="572">
        <v>736.14300000000003</v>
      </c>
    </row>
    <row r="11334" spans="1:3">
      <c r="A11334" s="571" t="s">
        <v>2105</v>
      </c>
      <c r="B11334" s="572">
        <v>7.1154999999999999</v>
      </c>
      <c r="C11334" s="572">
        <v>836.68</v>
      </c>
    </row>
    <row r="11335" spans="1:3">
      <c r="A11335" s="571" t="s">
        <v>2105</v>
      </c>
      <c r="B11335" s="572">
        <v>13.9396</v>
      </c>
      <c r="C11335" s="572">
        <v>1033.18</v>
      </c>
    </row>
    <row r="11336" spans="1:3">
      <c r="A11336" s="571" t="s">
        <v>2105</v>
      </c>
      <c r="B11336" s="572">
        <v>21.363800000000001</v>
      </c>
      <c r="C11336" s="572">
        <v>1116.06</v>
      </c>
    </row>
    <row r="11337" spans="1:3">
      <c r="A11337" s="571" t="s">
        <v>2105</v>
      </c>
      <c r="B11337" s="572">
        <v>28.545400000000001</v>
      </c>
      <c r="C11337" s="572">
        <v>1175.32</v>
      </c>
    </row>
    <row r="11338" spans="1:3">
      <c r="A11338" s="571" t="s">
        <v>2105</v>
      </c>
      <c r="B11338" s="572">
        <v>43.202100000000002</v>
      </c>
      <c r="C11338" s="572">
        <v>1372.7</v>
      </c>
    </row>
    <row r="11339" spans="1:3">
      <c r="A11339" s="571" t="s">
        <v>2105</v>
      </c>
      <c r="B11339" s="572">
        <v>58.5274</v>
      </c>
      <c r="C11339" s="572">
        <v>1371.66</v>
      </c>
    </row>
    <row r="11340" spans="1:3">
      <c r="A11340" s="571" t="s">
        <v>2105</v>
      </c>
      <c r="B11340" s="572">
        <v>70.395300000000006</v>
      </c>
      <c r="C11340" s="572">
        <v>1479.47</v>
      </c>
    </row>
    <row r="11341" spans="1:3">
      <c r="A11341" s="571" t="s">
        <v>2105</v>
      </c>
      <c r="B11341" s="572">
        <v>93.917299999999997</v>
      </c>
      <c r="C11341" s="572">
        <v>1472.46</v>
      </c>
    </row>
    <row r="11342" spans="1:3">
      <c r="A11342" s="571" t="s">
        <v>2106</v>
      </c>
      <c r="B11342" s="572">
        <v>1</v>
      </c>
      <c r="C11342" s="572">
        <v>0</v>
      </c>
    </row>
    <row r="11343" spans="1:3">
      <c r="A11343" s="571" t="s">
        <v>2106</v>
      </c>
      <c r="B11343" s="572">
        <v>1.99169</v>
      </c>
      <c r="C11343" s="572">
        <v>411.20499999999998</v>
      </c>
    </row>
    <row r="11344" spans="1:3">
      <c r="A11344" s="571" t="s">
        <v>2106</v>
      </c>
      <c r="B11344" s="572">
        <v>3.9550399999999999</v>
      </c>
      <c r="C11344" s="572">
        <v>286.25900000000001</v>
      </c>
    </row>
    <row r="11345" spans="1:3">
      <c r="A11345" s="571" t="s">
        <v>2106</v>
      </c>
      <c r="B11345" s="572">
        <v>7.2867499999999996</v>
      </c>
      <c r="C11345" s="572">
        <v>118.974</v>
      </c>
    </row>
    <row r="11346" spans="1:3">
      <c r="A11346" s="571" t="s">
        <v>2106</v>
      </c>
      <c r="B11346" s="572">
        <v>14.515599999999999</v>
      </c>
      <c r="C11346" s="572">
        <v>144.51900000000001</v>
      </c>
    </row>
    <row r="11347" spans="1:3">
      <c r="A11347" s="571" t="s">
        <v>2106</v>
      </c>
      <c r="B11347" s="572">
        <v>21.599299999999999</v>
      </c>
      <c r="C11347" s="572">
        <v>264.09699999999998</v>
      </c>
    </row>
    <row r="11348" spans="1:3">
      <c r="A11348" s="571" t="s">
        <v>2106</v>
      </c>
      <c r="B11348" s="572">
        <v>29.3218</v>
      </c>
      <c r="C11348" s="572">
        <v>353.76400000000001</v>
      </c>
    </row>
    <row r="11349" spans="1:3">
      <c r="A11349" s="571" t="s">
        <v>2106</v>
      </c>
      <c r="B11349" s="572">
        <v>44.219700000000003</v>
      </c>
      <c r="C11349" s="572">
        <v>394.99799999999999</v>
      </c>
    </row>
    <row r="11350" spans="1:3">
      <c r="A11350" s="571" t="s">
        <v>2106</v>
      </c>
      <c r="B11350" s="572">
        <v>59.036200000000001</v>
      </c>
      <c r="C11350" s="572">
        <v>418.43700000000001</v>
      </c>
    </row>
    <row r="11351" spans="1:3">
      <c r="A11351" s="571" t="s">
        <v>2106</v>
      </c>
      <c r="B11351" s="572">
        <v>74.2042</v>
      </c>
      <c r="C11351" s="572">
        <v>460.08600000000001</v>
      </c>
    </row>
    <row r="11352" spans="1:3">
      <c r="A11352" s="571" t="s">
        <v>2106</v>
      </c>
      <c r="B11352" s="572">
        <v>94.7089</v>
      </c>
      <c r="C11352" s="572">
        <v>507.72399999999999</v>
      </c>
    </row>
    <row r="11353" spans="1:3">
      <c r="A11353" s="573" t="s">
        <v>2106</v>
      </c>
      <c r="B11353" s="574">
        <v>124.46899999999999</v>
      </c>
      <c r="C11353" s="574">
        <v>507.10300000000001</v>
      </c>
    </row>
    <row r="11354" spans="1:3">
      <c r="A11354" s="571" t="s">
        <v>2107</v>
      </c>
      <c r="B11354" s="572">
        <v>1.01525</v>
      </c>
      <c r="C11354" s="572">
        <v>3.4318300000000003E-2</v>
      </c>
    </row>
    <row r="11355" spans="1:3">
      <c r="A11355" s="571" t="s">
        <v>2107</v>
      </c>
      <c r="B11355" s="572">
        <v>1.99135</v>
      </c>
      <c r="C11355" s="572">
        <v>331.892</v>
      </c>
    </row>
    <row r="11356" spans="1:3">
      <c r="A11356" s="571" t="s">
        <v>2107</v>
      </c>
      <c r="B11356" s="572">
        <v>3.9784799999999998</v>
      </c>
      <c r="C11356" s="572">
        <v>519.64700000000005</v>
      </c>
    </row>
    <row r="11357" spans="1:3">
      <c r="A11357" s="571" t="s">
        <v>2107</v>
      </c>
      <c r="B11357" s="572">
        <v>7.07857</v>
      </c>
      <c r="C11357" s="572">
        <v>478.911</v>
      </c>
    </row>
    <row r="11358" spans="1:3">
      <c r="A11358" s="571" t="s">
        <v>2107</v>
      </c>
      <c r="B11358" s="572">
        <v>14.2895</v>
      </c>
      <c r="C11358" s="572">
        <v>210.23400000000001</v>
      </c>
    </row>
    <row r="11359" spans="1:3">
      <c r="A11359" s="571" t="s">
        <v>2107</v>
      </c>
      <c r="B11359" s="572">
        <v>21.571300000000001</v>
      </c>
      <c r="C11359" s="572">
        <v>73.029300000000006</v>
      </c>
    </row>
    <row r="11360" spans="1:3">
      <c r="A11360" s="571" t="s">
        <v>2107</v>
      </c>
      <c r="B11360" s="572">
        <v>43.6113</v>
      </c>
      <c r="C11360" s="572">
        <v>261.71100000000001</v>
      </c>
    </row>
    <row r="11361" spans="1:3">
      <c r="A11361" s="571" t="s">
        <v>2107</v>
      </c>
      <c r="B11361" s="572">
        <v>58.167900000000003</v>
      </c>
      <c r="C11361" s="572">
        <v>279.07600000000002</v>
      </c>
    </row>
    <row r="11362" spans="1:3">
      <c r="A11362" s="571" t="s">
        <v>2107</v>
      </c>
      <c r="B11362" s="572">
        <v>72.094899999999996</v>
      </c>
      <c r="C11362" s="572">
        <v>398.71</v>
      </c>
    </row>
    <row r="11363" spans="1:3">
      <c r="A11363" s="571" t="s">
        <v>2107</v>
      </c>
      <c r="B11363" s="572">
        <v>94.765799999999999</v>
      </c>
      <c r="C11363" s="572">
        <v>440.13200000000001</v>
      </c>
    </row>
    <row r="11364" spans="1:3">
      <c r="A11364" s="573" t="s">
        <v>2107</v>
      </c>
      <c r="B11364" s="574">
        <v>124.48099999999999</v>
      </c>
      <c r="C11364" s="574">
        <v>451.52499999999998</v>
      </c>
    </row>
    <row r="11365" spans="1:3">
      <c r="A11365" s="571" t="s">
        <v>2108</v>
      </c>
      <c r="B11365" s="572">
        <v>1.03074</v>
      </c>
      <c r="C11365" s="572">
        <v>6.8636500000000003E-2</v>
      </c>
    </row>
    <row r="11366" spans="1:3">
      <c r="A11366" s="571" t="s">
        <v>2108</v>
      </c>
      <c r="B11366" s="572">
        <v>1.96411</v>
      </c>
      <c r="C11366" s="572">
        <v>271.80099999999999</v>
      </c>
    </row>
    <row r="11367" spans="1:3">
      <c r="A11367" s="571" t="s">
        <v>2108</v>
      </c>
      <c r="B11367" s="572">
        <v>3.9535999999999998</v>
      </c>
      <c r="C11367" s="572">
        <v>129.24299999999999</v>
      </c>
    </row>
    <row r="11368" spans="1:3">
      <c r="A11368" s="571" t="s">
        <v>2108</v>
      </c>
      <c r="B11368" s="572">
        <v>6.92957</v>
      </c>
      <c r="C11368" s="572">
        <v>82.466800000000006</v>
      </c>
    </row>
    <row r="11369" spans="1:3">
      <c r="A11369" s="571" t="s">
        <v>2108</v>
      </c>
      <c r="B11369" s="572">
        <v>13.9316</v>
      </c>
      <c r="C11369" s="572">
        <v>6.0400200000000002</v>
      </c>
    </row>
    <row r="11370" spans="1:3">
      <c r="A11370" s="571" t="s">
        <v>2108</v>
      </c>
      <c r="B11370" s="572">
        <v>21.293700000000001</v>
      </c>
      <c r="C11370" s="572">
        <v>23.0962</v>
      </c>
    </row>
    <row r="11371" spans="1:3">
      <c r="A11371" s="571" t="s">
        <v>2108</v>
      </c>
      <c r="B11371" s="572">
        <v>28.412700000000001</v>
      </c>
      <c r="C11371" s="572">
        <v>58.478299999999997</v>
      </c>
    </row>
    <row r="11372" spans="1:3">
      <c r="A11372" s="571" t="s">
        <v>2108</v>
      </c>
      <c r="B11372" s="572">
        <v>42.809899999999999</v>
      </c>
      <c r="C11372" s="572">
        <v>61.086500000000001</v>
      </c>
    </row>
    <row r="11373" spans="1:3">
      <c r="A11373" s="571" t="s">
        <v>2108</v>
      </c>
      <c r="B11373" s="572">
        <v>57.898899999999998</v>
      </c>
      <c r="C11373" s="572">
        <v>74.882499999999993</v>
      </c>
    </row>
    <row r="11374" spans="1:3">
      <c r="A11374" s="571" t="s">
        <v>2108</v>
      </c>
      <c r="B11374" s="572">
        <v>73.856300000000005</v>
      </c>
      <c r="C11374" s="572">
        <v>109.78400000000001</v>
      </c>
    </row>
    <row r="11375" spans="1:3">
      <c r="A11375" s="571" t="s">
        <v>2108</v>
      </c>
      <c r="B11375" s="572">
        <v>95.4923</v>
      </c>
      <c r="C11375" s="572">
        <v>111.60299999999999</v>
      </c>
    </row>
    <row r="11376" spans="1:3">
      <c r="A11376" s="573" t="s">
        <v>2108</v>
      </c>
      <c r="B11376" s="574">
        <v>127.175</v>
      </c>
      <c r="C11376" s="574">
        <v>128.38499999999999</v>
      </c>
    </row>
    <row r="11377" spans="1:3">
      <c r="A11377" s="571" t="s">
        <v>2109</v>
      </c>
      <c r="B11377" s="572">
        <v>1.01525</v>
      </c>
      <c r="C11377" s="572">
        <v>3.4215500000000003E-2</v>
      </c>
    </row>
    <row r="11378" spans="1:3">
      <c r="A11378" s="571" t="s">
        <v>2109</v>
      </c>
      <c r="B11378" s="572">
        <v>2.01254</v>
      </c>
      <c r="C11378" s="572">
        <v>1199.19</v>
      </c>
    </row>
    <row r="11379" spans="1:3">
      <c r="A11379" s="571" t="s">
        <v>2109</v>
      </c>
      <c r="B11379" s="572">
        <v>4.06447</v>
      </c>
      <c r="C11379" s="572">
        <v>1578.02</v>
      </c>
    </row>
    <row r="11380" spans="1:3">
      <c r="A11380" s="571" t="s">
        <v>2109</v>
      </c>
      <c r="B11380" s="572">
        <v>6.9377800000000001</v>
      </c>
      <c r="C11380" s="572">
        <v>1363.66</v>
      </c>
    </row>
    <row r="11381" spans="1:3">
      <c r="A11381" s="571" t="s">
        <v>2109</v>
      </c>
      <c r="B11381" s="572">
        <v>14.020200000000001</v>
      </c>
      <c r="C11381" s="572">
        <v>1047.8800000000001</v>
      </c>
    </row>
    <row r="11382" spans="1:3">
      <c r="A11382" s="571" t="s">
        <v>2109</v>
      </c>
      <c r="B11382" s="572">
        <v>21.156099999999999</v>
      </c>
      <c r="C11382" s="572">
        <v>929.05399999999997</v>
      </c>
    </row>
    <row r="11383" spans="1:3">
      <c r="A11383" s="571" t="s">
        <v>2109</v>
      </c>
      <c r="B11383" s="572">
        <v>28.2559</v>
      </c>
      <c r="C11383" s="572">
        <v>851.86400000000003</v>
      </c>
    </row>
    <row r="11384" spans="1:3">
      <c r="A11384" s="571" t="s">
        <v>2109</v>
      </c>
      <c r="B11384" s="572">
        <v>43.281700000000001</v>
      </c>
      <c r="C11384" s="572">
        <v>739.05499999999995</v>
      </c>
    </row>
    <row r="11385" spans="1:3">
      <c r="A11385" s="571" t="s">
        <v>2109</v>
      </c>
      <c r="B11385" s="572">
        <v>57.783200000000001</v>
      </c>
      <c r="C11385" s="572">
        <v>679.82799999999997</v>
      </c>
    </row>
    <row r="11386" spans="1:3">
      <c r="A11386" s="571" t="s">
        <v>2110</v>
      </c>
      <c r="B11386" s="572">
        <v>0.119935</v>
      </c>
      <c r="C11386" s="572">
        <v>14.839700000000001</v>
      </c>
    </row>
    <row r="11387" spans="1:3">
      <c r="A11387" s="571" t="s">
        <v>2110</v>
      </c>
      <c r="B11387" s="572">
        <v>0.16237799999999999</v>
      </c>
      <c r="C11387" s="572">
        <v>6.9911599999999998</v>
      </c>
    </row>
    <row r="11388" spans="1:3">
      <c r="A11388" s="571" t="s">
        <v>2110</v>
      </c>
      <c r="B11388" s="572">
        <v>0.20380300000000001</v>
      </c>
      <c r="C11388" s="572">
        <v>8.2937600000000007</v>
      </c>
    </row>
    <row r="11389" spans="1:3">
      <c r="A11389" s="571" t="s">
        <v>2110</v>
      </c>
      <c r="B11389" s="572">
        <v>0.25195099999999998</v>
      </c>
      <c r="C11389" s="572">
        <v>44.106999999999999</v>
      </c>
    </row>
    <row r="11390" spans="1:3">
      <c r="A11390" s="571" t="s">
        <v>2110</v>
      </c>
      <c r="B11390" s="572">
        <v>0.335982</v>
      </c>
      <c r="C11390" s="572">
        <v>111.46299999999999</v>
      </c>
    </row>
    <row r="11391" spans="1:3">
      <c r="A11391" s="571" t="s">
        <v>2110</v>
      </c>
      <c r="B11391" s="572">
        <v>0.40911199999999998</v>
      </c>
      <c r="C11391" s="572">
        <v>216.512</v>
      </c>
    </row>
    <row r="11392" spans="1:3">
      <c r="A11392" s="571" t="s">
        <v>2110</v>
      </c>
      <c r="B11392" s="572">
        <v>0.47602699999999998</v>
      </c>
      <c r="C11392" s="572">
        <v>238.90299999999999</v>
      </c>
    </row>
    <row r="11393" spans="1:3">
      <c r="A11393" s="571" t="s">
        <v>2110</v>
      </c>
      <c r="B11393" s="572">
        <v>0.98496600000000001</v>
      </c>
      <c r="C11393" s="572">
        <v>185.48</v>
      </c>
    </row>
    <row r="11394" spans="1:3">
      <c r="A11394" s="571" t="s">
        <v>2110</v>
      </c>
      <c r="B11394" s="572">
        <v>1.9181999999999999</v>
      </c>
      <c r="C11394" s="572">
        <v>169.71700000000001</v>
      </c>
    </row>
    <row r="11395" spans="1:3">
      <c r="A11395" s="571" t="s">
        <v>2110</v>
      </c>
      <c r="B11395" s="572">
        <v>4.9816000000000003</v>
      </c>
      <c r="C11395" s="572">
        <v>117.036</v>
      </c>
    </row>
    <row r="11396" spans="1:3">
      <c r="A11396" s="571" t="s">
        <v>2110</v>
      </c>
      <c r="B11396" s="572">
        <v>7.0580400000000001</v>
      </c>
      <c r="C11396" s="572">
        <v>222.678</v>
      </c>
    </row>
    <row r="11397" spans="1:3">
      <c r="A11397" s="571" t="s">
        <v>2110</v>
      </c>
      <c r="B11397" s="572">
        <v>14.384499999999999</v>
      </c>
      <c r="C11397" s="572">
        <v>456.536</v>
      </c>
    </row>
    <row r="11398" spans="1:3">
      <c r="A11398" s="571" t="s">
        <v>2110</v>
      </c>
      <c r="B11398" s="572">
        <v>21.3279</v>
      </c>
      <c r="C11398" s="572">
        <v>607.34100000000001</v>
      </c>
    </row>
    <row r="11399" spans="1:3">
      <c r="A11399" s="571" t="s">
        <v>2110</v>
      </c>
      <c r="B11399" s="572">
        <v>28.875299999999999</v>
      </c>
      <c r="C11399" s="572">
        <v>615.18899999999996</v>
      </c>
    </row>
    <row r="11400" spans="1:3">
      <c r="A11400" s="571" t="s">
        <v>2110</v>
      </c>
      <c r="B11400" s="572">
        <v>56.234099999999998</v>
      </c>
      <c r="C11400" s="572">
        <v>766.29100000000005</v>
      </c>
    </row>
    <row r="11401" spans="1:3">
      <c r="A11401" s="571" t="s">
        <v>2110</v>
      </c>
      <c r="B11401" s="572">
        <v>69.519300000000001</v>
      </c>
      <c r="C11401" s="572">
        <v>864.26599999999996</v>
      </c>
    </row>
    <row r="11402" spans="1:3">
      <c r="A11402" s="571" t="s">
        <v>2110</v>
      </c>
      <c r="B11402" s="572">
        <v>92.705399999999997</v>
      </c>
      <c r="C11402" s="572">
        <v>962.32399999999996</v>
      </c>
    </row>
    <row r="11403" spans="1:3">
      <c r="A11403" s="573" t="s">
        <v>2110</v>
      </c>
      <c r="B11403" s="574">
        <v>121.76600000000001</v>
      </c>
      <c r="C11403" s="574">
        <v>1082.92</v>
      </c>
    </row>
    <row r="11404" spans="1:3">
      <c r="A11404" s="571" t="s">
        <v>2111</v>
      </c>
      <c r="B11404" s="572">
        <v>0.20691399999999999</v>
      </c>
      <c r="C11404" s="572">
        <v>29.2837</v>
      </c>
    </row>
    <row r="11405" spans="1:3">
      <c r="A11405" s="571" t="s">
        <v>2111</v>
      </c>
      <c r="B11405" s="572">
        <v>0.25195099999999998</v>
      </c>
      <c r="C11405" s="572">
        <v>44.106999999999999</v>
      </c>
    </row>
    <row r="11406" spans="1:3">
      <c r="A11406" s="571" t="s">
        <v>2111</v>
      </c>
      <c r="B11406" s="572">
        <v>0.29315999999999998</v>
      </c>
      <c r="C11406" s="572">
        <v>66.498500000000007</v>
      </c>
    </row>
    <row r="11407" spans="1:3">
      <c r="A11407" s="571" t="s">
        <v>2111</v>
      </c>
      <c r="B11407" s="572">
        <v>0.41535699999999998</v>
      </c>
      <c r="C11407" s="572">
        <v>46.662700000000001</v>
      </c>
    </row>
    <row r="11408" spans="1:3">
      <c r="A11408" s="571" t="s">
        <v>2111</v>
      </c>
      <c r="B11408" s="572">
        <v>0.49067</v>
      </c>
      <c r="C11408" s="572">
        <v>106.994</v>
      </c>
    </row>
    <row r="11409" spans="1:3">
      <c r="A11409" s="571" t="s">
        <v>2111</v>
      </c>
      <c r="B11409" s="572">
        <v>0.54555900000000002</v>
      </c>
      <c r="C11409" s="572">
        <v>114.629</v>
      </c>
    </row>
    <row r="11410" spans="1:3">
      <c r="A11410" s="571" t="s">
        <v>2111</v>
      </c>
      <c r="B11410" s="572">
        <v>0.57963900000000002</v>
      </c>
      <c r="C11410" s="572">
        <v>144.77000000000001</v>
      </c>
    </row>
    <row r="11411" spans="1:3">
      <c r="A11411" s="571" t="s">
        <v>2111</v>
      </c>
      <c r="B11411" s="572">
        <v>0.97015700000000005</v>
      </c>
      <c r="C11411" s="572">
        <v>175.40600000000001</v>
      </c>
    </row>
    <row r="11412" spans="1:3">
      <c r="A11412" s="571" t="s">
        <v>2111</v>
      </c>
      <c r="B11412" s="572">
        <v>1.9474800000000001</v>
      </c>
      <c r="C11412" s="572">
        <v>251.352</v>
      </c>
    </row>
    <row r="11413" spans="1:3">
      <c r="A11413" s="571" t="s">
        <v>2111</v>
      </c>
      <c r="B11413" s="572">
        <v>4.9816000000000003</v>
      </c>
      <c r="C11413" s="572">
        <v>500.495</v>
      </c>
    </row>
    <row r="11414" spans="1:3">
      <c r="A11414" s="571" t="s">
        <v>2111</v>
      </c>
      <c r="B11414" s="572">
        <v>7.0580400000000001</v>
      </c>
      <c r="C11414" s="572">
        <v>598.61800000000005</v>
      </c>
    </row>
    <row r="11415" spans="1:3">
      <c r="A11415" s="571" t="s">
        <v>2111</v>
      </c>
      <c r="B11415" s="572">
        <v>13.9552</v>
      </c>
      <c r="C11415" s="572">
        <v>712.14200000000005</v>
      </c>
    </row>
    <row r="11416" spans="1:3">
      <c r="A11416" s="571" t="s">
        <v>2111</v>
      </c>
      <c r="B11416" s="572">
        <v>20.691400000000002</v>
      </c>
      <c r="C11416" s="572">
        <v>840.39</v>
      </c>
    </row>
    <row r="11417" spans="1:3">
      <c r="A11417" s="571" t="s">
        <v>2111</v>
      </c>
      <c r="B11417" s="572">
        <v>28.441199999999998</v>
      </c>
      <c r="C11417" s="572">
        <v>863.29300000000001</v>
      </c>
    </row>
    <row r="11418" spans="1:3">
      <c r="A11418" s="571" t="s">
        <v>2111</v>
      </c>
      <c r="B11418" s="572">
        <v>41.535699999999999</v>
      </c>
      <c r="C11418" s="572">
        <v>923.85599999999999</v>
      </c>
    </row>
    <row r="11419" spans="1:3">
      <c r="A11419" s="571" t="s">
        <v>2111</v>
      </c>
      <c r="B11419" s="572">
        <v>56.234099999999998</v>
      </c>
      <c r="C11419" s="572">
        <v>984.33600000000001</v>
      </c>
    </row>
    <row r="11420" spans="1:3">
      <c r="A11420" s="571" t="s">
        <v>2111</v>
      </c>
      <c r="B11420" s="572">
        <v>70.580399999999997</v>
      </c>
      <c r="C11420" s="572">
        <v>1014.66</v>
      </c>
    </row>
    <row r="11421" spans="1:3">
      <c r="A11421" s="571" t="s">
        <v>2111</v>
      </c>
      <c r="B11421" s="572">
        <v>94.120500000000007</v>
      </c>
      <c r="C11421" s="572">
        <v>1075.1199999999999</v>
      </c>
    </row>
    <row r="11422" spans="1:3">
      <c r="A11422" s="573" t="s">
        <v>2111</v>
      </c>
      <c r="B11422" s="574">
        <v>125.512</v>
      </c>
      <c r="C11422" s="574">
        <v>1105.51</v>
      </c>
    </row>
    <row r="11423" spans="1:3">
      <c r="A11423" s="571" t="s">
        <v>2112</v>
      </c>
      <c r="B11423" s="572">
        <v>0.123597</v>
      </c>
      <c r="C11423" s="572">
        <v>14.6965</v>
      </c>
    </row>
    <row r="11424" spans="1:3">
      <c r="A11424" s="571" t="s">
        <v>2112</v>
      </c>
      <c r="B11424" s="572">
        <v>0.17265900000000001</v>
      </c>
      <c r="C11424" s="572">
        <v>52.828800000000001</v>
      </c>
    </row>
    <row r="11425" spans="1:3">
      <c r="A11425" s="571" t="s">
        <v>2112</v>
      </c>
      <c r="B11425" s="572">
        <v>0.210503</v>
      </c>
      <c r="C11425" s="572">
        <v>135.13200000000001</v>
      </c>
    </row>
    <row r="11426" spans="1:3">
      <c r="A11426" s="571" t="s">
        <v>2112</v>
      </c>
      <c r="B11426" s="572">
        <v>0.25272499999999998</v>
      </c>
      <c r="C11426" s="572">
        <v>202.494</v>
      </c>
    </row>
    <row r="11427" spans="1:3">
      <c r="A11427" s="571" t="s">
        <v>2112</v>
      </c>
      <c r="B11427" s="572">
        <v>0.28990300000000002</v>
      </c>
      <c r="C11427" s="572">
        <v>262.34399999999999</v>
      </c>
    </row>
    <row r="11428" spans="1:3">
      <c r="A11428" s="571" t="s">
        <v>2112</v>
      </c>
      <c r="B11428" s="572">
        <v>0.33232400000000001</v>
      </c>
      <c r="C11428" s="572">
        <v>277.41699999999997</v>
      </c>
    </row>
    <row r="11429" spans="1:3">
      <c r="A11429" s="571" t="s">
        <v>2112</v>
      </c>
      <c r="B11429" s="572">
        <v>0.41134700000000002</v>
      </c>
      <c r="C11429" s="572">
        <v>359.73700000000002</v>
      </c>
    </row>
    <row r="11430" spans="1:3">
      <c r="A11430" s="571" t="s">
        <v>2112</v>
      </c>
      <c r="B11430" s="572">
        <v>0.47906199999999999</v>
      </c>
      <c r="C11430" s="572">
        <v>419.60300000000001</v>
      </c>
    </row>
    <row r="11431" spans="1:3">
      <c r="A11431" s="571" t="s">
        <v>2112</v>
      </c>
      <c r="B11431" s="572">
        <v>0.53265399999999996</v>
      </c>
      <c r="C11431" s="572">
        <v>419.71800000000002</v>
      </c>
    </row>
    <row r="11432" spans="1:3">
      <c r="A11432" s="571" t="s">
        <v>2112</v>
      </c>
      <c r="B11432" s="572">
        <v>0.57450199999999996</v>
      </c>
      <c r="C11432" s="572">
        <v>412.33699999999999</v>
      </c>
    </row>
    <row r="11433" spans="1:3">
      <c r="A11433" s="571" t="s">
        <v>2112</v>
      </c>
      <c r="B11433" s="572">
        <v>0.976576</v>
      </c>
      <c r="C11433" s="572">
        <v>435.298</v>
      </c>
    </row>
    <row r="11434" spans="1:3">
      <c r="A11434" s="571" t="s">
        <v>2112</v>
      </c>
      <c r="B11434" s="572">
        <v>1.96194</v>
      </c>
      <c r="C11434" s="572">
        <v>488.29</v>
      </c>
    </row>
    <row r="11435" spans="1:3">
      <c r="A11435" s="571" t="s">
        <v>2112</v>
      </c>
      <c r="B11435" s="572">
        <v>4.8854199999999999</v>
      </c>
      <c r="C11435" s="572">
        <v>713.15599999999995</v>
      </c>
    </row>
    <row r="11436" spans="1:3">
      <c r="A11436" s="571" t="s">
        <v>2112</v>
      </c>
      <c r="B11436" s="572">
        <v>6.9296499999999996</v>
      </c>
      <c r="C11436" s="572">
        <v>788.16099999999994</v>
      </c>
    </row>
    <row r="11437" spans="1:3">
      <c r="A11437" s="571" t="s">
        <v>2112</v>
      </c>
      <c r="B11437" s="572">
        <v>14.1358</v>
      </c>
      <c r="C11437" s="572">
        <v>848.63300000000004</v>
      </c>
    </row>
    <row r="11438" spans="1:3">
      <c r="A11438" s="571" t="s">
        <v>2112</v>
      </c>
      <c r="B11438" s="572">
        <v>21.640599999999999</v>
      </c>
      <c r="C11438" s="572">
        <v>961.03300000000002</v>
      </c>
    </row>
    <row r="11439" spans="1:3">
      <c r="A11439" s="571" t="s">
        <v>2112</v>
      </c>
      <c r="B11439" s="572">
        <v>28.016200000000001</v>
      </c>
      <c r="C11439" s="572">
        <v>1006.09</v>
      </c>
    </row>
    <row r="11440" spans="1:3">
      <c r="A11440" s="571" t="s">
        <v>2112</v>
      </c>
      <c r="B11440" s="572">
        <v>43.54</v>
      </c>
      <c r="C11440" s="572">
        <v>1111.04</v>
      </c>
    </row>
    <row r="11441" spans="1:3">
      <c r="A11441" s="571" t="s">
        <v>2112</v>
      </c>
      <c r="B11441" s="572">
        <v>59.0548</v>
      </c>
      <c r="C11441" s="572">
        <v>1230.77</v>
      </c>
    </row>
    <row r="11442" spans="1:3">
      <c r="A11442" s="571" t="s">
        <v>2112</v>
      </c>
      <c r="B11442" s="572">
        <v>71.957700000000003</v>
      </c>
      <c r="C11442" s="572">
        <v>1275.76</v>
      </c>
    </row>
    <row r="11443" spans="1:3">
      <c r="A11443" s="571" t="s">
        <v>2112</v>
      </c>
      <c r="B11443" s="572">
        <v>94.653899999999993</v>
      </c>
      <c r="C11443" s="572">
        <v>1373.07</v>
      </c>
    </row>
    <row r="11444" spans="1:3">
      <c r="A11444" s="573" t="s">
        <v>2112</v>
      </c>
      <c r="B11444" s="574">
        <v>128.31</v>
      </c>
      <c r="C11444" s="574">
        <v>1455.49</v>
      </c>
    </row>
    <row r="11445" spans="1:3">
      <c r="A11445" s="571" t="s">
        <v>2113</v>
      </c>
      <c r="B11445" s="572">
        <v>0.119935</v>
      </c>
      <c r="C11445" s="572">
        <v>2.2699999999999999E-13</v>
      </c>
    </row>
    <row r="11446" spans="1:3">
      <c r="A11446" s="571" t="s">
        <v>2113</v>
      </c>
      <c r="B11446" s="572">
        <v>0.164856</v>
      </c>
      <c r="C11446" s="572">
        <v>52.238799999999998</v>
      </c>
    </row>
    <row r="11447" spans="1:3">
      <c r="A11447" s="571" t="s">
        <v>2113</v>
      </c>
      <c r="B11447" s="572">
        <v>0.200739</v>
      </c>
      <c r="C11447" s="572">
        <v>223.881</v>
      </c>
    </row>
    <row r="11448" spans="1:3">
      <c r="A11448" s="571" t="s">
        <v>2113</v>
      </c>
      <c r="B11448" s="572">
        <v>0.25195099999999998</v>
      </c>
      <c r="C11448" s="572">
        <v>343.28399999999999</v>
      </c>
    </row>
    <row r="11449" spans="1:3">
      <c r="A11449" s="571" t="s">
        <v>2113</v>
      </c>
      <c r="B11449" s="572">
        <v>0.284412</v>
      </c>
      <c r="C11449" s="572">
        <v>343.28399999999999</v>
      </c>
    </row>
    <row r="11450" spans="1:3">
      <c r="A11450" s="571" t="s">
        <v>2113</v>
      </c>
      <c r="B11450" s="572">
        <v>0.33093099999999998</v>
      </c>
      <c r="C11450" s="572">
        <v>395.52199999999999</v>
      </c>
    </row>
    <row r="11451" spans="1:3">
      <c r="A11451" s="571" t="s">
        <v>2113</v>
      </c>
      <c r="B11451" s="572">
        <v>0.42169699999999999</v>
      </c>
      <c r="C11451" s="572">
        <v>440.29899999999998</v>
      </c>
    </row>
    <row r="11452" spans="1:3">
      <c r="A11452" s="571" t="s">
        <v>2113</v>
      </c>
      <c r="B11452" s="572">
        <v>0.50576299999999996</v>
      </c>
      <c r="C11452" s="572">
        <v>470.149</v>
      </c>
    </row>
    <row r="11453" spans="1:3">
      <c r="A11453" s="571" t="s">
        <v>2113</v>
      </c>
      <c r="B11453" s="572">
        <v>0.97015700000000005</v>
      </c>
      <c r="C11453" s="572">
        <v>559.70100000000002</v>
      </c>
    </row>
    <row r="11454" spans="1:3">
      <c r="A11454" s="571" t="s">
        <v>2113</v>
      </c>
      <c r="B11454" s="572">
        <v>1.9772099999999999</v>
      </c>
      <c r="C11454" s="572">
        <v>805.97</v>
      </c>
    </row>
    <row r="11455" spans="1:3">
      <c r="A11455" s="571" t="s">
        <v>2113</v>
      </c>
      <c r="B11455" s="572">
        <v>4.8329300000000002</v>
      </c>
      <c r="C11455" s="572">
        <v>1432.84</v>
      </c>
    </row>
    <row r="11456" spans="1:3">
      <c r="A11456" s="571" t="s">
        <v>2113</v>
      </c>
      <c r="B11456" s="572">
        <v>7.1657700000000002</v>
      </c>
      <c r="C11456" s="572">
        <v>1574.63</v>
      </c>
    </row>
    <row r="11457" spans="1:3">
      <c r="A11457" s="571" t="s">
        <v>2113</v>
      </c>
      <c r="B11457" s="572">
        <v>13.5388</v>
      </c>
      <c r="C11457" s="572">
        <v>1805.97</v>
      </c>
    </row>
    <row r="11458" spans="1:3">
      <c r="A11458" s="571" t="s">
        <v>2113</v>
      </c>
      <c r="B11458" s="572">
        <v>21.007200000000001</v>
      </c>
      <c r="C11458" s="572">
        <v>1932.84</v>
      </c>
    </row>
    <row r="11459" spans="1:3">
      <c r="A11459" s="571" t="s">
        <v>2113</v>
      </c>
      <c r="B11459" s="572">
        <v>28.0136</v>
      </c>
      <c r="C11459" s="572">
        <v>1992.54</v>
      </c>
    </row>
    <row r="11460" spans="1:3">
      <c r="A11460" s="571" t="s">
        <v>2113</v>
      </c>
      <c r="B11460" s="572">
        <v>42.169699999999999</v>
      </c>
      <c r="C11460" s="572">
        <v>2059.6999999999998</v>
      </c>
    </row>
    <row r="11461" spans="1:3">
      <c r="A11461" s="571" t="s">
        <v>2113</v>
      </c>
      <c r="B11461" s="572">
        <v>55.3887</v>
      </c>
      <c r="C11461" s="572">
        <v>2134.33</v>
      </c>
    </row>
    <row r="11462" spans="1:3">
      <c r="A11462" s="571" t="s">
        <v>2113</v>
      </c>
      <c r="B11462" s="572">
        <v>69.519300000000001</v>
      </c>
      <c r="C11462" s="572">
        <v>2156.7199999999998</v>
      </c>
    </row>
    <row r="11463" spans="1:3">
      <c r="A11463" s="571" t="s">
        <v>2113</v>
      </c>
      <c r="B11463" s="572">
        <v>91.311700000000002</v>
      </c>
      <c r="C11463" s="572">
        <v>2231.34</v>
      </c>
    </row>
    <row r="11464" spans="1:3">
      <c r="A11464" s="573" t="s">
        <v>2113</v>
      </c>
      <c r="B11464" s="574">
        <v>123.625</v>
      </c>
      <c r="C11464" s="574">
        <v>2261.19</v>
      </c>
    </row>
    <row r="11465" spans="1:3">
      <c r="A11465" s="571" t="s">
        <v>2114</v>
      </c>
      <c r="B11465" s="572">
        <v>1.00898</v>
      </c>
      <c r="C11465" s="572">
        <v>7.1840000000000002</v>
      </c>
    </row>
    <row r="11466" spans="1:3">
      <c r="A11466" s="571" t="s">
        <v>2114</v>
      </c>
      <c r="B11466" s="572">
        <v>1.9902</v>
      </c>
      <c r="C11466" s="572">
        <v>40.01</v>
      </c>
    </row>
    <row r="11467" spans="1:3">
      <c r="A11467" s="571" t="s">
        <v>2114</v>
      </c>
      <c r="B11467" s="572">
        <v>4.8166000000000002</v>
      </c>
      <c r="C11467" s="572">
        <v>291.89499999999998</v>
      </c>
    </row>
    <row r="11468" spans="1:3">
      <c r="A11468" s="571" t="s">
        <v>2114</v>
      </c>
      <c r="B11468" s="572">
        <v>6.8468499999999999</v>
      </c>
      <c r="C11468" s="572">
        <v>392.64699999999999</v>
      </c>
    </row>
    <row r="11469" spans="1:3">
      <c r="A11469" s="571" t="s">
        <v>2114</v>
      </c>
      <c r="B11469" s="572">
        <v>13.8255</v>
      </c>
      <c r="C11469" s="572">
        <v>633.62599999999998</v>
      </c>
    </row>
    <row r="11470" spans="1:3">
      <c r="A11470" s="571" t="s">
        <v>2114</v>
      </c>
      <c r="B11470" s="572">
        <v>20.7395</v>
      </c>
      <c r="C11470" s="572">
        <v>766.71699999999998</v>
      </c>
    </row>
    <row r="11471" spans="1:3">
      <c r="A11471" s="571" t="s">
        <v>2114</v>
      </c>
      <c r="B11471" s="572">
        <v>27.706499999999998</v>
      </c>
      <c r="C11471" s="572">
        <v>792.06200000000001</v>
      </c>
    </row>
    <row r="11472" spans="1:3">
      <c r="A11472" s="571" t="s">
        <v>2114</v>
      </c>
      <c r="B11472" s="572">
        <v>41.543399999999998</v>
      </c>
      <c r="C11472" s="572">
        <v>950.27200000000005</v>
      </c>
    </row>
    <row r="11473" spans="1:3">
      <c r="A11473" s="571" t="s">
        <v>2114</v>
      </c>
      <c r="B11473" s="572">
        <v>56.466799999999999</v>
      </c>
      <c r="C11473" s="572">
        <v>1022.28</v>
      </c>
    </row>
    <row r="11474" spans="1:3">
      <c r="A11474" s="571" t="s">
        <v>2114</v>
      </c>
      <c r="B11474" s="572">
        <v>70.145099999999999</v>
      </c>
      <c r="C11474" s="572">
        <v>1058.3399999999999</v>
      </c>
    </row>
    <row r="11475" spans="1:3">
      <c r="A11475" s="571" t="s">
        <v>2114</v>
      </c>
      <c r="B11475" s="572">
        <v>91.111999999999995</v>
      </c>
      <c r="C11475" s="572">
        <v>1133.9000000000001</v>
      </c>
    </row>
    <row r="11476" spans="1:3">
      <c r="A11476" s="571" t="s">
        <v>2115</v>
      </c>
      <c r="B11476" s="572">
        <v>0.99104599999999998</v>
      </c>
      <c r="C11476" s="572">
        <v>1.3984099999999999E-2</v>
      </c>
    </row>
    <row r="11477" spans="1:3">
      <c r="A11477" s="571" t="s">
        <v>2115</v>
      </c>
      <c r="B11477" s="572">
        <v>1.99824</v>
      </c>
      <c r="C11477" s="572">
        <v>51.195599999999999</v>
      </c>
    </row>
    <row r="11478" spans="1:3">
      <c r="A11478" s="571" t="s">
        <v>2115</v>
      </c>
      <c r="B11478" s="572">
        <v>4.9490600000000002</v>
      </c>
      <c r="C11478" s="572">
        <v>303.202</v>
      </c>
    </row>
    <row r="11479" spans="1:3">
      <c r="A11479" s="571" t="s">
        <v>2115</v>
      </c>
      <c r="B11479" s="572">
        <v>7.02447</v>
      </c>
      <c r="C11479" s="572">
        <v>400.40600000000001</v>
      </c>
    </row>
    <row r="11480" spans="1:3">
      <c r="A11480" s="571" t="s">
        <v>2115</v>
      </c>
      <c r="B11480" s="572">
        <v>14.0212</v>
      </c>
      <c r="C11480" s="572">
        <v>634.17700000000002</v>
      </c>
    </row>
    <row r="11481" spans="1:3">
      <c r="A11481" s="571" t="s">
        <v>2115</v>
      </c>
      <c r="B11481" s="572">
        <v>20.8125</v>
      </c>
      <c r="C11481" s="572">
        <v>763.66899999999998</v>
      </c>
    </row>
    <row r="11482" spans="1:3">
      <c r="A11482" s="571" t="s">
        <v>2115</v>
      </c>
      <c r="B11482" s="572">
        <v>27.999199999999998</v>
      </c>
      <c r="C11482" s="572">
        <v>796.35</v>
      </c>
    </row>
    <row r="11483" spans="1:3">
      <c r="A11483" s="571" t="s">
        <v>2115</v>
      </c>
      <c r="B11483" s="572">
        <v>42.309600000000003</v>
      </c>
      <c r="C11483" s="572">
        <v>947.35</v>
      </c>
    </row>
    <row r="11484" spans="1:3">
      <c r="A11484" s="571" t="s">
        <v>2115</v>
      </c>
      <c r="B11484" s="572">
        <v>57.418900000000001</v>
      </c>
      <c r="C11484" s="572">
        <v>1023</v>
      </c>
    </row>
    <row r="11485" spans="1:3">
      <c r="A11485" s="571" t="s">
        <v>2115</v>
      </c>
      <c r="B11485" s="572">
        <v>70.602999999999994</v>
      </c>
      <c r="C11485" s="572">
        <v>1051.96</v>
      </c>
    </row>
    <row r="11486" spans="1:3">
      <c r="A11486" s="571" t="s">
        <v>2115</v>
      </c>
      <c r="B11486" s="572">
        <v>91.598600000000005</v>
      </c>
      <c r="C11486" s="572">
        <v>1134.71</v>
      </c>
    </row>
    <row r="11487" spans="1:3">
      <c r="A11487" s="571" t="s">
        <v>2116</v>
      </c>
      <c r="B11487" s="572">
        <v>0.99097599999999997</v>
      </c>
      <c r="C11487" s="572">
        <v>0</v>
      </c>
    </row>
    <row r="11488" spans="1:3">
      <c r="A11488" s="571" t="s">
        <v>2116</v>
      </c>
      <c r="B11488" s="572">
        <v>2.0042300000000002</v>
      </c>
      <c r="C11488" s="572">
        <v>229.11699999999999</v>
      </c>
    </row>
    <row r="11489" spans="1:3">
      <c r="A11489" s="571" t="s">
        <v>2116</v>
      </c>
      <c r="B11489" s="572">
        <v>5.0040500000000003</v>
      </c>
      <c r="C11489" s="572">
        <v>279.23599999999999</v>
      </c>
    </row>
    <row r="11490" spans="1:3">
      <c r="A11490" s="571" t="s">
        <v>2116</v>
      </c>
      <c r="B11490" s="572">
        <v>6.9873799999999999</v>
      </c>
      <c r="C11490" s="572">
        <v>408.11500000000001</v>
      </c>
    </row>
    <row r="11491" spans="1:3">
      <c r="A11491" s="571" t="s">
        <v>2116</v>
      </c>
      <c r="B11491" s="572">
        <v>13.3964</v>
      </c>
      <c r="C11491" s="572">
        <v>558.47299999999996</v>
      </c>
    </row>
    <row r="11492" spans="1:3">
      <c r="A11492" s="571" t="s">
        <v>2117</v>
      </c>
      <c r="B11492" s="572">
        <v>1.0181899999999999</v>
      </c>
      <c r="C11492" s="572">
        <v>4.2133499999999997E-2</v>
      </c>
    </row>
    <row r="11493" spans="1:3">
      <c r="A11493" s="571" t="s">
        <v>2117</v>
      </c>
      <c r="B11493" s="572">
        <v>1.99621</v>
      </c>
      <c r="C11493" s="572">
        <v>148.745</v>
      </c>
    </row>
    <row r="11494" spans="1:3">
      <c r="A11494" s="571" t="s">
        <v>2117</v>
      </c>
      <c r="B11494" s="572">
        <v>5.0878100000000002</v>
      </c>
      <c r="C11494" s="572">
        <v>240.64500000000001</v>
      </c>
    </row>
    <row r="11495" spans="1:3">
      <c r="A11495" s="571" t="s">
        <v>2117</v>
      </c>
      <c r="B11495" s="572">
        <v>7.16282</v>
      </c>
      <c r="C11495" s="572">
        <v>262.976</v>
      </c>
    </row>
    <row r="11496" spans="1:3">
      <c r="A11496" s="571" t="s">
        <v>2117</v>
      </c>
      <c r="B11496" s="572">
        <v>14.203200000000001</v>
      </c>
      <c r="C11496" s="572">
        <v>282.51900000000001</v>
      </c>
    </row>
    <row r="11497" spans="1:3">
      <c r="A11497" s="571" t="s">
        <v>2118</v>
      </c>
      <c r="B11497" s="572">
        <v>0.99093299999999995</v>
      </c>
      <c r="C11497" s="572">
        <v>3.5956100000000002</v>
      </c>
    </row>
    <row r="11498" spans="1:3">
      <c r="A11498" s="571" t="s">
        <v>2118</v>
      </c>
      <c r="B11498" s="572">
        <v>2.0064899999999999</v>
      </c>
      <c r="C11498" s="572">
        <v>135.821</v>
      </c>
    </row>
    <row r="11499" spans="1:3">
      <c r="A11499" s="571" t="s">
        <v>2118</v>
      </c>
      <c r="B11499" s="572">
        <v>3.9939900000000002</v>
      </c>
      <c r="C11499" s="572">
        <v>181.935</v>
      </c>
    </row>
    <row r="11500" spans="1:3">
      <c r="A11500" s="571" t="s">
        <v>2118</v>
      </c>
      <c r="B11500" s="572">
        <v>6.81088</v>
      </c>
      <c r="C11500" s="572">
        <v>274.82100000000003</v>
      </c>
    </row>
    <row r="11501" spans="1:3">
      <c r="A11501" s="571" t="s">
        <v>2118</v>
      </c>
      <c r="B11501" s="572">
        <v>20.1937</v>
      </c>
      <c r="C11501" s="572">
        <v>356.51</v>
      </c>
    </row>
    <row r="11502" spans="1:3">
      <c r="A11502" s="571" t="s">
        <v>2118</v>
      </c>
      <c r="B11502" s="572">
        <v>26.9665</v>
      </c>
      <c r="C11502" s="572">
        <v>428.05500000000001</v>
      </c>
    </row>
    <row r="11503" spans="1:3">
      <c r="A11503" s="571" t="s">
        <v>2118</v>
      </c>
      <c r="B11503" s="572">
        <v>41.617400000000004</v>
      </c>
      <c r="C11503" s="572">
        <v>528.19500000000005</v>
      </c>
    </row>
    <row r="11504" spans="1:3">
      <c r="A11504" s="571" t="s">
        <v>2118</v>
      </c>
      <c r="B11504" s="572">
        <v>55.573099999999997</v>
      </c>
      <c r="C11504" s="572">
        <v>603.32899999999995</v>
      </c>
    </row>
    <row r="11505" spans="1:3">
      <c r="A11505" s="571" t="s">
        <v>2118</v>
      </c>
      <c r="B11505" s="572">
        <v>69.676000000000002</v>
      </c>
      <c r="C11505" s="572">
        <v>642.62599999999998</v>
      </c>
    </row>
    <row r="11506" spans="1:3">
      <c r="A11506" s="571" t="s">
        <v>2118</v>
      </c>
      <c r="B11506" s="572">
        <v>91.420599999999993</v>
      </c>
      <c r="C11506" s="572">
        <v>671.12300000000005</v>
      </c>
    </row>
    <row r="11507" spans="1:3">
      <c r="A11507" s="571" t="s">
        <v>2119</v>
      </c>
      <c r="B11507" s="572">
        <v>0.99995699999999998</v>
      </c>
      <c r="C11507" s="572">
        <v>3.5884499999999999</v>
      </c>
    </row>
    <row r="11508" spans="1:3">
      <c r="A11508" s="571" t="s">
        <v>2119</v>
      </c>
      <c r="B11508" s="572">
        <v>2.01844</v>
      </c>
      <c r="C11508" s="572">
        <v>51.333799999999997</v>
      </c>
    </row>
    <row r="11509" spans="1:3">
      <c r="A11509" s="571" t="s">
        <v>2119</v>
      </c>
      <c r="B11509" s="572">
        <v>7.1841900000000001</v>
      </c>
      <c r="C11509" s="572">
        <v>112.892</v>
      </c>
    </row>
    <row r="11510" spans="1:3">
      <c r="A11510" s="571" t="s">
        <v>2119</v>
      </c>
      <c r="B11510" s="572">
        <v>14.1195</v>
      </c>
      <c r="C11510" s="572">
        <v>130.357</v>
      </c>
    </row>
    <row r="11511" spans="1:3">
      <c r="A11511" s="571" t="s">
        <v>2119</v>
      </c>
      <c r="B11511" s="572">
        <v>21.189900000000002</v>
      </c>
      <c r="C11511" s="572">
        <v>143.41200000000001</v>
      </c>
    </row>
    <row r="11512" spans="1:3">
      <c r="A11512" s="571" t="s">
        <v>2119</v>
      </c>
      <c r="B11512" s="572">
        <v>28.793399999999998</v>
      </c>
      <c r="C11512" s="572">
        <v>146.614</v>
      </c>
    </row>
    <row r="11513" spans="1:3">
      <c r="A11513" s="571" t="s">
        <v>2119</v>
      </c>
      <c r="B11513" s="572">
        <v>43.561700000000002</v>
      </c>
      <c r="C11513" s="572">
        <v>156.6</v>
      </c>
    </row>
    <row r="11514" spans="1:3">
      <c r="A11514" s="571" t="s">
        <v>2119</v>
      </c>
      <c r="B11514" s="572">
        <v>57.0822</v>
      </c>
      <c r="C11514" s="572">
        <v>160.60900000000001</v>
      </c>
    </row>
    <row r="11515" spans="1:3">
      <c r="A11515" s="571" t="s">
        <v>2119</v>
      </c>
      <c r="B11515" s="572">
        <v>72.150800000000004</v>
      </c>
      <c r="C11515" s="572">
        <v>164.56299999999999</v>
      </c>
    </row>
    <row r="11516" spans="1:3">
      <c r="A11516" s="571" t="s">
        <v>2119</v>
      </c>
      <c r="B11516" s="572">
        <v>92.050600000000003</v>
      </c>
      <c r="C11516" s="572">
        <v>165.60900000000001</v>
      </c>
    </row>
    <row r="11517" spans="1:3">
      <c r="A11517" s="571" t="s">
        <v>2120</v>
      </c>
      <c r="B11517" s="572">
        <v>1.0183500000000001</v>
      </c>
      <c r="C11517" s="572">
        <v>3.5799500000000002</v>
      </c>
    </row>
    <row r="11518" spans="1:3">
      <c r="A11518" s="571" t="s">
        <v>2120</v>
      </c>
      <c r="B11518" s="572">
        <v>1.9780800000000001</v>
      </c>
      <c r="C11518" s="572">
        <v>75.179000000000002</v>
      </c>
    </row>
    <row r="11519" spans="1:3">
      <c r="A11519" s="571" t="s">
        <v>2120</v>
      </c>
      <c r="B11519" s="572">
        <v>6.8173399999999997</v>
      </c>
      <c r="C11519" s="572">
        <v>143.19800000000001</v>
      </c>
    </row>
    <row r="11520" spans="1:3">
      <c r="A11520" s="571" t="s">
        <v>2120</v>
      </c>
      <c r="B11520" s="572">
        <v>13.6068</v>
      </c>
      <c r="C11520" s="572">
        <v>239.857</v>
      </c>
    </row>
    <row r="11521" spans="1:3">
      <c r="A11521" s="571" t="s">
        <v>2120</v>
      </c>
      <c r="B11521" s="572">
        <v>20.120100000000001</v>
      </c>
      <c r="C11521" s="572">
        <v>272.07600000000002</v>
      </c>
    </row>
    <row r="11522" spans="1:3">
      <c r="A11522" s="571" t="s">
        <v>2120</v>
      </c>
      <c r="B11522" s="572">
        <v>27.653099999999998</v>
      </c>
      <c r="C11522" s="572">
        <v>357.995</v>
      </c>
    </row>
    <row r="11523" spans="1:3">
      <c r="A11523" s="571" t="s">
        <v>2120</v>
      </c>
      <c r="B11523" s="572">
        <v>42.0002</v>
      </c>
      <c r="C11523" s="572">
        <v>476.13400000000001</v>
      </c>
    </row>
    <row r="11524" spans="1:3">
      <c r="A11524" s="571" t="s">
        <v>2120</v>
      </c>
      <c r="B11524" s="572">
        <v>56.654400000000003</v>
      </c>
      <c r="C11524" s="572">
        <v>647.971</v>
      </c>
    </row>
    <row r="11525" spans="1:3">
      <c r="A11525" s="571" t="s">
        <v>2120</v>
      </c>
      <c r="B11525" s="572">
        <v>71.098200000000006</v>
      </c>
      <c r="C11525" s="572">
        <v>719.57</v>
      </c>
    </row>
    <row r="11526" spans="1:3">
      <c r="A11526" s="571" t="s">
        <v>2120</v>
      </c>
      <c r="B11526" s="572">
        <v>90.782600000000002</v>
      </c>
      <c r="C11526" s="572">
        <v>937.947</v>
      </c>
    </row>
    <row r="11527" spans="1:3">
      <c r="A11527" s="571" t="s">
        <v>2121</v>
      </c>
      <c r="B11527" s="572">
        <v>0.99104599999999998</v>
      </c>
      <c r="C11527" s="572">
        <v>1.39839E-2</v>
      </c>
    </row>
    <row r="11528" spans="1:3">
      <c r="A11528" s="571" t="s">
        <v>2121</v>
      </c>
      <c r="B11528" s="572">
        <v>2.0151599999999998</v>
      </c>
      <c r="C11528" s="572">
        <v>24.527799999999999</v>
      </c>
    </row>
    <row r="11529" spans="1:3">
      <c r="A11529" s="571" t="s">
        <v>2121</v>
      </c>
      <c r="B11529" s="572">
        <v>7.1028799999999999</v>
      </c>
      <c r="C11529" s="572">
        <v>39.9101</v>
      </c>
    </row>
    <row r="11530" spans="1:3">
      <c r="A11530" s="571" t="s">
        <v>2121</v>
      </c>
      <c r="B11530" s="572">
        <v>14.0679</v>
      </c>
      <c r="C11530" s="572">
        <v>58.438800000000001</v>
      </c>
    </row>
    <row r="11531" spans="1:3">
      <c r="A11531" s="571" t="s">
        <v>2121</v>
      </c>
      <c r="B11531" s="572">
        <v>21.082100000000001</v>
      </c>
      <c r="C11531" s="572">
        <v>72.688500000000005</v>
      </c>
    </row>
    <row r="11532" spans="1:3">
      <c r="A11532" s="571" t="s">
        <v>2121</v>
      </c>
      <c r="B11532" s="572">
        <v>27.847200000000001</v>
      </c>
      <c r="C11532" s="572">
        <v>101.831</v>
      </c>
    </row>
    <row r="11533" spans="1:3">
      <c r="A11533" s="571" t="s">
        <v>2121</v>
      </c>
      <c r="B11533" s="572">
        <v>42.090699999999998</v>
      </c>
      <c r="C11533" s="572">
        <v>139.07</v>
      </c>
    </row>
    <row r="11534" spans="1:3">
      <c r="A11534" s="571" t="s">
        <v>2121</v>
      </c>
      <c r="B11534" s="572">
        <v>57.127800000000001</v>
      </c>
      <c r="C11534" s="572">
        <v>156.173</v>
      </c>
    </row>
    <row r="11535" spans="1:3">
      <c r="A11535" s="571" t="s">
        <v>2121</v>
      </c>
      <c r="B11535" s="572">
        <v>70.296199999999999</v>
      </c>
      <c r="C11535" s="572">
        <v>185.28700000000001</v>
      </c>
    </row>
    <row r="11536" spans="1:3">
      <c r="A11536" s="571" t="s">
        <v>2121</v>
      </c>
      <c r="B11536" s="572">
        <v>91.194500000000005</v>
      </c>
      <c r="C11536" s="572">
        <v>186.01400000000001</v>
      </c>
    </row>
    <row r="11537" spans="1:3">
      <c r="A11537" s="571" t="s">
        <v>2122</v>
      </c>
      <c r="B11537" s="572">
        <v>1.0081500000000001</v>
      </c>
      <c r="C11537" s="572">
        <v>3.3259400000000001</v>
      </c>
    </row>
    <row r="11538" spans="1:3">
      <c r="A11538" s="571" t="s">
        <v>2122</v>
      </c>
      <c r="B11538" s="572">
        <v>1.9978899999999999</v>
      </c>
      <c r="C11538" s="572">
        <v>252.77199999999999</v>
      </c>
    </row>
    <row r="11539" spans="1:3">
      <c r="A11539" s="571" t="s">
        <v>2122</v>
      </c>
      <c r="B11539" s="572">
        <v>5.1276200000000003</v>
      </c>
      <c r="C11539" s="572">
        <v>505.54300000000001</v>
      </c>
    </row>
    <row r="11540" spans="1:3">
      <c r="A11540" s="571" t="s">
        <v>2122</v>
      </c>
      <c r="B11540" s="572">
        <v>7.3109700000000002</v>
      </c>
      <c r="C11540" s="572">
        <v>575.38800000000003</v>
      </c>
    </row>
    <row r="11541" spans="1:3">
      <c r="A11541" s="571" t="s">
        <v>2122</v>
      </c>
      <c r="B11541" s="572">
        <v>14.5046</v>
      </c>
      <c r="C11541" s="572">
        <v>728.38099999999997</v>
      </c>
    </row>
    <row r="11542" spans="1:3">
      <c r="A11542" s="571" t="s">
        <v>2122</v>
      </c>
      <c r="B11542" s="572">
        <v>20.852900000000002</v>
      </c>
      <c r="C11542" s="572">
        <v>778.27099999999996</v>
      </c>
    </row>
    <row r="11543" spans="1:3">
      <c r="A11543" s="571" t="s">
        <v>2122</v>
      </c>
      <c r="B11543" s="572">
        <v>28.788599999999999</v>
      </c>
      <c r="C11543" s="572">
        <v>841.46299999999997</v>
      </c>
    </row>
    <row r="11544" spans="1:3">
      <c r="A11544" s="571" t="s">
        <v>2122</v>
      </c>
      <c r="B11544" s="572">
        <v>43.061</v>
      </c>
      <c r="C11544" s="572">
        <v>964.52300000000002</v>
      </c>
    </row>
    <row r="11545" spans="1:3">
      <c r="A11545" s="571" t="s">
        <v>2122</v>
      </c>
      <c r="B11545" s="572">
        <v>57.127400000000002</v>
      </c>
      <c r="C11545" s="572">
        <v>974.50099999999998</v>
      </c>
    </row>
    <row r="11546" spans="1:3">
      <c r="A11546" s="571" t="s">
        <v>2122</v>
      </c>
      <c r="B11546" s="572">
        <v>77.589699999999993</v>
      </c>
      <c r="C11546" s="572">
        <v>1054.32</v>
      </c>
    </row>
    <row r="11547" spans="1:3">
      <c r="A11547" s="571" t="s">
        <v>2122</v>
      </c>
      <c r="B11547" s="572">
        <v>91.209900000000005</v>
      </c>
      <c r="C11547" s="572">
        <v>1041.02</v>
      </c>
    </row>
    <row r="11548" spans="1:3">
      <c r="A11548" s="571" t="s">
        <v>2123</v>
      </c>
      <c r="B11548" s="572">
        <v>1.00813</v>
      </c>
      <c r="C11548" s="572">
        <v>2.8400000000000001E-14</v>
      </c>
    </row>
    <row r="11549" spans="1:3">
      <c r="A11549" s="571" t="s">
        <v>2123</v>
      </c>
      <c r="B11549" s="572">
        <v>1.97153</v>
      </c>
      <c r="C11549" s="572">
        <v>192.905</v>
      </c>
    </row>
    <row r="11550" spans="1:3">
      <c r="A11550" s="571" t="s">
        <v>2123</v>
      </c>
      <c r="B11550" s="572">
        <v>3.9504899999999998</v>
      </c>
      <c r="C11550" s="572">
        <v>379.15699999999998</v>
      </c>
    </row>
    <row r="11551" spans="1:3">
      <c r="A11551" s="571" t="s">
        <v>2123</v>
      </c>
      <c r="B11551" s="572">
        <v>4.9938599999999997</v>
      </c>
      <c r="C11551" s="572">
        <v>442.35</v>
      </c>
    </row>
    <row r="11552" spans="1:3">
      <c r="A11552" s="571" t="s">
        <v>2123</v>
      </c>
      <c r="B11552" s="572">
        <v>7.01281</v>
      </c>
      <c r="C11552" s="572">
        <v>515.52099999999996</v>
      </c>
    </row>
    <row r="11553" spans="1:3">
      <c r="A11553" s="571" t="s">
        <v>2123</v>
      </c>
      <c r="B11553" s="572">
        <v>13.9443</v>
      </c>
      <c r="C11553" s="572">
        <v>628.60299999999995</v>
      </c>
    </row>
    <row r="11554" spans="1:3">
      <c r="A11554" s="571" t="s">
        <v>2123</v>
      </c>
      <c r="B11554" s="572">
        <v>20.893899999999999</v>
      </c>
      <c r="C11554" s="572">
        <v>681.81799999999998</v>
      </c>
    </row>
    <row r="11555" spans="1:3">
      <c r="A11555" s="571" t="s">
        <v>2123</v>
      </c>
      <c r="B11555" s="572">
        <v>27.732399999999998</v>
      </c>
      <c r="C11555" s="572">
        <v>705.1</v>
      </c>
    </row>
    <row r="11556" spans="1:3">
      <c r="A11556" s="571" t="s">
        <v>2123</v>
      </c>
      <c r="B11556" s="572">
        <v>42.9086</v>
      </c>
      <c r="C11556" s="572">
        <v>811.53</v>
      </c>
    </row>
    <row r="11557" spans="1:3">
      <c r="A11557" s="571" t="s">
        <v>2123</v>
      </c>
      <c r="B11557" s="572">
        <v>56.962800000000001</v>
      </c>
      <c r="C11557" s="572">
        <v>801.55200000000002</v>
      </c>
    </row>
    <row r="11558" spans="1:3">
      <c r="A11558" s="571" t="s">
        <v>2124</v>
      </c>
      <c r="B11558" s="572">
        <v>0.98394300000000001</v>
      </c>
      <c r="C11558" s="572">
        <v>2.32272E-2</v>
      </c>
    </row>
    <row r="11559" spans="1:3">
      <c r="A11559" s="571" t="s">
        <v>2124</v>
      </c>
      <c r="B11559" s="572">
        <v>1.96309</v>
      </c>
      <c r="C11559" s="572">
        <v>246.82900000000001</v>
      </c>
    </row>
    <row r="11560" spans="1:3">
      <c r="A11560" s="571" t="s">
        <v>2124</v>
      </c>
      <c r="B11560" s="572">
        <v>4.0544599999999997</v>
      </c>
      <c r="C11560" s="572">
        <v>391.16300000000001</v>
      </c>
    </row>
    <row r="11561" spans="1:3">
      <c r="A11561" s="571" t="s">
        <v>2124</v>
      </c>
      <c r="B11561" s="572">
        <v>5.0386300000000004</v>
      </c>
      <c r="C11561" s="572">
        <v>447.01900000000001</v>
      </c>
    </row>
    <row r="11562" spans="1:3">
      <c r="A11562" s="571" t="s">
        <v>2124</v>
      </c>
      <c r="B11562" s="572">
        <v>7.1827899999999998</v>
      </c>
      <c r="C11562" s="572">
        <v>519.197</v>
      </c>
    </row>
    <row r="11563" spans="1:3">
      <c r="A11563" s="571" t="s">
        <v>2124</v>
      </c>
      <c r="B11563" s="572">
        <v>14.2547</v>
      </c>
      <c r="C11563" s="572">
        <v>637.15700000000004</v>
      </c>
    </row>
    <row r="11564" spans="1:3">
      <c r="A11564" s="571" t="s">
        <v>2124</v>
      </c>
      <c r="B11564" s="572">
        <v>20.830500000000001</v>
      </c>
      <c r="C11564" s="572">
        <v>686.17200000000003</v>
      </c>
    </row>
    <row r="11565" spans="1:3">
      <c r="A11565" s="571" t="s">
        <v>2124</v>
      </c>
      <c r="B11565" s="572">
        <v>27.622499999999999</v>
      </c>
      <c r="C11565" s="572">
        <v>735.32600000000002</v>
      </c>
    </row>
    <row r="11566" spans="1:3">
      <c r="A11566" s="571" t="s">
        <v>2124</v>
      </c>
      <c r="B11566" s="572">
        <v>27.827100000000002</v>
      </c>
      <c r="C11566" s="572">
        <v>768.35500000000002</v>
      </c>
    </row>
    <row r="11567" spans="1:3">
      <c r="A11567" s="571" t="s">
        <v>2125</v>
      </c>
      <c r="B11567" s="572">
        <v>1.00813</v>
      </c>
      <c r="C11567" s="572">
        <v>5.8322599999999997E-3</v>
      </c>
    </row>
    <row r="11568" spans="1:3">
      <c r="A11568" s="571" t="s">
        <v>2125</v>
      </c>
      <c r="B11568" s="572">
        <v>1.9540200000000001</v>
      </c>
      <c r="C11568" s="572">
        <v>173.04900000000001</v>
      </c>
    </row>
    <row r="11569" spans="1:3">
      <c r="A11569" s="571" t="s">
        <v>2125</v>
      </c>
      <c r="B11569" s="572">
        <v>3.9130099999999999</v>
      </c>
      <c r="C11569" s="572">
        <v>322.88600000000002</v>
      </c>
    </row>
    <row r="11570" spans="1:3">
      <c r="A11570" s="571" t="s">
        <v>2125</v>
      </c>
      <c r="B11570" s="572">
        <v>6.9975699999999996</v>
      </c>
      <c r="C11570" s="572">
        <v>459.36700000000002</v>
      </c>
    </row>
    <row r="11571" spans="1:3">
      <c r="A11571" s="571" t="s">
        <v>2125</v>
      </c>
      <c r="B11571" s="572">
        <v>13.792400000000001</v>
      </c>
      <c r="C11571" s="572">
        <v>579.32500000000005</v>
      </c>
    </row>
    <row r="11572" spans="1:3">
      <c r="A11572" s="571" t="s">
        <v>2125</v>
      </c>
      <c r="B11572" s="572">
        <v>20.648499999999999</v>
      </c>
      <c r="C11572" s="572">
        <v>685.81</v>
      </c>
    </row>
    <row r="11573" spans="1:3">
      <c r="A11573" s="571" t="s">
        <v>2125</v>
      </c>
      <c r="B11573" s="572">
        <v>27.402200000000001</v>
      </c>
      <c r="C11573" s="572">
        <v>712.56299999999999</v>
      </c>
    </row>
    <row r="11574" spans="1:3">
      <c r="A11574" s="571" t="s">
        <v>2125</v>
      </c>
      <c r="B11574" s="572">
        <v>42.379399999999997</v>
      </c>
      <c r="C11574" s="572">
        <v>805.79700000000003</v>
      </c>
    </row>
    <row r="11575" spans="1:3">
      <c r="A11575" s="571" t="s">
        <v>2125</v>
      </c>
      <c r="B11575" s="572">
        <v>56.706099999999999</v>
      </c>
      <c r="C11575" s="572">
        <v>819.28099999999995</v>
      </c>
    </row>
    <row r="11576" spans="1:3">
      <c r="A11576" s="571" t="s">
        <v>2125</v>
      </c>
      <c r="B11576" s="572">
        <v>68.831199999999995</v>
      </c>
      <c r="C11576" s="572">
        <v>862.56299999999999</v>
      </c>
    </row>
    <row r="11577" spans="1:3">
      <c r="A11577" s="571" t="s">
        <v>2125</v>
      </c>
      <c r="B11577" s="572">
        <v>89.096000000000004</v>
      </c>
      <c r="C11577" s="572">
        <v>949.03200000000004</v>
      </c>
    </row>
    <row r="11578" spans="1:3">
      <c r="A11578" s="571" t="s">
        <v>2126</v>
      </c>
      <c r="B11578" s="572">
        <v>1.00813</v>
      </c>
      <c r="C11578" s="572">
        <v>5.8195E-3</v>
      </c>
    </row>
    <row r="11579" spans="1:3">
      <c r="A11579" s="571" t="s">
        <v>2126</v>
      </c>
      <c r="B11579" s="572">
        <v>1.9980800000000001</v>
      </c>
      <c r="C11579" s="572">
        <v>237.91300000000001</v>
      </c>
    </row>
    <row r="11580" spans="1:3">
      <c r="A11580" s="571" t="s">
        <v>2126</v>
      </c>
      <c r="B11580" s="572">
        <v>3.92842</v>
      </c>
      <c r="C11580" s="572">
        <v>472.52600000000001</v>
      </c>
    </row>
    <row r="11581" spans="1:3">
      <c r="A11581" s="571" t="s">
        <v>2126</v>
      </c>
      <c r="B11581" s="572">
        <v>6.9069900000000004</v>
      </c>
      <c r="C11581" s="572">
        <v>611.19299999999998</v>
      </c>
    </row>
    <row r="11582" spans="1:3">
      <c r="A11582" s="571" t="s">
        <v>2126</v>
      </c>
      <c r="B11582" s="572">
        <v>14.165699999999999</v>
      </c>
      <c r="C11582" s="572">
        <v>736.505</v>
      </c>
    </row>
    <row r="11583" spans="1:3">
      <c r="A11583" s="571" t="s">
        <v>2126</v>
      </c>
      <c r="B11583" s="572">
        <v>20.5367</v>
      </c>
      <c r="C11583" s="572">
        <v>792.529</v>
      </c>
    </row>
    <row r="11584" spans="1:3">
      <c r="A11584" s="571" t="s">
        <v>2126</v>
      </c>
      <c r="B11584" s="572">
        <v>27.708200000000001</v>
      </c>
      <c r="C11584" s="572">
        <v>789.00199999999995</v>
      </c>
    </row>
    <row r="11585" spans="1:3">
      <c r="A11585" s="571" t="s">
        <v>2126</v>
      </c>
      <c r="B11585" s="572">
        <v>41.813200000000002</v>
      </c>
      <c r="C11585" s="572">
        <v>868.17700000000002</v>
      </c>
    </row>
    <row r="11586" spans="1:3">
      <c r="A11586" s="571" t="s">
        <v>2126</v>
      </c>
      <c r="B11586" s="572">
        <v>56.3994</v>
      </c>
      <c r="C11586" s="572">
        <v>881.20600000000002</v>
      </c>
    </row>
    <row r="11587" spans="1:3">
      <c r="A11587" s="571" t="s">
        <v>2126</v>
      </c>
      <c r="B11587" s="572">
        <v>68.476399999999998</v>
      </c>
      <c r="C11587" s="572">
        <v>894.31200000000001</v>
      </c>
    </row>
    <row r="11588" spans="1:3">
      <c r="A11588" s="571" t="s">
        <v>2127</v>
      </c>
      <c r="B11588" s="572">
        <v>0.99197500000000005</v>
      </c>
      <c r="C11588" s="572">
        <v>3.3112599999999999</v>
      </c>
    </row>
    <row r="11589" spans="1:3">
      <c r="A11589" s="571" t="s">
        <v>2127</v>
      </c>
      <c r="B11589" s="572">
        <v>2.01675</v>
      </c>
      <c r="C11589" s="572">
        <v>245.03299999999999</v>
      </c>
    </row>
    <row r="11590" spans="1:3">
      <c r="A11590" s="571" t="s">
        <v>2127</v>
      </c>
      <c r="B11590" s="572">
        <v>5.1008599999999999</v>
      </c>
      <c r="C11590" s="572">
        <v>506.62299999999999</v>
      </c>
    </row>
    <row r="11591" spans="1:3">
      <c r="A11591" s="571" t="s">
        <v>2127</v>
      </c>
      <c r="B11591" s="572">
        <v>7.1038199999999998</v>
      </c>
      <c r="C11591" s="572">
        <v>562.91399999999999</v>
      </c>
    </row>
    <row r="11592" spans="1:3">
      <c r="A11592" s="571" t="s">
        <v>2127</v>
      </c>
      <c r="B11592" s="572">
        <v>14.1122</v>
      </c>
      <c r="C11592" s="572">
        <v>705.298</v>
      </c>
    </row>
    <row r="11593" spans="1:3">
      <c r="A11593" s="571" t="s">
        <v>2127</v>
      </c>
      <c r="B11593" s="572">
        <v>20.969799999999999</v>
      </c>
      <c r="C11593" s="572">
        <v>754.96699999999998</v>
      </c>
    </row>
    <row r="11594" spans="1:3">
      <c r="A11594" s="571" t="s">
        <v>2127</v>
      </c>
      <c r="B11594" s="572">
        <v>28.0548</v>
      </c>
      <c r="C11594" s="572">
        <v>781.45699999999999</v>
      </c>
    </row>
    <row r="11595" spans="1:3">
      <c r="A11595" s="571" t="s">
        <v>2127</v>
      </c>
      <c r="B11595" s="572">
        <v>42.326999999999998</v>
      </c>
      <c r="C11595" s="572">
        <v>920.53</v>
      </c>
    </row>
    <row r="11596" spans="1:3">
      <c r="A11596" s="571" t="s">
        <v>2127</v>
      </c>
      <c r="B11596" s="572">
        <v>56.195599999999999</v>
      </c>
      <c r="C11596" s="572">
        <v>907.28499999999997</v>
      </c>
    </row>
    <row r="11597" spans="1:3">
      <c r="A11597" s="571" t="s">
        <v>2127</v>
      </c>
      <c r="B11597" s="572">
        <v>77.62</v>
      </c>
      <c r="C11597" s="572">
        <v>976.82100000000003</v>
      </c>
    </row>
    <row r="11598" spans="1:3">
      <c r="A11598" s="571" t="s">
        <v>2127</v>
      </c>
      <c r="B11598" s="572">
        <v>93.494600000000005</v>
      </c>
      <c r="C11598" s="572">
        <v>983.44399999999996</v>
      </c>
    </row>
    <row r="11599" spans="1:3">
      <c r="A11599" s="571" t="s">
        <v>2128</v>
      </c>
      <c r="B11599" s="572">
        <v>1.0075099999999999</v>
      </c>
      <c r="C11599" s="572">
        <v>2.8400000000000001E-14</v>
      </c>
    </row>
    <row r="11600" spans="1:3">
      <c r="A11600" s="571" t="s">
        <v>2128</v>
      </c>
      <c r="B11600" s="572">
        <v>2.0288900000000001</v>
      </c>
      <c r="C11600" s="572">
        <v>275.09300000000002</v>
      </c>
    </row>
    <row r="11601" spans="1:3">
      <c r="A11601" s="571" t="s">
        <v>2128</v>
      </c>
      <c r="B11601" s="572">
        <v>3.0573299999999999</v>
      </c>
      <c r="C11601" s="572">
        <v>394.05200000000002</v>
      </c>
    </row>
    <row r="11602" spans="1:3">
      <c r="A11602" s="571" t="s">
        <v>2128</v>
      </c>
      <c r="B11602" s="572">
        <v>4.1490299999999998</v>
      </c>
      <c r="C11602" s="572">
        <v>513.01099999999997</v>
      </c>
    </row>
    <row r="11603" spans="1:3">
      <c r="A11603" s="571" t="s">
        <v>2128</v>
      </c>
      <c r="B11603" s="572">
        <v>5.11226</v>
      </c>
      <c r="C11603" s="572">
        <v>572.49099999999999</v>
      </c>
    </row>
    <row r="11604" spans="1:3">
      <c r="A11604" s="571" t="s">
        <v>2128</v>
      </c>
      <c r="B11604" s="572">
        <v>6.0201399999999996</v>
      </c>
      <c r="C11604" s="572">
        <v>669.14499999999998</v>
      </c>
    </row>
    <row r="11605" spans="1:3">
      <c r="A11605" s="571" t="s">
        <v>2128</v>
      </c>
      <c r="B11605" s="572">
        <v>7.0393699999999999</v>
      </c>
      <c r="C11605" s="572">
        <v>728.625</v>
      </c>
    </row>
    <row r="11606" spans="1:3">
      <c r="A11606" s="571" t="s">
        <v>2128</v>
      </c>
      <c r="B11606" s="572">
        <v>13.962899999999999</v>
      </c>
      <c r="C11606" s="572">
        <v>1018.59</v>
      </c>
    </row>
    <row r="11607" spans="1:3">
      <c r="A11607" s="571" t="s">
        <v>2128</v>
      </c>
      <c r="B11607" s="572">
        <v>27.689</v>
      </c>
      <c r="C11607" s="572">
        <v>1330.86</v>
      </c>
    </row>
    <row r="11608" spans="1:3">
      <c r="A11608" s="571" t="s">
        <v>2128</v>
      </c>
      <c r="B11608" s="572">
        <v>41.658299999999997</v>
      </c>
      <c r="C11608" s="572">
        <v>1591.08</v>
      </c>
    </row>
    <row r="11609" spans="1:3">
      <c r="A11609" s="571" t="s">
        <v>2128</v>
      </c>
      <c r="B11609" s="572">
        <v>54.490200000000002</v>
      </c>
      <c r="C11609" s="572">
        <v>1657.99</v>
      </c>
    </row>
    <row r="11610" spans="1:3">
      <c r="A11610" s="571" t="s">
        <v>2129</v>
      </c>
      <c r="B11610" s="572">
        <v>1.0075499999999999</v>
      </c>
      <c r="C11610" s="572">
        <v>7.4494800000000003</v>
      </c>
    </row>
    <row r="11611" spans="1:3">
      <c r="A11611" s="571" t="s">
        <v>2129</v>
      </c>
      <c r="B11611" s="572">
        <v>2.0123600000000001</v>
      </c>
      <c r="C11611" s="572">
        <v>245.04</v>
      </c>
    </row>
    <row r="11612" spans="1:3">
      <c r="A11612" s="571" t="s">
        <v>2129</v>
      </c>
      <c r="B11612" s="572">
        <v>3.0203099999999998</v>
      </c>
      <c r="C11612" s="572">
        <v>348.80500000000001</v>
      </c>
    </row>
    <row r="11613" spans="1:3">
      <c r="A11613" s="571" t="s">
        <v>2129</v>
      </c>
      <c r="B11613" s="572">
        <v>4.0801699999999999</v>
      </c>
      <c r="C11613" s="572">
        <v>452.75400000000002</v>
      </c>
    </row>
    <row r="11614" spans="1:3">
      <c r="A11614" s="571" t="s">
        <v>2129</v>
      </c>
      <c r="B11614" s="572">
        <v>5.1126800000000001</v>
      </c>
      <c r="C11614" s="572">
        <v>459.82</v>
      </c>
    </row>
    <row r="11615" spans="1:3">
      <c r="A11615" s="571" t="s">
        <v>2129</v>
      </c>
      <c r="B11615" s="572">
        <v>6.0779699999999997</v>
      </c>
      <c r="C11615" s="572">
        <v>541.60599999999999</v>
      </c>
    </row>
    <row r="11616" spans="1:3">
      <c r="A11616" s="571" t="s">
        <v>2129</v>
      </c>
      <c r="B11616" s="572">
        <v>7.1713800000000001</v>
      </c>
      <c r="C11616" s="572">
        <v>593.55399999999997</v>
      </c>
    </row>
    <row r="11617" spans="1:3">
      <c r="A11617" s="571" t="s">
        <v>2129</v>
      </c>
      <c r="B11617" s="572">
        <v>14.0038</v>
      </c>
      <c r="C11617" s="572">
        <v>793.87099999999998</v>
      </c>
    </row>
    <row r="11618" spans="1:3">
      <c r="A11618" s="571" t="s">
        <v>2129</v>
      </c>
      <c r="B11618" s="572">
        <v>27.9697</v>
      </c>
      <c r="C11618" s="572">
        <v>1188.18</v>
      </c>
    </row>
    <row r="11619" spans="1:3">
      <c r="A11619" s="571" t="s">
        <v>2129</v>
      </c>
      <c r="B11619" s="572">
        <v>42.295999999999999</v>
      </c>
      <c r="C11619" s="572">
        <v>1448.65</v>
      </c>
    </row>
    <row r="11620" spans="1:3">
      <c r="A11620" s="571" t="s">
        <v>2129</v>
      </c>
      <c r="B11620" s="572">
        <v>55.863500000000002</v>
      </c>
      <c r="C11620" s="572">
        <v>1545.17</v>
      </c>
    </row>
    <row r="11621" spans="1:3">
      <c r="A11621" s="571" t="s">
        <v>2130</v>
      </c>
      <c r="B11621" s="572">
        <v>1.0150699999999999</v>
      </c>
      <c r="C11621" s="572">
        <v>7.4349400000000001</v>
      </c>
    </row>
    <row r="11622" spans="1:3">
      <c r="A11622" s="571" t="s">
        <v>2130</v>
      </c>
      <c r="B11622" s="572">
        <v>2.0062899999999999</v>
      </c>
      <c r="C11622" s="572">
        <v>237.91800000000001</v>
      </c>
    </row>
    <row r="11623" spans="1:3">
      <c r="A11623" s="571" t="s">
        <v>2130</v>
      </c>
      <c r="B11623" s="572">
        <v>3.0060199999999999</v>
      </c>
      <c r="C11623" s="572">
        <v>371.74700000000001</v>
      </c>
    </row>
    <row r="11624" spans="1:3">
      <c r="A11624" s="571" t="s">
        <v>2130</v>
      </c>
      <c r="B11624" s="572">
        <v>4.0865499999999999</v>
      </c>
      <c r="C11624" s="572">
        <v>460.96699999999998</v>
      </c>
    </row>
    <row r="11625" spans="1:3">
      <c r="A11625" s="571" t="s">
        <v>2130</v>
      </c>
      <c r="B11625" s="572">
        <v>5.1169099999999998</v>
      </c>
      <c r="C11625" s="572">
        <v>505.57600000000002</v>
      </c>
    </row>
    <row r="11626" spans="1:3">
      <c r="A11626" s="571" t="s">
        <v>2130</v>
      </c>
      <c r="B11626" s="572">
        <v>6.1696799999999996</v>
      </c>
      <c r="C11626" s="572">
        <v>579.92600000000004</v>
      </c>
    </row>
    <row r="11627" spans="1:3">
      <c r="A11627" s="571" t="s">
        <v>2130</v>
      </c>
      <c r="B11627" s="572">
        <v>7.0594599999999996</v>
      </c>
      <c r="C11627" s="572">
        <v>631.97</v>
      </c>
    </row>
    <row r="11628" spans="1:3">
      <c r="A11628" s="571" t="s">
        <v>2130</v>
      </c>
      <c r="B11628" s="572">
        <v>14.060600000000001</v>
      </c>
      <c r="C11628" s="572">
        <v>840.149</v>
      </c>
    </row>
    <row r="11629" spans="1:3">
      <c r="A11629" s="571" t="s">
        <v>2130</v>
      </c>
      <c r="B11629" s="572">
        <v>27.567599999999999</v>
      </c>
      <c r="C11629" s="572">
        <v>1144.98</v>
      </c>
    </row>
    <row r="11630" spans="1:3">
      <c r="A11630" s="571" t="s">
        <v>2130</v>
      </c>
      <c r="B11630" s="572">
        <v>41.272199999999998</v>
      </c>
      <c r="C11630" s="572">
        <v>1382.9</v>
      </c>
    </row>
    <row r="11631" spans="1:3">
      <c r="A11631" s="571" t="s">
        <v>2130</v>
      </c>
      <c r="B11631" s="572">
        <v>54.864400000000003</v>
      </c>
      <c r="C11631" s="572">
        <v>1457.25</v>
      </c>
    </row>
    <row r="11632" spans="1:3">
      <c r="A11632" s="571" t="s">
        <v>2131</v>
      </c>
      <c r="B11632" s="572">
        <v>1.00749</v>
      </c>
      <c r="C11632" s="572">
        <v>7.4626900000000003</v>
      </c>
    </row>
    <row r="11633" spans="1:3">
      <c r="A11633" s="571" t="s">
        <v>2131</v>
      </c>
      <c r="B11633" s="572">
        <v>2.0362900000000002</v>
      </c>
      <c r="C11633" s="572">
        <v>186.56700000000001</v>
      </c>
    </row>
    <row r="11634" spans="1:3">
      <c r="A11634" s="571" t="s">
        <v>2131</v>
      </c>
      <c r="B11634" s="572">
        <v>3.0057</v>
      </c>
      <c r="C11634" s="572">
        <v>253.73099999999999</v>
      </c>
    </row>
    <row r="11635" spans="1:3">
      <c r="A11635" s="571" t="s">
        <v>2131</v>
      </c>
      <c r="B11635" s="572">
        <v>4.02461</v>
      </c>
      <c r="C11635" s="572">
        <v>335.82100000000003</v>
      </c>
    </row>
    <row r="11636" spans="1:3">
      <c r="A11636" s="571" t="s">
        <v>2131</v>
      </c>
      <c r="B11636" s="572">
        <v>5.0766600000000004</v>
      </c>
      <c r="C11636" s="572">
        <v>350.74599999999998</v>
      </c>
    </row>
    <row r="11637" spans="1:3">
      <c r="A11637" s="571" t="s">
        <v>2131</v>
      </c>
      <c r="B11637" s="572">
        <v>6.0751299999999997</v>
      </c>
      <c r="C11637" s="572">
        <v>425.37299999999999</v>
      </c>
    </row>
    <row r="11638" spans="1:3">
      <c r="A11638" s="571" t="s">
        <v>2131</v>
      </c>
      <c r="B11638" s="572">
        <v>7.0563200000000004</v>
      </c>
      <c r="C11638" s="572">
        <v>462.68700000000001</v>
      </c>
    </row>
    <row r="11639" spans="1:3">
      <c r="A11639" s="571" t="s">
        <v>2131</v>
      </c>
      <c r="B11639" s="572">
        <v>14.049300000000001</v>
      </c>
      <c r="C11639" s="572">
        <v>649.25400000000002</v>
      </c>
    </row>
    <row r="11640" spans="1:3">
      <c r="A11640" s="571" t="s">
        <v>2131</v>
      </c>
      <c r="B11640" s="572">
        <v>27.5427</v>
      </c>
      <c r="C11640" s="572">
        <v>970.149</v>
      </c>
    </row>
    <row r="11641" spans="1:3">
      <c r="A11641" s="571" t="s">
        <v>2131</v>
      </c>
      <c r="B11641" s="572">
        <v>41.545299999999997</v>
      </c>
      <c r="C11641" s="572">
        <v>1253.73</v>
      </c>
    </row>
    <row r="11642" spans="1:3">
      <c r="A11642" s="571" t="s">
        <v>2131</v>
      </c>
      <c r="B11642" s="572">
        <v>55.227499999999999</v>
      </c>
      <c r="C11642" s="572">
        <v>1268.6600000000001</v>
      </c>
    </row>
    <row r="11643" spans="1:3">
      <c r="A11643" s="571" t="s">
        <v>2132</v>
      </c>
      <c r="B11643" s="572">
        <v>1.02186</v>
      </c>
      <c r="C11643" s="572">
        <v>4.34328</v>
      </c>
    </row>
    <row r="11644" spans="1:3">
      <c r="A11644" s="571" t="s">
        <v>2132</v>
      </c>
      <c r="B11644" s="572">
        <v>2.0194800000000002</v>
      </c>
      <c r="C11644" s="572">
        <v>352.69499999999999</v>
      </c>
    </row>
    <row r="11645" spans="1:3">
      <c r="A11645" s="571" t="s">
        <v>2132</v>
      </c>
      <c r="B11645" s="572">
        <v>4.0782800000000003</v>
      </c>
      <c r="C11645" s="572">
        <v>713.93700000000001</v>
      </c>
    </row>
    <row r="11646" spans="1:3">
      <c r="A11646" s="571" t="s">
        <v>2132</v>
      </c>
      <c r="B11646" s="572">
        <v>7.1559699999999999</v>
      </c>
      <c r="C11646" s="572">
        <v>818.31500000000005</v>
      </c>
    </row>
    <row r="11647" spans="1:3">
      <c r="A11647" s="571" t="s">
        <v>2132</v>
      </c>
      <c r="B11647" s="572">
        <v>14.2959</v>
      </c>
      <c r="C11647" s="572">
        <v>1012.86</v>
      </c>
    </row>
    <row r="11648" spans="1:3">
      <c r="A11648" s="571" t="s">
        <v>2132</v>
      </c>
      <c r="B11648" s="572">
        <v>21.328600000000002</v>
      </c>
      <c r="C11648" s="572">
        <v>1082.52</v>
      </c>
    </row>
    <row r="11649" spans="1:3">
      <c r="A11649" s="571" t="s">
        <v>2132</v>
      </c>
      <c r="B11649" s="572">
        <v>29.184100000000001</v>
      </c>
      <c r="C11649" s="572">
        <v>1156.18</v>
      </c>
    </row>
    <row r="11650" spans="1:3">
      <c r="A11650" s="571" t="s">
        <v>2132</v>
      </c>
      <c r="B11650" s="572">
        <v>43.072600000000001</v>
      </c>
      <c r="C11650" s="572">
        <v>1332.65</v>
      </c>
    </row>
    <row r="11651" spans="1:3">
      <c r="A11651" s="571" t="s">
        <v>2132</v>
      </c>
      <c r="B11651" s="572">
        <v>58.936500000000002</v>
      </c>
      <c r="C11651" s="572">
        <v>1346.49</v>
      </c>
    </row>
    <row r="11652" spans="1:3">
      <c r="A11652" s="571" t="s">
        <v>2132</v>
      </c>
      <c r="B11652" s="572">
        <v>71.599800000000002</v>
      </c>
      <c r="C11652" s="572">
        <v>1458.22</v>
      </c>
    </row>
    <row r="11653" spans="1:3">
      <c r="A11653" s="571" t="s">
        <v>2132</v>
      </c>
      <c r="B11653" s="572">
        <v>92.814400000000006</v>
      </c>
      <c r="C11653" s="572">
        <v>1441.97</v>
      </c>
    </row>
    <row r="11654" spans="1:3">
      <c r="A11654" s="571" t="s">
        <v>2133</v>
      </c>
      <c r="B11654" s="572">
        <v>1.02172</v>
      </c>
      <c r="C11654" s="572">
        <v>4.2214999999999998</v>
      </c>
    </row>
    <row r="11655" spans="1:3">
      <c r="A11655" s="571" t="s">
        <v>2133</v>
      </c>
      <c r="B11655" s="572">
        <v>1.9970399999999999</v>
      </c>
      <c r="C11655" s="572">
        <v>48.682200000000002</v>
      </c>
    </row>
    <row r="11656" spans="1:3">
      <c r="A11656" s="571" t="s">
        <v>2133</v>
      </c>
      <c r="B11656" s="572">
        <v>3.9907499999999998</v>
      </c>
      <c r="C11656" s="572">
        <v>127.28</v>
      </c>
    </row>
    <row r="11657" spans="1:3">
      <c r="A11657" s="571" t="s">
        <v>2133</v>
      </c>
      <c r="B11657" s="572">
        <v>6.9367400000000004</v>
      </c>
      <c r="C11657" s="572">
        <v>244.00299999999999</v>
      </c>
    </row>
    <row r="11658" spans="1:3">
      <c r="A11658" s="571" t="s">
        <v>2133</v>
      </c>
      <c r="B11658" s="572">
        <v>14.331200000000001</v>
      </c>
      <c r="C11658" s="572">
        <v>365.41699999999997</v>
      </c>
    </row>
    <row r="11659" spans="1:3">
      <c r="A11659" s="571" t="s">
        <v>2133</v>
      </c>
      <c r="B11659" s="572">
        <v>21.401800000000001</v>
      </c>
      <c r="C11659" s="572">
        <v>447.584</v>
      </c>
    </row>
    <row r="11660" spans="1:3">
      <c r="A11660" s="571" t="s">
        <v>2133</v>
      </c>
      <c r="B11660" s="572">
        <v>28.662299999999998</v>
      </c>
      <c r="C11660" s="572">
        <v>482.47899999999998</v>
      </c>
    </row>
    <row r="11661" spans="1:3">
      <c r="A11661" s="571" t="s">
        <v>2133</v>
      </c>
      <c r="B11661" s="572">
        <v>42.803400000000003</v>
      </c>
      <c r="C11661" s="572">
        <v>564.64599999999996</v>
      </c>
    </row>
    <row r="11662" spans="1:3">
      <c r="A11662" s="571" t="s">
        <v>2133</v>
      </c>
      <c r="B11662" s="572">
        <v>57.903500000000001</v>
      </c>
      <c r="C11662" s="572">
        <v>565.37699999999995</v>
      </c>
    </row>
    <row r="11663" spans="1:3">
      <c r="A11663" s="571" t="s">
        <v>2133</v>
      </c>
      <c r="B11663" s="572">
        <v>72.698499999999996</v>
      </c>
      <c r="C11663" s="572">
        <v>608.66200000000003</v>
      </c>
    </row>
    <row r="11664" spans="1:3">
      <c r="A11664" s="571" t="s">
        <v>2133</v>
      </c>
      <c r="B11664" s="572">
        <v>92.263999999999996</v>
      </c>
      <c r="C11664" s="572">
        <v>651.97400000000005</v>
      </c>
    </row>
    <row r="11665" spans="1:3">
      <c r="A11665" s="573" t="s">
        <v>2133</v>
      </c>
      <c r="B11665" s="574">
        <v>124.88200000000001</v>
      </c>
      <c r="C11665" s="574">
        <v>678.34799999999996</v>
      </c>
    </row>
    <row r="11666" spans="1:3">
      <c r="A11666" s="571" t="s">
        <v>2134</v>
      </c>
      <c r="B11666" s="572">
        <v>0.99981399999999998</v>
      </c>
      <c r="C11666" s="572">
        <v>8.6212999999999997</v>
      </c>
    </row>
    <row r="11667" spans="1:3">
      <c r="A11667" s="571" t="s">
        <v>2134</v>
      </c>
      <c r="B11667" s="572">
        <v>2.0036399999999999</v>
      </c>
      <c r="C11667" s="572">
        <v>135.88200000000001</v>
      </c>
    </row>
    <row r="11668" spans="1:3">
      <c r="A11668" s="571" t="s">
        <v>2134</v>
      </c>
      <c r="B11668" s="572">
        <v>4.1011800000000003</v>
      </c>
      <c r="C11668" s="572">
        <v>258.90300000000002</v>
      </c>
    </row>
    <row r="11669" spans="1:3">
      <c r="A11669" s="571" t="s">
        <v>2134</v>
      </c>
      <c r="B11669" s="572">
        <v>7.13497</v>
      </c>
      <c r="C11669" s="572">
        <v>364.15300000000002</v>
      </c>
    </row>
    <row r="11670" spans="1:3">
      <c r="A11670" s="571" t="s">
        <v>2134</v>
      </c>
      <c r="B11670" s="572">
        <v>14.4864</v>
      </c>
      <c r="C11670" s="572">
        <v>587.51499999999999</v>
      </c>
    </row>
    <row r="11671" spans="1:3">
      <c r="A11671" s="571" t="s">
        <v>2134</v>
      </c>
      <c r="B11671" s="572">
        <v>21.139199999999999</v>
      </c>
      <c r="C11671" s="572">
        <v>601.39700000000005</v>
      </c>
    </row>
    <row r="11672" spans="1:3">
      <c r="A11672" s="571" t="s">
        <v>2134</v>
      </c>
      <c r="B11672" s="572">
        <v>28.314599999999999</v>
      </c>
      <c r="C11672" s="572">
        <v>612.14700000000005</v>
      </c>
    </row>
    <row r="11673" spans="1:3">
      <c r="A11673" s="571" t="s">
        <v>2134</v>
      </c>
      <c r="B11673" s="572">
        <v>42.783799999999999</v>
      </c>
      <c r="C11673" s="572">
        <v>688.947</v>
      </c>
    </row>
    <row r="11674" spans="1:3">
      <c r="A11674" s="571" t="s">
        <v>2134</v>
      </c>
      <c r="B11674" s="572">
        <v>57.929200000000002</v>
      </c>
      <c r="C11674" s="572">
        <v>702.86400000000003</v>
      </c>
    </row>
    <row r="11675" spans="1:3">
      <c r="A11675" s="571" t="s">
        <v>2134</v>
      </c>
      <c r="B11675" s="572">
        <v>73.522300000000001</v>
      </c>
      <c r="C11675" s="572">
        <v>725.19200000000001</v>
      </c>
    </row>
    <row r="11676" spans="1:3">
      <c r="A11676" s="571" t="s">
        <v>2134</v>
      </c>
      <c r="B11676" s="572">
        <v>94.3887</v>
      </c>
      <c r="C11676" s="572">
        <v>777.72900000000004</v>
      </c>
    </row>
    <row r="11677" spans="1:3">
      <c r="A11677" s="573" t="s">
        <v>2134</v>
      </c>
      <c r="B11677" s="574">
        <v>125.114</v>
      </c>
      <c r="C11677" s="574">
        <v>808.81799999999998</v>
      </c>
    </row>
    <row r="11678" spans="1:3">
      <c r="A11678" s="571" t="s">
        <v>2135</v>
      </c>
      <c r="B11678" s="572">
        <v>0.12606400000000001</v>
      </c>
      <c r="C11678" s="572">
        <v>20.689699999999998</v>
      </c>
    </row>
    <row r="11679" spans="1:3">
      <c r="A11679" s="571" t="s">
        <v>2135</v>
      </c>
      <c r="B11679" s="572">
        <v>0.165552</v>
      </c>
      <c r="C11679" s="572">
        <v>13.793100000000001</v>
      </c>
    </row>
    <row r="11680" spans="1:3">
      <c r="A11680" s="571" t="s">
        <v>2135</v>
      </c>
      <c r="B11680" s="572">
        <v>0.20309199999999999</v>
      </c>
      <c r="C11680" s="572">
        <v>20.689699999999998</v>
      </c>
    </row>
    <row r="11681" spans="1:3">
      <c r="A11681" s="571" t="s">
        <v>2135</v>
      </c>
      <c r="B11681" s="572">
        <v>0.235929</v>
      </c>
      <c r="C11681" s="572">
        <v>34.482799999999997</v>
      </c>
    </row>
    <row r="11682" spans="1:3">
      <c r="A11682" s="571" t="s">
        <v>2135</v>
      </c>
      <c r="B11682" s="572">
        <v>0.31838899999999998</v>
      </c>
      <c r="C11682" s="572">
        <v>2.2699999999999999E-13</v>
      </c>
    </row>
    <row r="11683" spans="1:3">
      <c r="A11683" s="571" t="s">
        <v>2135</v>
      </c>
      <c r="B11683" s="572">
        <v>0.40137499999999998</v>
      </c>
      <c r="C11683" s="572">
        <v>20.689699999999998</v>
      </c>
    </row>
    <row r="11684" spans="1:3">
      <c r="A11684" s="571" t="s">
        <v>2135</v>
      </c>
      <c r="B11684" s="572">
        <v>0.49238799999999999</v>
      </c>
      <c r="C11684" s="572">
        <v>34.482799999999997</v>
      </c>
    </row>
    <row r="11685" spans="1:3">
      <c r="A11685" s="571" t="s">
        <v>2135</v>
      </c>
      <c r="B11685" s="572">
        <v>0.98646800000000001</v>
      </c>
      <c r="C11685" s="572">
        <v>296.55200000000002</v>
      </c>
    </row>
    <row r="11686" spans="1:3">
      <c r="A11686" s="571" t="s">
        <v>2135</v>
      </c>
      <c r="B11686" s="572">
        <v>1.9763200000000001</v>
      </c>
      <c r="C11686" s="572">
        <v>420.69</v>
      </c>
    </row>
    <row r="11687" spans="1:3">
      <c r="A11687" s="571" t="s">
        <v>2135</v>
      </c>
      <c r="B11687" s="572">
        <v>3.9594299999999998</v>
      </c>
      <c r="C11687" s="572">
        <v>572.41399999999999</v>
      </c>
    </row>
    <row r="11688" spans="1:3">
      <c r="A11688" s="571" t="s">
        <v>2135</v>
      </c>
      <c r="B11688" s="572">
        <v>7.0170399999999997</v>
      </c>
      <c r="C11688" s="572">
        <v>731.03399999999999</v>
      </c>
    </row>
    <row r="11689" spans="1:3">
      <c r="A11689" s="571" t="s">
        <v>2135</v>
      </c>
      <c r="B11689" s="572">
        <v>14.6447</v>
      </c>
      <c r="C11689" s="572">
        <v>813.79300000000001</v>
      </c>
    </row>
    <row r="11690" spans="1:3">
      <c r="A11690" s="571" t="s">
        <v>2135</v>
      </c>
      <c r="B11690" s="572">
        <v>21.156500000000001</v>
      </c>
      <c r="C11690" s="572">
        <v>903.44799999999998</v>
      </c>
    </row>
    <row r="11691" spans="1:3">
      <c r="A11691" s="571" t="s">
        <v>2135</v>
      </c>
      <c r="B11691" s="572">
        <v>27.407499999999999</v>
      </c>
      <c r="C11691" s="572">
        <v>896.55200000000002</v>
      </c>
    </row>
    <row r="11692" spans="1:3">
      <c r="A11692" s="571" t="s">
        <v>2135</v>
      </c>
      <c r="B11692" s="572">
        <v>42.967100000000002</v>
      </c>
      <c r="C11692" s="572">
        <v>1013.79</v>
      </c>
    </row>
    <row r="11693" spans="1:3">
      <c r="A11693" s="571" t="s">
        <v>2135</v>
      </c>
      <c r="B11693" s="572">
        <v>57.984699999999997</v>
      </c>
      <c r="C11693" s="572">
        <v>1068.97</v>
      </c>
    </row>
    <row r="11694" spans="1:3">
      <c r="A11694" s="571" t="s">
        <v>2135</v>
      </c>
      <c r="B11694" s="572">
        <v>70.170400000000001</v>
      </c>
      <c r="C11694" s="572">
        <v>1089.6600000000001</v>
      </c>
    </row>
    <row r="11695" spans="1:3">
      <c r="A11695" s="571" t="s">
        <v>2135</v>
      </c>
      <c r="B11695" s="572">
        <v>90.903300000000002</v>
      </c>
      <c r="C11695" s="572">
        <v>1137.93</v>
      </c>
    </row>
    <row r="11696" spans="1:3">
      <c r="A11696" s="571" t="s">
        <v>2136</v>
      </c>
      <c r="B11696" s="572">
        <v>8.5808499999999996E-2</v>
      </c>
      <c r="C11696" s="572">
        <v>5.3237300000000003</v>
      </c>
    </row>
    <row r="11697" spans="1:3">
      <c r="A11697" s="571" t="s">
        <v>2136</v>
      </c>
      <c r="B11697" s="572">
        <v>0.12559300000000001</v>
      </c>
      <c r="C11697" s="572">
        <v>213.37</v>
      </c>
    </row>
    <row r="11698" spans="1:3">
      <c r="A11698" s="571" t="s">
        <v>2136</v>
      </c>
      <c r="B11698" s="572">
        <v>0.16486700000000001</v>
      </c>
      <c r="C11698" s="572">
        <v>261.77600000000001</v>
      </c>
    </row>
    <row r="11699" spans="1:3">
      <c r="A11699" s="571" t="s">
        <v>2136</v>
      </c>
      <c r="B11699" s="572">
        <v>0.20496</v>
      </c>
      <c r="C11699" s="572">
        <v>372.72300000000001</v>
      </c>
    </row>
    <row r="11700" spans="1:3">
      <c r="A11700" s="571" t="s">
        <v>2136</v>
      </c>
      <c r="B11700" s="572">
        <v>0.24130699999999999</v>
      </c>
      <c r="C11700" s="572">
        <v>560.1</v>
      </c>
    </row>
    <row r="11701" spans="1:3">
      <c r="A11701" s="571" t="s">
        <v>2136</v>
      </c>
      <c r="B11701" s="572">
        <v>0.339063</v>
      </c>
      <c r="C11701" s="572">
        <v>844.56500000000005</v>
      </c>
    </row>
    <row r="11702" spans="1:3">
      <c r="A11702" s="571" t="s">
        <v>2136</v>
      </c>
      <c r="B11702" s="572">
        <v>0.41020299999999998</v>
      </c>
      <c r="C11702" s="572">
        <v>899.97699999999998</v>
      </c>
    </row>
    <row r="11703" spans="1:3">
      <c r="A11703" s="571" t="s">
        <v>2136</v>
      </c>
      <c r="B11703" s="572">
        <v>0.489562</v>
      </c>
      <c r="C11703" s="572">
        <v>934.56600000000003</v>
      </c>
    </row>
    <row r="11704" spans="1:3">
      <c r="A11704" s="571" t="s">
        <v>2136</v>
      </c>
      <c r="B11704" s="572">
        <v>1.0346</v>
      </c>
      <c r="C11704" s="572">
        <v>1003.45</v>
      </c>
    </row>
    <row r="11705" spans="1:3">
      <c r="A11705" s="571" t="s">
        <v>2136</v>
      </c>
      <c r="B11705" s="572">
        <v>2.04264</v>
      </c>
      <c r="C11705" s="572">
        <v>1197.3800000000001</v>
      </c>
    </row>
    <row r="11706" spans="1:3">
      <c r="A11706" s="571" t="s">
        <v>2136</v>
      </c>
      <c r="B11706" s="572">
        <v>4.0880999999999998</v>
      </c>
      <c r="C11706" s="572">
        <v>1294.08</v>
      </c>
    </row>
    <row r="11707" spans="1:3">
      <c r="A11707" s="571" t="s">
        <v>2136</v>
      </c>
      <c r="B11707" s="572">
        <v>6.9494400000000001</v>
      </c>
      <c r="C11707" s="572">
        <v>1453.4</v>
      </c>
    </row>
    <row r="11708" spans="1:3">
      <c r="A11708" s="571" t="s">
        <v>2136</v>
      </c>
      <c r="B11708" s="572">
        <v>14.2921</v>
      </c>
      <c r="C11708" s="572">
        <v>1543.13</v>
      </c>
    </row>
    <row r="11709" spans="1:3">
      <c r="A11709" s="571" t="s">
        <v>2136</v>
      </c>
      <c r="B11709" s="572">
        <v>21.79</v>
      </c>
      <c r="C11709" s="572">
        <v>1591.43</v>
      </c>
    </row>
    <row r="11710" spans="1:3">
      <c r="A11710" s="571" t="s">
        <v>2136</v>
      </c>
      <c r="B11710" s="572">
        <v>27.836099999999998</v>
      </c>
      <c r="C11710" s="572">
        <v>1632.91</v>
      </c>
    </row>
    <row r="11711" spans="1:3">
      <c r="A11711" s="571" t="s">
        <v>2136</v>
      </c>
      <c r="B11711" s="572">
        <v>43.020800000000001</v>
      </c>
      <c r="C11711" s="572">
        <v>1681.19</v>
      </c>
    </row>
    <row r="11712" spans="1:3">
      <c r="A11712" s="571" t="s">
        <v>2136</v>
      </c>
      <c r="B11712" s="572">
        <v>57.247300000000003</v>
      </c>
      <c r="C11712" s="572">
        <v>1715.7</v>
      </c>
    </row>
    <row r="11713" spans="1:3">
      <c r="A11713" s="571" t="s">
        <v>2136</v>
      </c>
      <c r="B11713" s="572">
        <v>71.168800000000005</v>
      </c>
      <c r="C11713" s="572">
        <v>1729.42</v>
      </c>
    </row>
    <row r="11714" spans="1:3">
      <c r="A11714" s="571" t="s">
        <v>2136</v>
      </c>
      <c r="B11714" s="572">
        <v>92.161500000000004</v>
      </c>
      <c r="C11714" s="572">
        <v>1770.89</v>
      </c>
    </row>
    <row r="11715" spans="1:3">
      <c r="A11715" s="571" t="s">
        <v>2137</v>
      </c>
      <c r="B11715" s="572">
        <v>8.3767800000000003E-2</v>
      </c>
      <c r="C11715" s="572">
        <v>5.30504</v>
      </c>
    </row>
    <row r="11716" spans="1:3">
      <c r="A11716" s="571" t="s">
        <v>2137</v>
      </c>
      <c r="B11716" s="572">
        <v>0.12779399999999999</v>
      </c>
      <c r="C11716" s="572">
        <v>208.804</v>
      </c>
    </row>
    <row r="11717" spans="1:3">
      <c r="A11717" s="571" t="s">
        <v>2137</v>
      </c>
      <c r="B11717" s="572">
        <v>0.161102</v>
      </c>
      <c r="C11717" s="572">
        <v>305.529</v>
      </c>
    </row>
    <row r="11718" spans="1:3">
      <c r="A11718" s="571" t="s">
        <v>2137</v>
      </c>
      <c r="B11718" s="572">
        <v>0.20309199999999999</v>
      </c>
      <c r="C11718" s="572">
        <v>505.70299999999997</v>
      </c>
    </row>
    <row r="11719" spans="1:3">
      <c r="A11719" s="571" t="s">
        <v>2137</v>
      </c>
      <c r="B11719" s="572">
        <v>0.24577199999999999</v>
      </c>
      <c r="C11719" s="572">
        <v>650.673</v>
      </c>
    </row>
    <row r="11720" spans="1:3">
      <c r="A11720" s="571" t="s">
        <v>2137</v>
      </c>
      <c r="B11720" s="572">
        <v>0.31838899999999998</v>
      </c>
      <c r="C11720" s="572">
        <v>795.69500000000005</v>
      </c>
    </row>
    <row r="11721" spans="1:3">
      <c r="A11721" s="571" t="s">
        <v>2137</v>
      </c>
      <c r="B11721" s="572">
        <v>0.41246300000000002</v>
      </c>
      <c r="C11721" s="572">
        <v>823.47500000000002</v>
      </c>
    </row>
    <row r="11722" spans="1:3">
      <c r="A11722" s="571" t="s">
        <v>2137</v>
      </c>
      <c r="B11722" s="572">
        <v>0.47915200000000002</v>
      </c>
      <c r="C11722" s="572">
        <v>844.27700000000004</v>
      </c>
    </row>
    <row r="11723" spans="1:3">
      <c r="A11723" s="571" t="s">
        <v>2137</v>
      </c>
      <c r="B11723" s="572">
        <v>1.02762</v>
      </c>
      <c r="C11723" s="572">
        <v>975.88199999999995</v>
      </c>
    </row>
    <row r="11724" spans="1:3">
      <c r="A11724" s="571" t="s">
        <v>2137</v>
      </c>
      <c r="B11724" s="572">
        <v>2.0034299999999998</v>
      </c>
      <c r="C11724" s="572">
        <v>1114.31</v>
      </c>
    </row>
    <row r="11725" spans="1:3">
      <c r="A11725" s="571" t="s">
        <v>2137</v>
      </c>
      <c r="B11725" s="572">
        <v>4.1812100000000001</v>
      </c>
      <c r="C11725" s="572">
        <v>1239</v>
      </c>
    </row>
    <row r="11726" spans="1:3">
      <c r="A11726" s="571" t="s">
        <v>2137</v>
      </c>
      <c r="B11726" s="572">
        <v>7.0170399999999997</v>
      </c>
      <c r="C11726" s="572">
        <v>1398.01</v>
      </c>
    </row>
    <row r="11727" spans="1:3">
      <c r="A11727" s="571" t="s">
        <v>2137</v>
      </c>
      <c r="B11727" s="572">
        <v>14.4465</v>
      </c>
      <c r="C11727" s="572">
        <v>1488.21</v>
      </c>
    </row>
    <row r="11728" spans="1:3">
      <c r="A11728" s="571" t="s">
        <v>2137</v>
      </c>
      <c r="B11728" s="572">
        <v>22.039200000000001</v>
      </c>
      <c r="C11728" s="572">
        <v>1516.11</v>
      </c>
    </row>
    <row r="11729" spans="1:3">
      <c r="A11729" s="571" t="s">
        <v>2137</v>
      </c>
      <c r="B11729" s="572">
        <v>28.942699999999999</v>
      </c>
      <c r="C11729" s="572">
        <v>1571.49</v>
      </c>
    </row>
    <row r="11730" spans="1:3">
      <c r="A11730" s="571" t="s">
        <v>2137</v>
      </c>
      <c r="B11730" s="572">
        <v>44.154000000000003</v>
      </c>
      <c r="C11730" s="572">
        <v>1599.39</v>
      </c>
    </row>
    <row r="11731" spans="1:3">
      <c r="A11731" s="571" t="s">
        <v>2137</v>
      </c>
      <c r="B11731" s="572">
        <v>57.200099999999999</v>
      </c>
      <c r="C11731" s="572">
        <v>1634.06</v>
      </c>
    </row>
    <row r="11732" spans="1:3">
      <c r="A11732" s="571" t="s">
        <v>2137</v>
      </c>
      <c r="B11732" s="572">
        <v>72.108800000000002</v>
      </c>
      <c r="C11732" s="572">
        <v>1634.24</v>
      </c>
    </row>
    <row r="11733" spans="1:3">
      <c r="A11733" s="571" t="s">
        <v>2137</v>
      </c>
      <c r="B11733" s="572">
        <v>97.311800000000005</v>
      </c>
      <c r="C11733" s="572">
        <v>1675.84</v>
      </c>
    </row>
    <row r="11734" spans="1:3">
      <c r="A11734" s="571" t="s">
        <v>2138</v>
      </c>
      <c r="B11734" s="572">
        <v>8.4671099999999999E-2</v>
      </c>
      <c r="C11734" s="572">
        <v>19.2227</v>
      </c>
    </row>
    <row r="11735" spans="1:3">
      <c r="A11735" s="571" t="s">
        <v>2138</v>
      </c>
      <c r="B11735" s="572">
        <v>0.13159000000000001</v>
      </c>
      <c r="C11735" s="572">
        <v>428.61200000000002</v>
      </c>
    </row>
    <row r="11736" spans="1:3">
      <c r="A11736" s="571" t="s">
        <v>2138</v>
      </c>
      <c r="B11736" s="572">
        <v>0.163993</v>
      </c>
      <c r="C11736" s="572">
        <v>609.00199999999995</v>
      </c>
    </row>
    <row r="11737" spans="1:3">
      <c r="A11737" s="571" t="s">
        <v>2138</v>
      </c>
      <c r="B11737" s="572">
        <v>0.20971300000000001</v>
      </c>
      <c r="C11737" s="572">
        <v>685.20600000000002</v>
      </c>
    </row>
    <row r="11738" spans="1:3">
      <c r="A11738" s="571" t="s">
        <v>2138</v>
      </c>
      <c r="B11738" s="572">
        <v>0.24774399999999999</v>
      </c>
      <c r="C11738" s="572">
        <v>935.08</v>
      </c>
    </row>
    <row r="11739" spans="1:3">
      <c r="A11739" s="571" t="s">
        <v>2138</v>
      </c>
      <c r="B11739" s="572">
        <v>0.33940300000000001</v>
      </c>
      <c r="C11739" s="572">
        <v>1073.73</v>
      </c>
    </row>
    <row r="11740" spans="1:3">
      <c r="A11740" s="571" t="s">
        <v>2138</v>
      </c>
      <c r="B11740" s="572">
        <v>0.42808299999999999</v>
      </c>
      <c r="C11740" s="572">
        <v>1136.06</v>
      </c>
    </row>
    <row r="11741" spans="1:3">
      <c r="A11741" s="571" t="s">
        <v>2138</v>
      </c>
      <c r="B11741" s="572">
        <v>0.50414000000000003</v>
      </c>
      <c r="C11741" s="572">
        <v>1156.77</v>
      </c>
    </row>
    <row r="11742" spans="1:3">
      <c r="A11742" s="571" t="s">
        <v>2138</v>
      </c>
      <c r="B11742" s="572">
        <v>1.06721</v>
      </c>
      <c r="C11742" s="572">
        <v>1281.2</v>
      </c>
    </row>
    <row r="11743" spans="1:3">
      <c r="A11743" s="571" t="s">
        <v>2138</v>
      </c>
      <c r="B11743" s="572">
        <v>2.02887</v>
      </c>
      <c r="C11743" s="572">
        <v>1502.94</v>
      </c>
    </row>
    <row r="11744" spans="1:3">
      <c r="A11744" s="571" t="s">
        <v>2138</v>
      </c>
      <c r="B11744" s="572">
        <v>4.1212</v>
      </c>
      <c r="C11744" s="572">
        <v>1592.68</v>
      </c>
    </row>
    <row r="11745" spans="1:3">
      <c r="A11745" s="571" t="s">
        <v>2138</v>
      </c>
      <c r="B11745" s="572">
        <v>7.3106099999999996</v>
      </c>
      <c r="C11745" s="572">
        <v>1724.19</v>
      </c>
    </row>
    <row r="11746" spans="1:3">
      <c r="A11746" s="571" t="s">
        <v>2138</v>
      </c>
      <c r="B11746" s="572">
        <v>14.6464</v>
      </c>
      <c r="C11746" s="572">
        <v>1800.06</v>
      </c>
    </row>
    <row r="11747" spans="1:3">
      <c r="A11747" s="571" t="s">
        <v>2138</v>
      </c>
      <c r="B11747" s="572">
        <v>22.040900000000001</v>
      </c>
      <c r="C11747" s="572">
        <v>1841.42</v>
      </c>
    </row>
    <row r="11748" spans="1:3">
      <c r="A11748" s="571" t="s">
        <v>2138</v>
      </c>
      <c r="B11748" s="572">
        <v>29.7424</v>
      </c>
      <c r="C11748" s="572">
        <v>1868.97</v>
      </c>
    </row>
    <row r="11749" spans="1:3">
      <c r="A11749" s="571" t="s">
        <v>2138</v>
      </c>
      <c r="B11749" s="572">
        <v>44.758299999999998</v>
      </c>
      <c r="C11749" s="572">
        <v>1910.33</v>
      </c>
    </row>
    <row r="11750" spans="1:3">
      <c r="A11750" s="571" t="s">
        <v>2138</v>
      </c>
      <c r="B11750" s="572">
        <v>57.182699999999997</v>
      </c>
      <c r="C11750" s="572">
        <v>1917.09</v>
      </c>
    </row>
    <row r="11751" spans="1:3">
      <c r="A11751" s="571" t="s">
        <v>2138</v>
      </c>
      <c r="B11751" s="572">
        <v>76.113799999999998</v>
      </c>
      <c r="C11751" s="572">
        <v>1937.71</v>
      </c>
    </row>
    <row r="11752" spans="1:3">
      <c r="A11752" s="571" t="s">
        <v>2138</v>
      </c>
      <c r="B11752" s="572">
        <v>97.297399999999996</v>
      </c>
      <c r="C11752" s="572">
        <v>1986.13</v>
      </c>
    </row>
    <row r="11753" spans="1:3">
      <c r="A11753" s="571" t="s">
        <v>2139</v>
      </c>
      <c r="B11753" s="572">
        <v>0.90332800000000002</v>
      </c>
      <c r="C11753" s="572">
        <v>2.1917800000000001</v>
      </c>
    </row>
    <row r="11754" spans="1:3">
      <c r="A11754" s="571" t="s">
        <v>2139</v>
      </c>
      <c r="B11754" s="572">
        <v>2.9001600000000001</v>
      </c>
      <c r="C11754" s="572">
        <v>4.3835600000000001</v>
      </c>
    </row>
    <row r="11755" spans="1:3">
      <c r="A11755" s="571" t="s">
        <v>2139</v>
      </c>
      <c r="B11755" s="572">
        <v>4.9920799999999996</v>
      </c>
      <c r="C11755" s="572">
        <v>30.684899999999999</v>
      </c>
    </row>
    <row r="11756" spans="1:3">
      <c r="A11756" s="571" t="s">
        <v>2139</v>
      </c>
      <c r="B11756" s="572">
        <v>6.9889099999999997</v>
      </c>
      <c r="C11756" s="572">
        <v>58.0822</v>
      </c>
    </row>
    <row r="11757" spans="1:3">
      <c r="A11757" s="571" t="s">
        <v>2139</v>
      </c>
      <c r="B11757" s="572">
        <v>7.9397799999999998</v>
      </c>
      <c r="C11757" s="572">
        <v>123.836</v>
      </c>
    </row>
    <row r="11758" spans="1:3">
      <c r="A11758" s="571" t="s">
        <v>2139</v>
      </c>
      <c r="B11758" s="572">
        <v>8.9857399999999998</v>
      </c>
      <c r="C11758" s="572">
        <v>164.38399999999999</v>
      </c>
    </row>
    <row r="11759" spans="1:3">
      <c r="A11759" s="571" t="s">
        <v>2139</v>
      </c>
      <c r="B11759" s="572">
        <v>9.9841499999999996</v>
      </c>
      <c r="C11759" s="572">
        <v>197.26</v>
      </c>
    </row>
    <row r="11760" spans="1:3">
      <c r="A11760" s="571" t="s">
        <v>2139</v>
      </c>
      <c r="B11760" s="572">
        <v>10.9826</v>
      </c>
      <c r="C11760" s="572">
        <v>211.50700000000001</v>
      </c>
    </row>
    <row r="11761" spans="1:3">
      <c r="A11761" s="571" t="s">
        <v>2139</v>
      </c>
      <c r="B11761" s="572">
        <v>11.933400000000001</v>
      </c>
      <c r="C11761" s="572">
        <v>231.233</v>
      </c>
    </row>
    <row r="11762" spans="1:3">
      <c r="A11762" s="571" t="s">
        <v>2139</v>
      </c>
      <c r="B11762" s="572">
        <v>12.9794</v>
      </c>
      <c r="C11762" s="572">
        <v>248.767</v>
      </c>
    </row>
    <row r="11763" spans="1:3">
      <c r="A11763" s="571" t="s">
        <v>2139</v>
      </c>
      <c r="B11763" s="572">
        <v>13.9778</v>
      </c>
      <c r="C11763" s="572">
        <v>273.97300000000001</v>
      </c>
    </row>
    <row r="11764" spans="1:3">
      <c r="A11764" s="571" t="s">
        <v>2139</v>
      </c>
      <c r="B11764" s="572">
        <v>15.0238</v>
      </c>
      <c r="C11764" s="572">
        <v>282.74</v>
      </c>
    </row>
    <row r="11765" spans="1:3">
      <c r="A11765" s="571" t="s">
        <v>2139</v>
      </c>
      <c r="B11765" s="572">
        <v>15.974600000000001</v>
      </c>
      <c r="C11765" s="572">
        <v>286.02699999999999</v>
      </c>
    </row>
    <row r="11766" spans="1:3">
      <c r="A11766" s="571" t="s">
        <v>2139</v>
      </c>
      <c r="B11766" s="572">
        <v>16.9255</v>
      </c>
      <c r="C11766" s="572">
        <v>303.56200000000001</v>
      </c>
    </row>
    <row r="11767" spans="1:3">
      <c r="A11767" s="571" t="s">
        <v>2139</v>
      </c>
      <c r="B11767" s="572">
        <v>18.018999999999998</v>
      </c>
      <c r="C11767" s="572">
        <v>328.767</v>
      </c>
    </row>
    <row r="11768" spans="1:3">
      <c r="A11768" s="571" t="s">
        <v>2139</v>
      </c>
      <c r="B11768" s="572">
        <v>20.966699999999999</v>
      </c>
      <c r="C11768" s="572">
        <v>348.49299999999999</v>
      </c>
    </row>
    <row r="11769" spans="1:3">
      <c r="A11769" s="571" t="s">
        <v>2139</v>
      </c>
      <c r="B11769" s="572">
        <v>27.9556</v>
      </c>
      <c r="C11769" s="572">
        <v>378.08199999999999</v>
      </c>
    </row>
    <row r="11770" spans="1:3">
      <c r="A11770" s="571" t="s">
        <v>2140</v>
      </c>
      <c r="B11770" s="572">
        <v>0.94936699999999996</v>
      </c>
      <c r="C11770" s="572">
        <v>0</v>
      </c>
    </row>
    <row r="11771" spans="1:3">
      <c r="A11771" s="571" t="s">
        <v>2140</v>
      </c>
      <c r="B11771" s="572">
        <v>2.9430399999999999</v>
      </c>
      <c r="C11771" s="572">
        <v>9.8360699999999994</v>
      </c>
    </row>
    <row r="11772" spans="1:3">
      <c r="A11772" s="571" t="s">
        <v>2140</v>
      </c>
      <c r="B11772" s="572">
        <v>7.0253199999999998</v>
      </c>
      <c r="C11772" s="572">
        <v>20.765000000000001</v>
      </c>
    </row>
    <row r="11773" spans="1:3">
      <c r="A11773" s="571" t="s">
        <v>2140</v>
      </c>
      <c r="B11773" s="572">
        <v>7.9746800000000002</v>
      </c>
      <c r="C11773" s="572">
        <v>89.617500000000007</v>
      </c>
    </row>
    <row r="11774" spans="1:3">
      <c r="A11774" s="571" t="s">
        <v>2140</v>
      </c>
      <c r="B11774" s="572">
        <v>8.9715199999999999</v>
      </c>
      <c r="C11774" s="572">
        <v>109.29</v>
      </c>
    </row>
    <row r="11775" spans="1:3">
      <c r="A11775" s="571" t="s">
        <v>2140</v>
      </c>
      <c r="B11775" s="572">
        <v>9.9683499999999992</v>
      </c>
      <c r="C11775" s="572">
        <v>115.84699999999999</v>
      </c>
    </row>
    <row r="11776" spans="1:3">
      <c r="A11776" s="571" t="s">
        <v>2140</v>
      </c>
      <c r="B11776" s="572">
        <v>10.965199999999999</v>
      </c>
      <c r="C11776" s="572">
        <v>138.798</v>
      </c>
    </row>
    <row r="11777" spans="1:3">
      <c r="A11777" s="571" t="s">
        <v>2140</v>
      </c>
      <c r="B11777" s="572">
        <v>11.962</v>
      </c>
      <c r="C11777" s="572">
        <v>148.63399999999999</v>
      </c>
    </row>
    <row r="11778" spans="1:3">
      <c r="A11778" s="571" t="s">
        <v>2140</v>
      </c>
      <c r="B11778" s="572">
        <v>12.9589</v>
      </c>
      <c r="C11778" s="572">
        <v>170.49199999999999</v>
      </c>
    </row>
    <row r="11779" spans="1:3">
      <c r="A11779" s="571" t="s">
        <v>2140</v>
      </c>
      <c r="B11779" s="572">
        <v>13.9557</v>
      </c>
      <c r="C11779" s="572">
        <v>182.51400000000001</v>
      </c>
    </row>
    <row r="11780" spans="1:3">
      <c r="A11780" s="571" t="s">
        <v>2140</v>
      </c>
      <c r="B11780" s="572">
        <v>15</v>
      </c>
      <c r="C11780" s="572">
        <v>192.35</v>
      </c>
    </row>
    <row r="11781" spans="1:3">
      <c r="A11781" s="571" t="s">
        <v>2140</v>
      </c>
      <c r="B11781" s="572">
        <v>15.949400000000001</v>
      </c>
      <c r="C11781" s="572">
        <v>217.48599999999999</v>
      </c>
    </row>
    <row r="11782" spans="1:3">
      <c r="A11782" s="571" t="s">
        <v>2140</v>
      </c>
      <c r="B11782" s="572">
        <v>17.990500000000001</v>
      </c>
      <c r="C11782" s="572">
        <v>229.50800000000001</v>
      </c>
    </row>
    <row r="11783" spans="1:3">
      <c r="A11783" s="571" t="s">
        <v>2140</v>
      </c>
      <c r="B11783" s="572">
        <v>18.939900000000002</v>
      </c>
      <c r="C11783" s="572">
        <v>242.62299999999999</v>
      </c>
    </row>
    <row r="11784" spans="1:3">
      <c r="A11784" s="571" t="s">
        <v>2140</v>
      </c>
      <c r="B11784" s="572">
        <v>19.984200000000001</v>
      </c>
      <c r="C11784" s="572">
        <v>250.273</v>
      </c>
    </row>
    <row r="11785" spans="1:3">
      <c r="A11785" s="571" t="s">
        <v>2140</v>
      </c>
      <c r="B11785" s="572">
        <v>20.886099999999999</v>
      </c>
      <c r="C11785" s="572">
        <v>253.55199999999999</v>
      </c>
    </row>
    <row r="11786" spans="1:3">
      <c r="A11786" s="571" t="s">
        <v>2140</v>
      </c>
      <c r="B11786" s="572">
        <v>23.924099999999999</v>
      </c>
      <c r="C11786" s="572">
        <v>288.52499999999998</v>
      </c>
    </row>
    <row r="11787" spans="1:3">
      <c r="A11787" s="571" t="s">
        <v>2140</v>
      </c>
      <c r="B11787" s="572">
        <v>27.9114</v>
      </c>
      <c r="C11787" s="572">
        <v>314.75400000000002</v>
      </c>
    </row>
    <row r="11788" spans="1:3">
      <c r="A11788" s="571" t="s">
        <v>2141</v>
      </c>
      <c r="B11788" s="572">
        <v>0.90333200000000002</v>
      </c>
      <c r="C11788" s="572">
        <v>3.2998399999999997E-2</v>
      </c>
    </row>
    <row r="11789" spans="1:3">
      <c r="A11789" s="571" t="s">
        <v>2141</v>
      </c>
      <c r="B11789" s="572">
        <v>2.9481099999999998</v>
      </c>
      <c r="C11789" s="572">
        <v>3.3953600000000002</v>
      </c>
    </row>
    <row r="11790" spans="1:3">
      <c r="A11790" s="571" t="s">
        <v>2141</v>
      </c>
      <c r="B11790" s="572">
        <v>4.9958799999999997</v>
      </c>
      <c r="C11790" s="572">
        <v>31.9633</v>
      </c>
    </row>
    <row r="11791" spans="1:3">
      <c r="A11791" s="571" t="s">
        <v>2141</v>
      </c>
      <c r="B11791" s="572">
        <v>6.9958400000000003</v>
      </c>
      <c r="C11791" s="572">
        <v>58.337699999999998</v>
      </c>
    </row>
    <row r="11792" spans="1:3">
      <c r="A11792" s="571" t="s">
        <v>2141</v>
      </c>
      <c r="B11792" s="572">
        <v>7.9067299999999996</v>
      </c>
      <c r="C11792" s="572">
        <v>121.93300000000001</v>
      </c>
    </row>
    <row r="11793" spans="1:3">
      <c r="A11793" s="571" t="s">
        <v>2141</v>
      </c>
      <c r="B11793" s="572">
        <v>8.9576399999999996</v>
      </c>
      <c r="C11793" s="572">
        <v>163.61500000000001</v>
      </c>
    </row>
    <row r="11794" spans="1:3">
      <c r="A11794" s="571" t="s">
        <v>2141</v>
      </c>
      <c r="B11794" s="572">
        <v>9.9601000000000006</v>
      </c>
      <c r="C11794" s="572">
        <v>197.624</v>
      </c>
    </row>
    <row r="11795" spans="1:3">
      <c r="A11795" s="571" t="s">
        <v>2141</v>
      </c>
      <c r="B11795" s="572">
        <v>10.9602</v>
      </c>
      <c r="C11795" s="572">
        <v>211.90700000000001</v>
      </c>
    </row>
    <row r="11796" spans="1:3">
      <c r="A11796" s="571" t="s">
        <v>2141</v>
      </c>
      <c r="B11796" s="572">
        <v>11.960800000000001</v>
      </c>
      <c r="C11796" s="572">
        <v>230.57400000000001</v>
      </c>
    </row>
    <row r="11797" spans="1:3">
      <c r="A11797" s="571" t="s">
        <v>2141</v>
      </c>
      <c r="B11797" s="572">
        <v>12.961600000000001</v>
      </c>
      <c r="C11797" s="572">
        <v>250.33600000000001</v>
      </c>
    </row>
    <row r="11798" spans="1:3">
      <c r="A11798" s="571" t="s">
        <v>2141</v>
      </c>
      <c r="B11798" s="572">
        <v>13.962899999999999</v>
      </c>
      <c r="C11798" s="572">
        <v>274.483</v>
      </c>
    </row>
    <row r="11799" spans="1:3">
      <c r="A11799" s="571" t="s">
        <v>2141</v>
      </c>
      <c r="B11799" s="572">
        <v>15.009600000000001</v>
      </c>
      <c r="C11799" s="572">
        <v>281.096</v>
      </c>
    </row>
    <row r="11800" spans="1:3">
      <c r="A11800" s="571" t="s">
        <v>2141</v>
      </c>
      <c r="B11800" s="572">
        <v>16.008700000000001</v>
      </c>
      <c r="C11800" s="572">
        <v>286.61200000000002</v>
      </c>
    </row>
    <row r="11801" spans="1:3">
      <c r="A11801" s="571" t="s">
        <v>2141</v>
      </c>
      <c r="B11801" s="572">
        <v>17.0091</v>
      </c>
      <c r="C11801" s="572">
        <v>303.08699999999999</v>
      </c>
    </row>
    <row r="11802" spans="1:3">
      <c r="A11802" s="571" t="s">
        <v>2141</v>
      </c>
      <c r="B11802" s="572">
        <v>18.058</v>
      </c>
      <c r="C11802" s="572">
        <v>328.33100000000002</v>
      </c>
    </row>
    <row r="11803" spans="1:3">
      <c r="A11803" s="571" t="s">
        <v>2141</v>
      </c>
      <c r="B11803" s="572">
        <v>21.055800000000001</v>
      </c>
      <c r="C11803" s="572">
        <v>349.262</v>
      </c>
    </row>
    <row r="11804" spans="1:3">
      <c r="A11804" s="571" t="s">
        <v>2141</v>
      </c>
      <c r="B11804" s="572">
        <v>28.048200000000001</v>
      </c>
      <c r="C11804" s="572">
        <v>379.10700000000003</v>
      </c>
    </row>
    <row r="11805" spans="1:3">
      <c r="A11805" s="571" t="s">
        <v>2142</v>
      </c>
      <c r="B11805" s="572">
        <v>1.00013</v>
      </c>
      <c r="C11805" s="572">
        <v>1.0929</v>
      </c>
    </row>
    <row r="11806" spans="1:3">
      <c r="A11806" s="571" t="s">
        <v>2142</v>
      </c>
      <c r="B11806" s="572">
        <v>2.9008600000000002</v>
      </c>
      <c r="C11806" s="572">
        <v>32.786900000000003</v>
      </c>
    </row>
    <row r="11807" spans="1:3">
      <c r="A11807" s="571" t="s">
        <v>2142</v>
      </c>
      <c r="B11807" s="572">
        <v>4.9019000000000004</v>
      </c>
      <c r="C11807" s="572">
        <v>24.043700000000001</v>
      </c>
    </row>
    <row r="11808" spans="1:3">
      <c r="A11808" s="571" t="s">
        <v>2142</v>
      </c>
      <c r="B11808" s="572">
        <v>7.0002599999999999</v>
      </c>
      <c r="C11808" s="572">
        <v>2.1857899999999999</v>
      </c>
    </row>
    <row r="11809" spans="1:3">
      <c r="A11809" s="571" t="s">
        <v>2142</v>
      </c>
      <c r="B11809" s="572">
        <v>7.9085299999999998</v>
      </c>
      <c r="C11809" s="572">
        <v>31.693999999999999</v>
      </c>
    </row>
    <row r="11810" spans="1:3">
      <c r="A11810" s="571" t="s">
        <v>2142</v>
      </c>
      <c r="B11810" s="572">
        <v>10.008100000000001</v>
      </c>
      <c r="C11810" s="572">
        <v>67.759600000000006</v>
      </c>
    </row>
    <row r="11811" spans="1:3">
      <c r="A11811" s="571" t="s">
        <v>2142</v>
      </c>
      <c r="B11811" s="572">
        <v>11.964499999999999</v>
      </c>
      <c r="C11811" s="572">
        <v>101.639</v>
      </c>
    </row>
    <row r="11812" spans="1:3">
      <c r="A11812" s="571" t="s">
        <v>2142</v>
      </c>
      <c r="B11812" s="572">
        <v>13.061299999999999</v>
      </c>
      <c r="C11812" s="572">
        <v>114.754</v>
      </c>
    </row>
    <row r="11813" spans="1:3">
      <c r="A11813" s="571" t="s">
        <v>2142</v>
      </c>
      <c r="B11813" s="572">
        <v>13.966799999999999</v>
      </c>
      <c r="C11813" s="572">
        <v>121.31100000000001</v>
      </c>
    </row>
    <row r="11814" spans="1:3">
      <c r="A11814" s="571" t="s">
        <v>2142</v>
      </c>
      <c r="B11814" s="572">
        <v>16.9236</v>
      </c>
      <c r="C11814" s="572">
        <v>158.47</v>
      </c>
    </row>
    <row r="11815" spans="1:3">
      <c r="A11815" s="571" t="s">
        <v>2142</v>
      </c>
      <c r="B11815" s="572">
        <v>18.974399999999999</v>
      </c>
      <c r="C11815" s="572">
        <v>184.69900000000001</v>
      </c>
    </row>
    <row r="11816" spans="1:3">
      <c r="A11816" s="571" t="s">
        <v>2142</v>
      </c>
      <c r="B11816" s="572">
        <v>21.166899999999998</v>
      </c>
      <c r="C11816" s="572">
        <v>202.18600000000001</v>
      </c>
    </row>
    <row r="11817" spans="1:3">
      <c r="A11817" s="571" t="s">
        <v>2142</v>
      </c>
      <c r="B11817" s="572">
        <v>23.9802</v>
      </c>
      <c r="C11817" s="572">
        <v>233.88</v>
      </c>
    </row>
    <row r="11818" spans="1:3">
      <c r="A11818" s="571" t="s">
        <v>2142</v>
      </c>
      <c r="B11818" s="572">
        <v>27.934699999999999</v>
      </c>
      <c r="C11818" s="572">
        <v>251.36600000000001</v>
      </c>
    </row>
    <row r="11819" spans="1:3">
      <c r="A11819" s="571" t="s">
        <v>2143</v>
      </c>
      <c r="B11819" s="572">
        <v>0.95087200000000005</v>
      </c>
      <c r="C11819" s="572">
        <v>0</v>
      </c>
    </row>
    <row r="11820" spans="1:3">
      <c r="A11820" s="571" t="s">
        <v>2143</v>
      </c>
      <c r="B11820" s="572">
        <v>4.8994600000000004</v>
      </c>
      <c r="C11820" s="572">
        <v>20.821899999999999</v>
      </c>
    </row>
    <row r="11821" spans="1:3">
      <c r="A11821" s="571" t="s">
        <v>2143</v>
      </c>
      <c r="B11821" s="572">
        <v>7.9935700000000001</v>
      </c>
      <c r="C11821" s="572">
        <v>52.602699999999999</v>
      </c>
    </row>
    <row r="11822" spans="1:3">
      <c r="A11822" s="571" t="s">
        <v>2143</v>
      </c>
      <c r="B11822" s="572">
        <v>9.0896799999999995</v>
      </c>
      <c r="C11822" s="572">
        <v>74.520499999999998</v>
      </c>
    </row>
    <row r="11823" spans="1:3">
      <c r="A11823" s="571" t="s">
        <v>2143</v>
      </c>
      <c r="B11823" s="572">
        <v>9.9466400000000004</v>
      </c>
      <c r="C11823" s="572">
        <v>84.383600000000001</v>
      </c>
    </row>
    <row r="11824" spans="1:3">
      <c r="A11824" s="571" t="s">
        <v>2143</v>
      </c>
      <c r="B11824" s="572">
        <v>10.9465</v>
      </c>
      <c r="C11824" s="572">
        <v>96.438400000000001</v>
      </c>
    </row>
    <row r="11825" spans="1:3">
      <c r="A11825" s="571" t="s">
        <v>2143</v>
      </c>
      <c r="B11825" s="572">
        <v>11.8993</v>
      </c>
      <c r="C11825" s="572">
        <v>112.877</v>
      </c>
    </row>
    <row r="11826" spans="1:3">
      <c r="A11826" s="571" t="s">
        <v>2143</v>
      </c>
      <c r="B11826" s="572">
        <v>12.9475</v>
      </c>
      <c r="C11826" s="572">
        <v>131.50700000000001</v>
      </c>
    </row>
    <row r="11827" spans="1:3">
      <c r="A11827" s="571" t="s">
        <v>2143</v>
      </c>
      <c r="B11827" s="572">
        <v>13.948</v>
      </c>
      <c r="C11827" s="572">
        <v>149.041</v>
      </c>
    </row>
    <row r="11828" spans="1:3">
      <c r="A11828" s="571" t="s">
        <v>2143</v>
      </c>
      <c r="B11828" s="572">
        <v>14.947699999999999</v>
      </c>
      <c r="C11828" s="572">
        <v>160</v>
      </c>
    </row>
    <row r="11829" spans="1:3">
      <c r="A11829" s="571" t="s">
        <v>2143</v>
      </c>
      <c r="B11829" s="572">
        <v>19.9452</v>
      </c>
      <c r="C11829" s="572">
        <v>206.02699999999999</v>
      </c>
    </row>
    <row r="11830" spans="1:3">
      <c r="A11830" s="571" t="s">
        <v>2143</v>
      </c>
      <c r="B11830" s="572">
        <v>20.992799999999999</v>
      </c>
      <c r="C11830" s="572">
        <v>219.178</v>
      </c>
    </row>
    <row r="11831" spans="1:3">
      <c r="A11831" s="571" t="s">
        <v>2143</v>
      </c>
      <c r="B11831" s="572">
        <v>22.039000000000001</v>
      </c>
      <c r="C11831" s="572">
        <v>221.37</v>
      </c>
    </row>
    <row r="11832" spans="1:3">
      <c r="A11832" s="571" t="s">
        <v>2143</v>
      </c>
      <c r="B11832" s="572">
        <v>22.9434</v>
      </c>
      <c r="C11832" s="572">
        <v>230.137</v>
      </c>
    </row>
    <row r="11833" spans="1:3">
      <c r="A11833" s="571" t="s">
        <v>2143</v>
      </c>
      <c r="B11833" s="572">
        <v>27.8901</v>
      </c>
      <c r="C11833" s="572">
        <v>248.767</v>
      </c>
    </row>
    <row r="11834" spans="1:3">
      <c r="A11834" s="571" t="s">
        <v>2144</v>
      </c>
      <c r="B11834" s="572">
        <v>0.90489600000000003</v>
      </c>
      <c r="C11834" s="572">
        <v>1.1289499999999999</v>
      </c>
    </row>
    <row r="11835" spans="1:3">
      <c r="A11835" s="571" t="s">
        <v>2144</v>
      </c>
      <c r="B11835" s="572">
        <v>2.9025599999999998</v>
      </c>
      <c r="C11835" s="572">
        <v>18.524100000000001</v>
      </c>
    </row>
    <row r="11836" spans="1:3">
      <c r="A11836" s="571" t="s">
        <v>2144</v>
      </c>
      <c r="B11836" s="572">
        <v>4.9981999999999998</v>
      </c>
      <c r="C11836" s="572">
        <v>15.1599</v>
      </c>
    </row>
    <row r="11837" spans="1:3">
      <c r="A11837" s="571" t="s">
        <v>2144</v>
      </c>
      <c r="B11837" s="572">
        <v>6.9529300000000003</v>
      </c>
      <c r="C11837" s="572">
        <v>4.6375500000000001</v>
      </c>
    </row>
    <row r="11838" spans="1:3">
      <c r="A11838" s="571" t="s">
        <v>2144</v>
      </c>
      <c r="B11838" s="572">
        <v>7.9071400000000001</v>
      </c>
      <c r="C11838" s="572">
        <v>20.014900000000001</v>
      </c>
    </row>
    <row r="11839" spans="1:3">
      <c r="A11839" s="571" t="s">
        <v>2144</v>
      </c>
      <c r="B11839" s="572">
        <v>13.014699999999999</v>
      </c>
      <c r="C11839" s="572">
        <v>123.215</v>
      </c>
    </row>
    <row r="11840" spans="1:3">
      <c r="A11840" s="571" t="s">
        <v>2144</v>
      </c>
      <c r="B11840" s="572">
        <v>14.0158</v>
      </c>
      <c r="C11840" s="572">
        <v>133.11500000000001</v>
      </c>
    </row>
    <row r="11841" spans="1:3">
      <c r="A11841" s="571" t="s">
        <v>2144</v>
      </c>
      <c r="B11841" s="572">
        <v>15.064299999999999</v>
      </c>
      <c r="C11841" s="572">
        <v>139.72800000000001</v>
      </c>
    </row>
    <row r="11842" spans="1:3">
      <c r="A11842" s="571" t="s">
        <v>2144</v>
      </c>
      <c r="B11842" s="572">
        <v>16.0183</v>
      </c>
      <c r="C11842" s="572">
        <v>154.01</v>
      </c>
    </row>
    <row r="11843" spans="1:3">
      <c r="A11843" s="571" t="s">
        <v>2144</v>
      </c>
      <c r="B11843" s="572">
        <v>20.973700000000001</v>
      </c>
      <c r="C11843" s="572">
        <v>179.39599999999999</v>
      </c>
    </row>
    <row r="11844" spans="1:3">
      <c r="A11844" s="571" t="s">
        <v>2144</v>
      </c>
      <c r="B11844" s="572">
        <v>24.9297</v>
      </c>
      <c r="C11844" s="572">
        <v>209.13</v>
      </c>
    </row>
    <row r="11845" spans="1:3">
      <c r="A11845" s="571" t="s">
        <v>2144</v>
      </c>
      <c r="B11845" s="572">
        <v>27.979900000000001</v>
      </c>
      <c r="C11845" s="572">
        <v>231.15899999999999</v>
      </c>
    </row>
    <row r="11846" spans="1:3">
      <c r="A11846" s="571" t="s">
        <v>2145</v>
      </c>
      <c r="B11846" s="572">
        <v>18.129799999999999</v>
      </c>
      <c r="C11846" s="572">
        <v>67.517399999999995</v>
      </c>
    </row>
    <row r="11847" spans="1:3">
      <c r="A11847" s="571" t="s">
        <v>2145</v>
      </c>
      <c r="B11847" s="572">
        <v>24.332100000000001</v>
      </c>
      <c r="C11847" s="572">
        <v>77.418300000000002</v>
      </c>
    </row>
    <row r="11848" spans="1:3">
      <c r="A11848" s="571" t="s">
        <v>2145</v>
      </c>
      <c r="B11848" s="572">
        <v>35.305300000000003</v>
      </c>
      <c r="C11848" s="572">
        <v>91.261300000000006</v>
      </c>
    </row>
    <row r="11849" spans="1:3">
      <c r="A11849" s="571" t="s">
        <v>2145</v>
      </c>
      <c r="B11849" s="572">
        <v>54.866399999999999</v>
      </c>
      <c r="C11849" s="572">
        <v>101.056</v>
      </c>
    </row>
    <row r="11850" spans="1:3">
      <c r="A11850" s="571" t="s">
        <v>2145</v>
      </c>
      <c r="B11850" s="572">
        <v>90.171800000000005</v>
      </c>
      <c r="C11850" s="572">
        <v>100.77500000000001</v>
      </c>
    </row>
    <row r="11851" spans="1:3">
      <c r="A11851" s="573" t="s">
        <v>2145</v>
      </c>
      <c r="B11851" s="574">
        <v>182.72900000000001</v>
      </c>
      <c r="C11851" s="574">
        <v>107.998</v>
      </c>
    </row>
    <row r="11852" spans="1:3">
      <c r="A11852" s="573" t="s">
        <v>2145</v>
      </c>
      <c r="B11852" s="574">
        <v>242.36600000000001</v>
      </c>
      <c r="C11852" s="574">
        <v>93.593100000000007</v>
      </c>
    </row>
    <row r="11853" spans="1:3">
      <c r="A11853" s="571" t="s">
        <v>2146</v>
      </c>
      <c r="B11853" s="572">
        <v>0.95419799999999999</v>
      </c>
      <c r="C11853" s="572">
        <v>7.9526000000000003</v>
      </c>
    </row>
    <row r="11854" spans="1:3">
      <c r="A11854" s="571" t="s">
        <v>2146</v>
      </c>
      <c r="B11854" s="572">
        <v>1.4313</v>
      </c>
      <c r="C11854" s="572">
        <v>65.660200000000003</v>
      </c>
    </row>
    <row r="11855" spans="1:3">
      <c r="A11855" s="571" t="s">
        <v>2146</v>
      </c>
      <c r="B11855" s="572">
        <v>4.7709900000000003</v>
      </c>
      <c r="C11855" s="572">
        <v>115.38500000000001</v>
      </c>
    </row>
    <row r="11856" spans="1:3">
      <c r="A11856" s="571" t="s">
        <v>2146</v>
      </c>
      <c r="B11856" s="572">
        <v>6.6793899999999997</v>
      </c>
      <c r="C11856" s="572">
        <v>123.33</v>
      </c>
    </row>
    <row r="11857" spans="1:3">
      <c r="A11857" s="571" t="s">
        <v>2146</v>
      </c>
      <c r="B11857" s="572">
        <v>17.652699999999999</v>
      </c>
      <c r="C11857" s="572">
        <v>178.964</v>
      </c>
    </row>
    <row r="11858" spans="1:3">
      <c r="A11858" s="571" t="s">
        <v>2146</v>
      </c>
      <c r="B11858" s="572">
        <v>23.3779</v>
      </c>
      <c r="C11858" s="572">
        <v>264.49099999999999</v>
      </c>
    </row>
    <row r="11859" spans="1:3">
      <c r="A11859" s="571" t="s">
        <v>2146</v>
      </c>
      <c r="B11859" s="572">
        <v>35.305300000000003</v>
      </c>
      <c r="C11859" s="572">
        <v>318.12700000000001</v>
      </c>
    </row>
    <row r="11860" spans="1:3">
      <c r="A11860" s="571" t="s">
        <v>2146</v>
      </c>
      <c r="B11860" s="572">
        <v>54.389299999999999</v>
      </c>
      <c r="C11860" s="572">
        <v>534.89</v>
      </c>
    </row>
    <row r="11861" spans="1:3">
      <c r="A11861" s="571" t="s">
        <v>2146</v>
      </c>
      <c r="B11861" s="572">
        <v>89.694699999999997</v>
      </c>
      <c r="C11861" s="572">
        <v>600.28099999999995</v>
      </c>
    </row>
    <row r="11862" spans="1:3">
      <c r="A11862" s="573" t="s">
        <v>2146</v>
      </c>
      <c r="B11862" s="574">
        <v>182.25200000000001</v>
      </c>
      <c r="C11862" s="574">
        <v>627.40499999999997</v>
      </c>
    </row>
    <row r="11863" spans="1:3">
      <c r="A11863" s="573" t="s">
        <v>2146</v>
      </c>
      <c r="B11863" s="574">
        <v>241.41200000000001</v>
      </c>
      <c r="C11863" s="574">
        <v>658.77499999999998</v>
      </c>
    </row>
    <row r="11864" spans="1:3">
      <c r="A11864" s="571" t="s">
        <v>2147</v>
      </c>
      <c r="B11864" s="572">
        <v>6.9755500000000001</v>
      </c>
      <c r="C11864" s="572">
        <v>59.875300000000003</v>
      </c>
    </row>
    <row r="11865" spans="1:3">
      <c r="A11865" s="571" t="s">
        <v>2147</v>
      </c>
      <c r="B11865" s="572">
        <v>12.284599999999999</v>
      </c>
      <c r="C11865" s="572">
        <v>93.139300000000006</v>
      </c>
    </row>
    <row r="11866" spans="1:3">
      <c r="A11866" s="571" t="s">
        <v>2147</v>
      </c>
      <c r="B11866" s="572">
        <v>22.055900000000001</v>
      </c>
      <c r="C11866" s="572">
        <v>139.709</v>
      </c>
    </row>
    <row r="11867" spans="1:3">
      <c r="A11867" s="571" t="s">
        <v>2147</v>
      </c>
      <c r="B11867" s="572">
        <v>28.111000000000001</v>
      </c>
      <c r="C11867" s="572">
        <v>143.035</v>
      </c>
    </row>
    <row r="11868" spans="1:3">
      <c r="A11868" s="571" t="s">
        <v>2147</v>
      </c>
      <c r="B11868" s="572">
        <v>34.569299999999998</v>
      </c>
      <c r="C11868" s="572">
        <v>146.36199999999999</v>
      </c>
    </row>
    <row r="11869" spans="1:3">
      <c r="A11869" s="571" t="s">
        <v>2147</v>
      </c>
      <c r="B11869" s="572">
        <v>46.686199999999999</v>
      </c>
      <c r="C11869" s="572">
        <v>156.34100000000001</v>
      </c>
    </row>
    <row r="11870" spans="1:3">
      <c r="A11870" s="571" t="s">
        <v>2147</v>
      </c>
      <c r="B11870" s="572">
        <v>62.015500000000003</v>
      </c>
      <c r="C11870" s="572">
        <v>159.667</v>
      </c>
    </row>
    <row r="11871" spans="1:3">
      <c r="A11871" s="571" t="s">
        <v>2147</v>
      </c>
      <c r="B11871" s="572">
        <v>95.123599999999996</v>
      </c>
      <c r="C11871" s="572">
        <v>181.28899999999999</v>
      </c>
    </row>
    <row r="11872" spans="1:3">
      <c r="A11872" s="573" t="s">
        <v>2147</v>
      </c>
      <c r="B11872" s="574">
        <v>110.01600000000001</v>
      </c>
      <c r="C11872" s="574">
        <v>167.983</v>
      </c>
    </row>
    <row r="11873" spans="1:3">
      <c r="A11873" s="573" t="s">
        <v>2147</v>
      </c>
      <c r="B11873" s="574">
        <v>125.325</v>
      </c>
      <c r="C11873" s="574">
        <v>161.33099999999999</v>
      </c>
    </row>
    <row r="11874" spans="1:3">
      <c r="A11874" s="573" t="s">
        <v>2147</v>
      </c>
      <c r="B11874" s="574">
        <v>151.55199999999999</v>
      </c>
      <c r="C11874" s="574">
        <v>169.64699999999999</v>
      </c>
    </row>
    <row r="11875" spans="1:3">
      <c r="A11875" s="573" t="s">
        <v>2147</v>
      </c>
      <c r="B11875" s="574">
        <v>167.261</v>
      </c>
      <c r="C11875" s="574">
        <v>161.33099999999999</v>
      </c>
    </row>
    <row r="11876" spans="1:3">
      <c r="A11876" s="573" t="s">
        <v>2147</v>
      </c>
      <c r="B11876" s="574">
        <v>183.00299999999999</v>
      </c>
      <c r="C11876" s="574">
        <v>169.64699999999999</v>
      </c>
    </row>
    <row r="11877" spans="1:3">
      <c r="A11877" s="571" t="s">
        <v>2148</v>
      </c>
      <c r="B11877" s="572">
        <v>1.00597E-2</v>
      </c>
      <c r="C11877" s="572">
        <v>4.9896000000000003</v>
      </c>
    </row>
    <row r="11878" spans="1:3">
      <c r="A11878" s="571" t="s">
        <v>2148</v>
      </c>
      <c r="B11878" s="572">
        <v>0.85339699999999996</v>
      </c>
      <c r="C11878" s="572">
        <v>23.284800000000001</v>
      </c>
    </row>
    <row r="11879" spans="1:3">
      <c r="A11879" s="571" t="s">
        <v>2148</v>
      </c>
      <c r="B11879" s="572">
        <v>6.2428699999999999</v>
      </c>
      <c r="C11879" s="572">
        <v>96.465699999999998</v>
      </c>
    </row>
    <row r="11880" spans="1:3">
      <c r="A11880" s="571" t="s">
        <v>2148</v>
      </c>
      <c r="B11880" s="572">
        <v>8.3361300000000007</v>
      </c>
      <c r="C11880" s="572">
        <v>134.71899999999999</v>
      </c>
    </row>
    <row r="11881" spans="1:3">
      <c r="A11881" s="571" t="s">
        <v>2148</v>
      </c>
      <c r="B11881" s="572">
        <v>9.9892699999999994</v>
      </c>
      <c r="C11881" s="572">
        <v>154.678</v>
      </c>
    </row>
    <row r="11882" spans="1:3">
      <c r="A11882" s="571" t="s">
        <v>2148</v>
      </c>
      <c r="B11882" s="572">
        <v>20.294599999999999</v>
      </c>
      <c r="C11882" s="572">
        <v>266.11200000000002</v>
      </c>
    </row>
    <row r="11883" spans="1:3">
      <c r="A11883" s="571" t="s">
        <v>2148</v>
      </c>
      <c r="B11883" s="572">
        <v>21.964500000000001</v>
      </c>
      <c r="C11883" s="572">
        <v>294.387</v>
      </c>
    </row>
    <row r="11884" spans="1:3">
      <c r="A11884" s="571" t="s">
        <v>2148</v>
      </c>
      <c r="B11884" s="572">
        <v>29.3064</v>
      </c>
      <c r="C11884" s="572">
        <v>335.96699999999998</v>
      </c>
    </row>
    <row r="11885" spans="1:3">
      <c r="A11885" s="571" t="s">
        <v>2148</v>
      </c>
      <c r="B11885" s="572">
        <v>30.532800000000002</v>
      </c>
      <c r="C11885" s="572">
        <v>344.28300000000002</v>
      </c>
    </row>
    <row r="11886" spans="1:3">
      <c r="A11886" s="571" t="s">
        <v>2148</v>
      </c>
      <c r="B11886" s="572">
        <v>32.972299999999997</v>
      </c>
      <c r="C11886" s="572">
        <v>354.262</v>
      </c>
    </row>
    <row r="11887" spans="1:3">
      <c r="A11887" s="571" t="s">
        <v>2148</v>
      </c>
      <c r="B11887" s="572">
        <v>35.804900000000004</v>
      </c>
      <c r="C11887" s="572">
        <v>359.25200000000001</v>
      </c>
    </row>
    <row r="11888" spans="1:3">
      <c r="A11888" s="571" t="s">
        <v>2148</v>
      </c>
      <c r="B11888" s="572">
        <v>47.1892</v>
      </c>
      <c r="C11888" s="572">
        <v>405.82100000000003</v>
      </c>
    </row>
    <row r="11889" spans="1:3">
      <c r="A11889" s="571" t="s">
        <v>2148</v>
      </c>
      <c r="B11889" s="572">
        <v>61.799199999999999</v>
      </c>
      <c r="C11889" s="572">
        <v>452.39100000000002</v>
      </c>
    </row>
    <row r="11890" spans="1:3">
      <c r="A11890" s="571" t="s">
        <v>2148</v>
      </c>
      <c r="B11890" s="572">
        <v>95.001199999999997</v>
      </c>
      <c r="C11890" s="572">
        <v>520.58199999999999</v>
      </c>
    </row>
    <row r="11891" spans="1:3">
      <c r="A11891" s="573" t="s">
        <v>2148</v>
      </c>
      <c r="B11891" s="574">
        <v>109.91</v>
      </c>
      <c r="C11891" s="574">
        <v>515.59299999999996</v>
      </c>
    </row>
    <row r="11892" spans="1:3">
      <c r="A11892" s="573" t="s">
        <v>2148</v>
      </c>
      <c r="B11892" s="574">
        <v>126.05</v>
      </c>
      <c r="C11892" s="574">
        <v>520.58199999999999</v>
      </c>
    </row>
    <row r="11893" spans="1:3">
      <c r="A11893" s="573" t="s">
        <v>2148</v>
      </c>
      <c r="B11893" s="574">
        <v>151.54300000000001</v>
      </c>
      <c r="C11893" s="574">
        <v>565.48900000000003</v>
      </c>
    </row>
    <row r="11894" spans="1:3">
      <c r="A11894" s="573" t="s">
        <v>2148</v>
      </c>
      <c r="B11894" s="574">
        <v>167.27600000000001</v>
      </c>
      <c r="C11894" s="574">
        <v>568.81500000000005</v>
      </c>
    </row>
    <row r="11895" spans="1:3">
      <c r="A11895" s="573" t="s">
        <v>2148</v>
      </c>
      <c r="B11895" s="574">
        <v>182.63900000000001</v>
      </c>
      <c r="C11895" s="574">
        <v>588.77300000000002</v>
      </c>
    </row>
    <row r="11896" spans="1:3">
      <c r="A11896" s="571" t="s">
        <v>2149</v>
      </c>
      <c r="B11896" s="572">
        <v>12.8817</v>
      </c>
      <c r="C11896" s="572">
        <v>155.12100000000001</v>
      </c>
    </row>
    <row r="11897" spans="1:3">
      <c r="A11897" s="571" t="s">
        <v>2149</v>
      </c>
      <c r="B11897" s="572">
        <v>30.057300000000001</v>
      </c>
      <c r="C11897" s="572">
        <v>180.85499999999999</v>
      </c>
    </row>
    <row r="11898" spans="1:3">
      <c r="A11898" s="571" t="s">
        <v>2149</v>
      </c>
      <c r="B11898" s="572">
        <v>36.259500000000003</v>
      </c>
      <c r="C11898" s="572">
        <v>196.726</v>
      </c>
    </row>
    <row r="11899" spans="1:3">
      <c r="A11899" s="571" t="s">
        <v>2149</v>
      </c>
      <c r="B11899" s="572">
        <v>47.709899999999998</v>
      </c>
      <c r="C11899" s="572">
        <v>216.536</v>
      </c>
    </row>
    <row r="11900" spans="1:3">
      <c r="A11900" s="571" t="s">
        <v>2149</v>
      </c>
      <c r="B11900" s="572">
        <v>89.217600000000004</v>
      </c>
      <c r="C11900" s="572">
        <v>236.10599999999999</v>
      </c>
    </row>
    <row r="11901" spans="1:3">
      <c r="A11901" s="573" t="s">
        <v>2149</v>
      </c>
      <c r="B11901" s="574">
        <v>180.34399999999999</v>
      </c>
      <c r="C11901" s="574">
        <v>247.321</v>
      </c>
    </row>
    <row r="11902" spans="1:3">
      <c r="A11902" s="573" t="s">
        <v>2149</v>
      </c>
      <c r="B11902" s="574">
        <v>237.595</v>
      </c>
      <c r="C11902" s="574">
        <v>254.82499999999999</v>
      </c>
    </row>
    <row r="11903" spans="1:3">
      <c r="A11903" s="571" t="s">
        <v>2150</v>
      </c>
      <c r="B11903" s="572">
        <v>1.4313</v>
      </c>
      <c r="C11903" s="572">
        <v>37.799599999999998</v>
      </c>
    </row>
    <row r="11904" spans="1:3">
      <c r="A11904" s="571" t="s">
        <v>2150</v>
      </c>
      <c r="B11904" s="572">
        <v>6.2022899999999996</v>
      </c>
      <c r="C11904" s="572">
        <v>65.622299999999996</v>
      </c>
    </row>
    <row r="11905" spans="1:3">
      <c r="A11905" s="571" t="s">
        <v>2150</v>
      </c>
      <c r="B11905" s="572">
        <v>8.11069</v>
      </c>
      <c r="C11905" s="572">
        <v>85.507599999999996</v>
      </c>
    </row>
    <row r="11906" spans="1:3">
      <c r="A11906" s="571" t="s">
        <v>2150</v>
      </c>
      <c r="B11906" s="572">
        <v>12.4046</v>
      </c>
      <c r="C11906" s="572">
        <v>153.13499999999999</v>
      </c>
    </row>
    <row r="11907" spans="1:3">
      <c r="A11907" s="571" t="s">
        <v>2150</v>
      </c>
      <c r="B11907" s="572">
        <v>30.057300000000001</v>
      </c>
      <c r="C11907" s="572">
        <v>326.12900000000002</v>
      </c>
    </row>
    <row r="11908" spans="1:3">
      <c r="A11908" s="571" t="s">
        <v>2150</v>
      </c>
      <c r="B11908" s="572">
        <v>35.782400000000003</v>
      </c>
      <c r="C11908" s="572">
        <v>391.755</v>
      </c>
    </row>
    <row r="11909" spans="1:3">
      <c r="A11909" s="571" t="s">
        <v>2150</v>
      </c>
      <c r="B11909" s="572">
        <v>46.755699999999997</v>
      </c>
      <c r="C11909" s="572">
        <v>463.30900000000003</v>
      </c>
    </row>
    <row r="11910" spans="1:3">
      <c r="A11910" s="571" t="s">
        <v>2150</v>
      </c>
      <c r="B11910" s="572">
        <v>88.740499999999997</v>
      </c>
      <c r="C11910" s="572">
        <v>550.53700000000003</v>
      </c>
    </row>
    <row r="11911" spans="1:3">
      <c r="A11911" s="573" t="s">
        <v>2150</v>
      </c>
      <c r="B11911" s="574">
        <v>179.86600000000001</v>
      </c>
      <c r="C11911" s="574">
        <v>591.60299999999995</v>
      </c>
    </row>
    <row r="11912" spans="1:3">
      <c r="A11912" s="573" t="s">
        <v>2150</v>
      </c>
      <c r="B11912" s="574">
        <v>236.64099999999999</v>
      </c>
      <c r="C11912" s="574">
        <v>626.97199999999998</v>
      </c>
    </row>
    <row r="11913" spans="1:3">
      <c r="A11913" s="571" t="s">
        <v>2151</v>
      </c>
      <c r="B11913" s="572">
        <v>19.670000000000002</v>
      </c>
      <c r="C11913" s="572">
        <v>156.34100000000001</v>
      </c>
    </row>
    <row r="11914" spans="1:3">
      <c r="A11914" s="571" t="s">
        <v>2151</v>
      </c>
      <c r="B11914" s="572">
        <v>23.7224</v>
      </c>
      <c r="C11914" s="572">
        <v>166.32</v>
      </c>
    </row>
    <row r="11915" spans="1:3">
      <c r="A11915" s="571" t="s">
        <v>2151</v>
      </c>
      <c r="B11915" s="572">
        <v>26.131699999999999</v>
      </c>
      <c r="C11915" s="572">
        <v>161.33099999999999</v>
      </c>
    </row>
    <row r="11916" spans="1:3">
      <c r="A11916" s="571" t="s">
        <v>2151</v>
      </c>
      <c r="B11916" s="572">
        <v>32.626899999999999</v>
      </c>
      <c r="C11916" s="572">
        <v>182.952</v>
      </c>
    </row>
    <row r="11917" spans="1:3">
      <c r="A11917" s="571" t="s">
        <v>2151</v>
      </c>
      <c r="B11917" s="572">
        <v>41.497900000000001</v>
      </c>
      <c r="C11917" s="572">
        <v>182.952</v>
      </c>
    </row>
    <row r="11918" spans="1:3">
      <c r="A11918" s="571" t="s">
        <v>2151</v>
      </c>
      <c r="B11918" s="572">
        <v>43.917200000000001</v>
      </c>
      <c r="C11918" s="572">
        <v>182.952</v>
      </c>
    </row>
    <row r="11919" spans="1:3">
      <c r="A11919" s="571" t="s">
        <v>2151</v>
      </c>
      <c r="B11919" s="572">
        <v>47.129600000000003</v>
      </c>
      <c r="C11919" s="572">
        <v>176.29900000000001</v>
      </c>
    </row>
    <row r="11920" spans="1:3">
      <c r="A11920" s="571" t="s">
        <v>2151</v>
      </c>
      <c r="B11920" s="572">
        <v>58.426699999999997</v>
      </c>
      <c r="C11920" s="572">
        <v>179.626</v>
      </c>
    </row>
    <row r="11921" spans="1:3">
      <c r="A11921" s="571" t="s">
        <v>2151</v>
      </c>
      <c r="B11921" s="572">
        <v>74.9589</v>
      </c>
      <c r="C11921" s="572">
        <v>179.626</v>
      </c>
    </row>
    <row r="11922" spans="1:3">
      <c r="A11922" s="573" t="s">
        <v>2151</v>
      </c>
      <c r="B11922" s="574">
        <v>107.20699999999999</v>
      </c>
      <c r="C11922" s="574">
        <v>174.636</v>
      </c>
    </row>
    <row r="11923" spans="1:3">
      <c r="A11923" s="573" t="s">
        <v>2151</v>
      </c>
      <c r="B11923" s="574">
        <v>122.496</v>
      </c>
      <c r="C11923" s="574">
        <v>158.00399999999999</v>
      </c>
    </row>
    <row r="11924" spans="1:3">
      <c r="A11924" s="573" t="s">
        <v>2151</v>
      </c>
      <c r="B11924" s="574">
        <v>138.62200000000001</v>
      </c>
      <c r="C11924" s="574">
        <v>156.34100000000001</v>
      </c>
    </row>
    <row r="11925" spans="1:3">
      <c r="A11925" s="573" t="s">
        <v>2151</v>
      </c>
      <c r="B11925" s="574">
        <v>164.048</v>
      </c>
      <c r="C11925" s="574">
        <v>167.983</v>
      </c>
    </row>
    <row r="11926" spans="1:3">
      <c r="A11926" s="573" t="s">
        <v>2151</v>
      </c>
      <c r="B11926" s="574">
        <v>179.34700000000001</v>
      </c>
      <c r="C11926" s="574">
        <v>156.34100000000001</v>
      </c>
    </row>
    <row r="11927" spans="1:3">
      <c r="A11927" s="573" t="s">
        <v>2151</v>
      </c>
      <c r="B11927" s="574">
        <v>196.29300000000001</v>
      </c>
      <c r="C11927" s="574">
        <v>161.33099999999999</v>
      </c>
    </row>
    <row r="11928" spans="1:3">
      <c r="A11928" s="571" t="s">
        <v>2152</v>
      </c>
      <c r="B11928" s="572">
        <v>1.72356</v>
      </c>
      <c r="C11928" s="572">
        <v>54.8857</v>
      </c>
    </row>
    <row r="11929" spans="1:3">
      <c r="A11929" s="571" t="s">
        <v>2152</v>
      </c>
      <c r="B11929" s="572">
        <v>2.6238999999999999</v>
      </c>
      <c r="C11929" s="572">
        <v>101.455</v>
      </c>
    </row>
    <row r="11930" spans="1:3">
      <c r="A11930" s="571" t="s">
        <v>2152</v>
      </c>
      <c r="B11930" s="572">
        <v>4.6936799999999996</v>
      </c>
      <c r="C11930" s="572">
        <v>128.06700000000001</v>
      </c>
    </row>
    <row r="11931" spans="1:3">
      <c r="A11931" s="571" t="s">
        <v>2152</v>
      </c>
      <c r="B11931" s="572">
        <v>5.9268299999999998</v>
      </c>
      <c r="C11931" s="572">
        <v>139.709</v>
      </c>
    </row>
    <row r="11932" spans="1:3">
      <c r="A11932" s="571" t="s">
        <v>2152</v>
      </c>
      <c r="B11932" s="572">
        <v>9.2297600000000006</v>
      </c>
      <c r="C11932" s="572">
        <v>177.96299999999999</v>
      </c>
    </row>
    <row r="11933" spans="1:3">
      <c r="A11933" s="571" t="s">
        <v>2152</v>
      </c>
      <c r="B11933" s="572">
        <v>12.5092</v>
      </c>
      <c r="C11933" s="572">
        <v>204.57400000000001</v>
      </c>
    </row>
    <row r="11934" spans="1:3">
      <c r="A11934" s="571" t="s">
        <v>2152</v>
      </c>
      <c r="B11934" s="572">
        <v>16.205300000000001</v>
      </c>
      <c r="C11934" s="572">
        <v>237.83799999999999</v>
      </c>
    </row>
    <row r="11935" spans="1:3">
      <c r="A11935" s="571" t="s">
        <v>2152</v>
      </c>
      <c r="B11935" s="572">
        <v>19.8612</v>
      </c>
      <c r="C11935" s="572">
        <v>251.143</v>
      </c>
    </row>
    <row r="11936" spans="1:3">
      <c r="A11936" s="571" t="s">
        <v>2152</v>
      </c>
      <c r="B11936" s="572">
        <v>24.3369</v>
      </c>
      <c r="C11936" s="572">
        <v>271.10199999999998</v>
      </c>
    </row>
    <row r="11937" spans="1:3">
      <c r="A11937" s="571" t="s">
        <v>2152</v>
      </c>
      <c r="B11937" s="572">
        <v>29.625800000000002</v>
      </c>
      <c r="C11937" s="572">
        <v>294.387</v>
      </c>
    </row>
    <row r="11938" spans="1:3">
      <c r="A11938" s="571" t="s">
        <v>2152</v>
      </c>
      <c r="B11938" s="572">
        <v>33.274900000000002</v>
      </c>
      <c r="C11938" s="572">
        <v>304.36599999999999</v>
      </c>
    </row>
    <row r="11939" spans="1:3">
      <c r="A11939" s="571" t="s">
        <v>2152</v>
      </c>
      <c r="B11939" s="572">
        <v>40.563200000000002</v>
      </c>
      <c r="C11939" s="572">
        <v>319.33499999999998</v>
      </c>
    </row>
    <row r="11940" spans="1:3">
      <c r="A11940" s="571" t="s">
        <v>2152</v>
      </c>
      <c r="B11940" s="572">
        <v>43.405900000000003</v>
      </c>
      <c r="C11940" s="572">
        <v>329.31400000000002</v>
      </c>
    </row>
    <row r="11941" spans="1:3">
      <c r="A11941" s="571" t="s">
        <v>2152</v>
      </c>
      <c r="B11941" s="572">
        <v>49.030900000000003</v>
      </c>
      <c r="C11941" s="572">
        <v>319.33499999999998</v>
      </c>
    </row>
    <row r="11942" spans="1:3">
      <c r="A11942" s="571" t="s">
        <v>2152</v>
      </c>
      <c r="B11942" s="572">
        <v>59.155200000000001</v>
      </c>
      <c r="C11942" s="572">
        <v>340.95600000000002</v>
      </c>
    </row>
    <row r="11943" spans="1:3">
      <c r="A11943" s="571" t="s">
        <v>2152</v>
      </c>
      <c r="B11943" s="572">
        <v>75.311000000000007</v>
      </c>
      <c r="C11943" s="572">
        <v>354.262</v>
      </c>
    </row>
    <row r="11944" spans="1:3">
      <c r="A11944" s="573" t="s">
        <v>2152</v>
      </c>
      <c r="B11944" s="574">
        <v>108.026</v>
      </c>
      <c r="C11944" s="574">
        <v>380.87299999999999</v>
      </c>
    </row>
    <row r="11945" spans="1:3">
      <c r="A11945" s="573" t="s">
        <v>2152</v>
      </c>
      <c r="B11945" s="574">
        <v>122.119</v>
      </c>
      <c r="C11945" s="574">
        <v>370.89400000000001</v>
      </c>
    </row>
    <row r="11946" spans="1:3">
      <c r="A11946" s="573" t="s">
        <v>2152</v>
      </c>
      <c r="B11946" s="574">
        <v>139.45699999999999</v>
      </c>
      <c r="C11946" s="574">
        <v>370.89400000000001</v>
      </c>
    </row>
    <row r="11947" spans="1:3">
      <c r="A11947" s="573" t="s">
        <v>2152</v>
      </c>
      <c r="B11947" s="574">
        <v>164.92400000000001</v>
      </c>
      <c r="C11947" s="574">
        <v>402.495</v>
      </c>
    </row>
    <row r="11948" spans="1:3">
      <c r="A11948" s="573" t="s">
        <v>2152</v>
      </c>
      <c r="B11948" s="574">
        <v>179.827</v>
      </c>
      <c r="C11948" s="574">
        <v>394.17899999999997</v>
      </c>
    </row>
    <row r="11949" spans="1:3">
      <c r="A11949" s="573" t="s">
        <v>2152</v>
      </c>
      <c r="B11949" s="574">
        <v>196.00299999999999</v>
      </c>
      <c r="C11949" s="574">
        <v>417.464</v>
      </c>
    </row>
    <row r="11950" spans="1:3">
      <c r="A11950" s="571" t="s">
        <v>416</v>
      </c>
      <c r="B11950" s="572">
        <v>1.7800000000000001E-15</v>
      </c>
      <c r="C11950" s="572">
        <v>0</v>
      </c>
    </row>
    <row r="11951" spans="1:3">
      <c r="A11951" s="571" t="s">
        <v>416</v>
      </c>
      <c r="B11951" s="572">
        <v>1.05541</v>
      </c>
      <c r="C11951" s="572">
        <v>40.4313</v>
      </c>
    </row>
    <row r="11952" spans="1:3">
      <c r="A11952" s="571" t="s">
        <v>416</v>
      </c>
      <c r="B11952" s="572">
        <v>2.9023699999999999</v>
      </c>
      <c r="C11952" s="572">
        <v>63.881399999999999</v>
      </c>
    </row>
    <row r="11953" spans="1:3">
      <c r="A11953" s="571" t="s">
        <v>416</v>
      </c>
      <c r="B11953" s="572">
        <v>5.0131899999999998</v>
      </c>
      <c r="C11953" s="572">
        <v>91.374700000000004</v>
      </c>
    </row>
    <row r="11954" spans="1:3">
      <c r="A11954" s="571" t="s">
        <v>416</v>
      </c>
      <c r="B11954" s="572">
        <v>6.9920799999999996</v>
      </c>
      <c r="C11954" s="572">
        <v>111.59</v>
      </c>
    </row>
    <row r="11955" spans="1:3">
      <c r="A11955" s="571" t="s">
        <v>416</v>
      </c>
      <c r="B11955" s="572">
        <v>14.116099999999999</v>
      </c>
      <c r="C11955" s="572">
        <v>138.27500000000001</v>
      </c>
    </row>
    <row r="11956" spans="1:3">
      <c r="A11956" s="571" t="s">
        <v>416</v>
      </c>
      <c r="B11956" s="572">
        <v>20.976299999999998</v>
      </c>
      <c r="C11956" s="572">
        <v>158.49100000000001</v>
      </c>
    </row>
    <row r="11957" spans="1:3">
      <c r="A11957" s="571" t="s">
        <v>416</v>
      </c>
      <c r="B11957" s="572">
        <v>35.092300000000002</v>
      </c>
      <c r="C11957" s="572">
        <v>178.70599999999999</v>
      </c>
    </row>
    <row r="11958" spans="1:3">
      <c r="A11958" s="571" t="s">
        <v>416</v>
      </c>
      <c r="B11958" s="572">
        <v>42.084400000000002</v>
      </c>
      <c r="C11958" s="572">
        <v>188.41</v>
      </c>
    </row>
    <row r="11959" spans="1:3">
      <c r="A11959" s="571" t="s">
        <v>416</v>
      </c>
      <c r="B11959" s="572">
        <v>48.944600000000001</v>
      </c>
      <c r="C11959" s="572">
        <v>215.09399999999999</v>
      </c>
    </row>
    <row r="11960" spans="1:3">
      <c r="A11960" s="571" t="s">
        <v>416</v>
      </c>
      <c r="B11960" s="572">
        <v>56.200499999999998</v>
      </c>
      <c r="C11960" s="572">
        <v>226.41499999999999</v>
      </c>
    </row>
    <row r="11961" spans="1:3">
      <c r="A11961" s="571" t="s">
        <v>416</v>
      </c>
      <c r="B11961" s="572">
        <v>62.928800000000003</v>
      </c>
      <c r="C11961" s="572">
        <v>226.41499999999999</v>
      </c>
    </row>
    <row r="11962" spans="1:3">
      <c r="A11962" s="571" t="s">
        <v>416</v>
      </c>
      <c r="B11962" s="572">
        <v>69.9208</v>
      </c>
      <c r="C11962" s="572">
        <v>231.267</v>
      </c>
    </row>
    <row r="11963" spans="1:3">
      <c r="A11963" s="571" t="s">
        <v>416</v>
      </c>
      <c r="B11963" s="572">
        <v>77.044899999999998</v>
      </c>
      <c r="C11963" s="572">
        <v>231.267</v>
      </c>
    </row>
    <row r="11964" spans="1:3">
      <c r="A11964" s="571" t="s">
        <v>416</v>
      </c>
      <c r="B11964" s="572">
        <v>84.036900000000003</v>
      </c>
      <c r="C11964" s="572">
        <v>239.35300000000001</v>
      </c>
    </row>
    <row r="11965" spans="1:3">
      <c r="A11965" s="571" t="s">
        <v>416</v>
      </c>
      <c r="B11965" s="572">
        <v>91.028999999999996</v>
      </c>
      <c r="C11965" s="572">
        <v>232.07499999999999</v>
      </c>
    </row>
    <row r="11966" spans="1:3">
      <c r="A11966" s="571" t="s">
        <v>416</v>
      </c>
      <c r="B11966" s="572">
        <v>97.889200000000002</v>
      </c>
      <c r="C11966" s="572">
        <v>252.291</v>
      </c>
    </row>
    <row r="11967" spans="1:3">
      <c r="A11967" s="571" t="s">
        <v>417</v>
      </c>
      <c r="B11967" s="572">
        <v>0.13192599999999999</v>
      </c>
      <c r="C11967" s="572">
        <v>0.80862500000000004</v>
      </c>
    </row>
    <row r="11968" spans="1:3">
      <c r="A11968" s="571" t="s">
        <v>417</v>
      </c>
      <c r="B11968" s="572">
        <v>1.1873400000000001</v>
      </c>
      <c r="C11968" s="572">
        <v>23.450099999999999</v>
      </c>
    </row>
    <row r="11969" spans="1:3">
      <c r="A11969" s="571" t="s">
        <v>417</v>
      </c>
      <c r="B11969" s="572">
        <v>3.0343</v>
      </c>
      <c r="C11969" s="572">
        <v>48.517499999999998</v>
      </c>
    </row>
    <row r="11970" spans="1:3">
      <c r="A11970" s="571" t="s">
        <v>417</v>
      </c>
      <c r="B11970" s="572">
        <v>5.1451200000000004</v>
      </c>
      <c r="C11970" s="572">
        <v>63.072800000000001</v>
      </c>
    </row>
    <row r="11971" spans="1:3">
      <c r="A11971" s="571" t="s">
        <v>417</v>
      </c>
      <c r="B11971" s="572">
        <v>6.9920799999999996</v>
      </c>
      <c r="C11971" s="572">
        <v>73.584900000000005</v>
      </c>
    </row>
    <row r="11972" spans="1:3">
      <c r="A11972" s="571" t="s">
        <v>417</v>
      </c>
      <c r="B11972" s="572">
        <v>14.116099999999999</v>
      </c>
      <c r="C11972" s="572">
        <v>120.485</v>
      </c>
    </row>
    <row r="11973" spans="1:3">
      <c r="A11973" s="571" t="s">
        <v>417</v>
      </c>
      <c r="B11973" s="572">
        <v>20.976299999999998</v>
      </c>
      <c r="C11973" s="572">
        <v>126.146</v>
      </c>
    </row>
    <row r="11974" spans="1:3">
      <c r="A11974" s="571" t="s">
        <v>417</v>
      </c>
      <c r="B11974" s="572">
        <v>35.092300000000002</v>
      </c>
      <c r="C11974" s="572">
        <v>166.577</v>
      </c>
    </row>
    <row r="11975" spans="1:3">
      <c r="A11975" s="571" t="s">
        <v>417</v>
      </c>
      <c r="B11975" s="572">
        <v>42.084400000000002</v>
      </c>
      <c r="C11975" s="572">
        <v>175.47200000000001</v>
      </c>
    </row>
    <row r="11976" spans="1:3">
      <c r="A11976" s="571" t="s">
        <v>417</v>
      </c>
      <c r="B11976" s="572">
        <v>48.944600000000001</v>
      </c>
      <c r="C11976" s="572">
        <v>187.601</v>
      </c>
    </row>
    <row r="11977" spans="1:3">
      <c r="A11977" s="571" t="s">
        <v>417</v>
      </c>
      <c r="B11977" s="572">
        <v>55.936700000000002</v>
      </c>
      <c r="C11977" s="572">
        <v>195.68700000000001</v>
      </c>
    </row>
    <row r="11978" spans="1:3">
      <c r="A11978" s="571" t="s">
        <v>417</v>
      </c>
      <c r="B11978" s="572">
        <v>62.928800000000003</v>
      </c>
      <c r="C11978" s="572">
        <v>202.15600000000001</v>
      </c>
    </row>
    <row r="11979" spans="1:3">
      <c r="A11979" s="571" t="s">
        <v>417</v>
      </c>
      <c r="B11979" s="572">
        <v>69.9208</v>
      </c>
      <c r="C11979" s="572">
        <v>215.09399999999999</v>
      </c>
    </row>
    <row r="11980" spans="1:3">
      <c r="A11980" s="571" t="s">
        <v>417</v>
      </c>
      <c r="B11980" s="572">
        <v>77.1768</v>
      </c>
      <c r="C11980" s="572">
        <v>225.60599999999999</v>
      </c>
    </row>
    <row r="11981" spans="1:3">
      <c r="A11981" s="571" t="s">
        <v>417</v>
      </c>
      <c r="B11981" s="572">
        <v>84.036900000000003</v>
      </c>
      <c r="C11981" s="572">
        <v>224.798</v>
      </c>
    </row>
    <row r="11982" spans="1:3">
      <c r="A11982" s="571" t="s">
        <v>417</v>
      </c>
      <c r="B11982" s="572">
        <v>91.028999999999996</v>
      </c>
      <c r="C11982" s="572">
        <v>225.60599999999999</v>
      </c>
    </row>
    <row r="11983" spans="1:3">
      <c r="A11983" s="571" t="s">
        <v>417</v>
      </c>
      <c r="B11983" s="572">
        <v>97.889200000000002</v>
      </c>
      <c r="C11983" s="572">
        <v>244.20500000000001</v>
      </c>
    </row>
    <row r="11984" spans="1:3">
      <c r="A11984" s="571" t="s">
        <v>418</v>
      </c>
      <c r="B11984" s="572">
        <v>0</v>
      </c>
      <c r="C11984" s="572">
        <v>0</v>
      </c>
    </row>
    <row r="11985" spans="1:3">
      <c r="A11985" s="571" t="s">
        <v>418</v>
      </c>
      <c r="B11985" s="572">
        <v>1.09589</v>
      </c>
      <c r="C11985" s="572">
        <v>78.066599999999994</v>
      </c>
    </row>
    <row r="11986" spans="1:3">
      <c r="A11986" s="571" t="s">
        <v>418</v>
      </c>
      <c r="B11986" s="572">
        <v>1.91781</v>
      </c>
      <c r="C11986" s="572">
        <v>107.348</v>
      </c>
    </row>
    <row r="11987" spans="1:3">
      <c r="A11987" s="571" t="s">
        <v>418</v>
      </c>
      <c r="B11987" s="572">
        <v>3.1506799999999999</v>
      </c>
      <c r="C11987" s="572">
        <v>118.75</v>
      </c>
    </row>
    <row r="11988" spans="1:3">
      <c r="A11988" s="571" t="s">
        <v>418</v>
      </c>
      <c r="B11988" s="572">
        <v>4.1095899999999999</v>
      </c>
      <c r="C11988" s="572">
        <v>156.16400000000002</v>
      </c>
    </row>
    <row r="11989" spans="1:3">
      <c r="A11989" s="571" t="s">
        <v>418</v>
      </c>
      <c r="B11989" s="572">
        <v>5.0684899999999997</v>
      </c>
      <c r="C11989" s="572">
        <v>177.31799999999998</v>
      </c>
    </row>
    <row r="11990" spans="1:3">
      <c r="A11990" s="571" t="s">
        <v>418</v>
      </c>
      <c r="B11990" s="572">
        <v>6.1643800000000004</v>
      </c>
      <c r="C11990" s="572">
        <v>201.726</v>
      </c>
    </row>
    <row r="11991" spans="1:3">
      <c r="A11991" s="571" t="s">
        <v>418</v>
      </c>
      <c r="B11991" s="572">
        <v>6.8493199999999996</v>
      </c>
      <c r="C11991" s="572">
        <v>201.73699999999999</v>
      </c>
    </row>
    <row r="11992" spans="1:3">
      <c r="A11992" s="571" t="s">
        <v>418</v>
      </c>
      <c r="B11992" s="572">
        <v>14.246600000000001</v>
      </c>
      <c r="C11992" s="572">
        <v>250.63800000000001</v>
      </c>
    </row>
    <row r="11993" spans="1:3">
      <c r="A11993" s="571" t="s">
        <v>418</v>
      </c>
      <c r="B11993" s="572">
        <v>21.0959</v>
      </c>
      <c r="C11993" s="572">
        <v>283.27000000000004</v>
      </c>
    </row>
    <row r="11994" spans="1:3">
      <c r="A11994" s="571" t="s">
        <v>418</v>
      </c>
      <c r="B11994" s="572">
        <v>27.9452</v>
      </c>
      <c r="C11994" s="572">
        <v>304.51900000000001</v>
      </c>
    </row>
    <row r="11995" spans="1:3">
      <c r="A11995" s="571" t="s">
        <v>418</v>
      </c>
      <c r="B11995" s="572">
        <v>34.9315</v>
      </c>
      <c r="C11995" s="572">
        <v>330.649</v>
      </c>
    </row>
    <row r="11996" spans="1:3">
      <c r="A11996" s="571" t="s">
        <v>418</v>
      </c>
      <c r="B11996" s="572">
        <v>41.9178</v>
      </c>
      <c r="C11996" s="572">
        <v>338.89299999999997</v>
      </c>
    </row>
    <row r="11997" spans="1:3">
      <c r="A11997" s="571" t="s">
        <v>418</v>
      </c>
      <c r="B11997" s="572">
        <v>48.9041</v>
      </c>
      <c r="C11997" s="572">
        <v>355.267</v>
      </c>
    </row>
    <row r="11998" spans="1:3">
      <c r="A11998" s="571" t="s">
        <v>418</v>
      </c>
      <c r="B11998" s="572">
        <v>56.0274</v>
      </c>
      <c r="C11998" s="572">
        <v>365.13900000000001</v>
      </c>
    </row>
    <row r="11999" spans="1:3">
      <c r="A11999" s="571" t="s">
        <v>418</v>
      </c>
      <c r="B11999" s="572">
        <v>63.150700000000001</v>
      </c>
      <c r="C11999" s="572">
        <v>368.50700000000001</v>
      </c>
    </row>
    <row r="12000" spans="1:3">
      <c r="A12000" s="571" t="s">
        <v>418</v>
      </c>
      <c r="B12000" s="572">
        <v>70.137</v>
      </c>
      <c r="C12000" s="572">
        <v>371.87199999999996</v>
      </c>
    </row>
    <row r="12001" spans="1:3">
      <c r="A12001" s="571" t="s">
        <v>418</v>
      </c>
      <c r="B12001" s="572">
        <v>77.1233</v>
      </c>
      <c r="C12001" s="572">
        <v>386.62</v>
      </c>
    </row>
    <row r="12002" spans="1:3">
      <c r="A12002" s="571" t="s">
        <v>418</v>
      </c>
      <c r="B12002" s="572">
        <v>84.1096</v>
      </c>
      <c r="C12002" s="572">
        <v>386.733</v>
      </c>
    </row>
    <row r="12003" spans="1:3">
      <c r="A12003" s="571" t="s">
        <v>418</v>
      </c>
      <c r="B12003" s="572">
        <v>90.9589</v>
      </c>
      <c r="C12003" s="572">
        <v>388.471</v>
      </c>
    </row>
    <row r="12004" spans="1:3">
      <c r="A12004" s="571" t="s">
        <v>418</v>
      </c>
      <c r="B12004" s="572">
        <v>97.808199999999999</v>
      </c>
      <c r="C12004" s="572">
        <v>406.46799999999996</v>
      </c>
    </row>
    <row r="12005" spans="1:3">
      <c r="A12005" s="48" t="s">
        <v>419</v>
      </c>
      <c r="B12005" s="549">
        <v>-1.42E-14</v>
      </c>
      <c r="C12005" s="549">
        <v>0</v>
      </c>
    </row>
    <row r="12006" spans="1:3">
      <c r="A12006" s="571" t="s">
        <v>419</v>
      </c>
      <c r="B12006" s="572">
        <v>6.6848599999999996</v>
      </c>
      <c r="C12006" s="572">
        <v>194.44399999999999</v>
      </c>
    </row>
    <row r="12007" spans="1:3">
      <c r="A12007" s="571" t="s">
        <v>419</v>
      </c>
      <c r="B12007" s="572">
        <v>13.3697</v>
      </c>
      <c r="C12007" s="572">
        <v>277.77800000000002</v>
      </c>
    </row>
    <row r="12008" spans="1:3">
      <c r="A12008" s="571" t="s">
        <v>419</v>
      </c>
      <c r="B12008" s="572">
        <v>21.486999999999998</v>
      </c>
      <c r="C12008" s="572">
        <v>305.55599999999998</v>
      </c>
    </row>
    <row r="12009" spans="1:3">
      <c r="A12009" s="571" t="s">
        <v>419</v>
      </c>
      <c r="B12009" s="572">
        <v>48.226500000000001</v>
      </c>
      <c r="C12009" s="572">
        <v>388.88900000000001</v>
      </c>
    </row>
    <row r="12010" spans="1:3">
      <c r="A12010" s="571" t="s">
        <v>419</v>
      </c>
      <c r="B12010" s="572">
        <v>76.398399999999995</v>
      </c>
      <c r="C12010" s="572">
        <v>388.88900000000001</v>
      </c>
    </row>
    <row r="12011" spans="1:3">
      <c r="A12011" s="573" t="s">
        <v>419</v>
      </c>
      <c r="B12011" s="574">
        <v>104.57</v>
      </c>
      <c r="C12011" s="574">
        <v>402.77800000000002</v>
      </c>
    </row>
    <row r="12012" spans="1:3">
      <c r="A12012" s="573" t="s">
        <v>419</v>
      </c>
      <c r="B12012" s="574">
        <v>132.74199999999999</v>
      </c>
      <c r="C12012" s="574">
        <v>402.77800000000002</v>
      </c>
    </row>
    <row r="12013" spans="1:3">
      <c r="A12013" s="573" t="s">
        <v>419</v>
      </c>
      <c r="B12013" s="574">
        <v>160.43700000000001</v>
      </c>
      <c r="C12013" s="574">
        <v>458.33300000000003</v>
      </c>
    </row>
    <row r="12014" spans="1:3">
      <c r="A12014" s="573" t="s">
        <v>419</v>
      </c>
      <c r="B12014" s="574">
        <v>188.131</v>
      </c>
      <c r="C12014" s="574">
        <v>472.22199999999998</v>
      </c>
    </row>
    <row r="12015" spans="1:3">
      <c r="A12015" s="573" t="s">
        <v>419</v>
      </c>
      <c r="B12015" s="574">
        <v>216.78</v>
      </c>
      <c r="C12015" s="574">
        <v>486.11099999999999</v>
      </c>
    </row>
    <row r="12016" spans="1:3">
      <c r="A12016" s="573" t="s">
        <v>419</v>
      </c>
      <c r="B12016" s="574">
        <v>244.47499999999999</v>
      </c>
      <c r="C12016" s="574">
        <v>513.88900000000001</v>
      </c>
    </row>
    <row r="12017" spans="1:3">
      <c r="A12017" s="573" t="s">
        <v>419</v>
      </c>
      <c r="B12017" s="574">
        <v>273.12400000000002</v>
      </c>
      <c r="C12017" s="574">
        <v>527.77800000000002</v>
      </c>
    </row>
    <row r="12018" spans="1:3">
      <c r="A12018" s="573" t="s">
        <v>419</v>
      </c>
      <c r="B12018" s="574">
        <v>300.81900000000002</v>
      </c>
      <c r="C12018" s="574">
        <v>513.88900000000001</v>
      </c>
    </row>
    <row r="12019" spans="1:3">
      <c r="A12019" s="573" t="s">
        <v>419</v>
      </c>
      <c r="B12019" s="574">
        <v>328.03500000000003</v>
      </c>
      <c r="C12019" s="574">
        <v>555.55600000000004</v>
      </c>
    </row>
    <row r="12020" spans="1:3">
      <c r="A12020" s="571" t="s">
        <v>2153</v>
      </c>
      <c r="B12020" s="572">
        <v>0</v>
      </c>
      <c r="C12020" s="572">
        <v>0</v>
      </c>
    </row>
    <row r="12021" spans="1:3">
      <c r="A12021" s="571" t="s">
        <v>2153</v>
      </c>
      <c r="B12021" s="572">
        <v>6.9078900000000001</v>
      </c>
      <c r="C12021" s="572">
        <v>256.41000000000003</v>
      </c>
    </row>
    <row r="12022" spans="1:3">
      <c r="A12022" s="571" t="s">
        <v>2153</v>
      </c>
      <c r="B12022" s="572">
        <v>13.815799999999999</v>
      </c>
      <c r="C12022" s="572">
        <v>346.154</v>
      </c>
    </row>
    <row r="12023" spans="1:3">
      <c r="A12023" s="571" t="s">
        <v>2153</v>
      </c>
      <c r="B12023" s="572">
        <v>20.723700000000001</v>
      </c>
      <c r="C12023" s="572">
        <v>384.61500000000001</v>
      </c>
    </row>
    <row r="12024" spans="1:3">
      <c r="A12024" s="571" t="s">
        <v>2153</v>
      </c>
      <c r="B12024" s="572">
        <v>26.7105</v>
      </c>
      <c r="C12024" s="572">
        <v>410.25599999999997</v>
      </c>
    </row>
    <row r="12025" spans="1:3">
      <c r="A12025" s="571" t="s">
        <v>2153</v>
      </c>
      <c r="B12025" s="572">
        <v>55.723700000000001</v>
      </c>
      <c r="C12025" s="572">
        <v>474.35899999999998</v>
      </c>
    </row>
    <row r="12026" spans="1:3">
      <c r="A12026" s="571" t="s">
        <v>2153</v>
      </c>
      <c r="B12026" s="572">
        <v>83.3553</v>
      </c>
      <c r="C12026" s="572">
        <v>512.82100000000003</v>
      </c>
    </row>
    <row r="12027" spans="1:3">
      <c r="A12027" s="573" t="s">
        <v>2153</v>
      </c>
      <c r="B12027" s="574">
        <v>111.447</v>
      </c>
      <c r="C12027" s="574">
        <v>525.64099999999996</v>
      </c>
    </row>
    <row r="12028" spans="1:3">
      <c r="A12028" s="573" t="s">
        <v>2153</v>
      </c>
      <c r="B12028" s="574">
        <v>139.53899999999999</v>
      </c>
      <c r="C12028" s="574">
        <v>538.46199999999999</v>
      </c>
    </row>
    <row r="12029" spans="1:3">
      <c r="A12029" s="573" t="s">
        <v>2153</v>
      </c>
      <c r="B12029" s="574">
        <v>167.17099999999999</v>
      </c>
      <c r="C12029" s="574">
        <v>576.923</v>
      </c>
    </row>
    <row r="12030" spans="1:3">
      <c r="A12030" s="573" t="s">
        <v>2153</v>
      </c>
      <c r="B12030" s="574">
        <v>196.64500000000001</v>
      </c>
      <c r="C12030" s="574">
        <v>589.74400000000003</v>
      </c>
    </row>
    <row r="12031" spans="1:3">
      <c r="A12031" s="573" t="s">
        <v>2153</v>
      </c>
      <c r="B12031" s="574">
        <v>224.27600000000001</v>
      </c>
      <c r="C12031" s="574">
        <v>602.56399999999996</v>
      </c>
    </row>
    <row r="12032" spans="1:3">
      <c r="A12032" s="573" t="s">
        <v>2153</v>
      </c>
      <c r="B12032" s="574">
        <v>250.98699999999999</v>
      </c>
      <c r="C12032" s="574">
        <v>641.02599999999995</v>
      </c>
    </row>
    <row r="12033" spans="1:3">
      <c r="A12033" s="573" t="s">
        <v>2153</v>
      </c>
      <c r="B12033" s="574">
        <v>279.07900000000001</v>
      </c>
      <c r="C12033" s="574">
        <v>641.02599999999995</v>
      </c>
    </row>
    <row r="12034" spans="1:3">
      <c r="A12034" s="573" t="s">
        <v>2153</v>
      </c>
      <c r="B12034" s="574">
        <v>307.63200000000001</v>
      </c>
      <c r="C12034" s="574">
        <v>641.02599999999995</v>
      </c>
    </row>
    <row r="12035" spans="1:3">
      <c r="A12035" s="573" t="s">
        <v>2153</v>
      </c>
      <c r="B12035" s="574">
        <v>328.81599999999997</v>
      </c>
      <c r="C12035" s="574">
        <v>653.846</v>
      </c>
    </row>
    <row r="12036" spans="1:3">
      <c r="A12036" s="571" t="s">
        <v>2154</v>
      </c>
      <c r="B12036" s="572">
        <v>0.59726999999999997</v>
      </c>
      <c r="C12036" s="572">
        <v>1.67866</v>
      </c>
    </row>
    <row r="12037" spans="1:3">
      <c r="A12037" s="571" t="s">
        <v>2154</v>
      </c>
      <c r="B12037" s="572">
        <v>5.9726999999999997</v>
      </c>
      <c r="C12037" s="572">
        <v>335.73099999999999</v>
      </c>
    </row>
    <row r="12038" spans="1:3">
      <c r="A12038" s="571" t="s">
        <v>2154</v>
      </c>
      <c r="B12038" s="572">
        <v>13.139900000000001</v>
      </c>
      <c r="C12038" s="572">
        <v>409.59199999999998</v>
      </c>
    </row>
    <row r="12039" spans="1:3">
      <c r="A12039" s="571" t="s">
        <v>2154</v>
      </c>
      <c r="B12039" s="572">
        <v>20.904399999999999</v>
      </c>
      <c r="C12039" s="572">
        <v>456.59499999999997</v>
      </c>
    </row>
    <row r="12040" spans="1:3">
      <c r="A12040" s="571" t="s">
        <v>2154</v>
      </c>
      <c r="B12040" s="572">
        <v>27.474399999999999</v>
      </c>
      <c r="C12040" s="572">
        <v>456.59499999999997</v>
      </c>
    </row>
    <row r="12041" spans="1:3">
      <c r="A12041" s="571" t="s">
        <v>2154</v>
      </c>
      <c r="B12041" s="572">
        <v>56.740600000000001</v>
      </c>
      <c r="C12041" s="572">
        <v>498.56099999999998</v>
      </c>
    </row>
    <row r="12042" spans="1:3">
      <c r="A12042" s="571" t="s">
        <v>2154</v>
      </c>
      <c r="B12042" s="572">
        <v>83.020499999999998</v>
      </c>
      <c r="C12042" s="572">
        <v>522.06200000000001</v>
      </c>
    </row>
    <row r="12043" spans="1:3">
      <c r="A12043" s="573" t="s">
        <v>2154</v>
      </c>
      <c r="B12043" s="574">
        <v>111.68899999999999</v>
      </c>
      <c r="C12043" s="574">
        <v>530.45600000000002</v>
      </c>
    </row>
    <row r="12044" spans="1:3">
      <c r="A12044" s="573" t="s">
        <v>2154</v>
      </c>
      <c r="B12044" s="574">
        <v>139.761</v>
      </c>
      <c r="C12044" s="574">
        <v>542.20600000000002</v>
      </c>
    </row>
    <row r="12045" spans="1:3">
      <c r="A12045" s="573" t="s">
        <v>2154</v>
      </c>
      <c r="B12045" s="574">
        <v>167.23500000000001</v>
      </c>
      <c r="C12045" s="574">
        <v>538.84900000000005</v>
      </c>
    </row>
    <row r="12046" spans="1:3">
      <c r="A12046" s="573" t="s">
        <v>2154</v>
      </c>
      <c r="B12046" s="574">
        <v>195.30699999999999</v>
      </c>
      <c r="C12046" s="574">
        <v>525.41999999999996</v>
      </c>
    </row>
    <row r="12047" spans="1:3">
      <c r="A12047" s="573" t="s">
        <v>2154</v>
      </c>
      <c r="B12047" s="574">
        <v>223.976</v>
      </c>
      <c r="C12047" s="574">
        <v>562.35</v>
      </c>
    </row>
    <row r="12048" spans="1:3">
      <c r="A12048" s="573" t="s">
        <v>2154</v>
      </c>
      <c r="B12048" s="574">
        <v>251.45099999999999</v>
      </c>
      <c r="C12048" s="574">
        <v>577.45799999999997</v>
      </c>
    </row>
    <row r="12049" spans="1:3">
      <c r="A12049" s="573" t="s">
        <v>2154</v>
      </c>
      <c r="B12049" s="574">
        <v>278.92500000000001</v>
      </c>
      <c r="C12049" s="574">
        <v>589.20899999999995</v>
      </c>
    </row>
    <row r="12050" spans="1:3">
      <c r="A12050" s="573" t="s">
        <v>2154</v>
      </c>
      <c r="B12050" s="574">
        <v>301.024</v>
      </c>
      <c r="C12050" s="574">
        <v>594.245</v>
      </c>
    </row>
    <row r="12051" spans="1:3">
      <c r="A12051" s="573" t="s">
        <v>2154</v>
      </c>
      <c r="B12051" s="574">
        <v>323.12299999999999</v>
      </c>
      <c r="C12051" s="574">
        <v>607.67399999999998</v>
      </c>
    </row>
    <row r="12052" spans="1:3">
      <c r="A12052" s="571" t="s">
        <v>2155</v>
      </c>
      <c r="B12052" s="572">
        <v>6.5158600000000001E-4</v>
      </c>
      <c r="C12052" s="572">
        <v>2.0133999999999999</v>
      </c>
    </row>
    <row r="12053" spans="1:3">
      <c r="A12053" s="571" t="s">
        <v>2155</v>
      </c>
      <c r="B12053" s="572">
        <v>1.56837</v>
      </c>
      <c r="C12053" s="572">
        <v>46.256100000000004</v>
      </c>
    </row>
    <row r="12054" spans="1:3">
      <c r="A12054" s="571" t="s">
        <v>2155</v>
      </c>
      <c r="B12054" s="572">
        <v>2.5516100000000002</v>
      </c>
      <c r="C12054" s="572">
        <v>84.478099999999998</v>
      </c>
    </row>
    <row r="12055" spans="1:3">
      <c r="A12055" s="571" t="s">
        <v>2155</v>
      </c>
      <c r="B12055" s="572">
        <v>3.5329000000000002</v>
      </c>
      <c r="C12055" s="572">
        <v>116.66</v>
      </c>
    </row>
    <row r="12056" spans="1:3">
      <c r="A12056" s="571" t="s">
        <v>2155</v>
      </c>
      <c r="B12056" s="572">
        <v>5.2915299999999998</v>
      </c>
      <c r="C12056" s="572">
        <v>150.82900000000001</v>
      </c>
    </row>
    <row r="12057" spans="1:3">
      <c r="A12057" s="571" t="s">
        <v>2155</v>
      </c>
      <c r="B12057" s="572">
        <v>6.8514299999999997</v>
      </c>
      <c r="C12057" s="572">
        <v>170.911</v>
      </c>
    </row>
    <row r="12058" spans="1:3">
      <c r="A12058" s="571" t="s">
        <v>2155</v>
      </c>
      <c r="B12058" s="572">
        <v>7.8301100000000003</v>
      </c>
      <c r="C12058" s="572">
        <v>195.03899999999999</v>
      </c>
    </row>
    <row r="12059" spans="1:3">
      <c r="A12059" s="571" t="s">
        <v>2155</v>
      </c>
      <c r="B12059" s="572">
        <v>8.4217499999999994</v>
      </c>
      <c r="C12059" s="572">
        <v>223.20699999999999</v>
      </c>
    </row>
    <row r="12060" spans="1:3">
      <c r="A12060" s="571" t="s">
        <v>2155</v>
      </c>
      <c r="B12060" s="572">
        <v>9.7887799999999991</v>
      </c>
      <c r="C12060" s="572">
        <v>247.32300000000001</v>
      </c>
    </row>
    <row r="12061" spans="1:3">
      <c r="A12061" s="571" t="s">
        <v>2155</v>
      </c>
      <c r="B12061" s="572">
        <v>11.349299999999999</v>
      </c>
      <c r="C12061" s="572">
        <v>269.41800000000001</v>
      </c>
    </row>
    <row r="12062" spans="1:3">
      <c r="A12062" s="571" t="s">
        <v>2155</v>
      </c>
      <c r="B12062" s="572">
        <v>13.106</v>
      </c>
      <c r="C12062" s="572">
        <v>297.54700000000003</v>
      </c>
    </row>
    <row r="12063" spans="1:3">
      <c r="A12063" s="571" t="s">
        <v>2155</v>
      </c>
      <c r="B12063" s="572">
        <v>15.2484</v>
      </c>
      <c r="C12063" s="572">
        <v>317.60899999999998</v>
      </c>
    </row>
    <row r="12064" spans="1:3">
      <c r="A12064" s="571" t="s">
        <v>2155</v>
      </c>
      <c r="B12064" s="572">
        <v>16.421900000000001</v>
      </c>
      <c r="C12064" s="572">
        <v>343.74400000000003</v>
      </c>
    </row>
    <row r="12065" spans="1:3">
      <c r="A12065" s="571" t="s">
        <v>2155</v>
      </c>
      <c r="B12065" s="572">
        <v>18.754000000000001</v>
      </c>
      <c r="C12065" s="572">
        <v>349.70600000000002</v>
      </c>
    </row>
    <row r="12066" spans="1:3">
      <c r="A12066" s="571" t="s">
        <v>2155</v>
      </c>
      <c r="B12066" s="572">
        <v>20.316500000000001</v>
      </c>
      <c r="C12066" s="572">
        <v>377.84199999999998</v>
      </c>
    </row>
    <row r="12067" spans="1:3">
      <c r="A12067" s="571" t="s">
        <v>2155</v>
      </c>
      <c r="B12067" s="572">
        <v>22.8459</v>
      </c>
      <c r="C12067" s="572">
        <v>393.86399999999998</v>
      </c>
    </row>
    <row r="12068" spans="1:3">
      <c r="A12068" s="571" t="s">
        <v>2155</v>
      </c>
      <c r="B12068" s="572">
        <v>25.761099999999999</v>
      </c>
      <c r="C12068" s="572">
        <v>401.82</v>
      </c>
    </row>
    <row r="12069" spans="1:3">
      <c r="A12069" s="571" t="s">
        <v>2155</v>
      </c>
      <c r="B12069" s="572">
        <v>28.875</v>
      </c>
      <c r="C12069" s="572">
        <v>423.863</v>
      </c>
    </row>
    <row r="12070" spans="1:3">
      <c r="A12070" s="571" t="s">
        <v>2155</v>
      </c>
      <c r="B12070" s="572">
        <v>31.6006</v>
      </c>
      <c r="C12070" s="572">
        <v>445.91899999999998</v>
      </c>
    </row>
    <row r="12071" spans="1:3">
      <c r="A12071" s="571" t="s">
        <v>2155</v>
      </c>
      <c r="B12071" s="572">
        <v>34.519100000000002</v>
      </c>
      <c r="C12071" s="572">
        <v>463.94200000000001</v>
      </c>
    </row>
    <row r="12072" spans="1:3">
      <c r="A12072" s="571" t="s">
        <v>2155</v>
      </c>
      <c r="B12072" s="572">
        <v>38.019399999999997</v>
      </c>
      <c r="C12072" s="572">
        <v>479.93200000000002</v>
      </c>
    </row>
    <row r="12073" spans="1:3">
      <c r="A12073" s="571" t="s">
        <v>2155</v>
      </c>
      <c r="B12073" s="572">
        <v>41.3262</v>
      </c>
      <c r="C12073" s="572">
        <v>497.94200000000001</v>
      </c>
    </row>
    <row r="12074" spans="1:3">
      <c r="A12074" s="571" t="s">
        <v>2155</v>
      </c>
      <c r="B12074" s="572">
        <v>45.212899999999998</v>
      </c>
      <c r="C12074" s="572">
        <v>507.87900000000002</v>
      </c>
    </row>
    <row r="12075" spans="1:3">
      <c r="A12075" s="571" t="s">
        <v>2155</v>
      </c>
      <c r="B12075" s="572">
        <v>48.902200000000001</v>
      </c>
      <c r="C12075" s="572">
        <v>507.755</v>
      </c>
    </row>
    <row r="12076" spans="1:3">
      <c r="A12076" s="48" t="s">
        <v>2156</v>
      </c>
      <c r="B12076" s="549">
        <v>-0.19417499999999999</v>
      </c>
      <c r="C12076" s="549">
        <v>0</v>
      </c>
    </row>
    <row r="12077" spans="1:3">
      <c r="A12077" s="571" t="s">
        <v>2156</v>
      </c>
      <c r="B12077" s="572">
        <v>0.97087400000000001</v>
      </c>
      <c r="C12077" s="572">
        <v>6.0606099999999996</v>
      </c>
    </row>
    <row r="12078" spans="1:3">
      <c r="A12078" s="571" t="s">
        <v>2156</v>
      </c>
      <c r="B12078" s="572">
        <v>2.13592</v>
      </c>
      <c r="C12078" s="572">
        <v>28.282800000000002</v>
      </c>
    </row>
    <row r="12079" spans="1:3">
      <c r="A12079" s="571" t="s">
        <v>2156</v>
      </c>
      <c r="B12079" s="572">
        <v>2.7184499999999998</v>
      </c>
      <c r="C12079" s="572">
        <v>2.0202</v>
      </c>
    </row>
    <row r="12080" spans="1:3">
      <c r="A12080" s="571" t="s">
        <v>2156</v>
      </c>
      <c r="B12080" s="572">
        <v>3.30097</v>
      </c>
      <c r="C12080" s="572">
        <v>46.464599999999997</v>
      </c>
    </row>
    <row r="12081" spans="1:3">
      <c r="A12081" s="571" t="s">
        <v>2156</v>
      </c>
      <c r="B12081" s="572">
        <v>4.8543700000000003</v>
      </c>
      <c r="C12081" s="572">
        <v>82.828299999999999</v>
      </c>
    </row>
    <row r="12082" spans="1:3">
      <c r="A12082" s="571" t="s">
        <v>2156</v>
      </c>
      <c r="B12082" s="572">
        <v>7.7669899999999998</v>
      </c>
      <c r="C12082" s="572">
        <v>117.172</v>
      </c>
    </row>
    <row r="12083" spans="1:3">
      <c r="A12083" s="571" t="s">
        <v>2156</v>
      </c>
      <c r="B12083" s="572">
        <v>10.4854</v>
      </c>
      <c r="C12083" s="572">
        <v>149.495</v>
      </c>
    </row>
    <row r="12084" spans="1:3">
      <c r="A12084" s="571" t="s">
        <v>2156</v>
      </c>
      <c r="B12084" s="572">
        <v>13.5922</v>
      </c>
      <c r="C12084" s="572">
        <v>187.87899999999999</v>
      </c>
    </row>
    <row r="12085" spans="1:3">
      <c r="A12085" s="571" t="s">
        <v>2156</v>
      </c>
      <c r="B12085" s="572">
        <v>15.3398</v>
      </c>
      <c r="C12085" s="572">
        <v>220.202</v>
      </c>
    </row>
    <row r="12086" spans="1:3">
      <c r="A12086" s="571" t="s">
        <v>2156</v>
      </c>
      <c r="B12086" s="572">
        <v>17.281600000000001</v>
      </c>
      <c r="C12086" s="572">
        <v>246.465</v>
      </c>
    </row>
    <row r="12087" spans="1:3">
      <c r="A12087" s="571" t="s">
        <v>2156</v>
      </c>
      <c r="B12087" s="572">
        <v>21.5534</v>
      </c>
      <c r="C12087" s="572">
        <v>252.52500000000001</v>
      </c>
    </row>
    <row r="12088" spans="1:3">
      <c r="A12088" s="571" t="s">
        <v>2156</v>
      </c>
      <c r="B12088" s="572">
        <v>24.854399999999998</v>
      </c>
      <c r="C12088" s="572">
        <v>282.82799999999997</v>
      </c>
    </row>
    <row r="12089" spans="1:3">
      <c r="A12089" s="571" t="s">
        <v>2156</v>
      </c>
      <c r="B12089" s="572">
        <v>27.961200000000002</v>
      </c>
      <c r="C12089" s="572">
        <v>303.02999999999997</v>
      </c>
    </row>
    <row r="12090" spans="1:3">
      <c r="A12090" s="571" t="s">
        <v>2156</v>
      </c>
      <c r="B12090" s="572">
        <v>31.2621</v>
      </c>
      <c r="C12090" s="572">
        <v>323.23200000000003</v>
      </c>
    </row>
    <row r="12091" spans="1:3">
      <c r="A12091" s="571" t="s">
        <v>2156</v>
      </c>
      <c r="B12091" s="572">
        <v>33.980600000000003</v>
      </c>
      <c r="C12091" s="572">
        <v>339.39400000000001</v>
      </c>
    </row>
    <row r="12092" spans="1:3">
      <c r="A12092" s="571" t="s">
        <v>2156</v>
      </c>
      <c r="B12092" s="572">
        <v>37.087400000000002</v>
      </c>
      <c r="C12092" s="572">
        <v>355.55599999999998</v>
      </c>
    </row>
    <row r="12093" spans="1:3">
      <c r="A12093" s="571" t="s">
        <v>2156</v>
      </c>
      <c r="B12093" s="572">
        <v>39.805799999999998</v>
      </c>
      <c r="C12093" s="572">
        <v>365.65699999999998</v>
      </c>
    </row>
    <row r="12094" spans="1:3">
      <c r="A12094" s="571" t="s">
        <v>2156</v>
      </c>
      <c r="B12094" s="572">
        <v>41.359200000000001</v>
      </c>
      <c r="C12094" s="572">
        <v>383.83800000000002</v>
      </c>
    </row>
    <row r="12095" spans="1:3">
      <c r="A12095" s="571" t="s">
        <v>2156</v>
      </c>
      <c r="B12095" s="572">
        <v>43.689300000000003</v>
      </c>
      <c r="C12095" s="572">
        <v>377.77800000000002</v>
      </c>
    </row>
    <row r="12096" spans="1:3">
      <c r="A12096" s="571" t="s">
        <v>2156</v>
      </c>
      <c r="B12096" s="572">
        <v>46.796100000000003</v>
      </c>
      <c r="C12096" s="572">
        <v>377.77800000000002</v>
      </c>
    </row>
    <row r="12097" spans="1:3">
      <c r="A12097" s="571" t="s">
        <v>2156</v>
      </c>
      <c r="B12097" s="572">
        <v>49.514600000000002</v>
      </c>
      <c r="C12097" s="572">
        <v>383.83800000000002</v>
      </c>
    </row>
    <row r="12098" spans="1:3">
      <c r="A12098" s="571" t="s">
        <v>2157</v>
      </c>
      <c r="B12098" s="572">
        <v>0.19417499999999999</v>
      </c>
      <c r="C12098" s="572">
        <v>0</v>
      </c>
    </row>
    <row r="12099" spans="1:3">
      <c r="A12099" s="571" t="s">
        <v>2157</v>
      </c>
      <c r="B12099" s="572">
        <v>1.1650499999999999</v>
      </c>
      <c r="C12099" s="572">
        <v>14.1892</v>
      </c>
    </row>
    <row r="12100" spans="1:3">
      <c r="A12100" s="571" t="s">
        <v>2157</v>
      </c>
      <c r="B12100" s="572">
        <v>1.9417500000000001</v>
      </c>
      <c r="C12100" s="572">
        <v>26.351400000000002</v>
      </c>
    </row>
    <row r="12101" spans="1:3">
      <c r="A12101" s="571" t="s">
        <v>2157</v>
      </c>
      <c r="B12101" s="572">
        <v>2.3300999999999998</v>
      </c>
      <c r="C12101" s="572">
        <v>6.08108</v>
      </c>
    </row>
    <row r="12102" spans="1:3">
      <c r="A12102" s="571" t="s">
        <v>2157</v>
      </c>
      <c r="B12102" s="572">
        <v>4.0776700000000003</v>
      </c>
      <c r="C12102" s="572">
        <v>42.567599999999999</v>
      </c>
    </row>
    <row r="12103" spans="1:3">
      <c r="A12103" s="571" t="s">
        <v>2157</v>
      </c>
      <c r="B12103" s="572">
        <v>5.43689</v>
      </c>
      <c r="C12103" s="572">
        <v>68.918899999999994</v>
      </c>
    </row>
    <row r="12104" spans="1:3">
      <c r="A12104" s="571" t="s">
        <v>2157</v>
      </c>
      <c r="B12104" s="572">
        <v>6.7961200000000002</v>
      </c>
      <c r="C12104" s="572">
        <v>93.243200000000002</v>
      </c>
    </row>
    <row r="12105" spans="1:3">
      <c r="A12105" s="571" t="s">
        <v>2157</v>
      </c>
      <c r="B12105" s="572">
        <v>9.7087400000000006</v>
      </c>
      <c r="C12105" s="572">
        <v>93.243200000000002</v>
      </c>
    </row>
    <row r="12106" spans="1:3">
      <c r="A12106" s="571" t="s">
        <v>2157</v>
      </c>
      <c r="B12106" s="572">
        <v>12.427199999999999</v>
      </c>
      <c r="C12106" s="572">
        <v>113.514</v>
      </c>
    </row>
    <row r="12107" spans="1:3">
      <c r="A12107" s="571" t="s">
        <v>2157</v>
      </c>
      <c r="B12107" s="572">
        <v>15.534000000000001</v>
      </c>
      <c r="C12107" s="572">
        <v>135.81100000000001</v>
      </c>
    </row>
    <row r="12108" spans="1:3">
      <c r="A12108" s="571" t="s">
        <v>2157</v>
      </c>
      <c r="B12108" s="572">
        <v>17.864100000000001</v>
      </c>
      <c r="C12108" s="572">
        <v>156.08099999999999</v>
      </c>
    </row>
    <row r="12109" spans="1:3">
      <c r="A12109" s="571" t="s">
        <v>2157</v>
      </c>
      <c r="B12109" s="572">
        <v>21.359200000000001</v>
      </c>
      <c r="C12109" s="572">
        <v>180.405</v>
      </c>
    </row>
    <row r="12110" spans="1:3">
      <c r="A12110" s="571" t="s">
        <v>2157</v>
      </c>
      <c r="B12110" s="572">
        <v>24.271799999999999</v>
      </c>
      <c r="C12110" s="572">
        <v>176.351</v>
      </c>
    </row>
    <row r="12111" spans="1:3">
      <c r="A12111" s="571" t="s">
        <v>2157</v>
      </c>
      <c r="B12111" s="572">
        <v>26.407800000000002</v>
      </c>
      <c r="C12111" s="572">
        <v>172.297</v>
      </c>
    </row>
    <row r="12112" spans="1:3">
      <c r="A12112" s="571" t="s">
        <v>2157</v>
      </c>
      <c r="B12112" s="572">
        <v>28.1553</v>
      </c>
      <c r="C12112" s="572">
        <v>192.56800000000001</v>
      </c>
    </row>
    <row r="12113" spans="1:3">
      <c r="A12113" s="571" t="s">
        <v>2157</v>
      </c>
      <c r="B12113" s="572">
        <v>29.514600000000002</v>
      </c>
      <c r="C12113" s="572">
        <v>204.73</v>
      </c>
    </row>
    <row r="12114" spans="1:3">
      <c r="A12114" s="571" t="s">
        <v>2157</v>
      </c>
      <c r="B12114" s="572">
        <v>32.232999999999997</v>
      </c>
      <c r="C12114" s="572">
        <v>198.649</v>
      </c>
    </row>
    <row r="12115" spans="1:3">
      <c r="A12115" s="571" t="s">
        <v>2157</v>
      </c>
      <c r="B12115" s="572">
        <v>35.339799999999997</v>
      </c>
      <c r="C12115" s="572">
        <v>202.703</v>
      </c>
    </row>
    <row r="12116" spans="1:3">
      <c r="A12116" s="571" t="s">
        <v>2157</v>
      </c>
      <c r="B12116" s="572">
        <v>38.058300000000003</v>
      </c>
      <c r="C12116" s="572">
        <v>218.91900000000001</v>
      </c>
    </row>
    <row r="12117" spans="1:3">
      <c r="A12117" s="571" t="s">
        <v>2157</v>
      </c>
      <c r="B12117" s="572">
        <v>41.359200000000001</v>
      </c>
      <c r="C12117" s="572">
        <v>231.08099999999999</v>
      </c>
    </row>
    <row r="12118" spans="1:3">
      <c r="A12118" s="571" t="s">
        <v>2157</v>
      </c>
      <c r="B12118" s="572">
        <v>43.883499999999998</v>
      </c>
      <c r="C12118" s="572">
        <v>247.297</v>
      </c>
    </row>
    <row r="12119" spans="1:3">
      <c r="A12119" s="571" t="s">
        <v>2157</v>
      </c>
      <c r="B12119" s="572">
        <v>47.1845</v>
      </c>
      <c r="C12119" s="572">
        <v>263.51400000000001</v>
      </c>
    </row>
    <row r="12120" spans="1:3">
      <c r="A12120" s="571" t="s">
        <v>2157</v>
      </c>
      <c r="B12120" s="572">
        <v>51.067999999999998</v>
      </c>
      <c r="C12120" s="572">
        <v>269.59500000000003</v>
      </c>
    </row>
    <row r="12121" spans="1:3">
      <c r="A12121" s="571" t="s">
        <v>2157</v>
      </c>
      <c r="B12121" s="572">
        <v>53.592199999999998</v>
      </c>
      <c r="C12121" s="572">
        <v>277.70299999999997</v>
      </c>
    </row>
    <row r="12122" spans="1:3">
      <c r="A12122" s="571" t="s">
        <v>2157</v>
      </c>
      <c r="B12122" s="572">
        <v>56.698999999999998</v>
      </c>
      <c r="C12122" s="572">
        <v>281.75700000000001</v>
      </c>
    </row>
    <row r="12123" spans="1:3">
      <c r="A12123" s="571" t="s">
        <v>2158</v>
      </c>
      <c r="B12123" s="572">
        <v>0.531165</v>
      </c>
      <c r="C12123" s="572">
        <v>1.7626200000000002E-2</v>
      </c>
    </row>
    <row r="12124" spans="1:3">
      <c r="A12124" s="571" t="s">
        <v>2158</v>
      </c>
      <c r="B12124" s="572">
        <v>2.9214099999999998</v>
      </c>
      <c r="C12124" s="572">
        <v>162.505</v>
      </c>
    </row>
    <row r="12125" spans="1:3">
      <c r="A12125" s="571" t="s">
        <v>2158</v>
      </c>
      <c r="B12125" s="572">
        <v>5.3116500000000002</v>
      </c>
      <c r="C12125" s="572">
        <v>250.23</v>
      </c>
    </row>
    <row r="12126" spans="1:3">
      <c r="A12126" s="571" t="s">
        <v>2158</v>
      </c>
      <c r="B12126" s="572">
        <v>6.3739800000000004</v>
      </c>
      <c r="C12126" s="572">
        <v>331.49599999999998</v>
      </c>
    </row>
    <row r="12127" spans="1:3">
      <c r="A12127" s="571" t="s">
        <v>2158</v>
      </c>
      <c r="B12127" s="572">
        <v>9.2953899999999994</v>
      </c>
      <c r="C12127" s="572">
        <v>292.37400000000002</v>
      </c>
    </row>
    <row r="12128" spans="1:3">
      <c r="A12128" s="571" t="s">
        <v>2158</v>
      </c>
      <c r="B12128" s="572">
        <v>10.8889</v>
      </c>
      <c r="C12128" s="572">
        <v>376.87400000000002</v>
      </c>
    </row>
    <row r="12129" spans="1:3">
      <c r="A12129" s="571" t="s">
        <v>2158</v>
      </c>
      <c r="B12129" s="572">
        <v>13.8103</v>
      </c>
      <c r="C12129" s="572">
        <v>484.09500000000003</v>
      </c>
    </row>
    <row r="12130" spans="1:3">
      <c r="A12130" s="571" t="s">
        <v>2158</v>
      </c>
      <c r="B12130" s="572">
        <v>17.262899999999998</v>
      </c>
      <c r="C12130" s="572">
        <v>464.46800000000002</v>
      </c>
    </row>
    <row r="12131" spans="1:3">
      <c r="A12131" s="571" t="s">
        <v>2158</v>
      </c>
      <c r="B12131" s="572">
        <v>20.715399999999999</v>
      </c>
      <c r="C12131" s="572">
        <v>552.15800000000002</v>
      </c>
    </row>
    <row r="12132" spans="1:3">
      <c r="A12132" s="571" t="s">
        <v>2158</v>
      </c>
      <c r="B12132" s="572">
        <v>24.699200000000001</v>
      </c>
      <c r="C12132" s="572">
        <v>539.01800000000003</v>
      </c>
    </row>
    <row r="12133" spans="1:3">
      <c r="A12133" s="571" t="s">
        <v>2158</v>
      </c>
      <c r="B12133" s="572">
        <v>27.6206</v>
      </c>
      <c r="C12133" s="572">
        <v>577.94500000000005</v>
      </c>
    </row>
    <row r="12134" spans="1:3">
      <c r="A12134" s="571" t="s">
        <v>2158</v>
      </c>
      <c r="B12134" s="572">
        <v>34.260199999999998</v>
      </c>
      <c r="C12134" s="572">
        <v>639.51400000000001</v>
      </c>
    </row>
    <row r="12135" spans="1:3">
      <c r="A12135" s="571" t="s">
        <v>2158</v>
      </c>
      <c r="B12135" s="572">
        <v>37.447200000000002</v>
      </c>
      <c r="C12135" s="572">
        <v>639.40800000000002</v>
      </c>
    </row>
    <row r="12136" spans="1:3">
      <c r="A12136" s="571" t="s">
        <v>2158</v>
      </c>
      <c r="B12136" s="572">
        <v>40.899700000000003</v>
      </c>
      <c r="C12136" s="572">
        <v>668.56100000000004</v>
      </c>
    </row>
    <row r="12137" spans="1:3">
      <c r="A12137" s="571" t="s">
        <v>2158</v>
      </c>
      <c r="B12137" s="572">
        <v>48.070500000000003</v>
      </c>
      <c r="C12137" s="572">
        <v>681.33199999999999</v>
      </c>
    </row>
    <row r="12138" spans="1:3">
      <c r="A12138" s="571" t="s">
        <v>2158</v>
      </c>
      <c r="B12138" s="572">
        <v>58.959299999999999</v>
      </c>
      <c r="C12138" s="572">
        <v>693.97799999999995</v>
      </c>
    </row>
    <row r="12139" spans="1:3">
      <c r="A12139" s="571" t="s">
        <v>2158</v>
      </c>
      <c r="B12139" s="572">
        <v>81.002700000000004</v>
      </c>
      <c r="C12139" s="572">
        <v>699.75099999999998</v>
      </c>
    </row>
    <row r="12140" spans="1:3">
      <c r="A12140" s="571" t="s">
        <v>2158</v>
      </c>
      <c r="B12140" s="572">
        <v>95.344200000000001</v>
      </c>
      <c r="C12140" s="572">
        <v>731.79499999999996</v>
      </c>
    </row>
    <row r="12141" spans="1:3">
      <c r="A12141" s="571" t="s">
        <v>2159</v>
      </c>
      <c r="B12141" s="572">
        <v>0</v>
      </c>
      <c r="C12141" s="572">
        <v>0</v>
      </c>
    </row>
    <row r="12142" spans="1:3">
      <c r="A12142" s="571" t="s">
        <v>2159</v>
      </c>
      <c r="B12142" s="572">
        <v>2.6558299999999999</v>
      </c>
      <c r="C12142" s="572">
        <v>29.1892</v>
      </c>
    </row>
    <row r="12143" spans="1:3">
      <c r="A12143" s="571" t="s">
        <v>2159</v>
      </c>
      <c r="B12143" s="572">
        <v>4.7804900000000004</v>
      </c>
      <c r="C12143" s="572">
        <v>48.648600000000002</v>
      </c>
    </row>
    <row r="12144" spans="1:3">
      <c r="A12144" s="571" t="s">
        <v>2159</v>
      </c>
      <c r="B12144" s="572">
        <v>6.9051499999999999</v>
      </c>
      <c r="C12144" s="572">
        <v>71.351399999999998</v>
      </c>
    </row>
    <row r="12145" spans="1:3">
      <c r="A12145" s="571" t="s">
        <v>2159</v>
      </c>
      <c r="B12145" s="572">
        <v>10.8889</v>
      </c>
      <c r="C12145" s="572">
        <v>103.78400000000001</v>
      </c>
    </row>
    <row r="12146" spans="1:3">
      <c r="A12146" s="571" t="s">
        <v>2159</v>
      </c>
      <c r="B12146" s="572">
        <v>14.075900000000001</v>
      </c>
      <c r="C12146" s="572">
        <v>175.13499999999999</v>
      </c>
    </row>
    <row r="12147" spans="1:3">
      <c r="A12147" s="571" t="s">
        <v>2159</v>
      </c>
      <c r="B12147" s="572">
        <v>16.997299999999999</v>
      </c>
      <c r="C12147" s="572">
        <v>149.18899999999999</v>
      </c>
    </row>
    <row r="12148" spans="1:3">
      <c r="A12148" s="571" t="s">
        <v>2159</v>
      </c>
      <c r="B12148" s="572">
        <v>20.981000000000002</v>
      </c>
      <c r="C12148" s="572">
        <v>188.108</v>
      </c>
    </row>
    <row r="12149" spans="1:3">
      <c r="A12149" s="571" t="s">
        <v>2159</v>
      </c>
      <c r="B12149" s="572">
        <v>22.8401</v>
      </c>
      <c r="C12149" s="572">
        <v>230.27</v>
      </c>
    </row>
    <row r="12150" spans="1:3">
      <c r="A12150" s="571" t="s">
        <v>2159</v>
      </c>
      <c r="B12150" s="572">
        <v>30.807600000000001</v>
      </c>
      <c r="C12150" s="572">
        <v>240</v>
      </c>
    </row>
    <row r="12151" spans="1:3">
      <c r="A12151" s="571" t="s">
        <v>2159</v>
      </c>
      <c r="B12151" s="572">
        <v>34.525700000000001</v>
      </c>
      <c r="C12151" s="572">
        <v>240</v>
      </c>
    </row>
    <row r="12152" spans="1:3">
      <c r="A12152" s="571" t="s">
        <v>2159</v>
      </c>
      <c r="B12152" s="572">
        <v>37.181600000000003</v>
      </c>
      <c r="C12152" s="572">
        <v>278.91899999999998</v>
      </c>
    </row>
    <row r="12153" spans="1:3">
      <c r="A12153" s="571" t="s">
        <v>2159</v>
      </c>
      <c r="B12153" s="572">
        <v>44.617899999999999</v>
      </c>
      <c r="C12153" s="572">
        <v>236.75700000000001</v>
      </c>
    </row>
    <row r="12154" spans="1:3">
      <c r="A12154" s="571" t="s">
        <v>2159</v>
      </c>
      <c r="B12154" s="572">
        <v>55.241199999999999</v>
      </c>
      <c r="C12154" s="572">
        <v>252.97300000000001</v>
      </c>
    </row>
    <row r="12155" spans="1:3">
      <c r="A12155" s="571" t="s">
        <v>2159</v>
      </c>
      <c r="B12155" s="572">
        <v>77.284599999999998</v>
      </c>
      <c r="C12155" s="572">
        <v>278.91899999999998</v>
      </c>
    </row>
    <row r="12156" spans="1:3">
      <c r="A12156" s="571" t="s">
        <v>2159</v>
      </c>
      <c r="B12156" s="572">
        <v>92.157200000000003</v>
      </c>
      <c r="C12156" s="572">
        <v>317.83800000000002</v>
      </c>
    </row>
    <row r="12157" spans="1:3">
      <c r="A12157" s="48" t="s">
        <v>2160</v>
      </c>
      <c r="B12157" s="549">
        <v>-0.26558300000000001</v>
      </c>
      <c r="C12157" s="549">
        <v>0</v>
      </c>
    </row>
    <row r="12158" spans="1:3">
      <c r="A12158" s="571" t="s">
        <v>2160</v>
      </c>
      <c r="B12158" s="572">
        <v>1.8590800000000001</v>
      </c>
      <c r="C12158" s="572">
        <v>97.561000000000007</v>
      </c>
    </row>
    <row r="12159" spans="1:3">
      <c r="A12159" s="571" t="s">
        <v>2160</v>
      </c>
      <c r="B12159" s="572">
        <v>3.4525700000000001</v>
      </c>
      <c r="C12159" s="572">
        <v>237.398</v>
      </c>
    </row>
    <row r="12160" spans="1:3">
      <c r="A12160" s="571" t="s">
        <v>2160</v>
      </c>
      <c r="B12160" s="572">
        <v>4.7804900000000004</v>
      </c>
      <c r="C12160" s="572">
        <v>276.423</v>
      </c>
    </row>
    <row r="12161" spans="1:3">
      <c r="A12161" s="571" t="s">
        <v>2160</v>
      </c>
      <c r="B12161" s="572">
        <v>6.9051499999999999</v>
      </c>
      <c r="C12161" s="572">
        <v>321.95100000000002</v>
      </c>
    </row>
    <row r="12162" spans="1:3">
      <c r="A12162" s="571" t="s">
        <v>2160</v>
      </c>
      <c r="B12162" s="572">
        <v>8.49864</v>
      </c>
      <c r="C12162" s="572">
        <v>341.46300000000002</v>
      </c>
    </row>
    <row r="12163" spans="1:3">
      <c r="A12163" s="571" t="s">
        <v>2160</v>
      </c>
      <c r="B12163" s="572">
        <v>11.154500000000001</v>
      </c>
      <c r="C12163" s="572">
        <v>403.25200000000001</v>
      </c>
    </row>
    <row r="12164" spans="1:3">
      <c r="A12164" s="571" t="s">
        <v>2160</v>
      </c>
      <c r="B12164" s="572">
        <v>13.544700000000001</v>
      </c>
      <c r="C12164" s="572">
        <v>523.577</v>
      </c>
    </row>
    <row r="12165" spans="1:3">
      <c r="A12165" s="571" t="s">
        <v>2160</v>
      </c>
      <c r="B12165" s="572">
        <v>16.7317</v>
      </c>
      <c r="C12165" s="572">
        <v>523.577</v>
      </c>
    </row>
    <row r="12166" spans="1:3">
      <c r="A12166" s="571" t="s">
        <v>2160</v>
      </c>
      <c r="B12166" s="572">
        <v>21.246600000000001</v>
      </c>
      <c r="C12166" s="572">
        <v>647.154</v>
      </c>
    </row>
    <row r="12167" spans="1:3">
      <c r="A12167" s="571" t="s">
        <v>2160</v>
      </c>
      <c r="B12167" s="572">
        <v>28.6829</v>
      </c>
      <c r="C12167" s="572">
        <v>666.66700000000003</v>
      </c>
    </row>
    <row r="12168" spans="1:3">
      <c r="A12168" s="571" t="s">
        <v>2160</v>
      </c>
      <c r="B12168" s="572">
        <v>39.571800000000003</v>
      </c>
      <c r="C12168" s="572">
        <v>718.69899999999996</v>
      </c>
    </row>
    <row r="12169" spans="1:3">
      <c r="A12169" s="571" t="s">
        <v>2160</v>
      </c>
      <c r="B12169" s="572">
        <v>45.149099999999997</v>
      </c>
      <c r="C12169" s="572">
        <v>708.94299999999998</v>
      </c>
    </row>
    <row r="12170" spans="1:3">
      <c r="A12170" s="571" t="s">
        <v>2160</v>
      </c>
      <c r="B12170" s="572">
        <v>48.601599999999998</v>
      </c>
      <c r="C12170" s="572">
        <v>734.95899999999995</v>
      </c>
    </row>
    <row r="12171" spans="1:3">
      <c r="A12171" s="571" t="s">
        <v>2160</v>
      </c>
      <c r="B12171" s="572">
        <v>52.319800000000001</v>
      </c>
      <c r="C12171" s="572">
        <v>764.22799999999995</v>
      </c>
    </row>
    <row r="12172" spans="1:3">
      <c r="A12172" s="571" t="s">
        <v>2160</v>
      </c>
      <c r="B12172" s="572">
        <v>59.224899999999998</v>
      </c>
      <c r="C12172" s="572">
        <v>770.73199999999997</v>
      </c>
    </row>
    <row r="12173" spans="1:3">
      <c r="A12173" s="571" t="s">
        <v>2160</v>
      </c>
      <c r="B12173" s="572">
        <v>69.582700000000003</v>
      </c>
      <c r="C12173" s="572">
        <v>813.00800000000004</v>
      </c>
    </row>
    <row r="12174" spans="1:3">
      <c r="A12174" s="571" t="s">
        <v>2160</v>
      </c>
      <c r="B12174" s="572">
        <v>91.891599999999997</v>
      </c>
      <c r="C12174" s="572">
        <v>826.01599999999996</v>
      </c>
    </row>
    <row r="12175" spans="1:3">
      <c r="A12175" s="571" t="s">
        <v>2161</v>
      </c>
      <c r="B12175" s="572">
        <v>0.26486500000000002</v>
      </c>
      <c r="C12175" s="572">
        <v>3.2432400000000001</v>
      </c>
    </row>
    <row r="12176" spans="1:3">
      <c r="A12176" s="571" t="s">
        <v>2161</v>
      </c>
      <c r="B12176" s="572">
        <v>3.71027</v>
      </c>
      <c r="C12176" s="572">
        <v>35.6492</v>
      </c>
    </row>
    <row r="12177" spans="1:3">
      <c r="A12177" s="571" t="s">
        <v>2161</v>
      </c>
      <c r="B12177" s="572">
        <v>5.2937000000000003</v>
      </c>
      <c r="C12177" s="572">
        <v>81.125100000000003</v>
      </c>
    </row>
    <row r="12178" spans="1:3">
      <c r="A12178" s="571" t="s">
        <v>2161</v>
      </c>
      <c r="B12178" s="572">
        <v>7.1419899999999998</v>
      </c>
      <c r="C12178" s="572">
        <v>129.84399999999999</v>
      </c>
    </row>
    <row r="12179" spans="1:3">
      <c r="A12179" s="571" t="s">
        <v>2161</v>
      </c>
      <c r="B12179" s="572">
        <v>9.2616300000000003</v>
      </c>
      <c r="C12179" s="572">
        <v>152.53800000000001</v>
      </c>
    </row>
    <row r="12180" spans="1:3">
      <c r="A12180" s="571" t="s">
        <v>2161</v>
      </c>
      <c r="B12180" s="572">
        <v>10.5816</v>
      </c>
      <c r="C12180" s="572">
        <v>188.267</v>
      </c>
    </row>
    <row r="12181" spans="1:3">
      <c r="A12181" s="571" t="s">
        <v>2161</v>
      </c>
      <c r="B12181" s="572">
        <v>13.7622</v>
      </c>
      <c r="C12181" s="572">
        <v>217.429</v>
      </c>
    </row>
    <row r="12182" spans="1:3">
      <c r="A12182" s="571" t="s">
        <v>2161</v>
      </c>
      <c r="B12182" s="572">
        <v>17.212599999999998</v>
      </c>
      <c r="C12182" s="572">
        <v>227.071</v>
      </c>
    </row>
    <row r="12183" spans="1:3">
      <c r="A12183" s="571" t="s">
        <v>2161</v>
      </c>
      <c r="B12183" s="572">
        <v>20.655100000000001</v>
      </c>
      <c r="C12183" s="572">
        <v>272.48500000000001</v>
      </c>
    </row>
    <row r="12184" spans="1:3">
      <c r="A12184" s="571" t="s">
        <v>2161</v>
      </c>
      <c r="B12184" s="572">
        <v>29.405000000000001</v>
      </c>
      <c r="C12184" s="572">
        <v>337.23599999999999</v>
      </c>
    </row>
    <row r="12185" spans="1:3">
      <c r="A12185" s="571" t="s">
        <v>2161</v>
      </c>
      <c r="B12185" s="572">
        <v>35.512</v>
      </c>
      <c r="C12185" s="572">
        <v>343.53699999999998</v>
      </c>
    </row>
    <row r="12186" spans="1:3">
      <c r="A12186" s="571" t="s">
        <v>2161</v>
      </c>
      <c r="B12186" s="572">
        <v>39.498699999999999</v>
      </c>
      <c r="C12186" s="572">
        <v>330.39699999999999</v>
      </c>
    </row>
    <row r="12187" spans="1:3">
      <c r="A12187" s="571" t="s">
        <v>2161</v>
      </c>
      <c r="B12187" s="572">
        <v>42.158900000000003</v>
      </c>
      <c r="C12187" s="572">
        <v>310.79599999999999</v>
      </c>
    </row>
    <row r="12188" spans="1:3">
      <c r="A12188" s="571" t="s">
        <v>2161</v>
      </c>
      <c r="B12188" s="572">
        <v>48.7834</v>
      </c>
      <c r="C12188" s="572">
        <v>378.86900000000003</v>
      </c>
    </row>
    <row r="12189" spans="1:3">
      <c r="A12189" s="571" t="s">
        <v>2161</v>
      </c>
      <c r="B12189" s="572">
        <v>60.192</v>
      </c>
      <c r="C12189" s="572">
        <v>430.52300000000002</v>
      </c>
    </row>
    <row r="12190" spans="1:3">
      <c r="A12190" s="571" t="s">
        <v>2161</v>
      </c>
      <c r="B12190" s="572">
        <v>82.500399999999999</v>
      </c>
      <c r="C12190" s="572">
        <v>433.03500000000003</v>
      </c>
    </row>
    <row r="12191" spans="1:3">
      <c r="A12191" s="571" t="s">
        <v>2161</v>
      </c>
      <c r="B12191" s="572">
        <v>97.100999999999999</v>
      </c>
      <c r="C12191" s="572">
        <v>461.81799999999998</v>
      </c>
    </row>
    <row r="12192" spans="1:3">
      <c r="A12192" s="571" t="s">
        <v>2162</v>
      </c>
      <c r="B12192" s="572">
        <v>0.369811</v>
      </c>
      <c r="C12192" s="572">
        <v>0</v>
      </c>
    </row>
    <row r="12193" spans="1:3">
      <c r="A12193" s="571" t="s">
        <v>2162</v>
      </c>
      <c r="B12193" s="572">
        <v>0.95514600000000005</v>
      </c>
      <c r="C12193" s="572">
        <v>264.935</v>
      </c>
    </row>
    <row r="12194" spans="1:3">
      <c r="A12194" s="571" t="s">
        <v>2162</v>
      </c>
      <c r="B12194" s="572">
        <v>2.0723799999999999</v>
      </c>
      <c r="C12194" s="572">
        <v>332.46800000000002</v>
      </c>
    </row>
    <row r="12195" spans="1:3">
      <c r="A12195" s="571" t="s">
        <v>2162</v>
      </c>
      <c r="B12195" s="572">
        <v>3.0041199999999999</v>
      </c>
      <c r="C12195" s="572">
        <v>394.80500000000001</v>
      </c>
    </row>
    <row r="12196" spans="1:3">
      <c r="A12196" s="571" t="s">
        <v>2162</v>
      </c>
      <c r="B12196" s="572">
        <v>5.0362799999999996</v>
      </c>
      <c r="C12196" s="572">
        <v>379.221</v>
      </c>
    </row>
    <row r="12197" spans="1:3">
      <c r="A12197" s="571" t="s">
        <v>2162</v>
      </c>
      <c r="B12197" s="572">
        <v>7.0798500000000004</v>
      </c>
      <c r="C12197" s="572">
        <v>462.33800000000002</v>
      </c>
    </row>
    <row r="12198" spans="1:3">
      <c r="A12198" s="571" t="s">
        <v>2162</v>
      </c>
      <c r="B12198" s="572">
        <v>8.9270999999999994</v>
      </c>
      <c r="C12198" s="572">
        <v>446.75299999999999</v>
      </c>
    </row>
    <row r="12199" spans="1:3">
      <c r="A12199" s="571" t="s">
        <v>2162</v>
      </c>
      <c r="B12199" s="572">
        <v>10.7822</v>
      </c>
      <c r="C12199" s="572">
        <v>498.70100000000002</v>
      </c>
    </row>
    <row r="12200" spans="1:3">
      <c r="A12200" s="571" t="s">
        <v>2162</v>
      </c>
      <c r="B12200" s="572">
        <v>13.9208</v>
      </c>
      <c r="C12200" s="572">
        <v>457.14299999999997</v>
      </c>
    </row>
    <row r="12201" spans="1:3">
      <c r="A12201" s="571" t="s">
        <v>2162</v>
      </c>
      <c r="B12201" s="572">
        <v>16.881</v>
      </c>
      <c r="C12201" s="572">
        <v>472.72699999999998</v>
      </c>
    </row>
    <row r="12202" spans="1:3">
      <c r="A12202" s="571" t="s">
        <v>2162</v>
      </c>
      <c r="B12202" s="572">
        <v>21.142299999999999</v>
      </c>
      <c r="C12202" s="572">
        <v>545.45500000000004</v>
      </c>
    </row>
    <row r="12203" spans="1:3">
      <c r="A12203" s="571" t="s">
        <v>2162</v>
      </c>
      <c r="B12203" s="572">
        <v>24.8446</v>
      </c>
      <c r="C12203" s="572">
        <v>581.81799999999998</v>
      </c>
    </row>
    <row r="12204" spans="1:3">
      <c r="A12204" s="571" t="s">
        <v>2162</v>
      </c>
      <c r="B12204" s="572">
        <v>28.3626</v>
      </c>
      <c r="C12204" s="572">
        <v>623.37699999999995</v>
      </c>
    </row>
    <row r="12205" spans="1:3">
      <c r="A12205" s="571" t="s">
        <v>2162</v>
      </c>
      <c r="B12205" s="572">
        <v>34.094099999999997</v>
      </c>
      <c r="C12205" s="572">
        <v>618.18200000000002</v>
      </c>
    </row>
    <row r="12206" spans="1:3">
      <c r="A12206" s="571" t="s">
        <v>2162</v>
      </c>
      <c r="B12206" s="572">
        <v>38.348700000000001</v>
      </c>
      <c r="C12206" s="572">
        <v>633.76599999999996</v>
      </c>
    </row>
    <row r="12207" spans="1:3">
      <c r="A12207" s="571" t="s">
        <v>2162</v>
      </c>
      <c r="B12207" s="572">
        <v>40.753100000000003</v>
      </c>
      <c r="C12207" s="572">
        <v>638.96100000000001</v>
      </c>
    </row>
    <row r="12208" spans="1:3">
      <c r="A12208" s="571" t="s">
        <v>2162</v>
      </c>
      <c r="B12208" s="572">
        <v>47.967399999999998</v>
      </c>
      <c r="C12208" s="572">
        <v>664.93499999999995</v>
      </c>
    </row>
    <row r="12209" spans="1:3">
      <c r="A12209" s="571" t="s">
        <v>2162</v>
      </c>
      <c r="B12209" s="572">
        <v>59.0642</v>
      </c>
      <c r="C12209" s="572">
        <v>685.71400000000006</v>
      </c>
    </row>
    <row r="12210" spans="1:3">
      <c r="A12210" s="571" t="s">
        <v>2162</v>
      </c>
      <c r="B12210" s="572">
        <v>81.0655</v>
      </c>
      <c r="C12210" s="572">
        <v>664.93499999999995</v>
      </c>
    </row>
    <row r="12211" spans="1:3">
      <c r="A12211" s="571" t="s">
        <v>2162</v>
      </c>
      <c r="B12211" s="572">
        <v>96.231399999999994</v>
      </c>
      <c r="C12211" s="572">
        <v>696.10400000000004</v>
      </c>
    </row>
    <row r="12212" spans="1:3">
      <c r="A12212" s="48" t="s">
        <v>2163</v>
      </c>
      <c r="B12212" s="549">
        <v>-0.184307</v>
      </c>
      <c r="C12212" s="549">
        <v>5.1779900000000003</v>
      </c>
    </row>
    <row r="12213" spans="1:3">
      <c r="A12213" s="571" t="s">
        <v>2163</v>
      </c>
      <c r="B12213" s="572">
        <v>1.11063</v>
      </c>
      <c r="C12213" s="572">
        <v>10.356</v>
      </c>
    </row>
    <row r="12214" spans="1:3">
      <c r="A12214" s="571" t="s">
        <v>2163</v>
      </c>
      <c r="B12214" s="572">
        <v>2.0495199999999998</v>
      </c>
      <c r="C12214" s="572">
        <v>134.62799999999999</v>
      </c>
    </row>
    <row r="12215" spans="1:3">
      <c r="A12215" s="571" t="s">
        <v>2163</v>
      </c>
      <c r="B12215" s="572">
        <v>3.1631399999999998</v>
      </c>
      <c r="C12215" s="572">
        <v>170.874</v>
      </c>
    </row>
    <row r="12216" spans="1:3">
      <c r="A12216" s="571" t="s">
        <v>2163</v>
      </c>
      <c r="B12216" s="572">
        <v>4.8368700000000002</v>
      </c>
      <c r="C12216" s="572">
        <v>253.72200000000001</v>
      </c>
    </row>
    <row r="12217" spans="1:3">
      <c r="A12217" s="571" t="s">
        <v>2163</v>
      </c>
      <c r="B12217" s="572">
        <v>7.0659099999999997</v>
      </c>
      <c r="C12217" s="572">
        <v>341.74799999999999</v>
      </c>
    </row>
    <row r="12218" spans="1:3">
      <c r="A12218" s="571" t="s">
        <v>2163</v>
      </c>
      <c r="B12218" s="572">
        <v>8.9095800000000001</v>
      </c>
      <c r="C12218" s="572">
        <v>295.14600000000002</v>
      </c>
    </row>
    <row r="12219" spans="1:3">
      <c r="A12219" s="571" t="s">
        <v>2163</v>
      </c>
      <c r="B12219" s="572">
        <v>10.769399999999999</v>
      </c>
      <c r="C12219" s="572">
        <v>388.35</v>
      </c>
    </row>
    <row r="12220" spans="1:3">
      <c r="A12220" s="571" t="s">
        <v>2163</v>
      </c>
      <c r="B12220" s="572">
        <v>13.740500000000001</v>
      </c>
      <c r="C12220" s="572">
        <v>497.08699999999999</v>
      </c>
    </row>
    <row r="12221" spans="1:3">
      <c r="A12221" s="571" t="s">
        <v>2163</v>
      </c>
      <c r="B12221" s="572">
        <v>16.881499999999999</v>
      </c>
      <c r="C12221" s="572">
        <v>476.375</v>
      </c>
    </row>
    <row r="12222" spans="1:3">
      <c r="A12222" s="571" t="s">
        <v>2163</v>
      </c>
      <c r="B12222" s="572">
        <v>21.328800000000001</v>
      </c>
      <c r="C12222" s="572">
        <v>559.22299999999996</v>
      </c>
    </row>
    <row r="12223" spans="1:3">
      <c r="A12223" s="571" t="s">
        <v>2163</v>
      </c>
      <c r="B12223" s="572">
        <v>24.840800000000002</v>
      </c>
      <c r="C12223" s="572">
        <v>548.86699999999996</v>
      </c>
    </row>
    <row r="12224" spans="1:3">
      <c r="A12224" s="571" t="s">
        <v>2163</v>
      </c>
      <c r="B12224" s="572">
        <v>28.172699999999999</v>
      </c>
      <c r="C12224" s="572">
        <v>579.93499999999995</v>
      </c>
    </row>
    <row r="12225" spans="1:3">
      <c r="A12225" s="571" t="s">
        <v>2163</v>
      </c>
      <c r="B12225" s="572">
        <v>34.096800000000002</v>
      </c>
      <c r="C12225" s="572">
        <v>642.07100000000003</v>
      </c>
    </row>
    <row r="12226" spans="1:3">
      <c r="A12226" s="571" t="s">
        <v>2163</v>
      </c>
      <c r="B12226" s="572">
        <v>37.981099999999998</v>
      </c>
      <c r="C12226" s="572">
        <v>652.42700000000002</v>
      </c>
    </row>
    <row r="12227" spans="1:3">
      <c r="A12227" s="571" t="s">
        <v>2163</v>
      </c>
      <c r="B12227" s="572">
        <v>41.128</v>
      </c>
      <c r="C12227" s="572">
        <v>683.495</v>
      </c>
    </row>
    <row r="12228" spans="1:3">
      <c r="A12228" s="571" t="s">
        <v>2163</v>
      </c>
      <c r="B12228" s="572">
        <v>47.970799999999997</v>
      </c>
      <c r="C12228" s="572">
        <v>693.851</v>
      </c>
    </row>
    <row r="12229" spans="1:3">
      <c r="A12229" s="571" t="s">
        <v>2163</v>
      </c>
      <c r="B12229" s="572">
        <v>59.251199999999997</v>
      </c>
      <c r="C12229" s="572">
        <v>704.20699999999999</v>
      </c>
    </row>
    <row r="12230" spans="1:3">
      <c r="A12230" s="571" t="s">
        <v>2163</v>
      </c>
      <c r="B12230" s="572">
        <v>80.886399999999995</v>
      </c>
      <c r="C12230" s="572">
        <v>714.56299999999999</v>
      </c>
    </row>
    <row r="12231" spans="1:3">
      <c r="A12231" s="571" t="s">
        <v>2163</v>
      </c>
      <c r="B12231" s="572">
        <v>96.051599999999993</v>
      </c>
      <c r="C12231" s="572">
        <v>740.45299999999997</v>
      </c>
    </row>
    <row r="12232" spans="1:3">
      <c r="A12232" s="571" t="s">
        <v>2164</v>
      </c>
      <c r="B12232" s="572">
        <v>0</v>
      </c>
      <c r="C12232" s="572">
        <v>1.79372</v>
      </c>
    </row>
    <row r="12233" spans="1:3">
      <c r="A12233" s="571" t="s">
        <v>2164</v>
      </c>
      <c r="B12233" s="572">
        <v>0.13134333300000001</v>
      </c>
      <c r="C12233" s="572">
        <v>1.79372</v>
      </c>
    </row>
    <row r="12234" spans="1:3">
      <c r="A12234" s="571" t="s">
        <v>2164</v>
      </c>
      <c r="B12234" s="572">
        <v>0.197015</v>
      </c>
      <c r="C12234" s="572">
        <v>35.874400000000001</v>
      </c>
    </row>
    <row r="12235" spans="1:3">
      <c r="A12235" s="571" t="s">
        <v>2164</v>
      </c>
      <c r="B12235" s="572">
        <v>0.24477625</v>
      </c>
      <c r="C12235" s="572">
        <v>44.843000000000004</v>
      </c>
    </row>
    <row r="12236" spans="1:3">
      <c r="A12236" s="571" t="s">
        <v>2164</v>
      </c>
      <c r="B12236" s="572">
        <v>0.38208958300000001</v>
      </c>
      <c r="C12236" s="572">
        <v>78.9238</v>
      </c>
    </row>
    <row r="12237" spans="1:3">
      <c r="A12237" s="571" t="s">
        <v>2164</v>
      </c>
      <c r="B12237" s="572">
        <v>0.82984999999999998</v>
      </c>
      <c r="C12237" s="572">
        <v>89.686099999999996</v>
      </c>
    </row>
    <row r="12238" spans="1:3">
      <c r="A12238" s="571" t="s">
        <v>2164</v>
      </c>
      <c r="B12238" s="572">
        <v>0.90746249999999995</v>
      </c>
      <c r="C12238" s="572">
        <v>91.479799999999997</v>
      </c>
    </row>
    <row r="12239" spans="1:3">
      <c r="A12239" s="571" t="s">
        <v>2164</v>
      </c>
      <c r="B12239" s="572">
        <v>1.002983333</v>
      </c>
      <c r="C12239" s="572">
        <v>96.861000000000004</v>
      </c>
    </row>
    <row r="12240" spans="1:3">
      <c r="A12240" s="571" t="s">
        <v>2164</v>
      </c>
      <c r="B12240" s="572">
        <v>1.414925</v>
      </c>
      <c r="C12240" s="572">
        <v>80.717500000000001</v>
      </c>
    </row>
    <row r="12241" spans="1:3">
      <c r="A12241" s="571" t="s">
        <v>2164</v>
      </c>
      <c r="B12241" s="572">
        <v>1.9940291670000001</v>
      </c>
      <c r="C12241" s="572">
        <v>105.83</v>
      </c>
    </row>
    <row r="12242" spans="1:3">
      <c r="A12242" s="571" t="s">
        <v>2165</v>
      </c>
      <c r="B12242" s="572">
        <v>5.9880419999999998E-3</v>
      </c>
      <c r="C12242" s="572">
        <v>1.7990900000000001</v>
      </c>
    </row>
    <row r="12243" spans="1:3">
      <c r="A12243" s="571" t="s">
        <v>2165</v>
      </c>
      <c r="B12243" s="572">
        <v>0.18562875000000001</v>
      </c>
      <c r="C12243" s="572">
        <v>0.16648299999999999</v>
      </c>
    </row>
    <row r="12244" spans="1:3">
      <c r="A12244" s="571" t="s">
        <v>2165</v>
      </c>
      <c r="B12244" s="572">
        <v>0.26347291699999997</v>
      </c>
      <c r="C12244" s="572">
        <v>14.1135</v>
      </c>
    </row>
    <row r="12245" spans="1:3">
      <c r="A12245" s="571" t="s">
        <v>2165</v>
      </c>
      <c r="B12245" s="572">
        <v>0.50898333299999998</v>
      </c>
      <c r="C12245" s="572">
        <v>12.099600000000001</v>
      </c>
    </row>
    <row r="12246" spans="1:3">
      <c r="A12246" s="571" t="s">
        <v>2165</v>
      </c>
      <c r="B12246" s="572">
        <v>1</v>
      </c>
      <c r="C12246" s="572">
        <v>29.596399999999999</v>
      </c>
    </row>
    <row r="12247" spans="1:3">
      <c r="A12247" s="571" t="s">
        <v>2165</v>
      </c>
      <c r="B12247" s="572">
        <v>2.0059874999999998</v>
      </c>
      <c r="C12247" s="572">
        <v>46.642099999999999</v>
      </c>
    </row>
    <row r="12248" spans="1:3">
      <c r="A12248" s="48" t="s">
        <v>2166</v>
      </c>
      <c r="B12248" s="549">
        <v>-6.060625E-3</v>
      </c>
      <c r="C12248" s="549">
        <v>3.5606100000000001</v>
      </c>
    </row>
    <row r="12249" spans="1:3">
      <c r="A12249" s="571" t="s">
        <v>2166</v>
      </c>
      <c r="B12249" s="572">
        <v>0.17575750000000001</v>
      </c>
      <c r="C12249" s="572">
        <v>7.4567100000000002</v>
      </c>
    </row>
    <row r="12250" spans="1:3">
      <c r="A12250" s="571" t="s">
        <v>2166</v>
      </c>
      <c r="B12250" s="572">
        <v>0.230302917</v>
      </c>
      <c r="C12250" s="572">
        <v>28.982700000000001</v>
      </c>
    </row>
    <row r="12251" spans="1:3">
      <c r="A12251" s="571" t="s">
        <v>2166</v>
      </c>
      <c r="B12251" s="572">
        <v>0.23636375000000001</v>
      </c>
      <c r="C12251" s="572">
        <v>34.3506</v>
      </c>
    </row>
    <row r="12252" spans="1:3">
      <c r="A12252" s="571" t="s">
        <v>2166</v>
      </c>
      <c r="B12252" s="572">
        <v>0.37575750000000002</v>
      </c>
      <c r="C12252" s="572">
        <v>68.528099999999995</v>
      </c>
    </row>
    <row r="12253" spans="1:3">
      <c r="A12253" s="571" t="s">
        <v>2166</v>
      </c>
      <c r="B12253" s="572">
        <v>0.49090833299999997</v>
      </c>
      <c r="C12253" s="572">
        <v>79.448099999999997</v>
      </c>
    </row>
    <row r="12254" spans="1:3">
      <c r="A12254" s="571" t="s">
        <v>2166</v>
      </c>
      <c r="B12254" s="572">
        <v>0.87878750000000005</v>
      </c>
      <c r="C12254" s="572">
        <v>35.497799999999998</v>
      </c>
    </row>
    <row r="12255" spans="1:3">
      <c r="A12255" s="571" t="s">
        <v>2166</v>
      </c>
      <c r="B12255" s="572">
        <v>0.987879167</v>
      </c>
      <c r="C12255" s="572">
        <v>24.978400000000001</v>
      </c>
    </row>
    <row r="12256" spans="1:3">
      <c r="A12256" s="571" t="s">
        <v>2166</v>
      </c>
      <c r="B12256" s="572">
        <v>2.0060625000000001</v>
      </c>
      <c r="C12256" s="572">
        <v>1.0822500000000001E-2</v>
      </c>
    </row>
    <row r="12257" spans="1:3">
      <c r="A12257" s="571" t="s">
        <v>2167</v>
      </c>
      <c r="B12257" s="572">
        <v>6.042375E-3</v>
      </c>
      <c r="C12257" s="572">
        <v>5.4435799999999999E-3</v>
      </c>
    </row>
    <row r="12258" spans="1:3">
      <c r="A12258" s="571" t="s">
        <v>2167</v>
      </c>
      <c r="B12258" s="572">
        <v>0.18731375</v>
      </c>
      <c r="C12258" s="572">
        <v>0.16875100000000001</v>
      </c>
    </row>
    <row r="12259" spans="1:3">
      <c r="A12259" s="571" t="s">
        <v>2167</v>
      </c>
      <c r="B12259" s="572">
        <v>0.247927917</v>
      </c>
      <c r="C12259" s="572">
        <v>12.836</v>
      </c>
    </row>
    <row r="12260" spans="1:3">
      <c r="A12260" s="571" t="s">
        <v>2167</v>
      </c>
      <c r="B12260" s="572">
        <v>0.27190708299999999</v>
      </c>
      <c r="C12260" s="572">
        <v>0.24496100000000001</v>
      </c>
    </row>
    <row r="12261" spans="1:3">
      <c r="A12261" s="571" t="s">
        <v>2167</v>
      </c>
      <c r="B12261" s="572">
        <v>0.35636416700000001</v>
      </c>
      <c r="C12261" s="572">
        <v>8.6879600000000003</v>
      </c>
    </row>
    <row r="12262" spans="1:3">
      <c r="A12262" s="571" t="s">
        <v>2167</v>
      </c>
      <c r="B12262" s="572">
        <v>0.87668749999999995</v>
      </c>
      <c r="C12262" s="572">
        <v>36.825800000000001</v>
      </c>
    </row>
    <row r="12263" spans="1:3">
      <c r="A12263" s="571" t="s">
        <v>2167</v>
      </c>
      <c r="B12263" s="572">
        <v>0.98515416700000003</v>
      </c>
      <c r="C12263" s="572">
        <v>17.1037</v>
      </c>
    </row>
    <row r="12264" spans="1:3">
      <c r="A12264" s="571" t="s">
        <v>2167</v>
      </c>
      <c r="B12264" s="572">
        <v>1.274970833</v>
      </c>
      <c r="C12264" s="572">
        <v>2.9504199999999998</v>
      </c>
    </row>
    <row r="12265" spans="1:3">
      <c r="A12265" s="571" t="s">
        <v>2167</v>
      </c>
      <c r="B12265" s="572">
        <v>1.9999708329999999</v>
      </c>
      <c r="C12265" s="572">
        <v>1.80183</v>
      </c>
    </row>
    <row r="12266" spans="1:3">
      <c r="A12266" s="571" t="s">
        <v>2168</v>
      </c>
      <c r="B12266" s="572">
        <v>6.0060000000000001E-3</v>
      </c>
      <c r="C12266" s="572">
        <v>0</v>
      </c>
    </row>
    <row r="12267" spans="1:3">
      <c r="A12267" s="571" t="s">
        <v>2168</v>
      </c>
      <c r="B12267" s="572">
        <v>0.114114167</v>
      </c>
      <c r="C12267" s="572">
        <v>0</v>
      </c>
    </row>
    <row r="12268" spans="1:3">
      <c r="A12268" s="571" t="s">
        <v>2168</v>
      </c>
      <c r="B12268" s="572">
        <v>0.16161875000000001</v>
      </c>
      <c r="C12268" s="572">
        <v>36.199100000000001</v>
      </c>
    </row>
    <row r="12269" spans="1:3">
      <c r="A12269" s="571" t="s">
        <v>2168</v>
      </c>
      <c r="B12269" s="572">
        <v>0.25132833300000001</v>
      </c>
      <c r="C12269" s="572">
        <v>61.538499999999999</v>
      </c>
    </row>
    <row r="12270" spans="1:3">
      <c r="A12270" s="571" t="s">
        <v>2168</v>
      </c>
      <c r="B12270" s="572">
        <v>0.50711249999999997</v>
      </c>
      <c r="C12270" s="572">
        <v>226.244</v>
      </c>
    </row>
    <row r="12271" spans="1:3">
      <c r="A12271" s="571" t="s">
        <v>2168</v>
      </c>
      <c r="B12271" s="572">
        <v>0.75278750000000005</v>
      </c>
      <c r="C12271" s="572">
        <v>264.25299999999999</v>
      </c>
    </row>
    <row r="12272" spans="1:3">
      <c r="A12272" s="571" t="s">
        <v>2168</v>
      </c>
      <c r="B12272" s="572">
        <v>1.0049333330000001</v>
      </c>
      <c r="C12272" s="572">
        <v>271.49299999999999</v>
      </c>
    </row>
    <row r="12273" spans="1:3">
      <c r="A12273" s="571" t="s">
        <v>2168</v>
      </c>
      <c r="B12273" s="572">
        <v>1.5086208329999999</v>
      </c>
      <c r="C12273" s="572">
        <v>325.79199999999997</v>
      </c>
    </row>
    <row r="12274" spans="1:3">
      <c r="A12274" s="571" t="s">
        <v>2168</v>
      </c>
      <c r="B12274" s="572">
        <v>2.0004083330000002</v>
      </c>
      <c r="C12274" s="572">
        <v>372.851</v>
      </c>
    </row>
    <row r="12275" spans="1:3">
      <c r="A12275" s="571" t="s">
        <v>2169</v>
      </c>
      <c r="B12275" s="572">
        <v>0</v>
      </c>
      <c r="C12275" s="572">
        <v>1.8018000000000001</v>
      </c>
    </row>
    <row r="12276" spans="1:3">
      <c r="A12276" s="571" t="s">
        <v>2169</v>
      </c>
      <c r="B12276" s="572">
        <v>0.15615625</v>
      </c>
      <c r="C12276" s="572">
        <v>0.140681</v>
      </c>
    </row>
    <row r="12277" spans="1:3">
      <c r="A12277" s="571" t="s">
        <v>2169</v>
      </c>
      <c r="B12277" s="572">
        <v>0.18018000000000001</v>
      </c>
      <c r="C12277" s="572">
        <v>19.982099999999999</v>
      </c>
    </row>
    <row r="12278" spans="1:3">
      <c r="A12278" s="571" t="s">
        <v>2169</v>
      </c>
      <c r="B12278" s="572">
        <v>0.24024041700000001</v>
      </c>
      <c r="C12278" s="572">
        <v>32.648899999999998</v>
      </c>
    </row>
    <row r="12279" spans="1:3">
      <c r="A12279" s="571" t="s">
        <v>2169</v>
      </c>
      <c r="B12279" s="572">
        <v>0.37837833300000001</v>
      </c>
      <c r="C12279" s="572">
        <v>33.8934</v>
      </c>
    </row>
    <row r="12280" spans="1:3">
      <c r="A12280" s="571" t="s">
        <v>2169</v>
      </c>
      <c r="B12280" s="572">
        <v>0.4985</v>
      </c>
      <c r="C12280" s="572">
        <v>28.3797</v>
      </c>
    </row>
    <row r="12281" spans="1:3">
      <c r="A12281" s="571" t="s">
        <v>2169</v>
      </c>
      <c r="B12281" s="572">
        <v>0.82282083299999997</v>
      </c>
      <c r="C12281" s="572">
        <v>2.86232</v>
      </c>
    </row>
    <row r="12282" spans="1:3">
      <c r="A12282" s="571" t="s">
        <v>2169</v>
      </c>
      <c r="B12282" s="572">
        <v>0.86486666700000003</v>
      </c>
      <c r="C12282" s="572">
        <v>7.9863600000000003</v>
      </c>
    </row>
    <row r="12283" spans="1:3">
      <c r="A12283" s="571" t="s">
        <v>2169</v>
      </c>
      <c r="B12283" s="572">
        <v>1.0030041670000001</v>
      </c>
      <c r="C12283" s="572">
        <v>2.7054100000000001</v>
      </c>
    </row>
    <row r="12284" spans="1:3">
      <c r="A12284" s="571" t="s">
        <v>2169</v>
      </c>
      <c r="B12284" s="572">
        <v>1.5075083330000001</v>
      </c>
      <c r="C12284" s="572">
        <v>14.8581</v>
      </c>
    </row>
    <row r="12285" spans="1:3">
      <c r="A12285" s="571" t="s">
        <v>2169</v>
      </c>
      <c r="B12285" s="572">
        <v>2</v>
      </c>
      <c r="C12285" s="572">
        <v>79.279300000000006</v>
      </c>
    </row>
    <row r="12286" spans="1:3">
      <c r="A12286" s="571" t="s">
        <v>2170</v>
      </c>
      <c r="B12286" s="572">
        <v>5.9880419999999998E-3</v>
      </c>
      <c r="C12286" s="572">
        <v>5.3946200000000001E-3</v>
      </c>
    </row>
    <row r="12287" spans="1:3">
      <c r="A12287" s="571" t="s">
        <v>2170</v>
      </c>
      <c r="B12287" s="572">
        <v>0.13772458300000001</v>
      </c>
      <c r="C12287" s="572">
        <v>1.6777299999999999</v>
      </c>
    </row>
    <row r="12288" spans="1:3">
      <c r="A12288" s="571" t="s">
        <v>2170</v>
      </c>
      <c r="B12288" s="572">
        <v>0.16766458300000001</v>
      </c>
      <c r="C12288" s="572">
        <v>5.5564499999999999</v>
      </c>
    </row>
    <row r="12289" spans="1:3">
      <c r="A12289" s="571" t="s">
        <v>2170</v>
      </c>
      <c r="B12289" s="572">
        <v>0.25149708300000001</v>
      </c>
      <c r="C12289" s="572">
        <v>30.857199999999999</v>
      </c>
    </row>
    <row r="12290" spans="1:3">
      <c r="A12290" s="571" t="s">
        <v>2170</v>
      </c>
      <c r="B12290" s="572">
        <v>0.37724541700000003</v>
      </c>
      <c r="C12290" s="572">
        <v>68.808300000000003</v>
      </c>
    </row>
    <row r="12291" spans="1:3">
      <c r="A12291" s="571" t="s">
        <v>2170</v>
      </c>
      <c r="B12291" s="572">
        <v>0.50299583299999995</v>
      </c>
      <c r="C12291" s="572">
        <v>108.56100000000001</v>
      </c>
    </row>
    <row r="12292" spans="1:3">
      <c r="A12292" s="571" t="s">
        <v>2170</v>
      </c>
      <c r="B12292" s="572">
        <v>0.57484999999999997</v>
      </c>
      <c r="C12292" s="572">
        <v>115.833</v>
      </c>
    </row>
    <row r="12293" spans="1:3">
      <c r="A12293" s="571" t="s">
        <v>2170</v>
      </c>
      <c r="B12293" s="572">
        <v>0.94610833299999997</v>
      </c>
      <c r="C12293" s="572">
        <v>146.798</v>
      </c>
    </row>
    <row r="12294" spans="1:3">
      <c r="A12294" s="571" t="s">
        <v>2170</v>
      </c>
      <c r="B12294" s="572">
        <v>0.99401249999999997</v>
      </c>
      <c r="C12294" s="572">
        <v>157.65199999999999</v>
      </c>
    </row>
    <row r="12295" spans="1:3">
      <c r="A12295" s="571" t="s">
        <v>2170</v>
      </c>
      <c r="B12295" s="572">
        <v>1.9940125</v>
      </c>
      <c r="C12295" s="572">
        <v>264.85899999999998</v>
      </c>
    </row>
    <row r="12296" spans="1:3">
      <c r="A12296" s="571" t="s">
        <v>2171</v>
      </c>
      <c r="B12296" s="572">
        <v>0.142846</v>
      </c>
      <c r="C12296" s="572">
        <v>3.6036000000000001</v>
      </c>
    </row>
    <row r="12297" spans="1:3">
      <c r="A12297" s="571" t="s">
        <v>2171</v>
      </c>
      <c r="B12297" s="572">
        <v>5.18919</v>
      </c>
      <c r="C12297" s="572">
        <v>1.1399999999999999E-13</v>
      </c>
    </row>
    <row r="12298" spans="1:3">
      <c r="A12298" s="571" t="s">
        <v>2171</v>
      </c>
      <c r="B12298" s="572">
        <v>6.3358499999999998</v>
      </c>
      <c r="C12298" s="572">
        <v>18.018000000000001</v>
      </c>
    </row>
    <row r="12299" spans="1:3">
      <c r="A12299" s="571" t="s">
        <v>2171</v>
      </c>
      <c r="B12299" s="572">
        <v>9.0732900000000001</v>
      </c>
      <c r="C12299" s="572">
        <v>21.621600000000001</v>
      </c>
    </row>
    <row r="12300" spans="1:3">
      <c r="A12300" s="571" t="s">
        <v>2171</v>
      </c>
      <c r="B12300" s="572">
        <v>11.706200000000001</v>
      </c>
      <c r="C12300" s="572">
        <v>84.684700000000007</v>
      </c>
    </row>
    <row r="12301" spans="1:3">
      <c r="A12301" s="571" t="s">
        <v>2171</v>
      </c>
      <c r="B12301" s="572">
        <v>23.6617</v>
      </c>
      <c r="C12301" s="572">
        <v>61.261299999999999</v>
      </c>
    </row>
    <row r="12302" spans="1:3">
      <c r="A12302" s="571" t="s">
        <v>2171</v>
      </c>
      <c r="B12302" s="572">
        <v>24.2363</v>
      </c>
      <c r="C12302" s="572">
        <v>55.855899999999998</v>
      </c>
    </row>
    <row r="12303" spans="1:3">
      <c r="A12303" s="571" t="s">
        <v>2171</v>
      </c>
      <c r="B12303" s="572">
        <v>36.21</v>
      </c>
      <c r="C12303" s="572">
        <v>82.882900000000006</v>
      </c>
    </row>
    <row r="12304" spans="1:3">
      <c r="A12304" s="571" t="s">
        <v>2171</v>
      </c>
      <c r="B12304" s="572">
        <v>48.155799999999999</v>
      </c>
      <c r="C12304" s="572">
        <v>32.432400000000001</v>
      </c>
    </row>
    <row r="12305" spans="1:3">
      <c r="A12305" s="571" t="s">
        <v>2172</v>
      </c>
      <c r="B12305" s="572">
        <v>5.9786250000000004E-3</v>
      </c>
      <c r="C12305" s="572">
        <v>1.82362</v>
      </c>
    </row>
    <row r="12306" spans="1:3">
      <c r="A12306" s="571" t="s">
        <v>2172</v>
      </c>
      <c r="B12306" s="572">
        <v>0.108079167</v>
      </c>
      <c r="C12306" s="572">
        <v>1.9164399999999999</v>
      </c>
    </row>
    <row r="12307" spans="1:3">
      <c r="A12307" s="571" t="s">
        <v>2172</v>
      </c>
      <c r="B12307" s="572">
        <v>0.16164124999999999</v>
      </c>
      <c r="C12307" s="572">
        <v>34.692399999999999</v>
      </c>
    </row>
    <row r="12308" spans="1:3">
      <c r="A12308" s="571" t="s">
        <v>2172</v>
      </c>
      <c r="B12308" s="572">
        <v>0.25129333300000001</v>
      </c>
      <c r="C12308" s="572">
        <v>63.864800000000002</v>
      </c>
    </row>
    <row r="12309" spans="1:3">
      <c r="A12309" s="571" t="s">
        <v>2172</v>
      </c>
      <c r="B12309" s="572">
        <v>0.49504999999999999</v>
      </c>
      <c r="C12309" s="572">
        <v>229.541</v>
      </c>
    </row>
    <row r="12310" spans="1:3">
      <c r="A12310" s="571" t="s">
        <v>2172</v>
      </c>
      <c r="B12310" s="572">
        <v>0.7527625</v>
      </c>
      <c r="C12310" s="572">
        <v>266.13900000000001</v>
      </c>
    </row>
    <row r="12311" spans="1:3">
      <c r="A12311" s="571" t="s">
        <v>2172</v>
      </c>
      <c r="B12311" s="572">
        <v>0.99889583299999996</v>
      </c>
      <c r="C12311" s="572">
        <v>273.63499999999999</v>
      </c>
    </row>
    <row r="12312" spans="1:3">
      <c r="A12312" s="571" t="s">
        <v>2172</v>
      </c>
      <c r="B12312" s="572">
        <v>1.4966208329999999</v>
      </c>
      <c r="C12312" s="572">
        <v>324.99700000000001</v>
      </c>
    </row>
    <row r="12313" spans="1:3">
      <c r="A12313" s="571" t="s">
        <v>2172</v>
      </c>
      <c r="B12313" s="572">
        <v>1.9944041669999999</v>
      </c>
      <c r="C12313" s="572">
        <v>372.72199999999998</v>
      </c>
    </row>
    <row r="12314" spans="1:3">
      <c r="A12314" s="48" t="s">
        <v>2173</v>
      </c>
      <c r="B12314" s="549">
        <v>-6.0060000000000001E-3</v>
      </c>
      <c r="C12314" s="549">
        <v>5.4849399999999998E-3</v>
      </c>
    </row>
    <row r="12315" spans="1:3">
      <c r="A12315" s="571" t="s">
        <v>2173</v>
      </c>
      <c r="B12315" s="572">
        <v>0.14414416699999999</v>
      </c>
      <c r="C12315" s="572">
        <v>0.13163800000000001</v>
      </c>
    </row>
    <row r="12316" spans="1:3">
      <c r="A12316" s="571" t="s">
        <v>2173</v>
      </c>
      <c r="B12316" s="572">
        <v>0.17417416699999999</v>
      </c>
      <c r="C12316" s="572">
        <v>9.29148</v>
      </c>
    </row>
    <row r="12317" spans="1:3">
      <c r="A12317" s="571" t="s">
        <v>2173</v>
      </c>
      <c r="B12317" s="572">
        <v>0.24624625</v>
      </c>
      <c r="C12317" s="572">
        <v>29.448599999999999</v>
      </c>
    </row>
    <row r="12318" spans="1:3">
      <c r="A12318" s="571" t="s">
        <v>2173</v>
      </c>
      <c r="B12318" s="572">
        <v>0.37837833300000001</v>
      </c>
      <c r="C12318" s="572">
        <v>67.9255</v>
      </c>
    </row>
    <row r="12319" spans="1:3">
      <c r="A12319" s="571" t="s">
        <v>2173</v>
      </c>
      <c r="B12319" s="572">
        <v>0.4985</v>
      </c>
      <c r="C12319" s="572">
        <v>108.218</v>
      </c>
    </row>
    <row r="12320" spans="1:3">
      <c r="A12320" s="571" t="s">
        <v>2173</v>
      </c>
      <c r="B12320" s="572">
        <v>0.57657499999999995</v>
      </c>
      <c r="C12320" s="572">
        <v>115.595</v>
      </c>
    </row>
    <row r="12321" spans="1:3">
      <c r="A12321" s="571" t="s">
        <v>2173</v>
      </c>
      <c r="B12321" s="572">
        <v>0.93693749999999998</v>
      </c>
      <c r="C12321" s="572">
        <v>146.97399999999999</v>
      </c>
    </row>
    <row r="12322" spans="1:3">
      <c r="A12322" s="571" t="s">
        <v>2173</v>
      </c>
      <c r="B12322" s="572">
        <v>0.99699583300000005</v>
      </c>
      <c r="C12322" s="572">
        <v>159.815</v>
      </c>
    </row>
    <row r="12323" spans="1:3">
      <c r="A12323" s="571" t="s">
        <v>2173</v>
      </c>
      <c r="B12323" s="572">
        <v>1.9939958330000001</v>
      </c>
      <c r="C12323" s="572">
        <v>268.488</v>
      </c>
    </row>
    <row r="12324" spans="1:3">
      <c r="A12324" s="571" t="s">
        <v>2174</v>
      </c>
      <c r="B12324" s="572">
        <v>5.9607080000000003E-3</v>
      </c>
      <c r="C12324" s="572">
        <v>1.8236000000000001</v>
      </c>
    </row>
    <row r="12325" spans="1:3">
      <c r="A12325" s="571" t="s">
        <v>2174</v>
      </c>
      <c r="B12325" s="572">
        <v>8.3776666999999999E-2</v>
      </c>
      <c r="C12325" s="572">
        <v>3.71252</v>
      </c>
    </row>
    <row r="12326" spans="1:3">
      <c r="A12326" s="571" t="s">
        <v>2174</v>
      </c>
      <c r="B12326" s="572">
        <v>0.16700916699999999</v>
      </c>
      <c r="C12326" s="572">
        <v>43.788200000000003</v>
      </c>
    </row>
    <row r="12327" spans="1:3">
      <c r="A12327" s="571" t="s">
        <v>2174</v>
      </c>
      <c r="B12327" s="572">
        <v>0.24994208300000001</v>
      </c>
      <c r="C12327" s="572">
        <v>103.864</v>
      </c>
    </row>
    <row r="12328" spans="1:3">
      <c r="A12328" s="571" t="s">
        <v>2174</v>
      </c>
      <c r="B12328" s="572">
        <v>0.37985333300000002</v>
      </c>
      <c r="C12328" s="572">
        <v>225.8</v>
      </c>
    </row>
    <row r="12329" spans="1:3">
      <c r="A12329" s="571" t="s">
        <v>2174</v>
      </c>
      <c r="B12329" s="572">
        <v>0.46297500000000003</v>
      </c>
      <c r="C12329" s="572">
        <v>273.14800000000002</v>
      </c>
    </row>
    <row r="12330" spans="1:3">
      <c r="A12330" s="571" t="s">
        <v>2174</v>
      </c>
      <c r="B12330" s="572">
        <v>0.58839583299999998</v>
      </c>
      <c r="C12330" s="572">
        <v>295.08</v>
      </c>
    </row>
    <row r="12331" spans="1:3">
      <c r="A12331" s="571" t="s">
        <v>2174</v>
      </c>
      <c r="B12331" s="572">
        <v>0.67190000000000005</v>
      </c>
      <c r="C12331" s="572">
        <v>316.97399999999999</v>
      </c>
    </row>
    <row r="12332" spans="1:3">
      <c r="A12332" s="571" t="s">
        <v>2174</v>
      </c>
      <c r="B12332" s="572">
        <v>1.0067625</v>
      </c>
      <c r="C12332" s="572">
        <v>348.18799999999999</v>
      </c>
    </row>
    <row r="12333" spans="1:3">
      <c r="A12333" s="571" t="s">
        <v>2174</v>
      </c>
      <c r="B12333" s="572">
        <v>1.4081208329999999</v>
      </c>
      <c r="C12333" s="572">
        <v>337.64400000000001</v>
      </c>
    </row>
    <row r="12334" spans="1:3">
      <c r="A12334" s="571" t="s">
        <v>2174</v>
      </c>
      <c r="B12334" s="572">
        <v>1.9949666669999999</v>
      </c>
      <c r="C12334" s="572">
        <v>336.35899999999998</v>
      </c>
    </row>
    <row r="12335" spans="1:3">
      <c r="A12335" s="48" t="s">
        <v>2175</v>
      </c>
      <c r="B12335" s="549">
        <v>-2.7100000000000001E-5</v>
      </c>
      <c r="C12335" s="549">
        <v>1.8099099999999999</v>
      </c>
    </row>
    <row r="12336" spans="1:3">
      <c r="A12336" s="571" t="s">
        <v>2175</v>
      </c>
      <c r="B12336" s="572">
        <v>0.113769167</v>
      </c>
      <c r="C12336" s="572">
        <v>0.20591699999999999</v>
      </c>
    </row>
    <row r="12337" spans="1:3">
      <c r="A12337" s="571" t="s">
        <v>2175</v>
      </c>
      <c r="B12337" s="572">
        <v>0.214831667</v>
      </c>
      <c r="C12337" s="572">
        <v>49.257599999999996</v>
      </c>
    </row>
    <row r="12338" spans="1:3">
      <c r="A12338" s="571" t="s">
        <v>2175</v>
      </c>
      <c r="B12338" s="572">
        <v>0.25065041700000001</v>
      </c>
      <c r="C12338" s="572">
        <v>56.5623</v>
      </c>
    </row>
    <row r="12339" spans="1:3">
      <c r="A12339" s="571" t="s">
        <v>2175</v>
      </c>
      <c r="B12339" s="572">
        <v>0.38850666700000003</v>
      </c>
      <c r="C12339" s="572">
        <v>47.762</v>
      </c>
    </row>
    <row r="12340" spans="1:3">
      <c r="A12340" s="571" t="s">
        <v>2175</v>
      </c>
      <c r="B12340" s="572">
        <v>0.53763333300000005</v>
      </c>
      <c r="C12340" s="572">
        <v>86.040999999999997</v>
      </c>
    </row>
    <row r="12341" spans="1:3">
      <c r="A12341" s="571" t="s">
        <v>2175</v>
      </c>
      <c r="B12341" s="572">
        <v>0.95645833300000005</v>
      </c>
      <c r="C12341" s="572">
        <v>108.518</v>
      </c>
    </row>
    <row r="12342" spans="1:3">
      <c r="A12342" s="571" t="s">
        <v>2175</v>
      </c>
      <c r="B12342" s="572">
        <v>0.99837500000000001</v>
      </c>
      <c r="C12342" s="572">
        <v>108.59399999999999</v>
      </c>
    </row>
    <row r="12343" spans="1:3">
      <c r="A12343" s="571" t="s">
        <v>2175</v>
      </c>
      <c r="B12343" s="572">
        <v>1.495558333</v>
      </c>
      <c r="C12343" s="572">
        <v>96.8245</v>
      </c>
    </row>
    <row r="12344" spans="1:3">
      <c r="A12344" s="571" t="s">
        <v>2175</v>
      </c>
      <c r="B12344" s="572">
        <v>1.998320833</v>
      </c>
      <c r="C12344" s="572">
        <v>112.214</v>
      </c>
    </row>
    <row r="12345" spans="1:3">
      <c r="A12345" s="571" t="s">
        <v>2176</v>
      </c>
      <c r="B12345" s="572">
        <v>3.1352700000000002E-4</v>
      </c>
      <c r="C12345" s="572">
        <v>1.80182</v>
      </c>
    </row>
    <row r="12346" spans="1:3">
      <c r="A12346" s="571" t="s">
        <v>2176</v>
      </c>
      <c r="B12346" s="572">
        <v>1.0214700000000001</v>
      </c>
      <c r="C12346" s="572">
        <v>270.327</v>
      </c>
    </row>
    <row r="12347" spans="1:3">
      <c r="A12347" s="571" t="s">
        <v>2176</v>
      </c>
      <c r="B12347" s="572">
        <v>1.8686199999999999</v>
      </c>
      <c r="C12347" s="572">
        <v>338.84199999999998</v>
      </c>
    </row>
    <row r="12348" spans="1:3">
      <c r="A12348" s="571" t="s">
        <v>2176</v>
      </c>
      <c r="B12348" s="572">
        <v>2.99261</v>
      </c>
      <c r="C12348" s="572">
        <v>398.363</v>
      </c>
    </row>
    <row r="12349" spans="1:3">
      <c r="A12349" s="571" t="s">
        <v>2176</v>
      </c>
      <c r="B12349" s="572">
        <v>4.9393000000000002</v>
      </c>
      <c r="C12349" s="572">
        <v>385.858</v>
      </c>
    </row>
    <row r="12350" spans="1:3">
      <c r="A12350" s="571" t="s">
        <v>2176</v>
      </c>
      <c r="B12350" s="572">
        <v>7.1806999999999999</v>
      </c>
      <c r="C12350" s="572">
        <v>467.06299999999999</v>
      </c>
    </row>
    <row r="12351" spans="1:3">
      <c r="A12351" s="571" t="s">
        <v>2176</v>
      </c>
      <c r="B12351" s="572">
        <v>8.9885000000000002</v>
      </c>
      <c r="C12351" s="572">
        <v>456.35199999999998</v>
      </c>
    </row>
    <row r="12352" spans="1:3">
      <c r="A12352" s="571" t="s">
        <v>2176</v>
      </c>
      <c r="B12352" s="572">
        <v>10.8066</v>
      </c>
      <c r="C12352" s="572">
        <v>505.101</v>
      </c>
    </row>
    <row r="12353" spans="1:3">
      <c r="A12353" s="571" t="s">
        <v>2176</v>
      </c>
      <c r="B12353" s="572">
        <v>13.5845</v>
      </c>
      <c r="C12353" s="572">
        <v>469.21800000000002</v>
      </c>
    </row>
    <row r="12354" spans="1:3">
      <c r="A12354" s="571" t="s">
        <v>2176</v>
      </c>
      <c r="B12354" s="572">
        <v>17.2057</v>
      </c>
      <c r="C12354" s="572">
        <v>480.22800000000001</v>
      </c>
    </row>
    <row r="12355" spans="1:3">
      <c r="A12355" s="571" t="s">
        <v>2176</v>
      </c>
      <c r="B12355" s="572">
        <v>21.254300000000001</v>
      </c>
      <c r="C12355" s="572">
        <v>547.11800000000005</v>
      </c>
    </row>
    <row r="12356" spans="1:3">
      <c r="A12356" s="571" t="s">
        <v>2176</v>
      </c>
      <c r="B12356" s="572">
        <v>24.8809</v>
      </c>
      <c r="C12356" s="572">
        <v>588.76</v>
      </c>
    </row>
    <row r="12357" spans="1:3">
      <c r="A12357" s="571" t="s">
        <v>2176</v>
      </c>
      <c r="B12357" s="572">
        <v>28.0885</v>
      </c>
      <c r="C12357" s="572">
        <v>623.17100000000005</v>
      </c>
    </row>
    <row r="12358" spans="1:3">
      <c r="A12358" s="571" t="s">
        <v>2176</v>
      </c>
      <c r="B12358" s="572">
        <v>34.213000000000001</v>
      </c>
      <c r="C12358" s="572">
        <v>619.90499999999997</v>
      </c>
    </row>
    <row r="12359" spans="1:3">
      <c r="A12359" s="571" t="s">
        <v>2176</v>
      </c>
      <c r="B12359" s="572">
        <v>38.113300000000002</v>
      </c>
      <c r="C12359" s="572">
        <v>634.53499999999997</v>
      </c>
    </row>
    <row r="12360" spans="1:3">
      <c r="A12360" s="571" t="s">
        <v>2176</v>
      </c>
      <c r="B12360" s="572">
        <v>41.038499999999999</v>
      </c>
      <c r="C12360" s="572">
        <v>645.50699999999995</v>
      </c>
    </row>
    <row r="12361" spans="1:3">
      <c r="A12361" s="571" t="s">
        <v>2176</v>
      </c>
      <c r="B12361" s="572">
        <v>48.002800000000001</v>
      </c>
      <c r="C12361" s="572">
        <v>669.31399999999996</v>
      </c>
    </row>
    <row r="12362" spans="1:3">
      <c r="A12362" s="571" t="s">
        <v>2176</v>
      </c>
      <c r="B12362" s="572">
        <v>59.002299999999998</v>
      </c>
      <c r="C12362" s="572">
        <v>682.53399999999999</v>
      </c>
    </row>
    <row r="12363" spans="1:3">
      <c r="A12363" s="571" t="s">
        <v>2176</v>
      </c>
      <c r="B12363" s="572">
        <v>81.133499999999998</v>
      </c>
      <c r="C12363" s="572">
        <v>669.34</v>
      </c>
    </row>
    <row r="12364" spans="1:3">
      <c r="A12364" s="571" t="s">
        <v>2176</v>
      </c>
      <c r="B12364" s="572">
        <v>96.171800000000005</v>
      </c>
      <c r="C12364" s="572">
        <v>693.59299999999996</v>
      </c>
    </row>
    <row r="12365" spans="1:3">
      <c r="A12365" s="571" t="s">
        <v>2177</v>
      </c>
      <c r="B12365" s="572">
        <v>3.1212200000000002E-4</v>
      </c>
      <c r="C12365" s="572">
        <v>1.7937399999999999</v>
      </c>
    </row>
    <row r="12366" spans="1:3">
      <c r="A12366" s="571" t="s">
        <v>2177</v>
      </c>
      <c r="B12366" s="572">
        <v>0.89672600000000002</v>
      </c>
      <c r="C12366" s="572">
        <v>353.42899999999997</v>
      </c>
    </row>
    <row r="12367" spans="1:3">
      <c r="A12367" s="571" t="s">
        <v>2177</v>
      </c>
      <c r="B12367" s="572">
        <v>1.73821</v>
      </c>
      <c r="C12367" s="572">
        <v>389.36500000000001</v>
      </c>
    </row>
    <row r="12368" spans="1:3">
      <c r="A12368" s="571" t="s">
        <v>2177</v>
      </c>
      <c r="B12368" s="572">
        <v>3.1368200000000002</v>
      </c>
      <c r="C12368" s="572">
        <v>427.13499999999999</v>
      </c>
    </row>
    <row r="12369" spans="1:3">
      <c r="A12369" s="571" t="s">
        <v>2177</v>
      </c>
      <c r="B12369" s="572">
        <v>5.78362</v>
      </c>
      <c r="C12369" s="572">
        <v>438.09199999999998</v>
      </c>
    </row>
    <row r="12370" spans="1:3">
      <c r="A12370" s="571" t="s">
        <v>2177</v>
      </c>
      <c r="B12370" s="572">
        <v>7.4512799999999997</v>
      </c>
      <c r="C12370" s="572">
        <v>422.07</v>
      </c>
    </row>
    <row r="12371" spans="1:3">
      <c r="A12371" s="571" t="s">
        <v>2177</v>
      </c>
      <c r="B12371" s="572">
        <v>8.8520900000000005</v>
      </c>
      <c r="C12371" s="572">
        <v>472.39699999999999</v>
      </c>
    </row>
    <row r="12372" spans="1:3">
      <c r="A12372" s="571" t="s">
        <v>2177</v>
      </c>
      <c r="B12372" s="572">
        <v>11.0816</v>
      </c>
      <c r="C12372" s="572">
        <v>485.11599999999999</v>
      </c>
    </row>
    <row r="12373" spans="1:3">
      <c r="A12373" s="571" t="s">
        <v>2177</v>
      </c>
      <c r="B12373" s="572">
        <v>14.5661</v>
      </c>
      <c r="C12373" s="572">
        <v>510.483</v>
      </c>
    </row>
    <row r="12374" spans="1:3">
      <c r="A12374" s="571" t="s">
        <v>2177</v>
      </c>
      <c r="B12374" s="572">
        <v>16.9298</v>
      </c>
      <c r="C12374" s="572">
        <v>494.51299999999998</v>
      </c>
    </row>
    <row r="12375" spans="1:3">
      <c r="A12375" s="571" t="s">
        <v>2177</v>
      </c>
      <c r="B12375" s="572">
        <v>21.5352</v>
      </c>
      <c r="C12375" s="572">
        <v>561.21799999999996</v>
      </c>
    </row>
    <row r="12376" spans="1:3">
      <c r="A12376" s="571" t="s">
        <v>2177</v>
      </c>
      <c r="B12376" s="572">
        <v>25.427900000000001</v>
      </c>
      <c r="C12376" s="572">
        <v>532.803</v>
      </c>
    </row>
    <row r="12377" spans="1:3">
      <c r="A12377" s="571" t="s">
        <v>2177</v>
      </c>
      <c r="B12377" s="572">
        <v>29.610099999999999</v>
      </c>
      <c r="C12377" s="572">
        <v>567.19000000000005</v>
      </c>
    </row>
    <row r="12378" spans="1:3">
      <c r="A12378" s="571" t="s">
        <v>2177</v>
      </c>
      <c r="B12378" s="572">
        <v>35.606900000000003</v>
      </c>
      <c r="C12378" s="572">
        <v>630.41</v>
      </c>
    </row>
    <row r="12379" spans="1:3">
      <c r="A12379" s="571" t="s">
        <v>2177</v>
      </c>
      <c r="B12379" s="572">
        <v>46.325699999999998</v>
      </c>
      <c r="C12379" s="572">
        <v>631.19399999999996</v>
      </c>
    </row>
    <row r="12380" spans="1:3">
      <c r="A12380" s="571" t="s">
        <v>2177</v>
      </c>
      <c r="B12380" s="572">
        <v>67.899900000000002</v>
      </c>
      <c r="C12380" s="572">
        <v>616.63</v>
      </c>
    </row>
    <row r="12381" spans="1:3">
      <c r="A12381" s="571" t="s">
        <v>2177</v>
      </c>
      <c r="B12381" s="572">
        <v>83.492599999999996</v>
      </c>
      <c r="C12381" s="572">
        <v>626.74099999999999</v>
      </c>
    </row>
    <row r="12382" spans="1:3">
      <c r="A12382" s="571" t="s">
        <v>2177</v>
      </c>
      <c r="B12382" s="572">
        <v>90.034999999999997</v>
      </c>
      <c r="C12382" s="572">
        <v>625.42600000000004</v>
      </c>
    </row>
    <row r="12383" spans="1:3">
      <c r="A12383" s="571" t="s">
        <v>2178</v>
      </c>
      <c r="B12383" s="572">
        <v>3.5500000000000001E-15</v>
      </c>
      <c r="C12383" s="572">
        <v>3.5794199999999998</v>
      </c>
    </row>
    <row r="12384" spans="1:3">
      <c r="A12384" s="571" t="s">
        <v>2178</v>
      </c>
      <c r="B12384" s="572">
        <v>0.97443199999999996</v>
      </c>
      <c r="C12384" s="572">
        <v>161.14500000000001</v>
      </c>
    </row>
    <row r="12385" spans="1:3">
      <c r="A12385" s="571" t="s">
        <v>2178</v>
      </c>
      <c r="B12385" s="572">
        <v>1.80966</v>
      </c>
      <c r="C12385" s="572">
        <v>157.62700000000001</v>
      </c>
    </row>
    <row r="12386" spans="1:3">
      <c r="A12386" s="571" t="s">
        <v>2178</v>
      </c>
      <c r="B12386" s="572">
        <v>3.0625</v>
      </c>
      <c r="C12386" s="572">
        <v>198.881</v>
      </c>
    </row>
    <row r="12387" spans="1:3">
      <c r="A12387" s="571" t="s">
        <v>2178</v>
      </c>
      <c r="B12387" s="572">
        <v>4.87216</v>
      </c>
      <c r="C12387" s="572">
        <v>313.55500000000001</v>
      </c>
    </row>
    <row r="12388" spans="1:3">
      <c r="A12388" s="571" t="s">
        <v>2178</v>
      </c>
      <c r="B12388" s="572">
        <v>6.9602300000000001</v>
      </c>
      <c r="C12388" s="572">
        <v>353.08100000000002</v>
      </c>
    </row>
    <row r="12389" spans="1:3">
      <c r="A12389" s="571" t="s">
        <v>2178</v>
      </c>
      <c r="B12389" s="572">
        <v>8.6306799999999999</v>
      </c>
      <c r="C12389" s="572">
        <v>340.67500000000001</v>
      </c>
    </row>
    <row r="12390" spans="1:3">
      <c r="A12390" s="571" t="s">
        <v>2178</v>
      </c>
      <c r="B12390" s="572">
        <v>11.275600000000001</v>
      </c>
      <c r="C12390" s="572">
        <v>458.98899999999998</v>
      </c>
    </row>
    <row r="12391" spans="1:3">
      <c r="A12391" s="571" t="s">
        <v>2178</v>
      </c>
      <c r="B12391" s="572">
        <v>14.6165</v>
      </c>
      <c r="C12391" s="572">
        <v>527.24199999999996</v>
      </c>
    </row>
    <row r="12392" spans="1:3">
      <c r="A12392" s="571" t="s">
        <v>2178</v>
      </c>
      <c r="B12392" s="572">
        <v>18.235800000000001</v>
      </c>
      <c r="C12392" s="572">
        <v>531.08600000000001</v>
      </c>
    </row>
    <row r="12393" spans="1:3">
      <c r="A12393" s="571" t="s">
        <v>2178</v>
      </c>
      <c r="B12393" s="572">
        <v>21.159099999999999</v>
      </c>
      <c r="C12393" s="572">
        <v>542.03800000000001</v>
      </c>
    </row>
    <row r="12394" spans="1:3">
      <c r="A12394" s="571" t="s">
        <v>2178</v>
      </c>
      <c r="B12394" s="572">
        <v>22.968800000000002</v>
      </c>
      <c r="C12394" s="572">
        <v>527.85199999999998</v>
      </c>
    </row>
    <row r="12395" spans="1:3">
      <c r="A12395" s="571" t="s">
        <v>2178</v>
      </c>
      <c r="B12395" s="572">
        <v>27.5625</v>
      </c>
      <c r="C12395" s="572">
        <v>565.77200000000005</v>
      </c>
    </row>
    <row r="12396" spans="1:3">
      <c r="A12396" s="571" t="s">
        <v>2178</v>
      </c>
      <c r="B12396" s="572">
        <v>31.599399999999999</v>
      </c>
      <c r="C12396" s="572">
        <v>576.80499999999995</v>
      </c>
    </row>
    <row r="12397" spans="1:3">
      <c r="A12397" s="571" t="s">
        <v>2178</v>
      </c>
      <c r="B12397" s="572">
        <v>34.244300000000003</v>
      </c>
      <c r="C12397" s="572">
        <v>636.05899999999997</v>
      </c>
    </row>
    <row r="12398" spans="1:3">
      <c r="A12398" s="571" t="s">
        <v>2178</v>
      </c>
      <c r="B12398" s="572">
        <v>41.343800000000002</v>
      </c>
      <c r="C12398" s="572">
        <v>675.95100000000002</v>
      </c>
    </row>
    <row r="12399" spans="1:3">
      <c r="A12399" s="571" t="s">
        <v>2178</v>
      </c>
      <c r="B12399" s="572">
        <v>52.201700000000002</v>
      </c>
      <c r="C12399" s="572">
        <v>694.64099999999996</v>
      </c>
    </row>
    <row r="12400" spans="1:3">
      <c r="A12400" s="571" t="s">
        <v>2178</v>
      </c>
      <c r="B12400" s="572">
        <v>74.3352</v>
      </c>
      <c r="C12400" s="572">
        <v>708.78599999999994</v>
      </c>
    </row>
    <row r="12401" spans="1:3">
      <c r="A12401" s="571" t="s">
        <v>2178</v>
      </c>
      <c r="B12401" s="572">
        <v>89.369299999999996</v>
      </c>
      <c r="C12401" s="572">
        <v>729.57100000000003</v>
      </c>
    </row>
    <row r="12402" spans="1:3">
      <c r="A12402" s="48" t="s">
        <v>2179</v>
      </c>
      <c r="B12402" s="549">
        <v>-0.13892699999999999</v>
      </c>
      <c r="C12402" s="549">
        <v>3.6188099999999999</v>
      </c>
    </row>
    <row r="12403" spans="1:3">
      <c r="A12403" s="571" t="s">
        <v>2179</v>
      </c>
      <c r="B12403" s="572">
        <v>1.36212</v>
      </c>
      <c r="C12403" s="572">
        <v>277.24599999999998</v>
      </c>
    </row>
    <row r="12404" spans="1:3">
      <c r="A12404" s="571" t="s">
        <v>2179</v>
      </c>
      <c r="B12404" s="572">
        <v>2.04949</v>
      </c>
      <c r="C12404" s="572">
        <v>342.97800000000001</v>
      </c>
    </row>
    <row r="12405" spans="1:3">
      <c r="A12405" s="571" t="s">
        <v>2179</v>
      </c>
      <c r="B12405" s="572">
        <v>2.7374999999999998</v>
      </c>
      <c r="C12405" s="572">
        <v>401.42</v>
      </c>
    </row>
    <row r="12406" spans="1:3">
      <c r="A12406" s="571" t="s">
        <v>2179</v>
      </c>
      <c r="B12406" s="572">
        <v>4.9571800000000001</v>
      </c>
      <c r="C12406" s="572">
        <v>379.96499999999997</v>
      </c>
    </row>
    <row r="12407" spans="1:3">
      <c r="A12407" s="571" t="s">
        <v>2179</v>
      </c>
      <c r="B12407" s="572">
        <v>7.0290900000000001</v>
      </c>
      <c r="C12407" s="572">
        <v>464.17700000000002</v>
      </c>
    </row>
    <row r="12408" spans="1:3">
      <c r="A12408" s="571" t="s">
        <v>2179</v>
      </c>
      <c r="B12408" s="572">
        <v>8.8316800000000004</v>
      </c>
      <c r="C12408" s="572">
        <v>457.22300000000001</v>
      </c>
    </row>
    <row r="12409" spans="1:3">
      <c r="A12409" s="571" t="s">
        <v>2179</v>
      </c>
      <c r="B12409" s="572">
        <v>10.6295</v>
      </c>
      <c r="C12409" s="572">
        <v>504.93799999999999</v>
      </c>
    </row>
    <row r="12410" spans="1:3">
      <c r="A12410" s="571" t="s">
        <v>2179</v>
      </c>
      <c r="B12410" s="572">
        <v>13.6821</v>
      </c>
      <c r="C12410" s="572">
        <v>469.05900000000003</v>
      </c>
    </row>
    <row r="12411" spans="1:3">
      <c r="A12411" s="571" t="s">
        <v>2179</v>
      </c>
      <c r="B12411" s="572">
        <v>17.1465</v>
      </c>
      <c r="C12411" s="572">
        <v>480.637</v>
      </c>
    </row>
    <row r="12412" spans="1:3">
      <c r="A12412" s="571" t="s">
        <v>2179</v>
      </c>
      <c r="B12412" s="572">
        <v>21.1599</v>
      </c>
      <c r="C12412" s="572">
        <v>554.27599999999995</v>
      </c>
    </row>
    <row r="12413" spans="1:3">
      <c r="A12413" s="571" t="s">
        <v>2179</v>
      </c>
      <c r="B12413" s="572">
        <v>24.8996</v>
      </c>
      <c r="C12413" s="572">
        <v>587.774</v>
      </c>
    </row>
    <row r="12414" spans="1:3">
      <c r="A12414" s="571" t="s">
        <v>2179</v>
      </c>
      <c r="B12414" s="572">
        <v>28.084499999999998</v>
      </c>
      <c r="C12414" s="572">
        <v>624.81200000000001</v>
      </c>
    </row>
    <row r="12415" spans="1:3">
      <c r="A12415" s="571" t="s">
        <v>2179</v>
      </c>
      <c r="B12415" s="572">
        <v>34.322299999999998</v>
      </c>
      <c r="C12415" s="572">
        <v>622.32799999999997</v>
      </c>
    </row>
    <row r="12416" spans="1:3">
      <c r="A12416" s="571" t="s">
        <v>2179</v>
      </c>
      <c r="B12416" s="572">
        <v>38.063600000000001</v>
      </c>
      <c r="C12416" s="572">
        <v>637.60199999999998</v>
      </c>
    </row>
    <row r="12417" spans="1:3">
      <c r="A12417" s="571" t="s">
        <v>2179</v>
      </c>
      <c r="B12417" s="572">
        <v>40.834499999999998</v>
      </c>
      <c r="C12417" s="572">
        <v>652.69600000000003</v>
      </c>
    </row>
    <row r="12418" spans="1:3">
      <c r="A12418" s="571" t="s">
        <v>2179</v>
      </c>
      <c r="B12418" s="572">
        <v>47.902200000000001</v>
      </c>
      <c r="C12418" s="572">
        <v>672.23299999999995</v>
      </c>
    </row>
    <row r="12419" spans="1:3">
      <c r="A12419" s="571" t="s">
        <v>2179</v>
      </c>
      <c r="B12419" s="572">
        <v>59.128799999999998</v>
      </c>
      <c r="C12419" s="572">
        <v>685.255</v>
      </c>
    </row>
    <row r="12420" spans="1:3">
      <c r="A12420" s="571" t="s">
        <v>2179</v>
      </c>
      <c r="B12420" s="572">
        <v>81.030699999999996</v>
      </c>
      <c r="C12420" s="572">
        <v>674.74900000000002</v>
      </c>
    </row>
    <row r="12421" spans="1:3">
      <c r="A12421" s="571" t="s">
        <v>2179</v>
      </c>
      <c r="B12421" s="572">
        <v>95.860200000000006</v>
      </c>
      <c r="C12421" s="572">
        <v>699.37400000000002</v>
      </c>
    </row>
    <row r="12422" spans="1:3">
      <c r="A12422" s="571" t="s">
        <v>2180</v>
      </c>
      <c r="B12422" s="572">
        <v>7.1100000000000008E-15</v>
      </c>
      <c r="C12422" s="572">
        <v>9.9500000000000005E-14</v>
      </c>
    </row>
    <row r="12423" spans="1:3">
      <c r="A12423" s="571" t="s">
        <v>2180</v>
      </c>
      <c r="B12423" s="572">
        <v>2.63489</v>
      </c>
      <c r="C12423" s="572">
        <v>14.154400000000001</v>
      </c>
    </row>
    <row r="12424" spans="1:3">
      <c r="A12424" s="571" t="s">
        <v>2180</v>
      </c>
      <c r="B12424" s="572">
        <v>3.0428500000000001</v>
      </c>
      <c r="C12424" s="572">
        <v>76.815299999999993</v>
      </c>
    </row>
    <row r="12425" spans="1:3">
      <c r="A12425" s="571" t="s">
        <v>2180</v>
      </c>
      <c r="B12425" s="572">
        <v>5.3989399999999996</v>
      </c>
      <c r="C12425" s="572">
        <v>80.801299999999998</v>
      </c>
    </row>
    <row r="12426" spans="1:3">
      <c r="A12426" s="571" t="s">
        <v>2180</v>
      </c>
      <c r="B12426" s="572">
        <v>7.3328899999999999</v>
      </c>
      <c r="C12426" s="572">
        <v>157.452</v>
      </c>
    </row>
    <row r="12427" spans="1:3">
      <c r="A12427" s="571" t="s">
        <v>2180</v>
      </c>
      <c r="B12427" s="572">
        <v>9.1357999999999997</v>
      </c>
      <c r="C12427" s="572">
        <v>146.81100000000001</v>
      </c>
    </row>
    <row r="12428" spans="1:3">
      <c r="A12428" s="571" t="s">
        <v>2180</v>
      </c>
      <c r="B12428" s="572">
        <v>11.0738</v>
      </c>
      <c r="C12428" s="572">
        <v>176.18899999999999</v>
      </c>
    </row>
    <row r="12429" spans="1:3">
      <c r="A12429" s="571" t="s">
        <v>2180</v>
      </c>
      <c r="B12429" s="572">
        <v>14.5373</v>
      </c>
      <c r="C12429" s="572">
        <v>198.52099999999999</v>
      </c>
    </row>
    <row r="12430" spans="1:3">
      <c r="A12430" s="571" t="s">
        <v>2180</v>
      </c>
      <c r="B12430" s="572">
        <v>17.029399999999999</v>
      </c>
      <c r="C12430" s="572">
        <v>231.61799999999999</v>
      </c>
    </row>
    <row r="12431" spans="1:3">
      <c r="A12431" s="571" t="s">
        <v>2180</v>
      </c>
      <c r="B12431" s="572">
        <v>21.322600000000001</v>
      </c>
      <c r="C12431" s="572">
        <v>275.892</v>
      </c>
    </row>
    <row r="12432" spans="1:3">
      <c r="A12432" s="571" t="s">
        <v>2180</v>
      </c>
      <c r="B12432" s="572">
        <v>23.125499999999999</v>
      </c>
      <c r="C12432" s="572">
        <v>265.25099999999998</v>
      </c>
    </row>
    <row r="12433" spans="1:3">
      <c r="A12433" s="571" t="s">
        <v>2180</v>
      </c>
      <c r="B12433" s="572">
        <v>30.610900000000001</v>
      </c>
      <c r="C12433" s="572">
        <v>262.72500000000002</v>
      </c>
    </row>
    <row r="12434" spans="1:3">
      <c r="A12434" s="571" t="s">
        <v>2180</v>
      </c>
      <c r="B12434" s="572">
        <v>34.627499999999998</v>
      </c>
      <c r="C12434" s="572">
        <v>299.685</v>
      </c>
    </row>
    <row r="12435" spans="1:3">
      <c r="A12435" s="571" t="s">
        <v>2180</v>
      </c>
      <c r="B12435" s="572">
        <v>37.815899999999999</v>
      </c>
      <c r="C12435" s="572">
        <v>296.52199999999999</v>
      </c>
    </row>
    <row r="12436" spans="1:3">
      <c r="A12436" s="571" t="s">
        <v>2180</v>
      </c>
      <c r="B12436" s="572">
        <v>44.7393</v>
      </c>
      <c r="C12436" s="572">
        <v>381.18599999999998</v>
      </c>
    </row>
    <row r="12437" spans="1:3">
      <c r="A12437" s="571" t="s">
        <v>2180</v>
      </c>
      <c r="B12437" s="572">
        <v>55.412100000000002</v>
      </c>
      <c r="C12437" s="572">
        <v>386.40600000000001</v>
      </c>
    </row>
    <row r="12438" spans="1:3">
      <c r="A12438" s="571" t="s">
        <v>2180</v>
      </c>
      <c r="B12438" s="572">
        <v>77.314400000000006</v>
      </c>
      <c r="C12438" s="572">
        <v>371.47500000000002</v>
      </c>
    </row>
    <row r="12439" spans="1:3">
      <c r="A12439" s="571" t="s">
        <v>2180</v>
      </c>
      <c r="B12439" s="572">
        <v>92.561400000000006</v>
      </c>
      <c r="C12439" s="572">
        <v>377.375</v>
      </c>
    </row>
    <row r="12440" spans="1:3">
      <c r="A12440" s="571" t="s">
        <v>2181</v>
      </c>
      <c r="B12440" s="572">
        <v>1.4826999999999999</v>
      </c>
      <c r="C12440" s="572">
        <v>0.165051</v>
      </c>
    </row>
    <row r="12441" spans="1:3">
      <c r="A12441" s="571" t="s">
        <v>2181</v>
      </c>
      <c r="B12441" s="572">
        <v>2.1499199999999998</v>
      </c>
      <c r="C12441" s="572">
        <v>120.239</v>
      </c>
    </row>
    <row r="12442" spans="1:3">
      <c r="A12442" s="571" t="s">
        <v>2181</v>
      </c>
      <c r="B12442" s="572">
        <v>3.3908399999999999</v>
      </c>
      <c r="C12442" s="572">
        <v>164.01400000000001</v>
      </c>
    </row>
    <row r="12443" spans="1:3">
      <c r="A12443" s="571" t="s">
        <v>2181</v>
      </c>
      <c r="B12443" s="572">
        <v>5.3166700000000002</v>
      </c>
      <c r="C12443" s="572">
        <v>251.501</v>
      </c>
    </row>
    <row r="12444" spans="1:3">
      <c r="A12444" s="571" t="s">
        <v>2181</v>
      </c>
      <c r="B12444" s="572">
        <v>7.2450299999999999</v>
      </c>
      <c r="C12444" s="572">
        <v>328.07900000000001</v>
      </c>
    </row>
    <row r="12445" spans="1:3">
      <c r="A12445" s="571" t="s">
        <v>2181</v>
      </c>
      <c r="B12445" s="572">
        <v>9.4808800000000009</v>
      </c>
      <c r="C12445" s="572">
        <v>277.41899999999998</v>
      </c>
    </row>
    <row r="12446" spans="1:3">
      <c r="A12446" s="571" t="s">
        <v>2181</v>
      </c>
      <c r="B12446" s="572">
        <v>11.2643</v>
      </c>
      <c r="C12446" s="572">
        <v>379.43599999999998</v>
      </c>
    </row>
    <row r="12447" spans="1:3">
      <c r="A12447" s="571" t="s">
        <v>2181</v>
      </c>
      <c r="B12447" s="572">
        <v>14.0183</v>
      </c>
      <c r="C12447" s="572">
        <v>492.47</v>
      </c>
    </row>
    <row r="12448" spans="1:3">
      <c r="A12448" s="571" t="s">
        <v>2181</v>
      </c>
      <c r="B12448" s="572">
        <v>17.222100000000001</v>
      </c>
      <c r="C12448" s="572">
        <v>463.73500000000001</v>
      </c>
    </row>
    <row r="12449" spans="1:3">
      <c r="A12449" s="571" t="s">
        <v>2181</v>
      </c>
      <c r="B12449" s="572">
        <v>21.375399999999999</v>
      </c>
      <c r="C12449" s="572">
        <v>536.92499999999995</v>
      </c>
    </row>
    <row r="12450" spans="1:3">
      <c r="A12450" s="571" t="s">
        <v>2181</v>
      </c>
      <c r="B12450" s="572">
        <v>24.990300000000001</v>
      </c>
      <c r="C12450" s="572">
        <v>533.69100000000003</v>
      </c>
    </row>
    <row r="12451" spans="1:3">
      <c r="A12451" s="571" t="s">
        <v>2181</v>
      </c>
      <c r="B12451" s="572">
        <v>28.457000000000001</v>
      </c>
      <c r="C12451" s="572">
        <v>570.44000000000005</v>
      </c>
    </row>
    <row r="12452" spans="1:3">
      <c r="A12452" s="571" t="s">
        <v>2181</v>
      </c>
      <c r="B12452" s="572">
        <v>34.419800000000002</v>
      </c>
      <c r="C12452" s="572">
        <v>632.92200000000003</v>
      </c>
    </row>
    <row r="12453" spans="1:3">
      <c r="A12453" s="571" t="s">
        <v>2181</v>
      </c>
      <c r="B12453" s="572">
        <v>38.170400000000001</v>
      </c>
      <c r="C12453" s="572">
        <v>644.24900000000002</v>
      </c>
    </row>
    <row r="12454" spans="1:3">
      <c r="A12454" s="571" t="s">
        <v>2181</v>
      </c>
      <c r="B12454" s="572">
        <v>40.946199999999997</v>
      </c>
      <c r="C12454" s="572">
        <v>662.74</v>
      </c>
    </row>
    <row r="12455" spans="1:3">
      <c r="A12455" s="571" t="s">
        <v>2181</v>
      </c>
      <c r="B12455" s="572">
        <v>48.031999999999996</v>
      </c>
      <c r="C12455" s="572">
        <v>678.07399999999996</v>
      </c>
    </row>
    <row r="12456" spans="1:3">
      <c r="A12456" s="571" t="s">
        <v>2181</v>
      </c>
      <c r="B12456" s="572">
        <v>59.288800000000002</v>
      </c>
      <c r="C12456" s="572">
        <v>690.23599999999999</v>
      </c>
    </row>
    <row r="12457" spans="1:3">
      <c r="A12457" s="571" t="s">
        <v>2181</v>
      </c>
      <c r="B12457" s="572">
        <v>81.249700000000004</v>
      </c>
      <c r="C12457" s="572">
        <v>699.95399999999995</v>
      </c>
    </row>
    <row r="12458" spans="1:3">
      <c r="A12458" s="571" t="s">
        <v>2181</v>
      </c>
      <c r="B12458" s="572">
        <v>96.118799999999993</v>
      </c>
      <c r="C12458" s="572">
        <v>719.79100000000005</v>
      </c>
    </row>
    <row r="12459" spans="1:3">
      <c r="A12459" s="571" t="s">
        <v>2182</v>
      </c>
      <c r="B12459" s="572">
        <v>1.20217</v>
      </c>
      <c r="C12459" s="572">
        <v>11.042899999999999</v>
      </c>
    </row>
    <row r="12460" spans="1:3">
      <c r="A12460" s="571" t="s">
        <v>2182</v>
      </c>
      <c r="B12460" s="572">
        <v>2.2838699999999998</v>
      </c>
      <c r="C12460" s="572">
        <v>142.072</v>
      </c>
    </row>
    <row r="12461" spans="1:3">
      <c r="A12461" s="571" t="s">
        <v>2182</v>
      </c>
      <c r="B12461" s="572">
        <v>3.3689399999999998</v>
      </c>
      <c r="C12461" s="572">
        <v>258.55700000000002</v>
      </c>
    </row>
    <row r="12462" spans="1:3">
      <c r="A12462" s="571" t="s">
        <v>2182</v>
      </c>
      <c r="B12462" s="572">
        <v>5.9973700000000001</v>
      </c>
      <c r="C12462" s="572">
        <v>313.39499999999998</v>
      </c>
    </row>
    <row r="12463" spans="1:3">
      <c r="A12463" s="571" t="s">
        <v>2182</v>
      </c>
      <c r="B12463" s="572">
        <v>7.80105</v>
      </c>
      <c r="C12463" s="572">
        <v>328.14100000000002</v>
      </c>
    </row>
    <row r="12464" spans="1:3">
      <c r="A12464" s="571" t="s">
        <v>2182</v>
      </c>
      <c r="B12464" s="572">
        <v>9.3073399999999999</v>
      </c>
      <c r="C12464" s="572">
        <v>426.49099999999999</v>
      </c>
    </row>
    <row r="12465" spans="1:3">
      <c r="A12465" s="571" t="s">
        <v>2182</v>
      </c>
      <c r="B12465" s="572">
        <v>11.5398</v>
      </c>
      <c r="C12465" s="572">
        <v>390.375</v>
      </c>
    </row>
    <row r="12466" spans="1:3">
      <c r="A12466" s="571" t="s">
        <v>2182</v>
      </c>
      <c r="B12466" s="572">
        <v>14.715</v>
      </c>
      <c r="C12466" s="572">
        <v>485.274</v>
      </c>
    </row>
    <row r="12467" spans="1:3">
      <c r="A12467" s="571" t="s">
        <v>2182</v>
      </c>
      <c r="B12467" s="572">
        <v>17.636600000000001</v>
      </c>
      <c r="C12467" s="572">
        <v>474.69099999999997</v>
      </c>
    </row>
    <row r="12468" spans="1:3">
      <c r="A12468" s="571" t="s">
        <v>2182</v>
      </c>
      <c r="B12468" s="572">
        <v>21.806699999999999</v>
      </c>
      <c r="C12468" s="572">
        <v>475.15499999999997</v>
      </c>
    </row>
    <row r="12469" spans="1:3">
      <c r="A12469" s="571" t="s">
        <v>2182</v>
      </c>
      <c r="B12469" s="572">
        <v>25.8353</v>
      </c>
      <c r="C12469" s="572">
        <v>486.512</v>
      </c>
    </row>
    <row r="12470" spans="1:3">
      <c r="A12470" s="571" t="s">
        <v>2182</v>
      </c>
      <c r="B12470" s="572">
        <v>29.858000000000001</v>
      </c>
      <c r="C12470" s="572">
        <v>523.32399999999996</v>
      </c>
    </row>
    <row r="12471" spans="1:3">
      <c r="A12471" s="571" t="s">
        <v>2182</v>
      </c>
      <c r="B12471" s="572">
        <v>35.976599999999998</v>
      </c>
      <c r="C12471" s="572">
        <v>513.096</v>
      </c>
    </row>
    <row r="12472" spans="1:3">
      <c r="A12472" s="571" t="s">
        <v>2182</v>
      </c>
      <c r="B12472" s="572">
        <v>46.675699999999999</v>
      </c>
      <c r="C12472" s="572">
        <v>532.46900000000005</v>
      </c>
    </row>
    <row r="12473" spans="1:3">
      <c r="A12473" s="571" t="s">
        <v>2182</v>
      </c>
      <c r="B12473" s="572">
        <v>68.077200000000005</v>
      </c>
      <c r="C12473" s="572">
        <v>556.66899999999998</v>
      </c>
    </row>
    <row r="12474" spans="1:3">
      <c r="A12474" s="571" t="s">
        <v>2182</v>
      </c>
      <c r="B12474" s="572">
        <v>83.493099999999998</v>
      </c>
      <c r="C12474" s="572">
        <v>616.56700000000001</v>
      </c>
    </row>
    <row r="12475" spans="1:3">
      <c r="A12475" s="571" t="s">
        <v>2182</v>
      </c>
      <c r="B12475" s="572">
        <v>90.024600000000007</v>
      </c>
      <c r="C12475" s="572">
        <v>624.56700000000001</v>
      </c>
    </row>
    <row r="12476" spans="1:3">
      <c r="A12476" s="571" t="s">
        <v>2183</v>
      </c>
      <c r="B12476" s="572">
        <v>1.6225499999999999</v>
      </c>
      <c r="C12476" s="572">
        <v>3.4557500000000001</v>
      </c>
    </row>
    <row r="12477" spans="1:3">
      <c r="A12477" s="571" t="s">
        <v>2183</v>
      </c>
      <c r="B12477" s="572">
        <v>2.3007200000000001</v>
      </c>
      <c r="C12477" s="572">
        <v>69.346999999999994</v>
      </c>
    </row>
    <row r="12478" spans="1:3">
      <c r="A12478" s="571" t="s">
        <v>2183</v>
      </c>
      <c r="B12478" s="572">
        <v>3.53322</v>
      </c>
      <c r="C12478" s="572">
        <v>149.48400000000001</v>
      </c>
    </row>
    <row r="12479" spans="1:3">
      <c r="A12479" s="571" t="s">
        <v>2183</v>
      </c>
      <c r="B12479" s="572">
        <v>5.1785100000000002</v>
      </c>
      <c r="C12479" s="572">
        <v>247.84899999999999</v>
      </c>
    </row>
    <row r="12480" spans="1:3">
      <c r="A12480" s="571" t="s">
        <v>2183</v>
      </c>
      <c r="B12480" s="572">
        <v>7.2534599999999996</v>
      </c>
      <c r="C12480" s="572">
        <v>291.71699999999998</v>
      </c>
    </row>
    <row r="12481" spans="1:3">
      <c r="A12481" s="571" t="s">
        <v>2183</v>
      </c>
      <c r="B12481" s="572">
        <v>9.0689299999999999</v>
      </c>
      <c r="C12481" s="572">
        <v>255.55500000000001</v>
      </c>
    </row>
    <row r="12482" spans="1:3">
      <c r="A12482" s="571" t="s">
        <v>2183</v>
      </c>
      <c r="B12482" s="572">
        <v>11.8515</v>
      </c>
      <c r="C12482" s="572">
        <v>244.95599999999999</v>
      </c>
    </row>
    <row r="12483" spans="1:3">
      <c r="A12483" s="571" t="s">
        <v>2183</v>
      </c>
      <c r="B12483" s="572">
        <v>14.8978</v>
      </c>
      <c r="C12483" s="572">
        <v>296.20400000000001</v>
      </c>
    </row>
    <row r="12484" spans="1:3">
      <c r="A12484" s="571" t="s">
        <v>2183</v>
      </c>
      <c r="B12484" s="572">
        <v>18.504300000000001</v>
      </c>
      <c r="C12484" s="572">
        <v>329.33300000000003</v>
      </c>
    </row>
    <row r="12485" spans="1:3">
      <c r="A12485" s="571" t="s">
        <v>2183</v>
      </c>
      <c r="B12485" s="572">
        <v>21.5565</v>
      </c>
      <c r="C12485" s="572">
        <v>355.12700000000001</v>
      </c>
    </row>
    <row r="12486" spans="1:3">
      <c r="A12486" s="571" t="s">
        <v>2183</v>
      </c>
      <c r="B12486" s="572">
        <v>23.3551</v>
      </c>
      <c r="C12486" s="572">
        <v>391.69099999999997</v>
      </c>
    </row>
    <row r="12487" spans="1:3">
      <c r="A12487" s="571" t="s">
        <v>2183</v>
      </c>
      <c r="B12487" s="572">
        <v>27.9405</v>
      </c>
      <c r="C12487" s="572">
        <v>399.47399999999999</v>
      </c>
    </row>
    <row r="12488" spans="1:3">
      <c r="A12488" s="571" t="s">
        <v>2183</v>
      </c>
      <c r="B12488" s="572">
        <v>31.6936</v>
      </c>
      <c r="C12488" s="572">
        <v>399.892</v>
      </c>
    </row>
    <row r="12489" spans="1:3">
      <c r="A12489" s="571" t="s">
        <v>2183</v>
      </c>
      <c r="B12489" s="572">
        <v>34.614400000000003</v>
      </c>
      <c r="C12489" s="572">
        <v>392.94400000000002</v>
      </c>
    </row>
    <row r="12490" spans="1:3">
      <c r="A12490" s="571" t="s">
        <v>2183</v>
      </c>
      <c r="B12490" s="572">
        <v>41.5595</v>
      </c>
      <c r="C12490" s="572">
        <v>415.53500000000003</v>
      </c>
    </row>
    <row r="12491" spans="1:3">
      <c r="A12491" s="571" t="s">
        <v>2183</v>
      </c>
      <c r="B12491" s="572">
        <v>52.258600000000001</v>
      </c>
      <c r="C12491" s="572">
        <v>434.90800000000002</v>
      </c>
    </row>
    <row r="12492" spans="1:3">
      <c r="A12492" s="571" t="s">
        <v>2183</v>
      </c>
      <c r="B12492" s="572">
        <v>74.624700000000004</v>
      </c>
      <c r="C12492" s="572">
        <v>495.58</v>
      </c>
    </row>
    <row r="12493" spans="1:3">
      <c r="A12493" s="571" t="s">
        <v>2183</v>
      </c>
      <c r="B12493" s="572">
        <v>89.492999999999995</v>
      </c>
      <c r="C12493" s="572">
        <v>519.053</v>
      </c>
    </row>
    <row r="12494" spans="1:3">
      <c r="A12494" s="571" t="s">
        <v>2184</v>
      </c>
      <c r="B12494" s="572">
        <v>0.13810600000000001</v>
      </c>
      <c r="C12494" s="572">
        <v>2.2566899999999999</v>
      </c>
    </row>
    <row r="12495" spans="1:3">
      <c r="A12495" s="571" t="s">
        <v>2184</v>
      </c>
      <c r="B12495" s="572">
        <v>2.0575899999999998</v>
      </c>
      <c r="C12495" s="572">
        <v>134.97300000000001</v>
      </c>
    </row>
    <row r="12496" spans="1:3">
      <c r="A12496" s="571" t="s">
        <v>2184</v>
      </c>
      <c r="B12496" s="572">
        <v>2.74438</v>
      </c>
      <c r="C12496" s="572">
        <v>173.22200000000001</v>
      </c>
    </row>
    <row r="12497" spans="1:3">
      <c r="A12497" s="571" t="s">
        <v>2184</v>
      </c>
      <c r="B12497" s="572">
        <v>5.08596</v>
      </c>
      <c r="C12497" s="572">
        <v>256.52999999999997</v>
      </c>
    </row>
    <row r="12498" spans="1:3">
      <c r="A12498" s="571" t="s">
        <v>2184</v>
      </c>
      <c r="B12498" s="572">
        <v>7.0125999999999999</v>
      </c>
      <c r="C12498" s="572">
        <v>337.56099999999998</v>
      </c>
    </row>
    <row r="12499" spans="1:3">
      <c r="A12499" s="571" t="s">
        <v>2184</v>
      </c>
      <c r="B12499" s="572">
        <v>9.0960000000000001</v>
      </c>
      <c r="C12499" s="572">
        <v>286.01900000000001</v>
      </c>
    </row>
    <row r="12500" spans="1:3">
      <c r="A12500" s="571" t="s">
        <v>2184</v>
      </c>
      <c r="B12500" s="572">
        <v>10.604900000000001</v>
      </c>
      <c r="C12500" s="572">
        <v>384.99900000000002</v>
      </c>
    </row>
    <row r="12501" spans="1:3">
      <c r="A12501" s="571" t="s">
        <v>2184</v>
      </c>
      <c r="B12501" s="572">
        <v>13.6358</v>
      </c>
      <c r="C12501" s="572">
        <v>488.57799999999997</v>
      </c>
    </row>
    <row r="12502" spans="1:3">
      <c r="A12502" s="571" t="s">
        <v>2184</v>
      </c>
      <c r="B12502" s="572">
        <v>16.960899999999999</v>
      </c>
      <c r="C12502" s="572">
        <v>466.33499999999998</v>
      </c>
    </row>
    <row r="12503" spans="1:3">
      <c r="A12503" s="571" t="s">
        <v>2184</v>
      </c>
      <c r="B12503" s="572">
        <v>20.963799999999999</v>
      </c>
      <c r="C12503" s="572">
        <v>547.51</v>
      </c>
    </row>
    <row r="12504" spans="1:3">
      <c r="A12504" s="571" t="s">
        <v>2184</v>
      </c>
      <c r="B12504" s="572">
        <v>24.563800000000001</v>
      </c>
      <c r="C12504" s="572">
        <v>538.76800000000003</v>
      </c>
    </row>
    <row r="12505" spans="1:3">
      <c r="A12505" s="571" t="s">
        <v>2184</v>
      </c>
      <c r="B12505" s="572">
        <v>28.157699999999998</v>
      </c>
      <c r="C12505" s="572">
        <v>574.971</v>
      </c>
    </row>
    <row r="12506" spans="1:3">
      <c r="A12506" s="571" t="s">
        <v>2184</v>
      </c>
      <c r="B12506" s="572">
        <v>33.963099999999997</v>
      </c>
      <c r="C12506" s="572">
        <v>633.79700000000003</v>
      </c>
    </row>
    <row r="12507" spans="1:3">
      <c r="A12507" s="571" t="s">
        <v>2184</v>
      </c>
      <c r="B12507" s="572">
        <v>37.698799999999999</v>
      </c>
      <c r="C12507" s="572">
        <v>645.29</v>
      </c>
    </row>
    <row r="12508" spans="1:3">
      <c r="A12508" s="571" t="s">
        <v>2184</v>
      </c>
      <c r="B12508" s="572">
        <v>40.740900000000003</v>
      </c>
      <c r="C12508" s="572">
        <v>667.971</v>
      </c>
    </row>
    <row r="12509" spans="1:3">
      <c r="A12509" s="571" t="s">
        <v>2184</v>
      </c>
      <c r="B12509" s="572">
        <v>47.798900000000003</v>
      </c>
      <c r="C12509" s="572">
        <v>677.44500000000005</v>
      </c>
    </row>
    <row r="12510" spans="1:3">
      <c r="A12510" s="571" t="s">
        <v>2184</v>
      </c>
      <c r="B12510" s="572">
        <v>58.7316</v>
      </c>
      <c r="C12510" s="572">
        <v>693.928</v>
      </c>
    </row>
    <row r="12511" spans="1:3">
      <c r="A12511" s="571" t="s">
        <v>2184</v>
      </c>
      <c r="B12511" s="572">
        <v>80.877099999999999</v>
      </c>
      <c r="C12511" s="572">
        <v>704.44</v>
      </c>
    </row>
    <row r="12512" spans="1:3">
      <c r="A12512" s="571" t="s">
        <v>2184</v>
      </c>
      <c r="B12512" s="572">
        <v>95.823300000000003</v>
      </c>
      <c r="C12512" s="572">
        <v>725.69299999999998</v>
      </c>
    </row>
    <row r="12513" spans="1:3">
      <c r="A12513" s="571" t="s">
        <v>2185</v>
      </c>
      <c r="B12513" s="572">
        <v>6.2210800000000001E-4</v>
      </c>
      <c r="C12513" s="572">
        <v>4.4944100000000002</v>
      </c>
    </row>
    <row r="12514" spans="1:3">
      <c r="A12514" s="571" t="s">
        <v>2185</v>
      </c>
      <c r="B12514" s="572">
        <v>1.2460800000000001</v>
      </c>
      <c r="C12514" s="572">
        <v>2.3043399999999998</v>
      </c>
    </row>
    <row r="12515" spans="1:3">
      <c r="A12515" s="571" t="s">
        <v>2185</v>
      </c>
      <c r="B12515" s="572">
        <v>5.5435999999999996</v>
      </c>
      <c r="C12515" s="572">
        <v>49.692399999999999</v>
      </c>
    </row>
    <row r="12516" spans="1:3">
      <c r="A12516" s="571" t="s">
        <v>2185</v>
      </c>
      <c r="B12516" s="572">
        <v>7.0696300000000001</v>
      </c>
      <c r="C12516" s="572">
        <v>74.481499999999997</v>
      </c>
    </row>
    <row r="12517" spans="1:3">
      <c r="A12517" s="571" t="s">
        <v>2185</v>
      </c>
      <c r="B12517" s="572">
        <v>9.0162099999999992</v>
      </c>
      <c r="C12517" s="572">
        <v>137.49199999999999</v>
      </c>
    </row>
    <row r="12518" spans="1:3">
      <c r="A12518" s="571" t="s">
        <v>2185</v>
      </c>
      <c r="B12518" s="572">
        <v>10.950699999999999</v>
      </c>
      <c r="C12518" s="572">
        <v>112.86199999999999</v>
      </c>
    </row>
    <row r="12519" spans="1:3">
      <c r="A12519" s="571" t="s">
        <v>2185</v>
      </c>
      <c r="B12519" s="572">
        <v>14.559200000000001</v>
      </c>
      <c r="C12519" s="572">
        <v>182.69</v>
      </c>
    </row>
    <row r="12520" spans="1:3">
      <c r="A12520" s="571" t="s">
        <v>2185</v>
      </c>
      <c r="B12520" s="572">
        <v>17.185099999999998</v>
      </c>
      <c r="C12520" s="572">
        <v>153.59700000000001</v>
      </c>
    </row>
    <row r="12521" spans="1:3">
      <c r="A12521" s="571" t="s">
        <v>2185</v>
      </c>
      <c r="B12521" s="572">
        <v>21.204499999999999</v>
      </c>
      <c r="C12521" s="572">
        <v>191.98400000000001</v>
      </c>
    </row>
    <row r="12522" spans="1:3">
      <c r="A12522" s="571" t="s">
        <v>2185</v>
      </c>
      <c r="B12522" s="572">
        <v>23.008700000000001</v>
      </c>
      <c r="C12522" s="572">
        <v>225.774</v>
      </c>
    </row>
    <row r="12523" spans="1:3">
      <c r="A12523" s="571" t="s">
        <v>2185</v>
      </c>
      <c r="B12523" s="572">
        <v>30.346399999999999</v>
      </c>
      <c r="C12523" s="572">
        <v>237.34700000000001</v>
      </c>
    </row>
    <row r="12524" spans="1:3">
      <c r="A12524" s="571" t="s">
        <v>2185</v>
      </c>
      <c r="B12524" s="572">
        <v>34.499000000000002</v>
      </c>
      <c r="C12524" s="572">
        <v>237.53700000000001</v>
      </c>
    </row>
    <row r="12525" spans="1:3">
      <c r="A12525" s="571" t="s">
        <v>2185</v>
      </c>
      <c r="B12525" s="572">
        <v>37.133899999999997</v>
      </c>
      <c r="C12525" s="572">
        <v>273.613</v>
      </c>
    </row>
    <row r="12526" spans="1:3">
      <c r="A12526" s="571" t="s">
        <v>2185</v>
      </c>
      <c r="B12526" s="572">
        <v>44.188600000000001</v>
      </c>
      <c r="C12526" s="572">
        <v>240.22900000000001</v>
      </c>
    </row>
    <row r="12527" spans="1:3">
      <c r="A12527" s="571" t="s">
        <v>2185</v>
      </c>
      <c r="B12527" s="572">
        <v>55.401499999999999</v>
      </c>
      <c r="C12527" s="572">
        <v>247.48500000000001</v>
      </c>
    </row>
    <row r="12528" spans="1:3">
      <c r="A12528" s="571" t="s">
        <v>2185</v>
      </c>
      <c r="B12528" s="572">
        <v>77.274799999999999</v>
      </c>
      <c r="C12528" s="572">
        <v>270.95999999999998</v>
      </c>
    </row>
    <row r="12529" spans="1:3">
      <c r="A12529" s="571" t="s">
        <v>2185</v>
      </c>
      <c r="B12529" s="572">
        <v>92.369299999999996</v>
      </c>
      <c r="C12529" s="572">
        <v>321.08999999999997</v>
      </c>
    </row>
    <row r="12530" spans="1:3">
      <c r="A12530" s="571" t="s">
        <v>2186</v>
      </c>
      <c r="B12530" s="572">
        <v>0.13861399999999999</v>
      </c>
      <c r="C12530" s="572">
        <v>2.2586200000000001</v>
      </c>
    </row>
    <row r="12531" spans="1:3">
      <c r="A12531" s="571" t="s">
        <v>2186</v>
      </c>
      <c r="B12531" s="572">
        <v>1.94059</v>
      </c>
      <c r="C12531" s="572">
        <v>92.4315</v>
      </c>
    </row>
    <row r="12532" spans="1:3">
      <c r="A12532" s="571" t="s">
        <v>2186</v>
      </c>
      <c r="B12532" s="572">
        <v>2.3564400000000001</v>
      </c>
      <c r="C12532" s="572">
        <v>18.126300000000001</v>
      </c>
    </row>
    <row r="12533" spans="1:3">
      <c r="A12533" s="571" t="s">
        <v>2186</v>
      </c>
      <c r="B12533" s="572">
        <v>2.7722799999999999</v>
      </c>
      <c r="C12533" s="572">
        <v>155.53299999999999</v>
      </c>
    </row>
    <row r="12534" spans="1:3">
      <c r="A12534" s="571" t="s">
        <v>2186</v>
      </c>
      <c r="B12534" s="572">
        <v>4.0198</v>
      </c>
      <c r="C12534" s="572">
        <v>236.67099999999999</v>
      </c>
    </row>
    <row r="12535" spans="1:3">
      <c r="A12535" s="571" t="s">
        <v>2186</v>
      </c>
      <c r="B12535" s="572">
        <v>4.7128699999999997</v>
      </c>
      <c r="C12535" s="572">
        <v>274.99099999999999</v>
      </c>
    </row>
    <row r="12536" spans="1:3">
      <c r="A12536" s="571" t="s">
        <v>2186</v>
      </c>
      <c r="B12536" s="572">
        <v>6.9306900000000002</v>
      </c>
      <c r="C12536" s="572">
        <v>322.39100000000002</v>
      </c>
    </row>
    <row r="12537" spans="1:3">
      <c r="A12537" s="571" t="s">
        <v>2186</v>
      </c>
      <c r="B12537" s="572">
        <v>9.0099</v>
      </c>
      <c r="C12537" s="572">
        <v>336</v>
      </c>
    </row>
    <row r="12538" spans="1:3">
      <c r="A12538" s="571" t="s">
        <v>2186</v>
      </c>
      <c r="B12538" s="572">
        <v>10.9505</v>
      </c>
      <c r="C12538" s="572">
        <v>405.90899999999999</v>
      </c>
    </row>
    <row r="12539" spans="1:3">
      <c r="A12539" s="571" t="s">
        <v>2186</v>
      </c>
      <c r="B12539" s="572">
        <v>13.8614</v>
      </c>
      <c r="C12539" s="572">
        <v>525.41200000000003</v>
      </c>
    </row>
    <row r="12540" spans="1:3">
      <c r="A12540" s="571" t="s">
        <v>2186</v>
      </c>
      <c r="B12540" s="572">
        <v>16.910900000000002</v>
      </c>
      <c r="C12540" s="572">
        <v>525.55200000000002</v>
      </c>
    </row>
    <row r="12541" spans="1:3">
      <c r="A12541" s="571" t="s">
        <v>2186</v>
      </c>
      <c r="B12541" s="572">
        <v>21.623799999999999</v>
      </c>
      <c r="C12541" s="572">
        <v>642.88599999999997</v>
      </c>
    </row>
    <row r="12542" spans="1:3">
      <c r="A12542" s="571" t="s">
        <v>2186</v>
      </c>
      <c r="B12542" s="572">
        <v>28.415800000000001</v>
      </c>
      <c r="C12542" s="572">
        <v>665.721</v>
      </c>
    </row>
    <row r="12543" spans="1:3">
      <c r="A12543" s="571" t="s">
        <v>2186</v>
      </c>
      <c r="B12543" s="572">
        <v>40.059399999999997</v>
      </c>
      <c r="C12543" s="572">
        <v>713.553</v>
      </c>
    </row>
    <row r="12544" spans="1:3">
      <c r="A12544" s="571" t="s">
        <v>2186</v>
      </c>
      <c r="B12544" s="572">
        <v>45.326700000000002</v>
      </c>
      <c r="C12544" s="572">
        <v>713.79499999999996</v>
      </c>
    </row>
    <row r="12545" spans="1:3">
      <c r="A12545" s="571" t="s">
        <v>2186</v>
      </c>
      <c r="B12545" s="572">
        <v>49.346499999999999</v>
      </c>
      <c r="C12545" s="572">
        <v>736.50199999999995</v>
      </c>
    </row>
    <row r="12546" spans="1:3">
      <c r="A12546" s="571" t="s">
        <v>2186</v>
      </c>
      <c r="B12546" s="572">
        <v>52.396000000000001</v>
      </c>
      <c r="C12546" s="572">
        <v>761.41700000000003</v>
      </c>
    </row>
    <row r="12547" spans="1:3">
      <c r="A12547" s="571" t="s">
        <v>2186</v>
      </c>
      <c r="B12547" s="572">
        <v>59.326700000000002</v>
      </c>
      <c r="C12547" s="572">
        <v>772.99699999999996</v>
      </c>
    </row>
    <row r="12548" spans="1:3">
      <c r="A12548" s="571" t="s">
        <v>2186</v>
      </c>
      <c r="B12548" s="572">
        <v>70.138599999999997</v>
      </c>
      <c r="C12548" s="572">
        <v>809.53</v>
      </c>
    </row>
    <row r="12549" spans="1:3">
      <c r="A12549" s="571" t="s">
        <v>2186</v>
      </c>
      <c r="B12549" s="572">
        <v>92.455399999999997</v>
      </c>
      <c r="C12549" s="572">
        <v>828.57399999999996</v>
      </c>
    </row>
    <row r="12550" spans="1:3">
      <c r="A12550" s="48" t="s">
        <v>2187</v>
      </c>
      <c r="B12550" s="549">
        <v>-3.1148999999999999E-4</v>
      </c>
      <c r="C12550" s="549">
        <v>2.2471800000000002</v>
      </c>
    </row>
    <row r="12551" spans="1:3">
      <c r="A12551" s="571" t="s">
        <v>2187</v>
      </c>
      <c r="B12551" s="572">
        <v>1.8007200000000001</v>
      </c>
      <c r="C12551" s="572">
        <v>9.0713500000000007</v>
      </c>
    </row>
    <row r="12552" spans="1:3">
      <c r="A12552" s="571" t="s">
        <v>2187</v>
      </c>
      <c r="B12552" s="572">
        <v>3.0413899999999998</v>
      </c>
      <c r="C12552" s="572">
        <v>58.566400000000002</v>
      </c>
    </row>
    <row r="12553" spans="1:3">
      <c r="A12553" s="571" t="s">
        <v>2187</v>
      </c>
      <c r="B12553" s="572">
        <v>4.2929500000000003</v>
      </c>
      <c r="C12553" s="572">
        <v>29.410399999999999</v>
      </c>
    </row>
    <row r="12554" spans="1:3">
      <c r="A12554" s="571" t="s">
        <v>2187</v>
      </c>
      <c r="B12554" s="572">
        <v>4.9754300000000002</v>
      </c>
      <c r="C12554" s="572">
        <v>105.846</v>
      </c>
    </row>
    <row r="12555" spans="1:3">
      <c r="A12555" s="571" t="s">
        <v>2187</v>
      </c>
      <c r="B12555" s="572">
        <v>6.9125800000000002</v>
      </c>
      <c r="C12555" s="572">
        <v>130.654</v>
      </c>
    </row>
    <row r="12556" spans="1:3">
      <c r="A12556" s="571" t="s">
        <v>2187</v>
      </c>
      <c r="B12556" s="572">
        <v>9.1269600000000004</v>
      </c>
      <c r="C12556" s="572">
        <v>155.47499999999999</v>
      </c>
    </row>
    <row r="12557" spans="1:3">
      <c r="A12557" s="571" t="s">
        <v>2187</v>
      </c>
      <c r="B12557" s="572">
        <v>11.4787</v>
      </c>
      <c r="C12557" s="572">
        <v>189.29</v>
      </c>
    </row>
    <row r="12558" spans="1:3">
      <c r="A12558" s="571" t="s">
        <v>2187</v>
      </c>
      <c r="B12558" s="572">
        <v>13.97</v>
      </c>
      <c r="C12558" s="572">
        <v>216.37100000000001</v>
      </c>
    </row>
    <row r="12559" spans="1:3">
      <c r="A12559" s="571" t="s">
        <v>2187</v>
      </c>
      <c r="B12559" s="572">
        <v>17.017900000000001</v>
      </c>
      <c r="C12559" s="572">
        <v>227.74700000000001</v>
      </c>
    </row>
    <row r="12560" spans="1:3">
      <c r="A12560" s="571" t="s">
        <v>2187</v>
      </c>
      <c r="B12560" s="572">
        <v>21.031199999999998</v>
      </c>
      <c r="C12560" s="572">
        <v>275.12200000000001</v>
      </c>
    </row>
    <row r="12561" spans="1:3">
      <c r="A12561" s="571" t="s">
        <v>2187</v>
      </c>
      <c r="B12561" s="572">
        <v>29.894600000000001</v>
      </c>
      <c r="C12561" s="572">
        <v>331.70800000000003</v>
      </c>
    </row>
    <row r="12562" spans="1:3">
      <c r="A12562" s="571" t="s">
        <v>2187</v>
      </c>
      <c r="B12562" s="572">
        <v>35.298999999999999</v>
      </c>
      <c r="C12562" s="572">
        <v>343.19200000000001</v>
      </c>
    </row>
    <row r="12563" spans="1:3">
      <c r="A12563" s="571" t="s">
        <v>2187</v>
      </c>
      <c r="B12563" s="572">
        <v>39.32</v>
      </c>
      <c r="C12563" s="572">
        <v>334.38799999999998</v>
      </c>
    </row>
    <row r="12564" spans="1:3">
      <c r="A12564" s="571" t="s">
        <v>2187</v>
      </c>
      <c r="B12564" s="572">
        <v>42.095700000000001</v>
      </c>
      <c r="C12564" s="572">
        <v>309.79599999999999</v>
      </c>
    </row>
    <row r="12565" spans="1:3">
      <c r="A12565" s="571" t="s">
        <v>2187</v>
      </c>
      <c r="B12565" s="572">
        <v>49.0167</v>
      </c>
      <c r="C12565" s="572">
        <v>379.77600000000001</v>
      </c>
    </row>
    <row r="12566" spans="1:3">
      <c r="A12566" s="571" t="s">
        <v>2187</v>
      </c>
      <c r="B12566" s="572">
        <v>60.0989</v>
      </c>
      <c r="C12566" s="572">
        <v>429.72199999999998</v>
      </c>
    </row>
    <row r="12567" spans="1:3">
      <c r="A12567" s="571" t="s">
        <v>2187</v>
      </c>
      <c r="B12567" s="572">
        <v>82.277199999999993</v>
      </c>
      <c r="C12567" s="572">
        <v>428.49200000000002</v>
      </c>
    </row>
    <row r="12568" spans="1:3">
      <c r="A12568" s="571" t="s">
        <v>2187</v>
      </c>
      <c r="B12568" s="572">
        <v>97.381100000000004</v>
      </c>
      <c r="C12568" s="572">
        <v>465.14</v>
      </c>
    </row>
    <row r="12569" spans="1:3">
      <c r="A12569" s="571" t="s">
        <v>2188</v>
      </c>
      <c r="B12569" s="572">
        <v>2.1649999999999947E-2</v>
      </c>
      <c r="C12569" s="572">
        <v>1.3883700000000001</v>
      </c>
    </row>
    <row r="12570" spans="1:3">
      <c r="A12570" s="571" t="s">
        <v>2188</v>
      </c>
      <c r="B12570" s="572">
        <v>0.98441000000000001</v>
      </c>
      <c r="C12570" s="572">
        <v>105.682</v>
      </c>
    </row>
    <row r="12571" spans="1:3">
      <c r="A12571" s="571" t="s">
        <v>2188</v>
      </c>
      <c r="B12571" s="572">
        <v>2.0313699999999999</v>
      </c>
      <c r="C12571" s="572">
        <v>195.93</v>
      </c>
    </row>
    <row r="12572" spans="1:3">
      <c r="A12572" s="571" t="s">
        <v>2188</v>
      </c>
      <c r="B12572" s="572">
        <v>3.0080499999999999</v>
      </c>
      <c r="C12572" s="572">
        <v>220.71100000000001</v>
      </c>
    </row>
    <row r="12573" spans="1:3">
      <c r="A12573" s="571" t="s">
        <v>2188</v>
      </c>
      <c r="B12573" s="572">
        <v>4.0302499999999997</v>
      </c>
      <c r="C12573" s="572">
        <v>218.982</v>
      </c>
    </row>
    <row r="12574" spans="1:3">
      <c r="A12574" s="571" t="s">
        <v>2188</v>
      </c>
      <c r="B12574" s="572">
        <v>4.92272</v>
      </c>
      <c r="C12574" s="572">
        <v>257.80799999999999</v>
      </c>
    </row>
    <row r="12575" spans="1:3">
      <c r="A12575" s="571" t="s">
        <v>2188</v>
      </c>
      <c r="B12575" s="572">
        <v>6.0236700000000001</v>
      </c>
      <c r="C12575" s="572">
        <v>273.214</v>
      </c>
    </row>
    <row r="12576" spans="1:3">
      <c r="A12576" s="571" t="s">
        <v>2188</v>
      </c>
      <c r="B12576" s="572">
        <v>6.9968000000000004</v>
      </c>
      <c r="C12576" s="572">
        <v>318.26299999999998</v>
      </c>
    </row>
    <row r="12577" spans="1:3">
      <c r="A12577" s="571" t="s">
        <v>2188</v>
      </c>
      <c r="B12577" s="572">
        <v>7.9732099999999999</v>
      </c>
      <c r="C12577" s="572">
        <v>344.60399999999998</v>
      </c>
    </row>
    <row r="12578" spans="1:3">
      <c r="A12578" s="571" t="s">
        <v>2188</v>
      </c>
      <c r="B12578" s="572">
        <v>9.9687999999999999</v>
      </c>
      <c r="C12578" s="572">
        <v>386.36399999999998</v>
      </c>
    </row>
    <row r="12579" spans="1:3">
      <c r="A12579" s="571" t="s">
        <v>2188</v>
      </c>
      <c r="B12579" s="572">
        <v>10.9444</v>
      </c>
      <c r="C12579" s="572">
        <v>417.38099999999997</v>
      </c>
    </row>
    <row r="12580" spans="1:3">
      <c r="A12580" s="571" t="s">
        <v>2188</v>
      </c>
      <c r="B12580" s="572">
        <v>12.901300000000001</v>
      </c>
      <c r="C12580" s="572">
        <v>446.67599999999999</v>
      </c>
    </row>
    <row r="12581" spans="1:3">
      <c r="A12581" s="571" t="s">
        <v>2188</v>
      </c>
      <c r="B12581" s="572">
        <v>15.964400000000001</v>
      </c>
      <c r="C12581" s="572">
        <v>461.75400000000002</v>
      </c>
    </row>
    <row r="12582" spans="1:3">
      <c r="A12582" s="571" t="s">
        <v>2188</v>
      </c>
      <c r="B12582" s="572">
        <v>19.9482</v>
      </c>
      <c r="C12582" s="572">
        <v>587.36900000000003</v>
      </c>
    </row>
    <row r="12583" spans="1:3">
      <c r="A12583" s="571" t="s">
        <v>2188</v>
      </c>
      <c r="B12583" s="572">
        <v>23.909199999999998</v>
      </c>
      <c r="C12583" s="572">
        <v>610.09299999999996</v>
      </c>
    </row>
    <row r="12584" spans="1:3">
      <c r="A12584" s="571" t="s">
        <v>2188</v>
      </c>
      <c r="B12584" s="572">
        <v>26.9267</v>
      </c>
      <c r="C12584" s="572">
        <v>651.68299999999999</v>
      </c>
    </row>
    <row r="12585" spans="1:3">
      <c r="A12585" s="571" t="s">
        <v>2189</v>
      </c>
      <c r="B12585" s="572">
        <v>6.3080000000000025E-2</v>
      </c>
      <c r="C12585" s="572">
        <v>1.7365900000000001</v>
      </c>
    </row>
    <row r="12586" spans="1:3">
      <c r="A12586" s="571" t="s">
        <v>2189</v>
      </c>
      <c r="B12586" s="572">
        <v>1.0228299999999999</v>
      </c>
      <c r="C12586" s="572">
        <v>119.70699999999999</v>
      </c>
    </row>
    <row r="12587" spans="1:3">
      <c r="A12587" s="571" t="s">
        <v>2189</v>
      </c>
      <c r="B12587" s="572">
        <v>2.0280900000000002</v>
      </c>
      <c r="C12587" s="572">
        <v>214.63900000000001</v>
      </c>
    </row>
    <row r="12588" spans="1:3">
      <c r="A12588" s="571" t="s">
        <v>2189</v>
      </c>
      <c r="B12588" s="572">
        <v>3.1325900000000004</v>
      </c>
      <c r="C12588" s="572">
        <v>209.77699999999999</v>
      </c>
    </row>
    <row r="12589" spans="1:3">
      <c r="A12589" s="571" t="s">
        <v>2189</v>
      </c>
      <c r="B12589" s="572">
        <v>4.0250599999999999</v>
      </c>
      <c r="C12589" s="572">
        <v>248.60400000000001</v>
      </c>
    </row>
    <row r="12590" spans="1:3">
      <c r="A12590" s="571" t="s">
        <v>2189</v>
      </c>
      <c r="B12590" s="572">
        <v>5.0829500000000003</v>
      </c>
      <c r="C12590" s="572">
        <v>276.48899999999998</v>
      </c>
    </row>
    <row r="12591" spans="1:3">
      <c r="A12591" s="571" t="s">
        <v>2189</v>
      </c>
      <c r="B12591" s="572">
        <v>5.9277100000000003</v>
      </c>
      <c r="C12591" s="572">
        <v>354.29899999999998</v>
      </c>
    </row>
    <row r="12592" spans="1:3">
      <c r="A12592" s="571" t="s">
        <v>2189</v>
      </c>
      <c r="B12592" s="572">
        <v>8.016</v>
      </c>
      <c r="C12592" s="572">
        <v>333.68299999999999</v>
      </c>
    </row>
    <row r="12593" spans="1:3">
      <c r="A12593" s="571" t="s">
        <v>2189</v>
      </c>
      <c r="B12593" s="572">
        <v>8.8645800000000001</v>
      </c>
      <c r="C12593" s="572">
        <v>389.666</v>
      </c>
    </row>
    <row r="12594" spans="1:3">
      <c r="A12594" s="571" t="s">
        <v>2189</v>
      </c>
      <c r="B12594" s="572">
        <v>9.9682999999999993</v>
      </c>
      <c r="C12594" s="572">
        <v>389.48200000000003</v>
      </c>
    </row>
    <row r="12595" spans="1:3">
      <c r="A12595" s="571" t="s">
        <v>2189</v>
      </c>
      <c r="B12595" s="572">
        <v>11.0313</v>
      </c>
      <c r="C12595" s="572">
        <v>387.745</v>
      </c>
    </row>
    <row r="12596" spans="1:3">
      <c r="A12596" s="571" t="s">
        <v>2189</v>
      </c>
      <c r="B12596" s="572">
        <v>12.985799999999999</v>
      </c>
      <c r="C12596" s="572">
        <v>431.07100000000003</v>
      </c>
    </row>
    <row r="12597" spans="1:3">
      <c r="A12597" s="571" t="s">
        <v>2189</v>
      </c>
      <c r="B12597" s="572">
        <v>13.9696</v>
      </c>
      <c r="C12597" s="572">
        <v>415.31700000000001</v>
      </c>
    </row>
    <row r="12598" spans="1:3">
      <c r="A12598" s="571" t="s">
        <v>2189</v>
      </c>
      <c r="B12598" s="572">
        <v>18.0505</v>
      </c>
      <c r="C12598" s="572">
        <v>453.61099999999999</v>
      </c>
    </row>
    <row r="12599" spans="1:3">
      <c r="A12599" s="571" t="s">
        <v>2189</v>
      </c>
      <c r="B12599" s="572">
        <v>19.9665</v>
      </c>
      <c r="C12599" s="572">
        <v>482.91199999999998</v>
      </c>
    </row>
    <row r="12600" spans="1:3">
      <c r="A12600" s="571" t="s">
        <v>2189</v>
      </c>
      <c r="B12600" s="572">
        <v>24.0076</v>
      </c>
      <c r="C12600" s="572">
        <v>514.976</v>
      </c>
    </row>
    <row r="12601" spans="1:3">
      <c r="A12601" s="571" t="s">
        <v>2189</v>
      </c>
      <c r="B12601" s="572">
        <v>26.988099999999999</v>
      </c>
      <c r="C12601" s="572">
        <v>534.74599999999998</v>
      </c>
    </row>
    <row r="12602" spans="1:3">
      <c r="A12602" s="571" t="s">
        <v>2190</v>
      </c>
      <c r="B12602" s="572">
        <v>0.10367999999999999</v>
      </c>
      <c r="C12602" s="572">
        <v>0.18435699999999999</v>
      </c>
    </row>
    <row r="12603" spans="1:3">
      <c r="A12603" s="571" t="s">
        <v>2190</v>
      </c>
      <c r="B12603" s="572">
        <v>1.0787200000000001</v>
      </c>
      <c r="C12603" s="572">
        <v>33.9512</v>
      </c>
    </row>
    <row r="12604" spans="1:3">
      <c r="A12604" s="571" t="s">
        <v>2190</v>
      </c>
      <c r="B12604" s="572">
        <v>2.05185</v>
      </c>
      <c r="C12604" s="572">
        <v>79.000200000000007</v>
      </c>
    </row>
    <row r="12605" spans="1:3">
      <c r="A12605" s="571" t="s">
        <v>2190</v>
      </c>
      <c r="B12605" s="572">
        <v>3.0274400000000004</v>
      </c>
      <c r="C12605" s="572">
        <v>110.018</v>
      </c>
    </row>
    <row r="12606" spans="1:3">
      <c r="A12606" s="571" t="s">
        <v>2190</v>
      </c>
      <c r="B12606" s="572">
        <v>4.00549</v>
      </c>
      <c r="C12606" s="572">
        <v>127.004</v>
      </c>
    </row>
    <row r="12607" spans="1:3">
      <c r="A12607" s="571" t="s">
        <v>2190</v>
      </c>
      <c r="B12607" s="572">
        <v>4.98299</v>
      </c>
      <c r="C12607" s="572">
        <v>147.108</v>
      </c>
    </row>
    <row r="12608" spans="1:3">
      <c r="A12608" s="571" t="s">
        <v>2190</v>
      </c>
      <c r="B12608" s="572">
        <v>6.0013699999999996</v>
      </c>
      <c r="C12608" s="572">
        <v>167.20500000000001</v>
      </c>
    </row>
    <row r="12609" spans="1:3">
      <c r="A12609" s="571" t="s">
        <v>2190</v>
      </c>
      <c r="B12609" s="572">
        <v>6.9816000000000003</v>
      </c>
      <c r="C12609" s="572">
        <v>171.71799999999999</v>
      </c>
    </row>
    <row r="12610" spans="1:3">
      <c r="A12610" s="571" t="s">
        <v>2190</v>
      </c>
      <c r="B12610" s="572">
        <v>8.9823900000000005</v>
      </c>
      <c r="C12610" s="572">
        <v>183.85599999999999</v>
      </c>
    </row>
    <row r="12611" spans="1:3">
      <c r="A12611" s="571" t="s">
        <v>2190</v>
      </c>
      <c r="B12611" s="572">
        <v>10.9437</v>
      </c>
      <c r="C12611" s="572">
        <v>188.20500000000001</v>
      </c>
    </row>
    <row r="12612" spans="1:3">
      <c r="A12612" s="571" t="s">
        <v>2190</v>
      </c>
      <c r="B12612" s="572">
        <v>12.981199999999999</v>
      </c>
      <c r="C12612" s="572">
        <v>223.72300000000001</v>
      </c>
    </row>
    <row r="12613" spans="1:3">
      <c r="A12613" s="571" t="s">
        <v>2190</v>
      </c>
      <c r="B12613" s="572">
        <v>14.9826</v>
      </c>
      <c r="C12613" s="572">
        <v>232.74199999999999</v>
      </c>
    </row>
    <row r="12614" spans="1:3">
      <c r="A12614" s="571" t="s">
        <v>2190</v>
      </c>
      <c r="B12614" s="572">
        <v>16.942</v>
      </c>
      <c r="C12614" s="572">
        <v>248.005</v>
      </c>
    </row>
    <row r="12615" spans="1:3">
      <c r="A12615" s="571" t="s">
        <v>2190</v>
      </c>
      <c r="B12615" s="572">
        <v>18.085999999999999</v>
      </c>
      <c r="C12615" s="572">
        <v>250.93199999999999</v>
      </c>
    </row>
    <row r="12616" spans="1:3">
      <c r="A12616" s="571" t="s">
        <v>2190</v>
      </c>
      <c r="B12616" s="572">
        <v>19.962800000000001</v>
      </c>
      <c r="C12616" s="572">
        <v>270.88600000000002</v>
      </c>
    </row>
    <row r="12617" spans="1:3">
      <c r="A12617" s="571" t="s">
        <v>2190</v>
      </c>
      <c r="B12617" s="572">
        <v>22.986599999999999</v>
      </c>
      <c r="C12617" s="572">
        <v>276.61700000000002</v>
      </c>
    </row>
    <row r="12618" spans="1:3">
      <c r="A12618" s="571" t="s">
        <v>2190</v>
      </c>
      <c r="B12618" s="572">
        <v>26.950299999999999</v>
      </c>
      <c r="C12618" s="572">
        <v>283.75</v>
      </c>
    </row>
    <row r="12619" spans="1:3">
      <c r="A12619" s="571" t="s">
        <v>2191</v>
      </c>
      <c r="B12619" s="572">
        <v>6.2259999999999982E-2</v>
      </c>
      <c r="C12619" s="572">
        <v>2.9405999999999999</v>
      </c>
    </row>
    <row r="12620" spans="1:3">
      <c r="A12620" s="571" t="s">
        <v>2191</v>
      </c>
      <c r="B12620" s="572">
        <v>1.0609700000000002</v>
      </c>
      <c r="C12620" s="572">
        <v>135.29</v>
      </c>
    </row>
    <row r="12621" spans="1:3">
      <c r="A12621" s="571" t="s">
        <v>2191</v>
      </c>
      <c r="B12621" s="572">
        <v>2.0275500000000002</v>
      </c>
      <c r="C12621" s="572">
        <v>217.75700000000001</v>
      </c>
    </row>
    <row r="12622" spans="1:3">
      <c r="A12622" s="571" t="s">
        <v>2191</v>
      </c>
      <c r="B12622" s="572">
        <v>3.0450999999999997</v>
      </c>
      <c r="C12622" s="572">
        <v>242.53100000000001</v>
      </c>
    </row>
    <row r="12623" spans="1:3">
      <c r="A12623" s="571" t="s">
        <v>2191</v>
      </c>
      <c r="B12623" s="572">
        <v>3.9844600000000003</v>
      </c>
      <c r="C12623" s="572">
        <v>247.05199999999999</v>
      </c>
    </row>
    <row r="12624" spans="1:3">
      <c r="A12624" s="571" t="s">
        <v>2191</v>
      </c>
      <c r="B12624" s="572">
        <v>5.0006500000000003</v>
      </c>
      <c r="C12624" s="572">
        <v>279.62099999999998</v>
      </c>
    </row>
    <row r="12625" spans="1:3">
      <c r="A12625" s="571" t="s">
        <v>2191</v>
      </c>
      <c r="B12625" s="572">
        <v>6.0994200000000003</v>
      </c>
      <c r="C12625" s="572">
        <v>307.5</v>
      </c>
    </row>
    <row r="12626" spans="1:3">
      <c r="A12626" s="571" t="s">
        <v>2191</v>
      </c>
      <c r="B12626" s="572">
        <v>6.95756</v>
      </c>
      <c r="C12626" s="572">
        <v>308.916</v>
      </c>
    </row>
    <row r="12627" spans="1:3">
      <c r="A12627" s="571" t="s">
        <v>2191</v>
      </c>
      <c r="B12627" s="572">
        <v>9.0333000000000006</v>
      </c>
      <c r="C12627" s="572">
        <v>360.017</v>
      </c>
    </row>
    <row r="12628" spans="1:3">
      <c r="A12628" s="571" t="s">
        <v>2191</v>
      </c>
      <c r="B12628" s="572">
        <v>10.9902</v>
      </c>
      <c r="C12628" s="572">
        <v>389.31099999999998</v>
      </c>
    </row>
    <row r="12629" spans="1:3">
      <c r="A12629" s="571" t="s">
        <v>2191</v>
      </c>
      <c r="B12629" s="572">
        <v>13.027799999999999</v>
      </c>
      <c r="C12629" s="572">
        <v>424.82799999999997</v>
      </c>
    </row>
    <row r="12630" spans="1:3">
      <c r="A12630" s="571" t="s">
        <v>2191</v>
      </c>
      <c r="B12630" s="572">
        <v>17.0749</v>
      </c>
      <c r="C12630" s="572">
        <v>422.59300000000002</v>
      </c>
    </row>
    <row r="12631" spans="1:3">
      <c r="A12631" s="571" t="s">
        <v>2191</v>
      </c>
      <c r="B12631" s="572">
        <v>20.014199999999999</v>
      </c>
      <c r="C12631" s="572">
        <v>443.92899999999997</v>
      </c>
    </row>
    <row r="12632" spans="1:3">
      <c r="A12632" s="571" t="s">
        <v>2191</v>
      </c>
      <c r="B12632" s="572">
        <v>22.9941</v>
      </c>
      <c r="C12632" s="572">
        <v>466.81599999999997</v>
      </c>
    </row>
    <row r="12633" spans="1:3">
      <c r="A12633" s="571" t="s">
        <v>2191</v>
      </c>
      <c r="B12633" s="572">
        <v>26.9559</v>
      </c>
      <c r="C12633" s="572">
        <v>484.863</v>
      </c>
    </row>
    <row r="12634" spans="1:3">
      <c r="A12634" s="48" t="s">
        <v>2192</v>
      </c>
      <c r="B12634" s="549">
        <v>-1.922299999999999E-2</v>
      </c>
      <c r="C12634" s="549">
        <v>1.3951899999999999</v>
      </c>
    </row>
    <row r="12635" spans="1:3">
      <c r="A12635" s="571" t="s">
        <v>2192</v>
      </c>
      <c r="B12635" s="572">
        <v>1.03539</v>
      </c>
      <c r="C12635" s="572">
        <v>47.989600000000003</v>
      </c>
    </row>
    <row r="12636" spans="1:3">
      <c r="A12636" s="571" t="s">
        <v>2192</v>
      </c>
      <c r="B12636" s="572">
        <v>2.0008699999999999</v>
      </c>
      <c r="C12636" s="572">
        <v>136.69300000000001</v>
      </c>
    </row>
    <row r="12637" spans="1:3">
      <c r="A12637" s="571" t="s">
        <v>2192</v>
      </c>
      <c r="B12637" s="572">
        <v>2.9857499999999999</v>
      </c>
      <c r="C12637" s="572">
        <v>114.702</v>
      </c>
    </row>
    <row r="12638" spans="1:3">
      <c r="A12638" s="571" t="s">
        <v>2192</v>
      </c>
      <c r="B12638" s="572">
        <v>4.0044000000000004</v>
      </c>
      <c r="C12638" s="572">
        <v>133.24</v>
      </c>
    </row>
    <row r="12639" spans="1:3">
      <c r="A12639" s="571" t="s">
        <v>2192</v>
      </c>
      <c r="B12639" s="572">
        <v>4.94238</v>
      </c>
      <c r="C12639" s="572">
        <v>145.55500000000001</v>
      </c>
    </row>
    <row r="12640" spans="1:3">
      <c r="A12640" s="571" t="s">
        <v>2192</v>
      </c>
      <c r="B12640" s="572">
        <v>6.0427900000000001</v>
      </c>
      <c r="C12640" s="572">
        <v>164.08</v>
      </c>
    </row>
    <row r="12641" spans="1:3">
      <c r="A12641" s="571" t="s">
        <v>2192</v>
      </c>
      <c r="B12641" s="572">
        <v>8.0427599999999995</v>
      </c>
      <c r="C12641" s="572">
        <v>180.89500000000001</v>
      </c>
    </row>
    <row r="12642" spans="1:3">
      <c r="A12642" s="571" t="s">
        <v>2192</v>
      </c>
      <c r="B12642" s="572">
        <v>9.0169999999999995</v>
      </c>
      <c r="C12642" s="572">
        <v>219.708</v>
      </c>
    </row>
    <row r="12643" spans="1:3">
      <c r="A12643" s="571" t="s">
        <v>2192</v>
      </c>
      <c r="B12643" s="572">
        <v>9.9543999999999997</v>
      </c>
      <c r="C12643" s="572">
        <v>235.14099999999999</v>
      </c>
    </row>
    <row r="12644" spans="1:3">
      <c r="A12644" s="571" t="s">
        <v>2192</v>
      </c>
      <c r="B12644" s="572">
        <v>11.058400000000001</v>
      </c>
      <c r="C12644" s="572">
        <v>233.398</v>
      </c>
    </row>
    <row r="12645" spans="1:3">
      <c r="A12645" s="571" t="s">
        <v>2192</v>
      </c>
      <c r="B12645" s="572">
        <v>12.980399999999999</v>
      </c>
      <c r="C12645" s="572">
        <v>228.4</v>
      </c>
    </row>
    <row r="12646" spans="1:3">
      <c r="A12646" s="571" t="s">
        <v>2192</v>
      </c>
      <c r="B12646" s="572">
        <v>14.0427</v>
      </c>
      <c r="C12646" s="572">
        <v>231.34</v>
      </c>
    </row>
    <row r="12647" spans="1:3">
      <c r="A12647" s="571" t="s">
        <v>2192</v>
      </c>
      <c r="B12647" s="572">
        <v>18.045400000000001</v>
      </c>
      <c r="C12647" s="572">
        <v>249.38</v>
      </c>
    </row>
    <row r="12648" spans="1:3">
      <c r="A12648" s="571" t="s">
        <v>2192</v>
      </c>
      <c r="B12648" s="572">
        <v>20.0015</v>
      </c>
      <c r="C12648" s="572">
        <v>283.35199999999998</v>
      </c>
    </row>
    <row r="12649" spans="1:3">
      <c r="A12649" s="571" t="s">
        <v>2192</v>
      </c>
      <c r="B12649" s="572">
        <v>23.962399999999999</v>
      </c>
      <c r="C12649" s="572">
        <v>306.07499999999999</v>
      </c>
    </row>
    <row r="12650" spans="1:3">
      <c r="A12650" s="571" t="s">
        <v>2192</v>
      </c>
      <c r="B12650" s="572">
        <v>26.991199999999999</v>
      </c>
      <c r="C12650" s="572">
        <v>283.74299999999999</v>
      </c>
    </row>
    <row r="12651" spans="1:3">
      <c r="A12651" s="48" t="s">
        <v>2193</v>
      </c>
      <c r="B12651" s="549">
        <v>-1.922299999999999E-2</v>
      </c>
      <c r="C12651" s="549">
        <v>1.3951899999999999</v>
      </c>
    </row>
    <row r="12652" spans="1:3">
      <c r="A12652" s="571" t="s">
        <v>2193</v>
      </c>
      <c r="B12652" s="572">
        <v>1.0798199999999998</v>
      </c>
      <c r="C12652" s="572">
        <v>27.715</v>
      </c>
    </row>
    <row r="12653" spans="1:3">
      <c r="A12653" s="571" t="s">
        <v>2193</v>
      </c>
      <c r="B12653" s="572">
        <v>2.9969399999999999</v>
      </c>
      <c r="C12653" s="572">
        <v>50.78</v>
      </c>
    </row>
    <row r="12654" spans="1:3">
      <c r="A12654" s="571" t="s">
        <v>2193</v>
      </c>
      <c r="B12654" s="572">
        <v>4.0145</v>
      </c>
      <c r="C12654" s="572">
        <v>75.554400000000001</v>
      </c>
    </row>
    <row r="12655" spans="1:3">
      <c r="A12655" s="571" t="s">
        <v>2193</v>
      </c>
      <c r="B12655" s="572">
        <v>5.1173599999999997</v>
      </c>
      <c r="C12655" s="572">
        <v>80.047200000000004</v>
      </c>
    </row>
    <row r="12656" spans="1:3">
      <c r="A12656" s="571" t="s">
        <v>2193</v>
      </c>
      <c r="B12656" s="572">
        <v>6.0553499999999998</v>
      </c>
      <c r="C12656" s="572">
        <v>92.362700000000004</v>
      </c>
    </row>
    <row r="12657" spans="1:3">
      <c r="A12657" s="571" t="s">
        <v>2193</v>
      </c>
      <c r="B12657" s="572">
        <v>6.9881500000000001</v>
      </c>
      <c r="C12657" s="572">
        <v>134.30000000000001</v>
      </c>
    </row>
    <row r="12658" spans="1:3">
      <c r="A12658" s="571" t="s">
        <v>2193</v>
      </c>
      <c r="B12658" s="572">
        <v>7.9670199999999998</v>
      </c>
      <c r="C12658" s="572">
        <v>146.60900000000001</v>
      </c>
    </row>
    <row r="12659" spans="1:3">
      <c r="A12659" s="571" t="s">
        <v>2193</v>
      </c>
      <c r="B12659" s="572">
        <v>8.9480699999999995</v>
      </c>
      <c r="C12659" s="572">
        <v>146.44499999999999</v>
      </c>
    </row>
    <row r="12660" spans="1:3">
      <c r="A12660" s="571" t="s">
        <v>2193</v>
      </c>
      <c r="B12660" s="572">
        <v>11.028700000000001</v>
      </c>
      <c r="C12660" s="572">
        <v>169.483</v>
      </c>
    </row>
    <row r="12661" spans="1:3">
      <c r="A12661" s="571" t="s">
        <v>2193</v>
      </c>
      <c r="B12661" s="572">
        <v>12.986700000000001</v>
      </c>
      <c r="C12661" s="572">
        <v>192.541</v>
      </c>
    </row>
    <row r="12662" spans="1:3">
      <c r="A12662" s="571" t="s">
        <v>2193</v>
      </c>
      <c r="B12662" s="572">
        <v>16.909800000000001</v>
      </c>
      <c r="C12662" s="572">
        <v>198.12200000000001</v>
      </c>
    </row>
    <row r="12663" spans="1:3">
      <c r="A12663" s="571" t="s">
        <v>2193</v>
      </c>
      <c r="B12663" s="572">
        <v>20.015699999999999</v>
      </c>
      <c r="C12663" s="572">
        <v>202.28</v>
      </c>
    </row>
    <row r="12664" spans="1:3">
      <c r="A12664" s="571" t="s">
        <v>2193</v>
      </c>
      <c r="B12664" s="572">
        <v>21.976400000000002</v>
      </c>
      <c r="C12664" s="572">
        <v>209.74799999999999</v>
      </c>
    </row>
    <row r="12665" spans="1:3">
      <c r="A12665" s="571" t="s">
        <v>2193</v>
      </c>
      <c r="B12665" s="572">
        <v>26.961200000000002</v>
      </c>
      <c r="C12665" s="572">
        <v>221.387</v>
      </c>
    </row>
    <row r="12666" spans="1:3">
      <c r="A12666" s="571" t="s">
        <v>2194</v>
      </c>
      <c r="B12666" s="572">
        <v>0.12501699999999999</v>
      </c>
      <c r="C12666" s="572">
        <v>1.26183</v>
      </c>
    </row>
    <row r="12667" spans="1:3">
      <c r="A12667" s="571" t="s">
        <v>2194</v>
      </c>
      <c r="B12667" s="572">
        <v>0.14174700000000001</v>
      </c>
      <c r="C12667" s="572">
        <v>2.52366</v>
      </c>
    </row>
    <row r="12668" spans="1:3">
      <c r="A12668" s="571" t="s">
        <v>2194</v>
      </c>
      <c r="B12668" s="572">
        <v>0.15848899999999999</v>
      </c>
      <c r="C12668" s="572">
        <v>7.5709799999999996</v>
      </c>
    </row>
    <row r="12669" spans="1:3">
      <c r="A12669" s="571" t="s">
        <v>2194</v>
      </c>
      <c r="B12669" s="572">
        <v>0.182224</v>
      </c>
      <c r="C12669" s="572">
        <v>11.3565</v>
      </c>
    </row>
    <row r="12670" spans="1:3">
      <c r="A12670" s="571" t="s">
        <v>2194</v>
      </c>
      <c r="B12670" s="572">
        <v>0.19539300000000001</v>
      </c>
      <c r="C12670" s="572">
        <v>26.4984</v>
      </c>
    </row>
    <row r="12671" spans="1:3">
      <c r="A12671" s="571" t="s">
        <v>2194</v>
      </c>
      <c r="B12671" s="572">
        <v>0.218471</v>
      </c>
      <c r="C12671" s="572">
        <v>70.662499999999994</v>
      </c>
    </row>
    <row r="12672" spans="1:3">
      <c r="A12672" s="571" t="s">
        <v>2194</v>
      </c>
      <c r="B12672" s="572">
        <v>0.234259</v>
      </c>
      <c r="C12672" s="572">
        <v>118.61199999999999</v>
      </c>
    </row>
    <row r="12673" spans="1:3">
      <c r="A12673" s="571" t="s">
        <v>2194</v>
      </c>
      <c r="B12673" s="572">
        <v>0.25471899999999997</v>
      </c>
      <c r="C12673" s="572">
        <v>133.75399999999999</v>
      </c>
    </row>
    <row r="12674" spans="1:3">
      <c r="A12674" s="571" t="s">
        <v>2194</v>
      </c>
      <c r="B12674" s="572">
        <v>0.26560899999999998</v>
      </c>
      <c r="C12674" s="572">
        <v>140.06299999999999</v>
      </c>
    </row>
    <row r="12675" spans="1:3">
      <c r="A12675" s="571" t="s">
        <v>2194</v>
      </c>
      <c r="B12675" s="572">
        <v>0.284804</v>
      </c>
      <c r="C12675" s="572">
        <v>145.11000000000001</v>
      </c>
    </row>
    <row r="12676" spans="1:3">
      <c r="A12676" s="571" t="s">
        <v>2194</v>
      </c>
      <c r="B12676" s="572">
        <v>0.30538599999999999</v>
      </c>
      <c r="C12676" s="572">
        <v>150.15799999999999</v>
      </c>
    </row>
    <row r="12677" spans="1:3">
      <c r="A12677" s="571" t="s">
        <v>2194</v>
      </c>
      <c r="B12677" s="572">
        <v>0.34145500000000001</v>
      </c>
      <c r="C12677" s="572">
        <v>151.41999999999999</v>
      </c>
    </row>
    <row r="12678" spans="1:3">
      <c r="A12678" s="571" t="s">
        <v>2194</v>
      </c>
      <c r="B12678" s="572">
        <v>0.38178400000000001</v>
      </c>
      <c r="C12678" s="572">
        <v>153.94300000000001</v>
      </c>
    </row>
    <row r="12679" spans="1:3">
      <c r="A12679" s="571" t="s">
        <v>2194</v>
      </c>
      <c r="B12679" s="572">
        <v>0.42687700000000001</v>
      </c>
      <c r="C12679" s="572">
        <v>155.20500000000001</v>
      </c>
    </row>
    <row r="12680" spans="1:3">
      <c r="A12680" s="571" t="s">
        <v>2194</v>
      </c>
      <c r="B12680" s="572">
        <v>0.49080499999999999</v>
      </c>
      <c r="C12680" s="572">
        <v>156.46700000000001</v>
      </c>
    </row>
    <row r="12681" spans="1:3">
      <c r="A12681" s="571" t="s">
        <v>2194</v>
      </c>
      <c r="B12681" s="572">
        <v>0.58027799999999996</v>
      </c>
      <c r="C12681" s="572">
        <v>156.46700000000001</v>
      </c>
    </row>
    <row r="12682" spans="1:3">
      <c r="A12682" s="571" t="s">
        <v>2194</v>
      </c>
      <c r="B12682" s="572">
        <v>0.66717899999999997</v>
      </c>
      <c r="C12682" s="572">
        <v>158.99100000000001</v>
      </c>
    </row>
    <row r="12683" spans="1:3">
      <c r="A12683" s="571" t="s">
        <v>2194</v>
      </c>
      <c r="B12683" s="572">
        <v>0.73564200000000002</v>
      </c>
      <c r="C12683" s="572">
        <v>160.25200000000001</v>
      </c>
    </row>
    <row r="12684" spans="1:3">
      <c r="A12684" s="571" t="s">
        <v>2194</v>
      </c>
      <c r="B12684" s="572">
        <v>0.82252999999999998</v>
      </c>
      <c r="C12684" s="572">
        <v>160.25200000000001</v>
      </c>
    </row>
    <row r="12685" spans="1:3">
      <c r="A12685" s="571" t="s">
        <v>2194</v>
      </c>
      <c r="B12685" s="572">
        <v>0.90693400000000002</v>
      </c>
      <c r="C12685" s="572">
        <v>161.51400000000001</v>
      </c>
    </row>
    <row r="12686" spans="1:3">
      <c r="A12686" s="571" t="s">
        <v>2194</v>
      </c>
      <c r="B12686" s="572">
        <v>1.0140499999999999</v>
      </c>
      <c r="C12686" s="572">
        <v>162.77600000000001</v>
      </c>
    </row>
    <row r="12687" spans="1:3">
      <c r="A12687" s="571" t="s">
        <v>2194</v>
      </c>
      <c r="B12687" s="572">
        <v>1.1026199999999999</v>
      </c>
      <c r="C12687" s="572">
        <v>164.03800000000001</v>
      </c>
    </row>
    <row r="12688" spans="1:3">
      <c r="A12688" s="571" t="s">
        <v>2194</v>
      </c>
      <c r="B12688" s="572">
        <v>1.1989099999999999</v>
      </c>
      <c r="C12688" s="572">
        <v>165.3</v>
      </c>
    </row>
    <row r="12689" spans="1:3">
      <c r="A12689" s="571" t="s">
        <v>2194</v>
      </c>
      <c r="B12689" s="572">
        <v>1.30362</v>
      </c>
      <c r="C12689" s="572">
        <v>166.56200000000001</v>
      </c>
    </row>
    <row r="12690" spans="1:3">
      <c r="A12690" s="571" t="s">
        <v>2194</v>
      </c>
      <c r="B12690" s="572">
        <v>1.3978299999999999</v>
      </c>
      <c r="C12690" s="572">
        <v>167.82300000000001</v>
      </c>
    </row>
    <row r="12691" spans="1:3">
      <c r="A12691" s="571" t="s">
        <v>2194</v>
      </c>
      <c r="B12691" s="572">
        <v>1.49885</v>
      </c>
      <c r="C12691" s="572">
        <v>167.82300000000001</v>
      </c>
    </row>
    <row r="12692" spans="1:3">
      <c r="A12692" s="571" t="s">
        <v>2194</v>
      </c>
      <c r="B12692" s="572">
        <v>1.60717</v>
      </c>
      <c r="C12692" s="572">
        <v>169.08500000000001</v>
      </c>
    </row>
    <row r="12693" spans="1:3">
      <c r="A12693" s="571" t="s">
        <v>2194</v>
      </c>
      <c r="B12693" s="572">
        <v>1.69943</v>
      </c>
      <c r="C12693" s="572">
        <v>170.34700000000001</v>
      </c>
    </row>
    <row r="12694" spans="1:3">
      <c r="A12694" s="571" t="s">
        <v>2194</v>
      </c>
      <c r="B12694" s="572">
        <v>1.8222400000000001</v>
      </c>
      <c r="C12694" s="572">
        <v>171.60900000000001</v>
      </c>
    </row>
    <row r="12695" spans="1:3">
      <c r="A12695" s="571" t="s">
        <v>2194</v>
      </c>
      <c r="B12695" s="572">
        <v>1.9539299999999999</v>
      </c>
      <c r="C12695" s="572">
        <v>172.87100000000001</v>
      </c>
    </row>
    <row r="12696" spans="1:3">
      <c r="A12696" s="571" t="s">
        <v>2194</v>
      </c>
      <c r="B12696" s="572">
        <v>2.0661</v>
      </c>
      <c r="C12696" s="572">
        <v>174.13200000000001</v>
      </c>
    </row>
    <row r="12697" spans="1:3">
      <c r="A12697" s="571" t="s">
        <v>2194</v>
      </c>
      <c r="B12697" s="572">
        <v>2.1544300000000001</v>
      </c>
      <c r="C12697" s="572">
        <v>175.39400000000001</v>
      </c>
    </row>
    <row r="12698" spans="1:3">
      <c r="A12698" s="571" t="s">
        <v>2194</v>
      </c>
      <c r="B12698" s="572">
        <v>2.31013</v>
      </c>
      <c r="C12698" s="572">
        <v>176.65600000000001</v>
      </c>
    </row>
    <row r="12699" spans="1:3">
      <c r="A12699" s="571" t="s">
        <v>2194</v>
      </c>
      <c r="B12699" s="572">
        <v>2.4089</v>
      </c>
      <c r="C12699" s="572">
        <v>177.91800000000001</v>
      </c>
    </row>
    <row r="12700" spans="1:3">
      <c r="A12700" s="571" t="s">
        <v>2194</v>
      </c>
      <c r="B12700" s="572">
        <v>2.6192799999999998</v>
      </c>
      <c r="C12700" s="572">
        <v>179.18</v>
      </c>
    </row>
    <row r="12701" spans="1:3">
      <c r="A12701" s="571" t="s">
        <v>2194</v>
      </c>
      <c r="B12701" s="572">
        <v>2.80857</v>
      </c>
      <c r="C12701" s="572">
        <v>181.703</v>
      </c>
    </row>
    <row r="12702" spans="1:3">
      <c r="A12702" s="571" t="s">
        <v>2194</v>
      </c>
      <c r="B12702" s="572">
        <v>3.0538599999999998</v>
      </c>
      <c r="C12702" s="572">
        <v>184.227</v>
      </c>
    </row>
    <row r="12703" spans="1:3">
      <c r="A12703" s="571" t="s">
        <v>2194</v>
      </c>
      <c r="B12703" s="572">
        <v>3.32057</v>
      </c>
      <c r="C12703" s="572">
        <v>185.489</v>
      </c>
    </row>
    <row r="12704" spans="1:3">
      <c r="A12704" s="571" t="s">
        <v>2194</v>
      </c>
      <c r="B12704" s="572">
        <v>3.56053</v>
      </c>
      <c r="C12704" s="572">
        <v>186.751</v>
      </c>
    </row>
    <row r="12705" spans="1:3">
      <c r="A12705" s="571" t="s">
        <v>2194</v>
      </c>
      <c r="B12705" s="572">
        <v>3.8715000000000002</v>
      </c>
      <c r="C12705" s="572">
        <v>188.01300000000001</v>
      </c>
    </row>
    <row r="12706" spans="1:3">
      <c r="A12706" s="571" t="s">
        <v>2194</v>
      </c>
      <c r="B12706" s="572">
        <v>4.2096200000000001</v>
      </c>
      <c r="C12706" s="572">
        <v>189.274</v>
      </c>
    </row>
    <row r="12707" spans="1:3">
      <c r="A12707" s="571" t="s">
        <v>2194</v>
      </c>
      <c r="B12707" s="572">
        <v>4.4512799999999997</v>
      </c>
      <c r="C12707" s="572">
        <v>190.536</v>
      </c>
    </row>
    <row r="12708" spans="1:3">
      <c r="A12708" s="571" t="s">
        <v>2194</v>
      </c>
      <c r="B12708" s="572">
        <v>4.8400299999999996</v>
      </c>
      <c r="C12708" s="572">
        <v>193.06</v>
      </c>
    </row>
    <row r="12709" spans="1:3">
      <c r="A12709" s="571" t="s">
        <v>2194</v>
      </c>
      <c r="B12709" s="572">
        <v>5.1898099999999996</v>
      </c>
      <c r="C12709" s="572">
        <v>195.584</v>
      </c>
    </row>
    <row r="12710" spans="1:3">
      <c r="A12710" s="571" t="s">
        <v>2194</v>
      </c>
      <c r="B12710" s="572">
        <v>5.7223699999999997</v>
      </c>
      <c r="C12710" s="572">
        <v>198.107</v>
      </c>
    </row>
    <row r="12711" spans="1:3">
      <c r="A12711" s="571" t="s">
        <v>2194</v>
      </c>
      <c r="B12711" s="572">
        <v>6.13591</v>
      </c>
      <c r="C12711" s="572">
        <v>200.631</v>
      </c>
    </row>
    <row r="12712" spans="1:3">
      <c r="A12712" s="571" t="s">
        <v>2194</v>
      </c>
      <c r="B12712" s="572">
        <v>6.5793299999999997</v>
      </c>
      <c r="C12712" s="572">
        <v>203.155</v>
      </c>
    </row>
    <row r="12713" spans="1:3">
      <c r="A12713" s="571" t="s">
        <v>2194</v>
      </c>
      <c r="B12713" s="572">
        <v>7.0548000000000002</v>
      </c>
      <c r="C12713" s="572">
        <v>205.678</v>
      </c>
    </row>
    <row r="12714" spans="1:3">
      <c r="A12714" s="571" t="s">
        <v>2194</v>
      </c>
      <c r="B12714" s="572">
        <v>7.4598000000000004</v>
      </c>
      <c r="C12714" s="572">
        <v>208.202</v>
      </c>
    </row>
    <row r="12715" spans="1:3">
      <c r="A12715" s="571" t="s">
        <v>2194</v>
      </c>
      <c r="B12715" s="572">
        <v>7.9988999999999999</v>
      </c>
      <c r="C12715" s="572">
        <v>210.726</v>
      </c>
    </row>
    <row r="12716" spans="1:3">
      <c r="A12716" s="571" t="s">
        <v>2194</v>
      </c>
      <c r="B12716" s="572">
        <v>8.5769599999999997</v>
      </c>
      <c r="C12716" s="572">
        <v>213.249</v>
      </c>
    </row>
    <row r="12717" spans="1:3">
      <c r="A12717" s="571" t="s">
        <v>2194</v>
      </c>
      <c r="B12717" s="572">
        <v>9.3260299999999994</v>
      </c>
      <c r="C12717" s="572">
        <v>215.773</v>
      </c>
    </row>
    <row r="12718" spans="1:3">
      <c r="A12718" s="571" t="s">
        <v>2194</v>
      </c>
      <c r="B12718" s="572">
        <v>10</v>
      </c>
      <c r="C12718" s="572">
        <v>219.55799999999999</v>
      </c>
    </row>
    <row r="12719" spans="1:3">
      <c r="A12719" s="571" t="s">
        <v>2194</v>
      </c>
      <c r="B12719" s="572">
        <v>10.8734</v>
      </c>
      <c r="C12719" s="572">
        <v>222.08199999999999</v>
      </c>
    </row>
    <row r="12720" spans="1:3">
      <c r="A12720" s="571" t="s">
        <v>2194</v>
      </c>
      <c r="B12720" s="572">
        <v>11.6591</v>
      </c>
      <c r="C12720" s="572">
        <v>225.86799999999999</v>
      </c>
    </row>
    <row r="12721" spans="1:3">
      <c r="A12721" s="571" t="s">
        <v>2194</v>
      </c>
      <c r="B12721" s="572">
        <v>12.6774</v>
      </c>
      <c r="C12721" s="572">
        <v>229.65299999999999</v>
      </c>
    </row>
    <row r="12722" spans="1:3">
      <c r="A12722" s="571" t="s">
        <v>2194</v>
      </c>
      <c r="B12722" s="572">
        <v>13.978300000000001</v>
      </c>
      <c r="C12722" s="572">
        <v>232.17699999999999</v>
      </c>
    </row>
    <row r="12723" spans="1:3">
      <c r="A12723" s="571" t="s">
        <v>2194</v>
      </c>
      <c r="B12723" s="572">
        <v>15.1991</v>
      </c>
      <c r="C12723" s="572">
        <v>235.96199999999999</v>
      </c>
    </row>
    <row r="12724" spans="1:3">
      <c r="A12724" s="571" t="s">
        <v>2194</v>
      </c>
      <c r="B12724" s="572">
        <v>16.297499999999999</v>
      </c>
      <c r="C12724" s="572">
        <v>238.48599999999999</v>
      </c>
    </row>
    <row r="12725" spans="1:3">
      <c r="A12725" s="571" t="s">
        <v>2194</v>
      </c>
      <c r="B12725" s="572">
        <v>17.475300000000001</v>
      </c>
      <c r="C12725" s="572">
        <v>241.00899999999999</v>
      </c>
    </row>
    <row r="12726" spans="1:3">
      <c r="A12726" s="571" t="s">
        <v>2194</v>
      </c>
      <c r="B12726" s="572">
        <v>19.0015</v>
      </c>
      <c r="C12726" s="572">
        <v>244.79499999999999</v>
      </c>
    </row>
    <row r="12727" spans="1:3">
      <c r="A12727" s="571" t="s">
        <v>2194</v>
      </c>
      <c r="B12727" s="572">
        <v>20.661000000000001</v>
      </c>
      <c r="C12727" s="572">
        <v>247.31899999999999</v>
      </c>
    </row>
    <row r="12728" spans="1:3">
      <c r="A12728" s="571" t="s">
        <v>2194</v>
      </c>
      <c r="B12728" s="572">
        <v>22.781199999999998</v>
      </c>
      <c r="C12728" s="572">
        <v>249.84200000000001</v>
      </c>
    </row>
    <row r="12729" spans="1:3">
      <c r="A12729" s="571" t="s">
        <v>2194</v>
      </c>
      <c r="B12729" s="572">
        <v>24.427499999999998</v>
      </c>
      <c r="C12729" s="572">
        <v>253.62799999999999</v>
      </c>
    </row>
    <row r="12730" spans="1:3">
      <c r="A12730" s="571" t="s">
        <v>2194</v>
      </c>
      <c r="B12730" s="572">
        <v>26.5609</v>
      </c>
      <c r="C12730" s="572">
        <v>256.15100000000001</v>
      </c>
    </row>
    <row r="12731" spans="1:3">
      <c r="A12731" s="571" t="s">
        <v>2194</v>
      </c>
      <c r="B12731" s="572">
        <v>28.480399999999999</v>
      </c>
      <c r="C12731" s="572">
        <v>258.67500000000001</v>
      </c>
    </row>
    <row r="12732" spans="1:3">
      <c r="A12732" s="571" t="s">
        <v>2194</v>
      </c>
      <c r="B12732" s="572">
        <v>30.967700000000001</v>
      </c>
      <c r="C12732" s="572">
        <v>262.46100000000001</v>
      </c>
    </row>
    <row r="12733" spans="1:3">
      <c r="A12733" s="571" t="s">
        <v>2194</v>
      </c>
      <c r="B12733" s="572">
        <v>33.6723</v>
      </c>
      <c r="C12733" s="572">
        <v>266.24599999999998</v>
      </c>
    </row>
    <row r="12734" spans="1:3">
      <c r="A12734" s="571" t="s">
        <v>2194</v>
      </c>
      <c r="B12734" s="572">
        <v>36.105699999999999</v>
      </c>
      <c r="C12734" s="572">
        <v>270.03199999999998</v>
      </c>
    </row>
    <row r="12735" spans="1:3">
      <c r="A12735" s="571" t="s">
        <v>2194</v>
      </c>
      <c r="B12735" s="572">
        <v>39.259</v>
      </c>
      <c r="C12735" s="572">
        <v>273.81700000000001</v>
      </c>
    </row>
    <row r="12736" spans="1:3">
      <c r="A12736" s="571" t="s">
        <v>2194</v>
      </c>
      <c r="B12736" s="572">
        <v>43.287599999999998</v>
      </c>
      <c r="C12736" s="572">
        <v>277.60300000000001</v>
      </c>
    </row>
    <row r="12737" spans="1:3">
      <c r="A12737" s="571" t="s">
        <v>2194</v>
      </c>
      <c r="B12737" s="572">
        <v>47.068199999999997</v>
      </c>
      <c r="C12737" s="572">
        <v>280.12599999999998</v>
      </c>
    </row>
    <row r="12738" spans="1:3">
      <c r="A12738" s="571" t="s">
        <v>2194</v>
      </c>
      <c r="B12738" s="572">
        <v>50.469700000000003</v>
      </c>
      <c r="C12738" s="572">
        <v>282.64999999999998</v>
      </c>
    </row>
    <row r="12739" spans="1:3">
      <c r="A12739" s="571" t="s">
        <v>2194</v>
      </c>
      <c r="B12739" s="572">
        <v>53.366999999999997</v>
      </c>
      <c r="C12739" s="572">
        <v>286.435</v>
      </c>
    </row>
    <row r="12740" spans="1:3">
      <c r="A12740" s="571" t="s">
        <v>2194</v>
      </c>
      <c r="B12740" s="572">
        <v>56.430700000000002</v>
      </c>
      <c r="C12740" s="572">
        <v>290.221</v>
      </c>
    </row>
    <row r="12741" spans="1:3">
      <c r="A12741" s="571" t="s">
        <v>2194</v>
      </c>
      <c r="B12741" s="572">
        <v>59.670200000000001</v>
      </c>
      <c r="C12741" s="572">
        <v>292.74400000000003</v>
      </c>
    </row>
    <row r="12742" spans="1:3">
      <c r="A12742" s="571" t="s">
        <v>2194</v>
      </c>
      <c r="B12742" s="572">
        <v>63.982399999999998</v>
      </c>
      <c r="C12742" s="572">
        <v>296.52999999999997</v>
      </c>
    </row>
    <row r="12743" spans="1:3">
      <c r="A12743" s="571" t="s">
        <v>2194</v>
      </c>
      <c r="B12743" s="572">
        <v>67.655500000000004</v>
      </c>
      <c r="C12743" s="572">
        <v>300.315</v>
      </c>
    </row>
    <row r="12744" spans="1:3">
      <c r="A12744" s="571" t="s">
        <v>2194</v>
      </c>
      <c r="B12744" s="572">
        <v>73.5642</v>
      </c>
      <c r="C12744" s="572">
        <v>304.101</v>
      </c>
    </row>
    <row r="12745" spans="1:3">
      <c r="A12745" s="571" t="s">
        <v>2194</v>
      </c>
      <c r="B12745" s="572">
        <v>78.880499999999998</v>
      </c>
      <c r="C12745" s="572">
        <v>307.88600000000002</v>
      </c>
    </row>
    <row r="12746" spans="1:3">
      <c r="A12746" s="571" t="s">
        <v>2194</v>
      </c>
      <c r="B12746" s="572">
        <v>83.408799999999999</v>
      </c>
      <c r="C12746" s="572">
        <v>310.41000000000003</v>
      </c>
    </row>
    <row r="12747" spans="1:3">
      <c r="A12747" s="571" t="s">
        <v>2194</v>
      </c>
      <c r="B12747" s="572">
        <v>89.436599999999999</v>
      </c>
      <c r="C12747" s="572">
        <v>314.19600000000003</v>
      </c>
    </row>
    <row r="12748" spans="1:3">
      <c r="A12748" s="571" t="s">
        <v>2195</v>
      </c>
      <c r="B12748" s="572">
        <v>0.14373900000000001</v>
      </c>
      <c r="C12748" s="572">
        <v>1.1993400000000001</v>
      </c>
    </row>
    <row r="12749" spans="1:3">
      <c r="A12749" s="571" t="s">
        <v>2195</v>
      </c>
      <c r="B12749" s="572">
        <v>0.17233100000000001</v>
      </c>
      <c r="C12749" s="572">
        <v>9.9731500000000001E-2</v>
      </c>
    </row>
    <row r="12750" spans="1:3">
      <c r="A12750" s="571" t="s">
        <v>2195</v>
      </c>
      <c r="B12750" s="572">
        <v>0.192685</v>
      </c>
      <c r="C12750" s="572">
        <v>1.38601</v>
      </c>
    </row>
    <row r="12751" spans="1:3">
      <c r="A12751" s="571" t="s">
        <v>2195</v>
      </c>
      <c r="B12751" s="572">
        <v>0.215443</v>
      </c>
      <c r="C12751" s="572">
        <v>26.722899999999999</v>
      </c>
    </row>
    <row r="12752" spans="1:3">
      <c r="A12752" s="571" t="s">
        <v>2195</v>
      </c>
      <c r="B12752" s="572">
        <v>0.22154099999999999</v>
      </c>
      <c r="C12752" s="572">
        <v>34.323</v>
      </c>
    </row>
    <row r="12753" spans="1:3">
      <c r="A12753" s="571" t="s">
        <v>2195</v>
      </c>
      <c r="B12753" s="572">
        <v>0.23755100000000001</v>
      </c>
      <c r="C12753" s="572">
        <v>49.525599999999997</v>
      </c>
    </row>
    <row r="12754" spans="1:3">
      <c r="A12754" s="571" t="s">
        <v>2195</v>
      </c>
      <c r="B12754" s="572">
        <v>0.251189</v>
      </c>
      <c r="C12754" s="572">
        <v>59.662399999999998</v>
      </c>
    </row>
    <row r="12755" spans="1:3">
      <c r="A12755" s="571" t="s">
        <v>2195</v>
      </c>
      <c r="B12755" s="572">
        <v>0.27312599999999998</v>
      </c>
      <c r="C12755" s="572">
        <v>66.006900000000002</v>
      </c>
    </row>
    <row r="12756" spans="1:3">
      <c r="A12756" s="571" t="s">
        <v>2195</v>
      </c>
      <c r="B12756" s="572">
        <v>0.29698000000000002</v>
      </c>
      <c r="C12756" s="572">
        <v>71.085499999999996</v>
      </c>
    </row>
    <row r="12757" spans="1:3">
      <c r="A12757" s="571" t="s">
        <v>2195</v>
      </c>
      <c r="B12757" s="572">
        <v>0.32291700000000001</v>
      </c>
      <c r="C12757" s="572">
        <v>76.164199999999994</v>
      </c>
    </row>
    <row r="12758" spans="1:3">
      <c r="A12758" s="571" t="s">
        <v>2195</v>
      </c>
      <c r="B12758" s="572">
        <v>0.36105700000000002</v>
      </c>
      <c r="C12758" s="572">
        <v>82.5137</v>
      </c>
    </row>
    <row r="12759" spans="1:3">
      <c r="A12759" s="571" t="s">
        <v>2195</v>
      </c>
      <c r="B12759" s="572">
        <v>0.40370200000000001</v>
      </c>
      <c r="C12759" s="572">
        <v>88.863299999999995</v>
      </c>
    </row>
    <row r="12760" spans="1:3">
      <c r="A12760" s="571" t="s">
        <v>2195</v>
      </c>
      <c r="B12760" s="572">
        <v>0.47068199999999999</v>
      </c>
      <c r="C12760" s="572">
        <v>92.688900000000004</v>
      </c>
    </row>
    <row r="12761" spans="1:3">
      <c r="A12761" s="571" t="s">
        <v>2195</v>
      </c>
      <c r="B12761" s="572">
        <v>0.54877500000000001</v>
      </c>
      <c r="C12761" s="572">
        <v>97.780299999999997</v>
      </c>
    </row>
    <row r="12762" spans="1:3">
      <c r="A12762" s="571" t="s">
        <v>2195</v>
      </c>
      <c r="B12762" s="572">
        <v>0.63982399999999995</v>
      </c>
      <c r="C12762" s="572">
        <v>99.074299999999994</v>
      </c>
    </row>
    <row r="12763" spans="1:3">
      <c r="A12763" s="571" t="s">
        <v>2195</v>
      </c>
      <c r="B12763" s="572">
        <v>0.73564200000000002</v>
      </c>
      <c r="C12763" s="572">
        <v>100.366</v>
      </c>
    </row>
    <row r="12764" spans="1:3">
      <c r="A12764" s="571" t="s">
        <v>2195</v>
      </c>
      <c r="B12764" s="572">
        <v>0.81113100000000005</v>
      </c>
      <c r="C12764" s="572">
        <v>101.649</v>
      </c>
    </row>
    <row r="12765" spans="1:3">
      <c r="A12765" s="571" t="s">
        <v>2195</v>
      </c>
      <c r="B12765" s="572">
        <v>0.90693400000000002</v>
      </c>
      <c r="C12765" s="572">
        <v>102.93600000000001</v>
      </c>
    </row>
    <row r="12766" spans="1:3">
      <c r="A12766" s="571" t="s">
        <v>2195</v>
      </c>
      <c r="B12766" s="572">
        <v>1</v>
      </c>
      <c r="C12766" s="572">
        <v>102.95399999999999</v>
      </c>
    </row>
    <row r="12767" spans="1:3">
      <c r="A12767" s="571" t="s">
        <v>2195</v>
      </c>
      <c r="B12767" s="572">
        <v>1.1181099999999999</v>
      </c>
      <c r="C12767" s="572">
        <v>104.24</v>
      </c>
    </row>
    <row r="12768" spans="1:3">
      <c r="A12768" s="571" t="s">
        <v>2195</v>
      </c>
      <c r="B12768" s="572">
        <v>1.1822999999999999</v>
      </c>
      <c r="C12768" s="572">
        <v>104.25</v>
      </c>
    </row>
    <row r="12769" spans="1:3">
      <c r="A12769" s="571" t="s">
        <v>2195</v>
      </c>
      <c r="B12769" s="572">
        <v>1.28556</v>
      </c>
      <c r="C12769" s="572">
        <v>105.53100000000001</v>
      </c>
    </row>
    <row r="12770" spans="1:3">
      <c r="A12770" s="571" t="s">
        <v>2195</v>
      </c>
      <c r="B12770" s="572">
        <v>1.3978299999999999</v>
      </c>
      <c r="C12770" s="572">
        <v>105.547</v>
      </c>
    </row>
    <row r="12771" spans="1:3">
      <c r="A12771" s="571" t="s">
        <v>2195</v>
      </c>
      <c r="B12771" s="572">
        <v>1.4780800000000001</v>
      </c>
      <c r="C12771" s="572">
        <v>104.291</v>
      </c>
    </row>
    <row r="12772" spans="1:3">
      <c r="A12772" s="571" t="s">
        <v>2195</v>
      </c>
      <c r="B12772" s="572">
        <v>1.5848899999999999</v>
      </c>
      <c r="C12772" s="572">
        <v>105.57</v>
      </c>
    </row>
    <row r="12773" spans="1:3">
      <c r="A12773" s="571" t="s">
        <v>2195</v>
      </c>
      <c r="B12773" s="572">
        <v>1.69943</v>
      </c>
      <c r="C12773" s="572">
        <v>105.58199999999999</v>
      </c>
    </row>
    <row r="12774" spans="1:3">
      <c r="A12774" s="571" t="s">
        <v>2195</v>
      </c>
      <c r="B12774" s="572">
        <v>1.8222400000000001</v>
      </c>
      <c r="C12774" s="572">
        <v>105.595</v>
      </c>
    </row>
    <row r="12775" spans="1:3">
      <c r="A12775" s="571" t="s">
        <v>2195</v>
      </c>
      <c r="B12775" s="572">
        <v>1.90015</v>
      </c>
      <c r="C12775" s="572">
        <v>105.60299999999999</v>
      </c>
    </row>
    <row r="12776" spans="1:3">
      <c r="A12776" s="571" t="s">
        <v>2195</v>
      </c>
      <c r="B12776" s="572">
        <v>2.0092300000000001</v>
      </c>
      <c r="C12776" s="572">
        <v>105.613</v>
      </c>
    </row>
    <row r="12777" spans="1:3">
      <c r="A12777" s="571" t="s">
        <v>2195</v>
      </c>
      <c r="B12777" s="572">
        <v>2.1245799999999999</v>
      </c>
      <c r="C12777" s="572">
        <v>106.889</v>
      </c>
    </row>
    <row r="12778" spans="1:3">
      <c r="A12778" s="571" t="s">
        <v>2195</v>
      </c>
      <c r="B12778" s="572">
        <v>2.2154099999999999</v>
      </c>
      <c r="C12778" s="572">
        <v>106.89700000000001</v>
      </c>
    </row>
    <row r="12779" spans="1:3">
      <c r="A12779" s="571" t="s">
        <v>2195</v>
      </c>
      <c r="B12779" s="572">
        <v>2.34259</v>
      </c>
      <c r="C12779" s="572">
        <v>105.64100000000001</v>
      </c>
    </row>
    <row r="12780" spans="1:3">
      <c r="A12780" s="571" t="s">
        <v>2195</v>
      </c>
      <c r="B12780" s="572">
        <v>2.4427500000000002</v>
      </c>
      <c r="C12780" s="572">
        <v>106.91500000000001</v>
      </c>
    </row>
    <row r="12781" spans="1:3">
      <c r="A12781" s="571" t="s">
        <v>2195</v>
      </c>
      <c r="B12781" s="572">
        <v>2.5829800000000001</v>
      </c>
      <c r="C12781" s="572">
        <v>106.925</v>
      </c>
    </row>
    <row r="12782" spans="1:3">
      <c r="A12782" s="571" t="s">
        <v>2195</v>
      </c>
      <c r="B12782" s="572">
        <v>2.6934100000000001</v>
      </c>
      <c r="C12782" s="572">
        <v>106.93300000000001</v>
      </c>
    </row>
    <row r="12783" spans="1:3">
      <c r="A12783" s="571" t="s">
        <v>2195</v>
      </c>
      <c r="B12783" s="572">
        <v>2.8480400000000001</v>
      </c>
      <c r="C12783" s="572">
        <v>106.943</v>
      </c>
    </row>
    <row r="12784" spans="1:3">
      <c r="A12784" s="571" t="s">
        <v>2195</v>
      </c>
      <c r="B12784" s="572">
        <v>3.0538599999999998</v>
      </c>
      <c r="C12784" s="572">
        <v>106.956</v>
      </c>
    </row>
    <row r="12785" spans="1:3">
      <c r="A12785" s="571" t="s">
        <v>2195</v>
      </c>
      <c r="B12785" s="572">
        <v>3.2291699999999999</v>
      </c>
      <c r="C12785" s="572">
        <v>106.96599999999999</v>
      </c>
    </row>
    <row r="12786" spans="1:3">
      <c r="A12786" s="571" t="s">
        <v>2195</v>
      </c>
      <c r="B12786" s="572">
        <v>3.4145500000000002</v>
      </c>
      <c r="C12786" s="572">
        <v>106.976</v>
      </c>
    </row>
    <row r="12787" spans="1:3">
      <c r="A12787" s="571" t="s">
        <v>2195</v>
      </c>
      <c r="B12787" s="572">
        <v>3.6105700000000001</v>
      </c>
      <c r="C12787" s="572">
        <v>106.986</v>
      </c>
    </row>
    <row r="12788" spans="1:3">
      <c r="A12788" s="571" t="s">
        <v>2195</v>
      </c>
      <c r="B12788" s="572">
        <v>3.8715000000000002</v>
      </c>
      <c r="C12788" s="572">
        <v>106.999</v>
      </c>
    </row>
    <row r="12789" spans="1:3">
      <c r="A12789" s="571" t="s">
        <v>2195</v>
      </c>
      <c r="B12789" s="572">
        <v>4.1512799999999999</v>
      </c>
      <c r="C12789" s="572">
        <v>107.012</v>
      </c>
    </row>
    <row r="12790" spans="1:3">
      <c r="A12790" s="571" t="s">
        <v>2195</v>
      </c>
      <c r="B12790" s="572">
        <v>4.3895900000000001</v>
      </c>
      <c r="C12790" s="572">
        <v>107.02200000000001</v>
      </c>
    </row>
    <row r="12791" spans="1:3">
      <c r="A12791" s="571" t="s">
        <v>2195</v>
      </c>
      <c r="B12791" s="572">
        <v>4.7068199999999996</v>
      </c>
      <c r="C12791" s="572">
        <v>107.035</v>
      </c>
    </row>
    <row r="12792" spans="1:3">
      <c r="A12792" s="571" t="s">
        <v>2195</v>
      </c>
      <c r="B12792" s="572">
        <v>4.9770200000000004</v>
      </c>
      <c r="C12792" s="572">
        <v>107.045</v>
      </c>
    </row>
    <row r="12793" spans="1:3">
      <c r="A12793" s="571" t="s">
        <v>2195</v>
      </c>
      <c r="B12793" s="572">
        <v>5.26274</v>
      </c>
      <c r="C12793" s="572">
        <v>107.05500000000001</v>
      </c>
    </row>
    <row r="12794" spans="1:3">
      <c r="A12794" s="571" t="s">
        <v>2195</v>
      </c>
      <c r="B12794" s="572">
        <v>5.5648600000000004</v>
      </c>
      <c r="C12794" s="572">
        <v>107.066</v>
      </c>
    </row>
    <row r="12795" spans="1:3">
      <c r="A12795" s="571" t="s">
        <v>2195</v>
      </c>
      <c r="B12795" s="572">
        <v>5.8843300000000003</v>
      </c>
      <c r="C12795" s="572">
        <v>107.07599999999999</v>
      </c>
    </row>
    <row r="12796" spans="1:3">
      <c r="A12796" s="571" t="s">
        <v>2195</v>
      </c>
      <c r="B12796" s="572">
        <v>6.3095699999999999</v>
      </c>
      <c r="C12796" s="572">
        <v>107.089</v>
      </c>
    </row>
    <row r="12797" spans="1:3">
      <c r="A12797" s="571" t="s">
        <v>2195</v>
      </c>
      <c r="B12797" s="572">
        <v>6.7655500000000002</v>
      </c>
      <c r="C12797" s="572">
        <v>107.101</v>
      </c>
    </row>
    <row r="12798" spans="1:3">
      <c r="A12798" s="571" t="s">
        <v>2195</v>
      </c>
      <c r="B12798" s="572">
        <v>7.35642</v>
      </c>
      <c r="C12798" s="572">
        <v>107.117</v>
      </c>
    </row>
    <row r="12799" spans="1:3">
      <c r="A12799" s="571" t="s">
        <v>2195</v>
      </c>
      <c r="B12799" s="572">
        <v>7.77874</v>
      </c>
      <c r="C12799" s="572">
        <v>107.127</v>
      </c>
    </row>
    <row r="12800" spans="1:3">
      <c r="A12800" s="571" t="s">
        <v>2195</v>
      </c>
      <c r="B12800" s="572">
        <v>8.4581</v>
      </c>
      <c r="C12800" s="572">
        <v>108.408</v>
      </c>
    </row>
    <row r="12801" spans="1:3">
      <c r="A12801" s="571" t="s">
        <v>2195</v>
      </c>
      <c r="B12801" s="572">
        <v>8.9436599999999995</v>
      </c>
      <c r="C12801" s="572">
        <v>109.684</v>
      </c>
    </row>
    <row r="12802" spans="1:3">
      <c r="A12802" s="571" t="s">
        <v>2195</v>
      </c>
      <c r="B12802" s="572">
        <v>9.5899900000000002</v>
      </c>
      <c r="C12802" s="572">
        <v>110.96299999999999</v>
      </c>
    </row>
    <row r="12803" spans="1:3">
      <c r="A12803" s="571" t="s">
        <v>2195</v>
      </c>
      <c r="B12803" s="572">
        <v>10.140499999999999</v>
      </c>
      <c r="C12803" s="572">
        <v>110.973</v>
      </c>
    </row>
    <row r="12804" spans="1:3">
      <c r="A12804" s="571" t="s">
        <v>2195</v>
      </c>
      <c r="B12804" s="572">
        <v>10.8734</v>
      </c>
      <c r="C12804" s="572">
        <v>112.252</v>
      </c>
    </row>
    <row r="12805" spans="1:3">
      <c r="A12805" s="571" t="s">
        <v>2195</v>
      </c>
      <c r="B12805" s="572">
        <v>11.823</v>
      </c>
      <c r="C12805" s="572">
        <v>113.533</v>
      </c>
    </row>
    <row r="12806" spans="1:3">
      <c r="A12806" s="571" t="s">
        <v>2195</v>
      </c>
      <c r="B12806" s="572">
        <v>12.855600000000001</v>
      </c>
      <c r="C12806" s="572">
        <v>113.548</v>
      </c>
    </row>
    <row r="12807" spans="1:3">
      <c r="A12807" s="571" t="s">
        <v>2195</v>
      </c>
      <c r="B12807" s="572">
        <v>13.784599999999999</v>
      </c>
      <c r="C12807" s="572">
        <v>116.093</v>
      </c>
    </row>
    <row r="12808" spans="1:3">
      <c r="A12808" s="571" t="s">
        <v>2195</v>
      </c>
      <c r="B12808" s="572">
        <v>14.780799999999999</v>
      </c>
      <c r="C12808" s="572">
        <v>117.371</v>
      </c>
    </row>
    <row r="12809" spans="1:3">
      <c r="A12809" s="571" t="s">
        <v>2195</v>
      </c>
      <c r="B12809" s="572">
        <v>15.8489</v>
      </c>
      <c r="C12809" s="572">
        <v>117.384</v>
      </c>
    </row>
    <row r="12810" spans="1:3">
      <c r="A12810" s="571" t="s">
        <v>2195</v>
      </c>
      <c r="B12810" s="572">
        <v>16.994299999999999</v>
      </c>
      <c r="C12810" s="572">
        <v>118.663</v>
      </c>
    </row>
    <row r="12811" spans="1:3">
      <c r="A12811" s="571" t="s">
        <v>2195</v>
      </c>
      <c r="B12811" s="572">
        <v>17.969899999999999</v>
      </c>
      <c r="C12811" s="572">
        <v>119.93899999999999</v>
      </c>
    </row>
    <row r="12812" spans="1:3">
      <c r="A12812" s="571" t="s">
        <v>2195</v>
      </c>
      <c r="B12812" s="572">
        <v>19.2685</v>
      </c>
      <c r="C12812" s="572">
        <v>121.217</v>
      </c>
    </row>
    <row r="12813" spans="1:3">
      <c r="A12813" s="571" t="s">
        <v>2195</v>
      </c>
      <c r="B12813" s="572">
        <v>20.661000000000001</v>
      </c>
      <c r="C12813" s="572">
        <v>122.496</v>
      </c>
    </row>
    <row r="12814" spans="1:3">
      <c r="A12814" s="571" t="s">
        <v>2195</v>
      </c>
      <c r="B12814" s="572">
        <v>21.847100000000001</v>
      </c>
      <c r="C12814" s="572">
        <v>125.038</v>
      </c>
    </row>
    <row r="12815" spans="1:3">
      <c r="A12815" s="571" t="s">
        <v>2195</v>
      </c>
      <c r="B12815" s="572">
        <v>23.755099999999999</v>
      </c>
      <c r="C12815" s="572">
        <v>126.319</v>
      </c>
    </row>
    <row r="12816" spans="1:3">
      <c r="A12816" s="571" t="s">
        <v>2195</v>
      </c>
      <c r="B12816" s="572">
        <v>25.471900000000002</v>
      </c>
      <c r="C12816" s="572">
        <v>127.59699999999999</v>
      </c>
    </row>
    <row r="12817" spans="1:3">
      <c r="A12817" s="571" t="s">
        <v>2195</v>
      </c>
      <c r="B12817" s="572">
        <v>27.6965</v>
      </c>
      <c r="C12817" s="572">
        <v>128.87899999999999</v>
      </c>
    </row>
    <row r="12818" spans="1:3">
      <c r="A12818" s="571" t="s">
        <v>2195</v>
      </c>
      <c r="B12818" s="572">
        <v>28.880600000000001</v>
      </c>
      <c r="C12818" s="572">
        <v>131.41800000000001</v>
      </c>
    </row>
    <row r="12819" spans="1:3">
      <c r="A12819" s="571" t="s">
        <v>2195</v>
      </c>
      <c r="B12819" s="572">
        <v>30.967700000000001</v>
      </c>
      <c r="C12819" s="572">
        <v>132.697</v>
      </c>
    </row>
    <row r="12820" spans="1:3">
      <c r="A12820" s="571" t="s">
        <v>2195</v>
      </c>
      <c r="B12820" s="572">
        <v>33.2057</v>
      </c>
      <c r="C12820" s="572">
        <v>135.24100000000001</v>
      </c>
    </row>
    <row r="12821" spans="1:3">
      <c r="A12821" s="571" t="s">
        <v>2195</v>
      </c>
      <c r="B12821" s="572">
        <v>35.111899999999999</v>
      </c>
      <c r="C12821" s="572">
        <v>137.78299999999999</v>
      </c>
    </row>
    <row r="12822" spans="1:3">
      <c r="A12822" s="571" t="s">
        <v>2195</v>
      </c>
      <c r="B12822" s="572">
        <v>37.127600000000001</v>
      </c>
      <c r="C12822" s="572">
        <v>140.32499999999999</v>
      </c>
    </row>
    <row r="12823" spans="1:3">
      <c r="A12823" s="571" t="s">
        <v>2195</v>
      </c>
      <c r="B12823" s="572">
        <v>39.259</v>
      </c>
      <c r="C12823" s="572">
        <v>142.86699999999999</v>
      </c>
    </row>
    <row r="12824" spans="1:3">
      <c r="A12824" s="571" t="s">
        <v>2195</v>
      </c>
      <c r="B12824" s="572">
        <v>41.512799999999999</v>
      </c>
      <c r="C12824" s="572">
        <v>145.40899999999999</v>
      </c>
    </row>
    <row r="12825" spans="1:3">
      <c r="A12825" s="571" t="s">
        <v>2195</v>
      </c>
      <c r="B12825" s="572">
        <v>44.512799999999999</v>
      </c>
      <c r="C12825" s="572">
        <v>147.953</v>
      </c>
    </row>
    <row r="12826" spans="1:3">
      <c r="A12826" s="571" t="s">
        <v>2195</v>
      </c>
      <c r="B12826" s="572">
        <v>47.729599999999998</v>
      </c>
      <c r="C12826" s="572">
        <v>150.49700000000001</v>
      </c>
    </row>
    <row r="12827" spans="1:3">
      <c r="A12827" s="571" t="s">
        <v>2195</v>
      </c>
      <c r="B12827" s="572">
        <v>49.770200000000003</v>
      </c>
      <c r="C12827" s="572">
        <v>155.56800000000001</v>
      </c>
    </row>
    <row r="12828" spans="1:3">
      <c r="A12828" s="571" t="s">
        <v>2195</v>
      </c>
      <c r="B12828" s="572">
        <v>53.366999999999997</v>
      </c>
      <c r="C12828" s="572">
        <v>158.113</v>
      </c>
    </row>
    <row r="12829" spans="1:3">
      <c r="A12829" s="571" t="s">
        <v>2195</v>
      </c>
      <c r="B12829" s="572">
        <v>56.430700000000002</v>
      </c>
      <c r="C12829" s="572">
        <v>160.655</v>
      </c>
    </row>
    <row r="12830" spans="1:3">
      <c r="A12830" s="571" t="s">
        <v>2195</v>
      </c>
      <c r="B12830" s="572">
        <v>60.508800000000001</v>
      </c>
      <c r="C12830" s="572">
        <v>163.19900000000001</v>
      </c>
    </row>
    <row r="12831" spans="1:3">
      <c r="A12831" s="571" t="s">
        <v>2195</v>
      </c>
      <c r="B12831" s="572">
        <v>64.881500000000003</v>
      </c>
      <c r="C12831" s="572">
        <v>168.27500000000001</v>
      </c>
    </row>
    <row r="12832" spans="1:3">
      <c r="A12832" s="571" t="s">
        <v>2195</v>
      </c>
      <c r="B12832" s="572">
        <v>67.655500000000004</v>
      </c>
      <c r="C12832" s="572">
        <v>172.08</v>
      </c>
    </row>
    <row r="12833" spans="1:3">
      <c r="A12833" s="571" t="s">
        <v>2195</v>
      </c>
      <c r="B12833" s="572">
        <v>71.539400000000001</v>
      </c>
      <c r="C12833" s="572">
        <v>174.62200000000001</v>
      </c>
    </row>
    <row r="12834" spans="1:3">
      <c r="A12834" s="571" t="s">
        <v>2195</v>
      </c>
      <c r="B12834" s="572">
        <v>74.597999999999999</v>
      </c>
      <c r="C12834" s="572">
        <v>177.161</v>
      </c>
    </row>
    <row r="12835" spans="1:3">
      <c r="A12835" s="571" t="s">
        <v>2195</v>
      </c>
      <c r="B12835" s="572">
        <v>77.787400000000005</v>
      </c>
      <c r="C12835" s="572">
        <v>179.70099999999999</v>
      </c>
    </row>
    <row r="12836" spans="1:3">
      <c r="A12836" s="571" t="s">
        <v>2195</v>
      </c>
      <c r="B12836" s="572">
        <v>81.113100000000003</v>
      </c>
      <c r="C12836" s="572">
        <v>182.24</v>
      </c>
    </row>
    <row r="12837" spans="1:3">
      <c r="A12837" s="571" t="s">
        <v>2195</v>
      </c>
      <c r="B12837" s="572">
        <v>85.769599999999997</v>
      </c>
      <c r="C12837" s="572">
        <v>184.78200000000001</v>
      </c>
    </row>
    <row r="12838" spans="1:3">
      <c r="A12838" s="571" t="s">
        <v>2195</v>
      </c>
      <c r="B12838" s="572">
        <v>89.436599999999999</v>
      </c>
      <c r="C12838" s="572">
        <v>187.321</v>
      </c>
    </row>
    <row r="12839" spans="1:3">
      <c r="A12839" s="571" t="s">
        <v>2196</v>
      </c>
      <c r="B12839" s="572">
        <v>0.16087099999999999</v>
      </c>
      <c r="C12839" s="572">
        <v>0</v>
      </c>
    </row>
    <row r="12840" spans="1:3">
      <c r="A12840" s="571" t="s">
        <v>2196</v>
      </c>
      <c r="B12840" s="572">
        <v>0.17252100000000001</v>
      </c>
      <c r="C12840" s="572">
        <v>2.5396800000000002</v>
      </c>
    </row>
    <row r="12841" spans="1:3">
      <c r="A12841" s="571" t="s">
        <v>2196</v>
      </c>
      <c r="B12841" s="572">
        <v>0.19026199999999999</v>
      </c>
      <c r="C12841" s="572">
        <v>3.80952</v>
      </c>
    </row>
    <row r="12842" spans="1:3">
      <c r="A12842" s="571" t="s">
        <v>2196</v>
      </c>
      <c r="B12842" s="572">
        <v>0.20982700000000001</v>
      </c>
      <c r="C12842" s="572">
        <v>2.5396800000000002</v>
      </c>
    </row>
    <row r="12843" spans="1:3">
      <c r="A12843" s="571" t="s">
        <v>2196</v>
      </c>
      <c r="B12843" s="572">
        <v>0.22819200000000001</v>
      </c>
      <c r="C12843" s="572">
        <v>31.745999999999999</v>
      </c>
    </row>
    <row r="12844" spans="1:3">
      <c r="A12844" s="571" t="s">
        <v>2196</v>
      </c>
      <c r="B12844" s="572">
        <v>0.24816299999999999</v>
      </c>
      <c r="C12844" s="572">
        <v>45.714300000000001</v>
      </c>
    </row>
    <row r="12845" spans="1:3">
      <c r="A12845" s="571" t="s">
        <v>2196</v>
      </c>
      <c r="B12845" s="572">
        <v>0.26243899999999998</v>
      </c>
      <c r="C12845" s="572">
        <v>50.793700000000001</v>
      </c>
    </row>
    <row r="12846" spans="1:3">
      <c r="A12846" s="571" t="s">
        <v>2196</v>
      </c>
      <c r="B12846" s="572">
        <v>0.26988200000000001</v>
      </c>
      <c r="C12846" s="572">
        <v>50.793700000000001</v>
      </c>
    </row>
    <row r="12847" spans="1:3">
      <c r="A12847" s="571" t="s">
        <v>2196</v>
      </c>
      <c r="B12847" s="572">
        <v>0.285408</v>
      </c>
      <c r="C12847" s="572">
        <v>54.603200000000001</v>
      </c>
    </row>
    <row r="12848" spans="1:3">
      <c r="A12848" s="571" t="s">
        <v>2196</v>
      </c>
      <c r="B12848" s="572">
        <v>0.32824199999999998</v>
      </c>
      <c r="C12848" s="572">
        <v>59.682499999999997</v>
      </c>
    </row>
    <row r="12849" spans="1:3">
      <c r="A12849" s="571" t="s">
        <v>2196</v>
      </c>
      <c r="B12849" s="572">
        <v>0.36709399999999998</v>
      </c>
      <c r="C12849" s="572">
        <v>64.761899999999997</v>
      </c>
    </row>
    <row r="12850" spans="1:3">
      <c r="A12850" s="571" t="s">
        <v>2196</v>
      </c>
      <c r="B12850" s="572">
        <v>0.40484399999999998</v>
      </c>
      <c r="C12850" s="572">
        <v>68.571399999999997</v>
      </c>
    </row>
    <row r="12851" spans="1:3">
      <c r="A12851" s="571" t="s">
        <v>2196</v>
      </c>
      <c r="B12851" s="572">
        <v>0.49238799999999999</v>
      </c>
      <c r="C12851" s="572">
        <v>73.650800000000004</v>
      </c>
    </row>
    <row r="12852" spans="1:3">
      <c r="A12852" s="571" t="s">
        <v>2196</v>
      </c>
      <c r="B12852" s="572">
        <v>0.58234699999999995</v>
      </c>
      <c r="C12852" s="572">
        <v>74.920599999999993</v>
      </c>
    </row>
    <row r="12853" spans="1:3">
      <c r="A12853" s="571" t="s">
        <v>2196</v>
      </c>
      <c r="B12853" s="572">
        <v>0.67917799999999995</v>
      </c>
      <c r="C12853" s="572">
        <v>77.460300000000004</v>
      </c>
    </row>
    <row r="12854" spans="1:3">
      <c r="A12854" s="571" t="s">
        <v>2196</v>
      </c>
      <c r="B12854" s="572">
        <v>0.75956800000000002</v>
      </c>
      <c r="C12854" s="572">
        <v>78.730199999999996</v>
      </c>
    </row>
    <row r="12855" spans="1:3">
      <c r="A12855" s="571" t="s">
        <v>2196</v>
      </c>
      <c r="B12855" s="572">
        <v>0.84947300000000003</v>
      </c>
      <c r="C12855" s="572">
        <v>78.730199999999996</v>
      </c>
    </row>
    <row r="12856" spans="1:3">
      <c r="A12856" s="571" t="s">
        <v>2196</v>
      </c>
      <c r="B12856" s="572">
        <v>0.93682799999999999</v>
      </c>
      <c r="C12856" s="572">
        <v>78.730199999999996</v>
      </c>
    </row>
    <row r="12857" spans="1:3">
      <c r="A12857" s="571" t="s">
        <v>2196</v>
      </c>
      <c r="B12857" s="572">
        <v>1.06247</v>
      </c>
      <c r="C12857" s="572">
        <v>81.269800000000004</v>
      </c>
    </row>
    <row r="12858" spans="1:3">
      <c r="A12858" s="571" t="s">
        <v>2196</v>
      </c>
      <c r="B12858" s="572">
        <v>1.1235900000000001</v>
      </c>
      <c r="C12858" s="572">
        <v>78.730199999999996</v>
      </c>
    </row>
    <row r="12859" spans="1:3">
      <c r="A12859" s="571" t="s">
        <v>2196</v>
      </c>
      <c r="B12859" s="572">
        <v>1.20496</v>
      </c>
      <c r="C12859" s="572">
        <v>81.269800000000004</v>
      </c>
    </row>
    <row r="12860" spans="1:3">
      <c r="A12860" s="571" t="s">
        <v>2196</v>
      </c>
      <c r="B12860" s="572">
        <v>1.34758</v>
      </c>
      <c r="C12860" s="572">
        <v>82.539699999999996</v>
      </c>
    </row>
    <row r="12861" spans="1:3">
      <c r="A12861" s="571" t="s">
        <v>2196</v>
      </c>
      <c r="B12861" s="572">
        <v>1.4251</v>
      </c>
      <c r="C12861" s="572">
        <v>83.8095</v>
      </c>
    </row>
    <row r="12862" spans="1:3">
      <c r="A12862" s="571" t="s">
        <v>2196</v>
      </c>
      <c r="B12862" s="572">
        <v>1.5283100000000001</v>
      </c>
      <c r="C12862" s="572">
        <v>82.539699999999996</v>
      </c>
    </row>
    <row r="12863" spans="1:3">
      <c r="A12863" s="571" t="s">
        <v>2196</v>
      </c>
      <c r="B12863" s="572">
        <v>1.6389800000000001</v>
      </c>
      <c r="C12863" s="572">
        <v>83.8095</v>
      </c>
    </row>
    <row r="12864" spans="1:3">
      <c r="A12864" s="571" t="s">
        <v>2196</v>
      </c>
      <c r="B12864" s="572">
        <v>1.78243</v>
      </c>
      <c r="C12864" s="572">
        <v>85.079400000000007</v>
      </c>
    </row>
    <row r="12865" spans="1:3">
      <c r="A12865" s="571" t="s">
        <v>2196</v>
      </c>
      <c r="B12865" s="572">
        <v>1.9384300000000001</v>
      </c>
      <c r="C12865" s="572">
        <v>85.079400000000007</v>
      </c>
    </row>
    <row r="12866" spans="1:3">
      <c r="A12866" s="571" t="s">
        <v>2196</v>
      </c>
      <c r="B12866" s="572">
        <v>2.0788099999999998</v>
      </c>
      <c r="C12866" s="572">
        <v>85.079400000000007</v>
      </c>
    </row>
    <row r="12867" spans="1:3">
      <c r="A12867" s="571" t="s">
        <v>2196</v>
      </c>
      <c r="B12867" s="572">
        <v>2.2607400000000002</v>
      </c>
      <c r="C12867" s="572">
        <v>85.079400000000007</v>
      </c>
    </row>
    <row r="12868" spans="1:3">
      <c r="A12868" s="571" t="s">
        <v>2196</v>
      </c>
      <c r="B12868" s="572">
        <v>2.4244599999999998</v>
      </c>
      <c r="C12868" s="572">
        <v>85.079400000000007</v>
      </c>
    </row>
    <row r="12869" spans="1:3">
      <c r="A12869" s="571" t="s">
        <v>2196</v>
      </c>
      <c r="B12869" s="572">
        <v>2.6737799999999998</v>
      </c>
      <c r="C12869" s="572">
        <v>86.349199999999996</v>
      </c>
    </row>
    <row r="12870" spans="1:3">
      <c r="A12870" s="571" t="s">
        <v>2196</v>
      </c>
      <c r="B12870" s="572">
        <v>2.9487299999999999</v>
      </c>
      <c r="C12870" s="572">
        <v>86.349199999999996</v>
      </c>
    </row>
    <row r="12871" spans="1:3">
      <c r="A12871" s="571" t="s">
        <v>2196</v>
      </c>
      <c r="B12871" s="572">
        <v>3.25196</v>
      </c>
      <c r="C12871" s="572">
        <v>86.349199999999996</v>
      </c>
    </row>
    <row r="12872" spans="1:3">
      <c r="A12872" s="571" t="s">
        <v>2196</v>
      </c>
      <c r="B12872" s="572">
        <v>3.5863800000000001</v>
      </c>
      <c r="C12872" s="572">
        <v>86.349199999999996</v>
      </c>
    </row>
    <row r="12873" spans="1:3">
      <c r="A12873" s="571" t="s">
        <v>2196</v>
      </c>
      <c r="B12873" s="572">
        <v>4.0108699999999997</v>
      </c>
      <c r="C12873" s="572">
        <v>86.349199999999996</v>
      </c>
    </row>
    <row r="12874" spans="1:3">
      <c r="A12874" s="571" t="s">
        <v>2196</v>
      </c>
      <c r="B12874" s="572">
        <v>4.4856100000000003</v>
      </c>
      <c r="C12874" s="572">
        <v>86.349199999999996</v>
      </c>
    </row>
    <row r="12875" spans="1:3">
      <c r="A12875" s="571" t="s">
        <v>2196</v>
      </c>
      <c r="B12875" s="572">
        <v>4.9468899999999998</v>
      </c>
      <c r="C12875" s="572">
        <v>86.349199999999996</v>
      </c>
    </row>
    <row r="12876" spans="1:3">
      <c r="A12876" s="571" t="s">
        <v>2196</v>
      </c>
      <c r="B12876" s="572">
        <v>5.3051300000000001</v>
      </c>
      <c r="C12876" s="572">
        <v>87.619</v>
      </c>
    </row>
    <row r="12877" spans="1:3">
      <c r="A12877" s="571" t="s">
        <v>2196</v>
      </c>
      <c r="B12877" s="572">
        <v>5.8506799999999997</v>
      </c>
      <c r="C12877" s="572">
        <v>87.619</v>
      </c>
    </row>
    <row r="12878" spans="1:3">
      <c r="A12878" s="571" t="s">
        <v>2196</v>
      </c>
      <c r="B12878" s="572">
        <v>6.5431900000000001</v>
      </c>
      <c r="C12878" s="572">
        <v>87.619</v>
      </c>
    </row>
    <row r="12879" spans="1:3">
      <c r="A12879" s="571" t="s">
        <v>2196</v>
      </c>
      <c r="B12879" s="572">
        <v>7.3176600000000001</v>
      </c>
      <c r="C12879" s="572">
        <v>88.888900000000007</v>
      </c>
    </row>
    <row r="12880" spans="1:3">
      <c r="A12880" s="571" t="s">
        <v>2196</v>
      </c>
      <c r="B12880" s="572">
        <v>8.1838099999999994</v>
      </c>
      <c r="C12880" s="572">
        <v>90.158699999999996</v>
      </c>
    </row>
    <row r="12881" spans="1:3">
      <c r="A12881" s="571" t="s">
        <v>2196</v>
      </c>
      <c r="B12881" s="572">
        <v>9.0253800000000002</v>
      </c>
      <c r="C12881" s="572">
        <v>90.158699999999996</v>
      </c>
    </row>
    <row r="12882" spans="1:3">
      <c r="A12882" s="571" t="s">
        <v>2196</v>
      </c>
      <c r="B12882" s="572">
        <v>10.235799999999999</v>
      </c>
      <c r="C12882" s="572">
        <v>91.428600000000003</v>
      </c>
    </row>
    <row r="12883" spans="1:3">
      <c r="A12883" s="571" t="s">
        <v>2196</v>
      </c>
      <c r="B12883" s="572">
        <v>11.772</v>
      </c>
      <c r="C12883" s="572">
        <v>91.428600000000003</v>
      </c>
    </row>
    <row r="12884" spans="1:3">
      <c r="A12884" s="571" t="s">
        <v>2196</v>
      </c>
      <c r="B12884" s="572">
        <v>13.5388</v>
      </c>
      <c r="C12884" s="572">
        <v>91.428600000000003</v>
      </c>
    </row>
    <row r="12885" spans="1:3">
      <c r="A12885" s="571" t="s">
        <v>2196</v>
      </c>
      <c r="B12885" s="572">
        <v>15.5707</v>
      </c>
      <c r="C12885" s="572">
        <v>93.968299999999999</v>
      </c>
    </row>
    <row r="12886" spans="1:3">
      <c r="A12886" s="571" t="s">
        <v>2196</v>
      </c>
      <c r="B12886" s="572">
        <v>18.415400000000002</v>
      </c>
      <c r="C12886" s="572">
        <v>96.507900000000006</v>
      </c>
    </row>
    <row r="12887" spans="1:3">
      <c r="A12887" s="571" t="s">
        <v>2196</v>
      </c>
      <c r="B12887" s="572">
        <v>20.885200000000001</v>
      </c>
      <c r="C12887" s="572">
        <v>97.777799999999999</v>
      </c>
    </row>
    <row r="12888" spans="1:3">
      <c r="A12888" s="571" t="s">
        <v>2196</v>
      </c>
      <c r="B12888" s="572">
        <v>23.357199999999999</v>
      </c>
      <c r="C12888" s="572">
        <v>99.047600000000003</v>
      </c>
    </row>
    <row r="12889" spans="1:3">
      <c r="A12889" s="571" t="s">
        <v>2196</v>
      </c>
      <c r="B12889" s="572">
        <v>26.1219</v>
      </c>
      <c r="C12889" s="572">
        <v>101.587</v>
      </c>
    </row>
    <row r="12890" spans="1:3">
      <c r="A12890" s="571" t="s">
        <v>2196</v>
      </c>
      <c r="B12890" s="572">
        <v>29.213699999999999</v>
      </c>
      <c r="C12890" s="572">
        <v>105.39700000000001</v>
      </c>
    </row>
    <row r="12891" spans="1:3">
      <c r="A12891" s="571" t="s">
        <v>2196</v>
      </c>
      <c r="B12891" s="572">
        <v>32.671599999999998</v>
      </c>
      <c r="C12891" s="572">
        <v>106.667</v>
      </c>
    </row>
    <row r="12892" spans="1:3">
      <c r="A12892" s="571" t="s">
        <v>2196</v>
      </c>
      <c r="B12892" s="572">
        <v>37.053199999999997</v>
      </c>
      <c r="C12892" s="572">
        <v>109.206</v>
      </c>
    </row>
    <row r="12893" spans="1:3">
      <c r="A12893" s="571" t="s">
        <v>2196</v>
      </c>
      <c r="B12893" s="572">
        <v>42.022500000000001</v>
      </c>
      <c r="C12893" s="572">
        <v>113.01600000000001</v>
      </c>
    </row>
    <row r="12894" spans="1:3">
      <c r="A12894" s="571" t="s">
        <v>2196</v>
      </c>
      <c r="B12894" s="572">
        <v>47.658200000000001</v>
      </c>
      <c r="C12894" s="572">
        <v>116.825</v>
      </c>
    </row>
    <row r="12895" spans="1:3">
      <c r="A12895" s="571" t="s">
        <v>2196</v>
      </c>
      <c r="B12895" s="572">
        <v>51.8292</v>
      </c>
      <c r="C12895" s="572">
        <v>116.825</v>
      </c>
    </row>
    <row r="12896" spans="1:3">
      <c r="A12896" s="571" t="s">
        <v>2196</v>
      </c>
      <c r="B12896" s="572">
        <v>56.365299999999998</v>
      </c>
      <c r="C12896" s="572">
        <v>121.905</v>
      </c>
    </row>
    <row r="12897" spans="1:3">
      <c r="A12897" s="571" t="s">
        <v>2196</v>
      </c>
      <c r="B12897" s="572">
        <v>63.924599999999998</v>
      </c>
      <c r="C12897" s="572">
        <v>125.714</v>
      </c>
    </row>
    <row r="12898" spans="1:3">
      <c r="A12898" s="571" t="s">
        <v>2196</v>
      </c>
      <c r="B12898" s="572">
        <v>71.490899999999996</v>
      </c>
      <c r="C12898" s="572">
        <v>128.25399999999999</v>
      </c>
    </row>
    <row r="12899" spans="1:3">
      <c r="A12899" s="571" t="s">
        <v>2196</v>
      </c>
      <c r="B12899" s="572">
        <v>79.9529</v>
      </c>
      <c r="C12899" s="572">
        <v>132.06299999999999</v>
      </c>
    </row>
    <row r="12900" spans="1:3">
      <c r="A12900" s="571" t="s">
        <v>2196</v>
      </c>
      <c r="B12900" s="572">
        <v>89.416399999999996</v>
      </c>
      <c r="C12900" s="572">
        <v>139.68299999999999</v>
      </c>
    </row>
    <row r="12901" spans="1:3">
      <c r="A12901" s="571" t="s">
        <v>2197</v>
      </c>
      <c r="B12901" s="572">
        <v>0.39604</v>
      </c>
      <c r="C12901" s="572">
        <v>120</v>
      </c>
    </row>
    <row r="12902" spans="1:3">
      <c r="A12902" s="571" t="s">
        <v>2197</v>
      </c>
      <c r="B12902" s="572">
        <v>0.594059</v>
      </c>
      <c r="C12902" s="572">
        <v>150.58799999999999</v>
      </c>
    </row>
    <row r="12903" spans="1:3">
      <c r="A12903" s="571" t="s">
        <v>2197</v>
      </c>
      <c r="B12903" s="572">
        <v>0.79207899999999998</v>
      </c>
      <c r="C12903" s="572">
        <v>164.70599999999999</v>
      </c>
    </row>
    <row r="12904" spans="1:3">
      <c r="A12904" s="571" t="s">
        <v>2197</v>
      </c>
      <c r="B12904" s="572">
        <v>1.3861399999999999</v>
      </c>
      <c r="C12904" s="572">
        <v>176.471</v>
      </c>
    </row>
    <row r="12905" spans="1:3">
      <c r="A12905" s="571" t="s">
        <v>2197</v>
      </c>
      <c r="B12905" s="572">
        <v>1.58416</v>
      </c>
      <c r="C12905" s="572">
        <v>188.23500000000001</v>
      </c>
    </row>
    <row r="12906" spans="1:3">
      <c r="A12906" s="571" t="s">
        <v>2197</v>
      </c>
      <c r="B12906" s="572">
        <v>2.17822</v>
      </c>
      <c r="C12906" s="572">
        <v>200</v>
      </c>
    </row>
    <row r="12907" spans="1:3">
      <c r="A12907" s="571" t="s">
        <v>2197</v>
      </c>
      <c r="B12907" s="572">
        <v>2.7722799999999999</v>
      </c>
      <c r="C12907" s="572">
        <v>218.82400000000001</v>
      </c>
    </row>
    <row r="12908" spans="1:3">
      <c r="A12908" s="571" t="s">
        <v>2197</v>
      </c>
      <c r="B12908" s="572">
        <v>3.7623799999999998</v>
      </c>
      <c r="C12908" s="572">
        <v>232.941</v>
      </c>
    </row>
    <row r="12909" spans="1:3">
      <c r="A12909" s="571" t="s">
        <v>2197</v>
      </c>
      <c r="B12909" s="572">
        <v>4.9504999999999999</v>
      </c>
      <c r="C12909" s="572">
        <v>247.059</v>
      </c>
    </row>
    <row r="12910" spans="1:3">
      <c r="A12910" s="571" t="s">
        <v>2197</v>
      </c>
      <c r="B12910" s="572">
        <v>6.3366300000000004</v>
      </c>
      <c r="C12910" s="572">
        <v>261.17599999999999</v>
      </c>
    </row>
    <row r="12911" spans="1:3">
      <c r="A12911" s="571" t="s">
        <v>2197</v>
      </c>
      <c r="B12911" s="572">
        <v>7.52475</v>
      </c>
      <c r="C12911" s="572">
        <v>270.58800000000002</v>
      </c>
    </row>
    <row r="12912" spans="1:3">
      <c r="A12912" s="571" t="s">
        <v>2197</v>
      </c>
      <c r="B12912" s="572">
        <v>8.5148499999999991</v>
      </c>
      <c r="C12912" s="572">
        <v>282.35300000000001</v>
      </c>
    </row>
    <row r="12913" spans="1:3">
      <c r="A12913" s="571" t="s">
        <v>2197</v>
      </c>
      <c r="B12913" s="572">
        <v>9.7029700000000005</v>
      </c>
      <c r="C12913" s="572">
        <v>294.11799999999999</v>
      </c>
    </row>
    <row r="12914" spans="1:3">
      <c r="A12914" s="571" t="s">
        <v>2197</v>
      </c>
      <c r="B12914" s="572">
        <v>11.485099999999999</v>
      </c>
      <c r="C12914" s="572">
        <v>305.88200000000001</v>
      </c>
    </row>
    <row r="12915" spans="1:3">
      <c r="A12915" s="571" t="s">
        <v>2197</v>
      </c>
      <c r="B12915" s="572">
        <v>13.0693</v>
      </c>
      <c r="C12915" s="572">
        <v>317.64699999999999</v>
      </c>
    </row>
    <row r="12916" spans="1:3">
      <c r="A12916" s="571" t="s">
        <v>2197</v>
      </c>
      <c r="B12916" s="572">
        <v>14.8515</v>
      </c>
      <c r="C12916" s="572">
        <v>329.41199999999998</v>
      </c>
    </row>
    <row r="12917" spans="1:3">
      <c r="A12917" s="571" t="s">
        <v>2197</v>
      </c>
      <c r="B12917" s="572">
        <v>16.435600000000001</v>
      </c>
      <c r="C12917" s="572">
        <v>338.82400000000001</v>
      </c>
    </row>
    <row r="12918" spans="1:3">
      <c r="A12918" s="571" t="s">
        <v>2197</v>
      </c>
      <c r="B12918" s="572">
        <v>18.0198</v>
      </c>
      <c r="C12918" s="572">
        <v>348.23500000000001</v>
      </c>
    </row>
    <row r="12919" spans="1:3">
      <c r="A12919" s="571" t="s">
        <v>2197</v>
      </c>
      <c r="B12919" s="572">
        <v>19.802</v>
      </c>
      <c r="C12919" s="572">
        <v>357.64699999999999</v>
      </c>
    </row>
    <row r="12920" spans="1:3">
      <c r="A12920" s="571" t="s">
        <v>2197</v>
      </c>
      <c r="B12920" s="572">
        <v>21.386099999999999</v>
      </c>
      <c r="C12920" s="572">
        <v>364.70600000000002</v>
      </c>
    </row>
    <row r="12921" spans="1:3">
      <c r="A12921" s="571" t="s">
        <v>2197</v>
      </c>
      <c r="B12921" s="572">
        <v>23.168299999999999</v>
      </c>
      <c r="C12921" s="572">
        <v>371.76499999999999</v>
      </c>
    </row>
    <row r="12922" spans="1:3">
      <c r="A12922" s="571" t="s">
        <v>2197</v>
      </c>
      <c r="B12922" s="572">
        <v>24.950500000000002</v>
      </c>
      <c r="C12922" s="572">
        <v>374.11799999999999</v>
      </c>
    </row>
    <row r="12923" spans="1:3">
      <c r="A12923" s="571" t="s">
        <v>2197</v>
      </c>
      <c r="B12923" s="572">
        <v>26.534700000000001</v>
      </c>
      <c r="C12923" s="572">
        <v>381.17599999999999</v>
      </c>
    </row>
    <row r="12924" spans="1:3">
      <c r="A12924" s="571" t="s">
        <v>2197</v>
      </c>
      <c r="B12924" s="572">
        <v>28.316800000000001</v>
      </c>
      <c r="C12924" s="572">
        <v>383.529</v>
      </c>
    </row>
    <row r="12925" spans="1:3">
      <c r="A12925" s="571" t="s">
        <v>2197</v>
      </c>
      <c r="B12925" s="572">
        <v>29.901</v>
      </c>
      <c r="C12925" s="572">
        <v>390.58800000000002</v>
      </c>
    </row>
    <row r="12926" spans="1:3">
      <c r="A12926" s="571" t="s">
        <v>2197</v>
      </c>
      <c r="B12926" s="572">
        <v>31.8812</v>
      </c>
      <c r="C12926" s="572">
        <v>395.29399999999998</v>
      </c>
    </row>
    <row r="12927" spans="1:3">
      <c r="A12927" s="571" t="s">
        <v>2197</v>
      </c>
      <c r="B12927" s="572">
        <v>33.663400000000003</v>
      </c>
      <c r="C12927" s="572">
        <v>397.64699999999999</v>
      </c>
    </row>
    <row r="12928" spans="1:3">
      <c r="A12928" s="571" t="s">
        <v>2197</v>
      </c>
      <c r="B12928" s="572">
        <v>35.445500000000003</v>
      </c>
      <c r="C12928" s="572">
        <v>402.35300000000001</v>
      </c>
    </row>
    <row r="12929" spans="1:3">
      <c r="A12929" s="571" t="s">
        <v>2197</v>
      </c>
      <c r="B12929" s="572">
        <v>37.425699999999999</v>
      </c>
      <c r="C12929" s="572">
        <v>407.05900000000003</v>
      </c>
    </row>
    <row r="12930" spans="1:3">
      <c r="A12930" s="571" t="s">
        <v>2197</v>
      </c>
      <c r="B12930" s="572">
        <v>39.207900000000002</v>
      </c>
      <c r="C12930" s="572">
        <v>409.41199999999998</v>
      </c>
    </row>
    <row r="12931" spans="1:3">
      <c r="A12931" s="571" t="s">
        <v>2197</v>
      </c>
      <c r="B12931" s="572">
        <v>40.990099999999998</v>
      </c>
      <c r="C12931" s="572">
        <v>414.11799999999999</v>
      </c>
    </row>
    <row r="12932" spans="1:3">
      <c r="A12932" s="571" t="s">
        <v>2197</v>
      </c>
      <c r="B12932" s="572">
        <v>42.178199999999997</v>
      </c>
      <c r="C12932" s="572">
        <v>418.82400000000001</v>
      </c>
    </row>
    <row r="12933" spans="1:3">
      <c r="A12933" s="571" t="s">
        <v>2197</v>
      </c>
      <c r="B12933" s="572">
        <v>43.9604</v>
      </c>
      <c r="C12933" s="572">
        <v>421.17599999999999</v>
      </c>
    </row>
    <row r="12934" spans="1:3">
      <c r="A12934" s="571" t="s">
        <v>2197</v>
      </c>
      <c r="B12934" s="572">
        <v>45.148499999999999</v>
      </c>
      <c r="C12934" s="572">
        <v>423.529</v>
      </c>
    </row>
    <row r="12935" spans="1:3">
      <c r="A12935" s="571" t="s">
        <v>2197</v>
      </c>
      <c r="B12935" s="572">
        <v>47.128700000000002</v>
      </c>
      <c r="C12935" s="572">
        <v>425.88200000000001</v>
      </c>
    </row>
    <row r="12936" spans="1:3">
      <c r="A12936" s="571" t="s">
        <v>2197</v>
      </c>
      <c r="B12936" s="572">
        <v>49.108899999999998</v>
      </c>
      <c r="C12936" s="572">
        <v>428.23500000000001</v>
      </c>
    </row>
    <row r="12937" spans="1:3">
      <c r="A12937" s="571" t="s">
        <v>2197</v>
      </c>
      <c r="B12937" s="572">
        <v>50.891100000000002</v>
      </c>
      <c r="C12937" s="572">
        <v>430.58800000000002</v>
      </c>
    </row>
    <row r="12938" spans="1:3">
      <c r="A12938" s="571" t="s">
        <v>2197</v>
      </c>
      <c r="B12938" s="572">
        <v>52.871299999999998</v>
      </c>
      <c r="C12938" s="572">
        <v>432.94099999999997</v>
      </c>
    </row>
    <row r="12939" spans="1:3">
      <c r="A12939" s="571" t="s">
        <v>2197</v>
      </c>
      <c r="B12939" s="572">
        <v>54.851500000000001</v>
      </c>
      <c r="C12939" s="572">
        <v>432.94099999999997</v>
      </c>
    </row>
    <row r="12940" spans="1:3">
      <c r="A12940" s="571" t="s">
        <v>2197</v>
      </c>
      <c r="B12940" s="572">
        <v>56.633699999999997</v>
      </c>
      <c r="C12940" s="572">
        <v>435.29399999999998</v>
      </c>
    </row>
    <row r="12941" spans="1:3">
      <c r="A12941" s="571" t="s">
        <v>2197</v>
      </c>
      <c r="B12941" s="572">
        <v>58.613900000000001</v>
      </c>
      <c r="C12941" s="572">
        <v>437.64699999999999</v>
      </c>
    </row>
    <row r="12942" spans="1:3">
      <c r="A12942" s="571" t="s">
        <v>2197</v>
      </c>
      <c r="B12942" s="572">
        <v>60.594099999999997</v>
      </c>
      <c r="C12942" s="572">
        <v>437.64699999999999</v>
      </c>
    </row>
    <row r="12943" spans="1:3">
      <c r="A12943" s="571" t="s">
        <v>2197</v>
      </c>
      <c r="B12943" s="572">
        <v>62.376199999999997</v>
      </c>
      <c r="C12943" s="572">
        <v>440</v>
      </c>
    </row>
    <row r="12944" spans="1:3">
      <c r="A12944" s="571" t="s">
        <v>2197</v>
      </c>
      <c r="B12944" s="572">
        <v>63.168300000000002</v>
      </c>
      <c r="C12944" s="572">
        <v>442.35300000000001</v>
      </c>
    </row>
    <row r="12945" spans="1:3">
      <c r="A12945" s="571" t="s">
        <v>2197</v>
      </c>
      <c r="B12945" s="572">
        <v>64.752499999999998</v>
      </c>
      <c r="C12945" s="572">
        <v>437.64699999999999</v>
      </c>
    </row>
    <row r="12946" spans="1:3">
      <c r="A12946" s="571" t="s">
        <v>2197</v>
      </c>
      <c r="B12946" s="572">
        <v>65.940600000000003</v>
      </c>
      <c r="C12946" s="572">
        <v>437.64699999999999</v>
      </c>
    </row>
    <row r="12947" spans="1:3">
      <c r="A12947" s="571" t="s">
        <v>2197</v>
      </c>
      <c r="B12947" s="572">
        <v>67.722800000000007</v>
      </c>
      <c r="C12947" s="572">
        <v>437.64699999999999</v>
      </c>
    </row>
    <row r="12948" spans="1:3">
      <c r="A12948" s="571" t="s">
        <v>2197</v>
      </c>
      <c r="B12948" s="572">
        <v>69.703000000000003</v>
      </c>
      <c r="C12948" s="572">
        <v>437.64699999999999</v>
      </c>
    </row>
    <row r="12949" spans="1:3">
      <c r="A12949" s="571" t="s">
        <v>2197</v>
      </c>
      <c r="B12949" s="572">
        <v>70.891099999999994</v>
      </c>
      <c r="C12949" s="572">
        <v>440</v>
      </c>
    </row>
    <row r="12950" spans="1:3">
      <c r="A12950" s="571" t="s">
        <v>2197</v>
      </c>
      <c r="B12950" s="572">
        <v>72.475200000000001</v>
      </c>
      <c r="C12950" s="572">
        <v>442.35300000000001</v>
      </c>
    </row>
    <row r="12951" spans="1:3">
      <c r="A12951" s="571" t="s">
        <v>2197</v>
      </c>
      <c r="B12951" s="572">
        <v>75.049499999999995</v>
      </c>
      <c r="C12951" s="572">
        <v>444.70600000000002</v>
      </c>
    </row>
    <row r="12952" spans="1:3">
      <c r="A12952" s="571" t="s">
        <v>2197</v>
      </c>
      <c r="B12952" s="572">
        <v>76.039599999999993</v>
      </c>
      <c r="C12952" s="572">
        <v>447.05900000000003</v>
      </c>
    </row>
    <row r="12953" spans="1:3">
      <c r="A12953" s="571" t="s">
        <v>2197</v>
      </c>
      <c r="B12953" s="572">
        <v>78.019800000000004</v>
      </c>
      <c r="C12953" s="572">
        <v>444.70600000000002</v>
      </c>
    </row>
    <row r="12954" spans="1:3">
      <c r="A12954" s="571" t="s">
        <v>2197</v>
      </c>
      <c r="B12954" s="572">
        <v>80</v>
      </c>
      <c r="C12954" s="572">
        <v>447.05900000000003</v>
      </c>
    </row>
    <row r="12955" spans="1:3">
      <c r="A12955" s="571" t="s">
        <v>2197</v>
      </c>
      <c r="B12955" s="572">
        <v>82.178200000000004</v>
      </c>
      <c r="C12955" s="572">
        <v>449.41199999999998</v>
      </c>
    </row>
    <row r="12956" spans="1:3">
      <c r="A12956" s="571" t="s">
        <v>2197</v>
      </c>
      <c r="B12956" s="572">
        <v>84.1584</v>
      </c>
      <c r="C12956" s="572">
        <v>449.41199999999998</v>
      </c>
    </row>
    <row r="12957" spans="1:3">
      <c r="A12957" s="571" t="s">
        <v>2197</v>
      </c>
      <c r="B12957" s="572">
        <v>86.138599999999997</v>
      </c>
      <c r="C12957" s="572">
        <v>454.11799999999999</v>
      </c>
    </row>
    <row r="12958" spans="1:3">
      <c r="A12958" s="571" t="s">
        <v>2197</v>
      </c>
      <c r="B12958" s="572">
        <v>88.316800000000001</v>
      </c>
      <c r="C12958" s="572">
        <v>451.76499999999999</v>
      </c>
    </row>
    <row r="12959" spans="1:3">
      <c r="A12959" s="571" t="s">
        <v>2197</v>
      </c>
      <c r="B12959" s="572">
        <v>90.495000000000005</v>
      </c>
      <c r="C12959" s="572">
        <v>454.11799999999999</v>
      </c>
    </row>
    <row r="12960" spans="1:3">
      <c r="A12960" s="571" t="s">
        <v>2198</v>
      </c>
      <c r="B12960" s="572">
        <v>0.59523800000000004</v>
      </c>
      <c r="C12960" s="572">
        <v>127.059</v>
      </c>
    </row>
    <row r="12961" spans="1:3">
      <c r="A12961" s="571" t="s">
        <v>2198</v>
      </c>
      <c r="B12961" s="572">
        <v>0.793651</v>
      </c>
      <c r="C12961" s="572">
        <v>136.471</v>
      </c>
    </row>
    <row r="12962" spans="1:3">
      <c r="A12962" s="571" t="s">
        <v>2198</v>
      </c>
      <c r="B12962" s="572">
        <v>1.38889</v>
      </c>
      <c r="C12962" s="572">
        <v>157.64699999999999</v>
      </c>
    </row>
    <row r="12963" spans="1:3">
      <c r="A12963" s="571" t="s">
        <v>2198</v>
      </c>
      <c r="B12963" s="572">
        <v>2.7777799999999999</v>
      </c>
      <c r="C12963" s="572">
        <v>169.41200000000001</v>
      </c>
    </row>
    <row r="12964" spans="1:3">
      <c r="A12964" s="571" t="s">
        <v>2198</v>
      </c>
      <c r="B12964" s="572">
        <v>3.9682499999999998</v>
      </c>
      <c r="C12964" s="572">
        <v>171.76499999999999</v>
      </c>
    </row>
    <row r="12965" spans="1:3">
      <c r="A12965" s="571" t="s">
        <v>2198</v>
      </c>
      <c r="B12965" s="572">
        <v>5.1587300000000003</v>
      </c>
      <c r="C12965" s="572">
        <v>188.23500000000001</v>
      </c>
    </row>
    <row r="12966" spans="1:3">
      <c r="A12966" s="571" t="s">
        <v>2198</v>
      </c>
      <c r="B12966" s="572">
        <v>6.1507899999999998</v>
      </c>
      <c r="C12966" s="572">
        <v>202.35300000000001</v>
      </c>
    </row>
    <row r="12967" spans="1:3">
      <c r="A12967" s="571" t="s">
        <v>2198</v>
      </c>
      <c r="B12967" s="572">
        <v>7.3412699999999997</v>
      </c>
      <c r="C12967" s="572">
        <v>214.11799999999999</v>
      </c>
    </row>
    <row r="12968" spans="1:3">
      <c r="A12968" s="571" t="s">
        <v>2198</v>
      </c>
      <c r="B12968" s="572">
        <v>8.5317500000000006</v>
      </c>
      <c r="C12968" s="572">
        <v>230.58799999999999</v>
      </c>
    </row>
    <row r="12969" spans="1:3">
      <c r="A12969" s="571" t="s">
        <v>2198</v>
      </c>
      <c r="B12969" s="572">
        <v>9.9206299999999992</v>
      </c>
      <c r="C12969" s="572">
        <v>244.70599999999999</v>
      </c>
    </row>
    <row r="12970" spans="1:3">
      <c r="A12970" s="571" t="s">
        <v>2198</v>
      </c>
      <c r="B12970" s="572">
        <v>11.706300000000001</v>
      </c>
      <c r="C12970" s="572">
        <v>256.471</v>
      </c>
    </row>
    <row r="12971" spans="1:3">
      <c r="A12971" s="571" t="s">
        <v>2198</v>
      </c>
      <c r="B12971" s="572">
        <v>13.293699999999999</v>
      </c>
      <c r="C12971" s="572">
        <v>268.23500000000001</v>
      </c>
    </row>
    <row r="12972" spans="1:3">
      <c r="A12972" s="571" t="s">
        <v>2198</v>
      </c>
      <c r="B12972" s="572">
        <v>15.0794</v>
      </c>
      <c r="C12972" s="572">
        <v>277.64699999999999</v>
      </c>
    </row>
    <row r="12973" spans="1:3">
      <c r="A12973" s="571" t="s">
        <v>2198</v>
      </c>
      <c r="B12973" s="572">
        <v>17.063500000000001</v>
      </c>
      <c r="C12973" s="572">
        <v>284.70600000000002</v>
      </c>
    </row>
    <row r="12974" spans="1:3">
      <c r="A12974" s="571" t="s">
        <v>2198</v>
      </c>
      <c r="B12974" s="572">
        <v>18.8492</v>
      </c>
      <c r="C12974" s="572">
        <v>291.76499999999999</v>
      </c>
    </row>
    <row r="12975" spans="1:3">
      <c r="A12975" s="571" t="s">
        <v>2198</v>
      </c>
      <c r="B12975" s="572">
        <v>20.833300000000001</v>
      </c>
      <c r="C12975" s="572">
        <v>296.471</v>
      </c>
    </row>
    <row r="12976" spans="1:3">
      <c r="A12976" s="571" t="s">
        <v>2198</v>
      </c>
      <c r="B12976" s="572">
        <v>22.619</v>
      </c>
      <c r="C12976" s="572">
        <v>303.529</v>
      </c>
    </row>
    <row r="12977" spans="1:3">
      <c r="A12977" s="571" t="s">
        <v>2198</v>
      </c>
      <c r="B12977" s="572">
        <v>24.603200000000001</v>
      </c>
      <c r="C12977" s="572">
        <v>308.23500000000001</v>
      </c>
    </row>
    <row r="12978" spans="1:3">
      <c r="A12978" s="571" t="s">
        <v>2198</v>
      </c>
      <c r="B12978" s="572">
        <v>26.3889</v>
      </c>
      <c r="C12978" s="572">
        <v>312.94099999999997</v>
      </c>
    </row>
    <row r="12979" spans="1:3">
      <c r="A12979" s="571" t="s">
        <v>2198</v>
      </c>
      <c r="B12979" s="572">
        <v>28.373000000000001</v>
      </c>
      <c r="C12979" s="572">
        <v>317.64699999999999</v>
      </c>
    </row>
    <row r="12980" spans="1:3">
      <c r="A12980" s="571" t="s">
        <v>2198</v>
      </c>
      <c r="B12980" s="572">
        <v>30.1587</v>
      </c>
      <c r="C12980" s="572">
        <v>322.35300000000001</v>
      </c>
    </row>
    <row r="12981" spans="1:3">
      <c r="A12981" s="571" t="s">
        <v>2198</v>
      </c>
      <c r="B12981" s="572">
        <v>32.142899999999997</v>
      </c>
      <c r="C12981" s="572">
        <v>327.05900000000003</v>
      </c>
    </row>
    <row r="12982" spans="1:3">
      <c r="A12982" s="571" t="s">
        <v>2198</v>
      </c>
      <c r="B12982" s="572">
        <v>34.127000000000002</v>
      </c>
      <c r="C12982" s="572">
        <v>329.41199999999998</v>
      </c>
    </row>
    <row r="12983" spans="1:3">
      <c r="A12983" s="571" t="s">
        <v>2198</v>
      </c>
      <c r="B12983" s="572">
        <v>35.912700000000001</v>
      </c>
      <c r="C12983" s="572">
        <v>334.11799999999999</v>
      </c>
    </row>
    <row r="12984" spans="1:3">
      <c r="A12984" s="571" t="s">
        <v>2198</v>
      </c>
      <c r="B12984" s="572">
        <v>37.896799999999999</v>
      </c>
      <c r="C12984" s="572">
        <v>336.471</v>
      </c>
    </row>
    <row r="12985" spans="1:3">
      <c r="A12985" s="571" t="s">
        <v>2198</v>
      </c>
      <c r="B12985" s="572">
        <v>39.682499999999997</v>
      </c>
      <c r="C12985" s="572">
        <v>341.17599999999999</v>
      </c>
    </row>
    <row r="12986" spans="1:3">
      <c r="A12986" s="571" t="s">
        <v>2198</v>
      </c>
      <c r="B12986" s="572">
        <v>41.666699999999999</v>
      </c>
      <c r="C12986" s="572">
        <v>343.529</v>
      </c>
    </row>
    <row r="12987" spans="1:3">
      <c r="A12987" s="571" t="s">
        <v>2198</v>
      </c>
      <c r="B12987" s="572">
        <v>43.650799999999997</v>
      </c>
      <c r="C12987" s="572">
        <v>345.88200000000001</v>
      </c>
    </row>
    <row r="12988" spans="1:3">
      <c r="A12988" s="571" t="s">
        <v>2198</v>
      </c>
      <c r="B12988" s="572">
        <v>45.436500000000002</v>
      </c>
      <c r="C12988" s="572">
        <v>350.58800000000002</v>
      </c>
    </row>
    <row r="12989" spans="1:3">
      <c r="A12989" s="571" t="s">
        <v>2198</v>
      </c>
      <c r="B12989" s="572">
        <v>47.4206</v>
      </c>
      <c r="C12989" s="572">
        <v>352.94099999999997</v>
      </c>
    </row>
    <row r="12990" spans="1:3">
      <c r="A12990" s="571" t="s">
        <v>2198</v>
      </c>
      <c r="B12990" s="572">
        <v>49.404800000000002</v>
      </c>
      <c r="C12990" s="572">
        <v>352.94099999999997</v>
      </c>
    </row>
    <row r="12991" spans="1:3">
      <c r="A12991" s="571" t="s">
        <v>2198</v>
      </c>
      <c r="B12991" s="572">
        <v>50.396799999999999</v>
      </c>
      <c r="C12991" s="572">
        <v>355.29399999999998</v>
      </c>
    </row>
    <row r="12992" spans="1:3">
      <c r="A12992" s="571" t="s">
        <v>2198</v>
      </c>
      <c r="B12992" s="572">
        <v>52.381</v>
      </c>
      <c r="C12992" s="572">
        <v>357.64699999999999</v>
      </c>
    </row>
    <row r="12993" spans="1:3">
      <c r="A12993" s="571" t="s">
        <v>2198</v>
      </c>
      <c r="B12993" s="572">
        <v>54.365099999999998</v>
      </c>
      <c r="C12993" s="572">
        <v>355.29399999999998</v>
      </c>
    </row>
    <row r="12994" spans="1:3">
      <c r="A12994" s="571" t="s">
        <v>2198</v>
      </c>
      <c r="B12994" s="572">
        <v>56.150799999999997</v>
      </c>
      <c r="C12994" s="572">
        <v>357.64699999999999</v>
      </c>
    </row>
    <row r="12995" spans="1:3">
      <c r="A12995" s="571" t="s">
        <v>2198</v>
      </c>
      <c r="B12995" s="572">
        <v>58.134900000000002</v>
      </c>
      <c r="C12995" s="572">
        <v>360</v>
      </c>
    </row>
    <row r="12996" spans="1:3">
      <c r="A12996" s="571" t="s">
        <v>2198</v>
      </c>
      <c r="B12996" s="572">
        <v>60.119</v>
      </c>
      <c r="C12996" s="572">
        <v>362.35300000000001</v>
      </c>
    </row>
    <row r="12997" spans="1:3">
      <c r="A12997" s="571" t="s">
        <v>2198</v>
      </c>
      <c r="B12997" s="572">
        <v>62.103200000000001</v>
      </c>
      <c r="C12997" s="572">
        <v>367.05900000000003</v>
      </c>
    </row>
    <row r="12998" spans="1:3">
      <c r="A12998" s="571" t="s">
        <v>2198</v>
      </c>
      <c r="B12998" s="572">
        <v>63.492100000000001</v>
      </c>
      <c r="C12998" s="572">
        <v>367.05900000000003</v>
      </c>
    </row>
    <row r="12999" spans="1:3">
      <c r="A12999" s="571" t="s">
        <v>2198</v>
      </c>
      <c r="B12999" s="572">
        <v>64.285700000000006</v>
      </c>
      <c r="C12999" s="572">
        <v>362.35300000000001</v>
      </c>
    </row>
    <row r="13000" spans="1:3">
      <c r="A13000" s="571" t="s">
        <v>2198</v>
      </c>
      <c r="B13000" s="572">
        <v>66.269800000000004</v>
      </c>
      <c r="C13000" s="572">
        <v>362.35300000000001</v>
      </c>
    </row>
    <row r="13001" spans="1:3">
      <c r="A13001" s="571" t="s">
        <v>2198</v>
      </c>
      <c r="B13001" s="572">
        <v>68.254000000000005</v>
      </c>
      <c r="C13001" s="572">
        <v>362.35300000000001</v>
      </c>
    </row>
    <row r="13002" spans="1:3">
      <c r="A13002" s="571" t="s">
        <v>2198</v>
      </c>
      <c r="B13002" s="572">
        <v>70.238100000000003</v>
      </c>
      <c r="C13002" s="572">
        <v>360</v>
      </c>
    </row>
    <row r="13003" spans="1:3">
      <c r="A13003" s="571" t="s">
        <v>2198</v>
      </c>
      <c r="B13003" s="572">
        <v>73.015900000000002</v>
      </c>
      <c r="C13003" s="572">
        <v>364.70600000000002</v>
      </c>
    </row>
    <row r="13004" spans="1:3">
      <c r="A13004" s="571" t="s">
        <v>2198</v>
      </c>
      <c r="B13004" s="572">
        <v>75.396799999999999</v>
      </c>
      <c r="C13004" s="572">
        <v>362.35300000000001</v>
      </c>
    </row>
    <row r="13005" spans="1:3">
      <c r="A13005" s="571" t="s">
        <v>2198</v>
      </c>
      <c r="B13005" s="572">
        <v>77.182500000000005</v>
      </c>
      <c r="C13005" s="572">
        <v>362.35300000000001</v>
      </c>
    </row>
    <row r="13006" spans="1:3">
      <c r="A13006" s="571" t="s">
        <v>2198</v>
      </c>
      <c r="B13006" s="572">
        <v>79.166700000000006</v>
      </c>
      <c r="C13006" s="572">
        <v>364.70600000000002</v>
      </c>
    </row>
    <row r="13007" spans="1:3">
      <c r="A13007" s="571" t="s">
        <v>2198</v>
      </c>
      <c r="B13007" s="572">
        <v>81.150800000000004</v>
      </c>
      <c r="C13007" s="572">
        <v>369.41199999999998</v>
      </c>
    </row>
    <row r="13008" spans="1:3">
      <c r="A13008" s="571" t="s">
        <v>2198</v>
      </c>
      <c r="B13008" s="572">
        <v>83.333299999999994</v>
      </c>
      <c r="C13008" s="572">
        <v>369.41199999999998</v>
      </c>
    </row>
    <row r="13009" spans="1:3">
      <c r="A13009" s="571" t="s">
        <v>2198</v>
      </c>
      <c r="B13009" s="572">
        <v>85.317499999999995</v>
      </c>
      <c r="C13009" s="572">
        <v>369.41199999999998</v>
      </c>
    </row>
    <row r="13010" spans="1:3">
      <c r="A13010" s="571" t="s">
        <v>2198</v>
      </c>
      <c r="B13010" s="572">
        <v>87.301599999999993</v>
      </c>
      <c r="C13010" s="572">
        <v>371.76499999999999</v>
      </c>
    </row>
    <row r="13011" spans="1:3">
      <c r="A13011" s="571" t="s">
        <v>2198</v>
      </c>
      <c r="B13011" s="572">
        <v>89.285700000000006</v>
      </c>
      <c r="C13011" s="572">
        <v>374.11799999999999</v>
      </c>
    </row>
    <row r="13012" spans="1:3">
      <c r="A13012" s="571" t="s">
        <v>2199</v>
      </c>
      <c r="B13012" s="572">
        <v>0.40424199999999999</v>
      </c>
      <c r="C13012" s="572">
        <v>33.136099999999999</v>
      </c>
    </row>
    <row r="13013" spans="1:3">
      <c r="A13013" s="571" t="s">
        <v>2199</v>
      </c>
      <c r="B13013" s="572">
        <v>0.43470599999999998</v>
      </c>
      <c r="C13013" s="572">
        <v>156.21299999999999</v>
      </c>
    </row>
    <row r="13014" spans="1:3">
      <c r="A13014" s="571" t="s">
        <v>2199</v>
      </c>
      <c r="B13014" s="572">
        <v>0.44466600000000001</v>
      </c>
      <c r="C13014" s="572">
        <v>196.45</v>
      </c>
    </row>
    <row r="13015" spans="1:3">
      <c r="A13015" s="571" t="s">
        <v>2199</v>
      </c>
      <c r="B13015" s="572">
        <v>0.448181</v>
      </c>
      <c r="C13015" s="572">
        <v>210.65100000000001</v>
      </c>
    </row>
    <row r="13016" spans="1:3">
      <c r="A13016" s="571" t="s">
        <v>2199</v>
      </c>
      <c r="B13016" s="572">
        <v>0.59933199999999998</v>
      </c>
      <c r="C13016" s="572">
        <v>21.3018</v>
      </c>
    </row>
    <row r="13017" spans="1:3">
      <c r="A13017" s="571" t="s">
        <v>2199</v>
      </c>
      <c r="B13017" s="572">
        <v>0.61632200000000004</v>
      </c>
      <c r="C13017" s="572">
        <v>89.940799999999996</v>
      </c>
    </row>
    <row r="13018" spans="1:3">
      <c r="A13018" s="571" t="s">
        <v>2199</v>
      </c>
      <c r="B13018" s="572">
        <v>0.64971599999999996</v>
      </c>
      <c r="C13018" s="572">
        <v>224.852</v>
      </c>
    </row>
    <row r="13019" spans="1:3">
      <c r="A13019" s="571" t="s">
        <v>2199</v>
      </c>
      <c r="B13019" s="572">
        <v>0.65323100000000001</v>
      </c>
      <c r="C13019" s="572">
        <v>239.053</v>
      </c>
    </row>
    <row r="13020" spans="1:3">
      <c r="A13020" s="571" t="s">
        <v>2199</v>
      </c>
      <c r="B13020" s="572">
        <v>0.855352</v>
      </c>
      <c r="C13020" s="572">
        <v>255.62100000000001</v>
      </c>
    </row>
    <row r="13021" spans="1:3">
      <c r="A13021" s="571" t="s">
        <v>2199</v>
      </c>
      <c r="B13021" s="572">
        <v>1.4535100000000001</v>
      </c>
      <c r="C13021" s="572">
        <v>272.18900000000002</v>
      </c>
    </row>
    <row r="13022" spans="1:3">
      <c r="A13022" s="571" t="s">
        <v>2199</v>
      </c>
      <c r="B13022" s="572">
        <v>1.8524799999999999</v>
      </c>
      <c r="C13022" s="572">
        <v>284.024</v>
      </c>
    </row>
    <row r="13023" spans="1:3">
      <c r="A13023" s="571" t="s">
        <v>2199</v>
      </c>
      <c r="B13023" s="572">
        <v>2.0546000000000002</v>
      </c>
      <c r="C13023" s="572">
        <v>300.59199999999998</v>
      </c>
    </row>
    <row r="13024" spans="1:3">
      <c r="A13024" s="571" t="s">
        <v>2199</v>
      </c>
      <c r="B13024" s="572">
        <v>2.4547400000000001</v>
      </c>
      <c r="C13024" s="572">
        <v>317.16000000000003</v>
      </c>
    </row>
    <row r="13025" spans="1:3">
      <c r="A13025" s="571" t="s">
        <v>2199</v>
      </c>
      <c r="B13025" s="572">
        <v>3.25034</v>
      </c>
      <c r="C13025" s="572">
        <v>331.36099999999999</v>
      </c>
    </row>
    <row r="13026" spans="1:3">
      <c r="A13026" s="571" t="s">
        <v>2199</v>
      </c>
      <c r="B13026" s="572">
        <v>3.4489399999999999</v>
      </c>
      <c r="C13026" s="572">
        <v>333.72800000000001</v>
      </c>
    </row>
    <row r="13027" spans="1:3">
      <c r="A13027" s="571" t="s">
        <v>2199</v>
      </c>
      <c r="B13027" s="572">
        <v>4.24512</v>
      </c>
      <c r="C13027" s="572">
        <v>350.29599999999999</v>
      </c>
    </row>
    <row r="13028" spans="1:3">
      <c r="A13028" s="571" t="s">
        <v>2199</v>
      </c>
      <c r="B13028" s="572">
        <v>5.6353600000000004</v>
      </c>
      <c r="C13028" s="572">
        <v>366.86399999999998</v>
      </c>
    </row>
    <row r="13029" spans="1:3">
      <c r="A13029" s="571" t="s">
        <v>2199</v>
      </c>
      <c r="B13029" s="572">
        <v>7.2236200000000004</v>
      </c>
      <c r="C13029" s="572">
        <v>383.43200000000002</v>
      </c>
    </row>
    <row r="13030" spans="1:3">
      <c r="A13030" s="571" t="s">
        <v>2199</v>
      </c>
      <c r="B13030" s="572">
        <v>8.8112999999999992</v>
      </c>
      <c r="C13030" s="572">
        <v>397.63299999999998</v>
      </c>
    </row>
    <row r="13031" spans="1:3">
      <c r="A13031" s="571" t="s">
        <v>2199</v>
      </c>
      <c r="B13031" s="572">
        <v>10.398999999999999</v>
      </c>
      <c r="C13031" s="572">
        <v>411.834</v>
      </c>
    </row>
    <row r="13032" spans="1:3">
      <c r="A13032" s="571" t="s">
        <v>2199</v>
      </c>
      <c r="B13032" s="572">
        <v>11.9861</v>
      </c>
      <c r="C13032" s="572">
        <v>423.66899999999998</v>
      </c>
    </row>
    <row r="13033" spans="1:3">
      <c r="A13033" s="571" t="s">
        <v>2199</v>
      </c>
      <c r="B13033" s="572">
        <v>13.573700000000001</v>
      </c>
      <c r="C13033" s="572">
        <v>437.87</v>
      </c>
    </row>
    <row r="13034" spans="1:3">
      <c r="A13034" s="571" t="s">
        <v>2199</v>
      </c>
      <c r="B13034" s="572">
        <v>15.3588</v>
      </c>
      <c r="C13034" s="572">
        <v>449.70400000000001</v>
      </c>
    </row>
    <row r="13035" spans="1:3">
      <c r="A13035" s="571" t="s">
        <v>2199</v>
      </c>
      <c r="B13035" s="572">
        <v>17.1434</v>
      </c>
      <c r="C13035" s="572">
        <v>459.17200000000003</v>
      </c>
    </row>
    <row r="13036" spans="1:3">
      <c r="A13036" s="571" t="s">
        <v>2199</v>
      </c>
      <c r="B13036" s="572">
        <v>18.9285</v>
      </c>
      <c r="C13036" s="572">
        <v>471.00599999999997</v>
      </c>
    </row>
    <row r="13037" spans="1:3">
      <c r="A13037" s="571" t="s">
        <v>2199</v>
      </c>
      <c r="B13037" s="572">
        <v>20.713000000000001</v>
      </c>
      <c r="C13037" s="572">
        <v>480.47300000000001</v>
      </c>
    </row>
    <row r="13038" spans="1:3">
      <c r="A13038" s="571" t="s">
        <v>2199</v>
      </c>
      <c r="B13038" s="572">
        <v>22.4969</v>
      </c>
      <c r="C13038" s="572">
        <v>487.57400000000001</v>
      </c>
    </row>
    <row r="13039" spans="1:3">
      <c r="A13039" s="571" t="s">
        <v>2199</v>
      </c>
      <c r="B13039" s="572">
        <v>24.478899999999999</v>
      </c>
      <c r="C13039" s="572">
        <v>494.67500000000001</v>
      </c>
    </row>
    <row r="13040" spans="1:3">
      <c r="A13040" s="571" t="s">
        <v>2199</v>
      </c>
      <c r="B13040" s="572">
        <v>26.262799999999999</v>
      </c>
      <c r="C13040" s="572">
        <v>501.77499999999998</v>
      </c>
    </row>
    <row r="13041" spans="1:3">
      <c r="A13041" s="571" t="s">
        <v>2199</v>
      </c>
      <c r="B13041" s="572">
        <v>28.244800000000001</v>
      </c>
      <c r="C13041" s="572">
        <v>508.87599999999998</v>
      </c>
    </row>
    <row r="13042" spans="1:3">
      <c r="A13042" s="571" t="s">
        <v>2199</v>
      </c>
      <c r="B13042" s="572">
        <v>30.028700000000001</v>
      </c>
      <c r="C13042" s="572">
        <v>515.976</v>
      </c>
    </row>
    <row r="13043" spans="1:3">
      <c r="A13043" s="571" t="s">
        <v>2199</v>
      </c>
      <c r="B13043" s="572">
        <v>31.812100000000001</v>
      </c>
      <c r="C13043" s="572">
        <v>520.71</v>
      </c>
    </row>
    <row r="13044" spans="1:3">
      <c r="A13044" s="571" t="s">
        <v>2199</v>
      </c>
      <c r="B13044" s="572">
        <v>33.793999999999997</v>
      </c>
      <c r="C13044" s="572">
        <v>527.81100000000004</v>
      </c>
    </row>
    <row r="13045" spans="1:3">
      <c r="A13045" s="571" t="s">
        <v>2199</v>
      </c>
      <c r="B13045" s="572">
        <v>35.775399999999998</v>
      </c>
      <c r="C13045" s="572">
        <v>532.54399999999998</v>
      </c>
    </row>
    <row r="13046" spans="1:3">
      <c r="A13046" s="571" t="s">
        <v>2199</v>
      </c>
      <c r="B13046" s="572">
        <v>36.171399999999998</v>
      </c>
      <c r="C13046" s="572">
        <v>532.54399999999998</v>
      </c>
    </row>
    <row r="13047" spans="1:3">
      <c r="A13047" s="571" t="s">
        <v>2199</v>
      </c>
      <c r="B13047" s="572">
        <v>37.955399999999997</v>
      </c>
      <c r="C13047" s="572">
        <v>539.64499999999998</v>
      </c>
    </row>
    <row r="13048" spans="1:3">
      <c r="A13048" s="571" t="s">
        <v>2199</v>
      </c>
      <c r="B13048" s="572">
        <v>39.936700000000002</v>
      </c>
      <c r="C13048" s="572">
        <v>544.37900000000002</v>
      </c>
    </row>
    <row r="13049" spans="1:3">
      <c r="A13049" s="571" t="s">
        <v>2199</v>
      </c>
      <c r="B13049" s="572">
        <v>41.720100000000002</v>
      </c>
      <c r="C13049" s="572">
        <v>549.11199999999997</v>
      </c>
    </row>
    <row r="13050" spans="1:3">
      <c r="A13050" s="571" t="s">
        <v>2199</v>
      </c>
      <c r="B13050" s="572">
        <v>43.7014</v>
      </c>
      <c r="C13050" s="572">
        <v>553.846</v>
      </c>
    </row>
    <row r="13051" spans="1:3">
      <c r="A13051" s="571" t="s">
        <v>2199</v>
      </c>
      <c r="B13051" s="572">
        <v>45.6828</v>
      </c>
      <c r="C13051" s="572">
        <v>558.58000000000004</v>
      </c>
    </row>
    <row r="13052" spans="1:3">
      <c r="A13052" s="571" t="s">
        <v>2199</v>
      </c>
      <c r="B13052" s="572">
        <v>47.466200000000001</v>
      </c>
      <c r="C13052" s="572">
        <v>563.31399999999996</v>
      </c>
    </row>
    <row r="13053" spans="1:3">
      <c r="A13053" s="571" t="s">
        <v>2199</v>
      </c>
      <c r="B13053" s="572">
        <v>49.447499999999998</v>
      </c>
      <c r="C13053" s="572">
        <v>568.04700000000003</v>
      </c>
    </row>
    <row r="13054" spans="1:3">
      <c r="A13054" s="571" t="s">
        <v>2199</v>
      </c>
      <c r="B13054" s="572">
        <v>51.230899999999998</v>
      </c>
      <c r="C13054" s="572">
        <v>572.78099999999995</v>
      </c>
    </row>
    <row r="13055" spans="1:3">
      <c r="A13055" s="571" t="s">
        <v>2199</v>
      </c>
      <c r="B13055" s="572">
        <v>53.2117</v>
      </c>
      <c r="C13055" s="572">
        <v>575.14800000000002</v>
      </c>
    </row>
    <row r="13056" spans="1:3">
      <c r="A13056" s="571" t="s">
        <v>2199</v>
      </c>
      <c r="B13056" s="572">
        <v>55.191899999999997</v>
      </c>
      <c r="C13056" s="572">
        <v>575.14800000000002</v>
      </c>
    </row>
    <row r="13057" spans="1:3">
      <c r="A13057" s="571" t="s">
        <v>2199</v>
      </c>
      <c r="B13057" s="572">
        <v>57.173200000000001</v>
      </c>
      <c r="C13057" s="572">
        <v>579.88199999999995</v>
      </c>
    </row>
    <row r="13058" spans="1:3">
      <c r="A13058" s="571" t="s">
        <v>2199</v>
      </c>
      <c r="B13058" s="572">
        <v>58.956000000000003</v>
      </c>
      <c r="C13058" s="572">
        <v>582.24900000000002</v>
      </c>
    </row>
    <row r="13059" spans="1:3">
      <c r="A13059" s="571" t="s">
        <v>2199</v>
      </c>
      <c r="B13059" s="572">
        <v>60.936199999999999</v>
      </c>
      <c r="C13059" s="572">
        <v>582.24900000000002</v>
      </c>
    </row>
    <row r="13060" spans="1:3">
      <c r="A13060" s="571" t="s">
        <v>2199</v>
      </c>
      <c r="B13060" s="572">
        <v>63.115000000000002</v>
      </c>
      <c r="C13060" s="572">
        <v>584.61500000000001</v>
      </c>
    </row>
    <row r="13061" spans="1:3">
      <c r="A13061" s="571" t="s">
        <v>2199</v>
      </c>
      <c r="B13061" s="572">
        <v>65.095200000000006</v>
      </c>
      <c r="C13061" s="572">
        <v>584.61500000000001</v>
      </c>
    </row>
    <row r="13062" spans="1:3">
      <c r="A13062" s="571" t="s">
        <v>2199</v>
      </c>
      <c r="B13062" s="572">
        <v>67.075400000000002</v>
      </c>
      <c r="C13062" s="572">
        <v>584.61500000000001</v>
      </c>
    </row>
    <row r="13063" spans="1:3">
      <c r="A13063" s="571" t="s">
        <v>2199</v>
      </c>
      <c r="B13063" s="572">
        <v>68.858199999999997</v>
      </c>
      <c r="C13063" s="572">
        <v>586.98199999999997</v>
      </c>
    </row>
    <row r="13064" spans="1:3">
      <c r="A13064" s="571" t="s">
        <v>2199</v>
      </c>
      <c r="B13064" s="572">
        <v>70.640900000000002</v>
      </c>
      <c r="C13064" s="572">
        <v>589.34900000000005</v>
      </c>
    </row>
    <row r="13065" spans="1:3">
      <c r="A13065" s="571" t="s">
        <v>2199</v>
      </c>
      <c r="B13065" s="572">
        <v>72.224500000000006</v>
      </c>
      <c r="C13065" s="572">
        <v>586.98199999999997</v>
      </c>
    </row>
    <row r="13066" spans="1:3">
      <c r="A13066" s="571" t="s">
        <v>2199</v>
      </c>
      <c r="B13066" s="572">
        <v>75.394000000000005</v>
      </c>
      <c r="C13066" s="572">
        <v>591.71600000000001</v>
      </c>
    </row>
    <row r="13067" spans="1:3">
      <c r="A13067" s="571" t="s">
        <v>2199</v>
      </c>
      <c r="B13067" s="572">
        <v>76.582099999999997</v>
      </c>
      <c r="C13067" s="572">
        <v>591.71600000000001</v>
      </c>
    </row>
    <row r="13068" spans="1:3">
      <c r="A13068" s="571" t="s">
        <v>2199</v>
      </c>
      <c r="B13068" s="572">
        <v>78.3643</v>
      </c>
      <c r="C13068" s="572">
        <v>591.71600000000001</v>
      </c>
    </row>
    <row r="13069" spans="1:3">
      <c r="A13069" s="571" t="s">
        <v>2199</v>
      </c>
      <c r="B13069" s="572">
        <v>80.345100000000002</v>
      </c>
      <c r="C13069" s="572">
        <v>594.08299999999997</v>
      </c>
    </row>
    <row r="13070" spans="1:3">
      <c r="A13070" s="571" t="s">
        <v>2199</v>
      </c>
      <c r="B13070" s="572">
        <v>82.523899999999998</v>
      </c>
      <c r="C13070" s="572">
        <v>596.45000000000005</v>
      </c>
    </row>
    <row r="13071" spans="1:3">
      <c r="A13071" s="571" t="s">
        <v>2199</v>
      </c>
      <c r="B13071" s="572">
        <v>84.504099999999994</v>
      </c>
      <c r="C13071" s="572">
        <v>596.45000000000005</v>
      </c>
    </row>
    <row r="13072" spans="1:3">
      <c r="A13072" s="571" t="s">
        <v>2199</v>
      </c>
      <c r="B13072" s="572">
        <v>86.484300000000005</v>
      </c>
      <c r="C13072" s="572">
        <v>596.45000000000005</v>
      </c>
    </row>
    <row r="13073" spans="1:3">
      <c r="A13073" s="571" t="s">
        <v>2199</v>
      </c>
      <c r="B13073" s="572">
        <v>88.465100000000007</v>
      </c>
      <c r="C13073" s="572">
        <v>598.81700000000001</v>
      </c>
    </row>
    <row r="13074" spans="1:3">
      <c r="A13074" s="571" t="s">
        <v>2199</v>
      </c>
      <c r="B13074" s="572">
        <v>90.446399999999997</v>
      </c>
      <c r="C13074" s="572">
        <v>603.54999999999995</v>
      </c>
    </row>
    <row r="13075" spans="1:3">
      <c r="A13075" s="571" t="s">
        <v>2200</v>
      </c>
      <c r="B13075" s="572">
        <v>0.39604</v>
      </c>
      <c r="C13075" s="572">
        <v>89.393100000000004</v>
      </c>
    </row>
    <row r="13076" spans="1:3">
      <c r="A13076" s="571" t="s">
        <v>2200</v>
      </c>
      <c r="B13076" s="572">
        <v>0.99009899999999995</v>
      </c>
      <c r="C13076" s="572">
        <v>96.424000000000007</v>
      </c>
    </row>
    <row r="13077" spans="1:3">
      <c r="A13077" s="571" t="s">
        <v>2200</v>
      </c>
      <c r="B13077" s="572">
        <v>1.1881200000000001</v>
      </c>
      <c r="C13077" s="572">
        <v>105.82599999999999</v>
      </c>
    </row>
    <row r="13078" spans="1:3">
      <c r="A13078" s="571" t="s">
        <v>2200</v>
      </c>
      <c r="B13078" s="572">
        <v>1.3861399999999999</v>
      </c>
      <c r="C13078" s="572">
        <v>126.994</v>
      </c>
    </row>
    <row r="13079" spans="1:3">
      <c r="A13079" s="571" t="s">
        <v>2200</v>
      </c>
      <c r="B13079" s="572">
        <v>1.58416</v>
      </c>
      <c r="C13079" s="572">
        <v>138.749</v>
      </c>
    </row>
    <row r="13080" spans="1:3">
      <c r="A13080" s="571" t="s">
        <v>2200</v>
      </c>
      <c r="B13080" s="572">
        <v>1.9802</v>
      </c>
      <c r="C13080" s="572">
        <v>152.84800000000001</v>
      </c>
    </row>
    <row r="13081" spans="1:3">
      <c r="A13081" s="571" t="s">
        <v>2200</v>
      </c>
      <c r="B13081" s="572">
        <v>2.3762400000000001</v>
      </c>
      <c r="C13081" s="572">
        <v>169.3</v>
      </c>
    </row>
    <row r="13082" spans="1:3">
      <c r="A13082" s="571" t="s">
        <v>2200</v>
      </c>
      <c r="B13082" s="572">
        <v>2.9702999999999999</v>
      </c>
      <c r="C13082" s="572">
        <v>185.74299999999999</v>
      </c>
    </row>
    <row r="13083" spans="1:3">
      <c r="A13083" s="571" t="s">
        <v>2200</v>
      </c>
      <c r="B13083" s="572">
        <v>3.3663400000000001</v>
      </c>
      <c r="C13083" s="572">
        <v>204.547</v>
      </c>
    </row>
    <row r="13084" spans="1:3">
      <c r="A13084" s="571" t="s">
        <v>2200</v>
      </c>
      <c r="B13084" s="572">
        <v>4.1584199999999996</v>
      </c>
      <c r="C13084" s="572">
        <v>213.922</v>
      </c>
    </row>
    <row r="13085" spans="1:3">
      <c r="A13085" s="571" t="s">
        <v>2200</v>
      </c>
      <c r="B13085" s="572">
        <v>5.1485099999999999</v>
      </c>
      <c r="C13085" s="572">
        <v>235.05199999999999</v>
      </c>
    </row>
    <row r="13086" spans="1:3">
      <c r="A13086" s="571" t="s">
        <v>2200</v>
      </c>
      <c r="B13086" s="572">
        <v>6.1386099999999999</v>
      </c>
      <c r="C13086" s="572">
        <v>253.82900000000001</v>
      </c>
    </row>
    <row r="13087" spans="1:3">
      <c r="A13087" s="571" t="s">
        <v>2200</v>
      </c>
      <c r="B13087" s="572">
        <v>7.3267300000000004</v>
      </c>
      <c r="C13087" s="572">
        <v>272.596</v>
      </c>
    </row>
    <row r="13088" spans="1:3">
      <c r="A13088" s="571" t="s">
        <v>2200</v>
      </c>
      <c r="B13088" s="572">
        <v>8.5148499999999991</v>
      </c>
      <c r="C13088" s="572">
        <v>291.36399999999998</v>
      </c>
    </row>
    <row r="13089" spans="1:3">
      <c r="A13089" s="571" t="s">
        <v>2200</v>
      </c>
      <c r="B13089" s="572">
        <v>9.5049499999999991</v>
      </c>
      <c r="C13089" s="572">
        <v>307.78800000000001</v>
      </c>
    </row>
    <row r="13090" spans="1:3">
      <c r="A13090" s="571" t="s">
        <v>2200</v>
      </c>
      <c r="B13090" s="572">
        <v>10.494999999999999</v>
      </c>
      <c r="C13090" s="572">
        <v>317.15300000000002</v>
      </c>
    </row>
    <row r="13091" spans="1:3">
      <c r="A13091" s="571" t="s">
        <v>2200</v>
      </c>
      <c r="B13091" s="572">
        <v>11.485099999999999</v>
      </c>
      <c r="C13091" s="572">
        <v>324.16500000000002</v>
      </c>
    </row>
    <row r="13092" spans="1:3">
      <c r="A13092" s="571" t="s">
        <v>2200</v>
      </c>
      <c r="B13092" s="572">
        <v>13.0693</v>
      </c>
      <c r="C13092" s="572">
        <v>335.85599999999999</v>
      </c>
    </row>
    <row r="13093" spans="1:3">
      <c r="A13093" s="571" t="s">
        <v>2200</v>
      </c>
      <c r="B13093" s="572">
        <v>14.8515</v>
      </c>
      <c r="C13093" s="572">
        <v>347.536</v>
      </c>
    </row>
    <row r="13094" spans="1:3">
      <c r="A13094" s="571" t="s">
        <v>2200</v>
      </c>
      <c r="B13094" s="572">
        <v>16.633700000000001</v>
      </c>
      <c r="C13094" s="572">
        <v>359.21699999999998</v>
      </c>
    </row>
    <row r="13095" spans="1:3">
      <c r="A13095" s="571" t="s">
        <v>2200</v>
      </c>
      <c r="B13095" s="572">
        <v>18.415800000000001</v>
      </c>
      <c r="C13095" s="572">
        <v>368.54500000000002</v>
      </c>
    </row>
    <row r="13096" spans="1:3">
      <c r="A13096" s="571" t="s">
        <v>2200</v>
      </c>
      <c r="B13096" s="572">
        <v>20.198</v>
      </c>
      <c r="C13096" s="572">
        <v>377.87299999999999</v>
      </c>
    </row>
    <row r="13097" spans="1:3">
      <c r="A13097" s="571" t="s">
        <v>2200</v>
      </c>
      <c r="B13097" s="572">
        <v>21.9802</v>
      </c>
      <c r="C13097" s="572">
        <v>384.84800000000001</v>
      </c>
    </row>
    <row r="13098" spans="1:3">
      <c r="A13098" s="571" t="s">
        <v>2200</v>
      </c>
      <c r="B13098" s="572">
        <v>23.7624</v>
      </c>
      <c r="C13098" s="572">
        <v>389.47</v>
      </c>
    </row>
    <row r="13099" spans="1:3">
      <c r="A13099" s="571" t="s">
        <v>2200</v>
      </c>
      <c r="B13099" s="572">
        <v>25.544599999999999</v>
      </c>
      <c r="C13099" s="572">
        <v>394.09199999999998</v>
      </c>
    </row>
    <row r="13100" spans="1:3">
      <c r="A13100" s="571" t="s">
        <v>2200</v>
      </c>
      <c r="B13100" s="572">
        <v>27.326699999999999</v>
      </c>
      <c r="C13100" s="572">
        <v>398.714</v>
      </c>
    </row>
    <row r="13101" spans="1:3">
      <c r="A13101" s="571" t="s">
        <v>2200</v>
      </c>
      <c r="B13101" s="572">
        <v>29.306899999999999</v>
      </c>
      <c r="C13101" s="572">
        <v>403.327</v>
      </c>
    </row>
    <row r="13102" spans="1:3">
      <c r="A13102" s="571" t="s">
        <v>2200</v>
      </c>
      <c r="B13102" s="572">
        <v>31.089099999999998</v>
      </c>
      <c r="C13102" s="572">
        <v>405.596</v>
      </c>
    </row>
    <row r="13103" spans="1:3">
      <c r="A13103" s="571" t="s">
        <v>2200</v>
      </c>
      <c r="B13103" s="572">
        <v>33.069299999999998</v>
      </c>
      <c r="C13103" s="572">
        <v>410.209</v>
      </c>
    </row>
    <row r="13104" spans="1:3">
      <c r="A13104" s="571" t="s">
        <v>2200</v>
      </c>
      <c r="B13104" s="572">
        <v>35.049500000000002</v>
      </c>
      <c r="C13104" s="572">
        <v>412.46800000000002</v>
      </c>
    </row>
    <row r="13105" spans="1:3">
      <c r="A13105" s="571" t="s">
        <v>2200</v>
      </c>
      <c r="B13105" s="572">
        <v>36.831699999999998</v>
      </c>
      <c r="C13105" s="572">
        <v>417.09</v>
      </c>
    </row>
    <row r="13106" spans="1:3">
      <c r="A13106" s="571" t="s">
        <v>2200</v>
      </c>
      <c r="B13106" s="572">
        <v>38.811900000000001</v>
      </c>
      <c r="C13106" s="572">
        <v>419.35</v>
      </c>
    </row>
    <row r="13107" spans="1:3">
      <c r="A13107" s="571" t="s">
        <v>2200</v>
      </c>
      <c r="B13107" s="572">
        <v>40.792099999999998</v>
      </c>
      <c r="C13107" s="572">
        <v>421.61</v>
      </c>
    </row>
    <row r="13108" spans="1:3">
      <c r="A13108" s="571" t="s">
        <v>2200</v>
      </c>
      <c r="B13108" s="572">
        <v>42.574300000000001</v>
      </c>
      <c r="C13108" s="572">
        <v>423.87900000000002</v>
      </c>
    </row>
    <row r="13109" spans="1:3">
      <c r="A13109" s="571" t="s">
        <v>2200</v>
      </c>
      <c r="B13109" s="572">
        <v>44.554499999999997</v>
      </c>
      <c r="C13109" s="572">
        <v>426.13900000000001</v>
      </c>
    </row>
    <row r="13110" spans="1:3">
      <c r="A13110" s="571" t="s">
        <v>2200</v>
      </c>
      <c r="B13110" s="572">
        <v>46.534700000000001</v>
      </c>
      <c r="C13110" s="572">
        <v>428.39800000000002</v>
      </c>
    </row>
    <row r="13111" spans="1:3">
      <c r="A13111" s="571" t="s">
        <v>2200</v>
      </c>
      <c r="B13111" s="572">
        <v>48.514899999999997</v>
      </c>
      <c r="C13111" s="572">
        <v>428.30500000000001</v>
      </c>
    </row>
    <row r="13112" spans="1:3">
      <c r="A13112" s="571" t="s">
        <v>2200</v>
      </c>
      <c r="B13112" s="572">
        <v>50.296999999999997</v>
      </c>
      <c r="C13112" s="572">
        <v>430.57400000000001</v>
      </c>
    </row>
    <row r="13113" spans="1:3">
      <c r="A13113" s="571" t="s">
        <v>2200</v>
      </c>
      <c r="B13113" s="572">
        <v>52.277200000000001</v>
      </c>
      <c r="C13113" s="572">
        <v>430.48099999999999</v>
      </c>
    </row>
    <row r="13114" spans="1:3">
      <c r="A13114" s="571" t="s">
        <v>2200</v>
      </c>
      <c r="B13114" s="572">
        <v>54.257399999999997</v>
      </c>
      <c r="C13114" s="572">
        <v>430.38799999999998</v>
      </c>
    </row>
    <row r="13115" spans="1:3">
      <c r="A13115" s="571" t="s">
        <v>2200</v>
      </c>
      <c r="B13115" s="572">
        <v>56.2376</v>
      </c>
      <c r="C13115" s="572">
        <v>427.94200000000001</v>
      </c>
    </row>
    <row r="13116" spans="1:3">
      <c r="A13116" s="571" t="s">
        <v>2200</v>
      </c>
      <c r="B13116" s="572">
        <v>58.019799999999996</v>
      </c>
      <c r="C13116" s="572">
        <v>427.858</v>
      </c>
    </row>
    <row r="13117" spans="1:3">
      <c r="A13117" s="571" t="s">
        <v>2200</v>
      </c>
      <c r="B13117" s="572">
        <v>60</v>
      </c>
      <c r="C13117" s="572">
        <v>427.76499999999999</v>
      </c>
    </row>
    <row r="13118" spans="1:3">
      <c r="A13118" s="571" t="s">
        <v>2200</v>
      </c>
      <c r="B13118" s="572">
        <v>62.178199999999997</v>
      </c>
      <c r="C13118" s="572">
        <v>430.01499999999999</v>
      </c>
    </row>
    <row r="13119" spans="1:3">
      <c r="A13119" s="571" t="s">
        <v>2200</v>
      </c>
      <c r="B13119" s="572">
        <v>63.366300000000003</v>
      </c>
      <c r="C13119" s="572">
        <v>429.959</v>
      </c>
    </row>
    <row r="13120" spans="1:3">
      <c r="A13120" s="571" t="s">
        <v>2200</v>
      </c>
      <c r="B13120" s="572">
        <v>64.950500000000005</v>
      </c>
      <c r="C13120" s="572">
        <v>432.238</v>
      </c>
    </row>
    <row r="13121" spans="1:3">
      <c r="A13121" s="571" t="s">
        <v>2200</v>
      </c>
      <c r="B13121" s="572">
        <v>65.544600000000003</v>
      </c>
      <c r="C13121" s="572">
        <v>429.85700000000003</v>
      </c>
    </row>
    <row r="13122" spans="1:3">
      <c r="A13122" s="571" t="s">
        <v>2200</v>
      </c>
      <c r="B13122" s="572">
        <v>67.524799999999999</v>
      </c>
      <c r="C13122" s="572">
        <v>429.76400000000001</v>
      </c>
    </row>
    <row r="13123" spans="1:3">
      <c r="A13123" s="571" t="s">
        <v>2200</v>
      </c>
      <c r="B13123" s="572">
        <v>69.504999999999995</v>
      </c>
      <c r="C13123" s="572">
        <v>429.67</v>
      </c>
    </row>
    <row r="13124" spans="1:3">
      <c r="A13124" s="571" t="s">
        <v>2200</v>
      </c>
      <c r="B13124" s="572">
        <v>71.287099999999995</v>
      </c>
      <c r="C13124" s="572">
        <v>429.58600000000001</v>
      </c>
    </row>
    <row r="13125" spans="1:3">
      <c r="A13125" s="571" t="s">
        <v>2200</v>
      </c>
      <c r="B13125" s="572">
        <v>72.673299999999998</v>
      </c>
      <c r="C13125" s="572">
        <v>431.87400000000002</v>
      </c>
    </row>
    <row r="13126" spans="1:3">
      <c r="A13126" s="571" t="s">
        <v>2200</v>
      </c>
      <c r="B13126" s="572">
        <v>75.247500000000002</v>
      </c>
      <c r="C13126" s="572">
        <v>431.75299999999999</v>
      </c>
    </row>
    <row r="13127" spans="1:3">
      <c r="A13127" s="571" t="s">
        <v>2200</v>
      </c>
      <c r="B13127" s="572">
        <v>77.425700000000006</v>
      </c>
      <c r="C13127" s="572">
        <v>436.35599999999999</v>
      </c>
    </row>
    <row r="13128" spans="1:3">
      <c r="A13128" s="571" t="s">
        <v>2200</v>
      </c>
      <c r="B13128" s="572">
        <v>79.207899999999995</v>
      </c>
      <c r="C13128" s="572">
        <v>438.62599999999998</v>
      </c>
    </row>
    <row r="13129" spans="1:3">
      <c r="A13129" s="571" t="s">
        <v>2200</v>
      </c>
      <c r="B13129" s="572">
        <v>80.990099999999998</v>
      </c>
      <c r="C13129" s="572">
        <v>438.54199999999997</v>
      </c>
    </row>
    <row r="13130" spans="1:3">
      <c r="A13130" s="571" t="s">
        <v>2200</v>
      </c>
      <c r="B13130" s="572">
        <v>82.970299999999995</v>
      </c>
      <c r="C13130" s="572">
        <v>440.80099999999999</v>
      </c>
    </row>
    <row r="13131" spans="1:3">
      <c r="A13131" s="571" t="s">
        <v>2200</v>
      </c>
      <c r="B13131" s="572">
        <v>84.752499999999998</v>
      </c>
      <c r="C13131" s="572">
        <v>443.07</v>
      </c>
    </row>
    <row r="13132" spans="1:3">
      <c r="A13132" s="571" t="s">
        <v>2200</v>
      </c>
      <c r="B13132" s="572">
        <v>87.128699999999995</v>
      </c>
      <c r="C13132" s="572">
        <v>442.959</v>
      </c>
    </row>
    <row r="13133" spans="1:3">
      <c r="A13133" s="571" t="s">
        <v>2200</v>
      </c>
      <c r="B13133" s="572">
        <v>89.108900000000006</v>
      </c>
      <c r="C13133" s="572">
        <v>445.21800000000002</v>
      </c>
    </row>
    <row r="13134" spans="1:3">
      <c r="A13134" s="571" t="s">
        <v>2200</v>
      </c>
      <c r="B13134" s="572">
        <v>91.287099999999995</v>
      </c>
      <c r="C13134" s="572">
        <v>445.11599999999999</v>
      </c>
    </row>
    <row r="13135" spans="1:3">
      <c r="A13135" s="571" t="s">
        <v>2200</v>
      </c>
      <c r="B13135" s="572">
        <v>93.267300000000006</v>
      </c>
      <c r="C13135" s="572">
        <v>445.02300000000002</v>
      </c>
    </row>
    <row r="13136" spans="1:3">
      <c r="A13136" s="571" t="s">
        <v>2201</v>
      </c>
      <c r="B13136" s="572">
        <v>0.79207899999999998</v>
      </c>
      <c r="C13136" s="572">
        <v>59.171599999999998</v>
      </c>
    </row>
    <row r="13137" spans="1:3">
      <c r="A13137" s="571" t="s">
        <v>2201</v>
      </c>
      <c r="B13137" s="572">
        <v>1.1881200000000001</v>
      </c>
      <c r="C13137" s="572">
        <v>85.207099999999997</v>
      </c>
    </row>
    <row r="13138" spans="1:3">
      <c r="A13138" s="571" t="s">
        <v>2201</v>
      </c>
      <c r="B13138" s="572">
        <v>1.9802</v>
      </c>
      <c r="C13138" s="572">
        <v>106.509</v>
      </c>
    </row>
    <row r="13139" spans="1:3">
      <c r="A13139" s="571" t="s">
        <v>2201</v>
      </c>
      <c r="B13139" s="572">
        <v>3.7623799999999998</v>
      </c>
      <c r="C13139" s="572">
        <v>118.343</v>
      </c>
    </row>
    <row r="13140" spans="1:3">
      <c r="A13140" s="571" t="s">
        <v>2201</v>
      </c>
      <c r="B13140" s="572">
        <v>4.9504999999999999</v>
      </c>
      <c r="C13140" s="572">
        <v>139.64500000000001</v>
      </c>
    </row>
    <row r="13141" spans="1:3">
      <c r="A13141" s="571" t="s">
        <v>2201</v>
      </c>
      <c r="B13141" s="572">
        <v>5.9405900000000003</v>
      </c>
      <c r="C13141" s="572">
        <v>160.947</v>
      </c>
    </row>
    <row r="13142" spans="1:3">
      <c r="A13142" s="571" t="s">
        <v>2201</v>
      </c>
      <c r="B13142" s="572">
        <v>6.1386099999999999</v>
      </c>
      <c r="C13142" s="572">
        <v>165.68</v>
      </c>
    </row>
    <row r="13143" spans="1:3">
      <c r="A13143" s="571" t="s">
        <v>2201</v>
      </c>
      <c r="B13143" s="572">
        <v>7.1287099999999999</v>
      </c>
      <c r="C13143" s="572">
        <v>179.88200000000001</v>
      </c>
    </row>
    <row r="13144" spans="1:3">
      <c r="A13144" s="571" t="s">
        <v>2201</v>
      </c>
      <c r="B13144" s="572">
        <v>8.1188099999999999</v>
      </c>
      <c r="C13144" s="572">
        <v>198.81700000000001</v>
      </c>
    </row>
    <row r="13145" spans="1:3">
      <c r="A13145" s="571" t="s">
        <v>2201</v>
      </c>
      <c r="B13145" s="572">
        <v>9.5049499999999991</v>
      </c>
      <c r="C13145" s="572">
        <v>217.751</v>
      </c>
    </row>
    <row r="13146" spans="1:3">
      <c r="A13146" s="571" t="s">
        <v>2201</v>
      </c>
      <c r="B13146" s="572">
        <v>10.8911</v>
      </c>
      <c r="C13146" s="572">
        <v>234.32</v>
      </c>
    </row>
    <row r="13147" spans="1:3">
      <c r="A13147" s="571" t="s">
        <v>2201</v>
      </c>
      <c r="B13147" s="572">
        <v>12.277200000000001</v>
      </c>
      <c r="C13147" s="572">
        <v>248.52099999999999</v>
      </c>
    </row>
    <row r="13148" spans="1:3">
      <c r="A13148" s="571" t="s">
        <v>2201</v>
      </c>
      <c r="B13148" s="572">
        <v>14.0594</v>
      </c>
      <c r="C13148" s="572">
        <v>260.35500000000002</v>
      </c>
    </row>
    <row r="13149" spans="1:3">
      <c r="A13149" s="571" t="s">
        <v>2201</v>
      </c>
      <c r="B13149" s="572">
        <v>15.643599999999999</v>
      </c>
      <c r="C13149" s="572">
        <v>272.18900000000002</v>
      </c>
    </row>
    <row r="13150" spans="1:3">
      <c r="A13150" s="571" t="s">
        <v>2201</v>
      </c>
      <c r="B13150" s="572">
        <v>17.425699999999999</v>
      </c>
      <c r="C13150" s="572">
        <v>284.024</v>
      </c>
    </row>
    <row r="13151" spans="1:3">
      <c r="A13151" s="571" t="s">
        <v>2201</v>
      </c>
      <c r="B13151" s="572">
        <v>19.207899999999999</v>
      </c>
      <c r="C13151" s="572">
        <v>293.49099999999999</v>
      </c>
    </row>
    <row r="13152" spans="1:3">
      <c r="A13152" s="571" t="s">
        <v>2201</v>
      </c>
      <c r="B13152" s="572">
        <v>21.188099999999999</v>
      </c>
      <c r="C13152" s="572">
        <v>300.59199999999998</v>
      </c>
    </row>
    <row r="13153" spans="1:3">
      <c r="A13153" s="571" t="s">
        <v>2201</v>
      </c>
      <c r="B13153" s="572">
        <v>22.772300000000001</v>
      </c>
      <c r="C13153" s="572">
        <v>310.05900000000003</v>
      </c>
    </row>
    <row r="13154" spans="1:3">
      <c r="A13154" s="571" t="s">
        <v>2201</v>
      </c>
      <c r="B13154" s="572">
        <v>24.752500000000001</v>
      </c>
      <c r="C13154" s="572">
        <v>312.42599999999999</v>
      </c>
    </row>
    <row r="13155" spans="1:3">
      <c r="A13155" s="571" t="s">
        <v>2201</v>
      </c>
      <c r="B13155" s="572">
        <v>26.534700000000001</v>
      </c>
      <c r="C13155" s="572">
        <v>319.52699999999999</v>
      </c>
    </row>
    <row r="13156" spans="1:3">
      <c r="A13156" s="571" t="s">
        <v>2201</v>
      </c>
      <c r="B13156" s="572">
        <v>28.514900000000001</v>
      </c>
      <c r="C13156" s="572">
        <v>324.26</v>
      </c>
    </row>
    <row r="13157" spans="1:3">
      <c r="A13157" s="571" t="s">
        <v>2201</v>
      </c>
      <c r="B13157" s="572">
        <v>30.495000000000001</v>
      </c>
      <c r="C13157" s="572">
        <v>328.99400000000003</v>
      </c>
    </row>
    <row r="13158" spans="1:3">
      <c r="A13158" s="571" t="s">
        <v>2201</v>
      </c>
      <c r="B13158" s="572">
        <v>32.277200000000001</v>
      </c>
      <c r="C13158" s="572">
        <v>331.36099999999999</v>
      </c>
    </row>
    <row r="13159" spans="1:3">
      <c r="A13159" s="571" t="s">
        <v>2201</v>
      </c>
      <c r="B13159" s="572">
        <v>34.257399999999997</v>
      </c>
      <c r="C13159" s="572">
        <v>336.09500000000003</v>
      </c>
    </row>
    <row r="13160" spans="1:3">
      <c r="A13160" s="571" t="s">
        <v>2201</v>
      </c>
      <c r="B13160" s="572">
        <v>36.2376</v>
      </c>
      <c r="C13160" s="572">
        <v>338.46199999999999</v>
      </c>
    </row>
    <row r="13161" spans="1:3">
      <c r="A13161" s="571" t="s">
        <v>2201</v>
      </c>
      <c r="B13161" s="572">
        <v>38.019799999999996</v>
      </c>
      <c r="C13161" s="572">
        <v>340.82799999999997</v>
      </c>
    </row>
    <row r="13162" spans="1:3">
      <c r="A13162" s="571" t="s">
        <v>2201</v>
      </c>
      <c r="B13162" s="572">
        <v>40</v>
      </c>
      <c r="C13162" s="572">
        <v>343.19499999999999</v>
      </c>
    </row>
    <row r="13163" spans="1:3">
      <c r="A13163" s="571" t="s">
        <v>2201</v>
      </c>
      <c r="B13163" s="572">
        <v>41.980200000000004</v>
      </c>
      <c r="C13163" s="572">
        <v>347.92899999999997</v>
      </c>
    </row>
    <row r="13164" spans="1:3">
      <c r="A13164" s="571" t="s">
        <v>2201</v>
      </c>
      <c r="B13164" s="572">
        <v>43.7624</v>
      </c>
      <c r="C13164" s="572">
        <v>350.29599999999999</v>
      </c>
    </row>
    <row r="13165" spans="1:3">
      <c r="A13165" s="571" t="s">
        <v>2201</v>
      </c>
      <c r="B13165" s="572">
        <v>45.742600000000003</v>
      </c>
      <c r="C13165" s="572">
        <v>350.29599999999999</v>
      </c>
    </row>
    <row r="13166" spans="1:3">
      <c r="A13166" s="571" t="s">
        <v>2201</v>
      </c>
      <c r="B13166" s="572">
        <v>47.722799999999999</v>
      </c>
      <c r="C13166" s="572">
        <v>352.66300000000001</v>
      </c>
    </row>
    <row r="13167" spans="1:3">
      <c r="A13167" s="571" t="s">
        <v>2201</v>
      </c>
      <c r="B13167" s="572">
        <v>49.703000000000003</v>
      </c>
      <c r="C13167" s="572">
        <v>352.66300000000001</v>
      </c>
    </row>
    <row r="13168" spans="1:3">
      <c r="A13168" s="571" t="s">
        <v>2201</v>
      </c>
      <c r="B13168" s="572">
        <v>51.683199999999999</v>
      </c>
      <c r="C13168" s="572">
        <v>355.03</v>
      </c>
    </row>
    <row r="13169" spans="1:3">
      <c r="A13169" s="571" t="s">
        <v>2201</v>
      </c>
      <c r="B13169" s="572">
        <v>53.465299999999999</v>
      </c>
      <c r="C13169" s="572">
        <v>355.03</v>
      </c>
    </row>
    <row r="13170" spans="1:3">
      <c r="A13170" s="571" t="s">
        <v>2201</v>
      </c>
      <c r="B13170" s="572">
        <v>55.445500000000003</v>
      </c>
      <c r="C13170" s="572">
        <v>352.66300000000001</v>
      </c>
    </row>
    <row r="13171" spans="1:3">
      <c r="A13171" s="571" t="s">
        <v>2201</v>
      </c>
      <c r="B13171" s="572">
        <v>57.425699999999999</v>
      </c>
      <c r="C13171" s="572">
        <v>355.03</v>
      </c>
    </row>
    <row r="13172" spans="1:3">
      <c r="A13172" s="571" t="s">
        <v>2201</v>
      </c>
      <c r="B13172" s="572">
        <v>59.405900000000003</v>
      </c>
      <c r="C13172" s="572">
        <v>352.66300000000001</v>
      </c>
    </row>
    <row r="13173" spans="1:3">
      <c r="A13173" s="571" t="s">
        <v>2201</v>
      </c>
      <c r="B13173" s="572">
        <v>61.386099999999999</v>
      </c>
      <c r="C13173" s="572">
        <v>352.66300000000001</v>
      </c>
    </row>
    <row r="13174" spans="1:3">
      <c r="A13174" s="571" t="s">
        <v>2201</v>
      </c>
      <c r="B13174" s="572">
        <v>62.376199999999997</v>
      </c>
      <c r="C13174" s="572">
        <v>352.66300000000001</v>
      </c>
    </row>
    <row r="13175" spans="1:3">
      <c r="A13175" s="571" t="s">
        <v>2201</v>
      </c>
      <c r="B13175" s="572">
        <v>64.356399999999994</v>
      </c>
      <c r="C13175" s="572">
        <v>355.03</v>
      </c>
    </row>
    <row r="13176" spans="1:3">
      <c r="A13176" s="571" t="s">
        <v>2201</v>
      </c>
      <c r="B13176" s="572">
        <v>67.524799999999999</v>
      </c>
      <c r="C13176" s="572">
        <v>355.03</v>
      </c>
    </row>
    <row r="13177" spans="1:3">
      <c r="A13177" s="571" t="s">
        <v>2201</v>
      </c>
      <c r="B13177" s="572">
        <v>69.504999999999995</v>
      </c>
      <c r="C13177" s="572">
        <v>355.03</v>
      </c>
    </row>
    <row r="13178" spans="1:3">
      <c r="A13178" s="571" t="s">
        <v>2201</v>
      </c>
      <c r="B13178" s="572">
        <v>72.871300000000005</v>
      </c>
      <c r="C13178" s="572">
        <v>357.39600000000002</v>
      </c>
    </row>
    <row r="13179" spans="1:3">
      <c r="A13179" s="571" t="s">
        <v>2201</v>
      </c>
      <c r="B13179" s="572">
        <v>75.445499999999996</v>
      </c>
      <c r="C13179" s="572">
        <v>357.39600000000002</v>
      </c>
    </row>
    <row r="13180" spans="1:3">
      <c r="A13180" s="571" t="s">
        <v>2201</v>
      </c>
      <c r="B13180" s="572">
        <v>77.425700000000006</v>
      </c>
      <c r="C13180" s="572">
        <v>357.39600000000002</v>
      </c>
    </row>
    <row r="13181" spans="1:3">
      <c r="A13181" s="571" t="s">
        <v>2201</v>
      </c>
      <c r="B13181" s="572">
        <v>79.009900000000002</v>
      </c>
      <c r="C13181" s="572">
        <v>357.39600000000002</v>
      </c>
    </row>
    <row r="13182" spans="1:3">
      <c r="A13182" s="571" t="s">
        <v>2201</v>
      </c>
      <c r="B13182" s="572">
        <v>80.990099999999998</v>
      </c>
      <c r="C13182" s="572">
        <v>364.49700000000001</v>
      </c>
    </row>
    <row r="13183" spans="1:3">
      <c r="A13183" s="571" t="s">
        <v>2201</v>
      </c>
      <c r="B13183" s="572">
        <v>83.366299999999995</v>
      </c>
      <c r="C13183" s="572">
        <v>364.49700000000001</v>
      </c>
    </row>
    <row r="13184" spans="1:3">
      <c r="A13184" s="571" t="s">
        <v>2201</v>
      </c>
      <c r="B13184" s="572">
        <v>84.950500000000005</v>
      </c>
      <c r="C13184" s="572">
        <v>362.13</v>
      </c>
    </row>
    <row r="13185" spans="1:3">
      <c r="A13185" s="571" t="s">
        <v>2201</v>
      </c>
      <c r="B13185" s="572">
        <v>86.732699999999994</v>
      </c>
      <c r="C13185" s="572">
        <v>366.86399999999998</v>
      </c>
    </row>
    <row r="13186" spans="1:3">
      <c r="A13186" s="571" t="s">
        <v>2201</v>
      </c>
      <c r="B13186" s="572">
        <v>88.910899999999998</v>
      </c>
      <c r="C13186" s="572">
        <v>366.86399999999998</v>
      </c>
    </row>
    <row r="13187" spans="1:3">
      <c r="A13187" s="571" t="s">
        <v>2201</v>
      </c>
      <c r="B13187" s="572">
        <v>91.089100000000002</v>
      </c>
      <c r="C13187" s="572">
        <v>366.86399999999998</v>
      </c>
    </row>
    <row r="13188" spans="1:3">
      <c r="A13188" s="571" t="s">
        <v>2201</v>
      </c>
      <c r="B13188" s="572">
        <v>93.267300000000006</v>
      </c>
      <c r="C13188" s="572">
        <v>371.59800000000001</v>
      </c>
    </row>
    <row r="13189" spans="1:3">
      <c r="A13189" s="571" t="s">
        <v>2202</v>
      </c>
      <c r="B13189" s="572">
        <v>0.53558499999999998</v>
      </c>
      <c r="C13189" s="572">
        <v>115.976</v>
      </c>
    </row>
    <row r="13190" spans="1:3">
      <c r="A13190" s="571" t="s">
        <v>2202</v>
      </c>
      <c r="B13190" s="572">
        <v>0.594055</v>
      </c>
      <c r="C13190" s="572">
        <v>2.36686</v>
      </c>
    </row>
    <row r="13191" spans="1:3">
      <c r="A13191" s="571" t="s">
        <v>2202</v>
      </c>
      <c r="B13191" s="572">
        <v>0.76244800000000001</v>
      </c>
      <c r="C13191" s="572">
        <v>56.804699999999997</v>
      </c>
    </row>
    <row r="13192" spans="1:3">
      <c r="A13192" s="571" t="s">
        <v>2202</v>
      </c>
      <c r="B13192" s="572">
        <v>0.775312</v>
      </c>
      <c r="C13192" s="572">
        <v>30.769200000000001</v>
      </c>
    </row>
    <row r="13193" spans="1:3">
      <c r="A13193" s="571" t="s">
        <v>2202</v>
      </c>
      <c r="B13193" s="572">
        <v>0.89692899999999998</v>
      </c>
      <c r="C13193" s="572">
        <v>184.61500000000001</v>
      </c>
    </row>
    <row r="13194" spans="1:3">
      <c r="A13194" s="571" t="s">
        <v>2202</v>
      </c>
      <c r="B13194" s="572">
        <v>0.91914799999999997</v>
      </c>
      <c r="C13194" s="572">
        <v>139.64500000000001</v>
      </c>
    </row>
    <row r="13195" spans="1:3">
      <c r="A13195" s="571" t="s">
        <v>2202</v>
      </c>
      <c r="B13195" s="572">
        <v>0.92382500000000001</v>
      </c>
      <c r="C13195" s="572">
        <v>130.178</v>
      </c>
    </row>
    <row r="13196" spans="1:3">
      <c r="A13196" s="571" t="s">
        <v>2202</v>
      </c>
      <c r="B13196" s="572">
        <v>1.07819</v>
      </c>
      <c r="C13196" s="572">
        <v>217.751</v>
      </c>
    </row>
    <row r="13197" spans="1:3">
      <c r="A13197" s="571" t="s">
        <v>2202</v>
      </c>
      <c r="B13197" s="572">
        <v>1.0828599999999999</v>
      </c>
      <c r="C13197" s="572">
        <v>208.28399999999999</v>
      </c>
    </row>
    <row r="13198" spans="1:3">
      <c r="A13198" s="571" t="s">
        <v>2202</v>
      </c>
      <c r="B13198" s="572">
        <v>1.1074200000000001</v>
      </c>
      <c r="C13198" s="572">
        <v>158.58000000000001</v>
      </c>
    </row>
    <row r="13199" spans="1:3">
      <c r="A13199" s="571" t="s">
        <v>2202</v>
      </c>
      <c r="B13199" s="572">
        <v>1.4687699999999999</v>
      </c>
      <c r="C13199" s="572">
        <v>227.21899999999999</v>
      </c>
    </row>
    <row r="13200" spans="1:3">
      <c r="A13200" s="571" t="s">
        <v>2202</v>
      </c>
      <c r="B13200" s="572">
        <v>1.6617200000000001</v>
      </c>
      <c r="C13200" s="572">
        <v>236.68600000000001</v>
      </c>
    </row>
    <row r="13201" spans="1:3">
      <c r="A13201" s="571" t="s">
        <v>2202</v>
      </c>
      <c r="B13201" s="572">
        <v>1.85467</v>
      </c>
      <c r="C13201" s="572">
        <v>246.154</v>
      </c>
    </row>
    <row r="13202" spans="1:3">
      <c r="A13202" s="571" t="s">
        <v>2202</v>
      </c>
      <c r="B13202" s="572">
        <v>2.0476200000000002</v>
      </c>
      <c r="C13202" s="572">
        <v>255.62100000000001</v>
      </c>
    </row>
    <row r="13203" spans="1:3">
      <c r="A13203" s="571" t="s">
        <v>2202</v>
      </c>
      <c r="B13203" s="572">
        <v>2.43235</v>
      </c>
      <c r="C13203" s="572">
        <v>276.923</v>
      </c>
    </row>
    <row r="13204" spans="1:3">
      <c r="A13204" s="571" t="s">
        <v>2202</v>
      </c>
      <c r="B13204" s="572">
        <v>3.0158800000000001</v>
      </c>
      <c r="C13204" s="572">
        <v>295.858</v>
      </c>
    </row>
    <row r="13205" spans="1:3">
      <c r="A13205" s="571" t="s">
        <v>2202</v>
      </c>
      <c r="B13205" s="572">
        <v>3.2088299999999998</v>
      </c>
      <c r="C13205" s="572">
        <v>305.32499999999999</v>
      </c>
    </row>
    <row r="13206" spans="1:3">
      <c r="A13206" s="571" t="s">
        <v>2202</v>
      </c>
      <c r="B13206" s="572">
        <v>3.6005799999999999</v>
      </c>
      <c r="C13206" s="572">
        <v>312.42599999999999</v>
      </c>
    </row>
    <row r="13207" spans="1:3">
      <c r="A13207" s="571" t="s">
        <v>2202</v>
      </c>
      <c r="B13207" s="572">
        <v>4.3805699999999996</v>
      </c>
      <c r="C13207" s="572">
        <v>333.72800000000001</v>
      </c>
    </row>
    <row r="13208" spans="1:3">
      <c r="A13208" s="571" t="s">
        <v>2202</v>
      </c>
      <c r="B13208" s="572">
        <v>5.5558199999999998</v>
      </c>
      <c r="C13208" s="572">
        <v>355.03</v>
      </c>
    </row>
    <row r="13209" spans="1:3">
      <c r="A13209" s="571" t="s">
        <v>2202</v>
      </c>
      <c r="B13209" s="572">
        <v>6.5346000000000002</v>
      </c>
      <c r="C13209" s="572">
        <v>373.964</v>
      </c>
    </row>
    <row r="13210" spans="1:3">
      <c r="A13210" s="571" t="s">
        <v>2202</v>
      </c>
      <c r="B13210" s="572">
        <v>7.7110200000000004</v>
      </c>
      <c r="C13210" s="572">
        <v>392.899</v>
      </c>
    </row>
    <row r="13211" spans="1:3">
      <c r="A13211" s="571" t="s">
        <v>2202</v>
      </c>
      <c r="B13211" s="572">
        <v>8.8874300000000002</v>
      </c>
      <c r="C13211" s="572">
        <v>411.834</v>
      </c>
    </row>
    <row r="13212" spans="1:3">
      <c r="A13212" s="571" t="s">
        <v>2202</v>
      </c>
      <c r="B13212" s="572">
        <v>10.2638</v>
      </c>
      <c r="C13212" s="572">
        <v>426.036</v>
      </c>
    </row>
    <row r="13213" spans="1:3">
      <c r="A13213" s="571" t="s">
        <v>2202</v>
      </c>
      <c r="B13213" s="572">
        <v>11.8367</v>
      </c>
      <c r="C13213" s="572">
        <v>442.60399999999998</v>
      </c>
    </row>
    <row r="13214" spans="1:3">
      <c r="A13214" s="571" t="s">
        <v>2202</v>
      </c>
      <c r="B13214" s="572">
        <v>13.609500000000001</v>
      </c>
      <c r="C13214" s="572">
        <v>454.43799999999999</v>
      </c>
    </row>
    <row r="13215" spans="1:3">
      <c r="A13215" s="571" t="s">
        <v>2202</v>
      </c>
      <c r="B13215" s="572">
        <v>15.1846</v>
      </c>
      <c r="C13215" s="572">
        <v>466.27199999999999</v>
      </c>
    </row>
    <row r="13216" spans="1:3">
      <c r="A13216" s="571" t="s">
        <v>2202</v>
      </c>
      <c r="B13216" s="572">
        <v>16.9575</v>
      </c>
      <c r="C13216" s="572">
        <v>478.10700000000003</v>
      </c>
    </row>
    <row r="13217" spans="1:3">
      <c r="A13217" s="571" t="s">
        <v>2202</v>
      </c>
      <c r="B13217" s="572">
        <v>18.731400000000001</v>
      </c>
      <c r="C13217" s="572">
        <v>487.57400000000001</v>
      </c>
    </row>
    <row r="13218" spans="1:3">
      <c r="A13218" s="571" t="s">
        <v>2202</v>
      </c>
      <c r="B13218" s="572">
        <v>20.7042</v>
      </c>
      <c r="C13218" s="572">
        <v>494.67500000000001</v>
      </c>
    </row>
    <row r="13219" spans="1:3">
      <c r="A13219" s="571" t="s">
        <v>2202</v>
      </c>
      <c r="B13219" s="572">
        <v>22.479399999999998</v>
      </c>
      <c r="C13219" s="572">
        <v>501.77499999999998</v>
      </c>
    </row>
    <row r="13220" spans="1:3">
      <c r="A13220" s="571" t="s">
        <v>2202</v>
      </c>
      <c r="B13220" s="572">
        <v>24.453299999999999</v>
      </c>
      <c r="C13220" s="572">
        <v>506.50900000000001</v>
      </c>
    </row>
    <row r="13221" spans="1:3">
      <c r="A13221" s="571" t="s">
        <v>2202</v>
      </c>
      <c r="B13221" s="572">
        <v>26.2285</v>
      </c>
      <c r="C13221" s="572">
        <v>513.60900000000004</v>
      </c>
    </row>
    <row r="13222" spans="1:3">
      <c r="A13222" s="571" t="s">
        <v>2202</v>
      </c>
      <c r="B13222" s="572">
        <v>28.203600000000002</v>
      </c>
      <c r="C13222" s="572">
        <v>515.976</v>
      </c>
    </row>
    <row r="13223" spans="1:3">
      <c r="A13223" s="571" t="s">
        <v>2202</v>
      </c>
      <c r="B13223" s="572">
        <v>29.979900000000001</v>
      </c>
      <c r="C13223" s="572">
        <v>520.71</v>
      </c>
    </row>
    <row r="13224" spans="1:3">
      <c r="A13224" s="571" t="s">
        <v>2202</v>
      </c>
      <c r="B13224" s="572">
        <v>31.953800000000001</v>
      </c>
      <c r="C13224" s="572">
        <v>525.44399999999996</v>
      </c>
    </row>
    <row r="13225" spans="1:3">
      <c r="A13225" s="571" t="s">
        <v>2202</v>
      </c>
      <c r="B13225" s="572">
        <v>33.928899999999999</v>
      </c>
      <c r="C13225" s="572">
        <v>527.81100000000004</v>
      </c>
    </row>
    <row r="13226" spans="1:3">
      <c r="A13226" s="571" t="s">
        <v>2202</v>
      </c>
      <c r="B13226" s="572">
        <v>35.706400000000002</v>
      </c>
      <c r="C13226" s="572">
        <v>530.178</v>
      </c>
    </row>
    <row r="13227" spans="1:3">
      <c r="A13227" s="571" t="s">
        <v>2202</v>
      </c>
      <c r="B13227" s="572">
        <v>37.680399999999999</v>
      </c>
      <c r="C13227" s="572">
        <v>534.91099999999994</v>
      </c>
    </row>
    <row r="13228" spans="1:3">
      <c r="A13228" s="571" t="s">
        <v>2202</v>
      </c>
      <c r="B13228" s="572">
        <v>39.656700000000001</v>
      </c>
      <c r="C13228" s="572">
        <v>534.91099999999994</v>
      </c>
    </row>
    <row r="13229" spans="1:3">
      <c r="A13229" s="571" t="s">
        <v>2202</v>
      </c>
      <c r="B13229" s="572">
        <v>41.631799999999998</v>
      </c>
      <c r="C13229" s="572">
        <v>537.27800000000002</v>
      </c>
    </row>
    <row r="13230" spans="1:3">
      <c r="A13230" s="571" t="s">
        <v>2202</v>
      </c>
      <c r="B13230" s="572">
        <v>43.408099999999997</v>
      </c>
      <c r="C13230" s="572">
        <v>542.01199999999994</v>
      </c>
    </row>
    <row r="13231" spans="1:3">
      <c r="A13231" s="571" t="s">
        <v>2202</v>
      </c>
      <c r="B13231" s="572">
        <v>45.384399999999999</v>
      </c>
      <c r="C13231" s="572">
        <v>542.01199999999994</v>
      </c>
    </row>
    <row r="13232" spans="1:3">
      <c r="A13232" s="571" t="s">
        <v>2202</v>
      </c>
      <c r="B13232" s="572">
        <v>47.359499999999997</v>
      </c>
      <c r="C13232" s="572">
        <v>544.37900000000002</v>
      </c>
    </row>
    <row r="13233" spans="1:3">
      <c r="A13233" s="571" t="s">
        <v>2202</v>
      </c>
      <c r="B13233" s="572">
        <v>49.334600000000002</v>
      </c>
      <c r="C13233" s="572">
        <v>546.74599999999998</v>
      </c>
    </row>
    <row r="13234" spans="1:3">
      <c r="A13234" s="571" t="s">
        <v>2202</v>
      </c>
      <c r="B13234" s="572">
        <v>51.310899999999997</v>
      </c>
      <c r="C13234" s="572">
        <v>546.74599999999998</v>
      </c>
    </row>
    <row r="13235" spans="1:3">
      <c r="A13235" s="571" t="s">
        <v>2202</v>
      </c>
      <c r="B13235" s="572">
        <v>53.089599999999997</v>
      </c>
      <c r="C13235" s="572">
        <v>546.74599999999998</v>
      </c>
    </row>
    <row r="13236" spans="1:3">
      <c r="A13236" s="571" t="s">
        <v>2202</v>
      </c>
      <c r="B13236" s="572">
        <v>55.067</v>
      </c>
      <c r="C13236" s="572">
        <v>544.37900000000002</v>
      </c>
    </row>
    <row r="13237" spans="1:3">
      <c r="A13237" s="571" t="s">
        <v>2202</v>
      </c>
      <c r="B13237" s="572">
        <v>57.042099999999998</v>
      </c>
      <c r="C13237" s="572">
        <v>546.74599999999998</v>
      </c>
    </row>
    <row r="13238" spans="1:3">
      <c r="A13238" s="571" t="s">
        <v>2202</v>
      </c>
      <c r="B13238" s="572">
        <v>58.821899999999999</v>
      </c>
      <c r="C13238" s="572">
        <v>544.37900000000002</v>
      </c>
    </row>
    <row r="13239" spans="1:3">
      <c r="A13239" s="571" t="s">
        <v>2202</v>
      </c>
      <c r="B13239" s="572">
        <v>60.798200000000001</v>
      </c>
      <c r="C13239" s="572">
        <v>544.37900000000002</v>
      </c>
    </row>
    <row r="13240" spans="1:3">
      <c r="A13240" s="571" t="s">
        <v>2202</v>
      </c>
      <c r="B13240" s="572">
        <v>62.575699999999998</v>
      </c>
      <c r="C13240" s="572">
        <v>546.74599999999998</v>
      </c>
    </row>
    <row r="13241" spans="1:3">
      <c r="A13241" s="571" t="s">
        <v>2202</v>
      </c>
      <c r="B13241" s="572">
        <v>64.354399999999998</v>
      </c>
      <c r="C13241" s="572">
        <v>546.74599999999998</v>
      </c>
    </row>
    <row r="13242" spans="1:3">
      <c r="A13242" s="571" t="s">
        <v>2202</v>
      </c>
      <c r="B13242" s="572">
        <v>66.330699999999993</v>
      </c>
      <c r="C13242" s="572">
        <v>546.74599999999998</v>
      </c>
    </row>
    <row r="13243" spans="1:3">
      <c r="A13243" s="571" t="s">
        <v>2202</v>
      </c>
      <c r="B13243" s="572">
        <v>68.306899999999999</v>
      </c>
      <c r="C13243" s="572">
        <v>546.74599999999998</v>
      </c>
    </row>
    <row r="13244" spans="1:3">
      <c r="A13244" s="571" t="s">
        <v>2202</v>
      </c>
      <c r="B13244" s="572">
        <v>70.2821</v>
      </c>
      <c r="C13244" s="572">
        <v>549.11199999999997</v>
      </c>
    </row>
    <row r="13245" spans="1:3">
      <c r="A13245" s="571" t="s">
        <v>2202</v>
      </c>
      <c r="B13245" s="572">
        <v>72.454800000000006</v>
      </c>
      <c r="C13245" s="572">
        <v>551.47900000000004</v>
      </c>
    </row>
    <row r="13246" spans="1:3">
      <c r="A13246" s="571" t="s">
        <v>2202</v>
      </c>
      <c r="B13246" s="572">
        <v>75.024000000000001</v>
      </c>
      <c r="C13246" s="572">
        <v>551.47900000000004</v>
      </c>
    </row>
    <row r="13247" spans="1:3">
      <c r="A13247" s="571" t="s">
        <v>2202</v>
      </c>
      <c r="B13247" s="572">
        <v>76.802599999999998</v>
      </c>
      <c r="C13247" s="572">
        <v>551.47900000000004</v>
      </c>
    </row>
    <row r="13248" spans="1:3">
      <c r="A13248" s="571" t="s">
        <v>2202</v>
      </c>
      <c r="B13248" s="572">
        <v>78.976500000000001</v>
      </c>
      <c r="C13248" s="572">
        <v>551.47900000000004</v>
      </c>
    </row>
    <row r="13249" spans="1:3">
      <c r="A13249" s="571" t="s">
        <v>2202</v>
      </c>
      <c r="B13249" s="572">
        <v>80.752899999999997</v>
      </c>
      <c r="C13249" s="572">
        <v>556.21299999999997</v>
      </c>
    </row>
    <row r="13250" spans="1:3">
      <c r="A13250" s="571" t="s">
        <v>2202</v>
      </c>
      <c r="B13250" s="572">
        <v>83.123199999999997</v>
      </c>
      <c r="C13250" s="572">
        <v>558.58000000000004</v>
      </c>
    </row>
    <row r="13251" spans="1:3">
      <c r="A13251" s="571" t="s">
        <v>2202</v>
      </c>
      <c r="B13251" s="572">
        <v>84.901899999999998</v>
      </c>
      <c r="C13251" s="572">
        <v>558.58000000000004</v>
      </c>
    </row>
    <row r="13252" spans="1:3">
      <c r="A13252" s="571" t="s">
        <v>2202</v>
      </c>
      <c r="B13252" s="572">
        <v>86.875799999999998</v>
      </c>
      <c r="C13252" s="572">
        <v>563.31399999999996</v>
      </c>
    </row>
    <row r="13253" spans="1:3">
      <c r="A13253" s="571" t="s">
        <v>2202</v>
      </c>
      <c r="B13253" s="572">
        <v>88.655699999999996</v>
      </c>
      <c r="C13253" s="572">
        <v>560.947</v>
      </c>
    </row>
    <row r="13254" spans="1:3">
      <c r="A13254" s="571" t="s">
        <v>2202</v>
      </c>
      <c r="B13254" s="572">
        <v>91.025999999999996</v>
      </c>
      <c r="C13254" s="572">
        <v>563.31399999999996</v>
      </c>
    </row>
    <row r="13255" spans="1:3">
      <c r="A13255" s="571" t="s">
        <v>2202</v>
      </c>
      <c r="B13255" s="572">
        <v>93.001099999999994</v>
      </c>
      <c r="C13255" s="572">
        <v>565.67999999999995</v>
      </c>
    </row>
    <row r="13256" spans="1:3">
      <c r="A13256" s="571" t="s">
        <v>2203</v>
      </c>
      <c r="B13256" s="572">
        <v>1.3592200000000001</v>
      </c>
      <c r="C13256" s="572">
        <v>1.3592200000000001</v>
      </c>
    </row>
    <row r="13257" spans="1:3">
      <c r="A13257" s="571" t="s">
        <v>2203</v>
      </c>
      <c r="B13257" s="572">
        <v>1.7475700000000001</v>
      </c>
      <c r="C13257" s="572">
        <v>134.49299999999999</v>
      </c>
    </row>
    <row r="13258" spans="1:3">
      <c r="A13258" s="571" t="s">
        <v>2203</v>
      </c>
      <c r="B13258" s="572">
        <v>1.9417500000000001</v>
      </c>
      <c r="C13258" s="572">
        <v>148.40600000000001</v>
      </c>
    </row>
    <row r="13259" spans="1:3">
      <c r="A13259" s="571" t="s">
        <v>2203</v>
      </c>
      <c r="B13259" s="572">
        <v>2.3300999999999998</v>
      </c>
      <c r="C13259" s="572">
        <v>162.31899999999999</v>
      </c>
    </row>
    <row r="13260" spans="1:3">
      <c r="A13260" s="571" t="s">
        <v>2203</v>
      </c>
      <c r="B13260" s="572">
        <v>2.91262</v>
      </c>
      <c r="C13260" s="572">
        <v>176.232</v>
      </c>
    </row>
    <row r="13261" spans="1:3">
      <c r="A13261" s="571" t="s">
        <v>2203</v>
      </c>
      <c r="B13261" s="572">
        <v>3.4951500000000002</v>
      </c>
      <c r="C13261" s="572">
        <v>206.37700000000001</v>
      </c>
    </row>
    <row r="13262" spans="1:3">
      <c r="A13262" s="571" t="s">
        <v>2203</v>
      </c>
      <c r="B13262" s="572">
        <v>4.0776700000000003</v>
      </c>
      <c r="C13262" s="572">
        <v>217.971</v>
      </c>
    </row>
    <row r="13263" spans="1:3">
      <c r="A13263" s="571" t="s">
        <v>2203</v>
      </c>
      <c r="B13263" s="572">
        <v>5.04854</v>
      </c>
      <c r="C13263" s="572">
        <v>238.84100000000001</v>
      </c>
    </row>
    <row r="13264" spans="1:3">
      <c r="A13264" s="571" t="s">
        <v>2203</v>
      </c>
      <c r="B13264" s="572">
        <v>6.2135899999999999</v>
      </c>
      <c r="C13264" s="572">
        <v>255.072</v>
      </c>
    </row>
    <row r="13265" spans="1:3">
      <c r="A13265" s="571" t="s">
        <v>2203</v>
      </c>
      <c r="B13265" s="572">
        <v>7.5728200000000001</v>
      </c>
      <c r="C13265" s="572">
        <v>271.30399999999997</v>
      </c>
    </row>
    <row r="13266" spans="1:3">
      <c r="A13266" s="571" t="s">
        <v>2203</v>
      </c>
      <c r="B13266" s="572">
        <v>9.1262100000000004</v>
      </c>
      <c r="C13266" s="572">
        <v>287.536</v>
      </c>
    </row>
    <row r="13267" spans="1:3">
      <c r="A13267" s="571" t="s">
        <v>2203</v>
      </c>
      <c r="B13267" s="572">
        <v>10.679600000000001</v>
      </c>
      <c r="C13267" s="572">
        <v>299.13</v>
      </c>
    </row>
    <row r="13268" spans="1:3">
      <c r="A13268" s="571" t="s">
        <v>2203</v>
      </c>
      <c r="B13268" s="572">
        <v>12.233000000000001</v>
      </c>
      <c r="C13268" s="572">
        <v>310.72500000000002</v>
      </c>
    </row>
    <row r="13269" spans="1:3">
      <c r="A13269" s="571" t="s">
        <v>2203</v>
      </c>
      <c r="B13269" s="572">
        <v>13.7864</v>
      </c>
      <c r="C13269" s="572">
        <v>322.31900000000002</v>
      </c>
    </row>
    <row r="13270" spans="1:3">
      <c r="A13270" s="571" t="s">
        <v>2203</v>
      </c>
      <c r="B13270" s="572">
        <v>15.534000000000001</v>
      </c>
      <c r="C13270" s="572">
        <v>333.91300000000001</v>
      </c>
    </row>
    <row r="13271" spans="1:3">
      <c r="A13271" s="571" t="s">
        <v>2203</v>
      </c>
      <c r="B13271" s="572">
        <v>17.281600000000001</v>
      </c>
      <c r="C13271" s="572">
        <v>343.18799999999999</v>
      </c>
    </row>
    <row r="13272" spans="1:3">
      <c r="A13272" s="571" t="s">
        <v>2203</v>
      </c>
      <c r="B13272" s="572">
        <v>19.0291</v>
      </c>
      <c r="C13272" s="572">
        <v>352.464</v>
      </c>
    </row>
    <row r="13273" spans="1:3">
      <c r="A13273" s="571" t="s">
        <v>2203</v>
      </c>
      <c r="B13273" s="572">
        <v>20.776700000000002</v>
      </c>
      <c r="C13273" s="572">
        <v>359.42</v>
      </c>
    </row>
    <row r="13274" spans="1:3">
      <c r="A13274" s="571" t="s">
        <v>2203</v>
      </c>
      <c r="B13274" s="572">
        <v>22.5243</v>
      </c>
      <c r="C13274" s="572">
        <v>366.37700000000001</v>
      </c>
    </row>
    <row r="13275" spans="1:3">
      <c r="A13275" s="571" t="s">
        <v>2203</v>
      </c>
      <c r="B13275" s="572">
        <v>24.271799999999999</v>
      </c>
      <c r="C13275" s="572">
        <v>373.33300000000003</v>
      </c>
    </row>
    <row r="13276" spans="1:3">
      <c r="A13276" s="571" t="s">
        <v>2203</v>
      </c>
      <c r="B13276" s="572">
        <v>25.825199999999999</v>
      </c>
      <c r="C13276" s="572">
        <v>375.65199999999999</v>
      </c>
    </row>
    <row r="13277" spans="1:3">
      <c r="A13277" s="571" t="s">
        <v>2203</v>
      </c>
      <c r="B13277" s="572">
        <v>27.572800000000001</v>
      </c>
      <c r="C13277" s="572">
        <v>382.60899999999998</v>
      </c>
    </row>
    <row r="13278" spans="1:3">
      <c r="A13278" s="571" t="s">
        <v>2203</v>
      </c>
      <c r="B13278" s="572">
        <v>29.126200000000001</v>
      </c>
      <c r="C13278" s="572">
        <v>387.24599999999998</v>
      </c>
    </row>
    <row r="13279" spans="1:3">
      <c r="A13279" s="571" t="s">
        <v>2203</v>
      </c>
      <c r="B13279" s="572">
        <v>30.873799999999999</v>
      </c>
      <c r="C13279" s="572">
        <v>389.565</v>
      </c>
    </row>
    <row r="13280" spans="1:3">
      <c r="A13280" s="571" t="s">
        <v>2203</v>
      </c>
      <c r="B13280" s="572">
        <v>32.621400000000001</v>
      </c>
      <c r="C13280" s="572">
        <v>394.20299999999997</v>
      </c>
    </row>
    <row r="13281" spans="1:3">
      <c r="A13281" s="571" t="s">
        <v>2203</v>
      </c>
      <c r="B13281" s="572">
        <v>34.368899999999996</v>
      </c>
      <c r="C13281" s="572">
        <v>396.52199999999999</v>
      </c>
    </row>
    <row r="13282" spans="1:3">
      <c r="A13282" s="571" t="s">
        <v>2203</v>
      </c>
      <c r="B13282" s="572">
        <v>35.9223</v>
      </c>
      <c r="C13282" s="572">
        <v>401.15899999999999</v>
      </c>
    </row>
    <row r="13283" spans="1:3">
      <c r="A13283" s="571" t="s">
        <v>2203</v>
      </c>
      <c r="B13283" s="572">
        <v>37.669899999999998</v>
      </c>
      <c r="C13283" s="572">
        <v>403.47800000000001</v>
      </c>
    </row>
    <row r="13284" spans="1:3">
      <c r="A13284" s="571" t="s">
        <v>2203</v>
      </c>
      <c r="B13284" s="572">
        <v>39.417499999999997</v>
      </c>
      <c r="C13284" s="572">
        <v>405.79700000000003</v>
      </c>
    </row>
    <row r="13285" spans="1:3">
      <c r="A13285" s="571" t="s">
        <v>2203</v>
      </c>
      <c r="B13285" s="572">
        <v>41.164999999999999</v>
      </c>
      <c r="C13285" s="572">
        <v>410.435</v>
      </c>
    </row>
    <row r="13286" spans="1:3">
      <c r="A13286" s="571" t="s">
        <v>2203</v>
      </c>
      <c r="B13286" s="572">
        <v>42.912599999999998</v>
      </c>
      <c r="C13286" s="572">
        <v>412.75400000000002</v>
      </c>
    </row>
    <row r="13287" spans="1:3">
      <c r="A13287" s="571" t="s">
        <v>2203</v>
      </c>
      <c r="B13287" s="572">
        <v>44.466000000000001</v>
      </c>
      <c r="C13287" s="572">
        <v>417.39100000000002</v>
      </c>
    </row>
    <row r="13288" spans="1:3">
      <c r="A13288" s="571" t="s">
        <v>2203</v>
      </c>
      <c r="B13288" s="572">
        <v>46.2136</v>
      </c>
      <c r="C13288" s="572">
        <v>419.71</v>
      </c>
    </row>
    <row r="13289" spans="1:3">
      <c r="A13289" s="571" t="s">
        <v>2203</v>
      </c>
      <c r="B13289" s="572">
        <v>48.155299999999997</v>
      </c>
      <c r="C13289" s="572">
        <v>419.71</v>
      </c>
    </row>
    <row r="13290" spans="1:3">
      <c r="A13290" s="571" t="s">
        <v>2203</v>
      </c>
      <c r="B13290" s="572">
        <v>49.902900000000002</v>
      </c>
      <c r="C13290" s="572">
        <v>422.029</v>
      </c>
    </row>
    <row r="13291" spans="1:3">
      <c r="A13291" s="571" t="s">
        <v>2203</v>
      </c>
      <c r="B13291" s="572">
        <v>51.844700000000003</v>
      </c>
      <c r="C13291" s="572">
        <v>424.34800000000001</v>
      </c>
    </row>
    <row r="13292" spans="1:3">
      <c r="A13292" s="571" t="s">
        <v>2203</v>
      </c>
      <c r="B13292" s="572">
        <v>53.7864</v>
      </c>
      <c r="C13292" s="572">
        <v>422.029</v>
      </c>
    </row>
    <row r="13293" spans="1:3">
      <c r="A13293" s="571" t="s">
        <v>2203</v>
      </c>
      <c r="B13293" s="572">
        <v>55.728200000000001</v>
      </c>
      <c r="C13293" s="572">
        <v>424.34800000000001</v>
      </c>
    </row>
    <row r="13294" spans="1:3">
      <c r="A13294" s="571" t="s">
        <v>2203</v>
      </c>
      <c r="B13294" s="572">
        <v>57.475700000000003</v>
      </c>
      <c r="C13294" s="572">
        <v>426.66699999999997</v>
      </c>
    </row>
    <row r="13295" spans="1:3">
      <c r="A13295" s="571" t="s">
        <v>2203</v>
      </c>
      <c r="B13295" s="572">
        <v>59.417499999999997</v>
      </c>
      <c r="C13295" s="572">
        <v>426.66699999999997</v>
      </c>
    </row>
    <row r="13296" spans="1:3">
      <c r="A13296" s="571" t="s">
        <v>2203</v>
      </c>
      <c r="B13296" s="572">
        <v>61.164999999999999</v>
      </c>
      <c r="C13296" s="572">
        <v>428.98599999999999</v>
      </c>
    </row>
    <row r="13297" spans="1:3">
      <c r="A13297" s="571" t="s">
        <v>2203</v>
      </c>
      <c r="B13297" s="572">
        <v>62.524299999999997</v>
      </c>
      <c r="C13297" s="572">
        <v>433.62299999999999</v>
      </c>
    </row>
    <row r="13298" spans="1:3">
      <c r="A13298" s="571" t="s">
        <v>2203</v>
      </c>
      <c r="B13298" s="572">
        <v>62.912599999999998</v>
      </c>
      <c r="C13298" s="572">
        <v>433.62299999999999</v>
      </c>
    </row>
    <row r="13299" spans="1:3">
      <c r="A13299" s="571" t="s">
        <v>2203</v>
      </c>
      <c r="B13299" s="572">
        <v>64.660200000000003</v>
      </c>
      <c r="C13299" s="572">
        <v>433.62299999999999</v>
      </c>
    </row>
    <row r="13300" spans="1:3">
      <c r="A13300" s="571" t="s">
        <v>2203</v>
      </c>
      <c r="B13300" s="572">
        <v>66.601900000000001</v>
      </c>
      <c r="C13300" s="572">
        <v>433.62299999999999</v>
      </c>
    </row>
    <row r="13301" spans="1:3">
      <c r="A13301" s="571" t="s">
        <v>2203</v>
      </c>
      <c r="B13301" s="572">
        <v>68.349500000000006</v>
      </c>
      <c r="C13301" s="572">
        <v>435.94200000000001</v>
      </c>
    </row>
    <row r="13302" spans="1:3">
      <c r="A13302" s="571" t="s">
        <v>2203</v>
      </c>
      <c r="B13302" s="572">
        <v>70.291300000000007</v>
      </c>
      <c r="C13302" s="572">
        <v>435.94200000000001</v>
      </c>
    </row>
    <row r="13303" spans="1:3">
      <c r="A13303" s="571" t="s">
        <v>2203</v>
      </c>
      <c r="B13303" s="572">
        <v>72.621399999999994</v>
      </c>
      <c r="C13303" s="572">
        <v>440.58</v>
      </c>
    </row>
    <row r="13304" spans="1:3">
      <c r="A13304" s="571" t="s">
        <v>2203</v>
      </c>
      <c r="B13304" s="572">
        <v>75.145600000000002</v>
      </c>
      <c r="C13304" s="572">
        <v>445.21699999999998</v>
      </c>
    </row>
    <row r="13305" spans="1:3">
      <c r="A13305" s="571" t="s">
        <v>2203</v>
      </c>
      <c r="B13305" s="572">
        <v>77.281599999999997</v>
      </c>
      <c r="C13305" s="572">
        <v>447.536</v>
      </c>
    </row>
    <row r="13306" spans="1:3">
      <c r="A13306" s="571" t="s">
        <v>2203</v>
      </c>
      <c r="B13306" s="572">
        <v>79.417500000000004</v>
      </c>
      <c r="C13306" s="572">
        <v>449.85500000000002</v>
      </c>
    </row>
    <row r="13307" spans="1:3">
      <c r="A13307" s="571" t="s">
        <v>2203</v>
      </c>
      <c r="B13307" s="572">
        <v>81.165000000000006</v>
      </c>
      <c r="C13307" s="572">
        <v>452.17399999999998</v>
      </c>
    </row>
    <row r="13308" spans="1:3">
      <c r="A13308" s="571" t="s">
        <v>2203</v>
      </c>
      <c r="B13308" s="572">
        <v>83.301000000000002</v>
      </c>
      <c r="C13308" s="572">
        <v>454.49299999999999</v>
      </c>
    </row>
    <row r="13309" spans="1:3">
      <c r="A13309" s="571" t="s">
        <v>2203</v>
      </c>
      <c r="B13309" s="572">
        <v>85.242699999999999</v>
      </c>
      <c r="C13309" s="572">
        <v>456.81200000000001</v>
      </c>
    </row>
    <row r="13310" spans="1:3">
      <c r="A13310" s="571" t="s">
        <v>2203</v>
      </c>
      <c r="B13310" s="572">
        <v>87.1845</v>
      </c>
      <c r="C13310" s="572">
        <v>459.13</v>
      </c>
    </row>
    <row r="13311" spans="1:3">
      <c r="A13311" s="571" t="s">
        <v>2203</v>
      </c>
      <c r="B13311" s="572">
        <v>89.126199999999997</v>
      </c>
      <c r="C13311" s="572">
        <v>461.44900000000001</v>
      </c>
    </row>
    <row r="13312" spans="1:3">
      <c r="A13312" s="571" t="s">
        <v>2203</v>
      </c>
      <c r="B13312" s="572">
        <v>91.262100000000004</v>
      </c>
      <c r="C13312" s="572">
        <v>463.76799999999997</v>
      </c>
    </row>
    <row r="13313" spans="1:3">
      <c r="A13313" s="571" t="s">
        <v>2204</v>
      </c>
      <c r="B13313" s="572">
        <v>0.571268</v>
      </c>
      <c r="C13313" s="572">
        <v>46.376800000000003</v>
      </c>
    </row>
    <row r="13314" spans="1:3">
      <c r="A13314" s="571" t="s">
        <v>2204</v>
      </c>
      <c r="B13314" s="572">
        <v>1.15042</v>
      </c>
      <c r="C13314" s="572">
        <v>60.289900000000003</v>
      </c>
    </row>
    <row r="13315" spans="1:3">
      <c r="A13315" s="571" t="s">
        <v>2204</v>
      </c>
      <c r="B13315" s="572">
        <v>1.53426</v>
      </c>
      <c r="C13315" s="572">
        <v>78.840599999999995</v>
      </c>
    </row>
    <row r="13316" spans="1:3">
      <c r="A13316" s="571" t="s">
        <v>2204</v>
      </c>
      <c r="B13316" s="572">
        <v>2.6976200000000001</v>
      </c>
      <c r="C13316" s="572">
        <v>85.7971</v>
      </c>
    </row>
    <row r="13317" spans="1:3">
      <c r="A13317" s="571" t="s">
        <v>2204</v>
      </c>
      <c r="B13317" s="572">
        <v>3.66568</v>
      </c>
      <c r="C13317" s="572">
        <v>97.391300000000001</v>
      </c>
    </row>
    <row r="13318" spans="1:3">
      <c r="A13318" s="571" t="s">
        <v>2204</v>
      </c>
      <c r="B13318" s="572">
        <v>4.4373199999999997</v>
      </c>
      <c r="C13318" s="572">
        <v>118.261</v>
      </c>
    </row>
    <row r="13319" spans="1:3">
      <c r="A13319" s="571" t="s">
        <v>2204</v>
      </c>
      <c r="B13319" s="572">
        <v>6.1798200000000003</v>
      </c>
      <c r="C13319" s="572">
        <v>139.13</v>
      </c>
    </row>
    <row r="13320" spans="1:3">
      <c r="A13320" s="571" t="s">
        <v>2204</v>
      </c>
      <c r="B13320" s="572">
        <v>7.3403700000000001</v>
      </c>
      <c r="C13320" s="572">
        <v>157.68100000000001</v>
      </c>
    </row>
    <row r="13321" spans="1:3">
      <c r="A13321" s="571" t="s">
        <v>2204</v>
      </c>
      <c r="B13321" s="572">
        <v>8.6962100000000007</v>
      </c>
      <c r="C13321" s="572">
        <v>171.59399999999999</v>
      </c>
    </row>
    <row r="13322" spans="1:3">
      <c r="A13322" s="571" t="s">
        <v>2204</v>
      </c>
      <c r="B13322" s="572">
        <v>10.052099999999999</v>
      </c>
      <c r="C13322" s="572">
        <v>185.50700000000001</v>
      </c>
    </row>
    <row r="13323" spans="1:3">
      <c r="A13323" s="571" t="s">
        <v>2204</v>
      </c>
      <c r="B13323" s="572">
        <v>11.6021</v>
      </c>
      <c r="C13323" s="572">
        <v>199.42</v>
      </c>
    </row>
    <row r="13324" spans="1:3">
      <c r="A13324" s="571" t="s">
        <v>2204</v>
      </c>
      <c r="B13324" s="572">
        <v>12.9579</v>
      </c>
      <c r="C13324" s="572">
        <v>213.333</v>
      </c>
    </row>
    <row r="13325" spans="1:3">
      <c r="A13325" s="571" t="s">
        <v>2204</v>
      </c>
      <c r="B13325" s="572">
        <v>14.7027</v>
      </c>
      <c r="C13325" s="572">
        <v>224.928</v>
      </c>
    </row>
    <row r="13326" spans="1:3">
      <c r="A13326" s="571" t="s">
        <v>2204</v>
      </c>
      <c r="B13326" s="572">
        <v>16.447399999999998</v>
      </c>
      <c r="C13326" s="572">
        <v>236.52199999999999</v>
      </c>
    </row>
    <row r="13327" spans="1:3">
      <c r="A13327" s="571" t="s">
        <v>2204</v>
      </c>
      <c r="B13327" s="572">
        <v>18.1922</v>
      </c>
      <c r="C13327" s="572">
        <v>248.11600000000001</v>
      </c>
    </row>
    <row r="13328" spans="1:3">
      <c r="A13328" s="571" t="s">
        <v>2204</v>
      </c>
      <c r="B13328" s="572">
        <v>19.743400000000001</v>
      </c>
      <c r="C13328" s="572">
        <v>257.39100000000002</v>
      </c>
    </row>
    <row r="13329" spans="1:3">
      <c r="A13329" s="571" t="s">
        <v>2204</v>
      </c>
      <c r="B13329" s="572">
        <v>21.4892</v>
      </c>
      <c r="C13329" s="572">
        <v>264.34800000000001</v>
      </c>
    </row>
    <row r="13330" spans="1:3">
      <c r="A13330" s="571" t="s">
        <v>2204</v>
      </c>
      <c r="B13330" s="572">
        <v>23.2346</v>
      </c>
      <c r="C13330" s="572">
        <v>273.62299999999999</v>
      </c>
    </row>
    <row r="13331" spans="1:3">
      <c r="A13331" s="571" t="s">
        <v>2204</v>
      </c>
      <c r="B13331" s="572">
        <v>24.980399999999999</v>
      </c>
      <c r="C13331" s="572">
        <v>280.58</v>
      </c>
    </row>
    <row r="13332" spans="1:3">
      <c r="A13332" s="571" t="s">
        <v>2204</v>
      </c>
      <c r="B13332" s="572">
        <v>26.726299999999998</v>
      </c>
      <c r="C13332" s="572">
        <v>287.536</v>
      </c>
    </row>
    <row r="13333" spans="1:3">
      <c r="A13333" s="571" t="s">
        <v>2204</v>
      </c>
      <c r="B13333" s="572">
        <v>28.666899999999998</v>
      </c>
      <c r="C13333" s="572">
        <v>292.17399999999998</v>
      </c>
    </row>
    <row r="13334" spans="1:3">
      <c r="A13334" s="571" t="s">
        <v>2204</v>
      </c>
      <c r="B13334" s="572">
        <v>30.412800000000001</v>
      </c>
      <c r="C13334" s="572">
        <v>299.13</v>
      </c>
    </row>
    <row r="13335" spans="1:3">
      <c r="A13335" s="571" t="s">
        <v>2204</v>
      </c>
      <c r="B13335" s="572">
        <v>32.353499999999997</v>
      </c>
      <c r="C13335" s="572">
        <v>303.76799999999997</v>
      </c>
    </row>
    <row r="13336" spans="1:3">
      <c r="A13336" s="571" t="s">
        <v>2204</v>
      </c>
      <c r="B13336" s="572">
        <v>34.2941</v>
      </c>
      <c r="C13336" s="572">
        <v>308.40600000000001</v>
      </c>
    </row>
    <row r="13337" spans="1:3">
      <c r="A13337" s="571" t="s">
        <v>2204</v>
      </c>
      <c r="B13337" s="572">
        <v>36.04</v>
      </c>
      <c r="C13337" s="572">
        <v>315.36200000000002</v>
      </c>
    </row>
    <row r="13338" spans="1:3">
      <c r="A13338" s="571" t="s">
        <v>2204</v>
      </c>
      <c r="B13338" s="572">
        <v>37.981099999999998</v>
      </c>
      <c r="C13338" s="572">
        <v>317.68099999999998</v>
      </c>
    </row>
    <row r="13339" spans="1:3">
      <c r="A13339" s="571" t="s">
        <v>2204</v>
      </c>
      <c r="B13339" s="572">
        <v>39.726999999999997</v>
      </c>
      <c r="C13339" s="572">
        <v>324.63799999999998</v>
      </c>
    </row>
    <row r="13340" spans="1:3">
      <c r="A13340" s="571" t="s">
        <v>2204</v>
      </c>
      <c r="B13340" s="572">
        <v>41.667700000000004</v>
      </c>
      <c r="C13340" s="572">
        <v>329.27499999999998</v>
      </c>
    </row>
    <row r="13341" spans="1:3">
      <c r="A13341" s="571" t="s">
        <v>2204</v>
      </c>
      <c r="B13341" s="572">
        <v>43.414099999999998</v>
      </c>
      <c r="C13341" s="572">
        <v>333.91300000000001</v>
      </c>
    </row>
    <row r="13342" spans="1:3">
      <c r="A13342" s="571" t="s">
        <v>2204</v>
      </c>
      <c r="B13342" s="572">
        <v>45.354700000000001</v>
      </c>
      <c r="C13342" s="572">
        <v>338.55099999999999</v>
      </c>
    </row>
    <row r="13343" spans="1:3">
      <c r="A13343" s="571" t="s">
        <v>2204</v>
      </c>
      <c r="B13343" s="572">
        <v>47.101199999999999</v>
      </c>
      <c r="C13343" s="572">
        <v>343.18799999999999</v>
      </c>
    </row>
    <row r="13344" spans="1:3">
      <c r="A13344" s="571" t="s">
        <v>2204</v>
      </c>
      <c r="B13344" s="572">
        <v>49.042400000000001</v>
      </c>
      <c r="C13344" s="572">
        <v>345.50700000000001</v>
      </c>
    </row>
    <row r="13345" spans="1:3">
      <c r="A13345" s="571" t="s">
        <v>2204</v>
      </c>
      <c r="B13345" s="572">
        <v>50.983499999999999</v>
      </c>
      <c r="C13345" s="572">
        <v>347.82600000000002</v>
      </c>
    </row>
    <row r="13346" spans="1:3">
      <c r="A13346" s="571" t="s">
        <v>2204</v>
      </c>
      <c r="B13346" s="572">
        <v>52.924700000000001</v>
      </c>
      <c r="C13346" s="572">
        <v>350.14499999999998</v>
      </c>
    </row>
    <row r="13347" spans="1:3">
      <c r="A13347" s="571" t="s">
        <v>2204</v>
      </c>
      <c r="B13347" s="572">
        <v>54.6723</v>
      </c>
      <c r="C13347" s="572">
        <v>350.14499999999998</v>
      </c>
    </row>
    <row r="13348" spans="1:3">
      <c r="A13348" s="571" t="s">
        <v>2204</v>
      </c>
      <c r="B13348" s="572">
        <v>56.612900000000003</v>
      </c>
      <c r="C13348" s="572">
        <v>354.78300000000002</v>
      </c>
    </row>
    <row r="13349" spans="1:3">
      <c r="A13349" s="571" t="s">
        <v>2204</v>
      </c>
      <c r="B13349" s="572">
        <v>58.359400000000001</v>
      </c>
      <c r="C13349" s="572">
        <v>359.42</v>
      </c>
    </row>
    <row r="13350" spans="1:3">
      <c r="A13350" s="571" t="s">
        <v>2204</v>
      </c>
      <c r="B13350" s="572">
        <v>60.3005</v>
      </c>
      <c r="C13350" s="572">
        <v>361.73899999999998</v>
      </c>
    </row>
    <row r="13351" spans="1:3">
      <c r="A13351" s="571" t="s">
        <v>2204</v>
      </c>
      <c r="B13351" s="572">
        <v>62.435899999999997</v>
      </c>
      <c r="C13351" s="572">
        <v>364.05799999999999</v>
      </c>
    </row>
    <row r="13352" spans="1:3">
      <c r="A13352" s="571" t="s">
        <v>2204</v>
      </c>
      <c r="B13352" s="572">
        <v>64.376499999999993</v>
      </c>
      <c r="C13352" s="572">
        <v>368.69600000000003</v>
      </c>
    </row>
    <row r="13353" spans="1:3">
      <c r="A13353" s="571" t="s">
        <v>2204</v>
      </c>
      <c r="B13353" s="572">
        <v>66.123500000000007</v>
      </c>
      <c r="C13353" s="572">
        <v>371.01400000000001</v>
      </c>
    </row>
    <row r="13354" spans="1:3">
      <c r="A13354" s="571" t="s">
        <v>2204</v>
      </c>
      <c r="B13354" s="572">
        <v>68.064700000000002</v>
      </c>
      <c r="C13354" s="572">
        <v>373.33300000000003</v>
      </c>
    </row>
    <row r="13355" spans="1:3">
      <c r="A13355" s="571" t="s">
        <v>2204</v>
      </c>
      <c r="B13355" s="572">
        <v>70.006500000000003</v>
      </c>
      <c r="C13355" s="572">
        <v>373.33300000000003</v>
      </c>
    </row>
    <row r="13356" spans="1:3">
      <c r="A13356" s="571" t="s">
        <v>2204</v>
      </c>
      <c r="B13356" s="572">
        <v>71.752899999999997</v>
      </c>
      <c r="C13356" s="572">
        <v>377.971</v>
      </c>
    </row>
    <row r="13357" spans="1:3">
      <c r="A13357" s="571" t="s">
        <v>2204</v>
      </c>
      <c r="B13357" s="572">
        <v>72.917400000000001</v>
      </c>
      <c r="C13357" s="572">
        <v>380.29</v>
      </c>
    </row>
    <row r="13358" spans="1:3">
      <c r="A13358" s="571" t="s">
        <v>2204</v>
      </c>
      <c r="B13358" s="572">
        <v>75.441100000000006</v>
      </c>
      <c r="C13358" s="572">
        <v>382.60899999999998</v>
      </c>
    </row>
    <row r="13359" spans="1:3">
      <c r="A13359" s="571" t="s">
        <v>2204</v>
      </c>
      <c r="B13359" s="572">
        <v>77.188100000000006</v>
      </c>
      <c r="C13359" s="572">
        <v>384.928</v>
      </c>
    </row>
    <row r="13360" spans="1:3">
      <c r="A13360" s="571" t="s">
        <v>2204</v>
      </c>
      <c r="B13360" s="572">
        <v>79.322400000000002</v>
      </c>
      <c r="C13360" s="572">
        <v>391.88400000000001</v>
      </c>
    </row>
    <row r="13361" spans="1:3">
      <c r="A13361" s="571" t="s">
        <v>2204</v>
      </c>
      <c r="B13361" s="572">
        <v>81.263499999999993</v>
      </c>
      <c r="C13361" s="572">
        <v>394.20299999999997</v>
      </c>
    </row>
    <row r="13362" spans="1:3">
      <c r="A13362" s="571" t="s">
        <v>2204</v>
      </c>
      <c r="B13362" s="572">
        <v>83.204700000000003</v>
      </c>
      <c r="C13362" s="572">
        <v>396.52199999999999</v>
      </c>
    </row>
    <row r="13363" spans="1:3">
      <c r="A13363" s="571" t="s">
        <v>2204</v>
      </c>
      <c r="B13363" s="572">
        <v>85.145300000000006</v>
      </c>
      <c r="C13363" s="572">
        <v>401.15899999999999</v>
      </c>
    </row>
    <row r="13364" spans="1:3">
      <c r="A13364" s="571" t="s">
        <v>2204</v>
      </c>
      <c r="B13364" s="572">
        <v>87.086500000000001</v>
      </c>
      <c r="C13364" s="572">
        <v>403.47800000000001</v>
      </c>
    </row>
    <row r="13365" spans="1:3">
      <c r="A13365" s="571" t="s">
        <v>2204</v>
      </c>
      <c r="B13365" s="572">
        <v>89.026600000000002</v>
      </c>
      <c r="C13365" s="572">
        <v>410.435</v>
      </c>
    </row>
    <row r="13366" spans="1:3">
      <c r="A13366" s="571" t="s">
        <v>2204</v>
      </c>
      <c r="B13366" s="572">
        <v>91.162000000000006</v>
      </c>
      <c r="C13366" s="572">
        <v>412.75400000000002</v>
      </c>
    </row>
    <row r="13367" spans="1:3">
      <c r="A13367" s="571" t="s">
        <v>2205</v>
      </c>
      <c r="B13367" s="572">
        <v>0.38834999999999997</v>
      </c>
      <c r="C13367" s="572">
        <v>0.38834999999999997</v>
      </c>
    </row>
    <row r="13368" spans="1:3">
      <c r="A13368" s="571" t="s">
        <v>2205</v>
      </c>
      <c r="B13368" s="572">
        <v>0.58252400000000004</v>
      </c>
      <c r="C13368" s="572">
        <v>76.7577</v>
      </c>
    </row>
    <row r="13369" spans="1:3">
      <c r="A13369" s="571" t="s">
        <v>2205</v>
      </c>
      <c r="B13369" s="572">
        <v>0.77669900000000003</v>
      </c>
      <c r="C13369" s="572">
        <v>116.297</v>
      </c>
    </row>
    <row r="13370" spans="1:3">
      <c r="A13370" s="571" t="s">
        <v>2205</v>
      </c>
      <c r="B13370" s="572">
        <v>0.77669900000000003</v>
      </c>
      <c r="C13370" s="572">
        <v>116.297</v>
      </c>
    </row>
    <row r="13371" spans="1:3">
      <c r="A13371" s="571" t="s">
        <v>2205</v>
      </c>
      <c r="B13371" s="572">
        <v>0.97087400000000001</v>
      </c>
      <c r="C13371" s="572">
        <v>176.767</v>
      </c>
    </row>
    <row r="13372" spans="1:3">
      <c r="A13372" s="571" t="s">
        <v>2205</v>
      </c>
      <c r="B13372" s="572">
        <v>1.1650499999999999</v>
      </c>
      <c r="C13372" s="572">
        <v>188.399</v>
      </c>
    </row>
    <row r="13373" spans="1:3">
      <c r="A13373" s="571" t="s">
        <v>2205</v>
      </c>
      <c r="B13373" s="572">
        <v>1.3592200000000001</v>
      </c>
      <c r="C13373" s="572">
        <v>197.70599999999999</v>
      </c>
    </row>
    <row r="13374" spans="1:3">
      <c r="A13374" s="571" t="s">
        <v>2205</v>
      </c>
      <c r="B13374" s="572">
        <v>1.7475700000000001</v>
      </c>
      <c r="C13374" s="572">
        <v>220.971</v>
      </c>
    </row>
    <row r="13375" spans="1:3">
      <c r="A13375" s="571" t="s">
        <v>2205</v>
      </c>
      <c r="B13375" s="572">
        <v>1.9417500000000001</v>
      </c>
      <c r="C13375" s="572">
        <v>234.929</v>
      </c>
    </row>
    <row r="13376" spans="1:3">
      <c r="A13376" s="571" t="s">
        <v>2205</v>
      </c>
      <c r="B13376" s="572">
        <v>2.13592</v>
      </c>
      <c r="C13376" s="572">
        <v>244.23599999999999</v>
      </c>
    </row>
    <row r="13377" spans="1:3">
      <c r="A13377" s="571" t="s">
        <v>2205</v>
      </c>
      <c r="B13377" s="572">
        <v>2.52427</v>
      </c>
      <c r="C13377" s="572">
        <v>253.547</v>
      </c>
    </row>
    <row r="13378" spans="1:3">
      <c r="A13378" s="571" t="s">
        <v>2205</v>
      </c>
      <c r="B13378" s="572">
        <v>2.7184499999999998</v>
      </c>
      <c r="C13378" s="572">
        <v>265.17899999999997</v>
      </c>
    </row>
    <row r="13379" spans="1:3">
      <c r="A13379" s="571" t="s">
        <v>2205</v>
      </c>
      <c r="B13379" s="572">
        <v>3.30097</v>
      </c>
      <c r="C13379" s="572">
        <v>286.12299999999999</v>
      </c>
    </row>
    <row r="13380" spans="1:3">
      <c r="A13380" s="571" t="s">
        <v>2205</v>
      </c>
      <c r="B13380" s="572">
        <v>3.8835000000000002</v>
      </c>
      <c r="C13380" s="572">
        <v>293.11399999999998</v>
      </c>
    </row>
    <row r="13381" spans="1:3">
      <c r="A13381" s="571" t="s">
        <v>2205</v>
      </c>
      <c r="B13381" s="572">
        <v>4.6601900000000001</v>
      </c>
      <c r="C13381" s="572">
        <v>314.06200000000001</v>
      </c>
    </row>
    <row r="13382" spans="1:3">
      <c r="A13382" s="571" t="s">
        <v>2205</v>
      </c>
      <c r="B13382" s="572">
        <v>5.6310700000000002</v>
      </c>
      <c r="C13382" s="572">
        <v>335.01499999999999</v>
      </c>
    </row>
    <row r="13383" spans="1:3">
      <c r="A13383" s="571" t="s">
        <v>2205</v>
      </c>
      <c r="B13383" s="572">
        <v>6.7961200000000002</v>
      </c>
      <c r="C13383" s="572">
        <v>353.64600000000002</v>
      </c>
    </row>
    <row r="13384" spans="1:3">
      <c r="A13384" s="571" t="s">
        <v>2205</v>
      </c>
      <c r="B13384" s="572">
        <v>8.1553400000000007</v>
      </c>
      <c r="C13384" s="572">
        <v>369.95699999999999</v>
      </c>
    </row>
    <row r="13385" spans="1:3">
      <c r="A13385" s="571" t="s">
        <v>2205</v>
      </c>
      <c r="B13385" s="572">
        <v>9.3203899999999997</v>
      </c>
      <c r="C13385" s="572">
        <v>386.26299999999998</v>
      </c>
    </row>
    <row r="13386" spans="1:3">
      <c r="A13386" s="571" t="s">
        <v>2205</v>
      </c>
      <c r="B13386" s="572">
        <v>10.873799999999999</v>
      </c>
      <c r="C13386" s="572">
        <v>402.57799999999997</v>
      </c>
    </row>
    <row r="13387" spans="1:3">
      <c r="A13387" s="571" t="s">
        <v>2205</v>
      </c>
      <c r="B13387" s="572">
        <v>12.427199999999999</v>
      </c>
      <c r="C13387" s="572">
        <v>414.24200000000002</v>
      </c>
    </row>
    <row r="13388" spans="1:3">
      <c r="A13388" s="571" t="s">
        <v>2205</v>
      </c>
      <c r="B13388" s="572">
        <v>14.174799999999999</v>
      </c>
      <c r="C13388" s="572">
        <v>428.23700000000002</v>
      </c>
    </row>
    <row r="13389" spans="1:3">
      <c r="A13389" s="571" t="s">
        <v>2205</v>
      </c>
      <c r="B13389" s="572">
        <v>15.9223</v>
      </c>
      <c r="C13389" s="572">
        <v>437.58</v>
      </c>
    </row>
    <row r="13390" spans="1:3">
      <c r="A13390" s="571" t="s">
        <v>2205</v>
      </c>
      <c r="B13390" s="572">
        <v>17.669899999999998</v>
      </c>
      <c r="C13390" s="572">
        <v>449.24799999999999</v>
      </c>
    </row>
    <row r="13391" spans="1:3">
      <c r="A13391" s="571" t="s">
        <v>2205</v>
      </c>
      <c r="B13391" s="572">
        <v>19.4175</v>
      </c>
      <c r="C13391" s="572">
        <v>458.59100000000001</v>
      </c>
    </row>
    <row r="13392" spans="1:3">
      <c r="A13392" s="571" t="s">
        <v>2205</v>
      </c>
      <c r="B13392" s="572">
        <v>21.164999999999999</v>
      </c>
      <c r="C13392" s="572">
        <v>465.608</v>
      </c>
    </row>
    <row r="13393" spans="1:3">
      <c r="A13393" s="571" t="s">
        <v>2205</v>
      </c>
      <c r="B13393" s="572">
        <v>22.912600000000001</v>
      </c>
      <c r="C13393" s="572">
        <v>472.62599999999998</v>
      </c>
    </row>
    <row r="13394" spans="1:3">
      <c r="A13394" s="571" t="s">
        <v>2205</v>
      </c>
      <c r="B13394" s="572">
        <v>24.854399999999998</v>
      </c>
      <c r="C13394" s="572">
        <v>477.322</v>
      </c>
    </row>
    <row r="13395" spans="1:3">
      <c r="A13395" s="571" t="s">
        <v>2205</v>
      </c>
      <c r="B13395" s="572">
        <v>26.796099999999999</v>
      </c>
      <c r="C13395" s="572">
        <v>482.01900000000001</v>
      </c>
    </row>
    <row r="13396" spans="1:3">
      <c r="A13396" s="571" t="s">
        <v>2205</v>
      </c>
      <c r="B13396" s="572">
        <v>28.543700000000001</v>
      </c>
      <c r="C13396" s="572">
        <v>486.71</v>
      </c>
    </row>
    <row r="13397" spans="1:3">
      <c r="A13397" s="571" t="s">
        <v>2205</v>
      </c>
      <c r="B13397" s="572">
        <v>30.485399999999998</v>
      </c>
      <c r="C13397" s="572">
        <v>491.40699999999998</v>
      </c>
    </row>
    <row r="13398" spans="1:3">
      <c r="A13398" s="571" t="s">
        <v>2205</v>
      </c>
      <c r="B13398" s="572">
        <v>32.232999999999997</v>
      </c>
      <c r="C13398" s="572">
        <v>496.09800000000001</v>
      </c>
    </row>
    <row r="13399" spans="1:3">
      <c r="A13399" s="571" t="s">
        <v>2205</v>
      </c>
      <c r="B13399" s="572">
        <v>34.174799999999998</v>
      </c>
      <c r="C13399" s="572">
        <v>498.46899999999999</v>
      </c>
    </row>
    <row r="13400" spans="1:3">
      <c r="A13400" s="571" t="s">
        <v>2205</v>
      </c>
      <c r="B13400" s="572">
        <v>36.116500000000002</v>
      </c>
      <c r="C13400" s="572">
        <v>500.84</v>
      </c>
    </row>
    <row r="13401" spans="1:3">
      <c r="A13401" s="571" t="s">
        <v>2205</v>
      </c>
      <c r="B13401" s="572">
        <v>37.864100000000001</v>
      </c>
      <c r="C13401" s="572">
        <v>505.53199999999998</v>
      </c>
    </row>
    <row r="13402" spans="1:3">
      <c r="A13402" s="571" t="s">
        <v>2205</v>
      </c>
      <c r="B13402" s="572">
        <v>39.805799999999998</v>
      </c>
      <c r="C13402" s="572">
        <v>507.90199999999999</v>
      </c>
    </row>
    <row r="13403" spans="1:3">
      <c r="A13403" s="571" t="s">
        <v>2205</v>
      </c>
      <c r="B13403" s="572">
        <v>41.747599999999998</v>
      </c>
      <c r="C13403" s="572">
        <v>510.27300000000002</v>
      </c>
    </row>
    <row r="13404" spans="1:3">
      <c r="A13404" s="571" t="s">
        <v>2205</v>
      </c>
      <c r="B13404" s="572">
        <v>43.689300000000003</v>
      </c>
      <c r="C13404" s="572">
        <v>512.64400000000001</v>
      </c>
    </row>
    <row r="13405" spans="1:3">
      <c r="A13405" s="571" t="s">
        <v>2205</v>
      </c>
      <c r="B13405" s="572">
        <v>45.436900000000001</v>
      </c>
      <c r="C13405" s="572">
        <v>515.01</v>
      </c>
    </row>
    <row r="13406" spans="1:3">
      <c r="A13406" s="571" t="s">
        <v>2205</v>
      </c>
      <c r="B13406" s="572">
        <v>47.378599999999999</v>
      </c>
      <c r="C13406" s="572">
        <v>517.38099999999997</v>
      </c>
    </row>
    <row r="13407" spans="1:3">
      <c r="A13407" s="571" t="s">
        <v>2205</v>
      </c>
      <c r="B13407" s="572">
        <v>49.320399999999999</v>
      </c>
      <c r="C13407" s="572">
        <v>517.42600000000004</v>
      </c>
    </row>
    <row r="13408" spans="1:3">
      <c r="A13408" s="571" t="s">
        <v>2205</v>
      </c>
      <c r="B13408" s="572">
        <v>51.262099999999997</v>
      </c>
      <c r="C13408" s="572">
        <v>519.79700000000003</v>
      </c>
    </row>
    <row r="13409" spans="1:3">
      <c r="A13409" s="571" t="s">
        <v>2205</v>
      </c>
      <c r="B13409" s="572">
        <v>53.203899999999997</v>
      </c>
      <c r="C13409" s="572">
        <v>519.84199999999998</v>
      </c>
    </row>
    <row r="13410" spans="1:3">
      <c r="A13410" s="571" t="s">
        <v>2205</v>
      </c>
      <c r="B13410" s="572">
        <v>55.145600000000002</v>
      </c>
      <c r="C13410" s="572">
        <v>517.56200000000001</v>
      </c>
    </row>
    <row r="13411" spans="1:3">
      <c r="A13411" s="571" t="s">
        <v>2205</v>
      </c>
      <c r="B13411" s="572">
        <v>56.8932</v>
      </c>
      <c r="C13411" s="572">
        <v>519.928</v>
      </c>
    </row>
    <row r="13412" spans="1:3">
      <c r="A13412" s="571" t="s">
        <v>2205</v>
      </c>
      <c r="B13412" s="572">
        <v>58.835000000000001</v>
      </c>
      <c r="C13412" s="572">
        <v>517.64700000000005</v>
      </c>
    </row>
    <row r="13413" spans="1:3">
      <c r="A13413" s="571" t="s">
        <v>2205</v>
      </c>
      <c r="B13413" s="572">
        <v>60.776699999999998</v>
      </c>
      <c r="C13413" s="572">
        <v>517.69200000000001</v>
      </c>
    </row>
    <row r="13414" spans="1:3">
      <c r="A13414" s="571" t="s">
        <v>2205</v>
      </c>
      <c r="B13414" s="572">
        <v>62.718400000000003</v>
      </c>
      <c r="C13414" s="572">
        <v>517.73800000000006</v>
      </c>
    </row>
    <row r="13415" spans="1:3">
      <c r="A13415" s="571" t="s">
        <v>2205</v>
      </c>
      <c r="B13415" s="572">
        <v>64.660200000000003</v>
      </c>
      <c r="C13415" s="572">
        <v>520.10799999999995</v>
      </c>
    </row>
    <row r="13416" spans="1:3">
      <c r="A13416" s="571" t="s">
        <v>2205</v>
      </c>
      <c r="B13416" s="572">
        <v>66.601900000000001</v>
      </c>
      <c r="C13416" s="572">
        <v>520.154</v>
      </c>
    </row>
    <row r="13417" spans="1:3">
      <c r="A13417" s="571" t="s">
        <v>2205</v>
      </c>
      <c r="B13417" s="572">
        <v>68.543700000000001</v>
      </c>
      <c r="C13417" s="572">
        <v>520.19899999999996</v>
      </c>
    </row>
    <row r="13418" spans="1:3">
      <c r="A13418" s="571" t="s">
        <v>2205</v>
      </c>
      <c r="B13418" s="572">
        <v>70.485399999999998</v>
      </c>
      <c r="C13418" s="572">
        <v>520.24400000000003</v>
      </c>
    </row>
    <row r="13419" spans="1:3">
      <c r="A13419" s="571" t="s">
        <v>2205</v>
      </c>
      <c r="B13419" s="572">
        <v>72.621399999999994</v>
      </c>
      <c r="C13419" s="572">
        <v>520.29399999999998</v>
      </c>
    </row>
    <row r="13420" spans="1:3">
      <c r="A13420" s="571" t="s">
        <v>2205</v>
      </c>
      <c r="B13420" s="572">
        <v>75.145600000000002</v>
      </c>
      <c r="C13420" s="572">
        <v>520.35199999999998</v>
      </c>
    </row>
    <row r="13421" spans="1:3">
      <c r="A13421" s="571" t="s">
        <v>2205</v>
      </c>
      <c r="B13421" s="572">
        <v>77.087400000000002</v>
      </c>
      <c r="C13421" s="572">
        <v>522.72299999999996</v>
      </c>
    </row>
    <row r="13422" spans="1:3">
      <c r="A13422" s="571" t="s">
        <v>2205</v>
      </c>
      <c r="B13422" s="572">
        <v>79.223299999999995</v>
      </c>
      <c r="C13422" s="572">
        <v>527.42399999999998</v>
      </c>
    </row>
    <row r="13423" spans="1:3">
      <c r="A13423" s="571" t="s">
        <v>2205</v>
      </c>
      <c r="B13423" s="572">
        <v>81.359200000000001</v>
      </c>
      <c r="C13423" s="572">
        <v>527.47299999999996</v>
      </c>
    </row>
    <row r="13424" spans="1:3">
      <c r="A13424" s="571" t="s">
        <v>2205</v>
      </c>
      <c r="B13424" s="572">
        <v>83.106800000000007</v>
      </c>
      <c r="C13424" s="572">
        <v>532.16499999999996</v>
      </c>
    </row>
    <row r="13425" spans="1:3">
      <c r="A13425" s="571" t="s">
        <v>2205</v>
      </c>
      <c r="B13425" s="572">
        <v>85.242699999999999</v>
      </c>
      <c r="C13425" s="572">
        <v>532.21500000000003</v>
      </c>
    </row>
    <row r="13426" spans="1:3">
      <c r="A13426" s="571" t="s">
        <v>2205</v>
      </c>
      <c r="B13426" s="572">
        <v>87.1845</v>
      </c>
      <c r="C13426" s="572">
        <v>534.58600000000001</v>
      </c>
    </row>
    <row r="13427" spans="1:3">
      <c r="A13427" s="571" t="s">
        <v>2205</v>
      </c>
      <c r="B13427" s="572">
        <v>89.126199999999997</v>
      </c>
      <c r="C13427" s="572">
        <v>534.63099999999997</v>
      </c>
    </row>
    <row r="13428" spans="1:3">
      <c r="A13428" s="571" t="s">
        <v>2205</v>
      </c>
      <c r="B13428" s="572">
        <v>91.262100000000004</v>
      </c>
      <c r="C13428" s="572">
        <v>537.00599999999997</v>
      </c>
    </row>
    <row r="13429" spans="1:3">
      <c r="A13429" s="571" t="s">
        <v>2206</v>
      </c>
      <c r="B13429" s="572">
        <v>0.388353</v>
      </c>
      <c r="C13429" s="572">
        <v>1.1202500000000001E-2</v>
      </c>
    </row>
    <row r="13430" spans="1:3">
      <c r="A13430" s="571" t="s">
        <v>2206</v>
      </c>
      <c r="B13430" s="572">
        <v>0.57879599999999998</v>
      </c>
      <c r="C13430" s="572">
        <v>11.521800000000001</v>
      </c>
    </row>
    <row r="13431" spans="1:3">
      <c r="A13431" s="571" t="s">
        <v>2206</v>
      </c>
      <c r="B13431" s="572">
        <v>0.73563000000000001</v>
      </c>
      <c r="C13431" s="572">
        <v>126.902</v>
      </c>
    </row>
    <row r="13432" spans="1:3">
      <c r="A13432" s="571" t="s">
        <v>2206</v>
      </c>
      <c r="B13432" s="572">
        <v>0.75616799999999995</v>
      </c>
      <c r="C13432" s="572">
        <v>63.439700000000002</v>
      </c>
    </row>
    <row r="13433" spans="1:3">
      <c r="A13433" s="571" t="s">
        <v>2206</v>
      </c>
      <c r="B13433" s="572">
        <v>0.91207000000000005</v>
      </c>
      <c r="C13433" s="572">
        <v>181.70400000000001</v>
      </c>
    </row>
    <row r="13434" spans="1:3">
      <c r="A13434" s="571" t="s">
        <v>2206</v>
      </c>
      <c r="B13434" s="572">
        <v>0.92140500000000003</v>
      </c>
      <c r="C13434" s="572">
        <v>152.858</v>
      </c>
    </row>
    <row r="13435" spans="1:3">
      <c r="A13435" s="571" t="s">
        <v>2206</v>
      </c>
      <c r="B13435" s="572">
        <v>1.48526</v>
      </c>
      <c r="C13435" s="572">
        <v>210.53399999999999</v>
      </c>
    </row>
    <row r="13436" spans="1:3">
      <c r="A13436" s="571" t="s">
        <v>2206</v>
      </c>
      <c r="B13436" s="572">
        <v>2.4505499999999998</v>
      </c>
      <c r="C13436" s="572">
        <v>227.81399999999999</v>
      </c>
    </row>
    <row r="13437" spans="1:3">
      <c r="A13437" s="571" t="s">
        <v>2206</v>
      </c>
      <c r="B13437" s="572">
        <v>3.60907</v>
      </c>
      <c r="C13437" s="572">
        <v>247.97300000000001</v>
      </c>
    </row>
    <row r="13438" spans="1:3">
      <c r="A13438" s="571" t="s">
        <v>2206</v>
      </c>
      <c r="B13438" s="572">
        <v>4.9608400000000001</v>
      </c>
      <c r="C13438" s="572">
        <v>271.01100000000002</v>
      </c>
    </row>
    <row r="13439" spans="1:3">
      <c r="A13439" s="571" t="s">
        <v>2206</v>
      </c>
      <c r="B13439" s="572">
        <v>6.5095799999999997</v>
      </c>
      <c r="C13439" s="572">
        <v>285.38900000000001</v>
      </c>
    </row>
    <row r="13440" spans="1:3">
      <c r="A13440" s="571" t="s">
        <v>2206</v>
      </c>
      <c r="B13440" s="572">
        <v>8.2524999999999995</v>
      </c>
      <c r="C13440" s="572">
        <v>299.762</v>
      </c>
    </row>
    <row r="13441" spans="1:3">
      <c r="A13441" s="571" t="s">
        <v>2206</v>
      </c>
      <c r="B13441" s="572">
        <v>9.9963599999999992</v>
      </c>
      <c r="C13441" s="572">
        <v>311.25</v>
      </c>
    </row>
    <row r="13442" spans="1:3">
      <c r="A13442" s="571" t="s">
        <v>2206</v>
      </c>
      <c r="B13442" s="572">
        <v>11.7393</v>
      </c>
      <c r="C13442" s="572">
        <v>325.62299999999999</v>
      </c>
    </row>
    <row r="13443" spans="1:3">
      <c r="A13443" s="571" t="s">
        <v>2206</v>
      </c>
      <c r="B13443" s="572">
        <v>13.4831</v>
      </c>
      <c r="C13443" s="572">
        <v>337.11099999999999</v>
      </c>
    </row>
    <row r="13444" spans="1:3">
      <c r="A13444" s="571" t="s">
        <v>2206</v>
      </c>
      <c r="B13444" s="572">
        <v>15.227</v>
      </c>
      <c r="C13444" s="572">
        <v>348.59899999999999</v>
      </c>
    </row>
    <row r="13445" spans="1:3">
      <c r="A13445" s="571" t="s">
        <v>2206</v>
      </c>
      <c r="B13445" s="572">
        <v>16.970800000000001</v>
      </c>
      <c r="C13445" s="572">
        <v>360.08699999999999</v>
      </c>
    </row>
    <row r="13446" spans="1:3">
      <c r="A13446" s="571" t="s">
        <v>2206</v>
      </c>
      <c r="B13446" s="572">
        <v>18.909800000000001</v>
      </c>
      <c r="C13446" s="572">
        <v>368.685</v>
      </c>
    </row>
    <row r="13447" spans="1:3">
      <c r="A13447" s="571" t="s">
        <v>2206</v>
      </c>
      <c r="B13447" s="572">
        <v>20.654599999999999</v>
      </c>
      <c r="C13447" s="572">
        <v>377.28899999999999</v>
      </c>
    </row>
    <row r="13448" spans="1:3">
      <c r="A13448" s="571" t="s">
        <v>2206</v>
      </c>
      <c r="B13448" s="572">
        <v>22.5945</v>
      </c>
      <c r="C13448" s="572">
        <v>383.00200000000001</v>
      </c>
    </row>
    <row r="13449" spans="1:3">
      <c r="A13449" s="571" t="s">
        <v>2206</v>
      </c>
      <c r="B13449" s="572">
        <v>24.339300000000001</v>
      </c>
      <c r="C13449" s="572">
        <v>391.60599999999999</v>
      </c>
    </row>
    <row r="13450" spans="1:3">
      <c r="A13450" s="571" t="s">
        <v>2206</v>
      </c>
      <c r="B13450" s="572">
        <v>26.279199999999999</v>
      </c>
      <c r="C13450" s="572">
        <v>397.31900000000002</v>
      </c>
    </row>
    <row r="13451" spans="1:3">
      <c r="A13451" s="571" t="s">
        <v>2206</v>
      </c>
      <c r="B13451" s="572">
        <v>28.024000000000001</v>
      </c>
      <c r="C13451" s="572">
        <v>405.92200000000003</v>
      </c>
    </row>
    <row r="13452" spans="1:3">
      <c r="A13452" s="571" t="s">
        <v>2206</v>
      </c>
      <c r="B13452" s="572">
        <v>29.9648</v>
      </c>
      <c r="C13452" s="572">
        <v>408.75099999999998</v>
      </c>
    </row>
    <row r="13453" spans="1:3">
      <c r="A13453" s="571" t="s">
        <v>2206</v>
      </c>
      <c r="B13453" s="572">
        <v>31.7105</v>
      </c>
      <c r="C13453" s="572">
        <v>414.47</v>
      </c>
    </row>
    <row r="13454" spans="1:3">
      <c r="A13454" s="571" t="s">
        <v>2206</v>
      </c>
      <c r="B13454" s="572">
        <v>33.650399999999998</v>
      </c>
      <c r="C13454" s="572">
        <v>420.18299999999999</v>
      </c>
    </row>
    <row r="13455" spans="1:3">
      <c r="A13455" s="571" t="s">
        <v>2206</v>
      </c>
      <c r="B13455" s="572">
        <v>35.396099999999997</v>
      </c>
      <c r="C13455" s="572">
        <v>425.90199999999999</v>
      </c>
    </row>
    <row r="13456" spans="1:3">
      <c r="A13456" s="571" t="s">
        <v>2206</v>
      </c>
      <c r="B13456" s="572">
        <v>37.337000000000003</v>
      </c>
      <c r="C13456" s="572">
        <v>428.73099999999999</v>
      </c>
    </row>
    <row r="13457" spans="1:3">
      <c r="A13457" s="571" t="s">
        <v>2206</v>
      </c>
      <c r="B13457" s="572">
        <v>39.082700000000003</v>
      </c>
      <c r="C13457" s="572">
        <v>434.45</v>
      </c>
    </row>
    <row r="13458" spans="1:3">
      <c r="A13458" s="571" t="s">
        <v>2206</v>
      </c>
      <c r="B13458" s="572">
        <v>41.022599999999997</v>
      </c>
      <c r="C13458" s="572">
        <v>440.16300000000001</v>
      </c>
    </row>
    <row r="13459" spans="1:3">
      <c r="A13459" s="571" t="s">
        <v>2206</v>
      </c>
      <c r="B13459" s="572">
        <v>42.768300000000004</v>
      </c>
      <c r="C13459" s="572">
        <v>445.88200000000001</v>
      </c>
    </row>
    <row r="13460" spans="1:3">
      <c r="A13460" s="571" t="s">
        <v>2206</v>
      </c>
      <c r="B13460" s="572">
        <v>44.515000000000001</v>
      </c>
      <c r="C13460" s="572">
        <v>448.71600000000001</v>
      </c>
    </row>
    <row r="13461" spans="1:3">
      <c r="A13461" s="571" t="s">
        <v>2206</v>
      </c>
      <c r="B13461" s="572">
        <v>46.454900000000002</v>
      </c>
      <c r="C13461" s="572">
        <v>454.42899999999997</v>
      </c>
    </row>
    <row r="13462" spans="1:3">
      <c r="A13462" s="571" t="s">
        <v>2206</v>
      </c>
      <c r="B13462" s="572">
        <v>48.395699999999998</v>
      </c>
      <c r="C13462" s="572">
        <v>457.25799999999998</v>
      </c>
    </row>
    <row r="13463" spans="1:3">
      <c r="A13463" s="571" t="s">
        <v>2206</v>
      </c>
      <c r="B13463" s="572">
        <v>50.141399999999997</v>
      </c>
      <c r="C13463" s="572">
        <v>462.97699999999998</v>
      </c>
    </row>
    <row r="13464" spans="1:3">
      <c r="A13464" s="571" t="s">
        <v>2206</v>
      </c>
      <c r="B13464" s="572">
        <v>51.888100000000001</v>
      </c>
      <c r="C13464" s="572">
        <v>465.81099999999998</v>
      </c>
    </row>
    <row r="13465" spans="1:3">
      <c r="A13465" s="571" t="s">
        <v>2206</v>
      </c>
      <c r="B13465" s="572">
        <v>53.829900000000002</v>
      </c>
      <c r="C13465" s="572">
        <v>465.755</v>
      </c>
    </row>
    <row r="13466" spans="1:3">
      <c r="A13466" s="571" t="s">
        <v>2206</v>
      </c>
      <c r="B13466" s="572">
        <v>55.770699999999998</v>
      </c>
      <c r="C13466" s="572">
        <v>468.584</v>
      </c>
    </row>
    <row r="13467" spans="1:3">
      <c r="A13467" s="571" t="s">
        <v>2206</v>
      </c>
      <c r="B13467" s="572">
        <v>57.517299999999999</v>
      </c>
      <c r="C13467" s="572">
        <v>471.41800000000001</v>
      </c>
    </row>
    <row r="13468" spans="1:3">
      <c r="A13468" s="571" t="s">
        <v>2206</v>
      </c>
      <c r="B13468" s="572">
        <v>59.458199999999998</v>
      </c>
      <c r="C13468" s="572">
        <v>474.24599999999998</v>
      </c>
    </row>
    <row r="13469" spans="1:3">
      <c r="A13469" s="571" t="s">
        <v>2206</v>
      </c>
      <c r="B13469" s="572">
        <v>61.399900000000002</v>
      </c>
      <c r="C13469" s="572">
        <v>474.19</v>
      </c>
    </row>
    <row r="13470" spans="1:3">
      <c r="A13470" s="571" t="s">
        <v>2206</v>
      </c>
      <c r="B13470" s="572">
        <v>63.146599999999999</v>
      </c>
      <c r="C13470" s="572">
        <v>477.02499999999998</v>
      </c>
    </row>
    <row r="13471" spans="1:3">
      <c r="A13471" s="571" t="s">
        <v>2206</v>
      </c>
      <c r="B13471" s="572">
        <v>64.895099999999999</v>
      </c>
      <c r="C13471" s="572">
        <v>474.09</v>
      </c>
    </row>
    <row r="13472" spans="1:3">
      <c r="A13472" s="571" t="s">
        <v>2206</v>
      </c>
      <c r="B13472" s="572">
        <v>66.835899999999995</v>
      </c>
      <c r="C13472" s="572">
        <v>476.91800000000001</v>
      </c>
    </row>
    <row r="13473" spans="1:3">
      <c r="A13473" s="571" t="s">
        <v>2206</v>
      </c>
      <c r="B13473" s="572">
        <v>68.583500000000001</v>
      </c>
      <c r="C13473" s="572">
        <v>476.86799999999999</v>
      </c>
    </row>
    <row r="13474" spans="1:3">
      <c r="A13474" s="571" t="s">
        <v>2206</v>
      </c>
      <c r="B13474" s="572">
        <v>70.525300000000001</v>
      </c>
      <c r="C13474" s="572">
        <v>476.81200000000001</v>
      </c>
    </row>
    <row r="13475" spans="1:3">
      <c r="A13475" s="571" t="s">
        <v>2206</v>
      </c>
      <c r="B13475" s="572">
        <v>72.466099999999997</v>
      </c>
      <c r="C13475" s="572">
        <v>479.64</v>
      </c>
    </row>
    <row r="13476" spans="1:3">
      <c r="A13476" s="571" t="s">
        <v>2206</v>
      </c>
      <c r="B13476" s="572">
        <v>75.183700000000002</v>
      </c>
      <c r="C13476" s="572">
        <v>482.447</v>
      </c>
    </row>
    <row r="13477" spans="1:3">
      <c r="A13477" s="571" t="s">
        <v>2206</v>
      </c>
      <c r="B13477" s="572">
        <v>76.348699999999994</v>
      </c>
      <c r="C13477" s="572">
        <v>482.41300000000001</v>
      </c>
    </row>
    <row r="13478" spans="1:3">
      <c r="A13478" s="571" t="s">
        <v>2206</v>
      </c>
      <c r="B13478" s="572">
        <v>78.096299999999999</v>
      </c>
      <c r="C13478" s="572">
        <v>482.363</v>
      </c>
    </row>
    <row r="13479" spans="1:3">
      <c r="A13479" s="571" t="s">
        <v>2206</v>
      </c>
      <c r="B13479" s="572">
        <v>80.232299999999995</v>
      </c>
      <c r="C13479" s="572">
        <v>482.30099999999999</v>
      </c>
    </row>
    <row r="13480" spans="1:3">
      <c r="A13480" s="571" t="s">
        <v>2206</v>
      </c>
      <c r="B13480" s="572">
        <v>82.173100000000005</v>
      </c>
      <c r="C13480" s="572">
        <v>485.13</v>
      </c>
    </row>
    <row r="13481" spans="1:3">
      <c r="A13481" s="571" t="s">
        <v>2206</v>
      </c>
      <c r="B13481" s="572">
        <v>84.502300000000005</v>
      </c>
      <c r="C13481" s="572">
        <v>487.947</v>
      </c>
    </row>
    <row r="13482" spans="1:3">
      <c r="A13482" s="571" t="s">
        <v>2206</v>
      </c>
      <c r="B13482" s="572">
        <v>86.444000000000003</v>
      </c>
      <c r="C13482" s="572">
        <v>487.89100000000002</v>
      </c>
    </row>
    <row r="13483" spans="1:3">
      <c r="A13483" s="571" t="s">
        <v>2206</v>
      </c>
      <c r="B13483" s="572">
        <v>88.385800000000003</v>
      </c>
      <c r="C13483" s="572">
        <v>487.83499999999998</v>
      </c>
    </row>
    <row r="13484" spans="1:3">
      <c r="A13484" s="571" t="s">
        <v>2206</v>
      </c>
      <c r="B13484" s="572">
        <v>90.520799999999994</v>
      </c>
      <c r="C13484" s="572">
        <v>490.65800000000002</v>
      </c>
    </row>
    <row r="13485" spans="1:3">
      <c r="A13485" s="571" t="s">
        <v>2207</v>
      </c>
      <c r="B13485" s="572">
        <v>0.388347</v>
      </c>
      <c r="C13485" s="572">
        <v>1.12158E-2</v>
      </c>
    </row>
    <row r="13486" spans="1:3">
      <c r="A13486" s="571" t="s">
        <v>2207</v>
      </c>
      <c r="B13486" s="572">
        <v>0.78370300000000004</v>
      </c>
      <c r="C13486" s="572">
        <v>28.8582</v>
      </c>
    </row>
    <row r="13487" spans="1:3">
      <c r="A13487" s="571" t="s">
        <v>2207</v>
      </c>
      <c r="B13487" s="572">
        <v>0.79001200000000005</v>
      </c>
      <c r="C13487" s="572">
        <v>54.8508</v>
      </c>
    </row>
    <row r="13488" spans="1:3">
      <c r="A13488" s="571" t="s">
        <v>2207</v>
      </c>
      <c r="B13488" s="572">
        <v>1.18607</v>
      </c>
      <c r="C13488" s="572">
        <v>86.6083</v>
      </c>
    </row>
    <row r="13489" spans="1:3">
      <c r="A13489" s="571" t="s">
        <v>2207</v>
      </c>
      <c r="B13489" s="572">
        <v>1.58213</v>
      </c>
      <c r="C13489" s="572">
        <v>118.366</v>
      </c>
    </row>
    <row r="13490" spans="1:3">
      <c r="A13490" s="571" t="s">
        <v>2207</v>
      </c>
      <c r="B13490" s="572">
        <v>2.56141</v>
      </c>
      <c r="C13490" s="572">
        <v>152.995</v>
      </c>
    </row>
    <row r="13491" spans="1:3">
      <c r="A13491" s="571" t="s">
        <v>2207</v>
      </c>
      <c r="B13491" s="572">
        <v>3.7313499999999999</v>
      </c>
      <c r="C13491" s="572">
        <v>173.17699999999999</v>
      </c>
    </row>
    <row r="13492" spans="1:3">
      <c r="A13492" s="571" t="s">
        <v>2207</v>
      </c>
      <c r="B13492" s="572">
        <v>5.4824200000000003</v>
      </c>
      <c r="C13492" s="572">
        <v>187.56700000000001</v>
      </c>
    </row>
    <row r="13493" spans="1:3">
      <c r="A13493" s="571" t="s">
        <v>2207</v>
      </c>
      <c r="B13493" s="572">
        <v>7.4269600000000002</v>
      </c>
      <c r="C13493" s="572">
        <v>199.06299999999999</v>
      </c>
    </row>
    <row r="13494" spans="1:3">
      <c r="A13494" s="571" t="s">
        <v>2207</v>
      </c>
      <c r="B13494" s="572">
        <v>9.5649700000000006</v>
      </c>
      <c r="C13494" s="572">
        <v>207.666</v>
      </c>
    </row>
    <row r="13495" spans="1:3">
      <c r="A13495" s="571" t="s">
        <v>2207</v>
      </c>
      <c r="B13495" s="572">
        <v>12.480399999999999</v>
      </c>
      <c r="C13495" s="572">
        <v>219.13399999999999</v>
      </c>
    </row>
    <row r="13496" spans="1:3">
      <c r="A13496" s="571" t="s">
        <v>2207</v>
      </c>
      <c r="B13496" s="572">
        <v>15.007400000000001</v>
      </c>
      <c r="C13496" s="572">
        <v>230.614</v>
      </c>
    </row>
    <row r="13497" spans="1:3">
      <c r="A13497" s="571" t="s">
        <v>2207</v>
      </c>
      <c r="B13497" s="572">
        <v>17.726600000000001</v>
      </c>
      <c r="C13497" s="572">
        <v>233.423</v>
      </c>
    </row>
    <row r="13498" spans="1:3">
      <c r="A13498" s="571" t="s">
        <v>2207</v>
      </c>
      <c r="B13498" s="572">
        <v>20.8354</v>
      </c>
      <c r="C13498" s="572">
        <v>241.99799999999999</v>
      </c>
    </row>
    <row r="13499" spans="1:3">
      <c r="A13499" s="571" t="s">
        <v>2207</v>
      </c>
      <c r="B13499" s="572">
        <v>23.750800000000002</v>
      </c>
      <c r="C13499" s="572">
        <v>253.46600000000001</v>
      </c>
    </row>
    <row r="13500" spans="1:3">
      <c r="A13500" s="571" t="s">
        <v>2207</v>
      </c>
      <c r="B13500" s="572">
        <v>26.471399999999999</v>
      </c>
      <c r="C13500" s="572">
        <v>262.05099999999999</v>
      </c>
    </row>
    <row r="13501" spans="1:3">
      <c r="A13501" s="571" t="s">
        <v>2207</v>
      </c>
      <c r="B13501" s="572">
        <v>29.578800000000001</v>
      </c>
      <c r="C13501" s="572">
        <v>264.85000000000002</v>
      </c>
    </row>
    <row r="13502" spans="1:3">
      <c r="A13502" s="571" t="s">
        <v>2207</v>
      </c>
      <c r="B13502" s="572">
        <v>32.298000000000002</v>
      </c>
      <c r="C13502" s="572">
        <v>267.65899999999999</v>
      </c>
    </row>
    <row r="13503" spans="1:3">
      <c r="A13503" s="571" t="s">
        <v>2207</v>
      </c>
      <c r="B13503" s="572">
        <v>35.988700000000001</v>
      </c>
      <c r="C13503" s="572">
        <v>273.32900000000001</v>
      </c>
    </row>
    <row r="13504" spans="1:3">
      <c r="A13504" s="571" t="s">
        <v>2207</v>
      </c>
      <c r="B13504" s="572">
        <v>39.290999999999997</v>
      </c>
      <c r="C13504" s="572">
        <v>279.01</v>
      </c>
    </row>
    <row r="13505" spans="1:3">
      <c r="A13505" s="571" t="s">
        <v>2207</v>
      </c>
      <c r="B13505" s="572">
        <v>43.370100000000001</v>
      </c>
      <c r="C13505" s="572">
        <v>284.66800000000001</v>
      </c>
    </row>
    <row r="13506" spans="1:3">
      <c r="A13506" s="571" t="s">
        <v>2207</v>
      </c>
      <c r="B13506" s="572">
        <v>47.448399999999999</v>
      </c>
      <c r="C13506" s="572">
        <v>287.43799999999999</v>
      </c>
    </row>
    <row r="13507" spans="1:3">
      <c r="A13507" s="571" t="s">
        <v>2207</v>
      </c>
      <c r="B13507" s="572">
        <v>51.719499999999996</v>
      </c>
      <c r="C13507" s="572">
        <v>284.42700000000002</v>
      </c>
    </row>
    <row r="13508" spans="1:3">
      <c r="A13508" s="571" t="s">
        <v>2207</v>
      </c>
      <c r="B13508" s="572">
        <v>54.8277</v>
      </c>
      <c r="C13508" s="572">
        <v>290.113</v>
      </c>
    </row>
    <row r="13509" spans="1:3">
      <c r="A13509" s="571" t="s">
        <v>2207</v>
      </c>
      <c r="B13509" s="572">
        <v>58.323500000000003</v>
      </c>
      <c r="C13509" s="572">
        <v>292.89999999999998</v>
      </c>
    </row>
    <row r="13510" spans="1:3">
      <c r="A13510" s="571" t="s">
        <v>2207</v>
      </c>
      <c r="B13510" s="572">
        <v>59.876199999999997</v>
      </c>
      <c r="C13510" s="572">
        <v>289.96699999999998</v>
      </c>
    </row>
    <row r="13511" spans="1:3">
      <c r="A13511" s="571" t="s">
        <v>2207</v>
      </c>
      <c r="B13511" s="572">
        <v>62.012099999999997</v>
      </c>
      <c r="C13511" s="572">
        <v>289.90600000000001</v>
      </c>
    </row>
    <row r="13512" spans="1:3">
      <c r="A13512" s="571" t="s">
        <v>2207</v>
      </c>
      <c r="B13512" s="572">
        <v>64.342200000000005</v>
      </c>
      <c r="C13512" s="572">
        <v>289.83800000000002</v>
      </c>
    </row>
    <row r="13513" spans="1:3">
      <c r="A13513" s="571" t="s">
        <v>2207</v>
      </c>
      <c r="B13513" s="572">
        <v>66.672300000000007</v>
      </c>
      <c r="C13513" s="572">
        <v>289.77100000000002</v>
      </c>
    </row>
    <row r="13514" spans="1:3">
      <c r="A13514" s="571" t="s">
        <v>2207</v>
      </c>
      <c r="B13514" s="572">
        <v>69.195099999999996</v>
      </c>
      <c r="C13514" s="572">
        <v>283.92200000000003</v>
      </c>
    </row>
    <row r="13515" spans="1:3">
      <c r="A13515" s="571" t="s">
        <v>2207</v>
      </c>
      <c r="B13515" s="572">
        <v>72.301900000000003</v>
      </c>
      <c r="C13515" s="572">
        <v>283.83199999999999</v>
      </c>
    </row>
    <row r="13516" spans="1:3">
      <c r="A13516" s="571" t="s">
        <v>2207</v>
      </c>
      <c r="B13516" s="572">
        <v>75.020300000000006</v>
      </c>
      <c r="C13516" s="572">
        <v>283.75400000000002</v>
      </c>
    </row>
    <row r="13517" spans="1:3">
      <c r="A13517" s="571" t="s">
        <v>2207</v>
      </c>
      <c r="B13517" s="572">
        <v>76.185400000000001</v>
      </c>
      <c r="C13517" s="572">
        <v>283.72000000000003</v>
      </c>
    </row>
    <row r="13518" spans="1:3">
      <c r="A13518" s="571" t="s">
        <v>2207</v>
      </c>
      <c r="B13518" s="572">
        <v>78.514700000000005</v>
      </c>
      <c r="C13518" s="572">
        <v>280.76499999999999</v>
      </c>
    </row>
    <row r="13519" spans="1:3">
      <c r="A13519" s="571" t="s">
        <v>2207</v>
      </c>
      <c r="B13519" s="572">
        <v>80.456500000000005</v>
      </c>
      <c r="C13519" s="572">
        <v>280.709</v>
      </c>
    </row>
    <row r="13520" spans="1:3">
      <c r="A13520" s="571" t="s">
        <v>2207</v>
      </c>
      <c r="B13520" s="572">
        <v>82.203999999999994</v>
      </c>
      <c r="C13520" s="572">
        <v>280.65800000000002</v>
      </c>
    </row>
    <row r="13521" spans="1:3">
      <c r="A13521" s="571" t="s">
        <v>2207</v>
      </c>
      <c r="B13521" s="572">
        <v>84.34</v>
      </c>
      <c r="C13521" s="572">
        <v>280.59699999999998</v>
      </c>
    </row>
    <row r="13522" spans="1:3">
      <c r="A13522" s="571" t="s">
        <v>2207</v>
      </c>
      <c r="B13522" s="572">
        <v>86.281700000000001</v>
      </c>
      <c r="C13522" s="572">
        <v>280.541</v>
      </c>
    </row>
    <row r="13523" spans="1:3">
      <c r="A13523" s="571" t="s">
        <v>2207</v>
      </c>
      <c r="B13523" s="572">
        <v>88.417599999999993</v>
      </c>
      <c r="C13523" s="572">
        <v>280.47899999999998</v>
      </c>
    </row>
    <row r="13524" spans="1:3">
      <c r="A13524" s="571" t="s">
        <v>2207</v>
      </c>
      <c r="B13524" s="572">
        <v>90.165899999999993</v>
      </c>
      <c r="C13524" s="572">
        <v>283.31700000000001</v>
      </c>
    </row>
    <row r="13525" spans="1:3">
      <c r="A13525" s="571" t="s">
        <v>2208</v>
      </c>
      <c r="B13525" s="572">
        <v>0.38834999999999997</v>
      </c>
      <c r="C13525" s="572">
        <v>0.38834999999999997</v>
      </c>
    </row>
    <row r="13526" spans="1:3">
      <c r="A13526" s="571" t="s">
        <v>2208</v>
      </c>
      <c r="B13526" s="572">
        <v>0.97087400000000001</v>
      </c>
      <c r="C13526" s="572">
        <v>260.89800000000002</v>
      </c>
    </row>
    <row r="13527" spans="1:3">
      <c r="A13527" s="571" t="s">
        <v>2208</v>
      </c>
      <c r="B13527" s="572">
        <v>1.1650499999999999</v>
      </c>
      <c r="C13527" s="572">
        <v>278.29500000000002</v>
      </c>
    </row>
    <row r="13528" spans="1:3">
      <c r="A13528" s="571" t="s">
        <v>2208</v>
      </c>
      <c r="B13528" s="572">
        <v>1.7475700000000001</v>
      </c>
      <c r="C13528" s="572">
        <v>298.601</v>
      </c>
    </row>
    <row r="13529" spans="1:3">
      <c r="A13529" s="571" t="s">
        <v>2208</v>
      </c>
      <c r="B13529" s="572">
        <v>2.3300999999999998</v>
      </c>
      <c r="C13529" s="572">
        <v>307.31400000000002</v>
      </c>
    </row>
    <row r="13530" spans="1:3">
      <c r="A13530" s="571" t="s">
        <v>2208</v>
      </c>
      <c r="B13530" s="572">
        <v>3.30097</v>
      </c>
      <c r="C13530" s="572">
        <v>330.53</v>
      </c>
    </row>
    <row r="13531" spans="1:3">
      <c r="A13531" s="571" t="s">
        <v>2208</v>
      </c>
      <c r="B13531" s="572">
        <v>4.6601900000000001</v>
      </c>
      <c r="C13531" s="572">
        <v>353.75799999999998</v>
      </c>
    </row>
    <row r="13532" spans="1:3">
      <c r="A13532" s="571" t="s">
        <v>2208</v>
      </c>
      <c r="B13532" s="572">
        <v>6.2135899999999999</v>
      </c>
      <c r="C13532" s="572">
        <v>371.19499999999999</v>
      </c>
    </row>
    <row r="13533" spans="1:3">
      <c r="A13533" s="571" t="s">
        <v>2208</v>
      </c>
      <c r="B13533" s="572">
        <v>7.9611700000000001</v>
      </c>
      <c r="C13533" s="572">
        <v>382.839</v>
      </c>
    </row>
    <row r="13534" spans="1:3">
      <c r="A13534" s="571" t="s">
        <v>2208</v>
      </c>
      <c r="B13534" s="572">
        <v>9.5145599999999995</v>
      </c>
      <c r="C13534" s="572">
        <v>400.27600000000001</v>
      </c>
    </row>
    <row r="13535" spans="1:3">
      <c r="A13535" s="571" t="s">
        <v>2208</v>
      </c>
      <c r="B13535" s="572">
        <v>11.2621</v>
      </c>
      <c r="C13535" s="572">
        <v>414.81900000000002</v>
      </c>
    </row>
    <row r="13536" spans="1:3">
      <c r="A13536" s="571" t="s">
        <v>2208</v>
      </c>
      <c r="B13536" s="572">
        <v>13.0097</v>
      </c>
      <c r="C13536" s="572">
        <v>429.363</v>
      </c>
    </row>
    <row r="13537" spans="1:3">
      <c r="A13537" s="571" t="s">
        <v>2208</v>
      </c>
      <c r="B13537" s="572">
        <v>14.757300000000001</v>
      </c>
      <c r="C13537" s="572">
        <v>441.00700000000001</v>
      </c>
    </row>
    <row r="13538" spans="1:3">
      <c r="A13538" s="571" t="s">
        <v>2208</v>
      </c>
      <c r="B13538" s="572">
        <v>16.504899999999999</v>
      </c>
      <c r="C13538" s="572">
        <v>452.65199999999999</v>
      </c>
    </row>
    <row r="13539" spans="1:3">
      <c r="A13539" s="571" t="s">
        <v>2208</v>
      </c>
      <c r="B13539" s="572">
        <v>18.252400000000002</v>
      </c>
      <c r="C13539" s="572">
        <v>464.29700000000003</v>
      </c>
    </row>
    <row r="13540" spans="1:3">
      <c r="A13540" s="571" t="s">
        <v>2208</v>
      </c>
      <c r="B13540" s="572">
        <v>20</v>
      </c>
      <c r="C13540" s="572">
        <v>473.04300000000001</v>
      </c>
    </row>
    <row r="13541" spans="1:3">
      <c r="A13541" s="571" t="s">
        <v>2208</v>
      </c>
      <c r="B13541" s="572">
        <v>21.941700000000001</v>
      </c>
      <c r="C13541" s="572">
        <v>481.79500000000002</v>
      </c>
    </row>
    <row r="13542" spans="1:3">
      <c r="A13542" s="571" t="s">
        <v>2208</v>
      </c>
      <c r="B13542" s="572">
        <v>23.883500000000002</v>
      </c>
      <c r="C13542" s="572">
        <v>487.649</v>
      </c>
    </row>
    <row r="13543" spans="1:3">
      <c r="A13543" s="571" t="s">
        <v>2208</v>
      </c>
      <c r="B13543" s="572">
        <v>25.6311</v>
      </c>
      <c r="C13543" s="572">
        <v>496.39499999999998</v>
      </c>
    </row>
    <row r="13544" spans="1:3">
      <c r="A13544" s="571" t="s">
        <v>2208</v>
      </c>
      <c r="B13544" s="572">
        <v>27.572800000000001</v>
      </c>
      <c r="C13544" s="572">
        <v>502.24799999999999</v>
      </c>
    </row>
    <row r="13545" spans="1:3">
      <c r="A13545" s="571" t="s">
        <v>2208</v>
      </c>
      <c r="B13545" s="572">
        <v>29.320399999999999</v>
      </c>
      <c r="C13545" s="572">
        <v>508.096</v>
      </c>
    </row>
    <row r="13546" spans="1:3">
      <c r="A13546" s="571" t="s">
        <v>2208</v>
      </c>
      <c r="B13546" s="572">
        <v>31.2621</v>
      </c>
      <c r="C13546" s="572">
        <v>513.95000000000005</v>
      </c>
    </row>
    <row r="13547" spans="1:3">
      <c r="A13547" s="571" t="s">
        <v>2208</v>
      </c>
      <c r="B13547" s="572">
        <v>33.009700000000002</v>
      </c>
      <c r="C13547" s="572">
        <v>519.79700000000003</v>
      </c>
    </row>
    <row r="13548" spans="1:3">
      <c r="A13548" s="571" t="s">
        <v>2208</v>
      </c>
      <c r="B13548" s="572">
        <v>34.951500000000003</v>
      </c>
      <c r="C13548" s="572">
        <v>525.65099999999995</v>
      </c>
    </row>
    <row r="13549" spans="1:3">
      <c r="A13549" s="571" t="s">
        <v>2208</v>
      </c>
      <c r="B13549" s="572">
        <v>36.698999999999998</v>
      </c>
      <c r="C13549" s="572">
        <v>531.49900000000002</v>
      </c>
    </row>
    <row r="13550" spans="1:3">
      <c r="A13550" s="571" t="s">
        <v>2208</v>
      </c>
      <c r="B13550" s="572">
        <v>38.640799999999999</v>
      </c>
      <c r="C13550" s="572">
        <v>534.45299999999997</v>
      </c>
    </row>
    <row r="13551" spans="1:3">
      <c r="A13551" s="571" t="s">
        <v>2208</v>
      </c>
      <c r="B13551" s="572">
        <v>40.582500000000003</v>
      </c>
      <c r="C13551" s="572">
        <v>540.30700000000002</v>
      </c>
    </row>
    <row r="13552" spans="1:3">
      <c r="A13552" s="571" t="s">
        <v>2208</v>
      </c>
      <c r="B13552" s="572">
        <v>42.330100000000002</v>
      </c>
      <c r="C13552" s="572">
        <v>546.154</v>
      </c>
    </row>
    <row r="13553" spans="1:3">
      <c r="A13553" s="571" t="s">
        <v>2208</v>
      </c>
      <c r="B13553" s="572">
        <v>44.271799999999999</v>
      </c>
      <c r="C13553" s="572">
        <v>552.00800000000004</v>
      </c>
    </row>
    <row r="13554" spans="1:3">
      <c r="A13554" s="571" t="s">
        <v>2208</v>
      </c>
      <c r="B13554" s="572">
        <v>46.019399999999997</v>
      </c>
      <c r="C13554" s="572">
        <v>554.95699999999999</v>
      </c>
    </row>
    <row r="13555" spans="1:3">
      <c r="A13555" s="571" t="s">
        <v>2208</v>
      </c>
      <c r="B13555" s="572">
        <v>47.961199999999998</v>
      </c>
      <c r="C13555" s="572">
        <v>560.80999999999995</v>
      </c>
    </row>
    <row r="13556" spans="1:3">
      <c r="A13556" s="571" t="s">
        <v>2208</v>
      </c>
      <c r="B13556" s="572">
        <v>49.902900000000002</v>
      </c>
      <c r="C13556" s="572">
        <v>563.76499999999999</v>
      </c>
    </row>
    <row r="13557" spans="1:3">
      <c r="A13557" s="571" t="s">
        <v>2208</v>
      </c>
      <c r="B13557" s="572">
        <v>51.650500000000001</v>
      </c>
      <c r="C13557" s="572">
        <v>569.61300000000006</v>
      </c>
    </row>
    <row r="13558" spans="1:3">
      <c r="A13558" s="571" t="s">
        <v>2208</v>
      </c>
      <c r="B13558" s="572">
        <v>53.592199999999998</v>
      </c>
      <c r="C13558" s="572">
        <v>569.66899999999998</v>
      </c>
    </row>
    <row r="13559" spans="1:3">
      <c r="A13559" s="571" t="s">
        <v>2208</v>
      </c>
      <c r="B13559" s="572">
        <v>55.339799999999997</v>
      </c>
      <c r="C13559" s="572">
        <v>572.61900000000003</v>
      </c>
    </row>
    <row r="13560" spans="1:3">
      <c r="A13560" s="571" t="s">
        <v>2208</v>
      </c>
      <c r="B13560" s="572">
        <v>57.281599999999997</v>
      </c>
      <c r="C13560" s="572">
        <v>578.47199999999998</v>
      </c>
    </row>
    <row r="13561" spans="1:3">
      <c r="A13561" s="571" t="s">
        <v>2208</v>
      </c>
      <c r="B13561" s="572">
        <v>59.223300000000002</v>
      </c>
      <c r="C13561" s="572">
        <v>578.52800000000002</v>
      </c>
    </row>
    <row r="13562" spans="1:3">
      <c r="A13562" s="571" t="s">
        <v>2208</v>
      </c>
      <c r="B13562" s="572">
        <v>61.164999999999999</v>
      </c>
      <c r="C13562" s="572">
        <v>578.58399999999995</v>
      </c>
    </row>
    <row r="13563" spans="1:3">
      <c r="A13563" s="571" t="s">
        <v>2208</v>
      </c>
      <c r="B13563" s="572">
        <v>62.912599999999998</v>
      </c>
      <c r="C13563" s="572">
        <v>581.53399999999999</v>
      </c>
    </row>
    <row r="13564" spans="1:3">
      <c r="A13564" s="571" t="s">
        <v>2208</v>
      </c>
      <c r="B13564" s="572">
        <v>64.854399999999998</v>
      </c>
      <c r="C13564" s="572">
        <v>581.59</v>
      </c>
    </row>
    <row r="13565" spans="1:3">
      <c r="A13565" s="571" t="s">
        <v>2208</v>
      </c>
      <c r="B13565" s="572">
        <v>66.796099999999996</v>
      </c>
      <c r="C13565" s="572">
        <v>581.64599999999996</v>
      </c>
    </row>
    <row r="13566" spans="1:3">
      <c r="A13566" s="571" t="s">
        <v>2208</v>
      </c>
      <c r="B13566" s="572">
        <v>68.737899999999996</v>
      </c>
      <c r="C13566" s="572">
        <v>581.70299999999997</v>
      </c>
    </row>
    <row r="13567" spans="1:3">
      <c r="A13567" s="571" t="s">
        <v>2208</v>
      </c>
      <c r="B13567" s="572">
        <v>70.679599999999994</v>
      </c>
      <c r="C13567" s="572">
        <v>581.75900000000001</v>
      </c>
    </row>
    <row r="13568" spans="1:3">
      <c r="A13568" s="571" t="s">
        <v>2208</v>
      </c>
      <c r="B13568" s="572">
        <v>72.427199999999999</v>
      </c>
      <c r="C13568" s="572">
        <v>581.80899999999997</v>
      </c>
    </row>
    <row r="13569" spans="1:3">
      <c r="A13569" s="571" t="s">
        <v>2208</v>
      </c>
      <c r="B13569" s="572">
        <v>74.757300000000001</v>
      </c>
      <c r="C13569" s="572">
        <v>587.67399999999998</v>
      </c>
    </row>
    <row r="13570" spans="1:3">
      <c r="A13570" s="571" t="s">
        <v>2208</v>
      </c>
      <c r="B13570" s="572">
        <v>76.116500000000002</v>
      </c>
      <c r="C13570" s="572">
        <v>590.61199999999997</v>
      </c>
    </row>
    <row r="13571" spans="1:3">
      <c r="A13571" s="571" t="s">
        <v>2208</v>
      </c>
      <c r="B13571" s="572">
        <v>78.058300000000003</v>
      </c>
      <c r="C13571" s="572">
        <v>587.77</v>
      </c>
    </row>
    <row r="13572" spans="1:3">
      <c r="A13572" s="571" t="s">
        <v>2208</v>
      </c>
      <c r="B13572" s="572">
        <v>80</v>
      </c>
      <c r="C13572" s="572">
        <v>590.72500000000002</v>
      </c>
    </row>
    <row r="13573" spans="1:3">
      <c r="A13573" s="571" t="s">
        <v>2208</v>
      </c>
      <c r="B13573" s="572">
        <v>82.135900000000007</v>
      </c>
      <c r="C13573" s="572">
        <v>593.68499999999995</v>
      </c>
    </row>
    <row r="13574" spans="1:3">
      <c r="A13574" s="571" t="s">
        <v>2208</v>
      </c>
      <c r="B13574" s="572">
        <v>84.077699999999993</v>
      </c>
      <c r="C13574" s="572">
        <v>590.84299999999996</v>
      </c>
    </row>
    <row r="13575" spans="1:3">
      <c r="A13575" s="571" t="s">
        <v>2208</v>
      </c>
      <c r="B13575" s="572">
        <v>86.019400000000005</v>
      </c>
      <c r="C13575" s="572">
        <v>596.69600000000003</v>
      </c>
    </row>
    <row r="13576" spans="1:3">
      <c r="A13576" s="571" t="s">
        <v>2208</v>
      </c>
      <c r="B13576" s="572">
        <v>87.961200000000005</v>
      </c>
      <c r="C13576" s="572">
        <v>596.75199999999995</v>
      </c>
    </row>
    <row r="13577" spans="1:3">
      <c r="A13577" s="571" t="s">
        <v>2208</v>
      </c>
      <c r="B13577" s="572">
        <v>90.291300000000007</v>
      </c>
      <c r="C13577" s="572">
        <v>599.71900000000005</v>
      </c>
    </row>
    <row r="13578" spans="1:3">
      <c r="A13578" s="571" t="s">
        <v>2209</v>
      </c>
      <c r="B13578" s="572">
        <v>0.77519400000000005</v>
      </c>
      <c r="C13578" s="572">
        <v>2.8930699999999998</v>
      </c>
    </row>
    <row r="13579" spans="1:3">
      <c r="A13579" s="571" t="s">
        <v>2209</v>
      </c>
      <c r="B13579" s="572">
        <v>1.7441899999999999</v>
      </c>
      <c r="C13579" s="572">
        <v>28.658100000000001</v>
      </c>
    </row>
    <row r="13580" spans="1:3">
      <c r="A13580" s="571" t="s">
        <v>2209</v>
      </c>
      <c r="B13580" s="572">
        <v>2.9069799999999999</v>
      </c>
      <c r="C13580" s="572">
        <v>57.332799999999999</v>
      </c>
    </row>
    <row r="13581" spans="1:3">
      <c r="A13581" s="571" t="s">
        <v>2209</v>
      </c>
      <c r="B13581" s="572">
        <v>4.2635699999999996</v>
      </c>
      <c r="C13581" s="572">
        <v>77.389600000000002</v>
      </c>
    </row>
    <row r="13582" spans="1:3">
      <c r="A13582" s="571" t="s">
        <v>2209</v>
      </c>
      <c r="B13582" s="572">
        <v>6.0077499999999997</v>
      </c>
      <c r="C13582" s="572">
        <v>91.693600000000004</v>
      </c>
    </row>
    <row r="13583" spans="1:3">
      <c r="A13583" s="571" t="s">
        <v>2209</v>
      </c>
      <c r="B13583" s="572">
        <v>7.7519400000000003</v>
      </c>
      <c r="C13583" s="572">
        <v>100.256</v>
      </c>
    </row>
    <row r="13584" spans="1:3">
      <c r="A13584" s="571" t="s">
        <v>2209</v>
      </c>
      <c r="B13584" s="572">
        <v>9.4961199999999995</v>
      </c>
      <c r="C13584" s="572">
        <v>108.818</v>
      </c>
    </row>
    <row r="13585" spans="1:3">
      <c r="A13585" s="571" t="s">
        <v>2209</v>
      </c>
      <c r="B13585" s="572">
        <v>11.434100000000001</v>
      </c>
      <c r="C13585" s="572">
        <v>123.117</v>
      </c>
    </row>
    <row r="13586" spans="1:3">
      <c r="A13586" s="571" t="s">
        <v>2209</v>
      </c>
      <c r="B13586" s="572">
        <v>13.565899999999999</v>
      </c>
      <c r="C13586" s="572">
        <v>134.53899999999999</v>
      </c>
    </row>
    <row r="13587" spans="1:3">
      <c r="A13587" s="571" t="s">
        <v>2209</v>
      </c>
      <c r="B13587" s="572">
        <v>15.891500000000001</v>
      </c>
      <c r="C13587" s="572">
        <v>143.084</v>
      </c>
    </row>
    <row r="13588" spans="1:3">
      <c r="A13588" s="571" t="s">
        <v>2209</v>
      </c>
      <c r="B13588" s="572">
        <v>18.217099999999999</v>
      </c>
      <c r="C13588" s="572">
        <v>154.501</v>
      </c>
    </row>
    <row r="13589" spans="1:3">
      <c r="A13589" s="571" t="s">
        <v>2209</v>
      </c>
      <c r="B13589" s="572">
        <v>20.7364</v>
      </c>
      <c r="C13589" s="572">
        <v>163.041</v>
      </c>
    </row>
    <row r="13590" spans="1:3">
      <c r="A13590" s="571" t="s">
        <v>2209</v>
      </c>
      <c r="B13590" s="572">
        <v>23.255800000000001</v>
      </c>
      <c r="C13590" s="572">
        <v>168.71</v>
      </c>
    </row>
    <row r="13591" spans="1:3">
      <c r="A13591" s="571" t="s">
        <v>2209</v>
      </c>
      <c r="B13591" s="572">
        <v>25.581399999999999</v>
      </c>
      <c r="C13591" s="572">
        <v>174.38499999999999</v>
      </c>
    </row>
    <row r="13592" spans="1:3">
      <c r="A13592" s="571" t="s">
        <v>2209</v>
      </c>
      <c r="B13592" s="572">
        <v>27.519400000000001</v>
      </c>
      <c r="C13592" s="572">
        <v>180.071</v>
      </c>
    </row>
    <row r="13593" spans="1:3">
      <c r="A13593" s="571" t="s">
        <v>2209</v>
      </c>
      <c r="B13593" s="572">
        <v>31.0078</v>
      </c>
      <c r="C13593" s="572">
        <v>182.84200000000001</v>
      </c>
    </row>
    <row r="13594" spans="1:3">
      <c r="A13594" s="571" t="s">
        <v>2209</v>
      </c>
      <c r="B13594" s="572">
        <v>33.527099999999997</v>
      </c>
      <c r="C13594" s="572">
        <v>188.511</v>
      </c>
    </row>
    <row r="13595" spans="1:3">
      <c r="A13595" s="571" t="s">
        <v>2209</v>
      </c>
      <c r="B13595" s="572">
        <v>35.658900000000003</v>
      </c>
      <c r="C13595" s="572">
        <v>197.06200000000001</v>
      </c>
    </row>
    <row r="13596" spans="1:3">
      <c r="A13596" s="571" t="s">
        <v>2209</v>
      </c>
      <c r="B13596" s="572">
        <v>37.984499999999997</v>
      </c>
      <c r="C13596" s="572">
        <v>202.73699999999999</v>
      </c>
    </row>
    <row r="13597" spans="1:3">
      <c r="A13597" s="571" t="s">
        <v>2209</v>
      </c>
      <c r="B13597" s="572">
        <v>39.922499999999999</v>
      </c>
      <c r="C13597" s="572">
        <v>208.423</v>
      </c>
    </row>
    <row r="13598" spans="1:3">
      <c r="A13598" s="571" t="s">
        <v>2209</v>
      </c>
      <c r="B13598" s="572">
        <v>41.666699999999999</v>
      </c>
      <c r="C13598" s="572">
        <v>214.11500000000001</v>
      </c>
    </row>
    <row r="13599" spans="1:3">
      <c r="A13599" s="571" t="s">
        <v>2209</v>
      </c>
      <c r="B13599" s="572">
        <v>43.992199999999997</v>
      </c>
      <c r="C13599" s="572">
        <v>216.91900000000001</v>
      </c>
    </row>
    <row r="13600" spans="1:3">
      <c r="A13600" s="571" t="s">
        <v>2209</v>
      </c>
      <c r="B13600" s="572">
        <v>45.930199999999999</v>
      </c>
      <c r="C13600" s="572">
        <v>222.60499999999999</v>
      </c>
    </row>
    <row r="13601" spans="1:3">
      <c r="A13601" s="571" t="s">
        <v>2209</v>
      </c>
      <c r="B13601" s="572">
        <v>48.837200000000003</v>
      </c>
      <c r="C13601" s="572">
        <v>228.26300000000001</v>
      </c>
    </row>
    <row r="13602" spans="1:3">
      <c r="A13602" s="571" t="s">
        <v>2209</v>
      </c>
      <c r="B13602" s="572">
        <v>51.550400000000003</v>
      </c>
      <c r="C13602" s="572">
        <v>228.185</v>
      </c>
    </row>
    <row r="13603" spans="1:3">
      <c r="A13603" s="571" t="s">
        <v>2209</v>
      </c>
      <c r="B13603" s="572">
        <v>53.682200000000002</v>
      </c>
      <c r="C13603" s="572">
        <v>228.124</v>
      </c>
    </row>
    <row r="13604" spans="1:3">
      <c r="A13604" s="571" t="s">
        <v>2209</v>
      </c>
      <c r="B13604" s="572">
        <v>56.395299999999999</v>
      </c>
      <c r="C13604" s="572">
        <v>230.917</v>
      </c>
    </row>
    <row r="13605" spans="1:3">
      <c r="A13605" s="571" t="s">
        <v>2209</v>
      </c>
      <c r="B13605" s="572">
        <v>58.527099999999997</v>
      </c>
      <c r="C13605" s="572">
        <v>233.726</v>
      </c>
    </row>
    <row r="13606" spans="1:3">
      <c r="A13606" s="571" t="s">
        <v>2209</v>
      </c>
      <c r="B13606" s="572">
        <v>60.271299999999997</v>
      </c>
      <c r="C13606" s="572">
        <v>233.67599999999999</v>
      </c>
    </row>
    <row r="13607" spans="1:3">
      <c r="A13607" s="571" t="s">
        <v>2209</v>
      </c>
      <c r="B13607" s="572">
        <v>62.403100000000002</v>
      </c>
      <c r="C13607" s="572">
        <v>230.744</v>
      </c>
    </row>
    <row r="13608" spans="1:3">
      <c r="A13608" s="571" t="s">
        <v>2209</v>
      </c>
      <c r="B13608" s="572">
        <v>65.310100000000006</v>
      </c>
      <c r="C13608" s="572">
        <v>233.53200000000001</v>
      </c>
    </row>
    <row r="13609" spans="1:3">
      <c r="A13609" s="571" t="s">
        <v>2209</v>
      </c>
      <c r="B13609" s="572">
        <v>68.023300000000006</v>
      </c>
      <c r="C13609" s="572">
        <v>233.45400000000001</v>
      </c>
    </row>
    <row r="13610" spans="1:3">
      <c r="A13610" s="571" t="s">
        <v>2209</v>
      </c>
      <c r="B13610" s="572">
        <v>70.542599999999993</v>
      </c>
      <c r="C13610" s="572">
        <v>230.511</v>
      </c>
    </row>
    <row r="13611" spans="1:3">
      <c r="A13611" s="571" t="s">
        <v>2209</v>
      </c>
      <c r="B13611" s="572">
        <v>72.480599999999995</v>
      </c>
      <c r="C13611" s="572">
        <v>224.71299999999999</v>
      </c>
    </row>
    <row r="13612" spans="1:3">
      <c r="A13612" s="571" t="s">
        <v>2209</v>
      </c>
      <c r="B13612" s="572">
        <v>75.193799999999996</v>
      </c>
      <c r="C13612" s="572">
        <v>224.636</v>
      </c>
    </row>
    <row r="13613" spans="1:3">
      <c r="A13613" s="571" t="s">
        <v>2209</v>
      </c>
      <c r="B13613" s="572">
        <v>76.162800000000004</v>
      </c>
      <c r="C13613" s="572">
        <v>224.608</v>
      </c>
    </row>
    <row r="13614" spans="1:3">
      <c r="A13614" s="571" t="s">
        <v>2209</v>
      </c>
      <c r="B13614" s="572">
        <v>78.100800000000007</v>
      </c>
      <c r="C13614" s="572">
        <v>230.29400000000001</v>
      </c>
    </row>
    <row r="13615" spans="1:3">
      <c r="A13615" s="571" t="s">
        <v>2209</v>
      </c>
      <c r="B13615" s="572">
        <v>80.232600000000005</v>
      </c>
      <c r="C13615" s="572">
        <v>230.233</v>
      </c>
    </row>
    <row r="13616" spans="1:3">
      <c r="A13616" s="571" t="s">
        <v>2209</v>
      </c>
      <c r="B13616" s="572">
        <v>82.170500000000004</v>
      </c>
      <c r="C13616" s="572">
        <v>233.048</v>
      </c>
    </row>
    <row r="13617" spans="1:3">
      <c r="A13617" s="571" t="s">
        <v>2209</v>
      </c>
      <c r="B13617" s="572">
        <v>84.108500000000006</v>
      </c>
      <c r="C13617" s="572">
        <v>232.99199999999999</v>
      </c>
    </row>
    <row r="13618" spans="1:3">
      <c r="A13618" s="571" t="s">
        <v>2209</v>
      </c>
      <c r="B13618" s="572">
        <v>86.240300000000005</v>
      </c>
      <c r="C13618" s="572">
        <v>235.80199999999999</v>
      </c>
    </row>
    <row r="13619" spans="1:3">
      <c r="A13619" s="571" t="s">
        <v>2209</v>
      </c>
      <c r="B13619" s="572">
        <v>87.984499999999997</v>
      </c>
      <c r="C13619" s="572">
        <v>235.75200000000001</v>
      </c>
    </row>
    <row r="13620" spans="1:3">
      <c r="A13620" s="571" t="s">
        <v>2209</v>
      </c>
      <c r="B13620" s="572">
        <v>90.116299999999995</v>
      </c>
      <c r="C13620" s="572">
        <v>238.56100000000001</v>
      </c>
    </row>
    <row r="13621" spans="1:3">
      <c r="A13621" s="571" t="s">
        <v>2210</v>
      </c>
      <c r="B13621" s="572">
        <v>0.97087400000000001</v>
      </c>
      <c r="C13621" s="572">
        <v>2.8708100000000001</v>
      </c>
    </row>
    <row r="13622" spans="1:3">
      <c r="A13622" s="571" t="s">
        <v>2210</v>
      </c>
      <c r="B13622" s="572">
        <v>1.7475700000000001</v>
      </c>
      <c r="C13622" s="572">
        <v>17.224900000000002</v>
      </c>
    </row>
    <row r="13623" spans="1:3">
      <c r="A13623" s="571" t="s">
        <v>2210</v>
      </c>
      <c r="B13623" s="572">
        <v>2.3300999999999998</v>
      </c>
      <c r="C13623" s="572">
        <v>28.708100000000002</v>
      </c>
    </row>
    <row r="13624" spans="1:3">
      <c r="A13624" s="571" t="s">
        <v>2210</v>
      </c>
      <c r="B13624" s="572">
        <v>3.30097</v>
      </c>
      <c r="C13624" s="572">
        <v>40.191400000000002</v>
      </c>
    </row>
    <row r="13625" spans="1:3">
      <c r="A13625" s="571" t="s">
        <v>2210</v>
      </c>
      <c r="B13625" s="572">
        <v>4.0776700000000003</v>
      </c>
      <c r="C13625" s="572">
        <v>51.674599999999998</v>
      </c>
    </row>
    <row r="13626" spans="1:3">
      <c r="A13626" s="571" t="s">
        <v>2210</v>
      </c>
      <c r="B13626" s="572">
        <v>5.43689</v>
      </c>
      <c r="C13626" s="572">
        <v>63.157899999999998</v>
      </c>
    </row>
    <row r="13627" spans="1:3">
      <c r="A13627" s="571" t="s">
        <v>2210</v>
      </c>
      <c r="B13627" s="572">
        <v>6.7961200000000002</v>
      </c>
      <c r="C13627" s="572">
        <v>68.899500000000003</v>
      </c>
    </row>
    <row r="13628" spans="1:3">
      <c r="A13628" s="571" t="s">
        <v>2210</v>
      </c>
      <c r="B13628" s="572">
        <v>7.9611700000000001</v>
      </c>
      <c r="C13628" s="572">
        <v>74.641099999999994</v>
      </c>
    </row>
    <row r="13629" spans="1:3">
      <c r="A13629" s="571" t="s">
        <v>2210</v>
      </c>
      <c r="B13629" s="572">
        <v>9.3203899999999997</v>
      </c>
      <c r="C13629" s="572">
        <v>83.253600000000006</v>
      </c>
    </row>
    <row r="13630" spans="1:3">
      <c r="A13630" s="571" t="s">
        <v>2210</v>
      </c>
      <c r="B13630" s="572">
        <v>10.679600000000001</v>
      </c>
      <c r="C13630" s="572">
        <v>91.866</v>
      </c>
    </row>
    <row r="13631" spans="1:3">
      <c r="A13631" s="571" t="s">
        <v>2210</v>
      </c>
      <c r="B13631" s="572">
        <v>12.233000000000001</v>
      </c>
      <c r="C13631" s="572">
        <v>97.607699999999994</v>
      </c>
    </row>
    <row r="13632" spans="1:3">
      <c r="A13632" s="571" t="s">
        <v>2210</v>
      </c>
      <c r="B13632" s="572">
        <v>13.5922</v>
      </c>
      <c r="C13632" s="572">
        <v>103.349</v>
      </c>
    </row>
    <row r="13633" spans="1:3">
      <c r="A13633" s="571" t="s">
        <v>2210</v>
      </c>
      <c r="B13633" s="572">
        <v>14.951499999999999</v>
      </c>
      <c r="C13633" s="572">
        <v>106.22</v>
      </c>
    </row>
    <row r="13634" spans="1:3">
      <c r="A13634" s="571" t="s">
        <v>2210</v>
      </c>
      <c r="B13634" s="572">
        <v>16.699000000000002</v>
      </c>
      <c r="C13634" s="572">
        <v>111.962</v>
      </c>
    </row>
    <row r="13635" spans="1:3">
      <c r="A13635" s="571" t="s">
        <v>2210</v>
      </c>
      <c r="B13635" s="572">
        <v>18.640799999999999</v>
      </c>
      <c r="C13635" s="572">
        <v>120.574</v>
      </c>
    </row>
    <row r="13636" spans="1:3">
      <c r="A13636" s="571" t="s">
        <v>2210</v>
      </c>
      <c r="B13636" s="572">
        <v>21.164999999999999</v>
      </c>
      <c r="C13636" s="572">
        <v>123.44499999999999</v>
      </c>
    </row>
    <row r="13637" spans="1:3">
      <c r="A13637" s="571" t="s">
        <v>2210</v>
      </c>
      <c r="B13637" s="572">
        <v>23.1068</v>
      </c>
      <c r="C13637" s="572">
        <v>129.18700000000001</v>
      </c>
    </row>
    <row r="13638" spans="1:3">
      <c r="A13638" s="571" t="s">
        <v>2210</v>
      </c>
      <c r="B13638" s="572">
        <v>24.466000000000001</v>
      </c>
      <c r="C13638" s="572">
        <v>132.05699999999999</v>
      </c>
    </row>
    <row r="13639" spans="1:3">
      <c r="A13639" s="571" t="s">
        <v>2210</v>
      </c>
      <c r="B13639" s="572">
        <v>25.825199999999999</v>
      </c>
      <c r="C13639" s="572">
        <v>132.05699999999999</v>
      </c>
    </row>
    <row r="13640" spans="1:3">
      <c r="A13640" s="571" t="s">
        <v>2210</v>
      </c>
      <c r="B13640" s="572">
        <v>27.766999999999999</v>
      </c>
      <c r="C13640" s="572">
        <v>134.928</v>
      </c>
    </row>
    <row r="13641" spans="1:3">
      <c r="A13641" s="571" t="s">
        <v>2210</v>
      </c>
      <c r="B13641" s="572">
        <v>29.7087</v>
      </c>
      <c r="C13641" s="572">
        <v>137.79900000000001</v>
      </c>
    </row>
    <row r="13642" spans="1:3">
      <c r="A13642" s="571" t="s">
        <v>2210</v>
      </c>
      <c r="B13642" s="572">
        <v>31.456299999999999</v>
      </c>
      <c r="C13642" s="572">
        <v>140.66999999999999</v>
      </c>
    </row>
    <row r="13643" spans="1:3">
      <c r="A13643" s="571" t="s">
        <v>2210</v>
      </c>
      <c r="B13643" s="572">
        <v>33.398099999999999</v>
      </c>
      <c r="C13643" s="572">
        <v>143.541</v>
      </c>
    </row>
    <row r="13644" spans="1:3">
      <c r="A13644" s="571" t="s">
        <v>2210</v>
      </c>
      <c r="B13644" s="572">
        <v>35.339799999999997</v>
      </c>
      <c r="C13644" s="572">
        <v>143.541</v>
      </c>
    </row>
    <row r="13645" spans="1:3">
      <c r="A13645" s="571" t="s">
        <v>2210</v>
      </c>
      <c r="B13645" s="572">
        <v>37.281599999999997</v>
      </c>
      <c r="C13645" s="572">
        <v>146.411</v>
      </c>
    </row>
    <row r="13646" spans="1:3">
      <c r="A13646" s="571" t="s">
        <v>2210</v>
      </c>
      <c r="B13646" s="572">
        <v>39.223300000000002</v>
      </c>
      <c r="C13646" s="572">
        <v>146.411</v>
      </c>
    </row>
    <row r="13647" spans="1:3">
      <c r="A13647" s="571" t="s">
        <v>2210</v>
      </c>
      <c r="B13647" s="572">
        <v>41.164999999999999</v>
      </c>
      <c r="C13647" s="572">
        <v>149.28200000000001</v>
      </c>
    </row>
    <row r="13648" spans="1:3">
      <c r="A13648" s="571" t="s">
        <v>2210</v>
      </c>
      <c r="B13648" s="572">
        <v>43.1068</v>
      </c>
      <c r="C13648" s="572">
        <v>149.28200000000001</v>
      </c>
    </row>
    <row r="13649" spans="1:3">
      <c r="A13649" s="571" t="s">
        <v>2210</v>
      </c>
      <c r="B13649" s="572">
        <v>44.854399999999998</v>
      </c>
      <c r="C13649" s="572">
        <v>152.15299999999999</v>
      </c>
    </row>
    <row r="13650" spans="1:3">
      <c r="A13650" s="571" t="s">
        <v>2210</v>
      </c>
      <c r="B13650" s="572">
        <v>46.796100000000003</v>
      </c>
      <c r="C13650" s="572">
        <v>152.15299999999999</v>
      </c>
    </row>
    <row r="13651" spans="1:3">
      <c r="A13651" s="571" t="s">
        <v>2210</v>
      </c>
      <c r="B13651" s="572">
        <v>48.737900000000003</v>
      </c>
      <c r="C13651" s="572">
        <v>152.15299999999999</v>
      </c>
    </row>
    <row r="13652" spans="1:3">
      <c r="A13652" s="571" t="s">
        <v>2210</v>
      </c>
      <c r="B13652" s="572">
        <v>50.679600000000001</v>
      </c>
      <c r="C13652" s="572">
        <v>155.024</v>
      </c>
    </row>
    <row r="13653" spans="1:3">
      <c r="A13653" s="571" t="s">
        <v>2210</v>
      </c>
      <c r="B13653" s="572">
        <v>52.621400000000001</v>
      </c>
      <c r="C13653" s="572">
        <v>155.024</v>
      </c>
    </row>
    <row r="13654" spans="1:3">
      <c r="A13654" s="571" t="s">
        <v>2210</v>
      </c>
      <c r="B13654" s="572">
        <v>54.563099999999999</v>
      </c>
      <c r="C13654" s="572">
        <v>155.024</v>
      </c>
    </row>
    <row r="13655" spans="1:3">
      <c r="A13655" s="571" t="s">
        <v>2210</v>
      </c>
      <c r="B13655" s="572">
        <v>56.504899999999999</v>
      </c>
      <c r="C13655" s="572">
        <v>152.15299999999999</v>
      </c>
    </row>
    <row r="13656" spans="1:3">
      <c r="A13656" s="571" t="s">
        <v>2210</v>
      </c>
      <c r="B13656" s="572">
        <v>58.446599999999997</v>
      </c>
      <c r="C13656" s="572">
        <v>152.15299999999999</v>
      </c>
    </row>
    <row r="13657" spans="1:3">
      <c r="A13657" s="571" t="s">
        <v>2210</v>
      </c>
      <c r="B13657" s="572">
        <v>60.388300000000001</v>
      </c>
      <c r="C13657" s="572">
        <v>152.15299999999999</v>
      </c>
    </row>
    <row r="13658" spans="1:3">
      <c r="A13658" s="571" t="s">
        <v>2210</v>
      </c>
      <c r="B13658" s="572">
        <v>62.524299999999997</v>
      </c>
      <c r="C13658" s="572">
        <v>149.28200000000001</v>
      </c>
    </row>
    <row r="13659" spans="1:3">
      <c r="A13659" s="571" t="s">
        <v>2210</v>
      </c>
      <c r="B13659" s="572">
        <v>64.465999999999994</v>
      </c>
      <c r="C13659" s="572">
        <v>149.28200000000001</v>
      </c>
    </row>
    <row r="13660" spans="1:3">
      <c r="A13660" s="571" t="s">
        <v>2210</v>
      </c>
      <c r="B13660" s="572">
        <v>66.407799999999995</v>
      </c>
      <c r="C13660" s="572">
        <v>146.411</v>
      </c>
    </row>
    <row r="13661" spans="1:3">
      <c r="A13661" s="571" t="s">
        <v>2210</v>
      </c>
      <c r="B13661" s="572">
        <v>68.349500000000006</v>
      </c>
      <c r="C13661" s="572">
        <v>143.541</v>
      </c>
    </row>
    <row r="13662" spans="1:3">
      <c r="A13662" s="571" t="s">
        <v>2210</v>
      </c>
      <c r="B13662" s="572">
        <v>70.097099999999998</v>
      </c>
      <c r="C13662" s="572">
        <v>140.66999999999999</v>
      </c>
    </row>
    <row r="13663" spans="1:3">
      <c r="A13663" s="571" t="s">
        <v>2210</v>
      </c>
      <c r="B13663" s="572">
        <v>71.844700000000003</v>
      </c>
      <c r="C13663" s="572">
        <v>143.541</v>
      </c>
    </row>
    <row r="13664" spans="1:3">
      <c r="A13664" s="571" t="s">
        <v>2210</v>
      </c>
      <c r="B13664" s="572">
        <v>73.009699999999995</v>
      </c>
      <c r="C13664" s="572">
        <v>140.66999999999999</v>
      </c>
    </row>
    <row r="13665" spans="1:3">
      <c r="A13665" s="571" t="s">
        <v>2210</v>
      </c>
      <c r="B13665" s="572">
        <v>75.145600000000002</v>
      </c>
      <c r="C13665" s="572">
        <v>143.541</v>
      </c>
    </row>
    <row r="13666" spans="1:3">
      <c r="A13666" s="571" t="s">
        <v>2210</v>
      </c>
      <c r="B13666" s="572">
        <v>76.698999999999998</v>
      </c>
      <c r="C13666" s="572">
        <v>137.79900000000001</v>
      </c>
    </row>
    <row r="13667" spans="1:3">
      <c r="A13667" s="571" t="s">
        <v>2210</v>
      </c>
      <c r="B13667" s="572">
        <v>78.252399999999994</v>
      </c>
      <c r="C13667" s="572">
        <v>140.66999999999999</v>
      </c>
    </row>
    <row r="13668" spans="1:3">
      <c r="A13668" s="571" t="s">
        <v>2210</v>
      </c>
      <c r="B13668" s="572">
        <v>80.388300000000001</v>
      </c>
      <c r="C13668" s="572">
        <v>137.79900000000001</v>
      </c>
    </row>
    <row r="13669" spans="1:3">
      <c r="A13669" s="571" t="s">
        <v>2210</v>
      </c>
      <c r="B13669" s="572">
        <v>81.941699999999997</v>
      </c>
      <c r="C13669" s="572">
        <v>140.66999999999999</v>
      </c>
    </row>
    <row r="13670" spans="1:3">
      <c r="A13670" s="571" t="s">
        <v>2210</v>
      </c>
      <c r="B13670" s="572">
        <v>84.077699999999993</v>
      </c>
      <c r="C13670" s="572">
        <v>140.66999999999999</v>
      </c>
    </row>
    <row r="13671" spans="1:3">
      <c r="A13671" s="571" t="s">
        <v>2210</v>
      </c>
      <c r="B13671" s="572">
        <v>86.2136</v>
      </c>
      <c r="C13671" s="572">
        <v>140.66999999999999</v>
      </c>
    </row>
    <row r="13672" spans="1:3">
      <c r="A13672" s="571" t="s">
        <v>2210</v>
      </c>
      <c r="B13672" s="572">
        <v>88.155299999999997</v>
      </c>
      <c r="C13672" s="572">
        <v>140.66999999999999</v>
      </c>
    </row>
    <row r="13673" spans="1:3">
      <c r="A13673" s="571" t="s">
        <v>2210</v>
      </c>
      <c r="B13673" s="572">
        <v>90.097099999999998</v>
      </c>
      <c r="C13673" s="572">
        <v>137.79900000000001</v>
      </c>
    </row>
    <row r="13674" spans="1:3">
      <c r="A13674" s="571" t="s">
        <v>2211</v>
      </c>
      <c r="B13674" s="572">
        <v>0</v>
      </c>
      <c r="C13674" s="572">
        <v>0</v>
      </c>
    </row>
    <row r="13675" spans="1:3">
      <c r="A13675" s="571" t="s">
        <v>2211</v>
      </c>
      <c r="B13675" s="572">
        <v>0.38834999999999997</v>
      </c>
      <c r="C13675" s="572">
        <v>115.373</v>
      </c>
    </row>
    <row r="13676" spans="1:3">
      <c r="A13676" s="571" t="s">
        <v>2211</v>
      </c>
      <c r="B13676" s="572">
        <v>0.77669900000000003</v>
      </c>
      <c r="C13676" s="572">
        <v>144.208</v>
      </c>
    </row>
    <row r="13677" spans="1:3">
      <c r="A13677" s="571" t="s">
        <v>2211</v>
      </c>
      <c r="B13677" s="572">
        <v>0.97087400000000001</v>
      </c>
      <c r="C13677" s="572">
        <v>167.28</v>
      </c>
    </row>
    <row r="13678" spans="1:3">
      <c r="A13678" s="571" t="s">
        <v>2211</v>
      </c>
      <c r="B13678" s="572">
        <v>1.9417500000000001</v>
      </c>
      <c r="C13678" s="572">
        <v>193.21299999999999</v>
      </c>
    </row>
    <row r="13679" spans="1:3">
      <c r="A13679" s="571" t="s">
        <v>2211</v>
      </c>
      <c r="B13679" s="572">
        <v>2.7184499999999998</v>
      </c>
      <c r="C13679" s="572">
        <v>210.499</v>
      </c>
    </row>
    <row r="13680" spans="1:3">
      <c r="A13680" s="571" t="s">
        <v>2211</v>
      </c>
      <c r="B13680" s="572">
        <v>3.6893199999999999</v>
      </c>
      <c r="C13680" s="572">
        <v>227.77799999999999</v>
      </c>
    </row>
    <row r="13681" spans="1:3">
      <c r="A13681" s="571" t="s">
        <v>2211</v>
      </c>
      <c r="B13681" s="572">
        <v>5.04854</v>
      </c>
      <c r="C13681" s="572">
        <v>247.93100000000001</v>
      </c>
    </row>
    <row r="13682" spans="1:3">
      <c r="A13682" s="571" t="s">
        <v>2211</v>
      </c>
      <c r="B13682" s="572">
        <v>6.7961200000000002</v>
      </c>
      <c r="C13682" s="572">
        <v>262.30399999999997</v>
      </c>
    </row>
    <row r="13683" spans="1:3">
      <c r="A13683" s="571" t="s">
        <v>2211</v>
      </c>
      <c r="B13683" s="572">
        <v>8.3495100000000004</v>
      </c>
      <c r="C13683" s="572">
        <v>276.68200000000002</v>
      </c>
    </row>
    <row r="13684" spans="1:3">
      <c r="A13684" s="571" t="s">
        <v>2211</v>
      </c>
      <c r="B13684" s="572">
        <v>10.097099999999999</v>
      </c>
      <c r="C13684" s="572">
        <v>291.05500000000001</v>
      </c>
    </row>
    <row r="13685" spans="1:3">
      <c r="A13685" s="571" t="s">
        <v>2211</v>
      </c>
      <c r="B13685" s="572">
        <v>11.650499999999999</v>
      </c>
      <c r="C13685" s="572">
        <v>308.31799999999998</v>
      </c>
    </row>
    <row r="13686" spans="1:3">
      <c r="A13686" s="571" t="s">
        <v>2211</v>
      </c>
      <c r="B13686" s="572">
        <v>13.398099999999999</v>
      </c>
      <c r="C13686" s="572">
        <v>319.80599999999998</v>
      </c>
    </row>
    <row r="13687" spans="1:3">
      <c r="A13687" s="571" t="s">
        <v>2211</v>
      </c>
      <c r="B13687" s="572">
        <v>15.1456</v>
      </c>
      <c r="C13687" s="572">
        <v>331.29399999999998</v>
      </c>
    </row>
    <row r="13688" spans="1:3">
      <c r="A13688" s="571" t="s">
        <v>2211</v>
      </c>
      <c r="B13688" s="572">
        <v>17.087399999999999</v>
      </c>
      <c r="C13688" s="572">
        <v>342.77600000000001</v>
      </c>
    </row>
    <row r="13689" spans="1:3">
      <c r="A13689" s="571" t="s">
        <v>2211</v>
      </c>
      <c r="B13689" s="572">
        <v>18.835000000000001</v>
      </c>
      <c r="C13689" s="572">
        <v>351.38</v>
      </c>
    </row>
    <row r="13690" spans="1:3">
      <c r="A13690" s="571" t="s">
        <v>2211</v>
      </c>
      <c r="B13690" s="572">
        <v>20.776700000000002</v>
      </c>
      <c r="C13690" s="572">
        <v>359.97800000000001</v>
      </c>
    </row>
    <row r="13691" spans="1:3">
      <c r="A13691" s="571" t="s">
        <v>2211</v>
      </c>
      <c r="B13691" s="572">
        <v>22.5243</v>
      </c>
      <c r="C13691" s="572">
        <v>368.58100000000002</v>
      </c>
    </row>
    <row r="13692" spans="1:3">
      <c r="A13692" s="571" t="s">
        <v>2211</v>
      </c>
      <c r="B13692" s="572">
        <v>24.466000000000001</v>
      </c>
      <c r="C13692" s="572">
        <v>374.29399999999998</v>
      </c>
    </row>
    <row r="13693" spans="1:3">
      <c r="A13693" s="571" t="s">
        <v>2211</v>
      </c>
      <c r="B13693" s="572">
        <v>26.2136</v>
      </c>
      <c r="C13693" s="572">
        <v>380.01299999999998</v>
      </c>
    </row>
    <row r="13694" spans="1:3">
      <c r="A13694" s="571" t="s">
        <v>2211</v>
      </c>
      <c r="B13694" s="572">
        <v>28.1553</v>
      </c>
      <c r="C13694" s="572">
        <v>385.726</v>
      </c>
    </row>
    <row r="13695" spans="1:3">
      <c r="A13695" s="571" t="s">
        <v>2211</v>
      </c>
      <c r="B13695" s="572">
        <v>29.902899999999999</v>
      </c>
      <c r="C13695" s="572">
        <v>391.44499999999999</v>
      </c>
    </row>
    <row r="13696" spans="1:3">
      <c r="A13696" s="571" t="s">
        <v>2211</v>
      </c>
      <c r="B13696" s="572">
        <v>31.8447</v>
      </c>
      <c r="C13696" s="572">
        <v>394.274</v>
      </c>
    </row>
    <row r="13697" spans="1:3">
      <c r="A13697" s="571" t="s">
        <v>2211</v>
      </c>
      <c r="B13697" s="572">
        <v>33.7864</v>
      </c>
      <c r="C13697" s="572">
        <v>399.98700000000002</v>
      </c>
    </row>
    <row r="13698" spans="1:3">
      <c r="A13698" s="571" t="s">
        <v>2211</v>
      </c>
      <c r="B13698" s="572">
        <v>35.533999999999999</v>
      </c>
      <c r="C13698" s="572">
        <v>402.82100000000003</v>
      </c>
    </row>
    <row r="13699" spans="1:3">
      <c r="A13699" s="571" t="s">
        <v>2211</v>
      </c>
      <c r="B13699" s="572">
        <v>37.475700000000003</v>
      </c>
      <c r="C13699" s="572">
        <v>408.53399999999999</v>
      </c>
    </row>
    <row r="13700" spans="1:3">
      <c r="A13700" s="571" t="s">
        <v>2211</v>
      </c>
      <c r="B13700" s="572">
        <v>39.417499999999997</v>
      </c>
      <c r="C13700" s="572">
        <v>411.363</v>
      </c>
    </row>
    <row r="13701" spans="1:3">
      <c r="A13701" s="571" t="s">
        <v>2211</v>
      </c>
      <c r="B13701" s="572">
        <v>41.164999999999999</v>
      </c>
      <c r="C13701" s="572">
        <v>414.197</v>
      </c>
    </row>
    <row r="13702" spans="1:3">
      <c r="A13702" s="571" t="s">
        <v>2211</v>
      </c>
      <c r="B13702" s="572">
        <v>43.1068</v>
      </c>
      <c r="C13702" s="572">
        <v>419.91</v>
      </c>
    </row>
    <row r="13703" spans="1:3">
      <c r="A13703" s="571" t="s">
        <v>2211</v>
      </c>
      <c r="B13703" s="572">
        <v>45.048499999999997</v>
      </c>
      <c r="C13703" s="572">
        <v>422.73899999999998</v>
      </c>
    </row>
    <row r="13704" spans="1:3">
      <c r="A13704" s="571" t="s">
        <v>2211</v>
      </c>
      <c r="B13704" s="572">
        <v>46.796100000000003</v>
      </c>
      <c r="C13704" s="572">
        <v>425.57299999999998</v>
      </c>
    </row>
    <row r="13705" spans="1:3">
      <c r="A13705" s="571" t="s">
        <v>2211</v>
      </c>
      <c r="B13705" s="572">
        <v>48.737900000000003</v>
      </c>
      <c r="C13705" s="572">
        <v>428.40199999999999</v>
      </c>
    </row>
    <row r="13706" spans="1:3">
      <c r="A13706" s="571" t="s">
        <v>2211</v>
      </c>
      <c r="B13706" s="572">
        <v>50.679600000000001</v>
      </c>
      <c r="C13706" s="572">
        <v>431.23</v>
      </c>
    </row>
    <row r="13707" spans="1:3">
      <c r="A13707" s="571" t="s">
        <v>2211</v>
      </c>
      <c r="B13707" s="572">
        <v>52.621400000000001</v>
      </c>
      <c r="C13707" s="572">
        <v>434.05900000000003</v>
      </c>
    </row>
    <row r="13708" spans="1:3">
      <c r="A13708" s="571" t="s">
        <v>2211</v>
      </c>
      <c r="B13708" s="572">
        <v>54.563099999999999</v>
      </c>
      <c r="C13708" s="572">
        <v>434.00299999999999</v>
      </c>
    </row>
    <row r="13709" spans="1:3">
      <c r="A13709" s="571" t="s">
        <v>2211</v>
      </c>
      <c r="B13709" s="572">
        <v>56.504899999999999</v>
      </c>
      <c r="C13709" s="572">
        <v>436.83199999999999</v>
      </c>
    </row>
    <row r="13710" spans="1:3">
      <c r="A13710" s="571" t="s">
        <v>2211</v>
      </c>
      <c r="B13710" s="572">
        <v>58.252400000000002</v>
      </c>
      <c r="C13710" s="572">
        <v>436.78100000000001</v>
      </c>
    </row>
    <row r="13711" spans="1:3">
      <c r="A13711" s="571" t="s">
        <v>2211</v>
      </c>
      <c r="B13711" s="572">
        <v>60.194200000000002</v>
      </c>
      <c r="C13711" s="572">
        <v>439.61</v>
      </c>
    </row>
    <row r="13712" spans="1:3">
      <c r="A13712" s="571" t="s">
        <v>2211</v>
      </c>
      <c r="B13712" s="572">
        <v>62.912599999999998</v>
      </c>
      <c r="C13712" s="572">
        <v>439.53100000000001</v>
      </c>
    </row>
    <row r="13713" spans="1:3">
      <c r="A13713" s="571" t="s">
        <v>2211</v>
      </c>
      <c r="B13713" s="572">
        <v>64.854399999999998</v>
      </c>
      <c r="C13713" s="572">
        <v>439.47500000000002</v>
      </c>
    </row>
    <row r="13714" spans="1:3">
      <c r="A13714" s="571" t="s">
        <v>2211</v>
      </c>
      <c r="B13714" s="572">
        <v>66.796099999999996</v>
      </c>
      <c r="C13714" s="572">
        <v>439.41899999999998</v>
      </c>
    </row>
    <row r="13715" spans="1:3">
      <c r="A13715" s="571" t="s">
        <v>2211</v>
      </c>
      <c r="B13715" s="572">
        <v>68.737899999999996</v>
      </c>
      <c r="C13715" s="572">
        <v>439.363</v>
      </c>
    </row>
    <row r="13716" spans="1:3">
      <c r="A13716" s="571" t="s">
        <v>2211</v>
      </c>
      <c r="B13716" s="572">
        <v>70.679599999999994</v>
      </c>
      <c r="C13716" s="572">
        <v>439.30700000000002</v>
      </c>
    </row>
    <row r="13717" spans="1:3">
      <c r="A13717" s="571" t="s">
        <v>2211</v>
      </c>
      <c r="B13717" s="572">
        <v>72.621399999999994</v>
      </c>
      <c r="C13717" s="572">
        <v>439.25099999999998</v>
      </c>
    </row>
    <row r="13718" spans="1:3">
      <c r="A13718" s="571" t="s">
        <v>2211</v>
      </c>
      <c r="B13718" s="572">
        <v>74.951499999999996</v>
      </c>
      <c r="C13718" s="572">
        <v>444.95299999999997</v>
      </c>
    </row>
    <row r="13719" spans="1:3">
      <c r="A13719" s="571" t="s">
        <v>2211</v>
      </c>
      <c r="B13719" s="572">
        <v>76.116500000000002</v>
      </c>
      <c r="C13719" s="572">
        <v>444.92</v>
      </c>
    </row>
    <row r="13720" spans="1:3">
      <c r="A13720" s="571" t="s">
        <v>2211</v>
      </c>
      <c r="B13720" s="572">
        <v>78.252399999999994</v>
      </c>
      <c r="C13720" s="572">
        <v>441.97300000000001</v>
      </c>
    </row>
    <row r="13721" spans="1:3">
      <c r="A13721" s="571" t="s">
        <v>2211</v>
      </c>
      <c r="B13721" s="572">
        <v>80</v>
      </c>
      <c r="C13721" s="572">
        <v>444.80799999999999</v>
      </c>
    </row>
    <row r="13722" spans="1:3">
      <c r="A13722" s="571" t="s">
        <v>2211</v>
      </c>
      <c r="B13722" s="572">
        <v>82.330100000000002</v>
      </c>
      <c r="C13722" s="572">
        <v>447.625</v>
      </c>
    </row>
    <row r="13723" spans="1:3">
      <c r="A13723" s="571" t="s">
        <v>2211</v>
      </c>
      <c r="B13723" s="572">
        <v>84.271799999999999</v>
      </c>
      <c r="C13723" s="572">
        <v>447.56900000000002</v>
      </c>
    </row>
    <row r="13724" spans="1:3">
      <c r="A13724" s="571" t="s">
        <v>2211</v>
      </c>
      <c r="B13724" s="572">
        <v>86.019400000000005</v>
      </c>
      <c r="C13724" s="572">
        <v>450.40300000000002</v>
      </c>
    </row>
    <row r="13725" spans="1:3">
      <c r="A13725" s="571" t="s">
        <v>2211</v>
      </c>
      <c r="B13725" s="572">
        <v>87.961200000000005</v>
      </c>
      <c r="C13725" s="572">
        <v>450.34699999999998</v>
      </c>
    </row>
    <row r="13726" spans="1:3">
      <c r="A13726" s="571" t="s">
        <v>2211</v>
      </c>
      <c r="B13726" s="572">
        <v>90.291300000000007</v>
      </c>
      <c r="C13726" s="572">
        <v>456.04899999999998</v>
      </c>
    </row>
    <row r="13727" spans="1:3">
      <c r="A13727" s="571" t="s">
        <v>2212</v>
      </c>
      <c r="B13727" s="572">
        <v>2.7184499999999998</v>
      </c>
      <c r="C13727" s="572">
        <v>2.9559299999999999</v>
      </c>
    </row>
    <row r="13728" spans="1:3">
      <c r="A13728" s="571" t="s">
        <v>2212</v>
      </c>
      <c r="B13728" s="572">
        <v>4.0776700000000003</v>
      </c>
      <c r="C13728" s="572">
        <v>2.7603499999999999</v>
      </c>
    </row>
    <row r="13729" spans="1:3">
      <c r="A13729" s="571" t="s">
        <v>2212</v>
      </c>
      <c r="B13729" s="572">
        <v>5.2427200000000003</v>
      </c>
      <c r="C13729" s="572">
        <v>14.2376</v>
      </c>
    </row>
    <row r="13730" spans="1:3">
      <c r="A13730" s="571" t="s">
        <v>2212</v>
      </c>
      <c r="B13730" s="572">
        <v>7.3786399999999999</v>
      </c>
      <c r="C13730" s="572">
        <v>25.686900000000001</v>
      </c>
    </row>
    <row r="13731" spans="1:3">
      <c r="A13731" s="571" t="s">
        <v>2212</v>
      </c>
      <c r="B13731" s="572">
        <v>9.7087400000000006</v>
      </c>
      <c r="C13731" s="572">
        <v>37.130699999999997</v>
      </c>
    </row>
    <row r="13732" spans="1:3">
      <c r="A13732" s="571" t="s">
        <v>2212</v>
      </c>
      <c r="B13732" s="572">
        <v>11.2621</v>
      </c>
      <c r="C13732" s="572">
        <v>42.8414</v>
      </c>
    </row>
    <row r="13733" spans="1:3">
      <c r="A13733" s="571" t="s">
        <v>2212</v>
      </c>
      <c r="B13733" s="572">
        <v>13.203900000000001</v>
      </c>
      <c r="C13733" s="572">
        <v>45.663200000000003</v>
      </c>
    </row>
    <row r="13734" spans="1:3">
      <c r="A13734" s="571" t="s">
        <v>2212</v>
      </c>
      <c r="B13734" s="572">
        <v>15.534000000000001</v>
      </c>
      <c r="C13734" s="572">
        <v>51.351500000000001</v>
      </c>
    </row>
    <row r="13735" spans="1:3">
      <c r="A13735" s="571" t="s">
        <v>2212</v>
      </c>
      <c r="B13735" s="572">
        <v>18.058299999999999</v>
      </c>
      <c r="C13735" s="572">
        <v>57.034300000000002</v>
      </c>
    </row>
    <row r="13736" spans="1:3">
      <c r="A13736" s="571" t="s">
        <v>2212</v>
      </c>
      <c r="B13736" s="572">
        <v>20.194199999999999</v>
      </c>
      <c r="C13736" s="572">
        <v>65.605900000000005</v>
      </c>
    </row>
    <row r="13737" spans="1:3">
      <c r="A13737" s="571" t="s">
        <v>2212</v>
      </c>
      <c r="B13737" s="572">
        <v>22.5243</v>
      </c>
      <c r="C13737" s="572">
        <v>68.416600000000003</v>
      </c>
    </row>
    <row r="13738" spans="1:3">
      <c r="A13738" s="571" t="s">
        <v>2212</v>
      </c>
      <c r="B13738" s="572">
        <v>24.466000000000001</v>
      </c>
      <c r="C13738" s="572">
        <v>71.238399999999999</v>
      </c>
    </row>
    <row r="13739" spans="1:3">
      <c r="A13739" s="571" t="s">
        <v>2212</v>
      </c>
      <c r="B13739" s="572">
        <v>26.2136</v>
      </c>
      <c r="C13739" s="572">
        <v>76.9435</v>
      </c>
    </row>
    <row r="13740" spans="1:3">
      <c r="A13740" s="571" t="s">
        <v>2212</v>
      </c>
      <c r="B13740" s="572">
        <v>27.961200000000002</v>
      </c>
      <c r="C13740" s="572">
        <v>76.893199999999993</v>
      </c>
    </row>
    <row r="13741" spans="1:3">
      <c r="A13741" s="571" t="s">
        <v>2212</v>
      </c>
      <c r="B13741" s="572">
        <v>29.7087</v>
      </c>
      <c r="C13741" s="572">
        <v>79.720600000000005</v>
      </c>
    </row>
    <row r="13742" spans="1:3">
      <c r="A13742" s="571" t="s">
        <v>2212</v>
      </c>
      <c r="B13742" s="572">
        <v>32.427199999999999</v>
      </c>
      <c r="C13742" s="572">
        <v>85.397800000000004</v>
      </c>
    </row>
    <row r="13743" spans="1:3">
      <c r="A13743" s="571" t="s">
        <v>2212</v>
      </c>
      <c r="B13743" s="572">
        <v>34.951500000000003</v>
      </c>
      <c r="C13743" s="572">
        <v>88.202799999999996</v>
      </c>
    </row>
    <row r="13744" spans="1:3">
      <c r="A13744" s="571" t="s">
        <v>2212</v>
      </c>
      <c r="B13744" s="572">
        <v>37.475700000000003</v>
      </c>
      <c r="C13744" s="572">
        <v>91.007900000000006</v>
      </c>
    </row>
    <row r="13745" spans="1:3">
      <c r="A13745" s="571" t="s">
        <v>2212</v>
      </c>
      <c r="B13745" s="572">
        <v>39.611699999999999</v>
      </c>
      <c r="C13745" s="572">
        <v>93.824100000000001</v>
      </c>
    </row>
    <row r="13746" spans="1:3">
      <c r="A13746" s="571" t="s">
        <v>2212</v>
      </c>
      <c r="B13746" s="572">
        <v>41.553400000000003</v>
      </c>
      <c r="C13746" s="572">
        <v>93.768199999999993</v>
      </c>
    </row>
    <row r="13747" spans="1:3">
      <c r="A13747" s="571" t="s">
        <v>2212</v>
      </c>
      <c r="B13747" s="572">
        <v>43.689300000000003</v>
      </c>
      <c r="C13747" s="572">
        <v>96.584500000000006</v>
      </c>
    </row>
    <row r="13748" spans="1:3">
      <c r="A13748" s="571" t="s">
        <v>2212</v>
      </c>
      <c r="B13748" s="572">
        <v>45.825200000000002</v>
      </c>
      <c r="C13748" s="572">
        <v>99.400700000000001</v>
      </c>
    </row>
    <row r="13749" spans="1:3">
      <c r="A13749" s="571" t="s">
        <v>2212</v>
      </c>
      <c r="B13749" s="572">
        <v>47.961199999999998</v>
      </c>
      <c r="C13749" s="572">
        <v>99.339200000000005</v>
      </c>
    </row>
    <row r="13750" spans="1:3">
      <c r="A13750" s="571" t="s">
        <v>2212</v>
      </c>
      <c r="B13750" s="572">
        <v>50.097099999999998</v>
      </c>
      <c r="C13750" s="572">
        <v>99.277799999999999</v>
      </c>
    </row>
    <row r="13751" spans="1:3">
      <c r="A13751" s="571" t="s">
        <v>2212</v>
      </c>
      <c r="B13751" s="572">
        <v>52.621400000000001</v>
      </c>
      <c r="C13751" s="572">
        <v>104.961</v>
      </c>
    </row>
    <row r="13752" spans="1:3">
      <c r="A13752" s="571" t="s">
        <v>2212</v>
      </c>
      <c r="B13752" s="572">
        <v>55.145600000000002</v>
      </c>
      <c r="C13752" s="572">
        <v>104.88800000000001</v>
      </c>
    </row>
    <row r="13753" spans="1:3">
      <c r="A13753" s="571" t="s">
        <v>2212</v>
      </c>
      <c r="B13753" s="572">
        <v>57.475700000000003</v>
      </c>
      <c r="C13753" s="572">
        <v>104.821</v>
      </c>
    </row>
    <row r="13754" spans="1:3">
      <c r="A13754" s="571" t="s">
        <v>2212</v>
      </c>
      <c r="B13754" s="572">
        <v>59.611699999999999</v>
      </c>
      <c r="C13754" s="572">
        <v>104.759</v>
      </c>
    </row>
    <row r="13755" spans="1:3">
      <c r="A13755" s="571" t="s">
        <v>2212</v>
      </c>
      <c r="B13755" s="572">
        <v>62.135899999999999</v>
      </c>
      <c r="C13755" s="572">
        <v>101.809</v>
      </c>
    </row>
    <row r="13756" spans="1:3">
      <c r="A13756" s="571" t="s">
        <v>2212</v>
      </c>
      <c r="B13756" s="572">
        <v>64.271799999999999</v>
      </c>
      <c r="C13756" s="572">
        <v>107.503</v>
      </c>
    </row>
    <row r="13757" spans="1:3">
      <c r="A13757" s="571" t="s">
        <v>2212</v>
      </c>
      <c r="B13757" s="572">
        <v>65.825199999999995</v>
      </c>
      <c r="C13757" s="572">
        <v>101.703</v>
      </c>
    </row>
    <row r="13758" spans="1:3">
      <c r="A13758" s="571" t="s">
        <v>2212</v>
      </c>
      <c r="B13758" s="572">
        <v>68.543700000000001</v>
      </c>
      <c r="C13758" s="572">
        <v>98.746899999999997</v>
      </c>
    </row>
    <row r="13759" spans="1:3">
      <c r="A13759" s="571" t="s">
        <v>2212</v>
      </c>
      <c r="B13759" s="572">
        <v>70.873800000000003</v>
      </c>
      <c r="C13759" s="572">
        <v>101.55800000000001</v>
      </c>
    </row>
    <row r="13760" spans="1:3">
      <c r="A13760" s="571" t="s">
        <v>2212</v>
      </c>
      <c r="B13760" s="572">
        <v>73.009699999999995</v>
      </c>
      <c r="C13760" s="572">
        <v>98.618399999999994</v>
      </c>
    </row>
    <row r="13761" spans="1:3">
      <c r="A13761" s="571" t="s">
        <v>2212</v>
      </c>
      <c r="B13761" s="572">
        <v>75.339799999999997</v>
      </c>
      <c r="C13761" s="572">
        <v>98.551400000000001</v>
      </c>
    </row>
    <row r="13762" spans="1:3">
      <c r="A13762" s="571" t="s">
        <v>2212</v>
      </c>
      <c r="B13762" s="572">
        <v>77.281599999999997</v>
      </c>
      <c r="C13762" s="572">
        <v>101.373</v>
      </c>
    </row>
    <row r="13763" spans="1:3">
      <c r="A13763" s="571" t="s">
        <v>2212</v>
      </c>
      <c r="B13763" s="572">
        <v>79.223299999999995</v>
      </c>
      <c r="C13763" s="572">
        <v>101.31699999999999</v>
      </c>
    </row>
    <row r="13764" spans="1:3">
      <c r="A13764" s="571" t="s">
        <v>2212</v>
      </c>
      <c r="B13764" s="572">
        <v>81.359200000000001</v>
      </c>
      <c r="C13764" s="572">
        <v>98.378200000000007</v>
      </c>
    </row>
    <row r="13765" spans="1:3">
      <c r="A13765" s="571" t="s">
        <v>2212</v>
      </c>
      <c r="B13765" s="572">
        <v>83.301000000000002</v>
      </c>
      <c r="C13765" s="572">
        <v>101.2</v>
      </c>
    </row>
    <row r="13766" spans="1:3">
      <c r="A13766" s="571" t="s">
        <v>2212</v>
      </c>
      <c r="B13766" s="572">
        <v>85.242699999999999</v>
      </c>
      <c r="C13766" s="572">
        <v>101.14400000000001</v>
      </c>
    </row>
    <row r="13767" spans="1:3">
      <c r="A13767" s="571" t="s">
        <v>2212</v>
      </c>
      <c r="B13767" s="572">
        <v>87.572800000000001</v>
      </c>
      <c r="C13767" s="572">
        <v>103.955</v>
      </c>
    </row>
    <row r="13768" spans="1:3">
      <c r="A13768" s="571" t="s">
        <v>2212</v>
      </c>
      <c r="B13768" s="572">
        <v>89.126199999999997</v>
      </c>
      <c r="C13768" s="572">
        <v>106.788</v>
      </c>
    </row>
    <row r="13769" spans="1:3">
      <c r="A13769" s="571" t="s">
        <v>2213</v>
      </c>
      <c r="B13769" s="572">
        <v>2.1393599999999999</v>
      </c>
      <c r="C13769" s="572">
        <v>2.9498700000000002</v>
      </c>
    </row>
    <row r="13770" spans="1:3">
      <c r="A13770" s="571" t="s">
        <v>2213</v>
      </c>
      <c r="B13770" s="572">
        <v>3.30877</v>
      </c>
      <c r="C13770" s="572">
        <v>5.6806099999999997</v>
      </c>
    </row>
    <row r="13771" spans="1:3">
      <c r="A13771" s="571" t="s">
        <v>2213</v>
      </c>
      <c r="B13771" s="572">
        <v>4.6741400000000004</v>
      </c>
      <c r="C13771" s="572">
        <v>20.081600000000002</v>
      </c>
    </row>
    <row r="13772" spans="1:3">
      <c r="A13772" s="571" t="s">
        <v>2213</v>
      </c>
      <c r="B13772" s="572">
        <v>6.6217600000000001</v>
      </c>
      <c r="C13772" s="572">
        <v>28.689599999999999</v>
      </c>
    </row>
    <row r="13773" spans="1:3">
      <c r="A13773" s="571" t="s">
        <v>2213</v>
      </c>
      <c r="B13773" s="572">
        <v>8.5672700000000006</v>
      </c>
      <c r="C13773" s="572">
        <v>28.633400000000002</v>
      </c>
    </row>
    <row r="13774" spans="1:3">
      <c r="A13774" s="571" t="s">
        <v>2213</v>
      </c>
      <c r="B13774" s="572">
        <v>10.3203</v>
      </c>
      <c r="C13774" s="572">
        <v>37.247100000000003</v>
      </c>
    </row>
    <row r="13775" spans="1:3">
      <c r="A13775" s="571" t="s">
        <v>2213</v>
      </c>
      <c r="B13775" s="572">
        <v>12.4618</v>
      </c>
      <c r="C13775" s="572">
        <v>42.961399999999998</v>
      </c>
    </row>
    <row r="13776" spans="1:3">
      <c r="A13776" s="571" t="s">
        <v>2213</v>
      </c>
      <c r="B13776" s="572">
        <v>14.2142</v>
      </c>
      <c r="C13776" s="572">
        <v>48.686999999999998</v>
      </c>
    </row>
    <row r="13777" spans="1:3">
      <c r="A13777" s="571" t="s">
        <v>2213</v>
      </c>
      <c r="B13777" s="572">
        <v>16.161100000000001</v>
      </c>
      <c r="C13777" s="572">
        <v>54.4069</v>
      </c>
    </row>
    <row r="13778" spans="1:3">
      <c r="A13778" s="571" t="s">
        <v>2213</v>
      </c>
      <c r="B13778" s="572">
        <v>17.912800000000001</v>
      </c>
      <c r="C13778" s="572">
        <v>57.244399999999999</v>
      </c>
    </row>
    <row r="13779" spans="1:3">
      <c r="A13779" s="571" t="s">
        <v>2213</v>
      </c>
      <c r="B13779" s="572">
        <v>19.663699999999999</v>
      </c>
      <c r="C13779" s="572">
        <v>57.193800000000003</v>
      </c>
    </row>
    <row r="13780" spans="1:3">
      <c r="A13780" s="571" t="s">
        <v>2213</v>
      </c>
      <c r="B13780" s="572">
        <v>21.609200000000001</v>
      </c>
      <c r="C13780" s="572">
        <v>57.137599999999999</v>
      </c>
    </row>
    <row r="13781" spans="1:3">
      <c r="A13781" s="571" t="s">
        <v>2213</v>
      </c>
      <c r="B13781" s="572">
        <v>23.944500000000001</v>
      </c>
      <c r="C13781" s="572">
        <v>59.958300000000001</v>
      </c>
    </row>
    <row r="13782" spans="1:3">
      <c r="A13782" s="571" t="s">
        <v>2213</v>
      </c>
      <c r="B13782" s="572">
        <v>26.4758</v>
      </c>
      <c r="C13782" s="572">
        <v>68.549400000000006</v>
      </c>
    </row>
    <row r="13783" spans="1:3">
      <c r="A13783" s="571" t="s">
        <v>2213</v>
      </c>
      <c r="B13783" s="572">
        <v>28.421299999999999</v>
      </c>
      <c r="C13783" s="572">
        <v>68.493200000000002</v>
      </c>
    </row>
    <row r="13784" spans="1:3">
      <c r="A13784" s="571" t="s">
        <v>2213</v>
      </c>
      <c r="B13784" s="572">
        <v>30.950500000000002</v>
      </c>
      <c r="C13784" s="572">
        <v>68.420199999999994</v>
      </c>
    </row>
    <row r="13785" spans="1:3">
      <c r="A13785" s="571" t="s">
        <v>2213</v>
      </c>
      <c r="B13785" s="572">
        <v>33.674900000000001</v>
      </c>
      <c r="C13785" s="572">
        <v>71.229600000000005</v>
      </c>
    </row>
    <row r="13786" spans="1:3">
      <c r="A13786" s="571" t="s">
        <v>2213</v>
      </c>
      <c r="B13786" s="572">
        <v>35.814300000000003</v>
      </c>
      <c r="C13786" s="572">
        <v>68.279700000000005</v>
      </c>
    </row>
    <row r="13787" spans="1:3">
      <c r="A13787" s="571" t="s">
        <v>2213</v>
      </c>
      <c r="B13787" s="572">
        <v>37.372100000000003</v>
      </c>
      <c r="C13787" s="572">
        <v>74.010900000000007</v>
      </c>
    </row>
    <row r="13788" spans="1:3">
      <c r="A13788" s="571" t="s">
        <v>2213</v>
      </c>
      <c r="B13788" s="572">
        <v>39.512099999999997</v>
      </c>
      <c r="C13788" s="572">
        <v>73.949100000000001</v>
      </c>
    </row>
    <row r="13789" spans="1:3">
      <c r="A13789" s="571" t="s">
        <v>2213</v>
      </c>
      <c r="B13789" s="572">
        <v>41.458399999999997</v>
      </c>
      <c r="C13789" s="572">
        <v>76.781000000000006</v>
      </c>
    </row>
    <row r="13790" spans="1:3">
      <c r="A13790" s="571" t="s">
        <v>2213</v>
      </c>
      <c r="B13790" s="572">
        <v>43.4039</v>
      </c>
      <c r="C13790" s="572">
        <v>76.724800000000002</v>
      </c>
    </row>
    <row r="13791" spans="1:3">
      <c r="A13791" s="571" t="s">
        <v>2213</v>
      </c>
      <c r="B13791" s="572">
        <v>46.127600000000001</v>
      </c>
      <c r="C13791" s="572">
        <v>76.646100000000004</v>
      </c>
    </row>
    <row r="13792" spans="1:3">
      <c r="A13792" s="571" t="s">
        <v>2213</v>
      </c>
      <c r="B13792" s="572">
        <v>47.683300000000003</v>
      </c>
      <c r="C13792" s="572">
        <v>73.713099999999997</v>
      </c>
    </row>
    <row r="13793" spans="1:3">
      <c r="A13793" s="571" t="s">
        <v>2213</v>
      </c>
      <c r="B13793" s="572">
        <v>50.017899999999997</v>
      </c>
      <c r="C13793" s="572">
        <v>73.645700000000005</v>
      </c>
    </row>
    <row r="13794" spans="1:3">
      <c r="A13794" s="571" t="s">
        <v>2213</v>
      </c>
      <c r="B13794" s="572">
        <v>51.962699999999998</v>
      </c>
      <c r="C13794" s="572">
        <v>70.701400000000007</v>
      </c>
    </row>
    <row r="13795" spans="1:3">
      <c r="A13795" s="571" t="s">
        <v>2213</v>
      </c>
      <c r="B13795" s="572">
        <v>54.687100000000001</v>
      </c>
      <c r="C13795" s="572">
        <v>73.510800000000003</v>
      </c>
    </row>
    <row r="13796" spans="1:3">
      <c r="A13796" s="571" t="s">
        <v>2213</v>
      </c>
      <c r="B13796" s="572">
        <v>56.827199999999998</v>
      </c>
      <c r="C13796" s="572">
        <v>73.448999999999998</v>
      </c>
    </row>
    <row r="13797" spans="1:3">
      <c r="A13797" s="571" t="s">
        <v>2213</v>
      </c>
      <c r="B13797" s="572">
        <v>58.576799999999999</v>
      </c>
      <c r="C13797" s="572">
        <v>67.622299999999996</v>
      </c>
    </row>
    <row r="13798" spans="1:3">
      <c r="A13798" s="571" t="s">
        <v>2213</v>
      </c>
      <c r="B13798" s="572">
        <v>60.523000000000003</v>
      </c>
      <c r="C13798" s="572">
        <v>70.4542</v>
      </c>
    </row>
    <row r="13799" spans="1:3">
      <c r="A13799" s="571" t="s">
        <v>2213</v>
      </c>
      <c r="B13799" s="572">
        <v>63.2453</v>
      </c>
      <c r="C13799" s="572">
        <v>64.599400000000003</v>
      </c>
    </row>
    <row r="13800" spans="1:3">
      <c r="A13800" s="571" t="s">
        <v>2213</v>
      </c>
      <c r="B13800" s="572">
        <v>65.190100000000001</v>
      </c>
      <c r="C13800" s="572">
        <v>61.655200000000001</v>
      </c>
    </row>
    <row r="13801" spans="1:3">
      <c r="A13801" s="571" t="s">
        <v>2213</v>
      </c>
      <c r="B13801" s="572">
        <v>67.719300000000004</v>
      </c>
      <c r="C13801" s="572">
        <v>61.582099999999997</v>
      </c>
    </row>
    <row r="13802" spans="1:3">
      <c r="A13802" s="571" t="s">
        <v>2213</v>
      </c>
      <c r="B13802" s="572">
        <v>69.859300000000005</v>
      </c>
      <c r="C13802" s="572">
        <v>61.520299999999999</v>
      </c>
    </row>
    <row r="13803" spans="1:3">
      <c r="A13803" s="571" t="s">
        <v>2213</v>
      </c>
      <c r="B13803" s="572">
        <v>72.386399999999995</v>
      </c>
      <c r="C13803" s="572">
        <v>52.783099999999997</v>
      </c>
    </row>
    <row r="13804" spans="1:3">
      <c r="A13804" s="571" t="s">
        <v>2213</v>
      </c>
      <c r="B13804" s="572">
        <v>75.110799999999998</v>
      </c>
      <c r="C13804" s="572">
        <v>55.592500000000001</v>
      </c>
    </row>
    <row r="13805" spans="1:3">
      <c r="A13805" s="571" t="s">
        <v>2213</v>
      </c>
      <c r="B13805" s="572">
        <v>77.250900000000001</v>
      </c>
      <c r="C13805" s="572">
        <v>55.530700000000003</v>
      </c>
    </row>
    <row r="13806" spans="1:3">
      <c r="A13806" s="571" t="s">
        <v>2213</v>
      </c>
      <c r="B13806" s="572">
        <v>79.001099999999994</v>
      </c>
      <c r="C13806" s="572">
        <v>52.591999999999999</v>
      </c>
    </row>
    <row r="13807" spans="1:3">
      <c r="A13807" s="571" t="s">
        <v>2213</v>
      </c>
      <c r="B13807" s="572">
        <v>81.141199999999998</v>
      </c>
      <c r="C13807" s="572">
        <v>52.530200000000001</v>
      </c>
    </row>
    <row r="13808" spans="1:3">
      <c r="A13808" s="571" t="s">
        <v>2213</v>
      </c>
      <c r="B13808" s="572">
        <v>83.281199999999998</v>
      </c>
      <c r="C13808" s="572">
        <v>52.468400000000003</v>
      </c>
    </row>
    <row r="13809" spans="1:3">
      <c r="A13809" s="571" t="s">
        <v>2213</v>
      </c>
      <c r="B13809" s="572">
        <v>85.421300000000002</v>
      </c>
      <c r="C13809" s="572">
        <v>52.406599999999997</v>
      </c>
    </row>
    <row r="13810" spans="1:3">
      <c r="A13810" s="571" t="s">
        <v>2213</v>
      </c>
      <c r="B13810" s="572">
        <v>87.173699999999997</v>
      </c>
      <c r="C13810" s="572">
        <v>58.132199999999997</v>
      </c>
    </row>
    <row r="13811" spans="1:3">
      <c r="A13811" s="571" t="s">
        <v>2213</v>
      </c>
      <c r="B13811" s="572">
        <v>89.312299999999993</v>
      </c>
      <c r="C13811" s="572">
        <v>52.294199999999996</v>
      </c>
    </row>
    <row r="13812" spans="1:3">
      <c r="A13812" s="571" t="s">
        <v>2214</v>
      </c>
      <c r="B13812" s="572">
        <v>0.19417300000000001</v>
      </c>
      <c r="C13812" s="572">
        <v>5.6078999999999999E-3</v>
      </c>
    </row>
    <row r="13813" spans="1:3">
      <c r="A13813" s="571" t="s">
        <v>2214</v>
      </c>
      <c r="B13813" s="572">
        <v>0.208894</v>
      </c>
      <c r="C13813" s="572">
        <v>60.643799999999999</v>
      </c>
    </row>
    <row r="13814" spans="1:3">
      <c r="A13814" s="571" t="s">
        <v>2214</v>
      </c>
      <c r="B13814" s="572">
        <v>0.41708699999999999</v>
      </c>
      <c r="C13814" s="572">
        <v>118.4</v>
      </c>
    </row>
    <row r="13815" spans="1:3">
      <c r="A13815" s="571" t="s">
        <v>2214</v>
      </c>
      <c r="B13815" s="572">
        <v>0.81384599999999996</v>
      </c>
      <c r="C13815" s="572">
        <v>153.04499999999999</v>
      </c>
    </row>
    <row r="13816" spans="1:3">
      <c r="A13816" s="571" t="s">
        <v>2214</v>
      </c>
      <c r="B13816" s="572">
        <v>3.5364800000000001</v>
      </c>
      <c r="C13816" s="572">
        <v>170.29499999999999</v>
      </c>
    </row>
    <row r="13817" spans="1:3">
      <c r="A13817" s="571" t="s">
        <v>2214</v>
      </c>
      <c r="B13817" s="572">
        <v>4.5136599999999998</v>
      </c>
      <c r="C13817" s="572">
        <v>196.26</v>
      </c>
    </row>
    <row r="13818" spans="1:3">
      <c r="A13818" s="571" t="s">
        <v>2214</v>
      </c>
      <c r="B13818" s="572">
        <v>6.4603000000000002</v>
      </c>
      <c r="C13818" s="572">
        <v>216.42</v>
      </c>
    </row>
    <row r="13819" spans="1:3">
      <c r="A13819" s="571" t="s">
        <v>2214</v>
      </c>
      <c r="B13819" s="572">
        <v>8.0171899999999994</v>
      </c>
      <c r="C13819" s="572">
        <v>230.815</v>
      </c>
    </row>
    <row r="13820" spans="1:3">
      <c r="A13820" s="571" t="s">
        <v>2214</v>
      </c>
      <c r="B13820" s="572">
        <v>9.5733800000000002</v>
      </c>
      <c r="C13820" s="572">
        <v>242.32300000000001</v>
      </c>
    </row>
    <row r="13821" spans="1:3">
      <c r="A13821" s="571" t="s">
        <v>2214</v>
      </c>
      <c r="B13821" s="572">
        <v>11.323700000000001</v>
      </c>
      <c r="C13821" s="572">
        <v>253.82499999999999</v>
      </c>
    </row>
    <row r="13822" spans="1:3">
      <c r="A13822" s="571" t="s">
        <v>2214</v>
      </c>
      <c r="B13822" s="572">
        <v>12.2967</v>
      </c>
      <c r="C13822" s="572">
        <v>262.46100000000001</v>
      </c>
    </row>
    <row r="13823" spans="1:3">
      <c r="A13823" s="571" t="s">
        <v>2214</v>
      </c>
      <c r="B13823" s="572">
        <v>14.0464</v>
      </c>
      <c r="C13823" s="572">
        <v>271.07400000000001</v>
      </c>
    </row>
    <row r="13824" spans="1:3">
      <c r="A13824" s="571" t="s">
        <v>2214</v>
      </c>
      <c r="B13824" s="572">
        <v>15.9902</v>
      </c>
      <c r="C13824" s="572">
        <v>279.68299999999999</v>
      </c>
    </row>
    <row r="13825" spans="1:3">
      <c r="A13825" s="571" t="s">
        <v>2214</v>
      </c>
      <c r="B13825" s="572">
        <v>17.7392</v>
      </c>
      <c r="C13825" s="572">
        <v>285.40800000000002</v>
      </c>
    </row>
    <row r="13826" spans="1:3">
      <c r="A13826" s="571" t="s">
        <v>2214</v>
      </c>
      <c r="B13826" s="572">
        <v>19.682300000000001</v>
      </c>
      <c r="C13826" s="572">
        <v>291.12799999999999</v>
      </c>
    </row>
    <row r="13827" spans="1:3">
      <c r="A13827" s="571" t="s">
        <v>2214</v>
      </c>
      <c r="B13827" s="572">
        <v>21.4313</v>
      </c>
      <c r="C13827" s="572">
        <v>296.85399999999998</v>
      </c>
    </row>
    <row r="13828" spans="1:3">
      <c r="A13828" s="571" t="s">
        <v>2214</v>
      </c>
      <c r="B13828" s="572">
        <v>23.374400000000001</v>
      </c>
      <c r="C13828" s="572">
        <v>302.57400000000001</v>
      </c>
    </row>
    <row r="13829" spans="1:3">
      <c r="A13829" s="571" t="s">
        <v>2214</v>
      </c>
      <c r="B13829" s="572">
        <v>25.317499999999999</v>
      </c>
      <c r="C13829" s="572">
        <v>308.29399999999998</v>
      </c>
    </row>
    <row r="13830" spans="1:3">
      <c r="A13830" s="571" t="s">
        <v>2214</v>
      </c>
      <c r="B13830" s="572">
        <v>27.066500000000001</v>
      </c>
      <c r="C13830" s="572">
        <v>314.02</v>
      </c>
    </row>
    <row r="13831" spans="1:3">
      <c r="A13831" s="571" t="s">
        <v>2214</v>
      </c>
      <c r="B13831" s="572">
        <v>29.008900000000001</v>
      </c>
      <c r="C13831" s="572">
        <v>316.85199999999998</v>
      </c>
    </row>
    <row r="13832" spans="1:3">
      <c r="A13832" s="571" t="s">
        <v>2214</v>
      </c>
      <c r="B13832" s="572">
        <v>30.757899999999999</v>
      </c>
      <c r="C13832" s="572">
        <v>322.577</v>
      </c>
    </row>
    <row r="13833" spans="1:3">
      <c r="A13833" s="571" t="s">
        <v>2214</v>
      </c>
      <c r="B13833" s="572">
        <v>32.700299999999999</v>
      </c>
      <c r="C13833" s="572">
        <v>325.40899999999999</v>
      </c>
    </row>
    <row r="13834" spans="1:3">
      <c r="A13834" s="571" t="s">
        <v>2214</v>
      </c>
      <c r="B13834" s="572">
        <v>34.642800000000001</v>
      </c>
      <c r="C13834" s="572">
        <v>328.24099999999999</v>
      </c>
    </row>
    <row r="13835" spans="1:3">
      <c r="A13835" s="571" t="s">
        <v>2214</v>
      </c>
      <c r="B13835" s="572">
        <v>36.5852</v>
      </c>
      <c r="C13835" s="572">
        <v>331.07299999999998</v>
      </c>
    </row>
    <row r="13836" spans="1:3">
      <c r="A13836" s="571" t="s">
        <v>2214</v>
      </c>
      <c r="B13836" s="572">
        <v>38.334200000000003</v>
      </c>
      <c r="C13836" s="572">
        <v>336.79899999999998</v>
      </c>
    </row>
    <row r="13837" spans="1:3">
      <c r="A13837" s="571" t="s">
        <v>2214</v>
      </c>
      <c r="B13837" s="572">
        <v>40.276600000000002</v>
      </c>
      <c r="C13837" s="572">
        <v>339.63099999999997</v>
      </c>
    </row>
    <row r="13838" spans="1:3">
      <c r="A13838" s="571" t="s">
        <v>2214</v>
      </c>
      <c r="B13838" s="572">
        <v>42.219000000000001</v>
      </c>
      <c r="C13838" s="572">
        <v>342.46300000000002</v>
      </c>
    </row>
    <row r="13839" spans="1:3">
      <c r="A13839" s="571" t="s">
        <v>2214</v>
      </c>
      <c r="B13839" s="572">
        <v>43.967300000000002</v>
      </c>
      <c r="C13839" s="572">
        <v>345.30099999999999</v>
      </c>
    </row>
    <row r="13840" spans="1:3">
      <c r="A13840" s="571" t="s">
        <v>2214</v>
      </c>
      <c r="B13840" s="572">
        <v>45.909700000000001</v>
      </c>
      <c r="C13840" s="572">
        <v>348.13299999999998</v>
      </c>
    </row>
    <row r="13841" spans="1:3">
      <c r="A13841" s="571" t="s">
        <v>2214</v>
      </c>
      <c r="B13841" s="572">
        <v>47.852200000000003</v>
      </c>
      <c r="C13841" s="572">
        <v>350.96499999999997</v>
      </c>
    </row>
    <row r="13842" spans="1:3">
      <c r="A13842" s="571" t="s">
        <v>2214</v>
      </c>
      <c r="B13842" s="572">
        <v>49.793900000000001</v>
      </c>
      <c r="C13842" s="572">
        <v>350.90800000000002</v>
      </c>
    </row>
    <row r="13843" spans="1:3">
      <c r="A13843" s="571" t="s">
        <v>2214</v>
      </c>
      <c r="B13843" s="572">
        <v>51.7363</v>
      </c>
      <c r="C13843" s="572">
        <v>353.74</v>
      </c>
    </row>
    <row r="13844" spans="1:3">
      <c r="A13844" s="571" t="s">
        <v>2214</v>
      </c>
      <c r="B13844" s="572">
        <v>53.678100000000001</v>
      </c>
      <c r="C13844" s="572">
        <v>353.68400000000003</v>
      </c>
    </row>
    <row r="13845" spans="1:3">
      <c r="A13845" s="571" t="s">
        <v>2214</v>
      </c>
      <c r="B13845" s="572">
        <v>55.619799999999998</v>
      </c>
      <c r="C13845" s="572">
        <v>353.62799999999999</v>
      </c>
    </row>
    <row r="13846" spans="1:3">
      <c r="A13846" s="571" t="s">
        <v>2214</v>
      </c>
      <c r="B13846" s="572">
        <v>57.562199999999997</v>
      </c>
      <c r="C13846" s="572">
        <v>356.46</v>
      </c>
    </row>
    <row r="13847" spans="1:3">
      <c r="A13847" s="571" t="s">
        <v>2214</v>
      </c>
      <c r="B13847" s="572">
        <v>59.503999999999998</v>
      </c>
      <c r="C13847" s="572">
        <v>356.404</v>
      </c>
    </row>
    <row r="13848" spans="1:3">
      <c r="A13848" s="571" t="s">
        <v>2214</v>
      </c>
      <c r="B13848" s="572">
        <v>61.445700000000002</v>
      </c>
      <c r="C13848" s="572">
        <v>356.34800000000001</v>
      </c>
    </row>
    <row r="13849" spans="1:3">
      <c r="A13849" s="571" t="s">
        <v>2214</v>
      </c>
      <c r="B13849" s="572">
        <v>62.804900000000004</v>
      </c>
      <c r="C13849" s="572">
        <v>356.30900000000003</v>
      </c>
    </row>
    <row r="13850" spans="1:3">
      <c r="A13850" s="571" t="s">
        <v>2214</v>
      </c>
      <c r="B13850" s="572">
        <v>64.747399999999999</v>
      </c>
      <c r="C13850" s="572">
        <v>359.14100000000002</v>
      </c>
    </row>
    <row r="13851" spans="1:3">
      <c r="A13851" s="571" t="s">
        <v>2214</v>
      </c>
      <c r="B13851" s="572">
        <v>66.688400000000001</v>
      </c>
      <c r="C13851" s="572">
        <v>356.197</v>
      </c>
    </row>
    <row r="13852" spans="1:3">
      <c r="A13852" s="571" t="s">
        <v>2214</v>
      </c>
      <c r="B13852" s="572">
        <v>68.630099999999999</v>
      </c>
      <c r="C13852" s="572">
        <v>356.14100000000002</v>
      </c>
    </row>
    <row r="13853" spans="1:3">
      <c r="A13853" s="571" t="s">
        <v>2214</v>
      </c>
      <c r="B13853" s="572">
        <v>70.571899999999999</v>
      </c>
      <c r="C13853" s="572">
        <v>356.08499999999998</v>
      </c>
    </row>
    <row r="13854" spans="1:3">
      <c r="A13854" s="571" t="s">
        <v>2214</v>
      </c>
      <c r="B13854" s="572">
        <v>72.320099999999996</v>
      </c>
      <c r="C13854" s="572">
        <v>358.92200000000003</v>
      </c>
    </row>
    <row r="13855" spans="1:3">
      <c r="A13855" s="571" t="s">
        <v>2214</v>
      </c>
      <c r="B13855" s="572">
        <v>74.844399999999993</v>
      </c>
      <c r="C13855" s="572">
        <v>358.84899999999999</v>
      </c>
    </row>
    <row r="13856" spans="1:3">
      <c r="A13856" s="571" t="s">
        <v>2214</v>
      </c>
      <c r="B13856" s="572">
        <v>76.010099999999994</v>
      </c>
      <c r="C13856" s="572">
        <v>361.70400000000001</v>
      </c>
    </row>
    <row r="13857" spans="1:3">
      <c r="A13857" s="571" t="s">
        <v>2214</v>
      </c>
      <c r="B13857" s="572">
        <v>78.146000000000001</v>
      </c>
      <c r="C13857" s="572">
        <v>361.642</v>
      </c>
    </row>
    <row r="13858" spans="1:3">
      <c r="A13858" s="571" t="s">
        <v>2214</v>
      </c>
      <c r="B13858" s="572">
        <v>80.087800000000001</v>
      </c>
      <c r="C13858" s="572">
        <v>361.58600000000001</v>
      </c>
    </row>
    <row r="13859" spans="1:3">
      <c r="A13859" s="571" t="s">
        <v>2214</v>
      </c>
      <c r="B13859" s="572">
        <v>82.029499999999999</v>
      </c>
      <c r="C13859" s="572">
        <v>361.53</v>
      </c>
    </row>
    <row r="13860" spans="1:3">
      <c r="A13860" s="571" t="s">
        <v>2214</v>
      </c>
      <c r="B13860" s="572">
        <v>83.971900000000005</v>
      </c>
      <c r="C13860" s="572">
        <v>364.36200000000002</v>
      </c>
    </row>
    <row r="13861" spans="1:3">
      <c r="A13861" s="571" t="s">
        <v>2214</v>
      </c>
      <c r="B13861" s="572">
        <v>86.302700000000002</v>
      </c>
      <c r="C13861" s="572">
        <v>367.18299999999999</v>
      </c>
    </row>
    <row r="13862" spans="1:3">
      <c r="A13862" s="571" t="s">
        <v>2214</v>
      </c>
      <c r="B13862" s="572">
        <v>88.050299999999993</v>
      </c>
      <c r="C13862" s="572">
        <v>367.13200000000001</v>
      </c>
    </row>
    <row r="13863" spans="1:3">
      <c r="A13863" s="571" t="s">
        <v>2214</v>
      </c>
      <c r="B13863" s="572">
        <v>90.186899999999994</v>
      </c>
      <c r="C13863" s="572">
        <v>369.959</v>
      </c>
    </row>
    <row r="13864" spans="1:3">
      <c r="A13864" s="571" t="s">
        <v>2215</v>
      </c>
      <c r="B13864" s="572">
        <v>0.38852399999999998</v>
      </c>
      <c r="C13864" s="572">
        <v>2.8708100000000001</v>
      </c>
    </row>
    <row r="13865" spans="1:3">
      <c r="A13865" s="571" t="s">
        <v>2215</v>
      </c>
      <c r="B13865" s="572">
        <v>0.39687</v>
      </c>
      <c r="C13865" s="572">
        <v>28.708100000000002</v>
      </c>
    </row>
    <row r="13866" spans="1:3">
      <c r="A13866" s="571" t="s">
        <v>2215</v>
      </c>
      <c r="B13866" s="572">
        <v>0.421906</v>
      </c>
      <c r="C13866" s="572">
        <v>106.22</v>
      </c>
    </row>
    <row r="13867" spans="1:3">
      <c r="A13867" s="571" t="s">
        <v>2215</v>
      </c>
      <c r="B13867" s="572">
        <v>0.433033</v>
      </c>
      <c r="C13867" s="572">
        <v>140.66999999999999</v>
      </c>
    </row>
    <row r="13868" spans="1:3">
      <c r="A13868" s="571" t="s">
        <v>2215</v>
      </c>
      <c r="B13868" s="572">
        <v>0.43952400000000003</v>
      </c>
      <c r="C13868" s="572">
        <v>160.76599999999999</v>
      </c>
    </row>
    <row r="13869" spans="1:3">
      <c r="A13869" s="571" t="s">
        <v>2215</v>
      </c>
      <c r="B13869" s="572">
        <v>0.59901300000000002</v>
      </c>
      <c r="C13869" s="572">
        <v>54.545499999999997</v>
      </c>
    </row>
    <row r="13870" spans="1:3">
      <c r="A13870" s="571" t="s">
        <v>2215</v>
      </c>
      <c r="B13870" s="572">
        <v>0.60828599999999999</v>
      </c>
      <c r="C13870" s="572">
        <v>83.253600000000006</v>
      </c>
    </row>
    <row r="13871" spans="1:3">
      <c r="A13871" s="571" t="s">
        <v>2215</v>
      </c>
      <c r="B13871" s="572">
        <v>0.62126800000000004</v>
      </c>
      <c r="C13871" s="572">
        <v>123.44499999999999</v>
      </c>
    </row>
    <row r="13872" spans="1:3">
      <c r="A13872" s="571" t="s">
        <v>2215</v>
      </c>
      <c r="B13872" s="572">
        <v>0.64073999999999998</v>
      </c>
      <c r="C13872" s="572">
        <v>183.732</v>
      </c>
    </row>
    <row r="13873" spans="1:3">
      <c r="A13873" s="571" t="s">
        <v>2215</v>
      </c>
      <c r="B13873" s="572">
        <v>1.0348299999999999</v>
      </c>
      <c r="C13873" s="572">
        <v>203.828</v>
      </c>
    </row>
    <row r="13874" spans="1:3">
      <c r="A13874" s="571" t="s">
        <v>2215</v>
      </c>
      <c r="B13874" s="572">
        <v>1.42892</v>
      </c>
      <c r="C13874" s="572">
        <v>223.923</v>
      </c>
    </row>
    <row r="13875" spans="1:3">
      <c r="A13875" s="571" t="s">
        <v>2215</v>
      </c>
      <c r="B13875" s="572">
        <v>2.2105999999999999</v>
      </c>
      <c r="C13875" s="572">
        <v>244.01900000000001</v>
      </c>
    </row>
    <row r="13876" spans="1:3">
      <c r="A13876" s="571" t="s">
        <v>2215</v>
      </c>
      <c r="B13876" s="572">
        <v>2.7975599999999998</v>
      </c>
      <c r="C13876" s="572">
        <v>261.24400000000003</v>
      </c>
    </row>
    <row r="13877" spans="1:3">
      <c r="A13877" s="571" t="s">
        <v>2215</v>
      </c>
      <c r="B13877" s="572">
        <v>3.7721200000000001</v>
      </c>
      <c r="C13877" s="572">
        <v>278.46899999999999</v>
      </c>
    </row>
    <row r="13878" spans="1:3">
      <c r="A13878" s="571" t="s">
        <v>2215</v>
      </c>
      <c r="B13878" s="572">
        <v>4.5510200000000003</v>
      </c>
      <c r="C13878" s="572">
        <v>289.952</v>
      </c>
    </row>
    <row r="13879" spans="1:3">
      <c r="A13879" s="571" t="s">
        <v>2215</v>
      </c>
      <c r="B13879" s="572">
        <v>5.5255700000000001</v>
      </c>
      <c r="C13879" s="572">
        <v>307.17700000000002</v>
      </c>
    </row>
    <row r="13880" spans="1:3">
      <c r="A13880" s="571" t="s">
        <v>2215</v>
      </c>
      <c r="B13880" s="572">
        <v>6.5010599999999998</v>
      </c>
      <c r="C13880" s="572">
        <v>327.27300000000002</v>
      </c>
    </row>
    <row r="13881" spans="1:3">
      <c r="A13881" s="571" t="s">
        <v>2215</v>
      </c>
      <c r="B13881" s="572">
        <v>7.2818100000000001</v>
      </c>
      <c r="C13881" s="572">
        <v>344.49799999999999</v>
      </c>
    </row>
    <row r="13882" spans="1:3">
      <c r="A13882" s="571" t="s">
        <v>2215</v>
      </c>
      <c r="B13882" s="572">
        <v>8.2554400000000001</v>
      </c>
      <c r="C13882" s="572">
        <v>358.85199999999998</v>
      </c>
    </row>
    <row r="13883" spans="1:3">
      <c r="A13883" s="571" t="s">
        <v>2215</v>
      </c>
      <c r="B13883" s="572">
        <v>9.2290700000000001</v>
      </c>
      <c r="C13883" s="572">
        <v>373.20600000000002</v>
      </c>
    </row>
    <row r="13884" spans="1:3">
      <c r="A13884" s="571" t="s">
        <v>2215</v>
      </c>
      <c r="B13884" s="572">
        <v>10.2018</v>
      </c>
      <c r="C13884" s="572">
        <v>384.68900000000002</v>
      </c>
    </row>
    <row r="13885" spans="1:3">
      <c r="A13885" s="571" t="s">
        <v>2215</v>
      </c>
      <c r="B13885" s="572">
        <v>11.3683</v>
      </c>
      <c r="C13885" s="572">
        <v>396.17200000000003</v>
      </c>
    </row>
    <row r="13886" spans="1:3">
      <c r="A13886" s="571" t="s">
        <v>2215</v>
      </c>
      <c r="B13886" s="572">
        <v>12.533799999999999</v>
      </c>
      <c r="C13886" s="572">
        <v>404.78500000000003</v>
      </c>
    </row>
    <row r="13887" spans="1:3">
      <c r="A13887" s="571" t="s">
        <v>2215</v>
      </c>
      <c r="B13887" s="572">
        <v>13.5038</v>
      </c>
      <c r="C13887" s="572">
        <v>407.65600000000001</v>
      </c>
    </row>
    <row r="13888" spans="1:3">
      <c r="A13888" s="571" t="s">
        <v>2215</v>
      </c>
      <c r="B13888" s="572">
        <v>15.2517</v>
      </c>
      <c r="C13888" s="572">
        <v>419.13900000000001</v>
      </c>
    </row>
    <row r="13889" spans="1:3">
      <c r="A13889" s="571" t="s">
        <v>2215</v>
      </c>
      <c r="B13889" s="572">
        <v>16.999600000000001</v>
      </c>
      <c r="C13889" s="572">
        <v>430.62200000000001</v>
      </c>
    </row>
    <row r="13890" spans="1:3">
      <c r="A13890" s="571" t="s">
        <v>2215</v>
      </c>
      <c r="B13890" s="572">
        <v>18.940300000000001</v>
      </c>
      <c r="C13890" s="572">
        <v>439.23399999999998</v>
      </c>
    </row>
    <row r="13891" spans="1:3">
      <c r="A13891" s="571" t="s">
        <v>2215</v>
      </c>
      <c r="B13891" s="572">
        <v>20.6873</v>
      </c>
      <c r="C13891" s="572">
        <v>447.84699999999998</v>
      </c>
    </row>
    <row r="13892" spans="1:3">
      <c r="A13892" s="571" t="s">
        <v>2215</v>
      </c>
      <c r="B13892" s="572">
        <v>22.627099999999999</v>
      </c>
      <c r="C13892" s="572">
        <v>453.589</v>
      </c>
    </row>
    <row r="13893" spans="1:3">
      <c r="A13893" s="571" t="s">
        <v>2215</v>
      </c>
      <c r="B13893" s="572">
        <v>24.373200000000001</v>
      </c>
      <c r="C13893" s="572">
        <v>459.33</v>
      </c>
    </row>
    <row r="13894" spans="1:3">
      <c r="A13894" s="571" t="s">
        <v>2215</v>
      </c>
      <c r="B13894" s="572">
        <v>26.312999999999999</v>
      </c>
      <c r="C13894" s="572">
        <v>465.072</v>
      </c>
    </row>
    <row r="13895" spans="1:3">
      <c r="A13895" s="571" t="s">
        <v>2215</v>
      </c>
      <c r="B13895" s="572">
        <v>28.0581</v>
      </c>
      <c r="C13895" s="572">
        <v>467.94299999999998</v>
      </c>
    </row>
    <row r="13896" spans="1:3">
      <c r="A13896" s="571" t="s">
        <v>2215</v>
      </c>
      <c r="B13896" s="572">
        <v>29.997</v>
      </c>
      <c r="C13896" s="572">
        <v>470.81299999999999</v>
      </c>
    </row>
    <row r="13897" spans="1:3">
      <c r="A13897" s="571" t="s">
        <v>2215</v>
      </c>
      <c r="B13897" s="572">
        <v>31.743099999999998</v>
      </c>
      <c r="C13897" s="572">
        <v>476.55500000000001</v>
      </c>
    </row>
    <row r="13898" spans="1:3">
      <c r="A13898" s="571" t="s">
        <v>2215</v>
      </c>
      <c r="B13898" s="572">
        <v>33.681100000000001</v>
      </c>
      <c r="C13898" s="572">
        <v>476.55500000000001</v>
      </c>
    </row>
    <row r="13899" spans="1:3">
      <c r="A13899" s="571" t="s">
        <v>2215</v>
      </c>
      <c r="B13899" s="572">
        <v>35.427100000000003</v>
      </c>
      <c r="C13899" s="572">
        <v>482.29700000000003</v>
      </c>
    </row>
    <row r="13900" spans="1:3">
      <c r="A13900" s="571" t="s">
        <v>2215</v>
      </c>
      <c r="B13900" s="572">
        <v>37.366</v>
      </c>
      <c r="C13900" s="572">
        <v>485.16699999999997</v>
      </c>
    </row>
    <row r="13901" spans="1:3">
      <c r="A13901" s="571" t="s">
        <v>2215</v>
      </c>
      <c r="B13901" s="572">
        <v>39.304000000000002</v>
      </c>
      <c r="C13901" s="572">
        <v>485.16699999999997</v>
      </c>
    </row>
    <row r="13902" spans="1:3">
      <c r="A13902" s="571" t="s">
        <v>2215</v>
      </c>
      <c r="B13902" s="572">
        <v>41.242899999999999</v>
      </c>
      <c r="C13902" s="572">
        <v>488.03800000000001</v>
      </c>
    </row>
    <row r="13903" spans="1:3">
      <c r="A13903" s="571" t="s">
        <v>2215</v>
      </c>
      <c r="B13903" s="572">
        <v>42.988</v>
      </c>
      <c r="C13903" s="572">
        <v>490.90899999999999</v>
      </c>
    </row>
    <row r="13904" spans="1:3">
      <c r="A13904" s="571" t="s">
        <v>2215</v>
      </c>
      <c r="B13904" s="572">
        <v>44.926900000000003</v>
      </c>
      <c r="C13904" s="572">
        <v>493.78</v>
      </c>
    </row>
    <row r="13905" spans="1:3">
      <c r="A13905" s="571" t="s">
        <v>2215</v>
      </c>
      <c r="B13905" s="572">
        <v>46.8658</v>
      </c>
      <c r="C13905" s="572">
        <v>496.65100000000001</v>
      </c>
    </row>
    <row r="13906" spans="1:3">
      <c r="A13906" s="571" t="s">
        <v>2215</v>
      </c>
      <c r="B13906" s="572">
        <v>48.803800000000003</v>
      </c>
      <c r="C13906" s="572">
        <v>496.65100000000001</v>
      </c>
    </row>
    <row r="13907" spans="1:3">
      <c r="A13907" s="571" t="s">
        <v>2215</v>
      </c>
      <c r="B13907" s="572">
        <v>50.548900000000003</v>
      </c>
      <c r="C13907" s="572">
        <v>499.52199999999999</v>
      </c>
    </row>
    <row r="13908" spans="1:3">
      <c r="A13908" s="571" t="s">
        <v>2215</v>
      </c>
      <c r="B13908" s="572">
        <v>52.486899999999999</v>
      </c>
      <c r="C13908" s="572">
        <v>499.52199999999999</v>
      </c>
    </row>
    <row r="13909" spans="1:3">
      <c r="A13909" s="571" t="s">
        <v>2215</v>
      </c>
      <c r="B13909" s="572">
        <v>54.423999999999999</v>
      </c>
      <c r="C13909" s="572">
        <v>496.65100000000001</v>
      </c>
    </row>
    <row r="13910" spans="1:3">
      <c r="A13910" s="571" t="s">
        <v>2215</v>
      </c>
      <c r="B13910" s="572">
        <v>56.362000000000002</v>
      </c>
      <c r="C13910" s="572">
        <v>496.65100000000001</v>
      </c>
    </row>
    <row r="13911" spans="1:3">
      <c r="A13911" s="571" t="s">
        <v>2215</v>
      </c>
      <c r="B13911" s="572">
        <v>58.106200000000001</v>
      </c>
      <c r="C13911" s="572">
        <v>496.65100000000001</v>
      </c>
    </row>
    <row r="13912" spans="1:3">
      <c r="A13912" s="571" t="s">
        <v>2215</v>
      </c>
      <c r="B13912" s="572">
        <v>60.043199999999999</v>
      </c>
      <c r="C13912" s="572">
        <v>493.78</v>
      </c>
    </row>
    <row r="13913" spans="1:3">
      <c r="A13913" s="571" t="s">
        <v>2215</v>
      </c>
      <c r="B13913" s="572">
        <v>62.370600000000003</v>
      </c>
      <c r="C13913" s="572">
        <v>499.52199999999999</v>
      </c>
    </row>
    <row r="13914" spans="1:3">
      <c r="A13914" s="571" t="s">
        <v>2215</v>
      </c>
      <c r="B13914" s="572">
        <v>62.951099999999997</v>
      </c>
      <c r="C13914" s="572">
        <v>496.65100000000001</v>
      </c>
    </row>
    <row r="13915" spans="1:3">
      <c r="A13915" s="571" t="s">
        <v>2215</v>
      </c>
      <c r="B13915" s="572">
        <v>64.89</v>
      </c>
      <c r="C13915" s="572">
        <v>499.52199999999999</v>
      </c>
    </row>
    <row r="13916" spans="1:3">
      <c r="A13916" s="571" t="s">
        <v>2215</v>
      </c>
      <c r="B13916" s="572">
        <v>66.827100000000002</v>
      </c>
      <c r="C13916" s="572">
        <v>496.65100000000001</v>
      </c>
    </row>
    <row r="13917" spans="1:3">
      <c r="A13917" s="571" t="s">
        <v>2215</v>
      </c>
      <c r="B13917" s="572">
        <v>68.378399999999999</v>
      </c>
      <c r="C13917" s="572">
        <v>499.52199999999999</v>
      </c>
    </row>
    <row r="13918" spans="1:3">
      <c r="A13918" s="571" t="s">
        <v>2215</v>
      </c>
      <c r="B13918" s="572">
        <v>70.316400000000002</v>
      </c>
      <c r="C13918" s="572">
        <v>499.52199999999999</v>
      </c>
    </row>
    <row r="13919" spans="1:3">
      <c r="A13919" s="571" t="s">
        <v>2215</v>
      </c>
      <c r="B13919" s="572">
        <v>72.835800000000006</v>
      </c>
      <c r="C13919" s="572">
        <v>499.52199999999999</v>
      </c>
    </row>
    <row r="13920" spans="1:3">
      <c r="A13920" s="571" t="s">
        <v>2215</v>
      </c>
      <c r="B13920" s="572">
        <v>75.161299999999997</v>
      </c>
      <c r="C13920" s="572">
        <v>499.52199999999999</v>
      </c>
    </row>
    <row r="13921" spans="1:3">
      <c r="A13921" s="571" t="s">
        <v>2215</v>
      </c>
      <c r="B13921" s="572">
        <v>77.101200000000006</v>
      </c>
      <c r="C13921" s="572">
        <v>505.26299999999998</v>
      </c>
    </row>
    <row r="13922" spans="1:3">
      <c r="A13922" s="571" t="s">
        <v>2215</v>
      </c>
      <c r="B13922" s="572">
        <v>79.233000000000004</v>
      </c>
      <c r="C13922" s="572">
        <v>505.26299999999998</v>
      </c>
    </row>
    <row r="13923" spans="1:3">
      <c r="A13923" s="571" t="s">
        <v>2215</v>
      </c>
      <c r="B13923" s="572">
        <v>81.171000000000006</v>
      </c>
      <c r="C13923" s="572">
        <v>505.26299999999998</v>
      </c>
    </row>
    <row r="13924" spans="1:3">
      <c r="A13924" s="571" t="s">
        <v>2215</v>
      </c>
      <c r="B13924" s="572">
        <v>83.302700000000002</v>
      </c>
      <c r="C13924" s="572">
        <v>505.26299999999998</v>
      </c>
    </row>
    <row r="13925" spans="1:3">
      <c r="A13925" s="571" t="s">
        <v>2215</v>
      </c>
      <c r="B13925" s="572">
        <v>85.240700000000004</v>
      </c>
      <c r="C13925" s="572">
        <v>505.26299999999998</v>
      </c>
    </row>
    <row r="13926" spans="1:3">
      <c r="A13926" s="571" t="s">
        <v>2215</v>
      </c>
      <c r="B13926" s="572">
        <v>87.180599999999998</v>
      </c>
      <c r="C13926" s="572">
        <v>511.005</v>
      </c>
    </row>
    <row r="13927" spans="1:3">
      <c r="A13927" s="571" t="s">
        <v>2215</v>
      </c>
      <c r="B13927" s="572">
        <v>89.505200000000002</v>
      </c>
      <c r="C13927" s="572">
        <v>508.13400000000001</v>
      </c>
    </row>
    <row r="13928" spans="1:3">
      <c r="A13928" s="571" t="s">
        <v>2216</v>
      </c>
      <c r="B13928" s="572">
        <v>9.2725700000000002E-4</v>
      </c>
      <c r="C13928" s="572">
        <v>2.87079</v>
      </c>
    </row>
    <row r="13929" spans="1:3">
      <c r="A13929" s="571" t="s">
        <v>2216</v>
      </c>
      <c r="B13929" s="572">
        <v>0.39872000000000002</v>
      </c>
      <c r="C13929" s="572">
        <v>34.438299999999998</v>
      </c>
    </row>
    <row r="13930" spans="1:3">
      <c r="A13930" s="571" t="s">
        <v>2216</v>
      </c>
      <c r="B13930" s="572">
        <v>0.60457099999999997</v>
      </c>
      <c r="C13930" s="572">
        <v>71.753</v>
      </c>
    </row>
    <row r="13931" spans="1:3">
      <c r="A13931" s="571" t="s">
        <v>2216</v>
      </c>
      <c r="B13931" s="572">
        <v>0.61477099999999996</v>
      </c>
      <c r="C13931" s="572">
        <v>103.33199999999999</v>
      </c>
    </row>
    <row r="13932" spans="1:3">
      <c r="A13932" s="571" t="s">
        <v>2216</v>
      </c>
      <c r="B13932" s="572">
        <v>1.0172000000000001</v>
      </c>
      <c r="C13932" s="572">
        <v>149.25299999999999</v>
      </c>
    </row>
    <row r="13933" spans="1:3">
      <c r="A13933" s="571" t="s">
        <v>2216</v>
      </c>
      <c r="B13933" s="572">
        <v>1.8025899999999999</v>
      </c>
      <c r="C13933" s="572">
        <v>180.809</v>
      </c>
    </row>
    <row r="13934" spans="1:3">
      <c r="A13934" s="571" t="s">
        <v>2216</v>
      </c>
      <c r="B13934" s="572">
        <v>2.77528</v>
      </c>
      <c r="C13934" s="572">
        <v>192.26499999999999</v>
      </c>
    </row>
    <row r="13935" spans="1:3">
      <c r="A13935" s="571" t="s">
        <v>2216</v>
      </c>
      <c r="B13935" s="572">
        <v>3.5569600000000001</v>
      </c>
      <c r="C13935" s="572">
        <v>212.33799999999999</v>
      </c>
    </row>
    <row r="13936" spans="1:3">
      <c r="A13936" s="571" t="s">
        <v>2216</v>
      </c>
      <c r="B13936" s="572">
        <v>4.5315000000000003</v>
      </c>
      <c r="C13936" s="572">
        <v>229.535</v>
      </c>
    </row>
    <row r="13937" spans="1:3">
      <c r="A13937" s="571" t="s">
        <v>2216</v>
      </c>
      <c r="B13937" s="572">
        <v>5.8945699999999999</v>
      </c>
      <c r="C13937" s="572">
        <v>249.59200000000001</v>
      </c>
    </row>
    <row r="13938" spans="1:3">
      <c r="A13938" s="571" t="s">
        <v>2216</v>
      </c>
      <c r="B13938" s="572">
        <v>7.45329</v>
      </c>
      <c r="C13938" s="572">
        <v>275.38400000000001</v>
      </c>
    </row>
    <row r="13939" spans="1:3">
      <c r="A13939" s="571" t="s">
        <v>2216</v>
      </c>
      <c r="B13939" s="572">
        <v>8.8145000000000007</v>
      </c>
      <c r="C13939" s="572">
        <v>289.69900000000001</v>
      </c>
    </row>
    <row r="13940" spans="1:3">
      <c r="A13940" s="571" t="s">
        <v>2216</v>
      </c>
      <c r="B13940" s="572">
        <v>9.4023800000000008</v>
      </c>
      <c r="C13940" s="572">
        <v>309.77800000000002</v>
      </c>
    </row>
    <row r="13941" spans="1:3">
      <c r="A13941" s="571" t="s">
        <v>2216</v>
      </c>
      <c r="B13941" s="572">
        <v>9.7918299999999991</v>
      </c>
      <c r="C13941" s="572">
        <v>315.50799999999998</v>
      </c>
    </row>
    <row r="13942" spans="1:3">
      <c r="A13942" s="571" t="s">
        <v>2216</v>
      </c>
      <c r="B13942" s="572">
        <v>10.7645</v>
      </c>
      <c r="C13942" s="572">
        <v>326.964</v>
      </c>
    </row>
    <row r="13943" spans="1:3">
      <c r="A13943" s="571" t="s">
        <v>2216</v>
      </c>
      <c r="B13943" s="572">
        <v>11.5434</v>
      </c>
      <c r="C13943" s="572">
        <v>338.42500000000001</v>
      </c>
    </row>
    <row r="13944" spans="1:3">
      <c r="A13944" s="571" t="s">
        <v>2216</v>
      </c>
      <c r="B13944" s="572">
        <v>12.513299999999999</v>
      </c>
      <c r="C13944" s="572">
        <v>341.26799999999997</v>
      </c>
    </row>
    <row r="13945" spans="1:3">
      <c r="A13945" s="571" t="s">
        <v>2216</v>
      </c>
      <c r="B13945" s="572">
        <v>14.260300000000001</v>
      </c>
      <c r="C13945" s="572">
        <v>349.83</v>
      </c>
    </row>
    <row r="13946" spans="1:3">
      <c r="A13946" s="571" t="s">
        <v>2216</v>
      </c>
      <c r="B13946" s="572">
        <v>16.202000000000002</v>
      </c>
      <c r="C13946" s="572">
        <v>361.25700000000001</v>
      </c>
    </row>
    <row r="13947" spans="1:3">
      <c r="A13947" s="571" t="s">
        <v>2216</v>
      </c>
      <c r="B13947" s="572">
        <v>17.948899999999998</v>
      </c>
      <c r="C13947" s="572">
        <v>369.82</v>
      </c>
    </row>
    <row r="13948" spans="1:3">
      <c r="A13948" s="571" t="s">
        <v>2216</v>
      </c>
      <c r="B13948" s="572">
        <v>19.8887</v>
      </c>
      <c r="C13948" s="572">
        <v>375.50599999999997</v>
      </c>
    </row>
    <row r="13949" spans="1:3">
      <c r="A13949" s="571" t="s">
        <v>2216</v>
      </c>
      <c r="B13949" s="572">
        <v>21.8276</v>
      </c>
      <c r="C13949" s="572">
        <v>378.32100000000003</v>
      </c>
    </row>
    <row r="13950" spans="1:3">
      <c r="A13950" s="571" t="s">
        <v>2216</v>
      </c>
      <c r="B13950" s="572">
        <v>23.573599999999999</v>
      </c>
      <c r="C13950" s="572">
        <v>384.012</v>
      </c>
    </row>
    <row r="13951" spans="1:3">
      <c r="A13951" s="571" t="s">
        <v>2216</v>
      </c>
      <c r="B13951" s="572">
        <v>25.512499999999999</v>
      </c>
      <c r="C13951" s="572">
        <v>386.827</v>
      </c>
    </row>
    <row r="13952" spans="1:3">
      <c r="A13952" s="571" t="s">
        <v>2216</v>
      </c>
      <c r="B13952" s="572">
        <v>27.4514</v>
      </c>
      <c r="C13952" s="572">
        <v>389.64299999999997</v>
      </c>
    </row>
    <row r="13953" spans="1:3">
      <c r="A13953" s="571" t="s">
        <v>2216</v>
      </c>
      <c r="B13953" s="572">
        <v>29.1965</v>
      </c>
      <c r="C13953" s="572">
        <v>392.46300000000002</v>
      </c>
    </row>
    <row r="13954" spans="1:3">
      <c r="A13954" s="571" t="s">
        <v>2216</v>
      </c>
      <c r="B13954" s="572">
        <v>31.134499999999999</v>
      </c>
      <c r="C13954" s="572">
        <v>392.40800000000002</v>
      </c>
    </row>
    <row r="13955" spans="1:3">
      <c r="A13955" s="571" t="s">
        <v>2216</v>
      </c>
      <c r="B13955" s="572">
        <v>33.073399999999999</v>
      </c>
      <c r="C13955" s="572">
        <v>395.22300000000001</v>
      </c>
    </row>
    <row r="13956" spans="1:3">
      <c r="A13956" s="571" t="s">
        <v>2216</v>
      </c>
      <c r="B13956" s="572">
        <v>35.011400000000002</v>
      </c>
      <c r="C13956" s="572">
        <v>395.16699999999997</v>
      </c>
    </row>
    <row r="13957" spans="1:3">
      <c r="A13957" s="571" t="s">
        <v>2216</v>
      </c>
      <c r="B13957" s="572">
        <v>36.949300000000001</v>
      </c>
      <c r="C13957" s="572">
        <v>395.11200000000002</v>
      </c>
    </row>
    <row r="13958" spans="1:3">
      <c r="A13958" s="571" t="s">
        <v>2216</v>
      </c>
      <c r="B13958" s="572">
        <v>38.887300000000003</v>
      </c>
      <c r="C13958" s="572">
        <v>395.05599999999998</v>
      </c>
    </row>
    <row r="13959" spans="1:3">
      <c r="A13959" s="571" t="s">
        <v>2216</v>
      </c>
      <c r="B13959" s="572">
        <v>40.825299999999999</v>
      </c>
      <c r="C13959" s="572">
        <v>395</v>
      </c>
    </row>
    <row r="13960" spans="1:3">
      <c r="A13960" s="571" t="s">
        <v>2216</v>
      </c>
      <c r="B13960" s="572">
        <v>42.764200000000002</v>
      </c>
      <c r="C13960" s="572">
        <v>397.815</v>
      </c>
    </row>
    <row r="13961" spans="1:3">
      <c r="A13961" s="571" t="s">
        <v>2216</v>
      </c>
      <c r="B13961" s="572">
        <v>44.702100000000002</v>
      </c>
      <c r="C13961" s="572">
        <v>397.76</v>
      </c>
    </row>
    <row r="13962" spans="1:3">
      <c r="A13962" s="571" t="s">
        <v>2216</v>
      </c>
      <c r="B13962" s="572">
        <v>46.640099999999997</v>
      </c>
      <c r="C13962" s="572">
        <v>397.70400000000001</v>
      </c>
    </row>
    <row r="13963" spans="1:3">
      <c r="A13963" s="571" t="s">
        <v>2216</v>
      </c>
      <c r="B13963" s="572">
        <v>48.578099999999999</v>
      </c>
      <c r="C13963" s="572">
        <v>397.64800000000002</v>
      </c>
    </row>
    <row r="13964" spans="1:3">
      <c r="A13964" s="571" t="s">
        <v>2216</v>
      </c>
      <c r="B13964" s="572">
        <v>50.515099999999997</v>
      </c>
      <c r="C13964" s="572">
        <v>394.72199999999998</v>
      </c>
    </row>
    <row r="13965" spans="1:3">
      <c r="A13965" s="571" t="s">
        <v>2216</v>
      </c>
      <c r="B13965" s="572">
        <v>52.453099999999999</v>
      </c>
      <c r="C13965" s="572">
        <v>394.666</v>
      </c>
    </row>
    <row r="13966" spans="1:3">
      <c r="A13966" s="571" t="s">
        <v>2216</v>
      </c>
      <c r="B13966" s="572">
        <v>54.390099999999997</v>
      </c>
      <c r="C13966" s="572">
        <v>391.74</v>
      </c>
    </row>
    <row r="13967" spans="1:3">
      <c r="A13967" s="571" t="s">
        <v>2216</v>
      </c>
      <c r="B13967" s="572">
        <v>56.133299999999998</v>
      </c>
      <c r="C13967" s="572">
        <v>388.81900000000002</v>
      </c>
    </row>
    <row r="13968" spans="1:3">
      <c r="A13968" s="571" t="s">
        <v>2216</v>
      </c>
      <c r="B13968" s="572">
        <v>58.070399999999999</v>
      </c>
      <c r="C13968" s="572">
        <v>385.89299999999997</v>
      </c>
    </row>
    <row r="13969" spans="1:3">
      <c r="A13969" s="571" t="s">
        <v>2216</v>
      </c>
      <c r="B13969" s="572">
        <v>60.007399999999997</v>
      </c>
      <c r="C13969" s="572">
        <v>382.96600000000001</v>
      </c>
    </row>
    <row r="13970" spans="1:3">
      <c r="A13970" s="571" t="s">
        <v>2216</v>
      </c>
      <c r="B13970" s="572">
        <v>62.332999999999998</v>
      </c>
      <c r="C13970" s="572">
        <v>382.9</v>
      </c>
    </row>
    <row r="13971" spans="1:3">
      <c r="A13971" s="571" t="s">
        <v>2216</v>
      </c>
      <c r="B13971" s="572">
        <v>64.27</v>
      </c>
      <c r="C13971" s="572">
        <v>379.97300000000001</v>
      </c>
    </row>
    <row r="13972" spans="1:3">
      <c r="A13972" s="571" t="s">
        <v>2216</v>
      </c>
      <c r="B13972" s="572">
        <v>66.207999999999998</v>
      </c>
      <c r="C13972" s="572">
        <v>379.91699999999997</v>
      </c>
    </row>
    <row r="13973" spans="1:3">
      <c r="A13973" s="571" t="s">
        <v>2216</v>
      </c>
      <c r="B13973" s="572">
        <v>68.144999999999996</v>
      </c>
      <c r="C13973" s="572">
        <v>376.99099999999999</v>
      </c>
    </row>
    <row r="13974" spans="1:3">
      <c r="A13974" s="571" t="s">
        <v>2216</v>
      </c>
      <c r="B13974" s="572">
        <v>70.082999999999998</v>
      </c>
      <c r="C13974" s="572">
        <v>376.935</v>
      </c>
    </row>
    <row r="13975" spans="1:3">
      <c r="A13975" s="571" t="s">
        <v>2216</v>
      </c>
      <c r="B13975" s="572">
        <v>72.601399999999998</v>
      </c>
      <c r="C13975" s="572">
        <v>373.99200000000002</v>
      </c>
    </row>
    <row r="13976" spans="1:3">
      <c r="A13976" s="571" t="s">
        <v>2216</v>
      </c>
      <c r="B13976" s="572">
        <v>75.120800000000003</v>
      </c>
      <c r="C13976" s="572">
        <v>373.92</v>
      </c>
    </row>
    <row r="13977" spans="1:3">
      <c r="A13977" s="571" t="s">
        <v>2216</v>
      </c>
      <c r="B13977" s="572">
        <v>77.251599999999996</v>
      </c>
      <c r="C13977" s="572">
        <v>370.988</v>
      </c>
    </row>
    <row r="13978" spans="1:3">
      <c r="A13978" s="571" t="s">
        <v>2216</v>
      </c>
      <c r="B13978" s="572">
        <v>79.1905</v>
      </c>
      <c r="C13978" s="572">
        <v>373.803</v>
      </c>
    </row>
    <row r="13979" spans="1:3">
      <c r="A13979" s="571" t="s">
        <v>2216</v>
      </c>
      <c r="B13979" s="572">
        <v>80.933700000000002</v>
      </c>
      <c r="C13979" s="572">
        <v>370.88200000000001</v>
      </c>
    </row>
    <row r="13980" spans="1:3">
      <c r="A13980" s="571" t="s">
        <v>2216</v>
      </c>
      <c r="B13980" s="572">
        <v>83.066400000000002</v>
      </c>
      <c r="C13980" s="572">
        <v>373.69200000000001</v>
      </c>
    </row>
    <row r="13981" spans="1:3">
      <c r="A13981" s="571" t="s">
        <v>2216</v>
      </c>
      <c r="B13981" s="572">
        <v>85.197299999999998</v>
      </c>
      <c r="C13981" s="572">
        <v>370.76</v>
      </c>
    </row>
    <row r="13982" spans="1:3">
      <c r="A13982" s="571" t="s">
        <v>2216</v>
      </c>
      <c r="B13982" s="572">
        <v>87.135199999999998</v>
      </c>
      <c r="C13982" s="572">
        <v>370.70400000000001</v>
      </c>
    </row>
    <row r="13983" spans="1:3">
      <c r="A13983" s="571" t="s">
        <v>2216</v>
      </c>
      <c r="B13983" s="572">
        <v>89.266999999999996</v>
      </c>
      <c r="C13983" s="572">
        <v>370.64299999999997</v>
      </c>
    </row>
    <row r="13984" spans="1:3">
      <c r="A13984" s="48" t="s">
        <v>2217</v>
      </c>
      <c r="B13984" s="549">
        <v>-0.19473199999999999</v>
      </c>
      <c r="C13984" s="549">
        <v>2.8902299999999999</v>
      </c>
    </row>
    <row r="13985" spans="1:3">
      <c r="A13985" s="48" t="s">
        <v>2217</v>
      </c>
      <c r="B13985" s="549">
        <v>-0.178893</v>
      </c>
      <c r="C13985" s="549">
        <v>46.148699999999998</v>
      </c>
    </row>
    <row r="13986" spans="1:3">
      <c r="A13986" s="571" t="s">
        <v>2217</v>
      </c>
      <c r="B13986" s="572">
        <v>2.51568E-2</v>
      </c>
      <c r="C13986" s="572">
        <v>77.885300000000001</v>
      </c>
    </row>
    <row r="13987" spans="1:3">
      <c r="A13987" s="571" t="s">
        <v>2217</v>
      </c>
      <c r="B13987" s="572">
        <v>0.23572799999999999</v>
      </c>
      <c r="C13987" s="572">
        <v>129.81399999999999</v>
      </c>
    </row>
    <row r="13988" spans="1:3">
      <c r="A13988" s="571" t="s">
        <v>2217</v>
      </c>
      <c r="B13988" s="572">
        <v>0.44536799999999999</v>
      </c>
      <c r="C13988" s="572">
        <v>178.85900000000001</v>
      </c>
    </row>
    <row r="13989" spans="1:3">
      <c r="A13989" s="571" t="s">
        <v>2217</v>
      </c>
      <c r="B13989" s="572">
        <v>0.64848499999999998</v>
      </c>
      <c r="C13989" s="572">
        <v>207.71100000000001</v>
      </c>
    </row>
    <row r="13990" spans="1:3">
      <c r="A13990" s="571" t="s">
        <v>2217</v>
      </c>
      <c r="B13990" s="572">
        <v>0.85439799999999999</v>
      </c>
      <c r="C13990" s="572">
        <v>245.21700000000001</v>
      </c>
    </row>
    <row r="13991" spans="1:3">
      <c r="A13991" s="571" t="s">
        <v>2217</v>
      </c>
      <c r="B13991" s="572">
        <v>1.63985</v>
      </c>
      <c r="C13991" s="572">
        <v>276.97000000000003</v>
      </c>
    </row>
    <row r="13992" spans="1:3">
      <c r="A13992" s="571" t="s">
        <v>2217</v>
      </c>
      <c r="B13992" s="572">
        <v>2.6191</v>
      </c>
      <c r="C13992" s="572">
        <v>308.72899999999998</v>
      </c>
    </row>
    <row r="13993" spans="1:3">
      <c r="A13993" s="571" t="s">
        <v>2217</v>
      </c>
      <c r="B13993" s="572">
        <v>3.5964900000000002</v>
      </c>
      <c r="C13993" s="572">
        <v>334.71899999999999</v>
      </c>
    </row>
    <row r="13994" spans="1:3">
      <c r="A13994" s="571" t="s">
        <v>2217</v>
      </c>
      <c r="B13994" s="572">
        <v>5.15341</v>
      </c>
      <c r="C13994" s="572">
        <v>354.95600000000002</v>
      </c>
    </row>
    <row r="13995" spans="1:3">
      <c r="A13995" s="571" t="s">
        <v>2217</v>
      </c>
      <c r="B13995" s="572">
        <v>6.7122000000000002</v>
      </c>
      <c r="C13995" s="572">
        <v>380.96300000000002</v>
      </c>
    </row>
    <row r="13996" spans="1:3">
      <c r="A13996" s="571" t="s">
        <v>2217</v>
      </c>
      <c r="B13996" s="572">
        <v>8.4638500000000008</v>
      </c>
      <c r="C13996" s="572">
        <v>404.09</v>
      </c>
    </row>
    <row r="13997" spans="1:3">
      <c r="A13997" s="571" t="s">
        <v>2217</v>
      </c>
      <c r="B13997" s="572">
        <v>9.6331799999999994</v>
      </c>
      <c r="C13997" s="572">
        <v>424.31599999999997</v>
      </c>
    </row>
    <row r="13998" spans="1:3">
      <c r="A13998" s="571" t="s">
        <v>2217</v>
      </c>
      <c r="B13998" s="572">
        <v>11.1873</v>
      </c>
      <c r="C13998" s="572">
        <v>435.9</v>
      </c>
    </row>
    <row r="13999" spans="1:3">
      <c r="A13999" s="571" t="s">
        <v>2217</v>
      </c>
      <c r="B13999" s="572">
        <v>12.7424</v>
      </c>
      <c r="C13999" s="572">
        <v>450.36799999999999</v>
      </c>
    </row>
    <row r="14000" spans="1:3">
      <c r="A14000" s="571" t="s">
        <v>2217</v>
      </c>
      <c r="B14000" s="572">
        <v>13.3247</v>
      </c>
      <c r="C14000" s="572">
        <v>453.26900000000001</v>
      </c>
    </row>
    <row r="14001" spans="1:3">
      <c r="A14001" s="571" t="s">
        <v>2217</v>
      </c>
      <c r="B14001" s="572">
        <v>15.0726</v>
      </c>
      <c r="C14001" s="572">
        <v>464.858</v>
      </c>
    </row>
    <row r="14002" spans="1:3">
      <c r="A14002" s="571" t="s">
        <v>2217</v>
      </c>
      <c r="B14002" s="572">
        <v>16.820599999999999</v>
      </c>
      <c r="C14002" s="572">
        <v>476.447</v>
      </c>
    </row>
    <row r="14003" spans="1:3">
      <c r="A14003" s="571" t="s">
        <v>2217</v>
      </c>
      <c r="B14003" s="572">
        <v>18.761399999999998</v>
      </c>
      <c r="C14003" s="572">
        <v>485.15699999999998</v>
      </c>
    </row>
    <row r="14004" spans="1:3">
      <c r="A14004" s="571" t="s">
        <v>2217</v>
      </c>
      <c r="B14004" s="572">
        <v>20.508400000000002</v>
      </c>
      <c r="C14004" s="572">
        <v>493.86099999999999</v>
      </c>
    </row>
    <row r="14005" spans="1:3">
      <c r="A14005" s="571" t="s">
        <v>2217</v>
      </c>
      <c r="B14005" s="572">
        <v>22.4482</v>
      </c>
      <c r="C14005" s="572">
        <v>499.68599999999998</v>
      </c>
    </row>
    <row r="14006" spans="1:3">
      <c r="A14006" s="571" t="s">
        <v>2217</v>
      </c>
      <c r="B14006" s="572">
        <v>24.194299999999998</v>
      </c>
      <c r="C14006" s="572">
        <v>505.50599999999997</v>
      </c>
    </row>
    <row r="14007" spans="1:3">
      <c r="A14007" s="571" t="s">
        <v>2217</v>
      </c>
      <c r="B14007" s="572">
        <v>26.1342</v>
      </c>
      <c r="C14007" s="572">
        <v>511.33100000000002</v>
      </c>
    </row>
    <row r="14008" spans="1:3">
      <c r="A14008" s="571" t="s">
        <v>2217</v>
      </c>
      <c r="B14008" s="572">
        <v>28.0731</v>
      </c>
      <c r="C14008" s="572">
        <v>514.27099999999996</v>
      </c>
    </row>
    <row r="14009" spans="1:3">
      <c r="A14009" s="571" t="s">
        <v>2217</v>
      </c>
      <c r="B14009" s="572">
        <v>29.819199999999999</v>
      </c>
      <c r="C14009" s="572">
        <v>520.09100000000001</v>
      </c>
    </row>
    <row r="14010" spans="1:3">
      <c r="A14010" s="571" t="s">
        <v>2217</v>
      </c>
      <c r="B14010" s="572">
        <v>31.758099999999999</v>
      </c>
      <c r="C14010" s="572">
        <v>523.03099999999995</v>
      </c>
    </row>
    <row r="14011" spans="1:3">
      <c r="A14011" s="571" t="s">
        <v>2217</v>
      </c>
      <c r="B14011" s="572">
        <v>33.697000000000003</v>
      </c>
      <c r="C14011" s="572">
        <v>525.97199999999998</v>
      </c>
    </row>
    <row r="14012" spans="1:3">
      <c r="A14012" s="571" t="s">
        <v>2217</v>
      </c>
      <c r="B14012" s="572">
        <v>35.4422</v>
      </c>
      <c r="C14012" s="572">
        <v>528.90700000000004</v>
      </c>
    </row>
    <row r="14013" spans="1:3">
      <c r="A14013" s="571" t="s">
        <v>2217</v>
      </c>
      <c r="B14013" s="572">
        <v>37.381100000000004</v>
      </c>
      <c r="C14013" s="572">
        <v>531.84799999999996</v>
      </c>
    </row>
    <row r="14014" spans="1:3">
      <c r="A14014" s="571" t="s">
        <v>2217</v>
      </c>
      <c r="B14014" s="572">
        <v>39.32</v>
      </c>
      <c r="C14014" s="572">
        <v>534.78800000000001</v>
      </c>
    </row>
    <row r="14015" spans="1:3">
      <c r="A14015" s="571" t="s">
        <v>2217</v>
      </c>
      <c r="B14015" s="572">
        <v>41.259</v>
      </c>
      <c r="C14015" s="572">
        <v>537.72900000000004</v>
      </c>
    </row>
    <row r="14016" spans="1:3">
      <c r="A14016" s="571" t="s">
        <v>2217</v>
      </c>
      <c r="B14016" s="572">
        <v>43.197899999999997</v>
      </c>
      <c r="C14016" s="572">
        <v>540.66899999999998</v>
      </c>
    </row>
    <row r="14017" spans="1:3">
      <c r="A14017" s="571" t="s">
        <v>2217</v>
      </c>
      <c r="B14017" s="572">
        <v>44.942100000000003</v>
      </c>
      <c r="C14017" s="572">
        <v>540.71900000000005</v>
      </c>
    </row>
    <row r="14018" spans="1:3">
      <c r="A14018" s="571" t="s">
        <v>2217</v>
      </c>
      <c r="B14018" s="572">
        <v>46.881</v>
      </c>
      <c r="C14018" s="572">
        <v>543.66</v>
      </c>
    </row>
    <row r="14019" spans="1:3">
      <c r="A14019" s="571" t="s">
        <v>2217</v>
      </c>
      <c r="B14019" s="572">
        <v>48.82</v>
      </c>
      <c r="C14019" s="572">
        <v>546.601</v>
      </c>
    </row>
    <row r="14020" spans="1:3">
      <c r="A14020" s="571" t="s">
        <v>2217</v>
      </c>
      <c r="B14020" s="572">
        <v>50.758000000000003</v>
      </c>
      <c r="C14020" s="572">
        <v>546.65599999999995</v>
      </c>
    </row>
    <row r="14021" spans="1:3">
      <c r="A14021" s="571" t="s">
        <v>2217</v>
      </c>
      <c r="B14021" s="572">
        <v>52.695999999999998</v>
      </c>
      <c r="C14021" s="572">
        <v>546.71199999999999</v>
      </c>
    </row>
    <row r="14022" spans="1:3">
      <c r="A14022" s="571" t="s">
        <v>2217</v>
      </c>
      <c r="B14022" s="572">
        <v>54.4392</v>
      </c>
      <c r="C14022" s="572">
        <v>543.87800000000004</v>
      </c>
    </row>
    <row r="14023" spans="1:3">
      <c r="A14023" s="571" t="s">
        <v>2217</v>
      </c>
      <c r="B14023" s="572">
        <v>56.3782</v>
      </c>
      <c r="C14023" s="572">
        <v>546.81899999999996</v>
      </c>
    </row>
    <row r="14024" spans="1:3">
      <c r="A14024" s="571" t="s">
        <v>2217</v>
      </c>
      <c r="B14024" s="572">
        <v>58.316200000000002</v>
      </c>
      <c r="C14024" s="572">
        <v>546.875</v>
      </c>
    </row>
    <row r="14025" spans="1:3">
      <c r="A14025" s="571" t="s">
        <v>2217</v>
      </c>
      <c r="B14025" s="572">
        <v>60.2532</v>
      </c>
      <c r="C14025" s="572">
        <v>544.04600000000005</v>
      </c>
    </row>
    <row r="14026" spans="1:3">
      <c r="A14026" s="571" t="s">
        <v>2217</v>
      </c>
      <c r="B14026" s="572">
        <v>62.773600000000002</v>
      </c>
      <c r="C14026" s="572">
        <v>547.00300000000004</v>
      </c>
    </row>
    <row r="14027" spans="1:3">
      <c r="A14027" s="571" t="s">
        <v>2217</v>
      </c>
      <c r="B14027" s="572">
        <v>64.517799999999994</v>
      </c>
      <c r="C14027" s="572">
        <v>547.053</v>
      </c>
    </row>
    <row r="14028" spans="1:3">
      <c r="A14028" s="571" t="s">
        <v>2217</v>
      </c>
      <c r="B14028" s="572">
        <v>66.455799999999996</v>
      </c>
      <c r="C14028" s="572">
        <v>547.10900000000004</v>
      </c>
    </row>
    <row r="14029" spans="1:3">
      <c r="A14029" s="571" t="s">
        <v>2217</v>
      </c>
      <c r="B14029" s="572">
        <v>68.393799999999999</v>
      </c>
      <c r="C14029" s="572">
        <v>547.16499999999996</v>
      </c>
    </row>
    <row r="14030" spans="1:3">
      <c r="A14030" s="571" t="s">
        <v>2217</v>
      </c>
      <c r="B14030" s="572">
        <v>70.331800000000001</v>
      </c>
      <c r="C14030" s="572">
        <v>547.221</v>
      </c>
    </row>
    <row r="14031" spans="1:3">
      <c r="A14031" s="571" t="s">
        <v>2217</v>
      </c>
      <c r="B14031" s="572">
        <v>72.4636</v>
      </c>
      <c r="C14031" s="572">
        <v>547.28300000000002</v>
      </c>
    </row>
    <row r="14032" spans="1:3">
      <c r="A14032" s="571" t="s">
        <v>2217</v>
      </c>
      <c r="B14032" s="572">
        <v>74.789199999999994</v>
      </c>
      <c r="C14032" s="572">
        <v>547.35</v>
      </c>
    </row>
    <row r="14033" spans="1:3">
      <c r="A14033" s="571" t="s">
        <v>2217</v>
      </c>
      <c r="B14033" s="572">
        <v>76.340500000000006</v>
      </c>
      <c r="C14033" s="572">
        <v>550.279</v>
      </c>
    </row>
    <row r="14034" spans="1:3">
      <c r="A14034" s="571" t="s">
        <v>2217</v>
      </c>
      <c r="B14034" s="572">
        <v>78.279499999999999</v>
      </c>
      <c r="C14034" s="572">
        <v>553.22</v>
      </c>
    </row>
    <row r="14035" spans="1:3">
      <c r="A14035" s="571" t="s">
        <v>2217</v>
      </c>
      <c r="B14035" s="572">
        <v>80.023700000000005</v>
      </c>
      <c r="C14035" s="572">
        <v>553.27</v>
      </c>
    </row>
    <row r="14036" spans="1:3">
      <c r="A14036" s="571" t="s">
        <v>2217</v>
      </c>
      <c r="B14036" s="572">
        <v>81.962599999999995</v>
      </c>
      <c r="C14036" s="572">
        <v>556.21</v>
      </c>
    </row>
    <row r="14037" spans="1:3">
      <c r="A14037" s="571" t="s">
        <v>2217</v>
      </c>
      <c r="B14037" s="572">
        <v>84.095299999999995</v>
      </c>
      <c r="C14037" s="572">
        <v>559.15700000000004</v>
      </c>
    </row>
    <row r="14038" spans="1:3">
      <c r="A14038" s="571" t="s">
        <v>2217</v>
      </c>
      <c r="B14038" s="572">
        <v>85.839500000000001</v>
      </c>
      <c r="C14038" s="572">
        <v>559.20699999999999</v>
      </c>
    </row>
    <row r="14039" spans="1:3">
      <c r="A14039" s="571" t="s">
        <v>2217</v>
      </c>
      <c r="B14039" s="572">
        <v>88.1661</v>
      </c>
      <c r="C14039" s="572">
        <v>562.15899999999999</v>
      </c>
    </row>
    <row r="14040" spans="1:3">
      <c r="A14040" s="571" t="s">
        <v>2217</v>
      </c>
      <c r="B14040" s="572">
        <v>90.297899999999998</v>
      </c>
      <c r="C14040" s="572">
        <v>562.22</v>
      </c>
    </row>
    <row r="14041" spans="1:3">
      <c r="A14041" s="571" t="s">
        <v>2218</v>
      </c>
      <c r="B14041" s="572">
        <v>0.77554699999999999</v>
      </c>
      <c r="C14041" s="572">
        <v>5.7468599999999999</v>
      </c>
    </row>
    <row r="14042" spans="1:3">
      <c r="A14042" s="571" t="s">
        <v>2218</v>
      </c>
      <c r="B14042" s="572">
        <v>0.967109</v>
      </c>
      <c r="C14042" s="572">
        <v>2.7897399999999999E-2</v>
      </c>
    </row>
    <row r="14043" spans="1:3">
      <c r="A14043" s="571" t="s">
        <v>2218</v>
      </c>
      <c r="B14043" s="572">
        <v>1.1568099999999999</v>
      </c>
      <c r="C14043" s="572">
        <v>11.5718</v>
      </c>
    </row>
    <row r="14044" spans="1:3">
      <c r="A14044" s="571" t="s">
        <v>2218</v>
      </c>
      <c r="B14044" s="572">
        <v>1.73336</v>
      </c>
      <c r="C14044" s="572">
        <v>23.126899999999999</v>
      </c>
    </row>
    <row r="14045" spans="1:3">
      <c r="A14045" s="571" t="s">
        <v>2218</v>
      </c>
      <c r="B14045" s="572">
        <v>2.1127600000000002</v>
      </c>
      <c r="C14045" s="572">
        <v>46.214799999999997</v>
      </c>
    </row>
    <row r="14046" spans="1:3">
      <c r="A14046" s="571" t="s">
        <v>2218</v>
      </c>
      <c r="B14046" s="572">
        <v>3.0724300000000002</v>
      </c>
      <c r="C14046" s="572">
        <v>69.319400000000002</v>
      </c>
    </row>
    <row r="14047" spans="1:3">
      <c r="A14047" s="571" t="s">
        <v>2218</v>
      </c>
      <c r="B14047" s="572">
        <v>4.6067900000000002</v>
      </c>
      <c r="C14047" s="572">
        <v>109.748</v>
      </c>
    </row>
    <row r="14048" spans="1:3">
      <c r="A14048" s="571" t="s">
        <v>2218</v>
      </c>
      <c r="B14048" s="572">
        <v>5.5627399999999998</v>
      </c>
      <c r="C14048" s="572">
        <v>144.39099999999999</v>
      </c>
    </row>
    <row r="14049" spans="1:3">
      <c r="A14049" s="571" t="s">
        <v>2218</v>
      </c>
      <c r="B14049" s="572">
        <v>6.7186199999999996</v>
      </c>
      <c r="C14049" s="572">
        <v>158.84800000000001</v>
      </c>
    </row>
    <row r="14050" spans="1:3">
      <c r="A14050" s="571" t="s">
        <v>2218</v>
      </c>
      <c r="B14050" s="572">
        <v>7.4867299999999997</v>
      </c>
      <c r="C14050" s="572">
        <v>176.178</v>
      </c>
    </row>
    <row r="14051" spans="1:3">
      <c r="A14051" s="571" t="s">
        <v>2218</v>
      </c>
      <c r="B14051" s="572">
        <v>9.0248000000000008</v>
      </c>
      <c r="C14051" s="572">
        <v>205.06800000000001</v>
      </c>
    </row>
    <row r="14052" spans="1:3">
      <c r="A14052" s="571" t="s">
        <v>2218</v>
      </c>
      <c r="B14052" s="572">
        <v>10.7591</v>
      </c>
      <c r="C14052" s="572">
        <v>225.31</v>
      </c>
    </row>
    <row r="14053" spans="1:3">
      <c r="A14053" s="571" t="s">
        <v>2218</v>
      </c>
      <c r="B14053" s="572">
        <v>12.688700000000001</v>
      </c>
      <c r="C14053" s="572">
        <v>239.78899999999999</v>
      </c>
    </row>
    <row r="14054" spans="1:3">
      <c r="A14054" s="571" t="s">
        <v>2218</v>
      </c>
      <c r="B14054" s="572">
        <v>14.810700000000001</v>
      </c>
      <c r="C14054" s="572">
        <v>257.15800000000002</v>
      </c>
    </row>
    <row r="14055" spans="1:3">
      <c r="A14055" s="571" t="s">
        <v>2218</v>
      </c>
      <c r="B14055" s="572">
        <v>16.9346</v>
      </c>
      <c r="C14055" s="572">
        <v>268.75799999999998</v>
      </c>
    </row>
    <row r="14056" spans="1:3">
      <c r="A14056" s="571" t="s">
        <v>2218</v>
      </c>
      <c r="B14056" s="572">
        <v>19.058599999999998</v>
      </c>
      <c r="C14056" s="572">
        <v>280.35700000000003</v>
      </c>
    </row>
    <row r="14057" spans="1:3">
      <c r="A14057" s="571" t="s">
        <v>2218</v>
      </c>
      <c r="B14057" s="572">
        <v>21.377800000000001</v>
      </c>
      <c r="C14057" s="572">
        <v>286.19400000000002</v>
      </c>
    </row>
    <row r="14058" spans="1:3">
      <c r="A14058" s="571" t="s">
        <v>2218</v>
      </c>
      <c r="B14058" s="572">
        <v>23.116700000000002</v>
      </c>
      <c r="C14058" s="572">
        <v>292.01299999999998</v>
      </c>
    </row>
    <row r="14059" spans="1:3">
      <c r="A14059" s="571" t="s">
        <v>2218</v>
      </c>
      <c r="B14059" s="572">
        <v>24.854700000000001</v>
      </c>
      <c r="C14059" s="572">
        <v>300.71699999999998</v>
      </c>
    </row>
    <row r="14060" spans="1:3">
      <c r="A14060" s="571" t="s">
        <v>2218</v>
      </c>
      <c r="B14060" s="572">
        <v>27.3673</v>
      </c>
      <c r="C14060" s="572">
        <v>306.55900000000003</v>
      </c>
    </row>
    <row r="14061" spans="1:3">
      <c r="A14061" s="571" t="s">
        <v>2218</v>
      </c>
      <c r="B14061" s="572">
        <v>29.493099999999998</v>
      </c>
      <c r="C14061" s="572">
        <v>312.38900000000001</v>
      </c>
    </row>
    <row r="14062" spans="1:3">
      <c r="A14062" s="571" t="s">
        <v>2218</v>
      </c>
      <c r="B14062" s="572">
        <v>31.8123</v>
      </c>
      <c r="C14062" s="572">
        <v>318.22500000000002</v>
      </c>
    </row>
    <row r="14063" spans="1:3">
      <c r="A14063" s="571" t="s">
        <v>2218</v>
      </c>
      <c r="B14063" s="572">
        <v>34.131500000000003</v>
      </c>
      <c r="C14063" s="572">
        <v>324.06099999999998</v>
      </c>
    </row>
    <row r="14064" spans="1:3">
      <c r="A14064" s="571" t="s">
        <v>2218</v>
      </c>
      <c r="B14064" s="572">
        <v>36.450699999999998</v>
      </c>
      <c r="C14064" s="572">
        <v>329.89800000000002</v>
      </c>
    </row>
    <row r="14065" spans="1:3">
      <c r="A14065" s="571" t="s">
        <v>2218</v>
      </c>
      <c r="B14065" s="572">
        <v>39.351999999999997</v>
      </c>
      <c r="C14065" s="572">
        <v>329.98099999999999</v>
      </c>
    </row>
    <row r="14066" spans="1:3">
      <c r="A14066" s="571" t="s">
        <v>2218</v>
      </c>
      <c r="B14066" s="572">
        <v>42.058999999999997</v>
      </c>
      <c r="C14066" s="572">
        <v>332.94400000000002</v>
      </c>
    </row>
    <row r="14067" spans="1:3">
      <c r="A14067" s="571" t="s">
        <v>2218</v>
      </c>
      <c r="B14067" s="572">
        <v>44.185699999999997</v>
      </c>
      <c r="C14067" s="572">
        <v>335.89</v>
      </c>
    </row>
    <row r="14068" spans="1:3">
      <c r="A14068" s="571" t="s">
        <v>2218</v>
      </c>
      <c r="B14068" s="572">
        <v>46.120899999999999</v>
      </c>
      <c r="C14068" s="572">
        <v>333.06099999999998</v>
      </c>
    </row>
    <row r="14069" spans="1:3">
      <c r="A14069" s="571" t="s">
        <v>2218</v>
      </c>
      <c r="B14069" s="572">
        <v>48.828800000000001</v>
      </c>
      <c r="C14069" s="572">
        <v>333.13900000000001</v>
      </c>
    </row>
    <row r="14070" spans="1:3">
      <c r="A14070" s="571" t="s">
        <v>2218</v>
      </c>
      <c r="B14070" s="572">
        <v>50.762099999999997</v>
      </c>
      <c r="C14070" s="572">
        <v>336.08</v>
      </c>
    </row>
    <row r="14071" spans="1:3">
      <c r="A14071" s="571" t="s">
        <v>2218</v>
      </c>
      <c r="B14071" s="572">
        <v>53.276499999999999</v>
      </c>
      <c r="C14071" s="572">
        <v>336.15199999999999</v>
      </c>
    </row>
    <row r="14072" spans="1:3">
      <c r="A14072" s="571" t="s">
        <v>2218</v>
      </c>
      <c r="B14072" s="572">
        <v>55.017299999999999</v>
      </c>
      <c r="C14072" s="572">
        <v>336.202</v>
      </c>
    </row>
    <row r="14073" spans="1:3">
      <c r="A14073" s="571" t="s">
        <v>2218</v>
      </c>
      <c r="B14073" s="572">
        <v>57.531799999999997</v>
      </c>
      <c r="C14073" s="572">
        <v>336.27499999999998</v>
      </c>
    </row>
    <row r="14074" spans="1:3">
      <c r="A14074" s="571" t="s">
        <v>2218</v>
      </c>
      <c r="B14074" s="572">
        <v>59.0792</v>
      </c>
      <c r="C14074" s="572">
        <v>336.32</v>
      </c>
    </row>
    <row r="14075" spans="1:3">
      <c r="A14075" s="571" t="s">
        <v>2218</v>
      </c>
      <c r="B14075" s="572">
        <v>61.401200000000003</v>
      </c>
      <c r="C14075" s="572">
        <v>333.50200000000001</v>
      </c>
    </row>
    <row r="14076" spans="1:3">
      <c r="A14076" s="571" t="s">
        <v>2218</v>
      </c>
      <c r="B14076" s="572">
        <v>62.561700000000002</v>
      </c>
      <c r="C14076" s="572">
        <v>333.53500000000003</v>
      </c>
    </row>
    <row r="14077" spans="1:3">
      <c r="A14077" s="571" t="s">
        <v>2218</v>
      </c>
      <c r="B14077" s="572">
        <v>65.0762</v>
      </c>
      <c r="C14077" s="572">
        <v>333.608</v>
      </c>
    </row>
    <row r="14078" spans="1:3">
      <c r="A14078" s="571" t="s">
        <v>2218</v>
      </c>
      <c r="B14078" s="572">
        <v>67.784999999999997</v>
      </c>
      <c r="C14078" s="572">
        <v>330.80099999999999</v>
      </c>
    </row>
    <row r="14079" spans="1:3">
      <c r="A14079" s="571" t="s">
        <v>2218</v>
      </c>
      <c r="B14079" s="572">
        <v>70.491100000000003</v>
      </c>
      <c r="C14079" s="572">
        <v>336.649</v>
      </c>
    </row>
    <row r="14080" spans="1:3">
      <c r="A14080" s="571" t="s">
        <v>2218</v>
      </c>
      <c r="B14080" s="572">
        <v>72.618700000000004</v>
      </c>
      <c r="C14080" s="572">
        <v>336.71</v>
      </c>
    </row>
    <row r="14081" spans="1:3">
      <c r="A14081" s="571" t="s">
        <v>2218</v>
      </c>
      <c r="B14081" s="572">
        <v>74.938900000000004</v>
      </c>
      <c r="C14081" s="572">
        <v>339.66199999999998</v>
      </c>
    </row>
    <row r="14082" spans="1:3">
      <c r="A14082" s="571" t="s">
        <v>2218</v>
      </c>
      <c r="B14082" s="572">
        <v>77.259</v>
      </c>
      <c r="C14082" s="572">
        <v>342.613</v>
      </c>
    </row>
    <row r="14083" spans="1:3">
      <c r="A14083" s="571" t="s">
        <v>2218</v>
      </c>
      <c r="B14083" s="572">
        <v>78.806399999999996</v>
      </c>
      <c r="C14083" s="572">
        <v>342.65800000000002</v>
      </c>
    </row>
    <row r="14084" spans="1:3">
      <c r="A14084" s="571" t="s">
        <v>2218</v>
      </c>
      <c r="B14084" s="572">
        <v>80.933999999999997</v>
      </c>
      <c r="C14084" s="572">
        <v>342.71899999999999</v>
      </c>
    </row>
    <row r="14085" spans="1:3">
      <c r="A14085" s="571" t="s">
        <v>2218</v>
      </c>
      <c r="B14085" s="572">
        <v>82.868200000000002</v>
      </c>
      <c r="C14085" s="572">
        <v>342.77499999999998</v>
      </c>
    </row>
    <row r="14086" spans="1:3">
      <c r="A14086" s="571" t="s">
        <v>2218</v>
      </c>
      <c r="B14086" s="572">
        <v>84.801500000000004</v>
      </c>
      <c r="C14086" s="572">
        <v>345.71499999999997</v>
      </c>
    </row>
    <row r="14087" spans="1:3">
      <c r="A14087" s="571" t="s">
        <v>2218</v>
      </c>
      <c r="B14087" s="572">
        <v>86.929100000000005</v>
      </c>
      <c r="C14087" s="572">
        <v>345.77699999999999</v>
      </c>
    </row>
    <row r="14088" spans="1:3">
      <c r="A14088" s="571" t="s">
        <v>2218</v>
      </c>
      <c r="B14088" s="572">
        <v>89.249300000000005</v>
      </c>
      <c r="C14088" s="572">
        <v>348.72800000000001</v>
      </c>
    </row>
    <row r="14089" spans="1:3">
      <c r="A14089" s="571" t="s">
        <v>2219</v>
      </c>
      <c r="B14089" s="572">
        <v>0.77275700000000003</v>
      </c>
      <c r="C14089" s="572">
        <v>2.9069099999999999</v>
      </c>
    </row>
    <row r="14090" spans="1:3">
      <c r="A14090" s="571" t="s">
        <v>2219</v>
      </c>
      <c r="B14090" s="572">
        <v>1.5427200000000001</v>
      </c>
      <c r="C14090" s="572">
        <v>14.467599999999999</v>
      </c>
    </row>
    <row r="14091" spans="1:3">
      <c r="A14091" s="571" t="s">
        <v>2219</v>
      </c>
      <c r="B14091" s="572">
        <v>2.1155499999999998</v>
      </c>
      <c r="C14091" s="572">
        <v>37.561</v>
      </c>
    </row>
    <row r="14092" spans="1:3">
      <c r="A14092" s="571" t="s">
        <v>2219</v>
      </c>
      <c r="B14092" s="572">
        <v>2.6874500000000001</v>
      </c>
      <c r="C14092" s="572">
        <v>63.539099999999998</v>
      </c>
    </row>
    <row r="14093" spans="1:3">
      <c r="A14093" s="571" t="s">
        <v>2219</v>
      </c>
      <c r="B14093" s="572">
        <v>3.4537</v>
      </c>
      <c r="C14093" s="572">
        <v>86.638099999999994</v>
      </c>
    </row>
    <row r="14094" spans="1:3">
      <c r="A14094" s="571" t="s">
        <v>2219</v>
      </c>
      <c r="B14094" s="572">
        <v>4.0265199999999997</v>
      </c>
      <c r="C14094" s="572">
        <v>109.732</v>
      </c>
    </row>
    <row r="14095" spans="1:3">
      <c r="A14095" s="571" t="s">
        <v>2219</v>
      </c>
      <c r="B14095" s="572">
        <v>5.3720999999999997</v>
      </c>
      <c r="C14095" s="572">
        <v>135.732</v>
      </c>
    </row>
    <row r="14096" spans="1:3">
      <c r="A14096" s="571" t="s">
        <v>2219</v>
      </c>
      <c r="B14096" s="572">
        <v>6.7195499999999999</v>
      </c>
      <c r="C14096" s="572">
        <v>155.96299999999999</v>
      </c>
    </row>
    <row r="14097" spans="1:3">
      <c r="A14097" s="571" t="s">
        <v>2219</v>
      </c>
      <c r="B14097" s="572">
        <v>8.0669900000000005</v>
      </c>
      <c r="C14097" s="572">
        <v>176.19399999999999</v>
      </c>
    </row>
    <row r="14098" spans="1:3">
      <c r="A14098" s="571" t="s">
        <v>2219</v>
      </c>
      <c r="B14098" s="572">
        <v>9.41629</v>
      </c>
      <c r="C14098" s="572">
        <v>190.65600000000001</v>
      </c>
    </row>
    <row r="14099" spans="1:3">
      <c r="A14099" s="571" t="s">
        <v>2219</v>
      </c>
      <c r="B14099" s="572">
        <v>10.764699999999999</v>
      </c>
      <c r="C14099" s="572">
        <v>208.00299999999999</v>
      </c>
    </row>
    <row r="14100" spans="1:3">
      <c r="A14100" s="571" t="s">
        <v>2219</v>
      </c>
      <c r="B14100" s="572">
        <v>12.6942</v>
      </c>
      <c r="C14100" s="572">
        <v>222.482</v>
      </c>
    </row>
    <row r="14101" spans="1:3">
      <c r="A14101" s="571" t="s">
        <v>2219</v>
      </c>
      <c r="B14101" s="572">
        <v>14.4313</v>
      </c>
      <c r="C14101" s="572">
        <v>234.07</v>
      </c>
    </row>
    <row r="14102" spans="1:3">
      <c r="A14102" s="571" t="s">
        <v>2219</v>
      </c>
      <c r="B14102" s="572">
        <v>16.360900000000001</v>
      </c>
      <c r="C14102" s="572">
        <v>248.54900000000001</v>
      </c>
    </row>
    <row r="14103" spans="1:3">
      <c r="A14103" s="571" t="s">
        <v>2219</v>
      </c>
      <c r="B14103" s="572">
        <v>18.485700000000001</v>
      </c>
      <c r="C14103" s="572">
        <v>257.26400000000001</v>
      </c>
    </row>
    <row r="14104" spans="1:3">
      <c r="A14104" s="571" t="s">
        <v>2219</v>
      </c>
      <c r="B14104" s="572">
        <v>20.417200000000001</v>
      </c>
      <c r="C14104" s="572">
        <v>265.97399999999999</v>
      </c>
    </row>
    <row r="14105" spans="1:3">
      <c r="A14105" s="571" t="s">
        <v>2219</v>
      </c>
      <c r="B14105" s="572">
        <v>22.542899999999999</v>
      </c>
      <c r="C14105" s="572">
        <v>271.80399999999997</v>
      </c>
    </row>
    <row r="14106" spans="1:3">
      <c r="A14106" s="571" t="s">
        <v>2219</v>
      </c>
      <c r="B14106" s="572">
        <v>25.2499</v>
      </c>
      <c r="C14106" s="572">
        <v>274.767</v>
      </c>
    </row>
    <row r="14107" spans="1:3">
      <c r="A14107" s="571" t="s">
        <v>2219</v>
      </c>
      <c r="B14107" s="572">
        <v>27.3766</v>
      </c>
      <c r="C14107" s="572">
        <v>277.71300000000002</v>
      </c>
    </row>
    <row r="14108" spans="1:3">
      <c r="A14108" s="571" t="s">
        <v>2219</v>
      </c>
      <c r="B14108" s="572">
        <v>29.695799999999998</v>
      </c>
      <c r="C14108" s="572">
        <v>283.54899999999998</v>
      </c>
    </row>
    <row r="14109" spans="1:3">
      <c r="A14109" s="571" t="s">
        <v>2219</v>
      </c>
      <c r="B14109" s="572">
        <v>31.6282</v>
      </c>
      <c r="C14109" s="572">
        <v>289.37400000000002</v>
      </c>
    </row>
    <row r="14110" spans="1:3">
      <c r="A14110" s="571" t="s">
        <v>2219</v>
      </c>
      <c r="B14110" s="572">
        <v>34.528599999999997</v>
      </c>
      <c r="C14110" s="572">
        <v>292.34199999999998</v>
      </c>
    </row>
    <row r="14111" spans="1:3">
      <c r="A14111" s="571" t="s">
        <v>2219</v>
      </c>
      <c r="B14111" s="572">
        <v>37.816800000000001</v>
      </c>
      <c r="C14111" s="572">
        <v>292.43700000000001</v>
      </c>
    </row>
    <row r="14112" spans="1:3">
      <c r="A14112" s="571" t="s">
        <v>2219</v>
      </c>
      <c r="B14112" s="572">
        <v>40.524700000000003</v>
      </c>
      <c r="C14112" s="572">
        <v>292.51499999999999</v>
      </c>
    </row>
    <row r="14113" spans="1:3">
      <c r="A14113" s="571" t="s">
        <v>2219</v>
      </c>
      <c r="B14113" s="572">
        <v>42.846600000000002</v>
      </c>
      <c r="C14113" s="572">
        <v>289.697</v>
      </c>
    </row>
    <row r="14114" spans="1:3">
      <c r="A14114" s="571" t="s">
        <v>2219</v>
      </c>
      <c r="B14114" s="572">
        <v>45.167700000000004</v>
      </c>
      <c r="C14114" s="572">
        <v>289.76400000000001</v>
      </c>
    </row>
    <row r="14115" spans="1:3">
      <c r="A14115" s="571" t="s">
        <v>2219</v>
      </c>
      <c r="B14115" s="572">
        <v>47.682200000000002</v>
      </c>
      <c r="C14115" s="572">
        <v>289.83699999999999</v>
      </c>
    </row>
    <row r="14116" spans="1:3">
      <c r="A14116" s="571" t="s">
        <v>2219</v>
      </c>
      <c r="B14116" s="572">
        <v>50.004199999999997</v>
      </c>
      <c r="C14116" s="572">
        <v>287.01900000000001</v>
      </c>
    </row>
    <row r="14117" spans="1:3">
      <c r="A14117" s="571" t="s">
        <v>2219</v>
      </c>
      <c r="B14117" s="572">
        <v>52.3262</v>
      </c>
      <c r="C14117" s="572">
        <v>284.202</v>
      </c>
    </row>
    <row r="14118" spans="1:3">
      <c r="A14118" s="571" t="s">
        <v>2219</v>
      </c>
      <c r="B14118" s="572">
        <v>54.454700000000003</v>
      </c>
      <c r="C14118" s="572">
        <v>281.37900000000002</v>
      </c>
    </row>
    <row r="14119" spans="1:3">
      <c r="A14119" s="571" t="s">
        <v>2219</v>
      </c>
      <c r="B14119" s="572">
        <v>56.1965</v>
      </c>
      <c r="C14119" s="572">
        <v>278.54399999999998</v>
      </c>
    </row>
    <row r="14120" spans="1:3">
      <c r="A14120" s="571" t="s">
        <v>2219</v>
      </c>
      <c r="B14120" s="572">
        <v>58.7119</v>
      </c>
      <c r="C14120" s="572">
        <v>275.73200000000003</v>
      </c>
    </row>
    <row r="14121" spans="1:3">
      <c r="A14121" s="571" t="s">
        <v>2219</v>
      </c>
      <c r="B14121" s="572">
        <v>60.646999999999998</v>
      </c>
      <c r="C14121" s="572">
        <v>272.90300000000002</v>
      </c>
    </row>
    <row r="14122" spans="1:3">
      <c r="A14122" s="571" t="s">
        <v>2219</v>
      </c>
      <c r="B14122" s="572">
        <v>63.161499999999997</v>
      </c>
      <c r="C14122" s="572">
        <v>272.976</v>
      </c>
    </row>
    <row r="14123" spans="1:3">
      <c r="A14123" s="571" t="s">
        <v>2219</v>
      </c>
      <c r="B14123" s="572">
        <v>65.483500000000006</v>
      </c>
      <c r="C14123" s="572">
        <v>270.15800000000002</v>
      </c>
    </row>
    <row r="14124" spans="1:3">
      <c r="A14124" s="571" t="s">
        <v>2219</v>
      </c>
      <c r="B14124" s="572">
        <v>67.226200000000006</v>
      </c>
      <c r="C14124" s="572">
        <v>264.43900000000002</v>
      </c>
    </row>
    <row r="14125" spans="1:3">
      <c r="A14125" s="571" t="s">
        <v>2219</v>
      </c>
      <c r="B14125" s="572">
        <v>69.547200000000004</v>
      </c>
      <c r="C14125" s="572">
        <v>264.50599999999997</v>
      </c>
    </row>
    <row r="14126" spans="1:3">
      <c r="A14126" s="571" t="s">
        <v>2219</v>
      </c>
      <c r="B14126" s="572">
        <v>71.287099999999995</v>
      </c>
      <c r="C14126" s="572">
        <v>267.44099999999997</v>
      </c>
    </row>
    <row r="14127" spans="1:3">
      <c r="A14127" s="571" t="s">
        <v>2219</v>
      </c>
      <c r="B14127" s="572">
        <v>72.836299999999994</v>
      </c>
      <c r="C14127" s="572">
        <v>261.71600000000001</v>
      </c>
    </row>
    <row r="14128" spans="1:3">
      <c r="A14128" s="571" t="s">
        <v>2219</v>
      </c>
      <c r="B14128" s="572">
        <v>75.157399999999996</v>
      </c>
      <c r="C14128" s="572">
        <v>261.78300000000002</v>
      </c>
    </row>
    <row r="14129" spans="1:3">
      <c r="A14129" s="571" t="s">
        <v>2219</v>
      </c>
      <c r="B14129" s="572">
        <v>76.703800000000001</v>
      </c>
      <c r="C14129" s="572">
        <v>264.71300000000002</v>
      </c>
    </row>
    <row r="14130" spans="1:3">
      <c r="A14130" s="571" t="s">
        <v>2219</v>
      </c>
      <c r="B14130" s="572">
        <v>79.218299999999999</v>
      </c>
      <c r="C14130" s="572">
        <v>264.78500000000003</v>
      </c>
    </row>
    <row r="14131" spans="1:3">
      <c r="A14131" s="571" t="s">
        <v>2219</v>
      </c>
      <c r="B14131" s="572">
        <v>80.959999999999994</v>
      </c>
      <c r="C14131" s="572">
        <v>261.95100000000002</v>
      </c>
    </row>
    <row r="14132" spans="1:3">
      <c r="A14132" s="571" t="s">
        <v>2219</v>
      </c>
      <c r="B14132" s="572">
        <v>83.086799999999997</v>
      </c>
      <c r="C14132" s="572">
        <v>264.89699999999999</v>
      </c>
    </row>
    <row r="14133" spans="1:3">
      <c r="A14133" s="571" t="s">
        <v>2219</v>
      </c>
      <c r="B14133" s="572">
        <v>85.021000000000001</v>
      </c>
      <c r="C14133" s="572">
        <v>264.95299999999997</v>
      </c>
    </row>
    <row r="14134" spans="1:3">
      <c r="A14134" s="571" t="s">
        <v>2219</v>
      </c>
      <c r="B14134" s="572">
        <v>86.956100000000006</v>
      </c>
      <c r="C14134" s="572">
        <v>262.12400000000002</v>
      </c>
    </row>
    <row r="14135" spans="1:3">
      <c r="A14135" s="571" t="s">
        <v>2219</v>
      </c>
      <c r="B14135" s="572">
        <v>89.082800000000006</v>
      </c>
      <c r="C14135" s="572">
        <v>265.07</v>
      </c>
    </row>
    <row r="14136" spans="1:3">
      <c r="A14136" s="571" t="s">
        <v>2220</v>
      </c>
      <c r="B14136" s="572">
        <v>0.386847</v>
      </c>
      <c r="C14136" s="572">
        <v>2.8597100000000002</v>
      </c>
    </row>
    <row r="14137" spans="1:3">
      <c r="A14137" s="571" t="s">
        <v>2220</v>
      </c>
      <c r="B14137" s="572">
        <v>0.58027099999999998</v>
      </c>
      <c r="C14137" s="572">
        <v>163.65299999999999</v>
      </c>
    </row>
    <row r="14138" spans="1:3">
      <c r="A14138" s="571" t="s">
        <v>2220</v>
      </c>
      <c r="B14138" s="572">
        <v>0.77369399999999999</v>
      </c>
      <c r="C14138" s="572">
        <v>120.596</v>
      </c>
    </row>
    <row r="14139" spans="1:3">
      <c r="A14139" s="571" t="s">
        <v>2220</v>
      </c>
      <c r="B14139" s="572">
        <v>0.77369399999999999</v>
      </c>
      <c r="C14139" s="572">
        <v>120.596</v>
      </c>
    </row>
    <row r="14140" spans="1:3">
      <c r="A14140" s="571" t="s">
        <v>2220</v>
      </c>
      <c r="B14140" s="572">
        <v>0.96711800000000003</v>
      </c>
      <c r="C14140" s="572">
        <v>221.08</v>
      </c>
    </row>
    <row r="14141" spans="1:3">
      <c r="A14141" s="571" t="s">
        <v>2220</v>
      </c>
      <c r="B14141" s="572">
        <v>1.1605399999999999</v>
      </c>
      <c r="C14141" s="572">
        <v>241.18199999999999</v>
      </c>
    </row>
    <row r="14142" spans="1:3">
      <c r="A14142" s="571" t="s">
        <v>2220</v>
      </c>
      <c r="B14142" s="572">
        <v>1.74081</v>
      </c>
      <c r="C14142" s="572">
        <v>264.16500000000002</v>
      </c>
    </row>
    <row r="14143" spans="1:3">
      <c r="A14143" s="571" t="s">
        <v>2220</v>
      </c>
      <c r="B14143" s="572">
        <v>2.3210799999999998</v>
      </c>
      <c r="C14143" s="572">
        <v>281.40600000000001</v>
      </c>
    </row>
    <row r="14144" spans="1:3">
      <c r="A14144" s="571" t="s">
        <v>2220</v>
      </c>
      <c r="B14144" s="572">
        <v>2.9013499999999999</v>
      </c>
      <c r="C14144" s="572">
        <v>298.64800000000002</v>
      </c>
    </row>
    <row r="14145" spans="1:3">
      <c r="A14145" s="571" t="s">
        <v>2220</v>
      </c>
      <c r="B14145" s="572">
        <v>3.8684699999999999</v>
      </c>
      <c r="C14145" s="572">
        <v>324.51299999999998</v>
      </c>
    </row>
    <row r="14146" spans="1:3">
      <c r="A14146" s="571" t="s">
        <v>2220</v>
      </c>
      <c r="B14146" s="572">
        <v>5.0290100000000004</v>
      </c>
      <c r="C14146" s="572">
        <v>347.51299999999998</v>
      </c>
    </row>
    <row r="14147" spans="1:3">
      <c r="A14147" s="571" t="s">
        <v>2220</v>
      </c>
      <c r="B14147" s="572">
        <v>6.1895600000000002</v>
      </c>
      <c r="C14147" s="572">
        <v>367.642</v>
      </c>
    </row>
    <row r="14148" spans="1:3">
      <c r="A14148" s="571" t="s">
        <v>2220</v>
      </c>
      <c r="B14148" s="572">
        <v>7.54352</v>
      </c>
      <c r="C14148" s="572">
        <v>387.77600000000001</v>
      </c>
    </row>
    <row r="14149" spans="1:3">
      <c r="A14149" s="571" t="s">
        <v>2220</v>
      </c>
      <c r="B14149" s="572">
        <v>8.8974899999999995</v>
      </c>
      <c r="C14149" s="572">
        <v>410.78199999999998</v>
      </c>
    </row>
    <row r="14150" spans="1:3">
      <c r="A14150" s="571" t="s">
        <v>2220</v>
      </c>
      <c r="B14150" s="572">
        <v>10.444900000000001</v>
      </c>
      <c r="C14150" s="572">
        <v>428.05099999999999</v>
      </c>
    </row>
    <row r="14151" spans="1:3">
      <c r="A14151" s="571" t="s">
        <v>2220</v>
      </c>
      <c r="B14151" s="572">
        <v>11.9923</v>
      </c>
      <c r="C14151" s="572">
        <v>442.45</v>
      </c>
    </row>
    <row r="14152" spans="1:3">
      <c r="A14152" s="571" t="s">
        <v>2220</v>
      </c>
      <c r="B14152" s="572">
        <v>13.7331</v>
      </c>
      <c r="C14152" s="572">
        <v>453.983</v>
      </c>
    </row>
    <row r="14153" spans="1:3">
      <c r="A14153" s="571" t="s">
        <v>2220</v>
      </c>
      <c r="B14153" s="572">
        <v>15.4739</v>
      </c>
      <c r="C14153" s="572">
        <v>465.51600000000002</v>
      </c>
    </row>
    <row r="14154" spans="1:3">
      <c r="A14154" s="571" t="s">
        <v>2220</v>
      </c>
      <c r="B14154" s="572">
        <v>17.214700000000001</v>
      </c>
      <c r="C14154" s="572">
        <v>477.04899999999998</v>
      </c>
    </row>
    <row r="14155" spans="1:3">
      <c r="A14155" s="571" t="s">
        <v>2220</v>
      </c>
      <c r="B14155" s="572">
        <v>19.148900000000001</v>
      </c>
      <c r="C14155" s="572">
        <v>485.71699999999998</v>
      </c>
    </row>
    <row r="14156" spans="1:3">
      <c r="A14156" s="571" t="s">
        <v>2220</v>
      </c>
      <c r="B14156" s="572">
        <v>20.889700000000001</v>
      </c>
      <c r="C14156" s="572">
        <v>494.38</v>
      </c>
    </row>
    <row r="14157" spans="1:3">
      <c r="A14157" s="571" t="s">
        <v>2220</v>
      </c>
      <c r="B14157" s="572">
        <v>22.824000000000002</v>
      </c>
      <c r="C14157" s="572">
        <v>500.17700000000002</v>
      </c>
    </row>
    <row r="14158" spans="1:3">
      <c r="A14158" s="571" t="s">
        <v>2220</v>
      </c>
      <c r="B14158" s="572">
        <v>24.564800000000002</v>
      </c>
      <c r="C14158" s="572">
        <v>505.96800000000002</v>
      </c>
    </row>
    <row r="14159" spans="1:3">
      <c r="A14159" s="571" t="s">
        <v>2220</v>
      </c>
      <c r="B14159" s="572">
        <v>26.498999999999999</v>
      </c>
      <c r="C14159" s="572">
        <v>508.89499999999998</v>
      </c>
    </row>
    <row r="14160" spans="1:3">
      <c r="A14160" s="571" t="s">
        <v>2220</v>
      </c>
      <c r="B14160" s="572">
        <v>28.433299999999999</v>
      </c>
      <c r="C14160" s="572">
        <v>514.69200000000001</v>
      </c>
    </row>
    <row r="14161" spans="1:3">
      <c r="A14161" s="571" t="s">
        <v>2220</v>
      </c>
      <c r="B14161" s="572">
        <v>30.174099999999999</v>
      </c>
      <c r="C14161" s="572">
        <v>517.61300000000006</v>
      </c>
    </row>
    <row r="14162" spans="1:3">
      <c r="A14162" s="571" t="s">
        <v>2220</v>
      </c>
      <c r="B14162" s="572">
        <v>32.1083</v>
      </c>
      <c r="C14162" s="572">
        <v>523.41</v>
      </c>
    </row>
    <row r="14163" spans="1:3">
      <c r="A14163" s="571" t="s">
        <v>2220</v>
      </c>
      <c r="B14163" s="572">
        <v>34.0426</v>
      </c>
      <c r="C14163" s="572">
        <v>526.33600000000001</v>
      </c>
    </row>
    <row r="14164" spans="1:3">
      <c r="A14164" s="571" t="s">
        <v>2220</v>
      </c>
      <c r="B14164" s="572">
        <v>35.7834</v>
      </c>
      <c r="C14164" s="572">
        <v>529.25699999999995</v>
      </c>
    </row>
    <row r="14165" spans="1:3">
      <c r="A14165" s="571" t="s">
        <v>2220</v>
      </c>
      <c r="B14165" s="572">
        <v>37.717599999999997</v>
      </c>
      <c r="C14165" s="572">
        <v>532.18299999999999</v>
      </c>
    </row>
    <row r="14166" spans="1:3">
      <c r="A14166" s="571" t="s">
        <v>2220</v>
      </c>
      <c r="B14166" s="572">
        <v>39.651800000000001</v>
      </c>
      <c r="C14166" s="572">
        <v>532.23900000000003</v>
      </c>
    </row>
    <row r="14167" spans="1:3">
      <c r="A14167" s="571" t="s">
        <v>2220</v>
      </c>
      <c r="B14167" s="572">
        <v>41.586100000000002</v>
      </c>
      <c r="C14167" s="572">
        <v>535.16499999999996</v>
      </c>
    </row>
    <row r="14168" spans="1:3">
      <c r="A14168" s="571" t="s">
        <v>2220</v>
      </c>
      <c r="B14168" s="572">
        <v>43.520299999999999</v>
      </c>
      <c r="C14168" s="572">
        <v>538.09100000000001</v>
      </c>
    </row>
    <row r="14169" spans="1:3">
      <c r="A14169" s="571" t="s">
        <v>2220</v>
      </c>
      <c r="B14169" s="572">
        <v>45.454500000000003</v>
      </c>
      <c r="C14169" s="572">
        <v>541.01800000000003</v>
      </c>
    </row>
    <row r="14170" spans="1:3">
      <c r="A14170" s="571" t="s">
        <v>2220</v>
      </c>
      <c r="B14170" s="572">
        <v>47.195399999999999</v>
      </c>
      <c r="C14170" s="572">
        <v>543.93899999999996</v>
      </c>
    </row>
    <row r="14171" spans="1:3">
      <c r="A14171" s="571" t="s">
        <v>2220</v>
      </c>
      <c r="B14171" s="572">
        <v>49.129600000000003</v>
      </c>
      <c r="C14171" s="572">
        <v>543.99400000000003</v>
      </c>
    </row>
    <row r="14172" spans="1:3">
      <c r="A14172" s="571" t="s">
        <v>2220</v>
      </c>
      <c r="B14172" s="572">
        <v>51.063800000000001</v>
      </c>
      <c r="C14172" s="572">
        <v>546.91999999999996</v>
      </c>
    </row>
    <row r="14173" spans="1:3">
      <c r="A14173" s="571" t="s">
        <v>2220</v>
      </c>
      <c r="B14173" s="572">
        <v>52.998100000000001</v>
      </c>
      <c r="C14173" s="572">
        <v>546.976</v>
      </c>
    </row>
    <row r="14174" spans="1:3">
      <c r="A14174" s="571" t="s">
        <v>2220</v>
      </c>
      <c r="B14174" s="572">
        <v>54.738900000000001</v>
      </c>
      <c r="C14174" s="572">
        <v>544.15499999999997</v>
      </c>
    </row>
    <row r="14175" spans="1:3">
      <c r="A14175" s="571" t="s">
        <v>2220</v>
      </c>
      <c r="B14175" s="572">
        <v>56.673099999999998</v>
      </c>
      <c r="C14175" s="572">
        <v>544.21100000000001</v>
      </c>
    </row>
    <row r="14176" spans="1:3">
      <c r="A14176" s="571" t="s">
        <v>2220</v>
      </c>
      <c r="B14176" s="572">
        <v>58.607399999999998</v>
      </c>
      <c r="C14176" s="572">
        <v>544.26599999999996</v>
      </c>
    </row>
    <row r="14177" spans="1:3">
      <c r="A14177" s="571" t="s">
        <v>2220</v>
      </c>
      <c r="B14177" s="572">
        <v>60.541600000000003</v>
      </c>
      <c r="C14177" s="572">
        <v>541.45100000000002</v>
      </c>
    </row>
    <row r="14178" spans="1:3">
      <c r="A14178" s="571" t="s">
        <v>2220</v>
      </c>
      <c r="B14178" s="572">
        <v>62.669199999999996</v>
      </c>
      <c r="C14178" s="572">
        <v>544.38300000000004</v>
      </c>
    </row>
    <row r="14179" spans="1:3">
      <c r="A14179" s="571" t="s">
        <v>2220</v>
      </c>
      <c r="B14179" s="572">
        <v>64.603499999999997</v>
      </c>
      <c r="C14179" s="572">
        <v>544.43799999999999</v>
      </c>
    </row>
    <row r="14180" spans="1:3">
      <c r="A14180" s="571" t="s">
        <v>2220</v>
      </c>
      <c r="B14180" s="572">
        <v>66.537700000000001</v>
      </c>
      <c r="C14180" s="572">
        <v>544.49400000000003</v>
      </c>
    </row>
    <row r="14181" spans="1:3">
      <c r="A14181" s="571" t="s">
        <v>2220</v>
      </c>
      <c r="B14181" s="572">
        <v>68.085099999999997</v>
      </c>
      <c r="C14181" s="572">
        <v>544.53800000000001</v>
      </c>
    </row>
    <row r="14182" spans="1:3">
      <c r="A14182" s="571" t="s">
        <v>2220</v>
      </c>
      <c r="B14182" s="572">
        <v>70.019300000000001</v>
      </c>
      <c r="C14182" s="572">
        <v>547.46500000000003</v>
      </c>
    </row>
    <row r="14183" spans="1:3">
      <c r="A14183" s="571" t="s">
        <v>2220</v>
      </c>
      <c r="B14183" s="572">
        <v>72.340400000000002</v>
      </c>
      <c r="C14183" s="572">
        <v>547.53099999999995</v>
      </c>
    </row>
    <row r="14184" spans="1:3">
      <c r="A14184" s="571" t="s">
        <v>2220</v>
      </c>
      <c r="B14184" s="572">
        <v>75.048400000000001</v>
      </c>
      <c r="C14184" s="572">
        <v>544.73800000000006</v>
      </c>
    </row>
    <row r="14185" spans="1:3">
      <c r="A14185" s="571" t="s">
        <v>2220</v>
      </c>
      <c r="B14185" s="572">
        <v>75.822100000000006</v>
      </c>
      <c r="C14185" s="572">
        <v>550.50199999999995</v>
      </c>
    </row>
    <row r="14186" spans="1:3">
      <c r="A14186" s="571" t="s">
        <v>2220</v>
      </c>
      <c r="B14186" s="572">
        <v>77.756299999999996</v>
      </c>
      <c r="C14186" s="572">
        <v>553.428</v>
      </c>
    </row>
    <row r="14187" spans="1:3">
      <c r="A14187" s="571" t="s">
        <v>2220</v>
      </c>
      <c r="B14187" s="572">
        <v>79.883899999999997</v>
      </c>
      <c r="C14187" s="572">
        <v>553.48900000000003</v>
      </c>
    </row>
    <row r="14188" spans="1:3">
      <c r="A14188" s="571" t="s">
        <v>2220</v>
      </c>
      <c r="B14188" s="572">
        <v>81.818200000000004</v>
      </c>
      <c r="C14188" s="572">
        <v>553.54499999999996</v>
      </c>
    </row>
    <row r="14189" spans="1:3">
      <c r="A14189" s="571" t="s">
        <v>2220</v>
      </c>
      <c r="B14189" s="572">
        <v>84.139300000000006</v>
      </c>
      <c r="C14189" s="572">
        <v>556.48199999999997</v>
      </c>
    </row>
    <row r="14190" spans="1:3">
      <c r="A14190" s="571" t="s">
        <v>2220</v>
      </c>
      <c r="B14190" s="572">
        <v>85.880099999999999</v>
      </c>
      <c r="C14190" s="572">
        <v>556.53200000000004</v>
      </c>
    </row>
    <row r="14191" spans="1:3">
      <c r="A14191" s="571" t="s">
        <v>2220</v>
      </c>
      <c r="B14191" s="572">
        <v>88.0077</v>
      </c>
      <c r="C14191" s="572">
        <v>556.59400000000005</v>
      </c>
    </row>
    <row r="14192" spans="1:3">
      <c r="A14192" s="571" t="s">
        <v>2220</v>
      </c>
      <c r="B14192" s="572">
        <v>90.135400000000004</v>
      </c>
      <c r="C14192" s="572">
        <v>556.65499999999997</v>
      </c>
    </row>
    <row r="14193" spans="1:3">
      <c r="A14193" s="571" t="s">
        <v>2221</v>
      </c>
      <c r="B14193" s="572">
        <v>2.7079300000000002</v>
      </c>
      <c r="C14193" s="572">
        <v>5.7761699999999996</v>
      </c>
    </row>
    <row r="14194" spans="1:3">
      <c r="A14194" s="571" t="s">
        <v>2221</v>
      </c>
      <c r="B14194" s="572">
        <v>3.8684699999999999</v>
      </c>
      <c r="C14194" s="572">
        <v>17.328499999999998</v>
      </c>
    </row>
    <row r="14195" spans="1:3">
      <c r="A14195" s="571" t="s">
        <v>2221</v>
      </c>
      <c r="B14195" s="572">
        <v>5.2224399999999997</v>
      </c>
      <c r="C14195" s="572">
        <v>40.433199999999999</v>
      </c>
    </row>
    <row r="14196" spans="1:3">
      <c r="A14196" s="571" t="s">
        <v>2221</v>
      </c>
      <c r="B14196" s="572">
        <v>6.9632500000000004</v>
      </c>
      <c r="C14196" s="572">
        <v>66.426000000000002</v>
      </c>
    </row>
    <row r="14197" spans="1:3">
      <c r="A14197" s="571" t="s">
        <v>2221</v>
      </c>
      <c r="B14197" s="572">
        <v>8.3172099999999993</v>
      </c>
      <c r="C14197" s="572">
        <v>92.418800000000005</v>
      </c>
    </row>
    <row r="14198" spans="1:3">
      <c r="A14198" s="571" t="s">
        <v>2221</v>
      </c>
      <c r="B14198" s="572">
        <v>10.638299999999999</v>
      </c>
      <c r="C14198" s="572">
        <v>112.63500000000001</v>
      </c>
    </row>
    <row r="14199" spans="1:3">
      <c r="A14199" s="571" t="s">
        <v>2221</v>
      </c>
      <c r="B14199" s="572">
        <v>12.766</v>
      </c>
      <c r="C14199" s="572">
        <v>129.964</v>
      </c>
    </row>
    <row r="14200" spans="1:3">
      <c r="A14200" s="571" t="s">
        <v>2221</v>
      </c>
      <c r="B14200" s="572">
        <v>15.087</v>
      </c>
      <c r="C14200" s="572">
        <v>147.292</v>
      </c>
    </row>
    <row r="14201" spans="1:3">
      <c r="A14201" s="571" t="s">
        <v>2221</v>
      </c>
      <c r="B14201" s="572">
        <v>17.601500000000001</v>
      </c>
      <c r="C14201" s="572">
        <v>161.733</v>
      </c>
    </row>
    <row r="14202" spans="1:3">
      <c r="A14202" s="571" t="s">
        <v>2221</v>
      </c>
      <c r="B14202" s="572">
        <v>19.729199999999999</v>
      </c>
      <c r="C14202" s="572">
        <v>173.285</v>
      </c>
    </row>
    <row r="14203" spans="1:3">
      <c r="A14203" s="571" t="s">
        <v>2221</v>
      </c>
      <c r="B14203" s="572">
        <v>22.2437</v>
      </c>
      <c r="C14203" s="572">
        <v>181.94900000000001</v>
      </c>
    </row>
    <row r="14204" spans="1:3">
      <c r="A14204" s="571" t="s">
        <v>2221</v>
      </c>
      <c r="B14204" s="572">
        <v>24.758199999999999</v>
      </c>
      <c r="C14204" s="572">
        <v>187.726</v>
      </c>
    </row>
    <row r="14205" spans="1:3">
      <c r="A14205" s="571" t="s">
        <v>2221</v>
      </c>
      <c r="B14205" s="572">
        <v>27.466200000000001</v>
      </c>
      <c r="C14205" s="572">
        <v>190.614</v>
      </c>
    </row>
    <row r="14206" spans="1:3">
      <c r="A14206" s="571" t="s">
        <v>2221</v>
      </c>
      <c r="B14206" s="572">
        <v>30.3675</v>
      </c>
      <c r="C14206" s="572">
        <v>196.39</v>
      </c>
    </row>
    <row r="14207" spans="1:3">
      <c r="A14207" s="571" t="s">
        <v>2221</v>
      </c>
      <c r="B14207" s="572">
        <v>33.075400000000002</v>
      </c>
      <c r="C14207" s="572">
        <v>202.166</v>
      </c>
    </row>
    <row r="14208" spans="1:3">
      <c r="A14208" s="571" t="s">
        <v>2221</v>
      </c>
      <c r="B14208" s="572">
        <v>35.396500000000003</v>
      </c>
      <c r="C14208" s="572">
        <v>205.054</v>
      </c>
    </row>
    <row r="14209" spans="1:3">
      <c r="A14209" s="571" t="s">
        <v>2221</v>
      </c>
      <c r="B14209" s="572">
        <v>37.717599999999997</v>
      </c>
      <c r="C14209" s="572">
        <v>210.83</v>
      </c>
    </row>
    <row r="14210" spans="1:3">
      <c r="A14210" s="571" t="s">
        <v>2221</v>
      </c>
      <c r="B14210" s="572">
        <v>40.232100000000003</v>
      </c>
      <c r="C14210" s="572">
        <v>213.71799999999999</v>
      </c>
    </row>
    <row r="14211" spans="1:3">
      <c r="A14211" s="571" t="s">
        <v>2221</v>
      </c>
      <c r="B14211" s="572">
        <v>42.553199999999997</v>
      </c>
      <c r="C14211" s="572">
        <v>216.60599999999999</v>
      </c>
    </row>
    <row r="14212" spans="1:3">
      <c r="A14212" s="571" t="s">
        <v>2221</v>
      </c>
      <c r="B14212" s="572">
        <v>45.648000000000003</v>
      </c>
      <c r="C14212" s="572">
        <v>222.38300000000001</v>
      </c>
    </row>
    <row r="14213" spans="1:3">
      <c r="A14213" s="571" t="s">
        <v>2221</v>
      </c>
      <c r="B14213" s="572">
        <v>48.355899999999998</v>
      </c>
      <c r="C14213" s="572">
        <v>225.27099999999999</v>
      </c>
    </row>
    <row r="14214" spans="1:3">
      <c r="A14214" s="571" t="s">
        <v>2221</v>
      </c>
      <c r="B14214" s="572">
        <v>50.870399999999997</v>
      </c>
      <c r="C14214" s="572">
        <v>222.38300000000001</v>
      </c>
    </row>
    <row r="14215" spans="1:3">
      <c r="A14215" s="571" t="s">
        <v>2221</v>
      </c>
      <c r="B14215" s="572">
        <v>53.578299999999999</v>
      </c>
      <c r="C14215" s="572">
        <v>222.38300000000001</v>
      </c>
    </row>
    <row r="14216" spans="1:3">
      <c r="A14216" s="571" t="s">
        <v>2221</v>
      </c>
      <c r="B14216" s="572">
        <v>55.706000000000003</v>
      </c>
      <c r="C14216" s="572">
        <v>222.38300000000001</v>
      </c>
    </row>
    <row r="14217" spans="1:3">
      <c r="A14217" s="571" t="s">
        <v>2221</v>
      </c>
      <c r="B14217" s="572">
        <v>58.607399999999998</v>
      </c>
      <c r="C14217" s="572">
        <v>222.38300000000001</v>
      </c>
    </row>
    <row r="14218" spans="1:3">
      <c r="A14218" s="571" t="s">
        <v>2221</v>
      </c>
      <c r="B14218" s="572">
        <v>60.541600000000003</v>
      </c>
      <c r="C14218" s="572">
        <v>222.38300000000001</v>
      </c>
    </row>
    <row r="14219" spans="1:3">
      <c r="A14219" s="571" t="s">
        <v>2221</v>
      </c>
      <c r="B14219" s="572">
        <v>62.669199999999996</v>
      </c>
      <c r="C14219" s="572">
        <v>222.38300000000001</v>
      </c>
    </row>
    <row r="14220" spans="1:3">
      <c r="A14220" s="571" t="s">
        <v>2221</v>
      </c>
      <c r="B14220" s="572">
        <v>64.796899999999994</v>
      </c>
      <c r="C14220" s="572">
        <v>222.38300000000001</v>
      </c>
    </row>
    <row r="14221" spans="1:3">
      <c r="A14221" s="571" t="s">
        <v>2221</v>
      </c>
      <c r="B14221" s="572">
        <v>67.311400000000006</v>
      </c>
      <c r="C14221" s="572">
        <v>222.38300000000001</v>
      </c>
    </row>
    <row r="14222" spans="1:3">
      <c r="A14222" s="571" t="s">
        <v>2221</v>
      </c>
      <c r="B14222" s="572">
        <v>69.439099999999996</v>
      </c>
      <c r="C14222" s="572">
        <v>222.38300000000001</v>
      </c>
    </row>
    <row r="14223" spans="1:3">
      <c r="A14223" s="571" t="s">
        <v>2221</v>
      </c>
      <c r="B14223" s="572">
        <v>71.3733</v>
      </c>
      <c r="C14223" s="572">
        <v>222.38300000000001</v>
      </c>
    </row>
    <row r="14224" spans="1:3">
      <c r="A14224" s="571" t="s">
        <v>2221</v>
      </c>
      <c r="B14224" s="572">
        <v>73.114099999999993</v>
      </c>
      <c r="C14224" s="572">
        <v>222.38300000000001</v>
      </c>
    </row>
    <row r="14225" spans="1:3">
      <c r="A14225" s="571" t="s">
        <v>2221</v>
      </c>
      <c r="B14225" s="572">
        <v>75.241799999999998</v>
      </c>
      <c r="C14225" s="572">
        <v>222.38300000000001</v>
      </c>
    </row>
    <row r="14226" spans="1:3">
      <c r="A14226" s="571" t="s">
        <v>2221</v>
      </c>
      <c r="B14226" s="572">
        <v>77.369399999999999</v>
      </c>
      <c r="C14226" s="572">
        <v>219.495</v>
      </c>
    </row>
    <row r="14227" spans="1:3">
      <c r="A14227" s="571" t="s">
        <v>2221</v>
      </c>
      <c r="B14227" s="572">
        <v>79.303700000000006</v>
      </c>
      <c r="C14227" s="572">
        <v>222.38300000000001</v>
      </c>
    </row>
    <row r="14228" spans="1:3">
      <c r="A14228" s="571" t="s">
        <v>2221</v>
      </c>
      <c r="B14228" s="572">
        <v>81.044499999999999</v>
      </c>
      <c r="C14228" s="572">
        <v>225.27099999999999</v>
      </c>
    </row>
    <row r="14229" spans="1:3">
      <c r="A14229" s="571" t="s">
        <v>2221</v>
      </c>
      <c r="B14229" s="572">
        <v>83.1721</v>
      </c>
      <c r="C14229" s="572">
        <v>225.27099999999999</v>
      </c>
    </row>
    <row r="14230" spans="1:3">
      <c r="A14230" s="571" t="s">
        <v>2221</v>
      </c>
      <c r="B14230" s="572">
        <v>85.106399999999994</v>
      </c>
      <c r="C14230" s="572">
        <v>225.27099999999999</v>
      </c>
    </row>
    <row r="14231" spans="1:3">
      <c r="A14231" s="571" t="s">
        <v>2221</v>
      </c>
      <c r="B14231" s="572">
        <v>87.233999999999995</v>
      </c>
      <c r="C14231" s="572">
        <v>228.15899999999999</v>
      </c>
    </row>
    <row r="14232" spans="1:3">
      <c r="A14232" s="571" t="s">
        <v>2221</v>
      </c>
      <c r="B14232" s="572">
        <v>89.168300000000002</v>
      </c>
      <c r="C14232" s="572">
        <v>233.935</v>
      </c>
    </row>
    <row r="14233" spans="1:3">
      <c r="A14233" s="571" t="s">
        <v>2222</v>
      </c>
      <c r="B14233" s="572">
        <v>2.7079300000000002</v>
      </c>
      <c r="C14233" s="572">
        <v>5.7416299999999998</v>
      </c>
    </row>
    <row r="14234" spans="1:3">
      <c r="A14234" s="571" t="s">
        <v>2222</v>
      </c>
      <c r="B14234" s="572">
        <v>3.4816199999999999</v>
      </c>
      <c r="C14234" s="572">
        <v>17.224900000000002</v>
      </c>
    </row>
    <row r="14235" spans="1:3">
      <c r="A14235" s="571" t="s">
        <v>2222</v>
      </c>
      <c r="B14235" s="572">
        <v>4.8355899999999998</v>
      </c>
      <c r="C14235" s="572">
        <v>40.191400000000002</v>
      </c>
    </row>
    <row r="14236" spans="1:3">
      <c r="A14236" s="571" t="s">
        <v>2222</v>
      </c>
      <c r="B14236" s="572">
        <v>5.99613</v>
      </c>
      <c r="C14236" s="572">
        <v>63.157899999999998</v>
      </c>
    </row>
    <row r="14237" spans="1:3">
      <c r="A14237" s="571" t="s">
        <v>2222</v>
      </c>
      <c r="B14237" s="572">
        <v>6.9632500000000004</v>
      </c>
      <c r="C14237" s="572">
        <v>80.382800000000003</v>
      </c>
    </row>
    <row r="14238" spans="1:3">
      <c r="A14238" s="571" t="s">
        <v>2222</v>
      </c>
      <c r="B14238" s="572">
        <v>8.5106400000000004</v>
      </c>
      <c r="C14238" s="572">
        <v>103.349</v>
      </c>
    </row>
    <row r="14239" spans="1:3">
      <c r="A14239" s="571" t="s">
        <v>2222</v>
      </c>
      <c r="B14239" s="572">
        <v>9.6711799999999997</v>
      </c>
      <c r="C14239" s="572">
        <v>120.574</v>
      </c>
    </row>
    <row r="14240" spans="1:3">
      <c r="A14240" s="571" t="s">
        <v>2222</v>
      </c>
      <c r="B14240" s="572">
        <v>11.2186</v>
      </c>
      <c r="C14240" s="572">
        <v>134.928</v>
      </c>
    </row>
    <row r="14241" spans="1:3">
      <c r="A14241" s="571" t="s">
        <v>2222</v>
      </c>
      <c r="B14241" s="572">
        <v>12.5725</v>
      </c>
      <c r="C14241" s="572">
        <v>149.28200000000001</v>
      </c>
    </row>
    <row r="14242" spans="1:3">
      <c r="A14242" s="571" t="s">
        <v>2222</v>
      </c>
      <c r="B14242" s="572">
        <v>14.5068</v>
      </c>
      <c r="C14242" s="572">
        <v>163.636</v>
      </c>
    </row>
    <row r="14243" spans="1:3">
      <c r="A14243" s="571" t="s">
        <v>2222</v>
      </c>
      <c r="B14243" s="572">
        <v>17.214700000000001</v>
      </c>
      <c r="C14243" s="572">
        <v>177.99</v>
      </c>
    </row>
    <row r="14244" spans="1:3">
      <c r="A14244" s="571" t="s">
        <v>2222</v>
      </c>
      <c r="B14244" s="572">
        <v>19.729199999999999</v>
      </c>
      <c r="C14244" s="572">
        <v>183.732</v>
      </c>
    </row>
    <row r="14245" spans="1:3">
      <c r="A14245" s="571" t="s">
        <v>2222</v>
      </c>
      <c r="B14245" s="572">
        <v>22.630600000000001</v>
      </c>
      <c r="C14245" s="572">
        <v>192.34399999999999</v>
      </c>
    </row>
    <row r="14246" spans="1:3">
      <c r="A14246" s="571" t="s">
        <v>2222</v>
      </c>
      <c r="B14246" s="572">
        <v>25.3385</v>
      </c>
      <c r="C14246" s="572">
        <v>195.215</v>
      </c>
    </row>
    <row r="14247" spans="1:3">
      <c r="A14247" s="571" t="s">
        <v>2222</v>
      </c>
      <c r="B14247" s="572">
        <v>27.659600000000001</v>
      </c>
      <c r="C14247" s="572">
        <v>200.95699999999999</v>
      </c>
    </row>
    <row r="14248" spans="1:3">
      <c r="A14248" s="571" t="s">
        <v>2222</v>
      </c>
      <c r="B14248" s="572">
        <v>29.980699999999999</v>
      </c>
      <c r="C14248" s="572">
        <v>200.95699999999999</v>
      </c>
    </row>
    <row r="14249" spans="1:3">
      <c r="A14249" s="571" t="s">
        <v>2222</v>
      </c>
      <c r="B14249" s="572">
        <v>32.688600000000001</v>
      </c>
      <c r="C14249" s="572">
        <v>206.69900000000001</v>
      </c>
    </row>
    <row r="14250" spans="1:3">
      <c r="A14250" s="571" t="s">
        <v>2222</v>
      </c>
      <c r="B14250" s="572">
        <v>36.363599999999998</v>
      </c>
      <c r="C14250" s="572">
        <v>206.69900000000001</v>
      </c>
    </row>
    <row r="14251" spans="1:3">
      <c r="A14251" s="571" t="s">
        <v>2222</v>
      </c>
      <c r="B14251" s="572">
        <v>38.684699999999999</v>
      </c>
      <c r="C14251" s="572">
        <v>203.828</v>
      </c>
    </row>
    <row r="14252" spans="1:3">
      <c r="A14252" s="571" t="s">
        <v>2222</v>
      </c>
      <c r="B14252" s="572">
        <v>41.779499999999999</v>
      </c>
      <c r="C14252" s="572">
        <v>203.828</v>
      </c>
    </row>
    <row r="14253" spans="1:3">
      <c r="A14253" s="571" t="s">
        <v>2222</v>
      </c>
      <c r="B14253" s="572">
        <v>43.907200000000003</v>
      </c>
      <c r="C14253" s="572">
        <v>203.828</v>
      </c>
    </row>
    <row r="14254" spans="1:3">
      <c r="A14254" s="571" t="s">
        <v>2222</v>
      </c>
      <c r="B14254" s="572">
        <v>46.615099999999998</v>
      </c>
      <c r="C14254" s="572">
        <v>200.95699999999999</v>
      </c>
    </row>
    <row r="14255" spans="1:3">
      <c r="A14255" s="571" t="s">
        <v>2222</v>
      </c>
      <c r="B14255" s="572">
        <v>49.709899999999998</v>
      </c>
      <c r="C14255" s="572">
        <v>203.828</v>
      </c>
    </row>
    <row r="14256" spans="1:3">
      <c r="A14256" s="571" t="s">
        <v>2222</v>
      </c>
      <c r="B14256" s="572">
        <v>52.030900000000003</v>
      </c>
      <c r="C14256" s="572">
        <v>200.95699999999999</v>
      </c>
    </row>
    <row r="14257" spans="1:3">
      <c r="A14257" s="571" t="s">
        <v>2222</v>
      </c>
      <c r="B14257" s="572">
        <v>54.545499999999997</v>
      </c>
      <c r="C14257" s="572">
        <v>195.215</v>
      </c>
    </row>
    <row r="14258" spans="1:3">
      <c r="A14258" s="571" t="s">
        <v>2222</v>
      </c>
      <c r="B14258" s="572">
        <v>56.286299999999997</v>
      </c>
      <c r="C14258" s="572">
        <v>195.215</v>
      </c>
    </row>
    <row r="14259" spans="1:3">
      <c r="A14259" s="571" t="s">
        <v>2222</v>
      </c>
      <c r="B14259" s="572">
        <v>58.220500000000001</v>
      </c>
      <c r="C14259" s="572">
        <v>189.47399999999999</v>
      </c>
    </row>
    <row r="14260" spans="1:3">
      <c r="A14260" s="571" t="s">
        <v>2222</v>
      </c>
      <c r="B14260" s="572">
        <v>61.121899999999997</v>
      </c>
      <c r="C14260" s="572">
        <v>186.60300000000001</v>
      </c>
    </row>
    <row r="14261" spans="1:3">
      <c r="A14261" s="571" t="s">
        <v>2222</v>
      </c>
      <c r="B14261" s="572">
        <v>63.442900000000002</v>
      </c>
      <c r="C14261" s="572">
        <v>189.47399999999999</v>
      </c>
    </row>
    <row r="14262" spans="1:3">
      <c r="A14262" s="571" t="s">
        <v>2222</v>
      </c>
      <c r="B14262" s="572">
        <v>66.150899999999993</v>
      </c>
      <c r="C14262" s="572">
        <v>189.47399999999999</v>
      </c>
    </row>
    <row r="14263" spans="1:3">
      <c r="A14263" s="571" t="s">
        <v>2222</v>
      </c>
      <c r="B14263" s="572">
        <v>68.858800000000002</v>
      </c>
      <c r="C14263" s="572">
        <v>189.47399999999999</v>
      </c>
    </row>
    <row r="14264" spans="1:3">
      <c r="A14264" s="571" t="s">
        <v>2222</v>
      </c>
      <c r="B14264" s="572">
        <v>71.566699999999997</v>
      </c>
      <c r="C14264" s="572">
        <v>186.60300000000001</v>
      </c>
    </row>
    <row r="14265" spans="1:3">
      <c r="A14265" s="571" t="s">
        <v>2222</v>
      </c>
      <c r="B14265" s="572">
        <v>72.920699999999997</v>
      </c>
      <c r="C14265" s="572">
        <v>183.732</v>
      </c>
    </row>
    <row r="14266" spans="1:3">
      <c r="A14266" s="571" t="s">
        <v>2222</v>
      </c>
      <c r="B14266" s="572">
        <v>75.048400000000001</v>
      </c>
      <c r="C14266" s="572">
        <v>180.86099999999999</v>
      </c>
    </row>
    <row r="14267" spans="1:3">
      <c r="A14267" s="571" t="s">
        <v>2222</v>
      </c>
      <c r="B14267" s="572">
        <v>77.176000000000002</v>
      </c>
      <c r="C14267" s="572">
        <v>183.732</v>
      </c>
    </row>
    <row r="14268" spans="1:3">
      <c r="A14268" s="571" t="s">
        <v>2222</v>
      </c>
      <c r="B14268" s="572">
        <v>79.110299999999995</v>
      </c>
      <c r="C14268" s="572">
        <v>180.86099999999999</v>
      </c>
    </row>
    <row r="14269" spans="1:3">
      <c r="A14269" s="571" t="s">
        <v>2222</v>
      </c>
      <c r="B14269" s="572">
        <v>81.044499999999999</v>
      </c>
      <c r="C14269" s="572">
        <v>180.86099999999999</v>
      </c>
    </row>
    <row r="14270" spans="1:3">
      <c r="A14270" s="571" t="s">
        <v>2222</v>
      </c>
      <c r="B14270" s="572">
        <v>82.978700000000003</v>
      </c>
      <c r="C14270" s="572">
        <v>180.86099999999999</v>
      </c>
    </row>
    <row r="14271" spans="1:3">
      <c r="A14271" s="571" t="s">
        <v>2222</v>
      </c>
      <c r="B14271" s="572">
        <v>85.299800000000005</v>
      </c>
      <c r="C14271" s="572">
        <v>180.86099999999999</v>
      </c>
    </row>
    <row r="14272" spans="1:3">
      <c r="A14272" s="571" t="s">
        <v>2222</v>
      </c>
      <c r="B14272" s="572">
        <v>86.847200000000001</v>
      </c>
      <c r="C14272" s="572">
        <v>180.86099999999999</v>
      </c>
    </row>
    <row r="14273" spans="1:3">
      <c r="A14273" s="571" t="s">
        <v>2222</v>
      </c>
      <c r="B14273" s="572">
        <v>88.974900000000005</v>
      </c>
      <c r="C14273" s="572">
        <v>177.99</v>
      </c>
    </row>
    <row r="14274" spans="1:3">
      <c r="A14274" s="571" t="s">
        <v>2223</v>
      </c>
      <c r="B14274" s="572">
        <v>0.19342200000000001</v>
      </c>
      <c r="C14274" s="572">
        <v>5.5461599999999996E-3</v>
      </c>
    </row>
    <row r="14275" spans="1:3">
      <c r="A14275" s="571" t="s">
        <v>2223</v>
      </c>
      <c r="B14275" s="572">
        <v>0.59135899999999997</v>
      </c>
      <c r="C14275" s="572">
        <v>45.861199999999997</v>
      </c>
    </row>
    <row r="14276" spans="1:3">
      <c r="A14276" s="571" t="s">
        <v>2223</v>
      </c>
      <c r="B14276" s="572">
        <v>0.98305600000000004</v>
      </c>
      <c r="C14276" s="572">
        <v>65.921599999999998</v>
      </c>
    </row>
    <row r="14277" spans="1:3">
      <c r="A14277" s="571" t="s">
        <v>2223</v>
      </c>
      <c r="B14277" s="572">
        <v>1.3754500000000001</v>
      </c>
      <c r="C14277" s="572">
        <v>88.849400000000003</v>
      </c>
    </row>
    <row r="14278" spans="1:3">
      <c r="A14278" s="571" t="s">
        <v>2223</v>
      </c>
      <c r="B14278" s="572">
        <v>2.1526000000000001</v>
      </c>
      <c r="C14278" s="572">
        <v>103.164</v>
      </c>
    </row>
    <row r="14279" spans="1:3">
      <c r="A14279" s="571" t="s">
        <v>2223</v>
      </c>
      <c r="B14279" s="572">
        <v>3.1245699999999998</v>
      </c>
      <c r="C14279" s="572">
        <v>123.208</v>
      </c>
    </row>
    <row r="14280" spans="1:3">
      <c r="A14280" s="571" t="s">
        <v>2223</v>
      </c>
      <c r="B14280" s="572">
        <v>4.4833800000000004</v>
      </c>
      <c r="C14280" s="572">
        <v>143.24100000000001</v>
      </c>
    </row>
    <row r="14281" spans="1:3">
      <c r="A14281" s="571" t="s">
        <v>2223</v>
      </c>
      <c r="B14281" s="572">
        <v>5.4539499999999999</v>
      </c>
      <c r="C14281" s="572">
        <v>157.55000000000001</v>
      </c>
    </row>
    <row r="14282" spans="1:3">
      <c r="A14282" s="571" t="s">
        <v>2223</v>
      </c>
      <c r="B14282" s="572">
        <v>5.8428800000000001</v>
      </c>
      <c r="C14282" s="572">
        <v>166.14099999999999</v>
      </c>
    </row>
    <row r="14283" spans="1:3">
      <c r="A14283" s="571" t="s">
        <v>2223</v>
      </c>
      <c r="B14283" s="572">
        <v>7.2016900000000001</v>
      </c>
      <c r="C14283" s="572">
        <v>186.173</v>
      </c>
    </row>
    <row r="14284" spans="1:3">
      <c r="A14284" s="571" t="s">
        <v>2223</v>
      </c>
      <c r="B14284" s="572">
        <v>8.5611899999999999</v>
      </c>
      <c r="C14284" s="572">
        <v>209.07400000000001</v>
      </c>
    </row>
    <row r="14285" spans="1:3">
      <c r="A14285" s="571" t="s">
        <v>2223</v>
      </c>
      <c r="B14285" s="572">
        <v>9.9192999999999998</v>
      </c>
      <c r="C14285" s="572">
        <v>226.239</v>
      </c>
    </row>
    <row r="14286" spans="1:3">
      <c r="A14286" s="571" t="s">
        <v>2223</v>
      </c>
      <c r="B14286" s="572">
        <v>11.470800000000001</v>
      </c>
      <c r="C14286" s="572">
        <v>243.399</v>
      </c>
    </row>
    <row r="14287" spans="1:3">
      <c r="A14287" s="571" t="s">
        <v>2223</v>
      </c>
      <c r="B14287" s="572">
        <v>13.214399999999999</v>
      </c>
      <c r="C14287" s="572">
        <v>254.81800000000001</v>
      </c>
    </row>
    <row r="14288" spans="1:3">
      <c r="A14288" s="571" t="s">
        <v>2223</v>
      </c>
      <c r="B14288" s="572">
        <v>14.9587</v>
      </c>
      <c r="C14288" s="572">
        <v>269.10500000000002</v>
      </c>
    </row>
    <row r="14289" spans="1:3">
      <c r="A14289" s="571" t="s">
        <v>2223</v>
      </c>
      <c r="B14289" s="572">
        <v>16.702300000000001</v>
      </c>
      <c r="C14289" s="572">
        <v>280.52499999999998</v>
      </c>
    </row>
    <row r="14290" spans="1:3">
      <c r="A14290" s="571" t="s">
        <v>2223</v>
      </c>
      <c r="B14290" s="572">
        <v>18.4451</v>
      </c>
      <c r="C14290" s="572">
        <v>289.077</v>
      </c>
    </row>
    <row r="14291" spans="1:3">
      <c r="A14291" s="571" t="s">
        <v>2223</v>
      </c>
      <c r="B14291" s="572">
        <v>20.381399999999999</v>
      </c>
      <c r="C14291" s="572">
        <v>297.62299999999999</v>
      </c>
    </row>
    <row r="14292" spans="1:3">
      <c r="A14292" s="571" t="s">
        <v>2223</v>
      </c>
      <c r="B14292" s="572">
        <v>22.124300000000002</v>
      </c>
      <c r="C14292" s="572">
        <v>306.17599999999999</v>
      </c>
    </row>
    <row r="14293" spans="1:3">
      <c r="A14293" s="571" t="s">
        <v>2223</v>
      </c>
      <c r="B14293" s="572">
        <v>24.059899999999999</v>
      </c>
      <c r="C14293" s="572">
        <v>311.85500000000002</v>
      </c>
    </row>
    <row r="14294" spans="1:3">
      <c r="A14294" s="571" t="s">
        <v>2223</v>
      </c>
      <c r="B14294" s="572">
        <v>25.802099999999999</v>
      </c>
      <c r="C14294" s="572">
        <v>317.54000000000002</v>
      </c>
    </row>
    <row r="14295" spans="1:3">
      <c r="A14295" s="571" t="s">
        <v>2223</v>
      </c>
      <c r="B14295" s="572">
        <v>27.736999999999998</v>
      </c>
      <c r="C14295" s="572">
        <v>320.35199999999998</v>
      </c>
    </row>
    <row r="14296" spans="1:3">
      <c r="A14296" s="571" t="s">
        <v>2223</v>
      </c>
      <c r="B14296" s="572">
        <v>29.672599999999999</v>
      </c>
      <c r="C14296" s="572">
        <v>326.03100000000001</v>
      </c>
    </row>
    <row r="14297" spans="1:3">
      <c r="A14297" s="571" t="s">
        <v>2223</v>
      </c>
      <c r="B14297" s="572">
        <v>31.414100000000001</v>
      </c>
      <c r="C14297" s="572">
        <v>328.84800000000001</v>
      </c>
    </row>
    <row r="14298" spans="1:3">
      <c r="A14298" s="571" t="s">
        <v>2223</v>
      </c>
      <c r="B14298" s="572">
        <v>33.348999999999997</v>
      </c>
      <c r="C14298" s="572">
        <v>331.66</v>
      </c>
    </row>
    <row r="14299" spans="1:3">
      <c r="A14299" s="571" t="s">
        <v>2223</v>
      </c>
      <c r="B14299" s="572">
        <v>35.283999999999999</v>
      </c>
      <c r="C14299" s="572">
        <v>334.47199999999998</v>
      </c>
    </row>
    <row r="14300" spans="1:3">
      <c r="A14300" s="571" t="s">
        <v>2223</v>
      </c>
      <c r="B14300" s="572">
        <v>37.026200000000003</v>
      </c>
      <c r="C14300" s="572">
        <v>340.15699999999998</v>
      </c>
    </row>
    <row r="14301" spans="1:3">
      <c r="A14301" s="571" t="s">
        <v>2223</v>
      </c>
      <c r="B14301" s="572">
        <v>38.961100000000002</v>
      </c>
      <c r="C14301" s="572">
        <v>342.96899999999999</v>
      </c>
    </row>
    <row r="14302" spans="1:3">
      <c r="A14302" s="571" t="s">
        <v>2223</v>
      </c>
      <c r="B14302" s="572">
        <v>40.896000000000001</v>
      </c>
      <c r="C14302" s="572">
        <v>345.78100000000001</v>
      </c>
    </row>
    <row r="14303" spans="1:3">
      <c r="A14303" s="571" t="s">
        <v>2223</v>
      </c>
      <c r="B14303" s="572">
        <v>42.830199999999998</v>
      </c>
      <c r="C14303" s="572">
        <v>345.72500000000002</v>
      </c>
    </row>
    <row r="14304" spans="1:3">
      <c r="A14304" s="571" t="s">
        <v>2223</v>
      </c>
      <c r="B14304" s="572">
        <v>44.765099999999997</v>
      </c>
      <c r="C14304" s="572">
        <v>348.53699999999998</v>
      </c>
    </row>
    <row r="14305" spans="1:3">
      <c r="A14305" s="571" t="s">
        <v>2223</v>
      </c>
      <c r="B14305" s="572">
        <v>46.506599999999999</v>
      </c>
      <c r="C14305" s="572">
        <v>351.35500000000002</v>
      </c>
    </row>
    <row r="14306" spans="1:3">
      <c r="A14306" s="571" t="s">
        <v>2223</v>
      </c>
      <c r="B14306" s="572">
        <v>48.440800000000003</v>
      </c>
      <c r="C14306" s="572">
        <v>351.29899999999998</v>
      </c>
    </row>
    <row r="14307" spans="1:3">
      <c r="A14307" s="571" t="s">
        <v>2223</v>
      </c>
      <c r="B14307" s="572">
        <v>50.375799999999998</v>
      </c>
      <c r="C14307" s="572">
        <v>354.11099999999999</v>
      </c>
    </row>
    <row r="14308" spans="1:3">
      <c r="A14308" s="571" t="s">
        <v>2223</v>
      </c>
      <c r="B14308" s="572">
        <v>52.31</v>
      </c>
      <c r="C14308" s="572">
        <v>354.05599999999998</v>
      </c>
    </row>
    <row r="14309" spans="1:3">
      <c r="A14309" s="571" t="s">
        <v>2223</v>
      </c>
      <c r="B14309" s="572">
        <v>54.243499999999997</v>
      </c>
      <c r="C14309" s="572">
        <v>351.13299999999998</v>
      </c>
    </row>
    <row r="14310" spans="1:3">
      <c r="A14310" s="571" t="s">
        <v>2223</v>
      </c>
      <c r="B14310" s="572">
        <v>56.178400000000003</v>
      </c>
      <c r="C14310" s="572">
        <v>353.94499999999999</v>
      </c>
    </row>
    <row r="14311" spans="1:3">
      <c r="A14311" s="571" t="s">
        <v>2223</v>
      </c>
      <c r="B14311" s="572">
        <v>58.111899999999999</v>
      </c>
      <c r="C14311" s="572">
        <v>351.02199999999999</v>
      </c>
    </row>
    <row r="14312" spans="1:3">
      <c r="A14312" s="571" t="s">
        <v>2223</v>
      </c>
      <c r="B14312" s="572">
        <v>60.046199999999999</v>
      </c>
      <c r="C14312" s="572">
        <v>350.96600000000001</v>
      </c>
    </row>
    <row r="14313" spans="1:3">
      <c r="A14313" s="571" t="s">
        <v>2223</v>
      </c>
      <c r="B14313" s="572">
        <v>62.754100000000001</v>
      </c>
      <c r="C14313" s="572">
        <v>350.88900000000001</v>
      </c>
    </row>
    <row r="14314" spans="1:3">
      <c r="A14314" s="571" t="s">
        <v>2223</v>
      </c>
      <c r="B14314" s="572">
        <v>64.495599999999996</v>
      </c>
      <c r="C14314" s="572">
        <v>353.70600000000002</v>
      </c>
    </row>
    <row r="14315" spans="1:3">
      <c r="A14315" s="571" t="s">
        <v>2223</v>
      </c>
      <c r="B14315" s="572">
        <v>66.4298</v>
      </c>
      <c r="C14315" s="572">
        <v>353.65100000000001</v>
      </c>
    </row>
    <row r="14316" spans="1:3">
      <c r="A14316" s="571" t="s">
        <v>2223</v>
      </c>
      <c r="B14316" s="572">
        <v>68.364000000000004</v>
      </c>
      <c r="C14316" s="572">
        <v>353.59500000000003</v>
      </c>
    </row>
    <row r="14317" spans="1:3">
      <c r="A14317" s="571" t="s">
        <v>2223</v>
      </c>
      <c r="B14317" s="572">
        <v>70.298199999999994</v>
      </c>
      <c r="C14317" s="572">
        <v>353.54</v>
      </c>
    </row>
    <row r="14318" spans="1:3">
      <c r="A14318" s="571" t="s">
        <v>2223</v>
      </c>
      <c r="B14318" s="572">
        <v>72.233199999999997</v>
      </c>
      <c r="C14318" s="572">
        <v>356.35199999999998</v>
      </c>
    </row>
    <row r="14319" spans="1:3">
      <c r="A14319" s="571" t="s">
        <v>2223</v>
      </c>
      <c r="B14319" s="572">
        <v>75.134500000000003</v>
      </c>
      <c r="C14319" s="572">
        <v>356.26900000000001</v>
      </c>
    </row>
    <row r="14320" spans="1:3">
      <c r="A14320" s="571" t="s">
        <v>2223</v>
      </c>
      <c r="B14320" s="572">
        <v>76.1023</v>
      </c>
      <c r="C14320" s="572">
        <v>359.108</v>
      </c>
    </row>
    <row r="14321" spans="1:3">
      <c r="A14321" s="571" t="s">
        <v>2223</v>
      </c>
      <c r="B14321" s="572">
        <v>78.035799999999995</v>
      </c>
      <c r="C14321" s="572">
        <v>356.185</v>
      </c>
    </row>
    <row r="14322" spans="1:3">
      <c r="A14322" s="571" t="s">
        <v>2223</v>
      </c>
      <c r="B14322" s="572">
        <v>80.164199999999994</v>
      </c>
      <c r="C14322" s="572">
        <v>358.99200000000002</v>
      </c>
    </row>
    <row r="14323" spans="1:3">
      <c r="A14323" s="571" t="s">
        <v>2223</v>
      </c>
      <c r="B14323" s="572">
        <v>82.292500000000004</v>
      </c>
      <c r="C14323" s="572">
        <v>361.798</v>
      </c>
    </row>
    <row r="14324" spans="1:3">
      <c r="A14324" s="571" t="s">
        <v>2223</v>
      </c>
      <c r="B14324" s="572">
        <v>84.033299999999997</v>
      </c>
      <c r="C14324" s="572">
        <v>361.74799999999999</v>
      </c>
    </row>
    <row r="14325" spans="1:3">
      <c r="A14325" s="571" t="s">
        <v>2223</v>
      </c>
      <c r="B14325" s="572">
        <v>86.161600000000007</v>
      </c>
      <c r="C14325" s="572">
        <v>364.55500000000001</v>
      </c>
    </row>
    <row r="14326" spans="1:3">
      <c r="A14326" s="571" t="s">
        <v>2223</v>
      </c>
      <c r="B14326" s="572">
        <v>87.903099999999995</v>
      </c>
      <c r="C14326" s="572">
        <v>367.37200000000001</v>
      </c>
    </row>
    <row r="14327" spans="1:3">
      <c r="A14327" s="571" t="s">
        <v>2223</v>
      </c>
      <c r="B14327" s="572">
        <v>90.224900000000005</v>
      </c>
      <c r="C14327" s="572">
        <v>370.173</v>
      </c>
    </row>
    <row r="14328" spans="1:3">
      <c r="A14328" s="571" t="s">
        <v>2224</v>
      </c>
      <c r="B14328" s="572">
        <v>0.38759700000000002</v>
      </c>
      <c r="C14328" s="572">
        <v>0.38759700000000002</v>
      </c>
    </row>
    <row r="14329" spans="1:3">
      <c r="A14329" s="571" t="s">
        <v>2224</v>
      </c>
      <c r="B14329" s="572">
        <v>0.581395</v>
      </c>
      <c r="C14329" s="572">
        <v>129.16999999999999</v>
      </c>
    </row>
    <row r="14330" spans="1:3">
      <c r="A14330" s="571" t="s">
        <v>2224</v>
      </c>
      <c r="B14330" s="572">
        <v>0.581395</v>
      </c>
      <c r="C14330" s="572">
        <v>129.16999999999999</v>
      </c>
    </row>
    <row r="14331" spans="1:3">
      <c r="A14331" s="571" t="s">
        <v>2224</v>
      </c>
      <c r="B14331" s="572">
        <v>0.77519400000000005</v>
      </c>
      <c r="C14331" s="572">
        <v>106.19799999999999</v>
      </c>
    </row>
    <row r="14332" spans="1:3">
      <c r="A14332" s="571" t="s">
        <v>2224</v>
      </c>
      <c r="B14332" s="572">
        <v>0.77519400000000005</v>
      </c>
      <c r="C14332" s="572">
        <v>106.19799999999999</v>
      </c>
    </row>
    <row r="14333" spans="1:3">
      <c r="A14333" s="571" t="s">
        <v>2224</v>
      </c>
      <c r="B14333" s="572">
        <v>1.16279</v>
      </c>
      <c r="C14333" s="572">
        <v>146.37799999999999</v>
      </c>
    </row>
    <row r="14334" spans="1:3">
      <c r="A14334" s="571" t="s">
        <v>2224</v>
      </c>
      <c r="B14334" s="572">
        <v>1.7441899999999999</v>
      </c>
      <c r="C14334" s="572">
        <v>177.94</v>
      </c>
    </row>
    <row r="14335" spans="1:3">
      <c r="A14335" s="571" t="s">
        <v>2224</v>
      </c>
      <c r="B14335" s="572">
        <v>1.93798</v>
      </c>
      <c r="C14335" s="572">
        <v>192.28899999999999</v>
      </c>
    </row>
    <row r="14336" spans="1:3">
      <c r="A14336" s="571" t="s">
        <v>2224</v>
      </c>
      <c r="B14336" s="572">
        <v>2.13178</v>
      </c>
      <c r="C14336" s="572">
        <v>206.637</v>
      </c>
    </row>
    <row r="14337" spans="1:3">
      <c r="A14337" s="571" t="s">
        <v>2224</v>
      </c>
      <c r="B14337" s="572">
        <v>2.7131799999999999</v>
      </c>
      <c r="C14337" s="572">
        <v>226.71600000000001</v>
      </c>
    </row>
    <row r="14338" spans="1:3">
      <c r="A14338" s="571" t="s">
        <v>2224</v>
      </c>
      <c r="B14338" s="572">
        <v>2.9069799999999999</v>
      </c>
      <c r="C14338" s="572">
        <v>241.065</v>
      </c>
    </row>
    <row r="14339" spans="1:3">
      <c r="A14339" s="571" t="s">
        <v>2224</v>
      </c>
      <c r="B14339" s="572">
        <v>3.6821700000000002</v>
      </c>
      <c r="C14339" s="572">
        <v>249.655</v>
      </c>
    </row>
    <row r="14340" spans="1:3">
      <c r="A14340" s="571" t="s">
        <v>2224</v>
      </c>
      <c r="B14340" s="572">
        <v>4.65116</v>
      </c>
      <c r="C14340" s="572">
        <v>263.98099999999999</v>
      </c>
    </row>
    <row r="14341" spans="1:3">
      <c r="A14341" s="571" t="s">
        <v>2224</v>
      </c>
      <c r="B14341" s="572">
        <v>5.2325600000000003</v>
      </c>
      <c r="C14341" s="572">
        <v>275.44799999999998</v>
      </c>
    </row>
    <row r="14342" spans="1:3">
      <c r="A14342" s="571" t="s">
        <v>2224</v>
      </c>
      <c r="B14342" s="572">
        <v>6.5891500000000001</v>
      </c>
      <c r="C14342" s="572">
        <v>292.63400000000001</v>
      </c>
    </row>
    <row r="14343" spans="1:3">
      <c r="A14343" s="571" t="s">
        <v>2224</v>
      </c>
      <c r="B14343" s="572">
        <v>7.7519400000000003</v>
      </c>
      <c r="C14343" s="572">
        <v>312.69600000000003</v>
      </c>
    </row>
    <row r="14344" spans="1:3">
      <c r="A14344" s="571" t="s">
        <v>2224</v>
      </c>
      <c r="B14344" s="572">
        <v>9.10853</v>
      </c>
      <c r="C14344" s="572">
        <v>329.88200000000001</v>
      </c>
    </row>
    <row r="14345" spans="1:3">
      <c r="A14345" s="571" t="s">
        <v>2224</v>
      </c>
      <c r="B14345" s="572">
        <v>10.658899999999999</v>
      </c>
      <c r="C14345" s="572">
        <v>347.06200000000001</v>
      </c>
    </row>
    <row r="14346" spans="1:3">
      <c r="A14346" s="571" t="s">
        <v>2224</v>
      </c>
      <c r="B14346" s="572">
        <v>12.5969</v>
      </c>
      <c r="C14346" s="572">
        <v>361.36099999999999</v>
      </c>
    </row>
    <row r="14347" spans="1:3">
      <c r="A14347" s="571" t="s">
        <v>2224</v>
      </c>
      <c r="B14347" s="572">
        <v>14.1473</v>
      </c>
      <c r="C14347" s="572">
        <v>372.8</v>
      </c>
    </row>
    <row r="14348" spans="1:3">
      <c r="A14348" s="571" t="s">
        <v>2224</v>
      </c>
      <c r="B14348" s="572">
        <v>16.472899999999999</v>
      </c>
      <c r="C14348" s="572">
        <v>381.34500000000003</v>
      </c>
    </row>
    <row r="14349" spans="1:3">
      <c r="A14349" s="571" t="s">
        <v>2224</v>
      </c>
      <c r="B14349" s="572">
        <v>19.186</v>
      </c>
      <c r="C14349" s="572">
        <v>398.49200000000002</v>
      </c>
    </row>
    <row r="14350" spans="1:3">
      <c r="A14350" s="571" t="s">
        <v>2224</v>
      </c>
      <c r="B14350" s="572">
        <v>21.511600000000001</v>
      </c>
      <c r="C14350" s="572">
        <v>407.03800000000001</v>
      </c>
    </row>
    <row r="14351" spans="1:3">
      <c r="A14351" s="571" t="s">
        <v>2224</v>
      </c>
      <c r="B14351" s="572">
        <v>23.255800000000001</v>
      </c>
      <c r="C14351" s="572">
        <v>415.6</v>
      </c>
    </row>
    <row r="14352" spans="1:3">
      <c r="A14352" s="571" t="s">
        <v>2224</v>
      </c>
      <c r="B14352" s="572">
        <v>25.775200000000002</v>
      </c>
      <c r="C14352" s="572">
        <v>421.27</v>
      </c>
    </row>
    <row r="14353" spans="1:3">
      <c r="A14353" s="571" t="s">
        <v>2224</v>
      </c>
      <c r="B14353" s="572">
        <v>27.907</v>
      </c>
      <c r="C14353" s="572">
        <v>426.95</v>
      </c>
    </row>
    <row r="14354" spans="1:3">
      <c r="A14354" s="571" t="s">
        <v>2224</v>
      </c>
      <c r="B14354" s="572">
        <v>30.426400000000001</v>
      </c>
      <c r="C14354" s="572">
        <v>432.61900000000003</v>
      </c>
    </row>
    <row r="14355" spans="1:3">
      <c r="A14355" s="571" t="s">
        <v>2224</v>
      </c>
      <c r="B14355" s="572">
        <v>32.558100000000003</v>
      </c>
      <c r="C14355" s="572">
        <v>435.42899999999997</v>
      </c>
    </row>
    <row r="14356" spans="1:3">
      <c r="A14356" s="571" t="s">
        <v>2224</v>
      </c>
      <c r="B14356" s="572">
        <v>34.496099999999998</v>
      </c>
      <c r="C14356" s="572">
        <v>435.37299999999999</v>
      </c>
    </row>
    <row r="14357" spans="1:3">
      <c r="A14357" s="571" t="s">
        <v>2224</v>
      </c>
      <c r="B14357" s="572">
        <v>36.240299999999998</v>
      </c>
      <c r="C14357" s="572">
        <v>438.19400000000002</v>
      </c>
    </row>
    <row r="14358" spans="1:3">
      <c r="A14358" s="571" t="s">
        <v>2224</v>
      </c>
      <c r="B14358" s="572">
        <v>38.1783</v>
      </c>
      <c r="C14358" s="572">
        <v>443.88</v>
      </c>
    </row>
    <row r="14359" spans="1:3">
      <c r="A14359" s="571" t="s">
        <v>2224</v>
      </c>
      <c r="B14359" s="572">
        <v>39.922499999999999</v>
      </c>
      <c r="C14359" s="572">
        <v>446.70100000000002</v>
      </c>
    </row>
    <row r="14360" spans="1:3">
      <c r="A14360" s="571" t="s">
        <v>2224</v>
      </c>
      <c r="B14360" s="572">
        <v>41.860500000000002</v>
      </c>
      <c r="C14360" s="572">
        <v>449.51600000000002</v>
      </c>
    </row>
    <row r="14361" spans="1:3">
      <c r="A14361" s="571" t="s">
        <v>2224</v>
      </c>
      <c r="B14361" s="572">
        <v>43.798400000000001</v>
      </c>
      <c r="C14361" s="572">
        <v>449.46</v>
      </c>
    </row>
    <row r="14362" spans="1:3">
      <c r="A14362" s="571" t="s">
        <v>2224</v>
      </c>
      <c r="B14362" s="572">
        <v>45.5426</v>
      </c>
      <c r="C14362" s="572">
        <v>452.28100000000001</v>
      </c>
    </row>
    <row r="14363" spans="1:3">
      <c r="A14363" s="571" t="s">
        <v>2224</v>
      </c>
      <c r="B14363" s="572">
        <v>47.480600000000003</v>
      </c>
      <c r="C14363" s="572">
        <v>455.096</v>
      </c>
    </row>
    <row r="14364" spans="1:3">
      <c r="A14364" s="571" t="s">
        <v>2224</v>
      </c>
      <c r="B14364" s="572">
        <v>49.224800000000002</v>
      </c>
      <c r="C14364" s="572">
        <v>455.04599999999999</v>
      </c>
    </row>
    <row r="14365" spans="1:3">
      <c r="A14365" s="571" t="s">
        <v>2224</v>
      </c>
      <c r="B14365" s="572">
        <v>51.162799999999997</v>
      </c>
      <c r="C14365" s="572">
        <v>454.99099999999999</v>
      </c>
    </row>
    <row r="14366" spans="1:3">
      <c r="A14366" s="571" t="s">
        <v>2224</v>
      </c>
      <c r="B14366" s="572">
        <v>52.713200000000001</v>
      </c>
      <c r="C14366" s="572">
        <v>457.81700000000001</v>
      </c>
    </row>
    <row r="14367" spans="1:3">
      <c r="A14367" s="571" t="s">
        <v>2224</v>
      </c>
      <c r="B14367" s="572">
        <v>54.651200000000003</v>
      </c>
      <c r="C14367" s="572">
        <v>452.02</v>
      </c>
    </row>
    <row r="14368" spans="1:3">
      <c r="A14368" s="571" t="s">
        <v>2224</v>
      </c>
      <c r="B14368" s="572">
        <v>56.589100000000002</v>
      </c>
      <c r="C14368" s="572">
        <v>454.83499999999998</v>
      </c>
    </row>
    <row r="14369" spans="1:3">
      <c r="A14369" s="571" t="s">
        <v>2224</v>
      </c>
      <c r="B14369" s="572">
        <v>58.527099999999997</v>
      </c>
      <c r="C14369" s="572">
        <v>454.779</v>
      </c>
    </row>
    <row r="14370" spans="1:3">
      <c r="A14370" s="571" t="s">
        <v>2224</v>
      </c>
      <c r="B14370" s="572">
        <v>60.271299999999997</v>
      </c>
      <c r="C14370" s="572">
        <v>451.858</v>
      </c>
    </row>
    <row r="14371" spans="1:3">
      <c r="A14371" s="571" t="s">
        <v>2224</v>
      </c>
      <c r="B14371" s="572">
        <v>62.790700000000001</v>
      </c>
      <c r="C14371" s="572">
        <v>454.65699999999998</v>
      </c>
    </row>
    <row r="14372" spans="1:3">
      <c r="A14372" s="571" t="s">
        <v>2224</v>
      </c>
      <c r="B14372" s="572">
        <v>64.728700000000003</v>
      </c>
      <c r="C14372" s="572">
        <v>454.601</v>
      </c>
    </row>
    <row r="14373" spans="1:3">
      <c r="A14373" s="571" t="s">
        <v>2224</v>
      </c>
      <c r="B14373" s="572">
        <v>66.666700000000006</v>
      </c>
      <c r="C14373" s="572">
        <v>454.54500000000002</v>
      </c>
    </row>
    <row r="14374" spans="1:3">
      <c r="A14374" s="571" t="s">
        <v>2224</v>
      </c>
      <c r="B14374" s="572">
        <v>68.217100000000002</v>
      </c>
      <c r="C14374" s="572">
        <v>454.50099999999998</v>
      </c>
    </row>
    <row r="14375" spans="1:3">
      <c r="A14375" s="571" t="s">
        <v>2224</v>
      </c>
      <c r="B14375" s="572">
        <v>70.155000000000001</v>
      </c>
      <c r="C14375" s="572">
        <v>457.31599999999997</v>
      </c>
    </row>
    <row r="14376" spans="1:3">
      <c r="A14376" s="571" t="s">
        <v>2224</v>
      </c>
      <c r="B14376" s="572">
        <v>72.674400000000006</v>
      </c>
      <c r="C14376" s="572">
        <v>460.11500000000001</v>
      </c>
    </row>
    <row r="14377" spans="1:3">
      <c r="A14377" s="571" t="s">
        <v>2224</v>
      </c>
      <c r="B14377" s="572">
        <v>75</v>
      </c>
      <c r="C14377" s="572">
        <v>460.048</v>
      </c>
    </row>
    <row r="14378" spans="1:3">
      <c r="A14378" s="571" t="s">
        <v>2224</v>
      </c>
      <c r="B14378" s="572">
        <v>76.938000000000002</v>
      </c>
      <c r="C14378" s="572">
        <v>459.99200000000002</v>
      </c>
    </row>
    <row r="14379" spans="1:3">
      <c r="A14379" s="571" t="s">
        <v>2224</v>
      </c>
      <c r="B14379" s="572">
        <v>79.069800000000001</v>
      </c>
      <c r="C14379" s="572">
        <v>459.93099999999998</v>
      </c>
    </row>
    <row r="14380" spans="1:3">
      <c r="A14380" s="571" t="s">
        <v>2224</v>
      </c>
      <c r="B14380" s="572">
        <v>81.007800000000003</v>
      </c>
      <c r="C14380" s="572">
        <v>462.74599999999998</v>
      </c>
    </row>
    <row r="14381" spans="1:3">
      <c r="A14381" s="571" t="s">
        <v>2224</v>
      </c>
      <c r="B14381" s="572">
        <v>83.139499999999998</v>
      </c>
      <c r="C14381" s="572">
        <v>465.55599999999998</v>
      </c>
    </row>
    <row r="14382" spans="1:3">
      <c r="A14382" s="571" t="s">
        <v>2224</v>
      </c>
      <c r="B14382" s="572">
        <v>84.883700000000005</v>
      </c>
      <c r="C14382" s="572">
        <v>465.50599999999997</v>
      </c>
    </row>
    <row r="14383" spans="1:3">
      <c r="A14383" s="571" t="s">
        <v>2224</v>
      </c>
      <c r="B14383" s="572">
        <v>87.403099999999995</v>
      </c>
      <c r="C14383" s="572">
        <v>468.30399999999997</v>
      </c>
    </row>
    <row r="14384" spans="1:3">
      <c r="A14384" s="571" t="s">
        <v>2224</v>
      </c>
      <c r="B14384" s="572">
        <v>89.147300000000001</v>
      </c>
      <c r="C14384" s="572">
        <v>468.25400000000002</v>
      </c>
    </row>
    <row r="14385" spans="1:3">
      <c r="A14385" s="571" t="s">
        <v>2225</v>
      </c>
      <c r="B14385" s="572">
        <v>0.58027099999999998</v>
      </c>
      <c r="C14385" s="572">
        <v>2.8708100000000001</v>
      </c>
    </row>
    <row r="14386" spans="1:3">
      <c r="A14386" s="571" t="s">
        <v>2225</v>
      </c>
      <c r="B14386" s="572">
        <v>1.1605399999999999</v>
      </c>
      <c r="C14386" s="572">
        <v>31.578900000000001</v>
      </c>
    </row>
    <row r="14387" spans="1:3">
      <c r="A14387" s="571" t="s">
        <v>2225</v>
      </c>
      <c r="B14387" s="572">
        <v>1.54739</v>
      </c>
      <c r="C14387" s="572">
        <v>83.253600000000006</v>
      </c>
    </row>
    <row r="14388" spans="1:3">
      <c r="A14388" s="571" t="s">
        <v>2225</v>
      </c>
      <c r="B14388" s="572">
        <v>1.93424</v>
      </c>
      <c r="C14388" s="572">
        <v>114.833</v>
      </c>
    </row>
    <row r="14389" spans="1:3">
      <c r="A14389" s="571" t="s">
        <v>2225</v>
      </c>
      <c r="B14389" s="572">
        <v>2.7079300000000002</v>
      </c>
      <c r="C14389" s="572">
        <v>149.28200000000001</v>
      </c>
    </row>
    <row r="14390" spans="1:3">
      <c r="A14390" s="571" t="s">
        <v>2225</v>
      </c>
      <c r="B14390" s="572">
        <v>3.2881999999999998</v>
      </c>
      <c r="C14390" s="572">
        <v>183.732</v>
      </c>
    </row>
    <row r="14391" spans="1:3">
      <c r="A14391" s="571" t="s">
        <v>2225</v>
      </c>
      <c r="B14391" s="572">
        <v>3.8684699999999999</v>
      </c>
      <c r="C14391" s="572">
        <v>209.56899999999999</v>
      </c>
    </row>
    <row r="14392" spans="1:3">
      <c r="A14392" s="571" t="s">
        <v>2225</v>
      </c>
      <c r="B14392" s="572">
        <v>5.0290100000000004</v>
      </c>
      <c r="C14392" s="572">
        <v>235.40700000000001</v>
      </c>
    </row>
    <row r="14393" spans="1:3">
      <c r="A14393" s="571" t="s">
        <v>2225</v>
      </c>
      <c r="B14393" s="572">
        <v>6.1895600000000002</v>
      </c>
      <c r="C14393" s="572">
        <v>252.63200000000001</v>
      </c>
    </row>
    <row r="14394" spans="1:3">
      <c r="A14394" s="571" t="s">
        <v>2225</v>
      </c>
      <c r="B14394" s="572">
        <v>7.54352</v>
      </c>
      <c r="C14394" s="572">
        <v>272.72699999999998</v>
      </c>
    </row>
    <row r="14395" spans="1:3">
      <c r="A14395" s="571" t="s">
        <v>2225</v>
      </c>
      <c r="B14395" s="572">
        <v>9.0909099999999992</v>
      </c>
      <c r="C14395" s="572">
        <v>289.952</v>
      </c>
    </row>
    <row r="14396" spans="1:3">
      <c r="A14396" s="571" t="s">
        <v>2225</v>
      </c>
      <c r="B14396" s="572">
        <v>10.638299999999999</v>
      </c>
      <c r="C14396" s="572">
        <v>307.17700000000002</v>
      </c>
    </row>
    <row r="14397" spans="1:3">
      <c r="A14397" s="571" t="s">
        <v>2225</v>
      </c>
      <c r="B14397" s="572">
        <v>12.5725</v>
      </c>
      <c r="C14397" s="572">
        <v>321.53100000000001</v>
      </c>
    </row>
    <row r="14398" spans="1:3">
      <c r="A14398" s="571" t="s">
        <v>2225</v>
      </c>
      <c r="B14398" s="572">
        <v>14.700200000000001</v>
      </c>
      <c r="C14398" s="572">
        <v>333.01400000000001</v>
      </c>
    </row>
    <row r="14399" spans="1:3">
      <c r="A14399" s="571" t="s">
        <v>2225</v>
      </c>
      <c r="B14399" s="572">
        <v>16.634399999999999</v>
      </c>
      <c r="C14399" s="572">
        <v>347.36799999999999</v>
      </c>
    </row>
    <row r="14400" spans="1:3">
      <c r="A14400" s="571" t="s">
        <v>2225</v>
      </c>
      <c r="B14400" s="572">
        <v>18.955500000000001</v>
      </c>
      <c r="C14400" s="572">
        <v>361.72199999999998</v>
      </c>
    </row>
    <row r="14401" spans="1:3">
      <c r="A14401" s="571" t="s">
        <v>2225</v>
      </c>
      <c r="B14401" s="572">
        <v>21.276599999999998</v>
      </c>
      <c r="C14401" s="572">
        <v>370.33499999999998</v>
      </c>
    </row>
    <row r="14402" spans="1:3">
      <c r="A14402" s="571" t="s">
        <v>2225</v>
      </c>
      <c r="B14402" s="572">
        <v>23.210799999999999</v>
      </c>
      <c r="C14402" s="572">
        <v>373.20600000000002</v>
      </c>
    </row>
    <row r="14403" spans="1:3">
      <c r="A14403" s="571" t="s">
        <v>2225</v>
      </c>
      <c r="B14403" s="572">
        <v>25.5319</v>
      </c>
      <c r="C14403" s="572">
        <v>381.81799999999998</v>
      </c>
    </row>
    <row r="14404" spans="1:3">
      <c r="A14404" s="571" t="s">
        <v>2225</v>
      </c>
      <c r="B14404" s="572">
        <v>27.853000000000002</v>
      </c>
      <c r="C14404" s="572">
        <v>384.68900000000002</v>
      </c>
    </row>
    <row r="14405" spans="1:3">
      <c r="A14405" s="571" t="s">
        <v>2225</v>
      </c>
      <c r="B14405" s="572">
        <v>29.787199999999999</v>
      </c>
      <c r="C14405" s="572">
        <v>390.43099999999998</v>
      </c>
    </row>
    <row r="14406" spans="1:3">
      <c r="A14406" s="571" t="s">
        <v>2225</v>
      </c>
      <c r="B14406" s="572">
        <v>32.881999999999998</v>
      </c>
      <c r="C14406" s="572">
        <v>393.30099999999999</v>
      </c>
    </row>
    <row r="14407" spans="1:3">
      <c r="A14407" s="571" t="s">
        <v>2225</v>
      </c>
      <c r="B14407" s="572">
        <v>34.816200000000002</v>
      </c>
      <c r="C14407" s="572">
        <v>393.30099999999999</v>
      </c>
    </row>
    <row r="14408" spans="1:3">
      <c r="A14408" s="571" t="s">
        <v>2225</v>
      </c>
      <c r="B14408" s="572">
        <v>36.750500000000002</v>
      </c>
      <c r="C14408" s="572">
        <v>396.17200000000003</v>
      </c>
    </row>
    <row r="14409" spans="1:3">
      <c r="A14409" s="571" t="s">
        <v>2225</v>
      </c>
      <c r="B14409" s="572">
        <v>38.684699999999999</v>
      </c>
      <c r="C14409" s="572">
        <v>396.17200000000003</v>
      </c>
    </row>
    <row r="14410" spans="1:3">
      <c r="A14410" s="571" t="s">
        <v>2225</v>
      </c>
      <c r="B14410" s="572">
        <v>40.619</v>
      </c>
      <c r="C14410" s="572">
        <v>399.04300000000001</v>
      </c>
    </row>
    <row r="14411" spans="1:3">
      <c r="A14411" s="571" t="s">
        <v>2225</v>
      </c>
      <c r="B14411" s="572">
        <v>42.553199999999997</v>
      </c>
      <c r="C14411" s="572">
        <v>399.04300000000001</v>
      </c>
    </row>
    <row r="14412" spans="1:3">
      <c r="A14412" s="571" t="s">
        <v>2225</v>
      </c>
      <c r="B14412" s="572">
        <v>44.293999999999997</v>
      </c>
      <c r="C14412" s="572">
        <v>401.91399999999999</v>
      </c>
    </row>
    <row r="14413" spans="1:3">
      <c r="A14413" s="571" t="s">
        <v>2225</v>
      </c>
      <c r="B14413" s="572">
        <v>46.228200000000001</v>
      </c>
      <c r="C14413" s="572">
        <v>401.91399999999999</v>
      </c>
    </row>
    <row r="14414" spans="1:3">
      <c r="A14414" s="571" t="s">
        <v>2225</v>
      </c>
      <c r="B14414" s="572">
        <v>48.162500000000001</v>
      </c>
      <c r="C14414" s="572">
        <v>401.91399999999999</v>
      </c>
    </row>
    <row r="14415" spans="1:3">
      <c r="A14415" s="571" t="s">
        <v>2225</v>
      </c>
      <c r="B14415" s="572">
        <v>50.096699999999998</v>
      </c>
      <c r="C14415" s="572">
        <v>401.91399999999999</v>
      </c>
    </row>
    <row r="14416" spans="1:3">
      <c r="A14416" s="571" t="s">
        <v>2225</v>
      </c>
      <c r="B14416" s="572">
        <v>52.030900000000003</v>
      </c>
      <c r="C14416" s="572">
        <v>401.91399999999999</v>
      </c>
    </row>
    <row r="14417" spans="1:3">
      <c r="A14417" s="571" t="s">
        <v>2225</v>
      </c>
      <c r="B14417" s="572">
        <v>53.965200000000003</v>
      </c>
      <c r="C14417" s="572">
        <v>399.04300000000001</v>
      </c>
    </row>
    <row r="14418" spans="1:3">
      <c r="A14418" s="571" t="s">
        <v>2225</v>
      </c>
      <c r="B14418" s="572">
        <v>55.8994</v>
      </c>
      <c r="C14418" s="572">
        <v>396.17200000000003</v>
      </c>
    </row>
    <row r="14419" spans="1:3">
      <c r="A14419" s="571" t="s">
        <v>2225</v>
      </c>
      <c r="B14419" s="572">
        <v>57.8337</v>
      </c>
      <c r="C14419" s="572">
        <v>396.17200000000003</v>
      </c>
    </row>
    <row r="14420" spans="1:3">
      <c r="A14420" s="571" t="s">
        <v>2225</v>
      </c>
      <c r="B14420" s="572">
        <v>59.767899999999997</v>
      </c>
      <c r="C14420" s="572">
        <v>393.30099999999999</v>
      </c>
    </row>
    <row r="14421" spans="1:3">
      <c r="A14421" s="571" t="s">
        <v>2225</v>
      </c>
      <c r="B14421" s="572">
        <v>62.282400000000003</v>
      </c>
      <c r="C14421" s="572">
        <v>390.43099999999998</v>
      </c>
    </row>
    <row r="14422" spans="1:3">
      <c r="A14422" s="571" t="s">
        <v>2225</v>
      </c>
      <c r="B14422" s="572">
        <v>64.2166</v>
      </c>
      <c r="C14422" s="572">
        <v>393.30099999999999</v>
      </c>
    </row>
    <row r="14423" spans="1:3">
      <c r="A14423" s="571" t="s">
        <v>2225</v>
      </c>
      <c r="B14423" s="572">
        <v>66.150899999999993</v>
      </c>
      <c r="C14423" s="572">
        <v>393.30099999999999</v>
      </c>
    </row>
    <row r="14424" spans="1:3">
      <c r="A14424" s="571" t="s">
        <v>2225</v>
      </c>
      <c r="B14424" s="572">
        <v>68.085099999999997</v>
      </c>
      <c r="C14424" s="572">
        <v>390.43099999999998</v>
      </c>
    </row>
    <row r="14425" spans="1:3">
      <c r="A14425" s="571" t="s">
        <v>2225</v>
      </c>
      <c r="B14425" s="572">
        <v>70.019300000000001</v>
      </c>
      <c r="C14425" s="572">
        <v>390.43099999999998</v>
      </c>
    </row>
    <row r="14426" spans="1:3">
      <c r="A14426" s="571" t="s">
        <v>2225</v>
      </c>
      <c r="B14426" s="572">
        <v>72.7273</v>
      </c>
      <c r="C14426" s="572">
        <v>390.43099999999998</v>
      </c>
    </row>
    <row r="14427" spans="1:3">
      <c r="A14427" s="571" t="s">
        <v>2225</v>
      </c>
      <c r="B14427" s="572">
        <v>75.241799999999998</v>
      </c>
      <c r="C14427" s="572">
        <v>390.43099999999998</v>
      </c>
    </row>
    <row r="14428" spans="1:3">
      <c r="A14428" s="571" t="s">
        <v>2225</v>
      </c>
      <c r="B14428" s="572">
        <v>76.982600000000005</v>
      </c>
      <c r="C14428" s="572">
        <v>390.43099999999998</v>
      </c>
    </row>
    <row r="14429" spans="1:3">
      <c r="A14429" s="571" t="s">
        <v>2225</v>
      </c>
      <c r="B14429" s="572">
        <v>79.110299999999995</v>
      </c>
      <c r="C14429" s="572">
        <v>390.43099999999998</v>
      </c>
    </row>
    <row r="14430" spans="1:3">
      <c r="A14430" s="571" t="s">
        <v>2225</v>
      </c>
      <c r="B14430" s="572">
        <v>81.044499999999999</v>
      </c>
      <c r="C14430" s="572">
        <v>390.43099999999998</v>
      </c>
    </row>
    <row r="14431" spans="1:3">
      <c r="A14431" s="571" t="s">
        <v>2225</v>
      </c>
      <c r="B14431" s="572">
        <v>83.365600000000001</v>
      </c>
      <c r="C14431" s="572">
        <v>390.43099999999998</v>
      </c>
    </row>
    <row r="14432" spans="1:3">
      <c r="A14432" s="571" t="s">
        <v>2225</v>
      </c>
      <c r="B14432" s="572">
        <v>84.912999999999997</v>
      </c>
      <c r="C14432" s="572">
        <v>393.30099999999999</v>
      </c>
    </row>
    <row r="14433" spans="1:3">
      <c r="A14433" s="571" t="s">
        <v>2225</v>
      </c>
      <c r="B14433" s="572">
        <v>87.040599999999998</v>
      </c>
      <c r="C14433" s="572">
        <v>393.30099999999999</v>
      </c>
    </row>
    <row r="14434" spans="1:3">
      <c r="A14434" s="571" t="s">
        <v>2225</v>
      </c>
      <c r="B14434" s="572">
        <v>88.974900000000005</v>
      </c>
      <c r="C14434" s="572">
        <v>393.30099999999999</v>
      </c>
    </row>
    <row r="14435" spans="1:3">
      <c r="A14435" s="571" t="s">
        <v>2226</v>
      </c>
      <c r="B14435" s="572">
        <v>0.19342400000000001</v>
      </c>
      <c r="C14435" s="572">
        <v>2.88462</v>
      </c>
    </row>
    <row r="14436" spans="1:3">
      <c r="A14436" s="571" t="s">
        <v>2226</v>
      </c>
      <c r="B14436" s="572">
        <v>0.386847</v>
      </c>
      <c r="C14436" s="572">
        <v>25.961500000000001</v>
      </c>
    </row>
    <row r="14437" spans="1:3">
      <c r="A14437" s="571" t="s">
        <v>2226</v>
      </c>
      <c r="B14437" s="572">
        <v>0.386847</v>
      </c>
      <c r="C14437" s="572">
        <v>25.961500000000001</v>
      </c>
    </row>
    <row r="14438" spans="1:3">
      <c r="A14438" s="571" t="s">
        <v>2226</v>
      </c>
      <c r="B14438" s="572">
        <v>0.58027099999999998</v>
      </c>
      <c r="C14438" s="572">
        <v>98.076899999999995</v>
      </c>
    </row>
    <row r="14439" spans="1:3">
      <c r="A14439" s="571" t="s">
        <v>2226</v>
      </c>
      <c r="B14439" s="572">
        <v>0.96711800000000003</v>
      </c>
      <c r="C14439" s="572">
        <v>181.73099999999999</v>
      </c>
    </row>
    <row r="14440" spans="1:3">
      <c r="A14440" s="571" t="s">
        <v>2226</v>
      </c>
      <c r="B14440" s="572">
        <v>0.96711800000000003</v>
      </c>
      <c r="C14440" s="572">
        <v>181.73099999999999</v>
      </c>
    </row>
    <row r="14441" spans="1:3">
      <c r="A14441" s="571" t="s">
        <v>2226</v>
      </c>
      <c r="B14441" s="572">
        <v>1.3539699999999999</v>
      </c>
      <c r="C14441" s="572">
        <v>204.80799999999999</v>
      </c>
    </row>
    <row r="14442" spans="1:3">
      <c r="A14442" s="571" t="s">
        <v>2226</v>
      </c>
      <c r="B14442" s="572">
        <v>1.74081</v>
      </c>
      <c r="C14442" s="572">
        <v>225</v>
      </c>
    </row>
    <row r="14443" spans="1:3">
      <c r="A14443" s="571" t="s">
        <v>2226</v>
      </c>
      <c r="B14443" s="572">
        <v>1.93424</v>
      </c>
      <c r="C14443" s="572">
        <v>242.30799999999999</v>
      </c>
    </row>
    <row r="14444" spans="1:3">
      <c r="A14444" s="571" t="s">
        <v>2226</v>
      </c>
      <c r="B14444" s="572">
        <v>2.7079300000000002</v>
      </c>
      <c r="C14444" s="572">
        <v>262.5</v>
      </c>
    </row>
    <row r="14445" spans="1:3">
      <c r="A14445" s="571" t="s">
        <v>2226</v>
      </c>
      <c r="B14445" s="572">
        <v>2.9013499999999999</v>
      </c>
      <c r="C14445" s="572">
        <v>279.80799999999999</v>
      </c>
    </row>
    <row r="14446" spans="1:3">
      <c r="A14446" s="571" t="s">
        <v>2226</v>
      </c>
      <c r="B14446" s="572">
        <v>3.4816199999999999</v>
      </c>
      <c r="C14446" s="572">
        <v>297.11500000000001</v>
      </c>
    </row>
    <row r="14447" spans="1:3">
      <c r="A14447" s="571" t="s">
        <v>2226</v>
      </c>
      <c r="B14447" s="572">
        <v>4.4487399999999999</v>
      </c>
      <c r="C14447" s="572">
        <v>314.423</v>
      </c>
    </row>
    <row r="14448" spans="1:3">
      <c r="A14448" s="571" t="s">
        <v>2226</v>
      </c>
      <c r="B14448" s="572">
        <v>5.4158600000000003</v>
      </c>
      <c r="C14448" s="572">
        <v>331.73099999999999</v>
      </c>
    </row>
    <row r="14449" spans="1:3">
      <c r="A14449" s="571" t="s">
        <v>2226</v>
      </c>
      <c r="B14449" s="572">
        <v>5.60928</v>
      </c>
      <c r="C14449" s="572">
        <v>334.61500000000001</v>
      </c>
    </row>
    <row r="14450" spans="1:3">
      <c r="A14450" s="571" t="s">
        <v>2226</v>
      </c>
      <c r="B14450" s="572">
        <v>6.9632500000000004</v>
      </c>
      <c r="C14450" s="572">
        <v>354.80799999999999</v>
      </c>
    </row>
    <row r="14451" spans="1:3">
      <c r="A14451" s="571" t="s">
        <v>2226</v>
      </c>
      <c r="B14451" s="572">
        <v>8.3172099999999993</v>
      </c>
      <c r="C14451" s="572">
        <v>375</v>
      </c>
    </row>
    <row r="14452" spans="1:3">
      <c r="A14452" s="571" t="s">
        <v>2226</v>
      </c>
      <c r="B14452" s="572">
        <v>9.8645999999999994</v>
      </c>
      <c r="C14452" s="572">
        <v>392.30799999999999</v>
      </c>
    </row>
    <row r="14453" spans="1:3">
      <c r="A14453" s="571" t="s">
        <v>2226</v>
      </c>
      <c r="B14453" s="572">
        <v>11.605399999999999</v>
      </c>
      <c r="C14453" s="572">
        <v>406.73099999999999</v>
      </c>
    </row>
    <row r="14454" spans="1:3">
      <c r="A14454" s="571" t="s">
        <v>2226</v>
      </c>
      <c r="B14454" s="572">
        <v>13.3462</v>
      </c>
      <c r="C14454" s="572">
        <v>418.26900000000001</v>
      </c>
    </row>
    <row r="14455" spans="1:3">
      <c r="A14455" s="571" t="s">
        <v>2226</v>
      </c>
      <c r="B14455" s="572">
        <v>15.087</v>
      </c>
      <c r="C14455" s="572">
        <v>432.69200000000001</v>
      </c>
    </row>
    <row r="14456" spans="1:3">
      <c r="A14456" s="571" t="s">
        <v>2226</v>
      </c>
      <c r="B14456" s="572">
        <v>16.8279</v>
      </c>
      <c r="C14456" s="572">
        <v>444.23099999999999</v>
      </c>
    </row>
    <row r="14457" spans="1:3">
      <c r="A14457" s="571" t="s">
        <v>2226</v>
      </c>
      <c r="B14457" s="572">
        <v>18.5687</v>
      </c>
      <c r="C14457" s="572">
        <v>452.88499999999999</v>
      </c>
    </row>
    <row r="14458" spans="1:3">
      <c r="A14458" s="571" t="s">
        <v>2226</v>
      </c>
      <c r="B14458" s="572">
        <v>20.5029</v>
      </c>
      <c r="C14458" s="572">
        <v>461.53800000000001</v>
      </c>
    </row>
    <row r="14459" spans="1:3">
      <c r="A14459" s="571" t="s">
        <v>2226</v>
      </c>
      <c r="B14459" s="572">
        <v>22.437100000000001</v>
      </c>
      <c r="C14459" s="572">
        <v>467.30799999999999</v>
      </c>
    </row>
    <row r="14460" spans="1:3">
      <c r="A14460" s="571" t="s">
        <v>2226</v>
      </c>
      <c r="B14460" s="572">
        <v>24.177900000000001</v>
      </c>
      <c r="C14460" s="572">
        <v>473.077</v>
      </c>
    </row>
    <row r="14461" spans="1:3">
      <c r="A14461" s="571" t="s">
        <v>2226</v>
      </c>
      <c r="B14461" s="572">
        <v>26.112200000000001</v>
      </c>
      <c r="C14461" s="572">
        <v>478.846</v>
      </c>
    </row>
    <row r="14462" spans="1:3">
      <c r="A14462" s="571" t="s">
        <v>2226</v>
      </c>
      <c r="B14462" s="572">
        <v>27.853000000000002</v>
      </c>
      <c r="C14462" s="572">
        <v>484.61500000000001</v>
      </c>
    </row>
    <row r="14463" spans="1:3">
      <c r="A14463" s="571" t="s">
        <v>2226</v>
      </c>
      <c r="B14463" s="572">
        <v>29.787199999999999</v>
      </c>
      <c r="C14463" s="572">
        <v>487.5</v>
      </c>
    </row>
    <row r="14464" spans="1:3">
      <c r="A14464" s="571" t="s">
        <v>2226</v>
      </c>
      <c r="B14464" s="572">
        <v>31.721499999999999</v>
      </c>
      <c r="C14464" s="572">
        <v>493.26900000000001</v>
      </c>
    </row>
    <row r="14465" spans="1:3">
      <c r="A14465" s="571" t="s">
        <v>2226</v>
      </c>
      <c r="B14465" s="572">
        <v>33.462299999999999</v>
      </c>
      <c r="C14465" s="572">
        <v>496.154</v>
      </c>
    </row>
    <row r="14466" spans="1:3">
      <c r="A14466" s="571" t="s">
        <v>2226</v>
      </c>
      <c r="B14466" s="572">
        <v>35.396500000000003</v>
      </c>
      <c r="C14466" s="572">
        <v>499.03800000000001</v>
      </c>
    </row>
    <row r="14467" spans="1:3">
      <c r="A14467" s="571" t="s">
        <v>2226</v>
      </c>
      <c r="B14467" s="572">
        <v>37.330800000000004</v>
      </c>
      <c r="C14467" s="572">
        <v>501.923</v>
      </c>
    </row>
    <row r="14468" spans="1:3">
      <c r="A14468" s="571" t="s">
        <v>2226</v>
      </c>
      <c r="B14468" s="572">
        <v>39.265000000000001</v>
      </c>
      <c r="C14468" s="572">
        <v>504.80799999999999</v>
      </c>
    </row>
    <row r="14469" spans="1:3">
      <c r="A14469" s="571" t="s">
        <v>2226</v>
      </c>
      <c r="B14469" s="572">
        <v>41.199199999999998</v>
      </c>
      <c r="C14469" s="572">
        <v>504.80799999999999</v>
      </c>
    </row>
    <row r="14470" spans="1:3">
      <c r="A14470" s="571" t="s">
        <v>2226</v>
      </c>
      <c r="B14470" s="572">
        <v>42.94</v>
      </c>
      <c r="C14470" s="572">
        <v>507.69200000000001</v>
      </c>
    </row>
    <row r="14471" spans="1:3">
      <c r="A14471" s="571" t="s">
        <v>2226</v>
      </c>
      <c r="B14471" s="572">
        <v>44.874299999999998</v>
      </c>
      <c r="C14471" s="572">
        <v>510.577</v>
      </c>
    </row>
    <row r="14472" spans="1:3">
      <c r="A14472" s="571" t="s">
        <v>2226</v>
      </c>
      <c r="B14472" s="572">
        <v>46.808500000000002</v>
      </c>
      <c r="C14472" s="572">
        <v>513.46199999999999</v>
      </c>
    </row>
    <row r="14473" spans="1:3">
      <c r="A14473" s="571" t="s">
        <v>2226</v>
      </c>
      <c r="B14473" s="572">
        <v>48.742699999999999</v>
      </c>
      <c r="C14473" s="572">
        <v>516.346</v>
      </c>
    </row>
    <row r="14474" spans="1:3">
      <c r="A14474" s="571" t="s">
        <v>2226</v>
      </c>
      <c r="B14474" s="572">
        <v>50.483600000000003</v>
      </c>
      <c r="C14474" s="572">
        <v>516.346</v>
      </c>
    </row>
    <row r="14475" spans="1:3">
      <c r="A14475" s="571" t="s">
        <v>2226</v>
      </c>
      <c r="B14475" s="572">
        <v>52.4178</v>
      </c>
      <c r="C14475" s="572">
        <v>516.346</v>
      </c>
    </row>
    <row r="14476" spans="1:3">
      <c r="A14476" s="571" t="s">
        <v>2226</v>
      </c>
      <c r="B14476" s="572">
        <v>54.351999999999997</v>
      </c>
      <c r="C14476" s="572">
        <v>513.46199999999999</v>
      </c>
    </row>
    <row r="14477" spans="1:3">
      <c r="A14477" s="571" t="s">
        <v>2226</v>
      </c>
      <c r="B14477" s="572">
        <v>56.286299999999997</v>
      </c>
      <c r="C14477" s="572">
        <v>516.346</v>
      </c>
    </row>
    <row r="14478" spans="1:3">
      <c r="A14478" s="571" t="s">
        <v>2226</v>
      </c>
      <c r="B14478" s="572">
        <v>58.220500000000001</v>
      </c>
      <c r="C14478" s="572">
        <v>513.46199999999999</v>
      </c>
    </row>
    <row r="14479" spans="1:3">
      <c r="A14479" s="571" t="s">
        <v>2226</v>
      </c>
      <c r="B14479" s="572">
        <v>60.154699999999998</v>
      </c>
      <c r="C14479" s="572">
        <v>513.46199999999999</v>
      </c>
    </row>
    <row r="14480" spans="1:3">
      <c r="A14480" s="571" t="s">
        <v>2226</v>
      </c>
      <c r="B14480" s="572">
        <v>62.862699999999997</v>
      </c>
      <c r="C14480" s="572">
        <v>513.46199999999999</v>
      </c>
    </row>
    <row r="14481" spans="1:3">
      <c r="A14481" s="571" t="s">
        <v>2226</v>
      </c>
      <c r="B14481" s="572">
        <v>64.796899999999994</v>
      </c>
      <c r="C14481" s="572">
        <v>516.346</v>
      </c>
    </row>
    <row r="14482" spans="1:3">
      <c r="A14482" s="571" t="s">
        <v>2226</v>
      </c>
      <c r="B14482" s="572">
        <v>66.731099999999998</v>
      </c>
      <c r="C14482" s="572">
        <v>516.346</v>
      </c>
    </row>
    <row r="14483" spans="1:3">
      <c r="A14483" s="571" t="s">
        <v>2226</v>
      </c>
      <c r="B14483" s="572">
        <v>68.665400000000005</v>
      </c>
      <c r="C14483" s="572">
        <v>516.346</v>
      </c>
    </row>
    <row r="14484" spans="1:3">
      <c r="A14484" s="571" t="s">
        <v>2226</v>
      </c>
      <c r="B14484" s="572">
        <v>70.599599999999995</v>
      </c>
      <c r="C14484" s="572">
        <v>516.346</v>
      </c>
    </row>
    <row r="14485" spans="1:3">
      <c r="A14485" s="571" t="s">
        <v>2226</v>
      </c>
      <c r="B14485" s="572">
        <v>72.533799999999999</v>
      </c>
      <c r="C14485" s="572">
        <v>516.346</v>
      </c>
    </row>
    <row r="14486" spans="1:3">
      <c r="A14486" s="571" t="s">
        <v>2226</v>
      </c>
      <c r="B14486" s="572">
        <v>74.854900000000001</v>
      </c>
      <c r="C14486" s="572">
        <v>516.346</v>
      </c>
    </row>
    <row r="14487" spans="1:3">
      <c r="A14487" s="571" t="s">
        <v>2226</v>
      </c>
      <c r="B14487" s="572">
        <v>76.2089</v>
      </c>
      <c r="C14487" s="572">
        <v>522.11500000000001</v>
      </c>
    </row>
    <row r="14488" spans="1:3">
      <c r="A14488" s="571" t="s">
        <v>2226</v>
      </c>
      <c r="B14488" s="572">
        <v>78.143100000000004</v>
      </c>
      <c r="C14488" s="572">
        <v>522.11500000000001</v>
      </c>
    </row>
    <row r="14489" spans="1:3">
      <c r="A14489" s="571" t="s">
        <v>2226</v>
      </c>
      <c r="B14489" s="572">
        <v>80.270799999999994</v>
      </c>
      <c r="C14489" s="572">
        <v>522.11500000000001</v>
      </c>
    </row>
    <row r="14490" spans="1:3">
      <c r="A14490" s="571" t="s">
        <v>2226</v>
      </c>
      <c r="B14490" s="572">
        <v>82.011600000000001</v>
      </c>
      <c r="C14490" s="572">
        <v>525</v>
      </c>
    </row>
    <row r="14491" spans="1:3">
      <c r="A14491" s="571" t="s">
        <v>2226</v>
      </c>
      <c r="B14491" s="572">
        <v>83.945800000000006</v>
      </c>
      <c r="C14491" s="572">
        <v>525</v>
      </c>
    </row>
    <row r="14492" spans="1:3">
      <c r="A14492" s="571" t="s">
        <v>2226</v>
      </c>
      <c r="B14492" s="572">
        <v>86.073499999999996</v>
      </c>
      <c r="C14492" s="572">
        <v>527.88499999999999</v>
      </c>
    </row>
    <row r="14493" spans="1:3">
      <c r="A14493" s="571" t="s">
        <v>2226</v>
      </c>
      <c r="B14493" s="572">
        <v>88.0077</v>
      </c>
      <c r="C14493" s="572">
        <v>530.76900000000001</v>
      </c>
    </row>
    <row r="14494" spans="1:3">
      <c r="A14494" s="571" t="s">
        <v>2226</v>
      </c>
      <c r="B14494" s="572">
        <v>89.941999999999993</v>
      </c>
      <c r="C14494" s="572">
        <v>527.88499999999999</v>
      </c>
    </row>
    <row r="14495" spans="1:3">
      <c r="A14495" s="571" t="s">
        <v>2227</v>
      </c>
      <c r="B14495" s="572">
        <v>0.77519400000000005</v>
      </c>
      <c r="C14495" s="572">
        <v>2.88462</v>
      </c>
    </row>
    <row r="14496" spans="1:3">
      <c r="A14496" s="571" t="s">
        <v>2227</v>
      </c>
      <c r="B14496" s="572">
        <v>1.16279</v>
      </c>
      <c r="C14496" s="572">
        <v>14.4231</v>
      </c>
    </row>
    <row r="14497" spans="1:3">
      <c r="A14497" s="571" t="s">
        <v>2227</v>
      </c>
      <c r="B14497" s="572">
        <v>1.35659</v>
      </c>
      <c r="C14497" s="572">
        <v>28.8462</v>
      </c>
    </row>
    <row r="14498" spans="1:3">
      <c r="A14498" s="571" t="s">
        <v>2227</v>
      </c>
      <c r="B14498" s="572">
        <v>1.5503899999999999</v>
      </c>
      <c r="C14498" s="572">
        <v>43.269199999999998</v>
      </c>
    </row>
    <row r="14499" spans="1:3">
      <c r="A14499" s="571" t="s">
        <v>2227</v>
      </c>
      <c r="B14499" s="572">
        <v>1.7441899999999999</v>
      </c>
      <c r="C14499" s="572">
        <v>54.807699999999997</v>
      </c>
    </row>
    <row r="14500" spans="1:3">
      <c r="A14500" s="571" t="s">
        <v>2227</v>
      </c>
      <c r="B14500" s="572">
        <v>2.32558</v>
      </c>
      <c r="C14500" s="572">
        <v>83.653800000000004</v>
      </c>
    </row>
    <row r="14501" spans="1:3">
      <c r="A14501" s="571" t="s">
        <v>2227</v>
      </c>
      <c r="B14501" s="572">
        <v>2.7131799999999999</v>
      </c>
      <c r="C14501" s="572">
        <v>103.846</v>
      </c>
    </row>
    <row r="14502" spans="1:3">
      <c r="A14502" s="571" t="s">
        <v>2227</v>
      </c>
      <c r="B14502" s="572">
        <v>3.2945700000000002</v>
      </c>
      <c r="C14502" s="572">
        <v>126.923</v>
      </c>
    </row>
    <row r="14503" spans="1:3">
      <c r="A14503" s="571" t="s">
        <v>2227</v>
      </c>
      <c r="B14503" s="572">
        <v>4.65116</v>
      </c>
      <c r="C14503" s="572">
        <v>144.23099999999999</v>
      </c>
    </row>
    <row r="14504" spans="1:3">
      <c r="A14504" s="571" t="s">
        <v>2227</v>
      </c>
      <c r="B14504" s="572">
        <v>6.0077499999999997</v>
      </c>
      <c r="C14504" s="572">
        <v>167.30799999999999</v>
      </c>
    </row>
    <row r="14505" spans="1:3">
      <c r="A14505" s="571" t="s">
        <v>2227</v>
      </c>
      <c r="B14505" s="572">
        <v>7.1705399999999999</v>
      </c>
      <c r="C14505" s="572">
        <v>181.73099999999999</v>
      </c>
    </row>
    <row r="14506" spans="1:3">
      <c r="A14506" s="571" t="s">
        <v>2227</v>
      </c>
      <c r="B14506" s="572">
        <v>8.5271299999999997</v>
      </c>
      <c r="C14506" s="572">
        <v>204.80799999999999</v>
      </c>
    </row>
    <row r="14507" spans="1:3">
      <c r="A14507" s="571" t="s">
        <v>2227</v>
      </c>
      <c r="B14507" s="572">
        <v>9.8837200000000003</v>
      </c>
      <c r="C14507" s="572">
        <v>222.11500000000001</v>
      </c>
    </row>
    <row r="14508" spans="1:3">
      <c r="A14508" s="571" t="s">
        <v>2227</v>
      </c>
      <c r="B14508" s="572">
        <v>12.015499999999999</v>
      </c>
      <c r="C14508" s="572">
        <v>233.654</v>
      </c>
    </row>
    <row r="14509" spans="1:3">
      <c r="A14509" s="571" t="s">
        <v>2227</v>
      </c>
      <c r="B14509" s="572">
        <v>13.7597</v>
      </c>
      <c r="C14509" s="572">
        <v>245.19200000000001</v>
      </c>
    </row>
    <row r="14510" spans="1:3">
      <c r="A14510" s="571" t="s">
        <v>2227</v>
      </c>
      <c r="B14510" s="572">
        <v>15.891500000000001</v>
      </c>
      <c r="C14510" s="572">
        <v>259.61500000000001</v>
      </c>
    </row>
    <row r="14511" spans="1:3">
      <c r="A14511" s="571" t="s">
        <v>2227</v>
      </c>
      <c r="B14511" s="572">
        <v>18.023299999999999</v>
      </c>
      <c r="C14511" s="572">
        <v>271.154</v>
      </c>
    </row>
    <row r="14512" spans="1:3">
      <c r="A14512" s="571" t="s">
        <v>2227</v>
      </c>
      <c r="B14512" s="572">
        <v>20.5426</v>
      </c>
      <c r="C14512" s="572">
        <v>282.69200000000001</v>
      </c>
    </row>
    <row r="14513" spans="1:3">
      <c r="A14513" s="571" t="s">
        <v>2227</v>
      </c>
      <c r="B14513" s="572">
        <v>22.674399999999999</v>
      </c>
      <c r="C14513" s="572">
        <v>291.346</v>
      </c>
    </row>
    <row r="14514" spans="1:3">
      <c r="A14514" s="571" t="s">
        <v>2227</v>
      </c>
      <c r="B14514" s="572">
        <v>25</v>
      </c>
      <c r="C14514" s="572">
        <v>300</v>
      </c>
    </row>
    <row r="14515" spans="1:3">
      <c r="A14515" s="571" t="s">
        <v>2227</v>
      </c>
      <c r="B14515" s="572">
        <v>27.131799999999998</v>
      </c>
      <c r="C14515" s="572">
        <v>305.76900000000001</v>
      </c>
    </row>
    <row r="14516" spans="1:3">
      <c r="A14516" s="571" t="s">
        <v>2227</v>
      </c>
      <c r="B14516" s="572">
        <v>29.2636</v>
      </c>
      <c r="C14516" s="572">
        <v>311.53800000000001</v>
      </c>
    </row>
    <row r="14517" spans="1:3">
      <c r="A14517" s="571" t="s">
        <v>2227</v>
      </c>
      <c r="B14517" s="572">
        <v>31.589099999999998</v>
      </c>
      <c r="C14517" s="572">
        <v>314.423</v>
      </c>
    </row>
    <row r="14518" spans="1:3">
      <c r="A14518" s="571" t="s">
        <v>2227</v>
      </c>
      <c r="B14518" s="572">
        <v>33.914700000000003</v>
      </c>
      <c r="C14518" s="572">
        <v>323.077</v>
      </c>
    </row>
    <row r="14519" spans="1:3">
      <c r="A14519" s="571" t="s">
        <v>2227</v>
      </c>
      <c r="B14519" s="572">
        <v>36.627899999999997</v>
      </c>
      <c r="C14519" s="572">
        <v>328.846</v>
      </c>
    </row>
    <row r="14520" spans="1:3">
      <c r="A14520" s="571" t="s">
        <v>2227</v>
      </c>
      <c r="B14520" s="572">
        <v>39.147300000000001</v>
      </c>
      <c r="C14520" s="572">
        <v>331.73099999999999</v>
      </c>
    </row>
    <row r="14521" spans="1:3">
      <c r="A14521" s="571" t="s">
        <v>2227</v>
      </c>
      <c r="B14521" s="572">
        <v>41.472900000000003</v>
      </c>
      <c r="C14521" s="572">
        <v>337.5</v>
      </c>
    </row>
    <row r="14522" spans="1:3">
      <c r="A14522" s="571" t="s">
        <v>2227</v>
      </c>
      <c r="B14522" s="572">
        <v>44.186</v>
      </c>
      <c r="C14522" s="572">
        <v>340.38499999999999</v>
      </c>
    </row>
    <row r="14523" spans="1:3">
      <c r="A14523" s="571" t="s">
        <v>2227</v>
      </c>
      <c r="B14523" s="572">
        <v>46.317799999999998</v>
      </c>
      <c r="C14523" s="572">
        <v>343.26900000000001</v>
      </c>
    </row>
    <row r="14524" spans="1:3">
      <c r="A14524" s="571" t="s">
        <v>2227</v>
      </c>
      <c r="B14524" s="572">
        <v>48.6434</v>
      </c>
      <c r="C14524" s="572">
        <v>346.154</v>
      </c>
    </row>
    <row r="14525" spans="1:3">
      <c r="A14525" s="571" t="s">
        <v>2227</v>
      </c>
      <c r="B14525" s="572">
        <v>50.969000000000001</v>
      </c>
      <c r="C14525" s="572">
        <v>349.03800000000001</v>
      </c>
    </row>
    <row r="14526" spans="1:3">
      <c r="A14526" s="571" t="s">
        <v>2227</v>
      </c>
      <c r="B14526" s="572">
        <v>52.906999999999996</v>
      </c>
      <c r="C14526" s="572">
        <v>349.03800000000001</v>
      </c>
    </row>
    <row r="14527" spans="1:3">
      <c r="A14527" s="571" t="s">
        <v>2227</v>
      </c>
      <c r="B14527" s="572">
        <v>54.844999999999999</v>
      </c>
      <c r="C14527" s="572">
        <v>354.80799999999999</v>
      </c>
    </row>
    <row r="14528" spans="1:3">
      <c r="A14528" s="571" t="s">
        <v>2227</v>
      </c>
      <c r="B14528" s="572">
        <v>56.589100000000002</v>
      </c>
      <c r="C14528" s="572">
        <v>354.80799999999999</v>
      </c>
    </row>
    <row r="14529" spans="1:3">
      <c r="A14529" s="571" t="s">
        <v>2227</v>
      </c>
      <c r="B14529" s="572">
        <v>58.914700000000003</v>
      </c>
      <c r="C14529" s="572">
        <v>357.69200000000001</v>
      </c>
    </row>
    <row r="14530" spans="1:3">
      <c r="A14530" s="571" t="s">
        <v>2227</v>
      </c>
      <c r="B14530" s="572">
        <v>61.240299999999998</v>
      </c>
      <c r="C14530" s="572">
        <v>357.69200000000001</v>
      </c>
    </row>
    <row r="14531" spans="1:3">
      <c r="A14531" s="571" t="s">
        <v>2227</v>
      </c>
      <c r="B14531" s="572">
        <v>62.790700000000001</v>
      </c>
      <c r="C14531" s="572">
        <v>357.69200000000001</v>
      </c>
    </row>
    <row r="14532" spans="1:3">
      <c r="A14532" s="571" t="s">
        <v>2227</v>
      </c>
      <c r="B14532" s="572">
        <v>64.341099999999997</v>
      </c>
      <c r="C14532" s="572">
        <v>360.577</v>
      </c>
    </row>
    <row r="14533" spans="1:3">
      <c r="A14533" s="571" t="s">
        <v>2227</v>
      </c>
      <c r="B14533" s="572">
        <v>65.891499999999994</v>
      </c>
      <c r="C14533" s="572">
        <v>360.577</v>
      </c>
    </row>
    <row r="14534" spans="1:3">
      <c r="A14534" s="571" t="s">
        <v>2227</v>
      </c>
      <c r="B14534" s="572">
        <v>67.441900000000004</v>
      </c>
      <c r="C14534" s="572">
        <v>360.577</v>
      </c>
    </row>
    <row r="14535" spans="1:3">
      <c r="A14535" s="571" t="s">
        <v>2227</v>
      </c>
      <c r="B14535" s="572">
        <v>69.767399999999995</v>
      </c>
      <c r="C14535" s="572">
        <v>363.46199999999999</v>
      </c>
    </row>
    <row r="14536" spans="1:3">
      <c r="A14536" s="571" t="s">
        <v>2227</v>
      </c>
      <c r="B14536" s="572">
        <v>71.899199999999993</v>
      </c>
      <c r="C14536" s="572">
        <v>363.46199999999999</v>
      </c>
    </row>
    <row r="14537" spans="1:3">
      <c r="A14537" s="571" t="s">
        <v>2227</v>
      </c>
      <c r="B14537" s="572">
        <v>73.255799999999994</v>
      </c>
      <c r="C14537" s="572">
        <v>366.346</v>
      </c>
    </row>
    <row r="14538" spans="1:3">
      <c r="A14538" s="571" t="s">
        <v>2227</v>
      </c>
      <c r="B14538" s="572">
        <v>75.581400000000002</v>
      </c>
      <c r="C14538" s="572">
        <v>366.346</v>
      </c>
    </row>
    <row r="14539" spans="1:3">
      <c r="A14539" s="571" t="s">
        <v>2227</v>
      </c>
      <c r="B14539" s="572">
        <v>77.131799999999998</v>
      </c>
      <c r="C14539" s="572">
        <v>369.23099999999999</v>
      </c>
    </row>
    <row r="14540" spans="1:3">
      <c r="A14540" s="571" t="s">
        <v>2227</v>
      </c>
      <c r="B14540" s="572">
        <v>79.263599999999997</v>
      </c>
      <c r="C14540" s="572">
        <v>372.11500000000001</v>
      </c>
    </row>
    <row r="14541" spans="1:3">
      <c r="A14541" s="571" t="s">
        <v>2227</v>
      </c>
      <c r="B14541" s="572">
        <v>81.589100000000002</v>
      </c>
      <c r="C14541" s="572">
        <v>372.11500000000001</v>
      </c>
    </row>
    <row r="14542" spans="1:3">
      <c r="A14542" s="571" t="s">
        <v>2227</v>
      </c>
      <c r="B14542" s="572">
        <v>83.139499999999998</v>
      </c>
      <c r="C14542" s="572">
        <v>375</v>
      </c>
    </row>
    <row r="14543" spans="1:3">
      <c r="A14543" s="571" t="s">
        <v>2227</v>
      </c>
      <c r="B14543" s="572">
        <v>85.077500000000001</v>
      </c>
      <c r="C14543" s="572">
        <v>377.88499999999999</v>
      </c>
    </row>
    <row r="14544" spans="1:3">
      <c r="A14544" s="571" t="s">
        <v>2227</v>
      </c>
      <c r="B14544" s="572">
        <v>87.596900000000005</v>
      </c>
      <c r="C14544" s="572">
        <v>380.76900000000001</v>
      </c>
    </row>
    <row r="14545" spans="1:3">
      <c r="A14545" s="571" t="s">
        <v>2227</v>
      </c>
      <c r="B14545" s="572">
        <v>89.341099999999997</v>
      </c>
      <c r="C14545" s="572">
        <v>380.76900000000001</v>
      </c>
    </row>
    <row r="14546" spans="1:3">
      <c r="A14546" s="571" t="s">
        <v>2228</v>
      </c>
      <c r="B14546" s="572">
        <v>0.38759700000000002</v>
      </c>
      <c r="C14546" s="572">
        <v>60.5657</v>
      </c>
    </row>
    <row r="14547" spans="1:3">
      <c r="A14547" s="571" t="s">
        <v>2228</v>
      </c>
      <c r="B14547" s="572">
        <v>0.581395</v>
      </c>
      <c r="C14547" s="572">
        <v>37.483199999999997</v>
      </c>
    </row>
    <row r="14548" spans="1:3">
      <c r="A14548" s="571" t="s">
        <v>2228</v>
      </c>
      <c r="B14548" s="572">
        <v>0.77519400000000005</v>
      </c>
      <c r="C14548" s="572">
        <v>17.285299999999999</v>
      </c>
    </row>
    <row r="14549" spans="1:3">
      <c r="A14549" s="571" t="s">
        <v>2228</v>
      </c>
      <c r="B14549" s="572">
        <v>0.96899199999999996</v>
      </c>
      <c r="C14549" s="572">
        <v>77.856700000000004</v>
      </c>
    </row>
    <row r="14550" spans="1:3">
      <c r="A14550" s="571" t="s">
        <v>2228</v>
      </c>
      <c r="B14550" s="572">
        <v>1.16279</v>
      </c>
      <c r="C14550" s="572">
        <v>3.3542000000000002E-2</v>
      </c>
    </row>
    <row r="14551" spans="1:3">
      <c r="A14551" s="571" t="s">
        <v>2228</v>
      </c>
      <c r="B14551" s="572">
        <v>2.13178</v>
      </c>
      <c r="C14551" s="572">
        <v>106.669</v>
      </c>
    </row>
    <row r="14552" spans="1:3">
      <c r="A14552" s="571" t="s">
        <v>2228</v>
      </c>
      <c r="B14552" s="572">
        <v>3.4883700000000002</v>
      </c>
      <c r="C14552" s="572">
        <v>126.822</v>
      </c>
    </row>
    <row r="14553" spans="1:3">
      <c r="A14553" s="571" t="s">
        <v>2228</v>
      </c>
      <c r="B14553" s="572">
        <v>5.4263599999999999</v>
      </c>
      <c r="C14553" s="572">
        <v>146.959</v>
      </c>
    </row>
    <row r="14554" spans="1:3">
      <c r="A14554" s="571" t="s">
        <v>2228</v>
      </c>
      <c r="B14554" s="572">
        <v>6.7829499999999996</v>
      </c>
      <c r="C14554" s="572">
        <v>169.99700000000001</v>
      </c>
    </row>
    <row r="14555" spans="1:3">
      <c r="A14555" s="571" t="s">
        <v>2228</v>
      </c>
      <c r="B14555" s="572">
        <v>8.7209299999999992</v>
      </c>
      <c r="C14555" s="572">
        <v>187.24799999999999</v>
      </c>
    </row>
    <row r="14556" spans="1:3">
      <c r="A14556" s="571" t="s">
        <v>2228</v>
      </c>
      <c r="B14556" s="572">
        <v>10.658899999999999</v>
      </c>
      <c r="C14556" s="572">
        <v>210.26900000000001</v>
      </c>
    </row>
    <row r="14557" spans="1:3">
      <c r="A14557" s="571" t="s">
        <v>2228</v>
      </c>
      <c r="B14557" s="572">
        <v>12.5969</v>
      </c>
      <c r="C14557" s="572">
        <v>227.52099999999999</v>
      </c>
    </row>
    <row r="14558" spans="1:3">
      <c r="A14558" s="571" t="s">
        <v>2228</v>
      </c>
      <c r="B14558" s="572">
        <v>15.116300000000001</v>
      </c>
      <c r="C14558" s="572">
        <v>241.87200000000001</v>
      </c>
    </row>
    <row r="14559" spans="1:3">
      <c r="A14559" s="571" t="s">
        <v>2228</v>
      </c>
      <c r="B14559" s="572">
        <v>17.829499999999999</v>
      </c>
      <c r="C14559" s="572">
        <v>250.447</v>
      </c>
    </row>
    <row r="14560" spans="1:3">
      <c r="A14560" s="571" t="s">
        <v>2228</v>
      </c>
      <c r="B14560" s="572">
        <v>20.348800000000001</v>
      </c>
      <c r="C14560" s="572">
        <v>261.91300000000001</v>
      </c>
    </row>
    <row r="14561" spans="1:3">
      <c r="A14561" s="571" t="s">
        <v>2228</v>
      </c>
      <c r="B14561" s="572">
        <v>23.062000000000001</v>
      </c>
      <c r="C14561" s="572">
        <v>270.48899999999998</v>
      </c>
    </row>
    <row r="14562" spans="1:3">
      <c r="A14562" s="571" t="s">
        <v>2228</v>
      </c>
      <c r="B14562" s="572">
        <v>25.1938</v>
      </c>
      <c r="C14562" s="572">
        <v>276.19600000000003</v>
      </c>
    </row>
    <row r="14563" spans="1:3">
      <c r="A14563" s="571" t="s">
        <v>2228</v>
      </c>
      <c r="B14563" s="572">
        <v>28.294599999999999</v>
      </c>
      <c r="C14563" s="572">
        <v>281.87599999999998</v>
      </c>
    </row>
    <row r="14564" spans="1:3">
      <c r="A14564" s="571" t="s">
        <v>2228</v>
      </c>
      <c r="B14564" s="572">
        <v>30.426400000000001</v>
      </c>
      <c r="C14564" s="572">
        <v>287.584</v>
      </c>
    </row>
    <row r="14565" spans="1:3">
      <c r="A14565" s="571" t="s">
        <v>2228</v>
      </c>
      <c r="B14565" s="572">
        <v>32.751899999999999</v>
      </c>
      <c r="C14565" s="572">
        <v>290.40100000000001</v>
      </c>
    </row>
    <row r="14566" spans="1:3">
      <c r="A14566" s="571" t="s">
        <v>2228</v>
      </c>
      <c r="B14566" s="572">
        <v>35.658900000000003</v>
      </c>
      <c r="C14566" s="572">
        <v>293.202</v>
      </c>
    </row>
    <row r="14567" spans="1:3">
      <c r="A14567" s="571" t="s">
        <v>2228</v>
      </c>
      <c r="B14567" s="572">
        <v>37.984499999999997</v>
      </c>
      <c r="C14567" s="572">
        <v>298.904</v>
      </c>
    </row>
    <row r="14568" spans="1:3">
      <c r="A14568" s="571" t="s">
        <v>2228</v>
      </c>
      <c r="B14568" s="572">
        <v>41.085299999999997</v>
      </c>
      <c r="C14568" s="572">
        <v>301.69900000000001</v>
      </c>
    </row>
    <row r="14569" spans="1:3">
      <c r="A14569" s="571" t="s">
        <v>2228</v>
      </c>
      <c r="B14569" s="572">
        <v>43.410899999999998</v>
      </c>
      <c r="C14569" s="572">
        <v>307.40199999999999</v>
      </c>
    </row>
    <row r="14570" spans="1:3">
      <c r="A14570" s="571" t="s">
        <v>2228</v>
      </c>
      <c r="B14570" s="572">
        <v>46.705399999999997</v>
      </c>
      <c r="C14570" s="572">
        <v>307.30700000000002</v>
      </c>
    </row>
    <row r="14571" spans="1:3">
      <c r="A14571" s="571" t="s">
        <v>2228</v>
      </c>
      <c r="B14571" s="572">
        <v>49.030999999999999</v>
      </c>
      <c r="C14571" s="572">
        <v>307.23899999999998</v>
      </c>
    </row>
    <row r="14572" spans="1:3">
      <c r="A14572" s="571" t="s">
        <v>2228</v>
      </c>
      <c r="B14572" s="572">
        <v>51.3566</v>
      </c>
      <c r="C14572" s="572">
        <v>310.05700000000002</v>
      </c>
    </row>
    <row r="14573" spans="1:3">
      <c r="A14573" s="571" t="s">
        <v>2228</v>
      </c>
      <c r="B14573" s="572">
        <v>53.875999999999998</v>
      </c>
      <c r="C14573" s="572">
        <v>309.98399999999998</v>
      </c>
    </row>
    <row r="14574" spans="1:3">
      <c r="A14574" s="571" t="s">
        <v>2228</v>
      </c>
      <c r="B14574" s="572">
        <v>56.589100000000002</v>
      </c>
      <c r="C14574" s="572">
        <v>309.90600000000001</v>
      </c>
    </row>
    <row r="14575" spans="1:3">
      <c r="A14575" s="571" t="s">
        <v>2228</v>
      </c>
      <c r="B14575" s="572">
        <v>58.7209</v>
      </c>
      <c r="C14575" s="572">
        <v>312.72899999999998</v>
      </c>
    </row>
    <row r="14576" spans="1:3">
      <c r="A14576" s="571" t="s">
        <v>2228</v>
      </c>
      <c r="B14576" s="572">
        <v>60.852699999999999</v>
      </c>
      <c r="C14576" s="572">
        <v>312.66800000000001</v>
      </c>
    </row>
    <row r="14577" spans="1:3">
      <c r="A14577" s="571" t="s">
        <v>2228</v>
      </c>
      <c r="B14577" s="572">
        <v>63.1783</v>
      </c>
      <c r="C14577" s="572">
        <v>312.601</v>
      </c>
    </row>
    <row r="14578" spans="1:3">
      <c r="A14578" s="571" t="s">
        <v>2228</v>
      </c>
      <c r="B14578" s="572">
        <v>65.891499999999994</v>
      </c>
      <c r="C14578" s="572">
        <v>309.63799999999998</v>
      </c>
    </row>
    <row r="14579" spans="1:3">
      <c r="A14579" s="571" t="s">
        <v>2228</v>
      </c>
      <c r="B14579" s="572">
        <v>68.217100000000002</v>
      </c>
      <c r="C14579" s="572">
        <v>312.45499999999998</v>
      </c>
    </row>
    <row r="14580" spans="1:3">
      <c r="A14580" s="571" t="s">
        <v>2228</v>
      </c>
      <c r="B14580" s="572">
        <v>70.348799999999997</v>
      </c>
      <c r="C14580" s="572">
        <v>309.50900000000001</v>
      </c>
    </row>
    <row r="14581" spans="1:3">
      <c r="A14581" s="571" t="s">
        <v>2228</v>
      </c>
      <c r="B14581" s="572">
        <v>72.674400000000006</v>
      </c>
      <c r="C14581" s="572">
        <v>309.44200000000001</v>
      </c>
    </row>
    <row r="14582" spans="1:3">
      <c r="A14582" s="571" t="s">
        <v>2228</v>
      </c>
      <c r="B14582" s="572">
        <v>75.193799999999996</v>
      </c>
      <c r="C14582" s="572">
        <v>309.36900000000003</v>
      </c>
    </row>
    <row r="14583" spans="1:3">
      <c r="A14583" s="571" t="s">
        <v>2228</v>
      </c>
      <c r="B14583" s="572">
        <v>76.938000000000002</v>
      </c>
      <c r="C14583" s="572">
        <v>315.08800000000002</v>
      </c>
    </row>
    <row r="14584" spans="1:3">
      <c r="A14584" s="571" t="s">
        <v>2228</v>
      </c>
      <c r="B14584" s="572">
        <v>79.263599999999997</v>
      </c>
      <c r="C14584" s="572">
        <v>315.02100000000002</v>
      </c>
    </row>
    <row r="14585" spans="1:3">
      <c r="A14585" s="571" t="s">
        <v>2228</v>
      </c>
      <c r="B14585" s="572">
        <v>80.813999999999993</v>
      </c>
      <c r="C14585" s="572">
        <v>314.97699999999998</v>
      </c>
    </row>
    <row r="14586" spans="1:3">
      <c r="A14586" s="571" t="s">
        <v>2228</v>
      </c>
      <c r="B14586" s="572">
        <v>83.139499999999998</v>
      </c>
      <c r="C14586" s="572">
        <v>314.90899999999999</v>
      </c>
    </row>
    <row r="14587" spans="1:3">
      <c r="A14587" s="571" t="s">
        <v>2228</v>
      </c>
      <c r="B14587" s="572">
        <v>85.077500000000001</v>
      </c>
      <c r="C14587" s="572">
        <v>317.738</v>
      </c>
    </row>
    <row r="14588" spans="1:3">
      <c r="A14588" s="571" t="s">
        <v>2228</v>
      </c>
      <c r="B14588" s="572">
        <v>87.015500000000003</v>
      </c>
      <c r="C14588" s="572">
        <v>323.45100000000002</v>
      </c>
    </row>
    <row r="14589" spans="1:3">
      <c r="A14589" s="571" t="s">
        <v>2228</v>
      </c>
      <c r="B14589" s="572">
        <v>88.953500000000005</v>
      </c>
      <c r="C14589" s="572">
        <v>323.39600000000002</v>
      </c>
    </row>
    <row r="14590" spans="1:3">
      <c r="A14590" s="571" t="s">
        <v>2229</v>
      </c>
      <c r="B14590" s="572">
        <v>0</v>
      </c>
      <c r="C14590" s="572">
        <v>0</v>
      </c>
    </row>
    <row r="14591" spans="1:3">
      <c r="A14591" s="571" t="s">
        <v>2229</v>
      </c>
      <c r="B14591" s="572">
        <v>0.37032199999999998</v>
      </c>
      <c r="C14591" s="572">
        <v>49.038499999999999</v>
      </c>
    </row>
    <row r="14592" spans="1:3">
      <c r="A14592" s="571" t="s">
        <v>2229</v>
      </c>
      <c r="B14592" s="572">
        <v>0.377747</v>
      </c>
      <c r="C14592" s="572">
        <v>25.961500000000001</v>
      </c>
    </row>
    <row r="14593" spans="1:3">
      <c r="A14593" s="571" t="s">
        <v>2229</v>
      </c>
      <c r="B14593" s="572">
        <v>0.74992599999999998</v>
      </c>
      <c r="C14593" s="572">
        <v>69.230800000000002</v>
      </c>
    </row>
    <row r="14594" spans="1:3">
      <c r="A14594" s="571" t="s">
        <v>2229</v>
      </c>
      <c r="B14594" s="572">
        <v>0.93369500000000005</v>
      </c>
      <c r="C14594" s="572">
        <v>98.076899999999995</v>
      </c>
    </row>
    <row r="14595" spans="1:3">
      <c r="A14595" s="571" t="s">
        <v>2229</v>
      </c>
      <c r="B14595" s="572">
        <v>1.31423</v>
      </c>
      <c r="C14595" s="572">
        <v>115.38500000000001</v>
      </c>
    </row>
    <row r="14596" spans="1:3">
      <c r="A14596" s="571" t="s">
        <v>2229</v>
      </c>
      <c r="B14596" s="572">
        <v>1.69476</v>
      </c>
      <c r="C14596" s="572">
        <v>132.69200000000001</v>
      </c>
    </row>
    <row r="14597" spans="1:3">
      <c r="A14597" s="571" t="s">
        <v>2229</v>
      </c>
      <c r="B14597" s="572">
        <v>2.2683399999999998</v>
      </c>
      <c r="C14597" s="572">
        <v>150</v>
      </c>
    </row>
    <row r="14598" spans="1:3">
      <c r="A14598" s="571" t="s">
        <v>2229</v>
      </c>
      <c r="B14598" s="572">
        <v>2.6488700000000001</v>
      </c>
      <c r="C14598" s="572">
        <v>167.30799999999999</v>
      </c>
    </row>
    <row r="14599" spans="1:3">
      <c r="A14599" s="571" t="s">
        <v>2229</v>
      </c>
      <c r="B14599" s="572">
        <v>3.02847</v>
      </c>
      <c r="C14599" s="572">
        <v>187.5</v>
      </c>
    </row>
    <row r="14600" spans="1:3">
      <c r="A14600" s="571" t="s">
        <v>2229</v>
      </c>
      <c r="B14600" s="572">
        <v>3.7951100000000002</v>
      </c>
      <c r="C14600" s="572">
        <v>204.80799999999999</v>
      </c>
    </row>
    <row r="14601" spans="1:3">
      <c r="A14601" s="571" t="s">
        <v>2229</v>
      </c>
      <c r="B14601" s="572">
        <v>4.7529300000000001</v>
      </c>
      <c r="C14601" s="572">
        <v>227.88499999999999</v>
      </c>
    </row>
    <row r="14602" spans="1:3">
      <c r="A14602" s="571" t="s">
        <v>2229</v>
      </c>
      <c r="B14602" s="572">
        <v>6.0977899999999998</v>
      </c>
      <c r="C14602" s="572">
        <v>248.077</v>
      </c>
    </row>
    <row r="14603" spans="1:3">
      <c r="A14603" s="571" t="s">
        <v>2229</v>
      </c>
      <c r="B14603" s="572">
        <v>7.6356900000000003</v>
      </c>
      <c r="C14603" s="572">
        <v>268.26900000000001</v>
      </c>
    </row>
    <row r="14604" spans="1:3">
      <c r="A14604" s="571" t="s">
        <v>2229</v>
      </c>
      <c r="B14604" s="572">
        <v>9.1745199999999993</v>
      </c>
      <c r="C14604" s="572">
        <v>285.577</v>
      </c>
    </row>
    <row r="14605" spans="1:3">
      <c r="A14605" s="571" t="s">
        <v>2229</v>
      </c>
      <c r="B14605" s="572">
        <v>10.907299999999999</v>
      </c>
      <c r="C14605" s="572">
        <v>300</v>
      </c>
    </row>
    <row r="14606" spans="1:3">
      <c r="A14606" s="571" t="s">
        <v>2229</v>
      </c>
      <c r="B14606" s="572">
        <v>12.6411</v>
      </c>
      <c r="C14606" s="572">
        <v>311.53800000000001</v>
      </c>
    </row>
    <row r="14607" spans="1:3">
      <c r="A14607" s="571" t="s">
        <v>2229</v>
      </c>
      <c r="B14607" s="572">
        <v>14.3748</v>
      </c>
      <c r="C14607" s="572">
        <v>323.077</v>
      </c>
    </row>
    <row r="14608" spans="1:3">
      <c r="A14608" s="571" t="s">
        <v>2229</v>
      </c>
      <c r="B14608" s="572">
        <v>16.108599999999999</v>
      </c>
      <c r="C14608" s="572">
        <v>334.61500000000001</v>
      </c>
    </row>
    <row r="14609" spans="1:3">
      <c r="A14609" s="571" t="s">
        <v>2229</v>
      </c>
      <c r="B14609" s="572">
        <v>17.842300000000002</v>
      </c>
      <c r="C14609" s="572">
        <v>346.154</v>
      </c>
    </row>
    <row r="14610" spans="1:3">
      <c r="A14610" s="571" t="s">
        <v>2229</v>
      </c>
      <c r="B14610" s="572">
        <v>19.577000000000002</v>
      </c>
      <c r="C14610" s="572">
        <v>354.80799999999999</v>
      </c>
    </row>
    <row r="14611" spans="1:3">
      <c r="A14611" s="571" t="s">
        <v>2229</v>
      </c>
      <c r="B14611" s="572">
        <v>21.5047</v>
      </c>
      <c r="C14611" s="572">
        <v>363.46199999999999</v>
      </c>
    </row>
    <row r="14612" spans="1:3">
      <c r="A14612" s="571" t="s">
        <v>2229</v>
      </c>
      <c r="B14612" s="572">
        <v>23.240300000000001</v>
      </c>
      <c r="C14612" s="572">
        <v>369.23099999999999</v>
      </c>
    </row>
    <row r="14613" spans="1:3">
      <c r="A14613" s="571" t="s">
        <v>2229</v>
      </c>
      <c r="B14613" s="572">
        <v>25.168900000000001</v>
      </c>
      <c r="C14613" s="572">
        <v>375</v>
      </c>
    </row>
    <row r="14614" spans="1:3">
      <c r="A14614" s="571" t="s">
        <v>2229</v>
      </c>
      <c r="B14614" s="572">
        <v>26.904499999999999</v>
      </c>
      <c r="C14614" s="572">
        <v>380.76900000000001</v>
      </c>
    </row>
    <row r="14615" spans="1:3">
      <c r="A14615" s="571" t="s">
        <v>2229</v>
      </c>
      <c r="B14615" s="572">
        <v>28.834099999999999</v>
      </c>
      <c r="C14615" s="572">
        <v>383.654</v>
      </c>
    </row>
    <row r="14616" spans="1:3">
      <c r="A14616" s="571" t="s">
        <v>2229</v>
      </c>
      <c r="B14616" s="572">
        <v>30.762699999999999</v>
      </c>
      <c r="C14616" s="572">
        <v>389.423</v>
      </c>
    </row>
    <row r="14617" spans="1:3">
      <c r="A14617" s="571" t="s">
        <v>2229</v>
      </c>
      <c r="B14617" s="572">
        <v>32.4983</v>
      </c>
      <c r="C14617" s="572">
        <v>395.19200000000001</v>
      </c>
    </row>
    <row r="14618" spans="1:3">
      <c r="A14618" s="571" t="s">
        <v>2229</v>
      </c>
      <c r="B14618" s="572">
        <v>34.427900000000001</v>
      </c>
      <c r="C14618" s="572">
        <v>398.077</v>
      </c>
    </row>
    <row r="14619" spans="1:3">
      <c r="A14619" s="571" t="s">
        <v>2229</v>
      </c>
      <c r="B14619" s="572">
        <v>36.357500000000002</v>
      </c>
      <c r="C14619" s="572">
        <v>400.96199999999999</v>
      </c>
    </row>
    <row r="14620" spans="1:3">
      <c r="A14620" s="571" t="s">
        <v>2229</v>
      </c>
      <c r="B14620" s="572">
        <v>38.0931</v>
      </c>
      <c r="C14620" s="572">
        <v>406.73099999999999</v>
      </c>
    </row>
    <row r="14621" spans="1:3">
      <c r="A14621" s="571" t="s">
        <v>2229</v>
      </c>
      <c r="B14621" s="572">
        <v>40.022599999999997</v>
      </c>
      <c r="C14621" s="572">
        <v>409.61500000000001</v>
      </c>
    </row>
    <row r="14622" spans="1:3">
      <c r="A14622" s="571" t="s">
        <v>2229</v>
      </c>
      <c r="B14622" s="572">
        <v>41.952199999999998</v>
      </c>
      <c r="C14622" s="572">
        <v>412.5</v>
      </c>
    </row>
    <row r="14623" spans="1:3">
      <c r="A14623" s="571" t="s">
        <v>2229</v>
      </c>
      <c r="B14623" s="572">
        <v>43.688699999999997</v>
      </c>
      <c r="C14623" s="572">
        <v>415.38499999999999</v>
      </c>
    </row>
    <row r="14624" spans="1:3">
      <c r="A14624" s="571" t="s">
        <v>2229</v>
      </c>
      <c r="B14624" s="572">
        <v>45.618299999999998</v>
      </c>
      <c r="C14624" s="572">
        <v>418.26900000000001</v>
      </c>
    </row>
    <row r="14625" spans="1:3">
      <c r="A14625" s="571" t="s">
        <v>2229</v>
      </c>
      <c r="B14625" s="572">
        <v>47.547899999999998</v>
      </c>
      <c r="C14625" s="572">
        <v>421.154</v>
      </c>
    </row>
    <row r="14626" spans="1:3">
      <c r="A14626" s="571" t="s">
        <v>2229</v>
      </c>
      <c r="B14626" s="572">
        <v>49.477499999999999</v>
      </c>
      <c r="C14626" s="572">
        <v>424.03800000000001</v>
      </c>
    </row>
    <row r="14627" spans="1:3">
      <c r="A14627" s="571" t="s">
        <v>2229</v>
      </c>
      <c r="B14627" s="572">
        <v>51.406999999999996</v>
      </c>
      <c r="C14627" s="572">
        <v>426.923</v>
      </c>
    </row>
    <row r="14628" spans="1:3">
      <c r="A14628" s="571" t="s">
        <v>2229</v>
      </c>
      <c r="B14628" s="572">
        <v>53.145400000000002</v>
      </c>
      <c r="C14628" s="572">
        <v>424.03800000000001</v>
      </c>
    </row>
    <row r="14629" spans="1:3">
      <c r="A14629" s="571" t="s">
        <v>2229</v>
      </c>
      <c r="B14629" s="572">
        <v>55.075899999999997</v>
      </c>
      <c r="C14629" s="572">
        <v>424.03800000000001</v>
      </c>
    </row>
    <row r="14630" spans="1:3">
      <c r="A14630" s="571" t="s">
        <v>2229</v>
      </c>
      <c r="B14630" s="572">
        <v>57.004600000000003</v>
      </c>
      <c r="C14630" s="572">
        <v>429.80799999999999</v>
      </c>
    </row>
    <row r="14631" spans="1:3">
      <c r="A14631" s="571" t="s">
        <v>2229</v>
      </c>
      <c r="B14631" s="572">
        <v>58.935099999999998</v>
      </c>
      <c r="C14631" s="572">
        <v>429.80799999999999</v>
      </c>
    </row>
    <row r="14632" spans="1:3">
      <c r="A14632" s="571" t="s">
        <v>2229</v>
      </c>
      <c r="B14632" s="572">
        <v>60.865600000000001</v>
      </c>
      <c r="C14632" s="572">
        <v>429.80799999999999</v>
      </c>
    </row>
    <row r="14633" spans="1:3">
      <c r="A14633" s="571" t="s">
        <v>2229</v>
      </c>
      <c r="B14633" s="572">
        <v>62.6021</v>
      </c>
      <c r="C14633" s="572">
        <v>432.69200000000001</v>
      </c>
    </row>
    <row r="14634" spans="1:3">
      <c r="A14634" s="571" t="s">
        <v>2229</v>
      </c>
      <c r="B14634" s="572">
        <v>64.532600000000002</v>
      </c>
      <c r="C14634" s="572">
        <v>432.69200000000001</v>
      </c>
    </row>
    <row r="14635" spans="1:3">
      <c r="A14635" s="571" t="s">
        <v>2229</v>
      </c>
      <c r="B14635" s="572">
        <v>66.462199999999996</v>
      </c>
      <c r="C14635" s="572">
        <v>435.577</v>
      </c>
    </row>
    <row r="14636" spans="1:3">
      <c r="A14636" s="571" t="s">
        <v>2229</v>
      </c>
      <c r="B14636" s="572">
        <v>68.3917</v>
      </c>
      <c r="C14636" s="572">
        <v>438.46199999999999</v>
      </c>
    </row>
    <row r="14637" spans="1:3">
      <c r="A14637" s="571" t="s">
        <v>2229</v>
      </c>
      <c r="B14637" s="572">
        <v>70.129199999999997</v>
      </c>
      <c r="C14637" s="572">
        <v>438.46199999999999</v>
      </c>
    </row>
    <row r="14638" spans="1:3">
      <c r="A14638" s="571" t="s">
        <v>2229</v>
      </c>
      <c r="B14638" s="572">
        <v>72.252700000000004</v>
      </c>
      <c r="C14638" s="572">
        <v>438.46199999999999</v>
      </c>
    </row>
    <row r="14639" spans="1:3">
      <c r="A14639" s="571" t="s">
        <v>2229</v>
      </c>
      <c r="B14639" s="572">
        <v>74.568399999999997</v>
      </c>
      <c r="C14639" s="572">
        <v>441.346</v>
      </c>
    </row>
    <row r="14640" spans="1:3">
      <c r="A14640" s="571" t="s">
        <v>2229</v>
      </c>
      <c r="B14640" s="572">
        <v>75.532700000000006</v>
      </c>
      <c r="C14640" s="572">
        <v>444.23099999999999</v>
      </c>
    </row>
    <row r="14641" spans="1:3">
      <c r="A14641" s="571" t="s">
        <v>2229</v>
      </c>
      <c r="B14641" s="572">
        <v>77.6554</v>
      </c>
      <c r="C14641" s="572">
        <v>447.11500000000001</v>
      </c>
    </row>
    <row r="14642" spans="1:3">
      <c r="A14642" s="571" t="s">
        <v>2229</v>
      </c>
      <c r="B14642" s="572">
        <v>79.971000000000004</v>
      </c>
      <c r="C14642" s="572">
        <v>450</v>
      </c>
    </row>
    <row r="14643" spans="1:3">
      <c r="A14643" s="571" t="s">
        <v>2229</v>
      </c>
      <c r="B14643" s="572">
        <v>81.707599999999999</v>
      </c>
      <c r="C14643" s="572">
        <v>452.88499999999999</v>
      </c>
    </row>
    <row r="14644" spans="1:3">
      <c r="A14644" s="571" t="s">
        <v>2229</v>
      </c>
      <c r="B14644" s="572">
        <v>83.638999999999996</v>
      </c>
      <c r="C14644" s="572">
        <v>450</v>
      </c>
    </row>
    <row r="14645" spans="1:3">
      <c r="A14645" s="571" t="s">
        <v>2229</v>
      </c>
      <c r="B14645" s="572">
        <v>85.7607</v>
      </c>
      <c r="C14645" s="572">
        <v>455.76900000000001</v>
      </c>
    </row>
    <row r="14646" spans="1:3">
      <c r="A14646" s="571" t="s">
        <v>2229</v>
      </c>
      <c r="B14646" s="572">
        <v>87.689300000000003</v>
      </c>
      <c r="C14646" s="572">
        <v>461.53800000000001</v>
      </c>
    </row>
    <row r="14647" spans="1:3">
      <c r="A14647" s="571" t="s">
        <v>2229</v>
      </c>
      <c r="B14647" s="572">
        <v>89.812899999999999</v>
      </c>
      <c r="C14647" s="572">
        <v>461.53800000000001</v>
      </c>
    </row>
    <row r="14648" spans="1:3">
      <c r="A14648" s="571" t="s">
        <v>2230</v>
      </c>
      <c r="B14648" s="572">
        <v>2.9069799999999999</v>
      </c>
      <c r="C14648" s="572">
        <v>2.88462</v>
      </c>
    </row>
    <row r="14649" spans="1:3">
      <c r="A14649" s="571" t="s">
        <v>2230</v>
      </c>
      <c r="B14649" s="572">
        <v>3.8759700000000001</v>
      </c>
      <c r="C14649" s="572">
        <v>25.961500000000001</v>
      </c>
    </row>
    <row r="14650" spans="1:3">
      <c r="A14650" s="571" t="s">
        <v>2230</v>
      </c>
      <c r="B14650" s="572">
        <v>4.8449600000000004</v>
      </c>
      <c r="C14650" s="572">
        <v>43.269199999999998</v>
      </c>
    </row>
    <row r="14651" spans="1:3">
      <c r="A14651" s="571" t="s">
        <v>2230</v>
      </c>
      <c r="B14651" s="572">
        <v>6.2015500000000001</v>
      </c>
      <c r="C14651" s="572">
        <v>60.576900000000002</v>
      </c>
    </row>
    <row r="14652" spans="1:3">
      <c r="A14652" s="571" t="s">
        <v>2230</v>
      </c>
      <c r="B14652" s="572">
        <v>7.5581399999999999</v>
      </c>
      <c r="C14652" s="572">
        <v>80.769199999999998</v>
      </c>
    </row>
    <row r="14653" spans="1:3">
      <c r="A14653" s="571" t="s">
        <v>2230</v>
      </c>
      <c r="B14653" s="572">
        <v>8.9147300000000005</v>
      </c>
      <c r="C14653" s="572">
        <v>95.192300000000003</v>
      </c>
    </row>
    <row r="14654" spans="1:3">
      <c r="A14654" s="571" t="s">
        <v>2230</v>
      </c>
      <c r="B14654" s="572">
        <v>10.4651</v>
      </c>
      <c r="C14654" s="572">
        <v>109.61499999999999</v>
      </c>
    </row>
    <row r="14655" spans="1:3">
      <c r="A14655" s="571" t="s">
        <v>2230</v>
      </c>
      <c r="B14655" s="572">
        <v>12.209300000000001</v>
      </c>
      <c r="C14655" s="572">
        <v>121.154</v>
      </c>
    </row>
    <row r="14656" spans="1:3">
      <c r="A14656" s="571" t="s">
        <v>2230</v>
      </c>
      <c r="B14656" s="572">
        <v>13.9535</v>
      </c>
      <c r="C14656" s="572">
        <v>132.69200000000001</v>
      </c>
    </row>
    <row r="14657" spans="1:3">
      <c r="A14657" s="571" t="s">
        <v>2230</v>
      </c>
      <c r="B14657" s="572">
        <v>15.697699999999999</v>
      </c>
      <c r="C14657" s="572">
        <v>147.11500000000001</v>
      </c>
    </row>
    <row r="14658" spans="1:3">
      <c r="A14658" s="571" t="s">
        <v>2230</v>
      </c>
      <c r="B14658" s="572">
        <v>18.023299999999999</v>
      </c>
      <c r="C14658" s="572">
        <v>158.654</v>
      </c>
    </row>
    <row r="14659" spans="1:3">
      <c r="A14659" s="571" t="s">
        <v>2230</v>
      </c>
      <c r="B14659" s="572">
        <v>20.155000000000001</v>
      </c>
      <c r="C14659" s="572">
        <v>170.19200000000001</v>
      </c>
    </row>
    <row r="14660" spans="1:3">
      <c r="A14660" s="571" t="s">
        <v>2230</v>
      </c>
      <c r="B14660" s="572">
        <v>21.705400000000001</v>
      </c>
      <c r="C14660" s="572">
        <v>178.846</v>
      </c>
    </row>
    <row r="14661" spans="1:3">
      <c r="A14661" s="571" t="s">
        <v>2230</v>
      </c>
      <c r="B14661" s="572">
        <v>24.418600000000001</v>
      </c>
      <c r="C14661" s="572">
        <v>190.38499999999999</v>
      </c>
    </row>
    <row r="14662" spans="1:3">
      <c r="A14662" s="571" t="s">
        <v>2230</v>
      </c>
      <c r="B14662" s="572">
        <v>27.131799999999998</v>
      </c>
      <c r="C14662" s="572">
        <v>201.923</v>
      </c>
    </row>
    <row r="14663" spans="1:3">
      <c r="A14663" s="571" t="s">
        <v>2230</v>
      </c>
      <c r="B14663" s="572">
        <v>29.651199999999999</v>
      </c>
      <c r="C14663" s="572">
        <v>210.577</v>
      </c>
    </row>
    <row r="14664" spans="1:3">
      <c r="A14664" s="571" t="s">
        <v>2230</v>
      </c>
      <c r="B14664" s="572">
        <v>32.170499999999997</v>
      </c>
      <c r="C14664" s="572">
        <v>219.23099999999999</v>
      </c>
    </row>
    <row r="14665" spans="1:3">
      <c r="A14665" s="571" t="s">
        <v>2230</v>
      </c>
      <c r="B14665" s="572">
        <v>34.689900000000002</v>
      </c>
      <c r="C14665" s="572">
        <v>222.11500000000001</v>
      </c>
    </row>
    <row r="14666" spans="1:3">
      <c r="A14666" s="571" t="s">
        <v>2230</v>
      </c>
      <c r="B14666" s="572">
        <v>37.015500000000003</v>
      </c>
      <c r="C14666" s="572">
        <v>227.88499999999999</v>
      </c>
    </row>
    <row r="14667" spans="1:3">
      <c r="A14667" s="571" t="s">
        <v>2230</v>
      </c>
      <c r="B14667" s="572">
        <v>38.759700000000002</v>
      </c>
      <c r="C14667" s="572">
        <v>233.654</v>
      </c>
    </row>
    <row r="14668" spans="1:3">
      <c r="A14668" s="571" t="s">
        <v>2230</v>
      </c>
      <c r="B14668" s="572">
        <v>41.085299999999997</v>
      </c>
      <c r="C14668" s="572">
        <v>239.423</v>
      </c>
    </row>
    <row r="14669" spans="1:3">
      <c r="A14669" s="571" t="s">
        <v>2230</v>
      </c>
      <c r="B14669" s="572">
        <v>43.604700000000001</v>
      </c>
      <c r="C14669" s="572">
        <v>242.30799999999999</v>
      </c>
    </row>
    <row r="14670" spans="1:3">
      <c r="A14670" s="571" t="s">
        <v>2230</v>
      </c>
      <c r="B14670" s="572">
        <v>45.348799999999997</v>
      </c>
      <c r="C14670" s="572">
        <v>245.19200000000001</v>
      </c>
    </row>
    <row r="14671" spans="1:3">
      <c r="A14671" s="571" t="s">
        <v>2230</v>
      </c>
      <c r="B14671" s="572">
        <v>47.286799999999999</v>
      </c>
      <c r="C14671" s="572">
        <v>250.96199999999999</v>
      </c>
    </row>
    <row r="14672" spans="1:3">
      <c r="A14672" s="571" t="s">
        <v>2230</v>
      </c>
      <c r="B14672" s="572">
        <v>49.418599999999998</v>
      </c>
      <c r="C14672" s="572">
        <v>256.73099999999999</v>
      </c>
    </row>
    <row r="14673" spans="1:3">
      <c r="A14673" s="571" t="s">
        <v>2230</v>
      </c>
      <c r="B14673" s="572">
        <v>51.550400000000003</v>
      </c>
      <c r="C14673" s="572">
        <v>259.61500000000001</v>
      </c>
    </row>
    <row r="14674" spans="1:3">
      <c r="A14674" s="571" t="s">
        <v>2230</v>
      </c>
      <c r="B14674" s="572">
        <v>53.875999999999998</v>
      </c>
      <c r="C14674" s="572">
        <v>259.61500000000001</v>
      </c>
    </row>
    <row r="14675" spans="1:3">
      <c r="A14675" s="571" t="s">
        <v>2230</v>
      </c>
      <c r="B14675" s="572">
        <v>56.007800000000003</v>
      </c>
      <c r="C14675" s="572">
        <v>262.5</v>
      </c>
    </row>
    <row r="14676" spans="1:3">
      <c r="A14676" s="571" t="s">
        <v>2230</v>
      </c>
      <c r="B14676" s="572">
        <v>57.751899999999999</v>
      </c>
      <c r="C14676" s="572">
        <v>265.38499999999999</v>
      </c>
    </row>
    <row r="14677" spans="1:3">
      <c r="A14677" s="571" t="s">
        <v>2230</v>
      </c>
      <c r="B14677" s="572">
        <v>59.689900000000002</v>
      </c>
      <c r="C14677" s="572">
        <v>271.154</v>
      </c>
    </row>
    <row r="14678" spans="1:3">
      <c r="A14678" s="571" t="s">
        <v>2230</v>
      </c>
      <c r="B14678" s="572">
        <v>61.627899999999997</v>
      </c>
      <c r="C14678" s="572">
        <v>271.154</v>
      </c>
    </row>
    <row r="14679" spans="1:3">
      <c r="A14679" s="571" t="s">
        <v>2230</v>
      </c>
      <c r="B14679" s="572">
        <v>64.147300000000001</v>
      </c>
      <c r="C14679" s="572">
        <v>279.80799999999999</v>
      </c>
    </row>
    <row r="14680" spans="1:3">
      <c r="A14680" s="571" t="s">
        <v>2230</v>
      </c>
      <c r="B14680" s="572">
        <v>66.2791</v>
      </c>
      <c r="C14680" s="572">
        <v>279.80799999999999</v>
      </c>
    </row>
    <row r="14681" spans="1:3">
      <c r="A14681" s="571" t="s">
        <v>2230</v>
      </c>
      <c r="B14681" s="572">
        <v>68.798400000000001</v>
      </c>
      <c r="C14681" s="572">
        <v>282.69200000000001</v>
      </c>
    </row>
    <row r="14682" spans="1:3">
      <c r="A14682" s="571" t="s">
        <v>2230</v>
      </c>
      <c r="B14682" s="572">
        <v>70.930199999999999</v>
      </c>
      <c r="C14682" s="572">
        <v>282.69200000000001</v>
      </c>
    </row>
    <row r="14683" spans="1:3">
      <c r="A14683" s="571" t="s">
        <v>2230</v>
      </c>
      <c r="B14683" s="572">
        <v>72.480599999999995</v>
      </c>
      <c r="C14683" s="572">
        <v>285.577</v>
      </c>
    </row>
    <row r="14684" spans="1:3">
      <c r="A14684" s="571" t="s">
        <v>2230</v>
      </c>
      <c r="B14684" s="572">
        <v>75</v>
      </c>
      <c r="C14684" s="572">
        <v>288.46199999999999</v>
      </c>
    </row>
    <row r="14685" spans="1:3">
      <c r="A14685" s="571" t="s">
        <v>2230</v>
      </c>
      <c r="B14685" s="572">
        <v>76.938000000000002</v>
      </c>
      <c r="C14685" s="572">
        <v>288.46199999999999</v>
      </c>
    </row>
    <row r="14686" spans="1:3">
      <c r="A14686" s="571" t="s">
        <v>2230</v>
      </c>
      <c r="B14686" s="572">
        <v>79.263599999999997</v>
      </c>
      <c r="C14686" s="572">
        <v>294.23099999999999</v>
      </c>
    </row>
    <row r="14687" spans="1:3">
      <c r="A14687" s="571" t="s">
        <v>2230</v>
      </c>
      <c r="B14687" s="572">
        <v>81.395300000000006</v>
      </c>
      <c r="C14687" s="572">
        <v>297.11500000000001</v>
      </c>
    </row>
    <row r="14688" spans="1:3">
      <c r="A14688" s="571" t="s">
        <v>2230</v>
      </c>
      <c r="B14688" s="572">
        <v>83.333299999999994</v>
      </c>
      <c r="C14688" s="572">
        <v>302.88499999999999</v>
      </c>
    </row>
    <row r="14689" spans="1:3">
      <c r="A14689" s="571" t="s">
        <v>2230</v>
      </c>
      <c r="B14689" s="572">
        <v>85.077500000000001</v>
      </c>
      <c r="C14689" s="572">
        <v>302.88499999999999</v>
      </c>
    </row>
    <row r="14690" spans="1:3">
      <c r="A14690" s="571" t="s">
        <v>2230</v>
      </c>
      <c r="B14690" s="572">
        <v>87.015500000000003</v>
      </c>
      <c r="C14690" s="572">
        <v>308.654</v>
      </c>
    </row>
    <row r="14691" spans="1:3">
      <c r="A14691" s="571" t="s">
        <v>2230</v>
      </c>
      <c r="B14691" s="572">
        <v>89.147300000000001</v>
      </c>
      <c r="C14691" s="572">
        <v>308.654</v>
      </c>
    </row>
    <row r="14692" spans="1:3">
      <c r="A14692" s="571" t="s">
        <v>2231</v>
      </c>
      <c r="B14692" s="572">
        <v>2.9069799999999999</v>
      </c>
      <c r="C14692" s="572">
        <v>2.7940399999999999</v>
      </c>
    </row>
    <row r="14693" spans="1:3">
      <c r="A14693" s="571" t="s">
        <v>2231</v>
      </c>
      <c r="B14693" s="572">
        <v>3.8759700000000001</v>
      </c>
      <c r="C14693" s="572">
        <v>25.787700000000001</v>
      </c>
    </row>
    <row r="14694" spans="1:3">
      <c r="A14694" s="571" t="s">
        <v>2231</v>
      </c>
      <c r="B14694" s="572">
        <v>4.8449600000000004</v>
      </c>
      <c r="C14694" s="572">
        <v>45.903700000000001</v>
      </c>
    </row>
    <row r="14695" spans="1:3">
      <c r="A14695" s="571" t="s">
        <v>2231</v>
      </c>
      <c r="B14695" s="572">
        <v>6.3953499999999996</v>
      </c>
      <c r="C14695" s="572">
        <v>66.003</v>
      </c>
    </row>
    <row r="14696" spans="1:3">
      <c r="A14696" s="571" t="s">
        <v>2231</v>
      </c>
      <c r="B14696" s="572">
        <v>7.7519400000000003</v>
      </c>
      <c r="C14696" s="572">
        <v>83.230199999999996</v>
      </c>
    </row>
    <row r="14697" spans="1:3">
      <c r="A14697" s="571" t="s">
        <v>2231</v>
      </c>
      <c r="B14697" s="572">
        <v>9.10853</v>
      </c>
      <c r="C14697" s="572">
        <v>97.579599999999999</v>
      </c>
    </row>
    <row r="14698" spans="1:3">
      <c r="A14698" s="571" t="s">
        <v>2231</v>
      </c>
      <c r="B14698" s="572">
        <v>10.4651</v>
      </c>
      <c r="C14698" s="572">
        <v>109.051</v>
      </c>
    </row>
    <row r="14699" spans="1:3">
      <c r="A14699" s="571" t="s">
        <v>2231</v>
      </c>
      <c r="B14699" s="572">
        <v>12.015499999999999</v>
      </c>
      <c r="C14699" s="572">
        <v>120.518</v>
      </c>
    </row>
    <row r="14700" spans="1:3">
      <c r="A14700" s="571" t="s">
        <v>2231</v>
      </c>
      <c r="B14700" s="572">
        <v>13.7597</v>
      </c>
      <c r="C14700" s="572">
        <v>134.85599999999999</v>
      </c>
    </row>
    <row r="14701" spans="1:3">
      <c r="A14701" s="571" t="s">
        <v>2231</v>
      </c>
      <c r="B14701" s="572">
        <v>15.5039</v>
      </c>
      <c r="C14701" s="572">
        <v>146.316</v>
      </c>
    </row>
    <row r="14702" spans="1:3">
      <c r="A14702" s="571" t="s">
        <v>2231</v>
      </c>
      <c r="B14702" s="572">
        <v>17.4419</v>
      </c>
      <c r="C14702" s="572">
        <v>160.649</v>
      </c>
    </row>
    <row r="14703" spans="1:3">
      <c r="A14703" s="571" t="s">
        <v>2231</v>
      </c>
      <c r="B14703" s="572">
        <v>19.186</v>
      </c>
      <c r="C14703" s="572">
        <v>169.232</v>
      </c>
    </row>
    <row r="14704" spans="1:3">
      <c r="A14704" s="571" t="s">
        <v>2231</v>
      </c>
      <c r="B14704" s="572">
        <v>21.511600000000001</v>
      </c>
      <c r="C14704" s="572">
        <v>174.92099999999999</v>
      </c>
    </row>
    <row r="14705" spans="1:3">
      <c r="A14705" s="571" t="s">
        <v>2231</v>
      </c>
      <c r="B14705" s="572">
        <v>24.030999999999999</v>
      </c>
      <c r="C14705" s="572">
        <v>183.48099999999999</v>
      </c>
    </row>
    <row r="14706" spans="1:3">
      <c r="A14706" s="571" t="s">
        <v>2231</v>
      </c>
      <c r="B14706" s="572">
        <v>26.744199999999999</v>
      </c>
      <c r="C14706" s="572">
        <v>192.036</v>
      </c>
    </row>
    <row r="14707" spans="1:3">
      <c r="A14707" s="571" t="s">
        <v>2231</v>
      </c>
      <c r="B14707" s="572">
        <v>29.069800000000001</v>
      </c>
      <c r="C14707" s="572">
        <v>197.72499999999999</v>
      </c>
    </row>
    <row r="14708" spans="1:3">
      <c r="A14708" s="571" t="s">
        <v>2231</v>
      </c>
      <c r="B14708" s="572">
        <v>31.782900000000001</v>
      </c>
      <c r="C14708" s="572">
        <v>206.28</v>
      </c>
    </row>
    <row r="14709" spans="1:3">
      <c r="A14709" s="571" t="s">
        <v>2231</v>
      </c>
      <c r="B14709" s="572">
        <v>34.883699999999997</v>
      </c>
      <c r="C14709" s="572">
        <v>209.06800000000001</v>
      </c>
    </row>
    <row r="14710" spans="1:3">
      <c r="A14710" s="571" t="s">
        <v>2231</v>
      </c>
      <c r="B14710" s="572">
        <v>37.015500000000003</v>
      </c>
      <c r="C14710" s="572">
        <v>211.88399999999999</v>
      </c>
    </row>
    <row r="14711" spans="1:3">
      <c r="A14711" s="571" t="s">
        <v>2231</v>
      </c>
      <c r="B14711" s="572">
        <v>39.341099999999997</v>
      </c>
      <c r="C14711" s="572">
        <v>214.69499999999999</v>
      </c>
    </row>
    <row r="14712" spans="1:3">
      <c r="A14712" s="571" t="s">
        <v>2231</v>
      </c>
      <c r="B14712" s="572">
        <v>41.666699999999999</v>
      </c>
      <c r="C14712" s="572">
        <v>217.506</v>
      </c>
    </row>
    <row r="14713" spans="1:3">
      <c r="A14713" s="571" t="s">
        <v>2231</v>
      </c>
      <c r="B14713" s="572">
        <v>43.798400000000001</v>
      </c>
      <c r="C14713" s="572">
        <v>220.322</v>
      </c>
    </row>
    <row r="14714" spans="1:3">
      <c r="A14714" s="571" t="s">
        <v>2231</v>
      </c>
      <c r="B14714" s="572">
        <v>45.736400000000003</v>
      </c>
      <c r="C14714" s="572">
        <v>226.02199999999999</v>
      </c>
    </row>
    <row r="14715" spans="1:3">
      <c r="A14715" s="571" t="s">
        <v>2231</v>
      </c>
      <c r="B14715" s="572">
        <v>47.674399999999999</v>
      </c>
      <c r="C14715" s="572">
        <v>225.96600000000001</v>
      </c>
    </row>
    <row r="14716" spans="1:3">
      <c r="A14716" s="571" t="s">
        <v>2231</v>
      </c>
      <c r="B14716" s="572">
        <v>50.387599999999999</v>
      </c>
      <c r="C14716" s="572">
        <v>231.64400000000001</v>
      </c>
    </row>
    <row r="14717" spans="1:3">
      <c r="A14717" s="571" t="s">
        <v>2231</v>
      </c>
      <c r="B14717" s="572">
        <v>53.294600000000003</v>
      </c>
      <c r="C14717" s="572">
        <v>231.56</v>
      </c>
    </row>
    <row r="14718" spans="1:3">
      <c r="A14718" s="571" t="s">
        <v>2231</v>
      </c>
      <c r="B14718" s="572">
        <v>56.201599999999999</v>
      </c>
      <c r="C14718" s="572">
        <v>234.35400000000001</v>
      </c>
    </row>
    <row r="14719" spans="1:3">
      <c r="A14719" s="571" t="s">
        <v>2231</v>
      </c>
      <c r="B14719" s="572">
        <v>58.527099999999997</v>
      </c>
      <c r="C14719" s="572">
        <v>234.28700000000001</v>
      </c>
    </row>
    <row r="14720" spans="1:3">
      <c r="A14720" s="571" t="s">
        <v>2231</v>
      </c>
      <c r="B14720" s="572">
        <v>60.852699999999999</v>
      </c>
      <c r="C14720" s="572">
        <v>239.97499999999999</v>
      </c>
    </row>
    <row r="14721" spans="1:3">
      <c r="A14721" s="571" t="s">
        <v>2231</v>
      </c>
      <c r="B14721" s="572">
        <v>62.596899999999998</v>
      </c>
      <c r="C14721" s="572">
        <v>239.92500000000001</v>
      </c>
    </row>
    <row r="14722" spans="1:3">
      <c r="A14722" s="571" t="s">
        <v>2231</v>
      </c>
      <c r="B14722" s="572">
        <v>65.116299999999995</v>
      </c>
      <c r="C14722" s="572">
        <v>242.73</v>
      </c>
    </row>
    <row r="14723" spans="1:3">
      <c r="A14723" s="571" t="s">
        <v>2231</v>
      </c>
      <c r="B14723" s="572">
        <v>66.666700000000006</v>
      </c>
      <c r="C14723" s="572">
        <v>245.56399999999999</v>
      </c>
    </row>
    <row r="14724" spans="1:3">
      <c r="A14724" s="571" t="s">
        <v>2231</v>
      </c>
      <c r="B14724" s="572">
        <v>68.798400000000001</v>
      </c>
      <c r="C14724" s="572">
        <v>245.50200000000001</v>
      </c>
    </row>
    <row r="14725" spans="1:3">
      <c r="A14725" s="571" t="s">
        <v>2231</v>
      </c>
      <c r="B14725" s="572">
        <v>71.123999999999995</v>
      </c>
      <c r="C14725" s="572">
        <v>248.31299999999999</v>
      </c>
    </row>
    <row r="14726" spans="1:3">
      <c r="A14726" s="571" t="s">
        <v>2231</v>
      </c>
      <c r="B14726" s="572">
        <v>73.061999999999998</v>
      </c>
      <c r="C14726" s="572">
        <v>248.25700000000001</v>
      </c>
    </row>
    <row r="14727" spans="1:3">
      <c r="A14727" s="571" t="s">
        <v>2231</v>
      </c>
      <c r="B14727" s="572">
        <v>75</v>
      </c>
      <c r="C14727" s="572">
        <v>251.07900000000001</v>
      </c>
    </row>
    <row r="14728" spans="1:3">
      <c r="A14728" s="571" t="s">
        <v>2231</v>
      </c>
      <c r="B14728" s="572">
        <v>76.938000000000002</v>
      </c>
      <c r="C14728" s="572">
        <v>251.023</v>
      </c>
    </row>
    <row r="14729" spans="1:3">
      <c r="A14729" s="571" t="s">
        <v>2231</v>
      </c>
      <c r="B14729" s="572">
        <v>78.876000000000005</v>
      </c>
      <c r="C14729" s="572">
        <v>256.72300000000001</v>
      </c>
    </row>
    <row r="14730" spans="1:3">
      <c r="A14730" s="571" t="s">
        <v>2231</v>
      </c>
      <c r="B14730" s="572">
        <v>81.007800000000003</v>
      </c>
      <c r="C14730" s="572">
        <v>259.53899999999999</v>
      </c>
    </row>
    <row r="14731" spans="1:3">
      <c r="A14731" s="571" t="s">
        <v>2231</v>
      </c>
      <c r="B14731" s="572">
        <v>83.139499999999998</v>
      </c>
      <c r="C14731" s="572">
        <v>262.35599999999999</v>
      </c>
    </row>
    <row r="14732" spans="1:3">
      <c r="A14732" s="571" t="s">
        <v>2231</v>
      </c>
      <c r="B14732" s="572">
        <v>85.077500000000001</v>
      </c>
      <c r="C14732" s="572">
        <v>262.3</v>
      </c>
    </row>
    <row r="14733" spans="1:3">
      <c r="A14733" s="571" t="s">
        <v>2231</v>
      </c>
      <c r="B14733" s="572">
        <v>86.821700000000007</v>
      </c>
      <c r="C14733" s="572">
        <v>265.12700000000001</v>
      </c>
    </row>
    <row r="14734" spans="1:3">
      <c r="A14734" s="571" t="s">
        <v>2231</v>
      </c>
      <c r="B14734" s="572">
        <v>88.953500000000005</v>
      </c>
      <c r="C14734" s="572">
        <v>267.94400000000002</v>
      </c>
    </row>
    <row r="14735" spans="1:3">
      <c r="A14735" s="571" t="s">
        <v>2232</v>
      </c>
      <c r="B14735" s="572">
        <v>0.38500000000000001</v>
      </c>
      <c r="C14735" s="572">
        <v>5.7305700000000002</v>
      </c>
    </row>
    <row r="14736" spans="1:3">
      <c r="A14736" s="571" t="s">
        <v>2232</v>
      </c>
      <c r="B14736" s="572">
        <v>0.57009600000000005</v>
      </c>
      <c r="C14736" s="572">
        <v>31.5626</v>
      </c>
    </row>
    <row r="14737" spans="1:3">
      <c r="A14737" s="571" t="s">
        <v>2232</v>
      </c>
      <c r="B14737" s="572">
        <v>1.33362</v>
      </c>
      <c r="C14737" s="572">
        <v>63.119599999999998</v>
      </c>
    </row>
    <row r="14738" spans="1:3">
      <c r="A14738" s="571" t="s">
        <v>2232</v>
      </c>
      <c r="B14738" s="572">
        <v>2.4867699999999999</v>
      </c>
      <c r="C14738" s="572">
        <v>86.052999999999997</v>
      </c>
    </row>
    <row r="14739" spans="1:3">
      <c r="A14739" s="571" t="s">
        <v>2232</v>
      </c>
      <c r="B14739" s="572">
        <v>3.6408399999999999</v>
      </c>
      <c r="C14739" s="572">
        <v>106.116</v>
      </c>
    </row>
    <row r="14740" spans="1:3">
      <c r="A14740" s="571" t="s">
        <v>2232</v>
      </c>
      <c r="B14740" s="572">
        <v>4.7921399999999998</v>
      </c>
      <c r="C14740" s="572">
        <v>134.791</v>
      </c>
    </row>
    <row r="14741" spans="1:3">
      <c r="A14741" s="571" t="s">
        <v>2232</v>
      </c>
      <c r="B14741" s="572">
        <v>5.5658399999999997</v>
      </c>
      <c r="C14741" s="572">
        <v>134.768</v>
      </c>
    </row>
    <row r="14742" spans="1:3">
      <c r="A14742" s="571" t="s">
        <v>2232</v>
      </c>
      <c r="B14742" s="572">
        <v>6.9133399999999998</v>
      </c>
      <c r="C14742" s="572">
        <v>154.82499999999999</v>
      </c>
    </row>
    <row r="14743" spans="1:3">
      <c r="A14743" s="571" t="s">
        <v>2232</v>
      </c>
      <c r="B14743" s="572">
        <v>8.4542599999999997</v>
      </c>
      <c r="C14743" s="572">
        <v>174.87700000000001</v>
      </c>
    </row>
    <row r="14744" spans="1:3">
      <c r="A14744" s="571" t="s">
        <v>2232</v>
      </c>
      <c r="B14744" s="572">
        <v>9.9970400000000001</v>
      </c>
      <c r="C14744" s="572">
        <v>189.18700000000001</v>
      </c>
    </row>
    <row r="14745" spans="1:3">
      <c r="A14745" s="571" t="s">
        <v>2232</v>
      </c>
      <c r="B14745" s="572">
        <v>11.7332</v>
      </c>
      <c r="C14745" s="572">
        <v>203.49100000000001</v>
      </c>
    </row>
    <row r="14746" spans="1:3">
      <c r="A14746" s="571" t="s">
        <v>2232</v>
      </c>
      <c r="B14746" s="572">
        <v>13.4704</v>
      </c>
      <c r="C14746" s="572">
        <v>214.92400000000001</v>
      </c>
    </row>
    <row r="14747" spans="1:3">
      <c r="A14747" s="571" t="s">
        <v>2232</v>
      </c>
      <c r="B14747" s="572">
        <v>15.2066</v>
      </c>
      <c r="C14747" s="572">
        <v>229.22900000000001</v>
      </c>
    </row>
    <row r="14748" spans="1:3">
      <c r="A14748" s="571" t="s">
        <v>2232</v>
      </c>
      <c r="B14748" s="572">
        <v>16.9437</v>
      </c>
      <c r="C14748" s="572">
        <v>240.66200000000001</v>
      </c>
    </row>
    <row r="14749" spans="1:3">
      <c r="A14749" s="571" t="s">
        <v>2232</v>
      </c>
      <c r="B14749" s="572">
        <v>18.680800000000001</v>
      </c>
      <c r="C14749" s="572">
        <v>252.095</v>
      </c>
    </row>
    <row r="14750" spans="1:3">
      <c r="A14750" s="571" t="s">
        <v>2232</v>
      </c>
      <c r="B14750" s="572">
        <v>20.418900000000001</v>
      </c>
      <c r="C14750" s="572">
        <v>260.65800000000002</v>
      </c>
    </row>
    <row r="14751" spans="1:3">
      <c r="A14751" s="571" t="s">
        <v>2232</v>
      </c>
      <c r="B14751" s="572">
        <v>22.350300000000001</v>
      </c>
      <c r="C14751" s="572">
        <v>269.21499999999997</v>
      </c>
    </row>
    <row r="14752" spans="1:3">
      <c r="A14752" s="571" t="s">
        <v>2232</v>
      </c>
      <c r="B14752" s="572">
        <v>24.0884</v>
      </c>
      <c r="C14752" s="572">
        <v>277.77699999999999</v>
      </c>
    </row>
    <row r="14753" spans="1:3">
      <c r="A14753" s="571" t="s">
        <v>2232</v>
      </c>
      <c r="B14753" s="572">
        <v>26.020800000000001</v>
      </c>
      <c r="C14753" s="572">
        <v>283.464</v>
      </c>
    </row>
    <row r="14754" spans="1:3">
      <c r="A14754" s="571" t="s">
        <v>2232</v>
      </c>
      <c r="B14754" s="572">
        <v>27.759799999999998</v>
      </c>
      <c r="C14754" s="572">
        <v>289.15499999999997</v>
      </c>
    </row>
    <row r="14755" spans="1:3">
      <c r="A14755" s="571" t="s">
        <v>2232</v>
      </c>
      <c r="B14755" s="572">
        <v>29.6922</v>
      </c>
      <c r="C14755" s="572">
        <v>294.84100000000001</v>
      </c>
    </row>
    <row r="14756" spans="1:3">
      <c r="A14756" s="571" t="s">
        <v>2232</v>
      </c>
      <c r="B14756" s="572">
        <v>31.4312</v>
      </c>
      <c r="C14756" s="572">
        <v>300.53300000000002</v>
      </c>
    </row>
    <row r="14757" spans="1:3">
      <c r="A14757" s="571" t="s">
        <v>2232</v>
      </c>
      <c r="B14757" s="572">
        <v>33.363599999999998</v>
      </c>
      <c r="C14757" s="572">
        <v>306.21899999999999</v>
      </c>
    </row>
    <row r="14758" spans="1:3">
      <c r="A14758" s="571" t="s">
        <v>2232</v>
      </c>
      <c r="B14758" s="572">
        <v>35.102499999999999</v>
      </c>
      <c r="C14758" s="572">
        <v>311.911</v>
      </c>
    </row>
    <row r="14759" spans="1:3">
      <c r="A14759" s="571" t="s">
        <v>2232</v>
      </c>
      <c r="B14759" s="572">
        <v>37.035899999999998</v>
      </c>
      <c r="C14759" s="572">
        <v>314.726</v>
      </c>
    </row>
    <row r="14760" spans="1:3">
      <c r="A14760" s="571" t="s">
        <v>2232</v>
      </c>
      <c r="B14760" s="572">
        <v>38.968299999999999</v>
      </c>
      <c r="C14760" s="572">
        <v>320.41199999999998</v>
      </c>
    </row>
    <row r="14761" spans="1:3">
      <c r="A14761" s="571" t="s">
        <v>2232</v>
      </c>
      <c r="B14761" s="572">
        <v>40.707299999999996</v>
      </c>
      <c r="C14761" s="572">
        <v>326.10399999999998</v>
      </c>
    </row>
    <row r="14762" spans="1:3">
      <c r="A14762" s="571" t="s">
        <v>2232</v>
      </c>
      <c r="B14762" s="572">
        <v>42.640599999999999</v>
      </c>
      <c r="C14762" s="572">
        <v>328.91899999999998</v>
      </c>
    </row>
    <row r="14763" spans="1:3">
      <c r="A14763" s="571" t="s">
        <v>2232</v>
      </c>
      <c r="B14763" s="572">
        <v>44.379600000000003</v>
      </c>
      <c r="C14763" s="572">
        <v>334.61099999999999</v>
      </c>
    </row>
    <row r="14764" spans="1:3">
      <c r="A14764" s="571" t="s">
        <v>2232</v>
      </c>
      <c r="B14764" s="572">
        <v>46.312899999999999</v>
      </c>
      <c r="C14764" s="572">
        <v>337.42599999999999</v>
      </c>
    </row>
    <row r="14765" spans="1:3">
      <c r="A14765" s="571" t="s">
        <v>2232</v>
      </c>
      <c r="B14765" s="572">
        <v>48.2453</v>
      </c>
      <c r="C14765" s="572">
        <v>343.113</v>
      </c>
    </row>
    <row r="14766" spans="1:3">
      <c r="A14766" s="571" t="s">
        <v>2232</v>
      </c>
      <c r="B14766" s="572">
        <v>49.985199999999999</v>
      </c>
      <c r="C14766" s="572">
        <v>345.93299999999999</v>
      </c>
    </row>
    <row r="14767" spans="1:3">
      <c r="A14767" s="571" t="s">
        <v>2232</v>
      </c>
      <c r="B14767" s="572">
        <v>51.918500000000002</v>
      </c>
      <c r="C14767" s="572">
        <v>348.74900000000002</v>
      </c>
    </row>
    <row r="14768" spans="1:3">
      <c r="A14768" s="571" t="s">
        <v>2232</v>
      </c>
      <c r="B14768" s="572">
        <v>53.853700000000003</v>
      </c>
      <c r="C14768" s="572">
        <v>345.822</v>
      </c>
    </row>
    <row r="14769" spans="1:3">
      <c r="A14769" s="571" t="s">
        <v>2232</v>
      </c>
      <c r="B14769" s="572">
        <v>55.786099999999998</v>
      </c>
      <c r="C14769" s="572">
        <v>351.50900000000001</v>
      </c>
    </row>
    <row r="14770" spans="1:3">
      <c r="A14770" s="571" t="s">
        <v>2232</v>
      </c>
      <c r="B14770" s="572">
        <v>57.525100000000002</v>
      </c>
      <c r="C14770" s="572">
        <v>357.2</v>
      </c>
    </row>
    <row r="14771" spans="1:3">
      <c r="A14771" s="571" t="s">
        <v>2232</v>
      </c>
      <c r="B14771" s="572">
        <v>59.459299999999999</v>
      </c>
      <c r="C14771" s="572">
        <v>357.14499999999998</v>
      </c>
    </row>
    <row r="14772" spans="1:3">
      <c r="A14772" s="571" t="s">
        <v>2232</v>
      </c>
      <c r="B14772" s="572">
        <v>61.392699999999998</v>
      </c>
      <c r="C14772" s="572">
        <v>359.96</v>
      </c>
    </row>
    <row r="14773" spans="1:3">
      <c r="A14773" s="571" t="s">
        <v>2232</v>
      </c>
      <c r="B14773" s="572">
        <v>62.746600000000001</v>
      </c>
      <c r="C14773" s="572">
        <v>359.92099999999999</v>
      </c>
    </row>
    <row r="14774" spans="1:3">
      <c r="A14774" s="571" t="s">
        <v>2232</v>
      </c>
      <c r="B14774" s="572">
        <v>64.679000000000002</v>
      </c>
      <c r="C14774" s="572">
        <v>365.60700000000003</v>
      </c>
    </row>
    <row r="14775" spans="1:3">
      <c r="A14775" s="571" t="s">
        <v>2232</v>
      </c>
      <c r="B14775" s="572">
        <v>66.418899999999994</v>
      </c>
      <c r="C14775" s="572">
        <v>368.428</v>
      </c>
    </row>
    <row r="14776" spans="1:3">
      <c r="A14776" s="571" t="s">
        <v>2232</v>
      </c>
      <c r="B14776" s="572">
        <v>68.3523</v>
      </c>
      <c r="C14776" s="572">
        <v>371.24299999999999</v>
      </c>
    </row>
    <row r="14777" spans="1:3">
      <c r="A14777" s="571" t="s">
        <v>2232</v>
      </c>
      <c r="B14777" s="572">
        <v>70.286500000000004</v>
      </c>
      <c r="C14777" s="572">
        <v>371.18799999999999</v>
      </c>
    </row>
    <row r="14778" spans="1:3">
      <c r="A14778" s="571" t="s">
        <v>2232</v>
      </c>
      <c r="B14778" s="572">
        <v>72.413300000000007</v>
      </c>
      <c r="C14778" s="572">
        <v>373.99799999999999</v>
      </c>
    </row>
    <row r="14779" spans="1:3">
      <c r="A14779" s="571" t="s">
        <v>2232</v>
      </c>
      <c r="B14779" s="572">
        <v>74.539100000000005</v>
      </c>
      <c r="C14779" s="572">
        <v>379.678</v>
      </c>
    </row>
    <row r="14780" spans="1:3">
      <c r="A14780" s="571" t="s">
        <v>2232</v>
      </c>
      <c r="B14780" s="572">
        <v>75.892200000000003</v>
      </c>
      <c r="C14780" s="572">
        <v>382.51</v>
      </c>
    </row>
    <row r="14781" spans="1:3">
      <c r="A14781" s="571" t="s">
        <v>2232</v>
      </c>
      <c r="B14781" s="572">
        <v>78.018900000000002</v>
      </c>
      <c r="C14781" s="572">
        <v>385.32</v>
      </c>
    </row>
    <row r="14782" spans="1:3">
      <c r="A14782" s="571" t="s">
        <v>2232</v>
      </c>
      <c r="B14782" s="572">
        <v>80.145700000000005</v>
      </c>
      <c r="C14782" s="572">
        <v>388.13</v>
      </c>
    </row>
    <row r="14783" spans="1:3">
      <c r="A14783" s="571" t="s">
        <v>2232</v>
      </c>
      <c r="B14783" s="572">
        <v>81.691199999999995</v>
      </c>
      <c r="C14783" s="572">
        <v>393.827</v>
      </c>
    </row>
    <row r="14784" spans="1:3">
      <c r="A14784" s="571" t="s">
        <v>2232</v>
      </c>
      <c r="B14784" s="572">
        <v>83.818899999999999</v>
      </c>
      <c r="C14784" s="572">
        <v>393.76600000000002</v>
      </c>
    </row>
    <row r="14785" spans="1:3">
      <c r="A14785" s="571" t="s">
        <v>2232</v>
      </c>
      <c r="B14785" s="572">
        <v>85.944699999999997</v>
      </c>
      <c r="C14785" s="572">
        <v>399.447</v>
      </c>
    </row>
    <row r="14786" spans="1:3">
      <c r="A14786" s="571" t="s">
        <v>2232</v>
      </c>
      <c r="B14786" s="572">
        <v>87.878100000000003</v>
      </c>
      <c r="C14786" s="572">
        <v>402.262</v>
      </c>
    </row>
    <row r="14787" spans="1:3">
      <c r="A14787" s="571" t="s">
        <v>2232</v>
      </c>
      <c r="B14787" s="572">
        <v>90.1982</v>
      </c>
      <c r="C14787" s="572">
        <v>405.06599999999997</v>
      </c>
    </row>
    <row r="14788" spans="1:3">
      <c r="A14788" s="571" t="s">
        <v>2233</v>
      </c>
      <c r="B14788" s="572">
        <v>0.226858</v>
      </c>
      <c r="C14788" s="572">
        <v>3.9161000000000001</v>
      </c>
    </row>
    <row r="14789" spans="1:3">
      <c r="A14789" s="571" t="s">
        <v>2233</v>
      </c>
      <c r="B14789" s="572">
        <v>0.22833200000000001</v>
      </c>
      <c r="C14789" s="572">
        <v>16.937000000000001</v>
      </c>
    </row>
    <row r="14790" spans="1:3">
      <c r="A14790" s="571" t="s">
        <v>2233</v>
      </c>
      <c r="B14790" s="572">
        <v>0.28626299999999999</v>
      </c>
      <c r="C14790" s="572">
        <v>28.658300000000001</v>
      </c>
    </row>
    <row r="14791" spans="1:3">
      <c r="A14791" s="571" t="s">
        <v>2233</v>
      </c>
      <c r="B14791" s="572">
        <v>0.34448899999999999</v>
      </c>
      <c r="C14791" s="572">
        <v>42.983699999999999</v>
      </c>
    </row>
    <row r="14792" spans="1:3">
      <c r="A14792" s="571" t="s">
        <v>2233</v>
      </c>
      <c r="B14792" s="572">
        <v>0.34625800000000001</v>
      </c>
      <c r="C14792" s="572">
        <v>58.608800000000002</v>
      </c>
    </row>
    <row r="14793" spans="1:3">
      <c r="A14793" s="571" t="s">
        <v>2233</v>
      </c>
      <c r="B14793" s="572">
        <v>0.46064500000000003</v>
      </c>
      <c r="C14793" s="572">
        <v>69.0304</v>
      </c>
    </row>
    <row r="14794" spans="1:3">
      <c r="A14794" s="571" t="s">
        <v>2233</v>
      </c>
      <c r="B14794" s="572">
        <v>0.461677</v>
      </c>
      <c r="C14794" s="572">
        <v>78.144999999999996</v>
      </c>
    </row>
    <row r="14795" spans="1:3">
      <c r="A14795" s="571" t="s">
        <v>2233</v>
      </c>
      <c r="B14795" s="572">
        <v>0.577538</v>
      </c>
      <c r="C14795" s="572">
        <v>101.58799999999999</v>
      </c>
    </row>
    <row r="14796" spans="1:3">
      <c r="A14796" s="571" t="s">
        <v>2233</v>
      </c>
      <c r="B14796" s="572">
        <v>0.63296300000000005</v>
      </c>
      <c r="C14796" s="572">
        <v>91.173299999999998</v>
      </c>
    </row>
    <row r="14797" spans="1:3">
      <c r="A14797" s="571" t="s">
        <v>2233</v>
      </c>
      <c r="B14797" s="572">
        <v>0.63561599999999996</v>
      </c>
      <c r="C14797" s="572">
        <v>114.611</v>
      </c>
    </row>
    <row r="14798" spans="1:3">
      <c r="A14798" s="571" t="s">
        <v>2233</v>
      </c>
      <c r="B14798" s="572">
        <v>0.74985599999999997</v>
      </c>
      <c r="C14798" s="572">
        <v>123.73</v>
      </c>
    </row>
    <row r="14799" spans="1:3">
      <c r="A14799" s="571" t="s">
        <v>2233</v>
      </c>
      <c r="B14799" s="572">
        <v>0.75177300000000002</v>
      </c>
      <c r="C14799" s="572">
        <v>140.65799999999999</v>
      </c>
    </row>
    <row r="14800" spans="1:3">
      <c r="A14800" s="571" t="s">
        <v>2233</v>
      </c>
      <c r="B14800" s="572">
        <v>0.86704400000000004</v>
      </c>
      <c r="C14800" s="572">
        <v>158.892</v>
      </c>
    </row>
    <row r="14801" spans="1:3">
      <c r="A14801" s="571" t="s">
        <v>2233</v>
      </c>
      <c r="B14801" s="572">
        <v>0.92600700000000002</v>
      </c>
      <c r="C14801" s="572">
        <v>179.72800000000001</v>
      </c>
    </row>
    <row r="14802" spans="1:3">
      <c r="A14802" s="571" t="s">
        <v>2233</v>
      </c>
      <c r="B14802" s="572">
        <v>1.0414300000000001</v>
      </c>
      <c r="C14802" s="572">
        <v>199.26400000000001</v>
      </c>
    </row>
    <row r="14803" spans="1:3">
      <c r="A14803" s="571" t="s">
        <v>2233</v>
      </c>
      <c r="B14803" s="572">
        <v>1.27064</v>
      </c>
      <c r="C14803" s="572">
        <v>224.01300000000001</v>
      </c>
    </row>
    <row r="14804" spans="1:3">
      <c r="A14804" s="571" t="s">
        <v>2233</v>
      </c>
      <c r="B14804" s="572">
        <v>1.4992700000000001</v>
      </c>
      <c r="C14804" s="572">
        <v>243.55500000000001</v>
      </c>
    </row>
    <row r="14805" spans="1:3">
      <c r="A14805" s="571" t="s">
        <v>2233</v>
      </c>
      <c r="B14805" s="572">
        <v>1.7843500000000001</v>
      </c>
      <c r="C14805" s="572">
        <v>261.79599999999999</v>
      </c>
    </row>
    <row r="14806" spans="1:3">
      <c r="A14806" s="571" t="s">
        <v>2233</v>
      </c>
      <c r="B14806" s="572">
        <v>1.95608</v>
      </c>
      <c r="C14806" s="572">
        <v>278.73099999999999</v>
      </c>
    </row>
    <row r="14807" spans="1:3">
      <c r="A14807" s="571" t="s">
        <v>2233</v>
      </c>
      <c r="B14807" s="572">
        <v>2.12663</v>
      </c>
      <c r="C14807" s="572">
        <v>285.24900000000002</v>
      </c>
    </row>
    <row r="14808" spans="1:3">
      <c r="A14808" s="571" t="s">
        <v>2233</v>
      </c>
      <c r="B14808" s="572">
        <v>2.41039</v>
      </c>
      <c r="C14808" s="572">
        <v>291.77100000000002</v>
      </c>
    </row>
    <row r="14809" spans="1:3">
      <c r="A14809" s="571" t="s">
        <v>2233</v>
      </c>
      <c r="B14809" s="572">
        <v>2.694</v>
      </c>
      <c r="C14809" s="572">
        <v>296.99200000000002</v>
      </c>
    </row>
    <row r="14810" spans="1:3">
      <c r="A14810" s="571" t="s">
        <v>2233</v>
      </c>
      <c r="B14810" s="572">
        <v>2.9782000000000002</v>
      </c>
      <c r="C14810" s="572">
        <v>307.42099999999999</v>
      </c>
    </row>
    <row r="14811" spans="1:3">
      <c r="A14811" s="571" t="s">
        <v>2233</v>
      </c>
      <c r="B14811" s="572">
        <v>3.9415</v>
      </c>
      <c r="C14811" s="572">
        <v>316.577</v>
      </c>
    </row>
    <row r="14812" spans="1:3">
      <c r="A14812" s="571" t="s">
        <v>2233</v>
      </c>
      <c r="B14812" s="572">
        <v>4.9059799999999996</v>
      </c>
      <c r="C14812" s="572">
        <v>336.15</v>
      </c>
    </row>
    <row r="14813" spans="1:3">
      <c r="A14813" s="571" t="s">
        <v>2233</v>
      </c>
      <c r="B14813" s="572">
        <v>5.9267700000000003</v>
      </c>
      <c r="C14813" s="572">
        <v>353.12200000000001</v>
      </c>
    </row>
    <row r="14814" spans="1:3">
      <c r="A14814" s="571" t="s">
        <v>2233</v>
      </c>
      <c r="B14814" s="572">
        <v>6.9462299999999999</v>
      </c>
      <c r="C14814" s="572">
        <v>358.37400000000002</v>
      </c>
    </row>
    <row r="14815" spans="1:3">
      <c r="A14815" s="571" t="s">
        <v>2233</v>
      </c>
      <c r="B14815" s="572">
        <v>7.8526300000000004</v>
      </c>
      <c r="C14815" s="572">
        <v>364.92399999999998</v>
      </c>
    </row>
    <row r="14816" spans="1:3">
      <c r="A14816" s="571" t="s">
        <v>2233</v>
      </c>
      <c r="B14816" s="572">
        <v>8.8728300000000004</v>
      </c>
      <c r="C14816" s="572">
        <v>376.68700000000001</v>
      </c>
    </row>
    <row r="14817" spans="1:3">
      <c r="A14817" s="571" t="s">
        <v>2233</v>
      </c>
      <c r="B14817" s="572">
        <v>9.7783499999999997</v>
      </c>
      <c r="C14817" s="572">
        <v>375.42399999999998</v>
      </c>
    </row>
    <row r="14818" spans="1:3">
      <c r="A14818" s="571" t="s">
        <v>2233</v>
      </c>
      <c r="B14818" s="572">
        <v>10.8546</v>
      </c>
      <c r="C14818" s="572">
        <v>381.98200000000003</v>
      </c>
    </row>
    <row r="14819" spans="1:3">
      <c r="A14819" s="571" t="s">
        <v>2233</v>
      </c>
      <c r="B14819" s="572">
        <v>11.817299999999999</v>
      </c>
      <c r="C14819" s="572">
        <v>385.93</v>
      </c>
    </row>
    <row r="14820" spans="1:3">
      <c r="A14820" s="571" t="s">
        <v>2233</v>
      </c>
      <c r="B14820" s="572">
        <v>12.780099999999999</v>
      </c>
      <c r="C14820" s="572">
        <v>391.18</v>
      </c>
    </row>
    <row r="14821" spans="1:3">
      <c r="A14821" s="571" t="s">
        <v>2233</v>
      </c>
      <c r="B14821" s="572">
        <v>13.8566</v>
      </c>
      <c r="C14821" s="572">
        <v>400.34100000000001</v>
      </c>
    </row>
    <row r="14822" spans="1:3">
      <c r="A14822" s="571" t="s">
        <v>2233</v>
      </c>
      <c r="B14822" s="572">
        <v>14.8194</v>
      </c>
      <c r="C14822" s="572">
        <v>404.28899999999999</v>
      </c>
    </row>
    <row r="14823" spans="1:3">
      <c r="A14823" s="571" t="s">
        <v>2233</v>
      </c>
      <c r="B14823" s="572">
        <v>15.7827</v>
      </c>
      <c r="C14823" s="572">
        <v>413.44499999999999</v>
      </c>
    </row>
    <row r="14824" spans="1:3">
      <c r="A14824" s="571" t="s">
        <v>2233</v>
      </c>
      <c r="B14824" s="572">
        <v>16.8581</v>
      </c>
      <c r="C14824" s="572">
        <v>413.49200000000002</v>
      </c>
    </row>
    <row r="14825" spans="1:3">
      <c r="A14825" s="571" t="s">
        <v>2233</v>
      </c>
      <c r="B14825" s="572">
        <v>17.877600000000001</v>
      </c>
      <c r="C14825" s="572">
        <v>418.745</v>
      </c>
    </row>
    <row r="14826" spans="1:3">
      <c r="A14826" s="571" t="s">
        <v>2233</v>
      </c>
      <c r="B14826" s="572">
        <v>18.8399</v>
      </c>
      <c r="C14826" s="572">
        <v>418.786</v>
      </c>
    </row>
    <row r="14827" spans="1:3">
      <c r="A14827" s="571" t="s">
        <v>2233</v>
      </c>
      <c r="B14827" s="572">
        <v>19.859000000000002</v>
      </c>
      <c r="C14827" s="572">
        <v>421.435</v>
      </c>
    </row>
    <row r="14828" spans="1:3">
      <c r="A14828" s="571" t="s">
        <v>2233</v>
      </c>
      <c r="B14828" s="572">
        <v>20.821899999999999</v>
      </c>
      <c r="C14828" s="572">
        <v>426.685</v>
      </c>
    </row>
    <row r="14829" spans="1:3">
      <c r="A14829" s="571" t="s">
        <v>2233</v>
      </c>
      <c r="B14829" s="572">
        <v>21.841100000000001</v>
      </c>
      <c r="C14829" s="572">
        <v>429.33300000000003</v>
      </c>
    </row>
    <row r="14830" spans="1:3">
      <c r="A14830" s="571" t="s">
        <v>2233</v>
      </c>
      <c r="B14830" s="572">
        <v>22.860099999999999</v>
      </c>
      <c r="C14830" s="572">
        <v>430.68</v>
      </c>
    </row>
    <row r="14831" spans="1:3">
      <c r="A14831" s="571" t="s">
        <v>2233</v>
      </c>
      <c r="B14831" s="572">
        <v>23.8794</v>
      </c>
      <c r="C14831" s="572">
        <v>434.63</v>
      </c>
    </row>
    <row r="14832" spans="1:3">
      <c r="A14832" s="571" t="s">
        <v>2233</v>
      </c>
      <c r="B14832" s="572">
        <v>24.7852</v>
      </c>
      <c r="C14832" s="572">
        <v>435.97199999999998</v>
      </c>
    </row>
    <row r="14833" spans="1:3">
      <c r="A14833" s="571" t="s">
        <v>2233</v>
      </c>
      <c r="B14833" s="572">
        <v>25.804200000000002</v>
      </c>
      <c r="C14833" s="572">
        <v>437.31799999999998</v>
      </c>
    </row>
    <row r="14834" spans="1:3">
      <c r="A14834" s="571" t="s">
        <v>2233</v>
      </c>
      <c r="B14834" s="572">
        <v>26.823499999999999</v>
      </c>
      <c r="C14834" s="572">
        <v>441.26799999999997</v>
      </c>
    </row>
    <row r="14835" spans="1:3">
      <c r="A14835" s="571" t="s">
        <v>2233</v>
      </c>
      <c r="B14835" s="572">
        <v>27.842700000000001</v>
      </c>
      <c r="C14835" s="572">
        <v>443.91699999999997</v>
      </c>
    </row>
    <row r="14836" spans="1:3">
      <c r="A14836" s="571" t="s">
        <v>2234</v>
      </c>
      <c r="B14836" s="572">
        <v>0.39548</v>
      </c>
      <c r="C14836" s="572">
        <v>0.39548</v>
      </c>
    </row>
    <row r="14837" spans="1:3">
      <c r="A14837" s="571" t="s">
        <v>2234</v>
      </c>
      <c r="B14837" s="572">
        <v>0.50847500000000001</v>
      </c>
      <c r="C14837" s="572">
        <v>2.2184800000000001E-2</v>
      </c>
    </row>
    <row r="14838" spans="1:3">
      <c r="A14838" s="571" t="s">
        <v>2234</v>
      </c>
      <c r="B14838" s="572">
        <v>0.67796599999999996</v>
      </c>
      <c r="C14838" s="572">
        <v>99.506</v>
      </c>
    </row>
    <row r="14839" spans="1:3">
      <c r="A14839" s="571" t="s">
        <v>2234</v>
      </c>
      <c r="B14839" s="572">
        <v>0.79096</v>
      </c>
      <c r="C14839" s="572">
        <v>120.453</v>
      </c>
    </row>
    <row r="14840" spans="1:3">
      <c r="A14840" s="571" t="s">
        <v>2234</v>
      </c>
      <c r="B14840" s="572">
        <v>1.07345</v>
      </c>
      <c r="C14840" s="572">
        <v>142.71700000000001</v>
      </c>
    </row>
    <row r="14841" spans="1:3">
      <c r="A14841" s="571" t="s">
        <v>2234</v>
      </c>
      <c r="B14841" s="572">
        <v>1.2994399999999999</v>
      </c>
      <c r="C14841" s="572">
        <v>166.28700000000001</v>
      </c>
    </row>
    <row r="14842" spans="1:3">
      <c r="A14842" s="571" t="s">
        <v>2234</v>
      </c>
      <c r="B14842" s="572">
        <v>1.63842</v>
      </c>
      <c r="C14842" s="572">
        <v>187.244</v>
      </c>
    </row>
    <row r="14843" spans="1:3">
      <c r="A14843" s="571" t="s">
        <v>2234</v>
      </c>
      <c r="B14843" s="572">
        <v>1.8079099999999999</v>
      </c>
      <c r="C14843" s="572">
        <v>197.72300000000001</v>
      </c>
    </row>
    <row r="14844" spans="1:3">
      <c r="A14844" s="571" t="s">
        <v>2234</v>
      </c>
      <c r="B14844" s="572">
        <v>2.0339</v>
      </c>
      <c r="C14844" s="572">
        <v>204.27699999999999</v>
      </c>
    </row>
    <row r="14845" spans="1:3">
      <c r="A14845" s="571" t="s">
        <v>2234</v>
      </c>
      <c r="B14845" s="572">
        <v>2.25989</v>
      </c>
      <c r="C14845" s="572">
        <v>212.14</v>
      </c>
    </row>
    <row r="14846" spans="1:3">
      <c r="A14846" s="571" t="s">
        <v>2234</v>
      </c>
      <c r="B14846" s="572">
        <v>2.54237</v>
      </c>
      <c r="C14846" s="572">
        <v>216.08</v>
      </c>
    </row>
    <row r="14847" spans="1:3">
      <c r="A14847" s="571" t="s">
        <v>2234</v>
      </c>
      <c r="B14847" s="572">
        <v>2.7118600000000002</v>
      </c>
      <c r="C14847" s="572">
        <v>218.70500000000001</v>
      </c>
    </row>
    <row r="14848" spans="1:3">
      <c r="A14848" s="571" t="s">
        <v>2234</v>
      </c>
      <c r="B14848" s="572">
        <v>2.9378500000000001</v>
      </c>
      <c r="C14848" s="572">
        <v>226.56800000000001</v>
      </c>
    </row>
    <row r="14849" spans="1:3">
      <c r="A14849" s="571" t="s">
        <v>2234</v>
      </c>
      <c r="B14849" s="572">
        <v>3.9548000000000001</v>
      </c>
      <c r="C14849" s="572">
        <v>230.53899999999999</v>
      </c>
    </row>
    <row r="14850" spans="1:3">
      <c r="A14850" s="571" t="s">
        <v>2234</v>
      </c>
      <c r="B14850" s="572">
        <v>5.0847499999999997</v>
      </c>
      <c r="C14850" s="572">
        <v>246.29499999999999</v>
      </c>
    </row>
    <row r="14851" spans="1:3">
      <c r="A14851" s="571" t="s">
        <v>2234</v>
      </c>
      <c r="B14851" s="572">
        <v>5.9886999999999997</v>
      </c>
      <c r="C14851" s="572">
        <v>259.42399999999998</v>
      </c>
    </row>
    <row r="14852" spans="1:3">
      <c r="A14852" s="571" t="s">
        <v>2234</v>
      </c>
      <c r="B14852" s="572">
        <v>7.0056500000000002</v>
      </c>
      <c r="C14852" s="572">
        <v>267.32100000000003</v>
      </c>
    </row>
    <row r="14853" spans="1:3">
      <c r="A14853" s="571" t="s">
        <v>2234</v>
      </c>
      <c r="B14853" s="572">
        <v>7.7966100000000003</v>
      </c>
      <c r="C14853" s="572">
        <v>269.97399999999999</v>
      </c>
    </row>
    <row r="14854" spans="1:3">
      <c r="A14854" s="571" t="s">
        <v>2234</v>
      </c>
      <c r="B14854" s="572">
        <v>8.8700600000000005</v>
      </c>
      <c r="C14854" s="572">
        <v>275.25599999999997</v>
      </c>
    </row>
    <row r="14855" spans="1:3">
      <c r="A14855" s="571" t="s">
        <v>2234</v>
      </c>
      <c r="B14855" s="572">
        <v>9.8305100000000003</v>
      </c>
      <c r="C14855" s="572">
        <v>283.15100000000001</v>
      </c>
    </row>
    <row r="14856" spans="1:3">
      <c r="A14856" s="571" t="s">
        <v>2234</v>
      </c>
      <c r="B14856" s="572">
        <v>10.8475</v>
      </c>
      <c r="C14856" s="572">
        <v>288.43099999999998</v>
      </c>
    </row>
    <row r="14857" spans="1:3">
      <c r="A14857" s="571" t="s">
        <v>2234</v>
      </c>
      <c r="B14857" s="572">
        <v>11.9209</v>
      </c>
      <c r="C14857" s="572">
        <v>291.096</v>
      </c>
    </row>
    <row r="14858" spans="1:3">
      <c r="A14858" s="571" t="s">
        <v>2234</v>
      </c>
      <c r="B14858" s="572">
        <v>12.881399999999999</v>
      </c>
      <c r="C14858" s="572">
        <v>296.37400000000002</v>
      </c>
    </row>
    <row r="14859" spans="1:3">
      <c r="A14859" s="571" t="s">
        <v>2234</v>
      </c>
      <c r="B14859" s="572">
        <v>13.785299999999999</v>
      </c>
      <c r="C14859" s="572">
        <v>300.33999999999997</v>
      </c>
    </row>
    <row r="14860" spans="1:3">
      <c r="A14860" s="571" t="s">
        <v>2234</v>
      </c>
      <c r="B14860" s="572">
        <v>14.802300000000001</v>
      </c>
      <c r="C14860" s="572">
        <v>305.62</v>
      </c>
    </row>
    <row r="14861" spans="1:3">
      <c r="A14861" s="571" t="s">
        <v>2234</v>
      </c>
      <c r="B14861" s="572">
        <v>15.8757</v>
      </c>
      <c r="C14861" s="572">
        <v>312.21100000000001</v>
      </c>
    </row>
    <row r="14862" spans="1:3">
      <c r="A14862" s="571" t="s">
        <v>2234</v>
      </c>
      <c r="B14862" s="572">
        <v>16.892700000000001</v>
      </c>
      <c r="C14862" s="572">
        <v>314.87299999999999</v>
      </c>
    </row>
    <row r="14863" spans="1:3">
      <c r="A14863" s="571" t="s">
        <v>2234</v>
      </c>
      <c r="B14863" s="572">
        <v>17.853100000000001</v>
      </c>
      <c r="C14863" s="572">
        <v>318.84199999999998</v>
      </c>
    </row>
    <row r="14864" spans="1:3">
      <c r="A14864" s="571" t="s">
        <v>2234</v>
      </c>
      <c r="B14864" s="572">
        <v>18.870100000000001</v>
      </c>
      <c r="C14864" s="572">
        <v>317.577</v>
      </c>
    </row>
    <row r="14865" spans="1:3">
      <c r="A14865" s="571" t="s">
        <v>2234</v>
      </c>
      <c r="B14865" s="572">
        <v>19.887</v>
      </c>
      <c r="C14865" s="572">
        <v>322.85700000000003</v>
      </c>
    </row>
    <row r="14866" spans="1:3">
      <c r="A14866" s="571" t="s">
        <v>2234</v>
      </c>
      <c r="B14866" s="572">
        <v>20.904</v>
      </c>
      <c r="C14866" s="572">
        <v>326.82799999999997</v>
      </c>
    </row>
    <row r="14867" spans="1:3">
      <c r="A14867" s="571" t="s">
        <v>2234</v>
      </c>
      <c r="B14867" s="572">
        <v>21.8644</v>
      </c>
      <c r="C14867" s="572">
        <v>329.488</v>
      </c>
    </row>
    <row r="14868" spans="1:3">
      <c r="A14868" s="571" t="s">
        <v>2234</v>
      </c>
      <c r="B14868" s="572">
        <v>22.881399999999999</v>
      </c>
      <c r="C14868" s="572">
        <v>332.15</v>
      </c>
    </row>
    <row r="14869" spans="1:3">
      <c r="A14869" s="571" t="s">
        <v>2234</v>
      </c>
      <c r="B14869" s="572">
        <v>23.841799999999999</v>
      </c>
      <c r="C14869" s="572">
        <v>334.81</v>
      </c>
    </row>
    <row r="14870" spans="1:3">
      <c r="A14870" s="571" t="s">
        <v>2234</v>
      </c>
      <c r="B14870" s="572">
        <v>24.915299999999998</v>
      </c>
      <c r="C14870" s="572">
        <v>337.47399999999999</v>
      </c>
    </row>
    <row r="14871" spans="1:3">
      <c r="A14871" s="571" t="s">
        <v>2234</v>
      </c>
      <c r="B14871" s="572">
        <v>25.875699999999998</v>
      </c>
      <c r="C14871" s="572">
        <v>336.20699999999999</v>
      </c>
    </row>
    <row r="14872" spans="1:3">
      <c r="A14872" s="571" t="s">
        <v>2234</v>
      </c>
      <c r="B14872" s="572">
        <v>26.892700000000001</v>
      </c>
      <c r="C14872" s="572">
        <v>338.87</v>
      </c>
    </row>
    <row r="14873" spans="1:3">
      <c r="A14873" s="571" t="s">
        <v>2234</v>
      </c>
      <c r="B14873" s="572">
        <v>27.853100000000001</v>
      </c>
      <c r="C14873" s="572">
        <v>342.83800000000002</v>
      </c>
    </row>
    <row r="14874" spans="1:3">
      <c r="A14874" s="571" t="s">
        <v>2235</v>
      </c>
      <c r="B14874" s="572">
        <v>0.45197700000000002</v>
      </c>
      <c r="C14874" s="572">
        <v>0.45197700000000002</v>
      </c>
    </row>
    <row r="14875" spans="1:3">
      <c r="A14875" s="571" t="s">
        <v>2235</v>
      </c>
      <c r="B14875" s="572">
        <v>0.50847500000000001</v>
      </c>
      <c r="C14875" s="572">
        <v>14.360300000000001</v>
      </c>
    </row>
    <row r="14876" spans="1:3">
      <c r="A14876" s="571" t="s">
        <v>2235</v>
      </c>
      <c r="B14876" s="572">
        <v>0.56497200000000003</v>
      </c>
      <c r="C14876" s="572">
        <v>54.830300000000001</v>
      </c>
    </row>
    <row r="14877" spans="1:3">
      <c r="A14877" s="571" t="s">
        <v>2235</v>
      </c>
      <c r="B14877" s="572">
        <v>0.67796599999999996</v>
      </c>
      <c r="C14877" s="572">
        <v>45.691899999999997</v>
      </c>
    </row>
    <row r="14878" spans="1:3">
      <c r="A14878" s="571" t="s">
        <v>2235</v>
      </c>
      <c r="B14878" s="572">
        <v>0.73446299999999998</v>
      </c>
      <c r="C14878" s="572">
        <v>63.968699999999998</v>
      </c>
    </row>
    <row r="14879" spans="1:3">
      <c r="A14879" s="571" t="s">
        <v>2235</v>
      </c>
      <c r="B14879" s="572">
        <v>0.90395499999999995</v>
      </c>
      <c r="C14879" s="572">
        <v>70.496099999999998</v>
      </c>
    </row>
    <row r="14880" spans="1:3">
      <c r="A14880" s="571" t="s">
        <v>2235</v>
      </c>
      <c r="B14880" s="572">
        <v>0.96045199999999997</v>
      </c>
      <c r="C14880" s="572">
        <v>87.467399999999998</v>
      </c>
    </row>
    <row r="14881" spans="1:3">
      <c r="A14881" s="571" t="s">
        <v>2235</v>
      </c>
      <c r="B14881" s="572">
        <v>0.96045199999999997</v>
      </c>
      <c r="C14881" s="572">
        <v>87.467399999999998</v>
      </c>
    </row>
    <row r="14882" spans="1:3">
      <c r="A14882" s="571" t="s">
        <v>2235</v>
      </c>
      <c r="B14882" s="572">
        <v>1.2429399999999999</v>
      </c>
      <c r="C14882" s="572">
        <v>112.27200000000001</v>
      </c>
    </row>
    <row r="14883" spans="1:3">
      <c r="A14883" s="571" t="s">
        <v>2235</v>
      </c>
      <c r="B14883" s="572">
        <v>1.4689300000000001</v>
      </c>
      <c r="C14883" s="572">
        <v>114.883</v>
      </c>
    </row>
    <row r="14884" spans="1:3">
      <c r="A14884" s="571" t="s">
        <v>2235</v>
      </c>
      <c r="B14884" s="572">
        <v>1.69492</v>
      </c>
      <c r="C14884" s="572">
        <v>120.104</v>
      </c>
    </row>
    <row r="14885" spans="1:3">
      <c r="A14885" s="571" t="s">
        <v>2235</v>
      </c>
      <c r="B14885" s="572">
        <v>1.8644099999999999</v>
      </c>
      <c r="C14885" s="572">
        <v>125.32599999999999</v>
      </c>
    </row>
    <row r="14886" spans="1:3">
      <c r="A14886" s="571" t="s">
        <v>2235</v>
      </c>
      <c r="B14886" s="572">
        <v>2.2033900000000002</v>
      </c>
      <c r="C14886" s="572">
        <v>130.548</v>
      </c>
    </row>
    <row r="14887" spans="1:3">
      <c r="A14887" s="571" t="s">
        <v>2235</v>
      </c>
      <c r="B14887" s="572">
        <v>2.4293800000000001</v>
      </c>
      <c r="C14887" s="572">
        <v>137.07599999999999</v>
      </c>
    </row>
    <row r="14888" spans="1:3">
      <c r="A14888" s="571" t="s">
        <v>2235</v>
      </c>
      <c r="B14888" s="572">
        <v>2.7683599999999999</v>
      </c>
      <c r="C14888" s="572">
        <v>140.99199999999999</v>
      </c>
    </row>
    <row r="14889" spans="1:3">
      <c r="A14889" s="571" t="s">
        <v>2235</v>
      </c>
      <c r="B14889" s="572">
        <v>2.9943499999999998</v>
      </c>
      <c r="C14889" s="572">
        <v>142.298</v>
      </c>
    </row>
    <row r="14890" spans="1:3">
      <c r="A14890" s="571" t="s">
        <v>2235</v>
      </c>
      <c r="B14890" s="572">
        <v>3.8983099999999999</v>
      </c>
      <c r="C14890" s="572">
        <v>144.90899999999999</v>
      </c>
    </row>
    <row r="14891" spans="1:3">
      <c r="A14891" s="571" t="s">
        <v>2235</v>
      </c>
      <c r="B14891" s="572">
        <v>4.9152500000000003</v>
      </c>
      <c r="C14891" s="572">
        <v>154.047</v>
      </c>
    </row>
    <row r="14892" spans="1:3">
      <c r="A14892" s="571" t="s">
        <v>2235</v>
      </c>
      <c r="B14892" s="572">
        <v>5.9321999999999999</v>
      </c>
      <c r="C14892" s="572">
        <v>167.102</v>
      </c>
    </row>
    <row r="14893" spans="1:3">
      <c r="A14893" s="571" t="s">
        <v>2235</v>
      </c>
      <c r="B14893" s="572">
        <v>6.8926600000000002</v>
      </c>
      <c r="C14893" s="572">
        <v>173.62899999999999</v>
      </c>
    </row>
    <row r="14894" spans="1:3">
      <c r="A14894" s="571" t="s">
        <v>2235</v>
      </c>
      <c r="B14894" s="572">
        <v>7.85311</v>
      </c>
      <c r="C14894" s="572">
        <v>180.15700000000001</v>
      </c>
    </row>
    <row r="14895" spans="1:3">
      <c r="A14895" s="571" t="s">
        <v>2235</v>
      </c>
      <c r="B14895" s="572">
        <v>8.8700600000000005</v>
      </c>
      <c r="C14895" s="572">
        <v>184.07300000000001</v>
      </c>
    </row>
    <row r="14896" spans="1:3">
      <c r="A14896" s="571" t="s">
        <v>2235</v>
      </c>
      <c r="B14896" s="572">
        <v>9.8870100000000001</v>
      </c>
      <c r="C14896" s="572">
        <v>182.768</v>
      </c>
    </row>
    <row r="14897" spans="1:3">
      <c r="A14897" s="571" t="s">
        <v>2235</v>
      </c>
      <c r="B14897" s="572">
        <v>10.791</v>
      </c>
      <c r="C14897" s="572">
        <v>187.99</v>
      </c>
    </row>
    <row r="14898" spans="1:3">
      <c r="A14898" s="571" t="s">
        <v>2235</v>
      </c>
      <c r="B14898" s="572">
        <v>11.694900000000001</v>
      </c>
      <c r="C14898" s="572">
        <v>190.601</v>
      </c>
    </row>
    <row r="14899" spans="1:3">
      <c r="A14899" s="571" t="s">
        <v>2235</v>
      </c>
      <c r="B14899" s="572">
        <v>12.8249</v>
      </c>
      <c r="C14899" s="572">
        <v>194.517</v>
      </c>
    </row>
    <row r="14900" spans="1:3">
      <c r="A14900" s="571" t="s">
        <v>2235</v>
      </c>
      <c r="B14900" s="572">
        <v>13.841799999999999</v>
      </c>
      <c r="C14900" s="572">
        <v>197.12799999999999</v>
      </c>
    </row>
    <row r="14901" spans="1:3">
      <c r="A14901" s="571" t="s">
        <v>2235</v>
      </c>
      <c r="B14901" s="572">
        <v>14.745799999999999</v>
      </c>
      <c r="C14901" s="572">
        <v>199.739</v>
      </c>
    </row>
    <row r="14902" spans="1:3">
      <c r="A14902" s="571" t="s">
        <v>2235</v>
      </c>
      <c r="B14902" s="572">
        <v>15.8192</v>
      </c>
      <c r="C14902" s="572">
        <v>206.26599999999999</v>
      </c>
    </row>
    <row r="14903" spans="1:3">
      <c r="A14903" s="571" t="s">
        <v>2235</v>
      </c>
      <c r="B14903" s="572">
        <v>16.779699999999998</v>
      </c>
      <c r="C14903" s="572">
        <v>211.488</v>
      </c>
    </row>
    <row r="14904" spans="1:3">
      <c r="A14904" s="571" t="s">
        <v>2235</v>
      </c>
      <c r="B14904" s="572">
        <v>17.740100000000002</v>
      </c>
      <c r="C14904" s="572">
        <v>211.488</v>
      </c>
    </row>
    <row r="14905" spans="1:3">
      <c r="A14905" s="571" t="s">
        <v>2235</v>
      </c>
      <c r="B14905" s="572">
        <v>18.813600000000001</v>
      </c>
      <c r="C14905" s="572">
        <v>211.488</v>
      </c>
    </row>
    <row r="14906" spans="1:3">
      <c r="A14906" s="571" t="s">
        <v>2235</v>
      </c>
      <c r="B14906" s="572">
        <v>19.830500000000001</v>
      </c>
      <c r="C14906" s="572">
        <v>219.321</v>
      </c>
    </row>
    <row r="14907" spans="1:3">
      <c r="A14907" s="571" t="s">
        <v>2235</v>
      </c>
      <c r="B14907" s="572">
        <v>20.8475</v>
      </c>
      <c r="C14907" s="572">
        <v>218.01599999999999</v>
      </c>
    </row>
    <row r="14908" spans="1:3">
      <c r="A14908" s="571" t="s">
        <v>2235</v>
      </c>
      <c r="B14908" s="572">
        <v>21.7514</v>
      </c>
      <c r="C14908" s="572">
        <v>220.62700000000001</v>
      </c>
    </row>
    <row r="14909" spans="1:3">
      <c r="A14909" s="571" t="s">
        <v>2235</v>
      </c>
      <c r="B14909" s="572">
        <v>22.8249</v>
      </c>
      <c r="C14909" s="572">
        <v>223.238</v>
      </c>
    </row>
    <row r="14910" spans="1:3">
      <c r="A14910" s="571" t="s">
        <v>2235</v>
      </c>
      <c r="B14910" s="572">
        <v>23.785299999999999</v>
      </c>
      <c r="C14910" s="572">
        <v>225.84899999999999</v>
      </c>
    </row>
    <row r="14911" spans="1:3">
      <c r="A14911" s="571" t="s">
        <v>2235</v>
      </c>
      <c r="B14911" s="572">
        <v>24.802299999999999</v>
      </c>
      <c r="C14911" s="572">
        <v>228.46</v>
      </c>
    </row>
    <row r="14912" spans="1:3">
      <c r="A14912" s="571" t="s">
        <v>2235</v>
      </c>
      <c r="B14912" s="572">
        <v>25.875699999999998</v>
      </c>
      <c r="C14912" s="572">
        <v>227.154</v>
      </c>
    </row>
    <row r="14913" spans="1:3">
      <c r="A14913" s="571" t="s">
        <v>2235</v>
      </c>
      <c r="B14913" s="572">
        <v>26.779699999999998</v>
      </c>
      <c r="C14913" s="572">
        <v>229.76499999999999</v>
      </c>
    </row>
    <row r="14914" spans="1:3">
      <c r="A14914" s="571" t="s">
        <v>2235</v>
      </c>
      <c r="B14914" s="572">
        <v>27.796600000000002</v>
      </c>
      <c r="C14914" s="572">
        <v>232.376</v>
      </c>
    </row>
    <row r="14915" spans="1:3">
      <c r="A14915" s="571" t="s">
        <v>2236</v>
      </c>
      <c r="B14915" s="572">
        <v>0.34</v>
      </c>
      <c r="C14915" s="572">
        <v>4</v>
      </c>
    </row>
    <row r="14916" spans="1:3">
      <c r="A14916" s="571" t="s">
        <v>2236</v>
      </c>
      <c r="B14916" s="572">
        <v>0.56000000000000005</v>
      </c>
      <c r="C14916" s="572">
        <v>72</v>
      </c>
    </row>
    <row r="14917" spans="1:3">
      <c r="A14917" s="571" t="s">
        <v>2236</v>
      </c>
      <c r="B14917" s="572">
        <v>0.73</v>
      </c>
      <c r="C14917" s="572">
        <v>118</v>
      </c>
    </row>
    <row r="14918" spans="1:3">
      <c r="A14918" s="571" t="s">
        <v>2236</v>
      </c>
      <c r="B14918" s="572">
        <v>0.95</v>
      </c>
      <c r="C14918" s="572">
        <v>177</v>
      </c>
    </row>
    <row r="14919" spans="1:3">
      <c r="A14919" s="571" t="s">
        <v>2236</v>
      </c>
      <c r="B14919" s="572">
        <v>1.28</v>
      </c>
      <c r="C14919" s="572">
        <v>221</v>
      </c>
    </row>
    <row r="14920" spans="1:3">
      <c r="A14920" s="571" t="s">
        <v>2236</v>
      </c>
      <c r="B14920" s="572">
        <v>1.79</v>
      </c>
      <c r="C14920" s="572">
        <v>263</v>
      </c>
    </row>
    <row r="14921" spans="1:3">
      <c r="A14921" s="571" t="s">
        <v>2236</v>
      </c>
      <c r="B14921" s="572">
        <v>2.2400000000000002</v>
      </c>
      <c r="C14921" s="572">
        <v>287</v>
      </c>
    </row>
    <row r="14922" spans="1:3">
      <c r="A14922" s="571" t="s">
        <v>2236</v>
      </c>
      <c r="B14922" s="572">
        <v>2.8</v>
      </c>
      <c r="C14922" s="572">
        <v>297</v>
      </c>
    </row>
    <row r="14923" spans="1:3">
      <c r="A14923" s="571" t="s">
        <v>2236</v>
      </c>
      <c r="B14923" s="572">
        <v>3.03</v>
      </c>
      <c r="C14923" s="572">
        <v>310</v>
      </c>
    </row>
    <row r="14924" spans="1:3">
      <c r="A14924" s="571" t="s">
        <v>2236</v>
      </c>
      <c r="B14924" s="572">
        <v>3.93</v>
      </c>
      <c r="C14924" s="572">
        <v>339</v>
      </c>
    </row>
    <row r="14925" spans="1:3">
      <c r="A14925" s="571" t="s">
        <v>2236</v>
      </c>
      <c r="B14925" s="572">
        <v>4.9400000000000004</v>
      </c>
      <c r="C14925" s="572">
        <v>386</v>
      </c>
    </row>
    <row r="14926" spans="1:3">
      <c r="A14926" s="571" t="s">
        <v>2236</v>
      </c>
      <c r="B14926" s="572">
        <v>6.02</v>
      </c>
      <c r="C14926" s="572">
        <v>422</v>
      </c>
    </row>
    <row r="14927" spans="1:3">
      <c r="A14927" s="571" t="s">
        <v>2236</v>
      </c>
      <c r="B14927" s="572">
        <v>6.97</v>
      </c>
      <c r="C14927" s="572">
        <v>456</v>
      </c>
    </row>
    <row r="14928" spans="1:3">
      <c r="A14928" s="571" t="s">
        <v>2236</v>
      </c>
      <c r="B14928" s="572">
        <v>7.76</v>
      </c>
      <c r="C14928" s="572">
        <v>466</v>
      </c>
    </row>
    <row r="14929" spans="1:3">
      <c r="A14929" s="571" t="s">
        <v>2236</v>
      </c>
      <c r="B14929" s="572">
        <v>8.89</v>
      </c>
      <c r="C14929" s="572">
        <v>471</v>
      </c>
    </row>
    <row r="14930" spans="1:3">
      <c r="A14930" s="571" t="s">
        <v>2236</v>
      </c>
      <c r="B14930" s="572">
        <v>9.74</v>
      </c>
      <c r="C14930" s="572">
        <v>479</v>
      </c>
    </row>
    <row r="14931" spans="1:3">
      <c r="A14931" s="571" t="s">
        <v>2236</v>
      </c>
      <c r="B14931" s="572">
        <v>10.87</v>
      </c>
      <c r="C14931" s="572">
        <v>507</v>
      </c>
    </row>
    <row r="14932" spans="1:3">
      <c r="A14932" s="571" t="s">
        <v>2236</v>
      </c>
      <c r="B14932" s="572">
        <v>11.89</v>
      </c>
      <c r="C14932" s="572">
        <v>509</v>
      </c>
    </row>
    <row r="14933" spans="1:3">
      <c r="A14933" s="571" t="s">
        <v>2236</v>
      </c>
      <c r="B14933" s="572">
        <v>12.79</v>
      </c>
      <c r="C14933" s="572">
        <v>513</v>
      </c>
    </row>
    <row r="14934" spans="1:3">
      <c r="A14934" s="571" t="s">
        <v>2236</v>
      </c>
      <c r="B14934" s="572">
        <v>13.8</v>
      </c>
      <c r="C14934" s="572">
        <v>535</v>
      </c>
    </row>
    <row r="14935" spans="1:3">
      <c r="A14935" s="571" t="s">
        <v>2236</v>
      </c>
      <c r="B14935" s="572">
        <v>14.82</v>
      </c>
      <c r="C14935" s="572">
        <v>549</v>
      </c>
    </row>
    <row r="14936" spans="1:3">
      <c r="A14936" s="571" t="s">
        <v>2236</v>
      </c>
      <c r="B14936" s="572">
        <v>15.89</v>
      </c>
      <c r="C14936" s="572">
        <v>547</v>
      </c>
    </row>
    <row r="14937" spans="1:3">
      <c r="A14937" s="571" t="s">
        <v>2236</v>
      </c>
      <c r="B14937" s="572">
        <v>16.850000000000001</v>
      </c>
      <c r="C14937" s="572">
        <v>554</v>
      </c>
    </row>
    <row r="14938" spans="1:3">
      <c r="A14938" s="571" t="s">
        <v>2236</v>
      </c>
      <c r="B14938" s="572">
        <v>17.87</v>
      </c>
      <c r="C14938" s="572">
        <v>573</v>
      </c>
    </row>
    <row r="14939" spans="1:3">
      <c r="A14939" s="571" t="s">
        <v>2236</v>
      </c>
      <c r="B14939" s="572">
        <v>18.829999999999998</v>
      </c>
      <c r="C14939" s="572">
        <v>579</v>
      </c>
    </row>
    <row r="14940" spans="1:3">
      <c r="A14940" s="571" t="s">
        <v>2236</v>
      </c>
      <c r="B14940" s="572">
        <v>19.850000000000001</v>
      </c>
      <c r="C14940" s="572">
        <v>592</v>
      </c>
    </row>
    <row r="14941" spans="1:3">
      <c r="A14941" s="571" t="s">
        <v>2236</v>
      </c>
      <c r="B14941" s="572">
        <v>20.81</v>
      </c>
      <c r="C14941" s="572">
        <v>588</v>
      </c>
    </row>
    <row r="14942" spans="1:3">
      <c r="A14942" s="571" t="s">
        <v>2236</v>
      </c>
      <c r="B14942" s="572">
        <v>21.82</v>
      </c>
      <c r="C14942" s="572">
        <v>601</v>
      </c>
    </row>
    <row r="14943" spans="1:3">
      <c r="A14943" s="571" t="s">
        <v>2236</v>
      </c>
      <c r="B14943" s="572">
        <v>22.84</v>
      </c>
      <c r="C14943" s="572">
        <v>607</v>
      </c>
    </row>
    <row r="14944" spans="1:3">
      <c r="A14944" s="571" t="s">
        <v>2236</v>
      </c>
      <c r="B14944" s="572">
        <v>23.8</v>
      </c>
      <c r="C14944" s="572">
        <v>612</v>
      </c>
    </row>
    <row r="14945" spans="1:3">
      <c r="A14945" s="571" t="s">
        <v>2236</v>
      </c>
      <c r="B14945" s="572">
        <v>25.04</v>
      </c>
      <c r="C14945" s="572">
        <v>614</v>
      </c>
    </row>
    <row r="14946" spans="1:3">
      <c r="A14946" s="571" t="s">
        <v>2236</v>
      </c>
      <c r="B14946" s="572">
        <v>25.83</v>
      </c>
      <c r="C14946" s="572">
        <v>618</v>
      </c>
    </row>
    <row r="14947" spans="1:3">
      <c r="A14947" s="571" t="s">
        <v>2236</v>
      </c>
      <c r="B14947" s="572">
        <v>26.79</v>
      </c>
      <c r="C14947" s="572">
        <v>629</v>
      </c>
    </row>
    <row r="14948" spans="1:3">
      <c r="A14948" s="571" t="s">
        <v>2236</v>
      </c>
      <c r="B14948" s="572">
        <v>27.86</v>
      </c>
      <c r="C14948" s="572">
        <v>638</v>
      </c>
    </row>
    <row r="14949" spans="1:3">
      <c r="A14949" s="571" t="s">
        <v>2237</v>
      </c>
      <c r="B14949" s="572">
        <v>0.39532699999999998</v>
      </c>
      <c r="C14949" s="572">
        <v>2.1664500000000002</v>
      </c>
    </row>
    <row r="14950" spans="1:3">
      <c r="A14950" s="571" t="s">
        <v>2237</v>
      </c>
      <c r="B14950" s="572">
        <v>0.56228299999999998</v>
      </c>
      <c r="C14950" s="572">
        <v>38.073799999999999</v>
      </c>
    </row>
    <row r="14951" spans="1:3">
      <c r="A14951" s="571" t="s">
        <v>2237</v>
      </c>
      <c r="B14951" s="572">
        <v>0.72953699999999999</v>
      </c>
      <c r="C14951" s="572">
        <v>69.759699999999995</v>
      </c>
    </row>
    <row r="14952" spans="1:3">
      <c r="A14952" s="571" t="s">
        <v>2237</v>
      </c>
      <c r="B14952" s="572">
        <v>0.84074099999999996</v>
      </c>
      <c r="C14952" s="572">
        <v>95.105099999999993</v>
      </c>
    </row>
    <row r="14953" spans="1:3">
      <c r="A14953" s="571" t="s">
        <v>2237</v>
      </c>
      <c r="B14953" s="572">
        <v>1.06315</v>
      </c>
      <c r="C14953" s="572">
        <v>145.79599999999999</v>
      </c>
    </row>
    <row r="14954" spans="1:3">
      <c r="A14954" s="571" t="s">
        <v>2237</v>
      </c>
      <c r="B14954" s="572">
        <v>1.2867500000000001</v>
      </c>
      <c r="C14954" s="572">
        <v>179.601</v>
      </c>
    </row>
    <row r="14955" spans="1:3">
      <c r="A14955" s="571" t="s">
        <v>2237</v>
      </c>
      <c r="B14955" s="572">
        <v>1.56819</v>
      </c>
      <c r="C14955" s="572">
        <v>194.416</v>
      </c>
    </row>
    <row r="14956" spans="1:3">
      <c r="A14956" s="571" t="s">
        <v>2237</v>
      </c>
      <c r="B14956" s="572">
        <v>2.01912</v>
      </c>
      <c r="C14956" s="572">
        <v>209.255</v>
      </c>
    </row>
    <row r="14957" spans="1:3">
      <c r="A14957" s="571" t="s">
        <v>2237</v>
      </c>
      <c r="B14957" s="572">
        <v>2.6964800000000002</v>
      </c>
      <c r="C14957" s="572">
        <v>217.79400000000001</v>
      </c>
    </row>
    <row r="14958" spans="1:3">
      <c r="A14958" s="571" t="s">
        <v>2237</v>
      </c>
      <c r="B14958" s="572">
        <v>4.0498700000000003</v>
      </c>
      <c r="C14958" s="572">
        <v>253.86799999999999</v>
      </c>
    </row>
    <row r="14959" spans="1:3">
      <c r="A14959" s="571" t="s">
        <v>2237</v>
      </c>
      <c r="B14959" s="572">
        <v>5.00807</v>
      </c>
      <c r="C14959" s="572">
        <v>285.66500000000002</v>
      </c>
    </row>
    <row r="14960" spans="1:3">
      <c r="A14960" s="571" t="s">
        <v>2237</v>
      </c>
      <c r="B14960" s="572">
        <v>6.02278</v>
      </c>
      <c r="C14960" s="572">
        <v>317.47000000000003</v>
      </c>
    </row>
    <row r="14961" spans="1:3">
      <c r="A14961" s="571" t="s">
        <v>2237</v>
      </c>
      <c r="B14961" s="572">
        <v>7.15137</v>
      </c>
      <c r="C14961" s="572">
        <v>336.62599999999998</v>
      </c>
    </row>
    <row r="14962" spans="1:3">
      <c r="A14962" s="571" t="s">
        <v>2237</v>
      </c>
      <c r="B14962" s="572">
        <v>7.8858199999999998</v>
      </c>
      <c r="C14962" s="572">
        <v>336.73</v>
      </c>
    </row>
    <row r="14963" spans="1:3">
      <c r="A14963" s="571" t="s">
        <v>2237</v>
      </c>
      <c r="B14963" s="572">
        <v>8.9582200000000007</v>
      </c>
      <c r="C14963" s="572">
        <v>351.65600000000001</v>
      </c>
    </row>
    <row r="14964" spans="1:3">
      <c r="A14964" s="571" t="s">
        <v>2237</v>
      </c>
      <c r="B14964" s="572">
        <v>9.86097</v>
      </c>
      <c r="C14964" s="572">
        <v>368.67</v>
      </c>
    </row>
    <row r="14965" spans="1:3">
      <c r="A14965" s="571" t="s">
        <v>2237</v>
      </c>
      <c r="B14965" s="572">
        <v>10.8217</v>
      </c>
      <c r="C14965" s="572">
        <v>364.584</v>
      </c>
    </row>
    <row r="14966" spans="1:3">
      <c r="A14966" s="571" t="s">
        <v>2237</v>
      </c>
      <c r="B14966" s="572">
        <v>11.894399999999999</v>
      </c>
      <c r="C14966" s="572">
        <v>375.28899999999999</v>
      </c>
    </row>
    <row r="14967" spans="1:3">
      <c r="A14967" s="571" t="s">
        <v>2237</v>
      </c>
      <c r="B14967" s="572">
        <v>12.9674</v>
      </c>
      <c r="C14967" s="572">
        <v>381.77199999999999</v>
      </c>
    </row>
    <row r="14968" spans="1:3">
      <c r="A14968" s="571" t="s">
        <v>2237</v>
      </c>
      <c r="B14968" s="572">
        <v>13.926299999999999</v>
      </c>
      <c r="C14968" s="572">
        <v>403.01499999999999</v>
      </c>
    </row>
    <row r="14969" spans="1:3">
      <c r="A14969" s="571" t="s">
        <v>2237</v>
      </c>
      <c r="B14969" s="572">
        <v>14.8866</v>
      </c>
      <c r="C14969" s="572">
        <v>405.26100000000002</v>
      </c>
    </row>
    <row r="14970" spans="1:3">
      <c r="A14970" s="571" t="s">
        <v>2237</v>
      </c>
      <c r="B14970" s="572">
        <v>15.959300000000001</v>
      </c>
      <c r="C14970" s="572">
        <v>415.96600000000001</v>
      </c>
    </row>
    <row r="14971" spans="1:3">
      <c r="A14971" s="571" t="s">
        <v>2237</v>
      </c>
      <c r="B14971" s="572">
        <v>16.918900000000001</v>
      </c>
      <c r="C14971" s="572">
        <v>428.76600000000002</v>
      </c>
    </row>
    <row r="14972" spans="1:3">
      <c r="A14972" s="571" t="s">
        <v>2237</v>
      </c>
      <c r="B14972" s="572">
        <v>17.8216</v>
      </c>
      <c r="C14972" s="572">
        <v>445.78</v>
      </c>
    </row>
    <row r="14973" spans="1:3">
      <c r="A14973" s="571" t="s">
        <v>2237</v>
      </c>
      <c r="B14973" s="572">
        <v>18.838100000000001</v>
      </c>
      <c r="C14973" s="572">
        <v>452.255</v>
      </c>
    </row>
    <row r="14974" spans="1:3">
      <c r="A14974" s="571" t="s">
        <v>2237</v>
      </c>
      <c r="B14974" s="572">
        <v>19.9114</v>
      </c>
      <c r="C14974" s="572">
        <v>454.517</v>
      </c>
    </row>
    <row r="14975" spans="1:3">
      <c r="A14975" s="571" t="s">
        <v>2237</v>
      </c>
      <c r="B14975" s="572">
        <v>20.815300000000001</v>
      </c>
      <c r="C14975" s="572">
        <v>454.64400000000001</v>
      </c>
    </row>
    <row r="14976" spans="1:3">
      <c r="A14976" s="571" t="s">
        <v>2237</v>
      </c>
      <c r="B14976" s="572">
        <v>21.888200000000001</v>
      </c>
      <c r="C14976" s="572">
        <v>463.238</v>
      </c>
    </row>
    <row r="14977" spans="1:3">
      <c r="A14977" s="571" t="s">
        <v>2237</v>
      </c>
      <c r="B14977" s="572">
        <v>22.904699999999998</v>
      </c>
      <c r="C14977" s="572">
        <v>469.714</v>
      </c>
    </row>
    <row r="14978" spans="1:3">
      <c r="A14978" s="571" t="s">
        <v>2237</v>
      </c>
      <c r="B14978" s="572">
        <v>23.864799999999999</v>
      </c>
      <c r="C14978" s="572">
        <v>474.07100000000003</v>
      </c>
    </row>
    <row r="14979" spans="1:3">
      <c r="A14979" s="571" t="s">
        <v>2237</v>
      </c>
      <c r="B14979" s="572">
        <v>24.8813</v>
      </c>
      <c r="C14979" s="572">
        <v>480.54599999999999</v>
      </c>
    </row>
    <row r="14980" spans="1:3">
      <c r="A14980" s="571" t="s">
        <v>2237</v>
      </c>
      <c r="B14980" s="572">
        <v>25.784800000000001</v>
      </c>
      <c r="C14980" s="572">
        <v>487.00599999999997</v>
      </c>
    </row>
    <row r="14981" spans="1:3">
      <c r="A14981" s="571" t="s">
        <v>2237</v>
      </c>
      <c r="B14981" s="572">
        <v>26.801500000000001</v>
      </c>
      <c r="C14981" s="572">
        <v>491.37</v>
      </c>
    </row>
    <row r="14982" spans="1:3">
      <c r="A14982" s="571" t="s">
        <v>2237</v>
      </c>
      <c r="B14982" s="572">
        <v>27.875</v>
      </c>
      <c r="C14982" s="572">
        <v>489.411</v>
      </c>
    </row>
    <row r="14983" spans="1:3">
      <c r="A14983" s="571" t="s">
        <v>2238</v>
      </c>
      <c r="B14983" s="572">
        <v>0.51010500000000003</v>
      </c>
      <c r="C14983" s="572">
        <v>4.1139599999999996</v>
      </c>
    </row>
    <row r="14984" spans="1:3">
      <c r="A14984" s="571" t="s">
        <v>2238</v>
      </c>
      <c r="B14984" s="572">
        <v>0.62517500000000004</v>
      </c>
      <c r="C14984" s="572">
        <v>19.129300000000001</v>
      </c>
    </row>
    <row r="14985" spans="1:3">
      <c r="A14985" s="571" t="s">
        <v>2238</v>
      </c>
      <c r="B14985" s="572">
        <v>0.74039299999999997</v>
      </c>
      <c r="C14985" s="572">
        <v>44.483499999999999</v>
      </c>
    </row>
    <row r="14986" spans="1:3">
      <c r="A14986" s="571" t="s">
        <v>2238</v>
      </c>
      <c r="B14986" s="572">
        <v>0.96933499999999995</v>
      </c>
      <c r="C14986" s="572">
        <v>74.083200000000005</v>
      </c>
    </row>
    <row r="14987" spans="1:3">
      <c r="A14987" s="571" t="s">
        <v>2238</v>
      </c>
      <c r="B14987" s="572">
        <v>1.25499</v>
      </c>
      <c r="C14987" s="572">
        <v>103.69499999999999</v>
      </c>
    </row>
    <row r="14988" spans="1:3">
      <c r="A14988" s="571" t="s">
        <v>2238</v>
      </c>
      <c r="B14988" s="572">
        <v>1.70943</v>
      </c>
      <c r="C14988" s="572">
        <v>114.345</v>
      </c>
    </row>
    <row r="14989" spans="1:3">
      <c r="A14989" s="571" t="s">
        <v>2238</v>
      </c>
      <c r="B14989" s="572">
        <v>2.2774399999999999</v>
      </c>
      <c r="C14989" s="572">
        <v>127.13</v>
      </c>
    </row>
    <row r="14990" spans="1:3">
      <c r="A14990" s="571" t="s">
        <v>2238</v>
      </c>
      <c r="B14990" s="572">
        <v>2.9587300000000001</v>
      </c>
      <c r="C14990" s="572">
        <v>137.828</v>
      </c>
    </row>
    <row r="14991" spans="1:3">
      <c r="A14991" s="571" t="s">
        <v>2238</v>
      </c>
      <c r="B14991" s="572">
        <v>3.9252199999999999</v>
      </c>
      <c r="C14991" s="572">
        <v>171.80500000000001</v>
      </c>
    </row>
    <row r="14992" spans="1:3">
      <c r="A14992" s="571" t="s">
        <v>2238</v>
      </c>
      <c r="B14992" s="572">
        <v>4.8906700000000001</v>
      </c>
      <c r="C14992" s="572">
        <v>191.006</v>
      </c>
    </row>
    <row r="14993" spans="1:3">
      <c r="A14993" s="571" t="s">
        <v>2238</v>
      </c>
      <c r="B14993" s="572">
        <v>5.96983</v>
      </c>
      <c r="C14993" s="572">
        <v>214.453</v>
      </c>
    </row>
    <row r="14994" spans="1:3">
      <c r="A14994" s="571" t="s">
        <v>2238</v>
      </c>
      <c r="B14994" s="572">
        <v>6.9348299999999998</v>
      </c>
      <c r="C14994" s="572">
        <v>227.321</v>
      </c>
    </row>
    <row r="14995" spans="1:3">
      <c r="A14995" s="571" t="s">
        <v>2238</v>
      </c>
      <c r="B14995" s="572">
        <v>7.8999699999999997</v>
      </c>
      <c r="C14995" s="572">
        <v>242.30099999999999</v>
      </c>
    </row>
    <row r="14996" spans="1:3">
      <c r="A14996" s="571" t="s">
        <v>2238</v>
      </c>
      <c r="B14996" s="572">
        <v>8.8081099999999992</v>
      </c>
      <c r="C14996" s="572">
        <v>253.047</v>
      </c>
    </row>
    <row r="14997" spans="1:3">
      <c r="A14997" s="571" t="s">
        <v>2238</v>
      </c>
      <c r="B14997" s="572">
        <v>9.8859300000000001</v>
      </c>
      <c r="C14997" s="572">
        <v>257.49599999999998</v>
      </c>
    </row>
    <row r="14998" spans="1:3">
      <c r="A14998" s="571" t="s">
        <v>2238</v>
      </c>
      <c r="B14998" s="572">
        <v>10.850199999999999</v>
      </c>
      <c r="C14998" s="572">
        <v>259.81</v>
      </c>
    </row>
    <row r="14999" spans="1:3">
      <c r="A14999" s="571" t="s">
        <v>2238</v>
      </c>
      <c r="B14999" s="572">
        <v>11.9283</v>
      </c>
      <c r="C14999" s="572">
        <v>268.48099999999999</v>
      </c>
    </row>
    <row r="15000" spans="1:3">
      <c r="A15000" s="571" t="s">
        <v>2238</v>
      </c>
      <c r="B15000" s="572">
        <v>12.8927</v>
      </c>
      <c r="C15000" s="572">
        <v>272.90600000000001</v>
      </c>
    </row>
    <row r="15001" spans="1:3">
      <c r="A15001" s="571" t="s">
        <v>2238</v>
      </c>
      <c r="B15001" s="572">
        <v>13.971</v>
      </c>
      <c r="C15001" s="572">
        <v>283.68799999999999</v>
      </c>
    </row>
    <row r="15002" spans="1:3">
      <c r="A15002" s="571" t="s">
        <v>2238</v>
      </c>
      <c r="B15002" s="572">
        <v>14.8215</v>
      </c>
      <c r="C15002" s="572">
        <v>281.75700000000001</v>
      </c>
    </row>
    <row r="15003" spans="1:3">
      <c r="A15003" s="571" t="s">
        <v>2238</v>
      </c>
      <c r="B15003" s="572">
        <v>15.8996</v>
      </c>
      <c r="C15003" s="572">
        <v>290.42700000000002</v>
      </c>
    </row>
    <row r="15004" spans="1:3">
      <c r="A15004" s="571" t="s">
        <v>2238</v>
      </c>
      <c r="B15004" s="572">
        <v>16.9221</v>
      </c>
      <c r="C15004" s="572">
        <v>313.86200000000002</v>
      </c>
    </row>
    <row r="15005" spans="1:3">
      <c r="A15005" s="571" t="s">
        <v>2238</v>
      </c>
      <c r="B15005" s="572">
        <v>17.943200000000001</v>
      </c>
      <c r="C15005" s="572">
        <v>318.29899999999998</v>
      </c>
    </row>
    <row r="15006" spans="1:3">
      <c r="A15006" s="571" t="s">
        <v>2238</v>
      </c>
      <c r="B15006" s="572">
        <v>18.907599999999999</v>
      </c>
      <c r="C15006" s="572">
        <v>322.72500000000002</v>
      </c>
    </row>
    <row r="15007" spans="1:3">
      <c r="A15007" s="571" t="s">
        <v>2238</v>
      </c>
      <c r="B15007" s="572">
        <v>19.871700000000001</v>
      </c>
      <c r="C15007" s="572">
        <v>322.928</v>
      </c>
    </row>
    <row r="15008" spans="1:3">
      <c r="A15008" s="571" t="s">
        <v>2238</v>
      </c>
      <c r="B15008" s="572">
        <v>21.006</v>
      </c>
      <c r="C15008" s="572">
        <v>325.27800000000002</v>
      </c>
    </row>
    <row r="15009" spans="1:3">
      <c r="A15009" s="571" t="s">
        <v>2238</v>
      </c>
      <c r="B15009" s="572">
        <v>21.857299999999999</v>
      </c>
      <c r="C15009" s="572">
        <v>333.90100000000001</v>
      </c>
    </row>
    <row r="15010" spans="1:3">
      <c r="A15010" s="571" t="s">
        <v>2238</v>
      </c>
      <c r="B15010" s="572">
        <v>22.878599999999999</v>
      </c>
      <c r="C15010" s="572">
        <v>340.44900000000001</v>
      </c>
    </row>
    <row r="15011" spans="1:3">
      <c r="A15011" s="571" t="s">
        <v>2238</v>
      </c>
      <c r="B15011" s="572">
        <v>23.9</v>
      </c>
      <c r="C15011" s="572">
        <v>349.108</v>
      </c>
    </row>
    <row r="15012" spans="1:3">
      <c r="A15012" s="571" t="s">
        <v>2238</v>
      </c>
      <c r="B15012" s="572">
        <v>24.9206</v>
      </c>
      <c r="C15012" s="572">
        <v>347.21300000000002</v>
      </c>
    </row>
    <row r="15013" spans="1:3">
      <c r="A15013" s="571" t="s">
        <v>2238</v>
      </c>
      <c r="B15013" s="572">
        <v>25.828199999999999</v>
      </c>
      <c r="C15013" s="572">
        <v>349.51499999999999</v>
      </c>
    </row>
    <row r="15014" spans="1:3">
      <c r="A15014" s="571" t="s">
        <v>2238</v>
      </c>
      <c r="B15014" s="572">
        <v>26.962700000000002</v>
      </c>
      <c r="C15014" s="572">
        <v>353.976</v>
      </c>
    </row>
    <row r="15015" spans="1:3">
      <c r="A15015" s="571" t="s">
        <v>2238</v>
      </c>
      <c r="B15015" s="572">
        <v>27.983799999999999</v>
      </c>
      <c r="C15015" s="572">
        <v>358.41300000000001</v>
      </c>
    </row>
    <row r="15016" spans="1:3">
      <c r="A15016" s="571" t="s">
        <v>2239</v>
      </c>
      <c r="B15016" s="572">
        <v>0.33898299999999998</v>
      </c>
      <c r="C15016" s="572">
        <v>4.2580999999999998</v>
      </c>
    </row>
    <row r="15017" spans="1:3">
      <c r="A15017" s="571" t="s">
        <v>2239</v>
      </c>
      <c r="B15017" s="572">
        <v>0.39548</v>
      </c>
      <c r="C15017" s="572">
        <v>27.4239</v>
      </c>
    </row>
    <row r="15018" spans="1:3">
      <c r="A15018" s="571" t="s">
        <v>2239</v>
      </c>
      <c r="B15018" s="572">
        <v>0.45197700000000002</v>
      </c>
      <c r="C15018" s="572">
        <v>44.274000000000001</v>
      </c>
    </row>
    <row r="15019" spans="1:3">
      <c r="A15019" s="571" t="s">
        <v>2239</v>
      </c>
      <c r="B15019" s="572">
        <v>0.56497200000000003</v>
      </c>
      <c r="C15019" s="572">
        <v>69.552999999999997</v>
      </c>
    </row>
    <row r="15020" spans="1:3">
      <c r="A15020" s="571" t="s">
        <v>2239</v>
      </c>
      <c r="B15020" s="572">
        <v>0.67796599999999996</v>
      </c>
      <c r="C15020" s="572">
        <v>90.621499999999997</v>
      </c>
    </row>
    <row r="15021" spans="1:3">
      <c r="A15021" s="571" t="s">
        <v>2239</v>
      </c>
      <c r="B15021" s="572">
        <v>0.73446299999999998</v>
      </c>
      <c r="C15021" s="572">
        <v>109.577</v>
      </c>
    </row>
    <row r="15022" spans="1:3">
      <c r="A15022" s="571" t="s">
        <v>2239</v>
      </c>
      <c r="B15022" s="572">
        <v>0.84745800000000004</v>
      </c>
      <c r="C15022" s="572">
        <v>136.96100000000001</v>
      </c>
    </row>
    <row r="15023" spans="1:3">
      <c r="A15023" s="571" t="s">
        <v>2239</v>
      </c>
      <c r="B15023" s="572">
        <v>0.96045199999999997</v>
      </c>
      <c r="C15023" s="572">
        <v>174.87200000000001</v>
      </c>
    </row>
    <row r="15024" spans="1:3">
      <c r="A15024" s="571" t="s">
        <v>2239</v>
      </c>
      <c r="B15024" s="572">
        <v>1.07345</v>
      </c>
      <c r="C15024" s="572">
        <v>195.94</v>
      </c>
    </row>
    <row r="15025" spans="1:3">
      <c r="A15025" s="571" t="s">
        <v>2239</v>
      </c>
      <c r="B15025" s="572">
        <v>1.3559300000000001</v>
      </c>
      <c r="C15025" s="572">
        <v>223.34800000000001</v>
      </c>
    </row>
    <row r="15026" spans="1:3">
      <c r="A15026" s="571" t="s">
        <v>2239</v>
      </c>
      <c r="B15026" s="572">
        <v>1.52542</v>
      </c>
      <c r="C15026" s="572">
        <v>244.42500000000001</v>
      </c>
    </row>
    <row r="15027" spans="1:3">
      <c r="A15027" s="571" t="s">
        <v>2239</v>
      </c>
      <c r="B15027" s="572">
        <v>1.8644099999999999</v>
      </c>
      <c r="C15027" s="572">
        <v>261.31400000000002</v>
      </c>
    </row>
    <row r="15028" spans="1:3">
      <c r="A15028" s="571" t="s">
        <v>2239</v>
      </c>
      <c r="B15028" s="572">
        <v>2.0903999999999998</v>
      </c>
      <c r="C15028" s="572">
        <v>280.29300000000001</v>
      </c>
    </row>
    <row r="15029" spans="1:3">
      <c r="A15029" s="571" t="s">
        <v>2239</v>
      </c>
      <c r="B15029" s="572">
        <v>2.4293800000000001</v>
      </c>
      <c r="C15029" s="572">
        <v>288.762</v>
      </c>
    </row>
    <row r="15030" spans="1:3">
      <c r="A15030" s="571" t="s">
        <v>2239</v>
      </c>
      <c r="B15030" s="572">
        <v>2.8248600000000001</v>
      </c>
      <c r="C15030" s="572">
        <v>295.13299999999998</v>
      </c>
    </row>
    <row r="15031" spans="1:3">
      <c r="A15031" s="571" t="s">
        <v>2239</v>
      </c>
      <c r="B15031" s="572">
        <v>2.9943499999999998</v>
      </c>
      <c r="C15031" s="572">
        <v>307.78899999999999</v>
      </c>
    </row>
    <row r="15032" spans="1:3">
      <c r="A15032" s="571" t="s">
        <v>2239</v>
      </c>
      <c r="B15032" s="572">
        <v>3.9548000000000001</v>
      </c>
      <c r="C15032" s="572">
        <v>316.34500000000003</v>
      </c>
    </row>
    <row r="15033" spans="1:3">
      <c r="A15033" s="571" t="s">
        <v>2239</v>
      </c>
      <c r="B15033" s="572">
        <v>5.0282499999999999</v>
      </c>
      <c r="C15033" s="572">
        <v>333.33699999999999</v>
      </c>
    </row>
    <row r="15034" spans="1:3">
      <c r="A15034" s="571" t="s">
        <v>2239</v>
      </c>
      <c r="B15034" s="572">
        <v>5.9321999999999999</v>
      </c>
      <c r="C15034" s="572">
        <v>350.30599999999998</v>
      </c>
    </row>
    <row r="15035" spans="1:3">
      <c r="A15035" s="571" t="s">
        <v>2239</v>
      </c>
      <c r="B15035" s="572">
        <v>6.9491500000000004</v>
      </c>
      <c r="C15035" s="572">
        <v>358.87</v>
      </c>
    </row>
    <row r="15036" spans="1:3">
      <c r="A15036" s="571" t="s">
        <v>2239</v>
      </c>
      <c r="B15036" s="572">
        <v>7.85311</v>
      </c>
      <c r="C15036" s="572">
        <v>373.73399999999998</v>
      </c>
    </row>
    <row r="15037" spans="1:3">
      <c r="A15037" s="571" t="s">
        <v>2239</v>
      </c>
      <c r="B15037" s="572">
        <v>8.9265500000000007</v>
      </c>
      <c r="C15037" s="572">
        <v>392.83199999999999</v>
      </c>
    </row>
    <row r="15038" spans="1:3">
      <c r="A15038" s="571" t="s">
        <v>2239</v>
      </c>
      <c r="B15038" s="572">
        <v>9.7740100000000005</v>
      </c>
      <c r="C15038" s="572">
        <v>409.79300000000001</v>
      </c>
    </row>
    <row r="15039" spans="1:3">
      <c r="A15039" s="571" t="s">
        <v>2239</v>
      </c>
      <c r="B15039" s="572">
        <v>10.8475</v>
      </c>
      <c r="C15039" s="572">
        <v>424.68</v>
      </c>
    </row>
    <row r="15040" spans="1:3">
      <c r="A15040" s="571" t="s">
        <v>2239</v>
      </c>
      <c r="B15040" s="572">
        <v>11.8644</v>
      </c>
      <c r="C15040" s="572">
        <v>431.13900000000001</v>
      </c>
    </row>
    <row r="15041" spans="1:3">
      <c r="A15041" s="571" t="s">
        <v>2239</v>
      </c>
      <c r="B15041" s="572">
        <v>12.881399999999999</v>
      </c>
      <c r="C15041" s="572">
        <v>439.70299999999997</v>
      </c>
    </row>
    <row r="15042" spans="1:3">
      <c r="A15042" s="571" t="s">
        <v>2239</v>
      </c>
      <c r="B15042" s="572">
        <v>13.841799999999999</v>
      </c>
      <c r="C15042" s="572">
        <v>439.83699999999999</v>
      </c>
    </row>
    <row r="15043" spans="1:3">
      <c r="A15043" s="571" t="s">
        <v>2239</v>
      </c>
      <c r="B15043" s="572">
        <v>14.8588</v>
      </c>
      <c r="C15043" s="572">
        <v>448.40100000000001</v>
      </c>
    </row>
    <row r="15044" spans="1:3">
      <c r="A15044" s="571" t="s">
        <v>2239</v>
      </c>
      <c r="B15044" s="572">
        <v>15.8192</v>
      </c>
      <c r="C15044" s="572">
        <v>471.69400000000002</v>
      </c>
    </row>
    <row r="15045" spans="1:3">
      <c r="A15045" s="571" t="s">
        <v>2239</v>
      </c>
      <c r="B15045" s="572">
        <v>16.949200000000001</v>
      </c>
      <c r="C15045" s="572">
        <v>486.589</v>
      </c>
    </row>
    <row r="15046" spans="1:3">
      <c r="A15046" s="571" t="s">
        <v>2239</v>
      </c>
      <c r="B15046" s="572">
        <v>17.853100000000001</v>
      </c>
      <c r="C15046" s="572">
        <v>488.82100000000003</v>
      </c>
    </row>
    <row r="15047" spans="1:3">
      <c r="A15047" s="571" t="s">
        <v>2239</v>
      </c>
      <c r="B15047" s="572">
        <v>18.870100000000001</v>
      </c>
      <c r="C15047" s="572">
        <v>488.964</v>
      </c>
    </row>
    <row r="15048" spans="1:3">
      <c r="A15048" s="571" t="s">
        <v>2239</v>
      </c>
      <c r="B15048" s="572">
        <v>19.830500000000001</v>
      </c>
      <c r="C15048" s="572">
        <v>514.36199999999997</v>
      </c>
    </row>
    <row r="15049" spans="1:3">
      <c r="A15049" s="571" t="s">
        <v>2239</v>
      </c>
      <c r="B15049" s="572">
        <v>20.8475</v>
      </c>
      <c r="C15049" s="572">
        <v>520.82100000000003</v>
      </c>
    </row>
    <row r="15050" spans="1:3">
      <c r="A15050" s="571" t="s">
        <v>2239</v>
      </c>
      <c r="B15050" s="572">
        <v>21.8079</v>
      </c>
      <c r="C15050" s="572">
        <v>529.37699999999995</v>
      </c>
    </row>
    <row r="15051" spans="1:3">
      <c r="A15051" s="571" t="s">
        <v>2239</v>
      </c>
      <c r="B15051" s="572">
        <v>22.7684</v>
      </c>
      <c r="C15051" s="572">
        <v>537.93200000000002</v>
      </c>
    </row>
    <row r="15052" spans="1:3">
      <c r="A15052" s="571" t="s">
        <v>2239</v>
      </c>
      <c r="B15052" s="572">
        <v>23.898299999999999</v>
      </c>
      <c r="C15052" s="572">
        <v>542.30200000000002</v>
      </c>
    </row>
    <row r="15053" spans="1:3">
      <c r="A15053" s="571" t="s">
        <v>2239</v>
      </c>
      <c r="B15053" s="572">
        <v>24.915299999999998</v>
      </c>
      <c r="C15053" s="572">
        <v>540.33900000000006</v>
      </c>
    </row>
    <row r="15054" spans="1:3">
      <c r="A15054" s="571" t="s">
        <v>2239</v>
      </c>
      <c r="B15054" s="572">
        <v>25.819199999999999</v>
      </c>
      <c r="C15054" s="572">
        <v>548.88699999999994</v>
      </c>
    </row>
    <row r="15055" spans="1:3">
      <c r="A15055" s="571" t="s">
        <v>2239</v>
      </c>
      <c r="B15055" s="572">
        <v>26.723199999999999</v>
      </c>
      <c r="C15055" s="572">
        <v>553.22400000000005</v>
      </c>
    </row>
    <row r="15056" spans="1:3">
      <c r="A15056" s="571" t="s">
        <v>2239</v>
      </c>
      <c r="B15056" s="572">
        <v>27.853100000000001</v>
      </c>
      <c r="C15056" s="572">
        <v>559.69899999999996</v>
      </c>
    </row>
    <row r="15057" spans="1:3">
      <c r="A15057" s="571" t="s">
        <v>2240</v>
      </c>
      <c r="B15057" s="572">
        <v>0.452679</v>
      </c>
      <c r="C15057" s="572">
        <v>2.1314199999999999</v>
      </c>
    </row>
    <row r="15058" spans="1:3">
      <c r="A15058" s="571" t="s">
        <v>2240</v>
      </c>
      <c r="B15058" s="572">
        <v>0.56410400000000005</v>
      </c>
      <c r="C15058" s="572">
        <v>27.336099999999998</v>
      </c>
    </row>
    <row r="15059" spans="1:3">
      <c r="A15059" s="571" t="s">
        <v>2240</v>
      </c>
      <c r="B15059" s="572">
        <v>0.67463600000000001</v>
      </c>
      <c r="C15059" s="572">
        <v>65.139099999999999</v>
      </c>
    </row>
    <row r="15060" spans="1:3">
      <c r="A15060" s="571" t="s">
        <v>2240</v>
      </c>
      <c r="B15060" s="572">
        <v>0.72916000000000003</v>
      </c>
      <c r="C15060" s="572">
        <v>94.539199999999994</v>
      </c>
    </row>
    <row r="15061" spans="1:3">
      <c r="A15061" s="571" t="s">
        <v>2240</v>
      </c>
      <c r="B15061" s="572">
        <v>0.89674200000000004</v>
      </c>
      <c r="C15061" s="572">
        <v>126.047</v>
      </c>
    </row>
    <row r="15062" spans="1:3">
      <c r="A15062" s="571" t="s">
        <v>2240</v>
      </c>
      <c r="B15062" s="572">
        <v>0.95200799999999997</v>
      </c>
      <c r="C15062" s="572">
        <v>144.94900000000001</v>
      </c>
    </row>
    <row r="15063" spans="1:3">
      <c r="A15063" s="571" t="s">
        <v>2240</v>
      </c>
      <c r="B15063" s="572">
        <v>1.12033</v>
      </c>
      <c r="C15063" s="572">
        <v>165.958</v>
      </c>
    </row>
    <row r="15064" spans="1:3">
      <c r="A15064" s="571" t="s">
        <v>2240</v>
      </c>
      <c r="B15064" s="572">
        <v>1.4584699999999999</v>
      </c>
      <c r="C15064" s="572">
        <v>186.97900000000001</v>
      </c>
    </row>
    <row r="15065" spans="1:3">
      <c r="A15065" s="571" t="s">
        <v>2240</v>
      </c>
      <c r="B15065" s="572">
        <v>2.0797699999999999</v>
      </c>
      <c r="C15065" s="572">
        <v>205.92</v>
      </c>
    </row>
    <row r="15066" spans="1:3">
      <c r="A15066" s="571" t="s">
        <v>2240</v>
      </c>
      <c r="B15066" s="572">
        <v>2.4188000000000001</v>
      </c>
      <c r="C15066" s="572">
        <v>214.34299999999999</v>
      </c>
    </row>
    <row r="15067" spans="1:3">
      <c r="A15067" s="571" t="s">
        <v>2240</v>
      </c>
      <c r="B15067" s="572">
        <v>2.7579699999999998</v>
      </c>
      <c r="C15067" s="572">
        <v>220.66499999999999</v>
      </c>
    </row>
    <row r="15068" spans="1:3">
      <c r="A15068" s="571" t="s">
        <v>2240</v>
      </c>
      <c r="B15068" s="572">
        <v>4.0592600000000001</v>
      </c>
      <c r="C15068" s="572">
        <v>229.15600000000001</v>
      </c>
    </row>
    <row r="15069" spans="1:3">
      <c r="A15069" s="571" t="s">
        <v>2240</v>
      </c>
      <c r="B15069" s="572">
        <v>5.0770799999999996</v>
      </c>
      <c r="C15069" s="572">
        <v>243.92500000000001</v>
      </c>
    </row>
    <row r="15070" spans="1:3">
      <c r="A15070" s="571" t="s">
        <v>2240</v>
      </c>
      <c r="B15070" s="572">
        <v>5.81189</v>
      </c>
      <c r="C15070" s="572">
        <v>258.67399999999998</v>
      </c>
    </row>
    <row r="15071" spans="1:3">
      <c r="A15071" s="571" t="s">
        <v>2240</v>
      </c>
      <c r="B15071" s="572">
        <v>7.0565699999999998</v>
      </c>
      <c r="C15071" s="572">
        <v>267.161</v>
      </c>
    </row>
    <row r="15072" spans="1:3">
      <c r="A15072" s="571" t="s">
        <v>2240</v>
      </c>
      <c r="B15072" s="572">
        <v>8.0177899999999998</v>
      </c>
      <c r="C15072" s="572">
        <v>281.92599999999999</v>
      </c>
    </row>
    <row r="15073" spans="1:3">
      <c r="A15073" s="571" t="s">
        <v>2240</v>
      </c>
      <c r="B15073" s="572">
        <v>9.0356100000000001</v>
      </c>
      <c r="C15073" s="572">
        <v>296.69499999999999</v>
      </c>
    </row>
    <row r="15074" spans="1:3">
      <c r="A15074" s="571" t="s">
        <v>2240</v>
      </c>
      <c r="B15074" s="572">
        <v>9.8834800000000005</v>
      </c>
      <c r="C15074" s="572">
        <v>313.553</v>
      </c>
    </row>
    <row r="15075" spans="1:3">
      <c r="A15075" s="571" t="s">
        <v>2240</v>
      </c>
      <c r="B15075" s="572">
        <v>10.901400000000001</v>
      </c>
      <c r="C15075" s="572">
        <v>326.22199999999998</v>
      </c>
    </row>
    <row r="15076" spans="1:3">
      <c r="A15076" s="571" t="s">
        <v>2240</v>
      </c>
      <c r="B15076" s="572">
        <v>11.8634</v>
      </c>
      <c r="C15076" s="572">
        <v>330.48899999999998</v>
      </c>
    </row>
    <row r="15077" spans="1:3">
      <c r="A15077" s="571" t="s">
        <v>2240</v>
      </c>
      <c r="B15077" s="572">
        <v>12.9381</v>
      </c>
      <c r="C15077" s="572">
        <v>341.06299999999999</v>
      </c>
    </row>
    <row r="15078" spans="1:3">
      <c r="A15078" s="571" t="s">
        <v>2240</v>
      </c>
      <c r="B15078" s="572">
        <v>13.956099999999999</v>
      </c>
      <c r="C15078" s="572">
        <v>353.733</v>
      </c>
    </row>
    <row r="15079" spans="1:3">
      <c r="A15079" s="571" t="s">
        <v>2240</v>
      </c>
      <c r="B15079" s="572">
        <v>14.974399999999999</v>
      </c>
      <c r="C15079" s="572">
        <v>362.20299999999997</v>
      </c>
    </row>
    <row r="15080" spans="1:3">
      <c r="A15080" s="571" t="s">
        <v>2240</v>
      </c>
      <c r="B15080" s="572">
        <v>15.936299999999999</v>
      </c>
      <c r="C15080" s="572">
        <v>366.47</v>
      </c>
    </row>
    <row r="15081" spans="1:3">
      <c r="A15081" s="571" t="s">
        <v>2240</v>
      </c>
      <c r="B15081" s="572">
        <v>16.897300000000001</v>
      </c>
      <c r="C15081" s="572">
        <v>385.435</v>
      </c>
    </row>
    <row r="15082" spans="1:3">
      <c r="A15082" s="571" t="s">
        <v>2240</v>
      </c>
      <c r="B15082" s="572">
        <v>17.859200000000001</v>
      </c>
      <c r="C15082" s="572">
        <v>389.70100000000002</v>
      </c>
    </row>
    <row r="15083" spans="1:3">
      <c r="A15083" s="571" t="s">
        <v>2240</v>
      </c>
      <c r="B15083" s="572">
        <v>18.8781</v>
      </c>
      <c r="C15083" s="572">
        <v>389.77300000000002</v>
      </c>
    </row>
    <row r="15084" spans="1:3">
      <c r="A15084" s="571" t="s">
        <v>2240</v>
      </c>
      <c r="B15084" s="572">
        <v>19.7834</v>
      </c>
      <c r="C15084" s="572">
        <v>394.036</v>
      </c>
    </row>
    <row r="15085" spans="1:3">
      <c r="A15085" s="571" t="s">
        <v>2240</v>
      </c>
      <c r="B15085" s="572">
        <v>20.8583</v>
      </c>
      <c r="C15085" s="572">
        <v>402.51</v>
      </c>
    </row>
    <row r="15086" spans="1:3">
      <c r="A15086" s="571" t="s">
        <v>2240</v>
      </c>
      <c r="B15086" s="572">
        <v>21.989799999999999</v>
      </c>
      <c r="C15086" s="572">
        <v>410.988</v>
      </c>
    </row>
    <row r="15087" spans="1:3">
      <c r="A15087" s="571" t="s">
        <v>2240</v>
      </c>
      <c r="B15087" s="572">
        <v>22.895099999999999</v>
      </c>
      <c r="C15087" s="572">
        <v>415.25099999999998</v>
      </c>
    </row>
    <row r="15088" spans="1:3">
      <c r="A15088" s="571" t="s">
        <v>2240</v>
      </c>
      <c r="B15088" s="572">
        <v>23.913399999999999</v>
      </c>
      <c r="C15088" s="572">
        <v>423.721</v>
      </c>
    </row>
    <row r="15089" spans="1:3">
      <c r="A15089" s="571" t="s">
        <v>2240</v>
      </c>
      <c r="B15089" s="572">
        <v>24.8752</v>
      </c>
      <c r="C15089" s="572">
        <v>430.08800000000002</v>
      </c>
    </row>
    <row r="15090" spans="1:3">
      <c r="A15090" s="571" t="s">
        <v>2240</v>
      </c>
      <c r="B15090" s="572">
        <v>25.837299999999999</v>
      </c>
      <c r="C15090" s="572">
        <v>432.255</v>
      </c>
    </row>
    <row r="15091" spans="1:3">
      <c r="A15091" s="571" t="s">
        <v>2240</v>
      </c>
      <c r="B15091" s="572">
        <v>26.856100000000001</v>
      </c>
      <c r="C15091" s="572">
        <v>434.42599999999999</v>
      </c>
    </row>
    <row r="15092" spans="1:3">
      <c r="A15092" s="571" t="s">
        <v>2240</v>
      </c>
      <c r="B15092" s="572">
        <v>27.8748</v>
      </c>
      <c r="C15092" s="572">
        <v>436.59699999999998</v>
      </c>
    </row>
    <row r="15093" spans="1:3">
      <c r="A15093" s="571" t="s">
        <v>2241</v>
      </c>
      <c r="B15093" s="572">
        <v>0.39622600000000002</v>
      </c>
      <c r="C15093" s="572">
        <v>5.5610699999999999E-2</v>
      </c>
    </row>
    <row r="15094" spans="1:3">
      <c r="A15094" s="571" t="s">
        <v>2241</v>
      </c>
      <c r="B15094" s="572">
        <v>0.50943400000000005</v>
      </c>
      <c r="C15094" s="572">
        <v>23.229399999999998</v>
      </c>
    </row>
    <row r="15095" spans="1:3">
      <c r="A15095" s="571" t="s">
        <v>2241</v>
      </c>
      <c r="B15095" s="572">
        <v>0.73584899999999998</v>
      </c>
      <c r="C15095" s="572">
        <v>50.629600000000003</v>
      </c>
    </row>
    <row r="15096" spans="1:3">
      <c r="A15096" s="571" t="s">
        <v>2241</v>
      </c>
      <c r="B15096" s="572">
        <v>1.0188699999999999</v>
      </c>
      <c r="C15096" s="572">
        <v>71.721900000000005</v>
      </c>
    </row>
    <row r="15097" spans="1:3">
      <c r="A15097" s="571" t="s">
        <v>2241</v>
      </c>
      <c r="B15097" s="572">
        <v>1.13208</v>
      </c>
      <c r="C15097" s="572">
        <v>94.895700000000005</v>
      </c>
    </row>
    <row r="15098" spans="1:3">
      <c r="A15098" s="571" t="s">
        <v>2241</v>
      </c>
      <c r="B15098" s="572">
        <v>1.35849</v>
      </c>
      <c r="C15098" s="572">
        <v>109.664</v>
      </c>
    </row>
    <row r="15099" spans="1:3">
      <c r="A15099" s="571" t="s">
        <v>2241</v>
      </c>
      <c r="B15099" s="572">
        <v>1.86792</v>
      </c>
      <c r="C15099" s="572">
        <v>118.157</v>
      </c>
    </row>
    <row r="15100" spans="1:3">
      <c r="A15100" s="571" t="s">
        <v>2241</v>
      </c>
      <c r="B15100" s="572">
        <v>2.3773599999999999</v>
      </c>
      <c r="C15100" s="572">
        <v>130.86000000000001</v>
      </c>
    </row>
    <row r="15101" spans="1:3">
      <c r="A15101" s="571" t="s">
        <v>2241</v>
      </c>
      <c r="B15101" s="572">
        <v>2.9434</v>
      </c>
      <c r="C15101" s="572">
        <v>137.255</v>
      </c>
    </row>
    <row r="15102" spans="1:3">
      <c r="A15102" s="571" t="s">
        <v>2241</v>
      </c>
      <c r="B15102" s="572">
        <v>4.0188699999999997</v>
      </c>
      <c r="C15102" s="572">
        <v>145.827</v>
      </c>
    </row>
    <row r="15103" spans="1:3">
      <c r="A15103" s="571" t="s">
        <v>2241</v>
      </c>
      <c r="B15103" s="572">
        <v>4.9811300000000003</v>
      </c>
      <c r="C15103" s="572">
        <v>152.27799999999999</v>
      </c>
    </row>
    <row r="15104" spans="1:3">
      <c r="A15104" s="571" t="s">
        <v>2241</v>
      </c>
      <c r="B15104" s="572">
        <v>5.9433999999999996</v>
      </c>
      <c r="C15104" s="572">
        <v>165.04499999999999</v>
      </c>
    </row>
    <row r="15105" spans="1:3">
      <c r="A15105" s="571" t="s">
        <v>2241</v>
      </c>
      <c r="B15105" s="572">
        <v>7.0188699999999997</v>
      </c>
      <c r="C15105" s="572">
        <v>171.511</v>
      </c>
    </row>
    <row r="15106" spans="1:3">
      <c r="A15106" s="571" t="s">
        <v>2241</v>
      </c>
      <c r="B15106" s="572">
        <v>7.8113200000000003</v>
      </c>
      <c r="C15106" s="572">
        <v>196.886</v>
      </c>
    </row>
    <row r="15107" spans="1:3">
      <c r="A15107" s="571" t="s">
        <v>2241</v>
      </c>
      <c r="B15107" s="572">
        <v>8.9434000000000005</v>
      </c>
      <c r="C15107" s="572">
        <v>207.571</v>
      </c>
    </row>
    <row r="15108" spans="1:3">
      <c r="A15108" s="571" t="s">
        <v>2241</v>
      </c>
      <c r="B15108" s="572">
        <v>9.8490599999999997</v>
      </c>
      <c r="C15108" s="572">
        <v>205.59299999999999</v>
      </c>
    </row>
    <row r="15109" spans="1:3">
      <c r="A15109" s="571" t="s">
        <v>2241</v>
      </c>
      <c r="B15109" s="572">
        <v>10.811299999999999</v>
      </c>
      <c r="C15109" s="572">
        <v>222.57</v>
      </c>
    </row>
    <row r="15110" spans="1:3">
      <c r="A15110" s="571" t="s">
        <v>2241</v>
      </c>
      <c r="B15110" s="572">
        <v>11.9434</v>
      </c>
      <c r="C15110" s="572">
        <v>226.93899999999999</v>
      </c>
    </row>
    <row r="15111" spans="1:3">
      <c r="A15111" s="571" t="s">
        <v>2241</v>
      </c>
      <c r="B15111" s="572">
        <v>12.8491</v>
      </c>
      <c r="C15111" s="572">
        <v>233.38200000000001</v>
      </c>
    </row>
    <row r="15112" spans="1:3">
      <c r="A15112" s="571" t="s">
        <v>2241</v>
      </c>
      <c r="B15112" s="572">
        <v>13.867900000000001</v>
      </c>
      <c r="C15112" s="572">
        <v>239.84100000000001</v>
      </c>
    </row>
    <row r="15113" spans="1:3">
      <c r="A15113" s="571" t="s">
        <v>2241</v>
      </c>
      <c r="B15113" s="572">
        <v>14.9434</v>
      </c>
      <c r="C15113" s="572">
        <v>244.203</v>
      </c>
    </row>
    <row r="15114" spans="1:3">
      <c r="A15114" s="571" t="s">
        <v>2241</v>
      </c>
      <c r="B15114" s="572">
        <v>15.8491</v>
      </c>
      <c r="C15114" s="572">
        <v>250.64500000000001</v>
      </c>
    </row>
    <row r="15115" spans="1:3">
      <c r="A15115" s="571" t="s">
        <v>2241</v>
      </c>
      <c r="B15115" s="572">
        <v>16.924499999999998</v>
      </c>
      <c r="C15115" s="572">
        <v>263.428</v>
      </c>
    </row>
    <row r="15116" spans="1:3">
      <c r="A15116" s="571" t="s">
        <v>2241</v>
      </c>
      <c r="B15116" s="572">
        <v>17.886800000000001</v>
      </c>
      <c r="C15116" s="572">
        <v>269.87900000000002</v>
      </c>
    </row>
    <row r="15117" spans="1:3">
      <c r="A15117" s="571" t="s">
        <v>2241</v>
      </c>
      <c r="B15117" s="572">
        <v>19.018899999999999</v>
      </c>
      <c r="C15117" s="572">
        <v>272.14299999999997</v>
      </c>
    </row>
    <row r="15118" spans="1:3">
      <c r="A15118" s="571" t="s">
        <v>2241</v>
      </c>
      <c r="B15118" s="572">
        <v>19.924499999999998</v>
      </c>
      <c r="C15118" s="572">
        <v>278.58600000000001</v>
      </c>
    </row>
    <row r="15119" spans="1:3">
      <c r="A15119" s="571" t="s">
        <v>2241</v>
      </c>
      <c r="B15119" s="572">
        <v>20.886800000000001</v>
      </c>
      <c r="C15119" s="572">
        <v>285.03699999999998</v>
      </c>
    </row>
    <row r="15120" spans="1:3">
      <c r="A15120" s="571" t="s">
        <v>2241</v>
      </c>
      <c r="B15120" s="572">
        <v>21.9057</v>
      </c>
      <c r="C15120" s="572">
        <v>287.28500000000003</v>
      </c>
    </row>
    <row r="15121" spans="1:3">
      <c r="A15121" s="571" t="s">
        <v>2241</v>
      </c>
      <c r="B15121" s="572">
        <v>22.924499999999998</v>
      </c>
      <c r="C15121" s="572">
        <v>291.63900000000001</v>
      </c>
    </row>
    <row r="15122" spans="1:3">
      <c r="A15122" s="571" t="s">
        <v>2241</v>
      </c>
      <c r="B15122" s="572">
        <v>23.9434</v>
      </c>
      <c r="C15122" s="572">
        <v>298.09699999999998</v>
      </c>
    </row>
    <row r="15123" spans="1:3">
      <c r="A15123" s="571" t="s">
        <v>2241</v>
      </c>
      <c r="B15123" s="572">
        <v>24.9057</v>
      </c>
      <c r="C15123" s="572">
        <v>300.33800000000002</v>
      </c>
    </row>
    <row r="15124" spans="1:3">
      <c r="A15124" s="571" t="s">
        <v>2241</v>
      </c>
      <c r="B15124" s="572">
        <v>25.924499999999998</v>
      </c>
      <c r="C15124" s="572">
        <v>306.79599999999999</v>
      </c>
    </row>
    <row r="15125" spans="1:3">
      <c r="A15125" s="571" t="s">
        <v>2241</v>
      </c>
      <c r="B15125" s="572">
        <v>26.886800000000001</v>
      </c>
      <c r="C15125" s="572">
        <v>306.93099999999998</v>
      </c>
    </row>
    <row r="15126" spans="1:3">
      <c r="A15126" s="571" t="s">
        <v>2241</v>
      </c>
      <c r="B15126" s="572">
        <v>27.9057</v>
      </c>
      <c r="C15126" s="572">
        <v>311.28500000000003</v>
      </c>
    </row>
    <row r="15127" spans="1:3">
      <c r="A15127" s="48" t="s">
        <v>2242</v>
      </c>
      <c r="B15127" s="549">
        <v>-0.15478700000000001</v>
      </c>
      <c r="C15127" s="549">
        <v>37.5</v>
      </c>
    </row>
    <row r="15128" spans="1:3">
      <c r="A15128" s="571" t="s">
        <v>2242</v>
      </c>
      <c r="B15128" s="572">
        <v>6.6074799999999998</v>
      </c>
      <c r="C15128" s="572">
        <v>99.218800000000002</v>
      </c>
    </row>
    <row r="15129" spans="1:3">
      <c r="A15129" s="571" t="s">
        <v>2242</v>
      </c>
      <c r="B15129" s="572">
        <v>13.502000000000001</v>
      </c>
      <c r="C15129" s="572">
        <v>128.90600000000001</v>
      </c>
    </row>
    <row r="15130" spans="1:3">
      <c r="A15130" s="571" t="s">
        <v>2242</v>
      </c>
      <c r="B15130" s="572">
        <v>20.4803</v>
      </c>
      <c r="C15130" s="572">
        <v>138.28100000000001</v>
      </c>
    </row>
    <row r="15131" spans="1:3">
      <c r="A15131" s="571" t="s">
        <v>2242</v>
      </c>
      <c r="B15131" s="572">
        <v>27.039400000000001</v>
      </c>
      <c r="C15131" s="572">
        <v>149.21899999999999</v>
      </c>
    </row>
    <row r="15132" spans="1:3">
      <c r="A15132" s="571" t="s">
        <v>2242</v>
      </c>
      <c r="B15132" s="572">
        <v>34.0274</v>
      </c>
      <c r="C15132" s="572">
        <v>156.25</v>
      </c>
    </row>
    <row r="15133" spans="1:3">
      <c r="A15133" s="571" t="s">
        <v>2242</v>
      </c>
      <c r="B15133" s="572">
        <v>41.018599999999999</v>
      </c>
      <c r="C15133" s="572">
        <v>162.5</v>
      </c>
    </row>
    <row r="15134" spans="1:3">
      <c r="A15134" s="571" t="s">
        <v>2242</v>
      </c>
      <c r="B15134" s="572">
        <v>48.016300000000001</v>
      </c>
      <c r="C15134" s="572">
        <v>167.18799999999999</v>
      </c>
    </row>
    <row r="15135" spans="1:3">
      <c r="A15135" s="571" t="s">
        <v>2242</v>
      </c>
      <c r="B15135" s="572">
        <v>54.807600000000001</v>
      </c>
      <c r="C15135" s="572">
        <v>171.875</v>
      </c>
    </row>
    <row r="15136" spans="1:3">
      <c r="A15136" s="571" t="s">
        <v>2242</v>
      </c>
      <c r="B15136" s="572">
        <v>61.6021</v>
      </c>
      <c r="C15136" s="572">
        <v>175.78100000000001</v>
      </c>
    </row>
    <row r="15137" spans="1:3">
      <c r="A15137" s="571" t="s">
        <v>2242</v>
      </c>
      <c r="B15137" s="572">
        <v>68.806200000000004</v>
      </c>
      <c r="C15137" s="572">
        <v>180.46899999999999</v>
      </c>
    </row>
    <row r="15138" spans="1:3">
      <c r="A15138" s="571" t="s">
        <v>2242</v>
      </c>
      <c r="B15138" s="572">
        <v>75.387799999999999</v>
      </c>
      <c r="C15138" s="572">
        <v>185.93799999999999</v>
      </c>
    </row>
    <row r="15139" spans="1:3">
      <c r="A15139" s="571" t="s">
        <v>2242</v>
      </c>
      <c r="B15139" s="572">
        <v>82.3887</v>
      </c>
      <c r="C15139" s="572">
        <v>189.84399999999999</v>
      </c>
    </row>
    <row r="15140" spans="1:3">
      <c r="A15140" s="571" t="s">
        <v>2242</v>
      </c>
      <c r="B15140" s="572">
        <v>89.396100000000004</v>
      </c>
      <c r="C15140" s="572">
        <v>192.18799999999999</v>
      </c>
    </row>
    <row r="15141" spans="1:3">
      <c r="A15141" s="571" t="s">
        <v>2242</v>
      </c>
      <c r="B15141" s="572">
        <v>96.187399999999997</v>
      </c>
      <c r="C15141" s="572">
        <v>196.875</v>
      </c>
    </row>
    <row r="15142" spans="1:3">
      <c r="A15142" s="571" t="s">
        <v>2243</v>
      </c>
      <c r="B15142" s="572">
        <v>0</v>
      </c>
      <c r="C15142" s="572">
        <v>28.571400000000001</v>
      </c>
    </row>
    <row r="15143" spans="1:3">
      <c r="A15143" s="571" t="s">
        <v>2243</v>
      </c>
      <c r="B15143" s="572">
        <v>6.7961799999999997</v>
      </c>
      <c r="C15143" s="572">
        <v>88.888900000000007</v>
      </c>
    </row>
    <row r="15144" spans="1:3">
      <c r="A15144" s="571" t="s">
        <v>2243</v>
      </c>
      <c r="B15144" s="572">
        <v>13.5924</v>
      </c>
      <c r="C15144" s="572">
        <v>116.667</v>
      </c>
    </row>
    <row r="15145" spans="1:3">
      <c r="A15145" s="571" t="s">
        <v>2243</v>
      </c>
      <c r="B15145" s="572">
        <v>20.5945</v>
      </c>
      <c r="C15145" s="572">
        <v>125.39700000000001</v>
      </c>
    </row>
    <row r="15146" spans="1:3">
      <c r="A15146" s="571" t="s">
        <v>2243</v>
      </c>
      <c r="B15146" s="572">
        <v>27.390699999999999</v>
      </c>
      <c r="C15146" s="572">
        <v>137.30199999999999</v>
      </c>
    </row>
    <row r="15147" spans="1:3">
      <c r="A15147" s="571" t="s">
        <v>2243</v>
      </c>
      <c r="B15147" s="572">
        <v>34.598700000000001</v>
      </c>
      <c r="C15147" s="572">
        <v>141.27000000000001</v>
      </c>
    </row>
    <row r="15148" spans="1:3">
      <c r="A15148" s="571" t="s">
        <v>2243</v>
      </c>
      <c r="B15148" s="572">
        <v>41.3949</v>
      </c>
      <c r="C15148" s="572">
        <v>147.619</v>
      </c>
    </row>
    <row r="15149" spans="1:3">
      <c r="A15149" s="571" t="s">
        <v>2243</v>
      </c>
      <c r="B15149" s="572">
        <v>48.191099999999999</v>
      </c>
      <c r="C15149" s="572">
        <v>152.381</v>
      </c>
    </row>
    <row r="15150" spans="1:3">
      <c r="A15150" s="571" t="s">
        <v>2243</v>
      </c>
      <c r="B15150" s="572">
        <v>55.3992</v>
      </c>
      <c r="C15150" s="572">
        <v>155.55600000000001</v>
      </c>
    </row>
    <row r="15151" spans="1:3">
      <c r="A15151" s="571" t="s">
        <v>2243</v>
      </c>
      <c r="B15151" s="572">
        <v>61.989400000000003</v>
      </c>
      <c r="C15151" s="572">
        <v>158.72999999999999</v>
      </c>
    </row>
    <row r="15152" spans="1:3">
      <c r="A15152" s="571" t="s">
        <v>2243</v>
      </c>
      <c r="B15152" s="572">
        <v>68.991500000000002</v>
      </c>
      <c r="C15152" s="572">
        <v>165.87299999999999</v>
      </c>
    </row>
    <row r="15153" spans="1:3">
      <c r="A15153" s="571" t="s">
        <v>2243</v>
      </c>
      <c r="B15153" s="572">
        <v>75.787700000000001</v>
      </c>
      <c r="C15153" s="572">
        <v>169.048</v>
      </c>
    </row>
    <row r="15154" spans="1:3">
      <c r="A15154" s="571" t="s">
        <v>2243</v>
      </c>
      <c r="B15154" s="572">
        <v>82.5839</v>
      </c>
      <c r="C15154" s="572">
        <v>173.01599999999999</v>
      </c>
    </row>
    <row r="15155" spans="1:3">
      <c r="A15155" s="571" t="s">
        <v>2243</v>
      </c>
      <c r="B15155" s="572">
        <v>89.585999999999999</v>
      </c>
      <c r="C15155" s="572">
        <v>180.15899999999999</v>
      </c>
    </row>
    <row r="15156" spans="1:3">
      <c r="A15156" s="571" t="s">
        <v>2243</v>
      </c>
      <c r="B15156" s="572">
        <v>96.588099999999997</v>
      </c>
      <c r="C15156" s="572">
        <v>182.54</v>
      </c>
    </row>
    <row r="15157" spans="1:3">
      <c r="A15157" s="571" t="s">
        <v>2244</v>
      </c>
      <c r="B15157" s="572">
        <v>5.7919999999999972E-2</v>
      </c>
      <c r="C15157" s="572">
        <v>14.0625</v>
      </c>
    </row>
    <row r="15158" spans="1:3">
      <c r="A15158" s="571" t="s">
        <v>2244</v>
      </c>
      <c r="B15158" s="572">
        <v>6.9442000000000004</v>
      </c>
      <c r="C15158" s="572">
        <v>35.9375</v>
      </c>
    </row>
    <row r="15159" spans="1:3">
      <c r="A15159" s="571" t="s">
        <v>2244</v>
      </c>
      <c r="B15159" s="572">
        <v>13.962400000000001</v>
      </c>
      <c r="C15159" s="572">
        <v>39.843800000000002</v>
      </c>
    </row>
    <row r="15160" spans="1:3">
      <c r="A15160" s="571" t="s">
        <v>2244</v>
      </c>
      <c r="B15160" s="572">
        <v>20.964500000000001</v>
      </c>
      <c r="C15160" s="572">
        <v>39.843800000000002</v>
      </c>
    </row>
    <row r="15161" spans="1:3">
      <c r="A15161" s="571" t="s">
        <v>2244</v>
      </c>
      <c r="B15161" s="572">
        <v>27.7607</v>
      </c>
      <c r="C15161" s="572">
        <v>39.843800000000002</v>
      </c>
    </row>
    <row r="15162" spans="1:3">
      <c r="A15162" s="571" t="s">
        <v>2244</v>
      </c>
      <c r="B15162" s="572">
        <v>34.560099999999998</v>
      </c>
      <c r="C15162" s="572">
        <v>40.625</v>
      </c>
    </row>
    <row r="15163" spans="1:3">
      <c r="A15163" s="571" t="s">
        <v>2244</v>
      </c>
      <c r="B15163" s="572">
        <v>41.558999999999997</v>
      </c>
      <c r="C15163" s="572">
        <v>39.843800000000002</v>
      </c>
    </row>
    <row r="15164" spans="1:3">
      <c r="A15164" s="571" t="s">
        <v>2244</v>
      </c>
      <c r="B15164" s="572">
        <v>48.564399999999999</v>
      </c>
      <c r="C15164" s="572">
        <v>40.625</v>
      </c>
    </row>
    <row r="15165" spans="1:3">
      <c r="A15165" s="571" t="s">
        <v>2244</v>
      </c>
      <c r="B15165" s="572">
        <v>55.360500000000002</v>
      </c>
      <c r="C15165" s="572">
        <v>40.625</v>
      </c>
    </row>
    <row r="15166" spans="1:3">
      <c r="A15166" s="571" t="s">
        <v>2244</v>
      </c>
      <c r="B15166" s="572">
        <v>62.362699999999997</v>
      </c>
      <c r="C15166" s="572">
        <v>40.625</v>
      </c>
    </row>
    <row r="15167" spans="1:3">
      <c r="A15167" s="571" t="s">
        <v>2244</v>
      </c>
      <c r="B15167" s="572">
        <v>69.158799999999999</v>
      </c>
      <c r="C15167" s="572">
        <v>40.625</v>
      </c>
    </row>
    <row r="15168" spans="1:3">
      <c r="A15168" s="571" t="s">
        <v>2244</v>
      </c>
      <c r="B15168" s="572">
        <v>76.161000000000001</v>
      </c>
      <c r="C15168" s="572">
        <v>40.625</v>
      </c>
    </row>
    <row r="15169" spans="1:3">
      <c r="A15169" s="571" t="s">
        <v>2244</v>
      </c>
      <c r="B15169" s="572">
        <v>83.1631</v>
      </c>
      <c r="C15169" s="572">
        <v>40.625</v>
      </c>
    </row>
    <row r="15170" spans="1:3">
      <c r="A15170" s="571" t="s">
        <v>2244</v>
      </c>
      <c r="B15170" s="572">
        <v>90.165199999999999</v>
      </c>
      <c r="C15170" s="572">
        <v>40.625</v>
      </c>
    </row>
    <row r="15171" spans="1:3">
      <c r="A15171" s="571" t="s">
        <v>2244</v>
      </c>
      <c r="B15171" s="572">
        <v>96.958200000000005</v>
      </c>
      <c r="C15171" s="572">
        <v>39.843800000000002</v>
      </c>
    </row>
    <row r="15172" spans="1:3">
      <c r="A15172" s="571" t="s">
        <v>2245</v>
      </c>
      <c r="B15172" s="572">
        <v>0</v>
      </c>
      <c r="C15172" s="572">
        <v>80</v>
      </c>
    </row>
    <row r="15173" spans="1:3">
      <c r="A15173" s="571" t="s">
        <v>2245</v>
      </c>
      <c r="B15173" s="572">
        <v>7.0620999999999992</v>
      </c>
      <c r="C15173" s="572">
        <v>169.23099999999999</v>
      </c>
    </row>
    <row r="15174" spans="1:3">
      <c r="A15174" s="571" t="s">
        <v>2245</v>
      </c>
      <c r="B15174" s="572">
        <v>13.916499999999999</v>
      </c>
      <c r="C15174" s="572">
        <v>193.846</v>
      </c>
    </row>
    <row r="15175" spans="1:3">
      <c r="A15175" s="571" t="s">
        <v>2245</v>
      </c>
      <c r="B15175" s="572">
        <v>20.770900000000001</v>
      </c>
      <c r="C15175" s="572">
        <v>205.38499999999999</v>
      </c>
    </row>
    <row r="15176" spans="1:3">
      <c r="A15176" s="571" t="s">
        <v>2245</v>
      </c>
      <c r="B15176" s="572">
        <v>27.625299999999999</v>
      </c>
      <c r="C15176" s="572">
        <v>215.38499999999999</v>
      </c>
    </row>
    <row r="15177" spans="1:3">
      <c r="A15177" s="571" t="s">
        <v>2245</v>
      </c>
      <c r="B15177" s="572">
        <v>34.479700000000001</v>
      </c>
      <c r="C15177" s="572">
        <v>224.61500000000001</v>
      </c>
    </row>
    <row r="15178" spans="1:3">
      <c r="A15178" s="571" t="s">
        <v>2245</v>
      </c>
      <c r="B15178" s="572">
        <v>41.334000000000003</v>
      </c>
      <c r="C15178" s="572">
        <v>229.23099999999999</v>
      </c>
    </row>
    <row r="15179" spans="1:3">
      <c r="A15179" s="571" t="s">
        <v>2245</v>
      </c>
      <c r="B15179" s="572">
        <v>48.811599999999999</v>
      </c>
      <c r="C15179" s="572">
        <v>233.077</v>
      </c>
    </row>
    <row r="15180" spans="1:3">
      <c r="A15180" s="571" t="s">
        <v>2245</v>
      </c>
      <c r="B15180" s="572">
        <v>55.458199999999998</v>
      </c>
      <c r="C15180" s="572">
        <v>239.23099999999999</v>
      </c>
    </row>
    <row r="15181" spans="1:3">
      <c r="A15181" s="571" t="s">
        <v>2245</v>
      </c>
      <c r="B15181" s="572">
        <v>62.312600000000003</v>
      </c>
      <c r="C15181" s="572">
        <v>242.30799999999999</v>
      </c>
    </row>
    <row r="15182" spans="1:3">
      <c r="A15182" s="571" t="s">
        <v>2245</v>
      </c>
      <c r="B15182" s="572">
        <v>69.374700000000004</v>
      </c>
      <c r="C15182" s="572">
        <v>246.154</v>
      </c>
    </row>
    <row r="15183" spans="1:3">
      <c r="A15183" s="571" t="s">
        <v>2245</v>
      </c>
      <c r="B15183" s="572">
        <v>76.0214</v>
      </c>
      <c r="C15183" s="572">
        <v>250.76900000000001</v>
      </c>
    </row>
    <row r="15184" spans="1:3">
      <c r="A15184" s="571" t="s">
        <v>2245</v>
      </c>
      <c r="B15184" s="572">
        <v>82.668099999999995</v>
      </c>
      <c r="C15184" s="572">
        <v>255.38499999999999</v>
      </c>
    </row>
    <row r="15185" spans="1:3">
      <c r="A15185" s="571" t="s">
        <v>2245</v>
      </c>
      <c r="B15185" s="572">
        <v>90.145600000000002</v>
      </c>
      <c r="C15185" s="572">
        <v>260.76900000000001</v>
      </c>
    </row>
    <row r="15186" spans="1:3">
      <c r="A15186" s="571" t="s">
        <v>2245</v>
      </c>
      <c r="B15186" s="572">
        <v>97.207700000000003</v>
      </c>
      <c r="C15186" s="572">
        <v>265.38499999999999</v>
      </c>
    </row>
    <row r="15187" spans="1:3">
      <c r="A15187" s="571" t="s">
        <v>2246</v>
      </c>
      <c r="B15187" s="572">
        <v>0</v>
      </c>
      <c r="C15187" s="572">
        <v>56.25</v>
      </c>
    </row>
    <row r="15188" spans="1:3">
      <c r="A15188" s="571" t="s">
        <v>2246</v>
      </c>
      <c r="B15188" s="572">
        <v>6.8543900000000004</v>
      </c>
      <c r="C15188" s="572">
        <v>150</v>
      </c>
    </row>
    <row r="15189" spans="1:3">
      <c r="A15189" s="571" t="s">
        <v>2246</v>
      </c>
      <c r="B15189" s="572">
        <v>13.501099999999999</v>
      </c>
      <c r="C15189" s="572">
        <v>174.21899999999999</v>
      </c>
    </row>
    <row r="15190" spans="1:3">
      <c r="A15190" s="571" t="s">
        <v>2246</v>
      </c>
      <c r="B15190" s="572">
        <v>20.770900000000001</v>
      </c>
      <c r="C15190" s="572">
        <v>184.375</v>
      </c>
    </row>
    <row r="15191" spans="1:3">
      <c r="A15191" s="571" t="s">
        <v>2246</v>
      </c>
      <c r="B15191" s="572">
        <v>27.625299999999999</v>
      </c>
      <c r="C15191" s="572">
        <v>192.18799999999999</v>
      </c>
    </row>
    <row r="15192" spans="1:3">
      <c r="A15192" s="571" t="s">
        <v>2246</v>
      </c>
      <c r="B15192" s="572">
        <v>34.687399999999997</v>
      </c>
      <c r="C15192" s="572">
        <v>196.875</v>
      </c>
    </row>
    <row r="15193" spans="1:3">
      <c r="A15193" s="571" t="s">
        <v>2246</v>
      </c>
      <c r="B15193" s="572">
        <v>41.126300000000001</v>
      </c>
      <c r="C15193" s="572">
        <v>201.56200000000001</v>
      </c>
    </row>
    <row r="15194" spans="1:3">
      <c r="A15194" s="571" t="s">
        <v>2246</v>
      </c>
      <c r="B15194" s="572">
        <v>48.603900000000003</v>
      </c>
      <c r="C15194" s="572">
        <v>203.90600000000001</v>
      </c>
    </row>
    <row r="15195" spans="1:3">
      <c r="A15195" s="571" t="s">
        <v>2246</v>
      </c>
      <c r="B15195" s="572">
        <v>55.250500000000002</v>
      </c>
      <c r="C15195" s="572">
        <v>205.46899999999999</v>
      </c>
    </row>
    <row r="15196" spans="1:3">
      <c r="A15196" s="571" t="s">
        <v>2246</v>
      </c>
      <c r="B15196" s="572">
        <v>62.520299999999999</v>
      </c>
      <c r="C15196" s="572">
        <v>207.81200000000001</v>
      </c>
    </row>
    <row r="15197" spans="1:3">
      <c r="A15197" s="571" t="s">
        <v>2246</v>
      </c>
      <c r="B15197" s="572">
        <v>69.167000000000002</v>
      </c>
      <c r="C15197" s="572">
        <v>210.93799999999999</v>
      </c>
    </row>
    <row r="15198" spans="1:3">
      <c r="A15198" s="571" t="s">
        <v>2246</v>
      </c>
      <c r="B15198" s="572">
        <v>76.0214</v>
      </c>
      <c r="C15198" s="572">
        <v>211.71899999999999</v>
      </c>
    </row>
    <row r="15199" spans="1:3">
      <c r="A15199" s="571" t="s">
        <v>2246</v>
      </c>
      <c r="B15199" s="572">
        <v>82.875799999999998</v>
      </c>
      <c r="C15199" s="572">
        <v>213.28100000000001</v>
      </c>
    </row>
    <row r="15200" spans="1:3">
      <c r="A15200" s="571" t="s">
        <v>2246</v>
      </c>
      <c r="B15200" s="572">
        <v>90.353300000000004</v>
      </c>
      <c r="C15200" s="572">
        <v>217.18799999999999</v>
      </c>
    </row>
    <row r="15201" spans="1:3">
      <c r="A15201" s="571" t="s">
        <v>2246</v>
      </c>
      <c r="B15201" s="572">
        <v>97</v>
      </c>
      <c r="C15201" s="572">
        <v>218.75</v>
      </c>
    </row>
    <row r="15202" spans="1:3">
      <c r="A15202" s="571" t="s">
        <v>2247</v>
      </c>
      <c r="B15202" s="572">
        <v>0.20771000000000006</v>
      </c>
      <c r="C15202" s="572">
        <v>36.153799999999997</v>
      </c>
    </row>
    <row r="15203" spans="1:3">
      <c r="A15203" s="571" t="s">
        <v>2247</v>
      </c>
      <c r="B15203" s="572">
        <v>6.8543900000000004</v>
      </c>
      <c r="C15203" s="572">
        <v>98.461500000000001</v>
      </c>
    </row>
    <row r="15204" spans="1:3">
      <c r="A15204" s="571" t="s">
        <v>2247</v>
      </c>
      <c r="B15204" s="572">
        <v>13.916499999999999</v>
      </c>
      <c r="C15204" s="572">
        <v>124.61499999999999</v>
      </c>
    </row>
    <row r="15205" spans="1:3">
      <c r="A15205" s="571" t="s">
        <v>2247</v>
      </c>
      <c r="B15205" s="572">
        <v>20.9786</v>
      </c>
      <c r="C15205" s="572">
        <v>138.46199999999999</v>
      </c>
    </row>
    <row r="15206" spans="1:3">
      <c r="A15206" s="571" t="s">
        <v>2247</v>
      </c>
      <c r="B15206" s="572">
        <v>27.832999999999998</v>
      </c>
      <c r="C15206" s="572">
        <v>147.69200000000001</v>
      </c>
    </row>
    <row r="15207" spans="1:3">
      <c r="A15207" s="571" t="s">
        <v>2247</v>
      </c>
      <c r="B15207" s="572">
        <v>34.687399999999997</v>
      </c>
      <c r="C15207" s="572">
        <v>158.46199999999999</v>
      </c>
    </row>
    <row r="15208" spans="1:3">
      <c r="A15208" s="571" t="s">
        <v>2247</v>
      </c>
      <c r="B15208" s="572">
        <v>41.541800000000002</v>
      </c>
      <c r="C15208" s="572">
        <v>166.154</v>
      </c>
    </row>
    <row r="15209" spans="1:3">
      <c r="A15209" s="571" t="s">
        <v>2247</v>
      </c>
      <c r="B15209" s="572">
        <v>48.603900000000003</v>
      </c>
      <c r="C15209" s="572">
        <v>173.077</v>
      </c>
    </row>
    <row r="15210" spans="1:3">
      <c r="A15210" s="571" t="s">
        <v>2247</v>
      </c>
      <c r="B15210" s="572">
        <v>55.458199999999998</v>
      </c>
      <c r="C15210" s="572">
        <v>178.46199999999999</v>
      </c>
    </row>
    <row r="15211" spans="1:3">
      <c r="A15211" s="571" t="s">
        <v>2247</v>
      </c>
      <c r="B15211" s="572">
        <v>62.520299999999999</v>
      </c>
      <c r="C15211" s="572">
        <v>186.923</v>
      </c>
    </row>
    <row r="15212" spans="1:3">
      <c r="A15212" s="571" t="s">
        <v>2247</v>
      </c>
      <c r="B15212" s="572">
        <v>69.374700000000004</v>
      </c>
      <c r="C15212" s="572">
        <v>192.30799999999999</v>
      </c>
    </row>
    <row r="15213" spans="1:3">
      <c r="A15213" s="571" t="s">
        <v>2247</v>
      </c>
      <c r="B15213" s="572">
        <v>76.436800000000005</v>
      </c>
      <c r="C15213" s="572">
        <v>196.154</v>
      </c>
    </row>
    <row r="15214" spans="1:3">
      <c r="A15214" s="571" t="s">
        <v>2247</v>
      </c>
      <c r="B15214" s="572">
        <v>83.083500000000001</v>
      </c>
      <c r="C15214" s="572">
        <v>202.30799999999999</v>
      </c>
    </row>
    <row r="15215" spans="1:3">
      <c r="A15215" s="571" t="s">
        <v>2247</v>
      </c>
      <c r="B15215" s="572">
        <v>89.730199999999996</v>
      </c>
      <c r="C15215" s="572">
        <v>207.69200000000001</v>
      </c>
    </row>
    <row r="15216" spans="1:3">
      <c r="A15216" s="571" t="s">
        <v>2247</v>
      </c>
      <c r="B15216" s="572">
        <v>96.792299999999997</v>
      </c>
      <c r="C15216" s="572">
        <v>215.38499999999999</v>
      </c>
    </row>
    <row r="15217" spans="1:3">
      <c r="A15217" s="48" t="s">
        <v>2248</v>
      </c>
      <c r="B15217" s="549">
        <v>-0.12150700000000003</v>
      </c>
      <c r="C15217" s="549">
        <v>80.001000000000005</v>
      </c>
    </row>
    <row r="15218" spans="1:3">
      <c r="A15218" s="571" t="s">
        <v>2248</v>
      </c>
      <c r="B15218" s="572">
        <v>6.3962500000000002</v>
      </c>
      <c r="C15218" s="572">
        <v>170.71899999999999</v>
      </c>
    </row>
    <row r="15219" spans="1:3">
      <c r="A15219" s="571" t="s">
        <v>2248</v>
      </c>
      <c r="B15219" s="572">
        <v>13.2941</v>
      </c>
      <c r="C15219" s="572">
        <v>217.58699999999999</v>
      </c>
    </row>
    <row r="15220" spans="1:3">
      <c r="A15220" s="571" t="s">
        <v>2248</v>
      </c>
      <c r="B15220" s="572">
        <v>19.886700000000001</v>
      </c>
      <c r="C15220" s="572">
        <v>239.84200000000001</v>
      </c>
    </row>
    <row r="15221" spans="1:3">
      <c r="A15221" s="571" t="s">
        <v>2248</v>
      </c>
      <c r="B15221" s="572">
        <v>26.728400000000001</v>
      </c>
      <c r="C15221" s="572">
        <v>250.55699999999999</v>
      </c>
    </row>
    <row r="15222" spans="1:3">
      <c r="A15222" s="571" t="s">
        <v>2248</v>
      </c>
      <c r="B15222" s="572">
        <v>33.591999999999999</v>
      </c>
      <c r="C15222" s="572">
        <v>255.887</v>
      </c>
    </row>
    <row r="15223" spans="1:3">
      <c r="A15223" s="571" t="s">
        <v>2248</v>
      </c>
      <c r="B15223" s="572">
        <v>40.661200000000001</v>
      </c>
      <c r="C15223" s="572">
        <v>260.447</v>
      </c>
    </row>
    <row r="15224" spans="1:3">
      <c r="A15224" s="571" t="s">
        <v>2248</v>
      </c>
      <c r="B15224" s="572">
        <v>47.546599999999998</v>
      </c>
      <c r="C15224" s="572">
        <v>260.392</v>
      </c>
    </row>
    <row r="15225" spans="1:3">
      <c r="A15225" s="571" t="s">
        <v>2248</v>
      </c>
      <c r="B15225" s="572">
        <v>54.410200000000003</v>
      </c>
      <c r="C15225" s="572">
        <v>265.72199999999998</v>
      </c>
    </row>
    <row r="15226" spans="1:3">
      <c r="A15226" s="571" t="s">
        <v>2248</v>
      </c>
      <c r="B15226" s="572">
        <v>61.09</v>
      </c>
      <c r="C15226" s="572">
        <v>266.43900000000002</v>
      </c>
    </row>
    <row r="15227" spans="1:3">
      <c r="A15227" s="571" t="s">
        <v>2248</v>
      </c>
      <c r="B15227" s="572">
        <v>68.171700000000001</v>
      </c>
      <c r="C15227" s="572">
        <v>267.92099999999999</v>
      </c>
    </row>
    <row r="15228" spans="1:3">
      <c r="A15228" s="571" t="s">
        <v>2248</v>
      </c>
      <c r="B15228" s="572">
        <v>74.851399999999998</v>
      </c>
      <c r="C15228" s="572">
        <v>268.637</v>
      </c>
    </row>
    <row r="15229" spans="1:3">
      <c r="A15229" s="571" t="s">
        <v>2248</v>
      </c>
      <c r="B15229" s="572">
        <v>81.926900000000003</v>
      </c>
      <c r="C15229" s="572">
        <v>271.65800000000002</v>
      </c>
    </row>
    <row r="15230" spans="1:3">
      <c r="A15230" s="571" t="s">
        <v>2248</v>
      </c>
      <c r="B15230" s="572">
        <v>88.591099999999997</v>
      </c>
      <c r="C15230" s="572">
        <v>276.221</v>
      </c>
    </row>
    <row r="15231" spans="1:3">
      <c r="A15231" s="571" t="s">
        <v>2248</v>
      </c>
      <c r="B15231" s="572">
        <v>96.077799999999996</v>
      </c>
      <c r="C15231" s="572">
        <v>277.7</v>
      </c>
    </row>
    <row r="15232" spans="1:3">
      <c r="A15232" s="571" t="s">
        <v>2249</v>
      </c>
      <c r="B15232" s="572">
        <v>0</v>
      </c>
      <c r="C15232" s="572">
        <v>56.25</v>
      </c>
    </row>
    <row r="15233" spans="1:3">
      <c r="A15233" s="571" t="s">
        <v>2249</v>
      </c>
      <c r="B15233" s="572">
        <v>6.69665</v>
      </c>
      <c r="C15233" s="572">
        <v>160.93799999999999</v>
      </c>
    </row>
    <row r="15234" spans="1:3">
      <c r="A15234" s="571" t="s">
        <v>2249</v>
      </c>
      <c r="B15234" s="572">
        <v>13.799200000000001</v>
      </c>
      <c r="C15234" s="572">
        <v>213.28100000000001</v>
      </c>
    </row>
    <row r="15235" spans="1:3">
      <c r="A15235" s="571" t="s">
        <v>2249</v>
      </c>
      <c r="B15235" s="572">
        <v>20.698699999999999</v>
      </c>
      <c r="C15235" s="572">
        <v>239.84399999999999</v>
      </c>
    </row>
    <row r="15236" spans="1:3">
      <c r="A15236" s="571" t="s">
        <v>2249</v>
      </c>
      <c r="B15236" s="572">
        <v>27.801300000000001</v>
      </c>
      <c r="C15236" s="572">
        <v>253.125</v>
      </c>
    </row>
    <row r="15237" spans="1:3">
      <c r="A15237" s="571" t="s">
        <v>2249</v>
      </c>
      <c r="B15237" s="572">
        <v>34.497900000000001</v>
      </c>
      <c r="C15237" s="572">
        <v>257.81200000000001</v>
      </c>
    </row>
    <row r="15238" spans="1:3">
      <c r="A15238" s="571" t="s">
        <v>2249</v>
      </c>
      <c r="B15238" s="572">
        <v>41.194600000000001</v>
      </c>
      <c r="C15238" s="572">
        <v>263.28100000000001</v>
      </c>
    </row>
    <row r="15239" spans="1:3">
      <c r="A15239" s="571" t="s">
        <v>2249</v>
      </c>
      <c r="B15239" s="572">
        <v>48.2971</v>
      </c>
      <c r="C15239" s="572">
        <v>263.28100000000001</v>
      </c>
    </row>
    <row r="15240" spans="1:3">
      <c r="A15240" s="571" t="s">
        <v>2249</v>
      </c>
      <c r="B15240" s="572">
        <v>54.993699999999997</v>
      </c>
      <c r="C15240" s="572">
        <v>265.625</v>
      </c>
    </row>
    <row r="15241" spans="1:3">
      <c r="A15241" s="571" t="s">
        <v>2249</v>
      </c>
      <c r="B15241" s="572">
        <v>62.502099999999999</v>
      </c>
      <c r="C15241" s="572">
        <v>266.40600000000001</v>
      </c>
    </row>
    <row r="15242" spans="1:3">
      <c r="A15242" s="571" t="s">
        <v>2249</v>
      </c>
      <c r="B15242" s="572">
        <v>68.995800000000003</v>
      </c>
      <c r="C15242" s="572">
        <v>268.75</v>
      </c>
    </row>
    <row r="15243" spans="1:3">
      <c r="A15243" s="571" t="s">
        <v>2249</v>
      </c>
      <c r="B15243" s="572">
        <v>76.707099999999997</v>
      </c>
      <c r="C15243" s="572">
        <v>269.53100000000001</v>
      </c>
    </row>
    <row r="15244" spans="1:3">
      <c r="A15244" s="571" t="s">
        <v>2249</v>
      </c>
      <c r="B15244" s="572">
        <v>83.200800000000001</v>
      </c>
      <c r="C15244" s="572">
        <v>271.09399999999999</v>
      </c>
    </row>
    <row r="15245" spans="1:3">
      <c r="A15245" s="571" t="s">
        <v>2249</v>
      </c>
      <c r="B15245" s="572">
        <v>89.897499999999994</v>
      </c>
      <c r="C15245" s="572">
        <v>271.875</v>
      </c>
    </row>
    <row r="15246" spans="1:3">
      <c r="A15246" s="571" t="s">
        <v>2249</v>
      </c>
      <c r="B15246" s="572">
        <v>96.7971</v>
      </c>
      <c r="C15246" s="572">
        <v>275.78100000000001</v>
      </c>
    </row>
    <row r="15247" spans="1:3">
      <c r="A15247" s="571" t="s">
        <v>2250</v>
      </c>
      <c r="B15247" s="572">
        <v>0</v>
      </c>
      <c r="C15247" s="572">
        <v>29.6875</v>
      </c>
    </row>
    <row r="15248" spans="1:3">
      <c r="A15248" s="571" t="s">
        <v>2250</v>
      </c>
      <c r="B15248" s="572">
        <v>7.1025100000000005</v>
      </c>
      <c r="C15248" s="572">
        <v>113.33799999999999</v>
      </c>
    </row>
    <row r="15249" spans="1:3">
      <c r="A15249" s="571" t="s">
        <v>2250</v>
      </c>
      <c r="B15249" s="572">
        <v>13.799200000000001</v>
      </c>
      <c r="C15249" s="572">
        <v>158.70500000000001</v>
      </c>
    </row>
    <row r="15250" spans="1:3">
      <c r="A15250" s="571" t="s">
        <v>2250</v>
      </c>
      <c r="B15250" s="572">
        <v>20.901700000000002</v>
      </c>
      <c r="C15250" s="572">
        <v>181.41800000000001</v>
      </c>
    </row>
    <row r="15251" spans="1:3">
      <c r="A15251" s="571" t="s">
        <v>2250</v>
      </c>
      <c r="B15251" s="572">
        <v>27.395399999999999</v>
      </c>
      <c r="C15251" s="572">
        <v>195.53299999999999</v>
      </c>
    </row>
    <row r="15252" spans="1:3">
      <c r="A15252" s="571" t="s">
        <v>2250</v>
      </c>
      <c r="B15252" s="572">
        <v>33.889099999999999</v>
      </c>
      <c r="C15252" s="572">
        <v>203.398</v>
      </c>
    </row>
    <row r="15253" spans="1:3">
      <c r="A15253" s="571" t="s">
        <v>2250</v>
      </c>
      <c r="B15253" s="572">
        <v>41.397500000000001</v>
      </c>
      <c r="C15253" s="572">
        <v>212.833</v>
      </c>
    </row>
    <row r="15254" spans="1:3">
      <c r="A15254" s="571" t="s">
        <v>2250</v>
      </c>
      <c r="B15254" s="572">
        <v>48.7029</v>
      </c>
      <c r="C15254" s="572">
        <v>216.79900000000001</v>
      </c>
    </row>
    <row r="15255" spans="1:3">
      <c r="A15255" s="571" t="s">
        <v>2250</v>
      </c>
      <c r="B15255" s="572">
        <v>55.3996</v>
      </c>
      <c r="C15255" s="572">
        <v>220.75899999999999</v>
      </c>
    </row>
    <row r="15256" spans="1:3">
      <c r="A15256" s="571" t="s">
        <v>2250</v>
      </c>
      <c r="B15256" s="572">
        <v>62.299199999999999</v>
      </c>
      <c r="C15256" s="572">
        <v>226.28299999999999</v>
      </c>
    </row>
    <row r="15257" spans="1:3">
      <c r="A15257" s="571" t="s">
        <v>2250</v>
      </c>
      <c r="B15257" s="572">
        <v>69.401700000000005</v>
      </c>
      <c r="C15257" s="572">
        <v>232.59</v>
      </c>
    </row>
    <row r="15258" spans="1:3">
      <c r="A15258" s="571" t="s">
        <v>2250</v>
      </c>
      <c r="B15258" s="572">
        <v>76.098299999999995</v>
      </c>
      <c r="C15258" s="572">
        <v>236.55</v>
      </c>
    </row>
    <row r="15259" spans="1:3">
      <c r="A15259" s="571" t="s">
        <v>2250</v>
      </c>
      <c r="B15259" s="572">
        <v>83.200800000000001</v>
      </c>
      <c r="C15259" s="572">
        <v>240.51400000000001</v>
      </c>
    </row>
    <row r="15260" spans="1:3">
      <c r="A15260" s="571" t="s">
        <v>2250</v>
      </c>
      <c r="B15260" s="572">
        <v>89.491600000000005</v>
      </c>
      <c r="C15260" s="572">
        <v>246.815</v>
      </c>
    </row>
    <row r="15261" spans="1:3">
      <c r="A15261" s="571" t="s">
        <v>2250</v>
      </c>
      <c r="B15261" s="572">
        <v>96.7971</v>
      </c>
      <c r="C15261" s="572">
        <v>249.99799999999999</v>
      </c>
    </row>
    <row r="15262" spans="1:3">
      <c r="A15262" s="571" t="s">
        <v>2251</v>
      </c>
      <c r="B15262" s="572">
        <v>2.4899999999998812E-3</v>
      </c>
      <c r="C15262" s="572">
        <v>1.2195100000000001</v>
      </c>
    </row>
    <row r="15263" spans="1:3">
      <c r="A15263" s="571" t="s">
        <v>2251</v>
      </c>
      <c r="B15263" s="572">
        <v>6.5091999999999999</v>
      </c>
      <c r="C15263" s="572">
        <v>109.756</v>
      </c>
    </row>
    <row r="15264" spans="1:3">
      <c r="A15264" s="571" t="s">
        <v>2251</v>
      </c>
      <c r="B15264" s="572">
        <v>13.516100000000002</v>
      </c>
      <c r="C15264" s="572">
        <v>175.61</v>
      </c>
    </row>
    <row r="15265" spans="1:3">
      <c r="A15265" s="571" t="s">
        <v>2251</v>
      </c>
      <c r="B15265" s="572">
        <v>20.816600000000001</v>
      </c>
      <c r="C15265" s="572">
        <v>197.56100000000001</v>
      </c>
    </row>
    <row r="15266" spans="1:3">
      <c r="A15266" s="571" t="s">
        <v>2251</v>
      </c>
      <c r="B15266" s="572">
        <v>27.5075</v>
      </c>
      <c r="C15266" s="572">
        <v>218.29300000000001</v>
      </c>
    </row>
    <row r="15267" spans="1:3">
      <c r="A15267" s="571" t="s">
        <v>2251</v>
      </c>
      <c r="B15267" s="572">
        <v>34.014299999999999</v>
      </c>
      <c r="C15267" s="572">
        <v>229.268</v>
      </c>
    </row>
    <row r="15268" spans="1:3">
      <c r="A15268" s="571" t="s">
        <v>2251</v>
      </c>
      <c r="B15268" s="572">
        <v>41.1008</v>
      </c>
      <c r="C15268" s="572">
        <v>256.09800000000001</v>
      </c>
    </row>
    <row r="15269" spans="1:3">
      <c r="A15269" s="571" t="s">
        <v>2251</v>
      </c>
      <c r="B15269" s="572">
        <v>47.995699999999999</v>
      </c>
      <c r="C15269" s="572">
        <v>276.82900000000001</v>
      </c>
    </row>
    <row r="15270" spans="1:3">
      <c r="A15270" s="571" t="s">
        <v>2251</v>
      </c>
      <c r="B15270" s="572">
        <v>55.137</v>
      </c>
      <c r="C15270" s="572">
        <v>276.82900000000001</v>
      </c>
    </row>
    <row r="15271" spans="1:3">
      <c r="A15271" s="571" t="s">
        <v>2251</v>
      </c>
      <c r="B15271" s="572">
        <v>61.835300000000004</v>
      </c>
      <c r="C15271" s="572">
        <v>293.90199999999999</v>
      </c>
    </row>
    <row r="15272" spans="1:3">
      <c r="A15272" s="571" t="s">
        <v>2251</v>
      </c>
      <c r="B15272" s="572">
        <v>68.777500000000003</v>
      </c>
      <c r="C15272" s="572">
        <v>291.46300000000002</v>
      </c>
    </row>
    <row r="15273" spans="1:3">
      <c r="A15273" s="571" t="s">
        <v>2251</v>
      </c>
      <c r="B15273" s="572">
        <v>75.893900000000002</v>
      </c>
      <c r="C15273" s="572">
        <v>303.65899999999999</v>
      </c>
    </row>
    <row r="15274" spans="1:3">
      <c r="A15274" s="571" t="s">
        <v>2251</v>
      </c>
      <c r="B15274" s="572">
        <v>82.826099999999997</v>
      </c>
      <c r="C15274" s="572">
        <v>306.09800000000001</v>
      </c>
    </row>
    <row r="15275" spans="1:3">
      <c r="A15275" s="571" t="s">
        <v>2251</v>
      </c>
      <c r="B15275" s="572">
        <v>89.760900000000007</v>
      </c>
      <c r="C15275" s="572">
        <v>307.31700000000001</v>
      </c>
    </row>
    <row r="15276" spans="1:3">
      <c r="A15276" s="571" t="s">
        <v>2252</v>
      </c>
      <c r="B15276" s="572">
        <v>0</v>
      </c>
      <c r="C15276" s="572">
        <v>1.20482</v>
      </c>
    </row>
    <row r="15277" spans="1:3">
      <c r="A15277" s="571" t="s">
        <v>2252</v>
      </c>
      <c r="B15277" s="572">
        <v>6.9527999999999999</v>
      </c>
      <c r="C15277" s="572">
        <v>157.739</v>
      </c>
    </row>
    <row r="15278" spans="1:3">
      <c r="A15278" s="571" t="s">
        <v>2252</v>
      </c>
      <c r="B15278" s="572">
        <v>13.7011</v>
      </c>
      <c r="C15278" s="572">
        <v>217.89099999999999</v>
      </c>
    </row>
    <row r="15279" spans="1:3">
      <c r="A15279" s="571" t="s">
        <v>2252</v>
      </c>
      <c r="B15279" s="572">
        <v>20.6539</v>
      </c>
      <c r="C15279" s="572">
        <v>255.148</v>
      </c>
    </row>
    <row r="15280" spans="1:3">
      <c r="A15280" s="571" t="s">
        <v>2252</v>
      </c>
      <c r="B15280" s="572">
        <v>28.015700000000002</v>
      </c>
      <c r="C15280" s="572">
        <v>277.94200000000001</v>
      </c>
    </row>
    <row r="15281" spans="1:3">
      <c r="A15281" s="571" t="s">
        <v>2252</v>
      </c>
      <c r="B15281" s="572">
        <v>35.173000000000002</v>
      </c>
      <c r="C15281" s="572">
        <v>288.69099999999997</v>
      </c>
    </row>
    <row r="15282" spans="1:3">
      <c r="A15282" s="571" t="s">
        <v>2252</v>
      </c>
      <c r="B15282" s="572">
        <v>41.716900000000003</v>
      </c>
      <c r="C15282" s="572">
        <v>324.74900000000002</v>
      </c>
    </row>
    <row r="15283" spans="1:3">
      <c r="A15283" s="571" t="s">
        <v>2252</v>
      </c>
      <c r="B15283" s="572">
        <v>48.669699999999999</v>
      </c>
      <c r="C15283" s="572">
        <v>328.27100000000002</v>
      </c>
    </row>
    <row r="15284" spans="1:3">
      <c r="A15284" s="571" t="s">
        <v>2252</v>
      </c>
      <c r="B15284" s="572">
        <v>55.826999999999998</v>
      </c>
      <c r="C15284" s="572">
        <v>347.45400000000001</v>
      </c>
    </row>
    <row r="15285" spans="1:3">
      <c r="A15285" s="571" t="s">
        <v>2252</v>
      </c>
      <c r="B15285" s="572">
        <v>62.779799999999994</v>
      </c>
      <c r="C15285" s="572">
        <v>353.38600000000002</v>
      </c>
    </row>
    <row r="15286" spans="1:3">
      <c r="A15286" s="571" t="s">
        <v>2252</v>
      </c>
      <c r="B15286" s="572">
        <v>69.937100000000001</v>
      </c>
      <c r="C15286" s="572">
        <v>362.92899999999997</v>
      </c>
    </row>
    <row r="15287" spans="1:3">
      <c r="A15287" s="571" t="s">
        <v>2252</v>
      </c>
      <c r="B15287" s="572">
        <v>77.094399999999993</v>
      </c>
      <c r="C15287" s="572">
        <v>364.04</v>
      </c>
    </row>
    <row r="15288" spans="1:3">
      <c r="A15288" s="571" t="s">
        <v>2252</v>
      </c>
      <c r="B15288" s="572">
        <v>83.433700000000002</v>
      </c>
      <c r="C15288" s="572">
        <v>374.79899999999998</v>
      </c>
    </row>
    <row r="15289" spans="1:3">
      <c r="A15289" s="571" t="s">
        <v>2252</v>
      </c>
      <c r="B15289" s="572">
        <v>90.795500000000004</v>
      </c>
      <c r="C15289" s="572">
        <v>385.54500000000002</v>
      </c>
    </row>
    <row r="15290" spans="1:3">
      <c r="A15290" s="571" t="s">
        <v>2253</v>
      </c>
      <c r="B15290" s="572">
        <v>0</v>
      </c>
      <c r="C15290" s="572">
        <v>5.6800000000000002E-14</v>
      </c>
    </row>
    <row r="15291" spans="1:3">
      <c r="A15291" s="571" t="s">
        <v>2253</v>
      </c>
      <c r="B15291" s="572">
        <v>6.7483000000000004</v>
      </c>
      <c r="C15291" s="572">
        <v>100</v>
      </c>
    </row>
    <row r="15292" spans="1:3">
      <c r="A15292" s="571" t="s">
        <v>2253</v>
      </c>
      <c r="B15292" s="572">
        <v>13.607700000000001</v>
      </c>
      <c r="C15292" s="572">
        <v>145.679</v>
      </c>
    </row>
    <row r="15293" spans="1:3">
      <c r="A15293" s="571" t="s">
        <v>2253</v>
      </c>
      <c r="B15293" s="572">
        <v>20.4999</v>
      </c>
      <c r="C15293" s="572">
        <v>175.309</v>
      </c>
    </row>
    <row r="15294" spans="1:3">
      <c r="A15294" s="571" t="s">
        <v>2253</v>
      </c>
      <c r="B15294" s="572">
        <v>27.424999999999997</v>
      </c>
      <c r="C15294" s="572">
        <v>188.88900000000001</v>
      </c>
    </row>
    <row r="15295" spans="1:3">
      <c r="A15295" s="571" t="s">
        <v>2253</v>
      </c>
      <c r="B15295" s="572">
        <v>34.726199999999999</v>
      </c>
      <c r="C15295" s="572">
        <v>218.51900000000001</v>
      </c>
    </row>
    <row r="15296" spans="1:3">
      <c r="A15296" s="571" t="s">
        <v>2253</v>
      </c>
      <c r="B15296" s="572">
        <v>41.451799999999999</v>
      </c>
      <c r="C15296" s="572">
        <v>229.63</v>
      </c>
    </row>
    <row r="15297" spans="1:3">
      <c r="A15297" s="571" t="s">
        <v>2253</v>
      </c>
      <c r="B15297" s="572">
        <v>48.376800000000003</v>
      </c>
      <c r="C15297" s="572">
        <v>243.21</v>
      </c>
    </row>
    <row r="15298" spans="1:3">
      <c r="A15298" s="571" t="s">
        <v>2253</v>
      </c>
      <c r="B15298" s="572">
        <v>55.332099999999997</v>
      </c>
      <c r="C15298" s="572">
        <v>241.97499999999999</v>
      </c>
    </row>
    <row r="15299" spans="1:3">
      <c r="A15299" s="571" t="s">
        <v>2253</v>
      </c>
      <c r="B15299" s="572">
        <v>62.451599999999999</v>
      </c>
      <c r="C15299" s="572">
        <v>260.49400000000003</v>
      </c>
    </row>
    <row r="15300" spans="1:3">
      <c r="A15300" s="571" t="s">
        <v>2253</v>
      </c>
      <c r="B15300" s="572">
        <v>68.980199999999996</v>
      </c>
      <c r="C15300" s="572">
        <v>267.90100000000001</v>
      </c>
    </row>
    <row r="15301" spans="1:3">
      <c r="A15301" s="571" t="s">
        <v>2253</v>
      </c>
      <c r="B15301" s="572">
        <v>76.124899999999997</v>
      </c>
      <c r="C15301" s="572">
        <v>274.07400000000001</v>
      </c>
    </row>
    <row r="15302" spans="1:3">
      <c r="A15302" s="571" t="s">
        <v>2253</v>
      </c>
      <c r="B15302" s="572">
        <v>82.863100000000003</v>
      </c>
      <c r="C15302" s="572">
        <v>279.012</v>
      </c>
    </row>
    <row r="15303" spans="1:3">
      <c r="A15303" s="571" t="s">
        <v>2253</v>
      </c>
      <c r="B15303" s="572">
        <v>90.214799999999997</v>
      </c>
      <c r="C15303" s="572">
        <v>283.95100000000002</v>
      </c>
    </row>
    <row r="15304" spans="1:3">
      <c r="A15304" s="571" t="s">
        <v>3740</v>
      </c>
      <c r="B15304" s="572">
        <v>0.20495000000000019</v>
      </c>
      <c r="C15304" s="572">
        <v>2.7800000000000003E-17</v>
      </c>
    </row>
    <row r="15305" spans="1:3">
      <c r="A15305" s="571" t="s">
        <v>3740</v>
      </c>
      <c r="B15305" s="572">
        <v>6.7873999999999999</v>
      </c>
      <c r="C15305" s="572">
        <v>2.20833E-2</v>
      </c>
    </row>
    <row r="15306" spans="1:3">
      <c r="A15306" s="571" t="s">
        <v>3740</v>
      </c>
      <c r="B15306" s="572">
        <v>13.950600000000001</v>
      </c>
      <c r="C15306" s="572">
        <v>2.3333300000000001E-2</v>
      </c>
    </row>
    <row r="15307" spans="1:3">
      <c r="A15307" s="571" t="s">
        <v>3740</v>
      </c>
      <c r="B15307" s="572">
        <v>20.8508</v>
      </c>
      <c r="C15307" s="572">
        <v>3.1666699999999999E-2</v>
      </c>
    </row>
    <row r="15308" spans="1:3">
      <c r="A15308" s="571" t="s">
        <v>3740</v>
      </c>
      <c r="B15308" s="572">
        <v>27.610799999999998</v>
      </c>
      <c r="C15308" s="572">
        <v>3.2083300000000002E-2</v>
      </c>
    </row>
    <row r="15309" spans="1:3">
      <c r="A15309" s="571" t="s">
        <v>3740</v>
      </c>
      <c r="B15309" s="572">
        <v>34.5383</v>
      </c>
      <c r="C15309" s="572">
        <v>3.70833E-2</v>
      </c>
    </row>
    <row r="15310" spans="1:3">
      <c r="A15310" s="571" t="s">
        <v>3740</v>
      </c>
      <c r="B15310" s="572">
        <v>41.684399999999997</v>
      </c>
      <c r="C15310" s="572">
        <v>4.04167E-2</v>
      </c>
    </row>
    <row r="15311" spans="1:3">
      <c r="A15311" s="571" t="s">
        <v>3740</v>
      </c>
      <c r="B15311" s="572">
        <v>48.4206</v>
      </c>
      <c r="C15311" s="572">
        <v>4.3749999999999997E-2</v>
      </c>
    </row>
    <row r="15312" spans="1:3">
      <c r="A15312" s="571" t="s">
        <v>3740</v>
      </c>
      <c r="B15312" s="572">
        <v>55.576999999999998</v>
      </c>
      <c r="C15312" s="572">
        <v>4.58333E-2</v>
      </c>
    </row>
    <row r="15313" spans="1:3">
      <c r="A15313" s="571" t="s">
        <v>3740</v>
      </c>
      <c r="B15313" s="572">
        <v>62.128699999999995</v>
      </c>
      <c r="C15313" s="572">
        <v>4.6666699999999998E-2</v>
      </c>
    </row>
    <row r="15314" spans="1:3">
      <c r="A15314" s="571" t="s">
        <v>3740</v>
      </c>
      <c r="B15314" s="572">
        <v>69.083500000000001</v>
      </c>
      <c r="C15314" s="572">
        <v>4.8333300000000003E-2</v>
      </c>
    </row>
    <row r="15315" spans="1:3">
      <c r="A15315" s="571" t="s">
        <v>3740</v>
      </c>
      <c r="B15315" s="572">
        <v>76.451599999999999</v>
      </c>
      <c r="C15315" s="572">
        <v>4.9583299999999997E-2</v>
      </c>
    </row>
    <row r="15316" spans="1:3">
      <c r="A15316" s="571" t="s">
        <v>3740</v>
      </c>
      <c r="B15316" s="572">
        <v>83.201499999999996</v>
      </c>
      <c r="C15316" s="572">
        <v>5.1249999999999997E-2</v>
      </c>
    </row>
    <row r="15317" spans="1:3">
      <c r="A15317" s="571" t="s">
        <v>3740</v>
      </c>
      <c r="B15317" s="572">
        <v>90.152900000000002</v>
      </c>
      <c r="C15317" s="572">
        <v>5.33333E-2</v>
      </c>
    </row>
    <row r="15318" spans="1:3">
      <c r="A15318" s="571" t="s">
        <v>3741</v>
      </c>
      <c r="B15318" s="572">
        <v>0</v>
      </c>
      <c r="C15318" s="572">
        <v>2.7800000000000003E-17</v>
      </c>
    </row>
    <row r="15319" spans="1:3">
      <c r="A15319" s="571" t="s">
        <v>3741</v>
      </c>
      <c r="B15319" s="572">
        <v>6.3007000000000009</v>
      </c>
      <c r="C15319" s="572">
        <v>3.9945099999999997E-2</v>
      </c>
    </row>
    <row r="15320" spans="1:3">
      <c r="A15320" s="571" t="s">
        <v>3741</v>
      </c>
      <c r="B15320" s="572">
        <v>13.2622</v>
      </c>
      <c r="C15320" s="572">
        <v>5.9725100000000003E-2</v>
      </c>
    </row>
    <row r="15321" spans="1:3">
      <c r="A15321" s="571" t="s">
        <v>3741</v>
      </c>
      <c r="B15321" s="572">
        <v>20.1373</v>
      </c>
      <c r="C15321" s="572">
        <v>6.9840899999999997E-2</v>
      </c>
    </row>
    <row r="15322" spans="1:3">
      <c r="A15322" s="571" t="s">
        <v>3741</v>
      </c>
      <c r="B15322" s="572">
        <v>26.868699999999997</v>
      </c>
      <c r="C15322" s="572">
        <v>7.4913999999999994E-2</v>
      </c>
    </row>
    <row r="15323" spans="1:3">
      <c r="A15323" s="571" t="s">
        <v>3741</v>
      </c>
      <c r="B15323" s="572">
        <v>34.017099999999999</v>
      </c>
      <c r="C15323" s="572">
        <v>7.9568799999999995E-2</v>
      </c>
    </row>
    <row r="15324" spans="1:3">
      <c r="A15324" s="571" t="s">
        <v>3741</v>
      </c>
      <c r="B15324" s="572">
        <v>40.9544</v>
      </c>
      <c r="C15324" s="572">
        <v>8.4642899999999993E-2</v>
      </c>
    </row>
    <row r="15325" spans="1:3">
      <c r="A15325" s="571" t="s">
        <v>3741</v>
      </c>
      <c r="B15325" s="572">
        <v>48.118400000000001</v>
      </c>
      <c r="C15325" s="572">
        <v>8.8037299999999999E-2</v>
      </c>
    </row>
    <row r="15326" spans="1:3">
      <c r="A15326" s="571" t="s">
        <v>3741</v>
      </c>
      <c r="B15326" s="572">
        <v>55.081600000000002</v>
      </c>
      <c r="C15326" s="572">
        <v>9.1010599999999997E-2</v>
      </c>
    </row>
    <row r="15327" spans="1:3">
      <c r="A15327" s="571" t="s">
        <v>3741</v>
      </c>
      <c r="B15327" s="572">
        <v>61.844200000000001</v>
      </c>
      <c r="C15327" s="572">
        <v>9.3562900000000004E-2</v>
      </c>
    </row>
    <row r="15328" spans="1:3">
      <c r="A15328" s="571" t="s">
        <v>3741</v>
      </c>
      <c r="B15328" s="572">
        <v>68.591200000000001</v>
      </c>
      <c r="C15328" s="572">
        <v>9.7375500000000004E-2</v>
      </c>
    </row>
    <row r="15329" spans="1:3">
      <c r="A15329" s="571" t="s">
        <v>3741</v>
      </c>
      <c r="B15329" s="572">
        <v>75.559700000000007</v>
      </c>
      <c r="C15329" s="572">
        <v>9.9928699999999995E-2</v>
      </c>
    </row>
    <row r="15330" spans="1:3">
      <c r="A15330" s="571" t="s">
        <v>3741</v>
      </c>
      <c r="B15330" s="572">
        <v>82.723699999999994</v>
      </c>
      <c r="C15330" s="572">
        <v>0.103323</v>
      </c>
    </row>
    <row r="15331" spans="1:3">
      <c r="A15331" s="571" t="s">
        <v>3741</v>
      </c>
      <c r="B15331" s="572">
        <v>89.507000000000005</v>
      </c>
      <c r="C15331" s="572">
        <v>0.104195</v>
      </c>
    </row>
    <row r="15332" spans="1:3">
      <c r="A15332" s="48" t="s">
        <v>3742</v>
      </c>
      <c r="B15332" s="549">
        <v>-0.20713000000000026</v>
      </c>
      <c r="C15332" s="549">
        <v>4.1666700000000001E-4</v>
      </c>
    </row>
    <row r="15333" spans="1:3">
      <c r="A15333" s="571" t="s">
        <v>3742</v>
      </c>
      <c r="B15333" s="572">
        <v>6.9654000000000007</v>
      </c>
      <c r="C15333" s="572">
        <v>5.4583300000000001E-2</v>
      </c>
    </row>
    <row r="15334" spans="1:3">
      <c r="A15334" s="571" t="s">
        <v>3742</v>
      </c>
      <c r="B15334" s="572">
        <v>13.6877</v>
      </c>
      <c r="C15334" s="572">
        <v>6.83333E-2</v>
      </c>
    </row>
    <row r="15335" spans="1:3">
      <c r="A15335" s="571" t="s">
        <v>3742</v>
      </c>
      <c r="B15335" s="572">
        <v>20.432200000000002</v>
      </c>
      <c r="C15335" s="572">
        <v>7.6666700000000004E-2</v>
      </c>
    </row>
    <row r="15336" spans="1:3">
      <c r="A15336" s="571" t="s">
        <v>3742</v>
      </c>
      <c r="B15336" s="572">
        <v>27.7896</v>
      </c>
      <c r="C15336" s="572">
        <v>8.5833300000000001E-2</v>
      </c>
    </row>
    <row r="15337" spans="1:3">
      <c r="A15337" s="571" t="s">
        <v>3742</v>
      </c>
      <c r="B15337" s="572">
        <v>34.756700000000002</v>
      </c>
      <c r="C15337" s="572">
        <v>0.09</v>
      </c>
    </row>
    <row r="15338" spans="1:3">
      <c r="A15338" s="571" t="s">
        <v>3742</v>
      </c>
      <c r="B15338" s="572">
        <v>41.727200000000003</v>
      </c>
      <c r="C15338" s="572">
        <v>9.3333299999999994E-2</v>
      </c>
    </row>
    <row r="15339" spans="1:3">
      <c r="A15339" s="571" t="s">
        <v>3742</v>
      </c>
      <c r="B15339" s="572">
        <v>48.692500000000003</v>
      </c>
      <c r="C15339" s="572">
        <v>9.7916699999999995E-2</v>
      </c>
    </row>
    <row r="15340" spans="1:3">
      <c r="A15340" s="571" t="s">
        <v>3742</v>
      </c>
      <c r="B15340" s="572">
        <v>55.235100000000003</v>
      </c>
      <c r="C15340" s="572">
        <v>0.105417</v>
      </c>
    </row>
    <row r="15341" spans="1:3">
      <c r="A15341" s="571" t="s">
        <v>3742</v>
      </c>
      <c r="B15341" s="572">
        <v>62.426400000000001</v>
      </c>
      <c r="C15341" s="572">
        <v>0.105</v>
      </c>
    </row>
    <row r="15342" spans="1:3">
      <c r="A15342" s="571" t="s">
        <v>3742</v>
      </c>
      <c r="B15342" s="572">
        <v>69.398600000000002</v>
      </c>
      <c r="C15342" s="572">
        <v>0.107917</v>
      </c>
    </row>
    <row r="15343" spans="1:3">
      <c r="A15343" s="571" t="s">
        <v>3742</v>
      </c>
      <c r="B15343" s="572">
        <v>76.365700000000004</v>
      </c>
      <c r="C15343" s="572">
        <v>0.112083</v>
      </c>
    </row>
    <row r="15344" spans="1:3">
      <c r="A15344" s="571" t="s">
        <v>3742</v>
      </c>
      <c r="B15344" s="572">
        <v>83.346500000000006</v>
      </c>
      <c r="C15344" s="572">
        <v>0.112917</v>
      </c>
    </row>
    <row r="15345" spans="1:3">
      <c r="A15345" s="571" t="s">
        <v>3742</v>
      </c>
      <c r="B15345" s="572">
        <v>90.524100000000004</v>
      </c>
      <c r="C15345" s="572">
        <v>0.11583300000000001</v>
      </c>
    </row>
    <row r="15346" spans="1:3">
      <c r="A15346" s="571" t="s">
        <v>2254</v>
      </c>
      <c r="B15346" s="572">
        <v>0</v>
      </c>
      <c r="C15346" s="572">
        <v>5.6800000000000002E-14</v>
      </c>
    </row>
    <row r="15347" spans="1:3">
      <c r="A15347" s="571" t="s">
        <v>2254</v>
      </c>
      <c r="B15347" s="572">
        <v>6.7055000000000007</v>
      </c>
      <c r="C15347" s="572">
        <v>121.51600000000001</v>
      </c>
    </row>
    <row r="15348" spans="1:3">
      <c r="A15348" s="571" t="s">
        <v>2254</v>
      </c>
      <c r="B15348" s="572">
        <v>13.6267</v>
      </c>
      <c r="C15348" s="572">
        <v>140.654</v>
      </c>
    </row>
    <row r="15349" spans="1:3">
      <c r="A15349" s="571" t="s">
        <v>2254</v>
      </c>
      <c r="B15349" s="572">
        <v>20.552800000000001</v>
      </c>
      <c r="C15349" s="572">
        <v>158.602</v>
      </c>
    </row>
    <row r="15350" spans="1:3">
      <c r="A15350" s="571" t="s">
        <v>2254</v>
      </c>
      <c r="B15350" s="572">
        <v>27.0623</v>
      </c>
      <c r="C15350" s="572">
        <v>177.73500000000001</v>
      </c>
    </row>
    <row r="15351" spans="1:3">
      <c r="A15351" s="571" t="s">
        <v>2254</v>
      </c>
      <c r="B15351" s="572">
        <v>33.959000000000003</v>
      </c>
      <c r="C15351" s="572">
        <v>202.82499999999999</v>
      </c>
    </row>
    <row r="15352" spans="1:3">
      <c r="A15352" s="571" t="s">
        <v>2254</v>
      </c>
      <c r="B15352" s="572">
        <v>40.939</v>
      </c>
      <c r="C15352" s="572">
        <v>207.678</v>
      </c>
    </row>
    <row r="15353" spans="1:3">
      <c r="A15353" s="571" t="s">
        <v>2254</v>
      </c>
      <c r="B15353" s="572">
        <v>48.085599999999999</v>
      </c>
      <c r="C15353" s="572">
        <v>222.05799999999999</v>
      </c>
    </row>
    <row r="15354" spans="1:3">
      <c r="A15354" s="571" t="s">
        <v>2254</v>
      </c>
      <c r="B15354" s="572">
        <v>54.683300000000003</v>
      </c>
      <c r="C15354" s="572">
        <v>219.76300000000001</v>
      </c>
    </row>
    <row r="15355" spans="1:3">
      <c r="A15355" s="571" t="s">
        <v>2254</v>
      </c>
      <c r="B15355" s="572">
        <v>61.795699999999997</v>
      </c>
      <c r="C15355" s="572">
        <v>242.47499999999999</v>
      </c>
    </row>
    <row r="15356" spans="1:3">
      <c r="A15356" s="571" t="s">
        <v>2254</v>
      </c>
      <c r="B15356" s="572">
        <v>69.006100000000004</v>
      </c>
      <c r="C15356" s="572">
        <v>241.37899999999999</v>
      </c>
    </row>
    <row r="15357" spans="1:3">
      <c r="A15357" s="571" t="s">
        <v>2254</v>
      </c>
      <c r="B15357" s="572">
        <v>75.0989</v>
      </c>
      <c r="C15357" s="572">
        <v>261.697</v>
      </c>
    </row>
    <row r="15358" spans="1:3">
      <c r="A15358" s="571" t="s">
        <v>2254</v>
      </c>
      <c r="B15358" s="572">
        <v>82.716099999999997</v>
      </c>
      <c r="C15358" s="572">
        <v>261.79599999999999</v>
      </c>
    </row>
    <row r="15359" spans="1:3">
      <c r="A15359" s="571" t="s">
        <v>2254</v>
      </c>
      <c r="B15359" s="572">
        <v>89.671599999999998</v>
      </c>
      <c r="C15359" s="572">
        <v>272.60199999999998</v>
      </c>
    </row>
    <row r="15360" spans="1:3">
      <c r="A15360" s="571" t="s">
        <v>2255</v>
      </c>
      <c r="B15360" s="572">
        <v>2.4499999999996191E-3</v>
      </c>
      <c r="C15360" s="572">
        <v>1.1904399999999999</v>
      </c>
    </row>
    <row r="15361" spans="1:3">
      <c r="A15361" s="571" t="s">
        <v>2255</v>
      </c>
      <c r="B15361" s="572">
        <v>6.9850999999999992</v>
      </c>
      <c r="C15361" s="572">
        <v>107.23399999999999</v>
      </c>
    </row>
    <row r="15362" spans="1:3">
      <c r="A15362" s="571" t="s">
        <v>2255</v>
      </c>
      <c r="B15362" s="572">
        <v>13.862400000000001</v>
      </c>
      <c r="C15362" s="572">
        <v>166.84800000000001</v>
      </c>
    </row>
    <row r="15363" spans="1:3">
      <c r="A15363" s="571" t="s">
        <v>2255</v>
      </c>
      <c r="B15363" s="572">
        <v>20.854800000000001</v>
      </c>
      <c r="C15363" s="572">
        <v>170.511</v>
      </c>
    </row>
    <row r="15364" spans="1:3">
      <c r="A15364" s="571" t="s">
        <v>2255</v>
      </c>
      <c r="B15364" s="572">
        <v>27.411000000000001</v>
      </c>
      <c r="C15364" s="572">
        <v>186.07300000000001</v>
      </c>
    </row>
    <row r="15365" spans="1:3">
      <c r="A15365" s="571" t="s">
        <v>2255</v>
      </c>
      <c r="B15365" s="572">
        <v>34.584899999999998</v>
      </c>
      <c r="C15365" s="572">
        <v>201.643</v>
      </c>
    </row>
    <row r="15366" spans="1:3">
      <c r="A15366" s="571" t="s">
        <v>2255</v>
      </c>
      <c r="B15366" s="572">
        <v>40.930300000000003</v>
      </c>
      <c r="C15366" s="572">
        <v>219.583</v>
      </c>
    </row>
    <row r="15367" spans="1:3">
      <c r="A15367" s="571" t="s">
        <v>2255</v>
      </c>
      <c r="B15367" s="572">
        <v>48.341799999999999</v>
      </c>
      <c r="C15367" s="572">
        <v>219.68</v>
      </c>
    </row>
    <row r="15368" spans="1:3">
      <c r="A15368" s="571" t="s">
        <v>2255</v>
      </c>
      <c r="B15368" s="572">
        <v>55.307299999999998</v>
      </c>
      <c r="C15368" s="572">
        <v>236.43799999999999</v>
      </c>
    </row>
    <row r="15369" spans="1:3">
      <c r="A15369" s="571" t="s">
        <v>2255</v>
      </c>
      <c r="B15369" s="572">
        <v>62.101299999999995</v>
      </c>
      <c r="C15369" s="572">
        <v>236.52699999999999</v>
      </c>
    </row>
    <row r="15370" spans="1:3">
      <c r="A15370" s="571" t="s">
        <v>2255</v>
      </c>
      <c r="B15370" s="572">
        <v>69.057000000000002</v>
      </c>
      <c r="C15370" s="572">
        <v>258.04599999999999</v>
      </c>
    </row>
    <row r="15371" spans="1:3">
      <c r="A15371" s="571" t="s">
        <v>2255</v>
      </c>
      <c r="B15371" s="572">
        <v>76.049400000000006</v>
      </c>
      <c r="C15371" s="572">
        <v>261.709</v>
      </c>
    </row>
    <row r="15372" spans="1:3">
      <c r="A15372" s="571" t="s">
        <v>2255</v>
      </c>
      <c r="B15372" s="572">
        <v>83.193799999999996</v>
      </c>
      <c r="C15372" s="572">
        <v>291.565</v>
      </c>
    </row>
    <row r="15373" spans="1:3">
      <c r="A15373" s="571" t="s">
        <v>2255</v>
      </c>
      <c r="B15373" s="572">
        <v>89.781899999999993</v>
      </c>
      <c r="C15373" s="572">
        <v>291.65100000000001</v>
      </c>
    </row>
    <row r="15374" spans="1:3">
      <c r="A15374" s="571" t="s">
        <v>2256</v>
      </c>
      <c r="B15374" s="572">
        <v>0</v>
      </c>
      <c r="C15374" s="572">
        <v>5.6800000000000002E-14</v>
      </c>
    </row>
    <row r="15375" spans="1:3">
      <c r="A15375" s="571" t="s">
        <v>2256</v>
      </c>
      <c r="B15375" s="572">
        <v>6.4652999999999992</v>
      </c>
      <c r="C15375" s="572">
        <v>129.846</v>
      </c>
    </row>
    <row r="15376" spans="1:3">
      <c r="A15376" s="571" t="s">
        <v>2256</v>
      </c>
      <c r="B15376" s="572">
        <v>13.028700000000001</v>
      </c>
      <c r="C15376" s="572">
        <v>185.88499999999999</v>
      </c>
    </row>
    <row r="15377" spans="1:3">
      <c r="A15377" s="571" t="s">
        <v>2256</v>
      </c>
      <c r="B15377" s="572">
        <v>19.930299999999999</v>
      </c>
      <c r="C15377" s="572">
        <v>209.785</v>
      </c>
    </row>
    <row r="15378" spans="1:3">
      <c r="A15378" s="571" t="s">
        <v>2256</v>
      </c>
      <c r="B15378" s="572">
        <v>27.013300000000001</v>
      </c>
      <c r="C15378" s="572">
        <v>239.63900000000001</v>
      </c>
    </row>
    <row r="15379" spans="1:3">
      <c r="A15379" s="571" t="s">
        <v>2256</v>
      </c>
      <c r="B15379" s="572">
        <v>33.885399999999997</v>
      </c>
      <c r="C15379" s="572">
        <v>270.68099999999998</v>
      </c>
    </row>
    <row r="15380" spans="1:3">
      <c r="A15380" s="571" t="s">
        <v>2256</v>
      </c>
      <c r="B15380" s="572">
        <v>40.385100000000001</v>
      </c>
      <c r="C15380" s="572">
        <v>292.19499999999999</v>
      </c>
    </row>
    <row r="15381" spans="1:3">
      <c r="A15381" s="571" t="s">
        <v>2256</v>
      </c>
      <c r="B15381" s="572">
        <v>47.806199999999997</v>
      </c>
      <c r="C15381" s="572">
        <v>289.911</v>
      </c>
    </row>
    <row r="15382" spans="1:3">
      <c r="A15382" s="571" t="s">
        <v>2256</v>
      </c>
      <c r="B15382" s="572">
        <v>54.575499999999998</v>
      </c>
      <c r="C15382" s="572">
        <v>295.952</v>
      </c>
    </row>
    <row r="15383" spans="1:3">
      <c r="A15383" s="571" t="s">
        <v>2256</v>
      </c>
      <c r="B15383" s="572">
        <v>61.5702</v>
      </c>
      <c r="C15383" s="572">
        <v>297.23399999999998</v>
      </c>
    </row>
    <row r="15384" spans="1:3">
      <c r="A15384" s="571" t="s">
        <v>2256</v>
      </c>
      <c r="B15384" s="572">
        <v>68.260999999999996</v>
      </c>
      <c r="C15384" s="572">
        <v>322.322</v>
      </c>
    </row>
    <row r="15385" spans="1:3">
      <c r="A15385" s="571" t="s">
        <v>2256</v>
      </c>
      <c r="B15385" s="572">
        <v>75.250799999999998</v>
      </c>
      <c r="C15385" s="572">
        <v>324.79399999999998</v>
      </c>
    </row>
    <row r="15386" spans="1:3">
      <c r="A15386" s="571" t="s">
        <v>2256</v>
      </c>
      <c r="B15386" s="572">
        <v>82.221100000000007</v>
      </c>
      <c r="C15386" s="572">
        <v>332.02800000000002</v>
      </c>
    </row>
    <row r="15387" spans="1:3">
      <c r="A15387" s="571" t="s">
        <v>2256</v>
      </c>
      <c r="B15387" s="572">
        <v>89.382400000000004</v>
      </c>
      <c r="C15387" s="572">
        <v>342.83600000000001</v>
      </c>
    </row>
    <row r="15388" spans="1:3">
      <c r="A15388" s="571" t="s">
        <v>2257</v>
      </c>
      <c r="B15388" s="572">
        <v>0</v>
      </c>
      <c r="C15388" s="572">
        <v>0</v>
      </c>
    </row>
    <row r="15389" spans="1:3">
      <c r="A15389" s="571" t="s">
        <v>2257</v>
      </c>
      <c r="B15389" s="572">
        <v>7.2494999999999994</v>
      </c>
      <c r="C15389" s="572">
        <v>131.804</v>
      </c>
    </row>
    <row r="15390" spans="1:3">
      <c r="A15390" s="571" t="s">
        <v>2257</v>
      </c>
      <c r="B15390" s="572">
        <v>13.926600000000001</v>
      </c>
      <c r="C15390" s="572">
        <v>177.01599999999999</v>
      </c>
    </row>
    <row r="15391" spans="1:3">
      <c r="A15391" s="571" t="s">
        <v>2257</v>
      </c>
      <c r="B15391" s="572">
        <v>20.985299999999999</v>
      </c>
      <c r="C15391" s="572">
        <v>192.964</v>
      </c>
    </row>
    <row r="15392" spans="1:3">
      <c r="A15392" s="571" t="s">
        <v>2257</v>
      </c>
      <c r="B15392" s="572">
        <v>28.043999999999997</v>
      </c>
      <c r="C15392" s="572">
        <v>228.42500000000001</v>
      </c>
    </row>
    <row r="15393" spans="1:3">
      <c r="A15393" s="571" t="s">
        <v>2257</v>
      </c>
      <c r="B15393" s="572">
        <v>34.911900000000003</v>
      </c>
      <c r="C15393" s="572">
        <v>233.39500000000001</v>
      </c>
    </row>
    <row r="15394" spans="1:3">
      <c r="A15394" s="571" t="s">
        <v>2257</v>
      </c>
      <c r="B15394" s="572">
        <v>41.779899999999998</v>
      </c>
      <c r="C15394" s="572">
        <v>242.023</v>
      </c>
    </row>
    <row r="15395" spans="1:3">
      <c r="A15395" s="571" t="s">
        <v>2257</v>
      </c>
      <c r="B15395" s="572">
        <v>48.8386</v>
      </c>
      <c r="C15395" s="572">
        <v>249.435</v>
      </c>
    </row>
    <row r="15396" spans="1:3">
      <c r="A15396" s="571" t="s">
        <v>2257</v>
      </c>
      <c r="B15396" s="572">
        <v>56.088099999999997</v>
      </c>
      <c r="C15396" s="572">
        <v>249.53200000000001</v>
      </c>
    </row>
    <row r="15397" spans="1:3">
      <c r="A15397" s="571" t="s">
        <v>2257</v>
      </c>
      <c r="B15397" s="572">
        <v>63.146799999999999</v>
      </c>
      <c r="C15397" s="572">
        <v>275.23599999999999</v>
      </c>
    </row>
    <row r="15398" spans="1:3">
      <c r="A15398" s="571" t="s">
        <v>2257</v>
      </c>
      <c r="B15398" s="572">
        <v>69.823899999999995</v>
      </c>
      <c r="C15398" s="572">
        <v>275.32600000000002</v>
      </c>
    </row>
    <row r="15399" spans="1:3">
      <c r="A15399" s="571" t="s">
        <v>2257</v>
      </c>
      <c r="B15399" s="572">
        <v>76.882599999999996</v>
      </c>
      <c r="C15399" s="572">
        <v>291.274</v>
      </c>
    </row>
    <row r="15400" spans="1:3">
      <c r="A15400" s="571" t="s">
        <v>2257</v>
      </c>
      <c r="B15400" s="572">
        <v>83.750500000000002</v>
      </c>
      <c r="C15400" s="572">
        <v>295.02499999999998</v>
      </c>
    </row>
    <row r="15401" spans="1:3">
      <c r="A15401" s="571" t="s">
        <v>2257</v>
      </c>
      <c r="B15401" s="572">
        <v>90.809200000000004</v>
      </c>
      <c r="C15401" s="572">
        <v>298.77800000000002</v>
      </c>
    </row>
    <row r="15402" spans="1:3">
      <c r="A15402" s="571" t="s">
        <v>2258</v>
      </c>
      <c r="B15402" s="572">
        <v>0.19078000000000017</v>
      </c>
      <c r="C15402" s="572">
        <v>2.4691399999999999</v>
      </c>
    </row>
    <row r="15403" spans="1:3">
      <c r="A15403" s="571" t="s">
        <v>2258</v>
      </c>
      <c r="B15403" s="572">
        <v>6.8679000000000006</v>
      </c>
      <c r="C15403" s="572">
        <v>143.21</v>
      </c>
    </row>
    <row r="15404" spans="1:3">
      <c r="A15404" s="571" t="s">
        <v>2258</v>
      </c>
      <c r="B15404" s="572">
        <v>14.1174</v>
      </c>
      <c r="C15404" s="572">
        <v>219.75299999999999</v>
      </c>
    </row>
    <row r="15405" spans="1:3">
      <c r="A15405" s="571" t="s">
        <v>2258</v>
      </c>
      <c r="B15405" s="572">
        <v>21.176100000000002</v>
      </c>
      <c r="C15405" s="572">
        <v>240.74100000000001</v>
      </c>
    </row>
    <row r="15406" spans="1:3">
      <c r="A15406" s="571" t="s">
        <v>2258</v>
      </c>
      <c r="B15406" s="572">
        <v>28.043999999999997</v>
      </c>
      <c r="C15406" s="572">
        <v>260.49400000000003</v>
      </c>
    </row>
    <row r="15407" spans="1:3">
      <c r="A15407" s="571" t="s">
        <v>2258</v>
      </c>
      <c r="B15407" s="572">
        <v>35.102699999999999</v>
      </c>
      <c r="C15407" s="572">
        <v>276.54300000000001</v>
      </c>
    </row>
    <row r="15408" spans="1:3">
      <c r="A15408" s="571" t="s">
        <v>2258</v>
      </c>
      <c r="B15408" s="572">
        <v>41.779899999999998</v>
      </c>
      <c r="C15408" s="572">
        <v>293.827</v>
      </c>
    </row>
    <row r="15409" spans="1:3">
      <c r="A15409" s="571" t="s">
        <v>2258</v>
      </c>
      <c r="B15409" s="572">
        <v>48.8386</v>
      </c>
      <c r="C15409" s="572">
        <v>286.42</v>
      </c>
    </row>
    <row r="15410" spans="1:3">
      <c r="A15410" s="571" t="s">
        <v>2258</v>
      </c>
      <c r="B15410" s="572">
        <v>55.897300000000001</v>
      </c>
      <c r="C15410" s="572">
        <v>302.46899999999999</v>
      </c>
    </row>
    <row r="15411" spans="1:3">
      <c r="A15411" s="571" t="s">
        <v>2258</v>
      </c>
      <c r="B15411" s="572">
        <v>62.956000000000003</v>
      </c>
      <c r="C15411" s="572">
        <v>302.46899999999999</v>
      </c>
    </row>
    <row r="15412" spans="1:3">
      <c r="A15412" s="571" t="s">
        <v>2258</v>
      </c>
      <c r="B15412" s="572">
        <v>69.823899999999995</v>
      </c>
      <c r="C15412" s="572">
        <v>330.86399999999998</v>
      </c>
    </row>
    <row r="15413" spans="1:3">
      <c r="A15413" s="571" t="s">
        <v>2258</v>
      </c>
      <c r="B15413" s="572">
        <v>77.073400000000007</v>
      </c>
      <c r="C15413" s="572">
        <v>328.39499999999998</v>
      </c>
    </row>
    <row r="15414" spans="1:3">
      <c r="A15414" s="571" t="s">
        <v>2258</v>
      </c>
      <c r="B15414" s="572">
        <v>83.941299999999998</v>
      </c>
      <c r="C15414" s="572">
        <v>348.14800000000002</v>
      </c>
    </row>
    <row r="15415" spans="1:3">
      <c r="A15415" s="571" t="s">
        <v>2258</v>
      </c>
      <c r="B15415" s="572">
        <v>90.809200000000004</v>
      </c>
      <c r="C15415" s="572">
        <v>350.61700000000002</v>
      </c>
    </row>
    <row r="15416" spans="1:3">
      <c r="A15416" s="48" t="s">
        <v>2259</v>
      </c>
      <c r="B15416" s="549">
        <v>-2.3299999999997212E-3</v>
      </c>
      <c r="C15416" s="549">
        <v>1.2195400000000001</v>
      </c>
    </row>
    <row r="15417" spans="1:3">
      <c r="A15417" s="571" t="s">
        <v>2259</v>
      </c>
      <c r="B15417" s="572">
        <v>7.3371999999999993</v>
      </c>
      <c r="C15417" s="572">
        <v>137.90299999999999</v>
      </c>
    </row>
    <row r="15418" spans="1:3">
      <c r="A15418" s="571" t="s">
        <v>2259</v>
      </c>
      <c r="B15418" s="572">
        <v>14.3293</v>
      </c>
      <c r="C15418" s="572">
        <v>195.31399999999999</v>
      </c>
    </row>
    <row r="15419" spans="1:3">
      <c r="A15419" s="571" t="s">
        <v>2259</v>
      </c>
      <c r="B15419" s="572">
        <v>21.069600000000001</v>
      </c>
      <c r="C15419" s="572">
        <v>221.01400000000001</v>
      </c>
    </row>
    <row r="15420" spans="1:3">
      <c r="A15420" s="571" t="s">
        <v>2259</v>
      </c>
      <c r="B15420" s="572">
        <v>28.572299999999998</v>
      </c>
      <c r="C15420" s="572">
        <v>245.505</v>
      </c>
    </row>
    <row r="15421" spans="1:3">
      <c r="A15421" s="571" t="s">
        <v>2259</v>
      </c>
      <c r="B15421" s="572">
        <v>35.2986</v>
      </c>
      <c r="C15421" s="572">
        <v>263.88799999999998</v>
      </c>
    </row>
    <row r="15422" spans="1:3">
      <c r="A15422" s="571" t="s">
        <v>2259</v>
      </c>
      <c r="B15422" s="572">
        <v>42.586799999999997</v>
      </c>
      <c r="C15422" s="572">
        <v>276.18</v>
      </c>
    </row>
    <row r="15423" spans="1:3">
      <c r="A15423" s="571" t="s">
        <v>2259</v>
      </c>
      <c r="B15423" s="572">
        <v>49.275799999999997</v>
      </c>
      <c r="C15423" s="572">
        <v>275.05099999999999</v>
      </c>
    </row>
    <row r="15424" spans="1:3">
      <c r="A15424" s="571" t="s">
        <v>2259</v>
      </c>
      <c r="B15424" s="572">
        <v>56.564</v>
      </c>
      <c r="C15424" s="572">
        <v>287.34300000000002</v>
      </c>
    </row>
    <row r="15425" spans="1:3">
      <c r="A15425" s="571" t="s">
        <v>2259</v>
      </c>
      <c r="B15425" s="572">
        <v>63.831299999999999</v>
      </c>
      <c r="C15425" s="572">
        <v>288.66000000000003</v>
      </c>
    </row>
    <row r="15426" spans="1:3">
      <c r="A15426" s="571" t="s">
        <v>2259</v>
      </c>
      <c r="B15426" s="572">
        <v>70.753399999999999</v>
      </c>
      <c r="C15426" s="572">
        <v>309.48500000000001</v>
      </c>
    </row>
    <row r="15427" spans="1:3">
      <c r="A15427" s="571" t="s">
        <v>2259</v>
      </c>
      <c r="B15427" s="572">
        <v>77.813100000000006</v>
      </c>
      <c r="C15427" s="572">
        <v>302.262</v>
      </c>
    </row>
    <row r="15428" spans="1:3">
      <c r="A15428" s="571" t="s">
        <v>2259</v>
      </c>
      <c r="B15428" s="572">
        <v>84.7423</v>
      </c>
      <c r="C15428" s="572">
        <v>326.745</v>
      </c>
    </row>
    <row r="15429" spans="1:3">
      <c r="A15429" s="571" t="s">
        <v>2259</v>
      </c>
      <c r="B15429" s="572">
        <v>91.664500000000004</v>
      </c>
      <c r="C15429" s="572">
        <v>347.57</v>
      </c>
    </row>
    <row r="15430" spans="1:3">
      <c r="A15430" s="571" t="s">
        <v>420</v>
      </c>
      <c r="B15430" s="572">
        <v>1</v>
      </c>
      <c r="C15430" s="572">
        <v>78</v>
      </c>
    </row>
    <row r="15431" spans="1:3">
      <c r="A15431" s="571" t="s">
        <v>420</v>
      </c>
      <c r="B15431" s="572">
        <v>3</v>
      </c>
      <c r="C15431" s="572">
        <v>118</v>
      </c>
    </row>
    <row r="15432" spans="1:3">
      <c r="A15432" s="571" t="s">
        <v>420</v>
      </c>
      <c r="B15432" s="572">
        <v>7</v>
      </c>
      <c r="C15432" s="572">
        <v>177</v>
      </c>
    </row>
    <row r="15433" spans="1:3">
      <c r="A15433" s="571" t="s">
        <v>420</v>
      </c>
      <c r="B15433" s="572">
        <v>14</v>
      </c>
      <c r="C15433" s="572">
        <v>272</v>
      </c>
    </row>
    <row r="15434" spans="1:3">
      <c r="A15434" s="571" t="s">
        <v>420</v>
      </c>
      <c r="B15434" s="572">
        <v>28</v>
      </c>
      <c r="C15434" s="572">
        <v>364</v>
      </c>
    </row>
    <row r="15435" spans="1:3">
      <c r="A15435" s="571" t="s">
        <v>420</v>
      </c>
      <c r="B15435" s="572">
        <v>56</v>
      </c>
      <c r="C15435" s="572">
        <v>458</v>
      </c>
    </row>
    <row r="15436" spans="1:3">
      <c r="A15436" s="571" t="s">
        <v>420</v>
      </c>
      <c r="B15436" s="572">
        <v>90</v>
      </c>
      <c r="C15436" s="572">
        <v>486</v>
      </c>
    </row>
    <row r="15437" spans="1:3">
      <c r="A15437" s="573" t="s">
        <v>420</v>
      </c>
      <c r="B15437" s="574">
        <v>180</v>
      </c>
      <c r="C15437" s="574">
        <v>500</v>
      </c>
    </row>
    <row r="15438" spans="1:3">
      <c r="A15438" s="571" t="s">
        <v>421</v>
      </c>
      <c r="B15438" s="572">
        <v>1</v>
      </c>
      <c r="C15438" s="572">
        <v>72</v>
      </c>
    </row>
    <row r="15439" spans="1:3">
      <c r="A15439" s="571" t="s">
        <v>421</v>
      </c>
      <c r="B15439" s="572">
        <v>3</v>
      </c>
      <c r="C15439" s="572">
        <v>101</v>
      </c>
    </row>
    <row r="15440" spans="1:3">
      <c r="A15440" s="571" t="s">
        <v>421</v>
      </c>
      <c r="B15440" s="572">
        <v>7</v>
      </c>
      <c r="C15440" s="572">
        <v>170</v>
      </c>
    </row>
    <row r="15441" spans="1:3">
      <c r="A15441" s="571" t="s">
        <v>421</v>
      </c>
      <c r="B15441" s="572">
        <v>14</v>
      </c>
      <c r="C15441" s="572">
        <v>235</v>
      </c>
    </row>
    <row r="15442" spans="1:3">
      <c r="A15442" s="571" t="s">
        <v>421</v>
      </c>
      <c r="B15442" s="572">
        <v>28</v>
      </c>
      <c r="C15442" s="572">
        <v>317</v>
      </c>
    </row>
    <row r="15443" spans="1:3">
      <c r="A15443" s="571" t="s">
        <v>421</v>
      </c>
      <c r="B15443" s="572">
        <v>56</v>
      </c>
      <c r="C15443" s="572">
        <v>404</v>
      </c>
    </row>
    <row r="15444" spans="1:3">
      <c r="A15444" s="571" t="s">
        <v>421</v>
      </c>
      <c r="B15444" s="572">
        <v>90</v>
      </c>
      <c r="C15444" s="572">
        <v>445</v>
      </c>
    </row>
    <row r="15445" spans="1:3">
      <c r="A15445" s="573" t="s">
        <v>421</v>
      </c>
      <c r="B15445" s="574">
        <v>180</v>
      </c>
      <c r="C15445" s="574">
        <v>475</v>
      </c>
    </row>
    <row r="15446" spans="1:3">
      <c r="A15446" s="571" t="s">
        <v>422</v>
      </c>
      <c r="B15446" s="572">
        <v>1</v>
      </c>
      <c r="C15446" s="572">
        <v>69</v>
      </c>
    </row>
    <row r="15447" spans="1:3">
      <c r="A15447" s="571" t="s">
        <v>422</v>
      </c>
      <c r="B15447" s="572">
        <v>3</v>
      </c>
      <c r="C15447" s="572">
        <v>102</v>
      </c>
    </row>
    <row r="15448" spans="1:3">
      <c r="A15448" s="571" t="s">
        <v>422</v>
      </c>
      <c r="B15448" s="572">
        <v>7</v>
      </c>
      <c r="C15448" s="572">
        <v>215</v>
      </c>
    </row>
    <row r="15449" spans="1:3">
      <c r="A15449" s="571" t="s">
        <v>422</v>
      </c>
      <c r="B15449" s="572">
        <v>14</v>
      </c>
      <c r="C15449" s="572">
        <v>282</v>
      </c>
    </row>
    <row r="15450" spans="1:3">
      <c r="A15450" s="571" t="s">
        <v>422</v>
      </c>
      <c r="B15450" s="572">
        <v>28</v>
      </c>
      <c r="C15450" s="572">
        <v>333</v>
      </c>
    </row>
    <row r="15451" spans="1:3">
      <c r="A15451" s="571" t="s">
        <v>422</v>
      </c>
      <c r="B15451" s="572">
        <v>56</v>
      </c>
      <c r="C15451" s="572">
        <v>423</v>
      </c>
    </row>
    <row r="15452" spans="1:3">
      <c r="A15452" s="571" t="s">
        <v>422</v>
      </c>
      <c r="B15452" s="572">
        <v>90</v>
      </c>
      <c r="C15452" s="572">
        <v>485</v>
      </c>
    </row>
    <row r="15453" spans="1:3">
      <c r="A15453" s="573" t="s">
        <v>422</v>
      </c>
      <c r="B15453" s="574">
        <v>180</v>
      </c>
      <c r="C15453" s="574">
        <v>498</v>
      </c>
    </row>
    <row r="15454" spans="1:3">
      <c r="A15454" s="571" t="s">
        <v>423</v>
      </c>
      <c r="B15454" s="572">
        <v>1</v>
      </c>
      <c r="C15454" s="572">
        <v>82</v>
      </c>
    </row>
    <row r="15455" spans="1:3">
      <c r="A15455" s="571" t="s">
        <v>423</v>
      </c>
      <c r="B15455" s="572">
        <v>3</v>
      </c>
      <c r="C15455" s="572">
        <v>123</v>
      </c>
    </row>
    <row r="15456" spans="1:3">
      <c r="A15456" s="571" t="s">
        <v>423</v>
      </c>
      <c r="B15456" s="572">
        <v>7</v>
      </c>
      <c r="C15456" s="572">
        <v>223</v>
      </c>
    </row>
    <row r="15457" spans="1:3">
      <c r="A15457" s="571" t="s">
        <v>423</v>
      </c>
      <c r="B15457" s="572">
        <v>14</v>
      </c>
      <c r="C15457" s="572">
        <v>297</v>
      </c>
    </row>
    <row r="15458" spans="1:3">
      <c r="A15458" s="571" t="s">
        <v>423</v>
      </c>
      <c r="B15458" s="572">
        <v>28</v>
      </c>
      <c r="C15458" s="572">
        <v>354</v>
      </c>
    </row>
    <row r="15459" spans="1:3">
      <c r="A15459" s="571" t="s">
        <v>423</v>
      </c>
      <c r="B15459" s="572">
        <v>56</v>
      </c>
      <c r="C15459" s="572">
        <v>448</v>
      </c>
    </row>
    <row r="15460" spans="1:3">
      <c r="A15460" s="571" t="s">
        <v>423</v>
      </c>
      <c r="B15460" s="572">
        <v>90</v>
      </c>
      <c r="C15460" s="572">
        <v>501</v>
      </c>
    </row>
    <row r="15461" spans="1:3">
      <c r="A15461" s="573" t="s">
        <v>423</v>
      </c>
      <c r="B15461" s="574">
        <v>180</v>
      </c>
      <c r="C15461" s="574">
        <v>522</v>
      </c>
    </row>
    <row r="15462" spans="1:3">
      <c r="A15462" s="571" t="s">
        <v>2260</v>
      </c>
      <c r="B15462" s="572">
        <v>1</v>
      </c>
      <c r="C15462" s="572">
        <v>95</v>
      </c>
    </row>
    <row r="15463" spans="1:3">
      <c r="A15463" s="571" t="s">
        <v>2260</v>
      </c>
      <c r="B15463" s="572">
        <v>3</v>
      </c>
      <c r="C15463" s="572">
        <v>125</v>
      </c>
    </row>
    <row r="15464" spans="1:3">
      <c r="A15464" s="571" t="s">
        <v>2260</v>
      </c>
      <c r="B15464" s="572">
        <v>7</v>
      </c>
      <c r="C15464" s="572">
        <v>203</v>
      </c>
    </row>
    <row r="15465" spans="1:3">
      <c r="A15465" s="571" t="s">
        <v>2260</v>
      </c>
      <c r="B15465" s="572">
        <v>14</v>
      </c>
      <c r="C15465" s="572">
        <v>273</v>
      </c>
    </row>
    <row r="15466" spans="1:3">
      <c r="A15466" s="571" t="s">
        <v>2260</v>
      </c>
      <c r="B15466" s="572">
        <v>28</v>
      </c>
      <c r="C15466" s="572">
        <v>337</v>
      </c>
    </row>
    <row r="15467" spans="1:3">
      <c r="A15467" s="571" t="s">
        <v>2260</v>
      </c>
      <c r="B15467" s="572">
        <v>56</v>
      </c>
      <c r="C15467" s="572">
        <v>417</v>
      </c>
    </row>
    <row r="15468" spans="1:3">
      <c r="A15468" s="571" t="s">
        <v>2260</v>
      </c>
      <c r="B15468" s="572">
        <v>90</v>
      </c>
      <c r="C15468" s="572">
        <v>480</v>
      </c>
    </row>
    <row r="15469" spans="1:3">
      <c r="A15469" s="573" t="s">
        <v>2260</v>
      </c>
      <c r="B15469" s="574">
        <v>180</v>
      </c>
      <c r="C15469" s="574">
        <v>490</v>
      </c>
    </row>
    <row r="15470" spans="1:3">
      <c r="A15470" s="571" t="s">
        <v>2261</v>
      </c>
      <c r="B15470" s="572">
        <v>1</v>
      </c>
      <c r="C15470" s="572">
        <v>95</v>
      </c>
    </row>
    <row r="15471" spans="1:3">
      <c r="A15471" s="571" t="s">
        <v>2261</v>
      </c>
      <c r="B15471" s="572">
        <v>3</v>
      </c>
      <c r="C15471" s="572">
        <v>120</v>
      </c>
    </row>
    <row r="15472" spans="1:3">
      <c r="A15472" s="571" t="s">
        <v>2261</v>
      </c>
      <c r="B15472" s="572">
        <v>7</v>
      </c>
      <c r="C15472" s="572">
        <v>186</v>
      </c>
    </row>
    <row r="15473" spans="1:3">
      <c r="A15473" s="571" t="s">
        <v>2261</v>
      </c>
      <c r="B15473" s="572">
        <v>14</v>
      </c>
      <c r="C15473" s="572">
        <v>271</v>
      </c>
    </row>
    <row r="15474" spans="1:3">
      <c r="A15474" s="571" t="s">
        <v>2261</v>
      </c>
      <c r="B15474" s="572">
        <v>28</v>
      </c>
      <c r="C15474" s="572">
        <v>335</v>
      </c>
    </row>
    <row r="15475" spans="1:3">
      <c r="A15475" s="571" t="s">
        <v>2261</v>
      </c>
      <c r="B15475" s="572">
        <v>56</v>
      </c>
      <c r="C15475" s="572">
        <v>411</v>
      </c>
    </row>
    <row r="15476" spans="1:3">
      <c r="A15476" s="571" t="s">
        <v>2261</v>
      </c>
      <c r="B15476" s="572">
        <v>90</v>
      </c>
      <c r="C15476" s="572">
        <v>459</v>
      </c>
    </row>
    <row r="15477" spans="1:3">
      <c r="A15477" s="573" t="s">
        <v>2261</v>
      </c>
      <c r="B15477" s="574">
        <v>180</v>
      </c>
      <c r="C15477" s="574">
        <v>470</v>
      </c>
    </row>
    <row r="15478" spans="1:3">
      <c r="A15478" s="571" t="s">
        <v>2262</v>
      </c>
      <c r="B15478" s="572">
        <v>1</v>
      </c>
      <c r="C15478" s="572">
        <v>63</v>
      </c>
    </row>
    <row r="15479" spans="1:3">
      <c r="A15479" s="571" t="s">
        <v>2262</v>
      </c>
      <c r="B15479" s="572">
        <v>3</v>
      </c>
      <c r="C15479" s="572">
        <v>85</v>
      </c>
    </row>
    <row r="15480" spans="1:3">
      <c r="A15480" s="571" t="s">
        <v>2262</v>
      </c>
      <c r="B15480" s="572">
        <v>7</v>
      </c>
      <c r="C15480" s="572">
        <v>203</v>
      </c>
    </row>
    <row r="15481" spans="1:3">
      <c r="A15481" s="571" t="s">
        <v>2262</v>
      </c>
      <c r="B15481" s="572">
        <v>14</v>
      </c>
      <c r="C15481" s="572">
        <v>271</v>
      </c>
    </row>
    <row r="15482" spans="1:3">
      <c r="A15482" s="571" t="s">
        <v>2262</v>
      </c>
      <c r="B15482" s="572">
        <v>28</v>
      </c>
      <c r="C15482" s="572">
        <v>319</v>
      </c>
    </row>
    <row r="15483" spans="1:3">
      <c r="A15483" s="571" t="s">
        <v>2262</v>
      </c>
      <c r="B15483" s="572">
        <v>56</v>
      </c>
      <c r="C15483" s="572">
        <v>409</v>
      </c>
    </row>
    <row r="15484" spans="1:3">
      <c r="A15484" s="571" t="s">
        <v>2262</v>
      </c>
      <c r="B15484" s="572">
        <v>90</v>
      </c>
      <c r="C15484" s="572">
        <v>468</v>
      </c>
    </row>
    <row r="15485" spans="1:3">
      <c r="A15485" s="573" t="s">
        <v>2262</v>
      </c>
      <c r="B15485" s="574">
        <v>180</v>
      </c>
      <c r="C15485" s="574">
        <v>496</v>
      </c>
    </row>
    <row r="15486" spans="1:3">
      <c r="A15486" s="571" t="s">
        <v>2263</v>
      </c>
      <c r="B15486" s="572">
        <v>1</v>
      </c>
      <c r="C15486" s="572">
        <v>64</v>
      </c>
    </row>
    <row r="15487" spans="1:3">
      <c r="A15487" s="571" t="s">
        <v>2263</v>
      </c>
      <c r="B15487" s="572">
        <v>3</v>
      </c>
      <c r="C15487" s="572">
        <v>89</v>
      </c>
    </row>
    <row r="15488" spans="1:3">
      <c r="A15488" s="571" t="s">
        <v>2263</v>
      </c>
      <c r="B15488" s="572">
        <v>7</v>
      </c>
      <c r="C15488" s="572">
        <v>207</v>
      </c>
    </row>
    <row r="15489" spans="1:3">
      <c r="A15489" s="571" t="s">
        <v>2263</v>
      </c>
      <c r="B15489" s="572">
        <v>14</v>
      </c>
      <c r="C15489" s="572">
        <v>282</v>
      </c>
    </row>
    <row r="15490" spans="1:3">
      <c r="A15490" s="571" t="s">
        <v>2263</v>
      </c>
      <c r="B15490" s="572">
        <v>28</v>
      </c>
      <c r="C15490" s="572">
        <v>341</v>
      </c>
    </row>
    <row r="15491" spans="1:3">
      <c r="A15491" s="571" t="s">
        <v>2263</v>
      </c>
      <c r="B15491" s="572">
        <v>56</v>
      </c>
      <c r="C15491" s="572">
        <v>433</v>
      </c>
    </row>
    <row r="15492" spans="1:3">
      <c r="A15492" s="571" t="s">
        <v>2263</v>
      </c>
      <c r="B15492" s="572">
        <v>90</v>
      </c>
      <c r="C15492" s="572">
        <v>488</v>
      </c>
    </row>
    <row r="15493" spans="1:3">
      <c r="A15493" s="573" t="s">
        <v>2263</v>
      </c>
      <c r="B15493" s="574">
        <v>180</v>
      </c>
      <c r="C15493" s="574">
        <v>518</v>
      </c>
    </row>
    <row r="15494" spans="1:3">
      <c r="A15494" s="571" t="s">
        <v>2264</v>
      </c>
      <c r="B15494" s="572">
        <v>8.0958330000000002E-3</v>
      </c>
      <c r="C15494" s="572">
        <v>1.5777300000000001</v>
      </c>
    </row>
    <row r="15495" spans="1:3">
      <c r="A15495" s="571" t="s">
        <v>2264</v>
      </c>
      <c r="B15495" s="572">
        <v>4.0349333000000001E-2</v>
      </c>
      <c r="C15495" s="572">
        <v>9.4676200000000001</v>
      </c>
    </row>
    <row r="15496" spans="1:3">
      <c r="A15496" s="571" t="s">
        <v>2264</v>
      </c>
      <c r="B15496" s="572">
        <v>7.3035832999999994E-2</v>
      </c>
      <c r="C15496" s="572">
        <v>12.0943</v>
      </c>
    </row>
    <row r="15497" spans="1:3">
      <c r="A15497" s="571" t="s">
        <v>2264</v>
      </c>
      <c r="B15497" s="572">
        <v>0.105549167</v>
      </c>
      <c r="C15497" s="572">
        <v>16.8262</v>
      </c>
    </row>
    <row r="15498" spans="1:3">
      <c r="A15498" s="571" t="s">
        <v>2264</v>
      </c>
      <c r="B15498" s="572">
        <v>0.12979333300000001</v>
      </c>
      <c r="C15498" s="572">
        <v>22.085699999999999</v>
      </c>
    </row>
    <row r="15499" spans="1:3">
      <c r="A15499" s="571" t="s">
        <v>2264</v>
      </c>
      <c r="B15499" s="572">
        <v>0.154080833</v>
      </c>
      <c r="C15499" s="572">
        <v>26.818899999999999</v>
      </c>
    </row>
    <row r="15500" spans="1:3">
      <c r="A15500" s="571" t="s">
        <v>2264</v>
      </c>
      <c r="B15500" s="572">
        <v>0.17832500000000001</v>
      </c>
      <c r="C15500" s="572">
        <v>32.078400000000002</v>
      </c>
    </row>
    <row r="15501" spans="1:3">
      <c r="A15501" s="571" t="s">
        <v>2264</v>
      </c>
      <c r="B15501" s="572">
        <v>0.2026125</v>
      </c>
      <c r="C15501" s="572">
        <v>36.811599999999999</v>
      </c>
    </row>
    <row r="15502" spans="1:3">
      <c r="A15502" s="571" t="s">
        <v>2264</v>
      </c>
      <c r="B15502" s="572">
        <v>0.21880416699999999</v>
      </c>
      <c r="C15502" s="572">
        <v>39.967100000000002</v>
      </c>
    </row>
    <row r="15503" spans="1:3">
      <c r="A15503" s="571" t="s">
        <v>2264</v>
      </c>
      <c r="B15503" s="572">
        <v>0.28448000000000001</v>
      </c>
      <c r="C15503" s="572">
        <v>41.536200000000001</v>
      </c>
    </row>
    <row r="15504" spans="1:3">
      <c r="A15504" s="571" t="s">
        <v>2264</v>
      </c>
      <c r="B15504" s="572">
        <v>0.35050208300000002</v>
      </c>
      <c r="C15504" s="572">
        <v>38.8947</v>
      </c>
    </row>
    <row r="15505" spans="1:3">
      <c r="A15505" s="571" t="s">
        <v>2264</v>
      </c>
      <c r="B15505" s="572">
        <v>0.41661083300000001</v>
      </c>
      <c r="C15505" s="572">
        <v>35.200499999999998</v>
      </c>
    </row>
    <row r="15506" spans="1:3">
      <c r="A15506" s="571" t="s">
        <v>2264</v>
      </c>
      <c r="B15506" s="572">
        <v>0.482591667</v>
      </c>
      <c r="C15506" s="572">
        <v>33.085299999999997</v>
      </c>
    </row>
    <row r="15507" spans="1:3">
      <c r="A15507" s="571" t="s">
        <v>2264</v>
      </c>
      <c r="B15507" s="572">
        <v>0.55683749999999999</v>
      </c>
      <c r="C15507" s="572">
        <v>30.442599999999999</v>
      </c>
    </row>
    <row r="15508" spans="1:3">
      <c r="A15508" s="571" t="s">
        <v>2264</v>
      </c>
      <c r="B15508" s="572">
        <v>0.62285833300000004</v>
      </c>
      <c r="C15508" s="572">
        <v>27.801100000000002</v>
      </c>
    </row>
    <row r="15509" spans="1:3">
      <c r="A15509" s="571" t="s">
        <v>2264</v>
      </c>
      <c r="B15509" s="572">
        <v>0.68061249999999995</v>
      </c>
      <c r="C15509" s="572">
        <v>25.687100000000001</v>
      </c>
    </row>
    <row r="15510" spans="1:3">
      <c r="A15510" s="571" t="s">
        <v>2264</v>
      </c>
      <c r="B15510" s="572">
        <v>0.72204583300000003</v>
      </c>
      <c r="C15510" s="572">
        <v>21.996700000000001</v>
      </c>
    </row>
    <row r="15511" spans="1:3">
      <c r="A15511" s="571" t="s">
        <v>2264</v>
      </c>
      <c r="B15511" s="572">
        <v>0.77980000000000005</v>
      </c>
      <c r="C15511" s="572">
        <v>19.8827</v>
      </c>
    </row>
    <row r="15512" spans="1:3">
      <c r="A15512" s="571" t="s">
        <v>2264</v>
      </c>
      <c r="B15512" s="572">
        <v>0.84586249999999996</v>
      </c>
      <c r="C15512" s="572">
        <v>16.7149</v>
      </c>
    </row>
    <row r="15513" spans="1:3">
      <c r="A15513" s="571" t="s">
        <v>2264</v>
      </c>
      <c r="B15513" s="572">
        <v>0.91180000000000005</v>
      </c>
      <c r="C15513" s="572">
        <v>15.125999999999999</v>
      </c>
    </row>
    <row r="15514" spans="1:3">
      <c r="A15514" s="571" t="s">
        <v>2264</v>
      </c>
      <c r="B15514" s="572">
        <v>0.977779167</v>
      </c>
      <c r="C15514" s="572">
        <v>13.010899999999999</v>
      </c>
    </row>
    <row r="15515" spans="1:3">
      <c r="A15515" s="571" t="s">
        <v>2264</v>
      </c>
      <c r="B15515" s="572">
        <v>1.0602083330000001</v>
      </c>
      <c r="C15515" s="572">
        <v>10.8932</v>
      </c>
    </row>
    <row r="15516" spans="1:3">
      <c r="A15516" s="571" t="s">
        <v>2264</v>
      </c>
      <c r="B15516" s="572">
        <v>1.1344125</v>
      </c>
      <c r="C15516" s="572">
        <v>8.7767800000000005</v>
      </c>
    </row>
    <row r="15517" spans="1:3">
      <c r="A15517" s="571" t="s">
        <v>2264</v>
      </c>
      <c r="B15517" s="572">
        <v>1.208575</v>
      </c>
      <c r="C15517" s="572">
        <v>7.18668</v>
      </c>
    </row>
    <row r="15518" spans="1:3">
      <c r="A15518" s="571" t="s">
        <v>2264</v>
      </c>
      <c r="B15518" s="572">
        <v>1.2827791669999999</v>
      </c>
      <c r="C15518" s="572">
        <v>5.0702600000000002</v>
      </c>
    </row>
    <row r="15519" spans="1:3">
      <c r="A15519" s="571" t="s">
        <v>2264</v>
      </c>
      <c r="B15519" s="572">
        <v>1.365208333</v>
      </c>
      <c r="C15519" s="572">
        <v>2.9525999999999999</v>
      </c>
    </row>
    <row r="15520" spans="1:3">
      <c r="A15520" s="571" t="s">
        <v>2264</v>
      </c>
      <c r="B15520" s="572">
        <v>1.3982000000000001</v>
      </c>
      <c r="C15520" s="572">
        <v>1.8950100000000001</v>
      </c>
    </row>
    <row r="15521" spans="1:3">
      <c r="A15521" s="571" t="s">
        <v>2264</v>
      </c>
      <c r="B15521" s="572">
        <v>1.4723166670000001</v>
      </c>
      <c r="C15521" s="572">
        <v>0.83123100000000005</v>
      </c>
    </row>
    <row r="15522" spans="1:3">
      <c r="A15522" s="571" t="s">
        <v>2264</v>
      </c>
      <c r="B15522" s="572">
        <v>1.5547041669999999</v>
      </c>
      <c r="C15522" s="572">
        <v>0.76010599999999995</v>
      </c>
    </row>
    <row r="15523" spans="1:3">
      <c r="A15523" s="571" t="s">
        <v>2264</v>
      </c>
      <c r="B15523" s="572">
        <v>1.628866667</v>
      </c>
      <c r="C15523" s="572">
        <v>2.3502100000000001</v>
      </c>
    </row>
    <row r="15524" spans="1:3">
      <c r="A15524" s="571" t="s">
        <v>2264</v>
      </c>
      <c r="B15524" s="572">
        <v>1.6453583329999999</v>
      </c>
      <c r="C15524" s="572">
        <v>2.879</v>
      </c>
    </row>
    <row r="15525" spans="1:3">
      <c r="A15525" s="571" t="s">
        <v>2264</v>
      </c>
      <c r="B15525" s="572">
        <v>1.727704167</v>
      </c>
      <c r="C15525" s="572">
        <v>3.9440200000000001</v>
      </c>
    </row>
    <row r="15526" spans="1:3">
      <c r="A15526" s="571" t="s">
        <v>2264</v>
      </c>
      <c r="B15526" s="572">
        <v>1.8018666670000001</v>
      </c>
      <c r="C15526" s="572">
        <v>5.5341199999999997</v>
      </c>
    </row>
    <row r="15527" spans="1:3">
      <c r="A15527" s="571" t="s">
        <v>2264</v>
      </c>
      <c r="B15527" s="572">
        <v>1.8842083329999999</v>
      </c>
      <c r="C15527" s="572">
        <v>6.5991299999999997</v>
      </c>
    </row>
    <row r="15528" spans="1:3">
      <c r="A15528" s="571" t="s">
        <v>2264</v>
      </c>
      <c r="B15528" s="572">
        <v>1.9501458330000001</v>
      </c>
      <c r="C15528" s="572">
        <v>8.1879899999999992</v>
      </c>
    </row>
    <row r="15529" spans="1:3">
      <c r="A15529" s="571" t="s">
        <v>2264</v>
      </c>
      <c r="B15529" s="572">
        <v>2.0242624999999999</v>
      </c>
      <c r="C15529" s="572">
        <v>9.2517700000000005</v>
      </c>
    </row>
    <row r="15530" spans="1:3">
      <c r="A15530" s="571" t="s">
        <v>2264</v>
      </c>
      <c r="B15530" s="572">
        <v>2.0984250000000002</v>
      </c>
      <c r="C15530" s="572">
        <v>10.841900000000001</v>
      </c>
    </row>
    <row r="15531" spans="1:3">
      <c r="A15531" s="571" t="s">
        <v>2264</v>
      </c>
      <c r="B15531" s="572">
        <v>2.1808125</v>
      </c>
      <c r="C15531" s="572">
        <v>12.433199999999999</v>
      </c>
    </row>
    <row r="15532" spans="1:3">
      <c r="A15532" s="571" t="s">
        <v>2264</v>
      </c>
      <c r="B15532" s="572">
        <v>2.2549708329999998</v>
      </c>
      <c r="C15532" s="572">
        <v>14.023300000000001</v>
      </c>
    </row>
    <row r="15533" spans="1:3">
      <c r="A15533" s="571" t="s">
        <v>2264</v>
      </c>
      <c r="B15533" s="572">
        <v>2.3291333330000001</v>
      </c>
      <c r="C15533" s="572">
        <v>15.6134</v>
      </c>
    </row>
    <row r="15534" spans="1:3">
      <c r="A15534" s="571" t="s">
        <v>2264</v>
      </c>
      <c r="B15534" s="572">
        <v>2.403295833</v>
      </c>
      <c r="C15534" s="572">
        <v>17.203499999999998</v>
      </c>
    </row>
    <row r="15535" spans="1:3">
      <c r="A15535" s="571" t="s">
        <v>2264</v>
      </c>
      <c r="B15535" s="572">
        <v>2.4691874999999999</v>
      </c>
      <c r="C15535" s="572">
        <v>18.265999999999998</v>
      </c>
    </row>
    <row r="15536" spans="1:3">
      <c r="A15536" s="571" t="s">
        <v>2264</v>
      </c>
      <c r="B15536" s="572">
        <v>2.5350791670000001</v>
      </c>
      <c r="C15536" s="572">
        <v>19.328600000000002</v>
      </c>
    </row>
    <row r="15537" spans="1:3">
      <c r="A15537" s="571" t="s">
        <v>2264</v>
      </c>
      <c r="B15537" s="572">
        <v>2.609283333</v>
      </c>
      <c r="C15537" s="572">
        <v>21.445</v>
      </c>
    </row>
    <row r="15538" spans="1:3">
      <c r="A15538" s="571" t="s">
        <v>2264</v>
      </c>
      <c r="B15538" s="572">
        <v>2.6751749999999999</v>
      </c>
      <c r="C15538" s="572">
        <v>22.5075</v>
      </c>
    </row>
    <row r="15539" spans="1:3">
      <c r="A15539" s="571" t="s">
        <v>2264</v>
      </c>
      <c r="B15539" s="572">
        <v>2.7329750000000002</v>
      </c>
      <c r="C15539" s="572">
        <v>25.1478</v>
      </c>
    </row>
    <row r="15540" spans="1:3">
      <c r="A15540" s="571" t="s">
        <v>2264</v>
      </c>
      <c r="B15540" s="572">
        <v>2.7989541670000002</v>
      </c>
      <c r="C15540" s="572">
        <v>27.263000000000002</v>
      </c>
    </row>
    <row r="15541" spans="1:3">
      <c r="A15541" s="571" t="s">
        <v>2264</v>
      </c>
      <c r="B15541" s="572">
        <v>2.8647999999999998</v>
      </c>
      <c r="C15541" s="572">
        <v>27.799199999999999</v>
      </c>
    </row>
    <row r="15542" spans="1:3">
      <c r="A15542" s="571" t="s">
        <v>2264</v>
      </c>
      <c r="B15542" s="572">
        <v>2.9389208330000001</v>
      </c>
      <c r="C15542" s="572">
        <v>28.863</v>
      </c>
    </row>
    <row r="15543" spans="1:3">
      <c r="A15543" s="571" t="s">
        <v>2264</v>
      </c>
      <c r="B15543" s="572">
        <v>3.0131250000000001</v>
      </c>
      <c r="C15543" s="572">
        <v>30.979399999999998</v>
      </c>
    </row>
    <row r="15544" spans="1:3">
      <c r="A15544" s="571" t="s">
        <v>2264</v>
      </c>
      <c r="B15544" s="572">
        <v>3.087329167</v>
      </c>
      <c r="C15544" s="572">
        <v>33.095799999999997</v>
      </c>
    </row>
    <row r="15545" spans="1:3">
      <c r="A15545" s="571" t="s">
        <v>2264</v>
      </c>
      <c r="B15545" s="572">
        <v>3.1615333329999999</v>
      </c>
      <c r="C15545" s="572">
        <v>35.212299999999999</v>
      </c>
    </row>
    <row r="15546" spans="1:3">
      <c r="A15546" s="571" t="s">
        <v>2264</v>
      </c>
      <c r="B15546" s="572">
        <v>3.2356958329999999</v>
      </c>
      <c r="C15546" s="572">
        <v>36.802399999999999</v>
      </c>
    </row>
    <row r="15547" spans="1:3">
      <c r="A15547" s="571" t="s">
        <v>2264</v>
      </c>
      <c r="B15547" s="572">
        <v>3.3098999999999998</v>
      </c>
      <c r="C15547" s="572">
        <v>38.918799999999997</v>
      </c>
    </row>
    <row r="15548" spans="1:3">
      <c r="A15548" s="571" t="s">
        <v>2264</v>
      </c>
      <c r="B15548" s="572">
        <v>3.3841041669999998</v>
      </c>
      <c r="C15548" s="572">
        <v>41.035200000000003</v>
      </c>
    </row>
    <row r="15549" spans="1:3">
      <c r="A15549" s="571" t="s">
        <v>2264</v>
      </c>
      <c r="B15549" s="572">
        <v>3.4416833329999998</v>
      </c>
      <c r="C15549" s="572">
        <v>41.043900000000001</v>
      </c>
    </row>
    <row r="15550" spans="1:3">
      <c r="A15550" s="571" t="s">
        <v>2264</v>
      </c>
      <c r="B15550" s="572">
        <v>3.4993958329999999</v>
      </c>
      <c r="C15550" s="572">
        <v>42.631500000000003</v>
      </c>
    </row>
    <row r="15551" spans="1:3">
      <c r="A15551" s="571" t="s">
        <v>2264</v>
      </c>
      <c r="B15551" s="572">
        <v>3.5735541670000002</v>
      </c>
      <c r="C15551" s="572">
        <v>44.221600000000002</v>
      </c>
    </row>
    <row r="15552" spans="1:3">
      <c r="A15552" s="571" t="s">
        <v>2264</v>
      </c>
      <c r="B15552" s="572">
        <v>3.6477583330000001</v>
      </c>
      <c r="C15552" s="572">
        <v>46.338000000000001</v>
      </c>
    </row>
    <row r="15553" spans="1:3">
      <c r="A15553" s="571" t="s">
        <v>2264</v>
      </c>
      <c r="B15553" s="572">
        <v>3.7137375000000001</v>
      </c>
      <c r="C15553" s="572">
        <v>48.453200000000002</v>
      </c>
    </row>
    <row r="15554" spans="1:3">
      <c r="A15554" s="571" t="s">
        <v>2264</v>
      </c>
      <c r="B15554" s="572">
        <v>3.7879</v>
      </c>
      <c r="C15554" s="572">
        <v>50.043300000000002</v>
      </c>
    </row>
    <row r="15555" spans="1:3">
      <c r="A15555" s="571" t="s">
        <v>2264</v>
      </c>
      <c r="B15555" s="572">
        <v>3.8702874999999999</v>
      </c>
      <c r="C15555" s="572">
        <v>51.634599999999999</v>
      </c>
    </row>
    <row r="15556" spans="1:3">
      <c r="A15556" s="571" t="s">
        <v>2264</v>
      </c>
      <c r="B15556" s="572">
        <v>3.9362208330000001</v>
      </c>
      <c r="C15556" s="572">
        <v>53.223500000000001</v>
      </c>
    </row>
    <row r="15557" spans="1:3">
      <c r="A15557" s="571" t="s">
        <v>2264</v>
      </c>
      <c r="B15557" s="572">
        <v>4.0022458329999999</v>
      </c>
      <c r="C15557" s="572">
        <v>55.865000000000002</v>
      </c>
    </row>
    <row r="15558" spans="1:3">
      <c r="A15558" s="571" t="s">
        <v>2264</v>
      </c>
      <c r="B15558" s="572">
        <v>4.0764500000000004</v>
      </c>
      <c r="C15558" s="572">
        <v>57.981400000000001</v>
      </c>
    </row>
    <row r="15559" spans="1:3">
      <c r="A15559" s="571" t="s">
        <v>2264</v>
      </c>
      <c r="B15559" s="572">
        <v>4.1588374999999997</v>
      </c>
      <c r="C15559" s="572">
        <v>59.572800000000001</v>
      </c>
    </row>
    <row r="15560" spans="1:3">
      <c r="A15560" s="571" t="s">
        <v>2264</v>
      </c>
      <c r="B15560" s="572">
        <v>4.2330416670000002</v>
      </c>
      <c r="C15560" s="572">
        <v>61.6892</v>
      </c>
    </row>
    <row r="15561" spans="1:3">
      <c r="A15561" s="571" t="s">
        <v>2264</v>
      </c>
      <c r="B15561" s="572">
        <v>4.3072499999999998</v>
      </c>
      <c r="C15561" s="572">
        <v>63.805599999999998</v>
      </c>
    </row>
    <row r="15562" spans="1:3">
      <c r="A15562" s="571" t="s">
        <v>2264</v>
      </c>
      <c r="B15562" s="572">
        <v>4.3814583330000003</v>
      </c>
      <c r="C15562" s="572">
        <v>65.921999999999997</v>
      </c>
    </row>
    <row r="15563" spans="1:3">
      <c r="A15563" s="571" t="s">
        <v>2264</v>
      </c>
      <c r="B15563" s="572">
        <v>4.455666667</v>
      </c>
      <c r="C15563" s="572">
        <v>68.038399999999996</v>
      </c>
    </row>
    <row r="15564" spans="1:3">
      <c r="A15564" s="571" t="s">
        <v>2264</v>
      </c>
      <c r="B15564" s="572">
        <v>4.529833333</v>
      </c>
      <c r="C15564" s="572">
        <v>69.628500000000003</v>
      </c>
    </row>
    <row r="15565" spans="1:3">
      <c r="A15565" s="571" t="s">
        <v>2264</v>
      </c>
      <c r="B15565" s="572">
        <v>4.6122500000000004</v>
      </c>
      <c r="C15565" s="572">
        <v>71.746200000000002</v>
      </c>
    </row>
    <row r="15566" spans="1:3">
      <c r="A15566" s="571" t="s">
        <v>2264</v>
      </c>
      <c r="B15566" s="572">
        <v>4.6864166669999996</v>
      </c>
      <c r="C15566" s="572">
        <v>73.336299999999994</v>
      </c>
    </row>
    <row r="15567" spans="1:3">
      <c r="A15567" s="571" t="s">
        <v>2264</v>
      </c>
      <c r="B15567" s="572">
        <v>4.7606250000000001</v>
      </c>
      <c r="C15567" s="572">
        <v>75.452699999999993</v>
      </c>
    </row>
    <row r="15568" spans="1:3">
      <c r="A15568" s="571" t="s">
        <v>2264</v>
      </c>
      <c r="B15568" s="572">
        <v>4.8348333329999997</v>
      </c>
      <c r="C15568" s="572">
        <v>77.569100000000006</v>
      </c>
    </row>
    <row r="15569" spans="1:3">
      <c r="A15569" s="571" t="s">
        <v>2264</v>
      </c>
      <c r="B15569" s="572">
        <v>4.9090416670000003</v>
      </c>
      <c r="C15569" s="572">
        <v>79.685599999999994</v>
      </c>
    </row>
    <row r="15570" spans="1:3">
      <c r="A15570" s="571" t="s">
        <v>2264</v>
      </c>
      <c r="B15570" s="572">
        <v>4.9831666669999999</v>
      </c>
      <c r="C15570" s="572">
        <v>81.275700000000001</v>
      </c>
    </row>
    <row r="15571" spans="1:3">
      <c r="A15571" s="571" t="s">
        <v>2264</v>
      </c>
      <c r="B15571" s="572">
        <v>5.0492083330000002</v>
      </c>
      <c r="C15571" s="572">
        <v>83.917199999999994</v>
      </c>
    </row>
    <row r="15572" spans="1:3">
      <c r="A15572" s="571" t="s">
        <v>2264</v>
      </c>
      <c r="B15572" s="572">
        <v>5.106833333</v>
      </c>
      <c r="C15572" s="572">
        <v>84.452200000000005</v>
      </c>
    </row>
    <row r="15573" spans="1:3">
      <c r="A15573" s="571" t="s">
        <v>2264</v>
      </c>
      <c r="B15573" s="572">
        <v>5.1563749999999997</v>
      </c>
      <c r="C15573" s="572">
        <v>86.564899999999994</v>
      </c>
    </row>
    <row r="15574" spans="1:3">
      <c r="A15574" s="571" t="s">
        <v>2264</v>
      </c>
      <c r="B15574" s="572">
        <v>5.2387499999999996</v>
      </c>
      <c r="C15574" s="572">
        <v>88.156199999999998</v>
      </c>
    </row>
    <row r="15575" spans="1:3">
      <c r="A15575" s="571" t="s">
        <v>2264</v>
      </c>
      <c r="B15575" s="572">
        <v>5.3047083329999998</v>
      </c>
      <c r="C15575" s="572">
        <v>90.2714</v>
      </c>
    </row>
    <row r="15576" spans="1:3">
      <c r="A15576" s="571" t="s">
        <v>2264</v>
      </c>
      <c r="B15576" s="572">
        <v>5.3789166670000004</v>
      </c>
      <c r="C15576" s="572">
        <v>92.387799999999999</v>
      </c>
    </row>
    <row r="15577" spans="1:3">
      <c r="A15577" s="571" t="s">
        <v>2264</v>
      </c>
      <c r="B15577" s="572">
        <v>5.4531666669999996</v>
      </c>
      <c r="C15577" s="572">
        <v>95.030600000000007</v>
      </c>
    </row>
    <row r="15578" spans="1:3">
      <c r="A15578" s="571" t="s">
        <v>2264</v>
      </c>
      <c r="B15578" s="572">
        <v>5.5273333329999996</v>
      </c>
      <c r="C15578" s="572">
        <v>96.620699999999999</v>
      </c>
    </row>
    <row r="15579" spans="1:3">
      <c r="A15579" s="571" t="s">
        <v>2264</v>
      </c>
      <c r="B15579" s="572">
        <v>5.6015416670000002</v>
      </c>
      <c r="C15579" s="572">
        <v>98.737099999999998</v>
      </c>
    </row>
    <row r="15580" spans="1:3">
      <c r="A15580" s="571" t="s">
        <v>2264</v>
      </c>
      <c r="B15580" s="572">
        <v>5.6757499999999999</v>
      </c>
      <c r="C15580" s="572">
        <v>100.85299999999999</v>
      </c>
    </row>
    <row r="15581" spans="1:3">
      <c r="A15581" s="571" t="s">
        <v>2264</v>
      </c>
      <c r="B15581" s="572">
        <v>5.7581249999999997</v>
      </c>
      <c r="C15581" s="572">
        <v>102.44499999999999</v>
      </c>
    </row>
    <row r="15582" spans="1:3">
      <c r="A15582" s="571" t="s">
        <v>2264</v>
      </c>
      <c r="B15582" s="572">
        <v>5.8241250000000004</v>
      </c>
      <c r="C15582" s="572">
        <v>104.56</v>
      </c>
    </row>
    <row r="15583" spans="1:3">
      <c r="A15583" s="571" t="s">
        <v>2264</v>
      </c>
      <c r="B15583" s="572">
        <v>5.9065000000000003</v>
      </c>
      <c r="C15583" s="572">
        <v>106.151</v>
      </c>
    </row>
    <row r="15584" spans="1:3">
      <c r="A15584" s="571" t="s">
        <v>2264</v>
      </c>
      <c r="B15584" s="572">
        <v>5.9724166670000001</v>
      </c>
      <c r="C15584" s="572">
        <v>107.74</v>
      </c>
    </row>
    <row r="15585" spans="1:3">
      <c r="A15585" s="571" t="s">
        <v>2264</v>
      </c>
      <c r="B15585" s="572">
        <v>6.0384583330000003</v>
      </c>
      <c r="C15585" s="572">
        <v>110.38200000000001</v>
      </c>
    </row>
    <row r="15586" spans="1:3">
      <c r="A15586" s="571" t="s">
        <v>2264</v>
      </c>
      <c r="B15586" s="572">
        <v>6.1126250000000004</v>
      </c>
      <c r="C15586" s="572">
        <v>111.97199999999999</v>
      </c>
    </row>
    <row r="15587" spans="1:3">
      <c r="A15587" s="571" t="s">
        <v>2264</v>
      </c>
      <c r="B15587" s="572">
        <v>6.1867916669999996</v>
      </c>
      <c r="C15587" s="572">
        <v>113.562</v>
      </c>
    </row>
    <row r="15588" spans="1:3">
      <c r="A15588" s="571" t="s">
        <v>2264</v>
      </c>
      <c r="B15588" s="572">
        <v>6.2609583329999996</v>
      </c>
      <c r="C15588" s="572">
        <v>115.152</v>
      </c>
    </row>
    <row r="15589" spans="1:3">
      <c r="A15589" s="571" t="s">
        <v>2264</v>
      </c>
      <c r="B15589" s="572">
        <v>6.3351249999999997</v>
      </c>
      <c r="C15589" s="572">
        <v>117.268</v>
      </c>
    </row>
    <row r="15590" spans="1:3">
      <c r="A15590" s="571" t="s">
        <v>2264</v>
      </c>
      <c r="B15590" s="572">
        <v>6.4093333330000002</v>
      </c>
      <c r="C15590" s="572">
        <v>119.38500000000001</v>
      </c>
    </row>
    <row r="15591" spans="1:3">
      <c r="A15591" s="571" t="s">
        <v>2264</v>
      </c>
      <c r="B15591" s="572">
        <v>6.475333333</v>
      </c>
      <c r="C15591" s="572">
        <v>121.5</v>
      </c>
    </row>
    <row r="15592" spans="1:3">
      <c r="A15592" s="571" t="s">
        <v>2264</v>
      </c>
      <c r="B15592" s="572">
        <v>6.5495416669999997</v>
      </c>
      <c r="C15592" s="572">
        <v>123.616</v>
      </c>
    </row>
    <row r="15593" spans="1:3">
      <c r="A15593" s="571" t="s">
        <v>2264</v>
      </c>
      <c r="B15593" s="572">
        <v>6.6319166669999996</v>
      </c>
      <c r="C15593" s="572">
        <v>125.208</v>
      </c>
    </row>
    <row r="15594" spans="1:3">
      <c r="A15594" s="571" t="s">
        <v>2264</v>
      </c>
      <c r="B15594" s="572">
        <v>6.7060833329999996</v>
      </c>
      <c r="C15594" s="572">
        <v>126.798</v>
      </c>
    </row>
    <row r="15595" spans="1:3">
      <c r="A15595" s="571" t="s">
        <v>2264</v>
      </c>
      <c r="B15595" s="572">
        <v>6.7802916670000002</v>
      </c>
      <c r="C15595" s="572">
        <v>128.91399999999999</v>
      </c>
    </row>
    <row r="15596" spans="1:3">
      <c r="A15596" s="571" t="s">
        <v>2264</v>
      </c>
      <c r="B15596" s="572">
        <v>6.8544999999999998</v>
      </c>
      <c r="C15596" s="572">
        <v>131.03100000000001</v>
      </c>
    </row>
    <row r="15597" spans="1:3">
      <c r="A15597" s="571" t="s">
        <v>2264</v>
      </c>
      <c r="B15597" s="572">
        <v>6.9204166669999996</v>
      </c>
      <c r="C15597" s="572">
        <v>132.62</v>
      </c>
    </row>
    <row r="15598" spans="1:3">
      <c r="A15598" s="48" t="s">
        <v>2265</v>
      </c>
      <c r="B15598" s="549">
        <v>-1.4799999999999999E-16</v>
      </c>
      <c r="C15598" s="549">
        <v>1.42E-14</v>
      </c>
    </row>
    <row r="15599" spans="1:3">
      <c r="A15599" s="571" t="s">
        <v>2265</v>
      </c>
      <c r="B15599" s="572">
        <v>1.6470583E-2</v>
      </c>
      <c r="C15599" s="572">
        <v>10.9338</v>
      </c>
    </row>
    <row r="15600" spans="1:3">
      <c r="A15600" s="571" t="s">
        <v>2265</v>
      </c>
      <c r="B15600" s="572">
        <v>4.1176457999999999E-2</v>
      </c>
      <c r="C15600" s="572">
        <v>21.8658</v>
      </c>
    </row>
    <row r="15601" spans="1:3">
      <c r="A15601" s="571" t="s">
        <v>2265</v>
      </c>
      <c r="B15601" s="572">
        <v>6.5882499999999997E-2</v>
      </c>
      <c r="C15601" s="572">
        <v>26.547799999999999</v>
      </c>
    </row>
    <row r="15602" spans="1:3">
      <c r="A15602" s="571" t="s">
        <v>2265</v>
      </c>
      <c r="B15602" s="572">
        <v>8.2352916999999998E-2</v>
      </c>
      <c r="C15602" s="572">
        <v>31.752500000000001</v>
      </c>
    </row>
    <row r="15603" spans="1:3">
      <c r="A15603" s="571" t="s">
        <v>2265</v>
      </c>
      <c r="B15603" s="572">
        <v>0.10705874999999999</v>
      </c>
      <c r="C15603" s="572">
        <v>40.080300000000001</v>
      </c>
    </row>
    <row r="15604" spans="1:3">
      <c r="A15604" s="571" t="s">
        <v>2265</v>
      </c>
      <c r="B15604" s="572">
        <v>0.13176458299999999</v>
      </c>
      <c r="C15604" s="572">
        <v>48.928899999999999</v>
      </c>
    </row>
    <row r="15605" spans="1:3">
      <c r="A15605" s="571" t="s">
        <v>2265</v>
      </c>
      <c r="B15605" s="572">
        <v>0.156470417</v>
      </c>
      <c r="C15605" s="572">
        <v>54.131700000000002</v>
      </c>
    </row>
    <row r="15606" spans="1:3">
      <c r="A15606" s="571" t="s">
        <v>2265</v>
      </c>
      <c r="B15606" s="572">
        <v>0.17294124999999999</v>
      </c>
      <c r="C15606" s="572">
        <v>58.815600000000003</v>
      </c>
    </row>
    <row r="15607" spans="1:3">
      <c r="A15607" s="571" t="s">
        <v>2265</v>
      </c>
      <c r="B15607" s="572">
        <v>0.197647083</v>
      </c>
      <c r="C15607" s="572">
        <v>64.0184</v>
      </c>
    </row>
    <row r="15608" spans="1:3">
      <c r="A15608" s="571" t="s">
        <v>2265</v>
      </c>
      <c r="B15608" s="572">
        <v>0.23058833300000001</v>
      </c>
      <c r="C15608" s="572">
        <v>68.698499999999996</v>
      </c>
    </row>
    <row r="15609" spans="1:3">
      <c r="A15609" s="571" t="s">
        <v>2265</v>
      </c>
      <c r="B15609" s="572">
        <v>0.28000000000000003</v>
      </c>
      <c r="C15609" s="572">
        <v>67.645799999999994</v>
      </c>
    </row>
    <row r="15610" spans="1:3">
      <c r="A15610" s="571" t="s">
        <v>2265</v>
      </c>
      <c r="B15610" s="572">
        <v>0.32117666700000003</v>
      </c>
      <c r="C15610" s="572">
        <v>62.949100000000001</v>
      </c>
    </row>
    <row r="15611" spans="1:3">
      <c r="A15611" s="571" t="s">
        <v>2265</v>
      </c>
      <c r="B15611" s="572">
        <v>0.35411749999999997</v>
      </c>
      <c r="C15611" s="572">
        <v>58.254300000000001</v>
      </c>
    </row>
    <row r="15612" spans="1:3">
      <c r="A15612" s="571" t="s">
        <v>2265</v>
      </c>
      <c r="B15612" s="572">
        <v>0.38705875000000001</v>
      </c>
      <c r="C15612" s="572">
        <v>53.559399999999997</v>
      </c>
    </row>
    <row r="15613" spans="1:3">
      <c r="A15613" s="571" t="s">
        <v>2265</v>
      </c>
      <c r="B15613" s="572">
        <v>0.436470833</v>
      </c>
      <c r="C15613" s="572">
        <v>49.9026</v>
      </c>
    </row>
    <row r="15614" spans="1:3">
      <c r="A15614" s="571" t="s">
        <v>2265</v>
      </c>
      <c r="B15614" s="572">
        <v>0.51058749999999997</v>
      </c>
      <c r="C15614" s="572">
        <v>46.761000000000003</v>
      </c>
    </row>
    <row r="15615" spans="1:3">
      <c r="A15615" s="571" t="s">
        <v>2265</v>
      </c>
      <c r="B15615" s="572">
        <v>0.57647083300000002</v>
      </c>
      <c r="C15615" s="572">
        <v>44.142200000000003</v>
      </c>
    </row>
    <row r="15616" spans="1:3">
      <c r="A15616" s="571" t="s">
        <v>2265</v>
      </c>
      <c r="B15616" s="572">
        <v>0.64235416700000003</v>
      </c>
      <c r="C15616" s="572">
        <v>41.002499999999998</v>
      </c>
    </row>
    <row r="15617" spans="1:3">
      <c r="A15617" s="571" t="s">
        <v>2265</v>
      </c>
      <c r="B15617" s="572">
        <v>0.70823333300000002</v>
      </c>
      <c r="C15617" s="572">
        <v>38.383600000000001</v>
      </c>
    </row>
    <row r="15618" spans="1:3">
      <c r="A15618" s="571" t="s">
        <v>2265</v>
      </c>
      <c r="B15618" s="572">
        <v>0.77411666700000004</v>
      </c>
      <c r="C15618" s="572">
        <v>35.243899999999996</v>
      </c>
    </row>
    <row r="15619" spans="1:3">
      <c r="A15619" s="571" t="s">
        <v>2265</v>
      </c>
      <c r="B15619" s="572">
        <v>0.83176666700000002</v>
      </c>
      <c r="C15619" s="572">
        <v>32.106000000000002</v>
      </c>
    </row>
    <row r="15620" spans="1:3">
      <c r="A15620" s="571" t="s">
        <v>2265</v>
      </c>
      <c r="B15620" s="572">
        <v>0.90588333300000001</v>
      </c>
      <c r="C15620" s="572">
        <v>29.485299999999999</v>
      </c>
    </row>
    <row r="15621" spans="1:3">
      <c r="A15621" s="571" t="s">
        <v>2265</v>
      </c>
      <c r="B15621" s="572">
        <v>0.97176666700000003</v>
      </c>
      <c r="C15621" s="572">
        <v>26.345600000000001</v>
      </c>
    </row>
    <row r="15622" spans="1:3">
      <c r="A15622" s="571" t="s">
        <v>2265</v>
      </c>
      <c r="B15622" s="572">
        <v>1.037645833</v>
      </c>
      <c r="C15622" s="572">
        <v>24.247499999999999</v>
      </c>
    </row>
    <row r="15623" spans="1:3">
      <c r="A15623" s="571" t="s">
        <v>2265</v>
      </c>
      <c r="B15623" s="572">
        <v>1.1200000000000001</v>
      </c>
      <c r="C15623" s="572">
        <v>22.145800000000001</v>
      </c>
    </row>
    <row r="15624" spans="1:3">
      <c r="A15624" s="571" t="s">
        <v>2265</v>
      </c>
      <c r="B15624" s="572">
        <v>1.1941166670000001</v>
      </c>
      <c r="C15624" s="572">
        <v>20.045999999999999</v>
      </c>
    </row>
    <row r="15625" spans="1:3">
      <c r="A15625" s="571" t="s">
        <v>2265</v>
      </c>
      <c r="B15625" s="572">
        <v>1.2764708330000001</v>
      </c>
      <c r="C15625" s="572">
        <v>19.506699999999999</v>
      </c>
    </row>
    <row r="15626" spans="1:3">
      <c r="A15626" s="571" t="s">
        <v>2265</v>
      </c>
      <c r="B15626" s="572">
        <v>1.3505875000000001</v>
      </c>
      <c r="C15626" s="572">
        <v>18.448499999999999</v>
      </c>
    </row>
    <row r="15627" spans="1:3">
      <c r="A15627" s="571" t="s">
        <v>2265</v>
      </c>
      <c r="B15627" s="572">
        <v>1.4329416669999999</v>
      </c>
      <c r="C15627" s="572">
        <v>17.388500000000001</v>
      </c>
    </row>
    <row r="15628" spans="1:3">
      <c r="A15628" s="571" t="s">
        <v>2265</v>
      </c>
      <c r="B15628" s="572">
        <v>1.507058333</v>
      </c>
      <c r="C15628" s="572">
        <v>16.851099999999999</v>
      </c>
    </row>
    <row r="15629" spans="1:3">
      <c r="A15629" s="571" t="s">
        <v>2265</v>
      </c>
      <c r="B15629" s="572">
        <v>1.5894124999999999</v>
      </c>
      <c r="C15629" s="572">
        <v>16.311900000000001</v>
      </c>
    </row>
    <row r="15630" spans="1:3">
      <c r="A15630" s="571" t="s">
        <v>2265</v>
      </c>
      <c r="B15630" s="572">
        <v>1.671766667</v>
      </c>
      <c r="C15630" s="572">
        <v>15.7727</v>
      </c>
    </row>
    <row r="15631" spans="1:3">
      <c r="A15631" s="571" t="s">
        <v>2265</v>
      </c>
      <c r="B15631" s="572">
        <v>1.7541166669999999</v>
      </c>
      <c r="C15631" s="572">
        <v>15.754300000000001</v>
      </c>
    </row>
    <row r="15632" spans="1:3">
      <c r="A15632" s="571" t="s">
        <v>2265</v>
      </c>
      <c r="B15632" s="572">
        <v>1.828233333</v>
      </c>
      <c r="C15632" s="572">
        <v>15.216900000000001</v>
      </c>
    </row>
    <row r="15633" spans="1:3">
      <c r="A15633" s="571" t="s">
        <v>2265</v>
      </c>
      <c r="B15633" s="572">
        <v>1.9105875000000001</v>
      </c>
      <c r="C15633" s="572">
        <v>14.6777</v>
      </c>
    </row>
    <row r="15634" spans="1:3">
      <c r="A15634" s="571" t="s">
        <v>2265</v>
      </c>
      <c r="B15634" s="572">
        <v>1.992941667</v>
      </c>
      <c r="C15634" s="572">
        <v>14.138500000000001</v>
      </c>
    </row>
    <row r="15635" spans="1:3">
      <c r="A15635" s="571" t="s">
        <v>2265</v>
      </c>
      <c r="B15635" s="572">
        <v>2.017645833</v>
      </c>
      <c r="C15635" s="572">
        <v>13.6121</v>
      </c>
    </row>
    <row r="15636" spans="1:3">
      <c r="A15636" s="571" t="s">
        <v>2265</v>
      </c>
      <c r="B15636" s="572">
        <v>2.1</v>
      </c>
      <c r="C15636" s="572">
        <v>13.5938</v>
      </c>
    </row>
    <row r="15637" spans="1:3">
      <c r="A15637" s="571" t="s">
        <v>2265</v>
      </c>
      <c r="B15637" s="572">
        <v>2.1823541670000002</v>
      </c>
      <c r="C15637" s="572">
        <v>13.054500000000001</v>
      </c>
    </row>
    <row r="15638" spans="1:3">
      <c r="A15638" s="571" t="s">
        <v>2265</v>
      </c>
      <c r="B15638" s="572">
        <v>2.2564708329999998</v>
      </c>
      <c r="C15638" s="572">
        <v>11.9963</v>
      </c>
    </row>
    <row r="15639" spans="1:3">
      <c r="A15639" s="571" t="s">
        <v>2265</v>
      </c>
      <c r="B15639" s="572">
        <v>2.3388249999999999</v>
      </c>
      <c r="C15639" s="572">
        <v>11.9779</v>
      </c>
    </row>
    <row r="15640" spans="1:3">
      <c r="A15640" s="571" t="s">
        <v>2265</v>
      </c>
      <c r="B15640" s="572">
        <v>2.4129416670000001</v>
      </c>
      <c r="C15640" s="572">
        <v>11.4406</v>
      </c>
    </row>
    <row r="15641" spans="1:3">
      <c r="A15641" s="571" t="s">
        <v>2265</v>
      </c>
      <c r="B15641" s="572">
        <v>2.4952958330000001</v>
      </c>
      <c r="C15641" s="572">
        <v>10.901300000000001</v>
      </c>
    </row>
    <row r="15642" spans="1:3">
      <c r="A15642" s="571" t="s">
        <v>2265</v>
      </c>
      <c r="B15642" s="572">
        <v>2.5694124999999999</v>
      </c>
      <c r="C15642" s="572">
        <v>10.8848</v>
      </c>
    </row>
    <row r="15643" spans="1:3">
      <c r="A15643" s="571" t="s">
        <v>2265</v>
      </c>
      <c r="B15643" s="572">
        <v>2.651766667</v>
      </c>
      <c r="C15643" s="572">
        <v>10.345599999999999</v>
      </c>
    </row>
    <row r="15644" spans="1:3">
      <c r="A15644" s="571" t="s">
        <v>2265</v>
      </c>
      <c r="B15644" s="572">
        <v>2.7258833330000001</v>
      </c>
      <c r="C15644" s="572">
        <v>9.2873800000000006</v>
      </c>
    </row>
    <row r="15645" spans="1:3">
      <c r="A15645" s="571" t="s">
        <v>2265</v>
      </c>
      <c r="B15645" s="572">
        <v>2.808233333</v>
      </c>
      <c r="C15645" s="572">
        <v>8.7481600000000004</v>
      </c>
    </row>
    <row r="15646" spans="1:3">
      <c r="A15646" s="571" t="s">
        <v>2265</v>
      </c>
      <c r="B15646" s="572">
        <v>2.8905875000000001</v>
      </c>
      <c r="C15646" s="572">
        <v>8.7297799999999999</v>
      </c>
    </row>
    <row r="15647" spans="1:3">
      <c r="A15647" s="571" t="s">
        <v>2265</v>
      </c>
      <c r="B15647" s="572">
        <v>2.9647041669999998</v>
      </c>
      <c r="C15647" s="572">
        <v>7.67157</v>
      </c>
    </row>
    <row r="15648" spans="1:3">
      <c r="A15648" s="571" t="s">
        <v>2265</v>
      </c>
      <c r="B15648" s="572">
        <v>3.0470583329999998</v>
      </c>
      <c r="C15648" s="572">
        <v>6.6115199999999996</v>
      </c>
    </row>
    <row r="15649" spans="1:3">
      <c r="A15649" s="571" t="s">
        <v>2265</v>
      </c>
      <c r="B15649" s="572">
        <v>3.1294124999999999</v>
      </c>
      <c r="C15649" s="572">
        <v>6.59314</v>
      </c>
    </row>
    <row r="15650" spans="1:3">
      <c r="A15650" s="571" t="s">
        <v>2265</v>
      </c>
      <c r="B15650" s="572">
        <v>3.2035291670000001</v>
      </c>
      <c r="C15650" s="572">
        <v>5.5349300000000001</v>
      </c>
    </row>
    <row r="15651" spans="1:3">
      <c r="A15651" s="571" t="s">
        <v>2265</v>
      </c>
      <c r="B15651" s="572">
        <v>3.2858833330000001</v>
      </c>
      <c r="C15651" s="572">
        <v>4.4748799999999997</v>
      </c>
    </row>
    <row r="15652" spans="1:3">
      <c r="A15652" s="571" t="s">
        <v>2265</v>
      </c>
      <c r="B15652" s="572">
        <v>3.3682333330000001</v>
      </c>
      <c r="C15652" s="572">
        <v>3.9356599999999999</v>
      </c>
    </row>
    <row r="15653" spans="1:3">
      <c r="A15653" s="571" t="s">
        <v>2265</v>
      </c>
      <c r="B15653" s="572">
        <v>3.442354167</v>
      </c>
      <c r="C15653" s="572">
        <v>3.3982800000000002</v>
      </c>
    </row>
    <row r="15654" spans="1:3">
      <c r="A15654" s="571" t="s">
        <v>2265</v>
      </c>
      <c r="B15654" s="572">
        <v>3.5164708330000001</v>
      </c>
      <c r="C15654" s="572">
        <v>2.3400699999999999</v>
      </c>
    </row>
    <row r="15655" spans="1:3">
      <c r="A15655" s="571" t="s">
        <v>2265</v>
      </c>
      <c r="B15655" s="572">
        <v>3.5905874999999998</v>
      </c>
      <c r="C15655" s="572">
        <v>1.8027</v>
      </c>
    </row>
    <row r="15656" spans="1:3">
      <c r="A15656" s="571" t="s">
        <v>2265</v>
      </c>
      <c r="B15656" s="572">
        <v>3.6152958329999998</v>
      </c>
      <c r="C15656" s="572">
        <v>1.2763500000000001</v>
      </c>
    </row>
    <row r="15657" spans="1:3">
      <c r="A15657" s="571" t="s">
        <v>2265</v>
      </c>
      <c r="B15657" s="572">
        <v>3.6811750000000001</v>
      </c>
      <c r="C15657" s="572">
        <v>0.74080900000000005</v>
      </c>
    </row>
    <row r="15658" spans="1:3">
      <c r="A15658" s="571" t="s">
        <v>2265</v>
      </c>
      <c r="B15658" s="572">
        <v>3.7635291670000002</v>
      </c>
      <c r="C15658" s="572">
        <v>0.20159299999999999</v>
      </c>
    </row>
    <row r="15659" spans="1:3">
      <c r="A15659" s="571" t="s">
        <v>2265</v>
      </c>
      <c r="B15659" s="572">
        <v>3.9282333330000001</v>
      </c>
      <c r="C15659" s="572">
        <v>1.2064999999999999</v>
      </c>
    </row>
    <row r="15660" spans="1:3">
      <c r="A15660" s="571" t="s">
        <v>2265</v>
      </c>
      <c r="B15660" s="572">
        <v>4.002354167</v>
      </c>
      <c r="C15660" s="572">
        <v>0.37254900000000002</v>
      </c>
    </row>
    <row r="15661" spans="1:3">
      <c r="A15661" s="571" t="s">
        <v>2265</v>
      </c>
      <c r="B15661" s="572">
        <v>4.0847041669999999</v>
      </c>
      <c r="C15661" s="572">
        <v>0.39093099999999997</v>
      </c>
    </row>
    <row r="15662" spans="1:3">
      <c r="A15662" s="571" t="s">
        <v>2265</v>
      </c>
      <c r="B15662" s="572">
        <v>4.1588250000000002</v>
      </c>
      <c r="C15662" s="572">
        <v>0.92830900000000005</v>
      </c>
    </row>
    <row r="15663" spans="1:3">
      <c r="A15663" s="571" t="s">
        <v>2265</v>
      </c>
      <c r="B15663" s="572">
        <v>4.2411666669999999</v>
      </c>
      <c r="C15663" s="572">
        <v>1.4675199999999999</v>
      </c>
    </row>
    <row r="15664" spans="1:3">
      <c r="A15664" s="571" t="s">
        <v>2265</v>
      </c>
      <c r="B15664" s="572">
        <v>4.3152916670000003</v>
      </c>
      <c r="C15664" s="572">
        <v>2.0049000000000001</v>
      </c>
    </row>
    <row r="15665" spans="1:3">
      <c r="A15665" s="571" t="s">
        <v>2265</v>
      </c>
      <c r="B15665" s="572">
        <v>4.3976666670000002</v>
      </c>
      <c r="C15665" s="572">
        <v>2.5441199999999999</v>
      </c>
    </row>
    <row r="15666" spans="1:3">
      <c r="A15666" s="571" t="s">
        <v>2265</v>
      </c>
      <c r="B15666" s="572">
        <v>4.4223333330000001</v>
      </c>
      <c r="C15666" s="572">
        <v>3.5912999999999999</v>
      </c>
    </row>
    <row r="15667" spans="1:3">
      <c r="A15667" s="571" t="s">
        <v>2265</v>
      </c>
      <c r="B15667" s="572">
        <v>4.4964583329999996</v>
      </c>
      <c r="C15667" s="572">
        <v>4.6495100000000003</v>
      </c>
    </row>
    <row r="15668" spans="1:3">
      <c r="A15668" s="571" t="s">
        <v>2265</v>
      </c>
      <c r="B15668" s="572">
        <v>4.5788333330000004</v>
      </c>
      <c r="C15668" s="572">
        <v>4.6678899999999999</v>
      </c>
    </row>
    <row r="15669" spans="1:3">
      <c r="A15669" s="571" t="s">
        <v>2265</v>
      </c>
      <c r="B15669" s="572">
        <v>4.6611666669999998</v>
      </c>
      <c r="C15669" s="572">
        <v>5.7279400000000003</v>
      </c>
    </row>
    <row r="15670" spans="1:3">
      <c r="A15670" s="571" t="s">
        <v>2265</v>
      </c>
      <c r="B15670" s="572">
        <v>4.7352916670000003</v>
      </c>
      <c r="C15670" s="572">
        <v>6.7861500000000001</v>
      </c>
    </row>
    <row r="15671" spans="1:3">
      <c r="A15671" s="571" t="s">
        <v>2265</v>
      </c>
      <c r="B15671" s="572">
        <v>4.8176666670000001</v>
      </c>
      <c r="C15671" s="572">
        <v>7.3253700000000004</v>
      </c>
    </row>
    <row r="15672" spans="1:3">
      <c r="A15672" s="571" t="s">
        <v>2265</v>
      </c>
      <c r="B15672" s="572">
        <v>4.89175</v>
      </c>
      <c r="C15672" s="572">
        <v>8.9044100000000004</v>
      </c>
    </row>
    <row r="15673" spans="1:3">
      <c r="A15673" s="571" t="s">
        <v>2265</v>
      </c>
      <c r="B15673" s="572">
        <v>4.9741249999999999</v>
      </c>
      <c r="C15673" s="572">
        <v>8.9227900000000009</v>
      </c>
    </row>
    <row r="15674" spans="1:3">
      <c r="A15674" s="571" t="s">
        <v>2265</v>
      </c>
      <c r="B15674" s="572">
        <v>5.0564583330000001</v>
      </c>
      <c r="C15674" s="572">
        <v>9.4620099999999994</v>
      </c>
    </row>
    <row r="15675" spans="1:3">
      <c r="A15675" s="571" t="s">
        <v>2265</v>
      </c>
      <c r="B15675" s="572">
        <v>5.1305833329999997</v>
      </c>
      <c r="C15675" s="572">
        <v>10.520200000000001</v>
      </c>
    </row>
    <row r="15676" spans="1:3">
      <c r="A15676" s="571" t="s">
        <v>2265</v>
      </c>
      <c r="B15676" s="572">
        <v>5.2129583330000004</v>
      </c>
      <c r="C15676" s="572">
        <v>11.580299999999999</v>
      </c>
    </row>
    <row r="15677" spans="1:3">
      <c r="A15677" s="571" t="s">
        <v>2265</v>
      </c>
      <c r="B15677" s="572">
        <v>5.2870416669999996</v>
      </c>
      <c r="C15677" s="572">
        <v>12.638500000000001</v>
      </c>
    </row>
    <row r="15678" spans="1:3">
      <c r="A15678" s="571" t="s">
        <v>2265</v>
      </c>
      <c r="B15678" s="572">
        <v>5.3694166670000003</v>
      </c>
      <c r="C15678" s="572">
        <v>13.698499999999999</v>
      </c>
    </row>
    <row r="15679" spans="1:3">
      <c r="A15679" s="571" t="s">
        <v>2265</v>
      </c>
      <c r="B15679" s="572">
        <v>5.4517499999999997</v>
      </c>
      <c r="C15679" s="572">
        <v>14.2377</v>
      </c>
    </row>
    <row r="15680" spans="1:3">
      <c r="A15680" s="571" t="s">
        <v>2265</v>
      </c>
      <c r="B15680" s="572">
        <v>5.5258750000000001</v>
      </c>
      <c r="C15680" s="572">
        <v>15.295999999999999</v>
      </c>
    </row>
    <row r="15681" spans="1:3">
      <c r="A15681" s="571" t="s">
        <v>2265</v>
      </c>
      <c r="B15681" s="572">
        <v>5.60825</v>
      </c>
      <c r="C15681" s="572">
        <v>16.356000000000002</v>
      </c>
    </row>
    <row r="15682" spans="1:3">
      <c r="A15682" s="571" t="s">
        <v>2265</v>
      </c>
      <c r="B15682" s="572">
        <v>5.6823333329999999</v>
      </c>
      <c r="C15682" s="572">
        <v>16.8934</v>
      </c>
    </row>
    <row r="15683" spans="1:3">
      <c r="A15683" s="571" t="s">
        <v>2265</v>
      </c>
      <c r="B15683" s="572">
        <v>5.7647083329999997</v>
      </c>
      <c r="C15683" s="572">
        <v>17.432600000000001</v>
      </c>
    </row>
    <row r="15684" spans="1:3">
      <c r="A15684" s="571" t="s">
        <v>2265</v>
      </c>
      <c r="B15684" s="572">
        <v>5.8470416670000001</v>
      </c>
      <c r="C15684" s="572">
        <v>17.971800000000002</v>
      </c>
    </row>
    <row r="15685" spans="1:3">
      <c r="A15685" s="571" t="s">
        <v>2265</v>
      </c>
      <c r="B15685" s="572">
        <v>5.9294166669999999</v>
      </c>
      <c r="C15685" s="572">
        <v>19.0319</v>
      </c>
    </row>
    <row r="15686" spans="1:3">
      <c r="A15686" s="571" t="s">
        <v>2265</v>
      </c>
      <c r="B15686" s="572">
        <v>5.995291667</v>
      </c>
      <c r="C15686" s="572">
        <v>19.567399999999999</v>
      </c>
    </row>
    <row r="15687" spans="1:3">
      <c r="A15687" s="571" t="s">
        <v>2265</v>
      </c>
      <c r="B15687" s="572">
        <v>6.0776666669999999</v>
      </c>
      <c r="C15687" s="572">
        <v>20.627500000000001</v>
      </c>
    </row>
    <row r="15688" spans="1:3">
      <c r="A15688" s="571" t="s">
        <v>2265</v>
      </c>
      <c r="B15688" s="572">
        <v>6.16</v>
      </c>
      <c r="C15688" s="572">
        <v>21.6875</v>
      </c>
    </row>
    <row r="15689" spans="1:3">
      <c r="A15689" s="571" t="s">
        <v>2265</v>
      </c>
      <c r="B15689" s="572">
        <v>6.2341249999999997</v>
      </c>
      <c r="C15689" s="572">
        <v>22.745699999999999</v>
      </c>
    </row>
    <row r="15690" spans="1:3">
      <c r="A15690" s="571" t="s">
        <v>2265</v>
      </c>
      <c r="B15690" s="572">
        <v>6.3164583329999999</v>
      </c>
      <c r="C15690" s="572">
        <v>23.2849</v>
      </c>
    </row>
    <row r="15691" spans="1:3">
      <c r="A15691" s="571" t="s">
        <v>2265</v>
      </c>
      <c r="B15691" s="572">
        <v>6.3988333329999998</v>
      </c>
      <c r="C15691" s="572">
        <v>23.824100000000001</v>
      </c>
    </row>
    <row r="15692" spans="1:3">
      <c r="A15692" s="571" t="s">
        <v>2265</v>
      </c>
      <c r="B15692" s="572">
        <v>6.4729583330000002</v>
      </c>
      <c r="C15692" s="572">
        <v>24.882400000000001</v>
      </c>
    </row>
    <row r="15693" spans="1:3">
      <c r="A15693" s="571" t="s">
        <v>2265</v>
      </c>
      <c r="B15693" s="572">
        <v>6.5470416670000002</v>
      </c>
      <c r="C15693" s="572">
        <v>25.419699999999999</v>
      </c>
    </row>
    <row r="15694" spans="1:3">
      <c r="A15694" s="571" t="s">
        <v>2265</v>
      </c>
      <c r="B15694" s="572">
        <v>6.6294166670000001</v>
      </c>
      <c r="C15694" s="572">
        <v>25.9589</v>
      </c>
    </row>
    <row r="15695" spans="1:3">
      <c r="A15695" s="571" t="s">
        <v>2265</v>
      </c>
      <c r="B15695" s="572">
        <v>6.7117500000000003</v>
      </c>
      <c r="C15695" s="572">
        <v>27.018999999999998</v>
      </c>
    </row>
    <row r="15696" spans="1:3">
      <c r="A15696" s="571" t="s">
        <v>2265</v>
      </c>
      <c r="B15696" s="572">
        <v>6.7858749999999999</v>
      </c>
      <c r="C15696" s="572">
        <v>28.077200000000001</v>
      </c>
    </row>
    <row r="15697" spans="1:3">
      <c r="A15697" s="571" t="s">
        <v>2265</v>
      </c>
      <c r="B15697" s="572">
        <v>6.8682499999999997</v>
      </c>
      <c r="C15697" s="572">
        <v>28.616399999999999</v>
      </c>
    </row>
    <row r="15698" spans="1:3">
      <c r="A15698" s="571" t="s">
        <v>2265</v>
      </c>
      <c r="B15698" s="572">
        <v>6.9423333329999997</v>
      </c>
      <c r="C15698" s="572">
        <v>30.195499999999999</v>
      </c>
    </row>
    <row r="15699" spans="1:3">
      <c r="A15699" s="571" t="s">
        <v>2266</v>
      </c>
      <c r="B15699" s="572">
        <v>0</v>
      </c>
      <c r="C15699" s="572">
        <v>1.42E-14</v>
      </c>
    </row>
    <row r="15700" spans="1:3">
      <c r="A15700" s="571" t="s">
        <v>2266</v>
      </c>
      <c r="B15700" s="572">
        <v>1.3925420000000001E-3</v>
      </c>
      <c r="C15700" s="572">
        <v>8.5044599999999999</v>
      </c>
    </row>
    <row r="15701" spans="1:3">
      <c r="A15701" s="571" t="s">
        <v>2266</v>
      </c>
      <c r="B15701" s="572">
        <v>1.092425E-2</v>
      </c>
      <c r="C15701" s="572">
        <v>16.716000000000001</v>
      </c>
    </row>
    <row r="15702" spans="1:3">
      <c r="A15702" s="571" t="s">
        <v>2266</v>
      </c>
      <c r="B15702" s="572">
        <v>3.6974417000000002E-2</v>
      </c>
      <c r="C15702" s="572">
        <v>25.808</v>
      </c>
    </row>
    <row r="15703" spans="1:3">
      <c r="A15703" s="571" t="s">
        <v>2266</v>
      </c>
      <c r="B15703" s="572">
        <v>5.4405000000000002E-2</v>
      </c>
      <c r="C15703" s="572">
        <v>32.260300000000001</v>
      </c>
    </row>
    <row r="15704" spans="1:3">
      <c r="A15704" s="571" t="s">
        <v>2266</v>
      </c>
      <c r="B15704" s="572">
        <v>8.8354583E-2</v>
      </c>
      <c r="C15704" s="572">
        <v>39.5931</v>
      </c>
    </row>
    <row r="15705" spans="1:3">
      <c r="A15705" s="571" t="s">
        <v>2266</v>
      </c>
      <c r="B15705" s="572">
        <v>0.113924583</v>
      </c>
      <c r="C15705" s="572">
        <v>45.752600000000001</v>
      </c>
    </row>
    <row r="15706" spans="1:3">
      <c r="A15706" s="571" t="s">
        <v>2266</v>
      </c>
      <c r="B15706" s="572">
        <v>0.14787375</v>
      </c>
      <c r="C15706" s="572">
        <v>53.0854</v>
      </c>
    </row>
    <row r="15707" spans="1:3">
      <c r="A15707" s="571" t="s">
        <v>2266</v>
      </c>
      <c r="B15707" s="572">
        <v>0.165544583</v>
      </c>
      <c r="C15707" s="572">
        <v>61.003999999999998</v>
      </c>
    </row>
    <row r="15708" spans="1:3">
      <c r="A15708" s="571" t="s">
        <v>2266</v>
      </c>
      <c r="B15708" s="572">
        <v>0.215772083</v>
      </c>
      <c r="C15708" s="572">
        <v>67.751000000000005</v>
      </c>
    </row>
    <row r="15709" spans="1:3">
      <c r="A15709" s="571" t="s">
        <v>2266</v>
      </c>
      <c r="B15709" s="572">
        <v>0.28227791699999999</v>
      </c>
      <c r="C15709" s="572">
        <v>73.912099999999995</v>
      </c>
    </row>
    <row r="15710" spans="1:3">
      <c r="A15710" s="571" t="s">
        <v>2266</v>
      </c>
      <c r="B15710" s="572">
        <v>0.33101708299999999</v>
      </c>
      <c r="C15710" s="572">
        <v>71.568100000000001</v>
      </c>
    </row>
    <row r="15711" spans="1:3">
      <c r="A15711" s="571" t="s">
        <v>2266</v>
      </c>
      <c r="B15711" s="572">
        <v>0.37123250000000002</v>
      </c>
      <c r="C15711" s="572">
        <v>67.171000000000006</v>
      </c>
    </row>
    <row r="15712" spans="1:3">
      <c r="A15712" s="571" t="s">
        <v>2266</v>
      </c>
      <c r="B15712" s="572">
        <v>0.37941999999999998</v>
      </c>
      <c r="C15712" s="572">
        <v>67.171300000000002</v>
      </c>
    </row>
    <row r="15713" spans="1:3">
      <c r="A15713" s="571" t="s">
        <v>2266</v>
      </c>
      <c r="B15713" s="572">
        <v>0.41992499999999999</v>
      </c>
      <c r="C15713" s="572">
        <v>64.533699999999996</v>
      </c>
    </row>
    <row r="15714" spans="1:3">
      <c r="A15714" s="571" t="s">
        <v>2266</v>
      </c>
      <c r="B15714" s="572">
        <v>0.47694583299999999</v>
      </c>
      <c r="C15714" s="572">
        <v>62.776600000000002</v>
      </c>
    </row>
    <row r="15715" spans="1:3">
      <c r="A15715" s="571" t="s">
        <v>2266</v>
      </c>
      <c r="B15715" s="572">
        <v>0.54220416699999996</v>
      </c>
      <c r="C15715" s="572">
        <v>61.313000000000002</v>
      </c>
    </row>
    <row r="15716" spans="1:3">
      <c r="A15716" s="571" t="s">
        <v>2266</v>
      </c>
      <c r="B15716" s="572">
        <v>0.61569583299999997</v>
      </c>
      <c r="C15716" s="572">
        <v>60.143099999999997</v>
      </c>
    </row>
    <row r="15717" spans="1:3">
      <c r="A15717" s="571" t="s">
        <v>2266</v>
      </c>
      <c r="B15717" s="572">
        <v>0.68100000000000005</v>
      </c>
      <c r="C15717" s="572">
        <v>58.972799999999999</v>
      </c>
    </row>
    <row r="15718" spans="1:3">
      <c r="A15718" s="571" t="s">
        <v>2266</v>
      </c>
      <c r="B15718" s="572">
        <v>0.746258333</v>
      </c>
      <c r="C15718" s="572">
        <v>57.509300000000003</v>
      </c>
    </row>
    <row r="15719" spans="1:3">
      <c r="A15719" s="571" t="s">
        <v>2266</v>
      </c>
      <c r="B15719" s="572">
        <v>0.81974999999999998</v>
      </c>
      <c r="C15719" s="572">
        <v>56.339300000000001</v>
      </c>
    </row>
    <row r="15720" spans="1:3">
      <c r="A15720" s="571" t="s">
        <v>2266</v>
      </c>
      <c r="B15720" s="572">
        <v>0.88496249999999999</v>
      </c>
      <c r="C15720" s="572">
        <v>54.582500000000003</v>
      </c>
    </row>
    <row r="15721" spans="1:3">
      <c r="A15721" s="571" t="s">
        <v>2266</v>
      </c>
      <c r="B15721" s="572">
        <v>0.95845416699999997</v>
      </c>
      <c r="C15721" s="572">
        <v>53.412599999999998</v>
      </c>
    </row>
    <row r="15722" spans="1:3">
      <c r="A15722" s="571" t="s">
        <v>2266</v>
      </c>
      <c r="B15722" s="572">
        <v>1.0237125</v>
      </c>
      <c r="C15722" s="572">
        <v>51.948999999999998</v>
      </c>
    </row>
    <row r="15723" spans="1:3">
      <c r="A15723" s="571" t="s">
        <v>2266</v>
      </c>
      <c r="B15723" s="572">
        <v>1.097154167</v>
      </c>
      <c r="C15723" s="572">
        <v>50.485799999999998</v>
      </c>
    </row>
    <row r="15724" spans="1:3">
      <c r="A15724" s="571" t="s">
        <v>2266</v>
      </c>
      <c r="B15724" s="572">
        <v>1.17065</v>
      </c>
      <c r="C15724" s="572">
        <v>49.315899999999999</v>
      </c>
    </row>
    <row r="15725" spans="1:3">
      <c r="A15725" s="571" t="s">
        <v>2266</v>
      </c>
      <c r="B15725" s="572">
        <v>1.2441416670000001</v>
      </c>
      <c r="C15725" s="572">
        <v>48.146000000000001</v>
      </c>
    </row>
    <row r="15726" spans="1:3">
      <c r="A15726" s="571" t="s">
        <v>2266</v>
      </c>
      <c r="B15726" s="572">
        <v>1.317683333</v>
      </c>
      <c r="C15726" s="572">
        <v>47.269300000000001</v>
      </c>
    </row>
    <row r="15727" spans="1:3">
      <c r="A15727" s="571" t="s">
        <v>2266</v>
      </c>
      <c r="B15727" s="572">
        <v>1.3911750000000001</v>
      </c>
      <c r="C15727" s="572">
        <v>46.099299999999999</v>
      </c>
    </row>
    <row r="15728" spans="1:3">
      <c r="A15728" s="571" t="s">
        <v>2266</v>
      </c>
      <c r="B15728" s="572">
        <v>1.4646666669999999</v>
      </c>
      <c r="C15728" s="572">
        <v>44.929400000000001</v>
      </c>
    </row>
    <row r="15729" spans="1:3">
      <c r="A15729" s="571" t="s">
        <v>2266</v>
      </c>
      <c r="B15729" s="572">
        <v>1.5381125</v>
      </c>
      <c r="C15729" s="572">
        <v>43.466200000000001</v>
      </c>
    </row>
    <row r="15730" spans="1:3">
      <c r="A15730" s="571" t="s">
        <v>2266</v>
      </c>
      <c r="B15730" s="572">
        <v>1.6116999999999999</v>
      </c>
      <c r="C15730" s="572">
        <v>42.882800000000003</v>
      </c>
    </row>
    <row r="15731" spans="1:3">
      <c r="A15731" s="571" t="s">
        <v>2266</v>
      </c>
      <c r="B15731" s="572">
        <v>1.677004167</v>
      </c>
      <c r="C15731" s="572">
        <v>41.712499999999999</v>
      </c>
    </row>
    <row r="15732" spans="1:3">
      <c r="A15732" s="571" t="s">
        <v>2266</v>
      </c>
      <c r="B15732" s="572">
        <v>1.758783333</v>
      </c>
      <c r="C15732" s="572">
        <v>41.129399999999997</v>
      </c>
    </row>
    <row r="15733" spans="1:3">
      <c r="A15733" s="571" t="s">
        <v>2266</v>
      </c>
      <c r="B15733" s="572">
        <v>1.840604167</v>
      </c>
      <c r="C15733" s="572">
        <v>40.839599999999997</v>
      </c>
    </row>
    <row r="15734" spans="1:3">
      <c r="A15734" s="571" t="s">
        <v>2266</v>
      </c>
      <c r="B15734" s="572">
        <v>1.914195833</v>
      </c>
      <c r="C15734" s="572">
        <v>40.256100000000004</v>
      </c>
    </row>
    <row r="15735" spans="1:3">
      <c r="A15735" s="571" t="s">
        <v>2266</v>
      </c>
      <c r="B15735" s="572">
        <v>1.9876875000000001</v>
      </c>
      <c r="C15735" s="572">
        <v>39.086199999999998</v>
      </c>
    </row>
    <row r="15736" spans="1:3">
      <c r="A15736" s="571" t="s">
        <v>2266</v>
      </c>
      <c r="B15736" s="572">
        <v>2.0530875000000002</v>
      </c>
      <c r="C15736" s="572">
        <v>38.502400000000002</v>
      </c>
    </row>
    <row r="15737" spans="1:3">
      <c r="A15737" s="571" t="s">
        <v>2266</v>
      </c>
      <c r="B15737" s="572">
        <v>2.1349125</v>
      </c>
      <c r="C15737" s="572">
        <v>38.212600000000002</v>
      </c>
    </row>
    <row r="15738" spans="1:3">
      <c r="A15738" s="571" t="s">
        <v>2266</v>
      </c>
      <c r="B15738" s="572">
        <v>2.2084541670000002</v>
      </c>
      <c r="C15738" s="572">
        <v>37.335900000000002</v>
      </c>
    </row>
    <row r="15739" spans="1:3">
      <c r="A15739" s="571" t="s">
        <v>2266</v>
      </c>
      <c r="B15739" s="572">
        <v>2.2902291670000001</v>
      </c>
      <c r="C15739" s="572">
        <v>36.752800000000001</v>
      </c>
    </row>
    <row r="15740" spans="1:3">
      <c r="A15740" s="571" t="s">
        <v>2266</v>
      </c>
      <c r="B15740" s="572">
        <v>2.3638666669999999</v>
      </c>
      <c r="C15740" s="572">
        <v>36.462699999999998</v>
      </c>
    </row>
    <row r="15741" spans="1:3">
      <c r="A15741" s="571" t="s">
        <v>2266</v>
      </c>
      <c r="B15741" s="572">
        <v>2.4374541669999998</v>
      </c>
      <c r="C15741" s="572">
        <v>35.879199999999997</v>
      </c>
    </row>
    <row r="15742" spans="1:3">
      <c r="A15742" s="571" t="s">
        <v>2266</v>
      </c>
      <c r="B15742" s="572">
        <v>2.5192791670000001</v>
      </c>
      <c r="C15742" s="572">
        <v>35.589399999999998</v>
      </c>
    </row>
    <row r="15743" spans="1:3">
      <c r="A15743" s="571" t="s">
        <v>2266</v>
      </c>
      <c r="B15743" s="572">
        <v>2.592866667</v>
      </c>
      <c r="C15743" s="572">
        <v>35.006</v>
      </c>
    </row>
    <row r="15744" spans="1:3">
      <c r="A15744" s="571" t="s">
        <v>2266</v>
      </c>
      <c r="B15744" s="572">
        <v>2.6665999999999999</v>
      </c>
      <c r="C15744" s="572">
        <v>35.302300000000002</v>
      </c>
    </row>
    <row r="15745" spans="1:3">
      <c r="A15745" s="571" t="s">
        <v>2266</v>
      </c>
      <c r="B15745" s="572">
        <v>2.7240541669999998</v>
      </c>
      <c r="C15745" s="572">
        <v>36.1845</v>
      </c>
    </row>
    <row r="15746" spans="1:3">
      <c r="A15746" s="571" t="s">
        <v>2266</v>
      </c>
      <c r="B15746" s="572">
        <v>2.8059249999999998</v>
      </c>
      <c r="C15746" s="572">
        <v>36.187899999999999</v>
      </c>
    </row>
    <row r="15747" spans="1:3">
      <c r="A15747" s="571" t="s">
        <v>2266</v>
      </c>
      <c r="B15747" s="572">
        <v>2.8795125000000001</v>
      </c>
      <c r="C15747" s="572">
        <v>35.604500000000002</v>
      </c>
    </row>
    <row r="15748" spans="1:3">
      <c r="A15748" s="571" t="s">
        <v>2266</v>
      </c>
      <c r="B15748" s="572">
        <v>2.9530541669999999</v>
      </c>
      <c r="C15748" s="572">
        <v>34.727800000000002</v>
      </c>
    </row>
    <row r="15749" spans="1:3">
      <c r="A15749" s="571" t="s">
        <v>2266</v>
      </c>
      <c r="B15749" s="572">
        <v>3.002179167</v>
      </c>
      <c r="C15749" s="572">
        <v>34.729900000000001</v>
      </c>
    </row>
    <row r="15750" spans="1:3">
      <c r="A15750" s="571" t="s">
        <v>2266</v>
      </c>
      <c r="B15750" s="572">
        <v>3.018408333</v>
      </c>
      <c r="C15750" s="572">
        <v>33.8508</v>
      </c>
    </row>
    <row r="15751" spans="1:3">
      <c r="A15751" s="571" t="s">
        <v>2266</v>
      </c>
      <c r="B15751" s="572">
        <v>3.0757666669999999</v>
      </c>
      <c r="C15751" s="572">
        <v>34.146500000000003</v>
      </c>
    </row>
    <row r="15752" spans="1:3">
      <c r="A15752" s="571" t="s">
        <v>2266</v>
      </c>
      <c r="B15752" s="572">
        <v>3.1575416669999998</v>
      </c>
      <c r="C15752" s="572">
        <v>33.563400000000001</v>
      </c>
    </row>
    <row r="15753" spans="1:3">
      <c r="A15753" s="571" t="s">
        <v>2266</v>
      </c>
      <c r="B15753" s="572">
        <v>3.2311791670000001</v>
      </c>
      <c r="C15753" s="572">
        <v>33.273200000000003</v>
      </c>
    </row>
    <row r="15754" spans="1:3">
      <c r="A15754" s="571" t="s">
        <v>2266</v>
      </c>
      <c r="B15754" s="572">
        <v>3.304766667</v>
      </c>
      <c r="C15754" s="572">
        <v>32.689799999999998</v>
      </c>
    </row>
    <row r="15755" spans="1:3">
      <c r="A15755" s="571" t="s">
        <v>2266</v>
      </c>
      <c r="B15755" s="572">
        <v>3.378358333</v>
      </c>
      <c r="C15755" s="572">
        <v>32.106299999999997</v>
      </c>
    </row>
    <row r="15756" spans="1:3">
      <c r="A15756" s="571" t="s">
        <v>2266</v>
      </c>
      <c r="B15756" s="572">
        <v>3.4519916670000002</v>
      </c>
      <c r="C15756" s="572">
        <v>31.816199999999998</v>
      </c>
    </row>
    <row r="15757" spans="1:3">
      <c r="A15757" s="571" t="s">
        <v>2266</v>
      </c>
      <c r="B15757" s="572">
        <v>3.5255333329999998</v>
      </c>
      <c r="C15757" s="572">
        <v>30.939499999999999</v>
      </c>
    </row>
    <row r="15758" spans="1:3">
      <c r="A15758" s="571" t="s">
        <v>2266</v>
      </c>
      <c r="B15758" s="572">
        <v>3.5991708330000001</v>
      </c>
      <c r="C15758" s="572">
        <v>30.6493</v>
      </c>
    </row>
    <row r="15759" spans="1:3">
      <c r="A15759" s="571" t="s">
        <v>2266</v>
      </c>
      <c r="B15759" s="572">
        <v>3.672758333</v>
      </c>
      <c r="C15759" s="572">
        <v>30.065899999999999</v>
      </c>
    </row>
    <row r="15760" spans="1:3">
      <c r="A15760" s="571" t="s">
        <v>2266</v>
      </c>
      <c r="B15760" s="572">
        <v>3.7545333329999999</v>
      </c>
      <c r="C15760" s="572">
        <v>29.482800000000001</v>
      </c>
    </row>
    <row r="15761" spans="1:3">
      <c r="A15761" s="571" t="s">
        <v>2266</v>
      </c>
      <c r="B15761" s="572">
        <v>3.828125</v>
      </c>
      <c r="C15761" s="572">
        <v>28.8994</v>
      </c>
    </row>
    <row r="15762" spans="1:3">
      <c r="A15762" s="571" t="s">
        <v>2266</v>
      </c>
      <c r="B15762" s="572">
        <v>3.9017624999999998</v>
      </c>
      <c r="C15762" s="572">
        <v>28.609200000000001</v>
      </c>
    </row>
    <row r="15763" spans="1:3">
      <c r="A15763" s="571" t="s">
        <v>2266</v>
      </c>
      <c r="B15763" s="572">
        <v>3.9752999999999998</v>
      </c>
      <c r="C15763" s="572">
        <v>27.732500000000002</v>
      </c>
    </row>
    <row r="15764" spans="1:3">
      <c r="A15764" s="571" t="s">
        <v>2266</v>
      </c>
      <c r="B15764" s="572">
        <v>4.0488916670000004</v>
      </c>
      <c r="C15764" s="572">
        <v>27.149100000000001</v>
      </c>
    </row>
    <row r="15765" spans="1:3">
      <c r="A15765" s="571" t="s">
        <v>2266</v>
      </c>
      <c r="B15765" s="572">
        <v>4.1224291669999999</v>
      </c>
      <c r="C15765" s="572">
        <v>26.272400000000001</v>
      </c>
    </row>
    <row r="15766" spans="1:3">
      <c r="A15766" s="571" t="s">
        <v>2266</v>
      </c>
      <c r="B15766" s="572">
        <v>4.20425</v>
      </c>
      <c r="C15766" s="572">
        <v>25.982600000000001</v>
      </c>
    </row>
    <row r="15767" spans="1:3">
      <c r="A15767" s="571" t="s">
        <v>2266</v>
      </c>
      <c r="B15767" s="572">
        <v>4.2778333330000002</v>
      </c>
      <c r="C15767" s="572">
        <v>25.3992</v>
      </c>
    </row>
    <row r="15768" spans="1:3">
      <c r="A15768" s="571" t="s">
        <v>2266</v>
      </c>
      <c r="B15768" s="572">
        <v>4.3596250000000003</v>
      </c>
      <c r="C15768" s="572">
        <v>24.816099999999999</v>
      </c>
    </row>
    <row r="15769" spans="1:3">
      <c r="A15769" s="571" t="s">
        <v>2266</v>
      </c>
      <c r="B15769" s="572">
        <v>4.4332083329999996</v>
      </c>
      <c r="C15769" s="572">
        <v>24.232600000000001</v>
      </c>
    </row>
    <row r="15770" spans="1:3">
      <c r="A15770" s="571" t="s">
        <v>2266</v>
      </c>
      <c r="B15770" s="572">
        <v>4.5149999999999997</v>
      </c>
      <c r="C15770" s="572">
        <v>23.6496</v>
      </c>
    </row>
    <row r="15771" spans="1:3">
      <c r="A15771" s="571" t="s">
        <v>2266</v>
      </c>
      <c r="B15771" s="572">
        <v>4.5885416670000003</v>
      </c>
      <c r="C15771" s="572">
        <v>22.7729</v>
      </c>
    </row>
    <row r="15772" spans="1:3">
      <c r="A15772" s="571" t="s">
        <v>2266</v>
      </c>
      <c r="B15772" s="572">
        <v>4.6702916669999999</v>
      </c>
      <c r="C15772" s="572">
        <v>22.189800000000002</v>
      </c>
    </row>
    <row r="15773" spans="1:3">
      <c r="A15773" s="571" t="s">
        <v>2266</v>
      </c>
      <c r="B15773" s="572">
        <v>4.7438750000000001</v>
      </c>
      <c r="C15773" s="572">
        <v>21.606400000000001</v>
      </c>
    </row>
    <row r="15774" spans="1:3">
      <c r="A15774" s="571" t="s">
        <v>2266</v>
      </c>
      <c r="B15774" s="572">
        <v>4.8174583330000003</v>
      </c>
      <c r="C15774" s="572">
        <v>21.0229</v>
      </c>
    </row>
    <row r="15775" spans="1:3">
      <c r="A15775" s="571" t="s">
        <v>2266</v>
      </c>
      <c r="B15775" s="572">
        <v>4.8909583330000004</v>
      </c>
      <c r="C15775" s="572">
        <v>19.853000000000002</v>
      </c>
    </row>
    <row r="15776" spans="1:3">
      <c r="A15776" s="571" t="s">
        <v>2266</v>
      </c>
      <c r="B15776" s="572">
        <v>4.9564166670000001</v>
      </c>
      <c r="C15776" s="572">
        <v>19.5625</v>
      </c>
    </row>
    <row r="15777" spans="1:3">
      <c r="A15777" s="571" t="s">
        <v>2266</v>
      </c>
      <c r="B15777" s="572">
        <v>5.0381666669999996</v>
      </c>
      <c r="C15777" s="572">
        <v>18.6861</v>
      </c>
    </row>
    <row r="15778" spans="1:3">
      <c r="A15778" s="571" t="s">
        <v>2266</v>
      </c>
      <c r="B15778" s="572">
        <v>5.1117499999999998</v>
      </c>
      <c r="C15778" s="572">
        <v>18.102699999999999</v>
      </c>
    </row>
    <row r="15779" spans="1:3">
      <c r="A15779" s="571" t="s">
        <v>2266</v>
      </c>
      <c r="B15779" s="572">
        <v>5.1935000000000002</v>
      </c>
      <c r="C15779" s="572">
        <v>17.519600000000001</v>
      </c>
    </row>
    <row r="15780" spans="1:3">
      <c r="A15780" s="571" t="s">
        <v>2266</v>
      </c>
      <c r="B15780" s="572">
        <v>5.2262083329999998</v>
      </c>
      <c r="C15780" s="572">
        <v>17.227699999999999</v>
      </c>
    </row>
    <row r="15781" spans="1:3">
      <c r="A15781" s="571" t="s">
        <v>2266</v>
      </c>
      <c r="B15781" s="572">
        <v>5.2997500000000004</v>
      </c>
      <c r="C15781" s="572">
        <v>16.351099999999999</v>
      </c>
    </row>
    <row r="15782" spans="1:3">
      <c r="A15782" s="571" t="s">
        <v>2266</v>
      </c>
      <c r="B15782" s="572">
        <v>5.3815416669999996</v>
      </c>
      <c r="C15782" s="572">
        <v>15.768000000000001</v>
      </c>
    </row>
    <row r="15783" spans="1:3">
      <c r="A15783" s="571" t="s">
        <v>2266</v>
      </c>
      <c r="B15783" s="572">
        <v>5.4551249999999998</v>
      </c>
      <c r="C15783" s="572">
        <v>15.1845</v>
      </c>
    </row>
    <row r="15784" spans="1:3">
      <c r="A15784" s="571" t="s">
        <v>2266</v>
      </c>
      <c r="B15784" s="572">
        <v>5.5286666670000004</v>
      </c>
      <c r="C15784" s="572">
        <v>14.3079</v>
      </c>
    </row>
    <row r="15785" spans="1:3">
      <c r="A15785" s="571" t="s">
        <v>2266</v>
      </c>
      <c r="B15785" s="572">
        <v>5.610416667</v>
      </c>
      <c r="C15785" s="572">
        <v>13.7248</v>
      </c>
    </row>
    <row r="15786" spans="1:3">
      <c r="A15786" s="571" t="s">
        <v>2266</v>
      </c>
      <c r="B15786" s="572">
        <v>5.6757916670000004</v>
      </c>
      <c r="C15786" s="572">
        <v>12.8477</v>
      </c>
    </row>
    <row r="15787" spans="1:3">
      <c r="A15787" s="571" t="s">
        <v>2266</v>
      </c>
      <c r="B15787" s="572">
        <v>5.7494166670000002</v>
      </c>
      <c r="C15787" s="572">
        <v>12.557600000000001</v>
      </c>
    </row>
    <row r="15788" spans="1:3">
      <c r="A15788" s="571" t="s">
        <v>2266</v>
      </c>
      <c r="B15788" s="572">
        <v>5.8311666669999997</v>
      </c>
      <c r="C15788" s="572">
        <v>11.6812</v>
      </c>
    </row>
    <row r="15789" spans="1:3">
      <c r="A15789" s="571" t="s">
        <v>2266</v>
      </c>
      <c r="B15789" s="572">
        <v>5.9047499999999999</v>
      </c>
      <c r="C15789" s="572">
        <v>11.097799999999999</v>
      </c>
    </row>
    <row r="15790" spans="1:3">
      <c r="A15790" s="571" t="s">
        <v>2266</v>
      </c>
      <c r="B15790" s="572">
        <v>5.9783333330000001</v>
      </c>
      <c r="C15790" s="572">
        <v>10.5144</v>
      </c>
    </row>
    <row r="15791" spans="1:3">
      <c r="A15791" s="571" t="s">
        <v>2266</v>
      </c>
      <c r="B15791" s="572">
        <v>6.0601250000000002</v>
      </c>
      <c r="C15791" s="572">
        <v>9.9313000000000002</v>
      </c>
    </row>
    <row r="15792" spans="1:3">
      <c r="A15792" s="571" t="s">
        <v>2266</v>
      </c>
      <c r="B15792" s="572">
        <v>6.1337083330000004</v>
      </c>
      <c r="C15792" s="572">
        <v>9.3478700000000003</v>
      </c>
    </row>
    <row r="15793" spans="1:3">
      <c r="A15793" s="571" t="s">
        <v>2266</v>
      </c>
      <c r="B15793" s="572">
        <v>6.2071666670000001</v>
      </c>
      <c r="C15793" s="572">
        <v>8.1779299999999999</v>
      </c>
    </row>
    <row r="15794" spans="1:3">
      <c r="A15794" s="571" t="s">
        <v>2266</v>
      </c>
      <c r="B15794" s="572">
        <v>6.2807916669999999</v>
      </c>
      <c r="C15794" s="572">
        <v>7.5945</v>
      </c>
    </row>
    <row r="15795" spans="1:3">
      <c r="A15795" s="571" t="s">
        <v>2266</v>
      </c>
      <c r="B15795" s="572">
        <v>6.3542500000000004</v>
      </c>
      <c r="C15795" s="572">
        <v>6.4245599999999996</v>
      </c>
    </row>
    <row r="15796" spans="1:3">
      <c r="A15796" s="571" t="s">
        <v>2266</v>
      </c>
      <c r="B15796" s="572">
        <v>6.4360416669999996</v>
      </c>
      <c r="C15796" s="572">
        <v>5.8414799999999998</v>
      </c>
    </row>
    <row r="15797" spans="1:3">
      <c r="A15797" s="571" t="s">
        <v>2266</v>
      </c>
      <c r="B15797" s="572">
        <v>6.5096249999999998</v>
      </c>
      <c r="C15797" s="572">
        <v>5.2580499999999999</v>
      </c>
    </row>
    <row r="15798" spans="1:3">
      <c r="A15798" s="571" t="s">
        <v>2266</v>
      </c>
      <c r="B15798" s="572">
        <v>6.5831666670000004</v>
      </c>
      <c r="C15798" s="572">
        <v>4.3813599999999999</v>
      </c>
    </row>
    <row r="15799" spans="1:3">
      <c r="A15799" s="571" t="s">
        <v>2266</v>
      </c>
      <c r="B15799" s="572">
        <v>6.6567083330000001</v>
      </c>
      <c r="C15799" s="572">
        <v>3.50468</v>
      </c>
    </row>
    <row r="15800" spans="1:3">
      <c r="A15800" s="571" t="s">
        <v>2266</v>
      </c>
      <c r="B15800" s="572">
        <v>6.7302499999999998</v>
      </c>
      <c r="C15800" s="572">
        <v>2.6280000000000001</v>
      </c>
    </row>
    <row r="15801" spans="1:3">
      <c r="A15801" s="571" t="s">
        <v>2266</v>
      </c>
      <c r="B15801" s="572">
        <v>6.8120000000000003</v>
      </c>
      <c r="C15801" s="572">
        <v>1.7516499999999999</v>
      </c>
    </row>
    <row r="15802" spans="1:3">
      <c r="A15802" s="571" t="s">
        <v>2266</v>
      </c>
      <c r="B15802" s="572">
        <v>6.8528333330000004</v>
      </c>
      <c r="C15802" s="572">
        <v>1.1668499999999999</v>
      </c>
    </row>
    <row r="15803" spans="1:3">
      <c r="A15803" s="571" t="s">
        <v>2266</v>
      </c>
      <c r="B15803" s="572">
        <v>6.934583333</v>
      </c>
      <c r="C15803" s="572">
        <v>0.58377000000000001</v>
      </c>
    </row>
    <row r="15804" spans="1:3">
      <c r="A15804" s="48" t="s">
        <v>2267</v>
      </c>
      <c r="B15804" s="549">
        <v>-6.5334169999999997E-3</v>
      </c>
      <c r="C15804" s="549">
        <v>6.7641600000000004</v>
      </c>
    </row>
    <row r="15805" spans="1:3">
      <c r="A15805" s="571" t="s">
        <v>2267</v>
      </c>
      <c r="B15805" s="572">
        <v>1.4465100000000001E-4</v>
      </c>
      <c r="C15805" s="572">
        <v>0.58824699999999996</v>
      </c>
    </row>
    <row r="15806" spans="1:3">
      <c r="A15806" s="571" t="s">
        <v>2267</v>
      </c>
      <c r="B15806" s="572">
        <v>1.1957832999999999E-2</v>
      </c>
      <c r="C15806" s="572">
        <v>15.2951</v>
      </c>
    </row>
    <row r="15807" spans="1:3">
      <c r="A15807" s="571" t="s">
        <v>2267</v>
      </c>
      <c r="B15807" s="572">
        <v>1.405525E-2</v>
      </c>
      <c r="C15807" s="572">
        <v>23.8247</v>
      </c>
    </row>
    <row r="15808" spans="1:3">
      <c r="A15808" s="571" t="s">
        <v>2267</v>
      </c>
      <c r="B15808" s="572">
        <v>4.0164749999999999E-2</v>
      </c>
      <c r="C15808" s="572">
        <v>30.003399999999999</v>
      </c>
    </row>
    <row r="15809" spans="1:3">
      <c r="A15809" s="571" t="s">
        <v>2267</v>
      </c>
      <c r="B15809" s="572">
        <v>4.2117500000000002E-2</v>
      </c>
      <c r="C15809" s="572">
        <v>37.944699999999997</v>
      </c>
    </row>
    <row r="15810" spans="1:3">
      <c r="A15810" s="571" t="s">
        <v>2267</v>
      </c>
      <c r="B15810" s="572">
        <v>6.8660833000000004E-2</v>
      </c>
      <c r="C15810" s="572">
        <v>45.888100000000001</v>
      </c>
    </row>
    <row r="15811" spans="1:3">
      <c r="A15811" s="571" t="s">
        <v>2267</v>
      </c>
      <c r="B15811" s="572">
        <v>7.0396666999999996E-2</v>
      </c>
      <c r="C15811" s="572">
        <v>52.947099999999999</v>
      </c>
    </row>
    <row r="15812" spans="1:3">
      <c r="A15812" s="571" t="s">
        <v>2267</v>
      </c>
      <c r="B15812" s="572">
        <v>8.8960417E-2</v>
      </c>
      <c r="C15812" s="572">
        <v>61.772199999999998</v>
      </c>
    </row>
    <row r="15813" spans="1:3">
      <c r="A15813" s="571" t="s">
        <v>2267</v>
      </c>
      <c r="B15813" s="572">
        <v>0.107307083</v>
      </c>
      <c r="C15813" s="572">
        <v>69.7149</v>
      </c>
    </row>
    <row r="15814" spans="1:3">
      <c r="A15814" s="571" t="s">
        <v>2267</v>
      </c>
      <c r="B15814" s="572">
        <v>0.12514708299999999</v>
      </c>
      <c r="C15814" s="572">
        <v>75.598799999999997</v>
      </c>
    </row>
    <row r="15815" spans="1:3">
      <c r="A15815" s="571" t="s">
        <v>2267</v>
      </c>
      <c r="B15815" s="572">
        <v>0.159092083</v>
      </c>
      <c r="C15815" s="572">
        <v>80.307500000000005</v>
      </c>
    </row>
    <row r="15816" spans="1:3">
      <c r="A15816" s="571" t="s">
        <v>2267</v>
      </c>
      <c r="B15816" s="572">
        <v>0.176209167</v>
      </c>
      <c r="C15816" s="572">
        <v>83.250100000000003</v>
      </c>
    </row>
    <row r="15817" spans="1:3">
      <c r="A15817" s="571" t="s">
        <v>2267</v>
      </c>
      <c r="B15817" s="572">
        <v>0.19332625000000001</v>
      </c>
      <c r="C15817" s="572">
        <v>86.192700000000002</v>
      </c>
    </row>
    <row r="15818" spans="1:3">
      <c r="A15818" s="571" t="s">
        <v>2267</v>
      </c>
      <c r="B15818" s="572">
        <v>0.20224624999999999</v>
      </c>
      <c r="C15818" s="572">
        <v>89.134600000000006</v>
      </c>
    </row>
    <row r="15819" spans="1:3">
      <c r="A15819" s="571" t="s">
        <v>2267</v>
      </c>
      <c r="B15819" s="572">
        <v>0.22748791700000001</v>
      </c>
      <c r="C15819" s="572">
        <v>91.783799999999999</v>
      </c>
    </row>
    <row r="15820" spans="1:3">
      <c r="A15820" s="571" t="s">
        <v>2267</v>
      </c>
      <c r="B15820" s="572">
        <v>0.25280166700000001</v>
      </c>
      <c r="C15820" s="572">
        <v>94.727099999999993</v>
      </c>
    </row>
    <row r="15821" spans="1:3">
      <c r="A15821" s="571" t="s">
        <v>2267</v>
      </c>
      <c r="B15821" s="572">
        <v>0.29472625000000002</v>
      </c>
      <c r="C15821" s="572">
        <v>98.554199999999994</v>
      </c>
    </row>
    <row r="15822" spans="1:3">
      <c r="A15822" s="571" t="s">
        <v>2267</v>
      </c>
      <c r="B15822" s="572">
        <v>0.35246624999999998</v>
      </c>
      <c r="C15822" s="572">
        <v>100.03</v>
      </c>
    </row>
    <row r="15823" spans="1:3">
      <c r="A15823" s="571" t="s">
        <v>2267</v>
      </c>
      <c r="B15823" s="572">
        <v>0.40926583300000002</v>
      </c>
      <c r="C15823" s="572">
        <v>97.6815</v>
      </c>
    </row>
    <row r="15824" spans="1:3">
      <c r="A15824" s="571" t="s">
        <v>2267</v>
      </c>
      <c r="B15824" s="572">
        <v>0.46635416699999999</v>
      </c>
      <c r="C15824" s="572">
        <v>96.509799999999998</v>
      </c>
    </row>
    <row r="15825" spans="1:3">
      <c r="A15825" s="571" t="s">
        <v>2267</v>
      </c>
      <c r="B15825" s="572">
        <v>0.54817916700000002</v>
      </c>
      <c r="C15825" s="572">
        <v>95.928399999999996</v>
      </c>
    </row>
    <row r="15826" spans="1:3">
      <c r="A15826" s="571" t="s">
        <v>2267</v>
      </c>
      <c r="B15826" s="572">
        <v>0.61353749999999996</v>
      </c>
      <c r="C15826" s="572">
        <v>95.051599999999993</v>
      </c>
    </row>
    <row r="15827" spans="1:3">
      <c r="A15827" s="571" t="s">
        <v>2267</v>
      </c>
      <c r="B15827" s="572">
        <v>0.68709166700000002</v>
      </c>
      <c r="C15827" s="572">
        <v>94.175399999999996</v>
      </c>
    </row>
    <row r="15828" spans="1:3">
      <c r="A15828" s="571" t="s">
        <v>2267</v>
      </c>
      <c r="B15828" s="572">
        <v>0.76072083300000004</v>
      </c>
      <c r="C15828" s="572">
        <v>93.593299999999999</v>
      </c>
    </row>
    <row r="15829" spans="1:3">
      <c r="A15829" s="571" t="s">
        <v>2267</v>
      </c>
      <c r="B15829" s="572">
        <v>0.834204167</v>
      </c>
      <c r="C15829" s="572">
        <v>92.423000000000002</v>
      </c>
    </row>
    <row r="15830" spans="1:3">
      <c r="A15830" s="571" t="s">
        <v>2267</v>
      </c>
      <c r="B15830" s="572">
        <v>0.90775833299999997</v>
      </c>
      <c r="C15830" s="572">
        <v>91.546899999999994</v>
      </c>
    </row>
    <row r="15831" spans="1:3">
      <c r="A15831" s="571" t="s">
        <v>2267</v>
      </c>
      <c r="B15831" s="572">
        <v>0.98131250000000003</v>
      </c>
      <c r="C15831" s="572">
        <v>90.670699999999997</v>
      </c>
    </row>
    <row r="15832" spans="1:3">
      <c r="A15832" s="571" t="s">
        <v>2267</v>
      </c>
      <c r="B15832" s="572">
        <v>1.0631375000000001</v>
      </c>
      <c r="C15832" s="572">
        <v>90.089299999999994</v>
      </c>
    </row>
    <row r="15833" spans="1:3">
      <c r="A15833" s="571" t="s">
        <v>2267</v>
      </c>
      <c r="B15833" s="572">
        <v>1.1366208330000001</v>
      </c>
      <c r="C15833" s="572">
        <v>88.918999999999997</v>
      </c>
    </row>
    <row r="15834" spans="1:3">
      <c r="A15834" s="571" t="s">
        <v>2267</v>
      </c>
      <c r="B15834" s="572">
        <v>1.201979167</v>
      </c>
      <c r="C15834" s="572">
        <v>88.042199999999994</v>
      </c>
    </row>
    <row r="15835" spans="1:3">
      <c r="A15835" s="571" t="s">
        <v>2267</v>
      </c>
      <c r="B15835" s="572">
        <v>1.2757499999999999</v>
      </c>
      <c r="C15835" s="572">
        <v>88.048400000000001</v>
      </c>
    </row>
    <row r="15836" spans="1:3">
      <c r="A15836" s="571" t="s">
        <v>2267</v>
      </c>
      <c r="B15836" s="572">
        <v>1.349375</v>
      </c>
      <c r="C15836" s="572">
        <v>87.466300000000004</v>
      </c>
    </row>
    <row r="15837" spans="1:3">
      <c r="A15837" s="571" t="s">
        <v>2267</v>
      </c>
      <c r="B15837" s="572">
        <v>1.422933333</v>
      </c>
      <c r="C15837" s="572">
        <v>86.590199999999996</v>
      </c>
    </row>
    <row r="15838" spans="1:3">
      <c r="A15838" s="571" t="s">
        <v>2267</v>
      </c>
      <c r="B15838" s="572">
        <v>1.4964166670000001</v>
      </c>
      <c r="C15838" s="572">
        <v>85.419899999999998</v>
      </c>
    </row>
    <row r="15839" spans="1:3">
      <c r="A15839" s="571" t="s">
        <v>2267</v>
      </c>
      <c r="B15839" s="572">
        <v>1.561770833</v>
      </c>
      <c r="C15839" s="572">
        <v>84.543000000000006</v>
      </c>
    </row>
    <row r="15840" spans="1:3">
      <c r="A15840" s="571" t="s">
        <v>2267</v>
      </c>
      <c r="B15840" s="572">
        <v>1.6354708330000001</v>
      </c>
      <c r="C15840" s="572">
        <v>84.255099999999999</v>
      </c>
    </row>
    <row r="15841" spans="1:3">
      <c r="A15841" s="571" t="s">
        <v>2267</v>
      </c>
      <c r="B15841" s="572">
        <v>1.7172958330000001</v>
      </c>
      <c r="C15841" s="572">
        <v>83.673699999999997</v>
      </c>
    </row>
    <row r="15842" spans="1:3">
      <c r="A15842" s="571" t="s">
        <v>2267</v>
      </c>
      <c r="B15842" s="572">
        <v>1.7908500000000001</v>
      </c>
      <c r="C15842" s="572">
        <v>82.797600000000003</v>
      </c>
    </row>
    <row r="15843" spans="1:3">
      <c r="A15843" s="571" t="s">
        <v>2267</v>
      </c>
      <c r="B15843" s="572">
        <v>1.8644083330000001</v>
      </c>
      <c r="C15843" s="572">
        <v>81.921400000000006</v>
      </c>
    </row>
    <row r="15844" spans="1:3">
      <c r="A15844" s="571" t="s">
        <v>2267</v>
      </c>
      <c r="B15844" s="572">
        <v>1.9380333329999999</v>
      </c>
      <c r="C15844" s="572">
        <v>81.339299999999994</v>
      </c>
    </row>
    <row r="15845" spans="1:3">
      <c r="A15845" s="571" t="s">
        <v>2267</v>
      </c>
      <c r="B15845" s="572">
        <v>2.0033916669999998</v>
      </c>
      <c r="C15845" s="572">
        <v>80.462500000000006</v>
      </c>
    </row>
    <row r="15846" spans="1:3">
      <c r="A15846" s="571" t="s">
        <v>2267</v>
      </c>
      <c r="B15846" s="572">
        <v>2.0770916669999999</v>
      </c>
      <c r="C15846" s="572">
        <v>80.174499999999995</v>
      </c>
    </row>
    <row r="15847" spans="1:3">
      <c r="A15847" s="571" t="s">
        <v>2267</v>
      </c>
      <c r="B15847" s="572">
        <v>2.1425208329999998</v>
      </c>
      <c r="C15847" s="572">
        <v>79.591800000000006</v>
      </c>
    </row>
    <row r="15848" spans="1:3">
      <c r="A15848" s="571" t="s">
        <v>2267</v>
      </c>
      <c r="B15848" s="572">
        <v>2.2080250000000001</v>
      </c>
      <c r="C15848" s="572">
        <v>79.303200000000004</v>
      </c>
    </row>
    <row r="15849" spans="1:3">
      <c r="A15849" s="571" t="s">
        <v>2267</v>
      </c>
      <c r="B15849" s="572">
        <v>2.289920833</v>
      </c>
      <c r="C15849" s="572">
        <v>79.016000000000005</v>
      </c>
    </row>
    <row r="15850" spans="1:3">
      <c r="A15850" s="571" t="s">
        <v>2267</v>
      </c>
      <c r="B15850" s="572">
        <v>2.3636208330000001</v>
      </c>
      <c r="C15850" s="572">
        <v>78.727999999999994</v>
      </c>
    </row>
    <row r="15851" spans="1:3">
      <c r="A15851" s="571" t="s">
        <v>2267</v>
      </c>
      <c r="B15851" s="572">
        <v>2.4372500000000001</v>
      </c>
      <c r="C15851" s="572">
        <v>78.146000000000001</v>
      </c>
    </row>
    <row r="15852" spans="1:3">
      <c r="A15852" s="571" t="s">
        <v>2267</v>
      </c>
      <c r="B15852" s="572">
        <v>2.5109499999999998</v>
      </c>
      <c r="C15852" s="572">
        <v>77.858099999999993</v>
      </c>
    </row>
    <row r="15853" spans="1:3">
      <c r="A15853" s="571" t="s">
        <v>2267</v>
      </c>
      <c r="B15853" s="572">
        <v>2.5928458330000002</v>
      </c>
      <c r="C15853" s="572">
        <v>77.570800000000006</v>
      </c>
    </row>
    <row r="15854" spans="1:3">
      <c r="A15854" s="571" t="s">
        <v>2267</v>
      </c>
      <c r="B15854" s="572">
        <v>2.6748124999999998</v>
      </c>
      <c r="C15854" s="572">
        <v>77.577699999999993</v>
      </c>
    </row>
    <row r="15855" spans="1:3">
      <c r="A15855" s="571" t="s">
        <v>2267</v>
      </c>
      <c r="B15855" s="572">
        <v>2.7566375000000001</v>
      </c>
      <c r="C15855" s="572">
        <v>76.996399999999994</v>
      </c>
    </row>
    <row r="15856" spans="1:3">
      <c r="A15856" s="571" t="s">
        <v>2267</v>
      </c>
      <c r="B15856" s="572">
        <v>2.8302666670000001</v>
      </c>
      <c r="C15856" s="572">
        <v>76.414299999999997</v>
      </c>
    </row>
    <row r="15857" spans="1:3">
      <c r="A15857" s="571" t="s">
        <v>2267</v>
      </c>
      <c r="B15857" s="572">
        <v>2.9040374999999998</v>
      </c>
      <c r="C15857" s="572">
        <v>76.420500000000004</v>
      </c>
    </row>
    <row r="15858" spans="1:3">
      <c r="A15858" s="571" t="s">
        <v>2267</v>
      </c>
      <c r="B15858" s="572">
        <v>2.9777374999999999</v>
      </c>
      <c r="C15858" s="572">
        <v>76.132599999999996</v>
      </c>
    </row>
    <row r="15859" spans="1:3">
      <c r="A15859" s="571" t="s">
        <v>2267</v>
      </c>
      <c r="B15859" s="572">
        <v>3.0272791670000001</v>
      </c>
      <c r="C15859" s="572">
        <v>77.607299999999995</v>
      </c>
    </row>
    <row r="15860" spans="1:3">
      <c r="A15860" s="571" t="s">
        <v>2267</v>
      </c>
      <c r="B15860" s="572">
        <v>3.1092499999999998</v>
      </c>
      <c r="C15860" s="572">
        <v>77.614199999999997</v>
      </c>
    </row>
    <row r="15861" spans="1:3">
      <c r="A15861" s="571" t="s">
        <v>2267</v>
      </c>
      <c r="B15861" s="572">
        <v>3.1747541670000001</v>
      </c>
      <c r="C15861" s="572">
        <v>77.325599999999994</v>
      </c>
    </row>
    <row r="15862" spans="1:3">
      <c r="A15862" s="571" t="s">
        <v>2267</v>
      </c>
      <c r="B15862" s="572">
        <v>3.2567208330000001</v>
      </c>
      <c r="C15862" s="572">
        <v>77.332499999999996</v>
      </c>
    </row>
    <row r="15863" spans="1:3">
      <c r="A15863" s="571" t="s">
        <v>2267</v>
      </c>
      <c r="B15863" s="572">
        <v>3.3303500000000001</v>
      </c>
      <c r="C15863" s="572">
        <v>76.750399999999999</v>
      </c>
    </row>
    <row r="15864" spans="1:3">
      <c r="A15864" s="571" t="s">
        <v>2267</v>
      </c>
      <c r="B15864" s="572">
        <v>3.4122458330000001</v>
      </c>
      <c r="C15864" s="572">
        <v>76.463200000000001</v>
      </c>
    </row>
    <row r="15865" spans="1:3">
      <c r="A15865" s="571" t="s">
        <v>2267</v>
      </c>
      <c r="B15865" s="572">
        <v>3.4859458330000002</v>
      </c>
      <c r="C15865" s="572">
        <v>76.175299999999993</v>
      </c>
    </row>
    <row r="15866" spans="1:3">
      <c r="A15866" s="571" t="s">
        <v>2267</v>
      </c>
      <c r="B15866" s="572">
        <v>3.5594999999999999</v>
      </c>
      <c r="C15866" s="572">
        <v>75.299099999999996</v>
      </c>
    </row>
    <row r="15867" spans="1:3">
      <c r="A15867" s="571" t="s">
        <v>2267</v>
      </c>
      <c r="B15867" s="572">
        <v>3.6332</v>
      </c>
      <c r="C15867" s="572">
        <v>75.011200000000002</v>
      </c>
    </row>
    <row r="15868" spans="1:3">
      <c r="A15868" s="571" t="s">
        <v>2267</v>
      </c>
      <c r="B15868" s="572">
        <v>3.7150249999999998</v>
      </c>
      <c r="C15868" s="572">
        <v>74.4298</v>
      </c>
    </row>
    <row r="15869" spans="1:3">
      <c r="A15869" s="571" t="s">
        <v>2267</v>
      </c>
      <c r="B15869" s="572">
        <v>3.788795833</v>
      </c>
      <c r="C15869" s="572">
        <v>74.436000000000007</v>
      </c>
    </row>
    <row r="15870" spans="1:3">
      <c r="A15870" s="571" t="s">
        <v>2267</v>
      </c>
      <c r="B15870" s="572">
        <v>3.8624958330000001</v>
      </c>
      <c r="C15870" s="572">
        <v>74.148099999999999</v>
      </c>
    </row>
    <row r="15871" spans="1:3">
      <c r="A15871" s="571" t="s">
        <v>2267</v>
      </c>
      <c r="B15871" s="572">
        <v>3.9443208329999999</v>
      </c>
      <c r="C15871" s="572">
        <v>73.566699999999997</v>
      </c>
    </row>
    <row r="15872" spans="1:3">
      <c r="A15872" s="571" t="s">
        <v>2267</v>
      </c>
      <c r="B15872" s="572">
        <v>4.0180208329999996</v>
      </c>
      <c r="C15872" s="572">
        <v>73.278800000000004</v>
      </c>
    </row>
    <row r="15873" spans="1:3">
      <c r="A15873" s="571" t="s">
        <v>2267</v>
      </c>
      <c r="B15873" s="572">
        <v>4.0998416669999997</v>
      </c>
      <c r="C15873" s="572">
        <v>72.697500000000005</v>
      </c>
    </row>
    <row r="15874" spans="1:3">
      <c r="A15874" s="571" t="s">
        <v>2267</v>
      </c>
      <c r="B15874" s="572">
        <v>4.1735416670000003</v>
      </c>
      <c r="C15874" s="572">
        <v>72.409499999999994</v>
      </c>
    </row>
    <row r="15875" spans="1:3">
      <c r="A15875" s="571" t="s">
        <v>2267</v>
      </c>
      <c r="B15875" s="572">
        <v>4.2471666670000001</v>
      </c>
      <c r="C15875" s="572">
        <v>71.827500000000001</v>
      </c>
    </row>
    <row r="15876" spans="1:3">
      <c r="A15876" s="571" t="s">
        <v>2267</v>
      </c>
      <c r="B15876" s="572">
        <v>4.3290833329999998</v>
      </c>
      <c r="C15876" s="572">
        <v>71.540300000000002</v>
      </c>
    </row>
    <row r="15877" spans="1:3">
      <c r="A15877" s="571" t="s">
        <v>2267</v>
      </c>
      <c r="B15877" s="572">
        <v>4.4027500000000002</v>
      </c>
      <c r="C15877" s="572">
        <v>71.252300000000005</v>
      </c>
    </row>
    <row r="15878" spans="1:3">
      <c r="A15878" s="571" t="s">
        <v>2267</v>
      </c>
      <c r="B15878" s="572">
        <v>4.4764583330000001</v>
      </c>
      <c r="C15878" s="572">
        <v>70.964399999999998</v>
      </c>
    </row>
    <row r="15879" spans="1:3">
      <c r="A15879" s="571" t="s">
        <v>2267</v>
      </c>
      <c r="B15879" s="572">
        <v>4.5500833329999999</v>
      </c>
      <c r="C15879" s="572">
        <v>70.382400000000004</v>
      </c>
    </row>
    <row r="15880" spans="1:3">
      <c r="A15880" s="571" t="s">
        <v>2267</v>
      </c>
      <c r="B15880" s="572">
        <v>4.6236666670000002</v>
      </c>
      <c r="C15880" s="572">
        <v>69.506200000000007</v>
      </c>
    </row>
    <row r="15881" spans="1:3">
      <c r="A15881" s="571" t="s">
        <v>2267</v>
      </c>
      <c r="B15881" s="572">
        <v>4.697291667</v>
      </c>
      <c r="C15881" s="572">
        <v>68.924099999999996</v>
      </c>
    </row>
    <row r="15882" spans="1:3">
      <c r="A15882" s="571" t="s">
        <v>2267</v>
      </c>
      <c r="B15882" s="572">
        <v>4.7710416670000004</v>
      </c>
      <c r="C15882" s="572">
        <v>68.930300000000003</v>
      </c>
    </row>
    <row r="15883" spans="1:3">
      <c r="A15883" s="571" t="s">
        <v>2267</v>
      </c>
      <c r="B15883" s="572">
        <v>4.8446666670000003</v>
      </c>
      <c r="C15883" s="572">
        <v>68.348299999999995</v>
      </c>
    </row>
    <row r="15884" spans="1:3">
      <c r="A15884" s="571" t="s">
        <v>2267</v>
      </c>
      <c r="B15884" s="572">
        <v>4.926583333</v>
      </c>
      <c r="C15884" s="572">
        <v>68.061099999999996</v>
      </c>
    </row>
    <row r="15885" spans="1:3">
      <c r="A15885" s="571" t="s">
        <v>2267</v>
      </c>
      <c r="B15885" s="572">
        <v>5.0002083329999998</v>
      </c>
      <c r="C15885" s="572">
        <v>67.478999999999999</v>
      </c>
    </row>
    <row r="15886" spans="1:3">
      <c r="A15886" s="571" t="s">
        <v>2267</v>
      </c>
      <c r="B15886" s="572">
        <v>5.0819583330000002</v>
      </c>
      <c r="C15886" s="572">
        <v>66.603499999999997</v>
      </c>
    </row>
    <row r="15887" spans="1:3">
      <c r="A15887" s="571" t="s">
        <v>2267</v>
      </c>
      <c r="B15887" s="572">
        <v>5.1556666670000002</v>
      </c>
      <c r="C15887" s="572">
        <v>66.315600000000003</v>
      </c>
    </row>
    <row r="15888" spans="1:3">
      <c r="A15888" s="571" t="s">
        <v>2267</v>
      </c>
      <c r="B15888" s="572">
        <v>5.229291667</v>
      </c>
      <c r="C15888" s="572">
        <v>65.733599999999996</v>
      </c>
    </row>
    <row r="15889" spans="1:3">
      <c r="A15889" s="571" t="s">
        <v>2267</v>
      </c>
      <c r="B15889" s="572">
        <v>5.3029583330000003</v>
      </c>
      <c r="C15889" s="572">
        <v>65.445599999999999</v>
      </c>
    </row>
    <row r="15890" spans="1:3">
      <c r="A15890" s="571" t="s">
        <v>2267</v>
      </c>
      <c r="B15890" s="572">
        <v>5.3848750000000001</v>
      </c>
      <c r="C15890" s="572">
        <v>65.1584</v>
      </c>
    </row>
    <row r="15891" spans="1:3">
      <c r="A15891" s="571" t="s">
        <v>2267</v>
      </c>
      <c r="B15891" s="572">
        <v>5.4584999999999999</v>
      </c>
      <c r="C15891" s="572">
        <v>64.576300000000003</v>
      </c>
    </row>
    <row r="15892" spans="1:3">
      <c r="A15892" s="571" t="s">
        <v>2267</v>
      </c>
      <c r="B15892" s="572">
        <v>5.5321249999999997</v>
      </c>
      <c r="C15892" s="572">
        <v>63.994300000000003</v>
      </c>
    </row>
    <row r="15893" spans="1:3">
      <c r="A15893" s="571" t="s">
        <v>2267</v>
      </c>
      <c r="B15893" s="572">
        <v>5.6140416670000004</v>
      </c>
      <c r="C15893" s="572">
        <v>63.707099999999997</v>
      </c>
    </row>
    <row r="15894" spans="1:3">
      <c r="A15894" s="571" t="s">
        <v>2267</v>
      </c>
      <c r="B15894" s="572">
        <v>5.6876666670000002</v>
      </c>
      <c r="C15894" s="572">
        <v>63.125</v>
      </c>
    </row>
    <row r="15895" spans="1:3">
      <c r="A15895" s="571" t="s">
        <v>2267</v>
      </c>
      <c r="B15895" s="572">
        <v>5.7695416670000004</v>
      </c>
      <c r="C15895" s="572">
        <v>62.837800000000001</v>
      </c>
    </row>
    <row r="15896" spans="1:3">
      <c r="A15896" s="571" t="s">
        <v>2267</v>
      </c>
      <c r="B15896" s="572">
        <v>5.8022499999999999</v>
      </c>
      <c r="C15896" s="572">
        <v>62.546399999999998</v>
      </c>
    </row>
    <row r="15897" spans="1:3">
      <c r="A15897" s="571" t="s">
        <v>2267</v>
      </c>
      <c r="B15897" s="572">
        <v>5.8840833330000004</v>
      </c>
      <c r="C15897" s="572">
        <v>61.965000000000003</v>
      </c>
    </row>
    <row r="15898" spans="1:3">
      <c r="A15898" s="571" t="s">
        <v>2267</v>
      </c>
      <c r="B15898" s="572">
        <v>5.9577916670000004</v>
      </c>
      <c r="C15898" s="572">
        <v>61.677100000000003</v>
      </c>
    </row>
    <row r="15899" spans="1:3">
      <c r="A15899" s="571" t="s">
        <v>2267</v>
      </c>
      <c r="B15899" s="572">
        <v>6.039625</v>
      </c>
      <c r="C15899" s="572">
        <v>61.095799999999997</v>
      </c>
    </row>
    <row r="15900" spans="1:3">
      <c r="A15900" s="571" t="s">
        <v>2267</v>
      </c>
      <c r="B15900" s="572">
        <v>6.1215000000000002</v>
      </c>
      <c r="C15900" s="572">
        <v>60.808500000000002</v>
      </c>
    </row>
    <row r="15901" spans="1:3">
      <c r="A15901" s="571" t="s">
        <v>2267</v>
      </c>
      <c r="B15901" s="572">
        <v>6.1952083330000001</v>
      </c>
      <c r="C15901" s="572">
        <v>60.520600000000002</v>
      </c>
    </row>
    <row r="15902" spans="1:3">
      <c r="A15902" s="571" t="s">
        <v>2267</v>
      </c>
      <c r="B15902" s="572">
        <v>6.2687499999999998</v>
      </c>
      <c r="C15902" s="572">
        <v>59.644399999999997</v>
      </c>
    </row>
    <row r="15903" spans="1:3">
      <c r="A15903" s="571" t="s">
        <v>2267</v>
      </c>
      <c r="B15903" s="572">
        <v>6.3506666669999996</v>
      </c>
      <c r="C15903" s="572">
        <v>59.357199999999999</v>
      </c>
    </row>
    <row r="15904" spans="1:3">
      <c r="A15904" s="571" t="s">
        <v>2267</v>
      </c>
      <c r="B15904" s="572">
        <v>6.4242083330000002</v>
      </c>
      <c r="C15904" s="572">
        <v>58.481000000000002</v>
      </c>
    </row>
    <row r="15905" spans="1:3">
      <c r="A15905" s="571" t="s">
        <v>2267</v>
      </c>
      <c r="B15905" s="572">
        <v>6.5061249999999999</v>
      </c>
      <c r="C15905" s="572">
        <v>58.193800000000003</v>
      </c>
    </row>
    <row r="15906" spans="1:3">
      <c r="A15906" s="571" t="s">
        <v>2267</v>
      </c>
      <c r="B15906" s="572">
        <v>6.5798333329999998</v>
      </c>
      <c r="C15906" s="572">
        <v>57.905900000000003</v>
      </c>
    </row>
    <row r="15907" spans="1:3">
      <c r="A15907" s="571" t="s">
        <v>2267</v>
      </c>
      <c r="B15907" s="572">
        <v>6.6616249999999999</v>
      </c>
      <c r="C15907" s="572">
        <v>57.3245</v>
      </c>
    </row>
    <row r="15908" spans="1:3">
      <c r="A15908" s="571" t="s">
        <v>2267</v>
      </c>
      <c r="B15908" s="572">
        <v>6.7435416669999997</v>
      </c>
      <c r="C15908" s="572">
        <v>57.037300000000002</v>
      </c>
    </row>
    <row r="15909" spans="1:3">
      <c r="A15909" s="571" t="s">
        <v>2267</v>
      </c>
      <c r="B15909" s="572">
        <v>6.8171666670000004</v>
      </c>
      <c r="C15909" s="572">
        <v>56.455199999999998</v>
      </c>
    </row>
    <row r="15910" spans="1:3">
      <c r="A15910" s="571" t="s">
        <v>2267</v>
      </c>
      <c r="B15910" s="572">
        <v>6.8990416669999997</v>
      </c>
      <c r="C15910" s="572">
        <v>56.167999999999999</v>
      </c>
    </row>
    <row r="15911" spans="1:3">
      <c r="A15911" s="571" t="s">
        <v>2267</v>
      </c>
      <c r="B15911" s="572">
        <v>6.9809583330000002</v>
      </c>
      <c r="C15911" s="572">
        <v>55.880800000000001</v>
      </c>
    </row>
    <row r="15912" spans="1:3">
      <c r="A15912" s="571" t="s">
        <v>2268</v>
      </c>
      <c r="B15912" s="572">
        <v>1.6537419999999999E-3</v>
      </c>
      <c r="C15912" s="572">
        <v>6.7252200000000002</v>
      </c>
    </row>
    <row r="15913" spans="1:3">
      <c r="A15913" s="571" t="s">
        <v>2268</v>
      </c>
      <c r="B15913" s="572">
        <v>8.1967919999999996E-3</v>
      </c>
      <c r="C15913" s="572">
        <v>3.4238999999999998E-4</v>
      </c>
    </row>
    <row r="15914" spans="1:3">
      <c r="A15914" s="571" t="s">
        <v>2268</v>
      </c>
      <c r="B15914" s="572">
        <v>2.0060583E-2</v>
      </c>
      <c r="C15914" s="572">
        <v>14.9131</v>
      </c>
    </row>
    <row r="15915" spans="1:3">
      <c r="A15915" s="571" t="s">
        <v>2268</v>
      </c>
      <c r="B15915" s="572">
        <v>2.2433374999999998E-2</v>
      </c>
      <c r="C15915" s="572">
        <v>24.5623</v>
      </c>
    </row>
    <row r="15916" spans="1:3">
      <c r="A15916" s="571" t="s">
        <v>2268</v>
      </c>
      <c r="B15916" s="572">
        <v>4.8533750000000001E-2</v>
      </c>
      <c r="C15916" s="572">
        <v>30.703800000000001</v>
      </c>
    </row>
    <row r="15917" spans="1:3">
      <c r="A15917" s="571" t="s">
        <v>2268</v>
      </c>
      <c r="B15917" s="572">
        <v>5.8168749999999998E-2</v>
      </c>
      <c r="C15917" s="572">
        <v>36.552100000000003</v>
      </c>
    </row>
    <row r="15918" spans="1:3">
      <c r="A15918" s="571" t="s">
        <v>2268</v>
      </c>
      <c r="B15918" s="572">
        <v>0.100734583</v>
      </c>
      <c r="C15918" s="572">
        <v>42.986699999999999</v>
      </c>
    </row>
    <row r="15919" spans="1:3">
      <c r="A15919" s="571" t="s">
        <v>2268</v>
      </c>
      <c r="B15919" s="572">
        <v>0.14337208300000001</v>
      </c>
      <c r="C15919" s="572">
        <v>49.7136</v>
      </c>
    </row>
    <row r="15920" spans="1:3">
      <c r="A15920" s="571" t="s">
        <v>2268</v>
      </c>
      <c r="B15920" s="572">
        <v>0.18615375000000001</v>
      </c>
      <c r="C15920" s="572">
        <v>57.025300000000001</v>
      </c>
    </row>
    <row r="15921" spans="1:3">
      <c r="A15921" s="571" t="s">
        <v>2268</v>
      </c>
      <c r="B15921" s="572">
        <v>0.24540083300000001</v>
      </c>
      <c r="C15921" s="572">
        <v>64.630099999999999</v>
      </c>
    </row>
    <row r="15922" spans="1:3">
      <c r="A15922" s="571" t="s">
        <v>2268</v>
      </c>
      <c r="B15922" s="572">
        <v>0.27099791699999998</v>
      </c>
      <c r="C15922" s="572">
        <v>68.724800000000002</v>
      </c>
    </row>
    <row r="15923" spans="1:3">
      <c r="A15923" s="571" t="s">
        <v>2268</v>
      </c>
      <c r="B15923" s="572">
        <v>0.34541624999999998</v>
      </c>
      <c r="C15923" s="572">
        <v>71.359499999999997</v>
      </c>
    </row>
    <row r="15924" spans="1:3">
      <c r="A15924" s="571" t="s">
        <v>2268</v>
      </c>
      <c r="B15924" s="572">
        <v>0.38632833300000002</v>
      </c>
      <c r="C15924" s="572">
        <v>71.068799999999996</v>
      </c>
    </row>
    <row r="15925" spans="1:3">
      <c r="A15925" s="571" t="s">
        <v>2268</v>
      </c>
      <c r="B15925" s="572">
        <v>0.46815416700000001</v>
      </c>
      <c r="C15925" s="572">
        <v>70.487399999999994</v>
      </c>
    </row>
    <row r="15926" spans="1:3">
      <c r="A15926" s="571" t="s">
        <v>2268</v>
      </c>
      <c r="B15926" s="572">
        <v>0.54214166699999999</v>
      </c>
      <c r="C15926" s="572">
        <v>71.367699999999999</v>
      </c>
    </row>
    <row r="15927" spans="1:3">
      <c r="A15927" s="571" t="s">
        <v>2268</v>
      </c>
      <c r="B15927" s="572">
        <v>0.61612500000000003</v>
      </c>
      <c r="C15927" s="572">
        <v>72.248000000000005</v>
      </c>
    </row>
    <row r="15928" spans="1:3">
      <c r="A15928" s="571" t="s">
        <v>2268</v>
      </c>
      <c r="B15928" s="572">
        <v>0.69830833299999995</v>
      </c>
      <c r="C15928" s="572">
        <v>73.128600000000006</v>
      </c>
    </row>
    <row r="15929" spans="1:3">
      <c r="A15929" s="571" t="s">
        <v>2268</v>
      </c>
      <c r="B15929" s="572">
        <v>0.77229583300000004</v>
      </c>
      <c r="C15929" s="572">
        <v>74.008899999999997</v>
      </c>
    </row>
    <row r="15930" spans="1:3">
      <c r="A15930" s="571" t="s">
        <v>2268</v>
      </c>
      <c r="B15930" s="572">
        <v>0.85440833299999996</v>
      </c>
      <c r="C15930" s="572">
        <v>74.597099999999998</v>
      </c>
    </row>
    <row r="15931" spans="1:3">
      <c r="A15931" s="571" t="s">
        <v>2268</v>
      </c>
      <c r="B15931" s="572">
        <v>0.92825416699999996</v>
      </c>
      <c r="C15931" s="572">
        <v>74.892600000000002</v>
      </c>
    </row>
    <row r="15932" spans="1:3">
      <c r="A15932" s="571" t="s">
        <v>2268</v>
      </c>
      <c r="B15932" s="572">
        <v>1.0020249999999999</v>
      </c>
      <c r="C15932" s="572">
        <v>74.895700000000005</v>
      </c>
    </row>
    <row r="15933" spans="1:3">
      <c r="A15933" s="571" t="s">
        <v>2268</v>
      </c>
      <c r="B15933" s="572">
        <v>1.0840624999999999</v>
      </c>
      <c r="C15933" s="572">
        <v>75.191500000000005</v>
      </c>
    </row>
    <row r="15934" spans="1:3">
      <c r="A15934" s="571" t="s">
        <v>2268</v>
      </c>
      <c r="B15934" s="572">
        <v>1.157908333</v>
      </c>
      <c r="C15934" s="572">
        <v>75.486999999999995</v>
      </c>
    </row>
    <row r="15935" spans="1:3">
      <c r="A15935" s="571" t="s">
        <v>2268</v>
      </c>
      <c r="B15935" s="572">
        <v>1.2400166669999999</v>
      </c>
      <c r="C15935" s="572">
        <v>76.075199999999995</v>
      </c>
    </row>
    <row r="15936" spans="1:3">
      <c r="A15936" s="571" t="s">
        <v>2268</v>
      </c>
      <c r="B15936" s="572">
        <v>1.3137916670000001</v>
      </c>
      <c r="C15936" s="572">
        <v>76.078299999999999</v>
      </c>
    </row>
    <row r="15937" spans="1:3">
      <c r="A15937" s="571" t="s">
        <v>2268</v>
      </c>
      <c r="B15937" s="572">
        <v>1.395829167</v>
      </c>
      <c r="C15937" s="572">
        <v>76.374099999999999</v>
      </c>
    </row>
    <row r="15938" spans="1:3">
      <c r="A15938" s="571" t="s">
        <v>2268</v>
      </c>
      <c r="B15938" s="572">
        <v>1.4694583329999999</v>
      </c>
      <c r="C15938" s="572">
        <v>75.792400000000001</v>
      </c>
    </row>
    <row r="15939" spans="1:3">
      <c r="A15939" s="571" t="s">
        <v>2268</v>
      </c>
      <c r="B15939" s="572">
        <v>1.5514250000000001</v>
      </c>
      <c r="C15939" s="572">
        <v>75.7958</v>
      </c>
    </row>
    <row r="15940" spans="1:3">
      <c r="A15940" s="571" t="s">
        <v>2268</v>
      </c>
      <c r="B15940" s="572">
        <v>1.6251249999999999</v>
      </c>
      <c r="C15940" s="572">
        <v>75.506500000000003</v>
      </c>
    </row>
    <row r="15941" spans="1:3">
      <c r="A15941" s="571" t="s">
        <v>2268</v>
      </c>
      <c r="B15941" s="572">
        <v>1.707091667</v>
      </c>
      <c r="C15941" s="572">
        <v>75.509900000000002</v>
      </c>
    </row>
    <row r="15942" spans="1:3">
      <c r="A15942" s="571" t="s">
        <v>2268</v>
      </c>
      <c r="B15942" s="572">
        <v>1.7807916669999999</v>
      </c>
      <c r="C15942" s="572">
        <v>75.220600000000005</v>
      </c>
    </row>
    <row r="15943" spans="1:3">
      <c r="A15943" s="571" t="s">
        <v>2268</v>
      </c>
      <c r="B15943" s="572">
        <v>1.8545624999999999</v>
      </c>
      <c r="C15943" s="572">
        <v>75.223699999999994</v>
      </c>
    </row>
    <row r="15944" spans="1:3">
      <c r="A15944" s="571" t="s">
        <v>2268</v>
      </c>
      <c r="B15944" s="572">
        <v>1.9281916670000001</v>
      </c>
      <c r="C15944" s="572">
        <v>74.641900000000007</v>
      </c>
    </row>
    <row r="15945" spans="1:3">
      <c r="A15945" s="571" t="s">
        <v>2268</v>
      </c>
      <c r="B15945" s="572">
        <v>2.0099416670000001</v>
      </c>
      <c r="C15945" s="572">
        <v>73.768199999999993</v>
      </c>
    </row>
    <row r="15946" spans="1:3">
      <c r="A15946" s="571" t="s">
        <v>2268</v>
      </c>
      <c r="B15946" s="572">
        <v>2.0837124999999999</v>
      </c>
      <c r="C15946" s="572">
        <v>73.771199999999993</v>
      </c>
    </row>
    <row r="15947" spans="1:3">
      <c r="A15947" s="571" t="s">
        <v>2268</v>
      </c>
      <c r="B15947" s="572">
        <v>2.1573416669999999</v>
      </c>
      <c r="C15947" s="572">
        <v>73.189499999999995</v>
      </c>
    </row>
    <row r="15948" spans="1:3">
      <c r="A15948" s="571" t="s">
        <v>2268</v>
      </c>
      <c r="B15948" s="572">
        <v>2.2392375000000002</v>
      </c>
      <c r="C15948" s="572">
        <v>72.900599999999997</v>
      </c>
    </row>
    <row r="15949" spans="1:3">
      <c r="A15949" s="571" t="s">
        <v>2268</v>
      </c>
      <c r="B15949" s="572">
        <v>2.3211333330000001</v>
      </c>
      <c r="C15949" s="572">
        <v>72.611599999999996</v>
      </c>
    </row>
    <row r="15950" spans="1:3">
      <c r="A15950" s="571" t="s">
        <v>2268</v>
      </c>
      <c r="B15950" s="572">
        <v>2.4029583329999999</v>
      </c>
      <c r="C15950" s="572">
        <v>72.030199999999994</v>
      </c>
    </row>
    <row r="15951" spans="1:3">
      <c r="A15951" s="571" t="s">
        <v>2268</v>
      </c>
      <c r="B15951" s="572">
        <v>2.4765874999999999</v>
      </c>
      <c r="C15951" s="572">
        <v>71.448499999999996</v>
      </c>
    </row>
    <row r="15952" spans="1:3">
      <c r="A15952" s="571" t="s">
        <v>2268</v>
      </c>
      <c r="B15952" s="572">
        <v>2.558554167</v>
      </c>
      <c r="C15952" s="572">
        <v>71.451899999999995</v>
      </c>
    </row>
    <row r="15953" spans="1:3">
      <c r="A15953" s="571" t="s">
        <v>2268</v>
      </c>
      <c r="B15953" s="572">
        <v>2.6322541670000001</v>
      </c>
      <c r="C15953" s="572">
        <v>71.162599999999998</v>
      </c>
    </row>
    <row r="15954" spans="1:3">
      <c r="A15954" s="571" t="s">
        <v>2268</v>
      </c>
      <c r="B15954" s="572">
        <v>2.714079167</v>
      </c>
      <c r="C15954" s="572">
        <v>70.581199999999995</v>
      </c>
    </row>
    <row r="15955" spans="1:3">
      <c r="A15955" s="571" t="s">
        <v>2268</v>
      </c>
      <c r="B15955" s="572">
        <v>2.7959749999999999</v>
      </c>
      <c r="C15955" s="572">
        <v>70.292199999999994</v>
      </c>
    </row>
    <row r="15956" spans="1:3">
      <c r="A15956" s="571" t="s">
        <v>2268</v>
      </c>
      <c r="B15956" s="572">
        <v>2.8696000000000002</v>
      </c>
      <c r="C15956" s="572">
        <v>69.710499999999996</v>
      </c>
    </row>
    <row r="15957" spans="1:3">
      <c r="A15957" s="571" t="s">
        <v>2268</v>
      </c>
      <c r="B15957" s="572">
        <v>2.9433708329999999</v>
      </c>
      <c r="C15957" s="572">
        <v>69.7136</v>
      </c>
    </row>
    <row r="15958" spans="1:3">
      <c r="A15958" s="571" t="s">
        <v>2268</v>
      </c>
      <c r="B15958" s="572">
        <v>3.0251958330000002</v>
      </c>
      <c r="C15958" s="572">
        <v>69.132199999999997</v>
      </c>
    </row>
    <row r="15959" spans="1:3">
      <c r="A15959" s="571" t="s">
        <v>2268</v>
      </c>
      <c r="B15959" s="572">
        <v>3.0906291669999999</v>
      </c>
      <c r="C15959" s="572">
        <v>68.550200000000004</v>
      </c>
    </row>
    <row r="15960" spans="1:3">
      <c r="A15960" s="571" t="s">
        <v>2268</v>
      </c>
      <c r="B15960" s="572">
        <v>3.1644708330000002</v>
      </c>
      <c r="C15960" s="572">
        <v>68.845600000000005</v>
      </c>
    </row>
    <row r="15961" spans="1:3">
      <c r="A15961" s="571" t="s">
        <v>2268</v>
      </c>
      <c r="B15961" s="572">
        <v>3.2301875</v>
      </c>
      <c r="C15961" s="572">
        <v>69.433199999999999</v>
      </c>
    </row>
    <row r="15962" spans="1:3">
      <c r="A15962" s="571" t="s">
        <v>2268</v>
      </c>
      <c r="B15962" s="572">
        <v>3.3121583330000002</v>
      </c>
      <c r="C15962" s="572">
        <v>69.436599999999999</v>
      </c>
    </row>
    <row r="15963" spans="1:3">
      <c r="A15963" s="571" t="s">
        <v>2268</v>
      </c>
      <c r="B15963" s="572">
        <v>3.385783333</v>
      </c>
      <c r="C15963" s="572">
        <v>68.854900000000001</v>
      </c>
    </row>
    <row r="15964" spans="1:3">
      <c r="A15964" s="571" t="s">
        <v>2268</v>
      </c>
      <c r="B15964" s="572">
        <v>3.4676083329999998</v>
      </c>
      <c r="C15964" s="572">
        <v>68.273499999999999</v>
      </c>
    </row>
    <row r="15965" spans="1:3">
      <c r="A15965" s="571" t="s">
        <v>2268</v>
      </c>
      <c r="B15965" s="572">
        <v>3.5413083329999999</v>
      </c>
      <c r="C15965" s="572">
        <v>67.984200000000001</v>
      </c>
    </row>
    <row r="15966" spans="1:3">
      <c r="A15966" s="571" t="s">
        <v>2268</v>
      </c>
      <c r="B15966" s="572">
        <v>3.615008333</v>
      </c>
      <c r="C15966" s="572">
        <v>67.694900000000004</v>
      </c>
    </row>
    <row r="15967" spans="1:3">
      <c r="A15967" s="571" t="s">
        <v>2268</v>
      </c>
      <c r="B15967" s="572">
        <v>3.6804375</v>
      </c>
      <c r="C15967" s="572">
        <v>67.112799999999993</v>
      </c>
    </row>
    <row r="15968" spans="1:3">
      <c r="A15968" s="571" t="s">
        <v>2268</v>
      </c>
      <c r="B15968" s="572">
        <v>3.7542083329999998</v>
      </c>
      <c r="C15968" s="572">
        <v>67.115899999999996</v>
      </c>
    </row>
    <row r="15969" spans="1:3">
      <c r="A15969" s="571" t="s">
        <v>2268</v>
      </c>
      <c r="B15969" s="572">
        <v>3.8278374999999998</v>
      </c>
      <c r="C15969" s="572">
        <v>66.534199999999998</v>
      </c>
    </row>
    <row r="15970" spans="1:3">
      <c r="A15970" s="571" t="s">
        <v>2268</v>
      </c>
      <c r="B15970" s="572">
        <v>3.9014625000000001</v>
      </c>
      <c r="C15970" s="572">
        <v>65.952399999999997</v>
      </c>
    </row>
    <row r="15971" spans="1:3">
      <c r="A15971" s="571" t="s">
        <v>2268</v>
      </c>
      <c r="B15971" s="572">
        <v>3.983358333</v>
      </c>
      <c r="C15971" s="572">
        <v>65.663499999999999</v>
      </c>
    </row>
    <row r="15972" spans="1:3">
      <c r="A15972" s="571" t="s">
        <v>2268</v>
      </c>
      <c r="B15972" s="572">
        <v>4.0570583329999996</v>
      </c>
      <c r="C15972" s="572">
        <v>65.374099999999999</v>
      </c>
    </row>
    <row r="15973" spans="1:3">
      <c r="A15973" s="571" t="s">
        <v>2268</v>
      </c>
      <c r="B15973" s="572">
        <v>4.1388833329999999</v>
      </c>
      <c r="C15973" s="572">
        <v>64.7928</v>
      </c>
    </row>
    <row r="15974" spans="1:3">
      <c r="A15974" s="571" t="s">
        <v>2268</v>
      </c>
      <c r="B15974" s="572">
        <v>4.2208333329999999</v>
      </c>
      <c r="C15974" s="572">
        <v>64.796199999999999</v>
      </c>
    </row>
    <row r="15975" spans="1:3">
      <c r="A15975" s="571" t="s">
        <v>2268</v>
      </c>
      <c r="B15975" s="572">
        <v>4.2945416669999998</v>
      </c>
      <c r="C15975" s="572">
        <v>64.506900000000002</v>
      </c>
    </row>
    <row r="15976" spans="1:3">
      <c r="A15976" s="571" t="s">
        <v>2268</v>
      </c>
      <c r="B15976" s="572">
        <v>4.3764583330000004</v>
      </c>
      <c r="C15976" s="572">
        <v>64.2179</v>
      </c>
    </row>
    <row r="15977" spans="1:3">
      <c r="A15977" s="571" t="s">
        <v>2268</v>
      </c>
      <c r="B15977" s="572">
        <v>4.4584166669999998</v>
      </c>
      <c r="C15977" s="572">
        <v>64.221299999999999</v>
      </c>
    </row>
    <row r="15978" spans="1:3">
      <c r="A15978" s="571" t="s">
        <v>2268</v>
      </c>
      <c r="B15978" s="572">
        <v>4.5320416669999997</v>
      </c>
      <c r="C15978" s="572">
        <v>63.639600000000002</v>
      </c>
    </row>
    <row r="15979" spans="1:3">
      <c r="A15979" s="571" t="s">
        <v>2268</v>
      </c>
      <c r="B15979" s="572">
        <v>4.6139583330000002</v>
      </c>
      <c r="C15979" s="572">
        <v>63.3506</v>
      </c>
    </row>
    <row r="15980" spans="1:3">
      <c r="A15980" s="571" t="s">
        <v>2268</v>
      </c>
      <c r="B15980" s="572">
        <v>4.6957083329999998</v>
      </c>
      <c r="C15980" s="572">
        <v>62.476799999999997</v>
      </c>
    </row>
    <row r="15981" spans="1:3">
      <c r="A15981" s="571" t="s">
        <v>2268</v>
      </c>
      <c r="B15981" s="572">
        <v>4.7693750000000001</v>
      </c>
      <c r="C15981" s="572">
        <v>62.1875</v>
      </c>
    </row>
    <row r="15982" spans="1:3">
      <c r="A15982" s="571" t="s">
        <v>2268</v>
      </c>
      <c r="B15982" s="572">
        <v>4.8512916669999999</v>
      </c>
      <c r="C15982" s="572">
        <v>61.898499999999999</v>
      </c>
    </row>
    <row r="15983" spans="1:3">
      <c r="A15983" s="571" t="s">
        <v>2268</v>
      </c>
      <c r="B15983" s="572">
        <v>4.9331250000000004</v>
      </c>
      <c r="C15983" s="572">
        <v>61.3172</v>
      </c>
    </row>
    <row r="15984" spans="1:3">
      <c r="A15984" s="571" t="s">
        <v>2268</v>
      </c>
      <c r="B15984" s="572">
        <v>5.0067500000000003</v>
      </c>
      <c r="C15984" s="572">
        <v>60.735500000000002</v>
      </c>
    </row>
    <row r="15985" spans="1:3">
      <c r="A15985" s="571" t="s">
        <v>2268</v>
      </c>
      <c r="B15985" s="572">
        <v>5.0804583330000002</v>
      </c>
      <c r="C15985" s="572">
        <v>60.446100000000001</v>
      </c>
    </row>
    <row r="15986" spans="1:3">
      <c r="A15986" s="571" t="s">
        <v>2268</v>
      </c>
      <c r="B15986" s="572">
        <v>5.1541249999999996</v>
      </c>
      <c r="C15986" s="572">
        <v>60.156799999999997</v>
      </c>
    </row>
    <row r="15987" spans="1:3">
      <c r="A15987" s="571" t="s">
        <v>2268</v>
      </c>
      <c r="B15987" s="572">
        <v>5.2360416670000003</v>
      </c>
      <c r="C15987" s="572">
        <v>59.867800000000003</v>
      </c>
    </row>
    <row r="15988" spans="1:3">
      <c r="A15988" s="571" t="s">
        <v>2268</v>
      </c>
      <c r="B15988" s="572">
        <v>5.3179166670000004</v>
      </c>
      <c r="C15988" s="572">
        <v>59.578899999999997</v>
      </c>
    </row>
    <row r="15989" spans="1:3">
      <c r="A15989" s="571" t="s">
        <v>2268</v>
      </c>
      <c r="B15989" s="572">
        <v>5.3998333330000001</v>
      </c>
      <c r="C15989" s="572">
        <v>59.289900000000003</v>
      </c>
    </row>
    <row r="15990" spans="1:3">
      <c r="A15990" s="571" t="s">
        <v>2268</v>
      </c>
      <c r="B15990" s="572">
        <v>5.473458333</v>
      </c>
      <c r="C15990" s="572">
        <v>58.708199999999998</v>
      </c>
    </row>
    <row r="15991" spans="1:3">
      <c r="A15991" s="571" t="s">
        <v>2268</v>
      </c>
      <c r="B15991" s="572">
        <v>5.5553333330000001</v>
      </c>
      <c r="C15991" s="572">
        <v>58.419199999999996</v>
      </c>
    </row>
    <row r="15992" spans="1:3">
      <c r="A15992" s="571" t="s">
        <v>2268</v>
      </c>
      <c r="B15992" s="572">
        <v>5.6290416670000001</v>
      </c>
      <c r="C15992" s="572">
        <v>58.129899999999999</v>
      </c>
    </row>
    <row r="15993" spans="1:3">
      <c r="A15993" s="571" t="s">
        <v>2268</v>
      </c>
      <c r="B15993" s="572">
        <v>5.7110000000000003</v>
      </c>
      <c r="C15993" s="572">
        <v>58.133299999999998</v>
      </c>
    </row>
    <row r="15994" spans="1:3">
      <c r="A15994" s="571" t="s">
        <v>2268</v>
      </c>
      <c r="B15994" s="572">
        <v>5.7846250000000001</v>
      </c>
      <c r="C15994" s="572">
        <v>57.551600000000001</v>
      </c>
    </row>
    <row r="15995" spans="1:3">
      <c r="A15995" s="571" t="s">
        <v>2268</v>
      </c>
      <c r="B15995" s="572">
        <v>5.8665416669999999</v>
      </c>
      <c r="C15995" s="572">
        <v>57.262599999999999</v>
      </c>
    </row>
    <row r="15996" spans="1:3">
      <c r="A15996" s="571" t="s">
        <v>2268</v>
      </c>
      <c r="B15996" s="572">
        <v>5.948416667</v>
      </c>
      <c r="C15996" s="572">
        <v>56.973599999999998</v>
      </c>
    </row>
    <row r="15997" spans="1:3">
      <c r="A15997" s="571" t="s">
        <v>2268</v>
      </c>
      <c r="B15997" s="572">
        <v>6.022125</v>
      </c>
      <c r="C15997" s="572">
        <v>56.6843</v>
      </c>
    </row>
    <row r="15998" spans="1:3">
      <c r="A15998" s="571" t="s">
        <v>2268</v>
      </c>
      <c r="B15998" s="572">
        <v>6.095916667</v>
      </c>
      <c r="C15998" s="572">
        <v>56.687399999999997</v>
      </c>
    </row>
    <row r="15999" spans="1:3">
      <c r="A15999" s="571" t="s">
        <v>2268</v>
      </c>
      <c r="B15999" s="572">
        <v>6.1694583329999997</v>
      </c>
      <c r="C15999" s="572">
        <v>55.813299999999998</v>
      </c>
    </row>
    <row r="16000" spans="1:3">
      <c r="A16000" s="571" t="s">
        <v>2268</v>
      </c>
      <c r="B16000" s="572">
        <v>6.259416667</v>
      </c>
      <c r="C16000" s="572">
        <v>54.939799999999998</v>
      </c>
    </row>
    <row r="16001" spans="1:3">
      <c r="A16001" s="571" t="s">
        <v>2268</v>
      </c>
      <c r="B16001" s="572">
        <v>6.3332499999999996</v>
      </c>
      <c r="C16001" s="572">
        <v>55.235300000000002</v>
      </c>
    </row>
    <row r="16002" spans="1:3">
      <c r="A16002" s="571" t="s">
        <v>2268</v>
      </c>
      <c r="B16002" s="572">
        <v>6.4150833330000001</v>
      </c>
      <c r="C16002" s="572">
        <v>54.6539</v>
      </c>
    </row>
    <row r="16003" spans="1:3">
      <c r="A16003" s="571" t="s">
        <v>2268</v>
      </c>
      <c r="B16003" s="572">
        <v>6.4969583330000003</v>
      </c>
      <c r="C16003" s="572">
        <v>54.365000000000002</v>
      </c>
    </row>
    <row r="16004" spans="1:3">
      <c r="A16004" s="571" t="s">
        <v>2268</v>
      </c>
      <c r="B16004" s="572">
        <v>6.5705833330000001</v>
      </c>
      <c r="C16004" s="572">
        <v>53.783200000000001</v>
      </c>
    </row>
    <row r="16005" spans="1:3">
      <c r="A16005" s="571" t="s">
        <v>2268</v>
      </c>
      <c r="B16005" s="572">
        <v>6.6524999999999999</v>
      </c>
      <c r="C16005" s="572">
        <v>53.494300000000003</v>
      </c>
    </row>
    <row r="16006" spans="1:3">
      <c r="A16006" s="571" t="s">
        <v>2268</v>
      </c>
      <c r="B16006" s="572">
        <v>6.7262083329999998</v>
      </c>
      <c r="C16006" s="572">
        <v>53.204900000000002</v>
      </c>
    </row>
    <row r="16007" spans="1:3">
      <c r="A16007" s="571" t="s">
        <v>2268</v>
      </c>
      <c r="B16007" s="572">
        <v>6.8080416670000004</v>
      </c>
      <c r="C16007" s="572">
        <v>52.623600000000003</v>
      </c>
    </row>
    <row r="16008" spans="1:3">
      <c r="A16008" s="571" t="s">
        <v>2268</v>
      </c>
      <c r="B16008" s="572">
        <v>6.8899166669999996</v>
      </c>
      <c r="C16008" s="572">
        <v>52.334600000000002</v>
      </c>
    </row>
    <row r="16009" spans="1:3">
      <c r="A16009" s="571" t="s">
        <v>2268</v>
      </c>
      <c r="B16009" s="572">
        <v>6.9636250000000004</v>
      </c>
      <c r="C16009" s="572">
        <v>52.045299999999997</v>
      </c>
    </row>
    <row r="16010" spans="1:3">
      <c r="A16010" s="571" t="s">
        <v>2269</v>
      </c>
      <c r="B16010" s="572">
        <v>4.7899999999999999E-5</v>
      </c>
      <c r="C16010" s="572">
        <v>0.29239799999999999</v>
      </c>
    </row>
    <row r="16011" spans="1:3">
      <c r="A16011" s="571" t="s">
        <v>2269</v>
      </c>
      <c r="B16011" s="572">
        <v>1.4363379999999999E-3</v>
      </c>
      <c r="C16011" s="572">
        <v>8.7719299999999993</v>
      </c>
    </row>
    <row r="16012" spans="1:3">
      <c r="A16012" s="571" t="s">
        <v>2269</v>
      </c>
      <c r="B16012" s="572">
        <v>1.9199082999999999E-2</v>
      </c>
      <c r="C16012" s="572">
        <v>17.2515</v>
      </c>
    </row>
    <row r="16013" spans="1:3">
      <c r="A16013" s="571" t="s">
        <v>2269</v>
      </c>
      <c r="B16013" s="572">
        <v>2.8966167000000001E-2</v>
      </c>
      <c r="C16013" s="572">
        <v>26.900600000000001</v>
      </c>
    </row>
    <row r="16014" spans="1:3">
      <c r="A16014" s="571" t="s">
        <v>2269</v>
      </c>
      <c r="B16014" s="572">
        <v>3.8733292000000002E-2</v>
      </c>
      <c r="C16014" s="572">
        <v>36.549700000000001</v>
      </c>
    </row>
    <row r="16015" spans="1:3">
      <c r="A16015" s="571" t="s">
        <v>2269</v>
      </c>
      <c r="B16015" s="572">
        <v>7.31575E-2</v>
      </c>
      <c r="C16015" s="572">
        <v>46.7836</v>
      </c>
    </row>
    <row r="16016" spans="1:3">
      <c r="A16016" s="571" t="s">
        <v>2269</v>
      </c>
      <c r="B16016" s="572">
        <v>0.12381250000000001</v>
      </c>
      <c r="C16016" s="572">
        <v>56.1404</v>
      </c>
    </row>
    <row r="16017" spans="1:3">
      <c r="A16017" s="571" t="s">
        <v>2269</v>
      </c>
      <c r="B16017" s="572">
        <v>0.16632791699999999</v>
      </c>
      <c r="C16017" s="572">
        <v>65.789500000000004</v>
      </c>
    </row>
    <row r="16018" spans="1:3">
      <c r="A16018" s="571" t="s">
        <v>2269</v>
      </c>
      <c r="B16018" s="572">
        <v>0.22497875000000001</v>
      </c>
      <c r="C16018" s="572">
        <v>73.976600000000005</v>
      </c>
    </row>
    <row r="16019" spans="1:3">
      <c r="A16019" s="571" t="s">
        <v>2269</v>
      </c>
      <c r="B16019" s="572">
        <v>0.30761583300000001</v>
      </c>
      <c r="C16019" s="572">
        <v>78.655000000000001</v>
      </c>
    </row>
    <row r="16020" spans="1:3">
      <c r="A16020" s="571" t="s">
        <v>2269</v>
      </c>
      <c r="B16020" s="572">
        <v>0.41342625</v>
      </c>
      <c r="C16020" s="572">
        <v>74.853800000000007</v>
      </c>
    </row>
    <row r="16021" spans="1:3">
      <c r="A16021" s="571" t="s">
        <v>2269</v>
      </c>
      <c r="B16021" s="572">
        <v>0.58516666699999997</v>
      </c>
      <c r="C16021" s="572">
        <v>73.684200000000004</v>
      </c>
    </row>
    <row r="16022" spans="1:3">
      <c r="A16022" s="571" t="s">
        <v>2269</v>
      </c>
      <c r="B16022" s="572">
        <v>0.78141666700000001</v>
      </c>
      <c r="C16022" s="572">
        <v>72.222200000000001</v>
      </c>
    </row>
    <row r="16023" spans="1:3">
      <c r="A16023" s="571" t="s">
        <v>2269</v>
      </c>
      <c r="B16023" s="572">
        <v>0.85500416700000004</v>
      </c>
      <c r="C16023" s="572">
        <v>71.6374</v>
      </c>
    </row>
    <row r="16024" spans="1:3">
      <c r="A16024" s="571" t="s">
        <v>2269</v>
      </c>
      <c r="B16024" s="572">
        <v>0.92854583300000004</v>
      </c>
      <c r="C16024" s="572">
        <v>70.760199999999998</v>
      </c>
    </row>
    <row r="16025" spans="1:3">
      <c r="A16025" s="571" t="s">
        <v>2269</v>
      </c>
      <c r="B16025" s="572">
        <v>0.99390000000000001</v>
      </c>
      <c r="C16025" s="572">
        <v>69.882999999999996</v>
      </c>
    </row>
    <row r="16026" spans="1:3">
      <c r="A16026" s="571" t="s">
        <v>2269</v>
      </c>
      <c r="B16026" s="572">
        <v>1.0673916670000001</v>
      </c>
      <c r="C16026" s="572">
        <v>68.713499999999996</v>
      </c>
    </row>
    <row r="16027" spans="1:3">
      <c r="A16027" s="571" t="s">
        <v>2269</v>
      </c>
      <c r="B16027" s="572">
        <v>1.1326499999999999</v>
      </c>
      <c r="C16027" s="572">
        <v>67.251499999999993</v>
      </c>
    </row>
    <row r="16028" spans="1:3">
      <c r="A16028" s="571" t="s">
        <v>2269</v>
      </c>
      <c r="B16028" s="572">
        <v>1.2061916669999999</v>
      </c>
      <c r="C16028" s="572">
        <v>66.374300000000005</v>
      </c>
    </row>
    <row r="16029" spans="1:3">
      <c r="A16029" s="571" t="s">
        <v>2269</v>
      </c>
      <c r="B16029" s="572">
        <v>1.2715416669999999</v>
      </c>
      <c r="C16029" s="572">
        <v>65.497100000000003</v>
      </c>
    </row>
    <row r="16030" spans="1:3">
      <c r="A16030" s="571" t="s">
        <v>2269</v>
      </c>
      <c r="B16030" s="572">
        <v>1.3450375000000001</v>
      </c>
      <c r="C16030" s="572">
        <v>64.327500000000001</v>
      </c>
    </row>
    <row r="16031" spans="1:3">
      <c r="A16031" s="571" t="s">
        <v>2269</v>
      </c>
      <c r="B16031" s="572">
        <v>1.418529167</v>
      </c>
      <c r="C16031" s="572">
        <v>63.157899999999998</v>
      </c>
    </row>
    <row r="16032" spans="1:3">
      <c r="A16032" s="571" t="s">
        <v>2269</v>
      </c>
      <c r="B16032" s="572">
        <v>1.492020833</v>
      </c>
      <c r="C16032" s="572">
        <v>61.988300000000002</v>
      </c>
    </row>
    <row r="16033" spans="1:3">
      <c r="A16033" s="571" t="s">
        <v>2269</v>
      </c>
      <c r="B16033" s="572">
        <v>1.5573250000000001</v>
      </c>
      <c r="C16033" s="572">
        <v>60.8187</v>
      </c>
    </row>
    <row r="16034" spans="1:3">
      <c r="A16034" s="571" t="s">
        <v>2269</v>
      </c>
      <c r="B16034" s="572">
        <v>1.622633333</v>
      </c>
      <c r="C16034" s="572">
        <v>59.649099999999997</v>
      </c>
    </row>
    <row r="16035" spans="1:3">
      <c r="A16035" s="571" t="s">
        <v>2269</v>
      </c>
      <c r="B16035" s="572">
        <v>1.7044083329999999</v>
      </c>
      <c r="C16035" s="572">
        <v>59.064300000000003</v>
      </c>
    </row>
    <row r="16036" spans="1:3">
      <c r="A16036" s="571" t="s">
        <v>2269</v>
      </c>
      <c r="B16036" s="572">
        <v>1.7779</v>
      </c>
      <c r="C16036" s="572">
        <v>57.8947</v>
      </c>
    </row>
    <row r="16037" spans="1:3">
      <c r="A16037" s="571" t="s">
        <v>2269</v>
      </c>
      <c r="B16037" s="572">
        <v>1.851441667</v>
      </c>
      <c r="C16037" s="572">
        <v>57.017499999999998</v>
      </c>
    </row>
    <row r="16038" spans="1:3">
      <c r="A16038" s="571" t="s">
        <v>2269</v>
      </c>
      <c r="B16038" s="572">
        <v>1.916745833</v>
      </c>
      <c r="C16038" s="572">
        <v>55.847999999999999</v>
      </c>
    </row>
    <row r="16039" spans="1:3">
      <c r="A16039" s="571" t="s">
        <v>2269</v>
      </c>
      <c r="B16039" s="572">
        <v>1.9822458329999999</v>
      </c>
      <c r="C16039" s="572">
        <v>55.847999999999999</v>
      </c>
    </row>
    <row r="16040" spans="1:3">
      <c r="A16040" s="571" t="s">
        <v>2269</v>
      </c>
      <c r="B16040" s="572">
        <v>2.0475958329999999</v>
      </c>
      <c r="C16040" s="572">
        <v>54.970799999999997</v>
      </c>
    </row>
    <row r="16041" spans="1:3">
      <c r="A16041" s="571" t="s">
        <v>2269</v>
      </c>
      <c r="B16041" s="572">
        <v>2.1212333330000002</v>
      </c>
      <c r="C16041" s="572">
        <v>54.678400000000003</v>
      </c>
    </row>
    <row r="16042" spans="1:3">
      <c r="A16042" s="571" t="s">
        <v>2269</v>
      </c>
      <c r="B16042" s="572">
        <v>2.1948208330000001</v>
      </c>
      <c r="C16042" s="572">
        <v>54.093600000000002</v>
      </c>
    </row>
    <row r="16043" spans="1:3">
      <c r="A16043" s="571" t="s">
        <v>2269</v>
      </c>
      <c r="B16043" s="572">
        <v>2.2766458329999999</v>
      </c>
      <c r="C16043" s="572">
        <v>53.801200000000001</v>
      </c>
    </row>
    <row r="16044" spans="1:3">
      <c r="A16044" s="571" t="s">
        <v>2269</v>
      </c>
      <c r="B16044" s="572">
        <v>2.3501875000000001</v>
      </c>
      <c r="C16044" s="572">
        <v>52.923999999999999</v>
      </c>
    </row>
    <row r="16045" spans="1:3">
      <c r="A16045" s="571" t="s">
        <v>2269</v>
      </c>
      <c r="B16045" s="572">
        <v>2.4238208330000002</v>
      </c>
      <c r="C16045" s="572">
        <v>52.631599999999999</v>
      </c>
    </row>
    <row r="16046" spans="1:3">
      <c r="A16046" s="571" t="s">
        <v>2269</v>
      </c>
      <c r="B16046" s="572">
        <v>2.497458333</v>
      </c>
      <c r="C16046" s="572">
        <v>52.339199999999998</v>
      </c>
    </row>
    <row r="16047" spans="1:3">
      <c r="A16047" s="571" t="s">
        <v>2269</v>
      </c>
      <c r="B16047" s="572">
        <v>2.5710000000000002</v>
      </c>
      <c r="C16047" s="572">
        <v>51.462000000000003</v>
      </c>
    </row>
    <row r="16048" spans="1:3">
      <c r="A16048" s="571" t="s">
        <v>2269</v>
      </c>
      <c r="B16048" s="572">
        <v>2.652920833</v>
      </c>
      <c r="C16048" s="572">
        <v>51.754399999999997</v>
      </c>
    </row>
    <row r="16049" spans="1:3">
      <c r="A16049" s="571" t="s">
        <v>2269</v>
      </c>
      <c r="B16049" s="572">
        <v>2.7103708329999998</v>
      </c>
      <c r="C16049" s="572">
        <v>52.631599999999999</v>
      </c>
    </row>
    <row r="16050" spans="1:3">
      <c r="A16050" s="571" t="s">
        <v>2269</v>
      </c>
      <c r="B16050" s="572">
        <v>2.7921499999999999</v>
      </c>
      <c r="C16050" s="572">
        <v>52.046799999999998</v>
      </c>
    </row>
    <row r="16051" spans="1:3">
      <c r="A16051" s="571" t="s">
        <v>2269</v>
      </c>
      <c r="B16051" s="572">
        <v>2.857595833</v>
      </c>
      <c r="C16051" s="572">
        <v>51.754399999999997</v>
      </c>
    </row>
    <row r="16052" spans="1:3">
      <c r="A16052" s="571" t="s">
        <v>2269</v>
      </c>
      <c r="B16052" s="572">
        <v>2.9394208329999998</v>
      </c>
      <c r="C16052" s="572">
        <v>51.462000000000003</v>
      </c>
    </row>
    <row r="16053" spans="1:3">
      <c r="A16053" s="571" t="s">
        <v>2269</v>
      </c>
      <c r="B16053" s="572">
        <v>3.0048208330000001</v>
      </c>
      <c r="C16053" s="572">
        <v>50.877200000000002</v>
      </c>
    </row>
    <row r="16054" spans="1:3">
      <c r="A16054" s="571" t="s">
        <v>2269</v>
      </c>
      <c r="B16054" s="572">
        <v>3.0783624999999999</v>
      </c>
      <c r="C16054" s="572">
        <v>50</v>
      </c>
    </row>
    <row r="16055" spans="1:3">
      <c r="A16055" s="571" t="s">
        <v>2269</v>
      </c>
      <c r="B16055" s="572">
        <v>3.1601875000000001</v>
      </c>
      <c r="C16055" s="572">
        <v>49.707599999999999</v>
      </c>
    </row>
    <row r="16056" spans="1:3">
      <c r="A16056" s="571" t="s">
        <v>2269</v>
      </c>
      <c r="B16056" s="572">
        <v>3.2337750000000001</v>
      </c>
      <c r="C16056" s="572">
        <v>49.122799999999998</v>
      </c>
    </row>
    <row r="16057" spans="1:3">
      <c r="A16057" s="571" t="s">
        <v>2269</v>
      </c>
      <c r="B16057" s="572">
        <v>3.3073625</v>
      </c>
      <c r="C16057" s="572">
        <v>48.537999999999997</v>
      </c>
    </row>
    <row r="16058" spans="1:3">
      <c r="A16058" s="571" t="s">
        <v>2269</v>
      </c>
      <c r="B16058" s="572">
        <v>3.3891874999999998</v>
      </c>
      <c r="C16058" s="572">
        <v>48.245600000000003</v>
      </c>
    </row>
    <row r="16059" spans="1:3">
      <c r="A16059" s="571" t="s">
        <v>2269</v>
      </c>
      <c r="B16059" s="572">
        <v>3.4627750000000002</v>
      </c>
      <c r="C16059" s="572">
        <v>47.660800000000002</v>
      </c>
    </row>
    <row r="16060" spans="1:3">
      <c r="A16060" s="571" t="s">
        <v>2269</v>
      </c>
      <c r="B16060" s="572">
        <v>3.5363166669999999</v>
      </c>
      <c r="C16060" s="572">
        <v>46.7836</v>
      </c>
    </row>
    <row r="16061" spans="1:3">
      <c r="A16061" s="571" t="s">
        <v>2269</v>
      </c>
      <c r="B16061" s="572">
        <v>3.6181375</v>
      </c>
      <c r="C16061" s="572">
        <v>46.491199999999999</v>
      </c>
    </row>
    <row r="16062" spans="1:3">
      <c r="A16062" s="571" t="s">
        <v>2269</v>
      </c>
      <c r="B16062" s="572">
        <v>3.6917291670000001</v>
      </c>
      <c r="C16062" s="572">
        <v>45.906399999999998</v>
      </c>
    </row>
    <row r="16063" spans="1:3">
      <c r="A16063" s="571" t="s">
        <v>2269</v>
      </c>
      <c r="B16063" s="572">
        <v>3.7735500000000002</v>
      </c>
      <c r="C16063" s="572">
        <v>45.613999999999997</v>
      </c>
    </row>
    <row r="16064" spans="1:3">
      <c r="A16064" s="571" t="s">
        <v>2269</v>
      </c>
      <c r="B16064" s="572">
        <v>3.8471375000000001</v>
      </c>
      <c r="C16064" s="572">
        <v>45.029200000000003</v>
      </c>
    </row>
    <row r="16065" spans="1:3">
      <c r="A16065" s="571" t="s">
        <v>2269</v>
      </c>
      <c r="B16065" s="572">
        <v>3.9288666669999999</v>
      </c>
      <c r="C16065" s="572">
        <v>44.152000000000001</v>
      </c>
    </row>
    <row r="16066" spans="1:3">
      <c r="A16066" s="571" t="s">
        <v>2269</v>
      </c>
      <c r="B16066" s="572">
        <v>4.0024541669999998</v>
      </c>
      <c r="C16066" s="572">
        <v>43.567300000000003</v>
      </c>
    </row>
    <row r="16067" spans="1:3">
      <c r="A16067" s="571" t="s">
        <v>2269</v>
      </c>
      <c r="B16067" s="572">
        <v>4.084279167</v>
      </c>
      <c r="C16067" s="572">
        <v>43.274900000000002</v>
      </c>
    </row>
    <row r="16068" spans="1:3">
      <c r="A16068" s="571" t="s">
        <v>2269</v>
      </c>
      <c r="B16068" s="572">
        <v>4.1578666670000004</v>
      </c>
      <c r="C16068" s="572">
        <v>42.690100000000001</v>
      </c>
    </row>
    <row r="16069" spans="1:3">
      <c r="A16069" s="571" t="s">
        <v>2269</v>
      </c>
      <c r="B16069" s="572">
        <v>4.2396250000000002</v>
      </c>
      <c r="C16069" s="572">
        <v>42.1053</v>
      </c>
    </row>
    <row r="16070" spans="1:3">
      <c r="A16070" s="571" t="s">
        <v>2269</v>
      </c>
      <c r="B16070" s="572">
        <v>4.3132916669999997</v>
      </c>
      <c r="C16070" s="572">
        <v>41.812899999999999</v>
      </c>
    </row>
    <row r="16071" spans="1:3">
      <c r="A16071" s="571" t="s">
        <v>2269</v>
      </c>
      <c r="B16071" s="572">
        <v>4.3868333330000002</v>
      </c>
      <c r="C16071" s="572">
        <v>40.935699999999997</v>
      </c>
    </row>
    <row r="16072" spans="1:3">
      <c r="A16072" s="571" t="s">
        <v>2269</v>
      </c>
      <c r="B16072" s="572">
        <v>4.4604166669999996</v>
      </c>
      <c r="C16072" s="572">
        <v>40.350900000000003</v>
      </c>
    </row>
    <row r="16073" spans="1:3">
      <c r="A16073" s="571" t="s">
        <v>2269</v>
      </c>
      <c r="B16073" s="572">
        <v>4.542166667</v>
      </c>
      <c r="C16073" s="572">
        <v>39.766100000000002</v>
      </c>
    </row>
    <row r="16074" spans="1:3">
      <c r="A16074" s="571" t="s">
        <v>2269</v>
      </c>
      <c r="B16074" s="572">
        <v>4.6157083329999997</v>
      </c>
      <c r="C16074" s="572">
        <v>38.8889</v>
      </c>
    </row>
    <row r="16075" spans="1:3">
      <c r="A16075" s="571" t="s">
        <v>2269</v>
      </c>
      <c r="B16075" s="572">
        <v>4.6893333330000004</v>
      </c>
      <c r="C16075" s="572">
        <v>38.304099999999998</v>
      </c>
    </row>
    <row r="16076" spans="1:3">
      <c r="A16076" s="571" t="s">
        <v>2269</v>
      </c>
      <c r="B16076" s="572">
        <v>4.7545416669999998</v>
      </c>
      <c r="C16076" s="572">
        <v>36.549700000000001</v>
      </c>
    </row>
    <row r="16077" spans="1:3">
      <c r="A16077" s="571" t="s">
        <v>2269</v>
      </c>
      <c r="B16077" s="572">
        <v>4.8282083330000001</v>
      </c>
      <c r="C16077" s="572">
        <v>36.549700000000001</v>
      </c>
    </row>
    <row r="16078" spans="1:3">
      <c r="A16078" s="571" t="s">
        <v>2269</v>
      </c>
      <c r="B16078" s="572">
        <v>4.8935000000000004</v>
      </c>
      <c r="C16078" s="572">
        <v>35.380099999999999</v>
      </c>
    </row>
    <row r="16079" spans="1:3">
      <c r="A16079" s="571" t="s">
        <v>2269</v>
      </c>
      <c r="B16079" s="572">
        <v>4.9507083329999997</v>
      </c>
      <c r="C16079" s="572">
        <v>34.795299999999997</v>
      </c>
    </row>
    <row r="16080" spans="1:3">
      <c r="A16080" s="571" t="s">
        <v>2269</v>
      </c>
      <c r="B16080" s="572">
        <v>5.0162083329999998</v>
      </c>
      <c r="C16080" s="572">
        <v>34.795299999999997</v>
      </c>
    </row>
    <row r="16081" spans="1:3">
      <c r="A16081" s="571" t="s">
        <v>2269</v>
      </c>
      <c r="B16081" s="572">
        <v>5.0980833329999999</v>
      </c>
      <c r="C16081" s="572">
        <v>34.795299999999997</v>
      </c>
    </row>
    <row r="16082" spans="1:3">
      <c r="A16082" s="571" t="s">
        <v>2269</v>
      </c>
      <c r="B16082" s="572">
        <v>5.1552916670000002</v>
      </c>
      <c r="C16082" s="572">
        <v>34.210500000000003</v>
      </c>
    </row>
    <row r="16083" spans="1:3">
      <c r="A16083" s="571" t="s">
        <v>2269</v>
      </c>
      <c r="B16083" s="572">
        <v>5.228916667</v>
      </c>
      <c r="C16083" s="572">
        <v>33.625700000000002</v>
      </c>
    </row>
    <row r="16084" spans="1:3">
      <c r="A16084" s="571" t="s">
        <v>2269</v>
      </c>
      <c r="B16084" s="572">
        <v>5.310708333</v>
      </c>
      <c r="C16084" s="572">
        <v>33.333300000000001</v>
      </c>
    </row>
    <row r="16085" spans="1:3">
      <c r="A16085" s="571" t="s">
        <v>2269</v>
      </c>
      <c r="B16085" s="572">
        <v>5.3842916670000003</v>
      </c>
      <c r="C16085" s="572">
        <v>32.7485</v>
      </c>
    </row>
    <row r="16086" spans="1:3">
      <c r="A16086" s="571" t="s">
        <v>2269</v>
      </c>
      <c r="B16086" s="572">
        <v>5.457833333</v>
      </c>
      <c r="C16086" s="572">
        <v>31.871300000000002</v>
      </c>
    </row>
    <row r="16087" spans="1:3">
      <c r="A16087" s="571" t="s">
        <v>2269</v>
      </c>
      <c r="B16087" s="572">
        <v>5.5315416669999999</v>
      </c>
      <c r="C16087" s="572">
        <v>31.871300000000002</v>
      </c>
    </row>
    <row r="16088" spans="1:3">
      <c r="A16088" s="571" t="s">
        <v>2269</v>
      </c>
      <c r="B16088" s="572">
        <v>5.6050833329999996</v>
      </c>
      <c r="C16088" s="572">
        <v>30.994199999999999</v>
      </c>
    </row>
    <row r="16089" spans="1:3">
      <c r="A16089" s="571" t="s">
        <v>2269</v>
      </c>
      <c r="B16089" s="572">
        <v>5.6786666669999999</v>
      </c>
      <c r="C16089" s="572">
        <v>30.409400000000002</v>
      </c>
    </row>
    <row r="16090" spans="1:3">
      <c r="A16090" s="571" t="s">
        <v>2269</v>
      </c>
      <c r="B16090" s="572">
        <v>5.7440833329999998</v>
      </c>
      <c r="C16090" s="572">
        <v>29.8246</v>
      </c>
    </row>
    <row r="16091" spans="1:3">
      <c r="A16091" s="571" t="s">
        <v>2269</v>
      </c>
      <c r="B16091" s="572">
        <v>5.8258749999999999</v>
      </c>
      <c r="C16091" s="572">
        <v>29.5322</v>
      </c>
    </row>
    <row r="16092" spans="1:3">
      <c r="A16092" s="571" t="s">
        <v>2269</v>
      </c>
      <c r="B16092" s="572">
        <v>5.8994166669999997</v>
      </c>
      <c r="C16092" s="572">
        <v>28.655000000000001</v>
      </c>
    </row>
    <row r="16093" spans="1:3">
      <c r="A16093" s="571" t="s">
        <v>2269</v>
      </c>
      <c r="B16093" s="572">
        <v>5.9812083329999997</v>
      </c>
      <c r="C16093" s="572">
        <v>28.0702</v>
      </c>
    </row>
    <row r="16094" spans="1:3">
      <c r="A16094" s="571" t="s">
        <v>2269</v>
      </c>
      <c r="B16094" s="572">
        <v>6.0547916669999999</v>
      </c>
      <c r="C16094" s="572">
        <v>27.485399999999998</v>
      </c>
    </row>
    <row r="16095" spans="1:3">
      <c r="A16095" s="571" t="s">
        <v>2269</v>
      </c>
      <c r="B16095" s="572">
        <v>6.1365833329999999</v>
      </c>
      <c r="C16095" s="572">
        <v>26.900600000000001</v>
      </c>
    </row>
    <row r="16096" spans="1:3">
      <c r="A16096" s="571" t="s">
        <v>2269</v>
      </c>
      <c r="B16096" s="572">
        <v>6.2101249999999997</v>
      </c>
      <c r="C16096" s="572">
        <v>26.023399999999999</v>
      </c>
    </row>
    <row r="16097" spans="1:3">
      <c r="A16097" s="571" t="s">
        <v>2269</v>
      </c>
      <c r="B16097" s="572">
        <v>6.2918750000000001</v>
      </c>
      <c r="C16097" s="572">
        <v>25.438600000000001</v>
      </c>
    </row>
    <row r="16098" spans="1:3">
      <c r="A16098" s="571" t="s">
        <v>2269</v>
      </c>
      <c r="B16098" s="572">
        <v>6.3654166669999999</v>
      </c>
      <c r="C16098" s="572">
        <v>24.561399999999999</v>
      </c>
    </row>
    <row r="16099" spans="1:3">
      <c r="A16099" s="571" t="s">
        <v>2269</v>
      </c>
      <c r="B16099" s="572">
        <v>6.4389583330000004</v>
      </c>
      <c r="C16099" s="572">
        <v>23.684200000000001</v>
      </c>
    </row>
    <row r="16100" spans="1:3">
      <c r="A16100" s="571" t="s">
        <v>2269</v>
      </c>
      <c r="B16100" s="572">
        <v>6.5207916670000001</v>
      </c>
      <c r="C16100" s="572">
        <v>23.3918</v>
      </c>
    </row>
    <row r="16101" spans="1:3">
      <c r="A16101" s="571" t="s">
        <v>2269</v>
      </c>
      <c r="B16101" s="572">
        <v>6.6025</v>
      </c>
      <c r="C16101" s="572">
        <v>22.514600000000002</v>
      </c>
    </row>
    <row r="16102" spans="1:3">
      <c r="A16102" s="571" t="s">
        <v>2269</v>
      </c>
      <c r="B16102" s="572">
        <v>6.6761249999999999</v>
      </c>
      <c r="C16102" s="572">
        <v>21.9298</v>
      </c>
    </row>
    <row r="16103" spans="1:3">
      <c r="A16103" s="571" t="s">
        <v>2269</v>
      </c>
      <c r="B16103" s="572">
        <v>6.7578750000000003</v>
      </c>
      <c r="C16103" s="572">
        <v>21.344999999999999</v>
      </c>
    </row>
    <row r="16104" spans="1:3">
      <c r="A16104" s="571" t="s">
        <v>2269</v>
      </c>
      <c r="B16104" s="572">
        <v>6.8314583329999996</v>
      </c>
      <c r="C16104" s="572">
        <v>20.760200000000001</v>
      </c>
    </row>
    <row r="16105" spans="1:3">
      <c r="A16105" s="571" t="s">
        <v>2269</v>
      </c>
      <c r="B16105" s="572">
        <v>6.9132499999999997</v>
      </c>
      <c r="C16105" s="572">
        <v>20.1754</v>
      </c>
    </row>
    <row r="16106" spans="1:3">
      <c r="A16106" s="571" t="s">
        <v>2269</v>
      </c>
      <c r="B16106" s="572">
        <v>6.9867916670000003</v>
      </c>
      <c r="C16106" s="572">
        <v>19.298200000000001</v>
      </c>
    </row>
    <row r="16107" spans="1:3">
      <c r="A16107" s="571" t="s">
        <v>2270</v>
      </c>
      <c r="B16107" s="572">
        <v>8.1440829999999999E-3</v>
      </c>
      <c r="C16107" s="572">
        <v>0.29291400000000001</v>
      </c>
    </row>
    <row r="16108" spans="1:3">
      <c r="A16108" s="571" t="s">
        <v>2270</v>
      </c>
      <c r="B16108" s="572">
        <v>1.6934958E-2</v>
      </c>
      <c r="C16108" s="572">
        <v>7.33209</v>
      </c>
    </row>
    <row r="16109" spans="1:3">
      <c r="A16109" s="571" t="s">
        <v>2270</v>
      </c>
      <c r="B16109" s="572">
        <v>3.3989667000000001E-2</v>
      </c>
      <c r="C16109" s="572">
        <v>16.130500000000001</v>
      </c>
    </row>
    <row r="16110" spans="1:3">
      <c r="A16110" s="571" t="s">
        <v>2270</v>
      </c>
      <c r="B16110" s="572">
        <v>6.7236667E-2</v>
      </c>
      <c r="C16110" s="572">
        <v>23.17</v>
      </c>
    </row>
    <row r="16111" spans="1:3">
      <c r="A16111" s="571" t="s">
        <v>2270</v>
      </c>
      <c r="B16111" s="572">
        <v>7.588375E-2</v>
      </c>
      <c r="C16111" s="572">
        <v>29.035399999999999</v>
      </c>
    </row>
    <row r="16112" spans="1:3">
      <c r="A16112" s="571" t="s">
        <v>2270</v>
      </c>
      <c r="B16112" s="572">
        <v>0.101034583</v>
      </c>
      <c r="C16112" s="572">
        <v>36.9544</v>
      </c>
    </row>
    <row r="16113" spans="1:3">
      <c r="A16113" s="571" t="s">
        <v>2270</v>
      </c>
      <c r="B16113" s="572">
        <v>0.134257917</v>
      </c>
      <c r="C16113" s="572">
        <v>43.700600000000001</v>
      </c>
    </row>
    <row r="16114" spans="1:3">
      <c r="A16114" s="571" t="s">
        <v>2270</v>
      </c>
      <c r="B16114" s="572">
        <v>0.17574500000000001</v>
      </c>
      <c r="C16114" s="572">
        <v>51.6203</v>
      </c>
    </row>
    <row r="16115" spans="1:3">
      <c r="A16115" s="571" t="s">
        <v>2270</v>
      </c>
      <c r="B16115" s="572">
        <v>0.22549583300000001</v>
      </c>
      <c r="C16115" s="572">
        <v>60.713299999999997</v>
      </c>
    </row>
    <row r="16116" spans="1:3">
      <c r="A16116" s="571" t="s">
        <v>2270</v>
      </c>
      <c r="B16116" s="572">
        <v>0.274983333</v>
      </c>
      <c r="C16116" s="572">
        <v>66.580399999999997</v>
      </c>
    </row>
    <row r="16117" spans="1:3">
      <c r="A16117" s="571" t="s">
        <v>2270</v>
      </c>
      <c r="B16117" s="572">
        <v>0.32437500000000002</v>
      </c>
      <c r="C16117" s="572">
        <v>71.274600000000007</v>
      </c>
    </row>
    <row r="16118" spans="1:3">
      <c r="A16118" s="571" t="s">
        <v>2270</v>
      </c>
      <c r="B16118" s="572">
        <v>0.42232083300000001</v>
      </c>
      <c r="C16118" s="572">
        <v>70.398899999999998</v>
      </c>
    </row>
    <row r="16119" spans="1:3">
      <c r="A16119" s="571" t="s">
        <v>2270</v>
      </c>
      <c r="B16119" s="572">
        <v>0.55312916700000003</v>
      </c>
      <c r="C16119" s="572">
        <v>71.870699999999999</v>
      </c>
    </row>
    <row r="16120" spans="1:3">
      <c r="A16120" s="571" t="s">
        <v>2270</v>
      </c>
      <c r="B16120" s="572">
        <v>0.76566666699999997</v>
      </c>
      <c r="C16120" s="572">
        <v>73.932400000000001</v>
      </c>
    </row>
    <row r="16121" spans="1:3">
      <c r="A16121" s="571" t="s">
        <v>2270</v>
      </c>
      <c r="B16121" s="572">
        <v>1.04345</v>
      </c>
      <c r="C16121" s="572">
        <v>74.823800000000006</v>
      </c>
    </row>
    <row r="16122" spans="1:3">
      <c r="A16122" s="571" t="s">
        <v>2270</v>
      </c>
      <c r="B16122" s="572">
        <v>1.2559166669999999</v>
      </c>
      <c r="C16122" s="572">
        <v>76.005700000000004</v>
      </c>
    </row>
    <row r="16123" spans="1:3">
      <c r="A16123" s="571" t="s">
        <v>2270</v>
      </c>
      <c r="B16123" s="572">
        <v>1.4682875</v>
      </c>
      <c r="C16123" s="572">
        <v>76.014600000000002</v>
      </c>
    </row>
    <row r="16124" spans="1:3">
      <c r="A16124" s="571" t="s">
        <v>2270</v>
      </c>
      <c r="B16124" s="572">
        <v>1.688870833</v>
      </c>
      <c r="C16124" s="572">
        <v>76.610299999999995</v>
      </c>
    </row>
    <row r="16125" spans="1:3">
      <c r="A16125" s="571" t="s">
        <v>2270</v>
      </c>
      <c r="B16125" s="572">
        <v>1.9094583329999999</v>
      </c>
      <c r="C16125" s="572">
        <v>77.206100000000006</v>
      </c>
    </row>
    <row r="16126" spans="1:3">
      <c r="A16126" s="571" t="s">
        <v>2270</v>
      </c>
      <c r="B16126" s="572">
        <v>1.950441667</v>
      </c>
      <c r="C16126" s="572">
        <v>78.967299999999994</v>
      </c>
    </row>
    <row r="16127" spans="1:3">
      <c r="A16127" s="571" t="s">
        <v>2270</v>
      </c>
      <c r="B16127" s="572">
        <v>1.9586333330000001</v>
      </c>
      <c r="C16127" s="572">
        <v>79.260900000000007</v>
      </c>
    </row>
    <row r="16128" spans="1:3">
      <c r="A16128" s="571" t="s">
        <v>2270</v>
      </c>
      <c r="B16128" s="572">
        <v>2.0239291669999999</v>
      </c>
      <c r="C16128" s="572">
        <v>78.677199999999999</v>
      </c>
    </row>
    <row r="16129" spans="1:3">
      <c r="A16129" s="571" t="s">
        <v>2270</v>
      </c>
      <c r="B16129" s="572">
        <v>2.0891791670000002</v>
      </c>
      <c r="C16129" s="572">
        <v>77.506900000000002</v>
      </c>
    </row>
    <row r="16130" spans="1:3">
      <c r="A16130" s="571" t="s">
        <v>2270</v>
      </c>
      <c r="B16130" s="572">
        <v>2.170858333</v>
      </c>
      <c r="C16130" s="572">
        <v>77.510300000000001</v>
      </c>
    </row>
    <row r="16131" spans="1:3">
      <c r="A16131" s="571" t="s">
        <v>2270</v>
      </c>
      <c r="B16131" s="572">
        <v>2.2444416669999998</v>
      </c>
      <c r="C16131" s="572">
        <v>78.393100000000004</v>
      </c>
    </row>
    <row r="16132" spans="1:3">
      <c r="A16132" s="571" t="s">
        <v>2270</v>
      </c>
      <c r="B16132" s="572">
        <v>2.317933333</v>
      </c>
      <c r="C16132" s="572">
        <v>78.102999999999994</v>
      </c>
    </row>
    <row r="16133" spans="1:3">
      <c r="A16133" s="571" t="s">
        <v>2270</v>
      </c>
      <c r="B16133" s="572">
        <v>2.3996124999999999</v>
      </c>
      <c r="C16133" s="572">
        <v>78.106399999999994</v>
      </c>
    </row>
    <row r="16134" spans="1:3">
      <c r="A16134" s="571" t="s">
        <v>2270</v>
      </c>
      <c r="B16134" s="572">
        <v>2.4812666669999999</v>
      </c>
      <c r="C16134" s="572">
        <v>77.816599999999994</v>
      </c>
    </row>
    <row r="16135" spans="1:3">
      <c r="A16135" s="571" t="s">
        <v>2270</v>
      </c>
      <c r="B16135" s="572">
        <v>2.5547333330000002</v>
      </c>
      <c r="C16135" s="572">
        <v>77.233099999999993</v>
      </c>
    </row>
    <row r="16136" spans="1:3">
      <c r="A16136" s="571" t="s">
        <v>2270</v>
      </c>
      <c r="B16136" s="572">
        <v>2.6364375</v>
      </c>
      <c r="C16136" s="572">
        <v>77.529799999999994</v>
      </c>
    </row>
    <row r="16137" spans="1:3">
      <c r="A16137" s="571" t="s">
        <v>2270</v>
      </c>
      <c r="B16137" s="572">
        <v>2.718095833</v>
      </c>
      <c r="C16137" s="572">
        <v>77.239999999999995</v>
      </c>
    </row>
    <row r="16138" spans="1:3">
      <c r="A16138" s="571" t="s">
        <v>2270</v>
      </c>
      <c r="B16138" s="572">
        <v>2.79975</v>
      </c>
      <c r="C16138" s="572">
        <v>76.950100000000006</v>
      </c>
    </row>
    <row r="16139" spans="1:3">
      <c r="A16139" s="571" t="s">
        <v>2270</v>
      </c>
      <c r="B16139" s="572">
        <v>2.8732875</v>
      </c>
      <c r="C16139" s="572">
        <v>77.246499999999997</v>
      </c>
    </row>
    <row r="16140" spans="1:3">
      <c r="A16140" s="571" t="s">
        <v>2270</v>
      </c>
      <c r="B16140" s="572">
        <v>2.9058875</v>
      </c>
      <c r="C16140" s="572">
        <v>76.368099999999998</v>
      </c>
    </row>
    <row r="16141" spans="1:3">
      <c r="A16141" s="571" t="s">
        <v>2270</v>
      </c>
      <c r="B16141" s="572">
        <v>2.9793750000000001</v>
      </c>
      <c r="C16141" s="572">
        <v>76.0779</v>
      </c>
    </row>
    <row r="16142" spans="1:3">
      <c r="A16142" s="571" t="s">
        <v>2270</v>
      </c>
      <c r="B16142" s="572">
        <v>3.0610333330000001</v>
      </c>
      <c r="C16142" s="572">
        <v>75.7881</v>
      </c>
    </row>
    <row r="16143" spans="1:3">
      <c r="A16143" s="571" t="s">
        <v>2270</v>
      </c>
      <c r="B16143" s="572">
        <v>3.1345208329999998</v>
      </c>
      <c r="C16143" s="572">
        <v>75.497900000000001</v>
      </c>
    </row>
    <row r="16144" spans="1:3">
      <c r="A16144" s="571" t="s">
        <v>2270</v>
      </c>
      <c r="B16144" s="572">
        <v>3.2161791669999999</v>
      </c>
      <c r="C16144" s="572">
        <v>75.208100000000002</v>
      </c>
    </row>
    <row r="16145" spans="1:3">
      <c r="A16145" s="571" t="s">
        <v>2270</v>
      </c>
      <c r="B16145" s="572">
        <v>3.289691667</v>
      </c>
      <c r="C16145" s="572">
        <v>75.211100000000002</v>
      </c>
    </row>
    <row r="16146" spans="1:3">
      <c r="A16146" s="571" t="s">
        <v>2270</v>
      </c>
      <c r="B16146" s="572">
        <v>3.3713250000000001</v>
      </c>
      <c r="C16146" s="572">
        <v>74.628</v>
      </c>
    </row>
    <row r="16147" spans="1:3">
      <c r="A16147" s="571" t="s">
        <v>2270</v>
      </c>
      <c r="B16147" s="572">
        <v>3.4448124999999998</v>
      </c>
      <c r="C16147" s="572">
        <v>74.337900000000005</v>
      </c>
    </row>
    <row r="16148" spans="1:3">
      <c r="A16148" s="571" t="s">
        <v>2270</v>
      </c>
      <c r="B16148" s="572">
        <v>3.5264458329999999</v>
      </c>
      <c r="C16148" s="572">
        <v>73.754800000000003</v>
      </c>
    </row>
    <row r="16149" spans="1:3">
      <c r="A16149" s="571" t="s">
        <v>2270</v>
      </c>
      <c r="B16149" s="572">
        <v>3.591741667</v>
      </c>
      <c r="C16149" s="572">
        <v>73.171000000000006</v>
      </c>
    </row>
    <row r="16150" spans="1:3">
      <c r="A16150" s="571" t="s">
        <v>2270</v>
      </c>
      <c r="B16150" s="572">
        <v>3.6733958329999998</v>
      </c>
      <c r="C16150" s="572">
        <v>72.881200000000007</v>
      </c>
    </row>
    <row r="16151" spans="1:3">
      <c r="A16151" s="571" t="s">
        <v>2270</v>
      </c>
      <c r="B16151" s="572">
        <v>3.7550541669999999</v>
      </c>
      <c r="C16151" s="572">
        <v>72.591300000000004</v>
      </c>
    </row>
    <row r="16152" spans="1:3">
      <c r="A16152" s="571" t="s">
        <v>2270</v>
      </c>
      <c r="B16152" s="572">
        <v>3.8367125</v>
      </c>
      <c r="C16152" s="572">
        <v>72.301500000000004</v>
      </c>
    </row>
    <row r="16153" spans="1:3">
      <c r="A16153" s="571" t="s">
        <v>2270</v>
      </c>
      <c r="B16153" s="572">
        <v>3.9102000000000001</v>
      </c>
      <c r="C16153" s="572">
        <v>72.011300000000006</v>
      </c>
    </row>
    <row r="16154" spans="1:3">
      <c r="A16154" s="571" t="s">
        <v>2270</v>
      </c>
      <c r="B16154" s="572">
        <v>3.9836624999999999</v>
      </c>
      <c r="C16154" s="572">
        <v>71.427899999999994</v>
      </c>
    </row>
    <row r="16155" spans="1:3">
      <c r="A16155" s="571" t="s">
        <v>2270</v>
      </c>
      <c r="B16155" s="572">
        <v>4.0653208330000004</v>
      </c>
      <c r="C16155" s="572">
        <v>71.138099999999994</v>
      </c>
    </row>
    <row r="16156" spans="1:3">
      <c r="A16156" s="571" t="s">
        <v>2270</v>
      </c>
      <c r="B16156" s="572">
        <v>4.1388083330000001</v>
      </c>
      <c r="C16156" s="572">
        <v>70.847899999999996</v>
      </c>
    </row>
    <row r="16157" spans="1:3">
      <c r="A16157" s="571" t="s">
        <v>2270</v>
      </c>
      <c r="B16157" s="572">
        <v>4.2204583329999998</v>
      </c>
      <c r="C16157" s="572">
        <v>70.558000000000007</v>
      </c>
    </row>
    <row r="16158" spans="1:3">
      <c r="A16158" s="571" t="s">
        <v>2270</v>
      </c>
      <c r="B16158" s="572">
        <v>4.3021250000000002</v>
      </c>
      <c r="C16158" s="572">
        <v>70.268199999999993</v>
      </c>
    </row>
    <row r="16159" spans="1:3">
      <c r="A16159" s="571" t="s">
        <v>2270</v>
      </c>
      <c r="B16159" s="572">
        <v>4.3756250000000003</v>
      </c>
      <c r="C16159" s="572">
        <v>69.977999999999994</v>
      </c>
    </row>
    <row r="16160" spans="1:3">
      <c r="A16160" s="571" t="s">
        <v>2270</v>
      </c>
      <c r="B16160" s="572">
        <v>4.4572916669999998</v>
      </c>
      <c r="C16160" s="572">
        <v>69.981499999999997</v>
      </c>
    </row>
    <row r="16161" spans="1:3">
      <c r="A16161" s="571" t="s">
        <v>2270</v>
      </c>
      <c r="B16161" s="572">
        <v>4.522583333</v>
      </c>
      <c r="C16161" s="572">
        <v>69.3977</v>
      </c>
    </row>
    <row r="16162" spans="1:3">
      <c r="A16162" s="571" t="s">
        <v>2270</v>
      </c>
      <c r="B16162" s="572">
        <v>4.6042500000000004</v>
      </c>
      <c r="C16162" s="572">
        <v>69.107799999999997</v>
      </c>
    </row>
    <row r="16163" spans="1:3">
      <c r="A16163" s="571" t="s">
        <v>2270</v>
      </c>
      <c r="B16163" s="572">
        <v>4.6695416669999998</v>
      </c>
      <c r="C16163" s="572">
        <v>68.524100000000004</v>
      </c>
    </row>
    <row r="16164" spans="1:3">
      <c r="A16164" s="571" t="s">
        <v>2270</v>
      </c>
      <c r="B16164" s="572">
        <v>4.7348749999999997</v>
      </c>
      <c r="C16164" s="572">
        <v>68.233599999999996</v>
      </c>
    </row>
    <row r="16165" spans="1:3">
      <c r="A16165" s="571" t="s">
        <v>2270</v>
      </c>
      <c r="B16165" s="572">
        <v>4.8165416670000001</v>
      </c>
      <c r="C16165" s="572">
        <v>68.236999999999995</v>
      </c>
    </row>
    <row r="16166" spans="1:3">
      <c r="A16166" s="571" t="s">
        <v>2270</v>
      </c>
      <c r="B16166" s="572">
        <v>4.8981666669999999</v>
      </c>
      <c r="C16166" s="572">
        <v>67.653899999999993</v>
      </c>
    </row>
    <row r="16167" spans="1:3">
      <c r="A16167" s="571" t="s">
        <v>2270</v>
      </c>
      <c r="B16167" s="572">
        <v>4.9798749999999998</v>
      </c>
      <c r="C16167" s="572">
        <v>67.657300000000006</v>
      </c>
    </row>
    <row r="16168" spans="1:3">
      <c r="A16168" s="571" t="s">
        <v>2270</v>
      </c>
      <c r="B16168" s="572">
        <v>5.0533333330000003</v>
      </c>
      <c r="C16168" s="572">
        <v>67.367099999999994</v>
      </c>
    </row>
    <row r="16169" spans="1:3">
      <c r="A16169" s="571" t="s">
        <v>2270</v>
      </c>
      <c r="B16169" s="572">
        <v>5.1349999999999998</v>
      </c>
      <c r="C16169" s="572">
        <v>67.077299999999994</v>
      </c>
    </row>
    <row r="16170" spans="1:3">
      <c r="A16170" s="571" t="s">
        <v>2270</v>
      </c>
      <c r="B16170" s="572">
        <v>5.2084999999999999</v>
      </c>
      <c r="C16170" s="572">
        <v>66.787099999999995</v>
      </c>
    </row>
    <row r="16171" spans="1:3">
      <c r="A16171" s="571" t="s">
        <v>2270</v>
      </c>
      <c r="B16171" s="572">
        <v>5.2819583330000004</v>
      </c>
      <c r="C16171" s="572">
        <v>66.496899999999997</v>
      </c>
    </row>
    <row r="16172" spans="1:3">
      <c r="A16172" s="571" t="s">
        <v>2270</v>
      </c>
      <c r="B16172" s="572">
        <v>5.3636249999999999</v>
      </c>
      <c r="C16172" s="572">
        <v>66.207099999999997</v>
      </c>
    </row>
    <row r="16173" spans="1:3">
      <c r="A16173" s="571" t="s">
        <v>2270</v>
      </c>
      <c r="B16173" s="572">
        <v>5.4452916670000002</v>
      </c>
      <c r="C16173" s="572">
        <v>65.917299999999997</v>
      </c>
    </row>
    <row r="16174" spans="1:3">
      <c r="A16174" s="571" t="s">
        <v>2270</v>
      </c>
      <c r="B16174" s="572">
        <v>5.5187499999999998</v>
      </c>
      <c r="C16174" s="572">
        <v>65.333799999999997</v>
      </c>
    </row>
    <row r="16175" spans="1:3">
      <c r="A16175" s="571" t="s">
        <v>2270</v>
      </c>
      <c r="B16175" s="572">
        <v>5.6004166670000002</v>
      </c>
      <c r="C16175" s="572">
        <v>65.337299999999999</v>
      </c>
    </row>
    <row r="16176" spans="1:3">
      <c r="A16176" s="571" t="s">
        <v>2270</v>
      </c>
      <c r="B16176" s="572">
        <v>5.6820833329999996</v>
      </c>
      <c r="C16176" s="572">
        <v>65.047399999999996</v>
      </c>
    </row>
    <row r="16177" spans="1:3">
      <c r="A16177" s="571" t="s">
        <v>2270</v>
      </c>
      <c r="B16177" s="572">
        <v>5.7637499999999999</v>
      </c>
      <c r="C16177" s="572">
        <v>64.757599999999996</v>
      </c>
    </row>
    <row r="16178" spans="1:3">
      <c r="A16178" s="571" t="s">
        <v>2270</v>
      </c>
      <c r="B16178" s="572">
        <v>5.837166667</v>
      </c>
      <c r="C16178" s="572">
        <v>63.587600000000002</v>
      </c>
    </row>
    <row r="16179" spans="1:3">
      <c r="A16179" s="571" t="s">
        <v>2270</v>
      </c>
      <c r="B16179" s="572">
        <v>5.9187916669999998</v>
      </c>
      <c r="C16179" s="572">
        <v>63.004600000000003</v>
      </c>
    </row>
    <row r="16180" spans="1:3">
      <c r="A16180" s="571" t="s">
        <v>2270</v>
      </c>
      <c r="B16180" s="572">
        <v>6.0004583330000001</v>
      </c>
      <c r="C16180" s="572">
        <v>63.008000000000003</v>
      </c>
    </row>
    <row r="16181" spans="1:3">
      <c r="A16181" s="571" t="s">
        <v>2270</v>
      </c>
      <c r="B16181" s="572">
        <v>6.0821249999999996</v>
      </c>
      <c r="C16181" s="572">
        <v>62.7181</v>
      </c>
    </row>
    <row r="16182" spans="1:3">
      <c r="A16182" s="571" t="s">
        <v>2270</v>
      </c>
      <c r="B16182" s="572">
        <v>6.1637916669999999</v>
      </c>
      <c r="C16182" s="572">
        <v>62.4283</v>
      </c>
    </row>
    <row r="16183" spans="1:3">
      <c r="A16183" s="571" t="s">
        <v>2270</v>
      </c>
      <c r="B16183" s="572">
        <v>6.2290833330000002</v>
      </c>
      <c r="C16183" s="572">
        <v>61.844499999999996</v>
      </c>
    </row>
    <row r="16184" spans="1:3">
      <c r="A16184" s="571" t="s">
        <v>2270</v>
      </c>
      <c r="B16184" s="572">
        <v>6.310708333</v>
      </c>
      <c r="C16184" s="572">
        <v>61.261400000000002</v>
      </c>
    </row>
    <row r="16185" spans="1:3">
      <c r="A16185" s="571" t="s">
        <v>2270</v>
      </c>
      <c r="B16185" s="572">
        <v>6.3923333329999998</v>
      </c>
      <c r="C16185" s="572">
        <v>60.678400000000003</v>
      </c>
    </row>
    <row r="16186" spans="1:3">
      <c r="A16186" s="571" t="s">
        <v>2270</v>
      </c>
      <c r="B16186" s="572">
        <v>6.465833333</v>
      </c>
      <c r="C16186" s="572">
        <v>60.388199999999998</v>
      </c>
    </row>
    <row r="16187" spans="1:3">
      <c r="A16187" s="571" t="s">
        <v>2270</v>
      </c>
      <c r="B16187" s="572">
        <v>6.5393333330000001</v>
      </c>
      <c r="C16187" s="572">
        <v>60.097999999999999</v>
      </c>
    </row>
    <row r="16188" spans="1:3">
      <c r="A16188" s="571" t="s">
        <v>2270</v>
      </c>
      <c r="B16188" s="572">
        <v>6.6210000000000004</v>
      </c>
      <c r="C16188" s="572">
        <v>59.808199999999999</v>
      </c>
    </row>
    <row r="16189" spans="1:3">
      <c r="A16189" s="571" t="s">
        <v>2270</v>
      </c>
      <c r="B16189" s="572">
        <v>6.694458333</v>
      </c>
      <c r="C16189" s="572">
        <v>59.518000000000001</v>
      </c>
    </row>
    <row r="16190" spans="1:3">
      <c r="A16190" s="571" t="s">
        <v>2270</v>
      </c>
      <c r="B16190" s="572">
        <v>6.7761250000000004</v>
      </c>
      <c r="C16190" s="572">
        <v>58.934899999999999</v>
      </c>
    </row>
    <row r="16191" spans="1:3">
      <c r="A16191" s="571" t="s">
        <v>2270</v>
      </c>
      <c r="B16191" s="572">
        <v>6.8414166669999998</v>
      </c>
      <c r="C16191" s="572">
        <v>58.351100000000002</v>
      </c>
    </row>
    <row r="16192" spans="1:3">
      <c r="A16192" s="571" t="s">
        <v>2270</v>
      </c>
      <c r="B16192" s="572">
        <v>6.9230416669999997</v>
      </c>
      <c r="C16192" s="572">
        <v>58.061300000000003</v>
      </c>
    </row>
    <row r="16193" spans="1:3">
      <c r="A16193" s="571" t="s">
        <v>2322</v>
      </c>
      <c r="B16193" s="572">
        <v>3.0129125000000003E-2</v>
      </c>
      <c r="C16193" s="572">
        <v>6</v>
      </c>
    </row>
    <row r="16194" spans="1:3">
      <c r="A16194" s="571" t="s">
        <v>2322</v>
      </c>
      <c r="B16194" s="572">
        <v>0.12051666666666666</v>
      </c>
      <c r="C16194" s="572">
        <v>15</v>
      </c>
    </row>
    <row r="16195" spans="1:3">
      <c r="A16195" s="571" t="s">
        <v>2322</v>
      </c>
      <c r="B16195" s="572">
        <v>0.18077458333333332</v>
      </c>
      <c r="C16195" s="572">
        <v>21</v>
      </c>
    </row>
    <row r="16196" spans="1:3">
      <c r="A16196" s="571" t="s">
        <v>2322</v>
      </c>
      <c r="B16196" s="572">
        <v>0.21090374999999997</v>
      </c>
      <c r="C16196" s="572">
        <v>33</v>
      </c>
    </row>
    <row r="16197" spans="1:3">
      <c r="A16197" s="571" t="s">
        <v>2322</v>
      </c>
      <c r="B16197" s="572">
        <v>0.2711620833333333</v>
      </c>
      <c r="C16197" s="572">
        <v>34</v>
      </c>
    </row>
    <row r="16198" spans="1:3">
      <c r="A16198" s="571" t="s">
        <v>2322</v>
      </c>
      <c r="B16198" s="572">
        <v>0.33142041666666666</v>
      </c>
      <c r="C16198" s="572">
        <v>17</v>
      </c>
    </row>
    <row r="16199" spans="1:3">
      <c r="A16199" s="571" t="s">
        <v>2322</v>
      </c>
      <c r="B16199" s="572">
        <v>0.43185000000000001</v>
      </c>
      <c r="C16199" s="572">
        <v>4</v>
      </c>
    </row>
    <row r="16200" spans="1:3">
      <c r="A16200" s="571" t="s">
        <v>2322</v>
      </c>
      <c r="B16200" s="572">
        <v>0.54232500000000006</v>
      </c>
      <c r="C16200" s="572">
        <v>24</v>
      </c>
    </row>
    <row r="16201" spans="1:3">
      <c r="A16201" s="571" t="s">
        <v>2322</v>
      </c>
      <c r="B16201" s="572">
        <v>0.74318333333333342</v>
      </c>
      <c r="C16201" s="572">
        <v>38</v>
      </c>
    </row>
    <row r="16202" spans="1:3">
      <c r="A16202" s="571" t="s">
        <v>2322</v>
      </c>
      <c r="B16202" s="572">
        <v>0.92395833333333333</v>
      </c>
      <c r="C16202" s="572">
        <v>47</v>
      </c>
    </row>
    <row r="16203" spans="1:3">
      <c r="A16203" s="571" t="s">
        <v>2322</v>
      </c>
      <c r="B16203" s="572">
        <v>1.1850791666666667</v>
      </c>
      <c r="C16203" s="572">
        <v>54</v>
      </c>
    </row>
    <row r="16204" spans="1:3">
      <c r="A16204" s="571" t="s">
        <v>2322</v>
      </c>
      <c r="B16204" s="572">
        <v>1.3758958333333335</v>
      </c>
      <c r="C16204" s="572">
        <v>59</v>
      </c>
    </row>
    <row r="16205" spans="1:3">
      <c r="A16205" s="571" t="s">
        <v>2322</v>
      </c>
      <c r="B16205" s="572">
        <v>1.6068875</v>
      </c>
      <c r="C16205" s="572">
        <v>65</v>
      </c>
    </row>
    <row r="16206" spans="1:3">
      <c r="A16206" s="571" t="s">
        <v>2322</v>
      </c>
      <c r="B16206" s="572">
        <v>1.8177916666666667</v>
      </c>
      <c r="C16206" s="572">
        <v>73</v>
      </c>
    </row>
    <row r="16207" spans="1:3">
      <c r="A16207" s="571" t="s">
        <v>2322</v>
      </c>
      <c r="B16207" s="572">
        <v>2.0588250000000001</v>
      </c>
      <c r="C16207" s="572">
        <v>79</v>
      </c>
    </row>
    <row r="16208" spans="1:3">
      <c r="A16208" s="571" t="s">
        <v>2322</v>
      </c>
      <c r="B16208" s="572">
        <v>2.2797708333333335</v>
      </c>
      <c r="C16208" s="572">
        <v>88</v>
      </c>
    </row>
    <row r="16209" spans="1:3">
      <c r="A16209" s="571" t="s">
        <v>2322</v>
      </c>
      <c r="B16209" s="572">
        <v>2.490675</v>
      </c>
      <c r="C16209" s="572">
        <v>96</v>
      </c>
    </row>
    <row r="16210" spans="1:3">
      <c r="A16210" s="571" t="s">
        <v>2322</v>
      </c>
      <c r="B16210" s="572">
        <v>2.6814916666666666</v>
      </c>
      <c r="C16210" s="572">
        <v>103</v>
      </c>
    </row>
    <row r="16211" spans="1:3">
      <c r="A16211" s="571" t="s">
        <v>2322</v>
      </c>
      <c r="B16211" s="572">
        <v>2.8622666666666667</v>
      </c>
      <c r="C16211" s="572">
        <v>111</v>
      </c>
    </row>
    <row r="16212" spans="1:3">
      <c r="A16212" s="571" t="s">
        <v>2322</v>
      </c>
      <c r="B16212" s="572">
        <v>3.0430416666666669</v>
      </c>
      <c r="C16212" s="572">
        <v>116</v>
      </c>
    </row>
    <row r="16213" spans="1:3">
      <c r="A16213" s="571" t="s">
        <v>2322</v>
      </c>
      <c r="B16213" s="572">
        <v>3.2539458333333333</v>
      </c>
      <c r="C16213" s="572">
        <v>123</v>
      </c>
    </row>
    <row r="16214" spans="1:3">
      <c r="A16214" s="571" t="s">
        <v>2322</v>
      </c>
      <c r="B16214" s="572">
        <v>3.4447624999999999</v>
      </c>
      <c r="C16214" s="572">
        <v>130</v>
      </c>
    </row>
    <row r="16215" spans="1:3">
      <c r="A16215" s="571" t="s">
        <v>2322</v>
      </c>
      <c r="B16215" s="572">
        <v>3.6456250000000003</v>
      </c>
      <c r="C16215" s="572">
        <v>137</v>
      </c>
    </row>
    <row r="16216" spans="1:3">
      <c r="A16216" s="571" t="s">
        <v>2322</v>
      </c>
      <c r="B16216" s="572">
        <v>3.8264</v>
      </c>
      <c r="C16216" s="572">
        <v>144</v>
      </c>
    </row>
    <row r="16217" spans="1:3">
      <c r="A16217" s="571" t="s">
        <v>2322</v>
      </c>
      <c r="B16217" s="572">
        <v>4.0473458333333339</v>
      </c>
      <c r="C16217" s="572">
        <v>152</v>
      </c>
    </row>
    <row r="16218" spans="1:3">
      <c r="A16218" s="571" t="s">
        <v>2322</v>
      </c>
      <c r="B16218" s="572">
        <v>4.3084583333333333</v>
      </c>
      <c r="C16218" s="572">
        <v>159</v>
      </c>
    </row>
    <row r="16219" spans="1:3">
      <c r="A16219" s="571" t="s">
        <v>2322</v>
      </c>
      <c r="B16219" s="572">
        <v>4.5193750000000001</v>
      </c>
      <c r="C16219" s="572">
        <v>167</v>
      </c>
    </row>
    <row r="16220" spans="1:3">
      <c r="A16220" s="571" t="s">
        <v>2322</v>
      </c>
      <c r="B16220" s="572">
        <v>4.750375</v>
      </c>
      <c r="C16220" s="572">
        <v>173</v>
      </c>
    </row>
    <row r="16221" spans="1:3">
      <c r="A16221" s="571" t="s">
        <v>2322</v>
      </c>
      <c r="B16221" s="572">
        <v>4.9512083333333328</v>
      </c>
      <c r="C16221" s="572">
        <v>180</v>
      </c>
    </row>
    <row r="16222" spans="1:3">
      <c r="A16222" s="571" t="s">
        <v>2322</v>
      </c>
      <c r="B16222" s="572">
        <v>5.2022916666666665</v>
      </c>
      <c r="C16222" s="572">
        <v>187</v>
      </c>
    </row>
    <row r="16223" spans="1:3">
      <c r="A16223" s="571" t="s">
        <v>2322</v>
      </c>
      <c r="B16223" s="572">
        <v>5.4332916666666664</v>
      </c>
      <c r="C16223" s="572">
        <v>194</v>
      </c>
    </row>
    <row r="16224" spans="1:3">
      <c r="A16224" s="571" t="s">
        <v>2322</v>
      </c>
      <c r="B16224" s="572">
        <v>5.6743333333333332</v>
      </c>
      <c r="C16224" s="572">
        <v>202</v>
      </c>
    </row>
    <row r="16225" spans="1:3">
      <c r="A16225" s="571" t="s">
        <v>2322</v>
      </c>
      <c r="B16225" s="572">
        <v>5.9052916666666668</v>
      </c>
      <c r="C16225" s="572">
        <v>208</v>
      </c>
    </row>
    <row r="16226" spans="1:3">
      <c r="A16226" s="571" t="s">
        <v>2322</v>
      </c>
      <c r="B16226" s="572">
        <v>6.1262499999999998</v>
      </c>
      <c r="C16226" s="572">
        <v>214</v>
      </c>
    </row>
    <row r="16227" spans="1:3">
      <c r="A16227" s="571" t="s">
        <v>2322</v>
      </c>
      <c r="B16227" s="572">
        <v>6.3672916666666666</v>
      </c>
      <c r="C16227" s="572">
        <v>220</v>
      </c>
    </row>
    <row r="16228" spans="1:3">
      <c r="A16228" s="571" t="s">
        <v>2322</v>
      </c>
      <c r="B16228" s="572">
        <v>6.5982916666666673</v>
      </c>
      <c r="C16228" s="572">
        <v>225</v>
      </c>
    </row>
    <row r="16229" spans="1:3">
      <c r="A16229" s="571" t="s">
        <v>2322</v>
      </c>
      <c r="B16229" s="572">
        <v>6.7890833333333331</v>
      </c>
      <c r="C16229" s="572">
        <v>228</v>
      </c>
    </row>
    <row r="16230" spans="1:3">
      <c r="A16230" s="571" t="s">
        <v>2322</v>
      </c>
      <c r="B16230" s="572">
        <v>6.9497916666666661</v>
      </c>
      <c r="C16230" s="572">
        <v>233</v>
      </c>
    </row>
    <row r="16231" spans="1:3">
      <c r="A16231" s="571" t="s">
        <v>2326</v>
      </c>
      <c r="B16231" s="572">
        <v>2.0086083333333334E-2</v>
      </c>
      <c r="C16231" s="572">
        <v>2</v>
      </c>
    </row>
    <row r="16232" spans="1:3">
      <c r="A16232" s="571" t="s">
        <v>2326</v>
      </c>
      <c r="B16232" s="572">
        <v>0.14060249999999999</v>
      </c>
      <c r="C16232" s="572">
        <v>9</v>
      </c>
    </row>
    <row r="16233" spans="1:3">
      <c r="A16233" s="571" t="s">
        <v>2326</v>
      </c>
      <c r="B16233" s="572">
        <v>0.20086083333333335</v>
      </c>
      <c r="C16233" s="572">
        <v>27</v>
      </c>
    </row>
    <row r="16234" spans="1:3">
      <c r="A16234" s="571" t="s">
        <v>2326</v>
      </c>
      <c r="B16234" s="572">
        <v>0.24103291666666668</v>
      </c>
      <c r="C16234" s="572">
        <v>43</v>
      </c>
    </row>
    <row r="16235" spans="1:3">
      <c r="A16235" s="571" t="s">
        <v>2326</v>
      </c>
      <c r="B16235" s="572">
        <v>0.2711620833333333</v>
      </c>
      <c r="C16235" s="572">
        <v>55</v>
      </c>
    </row>
    <row r="16236" spans="1:3">
      <c r="A16236" s="571" t="s">
        <v>2326</v>
      </c>
      <c r="B16236" s="572">
        <v>0.31133416666666663</v>
      </c>
      <c r="C16236" s="572">
        <v>71</v>
      </c>
    </row>
    <row r="16237" spans="1:3">
      <c r="A16237" s="571" t="s">
        <v>2326</v>
      </c>
      <c r="B16237" s="572">
        <v>0.38163541666666667</v>
      </c>
      <c r="C16237" s="572">
        <v>68</v>
      </c>
    </row>
    <row r="16238" spans="1:3">
      <c r="A16238" s="571" t="s">
        <v>2326</v>
      </c>
      <c r="B16238" s="572">
        <v>0.49210833333333337</v>
      </c>
      <c r="C16238" s="572">
        <v>73</v>
      </c>
    </row>
    <row r="16239" spans="1:3">
      <c r="A16239" s="571" t="s">
        <v>2326</v>
      </c>
      <c r="B16239" s="572">
        <v>0.71305416666666666</v>
      </c>
      <c r="C16239" s="572">
        <v>82</v>
      </c>
    </row>
    <row r="16240" spans="1:3">
      <c r="A16240" s="571" t="s">
        <v>2326</v>
      </c>
      <c r="B16240" s="572">
        <v>0.91391666666666671</v>
      </c>
      <c r="C16240" s="572">
        <v>88</v>
      </c>
    </row>
    <row r="16241" spans="1:3">
      <c r="A16241" s="571" t="s">
        <v>2326</v>
      </c>
      <c r="B16241" s="572">
        <v>1.1449083333333332</v>
      </c>
      <c r="C16241" s="572">
        <v>94</v>
      </c>
    </row>
    <row r="16242" spans="1:3">
      <c r="A16242" s="571" t="s">
        <v>2326</v>
      </c>
      <c r="B16242" s="572">
        <v>1.3859416666666666</v>
      </c>
      <c r="C16242" s="572">
        <v>98</v>
      </c>
    </row>
    <row r="16243" spans="1:3">
      <c r="A16243" s="571" t="s">
        <v>2326</v>
      </c>
      <c r="B16243" s="572">
        <v>1.6068875</v>
      </c>
      <c r="C16243" s="572">
        <v>102</v>
      </c>
    </row>
    <row r="16244" spans="1:3">
      <c r="A16244" s="571" t="s">
        <v>2326</v>
      </c>
      <c r="B16244" s="572">
        <v>1.8077458333333334</v>
      </c>
      <c r="C16244" s="572">
        <v>103</v>
      </c>
    </row>
    <row r="16245" spans="1:3">
      <c r="A16245" s="571" t="s">
        <v>2326</v>
      </c>
      <c r="B16245" s="572">
        <v>1.9985666666666668</v>
      </c>
      <c r="C16245" s="572">
        <v>106</v>
      </c>
    </row>
    <row r="16246" spans="1:3">
      <c r="A16246" s="571" t="s">
        <v>2326</v>
      </c>
      <c r="B16246" s="572">
        <v>2.2295541666666669</v>
      </c>
      <c r="C16246" s="572">
        <v>109</v>
      </c>
    </row>
    <row r="16247" spans="1:3">
      <c r="A16247" s="571" t="s">
        <v>2326</v>
      </c>
      <c r="B16247" s="572">
        <v>2.4806333333333335</v>
      </c>
      <c r="C16247" s="572">
        <v>111</v>
      </c>
    </row>
    <row r="16248" spans="1:3">
      <c r="A16248" s="571" t="s">
        <v>2326</v>
      </c>
      <c r="B16248" s="572">
        <v>2.7015791666666669</v>
      </c>
      <c r="C16248" s="572">
        <v>113</v>
      </c>
    </row>
    <row r="16249" spans="1:3">
      <c r="A16249" s="571" t="s">
        <v>2326</v>
      </c>
      <c r="B16249" s="572">
        <v>2.9325666666666668</v>
      </c>
      <c r="C16249" s="572">
        <v>114</v>
      </c>
    </row>
    <row r="16250" spans="1:3">
      <c r="A16250" s="571" t="s">
        <v>2326</v>
      </c>
      <c r="B16250" s="572">
        <v>3.1133416666666669</v>
      </c>
      <c r="C16250" s="572">
        <v>116</v>
      </c>
    </row>
    <row r="16251" spans="1:3">
      <c r="A16251" s="571" t="s">
        <v>2326</v>
      </c>
      <c r="B16251" s="572">
        <v>3.3142041666666664</v>
      </c>
      <c r="C16251" s="572">
        <v>117</v>
      </c>
    </row>
    <row r="16252" spans="1:3">
      <c r="A16252" s="571" t="s">
        <v>2326</v>
      </c>
      <c r="B16252" s="572">
        <v>3.5351499999999998</v>
      </c>
      <c r="C16252" s="572">
        <v>117</v>
      </c>
    </row>
    <row r="16253" spans="1:3">
      <c r="A16253" s="571" t="s">
        <v>2326</v>
      </c>
      <c r="B16253" s="572">
        <v>3.7560958333333332</v>
      </c>
      <c r="C16253" s="572">
        <v>120</v>
      </c>
    </row>
    <row r="16254" spans="1:3">
      <c r="A16254" s="571" t="s">
        <v>2326</v>
      </c>
      <c r="B16254" s="572">
        <v>3.9770458333333334</v>
      </c>
      <c r="C16254" s="572">
        <v>122</v>
      </c>
    </row>
    <row r="16255" spans="1:3">
      <c r="A16255" s="571" t="s">
        <v>2326</v>
      </c>
      <c r="B16255" s="572">
        <v>4.2180833333333334</v>
      </c>
      <c r="C16255" s="572">
        <v>123</v>
      </c>
    </row>
    <row r="16256" spans="1:3">
      <c r="A16256" s="571" t="s">
        <v>2326</v>
      </c>
      <c r="B16256" s="572">
        <v>4.4490833333333333</v>
      </c>
      <c r="C16256" s="572">
        <v>123</v>
      </c>
    </row>
    <row r="16257" spans="1:3">
      <c r="A16257" s="571" t="s">
        <v>2326</v>
      </c>
      <c r="B16257" s="572">
        <v>4.6499166666666669</v>
      </c>
      <c r="C16257" s="572">
        <v>124</v>
      </c>
    </row>
    <row r="16258" spans="1:3">
      <c r="A16258" s="571" t="s">
        <v>2326</v>
      </c>
      <c r="B16258" s="572">
        <v>4.8708749999999998</v>
      </c>
      <c r="C16258" s="572">
        <v>124</v>
      </c>
    </row>
    <row r="16259" spans="1:3">
      <c r="A16259" s="571" t="s">
        <v>2326</v>
      </c>
      <c r="B16259" s="572">
        <v>5.0717499999999998</v>
      </c>
      <c r="C16259" s="572">
        <v>125</v>
      </c>
    </row>
    <row r="16260" spans="1:3">
      <c r="A16260" s="571" t="s">
        <v>2326</v>
      </c>
      <c r="B16260" s="572">
        <v>5.2725833333333334</v>
      </c>
      <c r="C16260" s="572">
        <v>127</v>
      </c>
    </row>
    <row r="16261" spans="1:3">
      <c r="A16261" s="571" t="s">
        <v>2326</v>
      </c>
      <c r="B16261" s="572">
        <v>5.5035833333333342</v>
      </c>
      <c r="C16261" s="572">
        <v>128</v>
      </c>
    </row>
    <row r="16262" spans="1:3">
      <c r="A16262" s="571" t="s">
        <v>2326</v>
      </c>
      <c r="B16262" s="572">
        <v>5.7245416666666671</v>
      </c>
      <c r="C16262" s="572">
        <v>129</v>
      </c>
    </row>
    <row r="16263" spans="1:3">
      <c r="A16263" s="571" t="s">
        <v>2326</v>
      </c>
      <c r="B16263" s="572">
        <v>5.9455</v>
      </c>
      <c r="C16263" s="572">
        <v>130</v>
      </c>
    </row>
    <row r="16264" spans="1:3">
      <c r="A16264" s="571" t="s">
        <v>2326</v>
      </c>
      <c r="B16264" s="572">
        <v>6.1162083333333328</v>
      </c>
      <c r="C16264" s="572">
        <v>130</v>
      </c>
    </row>
    <row r="16265" spans="1:3">
      <c r="A16265" s="571" t="s">
        <v>2326</v>
      </c>
      <c r="B16265" s="572">
        <v>6.2467916666666667</v>
      </c>
      <c r="C16265" s="572">
        <v>126</v>
      </c>
    </row>
    <row r="16266" spans="1:3">
      <c r="A16266" s="571" t="s">
        <v>2326</v>
      </c>
      <c r="B16266" s="572">
        <v>6.3873749999999996</v>
      </c>
      <c r="C16266" s="572">
        <v>129</v>
      </c>
    </row>
    <row r="16267" spans="1:3">
      <c r="A16267" s="571" t="s">
        <v>2326</v>
      </c>
      <c r="B16267" s="572">
        <v>6.5581250000000004</v>
      </c>
      <c r="C16267" s="572">
        <v>132</v>
      </c>
    </row>
    <row r="16268" spans="1:3">
      <c r="A16268" s="571" t="s">
        <v>2326</v>
      </c>
      <c r="B16268" s="572">
        <v>6.7689999999999992</v>
      </c>
      <c r="C16268" s="572">
        <v>133</v>
      </c>
    </row>
    <row r="16269" spans="1:3">
      <c r="A16269" s="571" t="s">
        <v>2326</v>
      </c>
      <c r="B16269" s="572">
        <v>6.9598333333333331</v>
      </c>
      <c r="C16269" s="572">
        <v>132</v>
      </c>
    </row>
    <row r="16270" spans="1:3">
      <c r="A16270" s="571" t="s">
        <v>2328</v>
      </c>
      <c r="B16270" s="572">
        <v>2.0086083333333334E-2</v>
      </c>
      <c r="C16270" s="572">
        <v>2.8400000000000001E-14</v>
      </c>
    </row>
    <row r="16271" spans="1:3">
      <c r="A16271" s="571" t="s">
        <v>2328</v>
      </c>
      <c r="B16271" s="572">
        <v>9.0387499999999996E-2</v>
      </c>
      <c r="C16271" s="572">
        <v>5</v>
      </c>
    </row>
    <row r="16272" spans="1:3">
      <c r="A16272" s="571" t="s">
        <v>2328</v>
      </c>
      <c r="B16272" s="572">
        <v>0.17073166666666664</v>
      </c>
      <c r="C16272" s="572">
        <v>14</v>
      </c>
    </row>
    <row r="16273" spans="1:3">
      <c r="A16273" s="571" t="s">
        <v>2328</v>
      </c>
      <c r="B16273" s="572">
        <v>0.22094708333333335</v>
      </c>
      <c r="C16273" s="572">
        <v>29</v>
      </c>
    </row>
    <row r="16274" spans="1:3">
      <c r="A16274" s="571" t="s">
        <v>2328</v>
      </c>
      <c r="B16274" s="572">
        <v>0.26111916666666668</v>
      </c>
      <c r="C16274" s="572">
        <v>44</v>
      </c>
    </row>
    <row r="16275" spans="1:3">
      <c r="A16275" s="571" t="s">
        <v>2328</v>
      </c>
      <c r="B16275" s="572">
        <v>0.28120499999999998</v>
      </c>
      <c r="C16275" s="572">
        <v>58</v>
      </c>
    </row>
    <row r="16276" spans="1:3">
      <c r="A16276" s="571" t="s">
        <v>2328</v>
      </c>
      <c r="B16276" s="572">
        <v>0.30129125000000001</v>
      </c>
      <c r="C16276" s="572">
        <v>69</v>
      </c>
    </row>
    <row r="16277" spans="1:3">
      <c r="A16277" s="571" t="s">
        <v>2328</v>
      </c>
      <c r="B16277" s="572">
        <v>0.33142041666666666</v>
      </c>
      <c r="C16277" s="572">
        <v>73</v>
      </c>
    </row>
    <row r="16278" spans="1:3">
      <c r="A16278" s="571" t="s">
        <v>2328</v>
      </c>
      <c r="B16278" s="572">
        <v>0.38163541666666667</v>
      </c>
      <c r="C16278" s="572">
        <v>69</v>
      </c>
    </row>
    <row r="16279" spans="1:3">
      <c r="A16279" s="571" t="s">
        <v>2328</v>
      </c>
      <c r="B16279" s="572">
        <v>0.54232500000000006</v>
      </c>
      <c r="C16279" s="572">
        <v>70</v>
      </c>
    </row>
    <row r="16280" spans="1:3">
      <c r="A16280" s="571" t="s">
        <v>2328</v>
      </c>
      <c r="B16280" s="572">
        <v>0.70301249999999993</v>
      </c>
      <c r="C16280" s="572">
        <v>72</v>
      </c>
    </row>
    <row r="16281" spans="1:3">
      <c r="A16281" s="571" t="s">
        <v>2328</v>
      </c>
      <c r="B16281" s="572">
        <v>0.86370000000000002</v>
      </c>
      <c r="C16281" s="572">
        <v>73</v>
      </c>
    </row>
    <row r="16282" spans="1:3">
      <c r="A16282" s="571" t="s">
        <v>2328</v>
      </c>
      <c r="B16282" s="572">
        <v>1.0344333333333333</v>
      </c>
      <c r="C16282" s="572">
        <v>73</v>
      </c>
    </row>
    <row r="16283" spans="1:3">
      <c r="A16283" s="571" t="s">
        <v>2328</v>
      </c>
      <c r="B16283" s="572">
        <v>1.2352958333333333</v>
      </c>
      <c r="C16283" s="572">
        <v>70</v>
      </c>
    </row>
    <row r="16284" spans="1:3">
      <c r="A16284" s="571" t="s">
        <v>2328</v>
      </c>
      <c r="B16284" s="572">
        <v>1.3859416666666666</v>
      </c>
      <c r="C16284" s="572">
        <v>67</v>
      </c>
    </row>
    <row r="16285" spans="1:3">
      <c r="A16285" s="571" t="s">
        <v>2328</v>
      </c>
      <c r="B16285" s="572">
        <v>1.5868</v>
      </c>
      <c r="C16285" s="572">
        <v>61</v>
      </c>
    </row>
    <row r="16286" spans="1:3">
      <c r="A16286" s="571" t="s">
        <v>2328</v>
      </c>
      <c r="B16286" s="572">
        <v>1.7675749999999999</v>
      </c>
      <c r="C16286" s="572">
        <v>57</v>
      </c>
    </row>
    <row r="16287" spans="1:3">
      <c r="A16287" s="571" t="s">
        <v>2328</v>
      </c>
      <c r="B16287" s="572">
        <v>1.9383083333333333</v>
      </c>
      <c r="C16287" s="572">
        <v>51</v>
      </c>
    </row>
    <row r="16288" spans="1:3">
      <c r="A16288" s="571" t="s">
        <v>2328</v>
      </c>
      <c r="B16288" s="572">
        <v>2.0789083333333331</v>
      </c>
      <c r="C16288" s="572">
        <v>48</v>
      </c>
    </row>
    <row r="16289" spans="1:3">
      <c r="A16289" s="571" t="s">
        <v>2328</v>
      </c>
      <c r="B16289" s="572">
        <v>2.2395999999999998</v>
      </c>
      <c r="C16289" s="572">
        <v>41</v>
      </c>
    </row>
    <row r="16290" spans="1:3">
      <c r="A16290" s="571" t="s">
        <v>2328</v>
      </c>
      <c r="B16290" s="572">
        <v>2.4304166666666664</v>
      </c>
      <c r="C16290" s="572">
        <v>35</v>
      </c>
    </row>
    <row r="16291" spans="1:3">
      <c r="A16291" s="571" t="s">
        <v>2328</v>
      </c>
      <c r="B16291" s="572">
        <v>2.6212333333333331</v>
      </c>
      <c r="C16291" s="572">
        <v>30</v>
      </c>
    </row>
    <row r="16292" spans="1:3">
      <c r="A16292" s="571" t="s">
        <v>2328</v>
      </c>
      <c r="B16292" s="572">
        <v>2.8020083333333332</v>
      </c>
      <c r="C16292" s="572">
        <v>26</v>
      </c>
    </row>
    <row r="16293" spans="1:3">
      <c r="A16293" s="571" t="s">
        <v>2328</v>
      </c>
      <c r="B16293" s="572">
        <v>3.0329999999999999</v>
      </c>
      <c r="C16293" s="572">
        <v>23</v>
      </c>
    </row>
    <row r="16294" spans="1:3">
      <c r="A16294" s="571" t="s">
        <v>2328</v>
      </c>
      <c r="B16294" s="572">
        <v>3.2740333333333336</v>
      </c>
      <c r="C16294" s="572">
        <v>18</v>
      </c>
    </row>
    <row r="16295" spans="1:3">
      <c r="A16295" s="571" t="s">
        <v>2328</v>
      </c>
      <c r="B16295" s="572">
        <v>3.4548083333333337</v>
      </c>
      <c r="C16295" s="572">
        <v>14</v>
      </c>
    </row>
    <row r="16296" spans="1:3">
      <c r="A16296" s="571" t="s">
        <v>2328</v>
      </c>
      <c r="B16296" s="572">
        <v>3.6355791666666666</v>
      </c>
      <c r="C16296" s="572">
        <v>12</v>
      </c>
    </row>
    <row r="16297" spans="1:3">
      <c r="A16297" s="571" t="s">
        <v>2328</v>
      </c>
      <c r="B16297" s="572">
        <v>3.8665708333333337</v>
      </c>
      <c r="C16297" s="572">
        <v>9</v>
      </c>
    </row>
    <row r="16298" spans="1:3">
      <c r="A16298" s="571" t="s">
        <v>2328</v>
      </c>
      <c r="B16298" s="572">
        <v>4.0774749999999997</v>
      </c>
      <c r="C16298" s="572">
        <v>5</v>
      </c>
    </row>
    <row r="16299" spans="1:3">
      <c r="A16299" s="571" t="s">
        <v>2328</v>
      </c>
      <c r="B16299" s="572">
        <v>4.2682916666666664</v>
      </c>
      <c r="C16299" s="572">
        <v>2</v>
      </c>
    </row>
    <row r="16300" spans="1:3">
      <c r="A16300" s="571" t="s">
        <v>2328</v>
      </c>
      <c r="B16300" s="572">
        <v>4.4892500000000002</v>
      </c>
      <c r="C16300" s="572">
        <v>2.8400000000000001E-14</v>
      </c>
    </row>
    <row r="16301" spans="1:3">
      <c r="A16301" s="571" t="s">
        <v>2328</v>
      </c>
      <c r="B16301" s="572">
        <v>4.6900833333333329</v>
      </c>
      <c r="C16301" s="572">
        <v>1</v>
      </c>
    </row>
    <row r="16302" spans="1:3">
      <c r="A16302" s="571" t="s">
        <v>2328</v>
      </c>
      <c r="B16302" s="572">
        <v>4.9311249999999998</v>
      </c>
      <c r="C16302" s="572">
        <v>2</v>
      </c>
    </row>
    <row r="16303" spans="1:3">
      <c r="A16303" s="571" t="s">
        <v>2328</v>
      </c>
      <c r="B16303" s="572">
        <v>5.1621250000000005</v>
      </c>
      <c r="C16303" s="572">
        <v>4</v>
      </c>
    </row>
    <row r="16304" spans="1:3">
      <c r="A16304" s="571" t="s">
        <v>2328</v>
      </c>
      <c r="B16304" s="572">
        <v>5.3931250000000004</v>
      </c>
      <c r="C16304" s="572">
        <v>7</v>
      </c>
    </row>
    <row r="16305" spans="1:3">
      <c r="A16305" s="571" t="s">
        <v>2328</v>
      </c>
      <c r="B16305" s="572">
        <v>5.5839166666666671</v>
      </c>
      <c r="C16305" s="572">
        <v>8</v>
      </c>
    </row>
    <row r="16306" spans="1:3">
      <c r="A16306" s="571" t="s">
        <v>2328</v>
      </c>
      <c r="B16306" s="572">
        <v>5.784791666666667</v>
      </c>
      <c r="C16306" s="572">
        <v>9</v>
      </c>
    </row>
    <row r="16307" spans="1:3">
      <c r="A16307" s="571" t="s">
        <v>2328</v>
      </c>
      <c r="B16307" s="572">
        <v>5.975625</v>
      </c>
      <c r="C16307" s="572">
        <v>11</v>
      </c>
    </row>
    <row r="16308" spans="1:3">
      <c r="A16308" s="571" t="s">
        <v>2328</v>
      </c>
      <c r="B16308" s="572">
        <v>6.1563749999999997</v>
      </c>
      <c r="C16308" s="572">
        <v>15</v>
      </c>
    </row>
    <row r="16309" spans="1:3">
      <c r="A16309" s="571" t="s">
        <v>2328</v>
      </c>
      <c r="B16309" s="572">
        <v>6.3572500000000005</v>
      </c>
      <c r="C16309" s="572">
        <v>16</v>
      </c>
    </row>
    <row r="16310" spans="1:3">
      <c r="A16310" s="571" t="s">
        <v>2328</v>
      </c>
      <c r="B16310" s="572">
        <v>6.5581250000000004</v>
      </c>
      <c r="C16310" s="572">
        <v>19</v>
      </c>
    </row>
    <row r="16311" spans="1:3">
      <c r="A16311" s="571" t="s">
        <v>2328</v>
      </c>
      <c r="B16311" s="572">
        <v>6.7388750000000002</v>
      </c>
      <c r="C16311" s="572">
        <v>21</v>
      </c>
    </row>
    <row r="16312" spans="1:3">
      <c r="A16312" s="571" t="s">
        <v>2328</v>
      </c>
      <c r="B16312" s="572">
        <v>6.9096249999999992</v>
      </c>
      <c r="C16312" s="572">
        <v>22</v>
      </c>
    </row>
    <row r="16313" spans="1:3">
      <c r="A16313" s="571" t="s">
        <v>2330</v>
      </c>
      <c r="B16313" s="572">
        <v>1.06135E-2</v>
      </c>
      <c r="C16313" s="572">
        <v>4.01248</v>
      </c>
    </row>
    <row r="16314" spans="1:3">
      <c r="A16314" s="571" t="s">
        <v>2330</v>
      </c>
      <c r="B16314" s="572">
        <v>0.12356791666666667</v>
      </c>
      <c r="C16314" s="572">
        <v>10.9666</v>
      </c>
    </row>
    <row r="16315" spans="1:3">
      <c r="A16315" s="571" t="s">
        <v>2330</v>
      </c>
      <c r="B16315" s="572">
        <v>0.17509750000000002</v>
      </c>
      <c r="C16315" s="572">
        <v>15.954700000000001</v>
      </c>
    </row>
    <row r="16316" spans="1:3">
      <c r="A16316" s="571" t="s">
        <v>2330</v>
      </c>
      <c r="B16316" s="572">
        <v>0.18622374999999999</v>
      </c>
      <c r="C16316" s="572">
        <v>24.991900000000001</v>
      </c>
    </row>
    <row r="16317" spans="1:3">
      <c r="A16317" s="571" t="s">
        <v>2330</v>
      </c>
      <c r="B16317" s="572">
        <v>0.25877500000000003</v>
      </c>
      <c r="C16317" s="572">
        <v>35.995100000000001</v>
      </c>
    </row>
    <row r="16318" spans="1:3">
      <c r="A16318" s="571" t="s">
        <v>2330</v>
      </c>
      <c r="B16318" s="572">
        <v>0.32112291666666665</v>
      </c>
      <c r="C16318" s="572">
        <v>47.005699999999997</v>
      </c>
    </row>
    <row r="16319" spans="1:3">
      <c r="A16319" s="571" t="s">
        <v>2330</v>
      </c>
      <c r="B16319" s="572">
        <v>0.39203375000000001</v>
      </c>
      <c r="C16319" s="572">
        <v>41.929600000000001</v>
      </c>
    </row>
    <row r="16320" spans="1:3">
      <c r="A16320" s="571" t="s">
        <v>2330</v>
      </c>
      <c r="B16320" s="572">
        <v>0.55538750000000003</v>
      </c>
      <c r="C16320" s="572">
        <v>42.817399999999999</v>
      </c>
    </row>
    <row r="16321" spans="1:3">
      <c r="A16321" s="571" t="s">
        <v>2330</v>
      </c>
      <c r="B16321" s="572">
        <v>0.71894999999999998</v>
      </c>
      <c r="C16321" s="572">
        <v>45.715000000000003</v>
      </c>
    </row>
    <row r="16322" spans="1:3">
      <c r="A16322" s="571" t="s">
        <v>2330</v>
      </c>
      <c r="B16322" s="572">
        <v>0.91281249999999992</v>
      </c>
      <c r="C16322" s="572">
        <v>45.575899999999997</v>
      </c>
    </row>
    <row r="16323" spans="1:3">
      <c r="A16323" s="571" t="s">
        <v>2330</v>
      </c>
      <c r="B16323" s="572">
        <v>1.0965749999999999</v>
      </c>
      <c r="C16323" s="572">
        <v>46.448999999999998</v>
      </c>
    </row>
    <row r="16324" spans="1:3">
      <c r="A16324" s="571" t="s">
        <v>2330</v>
      </c>
      <c r="B16324" s="572">
        <v>1.2905416666666667</v>
      </c>
      <c r="C16324" s="572">
        <v>47.314799999999998</v>
      </c>
    </row>
    <row r="16325" spans="1:3">
      <c r="A16325" s="571" t="s">
        <v>2330</v>
      </c>
      <c r="B16325" s="572">
        <v>1.4741</v>
      </c>
      <c r="C16325" s="572">
        <v>46.177999999999997</v>
      </c>
    </row>
    <row r="16326" spans="1:3">
      <c r="A16326" s="571" t="s">
        <v>2330</v>
      </c>
      <c r="B16326" s="572">
        <v>1.6578625</v>
      </c>
      <c r="C16326" s="572">
        <v>47.051099999999998</v>
      </c>
    </row>
    <row r="16327" spans="1:3">
      <c r="A16327" s="571" t="s">
        <v>2330</v>
      </c>
      <c r="B16327" s="572">
        <v>1.8515208333333335</v>
      </c>
      <c r="C16327" s="572">
        <v>44.902000000000001</v>
      </c>
    </row>
    <row r="16328" spans="1:3">
      <c r="A16328" s="571" t="s">
        <v>2330</v>
      </c>
      <c r="B16328" s="572">
        <v>2.0555875000000001</v>
      </c>
      <c r="C16328" s="572">
        <v>44.755499999999998</v>
      </c>
    </row>
    <row r="16329" spans="1:3">
      <c r="A16329" s="571" t="s">
        <v>2330</v>
      </c>
      <c r="B16329" s="572">
        <v>2.2595499999999999</v>
      </c>
      <c r="C16329" s="572">
        <v>43.604100000000003</v>
      </c>
    </row>
    <row r="16330" spans="1:3">
      <c r="A16330" s="571" t="s">
        <v>2330</v>
      </c>
      <c r="B16330" s="572">
        <v>2.4738208333333334</v>
      </c>
      <c r="C16330" s="572">
        <v>43.450200000000002</v>
      </c>
    </row>
    <row r="16331" spans="1:3">
      <c r="A16331" s="571" t="s">
        <v>2330</v>
      </c>
      <c r="B16331" s="572">
        <v>2.7083958333333329</v>
      </c>
      <c r="C16331" s="572">
        <v>42.276800000000001</v>
      </c>
    </row>
    <row r="16332" spans="1:3">
      <c r="A16332" s="571" t="s">
        <v>2330</v>
      </c>
      <c r="B16332" s="572">
        <v>2.9327666666666663</v>
      </c>
      <c r="C16332" s="572">
        <v>41.110700000000001</v>
      </c>
    </row>
    <row r="16333" spans="1:3">
      <c r="A16333" s="571" t="s">
        <v>2330</v>
      </c>
      <c r="B16333" s="572">
        <v>3.1470374999999997</v>
      </c>
      <c r="C16333" s="572">
        <v>40.956899999999997</v>
      </c>
    </row>
    <row r="16334" spans="1:3">
      <c r="A16334" s="571" t="s">
        <v>2330</v>
      </c>
      <c r="B16334" s="572">
        <v>3.3612041666666665</v>
      </c>
      <c r="C16334" s="572">
        <v>39.798099999999998</v>
      </c>
    </row>
    <row r="16335" spans="1:3">
      <c r="A16335" s="571" t="s">
        <v>2330</v>
      </c>
      <c r="B16335" s="572">
        <v>3.6265916666666667</v>
      </c>
      <c r="C16335" s="572">
        <v>40.6126</v>
      </c>
    </row>
    <row r="16336" spans="1:3">
      <c r="A16336" s="571" t="s">
        <v>2330</v>
      </c>
      <c r="B16336" s="572">
        <v>3.891879166666667</v>
      </c>
      <c r="C16336" s="572">
        <v>40.422199999999997</v>
      </c>
    </row>
    <row r="16337" spans="1:3">
      <c r="A16337" s="571" t="s">
        <v>2330</v>
      </c>
      <c r="B16337" s="572">
        <v>4.1571666666666669</v>
      </c>
      <c r="C16337" s="572">
        <v>40.2318</v>
      </c>
    </row>
    <row r="16338" spans="1:3">
      <c r="A16338" s="571" t="s">
        <v>2330</v>
      </c>
      <c r="B16338" s="572">
        <v>4.3814166666666665</v>
      </c>
      <c r="C16338" s="572">
        <v>38.060699999999997</v>
      </c>
    </row>
    <row r="16339" spans="1:3">
      <c r="A16339" s="571" t="s">
        <v>2330</v>
      </c>
      <c r="B16339" s="572">
        <v>4.6468333333333334</v>
      </c>
      <c r="C16339" s="572">
        <v>38.8752</v>
      </c>
    </row>
    <row r="16340" spans="1:3">
      <c r="A16340" s="571" t="s">
        <v>2330</v>
      </c>
      <c r="B16340" s="572">
        <v>4.871291666666667</v>
      </c>
      <c r="C16340" s="572">
        <v>38.714100000000002</v>
      </c>
    </row>
    <row r="16341" spans="1:3">
      <c r="A16341" s="571" t="s">
        <v>2330</v>
      </c>
      <c r="B16341" s="572">
        <v>5.1364999999999998</v>
      </c>
      <c r="C16341" s="572">
        <v>37.518700000000003</v>
      </c>
    </row>
    <row r="16342" spans="1:3">
      <c r="A16342" s="571" t="s">
        <v>2330</v>
      </c>
      <c r="B16342" s="572">
        <v>5.4325000000000001</v>
      </c>
      <c r="C16342" s="572">
        <v>38.311199999999999</v>
      </c>
    </row>
    <row r="16343" spans="1:3">
      <c r="A16343" s="571" t="s">
        <v>2330</v>
      </c>
      <c r="B16343" s="572">
        <v>5.6774583333333331</v>
      </c>
      <c r="C16343" s="572">
        <v>39.1404</v>
      </c>
    </row>
    <row r="16344" spans="1:3">
      <c r="A16344" s="571" t="s">
        <v>2330</v>
      </c>
      <c r="B16344" s="572">
        <v>5.9223333333333334</v>
      </c>
      <c r="C16344" s="572">
        <v>38.964599999999997</v>
      </c>
    </row>
    <row r="16345" spans="1:3">
      <c r="A16345" s="571" t="s">
        <v>2330</v>
      </c>
      <c r="B16345" s="572">
        <v>6.1160833333333331</v>
      </c>
      <c r="C16345" s="572">
        <v>37.820500000000003</v>
      </c>
    </row>
    <row r="16346" spans="1:3">
      <c r="A16346" s="571" t="s">
        <v>2330</v>
      </c>
      <c r="B16346" s="572">
        <v>6.3302916666666667</v>
      </c>
      <c r="C16346" s="572">
        <v>36.661700000000003</v>
      </c>
    </row>
    <row r="16347" spans="1:3">
      <c r="A16347" s="571" t="s">
        <v>2332</v>
      </c>
      <c r="B16347" s="572">
        <v>2.0509208333333334E-2</v>
      </c>
      <c r="C16347" s="572">
        <v>0.99030200000000002</v>
      </c>
    </row>
    <row r="16348" spans="1:3">
      <c r="A16348" s="571" t="s">
        <v>2332</v>
      </c>
      <c r="B16348" s="572">
        <v>0.10285375000000001</v>
      </c>
      <c r="C16348" s="572">
        <v>7.9663599999999999</v>
      </c>
    </row>
    <row r="16349" spans="1:3">
      <c r="A16349" s="571" t="s">
        <v>2332</v>
      </c>
      <c r="B16349" s="572">
        <v>0.15458833333333333</v>
      </c>
      <c r="C16349" s="572">
        <v>14.964399999999999</v>
      </c>
    </row>
    <row r="16350" spans="1:3">
      <c r="A16350" s="571" t="s">
        <v>2332</v>
      </c>
      <c r="B16350" s="572">
        <v>0.22724208333333332</v>
      </c>
      <c r="C16350" s="572">
        <v>26.9725</v>
      </c>
    </row>
    <row r="16351" spans="1:3">
      <c r="A16351" s="571" t="s">
        <v>2332</v>
      </c>
      <c r="B16351" s="572">
        <v>0.28969249999999996</v>
      </c>
      <c r="C16351" s="572">
        <v>38.988</v>
      </c>
    </row>
    <row r="16352" spans="1:3">
      <c r="A16352" s="571" t="s">
        <v>2332</v>
      </c>
      <c r="B16352" s="572">
        <v>0.38059958333333332</v>
      </c>
      <c r="C16352" s="572">
        <v>29.877500000000001</v>
      </c>
    </row>
    <row r="16353" spans="1:3">
      <c r="A16353" s="571" t="s">
        <v>2332</v>
      </c>
      <c r="B16353" s="572">
        <v>0.48170833333333335</v>
      </c>
      <c r="C16353" s="572">
        <v>20.759699999999999</v>
      </c>
    </row>
    <row r="16354" spans="1:3">
      <c r="A16354" s="571" t="s">
        <v>2332</v>
      </c>
      <c r="B16354" s="572">
        <v>0.60332916666666669</v>
      </c>
      <c r="C16354" s="572">
        <v>12.632199999999999</v>
      </c>
    </row>
    <row r="16355" spans="1:3">
      <c r="A16355" s="571" t="s">
        <v>2332</v>
      </c>
      <c r="B16355" s="572">
        <v>0.7248458333333333</v>
      </c>
      <c r="C16355" s="572">
        <v>3.4997500000000001</v>
      </c>
    </row>
    <row r="16356" spans="1:3">
      <c r="A16356" s="571" t="s">
        <v>2332</v>
      </c>
      <c r="B16356" s="572">
        <v>0.8873833333333333</v>
      </c>
      <c r="C16356" s="572">
        <v>3.65211</v>
      </c>
    </row>
    <row r="16357" spans="1:3">
      <c r="A16357" s="571" t="s">
        <v>2332</v>
      </c>
      <c r="B16357" s="572">
        <v>1.050125</v>
      </c>
      <c r="C16357" s="572">
        <v>8.79406</v>
      </c>
    </row>
    <row r="16358" spans="1:3">
      <c r="A16358" s="571" t="s">
        <v>2332</v>
      </c>
      <c r="B16358" s="572">
        <v>1.2330666666666665</v>
      </c>
      <c r="C16358" s="572">
        <v>15.960599999999999</v>
      </c>
    </row>
    <row r="16359" spans="1:3">
      <c r="A16359" s="571" t="s">
        <v>2332</v>
      </c>
      <c r="B16359" s="572">
        <v>1.4265166666666669</v>
      </c>
      <c r="C16359" s="572">
        <v>20.119499999999999</v>
      </c>
    </row>
    <row r="16360" spans="1:3">
      <c r="A16360" s="571" t="s">
        <v>2332</v>
      </c>
      <c r="B16360" s="572">
        <v>1.5995666666666668</v>
      </c>
      <c r="C16360" s="572">
        <v>24.2639</v>
      </c>
    </row>
    <row r="16361" spans="1:3">
      <c r="A16361" s="571" t="s">
        <v>2332</v>
      </c>
      <c r="B16361" s="572">
        <v>1.8031208333333335</v>
      </c>
      <c r="C16361" s="572">
        <v>29.435099999999998</v>
      </c>
    </row>
    <row r="16362" spans="1:3">
      <c r="A16362" s="571" t="s">
        <v>2332</v>
      </c>
      <c r="B16362" s="572">
        <v>2.0066708333333332</v>
      </c>
      <c r="C16362" s="572">
        <v>34.606400000000001</v>
      </c>
    </row>
    <row r="16363" spans="1:3">
      <c r="A16363" s="571" t="s">
        <v>2332</v>
      </c>
      <c r="B16363" s="572">
        <v>2.2203291666666667</v>
      </c>
      <c r="C16363" s="572">
        <v>40.789900000000003</v>
      </c>
    </row>
    <row r="16364" spans="1:3">
      <c r="A16364" s="571" t="s">
        <v>2332</v>
      </c>
      <c r="B16364" s="572">
        <v>2.4442875000000002</v>
      </c>
      <c r="C16364" s="572">
        <v>45.9758</v>
      </c>
    </row>
    <row r="16365" spans="1:3">
      <c r="A16365" s="571" t="s">
        <v>2332</v>
      </c>
      <c r="B16365" s="572">
        <v>2.6477416666666667</v>
      </c>
      <c r="C16365" s="572">
        <v>52.152000000000001</v>
      </c>
    </row>
    <row r="16366" spans="1:3">
      <c r="A16366" s="571" t="s">
        <v>2332</v>
      </c>
      <c r="B16366" s="572">
        <v>2.8715958333333336</v>
      </c>
      <c r="C16366" s="572">
        <v>58.3429</v>
      </c>
    </row>
    <row r="16367" spans="1:3">
      <c r="A16367" s="571" t="s">
        <v>2332</v>
      </c>
      <c r="B16367" s="572">
        <v>3.1058625000000002</v>
      </c>
      <c r="C16367" s="572">
        <v>62.531100000000002</v>
      </c>
    </row>
    <row r="16368" spans="1:3">
      <c r="A16368" s="571" t="s">
        <v>2332</v>
      </c>
      <c r="B16368" s="572">
        <v>3.329825</v>
      </c>
      <c r="C16368" s="572">
        <v>67.716999999999999</v>
      </c>
    </row>
    <row r="16369" spans="1:3">
      <c r="A16369" s="571" t="s">
        <v>2332</v>
      </c>
      <c r="B16369" s="572">
        <v>3.5842916666666667</v>
      </c>
      <c r="C16369" s="572">
        <v>73.929900000000004</v>
      </c>
    </row>
    <row r="16370" spans="1:3">
      <c r="A16370" s="571" t="s">
        <v>2332</v>
      </c>
      <c r="B16370" s="572">
        <v>3.8489625000000003</v>
      </c>
      <c r="C16370" s="572">
        <v>80.150000000000006</v>
      </c>
    </row>
    <row r="16371" spans="1:3">
      <c r="A16371" s="571" t="s">
        <v>2332</v>
      </c>
      <c r="B16371" s="572">
        <v>4.0934333333333335</v>
      </c>
      <c r="C16371" s="572">
        <v>84.345600000000005</v>
      </c>
    </row>
    <row r="16372" spans="1:3">
      <c r="A16372" s="571" t="s">
        <v>2332</v>
      </c>
      <c r="B16372" s="572">
        <v>4.307291666666667</v>
      </c>
      <c r="C16372" s="572">
        <v>88.519199999999998</v>
      </c>
    </row>
    <row r="16373" spans="1:3">
      <c r="A16373" s="571" t="s">
        <v>2332</v>
      </c>
      <c r="B16373" s="572">
        <v>4.5415416666666664</v>
      </c>
      <c r="C16373" s="572">
        <v>92.707499999999996</v>
      </c>
    </row>
    <row r="16374" spans="1:3">
      <c r="A16374" s="571" t="s">
        <v>2332</v>
      </c>
      <c r="B16374" s="572">
        <v>4.8164166666666661</v>
      </c>
      <c r="C16374" s="572">
        <v>98.935000000000002</v>
      </c>
    </row>
    <row r="16375" spans="1:3">
      <c r="A16375" s="571" t="s">
        <v>2332</v>
      </c>
      <c r="B16375" s="572">
        <v>5.0709999999999997</v>
      </c>
      <c r="C16375" s="572">
        <v>104.143</v>
      </c>
    </row>
    <row r="16376" spans="1:3">
      <c r="A16376" s="571" t="s">
        <v>2332</v>
      </c>
      <c r="B16376" s="572">
        <v>5.3460833333333335</v>
      </c>
      <c r="C16376" s="572">
        <v>108.36</v>
      </c>
    </row>
    <row r="16377" spans="1:3">
      <c r="A16377" s="571" t="s">
        <v>2332</v>
      </c>
      <c r="B16377" s="572">
        <v>5.6617916666666668</v>
      </c>
      <c r="C16377" s="572">
        <v>114.617</v>
      </c>
    </row>
    <row r="16378" spans="1:3">
      <c r="A16378" s="571" t="s">
        <v>2332</v>
      </c>
      <c r="B16378" s="572">
        <v>5.9163333333333332</v>
      </c>
      <c r="C16378" s="572">
        <v>119.825</v>
      </c>
    </row>
    <row r="16379" spans="1:3">
      <c r="A16379" s="571" t="s">
        <v>2332</v>
      </c>
      <c r="B16379" s="572">
        <v>6.1809166666666675</v>
      </c>
      <c r="C16379" s="572">
        <v>127.05</v>
      </c>
    </row>
    <row r="16380" spans="1:3">
      <c r="A16380" s="571" t="s">
        <v>2332</v>
      </c>
      <c r="B16380" s="572">
        <v>6.415375</v>
      </c>
      <c r="C16380" s="572">
        <v>129.22900000000001</v>
      </c>
    </row>
    <row r="16381" spans="1:3">
      <c r="A16381" s="571" t="s">
        <v>2332</v>
      </c>
      <c r="B16381" s="572">
        <v>6.6903749999999995</v>
      </c>
      <c r="C16381" s="572">
        <v>134.45099999999999</v>
      </c>
    </row>
    <row r="16382" spans="1:3">
      <c r="A16382" s="571" t="s">
        <v>2332</v>
      </c>
      <c r="B16382" s="572">
        <v>6.9652500000000002</v>
      </c>
      <c r="C16382" s="572">
        <v>140.679</v>
      </c>
    </row>
    <row r="16383" spans="1:3">
      <c r="A16383" s="571" t="s">
        <v>2332</v>
      </c>
      <c r="B16383" s="572">
        <v>7.1789999999999994</v>
      </c>
      <c r="C16383" s="572">
        <v>145.857</v>
      </c>
    </row>
    <row r="16384" spans="1:3">
      <c r="A16384" s="571" t="s">
        <v>2332</v>
      </c>
      <c r="B16384" s="572">
        <v>7.2910416666666675</v>
      </c>
      <c r="C16384" s="572">
        <v>147.94800000000001</v>
      </c>
    </row>
    <row r="16385" spans="1:3">
      <c r="A16385" s="571" t="s">
        <v>2334</v>
      </c>
      <c r="B16385" s="572">
        <v>0.24883291666666665</v>
      </c>
      <c r="C16385" s="572">
        <v>78.947400000000002</v>
      </c>
    </row>
    <row r="16386" spans="1:3">
      <c r="A16386" s="571" t="s">
        <v>2334</v>
      </c>
      <c r="B16386" s="572">
        <v>0.27585708333333331</v>
      </c>
      <c r="C16386" s="572">
        <v>197.36799999999999</v>
      </c>
    </row>
    <row r="16387" spans="1:3">
      <c r="A16387" s="571" t="s">
        <v>2334</v>
      </c>
      <c r="B16387" s="572">
        <v>0.31650875000000001</v>
      </c>
      <c r="C16387" s="572">
        <v>315.78899999999999</v>
      </c>
    </row>
    <row r="16388" spans="1:3">
      <c r="A16388" s="571" t="s">
        <v>2334</v>
      </c>
      <c r="B16388" s="572">
        <v>0.38898958333333339</v>
      </c>
      <c r="C16388" s="572">
        <v>407.89499999999998</v>
      </c>
    </row>
    <row r="16389" spans="1:3">
      <c r="A16389" s="571" t="s">
        <v>2334</v>
      </c>
      <c r="B16389" s="572">
        <v>0.49478333333333335</v>
      </c>
      <c r="C16389" s="572">
        <v>473.68400000000003</v>
      </c>
    </row>
    <row r="16390" spans="1:3">
      <c r="A16390" s="571" t="s">
        <v>2334</v>
      </c>
      <c r="B16390" s="572">
        <v>0.67412916666666656</v>
      </c>
      <c r="C16390" s="572">
        <v>526.31600000000003</v>
      </c>
    </row>
    <row r="16391" spans="1:3">
      <c r="A16391" s="571" t="s">
        <v>2334</v>
      </c>
      <c r="B16391" s="572">
        <v>0.98383750000000003</v>
      </c>
      <c r="C16391" s="572">
        <v>592.10500000000002</v>
      </c>
    </row>
    <row r="16392" spans="1:3">
      <c r="A16392" s="571" t="s">
        <v>2334</v>
      </c>
      <c r="B16392" s="572">
        <v>1.3404541666666667</v>
      </c>
      <c r="C16392" s="572">
        <v>644.73699999999997</v>
      </c>
    </row>
    <row r="16393" spans="1:3">
      <c r="A16393" s="571" t="s">
        <v>2334</v>
      </c>
      <c r="B16393" s="572">
        <v>1.9562791666666666</v>
      </c>
      <c r="C16393" s="572">
        <v>710.52599999999995</v>
      </c>
    </row>
    <row r="16394" spans="1:3">
      <c r="A16394" s="571" t="s">
        <v>2334</v>
      </c>
      <c r="B16394" s="572">
        <v>2.6653791666666664</v>
      </c>
      <c r="C16394" s="572">
        <v>763.15800000000002</v>
      </c>
    </row>
    <row r="16395" spans="1:3">
      <c r="A16395" s="571" t="s">
        <v>2334</v>
      </c>
      <c r="B16395" s="572">
        <v>3.758483333333333</v>
      </c>
      <c r="C16395" s="572">
        <v>802.63199999999995</v>
      </c>
    </row>
    <row r="16396" spans="1:3">
      <c r="A16396" s="571" t="s">
        <v>2334</v>
      </c>
      <c r="B16396" s="572">
        <v>5.2998750000000001</v>
      </c>
      <c r="C16396" s="572">
        <v>855.26300000000003</v>
      </c>
    </row>
    <row r="16397" spans="1:3">
      <c r="A16397" s="571" t="s">
        <v>2334</v>
      </c>
      <c r="B16397" s="572">
        <v>7.2209583333333329</v>
      </c>
      <c r="C16397" s="572">
        <v>894.73699999999997</v>
      </c>
    </row>
    <row r="16398" spans="1:3">
      <c r="A16398" s="571" t="s">
        <v>2334</v>
      </c>
      <c r="B16398" s="572">
        <v>10.182375</v>
      </c>
      <c r="C16398" s="572">
        <v>934.21100000000001</v>
      </c>
    </row>
    <row r="16399" spans="1:3">
      <c r="A16399" s="571" t="s">
        <v>2338</v>
      </c>
      <c r="B16399" s="572">
        <v>0.18901875000000001</v>
      </c>
      <c r="C16399" s="572">
        <v>2.2699999999999999E-13</v>
      </c>
    </row>
    <row r="16400" spans="1:3">
      <c r="A16400" s="571" t="s">
        <v>2338</v>
      </c>
      <c r="B16400" s="572">
        <v>0.21687375</v>
      </c>
      <c r="C16400" s="572">
        <v>13.1579</v>
      </c>
    </row>
    <row r="16401" spans="1:3">
      <c r="A16401" s="571" t="s">
        <v>2338</v>
      </c>
      <c r="B16401" s="572">
        <v>0.28550249999999999</v>
      </c>
      <c r="C16401" s="572">
        <v>13.1579</v>
      </c>
    </row>
    <row r="16402" spans="1:3">
      <c r="A16402" s="571" t="s">
        <v>2338</v>
      </c>
      <c r="B16402" s="572">
        <v>0.37584833333333334</v>
      </c>
      <c r="C16402" s="572">
        <v>65.789500000000004</v>
      </c>
    </row>
    <row r="16403" spans="1:3">
      <c r="A16403" s="571" t="s">
        <v>2338</v>
      </c>
      <c r="B16403" s="572">
        <v>0.4619166666666667</v>
      </c>
      <c r="C16403" s="572">
        <v>92.1053</v>
      </c>
    </row>
    <row r="16404" spans="1:3">
      <c r="A16404" s="571" t="s">
        <v>2338</v>
      </c>
      <c r="B16404" s="572">
        <v>0.65135833333333337</v>
      </c>
      <c r="C16404" s="572">
        <v>105.26300000000001</v>
      </c>
    </row>
    <row r="16405" spans="1:3">
      <c r="A16405" s="571" t="s">
        <v>2338</v>
      </c>
      <c r="B16405" s="572">
        <v>0.80051666666666665</v>
      </c>
      <c r="C16405" s="572">
        <v>144.73699999999999</v>
      </c>
    </row>
    <row r="16406" spans="1:3">
      <c r="A16406" s="571" t="s">
        <v>2338</v>
      </c>
      <c r="B16406" s="572">
        <v>1.0538375</v>
      </c>
      <c r="C16406" s="572">
        <v>157.89500000000001</v>
      </c>
    </row>
    <row r="16407" spans="1:3">
      <c r="A16407" s="571" t="s">
        <v>2338</v>
      </c>
      <c r="B16407" s="572">
        <v>1.3404541666666667</v>
      </c>
      <c r="C16407" s="572">
        <v>197.36799999999999</v>
      </c>
    </row>
    <row r="16408" spans="1:3">
      <c r="A16408" s="571" t="s">
        <v>2338</v>
      </c>
      <c r="B16408" s="572">
        <v>1.7646333333333333</v>
      </c>
      <c r="C16408" s="572">
        <v>250</v>
      </c>
    </row>
    <row r="16409" spans="1:3">
      <c r="A16409" s="571" t="s">
        <v>2338</v>
      </c>
      <c r="B16409" s="572">
        <v>2.4042666666666666</v>
      </c>
      <c r="C16409" s="572">
        <v>289.47399999999999</v>
      </c>
    </row>
    <row r="16410" spans="1:3">
      <c r="A16410" s="571" t="s">
        <v>2338</v>
      </c>
      <c r="B16410" s="572">
        <v>3.0581624999999999</v>
      </c>
      <c r="C16410" s="572">
        <v>342.10500000000002</v>
      </c>
    </row>
    <row r="16411" spans="1:3">
      <c r="A16411" s="571" t="s">
        <v>2338</v>
      </c>
      <c r="B16411" s="572">
        <v>4.3123333333333331</v>
      </c>
      <c r="C16411" s="572">
        <v>368.42099999999999</v>
      </c>
    </row>
    <row r="16412" spans="1:3">
      <c r="A16412" s="571" t="s">
        <v>2338</v>
      </c>
      <c r="B16412" s="572">
        <v>5.8754583333333334</v>
      </c>
      <c r="C16412" s="572">
        <v>381.57900000000001</v>
      </c>
    </row>
    <row r="16413" spans="1:3">
      <c r="A16413" s="571" t="s">
        <v>2338</v>
      </c>
      <c r="B16413" s="572">
        <v>8.0051666666666659</v>
      </c>
      <c r="C16413" s="572">
        <v>407.89499999999998</v>
      </c>
    </row>
    <row r="16414" spans="1:3">
      <c r="A16414" s="571" t="s">
        <v>2338</v>
      </c>
      <c r="B16414" s="572">
        <v>10.538375</v>
      </c>
      <c r="C16414" s="572">
        <v>434.21100000000001</v>
      </c>
    </row>
    <row r="16415" spans="1:3">
      <c r="A16415" s="571" t="s">
        <v>2338</v>
      </c>
      <c r="B16415" s="572">
        <v>13.873208333333332</v>
      </c>
      <c r="C16415" s="572">
        <v>473.68400000000003</v>
      </c>
    </row>
    <row r="16416" spans="1:3">
      <c r="A16416" s="571" t="s">
        <v>2338</v>
      </c>
      <c r="B16416" s="572">
        <v>18.901875</v>
      </c>
      <c r="C16416" s="572">
        <v>500</v>
      </c>
    </row>
    <row r="16417" spans="1:3">
      <c r="A16417" s="571" t="s">
        <v>2338</v>
      </c>
      <c r="B16417" s="572">
        <v>26.653791666666667</v>
      </c>
      <c r="C16417" s="572">
        <v>526.31600000000003</v>
      </c>
    </row>
    <row r="16418" spans="1:3">
      <c r="A16418" s="571" t="s">
        <v>2338</v>
      </c>
      <c r="B16418" s="572">
        <v>35.088250000000002</v>
      </c>
      <c r="C16418" s="572">
        <v>565.78899999999999</v>
      </c>
    </row>
    <row r="16419" spans="1:3">
      <c r="A16419" s="571" t="s">
        <v>2338</v>
      </c>
      <c r="B16419" s="572">
        <v>43.123333333333335</v>
      </c>
      <c r="C16419" s="572">
        <v>605.26300000000003</v>
      </c>
    </row>
    <row r="16420" spans="1:3">
      <c r="A16420" s="571" t="s">
        <v>2340</v>
      </c>
      <c r="B16420" s="572">
        <v>0.28550249999999999</v>
      </c>
      <c r="C16420" s="572">
        <v>2.2699999999999999E-13</v>
      </c>
    </row>
    <row r="16421" spans="1:3">
      <c r="A16421" s="571" t="s">
        <v>2340</v>
      </c>
      <c r="B16421" s="572">
        <v>0.38898958333333339</v>
      </c>
      <c r="C16421" s="572">
        <v>26.315799999999999</v>
      </c>
    </row>
    <row r="16422" spans="1:3">
      <c r="A16422" s="571" t="s">
        <v>2340</v>
      </c>
      <c r="B16422" s="572">
        <v>0.47806666666666664</v>
      </c>
      <c r="C16422" s="572">
        <v>78.947400000000002</v>
      </c>
    </row>
    <row r="16423" spans="1:3">
      <c r="A16423" s="571" t="s">
        <v>2340</v>
      </c>
      <c r="B16423" s="572">
        <v>0.58754583333333332</v>
      </c>
      <c r="C16423" s="572">
        <v>131.57900000000001</v>
      </c>
    </row>
    <row r="16424" spans="1:3">
      <c r="A16424" s="571" t="s">
        <v>2340</v>
      </c>
      <c r="B16424" s="572">
        <v>0.77347500000000002</v>
      </c>
      <c r="C16424" s="572">
        <v>184.21100000000001</v>
      </c>
    </row>
    <row r="16425" spans="1:3">
      <c r="A16425" s="571" t="s">
        <v>2340</v>
      </c>
      <c r="B16425" s="572">
        <v>0.9506</v>
      </c>
      <c r="C16425" s="572">
        <v>197.36799999999999</v>
      </c>
    </row>
    <row r="16426" spans="1:3">
      <c r="A16426" s="571" t="s">
        <v>2340</v>
      </c>
      <c r="B16426" s="572">
        <v>1.2091375</v>
      </c>
      <c r="C16426" s="572">
        <v>223.684</v>
      </c>
    </row>
    <row r="16427" spans="1:3">
      <c r="A16427" s="571" t="s">
        <v>2340</v>
      </c>
      <c r="B16427" s="572">
        <v>1.5379875000000001</v>
      </c>
      <c r="C16427" s="572">
        <v>250</v>
      </c>
    </row>
    <row r="16428" spans="1:3">
      <c r="A16428" s="571" t="s">
        <v>2340</v>
      </c>
      <c r="B16428" s="572">
        <v>2.0954708333333332</v>
      </c>
      <c r="C16428" s="572">
        <v>263.15800000000002</v>
      </c>
    </row>
    <row r="16429" spans="1:3">
      <c r="A16429" s="571" t="s">
        <v>2340</v>
      </c>
      <c r="B16429" s="572">
        <v>2.8550249999999999</v>
      </c>
      <c r="C16429" s="572">
        <v>250</v>
      </c>
    </row>
    <row r="16430" spans="1:3">
      <c r="A16430" s="571" t="s">
        <v>2340</v>
      </c>
      <c r="B16430" s="572">
        <v>4.0259041666666668</v>
      </c>
      <c r="C16430" s="572">
        <v>210.52600000000001</v>
      </c>
    </row>
    <row r="16431" spans="1:3">
      <c r="A16431" s="571" t="s">
        <v>2340</v>
      </c>
      <c r="B16431" s="572">
        <v>5.4852083333333335</v>
      </c>
      <c r="C16431" s="572">
        <v>171.053</v>
      </c>
    </row>
    <row r="16432" spans="1:3">
      <c r="A16432" s="571" t="s">
        <v>2340</v>
      </c>
      <c r="B16432" s="572">
        <v>7.2209583333333329</v>
      </c>
      <c r="C16432" s="572">
        <v>144.73699999999999</v>
      </c>
    </row>
    <row r="16433" spans="1:3">
      <c r="A16433" s="571" t="s">
        <v>2340</v>
      </c>
      <c r="B16433" s="572">
        <v>9.838375000000001</v>
      </c>
      <c r="C16433" s="572">
        <v>118.42100000000001</v>
      </c>
    </row>
    <row r="16434" spans="1:3">
      <c r="A16434" s="571" t="s">
        <v>2340</v>
      </c>
      <c r="B16434" s="572">
        <v>12.951666666666666</v>
      </c>
      <c r="C16434" s="572">
        <v>92.1053</v>
      </c>
    </row>
    <row r="16435" spans="1:3">
      <c r="A16435" s="571" t="s">
        <v>2340</v>
      </c>
      <c r="B16435" s="572">
        <v>18.263333333333332</v>
      </c>
      <c r="C16435" s="572">
        <v>78.947400000000002</v>
      </c>
    </row>
    <row r="16436" spans="1:3">
      <c r="A16436" s="571" t="s">
        <v>2340</v>
      </c>
      <c r="B16436" s="572">
        <v>24.042666666666666</v>
      </c>
      <c r="C16436" s="572">
        <v>65.789500000000004</v>
      </c>
    </row>
    <row r="16437" spans="1:3">
      <c r="A16437" s="571" t="s">
        <v>2340</v>
      </c>
      <c r="B16437" s="572">
        <v>31.650874999999999</v>
      </c>
      <c r="C16437" s="572">
        <v>52.631599999999999</v>
      </c>
    </row>
    <row r="16438" spans="1:3">
      <c r="A16438" s="571" t="s">
        <v>2342</v>
      </c>
      <c r="B16438" s="572">
        <v>0.29548458333333333</v>
      </c>
      <c r="C16438" s="572">
        <v>2.2699999999999999E-13</v>
      </c>
    </row>
    <row r="16439" spans="1:3">
      <c r="A16439" s="571" t="s">
        <v>2342</v>
      </c>
      <c r="B16439" s="572">
        <v>0.41666666666666669</v>
      </c>
      <c r="C16439" s="572">
        <v>26.315799999999999</v>
      </c>
    </row>
    <row r="16440" spans="1:3">
      <c r="A16440" s="571" t="s">
        <v>2342</v>
      </c>
      <c r="B16440" s="572">
        <v>0.52998749999999994</v>
      </c>
      <c r="C16440" s="572">
        <v>65.789500000000004</v>
      </c>
    </row>
    <row r="16441" spans="1:3">
      <c r="A16441" s="571" t="s">
        <v>2342</v>
      </c>
      <c r="B16441" s="572">
        <v>0.6977000000000001</v>
      </c>
      <c r="C16441" s="572">
        <v>118.42100000000001</v>
      </c>
    </row>
    <row r="16442" spans="1:3">
      <c r="A16442" s="571" t="s">
        <v>2342</v>
      </c>
      <c r="B16442" s="572">
        <v>0.91848750000000001</v>
      </c>
      <c r="C16442" s="572">
        <v>157.89500000000001</v>
      </c>
    </row>
    <row r="16443" spans="1:3">
      <c r="A16443" s="571" t="s">
        <v>2342</v>
      </c>
      <c r="B16443" s="572">
        <v>1.2091375</v>
      </c>
      <c r="C16443" s="572">
        <v>197.36799999999999</v>
      </c>
    </row>
    <row r="16444" spans="1:3">
      <c r="A16444" s="571" t="s">
        <v>2342</v>
      </c>
      <c r="B16444" s="572">
        <v>1.5917625</v>
      </c>
      <c r="C16444" s="572">
        <v>210.52600000000001</v>
      </c>
    </row>
    <row r="16445" spans="1:3">
      <c r="A16445" s="571" t="s">
        <v>2342</v>
      </c>
      <c r="B16445" s="572">
        <v>2.0954708333333332</v>
      </c>
      <c r="C16445" s="572">
        <v>210.52600000000001</v>
      </c>
    </row>
    <row r="16446" spans="1:3">
      <c r="A16446" s="571" t="s">
        <v>2342</v>
      </c>
      <c r="B16446" s="572">
        <v>2.8550249999999999</v>
      </c>
      <c r="C16446" s="572">
        <v>171.053</v>
      </c>
    </row>
    <row r="16447" spans="1:3">
      <c r="A16447" s="571" t="s">
        <v>2342</v>
      </c>
      <c r="B16447" s="572">
        <v>3.6315083333333331</v>
      </c>
      <c r="C16447" s="572">
        <v>157.89500000000001</v>
      </c>
    </row>
    <row r="16448" spans="1:3">
      <c r="A16448" s="571" t="s">
        <v>2342</v>
      </c>
      <c r="B16448" s="572">
        <v>4.9478333333333335</v>
      </c>
      <c r="C16448" s="572">
        <v>131.57900000000001</v>
      </c>
    </row>
    <row r="16449" spans="1:3">
      <c r="A16449" s="571" t="s">
        <v>2342</v>
      </c>
      <c r="B16449" s="572">
        <v>6.5135833333333331</v>
      </c>
      <c r="C16449" s="572">
        <v>118.42100000000001</v>
      </c>
    </row>
    <row r="16450" spans="1:3">
      <c r="A16450" s="571" t="s">
        <v>2342</v>
      </c>
      <c r="B16450" s="572">
        <v>8.8745833333333337</v>
      </c>
      <c r="C16450" s="572">
        <v>65.789500000000004</v>
      </c>
    </row>
    <row r="16451" spans="1:3">
      <c r="A16451" s="571" t="s">
        <v>2342</v>
      </c>
      <c r="B16451" s="572">
        <v>12.514125</v>
      </c>
      <c r="C16451" s="572">
        <v>52.631599999999999</v>
      </c>
    </row>
    <row r="16452" spans="1:3">
      <c r="A16452" s="571" t="s">
        <v>2342</v>
      </c>
      <c r="B16452" s="572">
        <v>15.917625000000001</v>
      </c>
      <c r="C16452" s="572">
        <v>13.1579</v>
      </c>
    </row>
    <row r="16453" spans="1:3">
      <c r="A16453" s="571" t="s">
        <v>2342</v>
      </c>
      <c r="B16453" s="572">
        <v>22.445625000000003</v>
      </c>
      <c r="C16453" s="572">
        <v>2.2699999999999999E-13</v>
      </c>
    </row>
    <row r="16454" spans="1:3">
      <c r="A16454" s="571" t="s">
        <v>2342</v>
      </c>
      <c r="B16454" s="572">
        <v>28.550250000000002</v>
      </c>
      <c r="C16454" s="572">
        <v>39.473700000000001</v>
      </c>
    </row>
    <row r="16455" spans="1:3">
      <c r="A16455" s="571" t="s">
        <v>2342</v>
      </c>
      <c r="B16455" s="572">
        <v>32.757541666666668</v>
      </c>
      <c r="C16455" s="572">
        <v>65.789500000000004</v>
      </c>
    </row>
    <row r="16456" spans="1:3">
      <c r="A16456" s="571" t="s">
        <v>3743</v>
      </c>
      <c r="B16456" s="572">
        <v>7.6838599999999998E-3</v>
      </c>
      <c r="C16456" s="572">
        <v>0</v>
      </c>
    </row>
    <row r="16457" spans="1:3">
      <c r="A16457" s="571" t="s">
        <v>3743</v>
      </c>
      <c r="B16457" s="572">
        <v>5.3787000000000001E-2</v>
      </c>
      <c r="C16457" s="572">
        <v>1.9802</v>
      </c>
    </row>
    <row r="16458" spans="1:3">
      <c r="A16458" s="571" t="s">
        <v>3743</v>
      </c>
      <c r="B16458" s="572">
        <v>8.45225E-2</v>
      </c>
      <c r="C16458" s="572">
        <v>6.9306900000000002</v>
      </c>
    </row>
    <row r="16459" spans="1:3">
      <c r="A16459" s="571" t="s">
        <v>3743</v>
      </c>
      <c r="B16459" s="572">
        <v>9.9890199999999998E-2</v>
      </c>
      <c r="C16459" s="572">
        <v>14.8515</v>
      </c>
    </row>
    <row r="16460" spans="1:3">
      <c r="A16460" s="571" t="s">
        <v>3743</v>
      </c>
      <c r="B16460" s="572">
        <v>0.115258</v>
      </c>
      <c r="C16460" s="572">
        <v>26.732700000000001</v>
      </c>
    </row>
    <row r="16461" spans="1:3">
      <c r="A16461" s="571" t="s">
        <v>3743</v>
      </c>
      <c r="B16461" s="572">
        <v>0.13830999999999999</v>
      </c>
      <c r="C16461" s="572">
        <v>36.633699999999997</v>
      </c>
    </row>
    <row r="16462" spans="1:3">
      <c r="A16462" s="571" t="s">
        <v>3743</v>
      </c>
      <c r="B16462" s="572">
        <v>0.15367700000000001</v>
      </c>
      <c r="C16462" s="572">
        <v>47.524799999999999</v>
      </c>
    </row>
    <row r="16463" spans="1:3">
      <c r="A16463" s="571" t="s">
        <v>3743</v>
      </c>
      <c r="B16463" s="572">
        <v>0.161361</v>
      </c>
      <c r="C16463" s="572">
        <v>57.425699999999999</v>
      </c>
    </row>
    <row r="16464" spans="1:3">
      <c r="A16464" s="571" t="s">
        <v>3743</v>
      </c>
      <c r="B16464" s="572">
        <v>0.19209699999999999</v>
      </c>
      <c r="C16464" s="572">
        <v>69.306899999999999</v>
      </c>
    </row>
    <row r="16465" spans="1:3">
      <c r="A16465" s="571" t="s">
        <v>3743</v>
      </c>
      <c r="B16465" s="572">
        <v>0.21514800000000001</v>
      </c>
      <c r="C16465" s="572">
        <v>79.207899999999995</v>
      </c>
    </row>
    <row r="16466" spans="1:3">
      <c r="A16466" s="571" t="s">
        <v>3743</v>
      </c>
      <c r="B16466" s="572">
        <v>0.25356800000000002</v>
      </c>
      <c r="C16466" s="572">
        <v>90.099000000000004</v>
      </c>
    </row>
    <row r="16467" spans="1:3">
      <c r="A16467" s="571" t="s">
        <v>3743</v>
      </c>
      <c r="B16467" s="572">
        <v>0.28430299999999997</v>
      </c>
      <c r="C16467" s="572">
        <v>100.99</v>
      </c>
    </row>
    <row r="16468" spans="1:3">
      <c r="A16468" s="571" t="s">
        <v>3743</v>
      </c>
      <c r="B16468" s="572">
        <v>0.31503799999999998</v>
      </c>
      <c r="C16468" s="572">
        <v>112.871</v>
      </c>
    </row>
    <row r="16469" spans="1:3">
      <c r="A16469" s="571" t="s">
        <v>3743</v>
      </c>
      <c r="B16469" s="572">
        <v>0.36882500000000001</v>
      </c>
      <c r="C16469" s="572">
        <v>124.752</v>
      </c>
    </row>
    <row r="16470" spans="1:3">
      <c r="A16470" s="571" t="s">
        <v>3743</v>
      </c>
      <c r="B16470" s="572">
        <v>0.42261300000000002</v>
      </c>
      <c r="C16470" s="572">
        <v>133.66300000000001</v>
      </c>
    </row>
    <row r="16471" spans="1:3">
      <c r="A16471" s="571" t="s">
        <v>3743</v>
      </c>
      <c r="B16471" s="572">
        <v>0.47639999999999999</v>
      </c>
      <c r="C16471" s="572">
        <v>145.54499999999999</v>
      </c>
    </row>
    <row r="16472" spans="1:3">
      <c r="A16472" s="571" t="s">
        <v>3743</v>
      </c>
      <c r="B16472" s="572">
        <v>0.52250300000000005</v>
      </c>
      <c r="C16472" s="572">
        <v>159.40600000000001</v>
      </c>
    </row>
    <row r="16473" spans="1:3">
      <c r="A16473" s="571" t="s">
        <v>3743</v>
      </c>
      <c r="B16473" s="572">
        <v>0.56860599999999994</v>
      </c>
      <c r="C16473" s="572">
        <v>173.267</v>
      </c>
    </row>
    <row r="16474" spans="1:3">
      <c r="A16474" s="571" t="s">
        <v>3743</v>
      </c>
      <c r="B16474" s="572">
        <v>0.60702500000000004</v>
      </c>
      <c r="C16474" s="572">
        <v>182.178</v>
      </c>
    </row>
    <row r="16475" spans="1:3">
      <c r="A16475" s="571" t="s">
        <v>3743</v>
      </c>
      <c r="B16475" s="572">
        <v>0.66081199999999995</v>
      </c>
      <c r="C16475" s="572">
        <v>194.059</v>
      </c>
    </row>
    <row r="16476" spans="1:3">
      <c r="A16476" s="571" t="s">
        <v>3743</v>
      </c>
      <c r="B16476" s="572">
        <v>0.72228300000000001</v>
      </c>
      <c r="C16476" s="572">
        <v>204.95</v>
      </c>
    </row>
    <row r="16477" spans="1:3">
      <c r="A16477" s="571" t="s">
        <v>3743</v>
      </c>
      <c r="B16477" s="572">
        <v>0.79143799999999997</v>
      </c>
      <c r="C16477" s="572">
        <v>213.86099999999999</v>
      </c>
    </row>
    <row r="16478" spans="1:3">
      <c r="A16478" s="571" t="s">
        <v>3743</v>
      </c>
      <c r="B16478" s="572">
        <v>0.86059300000000005</v>
      </c>
      <c r="C16478" s="572">
        <v>222.77199999999999</v>
      </c>
    </row>
    <row r="16479" spans="1:3">
      <c r="A16479" s="571" t="s">
        <v>3743</v>
      </c>
      <c r="B16479" s="572">
        <v>0.94511500000000004</v>
      </c>
      <c r="C16479" s="572">
        <v>232.673</v>
      </c>
    </row>
    <row r="16480" spans="1:3">
      <c r="A16480" s="571" t="s">
        <v>3743</v>
      </c>
      <c r="B16480" s="572">
        <v>1.0296400000000001</v>
      </c>
      <c r="C16480" s="572">
        <v>237.624</v>
      </c>
    </row>
    <row r="16481" spans="1:3">
      <c r="A16481" s="571" t="s">
        <v>3743</v>
      </c>
      <c r="B16481" s="572">
        <v>1.1064799999999999</v>
      </c>
      <c r="C16481" s="572">
        <v>241.584</v>
      </c>
    </row>
    <row r="16482" spans="1:3">
      <c r="A16482" s="571" t="s">
        <v>3743</v>
      </c>
      <c r="B16482" s="572">
        <v>1.2140500000000001</v>
      </c>
      <c r="C16482" s="572">
        <v>245.54499999999999</v>
      </c>
    </row>
    <row r="16483" spans="1:3">
      <c r="A16483" s="571" t="s">
        <v>3743</v>
      </c>
      <c r="B16483" s="572">
        <v>1.30626</v>
      </c>
      <c r="C16483" s="572">
        <v>246.535</v>
      </c>
    </row>
    <row r="16484" spans="1:3">
      <c r="A16484" s="571" t="s">
        <v>3743</v>
      </c>
      <c r="B16484" s="572">
        <v>1.4292</v>
      </c>
      <c r="C16484" s="572">
        <v>248.51499999999999</v>
      </c>
    </row>
    <row r="16485" spans="1:3">
      <c r="A16485" s="571" t="s">
        <v>3743</v>
      </c>
      <c r="B16485" s="572">
        <v>1.53677</v>
      </c>
      <c r="C16485" s="572">
        <v>248.51499999999999</v>
      </c>
    </row>
    <row r="16486" spans="1:3">
      <c r="A16486" s="571" t="s">
        <v>3743</v>
      </c>
      <c r="B16486" s="572">
        <v>1.65971</v>
      </c>
      <c r="C16486" s="572">
        <v>247.52500000000001</v>
      </c>
    </row>
    <row r="16487" spans="1:3">
      <c r="A16487" s="571" t="s">
        <v>3743</v>
      </c>
      <c r="B16487" s="572">
        <v>1.7826599999999999</v>
      </c>
      <c r="C16487" s="572">
        <v>244.554</v>
      </c>
    </row>
    <row r="16488" spans="1:3">
      <c r="A16488" s="571" t="s">
        <v>3743</v>
      </c>
      <c r="B16488" s="572">
        <v>1.9132800000000001</v>
      </c>
      <c r="C16488" s="572">
        <v>245.54499999999999</v>
      </c>
    </row>
    <row r="16489" spans="1:3">
      <c r="A16489" s="571" t="s">
        <v>3743</v>
      </c>
      <c r="B16489" s="572">
        <v>2.02854</v>
      </c>
      <c r="C16489" s="572">
        <v>243.56399999999999</v>
      </c>
    </row>
    <row r="16490" spans="1:3">
      <c r="A16490" s="571" t="s">
        <v>3743</v>
      </c>
      <c r="B16490" s="572">
        <v>2.1668500000000002</v>
      </c>
      <c r="C16490" s="572">
        <v>243.56399999999999</v>
      </c>
    </row>
    <row r="16491" spans="1:3">
      <c r="A16491" s="571" t="s">
        <v>3743</v>
      </c>
      <c r="B16491" s="572">
        <v>2.3435800000000002</v>
      </c>
      <c r="C16491" s="572">
        <v>243.56399999999999</v>
      </c>
    </row>
    <row r="16492" spans="1:3">
      <c r="A16492" s="571" t="s">
        <v>3743</v>
      </c>
      <c r="B16492" s="572">
        <v>2.5049399999999999</v>
      </c>
      <c r="C16492" s="572">
        <v>243.56399999999999</v>
      </c>
    </row>
    <row r="16493" spans="1:3">
      <c r="A16493" s="571" t="s">
        <v>3743</v>
      </c>
      <c r="B16493" s="572">
        <v>2.63557</v>
      </c>
      <c r="C16493" s="572">
        <v>245.54499999999999</v>
      </c>
    </row>
    <row r="16494" spans="1:3">
      <c r="A16494" s="571" t="s">
        <v>3743</v>
      </c>
      <c r="B16494" s="572">
        <v>2.8276599999999998</v>
      </c>
      <c r="C16494" s="572">
        <v>247.52500000000001</v>
      </c>
    </row>
    <row r="16495" spans="1:3">
      <c r="A16495" s="571" t="s">
        <v>3743</v>
      </c>
      <c r="B16495" s="572">
        <v>2.98902</v>
      </c>
      <c r="C16495" s="572">
        <v>248.51499999999999</v>
      </c>
    </row>
    <row r="16496" spans="1:3">
      <c r="A16496" s="571" t="s">
        <v>3743</v>
      </c>
      <c r="B16496" s="572">
        <v>3.1811199999999999</v>
      </c>
      <c r="C16496" s="572">
        <v>247.52500000000001</v>
      </c>
    </row>
    <row r="16497" spans="1:3">
      <c r="A16497" s="571" t="s">
        <v>3743</v>
      </c>
      <c r="B16497" s="572">
        <v>3.3424800000000001</v>
      </c>
      <c r="C16497" s="572">
        <v>247.52500000000001</v>
      </c>
    </row>
    <row r="16498" spans="1:3">
      <c r="A16498" s="571" t="s">
        <v>3743</v>
      </c>
      <c r="B16498" s="572">
        <v>3.5268899999999999</v>
      </c>
      <c r="C16498" s="572">
        <v>249.505</v>
      </c>
    </row>
    <row r="16499" spans="1:3">
      <c r="A16499" s="571" t="s">
        <v>3743</v>
      </c>
      <c r="B16499" s="572">
        <v>3.6959399999999998</v>
      </c>
      <c r="C16499" s="572">
        <v>249.505</v>
      </c>
    </row>
    <row r="16500" spans="1:3">
      <c r="A16500" s="571" t="s">
        <v>3743</v>
      </c>
      <c r="B16500" s="572">
        <v>3.8342499999999999</v>
      </c>
      <c r="C16500" s="572">
        <v>250.495</v>
      </c>
    </row>
    <row r="16501" spans="1:3">
      <c r="A16501" s="571" t="s">
        <v>3743</v>
      </c>
      <c r="B16501" s="572">
        <v>3.9495100000000001</v>
      </c>
      <c r="C16501" s="572">
        <v>250.495</v>
      </c>
    </row>
    <row r="16502" spans="1:3">
      <c r="A16502" s="571" t="s">
        <v>3743</v>
      </c>
      <c r="B16502" s="572">
        <v>4.0801299999999996</v>
      </c>
      <c r="C16502" s="572">
        <v>251.48500000000001</v>
      </c>
    </row>
    <row r="16503" spans="1:3">
      <c r="A16503" s="571" t="s">
        <v>3743</v>
      </c>
      <c r="B16503" s="572">
        <v>4.18771</v>
      </c>
      <c r="C16503" s="572">
        <v>252.47499999999999</v>
      </c>
    </row>
    <row r="16504" spans="1:3">
      <c r="A16504" s="571" t="s">
        <v>3743</v>
      </c>
      <c r="B16504" s="572">
        <v>4.29528</v>
      </c>
      <c r="C16504" s="572">
        <v>253.465</v>
      </c>
    </row>
    <row r="16505" spans="1:3">
      <c r="A16505" s="571" t="s">
        <v>3743</v>
      </c>
      <c r="B16505" s="572">
        <v>4.4643199999999998</v>
      </c>
      <c r="C16505" s="572">
        <v>253.465</v>
      </c>
    </row>
    <row r="16506" spans="1:3">
      <c r="A16506" s="571" t="s">
        <v>3743</v>
      </c>
      <c r="B16506" s="572">
        <v>4.6256899999999996</v>
      </c>
      <c r="C16506" s="572">
        <v>253.465</v>
      </c>
    </row>
    <row r="16507" spans="1:3">
      <c r="A16507" s="571" t="s">
        <v>3743</v>
      </c>
      <c r="B16507" s="572">
        <v>4.7640000000000002</v>
      </c>
      <c r="C16507" s="572">
        <v>254.45500000000001</v>
      </c>
    </row>
    <row r="16508" spans="1:3">
      <c r="A16508" s="571" t="s">
        <v>3743</v>
      </c>
      <c r="B16508" s="572">
        <v>4.9099899999999996</v>
      </c>
      <c r="C16508" s="572">
        <v>255.446</v>
      </c>
    </row>
    <row r="16509" spans="1:3">
      <c r="A16509" s="571" t="s">
        <v>3743</v>
      </c>
      <c r="B16509" s="572">
        <v>5.0483000000000002</v>
      </c>
      <c r="C16509" s="572">
        <v>255.446</v>
      </c>
    </row>
    <row r="16510" spans="1:3">
      <c r="A16510" s="571" t="s">
        <v>3743</v>
      </c>
      <c r="B16510" s="572">
        <v>5.1866099999999999</v>
      </c>
      <c r="C16510" s="572">
        <v>254.45500000000001</v>
      </c>
    </row>
    <row r="16511" spans="1:3">
      <c r="A16511" s="571" t="s">
        <v>3743</v>
      </c>
      <c r="B16511" s="572">
        <v>5.3326000000000002</v>
      </c>
      <c r="C16511" s="572">
        <v>256.43599999999998</v>
      </c>
    </row>
    <row r="16512" spans="1:3">
      <c r="A16512" s="571" t="s">
        <v>3743</v>
      </c>
      <c r="B16512" s="572">
        <v>5.4862799999999998</v>
      </c>
      <c r="C16512" s="572">
        <v>256.43599999999998</v>
      </c>
    </row>
    <row r="16513" spans="1:3">
      <c r="A16513" s="571" t="s">
        <v>3743</v>
      </c>
      <c r="B16513" s="572">
        <v>5.6092199999999997</v>
      </c>
      <c r="C16513" s="572">
        <v>257.42599999999999</v>
      </c>
    </row>
    <row r="16514" spans="1:3">
      <c r="A16514" s="571" t="s">
        <v>3743</v>
      </c>
      <c r="B16514" s="572">
        <v>5.7398499999999997</v>
      </c>
      <c r="C16514" s="572">
        <v>257.42599999999999</v>
      </c>
    </row>
    <row r="16515" spans="1:3">
      <c r="A16515" s="571" t="s">
        <v>3743</v>
      </c>
      <c r="B16515" s="572">
        <v>5.8781600000000003</v>
      </c>
      <c r="C16515" s="572">
        <v>257.42599999999999</v>
      </c>
    </row>
    <row r="16516" spans="1:3">
      <c r="A16516" s="571" t="s">
        <v>3743</v>
      </c>
      <c r="B16516" s="572">
        <v>6.0241499999999997</v>
      </c>
      <c r="C16516" s="572">
        <v>258.416</v>
      </c>
    </row>
    <row r="16517" spans="1:3">
      <c r="A16517" s="571" t="s">
        <v>3743</v>
      </c>
      <c r="B16517" s="572">
        <v>6.1624600000000003</v>
      </c>
      <c r="C16517" s="572">
        <v>259.40600000000001</v>
      </c>
    </row>
    <row r="16518" spans="1:3">
      <c r="A16518" s="571" t="s">
        <v>3743</v>
      </c>
      <c r="B16518" s="572">
        <v>6.3084499999999997</v>
      </c>
      <c r="C16518" s="572">
        <v>259.40600000000001</v>
      </c>
    </row>
    <row r="16519" spans="1:3">
      <c r="A16519" s="571" t="s">
        <v>3743</v>
      </c>
      <c r="B16519" s="572">
        <v>6.4698099999999998</v>
      </c>
      <c r="C16519" s="572">
        <v>260.39600000000002</v>
      </c>
    </row>
    <row r="16520" spans="1:3">
      <c r="A16520" s="571" t="s">
        <v>3743</v>
      </c>
      <c r="B16520" s="572">
        <v>6.6158099999999997</v>
      </c>
      <c r="C16520" s="572">
        <v>261.38600000000002</v>
      </c>
    </row>
    <row r="16521" spans="1:3">
      <c r="A16521" s="571" t="s">
        <v>3743</v>
      </c>
      <c r="B16521" s="572">
        <v>6.7618</v>
      </c>
      <c r="C16521" s="572">
        <v>263.36599999999999</v>
      </c>
    </row>
    <row r="16522" spans="1:3">
      <c r="A16522" s="571" t="s">
        <v>3743</v>
      </c>
      <c r="B16522" s="572">
        <v>6.9001099999999997</v>
      </c>
      <c r="C16522" s="572">
        <v>264.35599999999999</v>
      </c>
    </row>
    <row r="16523" spans="1:3">
      <c r="A16523" s="571" t="s">
        <v>3743</v>
      </c>
      <c r="B16523" s="572">
        <v>7.0153699999999999</v>
      </c>
      <c r="C16523" s="572">
        <v>264.35599999999999</v>
      </c>
    </row>
    <row r="16524" spans="1:3">
      <c r="A16524" s="571" t="s">
        <v>3744</v>
      </c>
      <c r="B16524" s="572">
        <v>7.6838599999999998E-3</v>
      </c>
      <c r="C16524" s="572">
        <v>0</v>
      </c>
    </row>
    <row r="16525" spans="1:3">
      <c r="A16525" s="571" t="s">
        <v>3744</v>
      </c>
      <c r="B16525" s="572">
        <v>4.6103199999999997E-2</v>
      </c>
      <c r="C16525" s="572">
        <v>2.9702999999999999</v>
      </c>
    </row>
    <row r="16526" spans="1:3">
      <c r="A16526" s="571" t="s">
        <v>3744</v>
      </c>
      <c r="B16526" s="572">
        <v>7.6838600000000007E-2</v>
      </c>
      <c r="C16526" s="572">
        <v>9.9009900000000002</v>
      </c>
    </row>
    <row r="16527" spans="1:3">
      <c r="A16527" s="571" t="s">
        <v>3744</v>
      </c>
      <c r="B16527" s="572">
        <v>0.115258</v>
      </c>
      <c r="C16527" s="572">
        <v>6.9306900000000002</v>
      </c>
    </row>
    <row r="16528" spans="1:3">
      <c r="A16528" s="571" t="s">
        <v>3744</v>
      </c>
      <c r="B16528" s="572">
        <v>0.15367700000000001</v>
      </c>
      <c r="C16528" s="572">
        <v>0.99009899999999995</v>
      </c>
    </row>
    <row r="16529" spans="1:3">
      <c r="A16529" s="571" t="s">
        <v>3744</v>
      </c>
      <c r="B16529" s="572">
        <v>0.18441299999999999</v>
      </c>
      <c r="C16529" s="572">
        <v>10.8911</v>
      </c>
    </row>
    <row r="16530" spans="1:3">
      <c r="A16530" s="571" t="s">
        <v>3744</v>
      </c>
      <c r="B16530" s="572">
        <v>0.21514800000000001</v>
      </c>
      <c r="C16530" s="572">
        <v>20.792100000000001</v>
      </c>
    </row>
    <row r="16531" spans="1:3">
      <c r="A16531" s="571" t="s">
        <v>3744</v>
      </c>
      <c r="B16531" s="572">
        <v>0.276619</v>
      </c>
      <c r="C16531" s="572">
        <v>29.702999999999999</v>
      </c>
    </row>
    <row r="16532" spans="1:3">
      <c r="A16532" s="571" t="s">
        <v>3744</v>
      </c>
      <c r="B16532" s="572">
        <v>0.33809</v>
      </c>
      <c r="C16532" s="572">
        <v>41.584200000000003</v>
      </c>
    </row>
    <row r="16533" spans="1:3">
      <c r="A16533" s="571" t="s">
        <v>3744</v>
      </c>
      <c r="B16533" s="572">
        <v>0.37650899999999998</v>
      </c>
      <c r="C16533" s="572">
        <v>56.435600000000001</v>
      </c>
    </row>
    <row r="16534" spans="1:3">
      <c r="A16534" s="571" t="s">
        <v>3744</v>
      </c>
      <c r="B16534" s="572">
        <v>0.42261300000000002</v>
      </c>
      <c r="C16534" s="572">
        <v>69.306899999999999</v>
      </c>
    </row>
    <row r="16535" spans="1:3">
      <c r="A16535" s="571" t="s">
        <v>3744</v>
      </c>
      <c r="B16535" s="572">
        <v>0.461032</v>
      </c>
      <c r="C16535" s="572">
        <v>82.178200000000004</v>
      </c>
    </row>
    <row r="16536" spans="1:3">
      <c r="A16536" s="571" t="s">
        <v>3744</v>
      </c>
      <c r="B16536" s="572">
        <v>0.49176700000000001</v>
      </c>
      <c r="C16536" s="572">
        <v>93.069299999999998</v>
      </c>
    </row>
    <row r="16537" spans="1:3">
      <c r="A16537" s="571" t="s">
        <v>3744</v>
      </c>
      <c r="B16537" s="572">
        <v>0.53786999999999996</v>
      </c>
      <c r="C16537" s="572">
        <v>104.95</v>
      </c>
    </row>
    <row r="16538" spans="1:3">
      <c r="A16538" s="571" t="s">
        <v>3744</v>
      </c>
      <c r="B16538" s="572">
        <v>0.58397399999999999</v>
      </c>
      <c r="C16538" s="572">
        <v>116.83199999999999</v>
      </c>
    </row>
    <row r="16539" spans="1:3">
      <c r="A16539" s="571" t="s">
        <v>3744</v>
      </c>
      <c r="B16539" s="572">
        <v>0.64544500000000005</v>
      </c>
      <c r="C16539" s="572">
        <v>129.703</v>
      </c>
    </row>
    <row r="16540" spans="1:3">
      <c r="A16540" s="571" t="s">
        <v>3744</v>
      </c>
      <c r="B16540" s="572">
        <v>0.69923199999999996</v>
      </c>
      <c r="C16540" s="572">
        <v>139.60400000000001</v>
      </c>
    </row>
    <row r="16541" spans="1:3">
      <c r="A16541" s="571" t="s">
        <v>3744</v>
      </c>
      <c r="B16541" s="572">
        <v>0.75301899999999999</v>
      </c>
      <c r="C16541" s="572">
        <v>149.505</v>
      </c>
    </row>
    <row r="16542" spans="1:3">
      <c r="A16542" s="571" t="s">
        <v>3744</v>
      </c>
      <c r="B16542" s="572">
        <v>0.81449000000000005</v>
      </c>
      <c r="C16542" s="572">
        <v>157.42599999999999</v>
      </c>
    </row>
    <row r="16543" spans="1:3">
      <c r="A16543" s="571" t="s">
        <v>3744</v>
      </c>
      <c r="B16543" s="572">
        <v>0.89901200000000003</v>
      </c>
      <c r="C16543" s="572">
        <v>165.34700000000001</v>
      </c>
    </row>
    <row r="16544" spans="1:3">
      <c r="A16544" s="571" t="s">
        <v>3744</v>
      </c>
      <c r="B16544" s="572">
        <v>0.968167</v>
      </c>
      <c r="C16544" s="572">
        <v>174.25700000000001</v>
      </c>
    </row>
    <row r="16545" spans="1:3">
      <c r="A16545" s="571" t="s">
        <v>3744</v>
      </c>
      <c r="B16545" s="572">
        <v>1.0526899999999999</v>
      </c>
      <c r="C16545" s="572">
        <v>182.178</v>
      </c>
    </row>
    <row r="16546" spans="1:3">
      <c r="A16546" s="571" t="s">
        <v>3744</v>
      </c>
      <c r="B16546" s="572">
        <v>1.1449</v>
      </c>
      <c r="C16546" s="572">
        <v>188.119</v>
      </c>
    </row>
    <row r="16547" spans="1:3">
      <c r="A16547" s="571" t="s">
        <v>3744</v>
      </c>
      <c r="B16547" s="572">
        <v>1.2601500000000001</v>
      </c>
      <c r="C16547" s="572">
        <v>192.07900000000001</v>
      </c>
    </row>
    <row r="16548" spans="1:3">
      <c r="A16548" s="571" t="s">
        <v>3744</v>
      </c>
      <c r="B16548" s="572">
        <v>1.37541</v>
      </c>
      <c r="C16548" s="572">
        <v>194.059</v>
      </c>
    </row>
    <row r="16549" spans="1:3">
      <c r="A16549" s="571" t="s">
        <v>3744</v>
      </c>
      <c r="B16549" s="572">
        <v>1.48299</v>
      </c>
      <c r="C16549" s="572">
        <v>194.059</v>
      </c>
    </row>
    <row r="16550" spans="1:3">
      <c r="A16550" s="571" t="s">
        <v>3744</v>
      </c>
      <c r="B16550" s="572">
        <v>1.6289800000000001</v>
      </c>
      <c r="C16550" s="572">
        <v>195.05</v>
      </c>
    </row>
    <row r="16551" spans="1:3">
      <c r="A16551" s="571" t="s">
        <v>3744</v>
      </c>
      <c r="B16551" s="572">
        <v>1.7288699999999999</v>
      </c>
      <c r="C16551" s="572">
        <v>193.06899999999999</v>
      </c>
    </row>
    <row r="16552" spans="1:3">
      <c r="A16552" s="571" t="s">
        <v>3744</v>
      </c>
      <c r="B16552" s="572">
        <v>1.8825499999999999</v>
      </c>
      <c r="C16552" s="572">
        <v>192.07900000000001</v>
      </c>
    </row>
    <row r="16553" spans="1:3">
      <c r="A16553" s="571" t="s">
        <v>3744</v>
      </c>
      <c r="B16553" s="572">
        <v>2.02854</v>
      </c>
      <c r="C16553" s="572">
        <v>193.06899999999999</v>
      </c>
    </row>
    <row r="16554" spans="1:3">
      <c r="A16554" s="571" t="s">
        <v>3744</v>
      </c>
      <c r="B16554" s="572">
        <v>2.18222</v>
      </c>
      <c r="C16554" s="572">
        <v>193.06899999999999</v>
      </c>
    </row>
    <row r="16555" spans="1:3">
      <c r="A16555" s="571" t="s">
        <v>3744</v>
      </c>
      <c r="B16555" s="572">
        <v>2.3205300000000002</v>
      </c>
      <c r="C16555" s="572">
        <v>194.059</v>
      </c>
    </row>
    <row r="16556" spans="1:3">
      <c r="A16556" s="571" t="s">
        <v>3744</v>
      </c>
      <c r="B16556" s="572">
        <v>2.46652</v>
      </c>
      <c r="C16556" s="572">
        <v>194.059</v>
      </c>
    </row>
    <row r="16557" spans="1:3">
      <c r="A16557" s="571" t="s">
        <v>3744</v>
      </c>
      <c r="B16557" s="572">
        <v>2.5894599999999999</v>
      </c>
      <c r="C16557" s="572">
        <v>196.04</v>
      </c>
    </row>
    <row r="16558" spans="1:3">
      <c r="A16558" s="571" t="s">
        <v>3744</v>
      </c>
      <c r="B16558" s="572">
        <v>2.7124000000000001</v>
      </c>
      <c r="C16558" s="572">
        <v>197.03</v>
      </c>
    </row>
    <row r="16559" spans="1:3">
      <c r="A16559" s="571" t="s">
        <v>3744</v>
      </c>
      <c r="B16559" s="572">
        <v>2.8507099999999999</v>
      </c>
      <c r="C16559" s="572">
        <v>198.02</v>
      </c>
    </row>
    <row r="16560" spans="1:3">
      <c r="A16560" s="571" t="s">
        <v>3744</v>
      </c>
      <c r="B16560" s="572">
        <v>2.9736600000000002</v>
      </c>
      <c r="C16560" s="572">
        <v>200</v>
      </c>
    </row>
    <row r="16561" spans="1:3">
      <c r="A16561" s="571" t="s">
        <v>3744</v>
      </c>
      <c r="B16561" s="572">
        <v>3.1042800000000002</v>
      </c>
      <c r="C16561" s="572">
        <v>200.99</v>
      </c>
    </row>
    <row r="16562" spans="1:3">
      <c r="A16562" s="571" t="s">
        <v>3744</v>
      </c>
      <c r="B16562" s="572">
        <v>3.22722</v>
      </c>
      <c r="C16562" s="572">
        <v>203.96</v>
      </c>
    </row>
    <row r="16563" spans="1:3">
      <c r="A16563" s="571" t="s">
        <v>3744</v>
      </c>
      <c r="B16563" s="572">
        <v>3.3424800000000001</v>
      </c>
      <c r="C16563" s="572">
        <v>202.97</v>
      </c>
    </row>
    <row r="16564" spans="1:3">
      <c r="A16564" s="571" t="s">
        <v>3744</v>
      </c>
      <c r="B16564" s="572">
        <v>3.51153</v>
      </c>
      <c r="C16564" s="572">
        <v>205.941</v>
      </c>
    </row>
    <row r="16565" spans="1:3">
      <c r="A16565" s="571" t="s">
        <v>3744</v>
      </c>
      <c r="B16565" s="572">
        <v>3.6267800000000001</v>
      </c>
      <c r="C16565" s="572">
        <v>208.911</v>
      </c>
    </row>
    <row r="16566" spans="1:3">
      <c r="A16566" s="571" t="s">
        <v>3744</v>
      </c>
      <c r="B16566" s="572">
        <v>3.7650899999999998</v>
      </c>
      <c r="C16566" s="572">
        <v>208.911</v>
      </c>
    </row>
    <row r="16567" spans="1:3">
      <c r="A16567" s="571" t="s">
        <v>3744</v>
      </c>
      <c r="B16567" s="572">
        <v>3.8880400000000002</v>
      </c>
      <c r="C16567" s="572">
        <v>210.89099999999999</v>
      </c>
    </row>
    <row r="16568" spans="1:3">
      <c r="A16568" s="571" t="s">
        <v>3744</v>
      </c>
      <c r="B16568" s="572">
        <v>4.0186599999999997</v>
      </c>
      <c r="C16568" s="572">
        <v>210.89099999999999</v>
      </c>
    </row>
    <row r="16569" spans="1:3">
      <c r="A16569" s="571" t="s">
        <v>3744</v>
      </c>
      <c r="B16569" s="572">
        <v>4.1953899999999997</v>
      </c>
      <c r="C16569" s="572">
        <v>212.87100000000001</v>
      </c>
    </row>
    <row r="16570" spans="1:3">
      <c r="A16570" s="571" t="s">
        <v>3744</v>
      </c>
      <c r="B16570" s="572">
        <v>4.3798000000000004</v>
      </c>
      <c r="C16570" s="572">
        <v>213.86099999999999</v>
      </c>
    </row>
    <row r="16571" spans="1:3">
      <c r="A16571" s="571" t="s">
        <v>3744</v>
      </c>
      <c r="B16571" s="572">
        <v>4.5488499999999998</v>
      </c>
      <c r="C16571" s="572">
        <v>214.851</v>
      </c>
    </row>
    <row r="16572" spans="1:3">
      <c r="A16572" s="571" t="s">
        <v>3744</v>
      </c>
      <c r="B16572" s="572">
        <v>4.6794700000000002</v>
      </c>
      <c r="C16572" s="572">
        <v>215.84200000000001</v>
      </c>
    </row>
    <row r="16573" spans="1:3">
      <c r="A16573" s="571" t="s">
        <v>3744</v>
      </c>
      <c r="B16573" s="572">
        <v>4.8485199999999997</v>
      </c>
      <c r="C16573" s="572">
        <v>216.83199999999999</v>
      </c>
    </row>
    <row r="16574" spans="1:3">
      <c r="A16574" s="571" t="s">
        <v>3744</v>
      </c>
      <c r="B16574" s="572">
        <v>5.04061</v>
      </c>
      <c r="C16574" s="572">
        <v>217.822</v>
      </c>
    </row>
    <row r="16575" spans="1:3">
      <c r="A16575" s="571" t="s">
        <v>3744</v>
      </c>
      <c r="B16575" s="572">
        <v>5.1712400000000001</v>
      </c>
      <c r="C16575" s="572">
        <v>218.81200000000001</v>
      </c>
    </row>
    <row r="16576" spans="1:3">
      <c r="A16576" s="571" t="s">
        <v>3744</v>
      </c>
      <c r="B16576" s="572">
        <v>5.2941799999999999</v>
      </c>
      <c r="C16576" s="572">
        <v>219.80199999999999</v>
      </c>
    </row>
    <row r="16577" spans="1:3">
      <c r="A16577" s="571" t="s">
        <v>3744</v>
      </c>
      <c r="B16577" s="572">
        <v>5.4478600000000004</v>
      </c>
      <c r="C16577" s="572">
        <v>219.80199999999999</v>
      </c>
    </row>
    <row r="16578" spans="1:3">
      <c r="A16578" s="571" t="s">
        <v>3744</v>
      </c>
      <c r="B16578" s="572">
        <v>5.6092199999999997</v>
      </c>
      <c r="C16578" s="572">
        <v>222.77199999999999</v>
      </c>
    </row>
    <row r="16579" spans="1:3">
      <c r="A16579" s="571" t="s">
        <v>3744</v>
      </c>
      <c r="B16579" s="572">
        <v>5.7629000000000001</v>
      </c>
      <c r="C16579" s="572">
        <v>220.792</v>
      </c>
    </row>
    <row r="16580" spans="1:3">
      <c r="A16580" s="571" t="s">
        <v>3744</v>
      </c>
      <c r="B16580" s="572">
        <v>5.9242600000000003</v>
      </c>
      <c r="C16580" s="572">
        <v>222.77199999999999</v>
      </c>
    </row>
    <row r="16581" spans="1:3">
      <c r="A16581" s="571" t="s">
        <v>3744</v>
      </c>
      <c r="B16581" s="572">
        <v>6.0702499999999997</v>
      </c>
      <c r="C16581" s="572">
        <v>221.78200000000001</v>
      </c>
    </row>
    <row r="16582" spans="1:3">
      <c r="A16582" s="571" t="s">
        <v>3744</v>
      </c>
      <c r="B16582" s="572">
        <v>6.2085600000000003</v>
      </c>
      <c r="C16582" s="572">
        <v>223.762</v>
      </c>
    </row>
    <row r="16583" spans="1:3">
      <c r="A16583" s="571" t="s">
        <v>3744</v>
      </c>
      <c r="B16583" s="572">
        <v>6.3391900000000003</v>
      </c>
      <c r="C16583" s="572">
        <v>223.762</v>
      </c>
    </row>
    <row r="16584" spans="1:3">
      <c r="A16584" s="571" t="s">
        <v>3744</v>
      </c>
      <c r="B16584" s="572">
        <v>6.4928600000000003</v>
      </c>
      <c r="C16584" s="572">
        <v>224.75200000000001</v>
      </c>
    </row>
    <row r="16585" spans="1:3">
      <c r="A16585" s="571" t="s">
        <v>3744</v>
      </c>
      <c r="B16585" s="572">
        <v>6.6388600000000002</v>
      </c>
      <c r="C16585" s="572">
        <v>226.733</v>
      </c>
    </row>
    <row r="16586" spans="1:3">
      <c r="A16586" s="571" t="s">
        <v>3744</v>
      </c>
      <c r="B16586" s="572">
        <v>6.7541200000000003</v>
      </c>
      <c r="C16586" s="572">
        <v>227.72300000000001</v>
      </c>
    </row>
    <row r="16587" spans="1:3">
      <c r="A16587" s="571" t="s">
        <v>3744</v>
      </c>
      <c r="B16587" s="572">
        <v>6.8924300000000001</v>
      </c>
      <c r="C16587" s="572">
        <v>229.703</v>
      </c>
    </row>
    <row r="16588" spans="1:3">
      <c r="A16588" s="571" t="s">
        <v>3744</v>
      </c>
      <c r="B16588" s="572">
        <v>7.0153699999999999</v>
      </c>
      <c r="C16588" s="572">
        <v>228.71299999999999</v>
      </c>
    </row>
    <row r="16589" spans="1:3">
      <c r="A16589" s="571" t="s">
        <v>3745</v>
      </c>
      <c r="B16589" s="572">
        <v>1.53677E-2</v>
      </c>
      <c r="C16589" s="572">
        <v>0</v>
      </c>
    </row>
    <row r="16590" spans="1:3">
      <c r="A16590" s="571" t="s">
        <v>3745</v>
      </c>
      <c r="B16590" s="572">
        <v>6.9154800000000002E-2</v>
      </c>
      <c r="C16590" s="572">
        <v>0.99009899999999995</v>
      </c>
    </row>
    <row r="16591" spans="1:3">
      <c r="A16591" s="571" t="s">
        <v>3745</v>
      </c>
      <c r="B16591" s="572">
        <v>9.2206399999999994E-2</v>
      </c>
      <c r="C16591" s="572">
        <v>3.9603999999999999</v>
      </c>
    </row>
    <row r="16592" spans="1:3">
      <c r="A16592" s="571" t="s">
        <v>3745</v>
      </c>
      <c r="B16592" s="572">
        <v>0.13830999999999999</v>
      </c>
      <c r="C16592" s="572">
        <v>8.9108900000000002</v>
      </c>
    </row>
    <row r="16593" spans="1:3">
      <c r="A16593" s="571" t="s">
        <v>3745</v>
      </c>
      <c r="B16593" s="572">
        <v>0.176729</v>
      </c>
      <c r="C16593" s="572">
        <v>2.9702999999999999</v>
      </c>
    </row>
    <row r="16594" spans="1:3">
      <c r="A16594" s="571" t="s">
        <v>3745</v>
      </c>
      <c r="B16594" s="572">
        <v>0.2382</v>
      </c>
      <c r="C16594" s="572">
        <v>1.9802</v>
      </c>
    </row>
    <row r="16595" spans="1:3">
      <c r="A16595" s="571" t="s">
        <v>3745</v>
      </c>
      <c r="B16595" s="572">
        <v>0.291987</v>
      </c>
      <c r="C16595" s="572">
        <v>2.9702999999999999</v>
      </c>
    </row>
    <row r="16596" spans="1:3">
      <c r="A16596" s="571" t="s">
        <v>3745</v>
      </c>
      <c r="B16596" s="572">
        <v>0.33809</v>
      </c>
      <c r="C16596" s="572">
        <v>6.9306900000000002</v>
      </c>
    </row>
    <row r="16597" spans="1:3">
      <c r="A16597" s="571" t="s">
        <v>3745</v>
      </c>
      <c r="B16597" s="572">
        <v>0.36882500000000001</v>
      </c>
      <c r="C16597" s="572">
        <v>17.8218</v>
      </c>
    </row>
    <row r="16598" spans="1:3">
      <c r="A16598" s="571" t="s">
        <v>3745</v>
      </c>
      <c r="B16598" s="572">
        <v>0.41492899999999999</v>
      </c>
      <c r="C16598" s="572">
        <v>27.722799999999999</v>
      </c>
    </row>
    <row r="16599" spans="1:3">
      <c r="A16599" s="571" t="s">
        <v>3745</v>
      </c>
      <c r="B16599" s="572">
        <v>0.46871600000000002</v>
      </c>
      <c r="C16599" s="572">
        <v>38.613900000000001</v>
      </c>
    </row>
    <row r="16600" spans="1:3">
      <c r="A16600" s="571" t="s">
        <v>3745</v>
      </c>
      <c r="B16600" s="572">
        <v>0.51481900000000003</v>
      </c>
      <c r="C16600" s="572">
        <v>48.514899999999997</v>
      </c>
    </row>
    <row r="16601" spans="1:3">
      <c r="A16601" s="571" t="s">
        <v>3745</v>
      </c>
      <c r="B16601" s="572">
        <v>0.55323800000000001</v>
      </c>
      <c r="C16601" s="572">
        <v>59.405900000000003</v>
      </c>
    </row>
    <row r="16602" spans="1:3">
      <c r="A16602" s="571" t="s">
        <v>3745</v>
      </c>
      <c r="B16602" s="572">
        <v>0.61470899999999995</v>
      </c>
      <c r="C16602" s="572">
        <v>66.336600000000004</v>
      </c>
    </row>
    <row r="16603" spans="1:3">
      <c r="A16603" s="571" t="s">
        <v>3745</v>
      </c>
      <c r="B16603" s="572">
        <v>0.67618</v>
      </c>
      <c r="C16603" s="572">
        <v>75.247500000000002</v>
      </c>
    </row>
    <row r="16604" spans="1:3">
      <c r="A16604" s="571" t="s">
        <v>3745</v>
      </c>
      <c r="B16604" s="572">
        <v>0.73765099999999995</v>
      </c>
      <c r="C16604" s="572">
        <v>83.168300000000002</v>
      </c>
    </row>
    <row r="16605" spans="1:3">
      <c r="A16605" s="571" t="s">
        <v>3745</v>
      </c>
      <c r="B16605" s="572">
        <v>0.81449000000000005</v>
      </c>
      <c r="C16605" s="572">
        <v>90.099000000000004</v>
      </c>
    </row>
    <row r="16606" spans="1:3">
      <c r="A16606" s="571" t="s">
        <v>3745</v>
      </c>
      <c r="B16606" s="572">
        <v>0.88364399999999999</v>
      </c>
      <c r="C16606" s="572">
        <v>96.039599999999993</v>
      </c>
    </row>
    <row r="16607" spans="1:3">
      <c r="A16607" s="571" t="s">
        <v>3745</v>
      </c>
      <c r="B16607" s="572">
        <v>0.98353500000000005</v>
      </c>
      <c r="C16607" s="572">
        <v>100.99</v>
      </c>
    </row>
    <row r="16608" spans="1:3">
      <c r="A16608" s="571" t="s">
        <v>3745</v>
      </c>
      <c r="B16608" s="572">
        <v>1.0757399999999999</v>
      </c>
      <c r="C16608" s="572">
        <v>104.95</v>
      </c>
    </row>
    <row r="16609" spans="1:3">
      <c r="A16609" s="571" t="s">
        <v>3745</v>
      </c>
      <c r="B16609" s="572">
        <v>1.1833199999999999</v>
      </c>
      <c r="C16609" s="572">
        <v>105.941</v>
      </c>
    </row>
    <row r="16610" spans="1:3">
      <c r="A16610" s="571" t="s">
        <v>3745</v>
      </c>
      <c r="B16610" s="572">
        <v>1.2908900000000001</v>
      </c>
      <c r="C16610" s="572">
        <v>105.941</v>
      </c>
    </row>
    <row r="16611" spans="1:3">
      <c r="A16611" s="571" t="s">
        <v>3745</v>
      </c>
      <c r="B16611" s="572">
        <v>1.39846</v>
      </c>
      <c r="C16611" s="572">
        <v>103.96</v>
      </c>
    </row>
    <row r="16612" spans="1:3">
      <c r="A16612" s="571" t="s">
        <v>3745</v>
      </c>
      <c r="B16612" s="572">
        <v>1.50604</v>
      </c>
      <c r="C16612" s="572">
        <v>102.97</v>
      </c>
    </row>
    <row r="16613" spans="1:3">
      <c r="A16613" s="571" t="s">
        <v>3745</v>
      </c>
      <c r="B16613" s="572">
        <v>1.61361</v>
      </c>
      <c r="C16613" s="572">
        <v>100</v>
      </c>
    </row>
    <row r="16614" spans="1:3">
      <c r="A16614" s="571" t="s">
        <v>3745</v>
      </c>
      <c r="B16614" s="572">
        <v>1.6981299999999999</v>
      </c>
      <c r="C16614" s="572">
        <v>97.029700000000005</v>
      </c>
    </row>
    <row r="16615" spans="1:3">
      <c r="A16615" s="571" t="s">
        <v>3745</v>
      </c>
      <c r="B16615" s="572">
        <v>1.79802</v>
      </c>
      <c r="C16615" s="572">
        <v>94.059399999999997</v>
      </c>
    </row>
    <row r="16616" spans="1:3">
      <c r="A16616" s="571" t="s">
        <v>3745</v>
      </c>
      <c r="B16616" s="572">
        <v>1.9132800000000001</v>
      </c>
      <c r="C16616" s="572">
        <v>91.089100000000002</v>
      </c>
    </row>
    <row r="16617" spans="1:3">
      <c r="A16617" s="571" t="s">
        <v>3745</v>
      </c>
      <c r="B16617" s="572">
        <v>2.0131700000000001</v>
      </c>
      <c r="C16617" s="572">
        <v>89.108900000000006</v>
      </c>
    </row>
    <row r="16618" spans="1:3">
      <c r="A16618" s="571" t="s">
        <v>3745</v>
      </c>
      <c r="B16618" s="572">
        <v>2.1284299999999998</v>
      </c>
      <c r="C16618" s="572">
        <v>88.118799999999993</v>
      </c>
    </row>
    <row r="16619" spans="1:3">
      <c r="A16619" s="571" t="s">
        <v>3745</v>
      </c>
      <c r="B16619" s="572">
        <v>2.2129500000000002</v>
      </c>
      <c r="C16619" s="572">
        <v>86.138599999999997</v>
      </c>
    </row>
    <row r="16620" spans="1:3">
      <c r="A16620" s="571" t="s">
        <v>3745</v>
      </c>
      <c r="B16620" s="572">
        <v>2.3282099999999999</v>
      </c>
      <c r="C16620" s="572">
        <v>83.168300000000002</v>
      </c>
    </row>
    <row r="16621" spans="1:3">
      <c r="A16621" s="571" t="s">
        <v>3745</v>
      </c>
      <c r="B16621" s="572">
        <v>2.4511500000000002</v>
      </c>
      <c r="C16621" s="572">
        <v>82.178200000000004</v>
      </c>
    </row>
    <row r="16622" spans="1:3">
      <c r="A16622" s="571" t="s">
        <v>3745</v>
      </c>
      <c r="B16622" s="572">
        <v>2.57409</v>
      </c>
      <c r="C16622" s="572">
        <v>81.188100000000006</v>
      </c>
    </row>
    <row r="16623" spans="1:3">
      <c r="A16623" s="571" t="s">
        <v>3745</v>
      </c>
      <c r="B16623" s="572">
        <v>2.6893500000000001</v>
      </c>
      <c r="C16623" s="572">
        <v>80.197999999999993</v>
      </c>
    </row>
    <row r="16624" spans="1:3">
      <c r="A16624" s="571" t="s">
        <v>3745</v>
      </c>
      <c r="B16624" s="572">
        <v>2.81229</v>
      </c>
      <c r="C16624" s="572">
        <v>80.197999999999993</v>
      </c>
    </row>
    <row r="16625" spans="1:3">
      <c r="A16625" s="571" t="s">
        <v>3745</v>
      </c>
      <c r="B16625" s="572">
        <v>2.94292</v>
      </c>
      <c r="C16625" s="572">
        <v>78.217799999999997</v>
      </c>
    </row>
    <row r="16626" spans="1:3">
      <c r="A16626" s="571" t="s">
        <v>3745</v>
      </c>
      <c r="B16626" s="572">
        <v>3.0504899999999999</v>
      </c>
      <c r="C16626" s="572">
        <v>78.217799999999997</v>
      </c>
    </row>
    <row r="16627" spans="1:3">
      <c r="A16627" s="571" t="s">
        <v>3745</v>
      </c>
      <c r="B16627" s="572">
        <v>3.1734399999999998</v>
      </c>
      <c r="C16627" s="572">
        <v>77.227699999999999</v>
      </c>
    </row>
    <row r="16628" spans="1:3">
      <c r="A16628" s="571" t="s">
        <v>3745</v>
      </c>
      <c r="B16628" s="572">
        <v>3.2886899999999999</v>
      </c>
      <c r="C16628" s="572">
        <v>76.2376</v>
      </c>
    </row>
    <row r="16629" spans="1:3">
      <c r="A16629" s="571" t="s">
        <v>3745</v>
      </c>
      <c r="B16629" s="572">
        <v>3.4346899999999998</v>
      </c>
      <c r="C16629" s="572">
        <v>75.247500000000002</v>
      </c>
    </row>
    <row r="16630" spans="1:3">
      <c r="A16630" s="571" t="s">
        <v>3745</v>
      </c>
      <c r="B16630" s="572">
        <v>3.5422600000000002</v>
      </c>
      <c r="C16630" s="572">
        <v>75.247500000000002</v>
      </c>
    </row>
    <row r="16631" spans="1:3">
      <c r="A16631" s="571" t="s">
        <v>3745</v>
      </c>
      <c r="B16631" s="572">
        <v>3.6652</v>
      </c>
      <c r="C16631" s="572">
        <v>75.247500000000002</v>
      </c>
    </row>
    <row r="16632" spans="1:3">
      <c r="A16632" s="571" t="s">
        <v>3745</v>
      </c>
      <c r="B16632" s="572">
        <v>3.79583</v>
      </c>
      <c r="C16632" s="572">
        <v>75.247500000000002</v>
      </c>
    </row>
    <row r="16633" spans="1:3">
      <c r="A16633" s="571" t="s">
        <v>3745</v>
      </c>
      <c r="B16633" s="572">
        <v>3.92645</v>
      </c>
      <c r="C16633" s="572">
        <v>76.2376</v>
      </c>
    </row>
    <row r="16634" spans="1:3">
      <c r="A16634" s="571" t="s">
        <v>3745</v>
      </c>
      <c r="B16634" s="572">
        <v>4.0724499999999999</v>
      </c>
      <c r="C16634" s="572">
        <v>76.2376</v>
      </c>
    </row>
    <row r="16635" spans="1:3">
      <c r="A16635" s="571" t="s">
        <v>3745</v>
      </c>
      <c r="B16635" s="572">
        <v>4.2107599999999996</v>
      </c>
      <c r="C16635" s="572">
        <v>74.257400000000004</v>
      </c>
    </row>
    <row r="16636" spans="1:3">
      <c r="A16636" s="571" t="s">
        <v>3745</v>
      </c>
      <c r="B16636" s="572">
        <v>4.3260199999999998</v>
      </c>
      <c r="C16636" s="572">
        <v>74.257400000000004</v>
      </c>
    </row>
    <row r="16637" spans="1:3">
      <c r="A16637" s="571" t="s">
        <v>3745</v>
      </c>
      <c r="B16637" s="572">
        <v>4.4412700000000003</v>
      </c>
      <c r="C16637" s="572">
        <v>74.257400000000004</v>
      </c>
    </row>
    <row r="16638" spans="1:3">
      <c r="A16638" s="571" t="s">
        <v>3745</v>
      </c>
      <c r="B16638" s="572">
        <v>4.57958</v>
      </c>
      <c r="C16638" s="572">
        <v>75.247500000000002</v>
      </c>
    </row>
    <row r="16639" spans="1:3">
      <c r="A16639" s="571" t="s">
        <v>3745</v>
      </c>
      <c r="B16639" s="572">
        <v>4.7332599999999996</v>
      </c>
      <c r="C16639" s="572">
        <v>77.227699999999999</v>
      </c>
    </row>
    <row r="16640" spans="1:3">
      <c r="A16640" s="571" t="s">
        <v>3745</v>
      </c>
      <c r="B16640" s="572">
        <v>4.8869400000000001</v>
      </c>
      <c r="C16640" s="572">
        <v>76.2376</v>
      </c>
    </row>
    <row r="16641" spans="1:3">
      <c r="A16641" s="571" t="s">
        <v>3745</v>
      </c>
      <c r="B16641" s="572">
        <v>5.0175599999999996</v>
      </c>
      <c r="C16641" s="572">
        <v>77.227699999999999</v>
      </c>
    </row>
    <row r="16642" spans="1:3">
      <c r="A16642" s="571" t="s">
        <v>3745</v>
      </c>
      <c r="B16642" s="572">
        <v>5.1558700000000002</v>
      </c>
      <c r="C16642" s="572">
        <v>76.2376</v>
      </c>
    </row>
    <row r="16643" spans="1:3">
      <c r="A16643" s="571" t="s">
        <v>3745</v>
      </c>
      <c r="B16643" s="572">
        <v>5.2941799999999999</v>
      </c>
      <c r="C16643" s="572">
        <v>77.227699999999999</v>
      </c>
    </row>
    <row r="16644" spans="1:3">
      <c r="A16644" s="571" t="s">
        <v>3745</v>
      </c>
      <c r="B16644" s="572">
        <v>5.4248099999999999</v>
      </c>
      <c r="C16644" s="572">
        <v>76.2376</v>
      </c>
    </row>
    <row r="16645" spans="1:3">
      <c r="A16645" s="571" t="s">
        <v>3745</v>
      </c>
      <c r="B16645" s="572">
        <v>5.5938499999999998</v>
      </c>
      <c r="C16645" s="572">
        <v>78.217799999999997</v>
      </c>
    </row>
    <row r="16646" spans="1:3">
      <c r="A16646" s="571" t="s">
        <v>3745</v>
      </c>
      <c r="B16646" s="572">
        <v>5.7167899999999996</v>
      </c>
      <c r="C16646" s="572">
        <v>79.207899999999995</v>
      </c>
    </row>
    <row r="16647" spans="1:3">
      <c r="A16647" s="571" t="s">
        <v>3745</v>
      </c>
      <c r="B16647" s="572">
        <v>5.8474199999999996</v>
      </c>
      <c r="C16647" s="572">
        <v>79.207899999999995</v>
      </c>
    </row>
    <row r="16648" spans="1:3">
      <c r="A16648" s="571" t="s">
        <v>3745</v>
      </c>
      <c r="B16648" s="572">
        <v>6.01647</v>
      </c>
      <c r="C16648" s="572">
        <v>79.207899999999995</v>
      </c>
    </row>
    <row r="16649" spans="1:3">
      <c r="A16649" s="571" t="s">
        <v>3745</v>
      </c>
      <c r="B16649" s="572">
        <v>6.1624600000000003</v>
      </c>
      <c r="C16649" s="572">
        <v>79.207899999999995</v>
      </c>
    </row>
    <row r="16650" spans="1:3">
      <c r="A16650" s="571" t="s">
        <v>3745</v>
      </c>
      <c r="B16650" s="572">
        <v>6.30077</v>
      </c>
      <c r="C16650" s="572">
        <v>79.207899999999995</v>
      </c>
    </row>
    <row r="16651" spans="1:3">
      <c r="A16651" s="571" t="s">
        <v>3745</v>
      </c>
      <c r="B16651" s="572">
        <v>6.4467600000000003</v>
      </c>
      <c r="C16651" s="572">
        <v>78.217799999999997</v>
      </c>
    </row>
    <row r="16652" spans="1:3">
      <c r="A16652" s="571" t="s">
        <v>3745</v>
      </c>
      <c r="B16652" s="572">
        <v>6.5927600000000002</v>
      </c>
      <c r="C16652" s="572">
        <v>79.207899999999995</v>
      </c>
    </row>
    <row r="16653" spans="1:3">
      <c r="A16653" s="571" t="s">
        <v>3745</v>
      </c>
      <c r="B16653" s="572">
        <v>6.7387499999999996</v>
      </c>
      <c r="C16653" s="572">
        <v>79.207899999999995</v>
      </c>
    </row>
    <row r="16654" spans="1:3">
      <c r="A16654" s="571" t="s">
        <v>3745</v>
      </c>
      <c r="B16654" s="572">
        <v>6.86937</v>
      </c>
      <c r="C16654" s="572">
        <v>80.197999999999993</v>
      </c>
    </row>
    <row r="16655" spans="1:3">
      <c r="A16655" s="571" t="s">
        <v>3745</v>
      </c>
      <c r="B16655" s="572">
        <v>7</v>
      </c>
      <c r="C16655" s="572">
        <v>79.207899999999995</v>
      </c>
    </row>
    <row r="16656" spans="1:3">
      <c r="A16656" s="571" t="s">
        <v>3746</v>
      </c>
      <c r="B16656" s="572">
        <v>2.3051599999999998E-2</v>
      </c>
      <c r="C16656" s="572">
        <v>0</v>
      </c>
    </row>
    <row r="16657" spans="1:3">
      <c r="A16657" s="571" t="s">
        <v>3746</v>
      </c>
      <c r="B16657" s="572">
        <v>7.6838600000000007E-2</v>
      </c>
      <c r="C16657" s="572">
        <v>0.99009899999999995</v>
      </c>
    </row>
    <row r="16658" spans="1:3">
      <c r="A16658" s="571" t="s">
        <v>3746</v>
      </c>
      <c r="B16658" s="572">
        <v>0.115258</v>
      </c>
      <c r="C16658" s="572">
        <v>1.9802</v>
      </c>
    </row>
    <row r="16659" spans="1:3">
      <c r="A16659" s="571" t="s">
        <v>3746</v>
      </c>
      <c r="B16659" s="572">
        <v>0.15367700000000001</v>
      </c>
      <c r="C16659" s="572">
        <v>7.9207900000000002</v>
      </c>
    </row>
    <row r="16660" spans="1:3">
      <c r="A16660" s="571" t="s">
        <v>3746</v>
      </c>
      <c r="B16660" s="572">
        <v>0.176729</v>
      </c>
      <c r="C16660" s="572">
        <v>17.8218</v>
      </c>
    </row>
    <row r="16661" spans="1:3">
      <c r="A16661" s="571" t="s">
        <v>3746</v>
      </c>
      <c r="B16661" s="572">
        <v>0.20746400000000001</v>
      </c>
      <c r="C16661" s="572">
        <v>26.732700000000001</v>
      </c>
    </row>
    <row r="16662" spans="1:3">
      <c r="A16662" s="571" t="s">
        <v>3746</v>
      </c>
      <c r="B16662" s="572">
        <v>0.222832</v>
      </c>
      <c r="C16662" s="572">
        <v>35.643599999999999</v>
      </c>
    </row>
    <row r="16663" spans="1:3">
      <c r="A16663" s="571" t="s">
        <v>3746</v>
      </c>
      <c r="B16663" s="572">
        <v>0.25356800000000002</v>
      </c>
      <c r="C16663" s="572">
        <v>46.534700000000001</v>
      </c>
    </row>
    <row r="16664" spans="1:3">
      <c r="A16664" s="571" t="s">
        <v>3746</v>
      </c>
      <c r="B16664" s="572">
        <v>0.276619</v>
      </c>
      <c r="C16664" s="572">
        <v>55.445500000000003</v>
      </c>
    </row>
    <row r="16665" spans="1:3">
      <c r="A16665" s="571" t="s">
        <v>3746</v>
      </c>
      <c r="B16665" s="572">
        <v>0.291987</v>
      </c>
      <c r="C16665" s="572">
        <v>63.366300000000003</v>
      </c>
    </row>
    <row r="16666" spans="1:3">
      <c r="A16666" s="571" t="s">
        <v>3746</v>
      </c>
      <c r="B16666" s="572">
        <v>0.31503799999999998</v>
      </c>
      <c r="C16666" s="572">
        <v>74.257400000000004</v>
      </c>
    </row>
    <row r="16667" spans="1:3">
      <c r="A16667" s="571" t="s">
        <v>3746</v>
      </c>
      <c r="B16667" s="572">
        <v>0.33809</v>
      </c>
      <c r="C16667" s="572">
        <v>83.168300000000002</v>
      </c>
    </row>
    <row r="16668" spans="1:3">
      <c r="A16668" s="571" t="s">
        <v>3746</v>
      </c>
      <c r="B16668" s="572">
        <v>0.37650899999999998</v>
      </c>
      <c r="C16668" s="572">
        <v>89.108900000000006</v>
      </c>
    </row>
    <row r="16669" spans="1:3">
      <c r="A16669" s="571" t="s">
        <v>3746</v>
      </c>
      <c r="B16669" s="572">
        <v>0.41492899999999999</v>
      </c>
      <c r="C16669" s="572">
        <v>92.0792</v>
      </c>
    </row>
    <row r="16670" spans="1:3">
      <c r="A16670" s="571" t="s">
        <v>3746</v>
      </c>
      <c r="B16670" s="572">
        <v>0.47639999999999999</v>
      </c>
      <c r="C16670" s="572">
        <v>87.128699999999995</v>
      </c>
    </row>
    <row r="16671" spans="1:3">
      <c r="A16671" s="571" t="s">
        <v>3746</v>
      </c>
      <c r="B16671" s="572">
        <v>0.52250300000000005</v>
      </c>
      <c r="C16671" s="572">
        <v>81.188100000000006</v>
      </c>
    </row>
    <row r="16672" spans="1:3">
      <c r="A16672" s="571" t="s">
        <v>3746</v>
      </c>
      <c r="B16672" s="572">
        <v>0.57628999999999997</v>
      </c>
      <c r="C16672" s="572">
        <v>75.247500000000002</v>
      </c>
    </row>
    <row r="16673" spans="1:3">
      <c r="A16673" s="571" t="s">
        <v>3746</v>
      </c>
      <c r="B16673" s="572">
        <v>0.64544500000000005</v>
      </c>
      <c r="C16673" s="572">
        <v>71.287099999999995</v>
      </c>
    </row>
    <row r="16674" spans="1:3">
      <c r="A16674" s="571" t="s">
        <v>3746</v>
      </c>
      <c r="B16674" s="572">
        <v>0.71459899999999998</v>
      </c>
      <c r="C16674" s="572">
        <v>68.316800000000001</v>
      </c>
    </row>
    <row r="16675" spans="1:3">
      <c r="A16675" s="571" t="s">
        <v>3746</v>
      </c>
      <c r="B16675" s="572">
        <v>0.78375399999999995</v>
      </c>
      <c r="C16675" s="572">
        <v>64.356399999999994</v>
      </c>
    </row>
    <row r="16676" spans="1:3">
      <c r="A16676" s="571" t="s">
        <v>3746</v>
      </c>
      <c r="B16676" s="572">
        <v>0.83754099999999998</v>
      </c>
      <c r="C16676" s="572">
        <v>59.405900000000003</v>
      </c>
    </row>
    <row r="16677" spans="1:3">
      <c r="A16677" s="571" t="s">
        <v>3746</v>
      </c>
      <c r="B16677" s="572">
        <v>0.91437999999999997</v>
      </c>
      <c r="C16677" s="572">
        <v>57.425699999999999</v>
      </c>
    </row>
    <row r="16678" spans="1:3">
      <c r="A16678" s="571" t="s">
        <v>3746</v>
      </c>
      <c r="B16678" s="572">
        <v>0.968167</v>
      </c>
      <c r="C16678" s="572">
        <v>54.455399999999997</v>
      </c>
    </row>
    <row r="16679" spans="1:3">
      <c r="A16679" s="571" t="s">
        <v>3746</v>
      </c>
      <c r="B16679" s="572">
        <v>1.03732</v>
      </c>
      <c r="C16679" s="572">
        <v>51.485100000000003</v>
      </c>
    </row>
    <row r="16680" spans="1:3">
      <c r="A16680" s="571" t="s">
        <v>3746</v>
      </c>
      <c r="B16680" s="572">
        <v>1.1218399999999999</v>
      </c>
      <c r="C16680" s="572">
        <v>48.514899999999997</v>
      </c>
    </row>
    <row r="16681" spans="1:3">
      <c r="A16681" s="571" t="s">
        <v>3746</v>
      </c>
      <c r="B16681" s="572">
        <v>1.19868</v>
      </c>
      <c r="C16681" s="572">
        <v>48.514899999999997</v>
      </c>
    </row>
    <row r="16682" spans="1:3">
      <c r="A16682" s="571" t="s">
        <v>3746</v>
      </c>
      <c r="B16682" s="572">
        <v>1.27552</v>
      </c>
      <c r="C16682" s="572">
        <v>46.534700000000001</v>
      </c>
    </row>
    <row r="16683" spans="1:3">
      <c r="A16683" s="571" t="s">
        <v>3746</v>
      </c>
      <c r="B16683" s="572">
        <v>1.35236</v>
      </c>
      <c r="C16683" s="572">
        <v>46.534700000000001</v>
      </c>
    </row>
    <row r="16684" spans="1:3">
      <c r="A16684" s="571" t="s">
        <v>3746</v>
      </c>
      <c r="B16684" s="572">
        <v>1.4368799999999999</v>
      </c>
      <c r="C16684" s="572">
        <v>47.524799999999999</v>
      </c>
    </row>
    <row r="16685" spans="1:3">
      <c r="A16685" s="571" t="s">
        <v>3746</v>
      </c>
      <c r="B16685" s="572">
        <v>1.51372</v>
      </c>
      <c r="C16685" s="572">
        <v>47.524799999999999</v>
      </c>
    </row>
    <row r="16686" spans="1:3">
      <c r="A16686" s="571" t="s">
        <v>3746</v>
      </c>
      <c r="B16686" s="572">
        <v>1.55982</v>
      </c>
      <c r="C16686" s="572">
        <v>42.574300000000001</v>
      </c>
    </row>
    <row r="16687" spans="1:3">
      <c r="A16687" s="571" t="s">
        <v>3746</v>
      </c>
      <c r="B16687" s="572">
        <v>1.5982400000000001</v>
      </c>
      <c r="C16687" s="572">
        <v>46.534700000000001</v>
      </c>
    </row>
    <row r="16688" spans="1:3">
      <c r="A16688" s="571" t="s">
        <v>3746</v>
      </c>
      <c r="B16688" s="572">
        <v>1.6674</v>
      </c>
      <c r="C16688" s="572">
        <v>49.505000000000003</v>
      </c>
    </row>
    <row r="16689" spans="1:3">
      <c r="A16689" s="571" t="s">
        <v>3746</v>
      </c>
      <c r="B16689" s="572">
        <v>1.74424</v>
      </c>
      <c r="C16689" s="572">
        <v>49.505000000000003</v>
      </c>
    </row>
    <row r="16690" spans="1:3">
      <c r="A16690" s="571" t="s">
        <v>3746</v>
      </c>
      <c r="B16690" s="572">
        <v>1.79802</v>
      </c>
      <c r="C16690" s="572">
        <v>50.494999999999997</v>
      </c>
    </row>
    <row r="16691" spans="1:3">
      <c r="A16691" s="571" t="s">
        <v>3746</v>
      </c>
      <c r="B16691" s="572">
        <v>1.87486</v>
      </c>
      <c r="C16691" s="572">
        <v>51.485100000000003</v>
      </c>
    </row>
    <row r="16692" spans="1:3">
      <c r="A16692" s="571" t="s">
        <v>3746</v>
      </c>
      <c r="B16692" s="572">
        <v>1.95939</v>
      </c>
      <c r="C16692" s="572">
        <v>52.475200000000001</v>
      </c>
    </row>
    <row r="16693" spans="1:3">
      <c r="A16693" s="571" t="s">
        <v>3746</v>
      </c>
      <c r="B16693" s="572">
        <v>2.0439099999999999</v>
      </c>
      <c r="C16693" s="572">
        <v>53.465299999999999</v>
      </c>
    </row>
    <row r="16694" spans="1:3">
      <c r="A16694" s="571" t="s">
        <v>3746</v>
      </c>
      <c r="B16694" s="572">
        <v>2.1207500000000001</v>
      </c>
      <c r="C16694" s="572">
        <v>55.445500000000003</v>
      </c>
    </row>
    <row r="16695" spans="1:3">
      <c r="A16695" s="571" t="s">
        <v>3746</v>
      </c>
      <c r="B16695" s="572">
        <v>2.2206399999999999</v>
      </c>
      <c r="C16695" s="572">
        <v>56.435600000000001</v>
      </c>
    </row>
    <row r="16696" spans="1:3">
      <c r="A16696" s="571" t="s">
        <v>3746</v>
      </c>
      <c r="B16696" s="572">
        <v>2.3051599999999999</v>
      </c>
      <c r="C16696" s="572">
        <v>58.415799999999997</v>
      </c>
    </row>
    <row r="16697" spans="1:3">
      <c r="A16697" s="571" t="s">
        <v>3746</v>
      </c>
      <c r="B16697" s="572">
        <v>2.4050500000000001</v>
      </c>
      <c r="C16697" s="572">
        <v>59.405900000000003</v>
      </c>
    </row>
    <row r="16698" spans="1:3">
      <c r="A16698" s="571" t="s">
        <v>3746</v>
      </c>
      <c r="B16698" s="572">
        <v>2.4895700000000001</v>
      </c>
      <c r="C16698" s="572">
        <v>60.396000000000001</v>
      </c>
    </row>
    <row r="16699" spans="1:3">
      <c r="A16699" s="571" t="s">
        <v>3746</v>
      </c>
      <c r="B16699" s="572">
        <v>2.5587300000000002</v>
      </c>
      <c r="C16699" s="572">
        <v>59.405900000000003</v>
      </c>
    </row>
    <row r="16700" spans="1:3">
      <c r="A16700" s="571" t="s">
        <v>3746</v>
      </c>
      <c r="B16700" s="572">
        <v>2.6432500000000001</v>
      </c>
      <c r="C16700" s="572">
        <v>61.386099999999999</v>
      </c>
    </row>
    <row r="16701" spans="1:3">
      <c r="A16701" s="571" t="s">
        <v>3746</v>
      </c>
      <c r="B16701" s="572">
        <v>2.7200899999999999</v>
      </c>
      <c r="C16701" s="572">
        <v>62.376199999999997</v>
      </c>
    </row>
    <row r="16702" spans="1:3">
      <c r="A16702" s="571" t="s">
        <v>3746</v>
      </c>
      <c r="B16702" s="572">
        <v>2.75082</v>
      </c>
      <c r="C16702" s="572">
        <v>51.485100000000003</v>
      </c>
    </row>
    <row r="16703" spans="1:3">
      <c r="A16703" s="571" t="s">
        <v>3746</v>
      </c>
      <c r="B16703" s="572">
        <v>2.7661899999999999</v>
      </c>
      <c r="C16703" s="572">
        <v>63.366300000000003</v>
      </c>
    </row>
    <row r="16704" spans="1:3">
      <c r="A16704" s="571" t="s">
        <v>3746</v>
      </c>
      <c r="B16704" s="572">
        <v>2.8199800000000002</v>
      </c>
      <c r="C16704" s="572">
        <v>64.356399999999994</v>
      </c>
    </row>
    <row r="16705" spans="1:3">
      <c r="A16705" s="571" t="s">
        <v>3746</v>
      </c>
      <c r="B16705" s="572">
        <v>2.8430300000000002</v>
      </c>
      <c r="C16705" s="572">
        <v>61.386099999999999</v>
      </c>
    </row>
    <row r="16706" spans="1:3">
      <c r="A16706" s="571" t="s">
        <v>3746</v>
      </c>
      <c r="B16706" s="572">
        <v>2.89682</v>
      </c>
      <c r="C16706" s="572">
        <v>65.346500000000006</v>
      </c>
    </row>
    <row r="16707" spans="1:3">
      <c r="A16707" s="571" t="s">
        <v>3746</v>
      </c>
      <c r="B16707" s="572">
        <v>2.9582899999999999</v>
      </c>
      <c r="C16707" s="572">
        <v>66.336600000000004</v>
      </c>
    </row>
    <row r="16708" spans="1:3">
      <c r="A16708" s="571" t="s">
        <v>3746</v>
      </c>
      <c r="B16708" s="572">
        <v>3.0428099999999998</v>
      </c>
      <c r="C16708" s="572">
        <v>67.326700000000002</v>
      </c>
    </row>
    <row r="16709" spans="1:3">
      <c r="A16709" s="571" t="s">
        <v>3746</v>
      </c>
      <c r="B16709" s="572">
        <v>3.1273300000000002</v>
      </c>
      <c r="C16709" s="572">
        <v>68.316800000000001</v>
      </c>
    </row>
    <row r="16710" spans="1:3">
      <c r="A16710" s="571" t="s">
        <v>3746</v>
      </c>
      <c r="B16710" s="572">
        <v>3.2118600000000002</v>
      </c>
      <c r="C16710" s="572">
        <v>68.316800000000001</v>
      </c>
    </row>
    <row r="16711" spans="1:3">
      <c r="A16711" s="571" t="s">
        <v>3746</v>
      </c>
      <c r="B16711" s="572">
        <v>3.3040600000000002</v>
      </c>
      <c r="C16711" s="572">
        <v>69.306899999999999</v>
      </c>
    </row>
    <row r="16712" spans="1:3">
      <c r="A16712" s="571" t="s">
        <v>3746</v>
      </c>
      <c r="B16712" s="572">
        <v>3.40395</v>
      </c>
      <c r="C16712" s="572">
        <v>70.296999999999997</v>
      </c>
    </row>
    <row r="16713" spans="1:3">
      <c r="A16713" s="571" t="s">
        <v>3746</v>
      </c>
      <c r="B16713" s="572">
        <v>3.4654199999999999</v>
      </c>
      <c r="C16713" s="572">
        <v>70.296999999999997</v>
      </c>
    </row>
    <row r="16714" spans="1:3">
      <c r="A16714" s="571" t="s">
        <v>3746</v>
      </c>
      <c r="B16714" s="572">
        <v>3.5422600000000002</v>
      </c>
      <c r="C16714" s="572">
        <v>72.277199999999993</v>
      </c>
    </row>
    <row r="16715" spans="1:3">
      <c r="A16715" s="571" t="s">
        <v>3746</v>
      </c>
      <c r="B16715" s="572">
        <v>3.6037300000000001</v>
      </c>
      <c r="C16715" s="572">
        <v>73.267300000000006</v>
      </c>
    </row>
    <row r="16716" spans="1:3">
      <c r="A16716" s="571" t="s">
        <v>3746</v>
      </c>
      <c r="B16716" s="572">
        <v>3.7266699999999999</v>
      </c>
      <c r="C16716" s="572">
        <v>74.257400000000004</v>
      </c>
    </row>
    <row r="16717" spans="1:3">
      <c r="A16717" s="571" t="s">
        <v>3746</v>
      </c>
      <c r="B16717" s="572">
        <v>3.8649800000000001</v>
      </c>
      <c r="C16717" s="572">
        <v>74.257400000000004</v>
      </c>
    </row>
    <row r="16718" spans="1:3">
      <c r="A16718" s="571" t="s">
        <v>3746</v>
      </c>
      <c r="B16718" s="572">
        <v>3.9725600000000001</v>
      </c>
      <c r="C16718" s="572">
        <v>74.257400000000004</v>
      </c>
    </row>
    <row r="16719" spans="1:3">
      <c r="A16719" s="571" t="s">
        <v>3746</v>
      </c>
      <c r="B16719" s="572">
        <v>4.0801299999999996</v>
      </c>
      <c r="C16719" s="572">
        <v>74.257400000000004</v>
      </c>
    </row>
    <row r="16720" spans="1:3">
      <c r="A16720" s="571" t="s">
        <v>3746</v>
      </c>
      <c r="B16720" s="572">
        <v>4.18771</v>
      </c>
      <c r="C16720" s="572">
        <v>74.257400000000004</v>
      </c>
    </row>
    <row r="16721" spans="1:3">
      <c r="A16721" s="571" t="s">
        <v>3746</v>
      </c>
      <c r="B16721" s="572">
        <v>4.3260199999999998</v>
      </c>
      <c r="C16721" s="572">
        <v>74.257400000000004</v>
      </c>
    </row>
    <row r="16722" spans="1:3">
      <c r="A16722" s="571" t="s">
        <v>3746</v>
      </c>
      <c r="B16722" s="572">
        <v>4.4335899999999997</v>
      </c>
      <c r="C16722" s="572">
        <v>75.247500000000002</v>
      </c>
    </row>
    <row r="16723" spans="1:3">
      <c r="A16723" s="571" t="s">
        <v>3746</v>
      </c>
      <c r="B16723" s="572">
        <v>4.5488499999999998</v>
      </c>
      <c r="C16723" s="572">
        <v>74.257400000000004</v>
      </c>
    </row>
    <row r="16724" spans="1:3">
      <c r="A16724" s="571" t="s">
        <v>3746</v>
      </c>
      <c r="B16724" s="572">
        <v>4.66411</v>
      </c>
      <c r="C16724" s="572">
        <v>74.257400000000004</v>
      </c>
    </row>
    <row r="16725" spans="1:3">
      <c r="A16725" s="571" t="s">
        <v>3746</v>
      </c>
      <c r="B16725" s="572">
        <v>4.8024100000000001</v>
      </c>
      <c r="C16725" s="572">
        <v>75.247500000000002</v>
      </c>
    </row>
    <row r="16726" spans="1:3">
      <c r="A16726" s="571" t="s">
        <v>3746</v>
      </c>
      <c r="B16726" s="572">
        <v>4.9176700000000002</v>
      </c>
      <c r="C16726" s="572">
        <v>74.257400000000004</v>
      </c>
    </row>
    <row r="16727" spans="1:3">
      <c r="A16727" s="571" t="s">
        <v>3746</v>
      </c>
      <c r="B16727" s="572">
        <v>5.0483000000000002</v>
      </c>
      <c r="C16727" s="572">
        <v>75.247500000000002</v>
      </c>
    </row>
    <row r="16728" spans="1:3">
      <c r="A16728" s="571" t="s">
        <v>3746</v>
      </c>
      <c r="B16728" s="572">
        <v>5.1712400000000001</v>
      </c>
      <c r="C16728" s="572">
        <v>75.247500000000002</v>
      </c>
    </row>
    <row r="16729" spans="1:3">
      <c r="A16729" s="571" t="s">
        <v>3746</v>
      </c>
      <c r="B16729" s="572">
        <v>5.27881</v>
      </c>
      <c r="C16729" s="572">
        <v>75.247500000000002</v>
      </c>
    </row>
    <row r="16730" spans="1:3">
      <c r="A16730" s="571" t="s">
        <v>3746</v>
      </c>
      <c r="B16730" s="572">
        <v>5.3940700000000001</v>
      </c>
      <c r="C16730" s="572">
        <v>74.257400000000004</v>
      </c>
    </row>
    <row r="16731" spans="1:3">
      <c r="A16731" s="571" t="s">
        <v>3746</v>
      </c>
      <c r="B16731" s="572">
        <v>5.4862799999999998</v>
      </c>
      <c r="C16731" s="572">
        <v>75.247500000000002</v>
      </c>
    </row>
    <row r="16732" spans="1:3">
      <c r="A16732" s="571" t="s">
        <v>3746</v>
      </c>
      <c r="B16732" s="572">
        <v>5.5938499999999998</v>
      </c>
      <c r="C16732" s="572">
        <v>76.2376</v>
      </c>
    </row>
    <row r="16733" spans="1:3">
      <c r="A16733" s="571" t="s">
        <v>3746</v>
      </c>
      <c r="B16733" s="572">
        <v>5.7014300000000002</v>
      </c>
      <c r="C16733" s="572">
        <v>75.247500000000002</v>
      </c>
    </row>
    <row r="16734" spans="1:3">
      <c r="A16734" s="571" t="s">
        <v>3746</v>
      </c>
      <c r="B16734" s="572">
        <v>5.8013199999999996</v>
      </c>
      <c r="C16734" s="572">
        <v>75.247500000000002</v>
      </c>
    </row>
    <row r="16735" spans="1:3">
      <c r="A16735" s="571" t="s">
        <v>3746</v>
      </c>
      <c r="B16735" s="572">
        <v>5.9165799999999997</v>
      </c>
      <c r="C16735" s="572">
        <v>74.257400000000004</v>
      </c>
    </row>
    <row r="16736" spans="1:3">
      <c r="A16736" s="571" t="s">
        <v>3746</v>
      </c>
      <c r="B16736" s="572">
        <v>6.0318300000000002</v>
      </c>
      <c r="C16736" s="572">
        <v>75.247500000000002</v>
      </c>
    </row>
    <row r="16737" spans="1:3">
      <c r="A16737" s="571" t="s">
        <v>3746</v>
      </c>
      <c r="B16737" s="572">
        <v>6.1547700000000001</v>
      </c>
      <c r="C16737" s="572">
        <v>74.257400000000004</v>
      </c>
    </row>
    <row r="16738" spans="1:3">
      <c r="A16738" s="571" t="s">
        <v>3746</v>
      </c>
      <c r="B16738" s="572">
        <v>6.2700300000000002</v>
      </c>
      <c r="C16738" s="572">
        <v>74.257400000000004</v>
      </c>
    </row>
    <row r="16739" spans="1:3">
      <c r="A16739" s="571" t="s">
        <v>3746</v>
      </c>
      <c r="B16739" s="572">
        <v>6.3852900000000004</v>
      </c>
      <c r="C16739" s="572">
        <v>74.257400000000004</v>
      </c>
    </row>
    <row r="16740" spans="1:3">
      <c r="A16740" s="571" t="s">
        <v>3746</v>
      </c>
      <c r="B16740" s="572">
        <v>6.4851799999999997</v>
      </c>
      <c r="C16740" s="572">
        <v>74.257400000000004</v>
      </c>
    </row>
    <row r="16741" spans="1:3">
      <c r="A16741" s="571" t="s">
        <v>3746</v>
      </c>
      <c r="B16741" s="572">
        <v>6.6004399999999999</v>
      </c>
      <c r="C16741" s="572">
        <v>73.267300000000006</v>
      </c>
    </row>
    <row r="16742" spans="1:3">
      <c r="A16742" s="571" t="s">
        <v>3746</v>
      </c>
      <c r="B16742" s="572">
        <v>6.6926500000000004</v>
      </c>
      <c r="C16742" s="572">
        <v>74.257400000000004</v>
      </c>
    </row>
    <row r="16743" spans="1:3">
      <c r="A16743" s="571" t="s">
        <v>3746</v>
      </c>
      <c r="B16743" s="572">
        <v>6.7771699999999999</v>
      </c>
      <c r="C16743" s="572">
        <v>74.257400000000004</v>
      </c>
    </row>
    <row r="16744" spans="1:3">
      <c r="A16744" s="571" t="s">
        <v>3746</v>
      </c>
      <c r="B16744" s="572">
        <v>6.8924300000000001</v>
      </c>
      <c r="C16744" s="572">
        <v>74.257400000000004</v>
      </c>
    </row>
    <row r="16745" spans="1:3">
      <c r="A16745" s="571" t="s">
        <v>3746</v>
      </c>
      <c r="B16745" s="572">
        <v>7.0076799999999997</v>
      </c>
      <c r="C16745" s="572">
        <v>73.267300000000006</v>
      </c>
    </row>
    <row r="16746" spans="1:3">
      <c r="A16746" s="571" t="s">
        <v>2356</v>
      </c>
      <c r="B16746" s="572">
        <v>1.03518</v>
      </c>
      <c r="C16746" s="572">
        <v>1.01405E-2</v>
      </c>
    </row>
    <row r="16747" spans="1:3">
      <c r="A16747" s="571" t="s">
        <v>2356</v>
      </c>
      <c r="B16747" s="572">
        <v>2.0312800000000002</v>
      </c>
      <c r="C16747" s="572">
        <v>7.3270400000000002</v>
      </c>
    </row>
    <row r="16748" spans="1:3">
      <c r="A16748" s="571" t="s">
        <v>2356</v>
      </c>
      <c r="B16748" s="572">
        <v>4.01417</v>
      </c>
      <c r="C16748" s="572">
        <v>16.613700000000001</v>
      </c>
    </row>
    <row r="16749" spans="1:3">
      <c r="A16749" s="571" t="s">
        <v>2356</v>
      </c>
      <c r="B16749" s="572">
        <v>6.9804899999999996</v>
      </c>
      <c r="C16749" s="572">
        <v>25.890799999999999</v>
      </c>
    </row>
    <row r="16750" spans="1:3">
      <c r="A16750" s="571" t="s">
        <v>2356</v>
      </c>
      <c r="B16750" s="572">
        <v>15.027200000000001</v>
      </c>
      <c r="C16750" s="572">
        <v>39.7712</v>
      </c>
    </row>
    <row r="16751" spans="1:3">
      <c r="A16751" s="571" t="s">
        <v>2356</v>
      </c>
      <c r="B16751" s="572">
        <v>25.0824</v>
      </c>
      <c r="C16751" s="572">
        <v>47.754300000000001</v>
      </c>
    </row>
    <row r="16752" spans="1:3">
      <c r="A16752" s="571" t="s">
        <v>2358</v>
      </c>
      <c r="B16752" s="572">
        <v>1.1627916666666667E-2</v>
      </c>
      <c r="C16752" s="572">
        <v>1.09012</v>
      </c>
    </row>
    <row r="16753" spans="1:3">
      <c r="A16753" s="571" t="s">
        <v>2358</v>
      </c>
      <c r="B16753" s="572">
        <v>3.4883708333333333E-2</v>
      </c>
      <c r="C16753" s="572">
        <v>11.946999999999999</v>
      </c>
    </row>
    <row r="16754" spans="1:3">
      <c r="A16754" s="571" t="s">
        <v>2358</v>
      </c>
      <c r="B16754" s="572">
        <v>0.10465124999999999</v>
      </c>
      <c r="C16754" s="572">
        <v>18.4498</v>
      </c>
    </row>
    <row r="16755" spans="1:3">
      <c r="A16755" s="571" t="s">
        <v>2358</v>
      </c>
      <c r="B16755" s="572">
        <v>0.19767458333333332</v>
      </c>
      <c r="C16755" s="572">
        <v>27.120200000000001</v>
      </c>
    </row>
    <row r="16756" spans="1:3">
      <c r="A16756" s="571" t="s">
        <v>2358</v>
      </c>
      <c r="B16756" s="572">
        <v>0.25581375000000001</v>
      </c>
      <c r="C16756" s="572">
        <v>17.3218</v>
      </c>
    </row>
    <row r="16757" spans="1:3">
      <c r="A16757" s="571" t="s">
        <v>2358</v>
      </c>
      <c r="B16757" s="572">
        <v>0.27906958333333332</v>
      </c>
      <c r="C16757" s="572">
        <v>4.2719899999999997</v>
      </c>
    </row>
    <row r="16758" spans="1:3">
      <c r="A16758" s="571" t="s">
        <v>2358</v>
      </c>
      <c r="B16758" s="572">
        <v>0.30232541666666668</v>
      </c>
      <c r="C16758" s="572">
        <v>9.8647600000000004</v>
      </c>
    </row>
    <row r="16759" spans="1:3">
      <c r="A16759" s="571" t="s">
        <v>2358</v>
      </c>
      <c r="B16759" s="572">
        <v>0.36046500000000004</v>
      </c>
      <c r="C16759" s="572">
        <v>25.097999999999999</v>
      </c>
    </row>
    <row r="16760" spans="1:3">
      <c r="A16760" s="571" t="s">
        <v>2358</v>
      </c>
      <c r="B16760" s="572">
        <v>0.39534874999999997</v>
      </c>
      <c r="C16760" s="572">
        <v>40.324800000000003</v>
      </c>
    </row>
    <row r="16761" spans="1:3">
      <c r="A16761" s="571" t="s">
        <v>2358</v>
      </c>
      <c r="B16761" s="572">
        <v>0.4302333333333333</v>
      </c>
      <c r="C16761" s="572">
        <v>53.377800000000001</v>
      </c>
    </row>
    <row r="16762" spans="1:3">
      <c r="A16762" s="571" t="s">
        <v>2358</v>
      </c>
      <c r="B16762" s="572">
        <v>0.47674583333333337</v>
      </c>
      <c r="C16762" s="572">
        <v>68.607799999999997</v>
      </c>
    </row>
    <row r="16763" spans="1:3">
      <c r="A16763" s="571" t="s">
        <v>2358</v>
      </c>
      <c r="B16763" s="572">
        <v>0.56976666666666664</v>
      </c>
      <c r="C16763" s="572">
        <v>82.763499999999993</v>
      </c>
    </row>
    <row r="16764" spans="1:3">
      <c r="A16764" s="571" t="s">
        <v>2358</v>
      </c>
      <c r="B16764" s="572">
        <v>0.6395333333333334</v>
      </c>
      <c r="C16764" s="572">
        <v>99.086799999999997</v>
      </c>
    </row>
    <row r="16765" spans="1:3">
      <c r="A16765" s="571" t="s">
        <v>2358</v>
      </c>
      <c r="B16765" s="572">
        <v>0.69767499999999993</v>
      </c>
      <c r="C16765" s="572">
        <v>111.059</v>
      </c>
    </row>
    <row r="16766" spans="1:3">
      <c r="A16766" s="571" t="s">
        <v>2358</v>
      </c>
      <c r="B16766" s="572">
        <v>0.81395416666666665</v>
      </c>
      <c r="C16766" s="572">
        <v>121.96</v>
      </c>
    </row>
    <row r="16767" spans="1:3">
      <c r="A16767" s="571" t="s">
        <v>2358</v>
      </c>
      <c r="B16767" s="572">
        <v>0.91860416666666678</v>
      </c>
      <c r="C16767" s="572">
        <v>136.119</v>
      </c>
    </row>
    <row r="16768" spans="1:3">
      <c r="A16768" s="571" t="s">
        <v>2358</v>
      </c>
      <c r="B16768" s="572">
        <v>1.0232541666666666</v>
      </c>
      <c r="C16768" s="572">
        <v>148.10400000000001</v>
      </c>
    </row>
    <row r="16769" spans="1:3">
      <c r="A16769" s="571" t="s">
        <v>2358</v>
      </c>
      <c r="B16769" s="572">
        <v>1.1627916666666667</v>
      </c>
      <c r="C16769" s="572">
        <v>159.012</v>
      </c>
    </row>
    <row r="16770" spans="1:3">
      <c r="A16770" s="571" t="s">
        <v>2358</v>
      </c>
      <c r="B16770" s="572">
        <v>1.2674416666666668</v>
      </c>
      <c r="C16770" s="572">
        <v>168.82300000000001</v>
      </c>
    </row>
    <row r="16771" spans="1:3">
      <c r="A16771" s="571" t="s">
        <v>2358</v>
      </c>
      <c r="B16771" s="572">
        <v>1.3837208333333333</v>
      </c>
      <c r="C16771" s="572">
        <v>179.72399999999999</v>
      </c>
    </row>
    <row r="16772" spans="1:3">
      <c r="A16772" s="571" t="s">
        <v>2358</v>
      </c>
      <c r="B16772" s="572">
        <v>1.5581375</v>
      </c>
      <c r="C16772" s="572">
        <v>188.46700000000001</v>
      </c>
    </row>
    <row r="16773" spans="1:3">
      <c r="A16773" s="571" t="s">
        <v>2358</v>
      </c>
      <c r="B16773" s="572">
        <v>1.7093041666666666</v>
      </c>
      <c r="C16773" s="572">
        <v>197.20400000000001</v>
      </c>
    </row>
    <row r="16774" spans="1:3">
      <c r="A16774" s="571" t="s">
        <v>2358</v>
      </c>
      <c r="B16774" s="572">
        <v>1.8604666666666667</v>
      </c>
      <c r="C16774" s="572">
        <v>203.76599999999999</v>
      </c>
    </row>
    <row r="16775" spans="1:3">
      <c r="A16775" s="571" t="s">
        <v>2358</v>
      </c>
      <c r="B16775" s="572">
        <v>1.9883708333333334</v>
      </c>
      <c r="C16775" s="572">
        <v>212.49700000000001</v>
      </c>
    </row>
    <row r="16776" spans="1:3">
      <c r="A16776" s="571" t="s">
        <v>2358</v>
      </c>
      <c r="B16776" s="572">
        <v>2.1162791666666667</v>
      </c>
      <c r="C16776" s="572">
        <v>220.14</v>
      </c>
    </row>
    <row r="16777" spans="1:3">
      <c r="A16777" s="571" t="s">
        <v>2358</v>
      </c>
      <c r="B16777" s="572">
        <v>2.2558124999999998</v>
      </c>
      <c r="C16777" s="572">
        <v>227.78700000000001</v>
      </c>
    </row>
    <row r="16778" spans="1:3">
      <c r="A16778" s="571" t="s">
        <v>2358</v>
      </c>
      <c r="B16778" s="572">
        <v>2.4186041666666669</v>
      </c>
      <c r="C16778" s="572">
        <v>233.26599999999999</v>
      </c>
    </row>
    <row r="16779" spans="1:3">
      <c r="A16779" s="571" t="s">
        <v>2358</v>
      </c>
      <c r="B16779" s="572">
        <v>2.5930249999999999</v>
      </c>
      <c r="C16779" s="572">
        <v>240.922</v>
      </c>
    </row>
    <row r="16780" spans="1:3">
      <c r="A16780" s="571" t="s">
        <v>2358</v>
      </c>
      <c r="B16780" s="572">
        <v>2.7209291666666666</v>
      </c>
      <c r="C16780" s="572">
        <v>246.392</v>
      </c>
    </row>
    <row r="16781" spans="1:3">
      <c r="A16781" s="571" t="s">
        <v>2358</v>
      </c>
      <c r="B16781" s="572">
        <v>2.9069749999999996</v>
      </c>
      <c r="C16781" s="572">
        <v>252.964</v>
      </c>
    </row>
    <row r="16782" spans="1:3">
      <c r="A16782" s="571" t="s">
        <v>2358</v>
      </c>
      <c r="B16782" s="572">
        <v>3.0581375000000004</v>
      </c>
      <c r="C16782" s="572">
        <v>259.52699999999999</v>
      </c>
    </row>
    <row r="16783" spans="1:3">
      <c r="A16783" s="571" t="s">
        <v>2358</v>
      </c>
      <c r="B16783" s="572">
        <v>3.2441875000000002</v>
      </c>
      <c r="C16783" s="572">
        <v>268.27300000000002</v>
      </c>
    </row>
    <row r="16784" spans="1:3">
      <c r="A16784" s="571" t="s">
        <v>2358</v>
      </c>
      <c r="B16784" s="572">
        <v>3.4534875</v>
      </c>
      <c r="C16784" s="572">
        <v>275.93799999999999</v>
      </c>
    </row>
    <row r="16785" spans="1:3">
      <c r="A16785" s="571" t="s">
        <v>2358</v>
      </c>
      <c r="B16785" s="572">
        <v>3.6162791666666667</v>
      </c>
      <c r="C16785" s="572">
        <v>283.59100000000001</v>
      </c>
    </row>
    <row r="16786" spans="1:3">
      <c r="A16786" s="571" t="s">
        <v>2358</v>
      </c>
      <c r="B16786" s="572">
        <v>3.7790708333333334</v>
      </c>
      <c r="C16786" s="572">
        <v>289.07</v>
      </c>
    </row>
    <row r="16787" spans="1:3">
      <c r="A16787" s="571" t="s">
        <v>2358</v>
      </c>
      <c r="B16787" s="572">
        <v>3.9534875</v>
      </c>
      <c r="C16787" s="572">
        <v>297.81299999999999</v>
      </c>
    </row>
    <row r="16788" spans="1:3">
      <c r="A16788" s="571" t="s">
        <v>2358</v>
      </c>
      <c r="B16788" s="572">
        <v>4.0930249999999999</v>
      </c>
      <c r="C16788" s="572">
        <v>304.37299999999999</v>
      </c>
    </row>
    <row r="16789" spans="1:3">
      <c r="A16789" s="571" t="s">
        <v>2358</v>
      </c>
      <c r="B16789" s="572">
        <v>4.2790833333333333</v>
      </c>
      <c r="C16789" s="572">
        <v>308.77100000000002</v>
      </c>
    </row>
    <row r="16790" spans="1:3">
      <c r="A16790" s="571" t="s">
        <v>2358</v>
      </c>
      <c r="B16790" s="572">
        <v>4.43025</v>
      </c>
      <c r="C16790" s="572">
        <v>316.42099999999999</v>
      </c>
    </row>
    <row r="16791" spans="1:3">
      <c r="A16791" s="571" t="s">
        <v>2358</v>
      </c>
      <c r="B16791" s="572">
        <v>4.6046666666666667</v>
      </c>
      <c r="C16791" s="572">
        <v>320.81599999999997</v>
      </c>
    </row>
    <row r="16792" spans="1:3">
      <c r="A16792" s="571" t="s">
        <v>2358</v>
      </c>
      <c r="B16792" s="572">
        <v>4.8488333333333333</v>
      </c>
      <c r="C16792" s="572">
        <v>325.23099999999999</v>
      </c>
    </row>
    <row r="16793" spans="1:3">
      <c r="A16793" s="571" t="s">
        <v>2358</v>
      </c>
      <c r="B16793" s="572">
        <v>4.9651249999999996</v>
      </c>
      <c r="C16793" s="572">
        <v>337.21899999999999</v>
      </c>
    </row>
    <row r="16794" spans="1:3">
      <c r="A16794" s="571" t="s">
        <v>2358</v>
      </c>
      <c r="B16794" s="572">
        <v>5.1511666666666667</v>
      </c>
      <c r="C16794" s="572">
        <v>340.53</v>
      </c>
    </row>
    <row r="16795" spans="1:3">
      <c r="A16795" s="571" t="s">
        <v>2358</v>
      </c>
      <c r="B16795" s="572">
        <v>5.3720833333333333</v>
      </c>
      <c r="C16795" s="572">
        <v>341.67700000000002</v>
      </c>
    </row>
    <row r="16796" spans="1:3">
      <c r="A16796" s="571" t="s">
        <v>2358</v>
      </c>
      <c r="B16796" s="572">
        <v>5.5116249999999996</v>
      </c>
      <c r="C16796" s="572">
        <v>347.15</v>
      </c>
    </row>
    <row r="16797" spans="1:3">
      <c r="A16797" s="571" t="s">
        <v>2358</v>
      </c>
      <c r="B16797" s="572">
        <v>5.6744166666666667</v>
      </c>
      <c r="C16797" s="572">
        <v>355.89</v>
      </c>
    </row>
    <row r="16798" spans="1:3">
      <c r="A16798" s="571" t="s">
        <v>2358</v>
      </c>
      <c r="B16798" s="572">
        <v>5.9186249999999996</v>
      </c>
      <c r="C16798" s="572">
        <v>358.13</v>
      </c>
    </row>
    <row r="16799" spans="1:3">
      <c r="A16799" s="571" t="s">
        <v>2360</v>
      </c>
      <c r="B16799" s="572">
        <v>1.1627916666666667E-2</v>
      </c>
      <c r="C16799" s="572">
        <v>3.1597600000000002E-3</v>
      </c>
    </row>
    <row r="16800" spans="1:3">
      <c r="A16800" s="571" t="s">
        <v>2360</v>
      </c>
      <c r="B16800" s="572">
        <v>9.3023333333333333E-2</v>
      </c>
      <c r="C16800" s="572">
        <v>10.8443</v>
      </c>
    </row>
    <row r="16801" spans="1:3">
      <c r="A16801" s="571" t="s">
        <v>2360</v>
      </c>
      <c r="B16801" s="572">
        <v>0.23255833333333334</v>
      </c>
      <c r="C16801" s="572">
        <v>15.154199999999999</v>
      </c>
    </row>
    <row r="16802" spans="1:3">
      <c r="A16802" s="571" t="s">
        <v>2360</v>
      </c>
      <c r="B16802" s="572">
        <v>0.31395333333333336</v>
      </c>
      <c r="C16802" s="572">
        <v>2.0886</v>
      </c>
    </row>
    <row r="16803" spans="1:3">
      <c r="A16803" s="571" t="s">
        <v>2360</v>
      </c>
      <c r="B16803" s="572">
        <v>0.38372083333333334</v>
      </c>
      <c r="C16803" s="572">
        <v>4.4520999999999997</v>
      </c>
    </row>
    <row r="16804" spans="1:3">
      <c r="A16804" s="571" t="s">
        <v>2360</v>
      </c>
      <c r="B16804" s="572">
        <v>0.41860416666666667</v>
      </c>
      <c r="C16804" s="572">
        <v>22.939800000000002</v>
      </c>
    </row>
    <row r="16805" spans="1:3">
      <c r="A16805" s="571" t="s">
        <v>2360</v>
      </c>
      <c r="B16805" s="572">
        <v>0.44186249999999999</v>
      </c>
      <c r="C16805" s="572">
        <v>42.511400000000002</v>
      </c>
    </row>
    <row r="16806" spans="1:3">
      <c r="A16806" s="571" t="s">
        <v>2360</v>
      </c>
      <c r="B16806" s="572">
        <v>0.47674583333333337</v>
      </c>
      <c r="C16806" s="572">
        <v>59.912199999999999</v>
      </c>
    </row>
    <row r="16807" spans="1:3">
      <c r="A16807" s="571" t="s">
        <v>2360</v>
      </c>
      <c r="B16807" s="572">
        <v>0.51162916666666669</v>
      </c>
      <c r="C16807" s="572">
        <v>77.312899999999999</v>
      </c>
    </row>
    <row r="16808" spans="1:3">
      <c r="A16808" s="571" t="s">
        <v>2360</v>
      </c>
      <c r="B16808" s="572">
        <v>0.52325416666666669</v>
      </c>
      <c r="C16808" s="572">
        <v>96.881299999999996</v>
      </c>
    </row>
    <row r="16809" spans="1:3">
      <c r="A16809" s="571" t="s">
        <v>2360</v>
      </c>
      <c r="B16809" s="572">
        <v>0.58139583333333333</v>
      </c>
      <c r="C16809" s="572">
        <v>116.462</v>
      </c>
    </row>
    <row r="16810" spans="1:3">
      <c r="A16810" s="571" t="s">
        <v>2360</v>
      </c>
      <c r="B16810" s="572">
        <v>0.6162791666666666</v>
      </c>
      <c r="C16810" s="572">
        <v>132.77600000000001</v>
      </c>
    </row>
    <row r="16811" spans="1:3">
      <c r="A16811" s="571" t="s">
        <v>2360</v>
      </c>
      <c r="B16811" s="572">
        <v>0.70930416666666662</v>
      </c>
      <c r="C16811" s="572">
        <v>150.19300000000001</v>
      </c>
    </row>
    <row r="16812" spans="1:3">
      <c r="A16812" s="571" t="s">
        <v>2360</v>
      </c>
      <c r="B16812" s="572">
        <v>0.79069583333333338</v>
      </c>
      <c r="C16812" s="572">
        <v>167.60599999999999</v>
      </c>
    </row>
    <row r="16813" spans="1:3">
      <c r="A16813" s="571" t="s">
        <v>2360</v>
      </c>
      <c r="B16813" s="572">
        <v>0.8720916666666666</v>
      </c>
      <c r="C16813" s="572">
        <v>181.75899999999999</v>
      </c>
    </row>
    <row r="16814" spans="1:3">
      <c r="A16814" s="571" t="s">
        <v>2360</v>
      </c>
      <c r="B16814" s="572">
        <v>1.0232541666666666</v>
      </c>
      <c r="C16814" s="572">
        <v>195.93</v>
      </c>
    </row>
    <row r="16815" spans="1:3">
      <c r="A16815" s="571" t="s">
        <v>2360</v>
      </c>
      <c r="B16815" s="572">
        <v>1.1162791666666667</v>
      </c>
      <c r="C16815" s="572">
        <v>204.65100000000001</v>
      </c>
    </row>
    <row r="16816" spans="1:3">
      <c r="A16816" s="571" t="s">
        <v>2360</v>
      </c>
      <c r="B16816" s="572">
        <v>1.2093041666666666</v>
      </c>
      <c r="C16816" s="572">
        <v>216.63300000000001</v>
      </c>
    </row>
    <row r="16817" spans="1:3">
      <c r="A16817" s="571" t="s">
        <v>2360</v>
      </c>
      <c r="B16817" s="572">
        <v>1.3488375000000001</v>
      </c>
      <c r="C16817" s="572">
        <v>224.28</v>
      </c>
    </row>
    <row r="16818" spans="1:3">
      <c r="A16818" s="571" t="s">
        <v>2360</v>
      </c>
      <c r="B16818" s="572">
        <v>1.4767458333333332</v>
      </c>
      <c r="C16818" s="572">
        <v>235.184</v>
      </c>
    </row>
    <row r="16819" spans="1:3">
      <c r="A16819" s="571" t="s">
        <v>2360</v>
      </c>
      <c r="B16819" s="572">
        <v>1.6162791666666667</v>
      </c>
      <c r="C16819" s="572">
        <v>247.178</v>
      </c>
    </row>
    <row r="16820" spans="1:3">
      <c r="A16820" s="571" t="s">
        <v>2360</v>
      </c>
      <c r="B16820" s="572">
        <v>1.7906958333333334</v>
      </c>
      <c r="C16820" s="572">
        <v>261.35599999999999</v>
      </c>
    </row>
    <row r="16821" spans="1:3">
      <c r="A16821" s="571" t="s">
        <v>2360</v>
      </c>
      <c r="B16821" s="572">
        <v>1.9186041666666667</v>
      </c>
      <c r="C16821" s="572">
        <v>272.26</v>
      </c>
    </row>
    <row r="16822" spans="1:3">
      <c r="A16822" s="571" t="s">
        <v>2360</v>
      </c>
      <c r="B16822" s="572">
        <v>2.0813958333333331</v>
      </c>
      <c r="C16822" s="572">
        <v>284.26100000000002</v>
      </c>
    </row>
    <row r="16823" spans="1:3">
      <c r="A16823" s="571" t="s">
        <v>2360</v>
      </c>
      <c r="B16823" s="572">
        <v>2.2441875000000002</v>
      </c>
      <c r="C16823" s="572">
        <v>296.262</v>
      </c>
    </row>
    <row r="16824" spans="1:3">
      <c r="A16824" s="571" t="s">
        <v>2360</v>
      </c>
      <c r="B16824" s="572">
        <v>2.4186041666666669</v>
      </c>
      <c r="C16824" s="572">
        <v>309.35300000000001</v>
      </c>
    </row>
    <row r="16825" spans="1:3">
      <c r="A16825" s="571" t="s">
        <v>2360</v>
      </c>
      <c r="B16825" s="572">
        <v>2.5697666666666668</v>
      </c>
      <c r="C16825" s="572">
        <v>317.00299999999999</v>
      </c>
    </row>
    <row r="16826" spans="1:3">
      <c r="A16826" s="571" t="s">
        <v>2360</v>
      </c>
      <c r="B16826" s="572">
        <v>2.7325583333333334</v>
      </c>
      <c r="C16826" s="572">
        <v>324.65600000000001</v>
      </c>
    </row>
    <row r="16827" spans="1:3">
      <c r="A16827" s="571" t="s">
        <v>2360</v>
      </c>
      <c r="B16827" s="572">
        <v>2.8837208333333333</v>
      </c>
      <c r="C16827" s="572">
        <v>335.56599999999997</v>
      </c>
    </row>
    <row r="16828" spans="1:3">
      <c r="A16828" s="571" t="s">
        <v>2360</v>
      </c>
      <c r="B16828" s="572">
        <v>3.0232541666666664</v>
      </c>
      <c r="C16828" s="572">
        <v>344.3</v>
      </c>
    </row>
    <row r="16829" spans="1:3">
      <c r="A16829" s="571" t="s">
        <v>2360</v>
      </c>
      <c r="B16829" s="572">
        <v>3.1511624999999999</v>
      </c>
      <c r="C16829" s="572">
        <v>354.11700000000002</v>
      </c>
    </row>
    <row r="16830" spans="1:3">
      <c r="A16830" s="571" t="s">
        <v>2360</v>
      </c>
      <c r="B16830" s="572">
        <v>3.3372083333333333</v>
      </c>
      <c r="C16830" s="572">
        <v>365.03699999999998</v>
      </c>
    </row>
    <row r="16831" spans="1:3">
      <c r="A16831" s="571" t="s">
        <v>2360</v>
      </c>
      <c r="B16831" s="572">
        <v>3.5348833333333332</v>
      </c>
      <c r="C16831" s="572">
        <v>374.87400000000002</v>
      </c>
    </row>
    <row r="16832" spans="1:3">
      <c r="A16832" s="571" t="s">
        <v>2360</v>
      </c>
      <c r="B16832" s="572">
        <v>3.7209291666666666</v>
      </c>
      <c r="C16832" s="572">
        <v>386.88099999999997</v>
      </c>
    </row>
    <row r="16833" spans="1:3">
      <c r="A16833" s="571" t="s">
        <v>2360</v>
      </c>
      <c r="B16833" s="572">
        <v>3.8837208333333333</v>
      </c>
      <c r="C16833" s="572">
        <v>395.62099999999998</v>
      </c>
    </row>
    <row r="16834" spans="1:3">
      <c r="A16834" s="571" t="s">
        <v>2360</v>
      </c>
      <c r="B16834" s="572">
        <v>4.0465124999999995</v>
      </c>
      <c r="C16834" s="572">
        <v>404.36</v>
      </c>
    </row>
    <row r="16835" spans="1:3">
      <c r="A16835" s="571" t="s">
        <v>2360</v>
      </c>
      <c r="B16835" s="572">
        <v>4.2209166666666667</v>
      </c>
      <c r="C16835" s="572">
        <v>412.017</v>
      </c>
    </row>
    <row r="16836" spans="1:3">
      <c r="A16836" s="571" t="s">
        <v>2360</v>
      </c>
      <c r="B16836" s="572">
        <v>4.43025</v>
      </c>
      <c r="C16836" s="572">
        <v>421.85599999999999</v>
      </c>
    </row>
    <row r="16837" spans="1:3">
      <c r="A16837" s="571" t="s">
        <v>2360</v>
      </c>
      <c r="B16837" s="572">
        <v>4.6162916666666662</v>
      </c>
      <c r="C16837" s="572">
        <v>430.60199999999998</v>
      </c>
    </row>
    <row r="16838" spans="1:3">
      <c r="A16838" s="571" t="s">
        <v>2360</v>
      </c>
      <c r="B16838" s="572">
        <v>4.7790833333333333</v>
      </c>
      <c r="C16838" s="572">
        <v>439.34199999999998</v>
      </c>
    </row>
    <row r="16839" spans="1:3">
      <c r="A16839" s="571" t="s">
        <v>2360</v>
      </c>
      <c r="B16839" s="572">
        <v>4.97675</v>
      </c>
      <c r="C16839" s="572">
        <v>445.91800000000001</v>
      </c>
    </row>
    <row r="16840" spans="1:3">
      <c r="A16840" s="571" t="s">
        <v>2360</v>
      </c>
      <c r="B16840" s="572">
        <v>5.2092916666666662</v>
      </c>
      <c r="C16840" s="572">
        <v>450.32900000000001</v>
      </c>
    </row>
    <row r="16841" spans="1:3">
      <c r="A16841" s="571" t="s">
        <v>2360</v>
      </c>
      <c r="B16841" s="572">
        <v>5.4069583333333329</v>
      </c>
      <c r="C16841" s="572">
        <v>456.904</v>
      </c>
    </row>
    <row r="16842" spans="1:3">
      <c r="A16842" s="571" t="s">
        <v>2360</v>
      </c>
      <c r="B16842" s="572">
        <v>5.5813750000000004</v>
      </c>
      <c r="C16842" s="572">
        <v>464.56</v>
      </c>
    </row>
    <row r="16843" spans="1:3">
      <c r="A16843" s="571" t="s">
        <v>2360</v>
      </c>
      <c r="B16843" s="572">
        <v>5.7790833333333333</v>
      </c>
      <c r="C16843" s="572">
        <v>467.875</v>
      </c>
    </row>
    <row r="16844" spans="1:3">
      <c r="A16844" s="571" t="s">
        <v>2360</v>
      </c>
      <c r="B16844" s="572">
        <v>5.9418749999999996</v>
      </c>
      <c r="C16844" s="572">
        <v>472.267</v>
      </c>
    </row>
    <row r="16845" spans="1:3">
      <c r="A16845" s="571" t="s">
        <v>2360</v>
      </c>
      <c r="B16845" s="572">
        <v>6.06975</v>
      </c>
      <c r="C16845" s="572">
        <v>478.82299999999998</v>
      </c>
    </row>
    <row r="16846" spans="1:3">
      <c r="A16846" s="571" t="s">
        <v>2360</v>
      </c>
      <c r="B16846" s="572">
        <v>6.2790833333333333</v>
      </c>
      <c r="C16846" s="572">
        <v>483.22800000000001</v>
      </c>
    </row>
    <row r="16847" spans="1:3">
      <c r="A16847" s="571" t="s">
        <v>2360</v>
      </c>
      <c r="B16847" s="572">
        <v>6.4186249999999996</v>
      </c>
      <c r="C16847" s="572">
        <v>487.61399999999998</v>
      </c>
    </row>
    <row r="16848" spans="1:3">
      <c r="A16848" s="571" t="s">
        <v>2360</v>
      </c>
      <c r="B16848" s="572">
        <v>6.5930416666666671</v>
      </c>
      <c r="C16848" s="572">
        <v>492.00900000000001</v>
      </c>
    </row>
    <row r="16849" spans="1:3">
      <c r="A16849" s="571" t="s">
        <v>2360</v>
      </c>
      <c r="B16849" s="572">
        <v>6.8139583333333329</v>
      </c>
      <c r="C16849" s="572">
        <v>496.41699999999997</v>
      </c>
    </row>
    <row r="16850" spans="1:3">
      <c r="A16850" s="571" t="s">
        <v>2360</v>
      </c>
      <c r="B16850" s="572">
        <v>6.97675</v>
      </c>
      <c r="C16850" s="572">
        <v>500.80900000000003</v>
      </c>
    </row>
    <row r="16851" spans="1:3">
      <c r="A16851" s="571" t="s">
        <v>2361</v>
      </c>
      <c r="B16851" s="572">
        <v>1.1627916666666667E-2</v>
      </c>
      <c r="C16851" s="572">
        <v>3.1597600000000002E-3</v>
      </c>
    </row>
    <row r="16852" spans="1:3">
      <c r="A16852" s="571" t="s">
        <v>2361</v>
      </c>
      <c r="B16852" s="572">
        <v>8.1395416666666665E-2</v>
      </c>
      <c r="C16852" s="572">
        <v>9.7604900000000008</v>
      </c>
    </row>
    <row r="16853" spans="1:3">
      <c r="A16853" s="571" t="s">
        <v>2361</v>
      </c>
      <c r="B16853" s="572">
        <v>0.20930249999999997</v>
      </c>
      <c r="C16853" s="572">
        <v>12.986599999999999</v>
      </c>
    </row>
    <row r="16854" spans="1:3">
      <c r="A16854" s="571" t="s">
        <v>2361</v>
      </c>
      <c r="B16854" s="572">
        <v>0.32558124999999999</v>
      </c>
      <c r="C16854" s="572">
        <v>9.6941400000000009</v>
      </c>
    </row>
    <row r="16855" spans="1:3">
      <c r="A16855" s="571" t="s">
        <v>2361</v>
      </c>
      <c r="B16855" s="572">
        <v>0.44186249999999999</v>
      </c>
      <c r="C16855" s="572">
        <v>3.1408</v>
      </c>
    </row>
    <row r="16856" spans="1:3">
      <c r="A16856" s="571" t="s">
        <v>2361</v>
      </c>
      <c r="B16856" s="572">
        <v>0.53488333333333327</v>
      </c>
      <c r="C16856" s="572">
        <v>3.4062199999999998</v>
      </c>
    </row>
    <row r="16857" spans="1:3">
      <c r="A16857" s="571" t="s">
        <v>2361</v>
      </c>
      <c r="B16857" s="572">
        <v>0.6395333333333334</v>
      </c>
      <c r="C16857" s="572">
        <v>12.1303</v>
      </c>
    </row>
    <row r="16858" spans="1:3">
      <c r="A16858" s="571" t="s">
        <v>2361</v>
      </c>
      <c r="B16858" s="572">
        <v>0.77907083333333338</v>
      </c>
      <c r="C16858" s="572">
        <v>19.776900000000001</v>
      </c>
    </row>
    <row r="16859" spans="1:3">
      <c r="A16859" s="571" t="s">
        <v>2361</v>
      </c>
      <c r="B16859" s="572">
        <v>0.91860416666666678</v>
      </c>
      <c r="C16859" s="572">
        <v>26.336600000000001</v>
      </c>
    </row>
    <row r="16860" spans="1:3">
      <c r="A16860" s="571" t="s">
        <v>2361</v>
      </c>
      <c r="B16860" s="572">
        <v>1.1279083333333333</v>
      </c>
      <c r="C16860" s="572">
        <v>28.567399999999999</v>
      </c>
    </row>
    <row r="16861" spans="1:3">
      <c r="A16861" s="571" t="s">
        <v>2361</v>
      </c>
      <c r="B16861" s="572">
        <v>1.3604666666666667</v>
      </c>
      <c r="C16861" s="572">
        <v>32.978400000000001</v>
      </c>
    </row>
    <row r="16862" spans="1:3">
      <c r="A16862" s="571" t="s">
        <v>2361</v>
      </c>
      <c r="B16862" s="572">
        <v>1.5581375</v>
      </c>
      <c r="C16862" s="572">
        <v>35.206000000000003</v>
      </c>
    </row>
    <row r="16863" spans="1:3">
      <c r="A16863" s="571" t="s">
        <v>2361</v>
      </c>
      <c r="B16863" s="572">
        <v>1.7674416666666666</v>
      </c>
      <c r="C16863" s="572">
        <v>39.610700000000001</v>
      </c>
    </row>
    <row r="16864" spans="1:3">
      <c r="A16864" s="571" t="s">
        <v>2361</v>
      </c>
      <c r="B16864" s="572">
        <v>1.9534874999999998</v>
      </c>
      <c r="C16864" s="572">
        <v>40.748199999999997</v>
      </c>
    </row>
    <row r="16865" spans="1:3">
      <c r="A16865" s="571" t="s">
        <v>2361</v>
      </c>
      <c r="B16865" s="572">
        <v>2.1627916666666667</v>
      </c>
      <c r="C16865" s="572">
        <v>45.152900000000002</v>
      </c>
    </row>
    <row r="16866" spans="1:3">
      <c r="A16866" s="571" t="s">
        <v>2361</v>
      </c>
      <c r="B16866" s="572">
        <v>2.3953500000000001</v>
      </c>
      <c r="C16866" s="572">
        <v>49.564</v>
      </c>
    </row>
    <row r="16867" spans="1:3">
      <c r="A16867" s="571" t="s">
        <v>2361</v>
      </c>
      <c r="B16867" s="572">
        <v>2.6162791666666667</v>
      </c>
      <c r="C16867" s="572">
        <v>52.884900000000002</v>
      </c>
    </row>
    <row r="16868" spans="1:3">
      <c r="A16868" s="571" t="s">
        <v>2361</v>
      </c>
      <c r="B16868" s="572">
        <v>2.8255833333333329</v>
      </c>
      <c r="C16868" s="572">
        <v>56.202599999999997</v>
      </c>
    </row>
    <row r="16869" spans="1:3">
      <c r="A16869" s="571" t="s">
        <v>2361</v>
      </c>
      <c r="B16869" s="572">
        <v>3.0348833333333332</v>
      </c>
      <c r="C16869" s="572">
        <v>59.520299999999999</v>
      </c>
    </row>
    <row r="16870" spans="1:3">
      <c r="A16870" s="571" t="s">
        <v>2361</v>
      </c>
      <c r="B16870" s="572">
        <v>3.2558124999999998</v>
      </c>
      <c r="C16870" s="572">
        <v>62.841299999999997</v>
      </c>
    </row>
    <row r="16871" spans="1:3">
      <c r="A16871" s="571" t="s">
        <v>2361</v>
      </c>
      <c r="B16871" s="572">
        <v>3.5116291666666668</v>
      </c>
      <c r="C16871" s="572">
        <v>67.258600000000001</v>
      </c>
    </row>
    <row r="16872" spans="1:3">
      <c r="A16872" s="571" t="s">
        <v>2361</v>
      </c>
      <c r="B16872" s="572">
        <v>3.7325583333333334</v>
      </c>
      <c r="C16872" s="572">
        <v>71.666499999999999</v>
      </c>
    </row>
    <row r="16873" spans="1:3">
      <c r="A16873" s="571" t="s">
        <v>2361</v>
      </c>
      <c r="B16873" s="572">
        <v>3.9186041666666664</v>
      </c>
      <c r="C16873" s="572">
        <v>76.064800000000005</v>
      </c>
    </row>
    <row r="16874" spans="1:3">
      <c r="A16874" s="571" t="s">
        <v>2361</v>
      </c>
      <c r="B16874" s="572">
        <v>4.1279083333333331</v>
      </c>
      <c r="C16874" s="572">
        <v>79.382599999999996</v>
      </c>
    </row>
    <row r="16875" spans="1:3">
      <c r="A16875" s="571" t="s">
        <v>2361</v>
      </c>
      <c r="B16875" s="572">
        <v>4.3139583333333329</v>
      </c>
      <c r="C16875" s="572">
        <v>82.694000000000003</v>
      </c>
    </row>
    <row r="16876" spans="1:3">
      <c r="A16876" s="571" t="s">
        <v>2361</v>
      </c>
      <c r="B16876" s="572">
        <v>4.5581249999999995</v>
      </c>
      <c r="C16876" s="572">
        <v>87.108199999999997</v>
      </c>
    </row>
    <row r="16877" spans="1:3">
      <c r="A16877" s="571" t="s">
        <v>2361</v>
      </c>
      <c r="B16877" s="572">
        <v>4.7674583333333329</v>
      </c>
      <c r="C16877" s="572">
        <v>90.425899999999999</v>
      </c>
    </row>
    <row r="16878" spans="1:3">
      <c r="A16878" s="571" t="s">
        <v>2361</v>
      </c>
      <c r="B16878" s="572">
        <v>4.9535</v>
      </c>
      <c r="C16878" s="572">
        <v>94.824299999999994</v>
      </c>
    </row>
    <row r="16879" spans="1:3">
      <c r="A16879" s="571" t="s">
        <v>2361</v>
      </c>
      <c r="B16879" s="572">
        <v>5.1511666666666667</v>
      </c>
      <c r="C16879" s="572">
        <v>98.138900000000007</v>
      </c>
    </row>
    <row r="16880" spans="1:3">
      <c r="A16880" s="571" t="s">
        <v>2361</v>
      </c>
      <c r="B16880" s="572">
        <v>5.3372083333333329</v>
      </c>
      <c r="C16880" s="572">
        <v>101.45</v>
      </c>
    </row>
    <row r="16881" spans="1:3">
      <c r="A16881" s="571" t="s">
        <v>2361</v>
      </c>
      <c r="B16881" s="572">
        <v>5.5581250000000004</v>
      </c>
      <c r="C16881" s="572">
        <v>105.858</v>
      </c>
    </row>
    <row r="16882" spans="1:3">
      <c r="A16882" s="571" t="s">
        <v>2361</v>
      </c>
      <c r="B16882" s="572">
        <v>5.7441666666666675</v>
      </c>
      <c r="C16882" s="572">
        <v>108.083</v>
      </c>
    </row>
    <row r="16883" spans="1:3">
      <c r="A16883" s="571" t="s">
        <v>2361</v>
      </c>
      <c r="B16883" s="572">
        <v>5.9186249999999996</v>
      </c>
      <c r="C16883" s="572">
        <v>109.217</v>
      </c>
    </row>
    <row r="16884" spans="1:3">
      <c r="A16884" s="571" t="s">
        <v>2361</v>
      </c>
      <c r="B16884" s="572">
        <v>6.0813750000000004</v>
      </c>
      <c r="C16884" s="572">
        <v>112.52200000000001</v>
      </c>
    </row>
    <row r="16885" spans="1:3">
      <c r="A16885" s="571" t="s">
        <v>2362</v>
      </c>
      <c r="B16885" s="572">
        <v>0.18604666666666667</v>
      </c>
      <c r="C16885" s="572">
        <v>26.0364</v>
      </c>
    </row>
    <row r="16886" spans="1:3">
      <c r="A16886" s="571" t="s">
        <v>2362</v>
      </c>
      <c r="B16886" s="572">
        <v>0.23255833333333334</v>
      </c>
      <c r="C16886" s="572">
        <v>36.893300000000004</v>
      </c>
    </row>
    <row r="16887" spans="1:3">
      <c r="A16887" s="571" t="s">
        <v>2362</v>
      </c>
      <c r="B16887" s="572">
        <v>0.2906975</v>
      </c>
      <c r="C16887" s="572">
        <v>24.920999999999999</v>
      </c>
    </row>
    <row r="16888" spans="1:3">
      <c r="A16888" s="571" t="s">
        <v>2362</v>
      </c>
      <c r="B16888" s="572">
        <v>0.32558124999999999</v>
      </c>
      <c r="C16888" s="572">
        <v>12.955</v>
      </c>
    </row>
    <row r="16889" spans="1:3">
      <c r="A16889" s="571" t="s">
        <v>2362</v>
      </c>
      <c r="B16889" s="572">
        <v>0.38372083333333334</v>
      </c>
      <c r="C16889" s="572">
        <v>0.104272</v>
      </c>
    </row>
    <row r="16890" spans="1:3">
      <c r="A16890" s="571" t="s">
        <v>2362</v>
      </c>
      <c r="B16890" s="572">
        <v>0.4302333333333333</v>
      </c>
      <c r="C16890" s="572">
        <v>9.8995200000000008</v>
      </c>
    </row>
    <row r="16891" spans="1:3">
      <c r="A16891" s="571" t="s">
        <v>2362</v>
      </c>
      <c r="B16891" s="572">
        <v>0.53488333333333327</v>
      </c>
      <c r="C16891" s="572">
        <v>21.884499999999999</v>
      </c>
    </row>
    <row r="16892" spans="1:3">
      <c r="A16892" s="571" t="s">
        <v>2362</v>
      </c>
      <c r="B16892" s="572">
        <v>0.65116249999999998</v>
      </c>
      <c r="C16892" s="572">
        <v>31.698699999999999</v>
      </c>
    </row>
    <row r="16893" spans="1:3">
      <c r="A16893" s="571" t="s">
        <v>2362</v>
      </c>
      <c r="B16893" s="572">
        <v>0.79069583333333338</v>
      </c>
      <c r="C16893" s="572">
        <v>40.432299999999998</v>
      </c>
    </row>
    <row r="16894" spans="1:3">
      <c r="A16894" s="571" t="s">
        <v>2362</v>
      </c>
      <c r="B16894" s="572">
        <v>0.95348750000000004</v>
      </c>
      <c r="C16894" s="572">
        <v>49.1721</v>
      </c>
    </row>
    <row r="16895" spans="1:3">
      <c r="A16895" s="571" t="s">
        <v>2362</v>
      </c>
      <c r="B16895" s="572">
        <v>1.0930250000000001</v>
      </c>
      <c r="C16895" s="572">
        <v>52.4709</v>
      </c>
    </row>
    <row r="16896" spans="1:3">
      <c r="A16896" s="571" t="s">
        <v>2362</v>
      </c>
      <c r="B16896" s="572">
        <v>1.2674416666666668</v>
      </c>
      <c r="C16896" s="572">
        <v>53.6053</v>
      </c>
    </row>
    <row r="16897" spans="1:3">
      <c r="A16897" s="571" t="s">
        <v>2362</v>
      </c>
      <c r="B16897" s="572">
        <v>1.4767458333333332</v>
      </c>
      <c r="C16897" s="572">
        <v>61.270899999999997</v>
      </c>
    </row>
    <row r="16898" spans="1:3">
      <c r="A16898" s="571" t="s">
        <v>2362</v>
      </c>
      <c r="B16898" s="572">
        <v>1.7209291666666668</v>
      </c>
      <c r="C16898" s="572">
        <v>67.858900000000006</v>
      </c>
    </row>
    <row r="16899" spans="1:3">
      <c r="A16899" s="571" t="s">
        <v>2362</v>
      </c>
      <c r="B16899" s="572">
        <v>1.9186041666666667</v>
      </c>
      <c r="C16899" s="572">
        <v>75.5214</v>
      </c>
    </row>
    <row r="16900" spans="1:3">
      <c r="A16900" s="571" t="s">
        <v>2362</v>
      </c>
      <c r="B16900" s="572">
        <v>2.1395333333333331</v>
      </c>
      <c r="C16900" s="572">
        <v>83.190100000000001</v>
      </c>
    </row>
    <row r="16901" spans="1:3">
      <c r="A16901" s="571" t="s">
        <v>2362</v>
      </c>
      <c r="B16901" s="572">
        <v>2.3604666666666669</v>
      </c>
      <c r="C16901" s="572">
        <v>89.771900000000002</v>
      </c>
    </row>
    <row r="16902" spans="1:3">
      <c r="A16902" s="571" t="s">
        <v>2362</v>
      </c>
      <c r="B16902" s="572">
        <v>2.5697666666666668</v>
      </c>
      <c r="C16902" s="572">
        <v>98.5244</v>
      </c>
    </row>
    <row r="16903" spans="1:3">
      <c r="A16903" s="571" t="s">
        <v>2362</v>
      </c>
      <c r="B16903" s="572">
        <v>2.7906958333333329</v>
      </c>
      <c r="C16903" s="572">
        <v>108.367</v>
      </c>
    </row>
    <row r="16904" spans="1:3">
      <c r="A16904" s="571" t="s">
        <v>2362</v>
      </c>
      <c r="B16904" s="572">
        <v>3.0116291666666668</v>
      </c>
      <c r="C16904" s="572">
        <v>114.949</v>
      </c>
    </row>
    <row r="16905" spans="1:3">
      <c r="A16905" s="571" t="s">
        <v>2362</v>
      </c>
      <c r="B16905" s="572">
        <v>3.2209291666666666</v>
      </c>
      <c r="C16905" s="572">
        <v>122.614</v>
      </c>
    </row>
    <row r="16906" spans="1:3">
      <c r="A16906" s="571" t="s">
        <v>2362</v>
      </c>
      <c r="B16906" s="572">
        <v>3.4302333333333332</v>
      </c>
      <c r="C16906" s="572">
        <v>130.28</v>
      </c>
    </row>
    <row r="16907" spans="1:3">
      <c r="A16907" s="571" t="s">
        <v>2362</v>
      </c>
      <c r="B16907" s="572">
        <v>3.6162791666666667</v>
      </c>
      <c r="C16907" s="572">
        <v>136.852</v>
      </c>
    </row>
    <row r="16908" spans="1:3">
      <c r="A16908" s="571" t="s">
        <v>2362</v>
      </c>
      <c r="B16908" s="572">
        <v>3.8255833333333329</v>
      </c>
      <c r="C16908" s="572">
        <v>144.518</v>
      </c>
    </row>
    <row r="16909" spans="1:3">
      <c r="A16909" s="571" t="s">
        <v>2362</v>
      </c>
      <c r="B16909" s="572">
        <v>4.0116291666666664</v>
      </c>
      <c r="C16909" s="572">
        <v>150.00299999999999</v>
      </c>
    </row>
    <row r="16910" spans="1:3">
      <c r="A16910" s="571" t="s">
        <v>2362</v>
      </c>
      <c r="B16910" s="572">
        <v>4.2092916666666662</v>
      </c>
      <c r="C16910" s="572">
        <v>157.666</v>
      </c>
    </row>
    <row r="16911" spans="1:3">
      <c r="A16911" s="571" t="s">
        <v>2362</v>
      </c>
      <c r="B16911" s="572">
        <v>4.43025</v>
      </c>
      <c r="C16911" s="572">
        <v>165.334</v>
      </c>
    </row>
    <row r="16912" spans="1:3">
      <c r="A16912" s="571" t="s">
        <v>2362</v>
      </c>
      <c r="B16912" s="572">
        <v>4.6627916666666662</v>
      </c>
      <c r="C16912" s="572">
        <v>173.006</v>
      </c>
    </row>
    <row r="16913" spans="1:3">
      <c r="A16913" s="571" t="s">
        <v>2362</v>
      </c>
      <c r="B16913" s="572">
        <v>4.8837083333333338</v>
      </c>
      <c r="C16913" s="572">
        <v>180.67500000000001</v>
      </c>
    </row>
    <row r="16914" spans="1:3">
      <c r="A16914" s="571" t="s">
        <v>2362</v>
      </c>
      <c r="B16914" s="572">
        <v>5.1046666666666667</v>
      </c>
      <c r="C16914" s="572">
        <v>186.17</v>
      </c>
    </row>
    <row r="16915" spans="1:3">
      <c r="A16915" s="571" t="s">
        <v>2362</v>
      </c>
      <c r="B16915" s="572">
        <v>5.3255833333333333</v>
      </c>
      <c r="C16915" s="572">
        <v>193.83799999999999</v>
      </c>
    </row>
    <row r="16916" spans="1:3">
      <c r="A16916" s="571" t="s">
        <v>2362</v>
      </c>
      <c r="B16916" s="572">
        <v>5.5581250000000004</v>
      </c>
      <c r="C16916" s="572">
        <v>199.33600000000001</v>
      </c>
    </row>
    <row r="16917" spans="1:3">
      <c r="A16917" s="571" t="s">
        <v>2362</v>
      </c>
      <c r="B16917" s="572">
        <v>5.7907083333333338</v>
      </c>
      <c r="C16917" s="572">
        <v>204.834</v>
      </c>
    </row>
    <row r="16918" spans="1:3">
      <c r="A16918" s="571" t="s">
        <v>2362</v>
      </c>
      <c r="B16918" s="572">
        <v>6.0465000000000009</v>
      </c>
      <c r="C16918" s="572">
        <v>211.42599999999999</v>
      </c>
    </row>
    <row r="16919" spans="1:3">
      <c r="A16919" s="571" t="s">
        <v>2362</v>
      </c>
      <c r="B16919" s="572">
        <v>6.2674583333333338</v>
      </c>
      <c r="C16919" s="572">
        <v>216.92099999999999</v>
      </c>
    </row>
    <row r="16920" spans="1:3">
      <c r="A16920" s="571" t="s">
        <v>2362</v>
      </c>
      <c r="B16920" s="572">
        <v>6.4651250000000005</v>
      </c>
      <c r="C16920" s="572">
        <v>221.322</v>
      </c>
    </row>
    <row r="16921" spans="1:3">
      <c r="A16921" s="571" t="s">
        <v>2362</v>
      </c>
      <c r="B16921" s="572">
        <v>6.6627916666666671</v>
      </c>
      <c r="C16921" s="572">
        <v>226.81100000000001</v>
      </c>
    </row>
    <row r="16922" spans="1:3">
      <c r="A16922" s="571" t="s">
        <v>2362</v>
      </c>
      <c r="B16922" s="572">
        <v>6.8372083333333329</v>
      </c>
      <c r="C16922" s="572">
        <v>231.20599999999999</v>
      </c>
    </row>
    <row r="16923" spans="1:3">
      <c r="A16923" s="571" t="s">
        <v>2362</v>
      </c>
      <c r="B16923" s="572">
        <v>6.9651250000000005</v>
      </c>
      <c r="C16923" s="572">
        <v>234.501</v>
      </c>
    </row>
    <row r="16924" spans="1:3">
      <c r="A16924" s="571" t="s">
        <v>2363</v>
      </c>
      <c r="B16924" s="572">
        <v>2.3775000000000046E-3</v>
      </c>
      <c r="C16924" s="572">
        <v>11.372400000000001</v>
      </c>
    </row>
    <row r="16925" spans="1:3">
      <c r="A16925" s="571" t="s">
        <v>2363</v>
      </c>
      <c r="B16925" s="572">
        <v>1.7441249999999964E-2</v>
      </c>
      <c r="C16925" s="572">
        <v>67.354100000000003</v>
      </c>
    </row>
    <row r="16926" spans="1:3">
      <c r="A16926" s="571" t="s">
        <v>2363</v>
      </c>
      <c r="B16926" s="572">
        <v>6.3529166666666664E-2</v>
      </c>
      <c r="C16926" s="572">
        <v>119.628</v>
      </c>
    </row>
    <row r="16927" spans="1:3">
      <c r="A16927" s="571" t="s">
        <v>2363</v>
      </c>
      <c r="B16927" s="572">
        <v>0.12497041666666667</v>
      </c>
      <c r="C16927" s="572">
        <v>190.571</v>
      </c>
    </row>
    <row r="16928" spans="1:3">
      <c r="A16928" s="571" t="s">
        <v>2363</v>
      </c>
      <c r="B16928" s="572">
        <v>0.20211249999999994</v>
      </c>
      <c r="C16928" s="572">
        <v>235.40600000000001</v>
      </c>
    </row>
    <row r="16929" spans="1:3">
      <c r="A16929" s="571" t="s">
        <v>2363</v>
      </c>
      <c r="B16929" s="572">
        <v>0.31022083333333328</v>
      </c>
      <c r="C16929" s="572">
        <v>283.99700000000001</v>
      </c>
    </row>
    <row r="16930" spans="1:3">
      <c r="A16930" s="571" t="s">
        <v>2363</v>
      </c>
      <c r="B16930" s="572">
        <v>0.41832499999999995</v>
      </c>
      <c r="C16930" s="572">
        <v>332.58699999999999</v>
      </c>
    </row>
    <row r="16931" spans="1:3">
      <c r="A16931" s="571" t="s">
        <v>2363</v>
      </c>
      <c r="B16931" s="572">
        <v>0.60386249999999997</v>
      </c>
      <c r="C16931" s="572">
        <v>388.7</v>
      </c>
    </row>
    <row r="16932" spans="1:3">
      <c r="A16932" s="571" t="s">
        <v>2363</v>
      </c>
      <c r="B16932" s="572">
        <v>0.77407916666666665</v>
      </c>
      <c r="C16932" s="572">
        <v>422.41300000000001</v>
      </c>
    </row>
    <row r="16933" spans="1:3">
      <c r="A16933" s="571" t="s">
        <v>2363</v>
      </c>
      <c r="B16933" s="572">
        <v>0.97525833333333334</v>
      </c>
      <c r="C16933" s="572">
        <v>459.88</v>
      </c>
    </row>
    <row r="16934" spans="1:3">
      <c r="A16934" s="571" t="s">
        <v>2363</v>
      </c>
      <c r="B16934" s="572">
        <v>1.2074916666666666</v>
      </c>
      <c r="C16934" s="572">
        <v>489.90899999999999</v>
      </c>
    </row>
    <row r="16935" spans="1:3">
      <c r="A16935" s="571" t="s">
        <v>2363</v>
      </c>
      <c r="B16935" s="572">
        <v>1.4708333333333334</v>
      </c>
      <c r="C16935" s="572">
        <v>505.03699999999998</v>
      </c>
    </row>
    <row r="16936" spans="1:3">
      <c r="A16936" s="571" t="s">
        <v>2363</v>
      </c>
      <c r="B16936" s="572">
        <v>1.7187083333333333</v>
      </c>
      <c r="C16936" s="572">
        <v>516.42100000000005</v>
      </c>
    </row>
    <row r="16937" spans="1:3">
      <c r="A16937" s="571" t="s">
        <v>2363</v>
      </c>
      <c r="B16937" s="572">
        <v>1.9975499999999999</v>
      </c>
      <c r="C16937" s="572">
        <v>531.56100000000004</v>
      </c>
    </row>
    <row r="16938" spans="1:3">
      <c r="A16938" s="571" t="s">
        <v>2363</v>
      </c>
      <c r="B16938" s="572">
        <v>2.2919749999999999</v>
      </c>
      <c r="C16938" s="572">
        <v>535.51800000000003</v>
      </c>
    </row>
    <row r="16939" spans="1:3">
      <c r="A16939" s="571" t="s">
        <v>2363</v>
      </c>
      <c r="B16939" s="572">
        <v>2.6018708333333334</v>
      </c>
      <c r="C16939" s="572">
        <v>543.21799999999996</v>
      </c>
    </row>
    <row r="16940" spans="1:3">
      <c r="A16940" s="571" t="s">
        <v>2363</v>
      </c>
      <c r="B16940" s="572">
        <v>2.8653</v>
      </c>
      <c r="C16940" s="572">
        <v>547.15200000000004</v>
      </c>
    </row>
    <row r="16941" spans="1:3">
      <c r="A16941" s="571" t="s">
        <v>2363</v>
      </c>
      <c r="B16941" s="572">
        <v>3.206245833333333</v>
      </c>
      <c r="C16941" s="572">
        <v>547.41399999999999</v>
      </c>
    </row>
    <row r="16942" spans="1:3">
      <c r="A16942" s="571" t="s">
        <v>2363</v>
      </c>
      <c r="B16942" s="572">
        <v>3.5781624999999999</v>
      </c>
      <c r="C16942" s="572">
        <v>551.43100000000004</v>
      </c>
    </row>
    <row r="16943" spans="1:3">
      <c r="A16943" s="571" t="s">
        <v>2363</v>
      </c>
      <c r="B16943" s="572">
        <v>3.8725875000000003</v>
      </c>
      <c r="C16943" s="572">
        <v>555.38800000000003</v>
      </c>
    </row>
    <row r="16944" spans="1:3">
      <c r="A16944" s="571" t="s">
        <v>2363</v>
      </c>
      <c r="B16944" s="572">
        <v>4.1515416666666658</v>
      </c>
      <c r="C16944" s="572">
        <v>555.60199999999998</v>
      </c>
    </row>
    <row r="16945" spans="1:3">
      <c r="A16945" s="571" t="s">
        <v>2363</v>
      </c>
      <c r="B16945" s="572">
        <v>4.4615416666666663</v>
      </c>
      <c r="C16945" s="572">
        <v>552.10900000000004</v>
      </c>
    </row>
    <row r="16946" spans="1:3">
      <c r="A16946" s="571" t="s">
        <v>2363</v>
      </c>
      <c r="B16946" s="572">
        <v>4.7869583333333328</v>
      </c>
      <c r="C16946" s="572">
        <v>556.09</v>
      </c>
    </row>
    <row r="16947" spans="1:3">
      <c r="A16947" s="571" t="s">
        <v>2363</v>
      </c>
      <c r="B16947" s="572">
        <v>5.1278749999999995</v>
      </c>
      <c r="C16947" s="572">
        <v>560.08299999999997</v>
      </c>
    </row>
    <row r="16948" spans="1:3">
      <c r="A16948" s="571" t="s">
        <v>2363</v>
      </c>
      <c r="B16948" s="572">
        <v>5.4533333333333331</v>
      </c>
      <c r="C16948" s="572">
        <v>560.33299999999997</v>
      </c>
    </row>
    <row r="16949" spans="1:3">
      <c r="A16949" s="571" t="s">
        <v>2363</v>
      </c>
      <c r="B16949" s="572">
        <v>5.7787916666666668</v>
      </c>
      <c r="C16949" s="572">
        <v>556.851</v>
      </c>
    </row>
    <row r="16950" spans="1:3">
      <c r="A16950" s="571" t="s">
        <v>2363</v>
      </c>
      <c r="B16950" s="572">
        <v>6.0732083333333327</v>
      </c>
      <c r="C16950" s="572">
        <v>560.80799999999999</v>
      </c>
    </row>
    <row r="16951" spans="1:3">
      <c r="A16951" s="571" t="s">
        <v>2363</v>
      </c>
      <c r="B16951" s="572">
        <v>6.3987083333333326</v>
      </c>
      <c r="C16951" s="572">
        <v>557.327</v>
      </c>
    </row>
    <row r="16952" spans="1:3">
      <c r="A16952" s="571" t="s">
        <v>2363</v>
      </c>
      <c r="B16952" s="572">
        <v>6.7551249999999996</v>
      </c>
      <c r="C16952" s="572">
        <v>557.601</v>
      </c>
    </row>
    <row r="16953" spans="1:3">
      <c r="A16953" s="571" t="s">
        <v>2363</v>
      </c>
      <c r="B16953" s="572">
        <v>7.0650833333333329</v>
      </c>
      <c r="C16953" s="572">
        <v>557.83799999999997</v>
      </c>
    </row>
    <row r="16954" spans="1:3">
      <c r="A16954" s="571" t="s">
        <v>2363</v>
      </c>
      <c r="B16954" s="572">
        <v>7.313041666666666</v>
      </c>
      <c r="C16954" s="572">
        <v>558.029</v>
      </c>
    </row>
    <row r="16955" spans="1:3">
      <c r="A16955" s="571" t="s">
        <v>2363</v>
      </c>
      <c r="B16955" s="572">
        <v>7.6384999999999996</v>
      </c>
      <c r="C16955" s="572">
        <v>558.279</v>
      </c>
    </row>
    <row r="16956" spans="1:3">
      <c r="A16956" s="571" t="s">
        <v>2363</v>
      </c>
      <c r="B16956" s="572">
        <v>7.9640000000000004</v>
      </c>
      <c r="C16956" s="572">
        <v>554.79700000000003</v>
      </c>
    </row>
    <row r="16957" spans="1:3">
      <c r="A16957" s="571" t="s">
        <v>2363</v>
      </c>
      <c r="B16957" s="572">
        <v>8.2584166666666672</v>
      </c>
      <c r="C16957" s="572">
        <v>555.02300000000002</v>
      </c>
    </row>
    <row r="16958" spans="1:3">
      <c r="A16958" s="571" t="s">
        <v>2363</v>
      </c>
      <c r="B16958" s="572">
        <v>8.5528749999999985</v>
      </c>
      <c r="C16958" s="572">
        <v>555.24900000000002</v>
      </c>
    </row>
    <row r="16959" spans="1:3">
      <c r="A16959" s="571" t="s">
        <v>2363</v>
      </c>
      <c r="B16959" s="572">
        <v>8.8318333333333339</v>
      </c>
      <c r="C16959" s="572">
        <v>555.46299999999997</v>
      </c>
    </row>
    <row r="16960" spans="1:3">
      <c r="A16960" s="571" t="s">
        <v>2363</v>
      </c>
      <c r="B16960" s="572">
        <v>9.1262916666666651</v>
      </c>
      <c r="C16960" s="572">
        <v>555.68899999999996</v>
      </c>
    </row>
    <row r="16961" spans="1:3">
      <c r="A16961" s="571" t="s">
        <v>2363</v>
      </c>
      <c r="B16961" s="572">
        <v>9.4362499999999994</v>
      </c>
      <c r="C16961" s="572">
        <v>555.92700000000002</v>
      </c>
    </row>
    <row r="16962" spans="1:3">
      <c r="A16962" s="571" t="s">
        <v>2363</v>
      </c>
      <c r="B16962" s="572">
        <v>9.7461666666666655</v>
      </c>
      <c r="C16962" s="572">
        <v>559.89599999999996</v>
      </c>
    </row>
    <row r="16963" spans="1:3">
      <c r="A16963" s="571" t="s">
        <v>2363</v>
      </c>
      <c r="B16963" s="572">
        <v>10.102625</v>
      </c>
      <c r="C16963" s="572">
        <v>560.16999999999996</v>
      </c>
    </row>
    <row r="16964" spans="1:3">
      <c r="A16964" s="571" t="s">
        <v>2363</v>
      </c>
      <c r="B16964" s="572">
        <v>10.536541666666666</v>
      </c>
      <c r="C16964" s="572">
        <v>564.23400000000004</v>
      </c>
    </row>
    <row r="16965" spans="1:3">
      <c r="A16965" s="571" t="s">
        <v>2363</v>
      </c>
      <c r="B16965" s="572">
        <v>10.862</v>
      </c>
      <c r="C16965" s="572">
        <v>560.75300000000004</v>
      </c>
    </row>
    <row r="16966" spans="1:3">
      <c r="A16966" s="571" t="s">
        <v>2363</v>
      </c>
      <c r="B16966" s="572">
        <v>11.311416666666668</v>
      </c>
      <c r="C16966" s="572">
        <v>564.82899999999995</v>
      </c>
    </row>
    <row r="16967" spans="1:3">
      <c r="A16967" s="571" t="s">
        <v>2363</v>
      </c>
      <c r="B16967" s="572">
        <v>11.621374999999999</v>
      </c>
      <c r="C16967" s="572">
        <v>565.06700000000001</v>
      </c>
    </row>
    <row r="16968" spans="1:3">
      <c r="A16968" s="571" t="s">
        <v>2363</v>
      </c>
      <c r="B16968" s="572">
        <v>11.931291666666665</v>
      </c>
      <c r="C16968" s="572">
        <v>565.30499999999995</v>
      </c>
    </row>
    <row r="16969" spans="1:3">
      <c r="A16969" s="571" t="s">
        <v>2363</v>
      </c>
      <c r="B16969" s="572">
        <v>12.179291666666666</v>
      </c>
      <c r="C16969" s="572">
        <v>565.495</v>
      </c>
    </row>
    <row r="16970" spans="1:3">
      <c r="A16970" s="571" t="s">
        <v>2363</v>
      </c>
      <c r="B16970" s="572">
        <v>12.458249999999998</v>
      </c>
      <c r="C16970" s="572">
        <v>565.71</v>
      </c>
    </row>
    <row r="16971" spans="1:3">
      <c r="A16971" s="571" t="s">
        <v>2363</v>
      </c>
      <c r="B16971" s="572">
        <v>12.706166666666666</v>
      </c>
      <c r="C16971" s="572">
        <v>569.63099999999997</v>
      </c>
    </row>
    <row r="16972" spans="1:3">
      <c r="A16972" s="571" t="s">
        <v>2363</v>
      </c>
      <c r="B16972" s="572">
        <v>13.031625</v>
      </c>
      <c r="C16972" s="572">
        <v>566.15</v>
      </c>
    </row>
    <row r="16973" spans="1:3">
      <c r="A16973" s="571" t="s">
        <v>2363</v>
      </c>
      <c r="B16973" s="572">
        <v>13.419041666666667</v>
      </c>
      <c r="C16973" s="572">
        <v>570.178</v>
      </c>
    </row>
    <row r="16974" spans="1:3">
      <c r="A16974" s="571" t="s">
        <v>2363</v>
      </c>
      <c r="B16974" s="572">
        <v>13.744499999999999</v>
      </c>
      <c r="C16974" s="572">
        <v>570.428</v>
      </c>
    </row>
    <row r="16975" spans="1:3">
      <c r="A16975" s="571" t="s">
        <v>2365</v>
      </c>
      <c r="B16975" s="572">
        <v>2.4062499999999987E-3</v>
      </c>
      <c r="C16975" s="572">
        <v>7.6410799999999997</v>
      </c>
    </row>
    <row r="16976" spans="1:3">
      <c r="A16976" s="571" t="s">
        <v>2365</v>
      </c>
      <c r="B16976" s="572">
        <v>3.3054583333333359E-2</v>
      </c>
      <c r="C16976" s="572">
        <v>52.4407</v>
      </c>
    </row>
    <row r="16977" spans="1:3">
      <c r="A16977" s="571" t="s">
        <v>2365</v>
      </c>
      <c r="B16977" s="572">
        <v>6.3587083333333322E-2</v>
      </c>
      <c r="C16977" s="572">
        <v>112.166</v>
      </c>
    </row>
    <row r="16978" spans="1:3">
      <c r="A16978" s="571" t="s">
        <v>2365</v>
      </c>
      <c r="B16978" s="572">
        <v>0.10958833333333332</v>
      </c>
      <c r="C16978" s="572">
        <v>175.63399999999999</v>
      </c>
    </row>
    <row r="16979" spans="1:3">
      <c r="A16979" s="571" t="s">
        <v>2365</v>
      </c>
      <c r="B16979" s="572">
        <v>0.20208333333333331</v>
      </c>
      <c r="C16979" s="572">
        <v>239.13800000000001</v>
      </c>
    </row>
    <row r="16980" spans="1:3">
      <c r="A16980" s="571" t="s">
        <v>2365</v>
      </c>
      <c r="B16980" s="572">
        <v>0.3565666666666667</v>
      </c>
      <c r="C16980" s="572">
        <v>302.68900000000002</v>
      </c>
    </row>
    <row r="16981" spans="1:3">
      <c r="A16981" s="571" t="s">
        <v>2365</v>
      </c>
      <c r="B16981" s="572">
        <v>0.48011250000000005</v>
      </c>
      <c r="C16981" s="572">
        <v>358.75400000000002</v>
      </c>
    </row>
    <row r="16982" spans="1:3">
      <c r="A16982" s="571" t="s">
        <v>2365</v>
      </c>
      <c r="B16982" s="572">
        <v>0.6501541666666667</v>
      </c>
      <c r="C16982" s="572">
        <v>414.85500000000002</v>
      </c>
    </row>
    <row r="16983" spans="1:3">
      <c r="A16983" s="571" t="s">
        <v>2365</v>
      </c>
      <c r="B16983" s="572">
        <v>0.80478333333333341</v>
      </c>
      <c r="C16983" s="572">
        <v>459.75</v>
      </c>
    </row>
    <row r="16984" spans="1:3">
      <c r="A16984" s="571" t="s">
        <v>2365</v>
      </c>
      <c r="B16984" s="572">
        <v>1.0059041666666666</v>
      </c>
      <c r="C16984" s="572">
        <v>504.68</v>
      </c>
    </row>
    <row r="16985" spans="1:3">
      <c r="A16985" s="571" t="s">
        <v>2365</v>
      </c>
      <c r="B16985" s="572">
        <v>1.3155666666666668</v>
      </c>
      <c r="C16985" s="572">
        <v>542.23099999999999</v>
      </c>
    </row>
    <row r="16986" spans="1:3">
      <c r="A16986" s="571" t="s">
        <v>2365</v>
      </c>
      <c r="B16986" s="572">
        <v>1.5478875000000001</v>
      </c>
      <c r="C16986" s="572">
        <v>561.06600000000003</v>
      </c>
    </row>
    <row r="16987" spans="1:3">
      <c r="A16987" s="571" t="s">
        <v>2365</v>
      </c>
      <c r="B16987" s="572">
        <v>1.7957333333333336</v>
      </c>
      <c r="C16987" s="572">
        <v>576.18200000000002</v>
      </c>
    </row>
    <row r="16988" spans="1:3">
      <c r="A16988" s="571" t="s">
        <v>2365</v>
      </c>
      <c r="B16988" s="572">
        <v>2.0900416666666666</v>
      </c>
      <c r="C16988" s="572">
        <v>595.06399999999996</v>
      </c>
    </row>
    <row r="16989" spans="1:3">
      <c r="A16989" s="571" t="s">
        <v>2365</v>
      </c>
      <c r="B16989" s="572">
        <v>2.4463708333333334</v>
      </c>
      <c r="C16989" s="572">
        <v>610.26300000000003</v>
      </c>
    </row>
    <row r="16990" spans="1:3">
      <c r="A16990" s="571" t="s">
        <v>2365</v>
      </c>
      <c r="B16990" s="572">
        <v>2.8182</v>
      </c>
      <c r="C16990" s="572">
        <v>625.47400000000005</v>
      </c>
    </row>
    <row r="16991" spans="1:3">
      <c r="A16991" s="571" t="s">
        <v>2365</v>
      </c>
      <c r="B16991" s="572">
        <v>3.1745874999999999</v>
      </c>
      <c r="C16991" s="572">
        <v>633.21</v>
      </c>
    </row>
    <row r="16992" spans="1:3">
      <c r="A16992" s="571" t="s">
        <v>2365</v>
      </c>
      <c r="B16992" s="572">
        <v>3.5464416666666669</v>
      </c>
      <c r="C16992" s="572">
        <v>644.69000000000005</v>
      </c>
    </row>
    <row r="16993" spans="1:3">
      <c r="A16993" s="571" t="s">
        <v>2365</v>
      </c>
      <c r="B16993" s="572">
        <v>3.8099000000000003</v>
      </c>
      <c r="C16993" s="572">
        <v>644.89200000000005</v>
      </c>
    </row>
    <row r="16994" spans="1:3">
      <c r="A16994" s="571" t="s">
        <v>2365</v>
      </c>
      <c r="B16994" s="572">
        <v>4.1352500000000001</v>
      </c>
      <c r="C16994" s="572">
        <v>656.33600000000001</v>
      </c>
    </row>
    <row r="16995" spans="1:3">
      <c r="A16995" s="571" t="s">
        <v>2365</v>
      </c>
      <c r="B16995" s="572">
        <v>4.476166666666666</v>
      </c>
      <c r="C16995" s="572">
        <v>664.06</v>
      </c>
    </row>
    <row r="16996" spans="1:3">
      <c r="A16996" s="571" t="s">
        <v>2365</v>
      </c>
      <c r="B16996" s="572">
        <v>4.832583333333333</v>
      </c>
      <c r="C16996" s="572">
        <v>668.06500000000005</v>
      </c>
    </row>
    <row r="16997" spans="1:3">
      <c r="A16997" s="571" t="s">
        <v>2365</v>
      </c>
      <c r="B16997" s="572">
        <v>5.1734583333333326</v>
      </c>
      <c r="C16997" s="572">
        <v>675.78899999999999</v>
      </c>
    </row>
    <row r="16998" spans="1:3">
      <c r="A16998" s="571" t="s">
        <v>2365</v>
      </c>
      <c r="B16998" s="572">
        <v>5.5453333333333328</v>
      </c>
      <c r="C16998" s="572">
        <v>683.53800000000001</v>
      </c>
    </row>
    <row r="16999" spans="1:3">
      <c r="A16999" s="571" t="s">
        <v>2365</v>
      </c>
      <c r="B16999" s="572">
        <v>5.8707500000000001</v>
      </c>
      <c r="C16999" s="572">
        <v>691.25</v>
      </c>
    </row>
    <row r="17000" spans="1:3">
      <c r="A17000" s="571" t="s">
        <v>2365</v>
      </c>
      <c r="B17000" s="572">
        <v>6.1497083333333329</v>
      </c>
      <c r="C17000" s="572">
        <v>687.73299999999995</v>
      </c>
    </row>
    <row r="17001" spans="1:3">
      <c r="A17001" s="571" t="s">
        <v>2365</v>
      </c>
      <c r="B17001" s="572">
        <v>6.4751249999999994</v>
      </c>
      <c r="C17001" s="572">
        <v>691.71400000000006</v>
      </c>
    </row>
    <row r="17002" spans="1:3">
      <c r="A17002" s="571" t="s">
        <v>2365</v>
      </c>
      <c r="B17002" s="572">
        <v>6.8315416666666664</v>
      </c>
      <c r="C17002" s="572">
        <v>695.71900000000005</v>
      </c>
    </row>
    <row r="17003" spans="1:3">
      <c r="A17003" s="571" t="s">
        <v>2365</v>
      </c>
      <c r="B17003" s="572">
        <v>7.1724583333333323</v>
      </c>
      <c r="C17003" s="572">
        <v>699.71199999999999</v>
      </c>
    </row>
    <row r="17004" spans="1:3">
      <c r="A17004" s="571" t="s">
        <v>2365</v>
      </c>
      <c r="B17004" s="572">
        <v>7.5908749999999996</v>
      </c>
      <c r="C17004" s="572">
        <v>703.76400000000001</v>
      </c>
    </row>
    <row r="17005" spans="1:3">
      <c r="A17005" s="571" t="s">
        <v>2365</v>
      </c>
      <c r="B17005" s="572">
        <v>7.9317916666666672</v>
      </c>
      <c r="C17005" s="572">
        <v>707.75699999999995</v>
      </c>
    </row>
    <row r="17006" spans="1:3">
      <c r="A17006" s="571" t="s">
        <v>2365</v>
      </c>
      <c r="B17006" s="572">
        <v>8.2417499999999997</v>
      </c>
      <c r="C17006" s="572">
        <v>707.995</v>
      </c>
    </row>
    <row r="17007" spans="1:3">
      <c r="A17007" s="571" t="s">
        <v>2365</v>
      </c>
      <c r="B17007" s="572">
        <v>8.5206666666666653</v>
      </c>
      <c r="C17007" s="572">
        <v>711.94100000000003</v>
      </c>
    </row>
    <row r="17008" spans="1:3">
      <c r="A17008" s="571" t="s">
        <v>2365</v>
      </c>
      <c r="B17008" s="572">
        <v>8.8460833333333326</v>
      </c>
      <c r="C17008" s="572">
        <v>715.92200000000003</v>
      </c>
    </row>
    <row r="17009" spans="1:3">
      <c r="A17009" s="571" t="s">
        <v>2365</v>
      </c>
      <c r="B17009" s="572">
        <v>9.1715416666666663</v>
      </c>
      <c r="C17009" s="572">
        <v>716.17200000000003</v>
      </c>
    </row>
    <row r="17010" spans="1:3">
      <c r="A17010" s="571" t="s">
        <v>2365</v>
      </c>
      <c r="B17010" s="572">
        <v>9.4814999999999987</v>
      </c>
      <c r="C17010" s="572">
        <v>716.41</v>
      </c>
    </row>
    <row r="17011" spans="1:3">
      <c r="A17011" s="571" t="s">
        <v>2365</v>
      </c>
      <c r="B17011" s="572">
        <v>9.8069583333333323</v>
      </c>
      <c r="C17011" s="572">
        <v>716.65899999999999</v>
      </c>
    </row>
    <row r="17012" spans="1:3">
      <c r="A17012" s="571" t="s">
        <v>2365</v>
      </c>
      <c r="B17012" s="572">
        <v>10.163416666666667</v>
      </c>
      <c r="C17012" s="572">
        <v>716.93299999999999</v>
      </c>
    </row>
    <row r="17013" spans="1:3">
      <c r="A17013" s="571" t="s">
        <v>2365</v>
      </c>
      <c r="B17013" s="572">
        <v>10.535333333333332</v>
      </c>
      <c r="C17013" s="572">
        <v>717.21900000000005</v>
      </c>
    </row>
    <row r="17014" spans="1:3">
      <c r="A17014" s="571" t="s">
        <v>2365</v>
      </c>
      <c r="B17014" s="572">
        <v>10.860791666666666</v>
      </c>
      <c r="C17014" s="572">
        <v>717.46799999999996</v>
      </c>
    </row>
    <row r="17015" spans="1:3">
      <c r="A17015" s="571" t="s">
        <v>2365</v>
      </c>
      <c r="B17015" s="572">
        <v>11.170708333333334</v>
      </c>
      <c r="C17015" s="572">
        <v>721.43799999999999</v>
      </c>
    </row>
    <row r="17016" spans="1:3">
      <c r="A17016" s="571" t="s">
        <v>2365</v>
      </c>
      <c r="B17016" s="572">
        <v>11.542666666666666</v>
      </c>
      <c r="C17016" s="572">
        <v>721.72299999999996</v>
      </c>
    </row>
    <row r="17017" spans="1:3">
      <c r="A17017" s="571" t="s">
        <v>2365</v>
      </c>
      <c r="B17017" s="572">
        <v>11.914624999999999</v>
      </c>
      <c r="C17017" s="572">
        <v>718.27700000000004</v>
      </c>
    </row>
    <row r="17018" spans="1:3">
      <c r="A17018" s="571" t="s">
        <v>2365</v>
      </c>
      <c r="B17018" s="572">
        <v>12.255583333333332</v>
      </c>
      <c r="C17018" s="572">
        <v>718.53899999999999</v>
      </c>
    </row>
    <row r="17019" spans="1:3">
      <c r="A17019" s="571" t="s">
        <v>2365</v>
      </c>
      <c r="B17019" s="572">
        <v>12.596500000000001</v>
      </c>
      <c r="C17019" s="572">
        <v>722.53200000000004</v>
      </c>
    </row>
    <row r="17020" spans="1:3">
      <c r="A17020" s="571" t="s">
        <v>2365</v>
      </c>
      <c r="B17020" s="572">
        <v>12.952958333333333</v>
      </c>
      <c r="C17020" s="572">
        <v>722.80600000000004</v>
      </c>
    </row>
    <row r="17021" spans="1:3">
      <c r="A17021" s="571" t="s">
        <v>2365</v>
      </c>
      <c r="B17021" s="572">
        <v>13.309374999999999</v>
      </c>
      <c r="C17021" s="572">
        <v>726.81100000000004</v>
      </c>
    </row>
    <row r="17022" spans="1:3">
      <c r="A17022" s="571" t="s">
        <v>2365</v>
      </c>
      <c r="B17022" s="572">
        <v>13.634833333333331</v>
      </c>
      <c r="C17022" s="572">
        <v>723.32899999999995</v>
      </c>
    </row>
    <row r="17023" spans="1:3">
      <c r="A17023" s="571" t="s">
        <v>2365</v>
      </c>
      <c r="B17023" s="572">
        <v>13.774333333333333</v>
      </c>
      <c r="C17023" s="572">
        <v>723.43600000000004</v>
      </c>
    </row>
    <row r="17024" spans="1:3">
      <c r="A17024" s="48" t="s">
        <v>2366</v>
      </c>
      <c r="B17024" s="549">
        <v>-1.3091250000000026E-2</v>
      </c>
      <c r="C17024" s="549">
        <v>7.6291799999999999</v>
      </c>
    </row>
    <row r="17025" spans="1:3">
      <c r="A17025" s="571" t="s">
        <v>2366</v>
      </c>
      <c r="B17025" s="572">
        <v>1.9724999999999882E-3</v>
      </c>
      <c r="C17025" s="572">
        <v>63.610900000000001</v>
      </c>
    </row>
    <row r="17026" spans="1:3">
      <c r="A17026" s="571" t="s">
        <v>2366</v>
      </c>
      <c r="B17026" s="572">
        <v>4.8002916666666645E-2</v>
      </c>
      <c r="C17026" s="572">
        <v>123.348</v>
      </c>
    </row>
    <row r="17027" spans="1:3">
      <c r="A17027" s="571" t="s">
        <v>2366</v>
      </c>
      <c r="B17027" s="572">
        <v>9.4061666666666627E-2</v>
      </c>
      <c r="C17027" s="572">
        <v>179.35300000000001</v>
      </c>
    </row>
    <row r="17028" spans="1:3">
      <c r="A17028" s="571" t="s">
        <v>2366</v>
      </c>
      <c r="B17028" s="572">
        <v>0.17108708333333331</v>
      </c>
      <c r="C17028" s="572">
        <v>239.114</v>
      </c>
    </row>
    <row r="17029" spans="1:3">
      <c r="A17029" s="571" t="s">
        <v>2366</v>
      </c>
      <c r="B17029" s="572">
        <v>0.23269999999999993</v>
      </c>
      <c r="C17029" s="572">
        <v>287.66899999999998</v>
      </c>
    </row>
    <row r="17030" spans="1:3">
      <c r="A17030" s="571" t="s">
        <v>2366</v>
      </c>
      <c r="B17030" s="572">
        <v>0.3562791666666667</v>
      </c>
      <c r="C17030" s="572">
        <v>340.00200000000001</v>
      </c>
    </row>
    <row r="17031" spans="1:3">
      <c r="A17031" s="571" t="s">
        <v>2366</v>
      </c>
      <c r="B17031" s="572">
        <v>0.51082083333333328</v>
      </c>
      <c r="C17031" s="572">
        <v>396.09100000000001</v>
      </c>
    </row>
    <row r="17032" spans="1:3">
      <c r="A17032" s="571" t="s">
        <v>2366</v>
      </c>
      <c r="B17032" s="572">
        <v>0.60348749999999995</v>
      </c>
      <c r="C17032" s="572">
        <v>437.20699999999999</v>
      </c>
    </row>
    <row r="17033" spans="1:3">
      <c r="A17033" s="571" t="s">
        <v>2366</v>
      </c>
      <c r="B17033" s="572">
        <v>0.74259166666666665</v>
      </c>
      <c r="C17033" s="572">
        <v>485.82100000000003</v>
      </c>
    </row>
    <row r="17034" spans="1:3">
      <c r="A17034" s="571" t="s">
        <v>2366</v>
      </c>
      <c r="B17034" s="572">
        <v>0.89716250000000008</v>
      </c>
      <c r="C17034" s="572">
        <v>538.17899999999997</v>
      </c>
    </row>
    <row r="17035" spans="1:3">
      <c r="A17035" s="571" t="s">
        <v>2366</v>
      </c>
      <c r="B17035" s="572">
        <v>1.0827583333333333</v>
      </c>
      <c r="C17035" s="572">
        <v>586.82899999999995</v>
      </c>
    </row>
    <row r="17036" spans="1:3">
      <c r="A17036" s="571" t="s">
        <v>2366</v>
      </c>
      <c r="B17036" s="572">
        <v>1.284025</v>
      </c>
      <c r="C17036" s="572">
        <v>613.10199999999998</v>
      </c>
    </row>
    <row r="17037" spans="1:3">
      <c r="A17037" s="571" t="s">
        <v>2366</v>
      </c>
      <c r="B17037" s="572">
        <v>1.5473083333333333</v>
      </c>
      <c r="C17037" s="572">
        <v>635.69299999999998</v>
      </c>
    </row>
    <row r="17038" spans="1:3">
      <c r="A17038" s="571" t="s">
        <v>2366</v>
      </c>
      <c r="B17038" s="572">
        <v>1.8105666666666664</v>
      </c>
      <c r="C17038" s="572">
        <v>662.01400000000001</v>
      </c>
    </row>
    <row r="17039" spans="1:3">
      <c r="A17039" s="571" t="s">
        <v>2366</v>
      </c>
      <c r="B17039" s="572">
        <v>2.0738500000000002</v>
      </c>
      <c r="C17039" s="572">
        <v>684.60400000000004</v>
      </c>
    </row>
    <row r="17040" spans="1:3">
      <c r="A17040" s="571" t="s">
        <v>2366</v>
      </c>
      <c r="B17040" s="572">
        <v>2.3526375000000002</v>
      </c>
      <c r="C17040" s="572">
        <v>707.20600000000002</v>
      </c>
    </row>
    <row r="17041" spans="1:3">
      <c r="A17041" s="571" t="s">
        <v>2366</v>
      </c>
      <c r="B17041" s="572">
        <v>2.6158916666666667</v>
      </c>
      <c r="C17041" s="572">
        <v>733.52800000000002</v>
      </c>
    </row>
    <row r="17042" spans="1:3">
      <c r="A17042" s="571" t="s">
        <v>2366</v>
      </c>
      <c r="B17042" s="572">
        <v>2.9101458333333334</v>
      </c>
      <c r="C17042" s="572">
        <v>759.87300000000005</v>
      </c>
    </row>
    <row r="17043" spans="1:3">
      <c r="A17043" s="571" t="s">
        <v>2366</v>
      </c>
      <c r="B17043" s="572">
        <v>3.2044541666666668</v>
      </c>
      <c r="C17043" s="572">
        <v>778.75599999999997</v>
      </c>
    </row>
    <row r="17044" spans="1:3">
      <c r="A17044" s="571" t="s">
        <v>2366</v>
      </c>
      <c r="B17044" s="572">
        <v>3.4832375</v>
      </c>
      <c r="C17044" s="572">
        <v>801.35799999999995</v>
      </c>
    </row>
    <row r="17045" spans="1:3">
      <c r="A17045" s="571" t="s">
        <v>2366</v>
      </c>
      <c r="B17045" s="572">
        <v>3.7310541666666666</v>
      </c>
      <c r="C17045" s="572">
        <v>820.20500000000004</v>
      </c>
    </row>
    <row r="17046" spans="1:3">
      <c r="A17046" s="571" t="s">
        <v>2366</v>
      </c>
      <c r="B17046" s="572">
        <v>4.0253749999999995</v>
      </c>
      <c r="C17046" s="572">
        <v>839.08699999999999</v>
      </c>
    </row>
    <row r="17047" spans="1:3">
      <c r="A17047" s="571" t="s">
        <v>2366</v>
      </c>
      <c r="B17047" s="572">
        <v>4.3042083333333325</v>
      </c>
      <c r="C17047" s="572">
        <v>854.22699999999998</v>
      </c>
    </row>
    <row r="17048" spans="1:3">
      <c r="A17048" s="571" t="s">
        <v>2366</v>
      </c>
      <c r="B17048" s="572">
        <v>4.5830416666666665</v>
      </c>
      <c r="C17048" s="572">
        <v>869.36599999999999</v>
      </c>
    </row>
    <row r="17049" spans="1:3">
      <c r="A17049" s="571" t="s">
        <v>2366</v>
      </c>
      <c r="B17049" s="572">
        <v>4.815458333333333</v>
      </c>
      <c r="C17049" s="572">
        <v>877.00699999999995</v>
      </c>
    </row>
    <row r="17050" spans="1:3">
      <c r="A17050" s="571" t="s">
        <v>2366</v>
      </c>
      <c r="B17050" s="572">
        <v>5.1562083333333328</v>
      </c>
      <c r="C17050" s="572">
        <v>899.65700000000004</v>
      </c>
    </row>
    <row r="17051" spans="1:3">
      <c r="A17051" s="571" t="s">
        <v>2366</v>
      </c>
      <c r="B17051" s="572">
        <v>5.5744999999999996</v>
      </c>
      <c r="C17051" s="572">
        <v>918.63499999999999</v>
      </c>
    </row>
    <row r="17052" spans="1:3">
      <c r="A17052" s="571" t="s">
        <v>2366</v>
      </c>
      <c r="B17052" s="572">
        <v>5.8688749999999992</v>
      </c>
      <c r="C17052" s="572">
        <v>933.78599999999994</v>
      </c>
    </row>
    <row r="17053" spans="1:3">
      <c r="A17053" s="571" t="s">
        <v>2366</v>
      </c>
      <c r="B17053" s="572">
        <v>6.2407083333333331</v>
      </c>
      <c r="C17053" s="572">
        <v>945.26499999999999</v>
      </c>
    </row>
    <row r="17054" spans="1:3">
      <c r="A17054" s="571" t="s">
        <v>2366</v>
      </c>
      <c r="B17054" s="572">
        <v>6.5660833333333324</v>
      </c>
      <c r="C17054" s="572">
        <v>956.70899999999995</v>
      </c>
    </row>
    <row r="17055" spans="1:3">
      <c r="A17055" s="571" t="s">
        <v>2366</v>
      </c>
      <c r="B17055" s="572">
        <v>6.9069166666666666</v>
      </c>
      <c r="C17055" s="572">
        <v>968.16499999999996</v>
      </c>
    </row>
    <row r="17056" spans="1:3">
      <c r="A17056" s="571" t="s">
        <v>2366</v>
      </c>
      <c r="B17056" s="572">
        <v>7.2787499999999996</v>
      </c>
      <c r="C17056" s="572">
        <v>983.37599999999998</v>
      </c>
    </row>
    <row r="17057" spans="1:3">
      <c r="A17057" s="571" t="s">
        <v>2366</v>
      </c>
      <c r="B17057" s="572">
        <v>7.5886249999999995</v>
      </c>
      <c r="C17057" s="572">
        <v>994.80700000000002</v>
      </c>
    </row>
    <row r="17058" spans="1:3">
      <c r="A17058" s="571" t="s">
        <v>2366</v>
      </c>
      <c r="B17058" s="572">
        <v>7.944958333333334</v>
      </c>
      <c r="C17058" s="572">
        <v>1010.01</v>
      </c>
    </row>
    <row r="17059" spans="1:3">
      <c r="A17059" s="571" t="s">
        <v>2366</v>
      </c>
      <c r="B17059" s="572">
        <v>8.2238749999999996</v>
      </c>
      <c r="C17059" s="572">
        <v>1017.68</v>
      </c>
    </row>
    <row r="17060" spans="1:3">
      <c r="A17060" s="571" t="s">
        <v>2366</v>
      </c>
      <c r="B17060" s="572">
        <v>8.5337916666666658</v>
      </c>
      <c r="C17060" s="572">
        <v>1021.65</v>
      </c>
    </row>
    <row r="17061" spans="1:3">
      <c r="A17061" s="571" t="s">
        <v>2366</v>
      </c>
      <c r="B17061" s="572">
        <v>8.828125</v>
      </c>
      <c r="C17061" s="572">
        <v>1036.8</v>
      </c>
    </row>
    <row r="17062" spans="1:3">
      <c r="A17062" s="571" t="s">
        <v>2366</v>
      </c>
      <c r="B17062" s="572">
        <v>9.1689999999999987</v>
      </c>
      <c r="C17062" s="572">
        <v>1044.53</v>
      </c>
    </row>
    <row r="17063" spans="1:3">
      <c r="A17063" s="571" t="s">
        <v>2366</v>
      </c>
      <c r="B17063" s="572">
        <v>9.5098749999999992</v>
      </c>
      <c r="C17063" s="572">
        <v>1055.98</v>
      </c>
    </row>
    <row r="17064" spans="1:3">
      <c r="A17064" s="571" t="s">
        <v>2366</v>
      </c>
      <c r="B17064" s="572">
        <v>9.8507499999999997</v>
      </c>
      <c r="C17064" s="572">
        <v>1063.71</v>
      </c>
    </row>
    <row r="17065" spans="1:3">
      <c r="A17065" s="571" t="s">
        <v>2366</v>
      </c>
      <c r="B17065" s="572">
        <v>10.176166666666665</v>
      </c>
      <c r="C17065" s="572">
        <v>1071.42</v>
      </c>
    </row>
    <row r="17066" spans="1:3">
      <c r="A17066" s="571" t="s">
        <v>2366</v>
      </c>
      <c r="B17066" s="572">
        <v>10.470583333333334</v>
      </c>
      <c r="C17066" s="572">
        <v>1075.3800000000001</v>
      </c>
    </row>
    <row r="17067" spans="1:3">
      <c r="A17067" s="571" t="s">
        <v>2366</v>
      </c>
      <c r="B17067" s="572">
        <v>10.842416666666667</v>
      </c>
      <c r="C17067" s="572">
        <v>1086.8599999999999</v>
      </c>
    </row>
    <row r="17068" spans="1:3">
      <c r="A17068" s="571" t="s">
        <v>2366</v>
      </c>
      <c r="B17068" s="572">
        <v>11.214291666666666</v>
      </c>
      <c r="C17068" s="572">
        <v>1098.3399999999999</v>
      </c>
    </row>
    <row r="17069" spans="1:3">
      <c r="A17069" s="571" t="s">
        <v>2366</v>
      </c>
      <c r="B17069" s="572">
        <v>11.601625</v>
      </c>
      <c r="C17069" s="572">
        <v>1109.83</v>
      </c>
    </row>
    <row r="17070" spans="1:3">
      <c r="A17070" s="571" t="s">
        <v>2366</v>
      </c>
      <c r="B17070" s="572">
        <v>11.973541666666666</v>
      </c>
      <c r="C17070" s="572">
        <v>1113.8399999999999</v>
      </c>
    </row>
    <row r="17071" spans="1:3">
      <c r="A17071" s="571" t="s">
        <v>2366</v>
      </c>
      <c r="B17071" s="572">
        <v>12.422916666666667</v>
      </c>
      <c r="C17071" s="572">
        <v>1125.3800000000001</v>
      </c>
    </row>
    <row r="17072" spans="1:3">
      <c r="A17072" s="571" t="s">
        <v>2366</v>
      </c>
      <c r="B17072" s="572">
        <v>12.825791666666666</v>
      </c>
      <c r="C17072" s="572">
        <v>1129.42</v>
      </c>
    </row>
    <row r="17073" spans="1:3">
      <c r="A17073" s="571" t="s">
        <v>2366</v>
      </c>
      <c r="B17073" s="572">
        <v>13.197708333333333</v>
      </c>
      <c r="C17073" s="572">
        <v>1137.17</v>
      </c>
    </row>
    <row r="17074" spans="1:3">
      <c r="A17074" s="571" t="s">
        <v>2366</v>
      </c>
      <c r="B17074" s="572">
        <v>13.492166666666666</v>
      </c>
      <c r="C17074" s="572">
        <v>1137.4000000000001</v>
      </c>
    </row>
    <row r="17075" spans="1:3">
      <c r="A17075" s="571" t="s">
        <v>2366</v>
      </c>
      <c r="B17075" s="572">
        <v>13.709083333333334</v>
      </c>
      <c r="C17075" s="572">
        <v>1141.3</v>
      </c>
    </row>
    <row r="17076" spans="1:3">
      <c r="A17076" s="48" t="s">
        <v>2367</v>
      </c>
      <c r="B17076" s="549">
        <v>-3.5250000000000004E-3</v>
      </c>
      <c r="C17076" s="549">
        <v>63.598999999999997</v>
      </c>
    </row>
    <row r="17077" spans="1:3">
      <c r="A17077" s="48" t="s">
        <v>2367</v>
      </c>
      <c r="B17077" s="549">
        <v>-3.0912500000000176E-3</v>
      </c>
      <c r="C17077" s="549">
        <v>7.6291799999999999</v>
      </c>
    </row>
    <row r="17078" spans="1:3">
      <c r="A17078" s="571" t="s">
        <v>2367</v>
      </c>
      <c r="B17078" s="572">
        <v>4.25629166666667E-2</v>
      </c>
      <c r="C17078" s="572">
        <v>115.873</v>
      </c>
    </row>
    <row r="17079" spans="1:3">
      <c r="A17079" s="571" t="s">
        <v>2367</v>
      </c>
      <c r="B17079" s="572">
        <v>7.3211249999999978E-2</v>
      </c>
      <c r="C17079" s="572">
        <v>160.673</v>
      </c>
    </row>
    <row r="17080" spans="1:3">
      <c r="A17080" s="571" t="s">
        <v>2367</v>
      </c>
      <c r="B17080" s="572">
        <v>0.15026541666666662</v>
      </c>
      <c r="C17080" s="572">
        <v>216.702</v>
      </c>
    </row>
    <row r="17081" spans="1:3">
      <c r="A17081" s="571" t="s">
        <v>2367</v>
      </c>
      <c r="B17081" s="572">
        <v>0.22729166666666664</v>
      </c>
      <c r="C17081" s="572">
        <v>276.46300000000002</v>
      </c>
    </row>
    <row r="17082" spans="1:3">
      <c r="A17082" s="571" t="s">
        <v>2367</v>
      </c>
      <c r="B17082" s="572">
        <v>0.36633750000000009</v>
      </c>
      <c r="C17082" s="572">
        <v>332.54</v>
      </c>
    </row>
    <row r="17083" spans="1:3">
      <c r="A17083" s="571" t="s">
        <v>2367</v>
      </c>
      <c r="B17083" s="572">
        <v>0.47441250000000001</v>
      </c>
      <c r="C17083" s="572">
        <v>384.86099999999999</v>
      </c>
    </row>
    <row r="17084" spans="1:3">
      <c r="A17084" s="571" t="s">
        <v>2367</v>
      </c>
      <c r="B17084" s="572">
        <v>0.62901250000000009</v>
      </c>
      <c r="C17084" s="572">
        <v>433.488</v>
      </c>
    </row>
    <row r="17085" spans="1:3">
      <c r="A17085" s="571" t="s">
        <v>2367</v>
      </c>
      <c r="B17085" s="572">
        <v>0.75256250000000002</v>
      </c>
      <c r="C17085" s="572">
        <v>489.55200000000002</v>
      </c>
    </row>
    <row r="17086" spans="1:3">
      <c r="A17086" s="571" t="s">
        <v>2367</v>
      </c>
      <c r="B17086" s="572">
        <v>0.87622500000000003</v>
      </c>
      <c r="C17086" s="572">
        <v>530.69200000000001</v>
      </c>
    </row>
    <row r="17087" spans="1:3">
      <c r="A17087" s="571" t="s">
        <v>2367</v>
      </c>
      <c r="B17087" s="572">
        <v>0.99980000000000002</v>
      </c>
      <c r="C17087" s="572">
        <v>583.02599999999995</v>
      </c>
    </row>
    <row r="17088" spans="1:3">
      <c r="A17088" s="571" t="s">
        <v>2367</v>
      </c>
      <c r="B17088" s="572">
        <v>1.1854541666666667</v>
      </c>
      <c r="C17088" s="572">
        <v>624.21299999999997</v>
      </c>
    </row>
    <row r="17089" spans="1:3">
      <c r="A17089" s="571" t="s">
        <v>2367</v>
      </c>
      <c r="B17089" s="572">
        <v>1.3711625000000001</v>
      </c>
      <c r="C17089" s="572">
        <v>657.93799999999999</v>
      </c>
    </row>
    <row r="17090" spans="1:3">
      <c r="A17090" s="571" t="s">
        <v>2367</v>
      </c>
      <c r="B17090" s="572">
        <v>1.5568750000000002</v>
      </c>
      <c r="C17090" s="572">
        <v>691.66200000000003</v>
      </c>
    </row>
    <row r="17091" spans="1:3">
      <c r="A17091" s="571" t="s">
        <v>2367</v>
      </c>
      <c r="B17091" s="572">
        <v>1.7735833333333333</v>
      </c>
      <c r="C17091" s="572">
        <v>725.41099999999994</v>
      </c>
    </row>
    <row r="17092" spans="1:3">
      <c r="A17092" s="571" t="s">
        <v>2367</v>
      </c>
      <c r="B17092" s="572">
        <v>1.9438250000000001</v>
      </c>
      <c r="C17092" s="572">
        <v>755.39200000000005</v>
      </c>
    </row>
    <row r="17093" spans="1:3">
      <c r="A17093" s="571" t="s">
        <v>2367</v>
      </c>
      <c r="B17093" s="572">
        <v>2.1450624999999999</v>
      </c>
      <c r="C17093" s="572">
        <v>785.39700000000005</v>
      </c>
    </row>
    <row r="17094" spans="1:3">
      <c r="A17094" s="571" t="s">
        <v>2367</v>
      </c>
      <c r="B17094" s="572">
        <v>2.3617083333333331</v>
      </c>
      <c r="C17094" s="572">
        <v>826.60900000000004</v>
      </c>
    </row>
    <row r="17095" spans="1:3">
      <c r="A17095" s="571" t="s">
        <v>2367</v>
      </c>
      <c r="B17095" s="572">
        <v>2.624908333333333</v>
      </c>
      <c r="C17095" s="572">
        <v>860.39300000000003</v>
      </c>
    </row>
    <row r="17096" spans="1:3">
      <c r="A17096" s="571" t="s">
        <v>2367</v>
      </c>
      <c r="B17096" s="572">
        <v>2.8260874999999999</v>
      </c>
      <c r="C17096" s="572">
        <v>897.86099999999999</v>
      </c>
    </row>
    <row r="17097" spans="1:3">
      <c r="A17097" s="571" t="s">
        <v>2367</v>
      </c>
      <c r="B17097" s="572">
        <v>3.0892874999999997</v>
      </c>
      <c r="C17097" s="572">
        <v>931.64499999999998</v>
      </c>
    </row>
    <row r="17098" spans="1:3">
      <c r="A17098" s="571" t="s">
        <v>2367</v>
      </c>
      <c r="B17098" s="572">
        <v>3.3059958333333332</v>
      </c>
      <c r="C17098" s="572">
        <v>965.39300000000003</v>
      </c>
    </row>
    <row r="17099" spans="1:3">
      <c r="A17099" s="571" t="s">
        <v>2367</v>
      </c>
      <c r="B17099" s="572">
        <v>3.5382291666666665</v>
      </c>
      <c r="C17099" s="572">
        <v>995.42200000000003</v>
      </c>
    </row>
    <row r="17100" spans="1:3">
      <c r="A17100" s="571" t="s">
        <v>2367</v>
      </c>
      <c r="B17100" s="572">
        <v>3.7859583333333329</v>
      </c>
      <c r="C17100" s="572">
        <v>1025.46</v>
      </c>
    </row>
    <row r="17101" spans="1:3">
      <c r="A17101" s="571" t="s">
        <v>2367</v>
      </c>
      <c r="B17101" s="572">
        <v>4.0956250000000001</v>
      </c>
      <c r="C17101" s="572">
        <v>1063.01</v>
      </c>
    </row>
    <row r="17102" spans="1:3">
      <c r="A17102" s="571" t="s">
        <v>2367</v>
      </c>
      <c r="B17102" s="572">
        <v>4.3278750000000006</v>
      </c>
      <c r="C17102" s="572">
        <v>1089.31</v>
      </c>
    </row>
    <row r="17103" spans="1:3">
      <c r="A17103" s="571" t="s">
        <v>2367</v>
      </c>
      <c r="B17103" s="572">
        <v>4.5601666666666674</v>
      </c>
      <c r="C17103" s="572">
        <v>1111.8800000000001</v>
      </c>
    </row>
    <row r="17104" spans="1:3">
      <c r="A17104" s="571" t="s">
        <v>2367</v>
      </c>
      <c r="B17104" s="572">
        <v>4.7925000000000004</v>
      </c>
      <c r="C17104" s="572">
        <v>1130.71</v>
      </c>
    </row>
    <row r="17105" spans="1:3">
      <c r="A17105" s="571" t="s">
        <v>2367</v>
      </c>
      <c r="B17105" s="572">
        <v>4.9937916666666666</v>
      </c>
      <c r="C17105" s="572">
        <v>1153.26</v>
      </c>
    </row>
    <row r="17106" spans="1:3">
      <c r="A17106" s="571" t="s">
        <v>2367</v>
      </c>
      <c r="B17106" s="572">
        <v>5.3190833333333334</v>
      </c>
      <c r="C17106" s="572">
        <v>1175.8900000000001</v>
      </c>
    </row>
    <row r="17107" spans="1:3">
      <c r="A17107" s="571" t="s">
        <v>2367</v>
      </c>
      <c r="B17107" s="572">
        <v>5.5668333333333333</v>
      </c>
      <c r="C17107" s="572">
        <v>1198.47</v>
      </c>
    </row>
    <row r="17108" spans="1:3">
      <c r="A17108" s="571" t="s">
        <v>2367</v>
      </c>
      <c r="B17108" s="572">
        <v>5.8146249999999995</v>
      </c>
      <c r="C17108" s="572">
        <v>1221.05</v>
      </c>
    </row>
    <row r="17109" spans="1:3">
      <c r="A17109" s="571" t="s">
        <v>2367</v>
      </c>
      <c r="B17109" s="572">
        <v>6.1089583333333337</v>
      </c>
      <c r="C17109" s="572">
        <v>1239.93</v>
      </c>
    </row>
    <row r="17110" spans="1:3">
      <c r="A17110" s="571" t="s">
        <v>2367</v>
      </c>
      <c r="B17110" s="572">
        <v>6.3722500000000002</v>
      </c>
      <c r="C17110" s="572">
        <v>1258.79</v>
      </c>
    </row>
    <row r="17111" spans="1:3">
      <c r="A17111" s="571" t="s">
        <v>2367</v>
      </c>
      <c r="B17111" s="572">
        <v>6.6665416666666664</v>
      </c>
      <c r="C17111" s="572">
        <v>1281.4100000000001</v>
      </c>
    </row>
    <row r="17112" spans="1:3">
      <c r="A17112" s="571" t="s">
        <v>2367</v>
      </c>
      <c r="B17112" s="572">
        <v>6.9609583333333331</v>
      </c>
      <c r="C17112" s="572">
        <v>1289.0899999999999</v>
      </c>
    </row>
    <row r="17113" spans="1:3">
      <c r="A17113" s="571" t="s">
        <v>2367</v>
      </c>
      <c r="B17113" s="572">
        <v>7.2552500000000002</v>
      </c>
      <c r="C17113" s="572">
        <v>1307.98</v>
      </c>
    </row>
    <row r="17114" spans="1:3">
      <c r="A17114" s="571" t="s">
        <v>2367</v>
      </c>
      <c r="B17114" s="572">
        <v>7.580541666666667</v>
      </c>
      <c r="C17114" s="572">
        <v>1330.61</v>
      </c>
    </row>
    <row r="17115" spans="1:3">
      <c r="A17115" s="571" t="s">
        <v>2367</v>
      </c>
      <c r="B17115" s="572">
        <v>7.874833333333334</v>
      </c>
      <c r="C17115" s="572">
        <v>1349.5</v>
      </c>
    </row>
    <row r="17116" spans="1:3">
      <c r="A17116" s="571" t="s">
        <v>2367</v>
      </c>
      <c r="B17116" s="572">
        <v>8.2311666666666667</v>
      </c>
      <c r="C17116" s="572">
        <v>1364.7</v>
      </c>
    </row>
    <row r="17117" spans="1:3">
      <c r="A17117" s="571" t="s">
        <v>2367</v>
      </c>
      <c r="B17117" s="572">
        <v>8.5564999999999998</v>
      </c>
      <c r="C17117" s="572">
        <v>1379.87</v>
      </c>
    </row>
    <row r="17118" spans="1:3">
      <c r="A17118" s="571" t="s">
        <v>2367</v>
      </c>
      <c r="B17118" s="572">
        <v>8.8198333333333316</v>
      </c>
      <c r="C17118" s="572">
        <v>1398.73</v>
      </c>
    </row>
    <row r="17119" spans="1:3">
      <c r="A17119" s="571" t="s">
        <v>2367</v>
      </c>
      <c r="B17119" s="572">
        <v>9.1606666666666658</v>
      </c>
      <c r="C17119" s="572">
        <v>1410.19</v>
      </c>
    </row>
    <row r="17120" spans="1:3">
      <c r="A17120" s="571" t="s">
        <v>2367</v>
      </c>
      <c r="B17120" s="572">
        <v>9.5015000000000001</v>
      </c>
      <c r="C17120" s="572">
        <v>1429.1</v>
      </c>
    </row>
    <row r="17121" spans="1:3">
      <c r="A17121" s="571" t="s">
        <v>2367</v>
      </c>
      <c r="B17121" s="572">
        <v>9.8268749999999994</v>
      </c>
      <c r="C17121" s="572">
        <v>1436.82</v>
      </c>
    </row>
    <row r="17122" spans="1:3">
      <c r="A17122" s="571" t="s">
        <v>2367</v>
      </c>
      <c r="B17122" s="572">
        <v>10.105708333333332</v>
      </c>
      <c r="C17122" s="572">
        <v>1451.96</v>
      </c>
    </row>
    <row r="17123" spans="1:3">
      <c r="A17123" s="571" t="s">
        <v>2367</v>
      </c>
      <c r="B17123" s="572">
        <v>10.431083333333333</v>
      </c>
      <c r="C17123" s="572">
        <v>1463.4</v>
      </c>
    </row>
    <row r="17124" spans="1:3">
      <c r="A17124" s="571" t="s">
        <v>2367</v>
      </c>
      <c r="B17124" s="572">
        <v>10.709958333333333</v>
      </c>
      <c r="C17124" s="572">
        <v>1471.08</v>
      </c>
    </row>
    <row r="17125" spans="1:3">
      <c r="A17125" s="571" t="s">
        <v>2367</v>
      </c>
      <c r="B17125" s="572">
        <v>11.066291666666665</v>
      </c>
      <c r="C17125" s="572">
        <v>1490.01</v>
      </c>
    </row>
    <row r="17126" spans="1:3">
      <c r="A17126" s="571" t="s">
        <v>2367</v>
      </c>
      <c r="B17126" s="572">
        <v>11.376166666666666</v>
      </c>
      <c r="C17126" s="572">
        <v>1497.71</v>
      </c>
    </row>
    <row r="17127" spans="1:3">
      <c r="A17127" s="571" t="s">
        <v>2367</v>
      </c>
      <c r="B17127" s="572">
        <v>11.593083333333333</v>
      </c>
      <c r="C17127" s="572">
        <v>1505.34</v>
      </c>
    </row>
    <row r="17128" spans="1:3">
      <c r="A17128" s="571" t="s">
        <v>2367</v>
      </c>
      <c r="B17128" s="572">
        <v>11.933958333333333</v>
      </c>
      <c r="C17128" s="572">
        <v>1513.06</v>
      </c>
    </row>
    <row r="17129" spans="1:3">
      <c r="A17129" s="571" t="s">
        <v>2367</v>
      </c>
      <c r="B17129" s="572">
        <v>12.321333333333333</v>
      </c>
      <c r="C17129" s="572">
        <v>1520.82</v>
      </c>
    </row>
    <row r="17130" spans="1:3">
      <c r="A17130" s="571" t="s">
        <v>2367</v>
      </c>
      <c r="B17130" s="572">
        <v>12.631166666666665</v>
      </c>
      <c r="C17130" s="572">
        <v>1535.98</v>
      </c>
    </row>
    <row r="17131" spans="1:3">
      <c r="A17131" s="571" t="s">
        <v>2367</v>
      </c>
      <c r="B17131" s="572">
        <v>12.972041666666666</v>
      </c>
      <c r="C17131" s="572">
        <v>1547.44</v>
      </c>
    </row>
    <row r="17132" spans="1:3">
      <c r="A17132" s="571" t="s">
        <v>2367</v>
      </c>
      <c r="B17132" s="572">
        <v>13.297458333333331</v>
      </c>
      <c r="C17132" s="572">
        <v>1555.15</v>
      </c>
    </row>
    <row r="17133" spans="1:3">
      <c r="A17133" s="571" t="s">
        <v>2367</v>
      </c>
      <c r="B17133" s="572">
        <v>13.715791666666666</v>
      </c>
      <c r="C17133" s="572">
        <v>1566.67</v>
      </c>
    </row>
    <row r="17134" spans="1:3">
      <c r="A17134" s="571" t="s">
        <v>2368</v>
      </c>
      <c r="B17134" s="572">
        <v>0.42314099999999999</v>
      </c>
      <c r="C17134" s="572">
        <v>1.84697</v>
      </c>
    </row>
    <row r="17135" spans="1:3">
      <c r="A17135" s="571" t="s">
        <v>2368</v>
      </c>
      <c r="B17135" s="572">
        <v>0.58298799999999995</v>
      </c>
      <c r="C17135" s="572">
        <v>12.928800000000001</v>
      </c>
    </row>
    <row r="17136" spans="1:3">
      <c r="A17136" s="571" t="s">
        <v>2368</v>
      </c>
      <c r="B17136" s="572">
        <v>0.79742000000000002</v>
      </c>
      <c r="C17136" s="572">
        <v>49.868099999999998</v>
      </c>
    </row>
    <row r="17137" spans="1:3">
      <c r="A17137" s="571" t="s">
        <v>2368</v>
      </c>
      <c r="B17137" s="572">
        <v>0.85577499999999995</v>
      </c>
      <c r="C17137" s="572">
        <v>121.9</v>
      </c>
    </row>
    <row r="17138" spans="1:3">
      <c r="A17138" s="571" t="s">
        <v>2368</v>
      </c>
      <c r="B17138" s="572">
        <v>1.01674</v>
      </c>
      <c r="C17138" s="572">
        <v>151.45099999999999</v>
      </c>
    </row>
    <row r="17139" spans="1:3">
      <c r="A17139" s="571" t="s">
        <v>2368</v>
      </c>
      <c r="B17139" s="572">
        <v>1.17631</v>
      </c>
      <c r="C17139" s="572">
        <v>162.53299999999999</v>
      </c>
    </row>
    <row r="17140" spans="1:3">
      <c r="A17140" s="571" t="s">
        <v>2368</v>
      </c>
      <c r="B17140" s="572">
        <v>1.28268</v>
      </c>
      <c r="C17140" s="572">
        <v>169.92099999999999</v>
      </c>
    </row>
    <row r="17141" spans="1:3">
      <c r="A17141" s="571" t="s">
        <v>2368</v>
      </c>
      <c r="B17141" s="572">
        <v>1.4425300000000001</v>
      </c>
      <c r="C17141" s="572">
        <v>184.697</v>
      </c>
    </row>
    <row r="17142" spans="1:3">
      <c r="A17142" s="571" t="s">
        <v>2368</v>
      </c>
      <c r="B17142" s="572">
        <v>1.60168</v>
      </c>
      <c r="C17142" s="572">
        <v>190.23699999999999</v>
      </c>
    </row>
    <row r="17143" spans="1:3">
      <c r="A17143" s="571" t="s">
        <v>2368</v>
      </c>
      <c r="B17143" s="572">
        <v>1.9194199999999999</v>
      </c>
      <c r="C17143" s="572">
        <v>193.93100000000001</v>
      </c>
    </row>
    <row r="17144" spans="1:3">
      <c r="A17144" s="571" t="s">
        <v>2368</v>
      </c>
      <c r="B17144" s="572">
        <v>2.1316199999999998</v>
      </c>
      <c r="C17144" s="572">
        <v>201.31899999999999</v>
      </c>
    </row>
    <row r="17145" spans="1:3">
      <c r="A17145" s="571" t="s">
        <v>2368</v>
      </c>
      <c r="B17145" s="572">
        <v>2.3964500000000002</v>
      </c>
      <c r="C17145" s="572">
        <v>205.01300000000001</v>
      </c>
    </row>
    <row r="17146" spans="1:3">
      <c r="A17146" s="571" t="s">
        <v>2368</v>
      </c>
      <c r="B17146" s="572">
        <v>2.5558800000000002</v>
      </c>
      <c r="C17146" s="572">
        <v>214.24799999999999</v>
      </c>
    </row>
    <row r="17147" spans="1:3">
      <c r="A17147" s="571" t="s">
        <v>2368</v>
      </c>
      <c r="B17147" s="572">
        <v>2.8737599999999999</v>
      </c>
      <c r="C17147" s="572">
        <v>219.78899999999999</v>
      </c>
    </row>
    <row r="17148" spans="1:3">
      <c r="A17148" s="571" t="s">
        <v>2368</v>
      </c>
      <c r="B17148" s="572">
        <v>3.0331800000000002</v>
      </c>
      <c r="C17148" s="572">
        <v>229.024</v>
      </c>
    </row>
    <row r="17149" spans="1:3">
      <c r="A17149" s="571" t="s">
        <v>2368</v>
      </c>
      <c r="B17149" s="572">
        <v>3.3509199999999999</v>
      </c>
      <c r="C17149" s="572">
        <v>232.71799999999999</v>
      </c>
    </row>
    <row r="17150" spans="1:3">
      <c r="A17150" s="571" t="s">
        <v>2368</v>
      </c>
      <c r="B17150" s="572">
        <v>3.6688000000000001</v>
      </c>
      <c r="C17150" s="572">
        <v>238.25899999999999</v>
      </c>
    </row>
    <row r="17151" spans="1:3">
      <c r="A17151" s="571" t="s">
        <v>2368</v>
      </c>
      <c r="B17151" s="572">
        <v>3.9859800000000001</v>
      </c>
      <c r="C17151" s="572">
        <v>234.565</v>
      </c>
    </row>
    <row r="17152" spans="1:3">
      <c r="A17152" s="571" t="s">
        <v>2368</v>
      </c>
      <c r="B17152" s="572">
        <v>4.3037200000000002</v>
      </c>
      <c r="C17152" s="572">
        <v>238.25899999999999</v>
      </c>
    </row>
    <row r="17153" spans="1:3">
      <c r="A17153" s="571" t="s">
        <v>2368</v>
      </c>
      <c r="B17153" s="572">
        <v>4.6743699999999997</v>
      </c>
      <c r="C17153" s="572">
        <v>241.953</v>
      </c>
    </row>
    <row r="17154" spans="1:3">
      <c r="A17154" s="571" t="s">
        <v>2368</v>
      </c>
      <c r="B17154" s="572">
        <v>4.8869899999999999</v>
      </c>
      <c r="C17154" s="572">
        <v>254.881</v>
      </c>
    </row>
    <row r="17155" spans="1:3">
      <c r="A17155" s="571" t="s">
        <v>2368</v>
      </c>
      <c r="B17155" s="572">
        <v>5.0457200000000002</v>
      </c>
      <c r="C17155" s="572">
        <v>254.881</v>
      </c>
    </row>
    <row r="17156" spans="1:3">
      <c r="A17156" s="571" t="s">
        <v>2368</v>
      </c>
      <c r="B17156" s="572">
        <v>5.7334100000000001</v>
      </c>
      <c r="C17156" s="572">
        <v>253.03399999999999</v>
      </c>
    </row>
    <row r="17157" spans="1:3">
      <c r="A17157" s="571" t="s">
        <v>2368</v>
      </c>
      <c r="B17157" s="572">
        <v>6.47485</v>
      </c>
      <c r="C17157" s="572">
        <v>262.26900000000001</v>
      </c>
    </row>
    <row r="17158" spans="1:3">
      <c r="A17158" s="571" t="s">
        <v>2368</v>
      </c>
      <c r="B17158" s="572">
        <v>7.1101900000000002</v>
      </c>
      <c r="C17158" s="572">
        <v>267.81</v>
      </c>
    </row>
    <row r="17159" spans="1:3">
      <c r="A17159" s="571" t="s">
        <v>2368</v>
      </c>
      <c r="B17159" s="572">
        <v>7.85093</v>
      </c>
      <c r="C17159" s="572">
        <v>267.81</v>
      </c>
    </row>
    <row r="17160" spans="1:3">
      <c r="A17160" s="571" t="s">
        <v>2368</v>
      </c>
      <c r="B17160" s="572">
        <v>8.5398800000000001</v>
      </c>
      <c r="C17160" s="572">
        <v>282.58600000000001</v>
      </c>
    </row>
    <row r="17161" spans="1:3">
      <c r="A17161" s="571" t="s">
        <v>2368</v>
      </c>
      <c r="B17161" s="572">
        <v>9.2279900000000001</v>
      </c>
      <c r="C17161" s="572">
        <v>286.27999999999997</v>
      </c>
    </row>
    <row r="17162" spans="1:3">
      <c r="A17162" s="571" t="s">
        <v>2368</v>
      </c>
      <c r="B17162" s="572">
        <v>9.9691500000000008</v>
      </c>
      <c r="C17162" s="572">
        <v>291.82100000000003</v>
      </c>
    </row>
    <row r="17163" spans="1:3">
      <c r="A17163" s="571" t="s">
        <v>2368</v>
      </c>
      <c r="B17163" s="572">
        <v>10.604799999999999</v>
      </c>
      <c r="C17163" s="572">
        <v>301.05500000000001</v>
      </c>
    </row>
    <row r="17164" spans="1:3">
      <c r="A17164" s="571" t="s">
        <v>2368</v>
      </c>
      <c r="B17164" s="572">
        <v>11.345599999999999</v>
      </c>
      <c r="C17164" s="572">
        <v>302.90199999999999</v>
      </c>
    </row>
    <row r="17165" spans="1:3">
      <c r="A17165" s="571" t="s">
        <v>2368</v>
      </c>
      <c r="B17165" s="572">
        <v>12.033799999999999</v>
      </c>
      <c r="C17165" s="572">
        <v>306.596</v>
      </c>
    </row>
    <row r="17166" spans="1:3">
      <c r="A17166" s="571" t="s">
        <v>2368</v>
      </c>
      <c r="B17166" s="572">
        <v>12.722</v>
      </c>
      <c r="C17166" s="572">
        <v>312.137</v>
      </c>
    </row>
    <row r="17167" spans="1:3">
      <c r="A17167" s="571" t="s">
        <v>2368</v>
      </c>
      <c r="B17167" s="572">
        <v>13.410399999999999</v>
      </c>
      <c r="C17167" s="572">
        <v>319.52499999999998</v>
      </c>
    </row>
    <row r="17168" spans="1:3">
      <c r="A17168" s="571" t="s">
        <v>2368</v>
      </c>
      <c r="B17168" s="572">
        <v>14.098599999999999</v>
      </c>
      <c r="C17168" s="572">
        <v>325.06599999999997</v>
      </c>
    </row>
    <row r="17169" spans="1:3">
      <c r="A17169" s="571" t="s">
        <v>2368</v>
      </c>
      <c r="B17169" s="572">
        <v>14.786799999999999</v>
      </c>
      <c r="C17169" s="572">
        <v>328.76</v>
      </c>
    </row>
    <row r="17170" spans="1:3">
      <c r="A17170" s="571" t="s">
        <v>2368</v>
      </c>
      <c r="B17170" s="572">
        <v>15.475300000000001</v>
      </c>
      <c r="C17170" s="572">
        <v>337.995</v>
      </c>
    </row>
    <row r="17171" spans="1:3">
      <c r="A17171" s="571" t="s">
        <v>2368</v>
      </c>
      <c r="B17171" s="572">
        <v>16.2163</v>
      </c>
      <c r="C17171" s="572">
        <v>341.68900000000002</v>
      </c>
    </row>
    <row r="17172" spans="1:3">
      <c r="A17172" s="571" t="s">
        <v>2368</v>
      </c>
      <c r="B17172" s="572">
        <v>16.904299999999999</v>
      </c>
      <c r="C17172" s="572">
        <v>343.536</v>
      </c>
    </row>
    <row r="17173" spans="1:3">
      <c r="A17173" s="571" t="s">
        <v>2368</v>
      </c>
      <c r="B17173" s="572">
        <v>17.592500000000001</v>
      </c>
      <c r="C17173" s="572">
        <v>349.077</v>
      </c>
    </row>
    <row r="17174" spans="1:3">
      <c r="A17174" s="571" t="s">
        <v>2368</v>
      </c>
      <c r="B17174" s="572">
        <v>18.2273</v>
      </c>
      <c r="C17174" s="572">
        <v>347.23</v>
      </c>
    </row>
    <row r="17175" spans="1:3">
      <c r="A17175" s="571" t="s">
        <v>2368</v>
      </c>
      <c r="B17175" s="572">
        <v>18.968299999999999</v>
      </c>
      <c r="C17175" s="572">
        <v>350.923</v>
      </c>
    </row>
    <row r="17176" spans="1:3">
      <c r="A17176" s="571" t="s">
        <v>2368</v>
      </c>
      <c r="B17176" s="572">
        <v>19.656700000000001</v>
      </c>
      <c r="C17176" s="572">
        <v>358.31099999999998</v>
      </c>
    </row>
    <row r="17177" spans="1:3">
      <c r="A17177" s="571" t="s">
        <v>2368</v>
      </c>
      <c r="B17177" s="572">
        <v>20.3977</v>
      </c>
      <c r="C17177" s="572">
        <v>362.005</v>
      </c>
    </row>
    <row r="17178" spans="1:3">
      <c r="A17178" s="571" t="s">
        <v>2368</v>
      </c>
      <c r="B17178" s="572">
        <v>21.032800000000002</v>
      </c>
      <c r="C17178" s="572">
        <v>363.85199999999998</v>
      </c>
    </row>
    <row r="17179" spans="1:3">
      <c r="A17179" s="571" t="s">
        <v>2368</v>
      </c>
      <c r="B17179" s="572">
        <v>21.720800000000001</v>
      </c>
      <c r="C17179" s="572">
        <v>365.69900000000001</v>
      </c>
    </row>
    <row r="17180" spans="1:3">
      <c r="A17180" s="571" t="s">
        <v>2368</v>
      </c>
      <c r="B17180" s="572">
        <v>22.4619</v>
      </c>
      <c r="C17180" s="572">
        <v>371.24</v>
      </c>
    </row>
    <row r="17181" spans="1:3">
      <c r="A17181" s="571" t="s">
        <v>2368</v>
      </c>
      <c r="B17181" s="572">
        <v>23.097000000000001</v>
      </c>
      <c r="C17181" s="572">
        <v>373.08699999999999</v>
      </c>
    </row>
    <row r="17182" spans="1:3">
      <c r="A17182" s="571" t="s">
        <v>2368</v>
      </c>
      <c r="B17182" s="572">
        <v>23.890499999999999</v>
      </c>
      <c r="C17182" s="572">
        <v>371.24</v>
      </c>
    </row>
    <row r="17183" spans="1:3">
      <c r="A17183" s="571" t="s">
        <v>2368</v>
      </c>
      <c r="B17183" s="572">
        <v>24.5261</v>
      </c>
      <c r="C17183" s="572">
        <v>380.47500000000002</v>
      </c>
    </row>
    <row r="17184" spans="1:3">
      <c r="A17184" s="571" t="s">
        <v>2368</v>
      </c>
      <c r="B17184" s="572">
        <v>25.213799999999999</v>
      </c>
      <c r="C17184" s="572">
        <v>378.62799999999999</v>
      </c>
    </row>
    <row r="17185" spans="1:3">
      <c r="A17185" s="571" t="s">
        <v>2368</v>
      </c>
      <c r="B17185" s="572">
        <v>25.901399999999999</v>
      </c>
      <c r="C17185" s="572">
        <v>374.93400000000003</v>
      </c>
    </row>
    <row r="17186" spans="1:3">
      <c r="A17186" s="571" t="s">
        <v>2368</v>
      </c>
      <c r="B17186" s="572">
        <v>26.59</v>
      </c>
      <c r="C17186" s="572">
        <v>386.01600000000002</v>
      </c>
    </row>
    <row r="17187" spans="1:3">
      <c r="A17187" s="571" t="s">
        <v>2368</v>
      </c>
      <c r="B17187" s="572">
        <v>27.3308</v>
      </c>
      <c r="C17187" s="572">
        <v>386.01600000000002</v>
      </c>
    </row>
    <row r="17188" spans="1:3">
      <c r="A17188" s="571" t="s">
        <v>2368</v>
      </c>
      <c r="B17188" s="572">
        <v>27.965699999999998</v>
      </c>
      <c r="C17188" s="572">
        <v>386.01600000000002</v>
      </c>
    </row>
    <row r="17189" spans="1:3">
      <c r="A17189" s="571" t="s">
        <v>2368</v>
      </c>
      <c r="B17189" s="572">
        <v>28.759499999999999</v>
      </c>
      <c r="C17189" s="572">
        <v>387.863</v>
      </c>
    </row>
    <row r="17190" spans="1:3">
      <c r="A17190" s="571" t="s">
        <v>2368</v>
      </c>
      <c r="B17190" s="572">
        <v>29.395099999999999</v>
      </c>
      <c r="C17190" s="572">
        <v>397.09800000000001</v>
      </c>
    </row>
    <row r="17191" spans="1:3">
      <c r="A17191" s="571" t="s">
        <v>2371</v>
      </c>
      <c r="B17191" s="572">
        <v>0.113917</v>
      </c>
      <c r="C17191" s="572">
        <v>107.124</v>
      </c>
    </row>
    <row r="17192" spans="1:3">
      <c r="A17192" s="571" t="s">
        <v>2371</v>
      </c>
      <c r="B17192" s="572">
        <v>0.15873000000000001</v>
      </c>
      <c r="C17192" s="572">
        <v>0</v>
      </c>
    </row>
    <row r="17193" spans="1:3">
      <c r="A17193" s="571" t="s">
        <v>2371</v>
      </c>
      <c r="B17193" s="572">
        <v>0.17199300000000001</v>
      </c>
      <c r="C17193" s="572">
        <v>175.46199999999999</v>
      </c>
    </row>
    <row r="17194" spans="1:3">
      <c r="A17194" s="571" t="s">
        <v>2371</v>
      </c>
      <c r="B17194" s="572">
        <v>0.21610799999999999</v>
      </c>
      <c r="C17194" s="572">
        <v>59.102899999999998</v>
      </c>
    </row>
    <row r="17195" spans="1:3">
      <c r="A17195" s="571" t="s">
        <v>2371</v>
      </c>
      <c r="B17195" s="572">
        <v>0.31969399999999998</v>
      </c>
      <c r="C17195" s="572">
        <v>29.551500000000001</v>
      </c>
    </row>
    <row r="17196" spans="1:3">
      <c r="A17196" s="571" t="s">
        <v>2371</v>
      </c>
      <c r="B17196" s="572">
        <v>0.42928300000000003</v>
      </c>
      <c r="C17196" s="572">
        <v>79.419499999999999</v>
      </c>
    </row>
    <row r="17197" spans="1:3">
      <c r="A17197" s="571" t="s">
        <v>2371</v>
      </c>
      <c r="B17197" s="572">
        <v>0.48638199999999998</v>
      </c>
      <c r="C17197" s="572">
        <v>134.828</v>
      </c>
    </row>
    <row r="17198" spans="1:3">
      <c r="A17198" s="571" t="s">
        <v>2371</v>
      </c>
      <c r="B17198" s="572">
        <v>0.54403800000000002</v>
      </c>
      <c r="C17198" s="572">
        <v>197.625</v>
      </c>
    </row>
    <row r="17199" spans="1:3">
      <c r="A17199" s="571" t="s">
        <v>2371</v>
      </c>
      <c r="B17199" s="572">
        <v>0.60169499999999998</v>
      </c>
      <c r="C17199" s="572">
        <v>260.42200000000003</v>
      </c>
    </row>
    <row r="17200" spans="1:3">
      <c r="A17200" s="571" t="s">
        <v>2371</v>
      </c>
      <c r="B17200" s="572">
        <v>0.60420799999999997</v>
      </c>
      <c r="C17200" s="572">
        <v>293.66800000000001</v>
      </c>
    </row>
    <row r="17201" spans="1:3">
      <c r="A17201" s="571" t="s">
        <v>2371</v>
      </c>
      <c r="B17201" s="572">
        <v>0.60630200000000001</v>
      </c>
      <c r="C17201" s="572">
        <v>321.37200000000001</v>
      </c>
    </row>
    <row r="17202" spans="1:3">
      <c r="A17202" s="571" t="s">
        <v>2371</v>
      </c>
      <c r="B17202" s="572">
        <v>0.65837400000000001</v>
      </c>
      <c r="C17202" s="572">
        <v>310.29000000000002</v>
      </c>
    </row>
    <row r="17203" spans="1:3">
      <c r="A17203" s="571" t="s">
        <v>2371</v>
      </c>
      <c r="B17203" s="572">
        <v>0.660049</v>
      </c>
      <c r="C17203" s="572">
        <v>332.45400000000001</v>
      </c>
    </row>
    <row r="17204" spans="1:3">
      <c r="A17204" s="571" t="s">
        <v>2371</v>
      </c>
      <c r="B17204" s="572">
        <v>0.71379700000000001</v>
      </c>
      <c r="C17204" s="572">
        <v>343.536</v>
      </c>
    </row>
    <row r="17205" spans="1:3">
      <c r="A17205" s="571" t="s">
        <v>2371</v>
      </c>
      <c r="B17205" s="572">
        <v>0.82073399999999996</v>
      </c>
      <c r="C17205" s="572">
        <v>358.31099999999998</v>
      </c>
    </row>
    <row r="17206" spans="1:3">
      <c r="A17206" s="571" t="s">
        <v>2371</v>
      </c>
      <c r="B17206" s="572">
        <v>0.92725199999999997</v>
      </c>
      <c r="C17206" s="572">
        <v>367.54599999999999</v>
      </c>
    </row>
    <row r="17207" spans="1:3">
      <c r="A17207" s="571" t="s">
        <v>2371</v>
      </c>
      <c r="B17207" s="572">
        <v>1.0866800000000001</v>
      </c>
      <c r="C17207" s="572">
        <v>376.78100000000001</v>
      </c>
    </row>
    <row r="17208" spans="1:3">
      <c r="A17208" s="571" t="s">
        <v>2371</v>
      </c>
      <c r="B17208" s="572">
        <v>1.2991600000000001</v>
      </c>
      <c r="C17208" s="572">
        <v>387.863</v>
      </c>
    </row>
    <row r="17209" spans="1:3">
      <c r="A17209" s="571" t="s">
        <v>2371</v>
      </c>
      <c r="B17209" s="572">
        <v>1.51122</v>
      </c>
      <c r="C17209" s="572">
        <v>393.404</v>
      </c>
    </row>
    <row r="17210" spans="1:3">
      <c r="A17210" s="571" t="s">
        <v>2371</v>
      </c>
      <c r="B17210" s="572">
        <v>2.1479499999999998</v>
      </c>
      <c r="C17210" s="572">
        <v>417.41399999999999</v>
      </c>
    </row>
    <row r="17211" spans="1:3">
      <c r="A17211" s="571" t="s">
        <v>2371</v>
      </c>
      <c r="B17211" s="572">
        <v>2.8369</v>
      </c>
      <c r="C17211" s="572">
        <v>432.19</v>
      </c>
    </row>
    <row r="17212" spans="1:3">
      <c r="A17212" s="571" t="s">
        <v>2371</v>
      </c>
      <c r="B17212" s="572">
        <v>3.5780599999999998</v>
      </c>
      <c r="C17212" s="572">
        <v>437.73099999999999</v>
      </c>
    </row>
    <row r="17213" spans="1:3">
      <c r="A17213" s="571" t="s">
        <v>2371</v>
      </c>
      <c r="B17213" s="572">
        <v>4.26701</v>
      </c>
      <c r="C17213" s="572">
        <v>452.50700000000001</v>
      </c>
    </row>
    <row r="17214" spans="1:3">
      <c r="A17214" s="571" t="s">
        <v>2371</v>
      </c>
      <c r="B17214" s="572">
        <v>5.0084499999999998</v>
      </c>
      <c r="C17214" s="572">
        <v>461.74099999999999</v>
      </c>
    </row>
    <row r="17215" spans="1:3">
      <c r="A17215" s="571" t="s">
        <v>2371</v>
      </c>
      <c r="B17215" s="572">
        <v>5.6439300000000001</v>
      </c>
      <c r="C17215" s="572">
        <v>469.12900000000002</v>
      </c>
    </row>
    <row r="17216" spans="1:3">
      <c r="A17216" s="571" t="s">
        <v>2371</v>
      </c>
      <c r="B17216" s="572">
        <v>6.3325899999999997</v>
      </c>
      <c r="C17216" s="572">
        <v>480.21100000000001</v>
      </c>
    </row>
    <row r="17217" spans="1:3">
      <c r="A17217" s="571" t="s">
        <v>2371</v>
      </c>
      <c r="B17217" s="572">
        <v>7.0208399999999997</v>
      </c>
      <c r="C17217" s="572">
        <v>485.75200000000001</v>
      </c>
    </row>
    <row r="17218" spans="1:3">
      <c r="A17218" s="571" t="s">
        <v>2371</v>
      </c>
      <c r="B17218" s="572">
        <v>7.7621399999999996</v>
      </c>
      <c r="C17218" s="572">
        <v>493.14</v>
      </c>
    </row>
    <row r="17219" spans="1:3">
      <c r="A17219" s="571" t="s">
        <v>2371</v>
      </c>
      <c r="B17219" s="572">
        <v>8.3974799999999998</v>
      </c>
      <c r="C17219" s="572">
        <v>498.68099999999998</v>
      </c>
    </row>
    <row r="17220" spans="1:3">
      <c r="A17220" s="571" t="s">
        <v>2371</v>
      </c>
      <c r="B17220" s="572">
        <v>9.1392000000000007</v>
      </c>
      <c r="C17220" s="572">
        <v>511.60899999999998</v>
      </c>
    </row>
    <row r="17221" spans="1:3">
      <c r="A17221" s="571" t="s">
        <v>2371</v>
      </c>
      <c r="B17221" s="572">
        <v>9.8278700000000008</v>
      </c>
      <c r="C17221" s="572">
        <v>522.69100000000003</v>
      </c>
    </row>
    <row r="17222" spans="1:3">
      <c r="A17222" s="571" t="s">
        <v>2371</v>
      </c>
      <c r="B17222" s="572">
        <v>10.515700000000001</v>
      </c>
      <c r="C17222" s="572">
        <v>522.69100000000003</v>
      </c>
    </row>
    <row r="17223" spans="1:3">
      <c r="A17223" s="571" t="s">
        <v>2371</v>
      </c>
      <c r="B17223" s="572">
        <v>11.1509</v>
      </c>
      <c r="C17223" s="572">
        <v>526.38499999999999</v>
      </c>
    </row>
    <row r="17224" spans="1:3">
      <c r="A17224" s="571" t="s">
        <v>2371</v>
      </c>
      <c r="B17224" s="572">
        <v>11.945</v>
      </c>
      <c r="C17224" s="572">
        <v>531.92600000000004</v>
      </c>
    </row>
    <row r="17225" spans="1:3">
      <c r="A17225" s="571" t="s">
        <v>2371</v>
      </c>
      <c r="B17225" s="572">
        <v>12.474600000000001</v>
      </c>
      <c r="C17225" s="572">
        <v>539.31399999999996</v>
      </c>
    </row>
    <row r="17226" spans="1:3">
      <c r="A17226" s="571" t="s">
        <v>2371</v>
      </c>
      <c r="B17226" s="572">
        <v>13.2683</v>
      </c>
      <c r="C17226" s="572">
        <v>539.31399999999996</v>
      </c>
    </row>
    <row r="17227" spans="1:3">
      <c r="A17227" s="571" t="s">
        <v>2371</v>
      </c>
      <c r="B17227" s="572">
        <v>13.956200000000001</v>
      </c>
      <c r="C17227" s="572">
        <v>541.16099999999994</v>
      </c>
    </row>
    <row r="17228" spans="1:3">
      <c r="A17228" s="571" t="s">
        <v>2371</v>
      </c>
      <c r="B17228" s="572">
        <v>14.6442</v>
      </c>
      <c r="C17228" s="572">
        <v>543.00800000000004</v>
      </c>
    </row>
    <row r="17229" spans="1:3">
      <c r="A17229" s="571" t="s">
        <v>2371</v>
      </c>
      <c r="B17229" s="572">
        <v>15.3325</v>
      </c>
      <c r="C17229" s="572">
        <v>548.54899999999998</v>
      </c>
    </row>
    <row r="17230" spans="1:3">
      <c r="A17230" s="571" t="s">
        <v>2371</v>
      </c>
      <c r="B17230" s="572">
        <v>16.0732</v>
      </c>
      <c r="C17230" s="572">
        <v>548.54899999999998</v>
      </c>
    </row>
    <row r="17231" spans="1:3">
      <c r="A17231" s="571" t="s">
        <v>2371</v>
      </c>
      <c r="B17231" s="572">
        <v>16.6556</v>
      </c>
      <c r="C17231" s="572">
        <v>554.09</v>
      </c>
    </row>
    <row r="17232" spans="1:3">
      <c r="A17232" s="571" t="s">
        <v>2371</v>
      </c>
      <c r="B17232" s="572">
        <v>17.502199999999998</v>
      </c>
      <c r="C17232" s="572">
        <v>554.09</v>
      </c>
    </row>
    <row r="17233" spans="1:3">
      <c r="A17233" s="571" t="s">
        <v>2371</v>
      </c>
      <c r="B17233" s="572">
        <v>18.191400000000002</v>
      </c>
      <c r="C17233" s="572">
        <v>572.55899999999997</v>
      </c>
    </row>
    <row r="17234" spans="1:3">
      <c r="A17234" s="571" t="s">
        <v>2371</v>
      </c>
      <c r="B17234" s="572">
        <v>18.8261</v>
      </c>
      <c r="C17234" s="572">
        <v>568.86500000000001</v>
      </c>
    </row>
    <row r="17235" spans="1:3">
      <c r="A17235" s="571" t="s">
        <v>2371</v>
      </c>
      <c r="B17235" s="572">
        <v>19.6189</v>
      </c>
      <c r="C17235" s="572">
        <v>557.78399999999999</v>
      </c>
    </row>
    <row r="17236" spans="1:3">
      <c r="A17236" s="571" t="s">
        <v>2371</v>
      </c>
      <c r="B17236" s="572">
        <v>20.253799999999998</v>
      </c>
      <c r="C17236" s="572">
        <v>557.78399999999999</v>
      </c>
    </row>
    <row r="17237" spans="1:3">
      <c r="A17237" s="571" t="s">
        <v>2371</v>
      </c>
      <c r="B17237" s="572">
        <v>20.888300000000001</v>
      </c>
      <c r="C17237" s="572">
        <v>552.24300000000005</v>
      </c>
    </row>
    <row r="17238" spans="1:3">
      <c r="A17238" s="571" t="s">
        <v>2371</v>
      </c>
      <c r="B17238" s="572">
        <v>21.681999999999999</v>
      </c>
      <c r="C17238" s="572">
        <v>552.24300000000005</v>
      </c>
    </row>
    <row r="17239" spans="1:3">
      <c r="A17239" s="571" t="s">
        <v>2371</v>
      </c>
      <c r="B17239" s="572">
        <v>22.370799999999999</v>
      </c>
      <c r="C17239" s="572">
        <v>565.17200000000003</v>
      </c>
    </row>
    <row r="17240" spans="1:3">
      <c r="A17240" s="571" t="s">
        <v>2371</v>
      </c>
      <c r="B17240" s="572">
        <v>22.953099999999999</v>
      </c>
      <c r="C17240" s="572">
        <v>568.86500000000001</v>
      </c>
    </row>
    <row r="17241" spans="1:3">
      <c r="A17241" s="571" t="s">
        <v>2371</v>
      </c>
      <c r="B17241" s="572">
        <v>23.693200000000001</v>
      </c>
      <c r="C17241" s="572">
        <v>561.47799999999995</v>
      </c>
    </row>
    <row r="17242" spans="1:3">
      <c r="A17242" s="571" t="s">
        <v>2371</v>
      </c>
      <c r="B17242" s="572">
        <v>24.434100000000001</v>
      </c>
      <c r="C17242" s="572">
        <v>563.32500000000005</v>
      </c>
    </row>
    <row r="17243" spans="1:3">
      <c r="A17243" s="571" t="s">
        <v>2371</v>
      </c>
      <c r="B17243" s="572">
        <v>25.1218</v>
      </c>
      <c r="C17243" s="572">
        <v>561.47799999999995</v>
      </c>
    </row>
    <row r="17244" spans="1:3">
      <c r="A17244" s="571" t="s">
        <v>2371</v>
      </c>
      <c r="B17244" s="572">
        <v>25.809100000000001</v>
      </c>
      <c r="C17244" s="572">
        <v>554.09</v>
      </c>
    </row>
    <row r="17245" spans="1:3">
      <c r="A17245" s="571" t="s">
        <v>2371</v>
      </c>
      <c r="B17245" s="572">
        <v>26.497499999999999</v>
      </c>
      <c r="C17245" s="572">
        <v>561.47799999999995</v>
      </c>
    </row>
    <row r="17246" spans="1:3">
      <c r="A17246" s="571" t="s">
        <v>2371</v>
      </c>
      <c r="B17246" s="572">
        <v>27.1327</v>
      </c>
      <c r="C17246" s="572">
        <v>565.17200000000003</v>
      </c>
    </row>
    <row r="17247" spans="1:3">
      <c r="A17247" s="571" t="s">
        <v>2371</v>
      </c>
      <c r="B17247" s="572">
        <v>27.8201</v>
      </c>
      <c r="C17247" s="572">
        <v>559.63099999999997</v>
      </c>
    </row>
    <row r="17248" spans="1:3">
      <c r="A17248" s="571" t="s">
        <v>2371</v>
      </c>
      <c r="B17248" s="572">
        <v>28.614000000000001</v>
      </c>
      <c r="C17248" s="572">
        <v>563.32500000000005</v>
      </c>
    </row>
    <row r="17249" spans="1:3">
      <c r="A17249" s="571" t="s">
        <v>2371</v>
      </c>
      <c r="B17249" s="572">
        <v>29.195699999999999</v>
      </c>
      <c r="C17249" s="572">
        <v>559.63099999999997</v>
      </c>
    </row>
    <row r="17250" spans="1:3">
      <c r="A17250" s="571" t="s">
        <v>2371</v>
      </c>
      <c r="B17250" s="572">
        <v>29.9893</v>
      </c>
      <c r="C17250" s="572">
        <v>557.78399999999999</v>
      </c>
    </row>
    <row r="17251" spans="1:3">
      <c r="A17251" s="571" t="s">
        <v>2372</v>
      </c>
      <c r="B17251" s="572">
        <v>3.3980249999999997E-2</v>
      </c>
      <c r="C17251" s="572">
        <v>0.529308</v>
      </c>
    </row>
    <row r="17252" spans="1:3">
      <c r="A17252" s="571" t="s">
        <v>2372</v>
      </c>
      <c r="B17252" s="572">
        <v>0.29224500000000003</v>
      </c>
      <c r="C17252" s="572">
        <v>4.7659500000000001</v>
      </c>
    </row>
    <row r="17253" spans="1:3">
      <c r="A17253" s="571" t="s">
        <v>2372</v>
      </c>
      <c r="B17253" s="572">
        <v>0.46664583333333337</v>
      </c>
      <c r="C17253" s="572">
        <v>26.278099999999998</v>
      </c>
    </row>
    <row r="17254" spans="1:3">
      <c r="A17254" s="571" t="s">
        <v>2372</v>
      </c>
      <c r="B17254" s="572">
        <v>0.46802916666666666</v>
      </c>
      <c r="C17254" s="572">
        <v>5.9574400000000001</v>
      </c>
    </row>
    <row r="17255" spans="1:3">
      <c r="A17255" s="571" t="s">
        <v>2372</v>
      </c>
      <c r="B17255" s="572">
        <v>0.50396666666666667</v>
      </c>
      <c r="C17255" s="572">
        <v>76.551400000000001</v>
      </c>
    </row>
    <row r="17256" spans="1:3">
      <c r="A17256" s="571" t="s">
        <v>2372</v>
      </c>
      <c r="B17256" s="572">
        <v>0.50556666666666661</v>
      </c>
      <c r="C17256" s="572">
        <v>53.022300000000001</v>
      </c>
    </row>
    <row r="17257" spans="1:3">
      <c r="A17257" s="571" t="s">
        <v>2372</v>
      </c>
      <c r="B17257" s="572">
        <v>0.51602083333333326</v>
      </c>
      <c r="C17257" s="572">
        <v>99.013300000000001</v>
      </c>
    </row>
    <row r="17258" spans="1:3">
      <c r="A17258" s="571" t="s">
        <v>2372</v>
      </c>
      <c r="B17258" s="572">
        <v>0.5418708333333333</v>
      </c>
      <c r="C17258" s="572">
        <v>118.26900000000001</v>
      </c>
    </row>
    <row r="17259" spans="1:3">
      <c r="A17259" s="571" t="s">
        <v>2372</v>
      </c>
      <c r="B17259" s="572">
        <v>0.59523749999999997</v>
      </c>
      <c r="C17259" s="572">
        <v>132.18099999999998</v>
      </c>
    </row>
    <row r="17260" spans="1:3">
      <c r="A17260" s="571" t="s">
        <v>2372</v>
      </c>
      <c r="B17260" s="572">
        <v>0.67539583333333331</v>
      </c>
      <c r="C17260" s="572">
        <v>151.44499999999999</v>
      </c>
    </row>
    <row r="17261" spans="1:3">
      <c r="A17261" s="571" t="s">
        <v>2372</v>
      </c>
      <c r="B17261" s="572">
        <v>0.7971583333333333</v>
      </c>
      <c r="C17261" s="572">
        <v>157.88199999999998</v>
      </c>
    </row>
    <row r="17262" spans="1:3">
      <c r="A17262" s="571" t="s">
        <v>2372</v>
      </c>
      <c r="B17262" s="572">
        <v>0.97337499999999999</v>
      </c>
      <c r="C17262" s="572">
        <v>162.18799999999999</v>
      </c>
    </row>
    <row r="17263" spans="1:3">
      <c r="A17263" s="571" t="s">
        <v>2372</v>
      </c>
      <c r="B17263" s="572">
        <v>1.1494458333333333</v>
      </c>
      <c r="C17263" s="572">
        <v>168.63399999999999</v>
      </c>
    </row>
    <row r="17264" spans="1:3">
      <c r="A17264" s="571" t="s">
        <v>2372</v>
      </c>
      <c r="B17264" s="572">
        <v>1.3796875</v>
      </c>
      <c r="C17264" s="572">
        <v>177.227</v>
      </c>
    </row>
    <row r="17265" spans="1:3">
      <c r="A17265" s="571" t="s">
        <v>2372</v>
      </c>
      <c r="B17265" s="572">
        <v>1.5151708333333334</v>
      </c>
      <c r="C17265" s="572">
        <v>181.52600000000001</v>
      </c>
    </row>
    <row r="17266" spans="1:3">
      <c r="A17266" s="571" t="s">
        <v>2372</v>
      </c>
      <c r="B17266" s="572">
        <v>1.7183999999999999</v>
      </c>
      <c r="C17266" s="572">
        <v>187.976</v>
      </c>
    </row>
    <row r="17267" spans="1:3">
      <c r="A17267" s="571" t="s">
        <v>2372</v>
      </c>
      <c r="B17267" s="572">
        <v>1.9352791666666667</v>
      </c>
      <c r="C17267" s="572">
        <v>193.35899999999998</v>
      </c>
    </row>
    <row r="17268" spans="1:3">
      <c r="A17268" s="571" t="s">
        <v>2372</v>
      </c>
      <c r="B17268" s="572">
        <v>2.1386499999999997</v>
      </c>
      <c r="C17268" s="572">
        <v>197.66900000000001</v>
      </c>
    </row>
    <row r="17269" spans="1:3">
      <c r="A17269" s="571" t="s">
        <v>2372</v>
      </c>
      <c r="B17269" s="572">
        <v>2.3014375</v>
      </c>
      <c r="C17269" s="572">
        <v>199.834</v>
      </c>
    </row>
    <row r="17270" spans="1:3">
      <c r="A17270" s="571" t="s">
        <v>2372</v>
      </c>
      <c r="B17270" s="572">
        <v>2.5183874999999998</v>
      </c>
      <c r="C17270" s="572">
        <v>204.14699999999999</v>
      </c>
    </row>
    <row r="17271" spans="1:3">
      <c r="A17271" s="571" t="s">
        <v>2372</v>
      </c>
      <c r="B17271" s="572">
        <v>2.7219791666666668</v>
      </c>
      <c r="C17271" s="572">
        <v>205.25000000000003</v>
      </c>
    </row>
    <row r="17272" spans="1:3">
      <c r="A17272" s="571" t="s">
        <v>2372</v>
      </c>
      <c r="B17272" s="572">
        <v>2.9254958333333332</v>
      </c>
      <c r="C17272" s="572">
        <v>207.42099999999999</v>
      </c>
    </row>
    <row r="17273" spans="1:3">
      <c r="A17273" s="571" t="s">
        <v>2372</v>
      </c>
      <c r="B17273" s="572">
        <v>3.183325</v>
      </c>
      <c r="C17273" s="572">
        <v>209.60200000000003</v>
      </c>
    </row>
    <row r="17274" spans="1:3">
      <c r="A17274" s="571" t="s">
        <v>2372</v>
      </c>
      <c r="B17274" s="572">
        <v>3.4276499999999999</v>
      </c>
      <c r="C17274" s="572">
        <v>210.71</v>
      </c>
    </row>
    <row r="17275" spans="1:3">
      <c r="A17275" s="571" t="s">
        <v>2372</v>
      </c>
      <c r="B17275" s="572">
        <v>3.6854083333333332</v>
      </c>
      <c r="C17275" s="572">
        <v>213.96</v>
      </c>
    </row>
    <row r="17276" spans="1:3">
      <c r="A17276" s="571" t="s">
        <v>2372</v>
      </c>
      <c r="B17276" s="572">
        <v>3.9027916666666669</v>
      </c>
      <c r="C17276" s="572">
        <v>211.85599999999999</v>
      </c>
    </row>
    <row r="17277" spans="1:3">
      <c r="A17277" s="571" t="s">
        <v>2372</v>
      </c>
      <c r="B17277" s="572">
        <v>4.1334666666666662</v>
      </c>
      <c r="C17277" s="572">
        <v>214.03200000000001</v>
      </c>
    </row>
    <row r="17278" spans="1:3">
      <c r="A17278" s="571" t="s">
        <v>2372</v>
      </c>
      <c r="B17278" s="572">
        <v>4.3778750000000004</v>
      </c>
      <c r="C17278" s="572">
        <v>214.071</v>
      </c>
    </row>
    <row r="17279" spans="1:3">
      <c r="A17279" s="571" t="s">
        <v>2372</v>
      </c>
      <c r="B17279" s="572">
        <v>4.5677500000000002</v>
      </c>
      <c r="C17279" s="572">
        <v>217.30999999999997</v>
      </c>
    </row>
    <row r="17280" spans="1:3">
      <c r="A17280" s="571" t="s">
        <v>2374</v>
      </c>
      <c r="B17280" s="572">
        <v>3.4052875000000003E-2</v>
      </c>
      <c r="C17280" s="572">
        <v>1.5988200000000001</v>
      </c>
    </row>
    <row r="17281" spans="1:3">
      <c r="A17281" s="571" t="s">
        <v>2374</v>
      </c>
      <c r="B17281" s="572">
        <v>0.23800708333333334</v>
      </c>
      <c r="C17281" s="572">
        <v>5.8441700000000001</v>
      </c>
    </row>
    <row r="17282" spans="1:3">
      <c r="A17282" s="571" t="s">
        <v>2374</v>
      </c>
      <c r="B17282" s="572">
        <v>0.37305666666666665</v>
      </c>
      <c r="C17282" s="572">
        <v>4.8726799999999999</v>
      </c>
    </row>
    <row r="17283" spans="1:3">
      <c r="A17283" s="571" t="s">
        <v>2374</v>
      </c>
      <c r="B17283" s="572">
        <v>0.43891249999999998</v>
      </c>
      <c r="C17283" s="572">
        <v>34.829799999999999</v>
      </c>
    </row>
    <row r="17284" spans="1:3">
      <c r="A17284" s="571" t="s">
        <v>2374</v>
      </c>
      <c r="B17284" s="572">
        <v>0.64235833333333336</v>
      </c>
      <c r="C17284" s="572">
        <v>38.070999999999998</v>
      </c>
    </row>
    <row r="17285" spans="1:3">
      <c r="A17285" s="571" t="s">
        <v>2374</v>
      </c>
      <c r="B17285" s="572">
        <v>0.9265416666666666</v>
      </c>
      <c r="C17285" s="572">
        <v>52.020299999999999</v>
      </c>
    </row>
    <row r="17286" spans="1:3">
      <c r="A17286" s="571" t="s">
        <v>2374</v>
      </c>
      <c r="B17286" s="572">
        <v>1.1975125</v>
      </c>
      <c r="C17286" s="572">
        <v>60.619900000000001</v>
      </c>
    </row>
    <row r="17287" spans="1:3">
      <c r="A17287" s="571" t="s">
        <v>2374</v>
      </c>
      <c r="B17287" s="572">
        <v>1.5365166666666665</v>
      </c>
      <c r="C17287" s="572">
        <v>67.091400000000007</v>
      </c>
    </row>
    <row r="17288" spans="1:3">
      <c r="A17288" s="571" t="s">
        <v>2374</v>
      </c>
      <c r="B17288" s="572">
        <v>1.7806249999999999</v>
      </c>
      <c r="C17288" s="572">
        <v>71.408699999999996</v>
      </c>
    </row>
    <row r="17289" spans="1:3">
      <c r="A17289" s="571" t="s">
        <v>2374</v>
      </c>
      <c r="B17289" s="572">
        <v>2.1332791666666666</v>
      </c>
      <c r="C17289" s="572">
        <v>76.81280000000001</v>
      </c>
    </row>
    <row r="17290" spans="1:3">
      <c r="A17290" s="571" t="s">
        <v>2374</v>
      </c>
      <c r="B17290" s="572">
        <v>2.3911791666666669</v>
      </c>
      <c r="C17290" s="572">
        <v>77.923699999999997</v>
      </c>
    </row>
    <row r="17291" spans="1:3">
      <c r="A17291" s="571" t="s">
        <v>2374</v>
      </c>
      <c r="B17291" s="572">
        <v>2.7438333333333333</v>
      </c>
      <c r="C17291" s="572">
        <v>83.3279</v>
      </c>
    </row>
    <row r="17292" spans="1:3">
      <c r="A17292" s="571" t="s">
        <v>2374</v>
      </c>
      <c r="B17292" s="572">
        <v>2.9880833333333334</v>
      </c>
      <c r="C17292" s="572">
        <v>85.506099999999989</v>
      </c>
    </row>
    <row r="17293" spans="1:3">
      <c r="A17293" s="571" t="s">
        <v>2374</v>
      </c>
      <c r="B17293" s="572">
        <v>3.3138749999999999</v>
      </c>
      <c r="C17293" s="572">
        <v>86.627899999999997</v>
      </c>
    </row>
    <row r="17294" spans="1:3">
      <c r="A17294" s="571" t="s">
        <v>2374</v>
      </c>
      <c r="B17294" s="572">
        <v>3.5852083333333336</v>
      </c>
      <c r="C17294" s="572">
        <v>89.88000000000001</v>
      </c>
    </row>
    <row r="17295" spans="1:3">
      <c r="A17295" s="571" t="s">
        <v>2374</v>
      </c>
      <c r="B17295" s="572">
        <v>3.9245750000000004</v>
      </c>
      <c r="C17295" s="572">
        <v>91.003900000000002</v>
      </c>
    </row>
    <row r="17296" spans="1:3">
      <c r="A17296" s="571" t="s">
        <v>2374</v>
      </c>
      <c r="B17296" s="572">
        <v>4.1959999999999997</v>
      </c>
      <c r="C17296" s="572">
        <v>93.186500000000009</v>
      </c>
    </row>
    <row r="17297" spans="1:3">
      <c r="A17297" s="571" t="s">
        <v>2374</v>
      </c>
      <c r="B17297" s="572">
        <v>4.5217916666666662</v>
      </c>
      <c r="C17297" s="572">
        <v>94.308300000000003</v>
      </c>
    </row>
    <row r="17298" spans="1:3">
      <c r="A17298" s="571" t="s">
        <v>2374</v>
      </c>
      <c r="B17298" s="572">
        <v>4.7796666666666665</v>
      </c>
      <c r="C17298" s="572">
        <v>95.419200000000004</v>
      </c>
    </row>
    <row r="17299" spans="1:3">
      <c r="A17299" s="571" t="s">
        <v>2374</v>
      </c>
      <c r="B17299" s="572">
        <v>5.0646666666666667</v>
      </c>
      <c r="C17299" s="572">
        <v>97.603999999999999</v>
      </c>
    </row>
    <row r="17300" spans="1:3">
      <c r="A17300" s="571" t="s">
        <v>2374</v>
      </c>
      <c r="B17300" s="572">
        <v>5.3902916666666663</v>
      </c>
      <c r="C17300" s="572">
        <v>100.86500000000001</v>
      </c>
    </row>
    <row r="17301" spans="1:3">
      <c r="A17301" s="571" t="s">
        <v>2374</v>
      </c>
      <c r="B17301" s="572">
        <v>5.6212083333333327</v>
      </c>
      <c r="C17301" s="572">
        <v>99.832299999999989</v>
      </c>
    </row>
    <row r="17302" spans="1:3">
      <c r="A17302" s="571" t="s">
        <v>2375</v>
      </c>
      <c r="B17302" s="572">
        <v>7.4567916666666664E-2</v>
      </c>
      <c r="C17302" s="572">
        <v>1.6162400000000001</v>
      </c>
    </row>
    <row r="17303" spans="1:3">
      <c r="A17303" s="571" t="s">
        <v>2375</v>
      </c>
      <c r="B17303" s="572">
        <v>0.30567708333333332</v>
      </c>
      <c r="C17303" s="572">
        <v>2.6247599999999998</v>
      </c>
    </row>
    <row r="17304" spans="1:3">
      <c r="A17304" s="571" t="s">
        <v>2375</v>
      </c>
      <c r="B17304" s="572">
        <v>0.38619874999999998</v>
      </c>
      <c r="C17304" s="572">
        <v>11.2919</v>
      </c>
    </row>
    <row r="17305" spans="1:3">
      <c r="A17305" s="571" t="s">
        <v>2375</v>
      </c>
      <c r="B17305" s="572">
        <v>0.50817916666666674</v>
      </c>
      <c r="C17305" s="572">
        <v>14.52</v>
      </c>
    </row>
    <row r="17306" spans="1:3">
      <c r="A17306" s="571" t="s">
        <v>2375</v>
      </c>
      <c r="B17306" s="572">
        <v>0.71257083333333338</v>
      </c>
      <c r="C17306" s="572">
        <v>3.8576299999999999</v>
      </c>
    </row>
    <row r="17307" spans="1:3">
      <c r="A17307" s="571" t="s">
        <v>2375</v>
      </c>
      <c r="B17307" s="572">
        <v>0.95696666666666663</v>
      </c>
      <c r="C17307" s="572">
        <v>3.8968400000000001</v>
      </c>
    </row>
    <row r="17308" spans="1:3">
      <c r="A17308" s="571" t="s">
        <v>2375</v>
      </c>
      <c r="B17308" s="572">
        <v>1.3098375</v>
      </c>
      <c r="C17308" s="572">
        <v>6.0924899999999997</v>
      </c>
    </row>
    <row r="17309" spans="1:3">
      <c r="A17309" s="571" t="s">
        <v>2375</v>
      </c>
      <c r="B17309" s="572">
        <v>1.5811708333333332</v>
      </c>
      <c r="C17309" s="572">
        <v>9.3445700000000009</v>
      </c>
    </row>
    <row r="17310" spans="1:3">
      <c r="A17310" s="571" t="s">
        <v>2375</v>
      </c>
      <c r="B17310" s="572">
        <v>1.8795166666666667</v>
      </c>
      <c r="C17310" s="572">
        <v>14.74</v>
      </c>
    </row>
    <row r="17311" spans="1:3">
      <c r="A17311" s="571" t="s">
        <v>2375</v>
      </c>
      <c r="B17311" s="572">
        <v>2.1643541666666666</v>
      </c>
      <c r="C17311" s="572">
        <v>19.063800000000001</v>
      </c>
    </row>
    <row r="17312" spans="1:3">
      <c r="A17312" s="571" t="s">
        <v>2375</v>
      </c>
      <c r="B17312" s="572">
        <v>2.5306583333333332</v>
      </c>
      <c r="C17312" s="572">
        <v>23.400600000000001</v>
      </c>
    </row>
    <row r="17313" spans="1:3">
      <c r="A17313" s="571" t="s">
        <v>2375</v>
      </c>
      <c r="B17313" s="572">
        <v>2.7749833333333331</v>
      </c>
      <c r="C17313" s="572">
        <v>24.509399999999999</v>
      </c>
    </row>
    <row r="17314" spans="1:3">
      <c r="A17314" s="571" t="s">
        <v>2375</v>
      </c>
      <c r="B17314" s="572">
        <v>3.141504166666667</v>
      </c>
      <c r="C17314" s="572">
        <v>25.637700000000002</v>
      </c>
    </row>
    <row r="17315" spans="1:3">
      <c r="A17315" s="571" t="s">
        <v>2375</v>
      </c>
      <c r="B17315" s="572">
        <v>3.3449500000000003</v>
      </c>
      <c r="C17315" s="572">
        <v>28.878900000000002</v>
      </c>
    </row>
    <row r="17316" spans="1:3">
      <c r="A17316" s="571" t="s">
        <v>2375</v>
      </c>
      <c r="B17316" s="572">
        <v>3.6979666666666664</v>
      </c>
      <c r="C17316" s="572">
        <v>28.935499999999998</v>
      </c>
    </row>
    <row r="17317" spans="1:3">
      <c r="A17317" s="571" t="s">
        <v>2375</v>
      </c>
      <c r="B17317" s="572">
        <v>3.9423624999999998</v>
      </c>
      <c r="C17317" s="572">
        <v>28.974699999999999</v>
      </c>
    </row>
    <row r="17318" spans="1:3">
      <c r="A17318" s="571" t="s">
        <v>2375</v>
      </c>
      <c r="B17318" s="572">
        <v>4.2410000000000005</v>
      </c>
      <c r="C17318" s="572">
        <v>30.092099999999999</v>
      </c>
    </row>
    <row r="17319" spans="1:3">
      <c r="A17319" s="571" t="s">
        <v>2375</v>
      </c>
      <c r="B17319" s="572">
        <v>4.5532916666666665</v>
      </c>
      <c r="C17319" s="572">
        <v>30.142200000000003</v>
      </c>
    </row>
    <row r="17320" spans="1:3">
      <c r="A17320" s="571" t="s">
        <v>2375</v>
      </c>
      <c r="B17320" s="572">
        <v>4.8519999999999994</v>
      </c>
      <c r="C17320" s="572">
        <v>30.190200000000001</v>
      </c>
    </row>
    <row r="17321" spans="1:3">
      <c r="A17321" s="571" t="s">
        <v>2375</v>
      </c>
      <c r="B17321" s="572">
        <v>5.1777916666666668</v>
      </c>
      <c r="C17321" s="572">
        <v>31.311899999999998</v>
      </c>
    </row>
    <row r="17322" spans="1:3">
      <c r="A17322" s="571" t="s">
        <v>2375</v>
      </c>
      <c r="B17322" s="572">
        <v>5.4493333333333327</v>
      </c>
      <c r="C17322" s="572">
        <v>31.355499999999996</v>
      </c>
    </row>
    <row r="17323" spans="1:3">
      <c r="A17323" s="571" t="s">
        <v>2376</v>
      </c>
      <c r="B17323" s="572">
        <v>1.31569E-3</v>
      </c>
      <c r="C17323" s="572">
        <v>1.40449</v>
      </c>
    </row>
    <row r="17324" spans="1:3">
      <c r="A17324" s="571" t="s">
        <v>2376</v>
      </c>
      <c r="B17324" s="572">
        <v>1.4130499999999999</v>
      </c>
      <c r="C17324" s="572">
        <v>8.4269700000000007</v>
      </c>
    </row>
    <row r="17325" spans="1:3">
      <c r="A17325" s="571" t="s">
        <v>2376</v>
      </c>
      <c r="B17325" s="572">
        <v>2.3550800000000001</v>
      </c>
      <c r="C17325" s="572">
        <v>14.0449</v>
      </c>
    </row>
    <row r="17326" spans="1:3">
      <c r="A17326" s="571" t="s">
        <v>2376</v>
      </c>
      <c r="B17326" s="572">
        <v>2.8260900000000002</v>
      </c>
      <c r="C17326" s="572">
        <v>16.853899999999999</v>
      </c>
    </row>
    <row r="17327" spans="1:3">
      <c r="A17327" s="571" t="s">
        <v>2376</v>
      </c>
      <c r="B17327" s="572">
        <v>3.2984200000000001</v>
      </c>
      <c r="C17327" s="572">
        <v>21.067399999999999</v>
      </c>
    </row>
    <row r="17328" spans="1:3">
      <c r="A17328" s="571" t="s">
        <v>2376</v>
      </c>
      <c r="B17328" s="572">
        <v>4.2404500000000001</v>
      </c>
      <c r="C17328" s="572">
        <v>26.685400000000001</v>
      </c>
    </row>
    <row r="17329" spans="1:3">
      <c r="A17329" s="571" t="s">
        <v>2376</v>
      </c>
      <c r="B17329" s="572">
        <v>5.1798500000000001</v>
      </c>
      <c r="C17329" s="572">
        <v>29.494399999999999</v>
      </c>
    </row>
    <row r="17330" spans="1:3">
      <c r="A17330" s="571" t="s">
        <v>2376</v>
      </c>
      <c r="B17330" s="572">
        <v>6.1192500000000001</v>
      </c>
      <c r="C17330" s="572">
        <v>32.303400000000003</v>
      </c>
    </row>
    <row r="17331" spans="1:3">
      <c r="A17331" s="571" t="s">
        <v>2376</v>
      </c>
      <c r="B17331" s="572">
        <v>7.9927900000000003</v>
      </c>
      <c r="C17331" s="572">
        <v>32.303400000000003</v>
      </c>
    </row>
    <row r="17332" spans="1:3">
      <c r="A17332" s="571" t="s">
        <v>2376</v>
      </c>
      <c r="B17332" s="572">
        <v>10.338699999999999</v>
      </c>
      <c r="C17332" s="572">
        <v>36.5169</v>
      </c>
    </row>
    <row r="17333" spans="1:3">
      <c r="A17333" s="571" t="s">
        <v>2376</v>
      </c>
      <c r="B17333" s="572">
        <v>13.1503</v>
      </c>
      <c r="C17333" s="572">
        <v>37.921300000000002</v>
      </c>
    </row>
    <row r="17334" spans="1:3">
      <c r="A17334" s="571" t="s">
        <v>2376</v>
      </c>
      <c r="B17334" s="572">
        <v>15.963200000000001</v>
      </c>
      <c r="C17334" s="572">
        <v>40.7303</v>
      </c>
    </row>
    <row r="17335" spans="1:3">
      <c r="A17335" s="571" t="s">
        <v>2376</v>
      </c>
      <c r="B17335" s="572">
        <v>19.243200000000002</v>
      </c>
      <c r="C17335" s="572">
        <v>42.134799999999998</v>
      </c>
    </row>
    <row r="17336" spans="1:3">
      <c r="A17336" s="571" t="s">
        <v>2376</v>
      </c>
      <c r="B17336" s="572">
        <v>22.523199999999999</v>
      </c>
      <c r="C17336" s="572">
        <v>43.539299999999997</v>
      </c>
    </row>
    <row r="17337" spans="1:3">
      <c r="A17337" s="571" t="s">
        <v>2376</v>
      </c>
      <c r="B17337" s="572">
        <v>25.336200000000002</v>
      </c>
      <c r="C17337" s="572">
        <v>46.348300000000002</v>
      </c>
    </row>
    <row r="17338" spans="1:3">
      <c r="A17338" s="571" t="s">
        <v>2376</v>
      </c>
      <c r="B17338" s="572">
        <v>28.6188</v>
      </c>
      <c r="C17338" s="572">
        <v>50.561799999999998</v>
      </c>
    </row>
    <row r="17339" spans="1:3">
      <c r="A17339" s="571" t="s">
        <v>2376</v>
      </c>
      <c r="B17339" s="572">
        <v>41.733499999999999</v>
      </c>
      <c r="C17339" s="572">
        <v>50.561799999999998</v>
      </c>
    </row>
    <row r="17340" spans="1:3">
      <c r="A17340" s="571" t="s">
        <v>2376</v>
      </c>
      <c r="B17340" s="572">
        <v>56.253500000000003</v>
      </c>
      <c r="C17340" s="572">
        <v>50.561799999999998</v>
      </c>
    </row>
    <row r="17341" spans="1:3">
      <c r="A17341" s="571" t="s">
        <v>2376</v>
      </c>
      <c r="B17341" s="572">
        <v>70.307599999999994</v>
      </c>
      <c r="C17341" s="572">
        <v>53.370800000000003</v>
      </c>
    </row>
    <row r="17342" spans="1:3">
      <c r="A17342" s="571" t="s">
        <v>2376</v>
      </c>
      <c r="B17342" s="572">
        <v>91.384900000000002</v>
      </c>
      <c r="C17342" s="572">
        <v>53.370800000000003</v>
      </c>
    </row>
    <row r="17343" spans="1:3">
      <c r="A17343" s="573" t="s">
        <v>2376</v>
      </c>
      <c r="B17343" s="574">
        <v>119.491</v>
      </c>
      <c r="C17343" s="574">
        <v>56.1798</v>
      </c>
    </row>
    <row r="17344" spans="1:3">
      <c r="A17344" s="573" t="s">
        <v>2376</v>
      </c>
      <c r="B17344" s="574">
        <v>147.12700000000001</v>
      </c>
      <c r="C17344" s="574">
        <v>57.584299999999999</v>
      </c>
    </row>
    <row r="17345" spans="1:3">
      <c r="A17345" s="573" t="s">
        <v>2376</v>
      </c>
      <c r="B17345" s="574">
        <v>175.23</v>
      </c>
      <c r="C17345" s="574">
        <v>57.584299999999999</v>
      </c>
    </row>
    <row r="17346" spans="1:3">
      <c r="A17346" s="571" t="s">
        <v>2379</v>
      </c>
      <c r="B17346" s="572">
        <v>1.31569E-3</v>
      </c>
      <c r="C17346" s="572">
        <v>1.40449</v>
      </c>
    </row>
    <row r="17347" spans="1:3">
      <c r="A17347" s="571" t="s">
        <v>2379</v>
      </c>
      <c r="B17347" s="572">
        <v>0.54601</v>
      </c>
      <c r="C17347" s="572">
        <v>82.865200000000002</v>
      </c>
    </row>
    <row r="17348" spans="1:3">
      <c r="A17348" s="571" t="s">
        <v>2379</v>
      </c>
      <c r="B17348" s="572">
        <v>1.0249200000000001</v>
      </c>
      <c r="C17348" s="572">
        <v>94.101100000000002</v>
      </c>
    </row>
    <row r="17349" spans="1:3">
      <c r="A17349" s="571" t="s">
        <v>2379</v>
      </c>
      <c r="B17349" s="572">
        <v>1.5156700000000001</v>
      </c>
      <c r="C17349" s="572">
        <v>117.97799999999999</v>
      </c>
    </row>
    <row r="17350" spans="1:3">
      <c r="A17350" s="571" t="s">
        <v>2379</v>
      </c>
      <c r="B17350" s="572">
        <v>1.99458</v>
      </c>
      <c r="C17350" s="572">
        <v>129.21299999999999</v>
      </c>
    </row>
    <row r="17351" spans="1:3">
      <c r="A17351" s="571" t="s">
        <v>2379</v>
      </c>
      <c r="B17351" s="572">
        <v>2.9445000000000001</v>
      </c>
      <c r="C17351" s="572">
        <v>143.25800000000001</v>
      </c>
    </row>
    <row r="17352" spans="1:3">
      <c r="A17352" s="571" t="s">
        <v>2379</v>
      </c>
      <c r="B17352" s="572">
        <v>3.8878499999999998</v>
      </c>
      <c r="C17352" s="572">
        <v>150.28100000000001</v>
      </c>
    </row>
    <row r="17353" spans="1:3">
      <c r="A17353" s="571" t="s">
        <v>2379</v>
      </c>
      <c r="B17353" s="572">
        <v>5.7653299999999996</v>
      </c>
      <c r="C17353" s="572">
        <v>154.494</v>
      </c>
    </row>
    <row r="17354" spans="1:3">
      <c r="A17354" s="571" t="s">
        <v>2379</v>
      </c>
      <c r="B17354" s="572">
        <v>7.6428200000000004</v>
      </c>
      <c r="C17354" s="572">
        <v>158.708</v>
      </c>
    </row>
    <row r="17355" spans="1:3">
      <c r="A17355" s="571" t="s">
        <v>2379</v>
      </c>
      <c r="B17355" s="572">
        <v>9.9847400000000004</v>
      </c>
      <c r="C17355" s="572">
        <v>158.708</v>
      </c>
    </row>
    <row r="17356" spans="1:3">
      <c r="A17356" s="571" t="s">
        <v>2379</v>
      </c>
      <c r="B17356" s="572">
        <v>10.9255</v>
      </c>
      <c r="C17356" s="572">
        <v>162.92099999999999</v>
      </c>
    </row>
    <row r="17357" spans="1:3">
      <c r="A17357" s="571" t="s">
        <v>2379</v>
      </c>
      <c r="B17357" s="572">
        <v>11.3965</v>
      </c>
      <c r="C17357" s="572">
        <v>165.73</v>
      </c>
    </row>
    <row r="17358" spans="1:3">
      <c r="A17358" s="571" t="s">
        <v>2379</v>
      </c>
      <c r="B17358" s="572">
        <v>12.8056</v>
      </c>
      <c r="C17358" s="572">
        <v>169.94399999999999</v>
      </c>
    </row>
    <row r="17359" spans="1:3">
      <c r="A17359" s="571" t="s">
        <v>2379</v>
      </c>
      <c r="B17359" s="572">
        <v>14.214700000000001</v>
      </c>
      <c r="C17359" s="572">
        <v>174.15700000000001</v>
      </c>
    </row>
    <row r="17360" spans="1:3">
      <c r="A17360" s="571" t="s">
        <v>2379</v>
      </c>
      <c r="B17360" s="572">
        <v>15.6225</v>
      </c>
      <c r="C17360" s="572">
        <v>176.96600000000001</v>
      </c>
    </row>
    <row r="17361" spans="1:3">
      <c r="A17361" s="571" t="s">
        <v>2379</v>
      </c>
      <c r="B17361" s="572">
        <v>17.964400000000001</v>
      </c>
      <c r="C17361" s="572">
        <v>176.96600000000001</v>
      </c>
    </row>
    <row r="17362" spans="1:3">
      <c r="A17362" s="571" t="s">
        <v>2379</v>
      </c>
      <c r="B17362" s="572">
        <v>19.840499999999999</v>
      </c>
      <c r="C17362" s="572">
        <v>179.77500000000001</v>
      </c>
    </row>
    <row r="17363" spans="1:3">
      <c r="A17363" s="571" t="s">
        <v>2379</v>
      </c>
      <c r="B17363" s="572">
        <v>22.183800000000002</v>
      </c>
      <c r="C17363" s="572">
        <v>181.18</v>
      </c>
    </row>
    <row r="17364" spans="1:3">
      <c r="A17364" s="571" t="s">
        <v>2379</v>
      </c>
      <c r="B17364" s="572">
        <v>23.5916</v>
      </c>
      <c r="C17364" s="572">
        <v>183.989</v>
      </c>
    </row>
    <row r="17365" spans="1:3">
      <c r="A17365" s="571" t="s">
        <v>2379</v>
      </c>
      <c r="B17365" s="572">
        <v>25.467700000000001</v>
      </c>
      <c r="C17365" s="572">
        <v>186.798</v>
      </c>
    </row>
    <row r="17366" spans="1:3">
      <c r="A17366" s="571" t="s">
        <v>2379</v>
      </c>
      <c r="B17366" s="572">
        <v>27.3413</v>
      </c>
      <c r="C17366" s="572">
        <v>186.798</v>
      </c>
    </row>
    <row r="17367" spans="1:3">
      <c r="A17367" s="571" t="s">
        <v>2379</v>
      </c>
      <c r="B17367" s="572">
        <v>28.2807</v>
      </c>
      <c r="C17367" s="572">
        <v>189.607</v>
      </c>
    </row>
    <row r="17368" spans="1:3">
      <c r="A17368" s="571" t="s">
        <v>2379</v>
      </c>
      <c r="B17368" s="572">
        <v>42.803199999999997</v>
      </c>
      <c r="C17368" s="572">
        <v>192.416</v>
      </c>
    </row>
    <row r="17369" spans="1:3">
      <c r="A17369" s="571" t="s">
        <v>2379</v>
      </c>
      <c r="B17369" s="572">
        <v>56.394199999999998</v>
      </c>
      <c r="C17369" s="572">
        <v>200.84299999999999</v>
      </c>
    </row>
    <row r="17370" spans="1:3">
      <c r="A17370" s="571" t="s">
        <v>2379</v>
      </c>
      <c r="B17370" s="572">
        <v>70.919399999999996</v>
      </c>
      <c r="C17370" s="572">
        <v>206.46100000000001</v>
      </c>
    </row>
    <row r="17371" spans="1:3">
      <c r="A17371" s="571" t="s">
        <v>2379</v>
      </c>
      <c r="B17371" s="572">
        <v>91.066500000000005</v>
      </c>
      <c r="C17371" s="572">
        <v>213.483</v>
      </c>
    </row>
    <row r="17372" spans="1:3">
      <c r="A17372" s="573" t="s">
        <v>2379</v>
      </c>
      <c r="B17372" s="574">
        <v>119.173</v>
      </c>
      <c r="C17372" s="574">
        <v>217.697</v>
      </c>
    </row>
    <row r="17373" spans="1:3">
      <c r="A17373" s="573" t="s">
        <v>2379</v>
      </c>
      <c r="B17373" s="574">
        <v>147.28</v>
      </c>
      <c r="C17373" s="574">
        <v>221.91</v>
      </c>
    </row>
    <row r="17374" spans="1:3">
      <c r="A17374" s="573" t="s">
        <v>2379</v>
      </c>
      <c r="B17374" s="574">
        <v>174.91800000000001</v>
      </c>
      <c r="C17374" s="574">
        <v>224.71899999999999</v>
      </c>
    </row>
    <row r="17375" spans="1:3">
      <c r="A17375" s="571" t="s">
        <v>2381</v>
      </c>
      <c r="B17375" s="572">
        <v>0.46970000000000001</v>
      </c>
      <c r="C17375" s="572">
        <v>1.40449</v>
      </c>
    </row>
    <row r="17376" spans="1:3">
      <c r="A17376" s="571" t="s">
        <v>2381</v>
      </c>
      <c r="B17376" s="572">
        <v>0.52759</v>
      </c>
      <c r="C17376" s="572">
        <v>63.202199999999998</v>
      </c>
    </row>
    <row r="17377" spans="1:3">
      <c r="A17377" s="571" t="s">
        <v>2381</v>
      </c>
      <c r="B17377" s="572">
        <v>1.02623</v>
      </c>
      <c r="C17377" s="572">
        <v>95.505600000000001</v>
      </c>
    </row>
    <row r="17378" spans="1:3">
      <c r="A17378" s="571" t="s">
        <v>2381</v>
      </c>
      <c r="B17378" s="572">
        <v>1.0486</v>
      </c>
      <c r="C17378" s="572">
        <v>119.38200000000001</v>
      </c>
    </row>
    <row r="17379" spans="1:3">
      <c r="A17379" s="571" t="s">
        <v>2381</v>
      </c>
      <c r="B17379" s="572">
        <v>1.0722799999999999</v>
      </c>
      <c r="C17379" s="572">
        <v>144.66300000000001</v>
      </c>
    </row>
    <row r="17380" spans="1:3">
      <c r="A17380" s="571" t="s">
        <v>2381</v>
      </c>
      <c r="B17380" s="572">
        <v>2.0353699999999999</v>
      </c>
      <c r="C17380" s="572">
        <v>172.75299999999999</v>
      </c>
    </row>
    <row r="17381" spans="1:3">
      <c r="A17381" s="571" t="s">
        <v>2381</v>
      </c>
      <c r="B17381" s="572">
        <v>2.0498400000000001</v>
      </c>
      <c r="C17381" s="572">
        <v>188.202</v>
      </c>
    </row>
    <row r="17382" spans="1:3">
      <c r="A17382" s="571" t="s">
        <v>2381</v>
      </c>
      <c r="B17382" s="572">
        <v>2.0603600000000002</v>
      </c>
      <c r="C17382" s="572">
        <v>199.43799999999999</v>
      </c>
    </row>
    <row r="17383" spans="1:3">
      <c r="A17383" s="571" t="s">
        <v>2381</v>
      </c>
      <c r="B17383" s="572">
        <v>3.94048</v>
      </c>
      <c r="C17383" s="572">
        <v>206.46100000000001</v>
      </c>
    </row>
    <row r="17384" spans="1:3">
      <c r="A17384" s="571" t="s">
        <v>2381</v>
      </c>
      <c r="B17384" s="572">
        <v>4.4128100000000003</v>
      </c>
      <c r="C17384" s="572">
        <v>210.67400000000001</v>
      </c>
    </row>
    <row r="17385" spans="1:3">
      <c r="A17385" s="571" t="s">
        <v>2381</v>
      </c>
      <c r="B17385" s="572">
        <v>5.3522100000000004</v>
      </c>
      <c r="C17385" s="572">
        <v>213.483</v>
      </c>
    </row>
    <row r="17386" spans="1:3">
      <c r="A17386" s="571" t="s">
        <v>2381</v>
      </c>
      <c r="B17386" s="572">
        <v>6.7665699999999998</v>
      </c>
      <c r="C17386" s="572">
        <v>223.315</v>
      </c>
    </row>
    <row r="17387" spans="1:3">
      <c r="A17387" s="571" t="s">
        <v>2381</v>
      </c>
      <c r="B17387" s="572">
        <v>10.5189</v>
      </c>
      <c r="C17387" s="572">
        <v>228.93299999999999</v>
      </c>
    </row>
    <row r="17388" spans="1:3">
      <c r="A17388" s="571" t="s">
        <v>2381</v>
      </c>
      <c r="B17388" s="572">
        <v>13.806800000000001</v>
      </c>
      <c r="C17388" s="572">
        <v>238.76400000000001</v>
      </c>
    </row>
    <row r="17389" spans="1:3">
      <c r="A17389" s="571" t="s">
        <v>2381</v>
      </c>
      <c r="B17389" s="572">
        <v>16.621099999999998</v>
      </c>
      <c r="C17389" s="572">
        <v>242.97800000000001</v>
      </c>
    </row>
    <row r="17390" spans="1:3">
      <c r="A17390" s="571" t="s">
        <v>2381</v>
      </c>
      <c r="B17390" s="572">
        <v>19.9024</v>
      </c>
      <c r="C17390" s="572">
        <v>245.78700000000001</v>
      </c>
    </row>
    <row r="17391" spans="1:3">
      <c r="A17391" s="571" t="s">
        <v>2381</v>
      </c>
      <c r="B17391" s="572">
        <v>22.248200000000001</v>
      </c>
      <c r="C17391" s="572">
        <v>250</v>
      </c>
    </row>
    <row r="17392" spans="1:3">
      <c r="A17392" s="571" t="s">
        <v>2381</v>
      </c>
      <c r="B17392" s="572">
        <v>25.529599999999999</v>
      </c>
      <c r="C17392" s="572">
        <v>252.809</v>
      </c>
    </row>
    <row r="17393" spans="1:3">
      <c r="A17393" s="571" t="s">
        <v>2381</v>
      </c>
      <c r="B17393" s="572">
        <v>28.343800000000002</v>
      </c>
      <c r="C17393" s="572">
        <v>257.02199999999999</v>
      </c>
    </row>
    <row r="17394" spans="1:3">
      <c r="A17394" s="571" t="s">
        <v>2381</v>
      </c>
      <c r="B17394" s="572">
        <v>42.399299999999997</v>
      </c>
      <c r="C17394" s="572">
        <v>261.23599999999999</v>
      </c>
    </row>
    <row r="17395" spans="1:3">
      <c r="A17395" s="571" t="s">
        <v>2381</v>
      </c>
      <c r="B17395" s="572">
        <v>56.4587</v>
      </c>
      <c r="C17395" s="572">
        <v>269.66300000000001</v>
      </c>
    </row>
    <row r="17396" spans="1:3">
      <c r="A17396" s="571" t="s">
        <v>2381</v>
      </c>
      <c r="B17396" s="572">
        <v>70.518100000000004</v>
      </c>
      <c r="C17396" s="572">
        <v>278.08999999999997</v>
      </c>
    </row>
    <row r="17397" spans="1:3">
      <c r="A17397" s="571" t="s">
        <v>2381</v>
      </c>
      <c r="B17397" s="572">
        <v>91.603300000000004</v>
      </c>
      <c r="C17397" s="572">
        <v>286.517</v>
      </c>
    </row>
    <row r="17398" spans="1:3">
      <c r="A17398" s="573" t="s">
        <v>2381</v>
      </c>
      <c r="B17398" s="574">
        <v>119.709</v>
      </c>
      <c r="C17398" s="574">
        <v>289.32600000000002</v>
      </c>
    </row>
    <row r="17399" spans="1:3">
      <c r="A17399" s="573" t="s">
        <v>2381</v>
      </c>
      <c r="B17399" s="574">
        <v>147.34800000000001</v>
      </c>
      <c r="C17399" s="574">
        <v>293.53899999999999</v>
      </c>
    </row>
    <row r="17400" spans="1:3">
      <c r="A17400" s="573" t="s">
        <v>2381</v>
      </c>
      <c r="B17400" s="574">
        <v>174.98400000000001</v>
      </c>
      <c r="C17400" s="574">
        <v>294.94400000000002</v>
      </c>
    </row>
    <row r="17401" spans="1:3">
      <c r="A17401" s="571" t="s">
        <v>2383</v>
      </c>
      <c r="B17401" s="572">
        <v>2.6313700000000001E-3</v>
      </c>
      <c r="C17401" s="572">
        <v>2.8089900000000001</v>
      </c>
    </row>
    <row r="17402" spans="1:3">
      <c r="A17402" s="571" t="s">
        <v>2383</v>
      </c>
      <c r="B17402" s="572">
        <v>0.556535</v>
      </c>
      <c r="C17402" s="572">
        <v>94.101100000000002</v>
      </c>
    </row>
    <row r="17403" spans="1:3">
      <c r="A17403" s="571" t="s">
        <v>2383</v>
      </c>
      <c r="B17403" s="572">
        <v>1.04992</v>
      </c>
      <c r="C17403" s="572">
        <v>120.78700000000001</v>
      </c>
    </row>
    <row r="17404" spans="1:3">
      <c r="A17404" s="571" t="s">
        <v>2383</v>
      </c>
      <c r="B17404" s="572">
        <v>1.1367499999999999</v>
      </c>
      <c r="C17404" s="572">
        <v>213.483</v>
      </c>
    </row>
    <row r="17405" spans="1:3">
      <c r="A17405" s="571" t="s">
        <v>2383</v>
      </c>
      <c r="B17405" s="572">
        <v>1.2156899999999999</v>
      </c>
      <c r="C17405" s="572">
        <v>297.75299999999999</v>
      </c>
    </row>
    <row r="17406" spans="1:3">
      <c r="A17406" s="571" t="s">
        <v>2383</v>
      </c>
      <c r="B17406" s="572">
        <v>1.22885</v>
      </c>
      <c r="C17406" s="572">
        <v>311.798</v>
      </c>
    </row>
    <row r="17407" spans="1:3">
      <c r="A17407" s="571" t="s">
        <v>2383</v>
      </c>
      <c r="B17407" s="572">
        <v>1.2393799999999999</v>
      </c>
      <c r="C17407" s="572">
        <v>323.03399999999999</v>
      </c>
    </row>
    <row r="17408" spans="1:3">
      <c r="A17408" s="571" t="s">
        <v>2383</v>
      </c>
      <c r="B17408" s="572">
        <v>1.6538200000000001</v>
      </c>
      <c r="C17408" s="572">
        <v>265.44900000000001</v>
      </c>
    </row>
    <row r="17409" spans="1:3">
      <c r="A17409" s="571" t="s">
        <v>2383</v>
      </c>
      <c r="B17409" s="572">
        <v>2.2050900000000002</v>
      </c>
      <c r="C17409" s="572">
        <v>353.93299999999999</v>
      </c>
    </row>
    <row r="17410" spans="1:3">
      <c r="A17410" s="571" t="s">
        <v>2383</v>
      </c>
      <c r="B17410" s="572">
        <v>3.14975</v>
      </c>
      <c r="C17410" s="572">
        <v>362.36</v>
      </c>
    </row>
    <row r="17411" spans="1:3">
      <c r="A17411" s="571" t="s">
        <v>2383</v>
      </c>
      <c r="B17411" s="572">
        <v>4.0957299999999996</v>
      </c>
      <c r="C17411" s="572">
        <v>372.19099999999997</v>
      </c>
    </row>
    <row r="17412" spans="1:3">
      <c r="A17412" s="571" t="s">
        <v>2383</v>
      </c>
      <c r="B17412" s="572">
        <v>5.0390800000000002</v>
      </c>
      <c r="C17412" s="572">
        <v>379.21300000000002</v>
      </c>
    </row>
    <row r="17413" spans="1:3">
      <c r="A17413" s="571" t="s">
        <v>2383</v>
      </c>
      <c r="B17413" s="572">
        <v>6.9165599999999996</v>
      </c>
      <c r="C17413" s="572">
        <v>383.42700000000002</v>
      </c>
    </row>
    <row r="17414" spans="1:3">
      <c r="A17414" s="571" t="s">
        <v>2383</v>
      </c>
      <c r="B17414" s="572">
        <v>7.3875700000000002</v>
      </c>
      <c r="C17414" s="572">
        <v>386.23599999999999</v>
      </c>
    </row>
    <row r="17415" spans="1:3">
      <c r="A17415" s="571" t="s">
        <v>2383</v>
      </c>
      <c r="B17415" s="572">
        <v>10.672800000000001</v>
      </c>
      <c r="C17415" s="572">
        <v>393.25799999999998</v>
      </c>
    </row>
    <row r="17416" spans="1:3">
      <c r="A17416" s="571" t="s">
        <v>2383</v>
      </c>
      <c r="B17416" s="572">
        <v>13.4884</v>
      </c>
      <c r="C17416" s="572">
        <v>398.87599999999998</v>
      </c>
    </row>
    <row r="17417" spans="1:3">
      <c r="A17417" s="571" t="s">
        <v>2383</v>
      </c>
      <c r="B17417" s="572">
        <v>16.772400000000001</v>
      </c>
      <c r="C17417" s="572">
        <v>404.49400000000003</v>
      </c>
    </row>
    <row r="17418" spans="1:3">
      <c r="A17418" s="571" t="s">
        <v>2383</v>
      </c>
      <c r="B17418" s="572">
        <v>19.586600000000001</v>
      </c>
      <c r="C17418" s="572">
        <v>408.70800000000003</v>
      </c>
    </row>
    <row r="17419" spans="1:3">
      <c r="A17419" s="571" t="s">
        <v>2383</v>
      </c>
      <c r="B17419" s="572">
        <v>22.869199999999999</v>
      </c>
      <c r="C17419" s="572">
        <v>412.92099999999999</v>
      </c>
    </row>
    <row r="17420" spans="1:3">
      <c r="A17420" s="571" t="s">
        <v>2383</v>
      </c>
      <c r="B17420" s="572">
        <v>25.2151</v>
      </c>
      <c r="C17420" s="572">
        <v>417.13499999999999</v>
      </c>
    </row>
    <row r="17421" spans="1:3">
      <c r="A17421" s="571" t="s">
        <v>2383</v>
      </c>
      <c r="B17421" s="572">
        <v>28.496400000000001</v>
      </c>
      <c r="C17421" s="572">
        <v>419.94400000000002</v>
      </c>
    </row>
    <row r="17422" spans="1:3">
      <c r="A17422" s="571" t="s">
        <v>2383</v>
      </c>
      <c r="B17422" s="572">
        <v>42.551900000000003</v>
      </c>
      <c r="C17422" s="572">
        <v>424.15699999999998</v>
      </c>
    </row>
    <row r="17423" spans="1:3">
      <c r="A17423" s="571" t="s">
        <v>2383</v>
      </c>
      <c r="B17423" s="572">
        <v>56.604700000000001</v>
      </c>
      <c r="C17423" s="572">
        <v>425.56200000000001</v>
      </c>
    </row>
    <row r="17424" spans="1:3">
      <c r="A17424" s="571" t="s">
        <v>2383</v>
      </c>
      <c r="B17424" s="572">
        <v>70.658900000000003</v>
      </c>
      <c r="C17424" s="572">
        <v>428.37099999999998</v>
      </c>
    </row>
    <row r="17425" spans="1:3">
      <c r="A17425" s="571" t="s">
        <v>2383</v>
      </c>
      <c r="B17425" s="572">
        <v>91.741399999999999</v>
      </c>
      <c r="C17425" s="572">
        <v>433.98899999999998</v>
      </c>
    </row>
    <row r="17426" spans="1:3">
      <c r="A17426" s="573" t="s">
        <v>2383</v>
      </c>
      <c r="B17426" s="574">
        <v>119.383</v>
      </c>
      <c r="C17426" s="574">
        <v>441.01100000000002</v>
      </c>
    </row>
    <row r="17427" spans="1:3">
      <c r="A17427" s="573" t="s">
        <v>2383</v>
      </c>
      <c r="B17427" s="574">
        <v>147.49</v>
      </c>
      <c r="C17427" s="574">
        <v>445.22500000000002</v>
      </c>
    </row>
    <row r="17428" spans="1:3">
      <c r="A17428" s="573" t="s">
        <v>2383</v>
      </c>
      <c r="B17428" s="574">
        <v>175.13</v>
      </c>
      <c r="C17428" s="574">
        <v>450.84300000000002</v>
      </c>
    </row>
    <row r="17429" spans="1:3">
      <c r="A17429" s="571" t="s">
        <v>2385</v>
      </c>
      <c r="B17429" s="572">
        <v>0.28619</v>
      </c>
      <c r="C17429" s="572">
        <v>1.4380900000000001</v>
      </c>
    </row>
    <row r="17430" spans="1:3">
      <c r="A17430" s="571" t="s">
        <v>2385</v>
      </c>
      <c r="B17430" s="572">
        <v>0.35207699999999997</v>
      </c>
      <c r="C17430" s="572">
        <v>41.327300000000001</v>
      </c>
    </row>
    <row r="17431" spans="1:3">
      <c r="A17431" s="571" t="s">
        <v>2385</v>
      </c>
      <c r="B17431" s="572">
        <v>0.42020800000000003</v>
      </c>
      <c r="C17431" s="572">
        <v>65.546999999999997</v>
      </c>
    </row>
    <row r="17432" spans="1:3">
      <c r="A17432" s="571" t="s">
        <v>2385</v>
      </c>
      <c r="B17432" s="572">
        <v>0.62908799999999998</v>
      </c>
      <c r="C17432" s="572">
        <v>106.867</v>
      </c>
    </row>
    <row r="17433" spans="1:3">
      <c r="A17433" s="571" t="s">
        <v>2385</v>
      </c>
      <c r="B17433" s="572">
        <v>0.76820600000000006</v>
      </c>
      <c r="C17433" s="572">
        <v>135.364</v>
      </c>
    </row>
    <row r="17434" spans="1:3">
      <c r="A17434" s="571" t="s">
        <v>2385</v>
      </c>
      <c r="B17434" s="572">
        <v>0.90997499999999998</v>
      </c>
      <c r="C17434" s="572">
        <v>145.34200000000001</v>
      </c>
    </row>
    <row r="17435" spans="1:3">
      <c r="A17435" s="571" t="s">
        <v>2385</v>
      </c>
      <c r="B17435" s="572">
        <v>1.47868</v>
      </c>
      <c r="C17435" s="572">
        <v>173.85900000000001</v>
      </c>
    </row>
    <row r="17436" spans="1:3">
      <c r="A17436" s="571" t="s">
        <v>2385</v>
      </c>
      <c r="B17436" s="572">
        <v>2.4792299999999998</v>
      </c>
      <c r="C17436" s="572">
        <v>186.727</v>
      </c>
    </row>
    <row r="17437" spans="1:3">
      <c r="A17437" s="571" t="s">
        <v>2385</v>
      </c>
      <c r="B17437" s="572">
        <v>3.4807899999999998</v>
      </c>
      <c r="C17437" s="572">
        <v>192.47300000000001</v>
      </c>
    </row>
    <row r="17438" spans="1:3">
      <c r="A17438" s="571" t="s">
        <v>2385</v>
      </c>
      <c r="B17438" s="572">
        <v>4.9839500000000001</v>
      </c>
      <c r="C17438" s="572">
        <v>195.393</v>
      </c>
    </row>
    <row r="17439" spans="1:3">
      <c r="A17439" s="571" t="s">
        <v>2385</v>
      </c>
      <c r="B17439" s="572">
        <v>7.0597000000000003</v>
      </c>
      <c r="C17439" s="572">
        <v>199.76499999999999</v>
      </c>
    </row>
    <row r="17440" spans="1:3">
      <c r="A17440" s="571" t="s">
        <v>2385</v>
      </c>
      <c r="B17440" s="572">
        <v>9.9946300000000008</v>
      </c>
      <c r="C17440" s="572">
        <v>204.178</v>
      </c>
    </row>
    <row r="17441" spans="1:3">
      <c r="A17441" s="571" t="s">
        <v>2385</v>
      </c>
      <c r="B17441" s="572">
        <v>13.0726</v>
      </c>
      <c r="C17441" s="572">
        <v>210.02199999999999</v>
      </c>
    </row>
    <row r="17442" spans="1:3">
      <c r="A17442" s="571" t="s">
        <v>2385</v>
      </c>
      <c r="B17442" s="572">
        <v>16.007100000000001</v>
      </c>
      <c r="C17442" s="572">
        <v>217.28399999999999</v>
      </c>
    </row>
    <row r="17443" spans="1:3">
      <c r="A17443" s="571" t="s">
        <v>2385</v>
      </c>
      <c r="B17443" s="572">
        <v>19.084800000000001</v>
      </c>
      <c r="C17443" s="572">
        <v>224.553</v>
      </c>
    </row>
    <row r="17444" spans="1:3">
      <c r="A17444" s="571" t="s">
        <v>2385</v>
      </c>
      <c r="B17444" s="572">
        <v>22.0197</v>
      </c>
      <c r="C17444" s="572">
        <v>228.96600000000001</v>
      </c>
    </row>
    <row r="17445" spans="1:3">
      <c r="A17445" s="571" t="s">
        <v>2385</v>
      </c>
      <c r="B17445" s="572">
        <v>25.097799999999999</v>
      </c>
      <c r="C17445" s="572">
        <v>233.38499999999999</v>
      </c>
    </row>
    <row r="17446" spans="1:3">
      <c r="A17446" s="571" t="s">
        <v>2385</v>
      </c>
      <c r="B17446" s="572">
        <v>28.104600000000001</v>
      </c>
      <c r="C17446" s="572">
        <v>236.37700000000001</v>
      </c>
    </row>
    <row r="17447" spans="1:3">
      <c r="A17447" s="571" t="s">
        <v>2387</v>
      </c>
      <c r="B17447" s="572">
        <v>0.35629499999999997</v>
      </c>
      <c r="C17447" s="572">
        <v>4.3026799999999996</v>
      </c>
    </row>
    <row r="17448" spans="1:3">
      <c r="A17448" s="571" t="s">
        <v>2387</v>
      </c>
      <c r="B17448" s="572">
        <v>0.42755300000000002</v>
      </c>
      <c r="C17448" s="572">
        <v>202.87799999999999</v>
      </c>
    </row>
    <row r="17449" spans="1:3">
      <c r="A17449" s="571" t="s">
        <v>2387</v>
      </c>
      <c r="B17449" s="572">
        <v>0.42755300000000002</v>
      </c>
      <c r="C17449" s="572">
        <v>202.87799999999999</v>
      </c>
    </row>
    <row r="17450" spans="1:3">
      <c r="A17450" s="571" t="s">
        <v>2387</v>
      </c>
      <c r="B17450" s="572">
        <v>0.57007099999999999</v>
      </c>
      <c r="C17450" s="572">
        <v>248.59899999999999</v>
      </c>
    </row>
    <row r="17451" spans="1:3">
      <c r="A17451" s="571" t="s">
        <v>2387</v>
      </c>
      <c r="B17451" s="572">
        <v>0.64132999999999996</v>
      </c>
      <c r="C17451" s="572">
        <v>278.60199999999998</v>
      </c>
    </row>
    <row r="17452" spans="1:3">
      <c r="A17452" s="571" t="s">
        <v>2387</v>
      </c>
      <c r="B17452" s="572">
        <v>0.85510699999999995</v>
      </c>
      <c r="C17452" s="572">
        <v>292.89800000000002</v>
      </c>
    </row>
    <row r="17453" spans="1:3">
      <c r="A17453" s="571" t="s">
        <v>2387</v>
      </c>
      <c r="B17453" s="572">
        <v>0.92636600000000002</v>
      </c>
      <c r="C17453" s="572">
        <v>304.33</v>
      </c>
    </row>
    <row r="17454" spans="1:3">
      <c r="A17454" s="571" t="s">
        <v>2387</v>
      </c>
      <c r="B17454" s="572">
        <v>1.99525</v>
      </c>
      <c r="C17454" s="572">
        <v>321.524</v>
      </c>
    </row>
    <row r="17455" spans="1:3">
      <c r="A17455" s="571" t="s">
        <v>2387</v>
      </c>
      <c r="B17455" s="572">
        <v>2.9928699999999999</v>
      </c>
      <c r="C17455" s="572">
        <v>331.57100000000003</v>
      </c>
    </row>
    <row r="17456" spans="1:3">
      <c r="A17456" s="571" t="s">
        <v>2387</v>
      </c>
      <c r="B17456" s="572">
        <v>3.9904999999999999</v>
      </c>
      <c r="C17456" s="572">
        <v>338.76100000000002</v>
      </c>
    </row>
    <row r="17457" spans="1:3">
      <c r="A17457" s="571" t="s">
        <v>2387</v>
      </c>
      <c r="B17457" s="572">
        <v>4.9168599999999998</v>
      </c>
      <c r="C17457" s="572">
        <v>344.52</v>
      </c>
    </row>
    <row r="17458" spans="1:3">
      <c r="A17458" s="571" t="s">
        <v>2387</v>
      </c>
      <c r="B17458" s="572">
        <v>5.9857500000000003</v>
      </c>
      <c r="C17458" s="572">
        <v>353.142</v>
      </c>
    </row>
    <row r="17459" spans="1:3">
      <c r="A17459" s="571" t="s">
        <v>2387</v>
      </c>
      <c r="B17459" s="572">
        <v>6.9121100000000002</v>
      </c>
      <c r="C17459" s="572">
        <v>354.61500000000001</v>
      </c>
    </row>
    <row r="17460" spans="1:3">
      <c r="A17460" s="571" t="s">
        <v>2387</v>
      </c>
      <c r="B17460" s="572">
        <v>9.9762500000000003</v>
      </c>
      <c r="C17460" s="572">
        <v>363.33199999999999</v>
      </c>
    </row>
    <row r="17461" spans="1:3">
      <c r="A17461" s="571" t="s">
        <v>2387</v>
      </c>
      <c r="B17461" s="572">
        <v>12.826599999999999</v>
      </c>
      <c r="C17461" s="572">
        <v>370.61099999999999</v>
      </c>
    </row>
    <row r="17462" spans="1:3">
      <c r="A17462" s="571" t="s">
        <v>2387</v>
      </c>
      <c r="B17462" s="572">
        <v>15.890700000000001</v>
      </c>
      <c r="C17462" s="572">
        <v>377.9</v>
      </c>
    </row>
    <row r="17463" spans="1:3">
      <c r="A17463" s="571" t="s">
        <v>2387</v>
      </c>
      <c r="B17463" s="572">
        <v>18.954899999999999</v>
      </c>
      <c r="C17463" s="572">
        <v>380.90300000000002</v>
      </c>
    </row>
    <row r="17464" spans="1:3">
      <c r="A17464" s="571" t="s">
        <v>2387</v>
      </c>
      <c r="B17464" s="572">
        <v>21.947700000000001</v>
      </c>
      <c r="C17464" s="572">
        <v>383.90199999999999</v>
      </c>
    </row>
    <row r="17465" spans="1:3">
      <c r="A17465" s="571" t="s">
        <v>2387</v>
      </c>
      <c r="B17465" s="572">
        <v>24.9406</v>
      </c>
      <c r="C17465" s="572">
        <v>388.33100000000002</v>
      </c>
    </row>
    <row r="17466" spans="1:3">
      <c r="A17466" s="571" t="s">
        <v>2387</v>
      </c>
      <c r="B17466" s="572">
        <v>27.791</v>
      </c>
      <c r="C17466" s="572">
        <v>391.32299999999998</v>
      </c>
    </row>
    <row r="17467" spans="1:3">
      <c r="A17467" s="571" t="s">
        <v>2389</v>
      </c>
      <c r="B17467" s="572">
        <v>0.46948400000000001</v>
      </c>
      <c r="C17467" s="572">
        <v>4.2600000000000003E-14</v>
      </c>
    </row>
    <row r="17468" spans="1:3">
      <c r="A17468" s="571" t="s">
        <v>2389</v>
      </c>
      <c r="B17468" s="572">
        <v>2.3474200000000001</v>
      </c>
      <c r="C17468" s="572">
        <v>4.2134799999999997</v>
      </c>
    </row>
    <row r="17469" spans="1:3">
      <c r="A17469" s="571" t="s">
        <v>2389</v>
      </c>
      <c r="B17469" s="572">
        <v>4.2253499999999997</v>
      </c>
      <c r="C17469" s="572">
        <v>8.4269700000000007</v>
      </c>
    </row>
    <row r="17470" spans="1:3">
      <c r="A17470" s="571" t="s">
        <v>2389</v>
      </c>
      <c r="B17470" s="572">
        <v>6.1032900000000003</v>
      </c>
      <c r="C17470" s="572">
        <v>11.236000000000001</v>
      </c>
    </row>
    <row r="17471" spans="1:3">
      <c r="A17471" s="571" t="s">
        <v>2389</v>
      </c>
      <c r="B17471" s="572">
        <v>7.5117399999999996</v>
      </c>
      <c r="C17471" s="572">
        <v>16.853899999999999</v>
      </c>
    </row>
    <row r="17472" spans="1:3">
      <c r="A17472" s="571" t="s">
        <v>2389</v>
      </c>
      <c r="B17472" s="572">
        <v>10.3286</v>
      </c>
      <c r="C17472" s="572">
        <v>16.853899999999999</v>
      </c>
    </row>
    <row r="17473" spans="1:3">
      <c r="A17473" s="571" t="s">
        <v>2389</v>
      </c>
      <c r="B17473" s="572">
        <v>13.615</v>
      </c>
      <c r="C17473" s="572">
        <v>22.471900000000002</v>
      </c>
    </row>
    <row r="17474" spans="1:3">
      <c r="A17474" s="571" t="s">
        <v>2389</v>
      </c>
      <c r="B17474" s="572">
        <v>16.431899999999999</v>
      </c>
      <c r="C17474" s="572">
        <v>28.0899</v>
      </c>
    </row>
    <row r="17475" spans="1:3">
      <c r="A17475" s="571" t="s">
        <v>2389</v>
      </c>
      <c r="B17475" s="572">
        <v>19.718299999999999</v>
      </c>
      <c r="C17475" s="572">
        <v>30.898900000000001</v>
      </c>
    </row>
    <row r="17476" spans="1:3">
      <c r="A17476" s="571" t="s">
        <v>2389</v>
      </c>
      <c r="B17476" s="572">
        <v>22.5352</v>
      </c>
      <c r="C17476" s="572">
        <v>33.707900000000002</v>
      </c>
    </row>
    <row r="17477" spans="1:3">
      <c r="A17477" s="571" t="s">
        <v>2389</v>
      </c>
      <c r="B17477" s="572">
        <v>25.3521</v>
      </c>
      <c r="C17477" s="572">
        <v>35.112400000000001</v>
      </c>
    </row>
    <row r="17478" spans="1:3">
      <c r="A17478" s="571" t="s">
        <v>2389</v>
      </c>
      <c r="B17478" s="572">
        <v>28.169</v>
      </c>
      <c r="C17478" s="572">
        <v>35.112400000000001</v>
      </c>
    </row>
    <row r="17479" spans="1:3">
      <c r="A17479" s="571" t="s">
        <v>2389</v>
      </c>
      <c r="B17479" s="572">
        <v>42.253500000000003</v>
      </c>
      <c r="C17479" s="572">
        <v>33.707900000000002</v>
      </c>
    </row>
    <row r="17480" spans="1:3">
      <c r="A17480" s="571" t="s">
        <v>2389</v>
      </c>
      <c r="B17480" s="572">
        <v>56.338000000000001</v>
      </c>
      <c r="C17480" s="572">
        <v>36.5169</v>
      </c>
    </row>
    <row r="17481" spans="1:3">
      <c r="A17481" s="571" t="s">
        <v>2389</v>
      </c>
      <c r="B17481" s="572">
        <v>70.422499999999999</v>
      </c>
      <c r="C17481" s="572">
        <v>35.112400000000001</v>
      </c>
    </row>
    <row r="17482" spans="1:3">
      <c r="A17482" s="571" t="s">
        <v>2389</v>
      </c>
      <c r="B17482" s="572">
        <v>84.507000000000005</v>
      </c>
      <c r="C17482" s="572">
        <v>36.5169</v>
      </c>
    </row>
    <row r="17483" spans="1:3">
      <c r="A17483" s="573" t="s">
        <v>2389</v>
      </c>
      <c r="B17483" s="574">
        <v>119.249</v>
      </c>
      <c r="C17483" s="574">
        <v>37.921300000000002</v>
      </c>
    </row>
    <row r="17484" spans="1:3">
      <c r="A17484" s="573" t="s">
        <v>2389</v>
      </c>
      <c r="B17484" s="574">
        <v>147.41800000000001</v>
      </c>
      <c r="C17484" s="574">
        <v>40.7303</v>
      </c>
    </row>
    <row r="17485" spans="1:3">
      <c r="A17485" s="573" t="s">
        <v>2389</v>
      </c>
      <c r="B17485" s="574">
        <v>175.11699999999999</v>
      </c>
      <c r="C17485" s="574">
        <v>44.943800000000003</v>
      </c>
    </row>
    <row r="17486" spans="1:3">
      <c r="A17486" s="571" t="s">
        <v>2391</v>
      </c>
      <c r="B17486" s="572">
        <v>0</v>
      </c>
      <c r="C17486" s="572">
        <v>1.40449</v>
      </c>
    </row>
    <row r="17487" spans="1:3">
      <c r="A17487" s="571" t="s">
        <v>2391</v>
      </c>
      <c r="B17487" s="572">
        <v>0.46948400000000001</v>
      </c>
      <c r="C17487" s="572">
        <v>73.033699999999996</v>
      </c>
    </row>
    <row r="17488" spans="1:3">
      <c r="A17488" s="571" t="s">
        <v>2391</v>
      </c>
      <c r="B17488" s="572">
        <v>0.938967</v>
      </c>
      <c r="C17488" s="572">
        <v>102.52800000000001</v>
      </c>
    </row>
    <row r="17489" spans="1:3">
      <c r="A17489" s="571" t="s">
        <v>2391</v>
      </c>
      <c r="B17489" s="572">
        <v>1.8779300000000001</v>
      </c>
      <c r="C17489" s="572">
        <v>122.191</v>
      </c>
    </row>
    <row r="17490" spans="1:3">
      <c r="A17490" s="571" t="s">
        <v>2391</v>
      </c>
      <c r="B17490" s="572">
        <v>4.2253499999999997</v>
      </c>
      <c r="C17490" s="572">
        <v>126.404</v>
      </c>
    </row>
    <row r="17491" spans="1:3">
      <c r="A17491" s="571" t="s">
        <v>2391</v>
      </c>
      <c r="B17491" s="572">
        <v>6.5727700000000002</v>
      </c>
      <c r="C17491" s="572">
        <v>129.21299999999999</v>
      </c>
    </row>
    <row r="17492" spans="1:3">
      <c r="A17492" s="571" t="s">
        <v>2391</v>
      </c>
      <c r="B17492" s="572">
        <v>10.3286</v>
      </c>
      <c r="C17492" s="572">
        <v>136.23599999999999</v>
      </c>
    </row>
    <row r="17493" spans="1:3">
      <c r="A17493" s="571" t="s">
        <v>2391</v>
      </c>
      <c r="B17493" s="572">
        <v>13.1455</v>
      </c>
      <c r="C17493" s="572">
        <v>139.04499999999999</v>
      </c>
    </row>
    <row r="17494" spans="1:3">
      <c r="A17494" s="571" t="s">
        <v>2391</v>
      </c>
      <c r="B17494" s="572">
        <v>16.901399999999999</v>
      </c>
      <c r="C17494" s="572">
        <v>141.85400000000001</v>
      </c>
    </row>
    <row r="17495" spans="1:3">
      <c r="A17495" s="571" t="s">
        <v>2391</v>
      </c>
      <c r="B17495" s="572">
        <v>18.779299999999999</v>
      </c>
      <c r="C17495" s="572">
        <v>141.85400000000001</v>
      </c>
    </row>
    <row r="17496" spans="1:3">
      <c r="A17496" s="571" t="s">
        <v>2391</v>
      </c>
      <c r="B17496" s="572">
        <v>22.0657</v>
      </c>
      <c r="C17496" s="572">
        <v>141.85400000000001</v>
      </c>
    </row>
    <row r="17497" spans="1:3">
      <c r="A17497" s="571" t="s">
        <v>2391</v>
      </c>
      <c r="B17497" s="572">
        <v>25.8216</v>
      </c>
      <c r="C17497" s="572">
        <v>147.47200000000001</v>
      </c>
    </row>
    <row r="17498" spans="1:3">
      <c r="A17498" s="571" t="s">
        <v>2391</v>
      </c>
      <c r="B17498" s="572">
        <v>28.638500000000001</v>
      </c>
      <c r="C17498" s="572">
        <v>150.28100000000001</v>
      </c>
    </row>
    <row r="17499" spans="1:3">
      <c r="A17499" s="571" t="s">
        <v>2391</v>
      </c>
      <c r="B17499" s="572">
        <v>42.253500000000003</v>
      </c>
      <c r="C17499" s="572">
        <v>153.09</v>
      </c>
    </row>
    <row r="17500" spans="1:3">
      <c r="A17500" s="571" t="s">
        <v>2391</v>
      </c>
      <c r="B17500" s="572">
        <v>56.338000000000001</v>
      </c>
      <c r="C17500" s="572">
        <v>160.11199999999999</v>
      </c>
    </row>
    <row r="17501" spans="1:3">
      <c r="A17501" s="571" t="s">
        <v>2391</v>
      </c>
      <c r="B17501" s="572">
        <v>70.422499999999999</v>
      </c>
      <c r="C17501" s="572">
        <v>164.32599999999999</v>
      </c>
    </row>
    <row r="17502" spans="1:3">
      <c r="A17502" s="571" t="s">
        <v>2391</v>
      </c>
      <c r="B17502" s="572">
        <v>84.037599999999998</v>
      </c>
      <c r="C17502" s="572">
        <v>171.34800000000001</v>
      </c>
    </row>
    <row r="17503" spans="1:3">
      <c r="A17503" s="573" t="s">
        <v>2391</v>
      </c>
      <c r="B17503" s="574">
        <v>119.249</v>
      </c>
      <c r="C17503" s="574">
        <v>175.56200000000001</v>
      </c>
    </row>
    <row r="17504" spans="1:3">
      <c r="A17504" s="573" t="s">
        <v>2391</v>
      </c>
      <c r="B17504" s="574">
        <v>147.41800000000001</v>
      </c>
      <c r="C17504" s="574">
        <v>178.37100000000001</v>
      </c>
    </row>
    <row r="17505" spans="1:3">
      <c r="A17505" s="573" t="s">
        <v>2391</v>
      </c>
      <c r="B17505" s="574">
        <v>175.58699999999999</v>
      </c>
      <c r="C17505" s="574">
        <v>182.584</v>
      </c>
    </row>
    <row r="17506" spans="1:3">
      <c r="A17506" s="571" t="s">
        <v>2393</v>
      </c>
      <c r="B17506" s="572">
        <v>0.46948400000000001</v>
      </c>
      <c r="C17506" s="572">
        <v>4.2600000000000003E-14</v>
      </c>
    </row>
    <row r="17507" spans="1:3">
      <c r="A17507" s="571" t="s">
        <v>2393</v>
      </c>
      <c r="B17507" s="572">
        <v>0.938967</v>
      </c>
      <c r="C17507" s="572">
        <v>89.887600000000006</v>
      </c>
    </row>
    <row r="17508" spans="1:3">
      <c r="A17508" s="571" t="s">
        <v>2393</v>
      </c>
      <c r="B17508" s="572">
        <v>1.40845</v>
      </c>
      <c r="C17508" s="572">
        <v>148.876</v>
      </c>
    </row>
    <row r="17509" spans="1:3">
      <c r="A17509" s="571" t="s">
        <v>2393</v>
      </c>
      <c r="B17509" s="572">
        <v>2.3474200000000001</v>
      </c>
      <c r="C17509" s="572">
        <v>157.303</v>
      </c>
    </row>
    <row r="17510" spans="1:3">
      <c r="A17510" s="571" t="s">
        <v>2393</v>
      </c>
      <c r="B17510" s="572">
        <v>3.2863799999999999</v>
      </c>
      <c r="C17510" s="572">
        <v>161.517</v>
      </c>
    </row>
    <row r="17511" spans="1:3">
      <c r="A17511" s="571" t="s">
        <v>2393</v>
      </c>
      <c r="B17511" s="572">
        <v>4.6948400000000001</v>
      </c>
      <c r="C17511" s="572">
        <v>167.13499999999999</v>
      </c>
    </row>
    <row r="17512" spans="1:3">
      <c r="A17512" s="571" t="s">
        <v>2393</v>
      </c>
      <c r="B17512" s="572">
        <v>6.5727700000000002</v>
      </c>
      <c r="C17512" s="572">
        <v>168.53899999999999</v>
      </c>
    </row>
    <row r="17513" spans="1:3">
      <c r="A17513" s="571" t="s">
        <v>2393</v>
      </c>
      <c r="B17513" s="572">
        <v>10.3286</v>
      </c>
      <c r="C17513" s="572">
        <v>171.34800000000001</v>
      </c>
    </row>
    <row r="17514" spans="1:3">
      <c r="A17514" s="571" t="s">
        <v>2393</v>
      </c>
      <c r="B17514" s="572">
        <v>12.6761</v>
      </c>
      <c r="C17514" s="572">
        <v>175.56200000000001</v>
      </c>
    </row>
    <row r="17515" spans="1:3">
      <c r="A17515" s="571" t="s">
        <v>2393</v>
      </c>
      <c r="B17515" s="572">
        <v>15.962400000000001</v>
      </c>
      <c r="C17515" s="572">
        <v>178.37100000000001</v>
      </c>
    </row>
    <row r="17516" spans="1:3">
      <c r="A17516" s="571" t="s">
        <v>2393</v>
      </c>
      <c r="B17516" s="572">
        <v>19.248799999999999</v>
      </c>
      <c r="C17516" s="572">
        <v>179.77500000000001</v>
      </c>
    </row>
    <row r="17517" spans="1:3">
      <c r="A17517" s="571" t="s">
        <v>2393</v>
      </c>
      <c r="B17517" s="572">
        <v>20.657299999999999</v>
      </c>
      <c r="C17517" s="572">
        <v>181.18</v>
      </c>
    </row>
    <row r="17518" spans="1:3">
      <c r="A17518" s="571" t="s">
        <v>2393</v>
      </c>
      <c r="B17518" s="572">
        <v>22.5352</v>
      </c>
      <c r="C17518" s="572">
        <v>182.584</v>
      </c>
    </row>
    <row r="17519" spans="1:3">
      <c r="A17519" s="571" t="s">
        <v>2393</v>
      </c>
      <c r="B17519" s="572">
        <v>25.3521</v>
      </c>
      <c r="C17519" s="572">
        <v>186.798</v>
      </c>
    </row>
    <row r="17520" spans="1:3">
      <c r="A17520" s="571" t="s">
        <v>2393</v>
      </c>
      <c r="B17520" s="572">
        <v>28.169</v>
      </c>
      <c r="C17520" s="572">
        <v>191.011</v>
      </c>
    </row>
    <row r="17521" spans="1:3">
      <c r="A17521" s="571" t="s">
        <v>2393</v>
      </c>
      <c r="B17521" s="572">
        <v>42.253500000000003</v>
      </c>
      <c r="C17521" s="572">
        <v>191.011</v>
      </c>
    </row>
    <row r="17522" spans="1:3">
      <c r="A17522" s="571" t="s">
        <v>2393</v>
      </c>
      <c r="B17522" s="572">
        <v>56.338000000000001</v>
      </c>
      <c r="C17522" s="572">
        <v>195.22499999999999</v>
      </c>
    </row>
    <row r="17523" spans="1:3">
      <c r="A17523" s="571" t="s">
        <v>2393</v>
      </c>
      <c r="B17523" s="572">
        <v>70.422499999999999</v>
      </c>
      <c r="C17523" s="572">
        <v>205.05600000000001</v>
      </c>
    </row>
    <row r="17524" spans="1:3">
      <c r="A17524" s="571" t="s">
        <v>2393</v>
      </c>
      <c r="B17524" s="572">
        <v>84.507000000000005</v>
      </c>
      <c r="C17524" s="572">
        <v>212.07900000000001</v>
      </c>
    </row>
    <row r="17525" spans="1:3">
      <c r="A17525" s="573" t="s">
        <v>2393</v>
      </c>
      <c r="B17525" s="574">
        <v>119.249</v>
      </c>
      <c r="C17525" s="574">
        <v>223.315</v>
      </c>
    </row>
    <row r="17526" spans="1:3">
      <c r="A17526" s="573" t="s">
        <v>2393</v>
      </c>
      <c r="B17526" s="574">
        <v>147.41800000000001</v>
      </c>
      <c r="C17526" s="574">
        <v>227.52799999999999</v>
      </c>
    </row>
    <row r="17527" spans="1:3">
      <c r="A17527" s="573" t="s">
        <v>2393</v>
      </c>
      <c r="B17527" s="574">
        <v>175.58699999999999</v>
      </c>
      <c r="C17527" s="574">
        <v>228.93299999999999</v>
      </c>
    </row>
    <row r="17528" spans="1:3">
      <c r="A17528" s="571" t="s">
        <v>2395</v>
      </c>
      <c r="B17528" s="572">
        <v>0.46948400000000001</v>
      </c>
      <c r="C17528" s="572">
        <v>4.2600000000000003E-14</v>
      </c>
    </row>
    <row r="17529" spans="1:3">
      <c r="A17529" s="571" t="s">
        <v>2395</v>
      </c>
      <c r="B17529" s="572">
        <v>0.938967</v>
      </c>
      <c r="C17529" s="572">
        <v>219.101</v>
      </c>
    </row>
    <row r="17530" spans="1:3">
      <c r="A17530" s="571" t="s">
        <v>2395</v>
      </c>
      <c r="B17530" s="572">
        <v>1.40845</v>
      </c>
      <c r="C17530" s="572">
        <v>251.404</v>
      </c>
    </row>
    <row r="17531" spans="1:3">
      <c r="A17531" s="571" t="s">
        <v>2395</v>
      </c>
      <c r="B17531" s="572">
        <v>1.8779300000000001</v>
      </c>
      <c r="C17531" s="572">
        <v>233.14599999999999</v>
      </c>
    </row>
    <row r="17532" spans="1:3">
      <c r="A17532" s="571" t="s">
        <v>2395</v>
      </c>
      <c r="B17532" s="572">
        <v>2.8169</v>
      </c>
      <c r="C17532" s="572">
        <v>265.44900000000001</v>
      </c>
    </row>
    <row r="17533" spans="1:3">
      <c r="A17533" s="571" t="s">
        <v>2395</v>
      </c>
      <c r="B17533" s="572">
        <v>3.2863799999999999</v>
      </c>
      <c r="C17533" s="572">
        <v>276.685</v>
      </c>
    </row>
    <row r="17534" spans="1:3">
      <c r="A17534" s="571" t="s">
        <v>2395</v>
      </c>
      <c r="B17534" s="572">
        <v>3.7558699999999998</v>
      </c>
      <c r="C17534" s="572">
        <v>285.11200000000002</v>
      </c>
    </row>
    <row r="17535" spans="1:3">
      <c r="A17535" s="571" t="s">
        <v>2395</v>
      </c>
      <c r="B17535" s="572">
        <v>5.6337999999999999</v>
      </c>
      <c r="C17535" s="572">
        <v>289.32600000000002</v>
      </c>
    </row>
    <row r="17536" spans="1:3">
      <c r="A17536" s="571" t="s">
        <v>2395</v>
      </c>
      <c r="B17536" s="572">
        <v>7.5117399999999996</v>
      </c>
      <c r="C17536" s="572">
        <v>293.53899999999999</v>
      </c>
    </row>
    <row r="17537" spans="1:3">
      <c r="A17537" s="571" t="s">
        <v>2395</v>
      </c>
      <c r="B17537" s="572">
        <v>10.7981</v>
      </c>
      <c r="C17537" s="572">
        <v>300.56200000000001</v>
      </c>
    </row>
    <row r="17538" spans="1:3">
      <c r="A17538" s="571" t="s">
        <v>2395</v>
      </c>
      <c r="B17538" s="572">
        <v>13.1455</v>
      </c>
      <c r="C17538" s="572">
        <v>304.77499999999998</v>
      </c>
    </row>
    <row r="17539" spans="1:3">
      <c r="A17539" s="571" t="s">
        <v>2395</v>
      </c>
      <c r="B17539" s="572">
        <v>14.0845</v>
      </c>
      <c r="C17539" s="572">
        <v>308.98899999999998</v>
      </c>
    </row>
    <row r="17540" spans="1:3">
      <c r="A17540" s="571" t="s">
        <v>2395</v>
      </c>
      <c r="B17540" s="572">
        <v>16.431899999999999</v>
      </c>
      <c r="C17540" s="572">
        <v>310.39299999999997</v>
      </c>
    </row>
    <row r="17541" spans="1:3">
      <c r="A17541" s="571" t="s">
        <v>2395</v>
      </c>
      <c r="B17541" s="572">
        <v>19.248799999999999</v>
      </c>
      <c r="C17541" s="572">
        <v>313.202</v>
      </c>
    </row>
    <row r="17542" spans="1:3">
      <c r="A17542" s="571" t="s">
        <v>2395</v>
      </c>
      <c r="B17542" s="572">
        <v>22.0657</v>
      </c>
      <c r="C17542" s="572">
        <v>314.60700000000003</v>
      </c>
    </row>
    <row r="17543" spans="1:3">
      <c r="A17543" s="571" t="s">
        <v>2395</v>
      </c>
      <c r="B17543" s="572">
        <v>25.3521</v>
      </c>
      <c r="C17543" s="572">
        <v>317.416</v>
      </c>
    </row>
    <row r="17544" spans="1:3">
      <c r="A17544" s="571" t="s">
        <v>2395</v>
      </c>
      <c r="B17544" s="572">
        <v>28.638500000000001</v>
      </c>
      <c r="C17544" s="572">
        <v>320.22500000000002</v>
      </c>
    </row>
    <row r="17545" spans="1:3">
      <c r="A17545" s="571" t="s">
        <v>2395</v>
      </c>
      <c r="B17545" s="572">
        <v>42.253500000000003</v>
      </c>
      <c r="C17545" s="572">
        <v>324.43799999999999</v>
      </c>
    </row>
    <row r="17546" spans="1:3">
      <c r="A17546" s="571" t="s">
        <v>2395</v>
      </c>
      <c r="B17546" s="572">
        <v>55.868499999999997</v>
      </c>
      <c r="C17546" s="572">
        <v>330.05599999999998</v>
      </c>
    </row>
    <row r="17547" spans="1:3">
      <c r="A17547" s="571" t="s">
        <v>2395</v>
      </c>
      <c r="B17547" s="572">
        <v>70.422499999999999</v>
      </c>
      <c r="C17547" s="572">
        <v>334.27</v>
      </c>
    </row>
    <row r="17548" spans="1:3">
      <c r="A17548" s="571" t="s">
        <v>2395</v>
      </c>
      <c r="B17548" s="572">
        <v>84.037599999999998</v>
      </c>
      <c r="C17548" s="572">
        <v>337.07900000000001</v>
      </c>
    </row>
    <row r="17549" spans="1:3">
      <c r="A17549" s="573" t="s">
        <v>2395</v>
      </c>
      <c r="B17549" s="574">
        <v>119.249</v>
      </c>
      <c r="C17549" s="574">
        <v>341.29199999999997</v>
      </c>
    </row>
    <row r="17550" spans="1:3">
      <c r="A17550" s="573" t="s">
        <v>2395</v>
      </c>
      <c r="B17550" s="574">
        <v>147.41800000000001</v>
      </c>
      <c r="C17550" s="574">
        <v>342.697</v>
      </c>
    </row>
    <row r="17551" spans="1:3">
      <c r="A17551" s="573" t="s">
        <v>2395</v>
      </c>
      <c r="B17551" s="574">
        <v>175.11699999999999</v>
      </c>
      <c r="C17551" s="574">
        <v>344.101</v>
      </c>
    </row>
    <row r="17552" spans="1:3">
      <c r="A17552" s="571" t="s">
        <v>2397</v>
      </c>
      <c r="B17552" s="572">
        <v>0.286802</v>
      </c>
      <c r="C17552" s="572">
        <v>2.8353799999999998</v>
      </c>
    </row>
    <row r="17553" spans="1:3">
      <c r="A17553" s="571" t="s">
        <v>2397</v>
      </c>
      <c r="B17553" s="572">
        <v>0.35350500000000001</v>
      </c>
      <c r="C17553" s="572">
        <v>31.355799999999999</v>
      </c>
    </row>
    <row r="17554" spans="1:3">
      <c r="A17554" s="571" t="s">
        <v>2397</v>
      </c>
      <c r="B17554" s="572">
        <v>0.42326799999999998</v>
      </c>
      <c r="C17554" s="572">
        <v>44.179600000000001</v>
      </c>
    </row>
    <row r="17555" spans="1:3">
      <c r="A17555" s="571" t="s">
        <v>2397</v>
      </c>
      <c r="B17555" s="572">
        <v>0.56401699999999999</v>
      </c>
      <c r="C17555" s="572">
        <v>61.280299999999997</v>
      </c>
    </row>
    <row r="17556" spans="1:3">
      <c r="A17556" s="571" t="s">
        <v>2397</v>
      </c>
      <c r="B17556" s="572">
        <v>0.63398399999999999</v>
      </c>
      <c r="C17556" s="572">
        <v>72.679699999999997</v>
      </c>
    </row>
    <row r="17557" spans="1:3">
      <c r="A17557" s="571" t="s">
        <v>2397</v>
      </c>
      <c r="B17557" s="572">
        <v>0.70456200000000002</v>
      </c>
      <c r="C17557" s="572">
        <v>79.805499999999995</v>
      </c>
    </row>
    <row r="17558" spans="1:3">
      <c r="A17558" s="571" t="s">
        <v>2397</v>
      </c>
      <c r="B17558" s="572">
        <v>0.84653599999999996</v>
      </c>
      <c r="C17558" s="572">
        <v>88.359300000000005</v>
      </c>
    </row>
    <row r="17559" spans="1:3">
      <c r="A17559" s="571" t="s">
        <v>2397</v>
      </c>
      <c r="B17559" s="572">
        <v>0.91731799999999997</v>
      </c>
      <c r="C17559" s="572">
        <v>94.060699999999997</v>
      </c>
    </row>
    <row r="17560" spans="1:3">
      <c r="A17560" s="571" t="s">
        <v>2397</v>
      </c>
      <c r="B17560" s="572">
        <v>1.0592900000000001</v>
      </c>
      <c r="C17560" s="572">
        <v>102.614</v>
      </c>
    </row>
    <row r="17561" spans="1:3">
      <c r="A17561" s="571" t="s">
        <v>2397</v>
      </c>
      <c r="B17561" s="572">
        <v>1.48725</v>
      </c>
      <c r="C17561" s="572">
        <v>114.03100000000001</v>
      </c>
    </row>
    <row r="17562" spans="1:3">
      <c r="A17562" s="571" t="s">
        <v>2397</v>
      </c>
      <c r="B17562" s="572">
        <v>2.48759</v>
      </c>
      <c r="C17562" s="572">
        <v>128.32300000000001</v>
      </c>
    </row>
    <row r="17563" spans="1:3">
      <c r="A17563" s="571" t="s">
        <v>2397</v>
      </c>
      <c r="B17563" s="572">
        <v>3.48915</v>
      </c>
      <c r="C17563" s="572">
        <v>134.06899999999999</v>
      </c>
    </row>
    <row r="17564" spans="1:3">
      <c r="A17564" s="571" t="s">
        <v>2397</v>
      </c>
      <c r="B17564" s="572">
        <v>4.9921100000000003</v>
      </c>
      <c r="C17564" s="572">
        <v>138.41399999999999</v>
      </c>
    </row>
    <row r="17565" spans="1:3">
      <c r="A17565" s="571" t="s">
        <v>2397</v>
      </c>
      <c r="B17565" s="572">
        <v>6.9964599999999999</v>
      </c>
      <c r="C17565" s="572">
        <v>141.358</v>
      </c>
    </row>
    <row r="17566" spans="1:3">
      <c r="A17566" s="571" t="s">
        <v>2397</v>
      </c>
      <c r="B17566" s="572">
        <v>10.003399999999999</v>
      </c>
      <c r="C17566" s="572">
        <v>142.92500000000001</v>
      </c>
    </row>
    <row r="17567" spans="1:3">
      <c r="A17567" s="571" t="s">
        <v>2397</v>
      </c>
      <c r="B17567" s="572">
        <v>13.0099</v>
      </c>
      <c r="C17567" s="572">
        <v>147.34100000000001</v>
      </c>
    </row>
    <row r="17568" spans="1:3">
      <c r="A17568" s="571" t="s">
        <v>2397</v>
      </c>
      <c r="B17568" s="572">
        <v>16.0883</v>
      </c>
      <c r="C17568" s="572">
        <v>150.33699999999999</v>
      </c>
    </row>
    <row r="17569" spans="1:3">
      <c r="A17569" s="571" t="s">
        <v>2397</v>
      </c>
      <c r="B17569" s="572">
        <v>19.094799999999999</v>
      </c>
      <c r="C17569" s="572">
        <v>154.75299999999999</v>
      </c>
    </row>
    <row r="17570" spans="1:3">
      <c r="A17570" s="571" t="s">
        <v>2397</v>
      </c>
      <c r="B17570" s="572">
        <v>22.029699999999998</v>
      </c>
      <c r="C17570" s="572">
        <v>159.166</v>
      </c>
    </row>
    <row r="17571" spans="1:3">
      <c r="A17571" s="571" t="s">
        <v>2397</v>
      </c>
      <c r="B17571" s="572">
        <v>25.179600000000001</v>
      </c>
      <c r="C17571" s="572">
        <v>162.16399999999999</v>
      </c>
    </row>
    <row r="17572" spans="1:3">
      <c r="A17572" s="571" t="s">
        <v>2397</v>
      </c>
      <c r="B17572" s="572">
        <v>28.1144</v>
      </c>
      <c r="C17572" s="572">
        <v>168.00200000000001</v>
      </c>
    </row>
    <row r="17573" spans="1:3">
      <c r="A17573" s="571" t="s">
        <v>2399</v>
      </c>
      <c r="B17573" s="572">
        <v>0.21377699999999999</v>
      </c>
      <c r="C17573" s="572">
        <v>1.0179799999999999E-2</v>
      </c>
    </row>
    <row r="17574" spans="1:3">
      <c r="A17574" s="571" t="s">
        <v>2399</v>
      </c>
      <c r="B17574" s="572">
        <v>0.49881199999999998</v>
      </c>
      <c r="C17574" s="572">
        <v>14.3095</v>
      </c>
    </row>
    <row r="17575" spans="1:3">
      <c r="A17575" s="571" t="s">
        <v>2399</v>
      </c>
      <c r="B17575" s="572">
        <v>0.57007099999999999</v>
      </c>
      <c r="C17575" s="572">
        <v>44.312899999999999</v>
      </c>
    </row>
    <row r="17576" spans="1:3">
      <c r="A17576" s="571" t="s">
        <v>2399</v>
      </c>
      <c r="B17576" s="572">
        <v>0.85510699999999995</v>
      </c>
      <c r="C17576" s="572">
        <v>107.184</v>
      </c>
    </row>
    <row r="17577" spans="1:3">
      <c r="A17577" s="571" t="s">
        <v>2399</v>
      </c>
      <c r="B17577" s="572">
        <v>0.92636600000000002</v>
      </c>
      <c r="C17577" s="572">
        <v>125.758</v>
      </c>
    </row>
    <row r="17578" spans="1:3">
      <c r="A17578" s="571" t="s">
        <v>2399</v>
      </c>
      <c r="B17578" s="572">
        <v>1.9239900000000001</v>
      </c>
      <c r="C17578" s="572">
        <v>167.23400000000001</v>
      </c>
    </row>
    <row r="17579" spans="1:3">
      <c r="A17579" s="571" t="s">
        <v>2399</v>
      </c>
      <c r="B17579" s="572">
        <v>2.9216199999999999</v>
      </c>
      <c r="C17579" s="572">
        <v>192.99600000000001</v>
      </c>
    </row>
    <row r="17580" spans="1:3">
      <c r="A17580" s="571" t="s">
        <v>2399</v>
      </c>
      <c r="B17580" s="572">
        <v>3.9904999999999999</v>
      </c>
      <c r="C17580" s="572">
        <v>207.333</v>
      </c>
    </row>
    <row r="17581" spans="1:3">
      <c r="A17581" s="571" t="s">
        <v>2399</v>
      </c>
      <c r="B17581" s="572">
        <v>4.8456099999999998</v>
      </c>
      <c r="C17581" s="572">
        <v>208.80199999999999</v>
      </c>
    </row>
    <row r="17582" spans="1:3">
      <c r="A17582" s="571" t="s">
        <v>2399</v>
      </c>
      <c r="B17582" s="572">
        <v>5.9144899999999998</v>
      </c>
      <c r="C17582" s="572">
        <v>215.99600000000001</v>
      </c>
    </row>
    <row r="17583" spans="1:3">
      <c r="A17583" s="571" t="s">
        <v>2399</v>
      </c>
      <c r="B17583" s="572">
        <v>6.9121100000000002</v>
      </c>
      <c r="C17583" s="572">
        <v>216.04300000000001</v>
      </c>
    </row>
    <row r="17584" spans="1:3">
      <c r="A17584" s="571" t="s">
        <v>2399</v>
      </c>
      <c r="B17584" s="572">
        <v>9.9762500000000003</v>
      </c>
      <c r="C17584" s="572">
        <v>226.18899999999999</v>
      </c>
    </row>
    <row r="17585" spans="1:3">
      <c r="A17585" s="571" t="s">
        <v>2399</v>
      </c>
      <c r="B17585" s="572">
        <v>12.969099999999999</v>
      </c>
      <c r="C17585" s="572">
        <v>236.33199999999999</v>
      </c>
    </row>
    <row r="17586" spans="1:3">
      <c r="A17586" s="571" t="s">
        <v>2399</v>
      </c>
      <c r="B17586" s="572">
        <v>15.890700000000001</v>
      </c>
      <c r="C17586" s="572">
        <v>246.471</v>
      </c>
    </row>
    <row r="17587" spans="1:3">
      <c r="A17587" s="571" t="s">
        <v>2399</v>
      </c>
      <c r="B17587" s="572">
        <v>18.883600000000001</v>
      </c>
      <c r="C17587" s="572">
        <v>253.756</v>
      </c>
    </row>
    <row r="17588" spans="1:3">
      <c r="A17588" s="571" t="s">
        <v>2399</v>
      </c>
      <c r="B17588" s="572">
        <v>21.947700000000001</v>
      </c>
      <c r="C17588" s="572">
        <v>259.61700000000002</v>
      </c>
    </row>
    <row r="17589" spans="1:3">
      <c r="A17589" s="571" t="s">
        <v>2399</v>
      </c>
      <c r="B17589" s="572">
        <v>24.869399999999999</v>
      </c>
      <c r="C17589" s="572">
        <v>262.613</v>
      </c>
    </row>
    <row r="17590" spans="1:3">
      <c r="A17590" s="571" t="s">
        <v>2399</v>
      </c>
      <c r="B17590" s="572">
        <v>27.933499999999999</v>
      </c>
      <c r="C17590" s="572">
        <v>264.18700000000001</v>
      </c>
    </row>
    <row r="17591" spans="1:3">
      <c r="A17591" s="48" t="s">
        <v>2401</v>
      </c>
      <c r="B17591" s="549">
        <v>-2.9049999999999909E-3</v>
      </c>
      <c r="C17591" s="549">
        <v>12.4069</v>
      </c>
    </row>
    <row r="17592" spans="1:3">
      <c r="A17592" s="571" t="s">
        <v>2401</v>
      </c>
      <c r="B17592" s="572">
        <v>5.9500000000000108E-3</v>
      </c>
      <c r="C17592" s="572">
        <v>179.90100000000001</v>
      </c>
    </row>
    <row r="17593" spans="1:3">
      <c r="A17593" s="571" t="s">
        <v>2401</v>
      </c>
      <c r="B17593" s="572">
        <v>1.4701999999999993E-2</v>
      </c>
      <c r="C17593" s="572">
        <v>316.37700000000001</v>
      </c>
    </row>
    <row r="17594" spans="1:3">
      <c r="A17594" s="571" t="s">
        <v>2401</v>
      </c>
      <c r="B17594" s="572">
        <v>1.5195999999999987E-2</v>
      </c>
      <c r="C17594" s="572">
        <v>465.26100000000002</v>
      </c>
    </row>
    <row r="17595" spans="1:3">
      <c r="A17595" s="571" t="s">
        <v>2401</v>
      </c>
      <c r="B17595" s="572">
        <v>3.2391000000000003E-2</v>
      </c>
      <c r="C17595" s="572">
        <v>645.16099999999994</v>
      </c>
    </row>
    <row r="17596" spans="1:3">
      <c r="A17596" s="571" t="s">
        <v>2401</v>
      </c>
      <c r="B17596" s="572">
        <v>4.1306999999999983E-2</v>
      </c>
      <c r="C17596" s="572">
        <v>831.26599999999996</v>
      </c>
    </row>
    <row r="17597" spans="1:3">
      <c r="A17597" s="571" t="s">
        <v>2401</v>
      </c>
      <c r="B17597" s="572">
        <v>5.0161999999999984E-2</v>
      </c>
      <c r="C17597" s="572">
        <v>998.75900000000001</v>
      </c>
    </row>
    <row r="17598" spans="1:3">
      <c r="A17598" s="571" t="s">
        <v>2401</v>
      </c>
      <c r="B17598" s="572">
        <v>5.8914000000000022E-2</v>
      </c>
      <c r="C17598" s="572">
        <v>1135.24</v>
      </c>
    </row>
    <row r="17599" spans="1:3">
      <c r="A17599" s="571" t="s">
        <v>2401</v>
      </c>
      <c r="B17599" s="572">
        <v>6.7767999999999995E-2</v>
      </c>
      <c r="C17599" s="572">
        <v>1302.73</v>
      </c>
    </row>
    <row r="17600" spans="1:3">
      <c r="A17600" s="571" t="s">
        <v>2401</v>
      </c>
      <c r="B17600" s="572">
        <v>8.4901000000000004E-2</v>
      </c>
      <c r="C17600" s="572">
        <v>1464.02</v>
      </c>
    </row>
    <row r="17601" spans="1:3">
      <c r="A17601" s="571" t="s">
        <v>2401</v>
      </c>
      <c r="B17601" s="572">
        <v>0.11027100000000001</v>
      </c>
      <c r="C17601" s="572">
        <v>1606.7</v>
      </c>
    </row>
    <row r="17602" spans="1:3">
      <c r="A17602" s="571" t="s">
        <v>2401</v>
      </c>
      <c r="B17602" s="572">
        <v>0.13557900000000001</v>
      </c>
      <c r="C17602" s="572">
        <v>1730.77</v>
      </c>
    </row>
    <row r="17603" spans="1:3">
      <c r="A17603" s="571" t="s">
        <v>2401</v>
      </c>
      <c r="B17603" s="572">
        <v>0.21883500000000006</v>
      </c>
      <c r="C17603" s="572">
        <v>1811.41</v>
      </c>
    </row>
    <row r="17604" spans="1:3">
      <c r="A17604" s="571" t="s">
        <v>2401</v>
      </c>
      <c r="B17604" s="572">
        <v>0.33516099999999999</v>
      </c>
      <c r="C17604" s="572">
        <v>1854.84</v>
      </c>
    </row>
    <row r="17605" spans="1:3">
      <c r="A17605" s="571" t="s">
        <v>2401</v>
      </c>
      <c r="B17605" s="572">
        <v>0.509579</v>
      </c>
      <c r="C17605" s="572">
        <v>1898.26</v>
      </c>
    </row>
    <row r="17606" spans="1:3">
      <c r="A17606" s="571" t="s">
        <v>2401</v>
      </c>
      <c r="B17606" s="572">
        <v>0.6922299999999999</v>
      </c>
      <c r="C17606" s="572">
        <v>1923.08</v>
      </c>
    </row>
    <row r="17607" spans="1:3">
      <c r="A17607" s="571" t="s">
        <v>2401</v>
      </c>
      <c r="B17607" s="572">
        <v>0.89146999999999998</v>
      </c>
      <c r="C17607" s="572">
        <v>1941.69</v>
      </c>
    </row>
    <row r="17608" spans="1:3">
      <c r="A17608" s="571" t="s">
        <v>2401</v>
      </c>
      <c r="B17608" s="572">
        <v>1.0824</v>
      </c>
      <c r="C17608" s="572">
        <v>1960.3</v>
      </c>
    </row>
    <row r="17609" spans="1:3">
      <c r="A17609" s="571" t="s">
        <v>2401</v>
      </c>
      <c r="B17609" s="572">
        <v>1.3065099999999998</v>
      </c>
      <c r="C17609" s="572">
        <v>1972.7</v>
      </c>
    </row>
    <row r="17610" spans="1:3">
      <c r="A17610" s="571" t="s">
        <v>2401</v>
      </c>
      <c r="B17610" s="572">
        <v>1.53061</v>
      </c>
      <c r="C17610" s="572">
        <v>1985.11</v>
      </c>
    </row>
    <row r="17611" spans="1:3">
      <c r="A17611" s="571" t="s">
        <v>2401</v>
      </c>
      <c r="B17611" s="572">
        <v>1.7132299999999998</v>
      </c>
      <c r="C17611" s="572">
        <v>1997.52</v>
      </c>
    </row>
    <row r="17612" spans="1:3">
      <c r="A17612" s="571" t="s">
        <v>2401</v>
      </c>
      <c r="B17612" s="572">
        <v>1.9539300000000002</v>
      </c>
      <c r="C17612" s="572">
        <v>2009.93</v>
      </c>
    </row>
    <row r="17613" spans="1:3">
      <c r="A17613" s="571" t="s">
        <v>2401</v>
      </c>
      <c r="B17613" s="572">
        <v>2.1946400000000001</v>
      </c>
      <c r="C17613" s="572">
        <v>2022.33</v>
      </c>
    </row>
    <row r="17614" spans="1:3">
      <c r="A17614" s="571" t="s">
        <v>2401</v>
      </c>
      <c r="B17614" s="572">
        <v>2.4104299999999999</v>
      </c>
      <c r="C17614" s="572">
        <v>2028.54</v>
      </c>
    </row>
    <row r="17615" spans="1:3">
      <c r="A17615" s="571" t="s">
        <v>2401</v>
      </c>
      <c r="B17615" s="572">
        <v>2.6013000000000002</v>
      </c>
      <c r="C17615" s="572">
        <v>2028.54</v>
      </c>
    </row>
    <row r="17616" spans="1:3">
      <c r="A17616" s="571" t="s">
        <v>2401</v>
      </c>
      <c r="B17616" s="572">
        <v>2.8088099999999998</v>
      </c>
      <c r="C17616" s="572">
        <v>2040.94</v>
      </c>
    </row>
    <row r="17617" spans="1:3">
      <c r="A17617" s="571" t="s">
        <v>2401</v>
      </c>
      <c r="B17617" s="572">
        <v>3.0329000000000002</v>
      </c>
      <c r="C17617" s="572">
        <v>2047.15</v>
      </c>
    </row>
    <row r="17618" spans="1:3">
      <c r="A17618" s="571" t="s">
        <v>2401</v>
      </c>
      <c r="B17618" s="572">
        <v>3.2652999999999999</v>
      </c>
      <c r="C17618" s="572">
        <v>2059.5500000000002</v>
      </c>
    </row>
    <row r="17619" spans="1:3">
      <c r="A17619" s="571" t="s">
        <v>2401</v>
      </c>
      <c r="B17619" s="572">
        <v>3.4894099999999999</v>
      </c>
      <c r="C17619" s="572">
        <v>2071.96</v>
      </c>
    </row>
    <row r="17620" spans="1:3">
      <c r="A17620" s="571" t="s">
        <v>2401</v>
      </c>
      <c r="B17620" s="572">
        <v>3.7052</v>
      </c>
      <c r="C17620" s="572">
        <v>2078.16</v>
      </c>
    </row>
    <row r="17621" spans="1:3">
      <c r="A17621" s="571" t="s">
        <v>2401</v>
      </c>
      <c r="B17621" s="572">
        <v>3.9458600000000001</v>
      </c>
      <c r="C17621" s="572">
        <v>2078.16</v>
      </c>
    </row>
    <row r="17622" spans="1:3">
      <c r="A17622" s="571" t="s">
        <v>2401</v>
      </c>
      <c r="B17622" s="572">
        <v>4.1865500000000004</v>
      </c>
      <c r="C17622" s="572">
        <v>2084.37</v>
      </c>
    </row>
    <row r="17623" spans="1:3">
      <c r="A17623" s="571" t="s">
        <v>2401</v>
      </c>
      <c r="B17623" s="572">
        <v>4.4272300000000007</v>
      </c>
      <c r="C17623" s="572">
        <v>2090.5700000000002</v>
      </c>
    </row>
    <row r="17624" spans="1:3">
      <c r="A17624" s="571" t="s">
        <v>2401</v>
      </c>
      <c r="B17624" s="572">
        <v>4.6513</v>
      </c>
      <c r="C17624" s="572">
        <v>2090.5700000000002</v>
      </c>
    </row>
    <row r="17625" spans="1:3">
      <c r="A17625" s="571" t="s">
        <v>2401</v>
      </c>
      <c r="B17625" s="572">
        <v>4.8588300000000002</v>
      </c>
      <c r="C17625" s="572">
        <v>2109.1799999999998</v>
      </c>
    </row>
    <row r="17626" spans="1:3">
      <c r="A17626" s="571" t="s">
        <v>2401</v>
      </c>
      <c r="B17626" s="572">
        <v>5.1160900000000007</v>
      </c>
      <c r="C17626" s="572">
        <v>2109.1799999999998</v>
      </c>
    </row>
    <row r="17627" spans="1:3">
      <c r="A17627" s="571" t="s">
        <v>2401</v>
      </c>
      <c r="B17627" s="572">
        <v>5.3484700000000007</v>
      </c>
      <c r="C17627" s="572">
        <v>2115.38</v>
      </c>
    </row>
    <row r="17628" spans="1:3">
      <c r="A17628" s="571" t="s">
        <v>2401</v>
      </c>
      <c r="B17628" s="572">
        <v>5.5559400000000005</v>
      </c>
      <c r="C17628" s="572">
        <v>2115.38</v>
      </c>
    </row>
    <row r="17629" spans="1:3">
      <c r="A17629" s="571" t="s">
        <v>2401</v>
      </c>
      <c r="B17629" s="572">
        <v>5.6970400000000003</v>
      </c>
      <c r="C17629" s="572">
        <v>2121.59</v>
      </c>
    </row>
    <row r="17630" spans="1:3">
      <c r="A17630" s="571" t="s">
        <v>2404</v>
      </c>
      <c r="B17630" s="572">
        <v>0.238149</v>
      </c>
      <c r="C17630" s="572">
        <v>1.7492700000000001</v>
      </c>
    </row>
    <row r="17631" spans="1:3">
      <c r="A17631" s="571" t="s">
        <v>2404</v>
      </c>
      <c r="B17631" s="572">
        <v>0.36420999999999998</v>
      </c>
      <c r="C17631" s="572">
        <v>12.244899999999999</v>
      </c>
    </row>
    <row r="17632" spans="1:3">
      <c r="A17632" s="571" t="s">
        <v>2404</v>
      </c>
      <c r="B17632" s="572">
        <v>0.49171600000000004</v>
      </c>
      <c r="C17632" s="572">
        <v>29.7376</v>
      </c>
    </row>
    <row r="17633" spans="1:3">
      <c r="A17633" s="571" t="s">
        <v>2404</v>
      </c>
      <c r="B17633" s="572">
        <v>0.61994399999999994</v>
      </c>
      <c r="C17633" s="572">
        <v>50.728900000000003</v>
      </c>
    </row>
    <row r="17634" spans="1:3">
      <c r="A17634" s="571" t="s">
        <v>2404</v>
      </c>
      <c r="B17634" s="572">
        <v>0.62500100000000003</v>
      </c>
      <c r="C17634" s="572">
        <v>75.218699999999998</v>
      </c>
    </row>
    <row r="17635" spans="1:3">
      <c r="A17635" s="571" t="s">
        <v>2404</v>
      </c>
      <c r="B17635" s="572">
        <v>0.75395199999999996</v>
      </c>
      <c r="C17635" s="572">
        <v>99.708500000000001</v>
      </c>
    </row>
    <row r="17636" spans="1:3">
      <c r="A17636" s="571" t="s">
        <v>2404</v>
      </c>
      <c r="B17636" s="572">
        <v>0.75973100000000005</v>
      </c>
      <c r="C17636" s="572">
        <v>127.697</v>
      </c>
    </row>
    <row r="17637" spans="1:3">
      <c r="A17637" s="571" t="s">
        <v>2404</v>
      </c>
      <c r="B17637" s="572">
        <v>0.76551000000000002</v>
      </c>
      <c r="C17637" s="572">
        <v>155.685</v>
      </c>
    </row>
    <row r="17638" spans="1:3">
      <c r="A17638" s="571" t="s">
        <v>2404</v>
      </c>
      <c r="B17638" s="572">
        <v>0.76948300000000003</v>
      </c>
      <c r="C17638" s="572">
        <v>174.92699999999999</v>
      </c>
    </row>
    <row r="17639" spans="1:3">
      <c r="A17639" s="571" t="s">
        <v>2404</v>
      </c>
      <c r="B17639" s="572">
        <v>0.78068099999999996</v>
      </c>
      <c r="C17639" s="572">
        <v>229.155</v>
      </c>
    </row>
    <row r="17640" spans="1:3">
      <c r="A17640" s="571" t="s">
        <v>2404</v>
      </c>
      <c r="B17640" s="572">
        <v>0.79621299999999995</v>
      </c>
      <c r="C17640" s="572">
        <v>304.37299999999999</v>
      </c>
    </row>
    <row r="17641" spans="1:3">
      <c r="A17641" s="571" t="s">
        <v>2404</v>
      </c>
      <c r="B17641" s="572">
        <v>0.89807300000000001</v>
      </c>
      <c r="C17641" s="572">
        <v>197.66800000000001</v>
      </c>
    </row>
    <row r="17642" spans="1:3">
      <c r="A17642" s="571" t="s">
        <v>2404</v>
      </c>
      <c r="B17642" s="572">
        <v>0.909632</v>
      </c>
      <c r="C17642" s="572">
        <v>253.64400000000001</v>
      </c>
    </row>
    <row r="17643" spans="1:3">
      <c r="A17643" s="571" t="s">
        <v>2404</v>
      </c>
      <c r="B17643" s="572">
        <v>0.91468799999999995</v>
      </c>
      <c r="C17643" s="572">
        <v>278.13400000000001</v>
      </c>
    </row>
    <row r="17644" spans="1:3">
      <c r="A17644" s="571" t="s">
        <v>2404</v>
      </c>
      <c r="B17644" s="572">
        <v>0.92480200000000001</v>
      </c>
      <c r="C17644" s="572">
        <v>327.11399999999998</v>
      </c>
    </row>
    <row r="17645" spans="1:3">
      <c r="A17645" s="571" t="s">
        <v>2404</v>
      </c>
      <c r="B17645" s="572">
        <v>0.93021999999999994</v>
      </c>
      <c r="C17645" s="572">
        <v>353.35300000000001</v>
      </c>
    </row>
    <row r="17646" spans="1:3">
      <c r="A17646" s="571" t="s">
        <v>2404</v>
      </c>
      <c r="B17646" s="572">
        <v>1.3047899999999999</v>
      </c>
      <c r="C17646" s="572">
        <v>367.34699999999998</v>
      </c>
    </row>
    <row r="17647" spans="1:3">
      <c r="A17647" s="571" t="s">
        <v>2404</v>
      </c>
      <c r="B17647" s="572">
        <v>1.68008</v>
      </c>
      <c r="C17647" s="572">
        <v>384.84</v>
      </c>
    </row>
    <row r="17648" spans="1:3">
      <c r="A17648" s="571" t="s">
        <v>2404</v>
      </c>
      <c r="B17648" s="572">
        <v>2.1796300000000004</v>
      </c>
      <c r="C17648" s="572">
        <v>404.08199999999999</v>
      </c>
    </row>
    <row r="17649" spans="1:3">
      <c r="A17649" s="571" t="s">
        <v>2404</v>
      </c>
      <c r="B17649" s="572">
        <v>2.9273300000000004</v>
      </c>
      <c r="C17649" s="572">
        <v>425.07299999999998</v>
      </c>
    </row>
    <row r="17650" spans="1:3">
      <c r="A17650" s="571" t="s">
        <v>2404</v>
      </c>
      <c r="B17650" s="572">
        <v>3.6746700000000003</v>
      </c>
      <c r="C17650" s="572">
        <v>444.315</v>
      </c>
    </row>
    <row r="17651" spans="1:3">
      <c r="A17651" s="571" t="s">
        <v>2404</v>
      </c>
      <c r="B17651" s="572">
        <v>4.7929599999999999</v>
      </c>
      <c r="C17651" s="572">
        <v>460.05799999999999</v>
      </c>
    </row>
    <row r="17652" spans="1:3">
      <c r="A17652" s="571" t="s">
        <v>2404</v>
      </c>
      <c r="B17652" s="572">
        <v>6.0333399999999999</v>
      </c>
      <c r="C17652" s="572">
        <v>467.05500000000001</v>
      </c>
    </row>
    <row r="17653" spans="1:3">
      <c r="A17653" s="571" t="s">
        <v>2404</v>
      </c>
      <c r="B17653" s="572">
        <v>7.5204300000000002</v>
      </c>
      <c r="C17653" s="572">
        <v>468.80500000000001</v>
      </c>
    </row>
    <row r="17654" spans="1:3">
      <c r="A17654" s="571" t="s">
        <v>2404</v>
      </c>
      <c r="B17654" s="572">
        <v>9.5030900000000003</v>
      </c>
      <c r="C17654" s="572">
        <v>470.55399999999997</v>
      </c>
    </row>
    <row r="17655" spans="1:3">
      <c r="A17655" s="571" t="s">
        <v>2404</v>
      </c>
      <c r="B17655" s="572">
        <v>11.485799999999999</v>
      </c>
      <c r="C17655" s="572">
        <v>472.303</v>
      </c>
    </row>
    <row r="17656" spans="1:3">
      <c r="A17656" s="571" t="s">
        <v>2404</v>
      </c>
      <c r="B17656" s="572">
        <v>12.848599999999999</v>
      </c>
      <c r="C17656" s="572">
        <v>472.303</v>
      </c>
    </row>
    <row r="17657" spans="1:3">
      <c r="A17657" s="571" t="s">
        <v>2404</v>
      </c>
      <c r="B17657" s="572">
        <v>14.583500000000001</v>
      </c>
      <c r="C17657" s="572">
        <v>474.05200000000002</v>
      </c>
    </row>
    <row r="17658" spans="1:3">
      <c r="A17658" s="571" t="s">
        <v>2404</v>
      </c>
      <c r="B17658" s="572">
        <v>16.442599999999999</v>
      </c>
      <c r="C17658" s="572">
        <v>477.55099999999999</v>
      </c>
    </row>
    <row r="17659" spans="1:3">
      <c r="A17659" s="571" t="s">
        <v>2404</v>
      </c>
      <c r="B17659" s="572">
        <v>18.424899999999997</v>
      </c>
      <c r="C17659" s="572">
        <v>477.55099999999999</v>
      </c>
    </row>
    <row r="17660" spans="1:3">
      <c r="A17660" s="571" t="s">
        <v>2404</v>
      </c>
      <c r="B17660" s="572">
        <v>20.655299999999997</v>
      </c>
      <c r="C17660" s="572">
        <v>479.3</v>
      </c>
    </row>
    <row r="17661" spans="1:3">
      <c r="A17661" s="571" t="s">
        <v>2404</v>
      </c>
      <c r="B17661" s="572">
        <v>22.1417</v>
      </c>
      <c r="C17661" s="572">
        <v>477.55099999999999</v>
      </c>
    </row>
    <row r="17662" spans="1:3">
      <c r="A17662" s="571" t="s">
        <v>2404</v>
      </c>
      <c r="B17662" s="572">
        <v>24.000499999999999</v>
      </c>
      <c r="C17662" s="572">
        <v>479.3</v>
      </c>
    </row>
    <row r="17663" spans="1:3">
      <c r="A17663" s="571" t="s">
        <v>2404</v>
      </c>
      <c r="B17663" s="572">
        <v>25.363699999999998</v>
      </c>
      <c r="C17663" s="572">
        <v>481.05</v>
      </c>
    </row>
    <row r="17664" spans="1:3">
      <c r="A17664" s="571" t="s">
        <v>2404</v>
      </c>
      <c r="B17664" s="572">
        <v>27.346299999999999</v>
      </c>
      <c r="C17664" s="572">
        <v>482.79899999999998</v>
      </c>
    </row>
    <row r="17665" spans="1:3">
      <c r="A17665" s="571" t="s">
        <v>2404</v>
      </c>
      <c r="B17665" s="572">
        <v>28.956899999999997</v>
      </c>
      <c r="C17665" s="572">
        <v>482.79899999999998</v>
      </c>
    </row>
    <row r="17666" spans="1:3">
      <c r="A17666" s="571" t="s">
        <v>2404</v>
      </c>
      <c r="B17666" s="572">
        <v>30.691799999999997</v>
      </c>
      <c r="C17666" s="572">
        <v>484.548</v>
      </c>
    </row>
    <row r="17667" spans="1:3">
      <c r="A17667" s="571" t="s">
        <v>2404</v>
      </c>
      <c r="B17667" s="572">
        <v>32.178899999999999</v>
      </c>
      <c r="C17667" s="572">
        <v>486.29700000000003</v>
      </c>
    </row>
    <row r="17668" spans="1:3">
      <c r="A17668" s="571" t="s">
        <v>2404</v>
      </c>
      <c r="B17668" s="572">
        <v>33.789900000000003</v>
      </c>
      <c r="C17668" s="572">
        <v>488.04700000000003</v>
      </c>
    </row>
    <row r="17669" spans="1:3">
      <c r="A17669" s="571" t="s">
        <v>2404</v>
      </c>
      <c r="B17669" s="572">
        <v>35.524799999999999</v>
      </c>
      <c r="C17669" s="572">
        <v>489.79599999999999</v>
      </c>
    </row>
    <row r="17670" spans="1:3">
      <c r="A17670" s="571" t="s">
        <v>2404</v>
      </c>
      <c r="B17670" s="572">
        <v>37.011500000000005</v>
      </c>
      <c r="C17670" s="572">
        <v>489.79599999999999</v>
      </c>
    </row>
    <row r="17671" spans="1:3">
      <c r="A17671" s="571" t="s">
        <v>2404</v>
      </c>
      <c r="B17671" s="572">
        <v>38.746000000000002</v>
      </c>
      <c r="C17671" s="572">
        <v>489.79599999999999</v>
      </c>
    </row>
    <row r="17672" spans="1:3">
      <c r="A17672" s="571" t="s">
        <v>2404</v>
      </c>
      <c r="B17672" s="572">
        <v>40.480499999999999</v>
      </c>
      <c r="C17672" s="572">
        <v>489.79599999999999</v>
      </c>
    </row>
    <row r="17673" spans="1:3">
      <c r="A17673" s="571" t="s">
        <v>2404</v>
      </c>
      <c r="B17673" s="572">
        <v>42.462800000000001</v>
      </c>
      <c r="C17673" s="572">
        <v>489.79599999999999</v>
      </c>
    </row>
    <row r="17674" spans="1:3">
      <c r="A17674" s="571" t="s">
        <v>2404</v>
      </c>
      <c r="B17674" s="572">
        <v>43.9495</v>
      </c>
      <c r="C17674" s="572">
        <v>489.79599999999999</v>
      </c>
    </row>
    <row r="17675" spans="1:3">
      <c r="A17675" s="571" t="s">
        <v>2404</v>
      </c>
      <c r="B17675" s="572">
        <v>45.808300000000003</v>
      </c>
      <c r="C17675" s="572">
        <v>491.54500000000002</v>
      </c>
    </row>
    <row r="17676" spans="1:3">
      <c r="A17676" s="571" t="s">
        <v>2404</v>
      </c>
      <c r="B17676" s="572">
        <v>47.790600000000005</v>
      </c>
      <c r="C17676" s="572">
        <v>491.54500000000002</v>
      </c>
    </row>
    <row r="17677" spans="1:3">
      <c r="A17677" s="571" t="s">
        <v>2404</v>
      </c>
      <c r="B17677" s="572">
        <v>49.525500000000001</v>
      </c>
      <c r="C17677" s="572">
        <v>493.29399999999998</v>
      </c>
    </row>
    <row r="17678" spans="1:3">
      <c r="A17678" s="571" t="s">
        <v>2404</v>
      </c>
      <c r="B17678" s="572">
        <v>51.384300000000003</v>
      </c>
      <c r="C17678" s="572">
        <v>495.04399999999998</v>
      </c>
    </row>
    <row r="17679" spans="1:3">
      <c r="A17679" s="571" t="s">
        <v>2404</v>
      </c>
      <c r="B17679" s="572">
        <v>53.242699999999999</v>
      </c>
      <c r="C17679" s="572">
        <v>495.04399999999998</v>
      </c>
    </row>
    <row r="17680" spans="1:3">
      <c r="A17680" s="571" t="s">
        <v>2404</v>
      </c>
      <c r="B17680" s="572">
        <v>54.977200000000003</v>
      </c>
      <c r="C17680" s="572">
        <v>495.04399999999998</v>
      </c>
    </row>
    <row r="17681" spans="1:3">
      <c r="A17681" s="571" t="s">
        <v>2404</v>
      </c>
      <c r="B17681" s="572">
        <v>57.208000000000006</v>
      </c>
      <c r="C17681" s="572">
        <v>498.54199999999997</v>
      </c>
    </row>
    <row r="17682" spans="1:3">
      <c r="A17682" s="571" t="s">
        <v>2404</v>
      </c>
      <c r="B17682" s="572">
        <v>59.189900000000002</v>
      </c>
      <c r="C17682" s="572">
        <v>496.79300000000001</v>
      </c>
    </row>
    <row r="17683" spans="1:3">
      <c r="A17683" s="571" t="s">
        <v>2404</v>
      </c>
      <c r="B17683" s="572">
        <v>61.420400000000001</v>
      </c>
      <c r="C17683" s="572">
        <v>498.54199999999997</v>
      </c>
    </row>
    <row r="17684" spans="1:3">
      <c r="A17684" s="571" t="s">
        <v>2404</v>
      </c>
      <c r="B17684" s="572">
        <v>64.270699999999991</v>
      </c>
      <c r="C17684" s="572">
        <v>502.041</v>
      </c>
    </row>
    <row r="17685" spans="1:3">
      <c r="A17685" s="571" t="s">
        <v>2404</v>
      </c>
      <c r="B17685" s="572">
        <v>66.500699999999995</v>
      </c>
      <c r="C17685" s="572">
        <v>502.041</v>
      </c>
    </row>
    <row r="17686" spans="1:3">
      <c r="A17686" s="571" t="s">
        <v>2404</v>
      </c>
      <c r="B17686" s="572">
        <v>68.359200000000001</v>
      </c>
      <c r="C17686" s="572">
        <v>502.041</v>
      </c>
    </row>
    <row r="17687" spans="1:3">
      <c r="A17687" s="571" t="s">
        <v>2404</v>
      </c>
      <c r="B17687" s="572">
        <v>70.465699999999998</v>
      </c>
      <c r="C17687" s="572">
        <v>503.79</v>
      </c>
    </row>
    <row r="17688" spans="1:3">
      <c r="A17688" s="571" t="s">
        <v>2404</v>
      </c>
      <c r="B17688" s="572">
        <v>72.323799999999991</v>
      </c>
      <c r="C17688" s="572">
        <v>502.041</v>
      </c>
    </row>
    <row r="17689" spans="1:3">
      <c r="A17689" s="571" t="s">
        <v>2404</v>
      </c>
      <c r="B17689" s="572">
        <v>74.678100000000001</v>
      </c>
      <c r="C17689" s="572">
        <v>503.79</v>
      </c>
    </row>
    <row r="17690" spans="1:3">
      <c r="A17690" s="571" t="s">
        <v>2404</v>
      </c>
      <c r="B17690" s="572">
        <v>76.412999999999997</v>
      </c>
      <c r="C17690" s="572">
        <v>505.53899999999999</v>
      </c>
    </row>
    <row r="17691" spans="1:3">
      <c r="A17691" s="571" t="s">
        <v>2404</v>
      </c>
      <c r="B17691" s="572">
        <v>78.395299999999992</v>
      </c>
      <c r="C17691" s="572">
        <v>505.53899999999999</v>
      </c>
    </row>
    <row r="17692" spans="1:3">
      <c r="A17692" s="571" t="s">
        <v>2404</v>
      </c>
      <c r="B17692" s="572">
        <v>80.625399999999999</v>
      </c>
      <c r="C17692" s="572">
        <v>505.53899999999999</v>
      </c>
    </row>
    <row r="17693" spans="1:3">
      <c r="A17693" s="571" t="s">
        <v>2404</v>
      </c>
      <c r="B17693" s="572">
        <v>82.732299999999995</v>
      </c>
      <c r="C17693" s="572">
        <v>509.03800000000001</v>
      </c>
    </row>
    <row r="17694" spans="1:3">
      <c r="A17694" s="571" t="s">
        <v>2404</v>
      </c>
      <c r="B17694" s="572">
        <v>84.838499999999996</v>
      </c>
      <c r="C17694" s="572">
        <v>509.03800000000001</v>
      </c>
    </row>
    <row r="17695" spans="1:3">
      <c r="A17695" s="571" t="s">
        <v>2404</v>
      </c>
      <c r="B17695" s="572">
        <v>86.697199999999995</v>
      </c>
      <c r="C17695" s="572">
        <v>510.78699999999998</v>
      </c>
    </row>
    <row r="17696" spans="1:3">
      <c r="A17696" s="571" t="s">
        <v>2404</v>
      </c>
      <c r="B17696" s="572">
        <v>89.1755</v>
      </c>
      <c r="C17696" s="572">
        <v>512.53599999999994</v>
      </c>
    </row>
    <row r="17697" spans="1:3">
      <c r="A17697" s="571" t="s">
        <v>2404</v>
      </c>
      <c r="B17697" s="572">
        <v>91.529499999999999</v>
      </c>
      <c r="C17697" s="572">
        <v>512.53599999999994</v>
      </c>
    </row>
    <row r="17698" spans="1:3">
      <c r="A17698" s="571" t="s">
        <v>2404</v>
      </c>
      <c r="B17698" s="572">
        <v>93.388199999999998</v>
      </c>
      <c r="C17698" s="572">
        <v>514.28599999999994</v>
      </c>
    </row>
    <row r="17699" spans="1:3">
      <c r="A17699" s="571" t="s">
        <v>2404</v>
      </c>
      <c r="B17699" s="572">
        <v>95.371299999999991</v>
      </c>
      <c r="C17699" s="572">
        <v>517.78399999999999</v>
      </c>
    </row>
    <row r="17700" spans="1:3">
      <c r="A17700" s="48" t="s">
        <v>2408</v>
      </c>
      <c r="B17700" s="549">
        <v>-0.38580599999999998</v>
      </c>
      <c r="C17700" s="549">
        <v>3.3290700000000002</v>
      </c>
    </row>
    <row r="17701" spans="1:3">
      <c r="A17701" s="571" t="s">
        <v>2408</v>
      </c>
      <c r="B17701" s="572">
        <v>7.6724399999999998E-2</v>
      </c>
      <c r="C17701" s="572">
        <v>30.001000000000001</v>
      </c>
    </row>
    <row r="17702" spans="1:3">
      <c r="A17702" s="571" t="s">
        <v>2408</v>
      </c>
      <c r="B17702" s="572">
        <v>0.16344899999999998</v>
      </c>
      <c r="C17702" s="572">
        <v>60.002000000000002</v>
      </c>
    </row>
    <row r="17703" spans="1:3">
      <c r="A17703" s="571" t="s">
        <v>2408</v>
      </c>
      <c r="B17703" s="572">
        <v>0.185474</v>
      </c>
      <c r="C17703" s="572">
        <v>142.22399999999999</v>
      </c>
    </row>
    <row r="17704" spans="1:3">
      <c r="A17704" s="571" t="s">
        <v>2408</v>
      </c>
      <c r="B17704" s="572">
        <v>0.240537</v>
      </c>
      <c r="C17704" s="572">
        <v>97.780600000000007</v>
      </c>
    </row>
    <row r="17705" spans="1:3">
      <c r="A17705" s="571" t="s">
        <v>2408</v>
      </c>
      <c r="B17705" s="572">
        <v>0.25980900000000001</v>
      </c>
      <c r="C17705" s="572">
        <v>182.22499999999999</v>
      </c>
    </row>
    <row r="17706" spans="1:3">
      <c r="A17706" s="571" t="s">
        <v>2408</v>
      </c>
      <c r="B17706" s="572">
        <v>0.35066399999999998</v>
      </c>
      <c r="C17706" s="572">
        <v>208.893</v>
      </c>
    </row>
    <row r="17707" spans="1:3">
      <c r="A17707" s="571" t="s">
        <v>2408</v>
      </c>
      <c r="B17707" s="572">
        <v>1.0774999999999999</v>
      </c>
      <c r="C17707" s="572">
        <v>222.23500000000001</v>
      </c>
    </row>
    <row r="17708" spans="1:3">
      <c r="A17708" s="571" t="s">
        <v>2408</v>
      </c>
      <c r="B17708" s="572">
        <v>1.93235</v>
      </c>
      <c r="C17708" s="572">
        <v>232.244</v>
      </c>
    </row>
    <row r="17709" spans="1:3">
      <c r="A17709" s="571" t="s">
        <v>2408</v>
      </c>
      <c r="B17709" s="572">
        <v>2.6660700000000004</v>
      </c>
      <c r="C17709" s="572">
        <v>240.03</v>
      </c>
    </row>
    <row r="17710" spans="1:3">
      <c r="A17710" s="571" t="s">
        <v>2408</v>
      </c>
      <c r="B17710" s="572">
        <v>3.8967300000000002</v>
      </c>
      <c r="C17710" s="572">
        <v>246.71100000000001</v>
      </c>
    </row>
    <row r="17711" spans="1:3">
      <c r="A17711" s="571" t="s">
        <v>2408</v>
      </c>
      <c r="B17711" s="572">
        <v>5.2526600000000006</v>
      </c>
      <c r="C17711" s="572">
        <v>252.28200000000001</v>
      </c>
    </row>
    <row r="17712" spans="1:3">
      <c r="A17712" s="571" t="s">
        <v>2408</v>
      </c>
      <c r="B17712" s="572">
        <v>7.1082900000000002</v>
      </c>
      <c r="C17712" s="572">
        <v>254.52500000000001</v>
      </c>
    </row>
    <row r="17713" spans="1:3">
      <c r="A17713" s="571" t="s">
        <v>2408</v>
      </c>
      <c r="B17713" s="572">
        <v>9.4622399999999995</v>
      </c>
      <c r="C17713" s="572">
        <v>254.55199999999999</v>
      </c>
    </row>
    <row r="17714" spans="1:3">
      <c r="A17714" s="571" t="s">
        <v>2408</v>
      </c>
      <c r="B17714" s="572">
        <v>11.441800000000001</v>
      </c>
      <c r="C17714" s="572">
        <v>256.79700000000003</v>
      </c>
    </row>
    <row r="17715" spans="1:3">
      <c r="A17715" s="571" t="s">
        <v>2408</v>
      </c>
      <c r="B17715" s="572">
        <v>13.174900000000001</v>
      </c>
      <c r="C17715" s="572">
        <v>257.92700000000002</v>
      </c>
    </row>
    <row r="17716" spans="1:3">
      <c r="A17716" s="571" t="s">
        <v>2408</v>
      </c>
      <c r="B17716" s="572">
        <v>14.78</v>
      </c>
      <c r="C17716" s="572">
        <v>262.39</v>
      </c>
    </row>
    <row r="17717" spans="1:3">
      <c r="A17717" s="571" t="s">
        <v>2408</v>
      </c>
      <c r="B17717" s="572">
        <v>16.884699999999999</v>
      </c>
      <c r="C17717" s="572">
        <v>263.52499999999998</v>
      </c>
    </row>
    <row r="17718" spans="1:3">
      <c r="A17718" s="571" t="s">
        <v>2408</v>
      </c>
      <c r="B17718" s="572">
        <v>18.368699999999997</v>
      </c>
      <c r="C17718" s="572">
        <v>265.76400000000001</v>
      </c>
    </row>
    <row r="17719" spans="1:3">
      <c r="A17719" s="571" t="s">
        <v>2408</v>
      </c>
      <c r="B17719" s="572">
        <v>20.718499999999999</v>
      </c>
      <c r="C17719" s="572">
        <v>269.12400000000002</v>
      </c>
    </row>
    <row r="17720" spans="1:3">
      <c r="A17720" s="571" t="s">
        <v>2408</v>
      </c>
      <c r="B17720" s="572">
        <v>27.270999999999997</v>
      </c>
      <c r="C17720" s="572">
        <v>280.30900000000003</v>
      </c>
    </row>
    <row r="17721" spans="1:3">
      <c r="A17721" s="571" t="s">
        <v>2408</v>
      </c>
      <c r="B17721" s="572">
        <v>34.315000000000005</v>
      </c>
      <c r="C17721" s="572">
        <v>294.834</v>
      </c>
    </row>
    <row r="17722" spans="1:3">
      <c r="A17722" s="571" t="s">
        <v>2408</v>
      </c>
      <c r="B17722" s="572">
        <v>41.485600000000005</v>
      </c>
      <c r="C17722" s="572">
        <v>307.137</v>
      </c>
    </row>
    <row r="17723" spans="1:3">
      <c r="A17723" s="571" t="s">
        <v>2408</v>
      </c>
      <c r="B17723" s="572">
        <v>48.287300000000002</v>
      </c>
      <c r="C17723" s="572">
        <v>317.214</v>
      </c>
    </row>
    <row r="17724" spans="1:3">
      <c r="A17724" s="571" t="s">
        <v>2408</v>
      </c>
      <c r="B17724" s="572">
        <v>55.580400000000004</v>
      </c>
      <c r="C17724" s="572">
        <v>330.63</v>
      </c>
    </row>
    <row r="17725" spans="1:3">
      <c r="A17725" s="571" t="s">
        <v>2408</v>
      </c>
      <c r="B17725" s="572">
        <v>62.507300000000001</v>
      </c>
      <c r="C17725" s="572">
        <v>339.59800000000001</v>
      </c>
    </row>
    <row r="17726" spans="1:3">
      <c r="A17726" s="571" t="s">
        <v>2408</v>
      </c>
      <c r="B17726" s="572">
        <v>69.307599999999994</v>
      </c>
      <c r="C17726" s="572">
        <v>350.786</v>
      </c>
    </row>
    <row r="17727" spans="1:3">
      <c r="A17727" s="571" t="s">
        <v>2408</v>
      </c>
      <c r="B17727" s="572">
        <v>76.2346</v>
      </c>
      <c r="C17727" s="572">
        <v>359.75299999999999</v>
      </c>
    </row>
    <row r="17728" spans="1:3">
      <c r="A17728" s="48" t="s">
        <v>2410</v>
      </c>
      <c r="B17728" s="549">
        <v>-0.50419199999999997</v>
      </c>
      <c r="C17728" s="549">
        <v>1.1167100000000001</v>
      </c>
    </row>
    <row r="17729" spans="1:3">
      <c r="A17729" s="48" t="s">
        <v>2410</v>
      </c>
      <c r="B17729" s="549">
        <v>-0.36515700000000001</v>
      </c>
      <c r="C17729" s="549">
        <v>13.337400000000001</v>
      </c>
    </row>
    <row r="17730" spans="1:3">
      <c r="A17730" s="48" t="s">
        <v>2410</v>
      </c>
      <c r="B17730" s="549">
        <v>-0.33349600000000001</v>
      </c>
      <c r="C17730" s="549">
        <v>161.107</v>
      </c>
    </row>
    <row r="17731" spans="1:3">
      <c r="A17731" s="48" t="s">
        <v>2410</v>
      </c>
      <c r="B17731" s="549">
        <v>-0.272926</v>
      </c>
      <c r="C17731" s="549">
        <v>112.21899999999999</v>
      </c>
    </row>
    <row r="17732" spans="1:3">
      <c r="A17732" s="48" t="s">
        <v>2410</v>
      </c>
      <c r="B17732" s="549">
        <v>-9.9477599999999999E-2</v>
      </c>
      <c r="C17732" s="549">
        <v>172.221</v>
      </c>
    </row>
    <row r="17733" spans="1:3">
      <c r="A17733" s="48" t="s">
        <v>2410</v>
      </c>
      <c r="B17733" s="549">
        <v>-1.2753159999999999E-2</v>
      </c>
      <c r="C17733" s="549">
        <v>2.2221899999999999</v>
      </c>
    </row>
    <row r="17734" spans="1:3">
      <c r="A17734" s="571" t="s">
        <v>2410</v>
      </c>
      <c r="B17734" s="572">
        <v>1.7531600000000001E-2</v>
      </c>
      <c r="C17734" s="572">
        <v>177.77799999999999</v>
      </c>
    </row>
    <row r="17735" spans="1:3">
      <c r="A17735" s="571" t="s">
        <v>2410</v>
      </c>
      <c r="B17735" s="572">
        <v>6.1582099999999994E-2</v>
      </c>
      <c r="C17735" s="572">
        <v>42.222999999999999</v>
      </c>
    </row>
    <row r="17736" spans="1:3">
      <c r="A17736" s="571" t="s">
        <v>2410</v>
      </c>
      <c r="B17736" s="572">
        <v>0.13454099999999999</v>
      </c>
      <c r="C17736" s="572">
        <v>183.33500000000001</v>
      </c>
    </row>
    <row r="17737" spans="1:3">
      <c r="A17737" s="571" t="s">
        <v>2410</v>
      </c>
      <c r="B17737" s="572">
        <v>0.49795699999999998</v>
      </c>
      <c r="C17737" s="572">
        <v>190.006</v>
      </c>
    </row>
    <row r="17738" spans="1:3">
      <c r="A17738" s="571" t="s">
        <v>2410</v>
      </c>
      <c r="B17738" s="572">
        <v>0.61496700000000004</v>
      </c>
      <c r="C17738" s="572">
        <v>195.56299999999999</v>
      </c>
    </row>
    <row r="17739" spans="1:3">
      <c r="A17739" s="571" t="s">
        <v>2410</v>
      </c>
      <c r="B17739" s="572">
        <v>0.85586799999999996</v>
      </c>
      <c r="C17739" s="572">
        <v>201.12100000000001</v>
      </c>
    </row>
    <row r="17740" spans="1:3">
      <c r="A17740" s="571" t="s">
        <v>2410</v>
      </c>
      <c r="B17740" s="572">
        <v>1.3417999999999999</v>
      </c>
      <c r="C17740" s="572">
        <v>208.904</v>
      </c>
    </row>
    <row r="17741" spans="1:3">
      <c r="A17741" s="571" t="s">
        <v>2410</v>
      </c>
      <c r="B17741" s="572">
        <v>1.9557500000000001</v>
      </c>
      <c r="C17741" s="572">
        <v>213.35599999999999</v>
      </c>
    </row>
    <row r="17742" spans="1:3">
      <c r="A17742" s="571" t="s">
        <v>2410</v>
      </c>
      <c r="B17742" s="572">
        <v>2.3219200000000004</v>
      </c>
      <c r="C17742" s="572">
        <v>217.804</v>
      </c>
    </row>
    <row r="17743" spans="1:3">
      <c r="A17743" s="571" t="s">
        <v>2410</v>
      </c>
      <c r="B17743" s="572">
        <v>2.8133600000000003</v>
      </c>
      <c r="C17743" s="572">
        <v>221.143</v>
      </c>
    </row>
    <row r="17744" spans="1:3">
      <c r="A17744" s="571" t="s">
        <v>2410</v>
      </c>
      <c r="B17744" s="572">
        <v>3.55396</v>
      </c>
      <c r="C17744" s="572">
        <v>223.374</v>
      </c>
    </row>
    <row r="17745" spans="1:3">
      <c r="A17745" s="571" t="s">
        <v>2410</v>
      </c>
      <c r="B17745" s="572">
        <v>4.1720500000000005</v>
      </c>
      <c r="C17745" s="572">
        <v>224.49199999999999</v>
      </c>
    </row>
    <row r="17746" spans="1:3">
      <c r="A17746" s="571" t="s">
        <v>2410</v>
      </c>
      <c r="B17746" s="572">
        <v>5.0406700000000004</v>
      </c>
      <c r="C17746" s="572">
        <v>223.39099999999999</v>
      </c>
    </row>
    <row r="17747" spans="1:3">
      <c r="A17747" s="571" t="s">
        <v>2410</v>
      </c>
      <c r="B17747" s="572">
        <v>5.9092900000000004</v>
      </c>
      <c r="C17747" s="572">
        <v>222.28899999999999</v>
      </c>
    </row>
    <row r="17748" spans="1:3">
      <c r="A17748" s="571" t="s">
        <v>2410</v>
      </c>
      <c r="B17748" s="572">
        <v>6.8990499999999999</v>
      </c>
      <c r="C17748" s="572">
        <v>223.41200000000001</v>
      </c>
    </row>
    <row r="17749" spans="1:3">
      <c r="A17749" s="571" t="s">
        <v>2410</v>
      </c>
      <c r="B17749" s="572">
        <v>7.89018</v>
      </c>
      <c r="C17749" s="572">
        <v>223.423</v>
      </c>
    </row>
    <row r="17750" spans="1:3">
      <c r="A17750" s="571" t="s">
        <v>2410</v>
      </c>
      <c r="B17750" s="572">
        <v>8.8826999999999998</v>
      </c>
      <c r="C17750" s="572">
        <v>222.32300000000001</v>
      </c>
    </row>
    <row r="17751" spans="1:3">
      <c r="A17751" s="571" t="s">
        <v>2410</v>
      </c>
      <c r="B17751" s="572">
        <v>10.120200000000001</v>
      </c>
      <c r="C17751" s="572">
        <v>223.44800000000001</v>
      </c>
    </row>
    <row r="17752" spans="1:3">
      <c r="A17752" s="571" t="s">
        <v>2410</v>
      </c>
      <c r="B17752" s="572">
        <v>11.357800000000001</v>
      </c>
      <c r="C17752" s="572">
        <v>224.57300000000001</v>
      </c>
    </row>
    <row r="17753" spans="1:3">
      <c r="A17753" s="571" t="s">
        <v>2410</v>
      </c>
      <c r="B17753" s="572">
        <v>12.3475</v>
      </c>
      <c r="C17753" s="572">
        <v>225.696</v>
      </c>
    </row>
    <row r="17754" spans="1:3">
      <c r="A17754" s="571" t="s">
        <v>2410</v>
      </c>
      <c r="B17754" s="572">
        <v>13.465300000000001</v>
      </c>
      <c r="C17754" s="572">
        <v>223.48599999999999</v>
      </c>
    </row>
    <row r="17755" spans="1:3">
      <c r="A17755" s="571" t="s">
        <v>2410</v>
      </c>
      <c r="B17755" s="572">
        <v>17.424399999999999</v>
      </c>
      <c r="C17755" s="572">
        <v>227.97499999999999</v>
      </c>
    </row>
    <row r="17756" spans="1:3">
      <c r="A17756" s="571" t="s">
        <v>2410</v>
      </c>
      <c r="B17756" s="572">
        <v>20.645599999999998</v>
      </c>
      <c r="C17756" s="572">
        <v>228.012</v>
      </c>
    </row>
    <row r="17757" spans="1:3">
      <c r="A17757" s="571" t="s">
        <v>2410</v>
      </c>
      <c r="B17757" s="572">
        <v>27.4527</v>
      </c>
      <c r="C17757" s="572">
        <v>233.64500000000001</v>
      </c>
    </row>
    <row r="17758" spans="1:3">
      <c r="A17758" s="571" t="s">
        <v>2410</v>
      </c>
      <c r="B17758" s="572">
        <v>34.630200000000002</v>
      </c>
      <c r="C17758" s="572">
        <v>240.393</v>
      </c>
    </row>
    <row r="17759" spans="1:3">
      <c r="A17759" s="571" t="s">
        <v>2410</v>
      </c>
      <c r="B17759" s="572">
        <v>41.433300000000003</v>
      </c>
      <c r="C17759" s="572">
        <v>249.35900000000001</v>
      </c>
    </row>
    <row r="17760" spans="1:3">
      <c r="A17760" s="571" t="s">
        <v>2410</v>
      </c>
      <c r="B17760" s="572">
        <v>48.486899999999999</v>
      </c>
      <c r="C17760" s="572">
        <v>256.10500000000002</v>
      </c>
    </row>
    <row r="17761" spans="1:3">
      <c r="A17761" s="571" t="s">
        <v>2410</v>
      </c>
      <c r="B17761" s="572">
        <v>55.408300000000004</v>
      </c>
      <c r="C17761" s="572">
        <v>269.517</v>
      </c>
    </row>
    <row r="17762" spans="1:3">
      <c r="A17762" s="571" t="s">
        <v>2410</v>
      </c>
      <c r="B17762" s="572">
        <v>61.470700000000001</v>
      </c>
      <c r="C17762" s="572">
        <v>276.25299999999999</v>
      </c>
    </row>
    <row r="17763" spans="1:3">
      <c r="A17763" s="571" t="s">
        <v>2410</v>
      </c>
      <c r="B17763" s="572">
        <v>90.409199999999998</v>
      </c>
      <c r="C17763" s="572">
        <v>318.803</v>
      </c>
    </row>
    <row r="17764" spans="1:3">
      <c r="A17764" s="571" t="s">
        <v>2410</v>
      </c>
      <c r="B17764" s="572">
        <v>97.46</v>
      </c>
      <c r="C17764" s="572">
        <v>327.77199999999999</v>
      </c>
    </row>
    <row r="17765" spans="1:3">
      <c r="A17765" s="48" t="s">
        <v>2412</v>
      </c>
      <c r="B17765" s="549">
        <v>-0.13895100000000002</v>
      </c>
      <c r="C17765" s="549">
        <v>24.489799999999999</v>
      </c>
    </row>
    <row r="17766" spans="1:3">
      <c r="A17766" s="571" t="s">
        <v>2412</v>
      </c>
      <c r="B17766" s="572">
        <v>0.35048400000000002</v>
      </c>
      <c r="C17766" s="572">
        <v>54.227400000000003</v>
      </c>
    </row>
    <row r="17767" spans="1:3">
      <c r="A17767" s="571" t="s">
        <v>2412</v>
      </c>
      <c r="B17767" s="572">
        <v>0.47871199999999997</v>
      </c>
      <c r="C17767" s="572">
        <v>33.236199999999997</v>
      </c>
    </row>
    <row r="17768" spans="1:3">
      <c r="A17768" s="571" t="s">
        <v>2412</v>
      </c>
      <c r="B17768" s="572">
        <v>0.48160199999999997</v>
      </c>
      <c r="C17768" s="572">
        <v>19.242000000000001</v>
      </c>
    </row>
    <row r="17769" spans="1:3">
      <c r="A17769" s="571" t="s">
        <v>2412</v>
      </c>
      <c r="B17769" s="572">
        <v>0.92516299999999996</v>
      </c>
      <c r="C17769" s="572">
        <v>328.863</v>
      </c>
    </row>
    <row r="17770" spans="1:3">
      <c r="A17770" s="571" t="s">
        <v>2412</v>
      </c>
      <c r="B17770" s="572">
        <v>1.4229099999999999</v>
      </c>
      <c r="C17770" s="572">
        <v>339.35899999999998</v>
      </c>
    </row>
    <row r="17771" spans="1:3">
      <c r="A17771" s="571" t="s">
        <v>2412</v>
      </c>
      <c r="B17771" s="572">
        <v>2.0402100000000001</v>
      </c>
      <c r="C17771" s="572">
        <v>328.863</v>
      </c>
    </row>
    <row r="17772" spans="1:3">
      <c r="A17772" s="571" t="s">
        <v>2412</v>
      </c>
      <c r="B17772" s="572">
        <v>2.6585900000000002</v>
      </c>
      <c r="C17772" s="572">
        <v>323.61500000000001</v>
      </c>
    </row>
    <row r="17773" spans="1:3">
      <c r="A17773" s="571" t="s">
        <v>2412</v>
      </c>
      <c r="B17773" s="572">
        <v>2.9067400000000001</v>
      </c>
      <c r="C17773" s="572">
        <v>325.36399999999998</v>
      </c>
    </row>
    <row r="17774" spans="1:3">
      <c r="A17774" s="571" t="s">
        <v>2412</v>
      </c>
      <c r="B17774" s="572">
        <v>3.5262100000000003</v>
      </c>
      <c r="C17774" s="572">
        <v>325.36399999999998</v>
      </c>
    </row>
    <row r="17775" spans="1:3">
      <c r="A17775" s="571" t="s">
        <v>2412</v>
      </c>
      <c r="B17775" s="572">
        <v>4.0217900000000002</v>
      </c>
      <c r="C17775" s="572">
        <v>325.36399999999998</v>
      </c>
    </row>
    <row r="17776" spans="1:3">
      <c r="A17776" s="571" t="s">
        <v>2412</v>
      </c>
      <c r="B17776" s="572">
        <v>4.3938300000000003</v>
      </c>
      <c r="C17776" s="572">
        <v>327.11399999999998</v>
      </c>
    </row>
    <row r="17777" spans="1:3">
      <c r="A17777" s="571" t="s">
        <v>2412</v>
      </c>
      <c r="B17777" s="572">
        <v>4.7658700000000005</v>
      </c>
      <c r="C17777" s="572">
        <v>328.863</v>
      </c>
    </row>
    <row r="17778" spans="1:3">
      <c r="A17778" s="571" t="s">
        <v>2412</v>
      </c>
      <c r="B17778" s="572">
        <v>5.5092300000000005</v>
      </c>
      <c r="C17778" s="572">
        <v>328.863</v>
      </c>
    </row>
    <row r="17779" spans="1:3">
      <c r="A17779" s="571" t="s">
        <v>2412</v>
      </c>
      <c r="B17779" s="572">
        <v>5.8809200000000006</v>
      </c>
      <c r="C17779" s="572">
        <v>328.863</v>
      </c>
    </row>
    <row r="17780" spans="1:3">
      <c r="A17780" s="571" t="s">
        <v>2412</v>
      </c>
      <c r="B17780" s="572">
        <v>6.5003799999999998</v>
      </c>
      <c r="C17780" s="572">
        <v>328.863</v>
      </c>
    </row>
    <row r="17781" spans="1:3">
      <c r="A17781" s="571" t="s">
        <v>2412</v>
      </c>
      <c r="B17781" s="572">
        <v>6.74817</v>
      </c>
      <c r="C17781" s="572">
        <v>328.863</v>
      </c>
    </row>
    <row r="17782" spans="1:3">
      <c r="A17782" s="571" t="s">
        <v>2412</v>
      </c>
      <c r="B17782" s="572">
        <v>7.2437500000000004</v>
      </c>
      <c r="C17782" s="572">
        <v>328.863</v>
      </c>
    </row>
    <row r="17783" spans="1:3">
      <c r="A17783" s="571" t="s">
        <v>2412</v>
      </c>
      <c r="B17783" s="572">
        <v>7.8632200000000001</v>
      </c>
      <c r="C17783" s="572">
        <v>328.863</v>
      </c>
    </row>
    <row r="17784" spans="1:3">
      <c r="A17784" s="571" t="s">
        <v>2412</v>
      </c>
      <c r="B17784" s="572">
        <v>8.4826899999999998</v>
      </c>
      <c r="C17784" s="572">
        <v>328.863</v>
      </c>
    </row>
    <row r="17785" spans="1:3">
      <c r="A17785" s="571" t="s">
        <v>2412</v>
      </c>
      <c r="B17785" s="572">
        <v>8.8543699999999994</v>
      </c>
      <c r="C17785" s="572">
        <v>328.863</v>
      </c>
    </row>
    <row r="17786" spans="1:3">
      <c r="A17786" s="571" t="s">
        <v>2412</v>
      </c>
      <c r="B17786" s="572">
        <v>9.4738400000000009</v>
      </c>
      <c r="C17786" s="572">
        <v>328.863</v>
      </c>
    </row>
    <row r="17787" spans="1:3">
      <c r="A17787" s="571" t="s">
        <v>2412</v>
      </c>
      <c r="B17787" s="572">
        <v>9.9694099999999999</v>
      </c>
      <c r="C17787" s="572">
        <v>328.863</v>
      </c>
    </row>
    <row r="17788" spans="1:3">
      <c r="A17788" s="571" t="s">
        <v>2412</v>
      </c>
      <c r="B17788" s="572">
        <v>10.8363</v>
      </c>
      <c r="C17788" s="572">
        <v>327.11399999999998</v>
      </c>
    </row>
    <row r="17789" spans="1:3">
      <c r="A17789" s="571" t="s">
        <v>2412</v>
      </c>
      <c r="B17789" s="572">
        <v>11.8278</v>
      </c>
      <c r="C17789" s="572">
        <v>328.863</v>
      </c>
    </row>
    <row r="17790" spans="1:3">
      <c r="A17790" s="571" t="s">
        <v>2412</v>
      </c>
      <c r="B17790" s="572">
        <v>12.6951</v>
      </c>
      <c r="C17790" s="572">
        <v>328.863</v>
      </c>
    </row>
    <row r="17791" spans="1:3">
      <c r="A17791" s="571" t="s">
        <v>2412</v>
      </c>
      <c r="B17791" s="572">
        <v>13.8101</v>
      </c>
      <c r="C17791" s="572">
        <v>328.863</v>
      </c>
    </row>
    <row r="17792" spans="1:3">
      <c r="A17792" s="571" t="s">
        <v>2412</v>
      </c>
      <c r="B17792" s="572">
        <v>18.023599999999998</v>
      </c>
      <c r="C17792" s="572">
        <v>334.11099999999999</v>
      </c>
    </row>
    <row r="17793" spans="1:3">
      <c r="A17793" s="571" t="s">
        <v>2412</v>
      </c>
      <c r="B17793" s="572">
        <v>20.872799999999998</v>
      </c>
      <c r="C17793" s="572">
        <v>332.36200000000002</v>
      </c>
    </row>
    <row r="17794" spans="1:3">
      <c r="A17794" s="571" t="s">
        <v>2412</v>
      </c>
      <c r="B17794" s="572">
        <v>27.936499999999999</v>
      </c>
      <c r="C17794" s="572">
        <v>341.108</v>
      </c>
    </row>
    <row r="17795" spans="1:3">
      <c r="A17795" s="571" t="s">
        <v>2412</v>
      </c>
      <c r="B17795" s="572">
        <v>34.874600000000001</v>
      </c>
      <c r="C17795" s="572">
        <v>341.108</v>
      </c>
    </row>
    <row r="17796" spans="1:3">
      <c r="A17796" s="571" t="s">
        <v>2412</v>
      </c>
      <c r="B17796" s="572">
        <v>41.9373</v>
      </c>
      <c r="C17796" s="572">
        <v>344.60599999999999</v>
      </c>
    </row>
    <row r="17797" spans="1:3">
      <c r="A17797" s="571" t="s">
        <v>2412</v>
      </c>
      <c r="B17797" s="572">
        <v>48.751400000000004</v>
      </c>
      <c r="C17797" s="572">
        <v>344.60599999999999</v>
      </c>
    </row>
    <row r="17798" spans="1:3">
      <c r="A17798" s="571" t="s">
        <v>2412</v>
      </c>
      <c r="B17798" s="572">
        <v>56.061900000000001</v>
      </c>
      <c r="C17798" s="572">
        <v>348.10500000000002</v>
      </c>
    </row>
    <row r="17799" spans="1:3">
      <c r="A17799" s="571" t="s">
        <v>2412</v>
      </c>
      <c r="B17799" s="572">
        <v>62.752099999999999</v>
      </c>
      <c r="C17799" s="572">
        <v>348.10500000000002</v>
      </c>
    </row>
    <row r="17800" spans="1:3">
      <c r="A17800" s="571" t="s">
        <v>2412</v>
      </c>
      <c r="B17800" s="572">
        <v>69.81519999999999</v>
      </c>
      <c r="C17800" s="572">
        <v>353.35300000000001</v>
      </c>
    </row>
    <row r="17801" spans="1:3">
      <c r="A17801" s="571" t="s">
        <v>2412</v>
      </c>
      <c r="B17801" s="572">
        <v>77.00139999999999</v>
      </c>
      <c r="C17801" s="572">
        <v>355.10199999999998</v>
      </c>
    </row>
    <row r="17802" spans="1:3">
      <c r="A17802" s="571" t="s">
        <v>2412</v>
      </c>
      <c r="B17802" s="572">
        <v>83.939799999999991</v>
      </c>
      <c r="C17802" s="572">
        <v>356.851</v>
      </c>
    </row>
    <row r="17803" spans="1:3">
      <c r="A17803" s="571" t="s">
        <v>2412</v>
      </c>
      <c r="B17803" s="572">
        <v>90.878599999999992</v>
      </c>
      <c r="C17803" s="572">
        <v>360.35</v>
      </c>
    </row>
    <row r="17804" spans="1:3">
      <c r="A17804" s="571" t="s">
        <v>2414</v>
      </c>
      <c r="B17804" s="572">
        <v>0.11389400000000001</v>
      </c>
      <c r="C17804" s="572">
        <v>2.8400000000000001E-14</v>
      </c>
    </row>
    <row r="17805" spans="1:3">
      <c r="A17805" s="571" t="s">
        <v>2414</v>
      </c>
      <c r="B17805" s="572">
        <v>0.24428899999999998</v>
      </c>
      <c r="C17805" s="572">
        <v>31.486899999999999</v>
      </c>
    </row>
    <row r="17806" spans="1:3">
      <c r="A17806" s="571" t="s">
        <v>2414</v>
      </c>
      <c r="B17806" s="572">
        <v>0.63439199999999996</v>
      </c>
      <c r="C17806" s="572">
        <v>120.7</v>
      </c>
    </row>
    <row r="17807" spans="1:3">
      <c r="A17807" s="571" t="s">
        <v>2414</v>
      </c>
      <c r="B17807" s="572">
        <v>0.67051300000000003</v>
      </c>
      <c r="C17807" s="572">
        <v>295.62700000000001</v>
      </c>
    </row>
    <row r="17808" spans="1:3">
      <c r="A17808" s="571" t="s">
        <v>2414</v>
      </c>
      <c r="B17808" s="572">
        <v>0.77598500000000004</v>
      </c>
      <c r="C17808" s="572">
        <v>206.41399999999999</v>
      </c>
    </row>
    <row r="17809" spans="1:3">
      <c r="A17809" s="571" t="s">
        <v>2414</v>
      </c>
      <c r="B17809" s="572">
        <v>0.87278900000000004</v>
      </c>
      <c r="C17809" s="572">
        <v>75.218699999999998</v>
      </c>
    </row>
    <row r="17810" spans="1:3">
      <c r="A17810" s="571" t="s">
        <v>2414</v>
      </c>
      <c r="B17810" s="572">
        <v>0.91324399999999994</v>
      </c>
      <c r="C17810" s="572">
        <v>271.137</v>
      </c>
    </row>
    <row r="17811" spans="1:3">
      <c r="A17811" s="571" t="s">
        <v>2414</v>
      </c>
      <c r="B17811" s="572">
        <v>1.0468900000000001</v>
      </c>
      <c r="C17811" s="572">
        <v>318.36700000000002</v>
      </c>
    </row>
    <row r="17812" spans="1:3">
      <c r="A17812" s="571" t="s">
        <v>2414</v>
      </c>
      <c r="B17812" s="572">
        <v>2.2847400000000002</v>
      </c>
      <c r="C17812" s="572">
        <v>313.12</v>
      </c>
    </row>
    <row r="17813" spans="1:3">
      <c r="A17813" s="571" t="s">
        <v>2414</v>
      </c>
      <c r="B17813" s="572">
        <v>3.52224</v>
      </c>
      <c r="C17813" s="572">
        <v>306.12200000000001</v>
      </c>
    </row>
    <row r="17814" spans="1:3">
      <c r="A17814" s="571" t="s">
        <v>2414</v>
      </c>
      <c r="B17814" s="572">
        <v>4.7608100000000002</v>
      </c>
      <c r="C17814" s="572">
        <v>304.37299999999999</v>
      </c>
    </row>
    <row r="17815" spans="1:3">
      <c r="A17815" s="571" t="s">
        <v>2414</v>
      </c>
      <c r="B17815" s="572">
        <v>5.87514</v>
      </c>
      <c r="C17815" s="572">
        <v>300.875</v>
      </c>
    </row>
    <row r="17816" spans="1:3">
      <c r="A17816" s="571" t="s">
        <v>2414</v>
      </c>
      <c r="B17816" s="572">
        <v>6.9898199999999999</v>
      </c>
      <c r="C17816" s="572">
        <v>299.125</v>
      </c>
    </row>
    <row r="17817" spans="1:3">
      <c r="A17817" s="571" t="s">
        <v>2414</v>
      </c>
      <c r="B17817" s="572">
        <v>8.35229</v>
      </c>
      <c r="C17817" s="572">
        <v>297.37599999999998</v>
      </c>
    </row>
    <row r="17818" spans="1:3">
      <c r="A17818" s="571" t="s">
        <v>2414</v>
      </c>
      <c r="B17818" s="572">
        <v>9.7147600000000001</v>
      </c>
      <c r="C17818" s="572">
        <v>295.62700000000001</v>
      </c>
    </row>
    <row r="17819" spans="1:3">
      <c r="A17819" s="571" t="s">
        <v>2414</v>
      </c>
      <c r="B17819" s="572">
        <v>11.200800000000001</v>
      </c>
      <c r="C17819" s="572">
        <v>292.12799999999999</v>
      </c>
    </row>
    <row r="17820" spans="1:3">
      <c r="A17820" s="571" t="s">
        <v>2414</v>
      </c>
      <c r="B17820" s="572">
        <v>12.439299999999999</v>
      </c>
      <c r="C17820" s="572">
        <v>290.37900000000002</v>
      </c>
    </row>
    <row r="17821" spans="1:3">
      <c r="A17821" s="571" t="s">
        <v>2414</v>
      </c>
      <c r="B17821" s="572">
        <v>14.174200000000001</v>
      </c>
      <c r="C17821" s="572">
        <v>292.12799999999999</v>
      </c>
    </row>
    <row r="17822" spans="1:3">
      <c r="A17822" s="571" t="s">
        <v>2414</v>
      </c>
      <c r="B17822" s="572">
        <v>18.138499999999997</v>
      </c>
      <c r="C17822" s="572">
        <v>290.37900000000002</v>
      </c>
    </row>
    <row r="17823" spans="1:3">
      <c r="A17823" s="571" t="s">
        <v>2414</v>
      </c>
      <c r="B17823" s="572">
        <v>20.864099999999997</v>
      </c>
      <c r="C17823" s="572">
        <v>290.37900000000002</v>
      </c>
    </row>
    <row r="17824" spans="1:3">
      <c r="A17824" s="571" t="s">
        <v>2414</v>
      </c>
      <c r="B17824" s="572">
        <v>28.0503</v>
      </c>
      <c r="C17824" s="572">
        <v>292.12799999999999</v>
      </c>
    </row>
    <row r="17825" spans="1:3">
      <c r="A17825" s="571" t="s">
        <v>2414</v>
      </c>
      <c r="B17825" s="572">
        <v>34.8645</v>
      </c>
      <c r="C17825" s="572">
        <v>292.12799999999999</v>
      </c>
    </row>
    <row r="17826" spans="1:3">
      <c r="A17826" s="571" t="s">
        <v>2414</v>
      </c>
      <c r="B17826" s="572">
        <v>40.811399999999999</v>
      </c>
      <c r="C17826" s="572">
        <v>292.12799999999999</v>
      </c>
    </row>
    <row r="17827" spans="1:3">
      <c r="A17827" s="571" t="s">
        <v>2414</v>
      </c>
      <c r="B17827" s="572">
        <v>48.988399999999999</v>
      </c>
      <c r="C17827" s="572">
        <v>292.12799999999999</v>
      </c>
    </row>
    <row r="17828" spans="1:3">
      <c r="A17828" s="571" t="s">
        <v>2414</v>
      </c>
      <c r="B17828" s="572">
        <v>56.051000000000002</v>
      </c>
      <c r="C17828" s="572">
        <v>295.62700000000001</v>
      </c>
    </row>
    <row r="17829" spans="1:3">
      <c r="A17829" s="571" t="s">
        <v>2414</v>
      </c>
      <c r="B17829" s="572">
        <v>62.989100000000001</v>
      </c>
      <c r="C17829" s="572">
        <v>295.62700000000001</v>
      </c>
    </row>
    <row r="17830" spans="1:3">
      <c r="A17830" s="571" t="s">
        <v>2414</v>
      </c>
      <c r="B17830" s="572">
        <v>70.050699999999992</v>
      </c>
      <c r="C17830" s="572">
        <v>293.87799999999999</v>
      </c>
    </row>
    <row r="17831" spans="1:3">
      <c r="A17831" s="571" t="s">
        <v>2414</v>
      </c>
      <c r="B17831" s="572">
        <v>76.988699999999994</v>
      </c>
      <c r="C17831" s="572">
        <v>293.87799999999999</v>
      </c>
    </row>
    <row r="17832" spans="1:3">
      <c r="A17832" s="571" t="s">
        <v>2414</v>
      </c>
      <c r="B17832" s="572">
        <v>84.175699999999992</v>
      </c>
      <c r="C17832" s="572">
        <v>299.125</v>
      </c>
    </row>
    <row r="17833" spans="1:3">
      <c r="A17833" s="571" t="s">
        <v>2414</v>
      </c>
      <c r="B17833" s="572">
        <v>90.865899999999996</v>
      </c>
      <c r="C17833" s="572">
        <v>299.125</v>
      </c>
    </row>
    <row r="17834" spans="1:3">
      <c r="A17834" s="571" t="s">
        <v>2414</v>
      </c>
      <c r="B17834" s="572">
        <v>98.299599999999998</v>
      </c>
      <c r="C17834" s="572">
        <v>299.125</v>
      </c>
    </row>
    <row r="17835" spans="1:3">
      <c r="A17835" s="571" t="s">
        <v>2416</v>
      </c>
      <c r="B17835" s="572">
        <v>1.1523999999999996E-3</v>
      </c>
      <c r="C17835" s="572">
        <v>1.6129</v>
      </c>
    </row>
    <row r="17836" spans="1:3">
      <c r="A17836" s="571" t="s">
        <v>2416</v>
      </c>
      <c r="B17836" s="572">
        <v>3.8327099999999996E-2</v>
      </c>
      <c r="C17836" s="572">
        <v>1.6129</v>
      </c>
    </row>
    <row r="17837" spans="1:3">
      <c r="A17837" s="571" t="s">
        <v>2416</v>
      </c>
      <c r="B17837" s="572">
        <v>7.9219300000000006E-2</v>
      </c>
      <c r="C17837" s="572">
        <v>6.4516099999999996</v>
      </c>
    </row>
    <row r="17838" spans="1:3">
      <c r="A17838" s="571" t="s">
        <v>2416</v>
      </c>
      <c r="B17838" s="572">
        <v>0.13869899999999999</v>
      </c>
      <c r="C17838" s="572">
        <v>6.4516099999999996</v>
      </c>
    </row>
    <row r="17839" spans="1:3">
      <c r="A17839" s="571" t="s">
        <v>2416</v>
      </c>
      <c r="B17839" s="572">
        <v>0.175874</v>
      </c>
      <c r="C17839" s="572">
        <v>8.0645199999999999</v>
      </c>
    </row>
    <row r="17840" spans="1:3">
      <c r="A17840" s="571" t="s">
        <v>2416</v>
      </c>
      <c r="B17840" s="572">
        <v>0.22420099999999998</v>
      </c>
      <c r="C17840" s="572">
        <v>11.2903</v>
      </c>
    </row>
    <row r="17841" spans="1:3">
      <c r="A17841" s="571" t="s">
        <v>2416</v>
      </c>
      <c r="B17841" s="572">
        <v>0.28739799999999999</v>
      </c>
      <c r="C17841" s="572">
        <v>17.741900000000001</v>
      </c>
    </row>
    <row r="17842" spans="1:3">
      <c r="A17842" s="571" t="s">
        <v>2416</v>
      </c>
      <c r="B17842" s="572">
        <v>0.32828999999999997</v>
      </c>
      <c r="C17842" s="572">
        <v>22.5806</v>
      </c>
    </row>
    <row r="17843" spans="1:3">
      <c r="A17843" s="571" t="s">
        <v>2416</v>
      </c>
      <c r="B17843" s="572">
        <v>0.384052</v>
      </c>
      <c r="C17843" s="572">
        <v>24.1935</v>
      </c>
    </row>
    <row r="17844" spans="1:3">
      <c r="A17844" s="571" t="s">
        <v>2416</v>
      </c>
      <c r="B17844" s="572">
        <v>0.42494399999999999</v>
      </c>
      <c r="C17844" s="572">
        <v>29.032299999999999</v>
      </c>
    </row>
    <row r="17845" spans="1:3">
      <c r="A17845" s="571" t="s">
        <v>2416</v>
      </c>
      <c r="B17845" s="572">
        <v>0.48442399999999997</v>
      </c>
      <c r="C17845" s="572">
        <v>24.1935</v>
      </c>
    </row>
    <row r="17846" spans="1:3">
      <c r="A17846" s="571" t="s">
        <v>2416</v>
      </c>
      <c r="B17846" s="572">
        <v>0.53646799999999994</v>
      </c>
      <c r="C17846" s="572">
        <v>3.2258100000000001</v>
      </c>
    </row>
    <row r="17847" spans="1:3">
      <c r="A17847" s="571" t="s">
        <v>2416</v>
      </c>
      <c r="B17847" s="572">
        <v>0.57736100000000001</v>
      </c>
      <c r="C17847" s="572">
        <v>30.645199999999999</v>
      </c>
    </row>
    <row r="17848" spans="1:3">
      <c r="A17848" s="571" t="s">
        <v>2416</v>
      </c>
      <c r="B17848" s="572">
        <v>0.63312299999999999</v>
      </c>
      <c r="C17848" s="572">
        <v>82.258099999999999</v>
      </c>
    </row>
    <row r="17849" spans="1:3">
      <c r="A17849" s="571" t="s">
        <v>2416</v>
      </c>
      <c r="B17849" s="572">
        <v>0.677732</v>
      </c>
      <c r="C17849" s="572">
        <v>133.87100000000001</v>
      </c>
    </row>
    <row r="17850" spans="1:3">
      <c r="A17850" s="571" t="s">
        <v>2416</v>
      </c>
      <c r="B17850" s="572">
        <v>0.73349399999999998</v>
      </c>
      <c r="C17850" s="572">
        <v>195.161</v>
      </c>
    </row>
    <row r="17851" spans="1:3">
      <c r="A17851" s="571" t="s">
        <v>2416</v>
      </c>
      <c r="B17851" s="572">
        <v>0.74836400000000003</v>
      </c>
      <c r="C17851" s="572">
        <v>216.12899999999999</v>
      </c>
    </row>
    <row r="17852" spans="1:3">
      <c r="A17852" s="571" t="s">
        <v>2416</v>
      </c>
      <c r="B17852" s="572">
        <v>0.78925699999999999</v>
      </c>
      <c r="C17852" s="572">
        <v>240.32300000000001</v>
      </c>
    </row>
    <row r="17853" spans="1:3">
      <c r="A17853" s="571" t="s">
        <v>2416</v>
      </c>
      <c r="B17853" s="572">
        <v>0.82643100000000003</v>
      </c>
      <c r="C17853" s="572">
        <v>251.613</v>
      </c>
    </row>
    <row r="17854" spans="1:3">
      <c r="A17854" s="571" t="s">
        <v>2416</v>
      </c>
      <c r="B17854" s="572">
        <v>0.882193</v>
      </c>
      <c r="C17854" s="572">
        <v>266.12900000000002</v>
      </c>
    </row>
    <row r="17855" spans="1:3">
      <c r="A17855" s="571" t="s">
        <v>2416</v>
      </c>
      <c r="B17855" s="572">
        <v>0.93052000000000001</v>
      </c>
      <c r="C17855" s="572">
        <v>272.58100000000002</v>
      </c>
    </row>
    <row r="17856" spans="1:3">
      <c r="A17856" s="571" t="s">
        <v>2416</v>
      </c>
      <c r="B17856" s="572">
        <v>0.97884799999999994</v>
      </c>
      <c r="C17856" s="572">
        <v>288.70999999999998</v>
      </c>
    </row>
    <row r="17857" spans="1:3">
      <c r="A17857" s="571" t="s">
        <v>2416</v>
      </c>
      <c r="B17857" s="572">
        <v>1.03833</v>
      </c>
      <c r="C17857" s="572">
        <v>279.03199999999998</v>
      </c>
    </row>
    <row r="17858" spans="1:3">
      <c r="A17858" s="571" t="s">
        <v>2416</v>
      </c>
      <c r="B17858" s="572">
        <v>1.08294</v>
      </c>
      <c r="C17858" s="572">
        <v>280.64499999999998</v>
      </c>
    </row>
    <row r="17859" spans="1:3">
      <c r="A17859" s="571" t="s">
        <v>2416</v>
      </c>
      <c r="B17859" s="572">
        <v>1.1349800000000001</v>
      </c>
      <c r="C17859" s="572">
        <v>280.64499999999998</v>
      </c>
    </row>
    <row r="17860" spans="1:3">
      <c r="A17860" s="571" t="s">
        <v>2416</v>
      </c>
      <c r="B17860" s="572">
        <v>1.1721600000000001</v>
      </c>
      <c r="C17860" s="572">
        <v>277.41899999999998</v>
      </c>
    </row>
    <row r="17861" spans="1:3">
      <c r="A17861" s="571" t="s">
        <v>2416</v>
      </c>
      <c r="B17861" s="572">
        <v>1.2316400000000001</v>
      </c>
      <c r="C17861" s="572">
        <v>272.58100000000002</v>
      </c>
    </row>
    <row r="17862" spans="1:3">
      <c r="A17862" s="571" t="s">
        <v>2416</v>
      </c>
      <c r="B17862" s="572">
        <v>1.2836799999999999</v>
      </c>
      <c r="C17862" s="572">
        <v>270.96800000000002</v>
      </c>
    </row>
    <row r="17863" spans="1:3">
      <c r="A17863" s="571" t="s">
        <v>2416</v>
      </c>
      <c r="B17863" s="572">
        <v>1.32829</v>
      </c>
      <c r="C17863" s="572">
        <v>270.96800000000002</v>
      </c>
    </row>
    <row r="17864" spans="1:3">
      <c r="A17864" s="571" t="s">
        <v>2416</v>
      </c>
      <c r="B17864" s="572">
        <v>1.3877699999999999</v>
      </c>
      <c r="C17864" s="572">
        <v>266.12900000000002</v>
      </c>
    </row>
    <row r="17865" spans="1:3">
      <c r="A17865" s="571" t="s">
        <v>2416</v>
      </c>
      <c r="B17865" s="572">
        <v>1.43238</v>
      </c>
      <c r="C17865" s="572">
        <v>267.74200000000002</v>
      </c>
    </row>
    <row r="17866" spans="1:3">
      <c r="A17866" s="571" t="s">
        <v>2416</v>
      </c>
      <c r="B17866" s="572">
        <v>1.4844200000000001</v>
      </c>
      <c r="C17866" s="572">
        <v>266.12900000000002</v>
      </c>
    </row>
    <row r="17867" spans="1:3">
      <c r="A17867" s="571" t="s">
        <v>2416</v>
      </c>
      <c r="B17867" s="572">
        <v>1.5401899999999999</v>
      </c>
      <c r="C17867" s="572">
        <v>262.90300000000002</v>
      </c>
    </row>
    <row r="17868" spans="1:3">
      <c r="A17868" s="571" t="s">
        <v>2416</v>
      </c>
      <c r="B17868" s="572">
        <v>1.5736399999999999</v>
      </c>
      <c r="C17868" s="572">
        <v>262.90300000000002</v>
      </c>
    </row>
    <row r="17869" spans="1:3">
      <c r="A17869" s="571" t="s">
        <v>2416</v>
      </c>
      <c r="B17869" s="572">
        <v>1.6331199999999999</v>
      </c>
      <c r="C17869" s="572">
        <v>262.90300000000002</v>
      </c>
    </row>
    <row r="17870" spans="1:3">
      <c r="A17870" s="571" t="s">
        <v>2416</v>
      </c>
      <c r="B17870" s="572">
        <v>1.6814499999999999</v>
      </c>
      <c r="C17870" s="572">
        <v>262.90300000000002</v>
      </c>
    </row>
    <row r="17871" spans="1:3">
      <c r="A17871" s="571" t="s">
        <v>2416</v>
      </c>
      <c r="B17871" s="572">
        <v>1.7297800000000001</v>
      </c>
      <c r="C17871" s="572">
        <v>258.065</v>
      </c>
    </row>
    <row r="17872" spans="1:3">
      <c r="A17872" s="571" t="s">
        <v>2416</v>
      </c>
      <c r="B17872" s="572">
        <v>1.7892600000000001</v>
      </c>
      <c r="C17872" s="572">
        <v>258.065</v>
      </c>
    </row>
    <row r="17873" spans="1:3">
      <c r="A17873" s="571" t="s">
        <v>2416</v>
      </c>
      <c r="B17873" s="572">
        <v>1.8338699999999999</v>
      </c>
      <c r="C17873" s="572">
        <v>259.67700000000002</v>
      </c>
    </row>
    <row r="17874" spans="1:3">
      <c r="A17874" s="571" t="s">
        <v>2416</v>
      </c>
      <c r="B17874" s="572">
        <v>1.88219</v>
      </c>
      <c r="C17874" s="572">
        <v>259.67700000000002</v>
      </c>
    </row>
    <row r="17875" spans="1:3">
      <c r="A17875" s="571" t="s">
        <v>2416</v>
      </c>
      <c r="B17875" s="572">
        <v>1.92309</v>
      </c>
      <c r="C17875" s="572">
        <v>258.065</v>
      </c>
    </row>
    <row r="17876" spans="1:3">
      <c r="A17876" s="571" t="s">
        <v>2416</v>
      </c>
      <c r="B17876" s="572">
        <v>1.9825699999999999</v>
      </c>
      <c r="C17876" s="572">
        <v>258.065</v>
      </c>
    </row>
    <row r="17877" spans="1:3">
      <c r="A17877" s="571" t="s">
        <v>2416</v>
      </c>
      <c r="B17877" s="572">
        <v>2.2279200000000001</v>
      </c>
      <c r="C17877" s="572">
        <v>254.839</v>
      </c>
    </row>
    <row r="17878" spans="1:3">
      <c r="A17878" s="571" t="s">
        <v>2416</v>
      </c>
      <c r="B17878" s="572">
        <v>2.4807100000000002</v>
      </c>
      <c r="C17878" s="572">
        <v>256.452</v>
      </c>
    </row>
    <row r="17879" spans="1:3">
      <c r="A17879" s="571" t="s">
        <v>2416</v>
      </c>
      <c r="B17879" s="572">
        <v>2.7334900000000002</v>
      </c>
      <c r="C17879" s="572">
        <v>254.839</v>
      </c>
    </row>
    <row r="17880" spans="1:3">
      <c r="A17880" s="571" t="s">
        <v>2416</v>
      </c>
      <c r="B17880" s="572">
        <v>2.97885</v>
      </c>
      <c r="C17880" s="572">
        <v>256.452</v>
      </c>
    </row>
    <row r="17881" spans="1:3">
      <c r="A17881" s="48" t="s">
        <v>2418</v>
      </c>
      <c r="B17881" s="549">
        <v>-2.5650600000000001E-3</v>
      </c>
      <c r="C17881" s="549">
        <v>1.6129</v>
      </c>
    </row>
    <row r="17882" spans="1:3">
      <c r="A17882" s="571" t="s">
        <v>2418</v>
      </c>
      <c r="B17882" s="572">
        <v>6.0631999999999998E-2</v>
      </c>
      <c r="C17882" s="572">
        <v>6.4516099999999996</v>
      </c>
    </row>
    <row r="17883" spans="1:3">
      <c r="A17883" s="571" t="s">
        <v>2418</v>
      </c>
      <c r="B17883" s="572">
        <v>0.13126399999999999</v>
      </c>
      <c r="C17883" s="572">
        <v>11.2903</v>
      </c>
    </row>
    <row r="17884" spans="1:3">
      <c r="A17884" s="571" t="s">
        <v>2418</v>
      </c>
      <c r="B17884" s="572">
        <v>0.19817799999999999</v>
      </c>
      <c r="C17884" s="572">
        <v>14.5161</v>
      </c>
    </row>
    <row r="17885" spans="1:3">
      <c r="A17885" s="571" t="s">
        <v>2418</v>
      </c>
      <c r="B17885" s="572">
        <v>0.27252799999999999</v>
      </c>
      <c r="C17885" s="572">
        <v>3.2258100000000001</v>
      </c>
    </row>
    <row r="17886" spans="1:3">
      <c r="A17886" s="571" t="s">
        <v>2418</v>
      </c>
      <c r="B17886" s="572">
        <v>0.34687699999999999</v>
      </c>
      <c r="C17886" s="572">
        <v>12.9032</v>
      </c>
    </row>
    <row r="17887" spans="1:3">
      <c r="A17887" s="571" t="s">
        <v>2418</v>
      </c>
      <c r="B17887" s="572">
        <v>0.40635699999999997</v>
      </c>
      <c r="C17887" s="572">
        <v>27.4194</v>
      </c>
    </row>
    <row r="17888" spans="1:3">
      <c r="A17888" s="571" t="s">
        <v>2418</v>
      </c>
      <c r="B17888" s="572">
        <v>0.42494399999999999</v>
      </c>
      <c r="C17888" s="572">
        <v>54.838700000000003</v>
      </c>
    </row>
    <row r="17889" spans="1:3">
      <c r="A17889" s="571" t="s">
        <v>2418</v>
      </c>
      <c r="B17889" s="572">
        <v>0.462119</v>
      </c>
      <c r="C17889" s="572">
        <v>88.709699999999998</v>
      </c>
    </row>
    <row r="17890" spans="1:3">
      <c r="A17890" s="571" t="s">
        <v>2418</v>
      </c>
      <c r="B17890" s="572">
        <v>0.49185900000000005</v>
      </c>
      <c r="C17890" s="572">
        <v>117.742</v>
      </c>
    </row>
    <row r="17891" spans="1:3">
      <c r="A17891" s="571" t="s">
        <v>2418</v>
      </c>
      <c r="B17891" s="572">
        <v>0.55505599999999999</v>
      </c>
      <c r="C17891" s="572">
        <v>125.806</v>
      </c>
    </row>
    <row r="17892" spans="1:3">
      <c r="A17892" s="571" t="s">
        <v>2418</v>
      </c>
      <c r="B17892" s="572">
        <v>0.64799300000000004</v>
      </c>
      <c r="C17892" s="572">
        <v>117.742</v>
      </c>
    </row>
    <row r="17893" spans="1:3">
      <c r="A17893" s="571" t="s">
        <v>2418</v>
      </c>
      <c r="B17893" s="572">
        <v>0.72605900000000001</v>
      </c>
      <c r="C17893" s="572">
        <v>104.839</v>
      </c>
    </row>
    <row r="17894" spans="1:3">
      <c r="A17894" s="571" t="s">
        <v>2418</v>
      </c>
      <c r="B17894" s="572">
        <v>0.81527899999999998</v>
      </c>
      <c r="C17894" s="572">
        <v>88.709699999999998</v>
      </c>
    </row>
    <row r="17895" spans="1:3">
      <c r="A17895" s="571" t="s">
        <v>2418</v>
      </c>
      <c r="B17895" s="572">
        <v>0.885911</v>
      </c>
      <c r="C17895" s="572">
        <v>74.1935</v>
      </c>
    </row>
    <row r="17896" spans="1:3">
      <c r="A17896" s="571" t="s">
        <v>2418</v>
      </c>
      <c r="B17896" s="572">
        <v>0.98628300000000002</v>
      </c>
      <c r="C17896" s="572">
        <v>67.741900000000001</v>
      </c>
    </row>
    <row r="17897" spans="1:3">
      <c r="A17897" s="571" t="s">
        <v>2418</v>
      </c>
      <c r="B17897" s="572">
        <v>1.0903700000000001</v>
      </c>
      <c r="C17897" s="572">
        <v>61.290300000000002</v>
      </c>
    </row>
    <row r="17898" spans="1:3">
      <c r="A17898" s="571" t="s">
        <v>2418</v>
      </c>
      <c r="B17898" s="572">
        <v>1.19818</v>
      </c>
      <c r="C17898" s="572">
        <v>61.290300000000002</v>
      </c>
    </row>
    <row r="17899" spans="1:3">
      <c r="A17899" s="571" t="s">
        <v>2418</v>
      </c>
      <c r="B17899" s="572">
        <v>1.2985500000000001</v>
      </c>
      <c r="C17899" s="572">
        <v>58.064500000000002</v>
      </c>
    </row>
    <row r="17900" spans="1:3">
      <c r="A17900" s="571" t="s">
        <v>2418</v>
      </c>
      <c r="B17900" s="572">
        <v>1.3877699999999999</v>
      </c>
      <c r="C17900" s="572">
        <v>58.064500000000002</v>
      </c>
    </row>
    <row r="17901" spans="1:3">
      <c r="A17901" s="571" t="s">
        <v>2418</v>
      </c>
      <c r="B17901" s="572">
        <v>1.4695499999999999</v>
      </c>
      <c r="C17901" s="572">
        <v>54.838700000000003</v>
      </c>
    </row>
    <row r="17902" spans="1:3">
      <c r="A17902" s="571" t="s">
        <v>2418</v>
      </c>
      <c r="B17902" s="572">
        <v>1.5736399999999999</v>
      </c>
      <c r="C17902" s="572">
        <v>53.2258</v>
      </c>
    </row>
    <row r="17903" spans="1:3">
      <c r="A17903" s="571" t="s">
        <v>2418</v>
      </c>
      <c r="B17903" s="572">
        <v>1.6777299999999999</v>
      </c>
      <c r="C17903" s="572">
        <v>53.2258</v>
      </c>
    </row>
    <row r="17904" spans="1:3">
      <c r="A17904" s="571" t="s">
        <v>2418</v>
      </c>
      <c r="B17904" s="572">
        <v>1.7632300000000001</v>
      </c>
      <c r="C17904" s="572">
        <v>51.612900000000003</v>
      </c>
    </row>
    <row r="17905" spans="1:3">
      <c r="A17905" s="571" t="s">
        <v>2418</v>
      </c>
      <c r="B17905" s="572">
        <v>1.8524499999999999</v>
      </c>
      <c r="C17905" s="572">
        <v>50</v>
      </c>
    </row>
    <row r="17906" spans="1:3">
      <c r="A17906" s="571" t="s">
        <v>2418</v>
      </c>
      <c r="B17906" s="572">
        <v>1.9491099999999999</v>
      </c>
      <c r="C17906" s="572">
        <v>54.838700000000003</v>
      </c>
    </row>
    <row r="17907" spans="1:3">
      <c r="A17907" s="571" t="s">
        <v>2418</v>
      </c>
      <c r="B17907" s="572">
        <v>2.0420400000000001</v>
      </c>
      <c r="C17907" s="572">
        <v>54.838700000000003</v>
      </c>
    </row>
    <row r="17908" spans="1:3">
      <c r="A17908" s="571" t="s">
        <v>2418</v>
      </c>
      <c r="B17908" s="572">
        <v>2.1275500000000003</v>
      </c>
      <c r="C17908" s="572">
        <v>54.838700000000003</v>
      </c>
    </row>
    <row r="17909" spans="1:3">
      <c r="A17909" s="571" t="s">
        <v>2418</v>
      </c>
      <c r="B17909" s="572">
        <v>2.2167700000000004</v>
      </c>
      <c r="C17909" s="572">
        <v>53.2258</v>
      </c>
    </row>
    <row r="17910" spans="1:3">
      <c r="A17910" s="571" t="s">
        <v>2418</v>
      </c>
      <c r="B17910" s="572">
        <v>2.3059900000000004</v>
      </c>
      <c r="C17910" s="572">
        <v>50</v>
      </c>
    </row>
    <row r="17911" spans="1:3">
      <c r="A17911" s="571" t="s">
        <v>2418</v>
      </c>
      <c r="B17911" s="572">
        <v>2.3840500000000002</v>
      </c>
      <c r="C17911" s="572">
        <v>51.612900000000003</v>
      </c>
    </row>
    <row r="17912" spans="1:3">
      <c r="A17912" s="571" t="s">
        <v>2418</v>
      </c>
      <c r="B17912" s="572">
        <v>2.4695500000000004</v>
      </c>
      <c r="C17912" s="572">
        <v>51.612900000000003</v>
      </c>
    </row>
    <row r="17913" spans="1:3">
      <c r="A17913" s="571" t="s">
        <v>2418</v>
      </c>
      <c r="B17913" s="572">
        <v>2.5736400000000001</v>
      </c>
      <c r="C17913" s="572">
        <v>50</v>
      </c>
    </row>
    <row r="17914" spans="1:3">
      <c r="A17914" s="571" t="s">
        <v>2418</v>
      </c>
      <c r="B17914" s="572">
        <v>2.6591400000000003</v>
      </c>
      <c r="C17914" s="572">
        <v>50</v>
      </c>
    </row>
    <row r="17915" spans="1:3">
      <c r="A17915" s="571" t="s">
        <v>2418</v>
      </c>
      <c r="B17915" s="572">
        <v>2.7409300000000001</v>
      </c>
      <c r="C17915" s="572">
        <v>51.612900000000003</v>
      </c>
    </row>
    <row r="17916" spans="1:3">
      <c r="A17916" s="571" t="s">
        <v>2418</v>
      </c>
      <c r="B17916" s="572">
        <v>2.8264300000000002</v>
      </c>
      <c r="C17916" s="572">
        <v>50</v>
      </c>
    </row>
    <row r="17917" spans="1:3">
      <c r="A17917" s="571" t="s">
        <v>2418</v>
      </c>
      <c r="B17917" s="572">
        <v>2.9045000000000001</v>
      </c>
      <c r="C17917" s="572">
        <v>48.387099999999997</v>
      </c>
    </row>
    <row r="17918" spans="1:3">
      <c r="A17918" s="571" t="s">
        <v>2418</v>
      </c>
      <c r="B17918" s="572">
        <v>2.97885</v>
      </c>
      <c r="C17918" s="572">
        <v>51.612900000000003</v>
      </c>
    </row>
    <row r="17919" spans="1:3">
      <c r="A17919" s="571" t="s">
        <v>2418</v>
      </c>
      <c r="B17919" s="572">
        <v>3.0197400000000001</v>
      </c>
      <c r="C17919" s="572">
        <v>53.2258</v>
      </c>
    </row>
    <row r="17920" spans="1:3">
      <c r="A17920" s="48" t="s">
        <v>2420</v>
      </c>
      <c r="B17920" s="549">
        <v>-1.0000000000000111E-2</v>
      </c>
      <c r="C17920" s="549">
        <v>1.6129</v>
      </c>
    </row>
    <row r="17921" spans="1:3">
      <c r="A17921" s="571" t="s">
        <v>2420</v>
      </c>
      <c r="B17921" s="572">
        <v>6.80669E-2</v>
      </c>
      <c r="C17921" s="572">
        <v>3.2258100000000001</v>
      </c>
    </row>
    <row r="17922" spans="1:3">
      <c r="A17922" s="571" t="s">
        <v>2420</v>
      </c>
      <c r="B17922" s="572">
        <v>0.15728599999999998</v>
      </c>
      <c r="C17922" s="572">
        <v>6.4516099999999996</v>
      </c>
    </row>
    <row r="17923" spans="1:3">
      <c r="A17923" s="571" t="s">
        <v>2420</v>
      </c>
      <c r="B17923" s="572">
        <v>0.23163599999999998</v>
      </c>
      <c r="C17923" s="572">
        <v>3.2258100000000001</v>
      </c>
    </row>
    <row r="17924" spans="1:3">
      <c r="A17924" s="571" t="s">
        <v>2420</v>
      </c>
      <c r="B17924" s="572">
        <v>0.29483300000000001</v>
      </c>
      <c r="C17924" s="572">
        <v>17.741900000000001</v>
      </c>
    </row>
    <row r="17925" spans="1:3">
      <c r="A17925" s="571" t="s">
        <v>2420</v>
      </c>
      <c r="B17925" s="572">
        <v>0.34315999999999997</v>
      </c>
      <c r="C17925" s="572">
        <v>11.2903</v>
      </c>
    </row>
    <row r="17926" spans="1:3">
      <c r="A17926" s="571" t="s">
        <v>2420</v>
      </c>
      <c r="B17926" s="572">
        <v>0.37661699999999998</v>
      </c>
      <c r="C17926" s="572">
        <v>8.0645199999999999</v>
      </c>
    </row>
    <row r="17927" spans="1:3">
      <c r="A17927" s="571" t="s">
        <v>2420</v>
      </c>
      <c r="B17927" s="572">
        <v>0.43237900000000001</v>
      </c>
      <c r="C17927" s="572">
        <v>29.032299999999999</v>
      </c>
    </row>
    <row r="17928" spans="1:3">
      <c r="A17928" s="571" t="s">
        <v>2420</v>
      </c>
      <c r="B17928" s="572">
        <v>0.51788100000000004</v>
      </c>
      <c r="C17928" s="572">
        <v>27.4194</v>
      </c>
    </row>
    <row r="17929" spans="1:3">
      <c r="A17929" s="571" t="s">
        <v>2420</v>
      </c>
      <c r="B17929" s="572">
        <v>0.61081799999999997</v>
      </c>
      <c r="C17929" s="572">
        <v>9.6774199999999997</v>
      </c>
    </row>
    <row r="17930" spans="1:3">
      <c r="A17930" s="571" t="s">
        <v>2420</v>
      </c>
      <c r="B17930" s="572">
        <v>0.677732</v>
      </c>
      <c r="C17930" s="572">
        <v>1.6129</v>
      </c>
    </row>
    <row r="17931" spans="1:3">
      <c r="A17931" s="571" t="s">
        <v>2420</v>
      </c>
      <c r="B17931" s="572">
        <v>0.74092899999999995</v>
      </c>
      <c r="C17931" s="572">
        <v>17.741900000000001</v>
      </c>
    </row>
    <row r="17932" spans="1:3">
      <c r="A17932" s="571" t="s">
        <v>2420</v>
      </c>
      <c r="B17932" s="572">
        <v>0.81899599999999995</v>
      </c>
      <c r="C17932" s="572">
        <v>33.871000000000002</v>
      </c>
    </row>
    <row r="17933" spans="1:3">
      <c r="A17933" s="571" t="s">
        <v>2420</v>
      </c>
      <c r="B17933" s="572">
        <v>0.88962799999999997</v>
      </c>
      <c r="C17933" s="572">
        <v>41.935499999999998</v>
      </c>
    </row>
    <row r="17934" spans="1:3">
      <c r="A17934" s="571" t="s">
        <v>2420</v>
      </c>
      <c r="B17934" s="572">
        <v>0.97884799999999994</v>
      </c>
      <c r="C17934" s="572">
        <v>50</v>
      </c>
    </row>
    <row r="17935" spans="1:3">
      <c r="A17935" s="571" t="s">
        <v>2420</v>
      </c>
      <c r="B17935" s="572">
        <v>1.05691</v>
      </c>
      <c r="C17935" s="572">
        <v>48.387099999999997</v>
      </c>
    </row>
    <row r="17936" spans="1:3">
      <c r="A17936" s="571" t="s">
        <v>2420</v>
      </c>
      <c r="B17936" s="572">
        <v>1.1349800000000001</v>
      </c>
      <c r="C17936" s="572">
        <v>51.612900000000003</v>
      </c>
    </row>
    <row r="17937" spans="1:3">
      <c r="A17937" s="571" t="s">
        <v>2420</v>
      </c>
      <c r="B17937" s="572">
        <v>1.2056100000000001</v>
      </c>
      <c r="C17937" s="572">
        <v>53.2258</v>
      </c>
    </row>
    <row r="17938" spans="1:3">
      <c r="A17938" s="571" t="s">
        <v>2420</v>
      </c>
      <c r="B17938" s="572">
        <v>1.31714</v>
      </c>
      <c r="C17938" s="572">
        <v>54.838700000000003</v>
      </c>
    </row>
    <row r="17939" spans="1:3">
      <c r="A17939" s="571" t="s">
        <v>2420</v>
      </c>
      <c r="B17939" s="572">
        <v>1.43981</v>
      </c>
      <c r="C17939" s="572">
        <v>53.2258</v>
      </c>
    </row>
    <row r="17940" spans="1:3">
      <c r="A17940" s="571" t="s">
        <v>2420</v>
      </c>
      <c r="B17940" s="572">
        <v>1.5290299999999999</v>
      </c>
      <c r="C17940" s="572">
        <v>53.2258</v>
      </c>
    </row>
    <row r="17941" spans="1:3">
      <c r="A17941" s="571" t="s">
        <v>2420</v>
      </c>
      <c r="B17941" s="572">
        <v>1.6108199999999999</v>
      </c>
      <c r="C17941" s="572">
        <v>56.451599999999999</v>
      </c>
    </row>
    <row r="17942" spans="1:3">
      <c r="A17942" s="571" t="s">
        <v>2420</v>
      </c>
      <c r="B17942" s="572">
        <v>1.6888799999999999</v>
      </c>
      <c r="C17942" s="572">
        <v>56.451599999999999</v>
      </c>
    </row>
    <row r="17943" spans="1:3">
      <c r="A17943" s="571" t="s">
        <v>2420</v>
      </c>
      <c r="B17943" s="572">
        <v>1.77067</v>
      </c>
      <c r="C17943" s="572">
        <v>59.677399999999999</v>
      </c>
    </row>
    <row r="17944" spans="1:3">
      <c r="A17944" s="571" t="s">
        <v>2420</v>
      </c>
      <c r="B17944" s="572">
        <v>1.85989</v>
      </c>
      <c r="C17944" s="572">
        <v>59.677399999999999</v>
      </c>
    </row>
    <row r="17945" spans="1:3">
      <c r="A17945" s="571" t="s">
        <v>2420</v>
      </c>
      <c r="B17945" s="572">
        <v>1.9528300000000001</v>
      </c>
      <c r="C17945" s="572">
        <v>59.677399999999999</v>
      </c>
    </row>
    <row r="17946" spans="1:3">
      <c r="A17946" s="571" t="s">
        <v>2420</v>
      </c>
      <c r="B17946" s="572">
        <v>2.0606300000000002</v>
      </c>
      <c r="C17946" s="572">
        <v>58.064500000000002</v>
      </c>
    </row>
    <row r="17947" spans="1:3">
      <c r="A17947" s="571" t="s">
        <v>2420</v>
      </c>
      <c r="B17947" s="572">
        <v>2.1572900000000002</v>
      </c>
      <c r="C17947" s="572">
        <v>58.064500000000002</v>
      </c>
    </row>
    <row r="17948" spans="1:3">
      <c r="A17948" s="571" t="s">
        <v>2420</v>
      </c>
      <c r="B17948" s="572">
        <v>2.2539400000000001</v>
      </c>
      <c r="C17948" s="572">
        <v>58.064500000000002</v>
      </c>
    </row>
    <row r="17949" spans="1:3">
      <c r="A17949" s="571" t="s">
        <v>2420</v>
      </c>
      <c r="B17949" s="572">
        <v>2.3431600000000001</v>
      </c>
      <c r="C17949" s="572">
        <v>61.290300000000002</v>
      </c>
    </row>
    <row r="17950" spans="1:3">
      <c r="A17950" s="571" t="s">
        <v>2420</v>
      </c>
      <c r="B17950" s="572">
        <v>2.4435300000000004</v>
      </c>
      <c r="C17950" s="572">
        <v>62.903199999999998</v>
      </c>
    </row>
    <row r="17951" spans="1:3">
      <c r="A17951" s="571" t="s">
        <v>2420</v>
      </c>
      <c r="B17951" s="572">
        <v>2.5216000000000003</v>
      </c>
      <c r="C17951" s="572">
        <v>62.903199999999998</v>
      </c>
    </row>
    <row r="17952" spans="1:3">
      <c r="A17952" s="571" t="s">
        <v>2420</v>
      </c>
      <c r="B17952" s="572">
        <v>2.6071000000000004</v>
      </c>
      <c r="C17952" s="572">
        <v>61.290300000000002</v>
      </c>
    </row>
    <row r="17953" spans="1:3">
      <c r="A17953" s="571" t="s">
        <v>2420</v>
      </c>
      <c r="B17953" s="572">
        <v>2.6851700000000003</v>
      </c>
      <c r="C17953" s="572">
        <v>62.903199999999998</v>
      </c>
    </row>
    <row r="17954" spans="1:3">
      <c r="A17954" s="571" t="s">
        <v>2420</v>
      </c>
      <c r="B17954" s="572">
        <v>2.7743900000000004</v>
      </c>
      <c r="C17954" s="572">
        <v>62.903199999999998</v>
      </c>
    </row>
    <row r="17955" spans="1:3">
      <c r="A17955" s="571" t="s">
        <v>2420</v>
      </c>
      <c r="B17955" s="572">
        <v>2.8673200000000003</v>
      </c>
      <c r="C17955" s="572">
        <v>61.290300000000002</v>
      </c>
    </row>
    <row r="17956" spans="1:3">
      <c r="A17956" s="571" t="s">
        <v>2420</v>
      </c>
      <c r="B17956" s="572">
        <v>2.9639800000000003</v>
      </c>
      <c r="C17956" s="572">
        <v>61.290300000000002</v>
      </c>
    </row>
    <row r="17957" spans="1:3">
      <c r="A17957" s="571" t="s">
        <v>2420</v>
      </c>
      <c r="B17957" s="572">
        <v>3.0123000000000002</v>
      </c>
      <c r="C17957" s="572">
        <v>62.903199999999998</v>
      </c>
    </row>
    <row r="17958" spans="1:3">
      <c r="A17958" s="571" t="s">
        <v>2422</v>
      </c>
      <c r="B17958" s="572">
        <v>1.0987199999999999</v>
      </c>
      <c r="C17958" s="572">
        <v>59.2744</v>
      </c>
    </row>
    <row r="17959" spans="1:3">
      <c r="A17959" s="571" t="s">
        <v>2422</v>
      </c>
      <c r="B17959" s="572">
        <v>1.99448</v>
      </c>
      <c r="C17959" s="572">
        <v>51.962899999999998</v>
      </c>
    </row>
    <row r="17960" spans="1:3">
      <c r="A17960" s="571" t="s">
        <v>2422</v>
      </c>
      <c r="B17960" s="572">
        <v>3.0947800000000001</v>
      </c>
      <c r="C17960" s="572">
        <v>90.552099999999996</v>
      </c>
    </row>
    <row r="17961" spans="1:3">
      <c r="A17961" s="571" t="s">
        <v>2422</v>
      </c>
      <c r="B17961" s="572">
        <v>5.1131500000000001</v>
      </c>
      <c r="C17961" s="572">
        <v>186.929</v>
      </c>
    </row>
    <row r="17962" spans="1:3">
      <c r="A17962" s="571" t="s">
        <v>2422</v>
      </c>
      <c r="B17962" s="572">
        <v>8.7171599999999998</v>
      </c>
      <c r="C17962" s="572">
        <v>289.23700000000002</v>
      </c>
    </row>
    <row r="17963" spans="1:3">
      <c r="A17963" s="571" t="s">
        <v>2422</v>
      </c>
      <c r="B17963" s="572">
        <v>24.553799999999999</v>
      </c>
      <c r="C17963" s="572">
        <v>418.29300000000001</v>
      </c>
    </row>
    <row r="17964" spans="1:3">
      <c r="A17964" s="571" t="s">
        <v>2422</v>
      </c>
      <c r="B17964" s="572">
        <v>68.084699999999998</v>
      </c>
      <c r="C17964" s="572">
        <v>486.60500000000002</v>
      </c>
    </row>
    <row r="17965" spans="1:3">
      <c r="A17965" s="573" t="s">
        <v>2422</v>
      </c>
      <c r="B17965" s="574">
        <v>149.19900000000001</v>
      </c>
      <c r="C17965" s="574">
        <v>516.36099999999999</v>
      </c>
    </row>
    <row r="17966" spans="1:3">
      <c r="A17966" s="573" t="s">
        <v>2422</v>
      </c>
      <c r="B17966" s="574">
        <v>238.88800000000001</v>
      </c>
      <c r="C17966" s="574">
        <v>470.51</v>
      </c>
    </row>
    <row r="17967" spans="1:3">
      <c r="A17967" s="573" t="s">
        <v>2422</v>
      </c>
      <c r="B17967" s="574">
        <v>342.70699999999999</v>
      </c>
      <c r="C17967" s="574">
        <v>467.60599999999999</v>
      </c>
    </row>
    <row r="17968" spans="1:3">
      <c r="A17968" s="569" t="s">
        <v>2422</v>
      </c>
      <c r="B17968" s="570">
        <v>799.64300000000003</v>
      </c>
      <c r="C17968" s="570">
        <v>598.11199999999997</v>
      </c>
    </row>
    <row r="17969" spans="1:3">
      <c r="A17969" s="569" t="s">
        <v>2422</v>
      </c>
      <c r="B17969" s="570">
        <v>1221.47</v>
      </c>
      <c r="C17969" s="570">
        <v>521.14300000000003</v>
      </c>
    </row>
    <row r="17970" spans="1:3">
      <c r="A17970" s="569" t="s">
        <v>2422</v>
      </c>
      <c r="B17970" s="570">
        <v>2436.1999999999998</v>
      </c>
      <c r="C17970" s="570">
        <v>613.10599999999999</v>
      </c>
    </row>
    <row r="17971" spans="1:3">
      <c r="A17971" s="571" t="s">
        <v>2425</v>
      </c>
      <c r="B17971" s="572">
        <v>1</v>
      </c>
      <c r="C17971" s="572">
        <v>35.555599999999998</v>
      </c>
    </row>
    <row r="17972" spans="1:3">
      <c r="A17972" s="571" t="s">
        <v>2425</v>
      </c>
      <c r="B17972" s="572">
        <v>7.2210999999999999</v>
      </c>
      <c r="C17972" s="572">
        <v>292.17</v>
      </c>
    </row>
    <row r="17973" spans="1:3">
      <c r="A17973" s="571" t="s">
        <v>2425</v>
      </c>
      <c r="B17973" s="572">
        <v>10.359299999999999</v>
      </c>
      <c r="C17973" s="572">
        <v>308.524</v>
      </c>
    </row>
    <row r="17974" spans="1:3">
      <c r="A17974" s="571" t="s">
        <v>2425</v>
      </c>
      <c r="B17974" s="572">
        <v>84.810500000000005</v>
      </c>
      <c r="C17974" s="572">
        <v>497.01100000000002</v>
      </c>
    </row>
    <row r="17975" spans="1:3">
      <c r="A17975" s="573" t="s">
        <v>2425</v>
      </c>
      <c r="B17975" s="574">
        <v>171.828</v>
      </c>
      <c r="C17975" s="574">
        <v>500.08699999999999</v>
      </c>
    </row>
    <row r="17976" spans="1:3">
      <c r="A17976" s="573" t="s">
        <v>2425</v>
      </c>
      <c r="B17976" s="574">
        <v>342.70699999999999</v>
      </c>
      <c r="C17976" s="574">
        <v>483.90199999999999</v>
      </c>
    </row>
    <row r="17977" spans="1:3">
      <c r="A17977" s="573" t="s">
        <v>2425</v>
      </c>
      <c r="B17977" s="574">
        <v>476.45699999999999</v>
      </c>
      <c r="C17977" s="574">
        <v>523.95500000000004</v>
      </c>
    </row>
    <row r="17978" spans="1:3">
      <c r="A17978" s="569" t="s">
        <v>2425</v>
      </c>
      <c r="B17978" s="570">
        <v>602.89099999999996</v>
      </c>
      <c r="C17978" s="570">
        <v>549.178</v>
      </c>
    </row>
    <row r="17979" spans="1:3">
      <c r="A17979" s="569" t="s">
        <v>2425</v>
      </c>
      <c r="B17979" s="570">
        <v>812.28899999999999</v>
      </c>
      <c r="C17979" s="570">
        <v>624.78099999999995</v>
      </c>
    </row>
    <row r="17980" spans="1:3">
      <c r="A17980" s="569" t="s">
        <v>2425</v>
      </c>
      <c r="B17980" s="570">
        <v>2676.69</v>
      </c>
      <c r="C17980" s="570">
        <v>608.67700000000002</v>
      </c>
    </row>
    <row r="17981" spans="1:3">
      <c r="A17981" s="571" t="s">
        <v>2427</v>
      </c>
      <c r="B17981" s="572">
        <v>1.7870200000000001</v>
      </c>
      <c r="C17981" s="572">
        <v>54.908200000000001</v>
      </c>
    </row>
    <row r="17982" spans="1:3">
      <c r="A17982" s="571" t="s">
        <v>2427</v>
      </c>
      <c r="B17982" s="572">
        <v>5.1131500000000001</v>
      </c>
      <c r="C17982" s="572">
        <v>53.595799999999997</v>
      </c>
    </row>
    <row r="17983" spans="1:3">
      <c r="A17983" s="571" t="s">
        <v>2427</v>
      </c>
      <c r="B17983" s="572">
        <v>7.2210999999999999</v>
      </c>
      <c r="C17983" s="572">
        <v>56.6143</v>
      </c>
    </row>
    <row r="17984" spans="1:3">
      <c r="A17984" s="571" t="s">
        <v>2427</v>
      </c>
      <c r="B17984" s="572">
        <v>12.3109</v>
      </c>
      <c r="C17984" s="572">
        <v>41.885300000000001</v>
      </c>
    </row>
    <row r="17985" spans="1:3">
      <c r="A17985" s="571" t="s">
        <v>2427</v>
      </c>
      <c r="B17985" s="572">
        <v>23.795300000000001</v>
      </c>
      <c r="C17985" s="572">
        <v>68.658000000000001</v>
      </c>
    </row>
    <row r="17986" spans="1:3">
      <c r="A17986" s="571" t="s">
        <v>2427</v>
      </c>
      <c r="B17986" s="572">
        <v>29.179400000000001</v>
      </c>
      <c r="C17986" s="572">
        <v>86.468500000000006</v>
      </c>
    </row>
    <row r="17987" spans="1:3">
      <c r="A17987" s="571" t="s">
        <v>2427</v>
      </c>
      <c r="B17987" s="572">
        <v>52.968800000000002</v>
      </c>
      <c r="C17987" s="572">
        <v>105.824</v>
      </c>
    </row>
    <row r="17988" spans="1:3">
      <c r="A17988" s="571" t="s">
        <v>2427</v>
      </c>
      <c r="B17988" s="572">
        <v>69.1614</v>
      </c>
      <c r="C17988" s="572">
        <v>114.756</v>
      </c>
    </row>
    <row r="17989" spans="1:3">
      <c r="A17989" s="573" t="s">
        <v>2427</v>
      </c>
      <c r="B17989" s="574">
        <v>123.593</v>
      </c>
      <c r="C17989" s="574">
        <v>120.77500000000001</v>
      </c>
    </row>
    <row r="17990" spans="1:3">
      <c r="A17990" s="573" t="s">
        <v>2427</v>
      </c>
      <c r="B17990" s="574">
        <v>185.851</v>
      </c>
      <c r="C17990" s="574">
        <v>150.47</v>
      </c>
    </row>
    <row r="17991" spans="1:3">
      <c r="A17991" s="573" t="s">
        <v>2427</v>
      </c>
      <c r="B17991" s="574">
        <v>250.40199999999999</v>
      </c>
      <c r="C17991" s="574">
        <v>134.22200000000001</v>
      </c>
    </row>
    <row r="17992" spans="1:3">
      <c r="A17992" s="573" t="s">
        <v>2427</v>
      </c>
      <c r="B17992" s="574">
        <v>337.37200000000001</v>
      </c>
      <c r="C17992" s="574">
        <v>174.27</v>
      </c>
    </row>
    <row r="17993" spans="1:3">
      <c r="A17993" s="569" t="s">
        <v>2427</v>
      </c>
      <c r="B17993" s="570">
        <v>507.31900000000002</v>
      </c>
      <c r="C17993" s="570">
        <v>258.77999999999997</v>
      </c>
    </row>
    <row r="17994" spans="1:3">
      <c r="A17994" s="569" t="s">
        <v>2427</v>
      </c>
      <c r="B17994" s="570">
        <v>575.16899999999998</v>
      </c>
      <c r="C17994" s="570">
        <v>243.98500000000001</v>
      </c>
    </row>
    <row r="17995" spans="1:3">
      <c r="A17995" s="569" t="s">
        <v>2427</v>
      </c>
      <c r="B17995" s="570">
        <v>716.46699999999998</v>
      </c>
      <c r="C17995" s="570">
        <v>264.76100000000002</v>
      </c>
    </row>
    <row r="17996" spans="1:3">
      <c r="A17996" s="569" t="s">
        <v>2427</v>
      </c>
      <c r="B17996" s="570">
        <v>825.13400000000001</v>
      </c>
      <c r="C17996" s="570">
        <v>281.08</v>
      </c>
    </row>
    <row r="17997" spans="1:3">
      <c r="A17997" s="569" t="s">
        <v>2427</v>
      </c>
      <c r="B17997" s="570">
        <v>1044.0899999999999</v>
      </c>
      <c r="C17997" s="570">
        <v>321.11799999999999</v>
      </c>
    </row>
    <row r="17998" spans="1:3">
      <c r="A17998" s="569" t="s">
        <v>2427</v>
      </c>
      <c r="B17998" s="570">
        <v>1240.79</v>
      </c>
      <c r="C17998" s="570">
        <v>365.59</v>
      </c>
    </row>
    <row r="17999" spans="1:3">
      <c r="A17999" s="569" t="s">
        <v>2427</v>
      </c>
      <c r="B17999" s="570">
        <v>1645.71</v>
      </c>
      <c r="C17999" s="570">
        <v>373.04300000000001</v>
      </c>
    </row>
    <row r="18000" spans="1:3">
      <c r="A18000" s="569" t="s">
        <v>2427</v>
      </c>
      <c r="B18000" s="570">
        <v>1836.77</v>
      </c>
      <c r="C18000" s="570">
        <v>413.06099999999998</v>
      </c>
    </row>
    <row r="18001" spans="1:3">
      <c r="A18001" s="569" t="s">
        <v>2427</v>
      </c>
      <c r="B18001" s="570">
        <v>2182.79</v>
      </c>
      <c r="C18001" s="570">
        <v>411.60700000000003</v>
      </c>
    </row>
    <row r="18002" spans="1:3">
      <c r="A18002" s="569" t="s">
        <v>2427</v>
      </c>
      <c r="B18002" s="570">
        <v>2398.27</v>
      </c>
      <c r="C18002" s="570">
        <v>432.363</v>
      </c>
    </row>
    <row r="18003" spans="1:3">
      <c r="A18003" s="571" t="s">
        <v>2429</v>
      </c>
      <c r="B18003" s="572">
        <v>1.0318799999999999</v>
      </c>
      <c r="C18003" s="572">
        <v>10.375400000000001</v>
      </c>
    </row>
    <row r="18004" spans="1:3">
      <c r="A18004" s="571" t="s">
        <v>2429</v>
      </c>
      <c r="B18004" s="572">
        <v>2.0580599999999998</v>
      </c>
      <c r="C18004" s="572">
        <v>75.671700000000001</v>
      </c>
    </row>
    <row r="18005" spans="1:3">
      <c r="A18005" s="571" t="s">
        <v>2429</v>
      </c>
      <c r="B18005" s="572">
        <v>3.0947800000000001</v>
      </c>
      <c r="C18005" s="572">
        <v>80.181700000000006</v>
      </c>
    </row>
    <row r="18006" spans="1:3">
      <c r="A18006" s="571" t="s">
        <v>2429</v>
      </c>
      <c r="B18006" s="572">
        <v>5.1940099999999996</v>
      </c>
      <c r="C18006" s="572">
        <v>145.44999999999999</v>
      </c>
    </row>
    <row r="18007" spans="1:3">
      <c r="A18007" s="571" t="s">
        <v>2429</v>
      </c>
      <c r="B18007" s="572">
        <v>82.190399999999997</v>
      </c>
      <c r="C18007" s="572">
        <v>483.67200000000003</v>
      </c>
    </row>
    <row r="18008" spans="1:3">
      <c r="A18008" s="573" t="s">
        <v>2429</v>
      </c>
      <c r="B18008" s="574">
        <v>163.92699999999999</v>
      </c>
      <c r="C18008" s="574">
        <v>466.005</v>
      </c>
    </row>
    <row r="18009" spans="1:3">
      <c r="A18009" s="573" t="s">
        <v>2429</v>
      </c>
      <c r="B18009" s="574">
        <v>258.38400000000001</v>
      </c>
      <c r="C18009" s="574">
        <v>460.15300000000002</v>
      </c>
    </row>
    <row r="18010" spans="1:3">
      <c r="A18010" s="573" t="s">
        <v>2429</v>
      </c>
      <c r="B18010" s="574">
        <v>332.12</v>
      </c>
      <c r="C18010" s="574">
        <v>467.6</v>
      </c>
    </row>
    <row r="18011" spans="1:3">
      <c r="A18011" s="573" t="s">
        <v>2429</v>
      </c>
      <c r="B18011" s="574">
        <v>491.64600000000002</v>
      </c>
      <c r="C18011" s="574">
        <v>509.14499999999998</v>
      </c>
    </row>
    <row r="18012" spans="1:3">
      <c r="A18012" s="569" t="s">
        <v>2429</v>
      </c>
      <c r="B18012" s="570">
        <v>622.11</v>
      </c>
      <c r="C18012" s="570">
        <v>550.66399999999999</v>
      </c>
    </row>
    <row r="18013" spans="1:3">
      <c r="A18013" s="569" t="s">
        <v>2429</v>
      </c>
      <c r="B18013" s="570">
        <v>812.28899999999999</v>
      </c>
      <c r="C18013" s="570">
        <v>577.37400000000002</v>
      </c>
    </row>
    <row r="18014" spans="1:3">
      <c r="A18014" s="569" t="s">
        <v>2429</v>
      </c>
      <c r="B18014" s="570">
        <v>825.13400000000001</v>
      </c>
      <c r="C18014" s="570">
        <v>595.154</v>
      </c>
    </row>
    <row r="18015" spans="1:3">
      <c r="A18015" s="569" t="s">
        <v>2429</v>
      </c>
      <c r="B18015" s="570">
        <v>1698.18</v>
      </c>
      <c r="C18015" s="570">
        <v>608.60400000000004</v>
      </c>
    </row>
    <row r="18016" spans="1:3">
      <c r="A18016" s="569" t="s">
        <v>2429</v>
      </c>
      <c r="B18016" s="570">
        <v>2762.02</v>
      </c>
      <c r="C18016" s="570">
        <v>639.79300000000001</v>
      </c>
    </row>
    <row r="18017" spans="1:3">
      <c r="A18017" s="571" t="s">
        <v>2431</v>
      </c>
      <c r="B18017" s="572">
        <v>1.0482</v>
      </c>
      <c r="C18017" s="572">
        <v>78.5261</v>
      </c>
    </row>
    <row r="18018" spans="1:3">
      <c r="A18018" s="571" t="s">
        <v>2431</v>
      </c>
      <c r="B18018" s="572">
        <v>2.0580599999999998</v>
      </c>
      <c r="C18018" s="572">
        <v>111.227</v>
      </c>
    </row>
    <row r="18019" spans="1:3">
      <c r="A18019" s="571" t="s">
        <v>2431</v>
      </c>
      <c r="B18019" s="572">
        <v>5.2761500000000003</v>
      </c>
      <c r="C18019" s="572">
        <v>209.15600000000001</v>
      </c>
    </row>
    <row r="18020" spans="1:3">
      <c r="A18020" s="571" t="s">
        <v>2431</v>
      </c>
      <c r="B18020" s="572">
        <v>26.144300000000001</v>
      </c>
      <c r="C18020" s="572">
        <v>444.96899999999999</v>
      </c>
    </row>
    <row r="18021" spans="1:3">
      <c r="A18021" s="571" t="s">
        <v>2431</v>
      </c>
      <c r="B18021" s="572">
        <v>30.1096</v>
      </c>
      <c r="C18021" s="572">
        <v>477.58499999999998</v>
      </c>
    </row>
    <row r="18022" spans="1:3">
      <c r="A18022" s="571" t="s">
        <v>2431</v>
      </c>
      <c r="B18022" s="572">
        <v>38.702100000000002</v>
      </c>
      <c r="C18022" s="572">
        <v>442.07</v>
      </c>
    </row>
    <row r="18023" spans="1:3">
      <c r="A18023" s="571" t="s">
        <v>2431</v>
      </c>
      <c r="B18023" s="572">
        <v>56.399799999999999</v>
      </c>
      <c r="C18023" s="572">
        <v>525.09299999999996</v>
      </c>
    </row>
    <row r="18024" spans="1:3">
      <c r="A18024" s="571" t="s">
        <v>2431</v>
      </c>
      <c r="B18024" s="572">
        <v>71.366200000000006</v>
      </c>
      <c r="C18024" s="572">
        <v>523.649</v>
      </c>
    </row>
    <row r="18025" spans="1:3">
      <c r="A18025" s="573" t="s">
        <v>2431</v>
      </c>
      <c r="B18025" s="574">
        <v>156.38999999999999</v>
      </c>
      <c r="C18025" s="574">
        <v>541.553</v>
      </c>
    </row>
    <row r="18026" spans="1:3">
      <c r="A18026" s="573" t="s">
        <v>2431</v>
      </c>
      <c r="B18026" s="574">
        <v>238.88800000000001</v>
      </c>
      <c r="C18026" s="574">
        <v>514.95500000000004</v>
      </c>
    </row>
    <row r="18027" spans="1:3">
      <c r="A18027" s="573" t="s">
        <v>2431</v>
      </c>
      <c r="B18027" s="574">
        <v>353.63200000000001</v>
      </c>
      <c r="C18027" s="574">
        <v>520.94399999999996</v>
      </c>
    </row>
    <row r="18028" spans="1:3">
      <c r="A18028" s="569" t="s">
        <v>2431</v>
      </c>
      <c r="B18028" s="570">
        <v>507.31900000000002</v>
      </c>
      <c r="C18028" s="570">
        <v>569.89099999999996</v>
      </c>
    </row>
    <row r="18029" spans="1:3">
      <c r="A18029" s="569" t="s">
        <v>2431</v>
      </c>
      <c r="B18029" s="570">
        <v>593.505</v>
      </c>
      <c r="C18029" s="570">
        <v>605.47199999999998</v>
      </c>
    </row>
    <row r="18030" spans="1:3">
      <c r="A18030" s="569" t="s">
        <v>2431</v>
      </c>
      <c r="B18030" s="570">
        <v>1240.79</v>
      </c>
      <c r="C18030" s="570">
        <v>565.59</v>
      </c>
    </row>
    <row r="18031" spans="1:3">
      <c r="A18031" s="569" t="s">
        <v>2431</v>
      </c>
      <c r="B18031" s="570">
        <v>1645.71</v>
      </c>
      <c r="C18031" s="570">
        <v>661.93200000000002</v>
      </c>
    </row>
    <row r="18032" spans="1:3">
      <c r="A18032" s="569" t="s">
        <v>2431</v>
      </c>
      <c r="B18032" s="570">
        <v>1836.77</v>
      </c>
      <c r="C18032" s="570">
        <v>650.09799999999996</v>
      </c>
    </row>
    <row r="18033" spans="1:3">
      <c r="A18033" s="569" t="s">
        <v>2431</v>
      </c>
      <c r="B18033" s="570">
        <v>2398.27</v>
      </c>
      <c r="C18033" s="570">
        <v>669.4</v>
      </c>
    </row>
    <row r="18034" spans="1:3">
      <c r="A18034" s="571" t="s">
        <v>2433</v>
      </c>
      <c r="B18034" s="572">
        <v>0.96747000000000005</v>
      </c>
      <c r="C18034" s="572">
        <v>21.5686</v>
      </c>
    </row>
    <row r="18035" spans="1:3">
      <c r="A18035" s="571" t="s">
        <v>2433</v>
      </c>
      <c r="B18035" s="572">
        <v>1.69747</v>
      </c>
      <c r="C18035" s="572">
        <v>62.745100000000001</v>
      </c>
    </row>
    <row r="18036" spans="1:3">
      <c r="A18036" s="571" t="s">
        <v>2433</v>
      </c>
      <c r="B18036" s="572">
        <v>2.8341599999999998</v>
      </c>
      <c r="C18036" s="572">
        <v>96.078400000000002</v>
      </c>
    </row>
    <row r="18037" spans="1:3">
      <c r="A18037" s="571" t="s">
        <v>2433</v>
      </c>
      <c r="B18037" s="572">
        <v>5.0555700000000003</v>
      </c>
      <c r="C18037" s="572">
        <v>196.078</v>
      </c>
    </row>
    <row r="18038" spans="1:3">
      <c r="A18038" s="571" t="s">
        <v>2433</v>
      </c>
      <c r="B18038" s="572">
        <v>8.1663599999999992</v>
      </c>
      <c r="C18038" s="572">
        <v>249.02</v>
      </c>
    </row>
    <row r="18039" spans="1:3">
      <c r="A18039" s="571" t="s">
        <v>2433</v>
      </c>
      <c r="B18039" s="572">
        <v>16.627500000000001</v>
      </c>
      <c r="C18039" s="572">
        <v>360.78399999999999</v>
      </c>
    </row>
    <row r="18040" spans="1:3">
      <c r="A18040" s="571" t="s">
        <v>2433</v>
      </c>
      <c r="B18040" s="572">
        <v>31.688199999999998</v>
      </c>
      <c r="C18040" s="572">
        <v>419.608</v>
      </c>
    </row>
    <row r="18041" spans="1:3">
      <c r="A18041" s="571" t="s">
        <v>2433</v>
      </c>
      <c r="B18041" s="572">
        <v>51.186599999999999</v>
      </c>
      <c r="C18041" s="572">
        <v>472.54899999999998</v>
      </c>
    </row>
    <row r="18042" spans="1:3">
      <c r="A18042" s="571" t="s">
        <v>2433</v>
      </c>
      <c r="B18042" s="572">
        <v>94.376800000000003</v>
      </c>
      <c r="C18042" s="572">
        <v>492.15699999999998</v>
      </c>
    </row>
    <row r="18043" spans="1:3">
      <c r="A18043" s="573" t="s">
        <v>2433</v>
      </c>
      <c r="B18043" s="574">
        <v>154.99100000000001</v>
      </c>
      <c r="C18043" s="574">
        <v>458.82400000000001</v>
      </c>
    </row>
    <row r="18044" spans="1:3">
      <c r="A18044" s="573" t="s">
        <v>2433</v>
      </c>
      <c r="B18044" s="574">
        <v>234.33600000000001</v>
      </c>
      <c r="C18044" s="574">
        <v>476.471</v>
      </c>
    </row>
    <row r="18045" spans="1:3">
      <c r="A18045" s="573" t="s">
        <v>2433</v>
      </c>
      <c r="B18045" s="574">
        <v>320.83600000000001</v>
      </c>
      <c r="C18045" s="574">
        <v>472.54899999999998</v>
      </c>
    </row>
    <row r="18046" spans="1:3">
      <c r="A18046" s="573" t="s">
        <v>2433</v>
      </c>
      <c r="B18046" s="574">
        <v>439.267</v>
      </c>
      <c r="C18046" s="574">
        <v>545.09799999999996</v>
      </c>
    </row>
    <row r="18047" spans="1:3">
      <c r="A18047" s="569" t="s">
        <v>2433</v>
      </c>
      <c r="B18047" s="570">
        <v>581.851</v>
      </c>
      <c r="C18047" s="570">
        <v>554.90200000000004</v>
      </c>
    </row>
    <row r="18048" spans="1:3">
      <c r="A18048" s="569" t="s">
        <v>2433</v>
      </c>
      <c r="B18048" s="570">
        <v>783.56600000000003</v>
      </c>
      <c r="C18048" s="570">
        <v>578.43100000000004</v>
      </c>
    </row>
    <row r="18049" spans="1:3">
      <c r="A18049" s="569" t="s">
        <v>2433</v>
      </c>
      <c r="B18049" s="570">
        <v>1224.54</v>
      </c>
      <c r="C18049" s="570">
        <v>547.05899999999997</v>
      </c>
    </row>
    <row r="18050" spans="1:3">
      <c r="A18050" s="569" t="s">
        <v>2433</v>
      </c>
      <c r="B18050" s="570">
        <v>1518.2</v>
      </c>
      <c r="C18050" s="570">
        <v>621.56899999999996</v>
      </c>
    </row>
    <row r="18051" spans="1:3">
      <c r="A18051" s="569" t="s">
        <v>2433</v>
      </c>
      <c r="B18051" s="570">
        <v>2534.84</v>
      </c>
      <c r="C18051" s="570">
        <v>623.529</v>
      </c>
    </row>
    <row r="18052" spans="1:3">
      <c r="A18052" s="571" t="s">
        <v>2435</v>
      </c>
      <c r="B18052" s="572">
        <v>1.01667</v>
      </c>
      <c r="C18052" s="572">
        <v>23.529399999999999</v>
      </c>
    </row>
    <row r="18053" spans="1:3">
      <c r="A18053" s="571" t="s">
        <v>2435</v>
      </c>
      <c r="B18053" s="572">
        <v>1.6696299999999999</v>
      </c>
      <c r="C18053" s="572">
        <v>43.137300000000003</v>
      </c>
    </row>
    <row r="18054" spans="1:3">
      <c r="A18054" s="571" t="s">
        <v>2435</v>
      </c>
      <c r="B18054" s="572">
        <v>2.9294500000000001</v>
      </c>
      <c r="C18054" s="572">
        <v>39.215699999999998</v>
      </c>
    </row>
    <row r="18055" spans="1:3">
      <c r="A18055" s="571" t="s">
        <v>2435</v>
      </c>
      <c r="B18055" s="572">
        <v>4.8911100000000003</v>
      </c>
      <c r="C18055" s="572">
        <v>9.8039199999999997</v>
      </c>
    </row>
    <row r="18056" spans="1:3">
      <c r="A18056" s="571" t="s">
        <v>2435</v>
      </c>
      <c r="B18056" s="572">
        <v>8.7247699999999995</v>
      </c>
      <c r="C18056" s="572">
        <v>25.490200000000002</v>
      </c>
    </row>
    <row r="18057" spans="1:3">
      <c r="A18057" s="571" t="s">
        <v>2435</v>
      </c>
      <c r="B18057" s="572">
        <v>12.144500000000001</v>
      </c>
      <c r="C18057" s="572">
        <v>39.215699999999998</v>
      </c>
    </row>
    <row r="18058" spans="1:3">
      <c r="A18058" s="571" t="s">
        <v>2435</v>
      </c>
      <c r="B18058" s="572">
        <v>33.854999999999997</v>
      </c>
      <c r="C18058" s="572">
        <v>90.196100000000001</v>
      </c>
    </row>
    <row r="18059" spans="1:3">
      <c r="A18059" s="571" t="s">
        <v>2435</v>
      </c>
      <c r="B18059" s="572">
        <v>47.910499999999999</v>
      </c>
      <c r="C18059" s="572">
        <v>127.45099999999999</v>
      </c>
    </row>
    <row r="18060" spans="1:3">
      <c r="A18060" s="571" t="s">
        <v>2435</v>
      </c>
      <c r="B18060" s="572">
        <v>97.550200000000004</v>
      </c>
      <c r="C18060" s="572">
        <v>176.471</v>
      </c>
    </row>
    <row r="18061" spans="1:3">
      <c r="A18061" s="573" t="s">
        <v>2435</v>
      </c>
      <c r="B18061" s="574">
        <v>174.01</v>
      </c>
      <c r="C18061" s="574">
        <v>196.078</v>
      </c>
    </row>
    <row r="18062" spans="1:3">
      <c r="A18062" s="573" t="s">
        <v>2435</v>
      </c>
      <c r="B18062" s="574">
        <v>242.215</v>
      </c>
      <c r="C18062" s="574">
        <v>196.078</v>
      </c>
    </row>
    <row r="18063" spans="1:3">
      <c r="A18063" s="573" t="s">
        <v>2435</v>
      </c>
      <c r="B18063" s="574">
        <v>300.30200000000002</v>
      </c>
      <c r="C18063" s="574">
        <v>233.333</v>
      </c>
    </row>
    <row r="18064" spans="1:3">
      <c r="A18064" s="573" t="s">
        <v>2435</v>
      </c>
      <c r="B18064" s="574">
        <v>432.06299999999999</v>
      </c>
      <c r="C18064" s="574">
        <v>292.15699999999998</v>
      </c>
    </row>
    <row r="18065" spans="1:3">
      <c r="A18065" s="569" t="s">
        <v>2435</v>
      </c>
      <c r="B18065" s="570">
        <v>553.69100000000003</v>
      </c>
      <c r="C18065" s="570">
        <v>272.54899999999998</v>
      </c>
    </row>
    <row r="18066" spans="1:3">
      <c r="A18066" s="569" t="s">
        <v>2435</v>
      </c>
      <c r="B18066" s="570">
        <v>783.56600000000003</v>
      </c>
      <c r="C18066" s="570">
        <v>343.137</v>
      </c>
    </row>
    <row r="18067" spans="1:3">
      <c r="A18067" s="569" t="s">
        <v>2435</v>
      </c>
      <c r="B18067" s="570">
        <v>1184.7</v>
      </c>
      <c r="C18067" s="570">
        <v>331.37299999999999</v>
      </c>
    </row>
    <row r="18068" spans="1:3">
      <c r="A18068" s="569" t="s">
        <v>2435</v>
      </c>
      <c r="B18068" s="570">
        <v>1421.03</v>
      </c>
      <c r="C18068" s="570">
        <v>335.29399999999998</v>
      </c>
    </row>
    <row r="18069" spans="1:3">
      <c r="A18069" s="569" t="s">
        <v>2435</v>
      </c>
      <c r="B18069" s="570">
        <v>1761.82</v>
      </c>
      <c r="C18069" s="570">
        <v>374.51</v>
      </c>
    </row>
    <row r="18070" spans="1:3">
      <c r="A18070" s="569" t="s">
        <v>2435</v>
      </c>
      <c r="B18070" s="570">
        <v>1821.06</v>
      </c>
      <c r="C18070" s="570">
        <v>409.80399999999997</v>
      </c>
    </row>
    <row r="18071" spans="1:3">
      <c r="A18071" s="569" t="s">
        <v>2435</v>
      </c>
      <c r="B18071" s="570">
        <v>2620.0700000000002</v>
      </c>
      <c r="C18071" s="570">
        <v>427.45100000000002</v>
      </c>
    </row>
    <row r="18072" spans="1:3">
      <c r="A18072" s="571" t="s">
        <v>2437</v>
      </c>
      <c r="B18072" s="572">
        <v>1</v>
      </c>
      <c r="C18072" s="572">
        <v>92.156899999999993</v>
      </c>
    </row>
    <row r="18073" spans="1:3">
      <c r="A18073" s="571" t="s">
        <v>2437</v>
      </c>
      <c r="B18073" s="572">
        <v>1.7838000000000001</v>
      </c>
      <c r="C18073" s="572">
        <v>94.117599999999996</v>
      </c>
    </row>
    <row r="18074" spans="1:3">
      <c r="A18074" s="571" t="s">
        <v>2437</v>
      </c>
      <c r="B18074" s="572">
        <v>4.0108100000000002</v>
      </c>
      <c r="C18074" s="572">
        <v>145.09800000000001</v>
      </c>
    </row>
    <row r="18075" spans="1:3">
      <c r="A18075" s="571" t="s">
        <v>2437</v>
      </c>
      <c r="B18075" s="572">
        <v>8.0324399999999994</v>
      </c>
      <c r="C18075" s="572">
        <v>247.059</v>
      </c>
    </row>
    <row r="18076" spans="1:3">
      <c r="A18076" s="571" t="s">
        <v>2437</v>
      </c>
      <c r="B18076" s="572">
        <v>9.6347799999999992</v>
      </c>
      <c r="C18076" s="572">
        <v>341.17599999999999</v>
      </c>
    </row>
    <row r="18077" spans="1:3">
      <c r="A18077" s="571" t="s">
        <v>2437</v>
      </c>
      <c r="B18077" s="572">
        <v>21.308199999999999</v>
      </c>
      <c r="C18077" s="572">
        <v>405.88200000000001</v>
      </c>
    </row>
    <row r="18078" spans="1:3">
      <c r="A18078" s="571" t="s">
        <v>2437</v>
      </c>
      <c r="B18078" s="572">
        <v>28.224599999999999</v>
      </c>
      <c r="C18078" s="572">
        <v>394.11799999999999</v>
      </c>
    </row>
    <row r="18079" spans="1:3">
      <c r="A18079" s="571" t="s">
        <v>2439</v>
      </c>
      <c r="B18079" s="572">
        <v>1</v>
      </c>
      <c r="C18079" s="572">
        <v>35.2941</v>
      </c>
    </row>
    <row r="18080" spans="1:3">
      <c r="A18080" s="571" t="s">
        <v>2439</v>
      </c>
      <c r="B18080" s="572">
        <v>1.7545500000000001</v>
      </c>
      <c r="C18080" s="572">
        <v>21.5686</v>
      </c>
    </row>
    <row r="18081" spans="1:3">
      <c r="A18081" s="571" t="s">
        <v>2439</v>
      </c>
      <c r="B18081" s="572">
        <v>3.94503</v>
      </c>
      <c r="C18081" s="572">
        <v>17.647099999999998</v>
      </c>
    </row>
    <row r="18082" spans="1:3">
      <c r="A18082" s="571" t="s">
        <v>2439</v>
      </c>
      <c r="B18082" s="572">
        <v>9.4767799999999998</v>
      </c>
      <c r="C18082" s="572">
        <v>21.5686</v>
      </c>
    </row>
    <row r="18083" spans="1:3">
      <c r="A18083" s="571" t="s">
        <v>2439</v>
      </c>
      <c r="B18083" s="572">
        <v>14.8101</v>
      </c>
      <c r="C18083" s="572">
        <v>37.254899999999999</v>
      </c>
    </row>
    <row r="18084" spans="1:3">
      <c r="A18084" s="571" t="s">
        <v>2439</v>
      </c>
      <c r="B18084" s="572">
        <v>18.979099999999999</v>
      </c>
      <c r="C18084" s="572">
        <v>45.097999999999999</v>
      </c>
    </row>
    <row r="18085" spans="1:3">
      <c r="A18085" s="571" t="s">
        <v>2439</v>
      </c>
      <c r="B18085" s="572">
        <v>31.688199999999998</v>
      </c>
      <c r="C18085" s="572">
        <v>62.745100000000001</v>
      </c>
    </row>
    <row r="18086" spans="1:3">
      <c r="A18086" s="571" t="s">
        <v>2439</v>
      </c>
      <c r="B18086" s="572">
        <v>41.973999999999997</v>
      </c>
      <c r="C18086" s="572">
        <v>86.274500000000003</v>
      </c>
    </row>
    <row r="18087" spans="1:3">
      <c r="A18087" s="571" t="s">
        <v>2439</v>
      </c>
      <c r="B18087" s="572">
        <v>55.598500000000001</v>
      </c>
      <c r="C18087" s="572">
        <v>107.843</v>
      </c>
    </row>
    <row r="18088" spans="1:3">
      <c r="A18088" s="571" t="s">
        <v>2439</v>
      </c>
      <c r="B18088" s="572">
        <v>95.950400000000002</v>
      </c>
      <c r="C18088" s="572">
        <v>160.78399999999999</v>
      </c>
    </row>
    <row r="18089" spans="1:3">
      <c r="A18089" s="573" t="s">
        <v>2439</v>
      </c>
      <c r="B18089" s="574">
        <v>176.911</v>
      </c>
      <c r="C18089" s="574">
        <v>133.333</v>
      </c>
    </row>
    <row r="18090" spans="1:3">
      <c r="A18090" s="573" t="s">
        <v>2439</v>
      </c>
      <c r="B18090" s="574">
        <v>305.30900000000003</v>
      </c>
      <c r="C18090" s="574">
        <v>131.37299999999999</v>
      </c>
    </row>
    <row r="18091" spans="1:3">
      <c r="A18091" s="569" t="s">
        <v>2439</v>
      </c>
      <c r="B18091" s="570">
        <v>562.923</v>
      </c>
      <c r="C18091" s="570">
        <v>145.09800000000001</v>
      </c>
    </row>
    <row r="18092" spans="1:3">
      <c r="A18092" s="569" t="s">
        <v>2439</v>
      </c>
      <c r="B18092" s="570">
        <v>686.47500000000002</v>
      </c>
      <c r="C18092" s="570">
        <v>149.02000000000001</v>
      </c>
    </row>
    <row r="18093" spans="1:3">
      <c r="A18093" s="569" t="s">
        <v>2439</v>
      </c>
      <c r="B18093" s="570">
        <v>1127.3699999999999</v>
      </c>
      <c r="C18093" s="570">
        <v>213.72499999999999</v>
      </c>
    </row>
    <row r="18094" spans="1:3">
      <c r="A18094" s="569" t="s">
        <v>2439</v>
      </c>
      <c r="B18094" s="570">
        <v>1649.06</v>
      </c>
      <c r="C18094" s="570">
        <v>227.45099999999999</v>
      </c>
    </row>
    <row r="18095" spans="1:3">
      <c r="A18095" s="569" t="s">
        <v>2439</v>
      </c>
      <c r="B18095" s="570">
        <v>1761.82</v>
      </c>
      <c r="C18095" s="570">
        <v>254.90199999999999</v>
      </c>
    </row>
    <row r="18096" spans="1:3">
      <c r="A18096" s="569" t="s">
        <v>2439</v>
      </c>
      <c r="B18096" s="570">
        <v>2184.33</v>
      </c>
      <c r="C18096" s="570">
        <v>262.745</v>
      </c>
    </row>
    <row r="18097" spans="1:3">
      <c r="A18097" s="569" t="s">
        <v>2439</v>
      </c>
      <c r="B18097" s="570">
        <v>2577.1</v>
      </c>
      <c r="C18097" s="570">
        <v>276.471</v>
      </c>
    </row>
    <row r="18098" spans="1:3">
      <c r="A18098" s="571" t="s">
        <v>2441</v>
      </c>
      <c r="B18098" s="572">
        <v>1.03362</v>
      </c>
      <c r="C18098" s="572">
        <v>13.7255</v>
      </c>
    </row>
    <row r="18099" spans="1:3">
      <c r="A18099" s="571" t="s">
        <v>2441</v>
      </c>
      <c r="B18099" s="572">
        <v>2.0700400000000001</v>
      </c>
      <c r="C18099" s="572">
        <v>66.666700000000006</v>
      </c>
    </row>
    <row r="18100" spans="1:3">
      <c r="A18100" s="571" t="s">
        <v>2441</v>
      </c>
      <c r="B18100" s="572">
        <v>3.0784400000000001</v>
      </c>
      <c r="C18100" s="572">
        <v>147.059</v>
      </c>
    </row>
    <row r="18101" spans="1:3">
      <c r="A18101" s="571" t="s">
        <v>2441</v>
      </c>
      <c r="B18101" s="572">
        <v>5.0555700000000003</v>
      </c>
      <c r="C18101" s="572">
        <v>201.96100000000001</v>
      </c>
    </row>
    <row r="18102" spans="1:3">
      <c r="A18102" s="571" t="s">
        <v>2441</v>
      </c>
      <c r="B18102" s="572">
        <v>26.858699999999999</v>
      </c>
      <c r="C18102" s="572">
        <v>331.37299999999999</v>
      </c>
    </row>
    <row r="18103" spans="1:3">
      <c r="A18103" s="571" t="s">
        <v>2441</v>
      </c>
      <c r="B18103" s="572">
        <v>39.942599999999999</v>
      </c>
      <c r="C18103" s="572">
        <v>450.98</v>
      </c>
    </row>
    <row r="18104" spans="1:3">
      <c r="A18104" s="571" t="s">
        <v>2441</v>
      </c>
      <c r="B18104" s="572">
        <v>82.682699999999997</v>
      </c>
      <c r="C18104" s="572">
        <v>478.43099999999998</v>
      </c>
    </row>
    <row r="18105" spans="1:3">
      <c r="A18105" s="573" t="s">
        <v>2441</v>
      </c>
      <c r="B18105" s="574">
        <v>160.202</v>
      </c>
      <c r="C18105" s="574">
        <v>445.09800000000001</v>
      </c>
    </row>
    <row r="18106" spans="1:3">
      <c r="A18106" s="573" t="s">
        <v>2441</v>
      </c>
      <c r="B18106" s="574">
        <v>208.72200000000001</v>
      </c>
      <c r="C18106" s="574">
        <v>452.94099999999997</v>
      </c>
    </row>
    <row r="18107" spans="1:3">
      <c r="A18107" s="573" t="s">
        <v>2441</v>
      </c>
      <c r="B18107" s="574">
        <v>305.30900000000003</v>
      </c>
      <c r="C18107" s="574">
        <v>474.51</v>
      </c>
    </row>
    <row r="18108" spans="1:3">
      <c r="A18108" s="573" t="s">
        <v>2441</v>
      </c>
      <c r="B18108" s="574">
        <v>439.267</v>
      </c>
      <c r="C18108" s="574">
        <v>545.09799999999996</v>
      </c>
    </row>
    <row r="18109" spans="1:3">
      <c r="A18109" s="569" t="s">
        <v>2441</v>
      </c>
      <c r="B18109" s="570">
        <v>581.851</v>
      </c>
      <c r="C18109" s="570">
        <v>533.33299999999997</v>
      </c>
    </row>
    <row r="18110" spans="1:3">
      <c r="A18110" s="569" t="s">
        <v>2441</v>
      </c>
      <c r="B18110" s="570">
        <v>809.91200000000003</v>
      </c>
      <c r="C18110" s="570">
        <v>560.78399999999999</v>
      </c>
    </row>
    <row r="18111" spans="1:3">
      <c r="A18111" s="569" t="s">
        <v>2441</v>
      </c>
      <c r="B18111" s="570">
        <v>1165.27</v>
      </c>
      <c r="C18111" s="570">
        <v>531.37300000000005</v>
      </c>
    </row>
    <row r="18112" spans="1:3">
      <c r="A18112" s="569" t="s">
        <v>2441</v>
      </c>
      <c r="B18112" s="570">
        <v>1468.81</v>
      </c>
      <c r="C18112" s="570">
        <v>615.68600000000004</v>
      </c>
    </row>
    <row r="18113" spans="1:3">
      <c r="A18113" s="569" t="s">
        <v>2441</v>
      </c>
      <c r="B18113" s="570">
        <v>1732.92</v>
      </c>
      <c r="C18113" s="570">
        <v>560.78399999999999</v>
      </c>
    </row>
    <row r="18114" spans="1:3">
      <c r="A18114" s="569" t="s">
        <v>2441</v>
      </c>
      <c r="B18114" s="570">
        <v>2452.38</v>
      </c>
      <c r="C18114" s="570">
        <v>594.11800000000005</v>
      </c>
    </row>
    <row r="18115" spans="1:3">
      <c r="A18115" s="571" t="s">
        <v>2443</v>
      </c>
      <c r="B18115" s="572">
        <v>0.98360000000000003</v>
      </c>
      <c r="C18115" s="572">
        <v>25.490200000000002</v>
      </c>
    </row>
    <row r="18116" spans="1:3">
      <c r="A18116" s="571" t="s">
        <v>2443</v>
      </c>
      <c r="B18116" s="572">
        <v>2.2115900000000002</v>
      </c>
      <c r="C18116" s="572">
        <v>82.352900000000005</v>
      </c>
    </row>
    <row r="18117" spans="1:3">
      <c r="A18117" s="571" t="s">
        <v>2443</v>
      </c>
      <c r="B18117" s="572">
        <v>11.749499999999999</v>
      </c>
      <c r="C18117" s="572">
        <v>103.922</v>
      </c>
    </row>
    <row r="18118" spans="1:3">
      <c r="A18118" s="571" t="s">
        <v>2443</v>
      </c>
      <c r="B18118" s="572">
        <v>20.9587</v>
      </c>
      <c r="C18118" s="572">
        <v>125.49</v>
      </c>
    </row>
    <row r="18119" spans="1:3">
      <c r="A18119" s="571" t="s">
        <v>2443</v>
      </c>
      <c r="B18119" s="572">
        <v>36.773000000000003</v>
      </c>
      <c r="C18119" s="572">
        <v>152.941</v>
      </c>
    </row>
    <row r="18120" spans="1:3">
      <c r="A18120" s="571" t="s">
        <v>2443</v>
      </c>
      <c r="B18120" s="572">
        <v>84.061300000000003</v>
      </c>
      <c r="C18120" s="572">
        <v>209.804</v>
      </c>
    </row>
    <row r="18121" spans="1:3">
      <c r="A18121" s="573" t="s">
        <v>2443</v>
      </c>
      <c r="B18121" s="574">
        <v>454.03699999999998</v>
      </c>
      <c r="C18121" s="574">
        <v>213.72499999999999</v>
      </c>
    </row>
    <row r="18122" spans="1:3">
      <c r="A18122" s="569" t="s">
        <v>2443</v>
      </c>
      <c r="B18122" s="570">
        <v>572.30799999999999</v>
      </c>
      <c r="C18122" s="570">
        <v>211.76499999999999</v>
      </c>
    </row>
    <row r="18123" spans="1:3">
      <c r="A18123" s="569" t="s">
        <v>2443</v>
      </c>
      <c r="B18123" s="570">
        <v>745.64400000000001</v>
      </c>
      <c r="C18123" s="570">
        <v>243.137</v>
      </c>
    </row>
    <row r="18124" spans="1:3">
      <c r="A18124" s="569" t="s">
        <v>2443</v>
      </c>
      <c r="B18124" s="570">
        <v>851.10299999999995</v>
      </c>
      <c r="C18124" s="570">
        <v>245.09800000000001</v>
      </c>
    </row>
    <row r="18125" spans="1:3">
      <c r="A18125" s="569" t="s">
        <v>2443</v>
      </c>
      <c r="B18125" s="570">
        <v>1146.1600000000001</v>
      </c>
      <c r="C18125" s="570">
        <v>280.392</v>
      </c>
    </row>
    <row r="18126" spans="1:3">
      <c r="A18126" s="569" t="s">
        <v>2443</v>
      </c>
      <c r="B18126" s="570">
        <v>1569.25</v>
      </c>
      <c r="C18126" s="570">
        <v>317.64699999999999</v>
      </c>
    </row>
    <row r="18127" spans="1:3">
      <c r="A18127" s="569" t="s">
        <v>2443</v>
      </c>
      <c r="B18127" s="570">
        <v>2220.75</v>
      </c>
      <c r="C18127" s="570">
        <v>362.745</v>
      </c>
    </row>
    <row r="18128" spans="1:3">
      <c r="A18128" s="569" t="s">
        <v>2443</v>
      </c>
      <c r="B18128" s="570">
        <v>2620.0700000000002</v>
      </c>
      <c r="C18128" s="570">
        <v>388.23500000000001</v>
      </c>
    </row>
    <row r="18129" spans="1:3">
      <c r="A18129" s="571" t="s">
        <v>2445</v>
      </c>
      <c r="B18129" s="572">
        <v>0.98424599999999995</v>
      </c>
      <c r="C18129" s="572">
        <v>57.636899999999997</v>
      </c>
    </row>
    <row r="18130" spans="1:3">
      <c r="A18130" s="571" t="s">
        <v>2445</v>
      </c>
      <c r="B18130" s="572">
        <v>2.0433599999999998</v>
      </c>
      <c r="C18130" s="572">
        <v>55.331400000000002</v>
      </c>
    </row>
    <row r="18131" spans="1:3">
      <c r="A18131" s="571" t="s">
        <v>2445</v>
      </c>
      <c r="B18131" s="572">
        <v>2.9913099999999999</v>
      </c>
      <c r="C18131" s="572">
        <v>94.524500000000003</v>
      </c>
    </row>
    <row r="18132" spans="1:3">
      <c r="A18132" s="571" t="s">
        <v>2445</v>
      </c>
      <c r="B18132" s="572">
        <v>5.2148399999999997</v>
      </c>
      <c r="C18132" s="572">
        <v>147.55000000000001</v>
      </c>
    </row>
    <row r="18133" spans="1:3">
      <c r="A18133" s="571" t="s">
        <v>2445</v>
      </c>
      <c r="B18133" s="572">
        <v>23.201599999999999</v>
      </c>
      <c r="C18133" s="572">
        <v>378.09800000000001</v>
      </c>
    </row>
    <row r="18134" spans="1:3">
      <c r="A18134" s="571" t="s">
        <v>2445</v>
      </c>
      <c r="B18134" s="572">
        <v>32.903399999999998</v>
      </c>
      <c r="C18134" s="572">
        <v>359.654</v>
      </c>
    </row>
    <row r="18135" spans="1:3">
      <c r="A18135" s="573" t="s">
        <v>2445</v>
      </c>
      <c r="B18135" s="574">
        <v>130.99100000000001</v>
      </c>
      <c r="C18135" s="574">
        <v>368.87599999999998</v>
      </c>
    </row>
    <row r="18136" spans="1:3">
      <c r="A18136" s="573" t="s">
        <v>2445</v>
      </c>
      <c r="B18136" s="574">
        <v>194.83</v>
      </c>
      <c r="C18136" s="574">
        <v>401.15300000000002</v>
      </c>
    </row>
    <row r="18137" spans="1:3">
      <c r="A18137" s="573" t="s">
        <v>2445</v>
      </c>
      <c r="B18137" s="574">
        <v>280.72199999999998</v>
      </c>
      <c r="C18137" s="574">
        <v>419.59699999999998</v>
      </c>
    </row>
    <row r="18138" spans="1:3">
      <c r="A18138" s="573" t="s">
        <v>2445</v>
      </c>
      <c r="B18138" s="574">
        <v>431.005</v>
      </c>
      <c r="C18138" s="574">
        <v>442.65100000000001</v>
      </c>
    </row>
    <row r="18139" spans="1:3">
      <c r="A18139" s="569" t="s">
        <v>2445</v>
      </c>
      <c r="B18139" s="570">
        <v>555.68399999999997</v>
      </c>
      <c r="C18139" s="570">
        <v>477.233</v>
      </c>
    </row>
    <row r="18140" spans="1:3">
      <c r="A18140" s="569" t="s">
        <v>2445</v>
      </c>
      <c r="B18140" s="570">
        <v>788.04600000000005</v>
      </c>
      <c r="C18140" s="570">
        <v>486.45499999999998</v>
      </c>
    </row>
    <row r="18141" spans="1:3">
      <c r="A18141" s="569" t="s">
        <v>2445</v>
      </c>
      <c r="B18141" s="570">
        <v>1373.82</v>
      </c>
      <c r="C18141" s="570">
        <v>474.928</v>
      </c>
    </row>
    <row r="18142" spans="1:3">
      <c r="A18142" s="569" t="s">
        <v>2445</v>
      </c>
      <c r="B18142" s="570">
        <v>1771.23</v>
      </c>
      <c r="C18142" s="570">
        <v>521.03700000000003</v>
      </c>
    </row>
    <row r="18143" spans="1:3">
      <c r="A18143" s="569" t="s">
        <v>2445</v>
      </c>
      <c r="B18143" s="570">
        <v>2011.17</v>
      </c>
      <c r="C18143" s="570">
        <v>551.00900000000001</v>
      </c>
    </row>
    <row r="18144" spans="1:3">
      <c r="A18144" s="569" t="s">
        <v>2445</v>
      </c>
      <c r="B18144" s="570">
        <v>2552.09</v>
      </c>
      <c r="C18144" s="570">
        <v>553.31399999999996</v>
      </c>
    </row>
    <row r="18145" spans="1:3">
      <c r="A18145" s="571" t="s">
        <v>2447</v>
      </c>
      <c r="B18145" s="572">
        <v>1.06558</v>
      </c>
      <c r="C18145" s="572">
        <v>62.247799999999998</v>
      </c>
    </row>
    <row r="18146" spans="1:3">
      <c r="A18146" s="571" t="s">
        <v>2447</v>
      </c>
      <c r="B18146" s="572">
        <v>2.0111699999999999</v>
      </c>
      <c r="C18146" s="572">
        <v>25.360199999999999</v>
      </c>
    </row>
    <row r="18147" spans="1:3">
      <c r="A18147" s="571" t="s">
        <v>2447</v>
      </c>
      <c r="B18147" s="572">
        <v>6.2101699999999997</v>
      </c>
      <c r="C18147" s="572">
        <v>55.331400000000002</v>
      </c>
    </row>
    <row r="18148" spans="1:3">
      <c r="A18148" s="571" t="s">
        <v>2447</v>
      </c>
      <c r="B18148" s="572">
        <v>24.723099999999999</v>
      </c>
      <c r="C18148" s="572">
        <v>106.05200000000001</v>
      </c>
    </row>
    <row r="18149" spans="1:3">
      <c r="A18149" s="571" t="s">
        <v>2447</v>
      </c>
      <c r="B18149" s="572">
        <v>33.965200000000003</v>
      </c>
      <c r="C18149" s="572">
        <v>122.19</v>
      </c>
    </row>
    <row r="18150" spans="1:3">
      <c r="A18150" s="571" t="s">
        <v>2447</v>
      </c>
      <c r="B18150" s="572">
        <v>61.1233</v>
      </c>
      <c r="C18150" s="572">
        <v>142.93899999999999</v>
      </c>
    </row>
    <row r="18151" spans="1:3">
      <c r="A18151" s="571" t="s">
        <v>2447</v>
      </c>
      <c r="B18151" s="572">
        <v>77.563100000000006</v>
      </c>
      <c r="C18151" s="572">
        <v>149.85599999999999</v>
      </c>
    </row>
    <row r="18152" spans="1:3">
      <c r="A18152" s="571" t="s">
        <v>2447</v>
      </c>
      <c r="B18152" s="572">
        <v>86.682400000000001</v>
      </c>
      <c r="C18152" s="572">
        <v>175.21600000000001</v>
      </c>
    </row>
    <row r="18153" spans="1:3">
      <c r="A18153" s="573" t="s">
        <v>2447</v>
      </c>
      <c r="B18153" s="574">
        <v>122.929</v>
      </c>
      <c r="C18153" s="574">
        <v>175.21600000000001</v>
      </c>
    </row>
    <row r="18154" spans="1:3">
      <c r="A18154" s="573" t="s">
        <v>2447</v>
      </c>
      <c r="B18154" s="574">
        <v>188.739</v>
      </c>
      <c r="C18154" s="574">
        <v>179.827</v>
      </c>
    </row>
    <row r="18155" spans="1:3">
      <c r="A18155" s="573" t="s">
        <v>2447</v>
      </c>
      <c r="B18155" s="574">
        <v>276.29899999999998</v>
      </c>
      <c r="C18155" s="574">
        <v>216.715</v>
      </c>
    </row>
    <row r="18156" spans="1:3">
      <c r="A18156" s="569" t="s">
        <v>2447</v>
      </c>
      <c r="B18156" s="570">
        <v>573.61500000000001</v>
      </c>
      <c r="C18156" s="570">
        <v>207.49299999999999</v>
      </c>
    </row>
    <row r="18157" spans="1:3">
      <c r="A18157" s="569" t="s">
        <v>2447</v>
      </c>
      <c r="B18157" s="570">
        <v>694.03200000000004</v>
      </c>
      <c r="C18157" s="570">
        <v>216.715</v>
      </c>
    </row>
    <row r="18158" spans="1:3">
      <c r="A18158" s="569" t="s">
        <v>2447</v>
      </c>
      <c r="B18158" s="570">
        <v>923.67100000000005</v>
      </c>
      <c r="C18158" s="570">
        <v>237.464</v>
      </c>
    </row>
    <row r="18159" spans="1:3">
      <c r="A18159" s="569" t="s">
        <v>2447</v>
      </c>
      <c r="B18159" s="570">
        <v>1309.9100000000001</v>
      </c>
      <c r="C18159" s="570">
        <v>253.602</v>
      </c>
    </row>
    <row r="18160" spans="1:3">
      <c r="A18160" s="569" t="s">
        <v>2447</v>
      </c>
      <c r="B18160" s="570">
        <v>1715.86</v>
      </c>
      <c r="C18160" s="570">
        <v>276.65699999999998</v>
      </c>
    </row>
    <row r="18161" spans="1:3">
      <c r="A18161" s="569" t="s">
        <v>2447</v>
      </c>
      <c r="B18161" s="570">
        <v>1979.48</v>
      </c>
      <c r="C18161" s="570">
        <v>292.79500000000002</v>
      </c>
    </row>
    <row r="18162" spans="1:3">
      <c r="A18162" s="569" t="s">
        <v>2447</v>
      </c>
      <c r="B18162" s="570">
        <v>2283.6</v>
      </c>
      <c r="C18162" s="570">
        <v>311.23899999999998</v>
      </c>
    </row>
    <row r="18163" spans="1:3">
      <c r="A18163" s="571" t="s">
        <v>2449</v>
      </c>
      <c r="B18163" s="572">
        <v>1.0487899999999999</v>
      </c>
      <c r="C18163" s="572">
        <v>64.553299999999993</v>
      </c>
    </row>
    <row r="18164" spans="1:3">
      <c r="A18164" s="571" t="s">
        <v>2449</v>
      </c>
      <c r="B18164" s="572">
        <v>3.13727</v>
      </c>
      <c r="C18164" s="572">
        <v>20.749300000000002</v>
      </c>
    </row>
    <row r="18165" spans="1:3">
      <c r="A18165" s="571" t="s">
        <v>2449</v>
      </c>
      <c r="B18165" s="572">
        <v>13.9581</v>
      </c>
      <c r="C18165" s="572">
        <v>76.080699999999993</v>
      </c>
    </row>
    <row r="18166" spans="1:3">
      <c r="A18166" s="571" t="s">
        <v>2449</v>
      </c>
      <c r="B18166" s="572">
        <v>61.1233</v>
      </c>
      <c r="C18166" s="572">
        <v>154.46700000000001</v>
      </c>
    </row>
    <row r="18167" spans="1:3">
      <c r="A18167" s="571" t="s">
        <v>2449</v>
      </c>
      <c r="B18167" s="572">
        <v>67.233599999999996</v>
      </c>
      <c r="C18167" s="572">
        <v>119.88500000000001</v>
      </c>
    </row>
    <row r="18168" spans="1:3">
      <c r="A18168" s="573" t="s">
        <v>2449</v>
      </c>
      <c r="B18168" s="574">
        <v>128.92699999999999</v>
      </c>
      <c r="C18168" s="574">
        <v>142.93899999999999</v>
      </c>
    </row>
    <row r="18169" spans="1:3">
      <c r="A18169" s="573" t="s">
        <v>2449</v>
      </c>
      <c r="B18169" s="574">
        <v>185.76599999999999</v>
      </c>
      <c r="C18169" s="574">
        <v>142.93899999999999</v>
      </c>
    </row>
    <row r="18170" spans="1:3">
      <c r="A18170" s="573" t="s">
        <v>2449</v>
      </c>
      <c r="B18170" s="574">
        <v>263.44499999999999</v>
      </c>
      <c r="C18170" s="574">
        <v>168.3</v>
      </c>
    </row>
    <row r="18171" spans="1:3">
      <c r="A18171" s="573" t="s">
        <v>2449</v>
      </c>
      <c r="B18171" s="574">
        <v>391.83499999999998</v>
      </c>
      <c r="C18171" s="574">
        <v>228.24199999999999</v>
      </c>
    </row>
    <row r="18172" spans="1:3">
      <c r="A18172" s="569" t="s">
        <v>2449</v>
      </c>
      <c r="B18172" s="570">
        <v>546.92899999999997</v>
      </c>
      <c r="C18172" s="570">
        <v>195.965</v>
      </c>
    </row>
    <row r="18173" spans="1:3">
      <c r="A18173" s="569" t="s">
        <v>2449</v>
      </c>
      <c r="B18173" s="570">
        <v>694.03200000000004</v>
      </c>
      <c r="C18173" s="570">
        <v>202.88200000000001</v>
      </c>
    </row>
    <row r="18174" spans="1:3">
      <c r="A18174" s="569" t="s">
        <v>2449</v>
      </c>
      <c r="B18174" s="570">
        <v>880.69899999999996</v>
      </c>
      <c r="C18174" s="570">
        <v>230.548</v>
      </c>
    </row>
    <row r="18175" spans="1:3">
      <c r="A18175" s="569" t="s">
        <v>2449</v>
      </c>
      <c r="B18175" s="570">
        <v>1135.46</v>
      </c>
      <c r="C18175" s="570">
        <v>265.13</v>
      </c>
    </row>
    <row r="18176" spans="1:3">
      <c r="A18176" s="569" t="s">
        <v>2449</v>
      </c>
      <c r="B18176" s="570">
        <v>1610.26</v>
      </c>
      <c r="C18176" s="570">
        <v>302.017</v>
      </c>
    </row>
    <row r="18177" spans="1:3">
      <c r="A18177" s="569" t="s">
        <v>2449</v>
      </c>
      <c r="B18177" s="570">
        <v>2043.36</v>
      </c>
      <c r="C18177" s="570">
        <v>343.51600000000002</v>
      </c>
    </row>
    <row r="18178" spans="1:3">
      <c r="A18178" s="569" t="s">
        <v>2449</v>
      </c>
      <c r="B18178" s="570">
        <v>2472.31</v>
      </c>
      <c r="C18178" s="570">
        <v>371.18200000000002</v>
      </c>
    </row>
    <row r="18179" spans="1:3">
      <c r="A18179" s="571" t="s">
        <v>2451</v>
      </c>
      <c r="B18179" s="572">
        <v>0.96873900000000002</v>
      </c>
      <c r="C18179" s="572">
        <v>57.636899999999997</v>
      </c>
    </row>
    <row r="18180" spans="1:3">
      <c r="A18180" s="571" t="s">
        <v>2451</v>
      </c>
      <c r="B18180" s="572">
        <v>1.9482999999999999</v>
      </c>
      <c r="C18180" s="572">
        <v>96.83</v>
      </c>
    </row>
    <row r="18181" spans="1:3">
      <c r="A18181" s="571" t="s">
        <v>2451</v>
      </c>
      <c r="B18181" s="572">
        <v>4.1753200000000001</v>
      </c>
      <c r="C18181" s="572">
        <v>140.63399999999999</v>
      </c>
    </row>
    <row r="18182" spans="1:3">
      <c r="A18182" s="571" t="s">
        <v>2451</v>
      </c>
      <c r="B18182" s="572">
        <v>15.3535</v>
      </c>
      <c r="C18182" s="572">
        <v>368.87599999999998</v>
      </c>
    </row>
    <row r="18183" spans="1:3">
      <c r="A18183" s="573" t="s">
        <v>2451</v>
      </c>
      <c r="B18183" s="574">
        <v>126.896</v>
      </c>
      <c r="C18183" s="574">
        <v>417.291</v>
      </c>
    </row>
    <row r="18184" spans="1:3">
      <c r="A18184" s="573" t="s">
        <v>2451</v>
      </c>
      <c r="B18184" s="574">
        <v>179.959</v>
      </c>
      <c r="C18184" s="574">
        <v>458.79</v>
      </c>
    </row>
    <row r="18185" spans="1:3">
      <c r="A18185" s="573" t="s">
        <v>2451</v>
      </c>
      <c r="B18185" s="574">
        <v>259.29399999999998</v>
      </c>
      <c r="C18185" s="574">
        <v>477.233</v>
      </c>
    </row>
    <row r="18186" spans="1:3">
      <c r="A18186" s="573" t="s">
        <v>2451</v>
      </c>
      <c r="B18186" s="574">
        <v>404.48</v>
      </c>
      <c r="C18186" s="574">
        <v>502.59399999999999</v>
      </c>
    </row>
    <row r="18187" spans="1:3">
      <c r="A18187" s="569" t="s">
        <v>2451</v>
      </c>
      <c r="B18187" s="570">
        <v>573.61500000000001</v>
      </c>
      <c r="C18187" s="570">
        <v>539.48099999999999</v>
      </c>
    </row>
    <row r="18188" spans="1:3">
      <c r="A18188" s="569" t="s">
        <v>2451</v>
      </c>
      <c r="B18188" s="570">
        <v>853.16800000000001</v>
      </c>
      <c r="C18188" s="570">
        <v>574.06299999999999</v>
      </c>
    </row>
    <row r="18189" spans="1:3">
      <c r="A18189" s="569" t="s">
        <v>2451</v>
      </c>
      <c r="B18189" s="570">
        <v>1209.93</v>
      </c>
      <c r="C18189" s="570">
        <v>514.12099999999998</v>
      </c>
    </row>
    <row r="18190" spans="1:3">
      <c r="A18190" s="569" t="s">
        <v>2451</v>
      </c>
      <c r="B18190" s="570">
        <v>1688.83</v>
      </c>
      <c r="C18190" s="570">
        <v>599.42399999999998</v>
      </c>
    </row>
    <row r="18191" spans="1:3">
      <c r="A18191" s="569" t="s">
        <v>2451</v>
      </c>
      <c r="B18191" s="570">
        <v>2472.31</v>
      </c>
      <c r="C18191" s="570">
        <v>604.03499999999997</v>
      </c>
    </row>
    <row r="18192" spans="1:3">
      <c r="A18192" s="571" t="s">
        <v>2453</v>
      </c>
      <c r="B18192" s="572">
        <v>0.98424599999999995</v>
      </c>
      <c r="C18192" s="572">
        <v>53.0259</v>
      </c>
    </row>
    <row r="18193" spans="1:3">
      <c r="A18193" s="571" t="s">
        <v>2453</v>
      </c>
      <c r="B18193" s="572">
        <v>1.9794799999999999</v>
      </c>
      <c r="C18193" s="572">
        <v>126.801</v>
      </c>
    </row>
    <row r="18194" spans="1:3">
      <c r="A18194" s="571" t="s">
        <v>2453</v>
      </c>
      <c r="B18194" s="572">
        <v>2.9913099999999999</v>
      </c>
      <c r="C18194" s="572">
        <v>165.994</v>
      </c>
    </row>
    <row r="18195" spans="1:3">
      <c r="A18195" s="571" t="s">
        <v>2453</v>
      </c>
      <c r="B18195" s="572">
        <v>5.0518200000000002</v>
      </c>
      <c r="C18195" s="572">
        <v>205.18700000000001</v>
      </c>
    </row>
    <row r="18196" spans="1:3">
      <c r="A18196" s="571" t="s">
        <v>2453</v>
      </c>
      <c r="B18196" s="572">
        <v>8.9479600000000001</v>
      </c>
      <c r="C18196" s="572">
        <v>336.59899999999999</v>
      </c>
    </row>
    <row r="18197" spans="1:3">
      <c r="A18197" s="571" t="s">
        <v>2453</v>
      </c>
      <c r="B18197" s="572">
        <v>28.072199999999999</v>
      </c>
      <c r="C18197" s="572">
        <v>424.20699999999999</v>
      </c>
    </row>
    <row r="18198" spans="1:3">
      <c r="A18198" s="573" t="s">
        <v>2453</v>
      </c>
      <c r="B18198" s="574">
        <v>126.896</v>
      </c>
      <c r="C18198" s="574">
        <v>433.42899999999997</v>
      </c>
    </row>
    <row r="18199" spans="1:3">
      <c r="A18199" s="573" t="s">
        <v>2453</v>
      </c>
      <c r="B18199" s="574">
        <v>177.12299999999999</v>
      </c>
      <c r="C18199" s="574">
        <v>463.40100000000001</v>
      </c>
    </row>
    <row r="18200" spans="1:3">
      <c r="A18200" s="573" t="s">
        <v>2453</v>
      </c>
      <c r="B18200" s="574">
        <v>267.66199999999998</v>
      </c>
      <c r="C18200" s="574">
        <v>493.37200000000001</v>
      </c>
    </row>
    <row r="18201" spans="1:3">
      <c r="A18201" s="573" t="s">
        <v>2453</v>
      </c>
      <c r="B18201" s="574">
        <v>424.21499999999997</v>
      </c>
      <c r="C18201" s="574">
        <v>495.67700000000002</v>
      </c>
    </row>
    <row r="18202" spans="1:3">
      <c r="A18202" s="569" t="s">
        <v>2453</v>
      </c>
      <c r="B18202" s="570">
        <v>538.31299999999999</v>
      </c>
      <c r="C18202" s="570">
        <v>530.25900000000001</v>
      </c>
    </row>
    <row r="18203" spans="1:3">
      <c r="A18203" s="569" t="s">
        <v>2453</v>
      </c>
      <c r="B18203" s="570">
        <v>788.04600000000005</v>
      </c>
      <c r="C18203" s="570">
        <v>548.70299999999997</v>
      </c>
    </row>
    <row r="18204" spans="1:3">
      <c r="A18204" s="569" t="s">
        <v>2453</v>
      </c>
      <c r="B18204" s="570">
        <v>1330.88</v>
      </c>
      <c r="C18204" s="570">
        <v>562.53599999999994</v>
      </c>
    </row>
    <row r="18205" spans="1:3">
      <c r="A18205" s="569" t="s">
        <v>2453</v>
      </c>
      <c r="B18205" s="570">
        <v>1688.83</v>
      </c>
      <c r="C18205" s="570">
        <v>594.81299999999999</v>
      </c>
    </row>
    <row r="18206" spans="1:3">
      <c r="A18206" s="569" t="s">
        <v>2453</v>
      </c>
      <c r="B18206" s="570">
        <v>2433.36</v>
      </c>
      <c r="C18206" s="570">
        <v>610.95100000000002</v>
      </c>
    </row>
    <row r="18207" spans="1:3">
      <c r="A18207" s="571" t="s">
        <v>2455</v>
      </c>
      <c r="B18207" s="572">
        <v>4.06698</v>
      </c>
      <c r="C18207" s="572">
        <v>119.726</v>
      </c>
    </row>
    <row r="18208" spans="1:3">
      <c r="A18208" s="571" t="s">
        <v>2455</v>
      </c>
      <c r="B18208" s="572">
        <v>7.7164400000000004</v>
      </c>
      <c r="C18208" s="572">
        <v>216.113</v>
      </c>
    </row>
    <row r="18209" spans="1:3">
      <c r="A18209" s="571" t="s">
        <v>2455</v>
      </c>
      <c r="B18209" s="572">
        <v>27.778500000000001</v>
      </c>
      <c r="C18209" s="572">
        <v>387.85300000000001</v>
      </c>
    </row>
    <row r="18210" spans="1:3">
      <c r="A18210" s="571" t="s">
        <v>2455</v>
      </c>
      <c r="B18210" s="572">
        <v>60.458399999999997</v>
      </c>
      <c r="C18210" s="572">
        <v>390.161</v>
      </c>
    </row>
    <row r="18211" spans="1:3">
      <c r="A18211" s="573" t="s">
        <v>2455</v>
      </c>
      <c r="B18211" s="574">
        <v>129.59299999999999</v>
      </c>
      <c r="C18211" s="574">
        <v>407.96499999999997</v>
      </c>
    </row>
    <row r="18212" spans="1:3">
      <c r="A18212" s="573" t="s">
        <v>2455</v>
      </c>
      <c r="B18212" s="574">
        <v>204.76599999999999</v>
      </c>
      <c r="C18212" s="574">
        <v>458.94200000000001</v>
      </c>
    </row>
    <row r="18213" spans="1:3">
      <c r="A18213" s="573" t="s">
        <v>2455</v>
      </c>
      <c r="B18213" s="574">
        <v>245.88300000000001</v>
      </c>
      <c r="C18213" s="574">
        <v>412.47</v>
      </c>
    </row>
    <row r="18214" spans="1:3">
      <c r="A18214" s="573" t="s">
        <v>2455</v>
      </c>
      <c r="B18214" s="574">
        <v>400.54300000000001</v>
      </c>
      <c r="C18214" s="574">
        <v>413.63499999999999</v>
      </c>
    </row>
    <row r="18215" spans="1:3">
      <c r="A18215" s="573" t="s">
        <v>2455</v>
      </c>
      <c r="B18215" s="574">
        <v>495.86599999999999</v>
      </c>
      <c r="C18215" s="574">
        <v>438.01499999999999</v>
      </c>
    </row>
    <row r="18216" spans="1:3">
      <c r="A18216" s="569" t="s">
        <v>2455</v>
      </c>
      <c r="B18216" s="570">
        <v>642.60900000000004</v>
      </c>
      <c r="C18216" s="570">
        <v>436.93900000000002</v>
      </c>
    </row>
    <row r="18217" spans="1:3">
      <c r="A18217" s="569" t="s">
        <v>2455</v>
      </c>
      <c r="B18217" s="570">
        <v>771.64400000000001</v>
      </c>
      <c r="C18217" s="570">
        <v>444.71100000000001</v>
      </c>
    </row>
    <row r="18218" spans="1:3">
      <c r="A18218" s="569" t="s">
        <v>2455</v>
      </c>
      <c r="B18218" s="570">
        <v>984.86699999999996</v>
      </c>
      <c r="C18218" s="570">
        <v>469.09399999999999</v>
      </c>
    </row>
    <row r="18219" spans="1:3">
      <c r="A18219" s="569" t="s">
        <v>2455</v>
      </c>
      <c r="B18219" s="570">
        <v>1398.61</v>
      </c>
      <c r="C18219" s="570">
        <v>444.78199999999998</v>
      </c>
    </row>
    <row r="18220" spans="1:3">
      <c r="A18220" s="569" t="s">
        <v>2455</v>
      </c>
      <c r="B18220" s="570">
        <v>2653.63</v>
      </c>
      <c r="C18220" s="570">
        <v>475.85500000000002</v>
      </c>
    </row>
    <row r="18221" spans="1:3">
      <c r="A18221" s="571" t="s">
        <v>2457</v>
      </c>
      <c r="B18221" s="572">
        <v>2.0428199999999999</v>
      </c>
      <c r="C18221" s="572">
        <v>10.943899999999999</v>
      </c>
    </row>
    <row r="18222" spans="1:3">
      <c r="A18222" s="571" t="s">
        <v>2457</v>
      </c>
      <c r="B18222" s="572">
        <v>85.9</v>
      </c>
      <c r="C18222" s="572">
        <v>203.511</v>
      </c>
    </row>
    <row r="18223" spans="1:3">
      <c r="A18223" s="573" t="s">
        <v>2457</v>
      </c>
      <c r="B18223" s="574">
        <v>109.548</v>
      </c>
      <c r="C18223" s="574">
        <v>232.15799999999999</v>
      </c>
    </row>
    <row r="18224" spans="1:3">
      <c r="A18224" s="573" t="s">
        <v>2457</v>
      </c>
      <c r="B18224" s="574">
        <v>189.334</v>
      </c>
      <c r="C18224" s="574">
        <v>274.00400000000002</v>
      </c>
    </row>
    <row r="18225" spans="1:3">
      <c r="A18225" s="573" t="s">
        <v>2457</v>
      </c>
      <c r="B18225" s="574">
        <v>230.69399999999999</v>
      </c>
      <c r="C18225" s="574">
        <v>281.70100000000002</v>
      </c>
    </row>
    <row r="18226" spans="1:3">
      <c r="A18226" s="573" t="s">
        <v>2457</v>
      </c>
      <c r="B18226" s="574">
        <v>294.20299999999997</v>
      </c>
      <c r="C18226" s="574">
        <v>331.30500000000001</v>
      </c>
    </row>
    <row r="18227" spans="1:3">
      <c r="A18227" s="573" t="s">
        <v>2457</v>
      </c>
      <c r="B18227" s="574">
        <v>464.15899999999999</v>
      </c>
      <c r="C18227" s="574">
        <v>354.41199999999998</v>
      </c>
    </row>
    <row r="18228" spans="1:3">
      <c r="A18228" s="569" t="s">
        <v>2457</v>
      </c>
      <c r="B18228" s="570">
        <v>678.70799999999997</v>
      </c>
      <c r="C18228" s="570">
        <v>365.39600000000002</v>
      </c>
    </row>
    <row r="18229" spans="1:3">
      <c r="A18229" s="569" t="s">
        <v>2457</v>
      </c>
      <c r="B18229" s="570">
        <v>802.21400000000006</v>
      </c>
      <c r="C18229" s="570">
        <v>387.43400000000003</v>
      </c>
    </row>
    <row r="18230" spans="1:3">
      <c r="A18230" s="569" t="s">
        <v>2457</v>
      </c>
      <c r="B18230" s="570">
        <v>852.49699999999996</v>
      </c>
      <c r="C18230" s="570">
        <v>391.839</v>
      </c>
    </row>
    <row r="18231" spans="1:3">
      <c r="A18231" s="569" t="s">
        <v>2457</v>
      </c>
      <c r="B18231" s="570">
        <v>1227.75</v>
      </c>
      <c r="C18231" s="570">
        <v>385.178</v>
      </c>
    </row>
    <row r="18232" spans="1:3">
      <c r="A18232" s="569" t="s">
        <v>2457</v>
      </c>
      <c r="B18232" s="570">
        <v>2058.41</v>
      </c>
      <c r="C18232" s="570">
        <v>428.13</v>
      </c>
    </row>
    <row r="18233" spans="1:3">
      <c r="A18233" s="569" t="s">
        <v>2457</v>
      </c>
      <c r="B18233" s="570">
        <v>2919.76</v>
      </c>
      <c r="C18233" s="570">
        <v>460.07400000000001</v>
      </c>
    </row>
    <row r="18234" spans="1:3">
      <c r="A18234" s="571" t="s">
        <v>2459</v>
      </c>
      <c r="B18234" s="572">
        <v>20.273599999999998</v>
      </c>
      <c r="C18234" s="572">
        <v>61.404299999999999</v>
      </c>
    </row>
    <row r="18235" spans="1:3">
      <c r="A18235" s="571" t="s">
        <v>2459</v>
      </c>
      <c r="B18235" s="572">
        <v>72.675200000000004</v>
      </c>
      <c r="C18235" s="572">
        <v>185.88399999999999</v>
      </c>
    </row>
    <row r="18236" spans="1:3">
      <c r="A18236" s="573" t="s">
        <v>2459</v>
      </c>
      <c r="B18236" s="574">
        <v>100</v>
      </c>
      <c r="C18236" s="574">
        <v>216.72800000000001</v>
      </c>
    </row>
    <row r="18237" spans="1:3">
      <c r="A18237" s="573" t="s">
        <v>2459</v>
      </c>
      <c r="B18237" s="574">
        <v>160.184</v>
      </c>
      <c r="C18237" s="574">
        <v>269.613</v>
      </c>
    </row>
    <row r="18238" spans="1:3">
      <c r="A18238" s="573" t="s">
        <v>2459</v>
      </c>
      <c r="B18238" s="574">
        <v>227.214</v>
      </c>
      <c r="C18238" s="574">
        <v>257.43799999999999</v>
      </c>
    </row>
    <row r="18239" spans="1:3">
      <c r="A18239" s="573" t="s">
        <v>2459</v>
      </c>
      <c r="B18239" s="574">
        <v>281.08999999999997</v>
      </c>
      <c r="C18239" s="574">
        <v>283.88400000000001</v>
      </c>
    </row>
    <row r="18240" spans="1:3">
      <c r="A18240" s="573" t="s">
        <v>2459</v>
      </c>
      <c r="B18240" s="574">
        <v>457.15800000000002</v>
      </c>
      <c r="C18240" s="574">
        <v>289.33999999999997</v>
      </c>
    </row>
    <row r="18241" spans="1:3">
      <c r="A18241" s="569" t="s">
        <v>2459</v>
      </c>
      <c r="B18241" s="570">
        <v>648.45699999999999</v>
      </c>
      <c r="C18241" s="570">
        <v>297.01900000000001</v>
      </c>
    </row>
    <row r="18242" spans="1:3">
      <c r="A18242" s="569" t="s">
        <v>2459</v>
      </c>
      <c r="B18242" s="570">
        <v>778.19600000000003</v>
      </c>
      <c r="C18242" s="570">
        <v>303.61500000000001</v>
      </c>
    </row>
    <row r="18243" spans="1:3">
      <c r="A18243" s="569" t="s">
        <v>2459</v>
      </c>
      <c r="B18243" s="570">
        <v>1120.74</v>
      </c>
      <c r="C18243" s="570">
        <v>366.43900000000002</v>
      </c>
    </row>
    <row r="18244" spans="1:3">
      <c r="A18244" s="569" t="s">
        <v>2459</v>
      </c>
      <c r="B18244" s="570">
        <v>1542.12</v>
      </c>
      <c r="C18244" s="570">
        <v>391.76799999999997</v>
      </c>
    </row>
    <row r="18245" spans="1:3">
      <c r="A18245" s="569" t="s">
        <v>2459</v>
      </c>
      <c r="B18245" s="570">
        <v>2832.34</v>
      </c>
      <c r="C18245" s="570">
        <v>406.03300000000002</v>
      </c>
    </row>
    <row r="18246" spans="1:3">
      <c r="A18246" s="571" t="s">
        <v>2461</v>
      </c>
      <c r="B18246" s="572">
        <v>38.9726</v>
      </c>
      <c r="C18246" s="572">
        <v>102.13500000000001</v>
      </c>
    </row>
    <row r="18247" spans="1:3">
      <c r="A18247" s="571" t="s">
        <v>2461</v>
      </c>
      <c r="B18247" s="572">
        <v>95.5428</v>
      </c>
      <c r="C18247" s="572">
        <v>163.792</v>
      </c>
    </row>
    <row r="18248" spans="1:3">
      <c r="A18248" s="573" t="s">
        <v>2461</v>
      </c>
      <c r="B18248" s="574">
        <v>157.768</v>
      </c>
      <c r="C18248" s="574">
        <v>190.203</v>
      </c>
    </row>
    <row r="18249" spans="1:3">
      <c r="A18249" s="573" t="s">
        <v>2461</v>
      </c>
      <c r="B18249" s="574">
        <v>180.89500000000001</v>
      </c>
      <c r="C18249" s="574">
        <v>194.59800000000001</v>
      </c>
    </row>
    <row r="18250" spans="1:3">
      <c r="A18250" s="573" t="s">
        <v>2461</v>
      </c>
      <c r="B18250" s="574">
        <v>245.154</v>
      </c>
      <c r="C18250" s="574">
        <v>225.44399999999999</v>
      </c>
    </row>
    <row r="18251" spans="1:3">
      <c r="A18251" s="573" t="s">
        <v>2461</v>
      </c>
      <c r="B18251" s="574">
        <v>298.70800000000003</v>
      </c>
      <c r="C18251" s="574">
        <v>184.61199999999999</v>
      </c>
    </row>
    <row r="18252" spans="1:3">
      <c r="A18252" s="573" t="s">
        <v>2461</v>
      </c>
      <c r="B18252" s="574">
        <v>380.94099999999997</v>
      </c>
      <c r="C18252" s="574">
        <v>229.803</v>
      </c>
    </row>
    <row r="18253" spans="1:3">
      <c r="A18253" s="569" t="s">
        <v>2461</v>
      </c>
      <c r="B18253" s="570">
        <v>524.16999999999996</v>
      </c>
      <c r="C18253" s="570">
        <v>255.13200000000001</v>
      </c>
    </row>
    <row r="18254" spans="1:3">
      <c r="A18254" s="569" t="s">
        <v>2461</v>
      </c>
      <c r="B18254" s="570">
        <v>790.11400000000003</v>
      </c>
      <c r="C18254" s="570">
        <v>276.03899999999999</v>
      </c>
    </row>
    <row r="18255" spans="1:3">
      <c r="A18255" s="569" t="s">
        <v>2461</v>
      </c>
      <c r="B18255" s="570">
        <v>865.553</v>
      </c>
      <c r="C18255" s="570">
        <v>291.46899999999999</v>
      </c>
    </row>
    <row r="18256" spans="1:3">
      <c r="A18256" s="569" t="s">
        <v>2461</v>
      </c>
      <c r="B18256" s="570">
        <v>1429.27</v>
      </c>
      <c r="C18256" s="570">
        <v>316.77699999999999</v>
      </c>
    </row>
    <row r="18257" spans="1:3">
      <c r="A18257" s="569" t="s">
        <v>2461</v>
      </c>
      <c r="B18257" s="570">
        <v>1518.86</v>
      </c>
      <c r="C18257" s="570">
        <v>367.505</v>
      </c>
    </row>
    <row r="18258" spans="1:3">
      <c r="A18258" s="569" t="s">
        <v>2461</v>
      </c>
      <c r="B18258" s="570">
        <v>1907.78</v>
      </c>
      <c r="C18258" s="570">
        <v>406.08100000000002</v>
      </c>
    </row>
    <row r="18259" spans="1:3">
      <c r="A18259" s="569" t="s">
        <v>2461</v>
      </c>
      <c r="B18259" s="570">
        <v>2220.9299999999998</v>
      </c>
      <c r="C18259" s="570">
        <v>389.51799999999997</v>
      </c>
    </row>
    <row r="18260" spans="1:3">
      <c r="A18260" s="569" t="s">
        <v>2461</v>
      </c>
      <c r="B18260" s="570">
        <v>2832.34</v>
      </c>
      <c r="C18260" s="570">
        <v>460.07799999999997</v>
      </c>
    </row>
    <row r="18261" spans="1:3">
      <c r="A18261" s="571" t="s">
        <v>2463</v>
      </c>
      <c r="B18261" s="572">
        <v>2.01667</v>
      </c>
      <c r="C18261" s="572">
        <v>42.150700000000001</v>
      </c>
    </row>
    <row r="18262" spans="1:3">
      <c r="A18262" s="571" t="s">
        <v>2463</v>
      </c>
      <c r="B18262" s="572">
        <v>3.04399</v>
      </c>
      <c r="C18262" s="572">
        <v>83.159599999999998</v>
      </c>
    </row>
    <row r="18263" spans="1:3">
      <c r="A18263" s="571" t="s">
        <v>2463</v>
      </c>
      <c r="B18263" s="572">
        <v>3.9448099999999999</v>
      </c>
      <c r="C18263" s="572">
        <v>134.113</v>
      </c>
    </row>
    <row r="18264" spans="1:3">
      <c r="A18264" s="571" t="s">
        <v>2463</v>
      </c>
      <c r="B18264" s="572">
        <v>7.9554</v>
      </c>
      <c r="C18264" s="572">
        <v>213.90199999999999</v>
      </c>
    </row>
    <row r="18265" spans="1:3">
      <c r="A18265" s="571" t="s">
        <v>2463</v>
      </c>
      <c r="B18265" s="572">
        <v>21.435099999999998</v>
      </c>
      <c r="C18265" s="572">
        <v>314.76</v>
      </c>
    </row>
    <row r="18266" spans="1:3">
      <c r="A18266" s="571" t="s">
        <v>2463</v>
      </c>
      <c r="B18266" s="572">
        <v>53.5152</v>
      </c>
      <c r="C18266" s="572">
        <v>345.86599999999999</v>
      </c>
    </row>
    <row r="18267" spans="1:3">
      <c r="A18267" s="573" t="s">
        <v>2463</v>
      </c>
      <c r="B18267" s="574">
        <v>123.798</v>
      </c>
      <c r="C18267" s="574">
        <v>345.96699999999998</v>
      </c>
    </row>
    <row r="18268" spans="1:3">
      <c r="A18268" s="573" t="s">
        <v>2463</v>
      </c>
      <c r="B18268" s="574">
        <v>153.261</v>
      </c>
      <c r="C18268" s="574">
        <v>402.45</v>
      </c>
    </row>
    <row r="18269" spans="1:3">
      <c r="A18269" s="573" t="s">
        <v>2463</v>
      </c>
      <c r="B18269" s="574">
        <v>184.035</v>
      </c>
      <c r="C18269" s="574">
        <v>433.46800000000002</v>
      </c>
    </row>
    <row r="18270" spans="1:3">
      <c r="A18270" s="573" t="s">
        <v>2463</v>
      </c>
      <c r="B18270" s="574">
        <v>234.88800000000001</v>
      </c>
      <c r="C18270" s="574">
        <v>379.25400000000002</v>
      </c>
    </row>
    <row r="18271" spans="1:3">
      <c r="A18271" s="573" t="s">
        <v>2463</v>
      </c>
      <c r="B18271" s="574">
        <v>406.69799999999998</v>
      </c>
      <c r="C18271" s="574">
        <v>402.56700000000001</v>
      </c>
    </row>
    <row r="18272" spans="1:3">
      <c r="A18272" s="573" t="s">
        <v>2463</v>
      </c>
      <c r="B18272" s="574">
        <v>480.971</v>
      </c>
      <c r="C18272" s="574">
        <v>409.22899999999998</v>
      </c>
    </row>
    <row r="18273" spans="1:3">
      <c r="A18273" s="569" t="s">
        <v>2463</v>
      </c>
      <c r="B18273" s="570">
        <v>642.60900000000004</v>
      </c>
      <c r="C18273" s="570">
        <v>422.548</v>
      </c>
    </row>
    <row r="18274" spans="1:3">
      <c r="A18274" s="569" t="s">
        <v>2463</v>
      </c>
      <c r="B18274" s="570">
        <v>737.13900000000001</v>
      </c>
      <c r="C18274" s="570">
        <v>434.74200000000002</v>
      </c>
    </row>
    <row r="18275" spans="1:3">
      <c r="A18275" s="569" t="s">
        <v>2463</v>
      </c>
      <c r="B18275" s="570">
        <v>969.96299999999997</v>
      </c>
      <c r="C18275" s="570">
        <v>439.20299999999997</v>
      </c>
    </row>
    <row r="18276" spans="1:3">
      <c r="A18276" s="569" t="s">
        <v>2463</v>
      </c>
      <c r="B18276" s="570">
        <v>1356.6</v>
      </c>
      <c r="C18276" s="570">
        <v>421.53100000000001</v>
      </c>
    </row>
    <row r="18277" spans="1:3">
      <c r="A18277" s="569" t="s">
        <v>2463</v>
      </c>
      <c r="B18277" s="570">
        <v>1868.63</v>
      </c>
      <c r="C18277" s="570">
        <v>444.81700000000001</v>
      </c>
    </row>
    <row r="18278" spans="1:3">
      <c r="A18278" s="571" t="s">
        <v>2465</v>
      </c>
      <c r="B18278" s="572">
        <v>2.04766</v>
      </c>
      <c r="C18278" s="572">
        <v>67.613799999999998</v>
      </c>
    </row>
    <row r="18279" spans="1:3">
      <c r="A18279" s="571" t="s">
        <v>2465</v>
      </c>
      <c r="B18279" s="572">
        <v>4.8836199999999996</v>
      </c>
      <c r="C18279" s="572">
        <v>170.67</v>
      </c>
    </row>
    <row r="18280" spans="1:3">
      <c r="A18280" s="571" t="s">
        <v>2465</v>
      </c>
      <c r="B18280" s="572">
        <v>9.2659000000000002</v>
      </c>
      <c r="C18280" s="572">
        <v>263.73599999999999</v>
      </c>
    </row>
    <row r="18281" spans="1:3">
      <c r="A18281" s="571" t="s">
        <v>2465</v>
      </c>
      <c r="B18281" s="572">
        <v>12.763199999999999</v>
      </c>
      <c r="C18281" s="572">
        <v>318.01799999999997</v>
      </c>
    </row>
    <row r="18282" spans="1:3">
      <c r="A18282" s="571" t="s">
        <v>2465</v>
      </c>
      <c r="B18282" s="572">
        <v>26.944099999999999</v>
      </c>
      <c r="C18282" s="572">
        <v>439.87900000000002</v>
      </c>
    </row>
    <row r="18283" spans="1:3">
      <c r="A18283" s="571" t="s">
        <v>2465</v>
      </c>
      <c r="B18283" s="572">
        <v>59.543500000000002</v>
      </c>
      <c r="C18283" s="572">
        <v>445.51</v>
      </c>
    </row>
    <row r="18284" spans="1:3">
      <c r="A18284" s="573" t="s">
        <v>2465</v>
      </c>
      <c r="B18284" s="574">
        <v>125.70099999999999</v>
      </c>
      <c r="C18284" s="574">
        <v>461.09800000000001</v>
      </c>
    </row>
    <row r="18285" spans="1:3">
      <c r="A18285" s="573" t="s">
        <v>2465</v>
      </c>
      <c r="B18285" s="574">
        <v>160.435</v>
      </c>
      <c r="C18285" s="574">
        <v>494.33699999999999</v>
      </c>
    </row>
    <row r="18286" spans="1:3">
      <c r="A18286" s="573" t="s">
        <v>2465</v>
      </c>
      <c r="B18286" s="574">
        <v>181.25</v>
      </c>
      <c r="C18286" s="574">
        <v>529.77599999999995</v>
      </c>
    </row>
    <row r="18287" spans="1:3">
      <c r="A18287" s="573" t="s">
        <v>2465</v>
      </c>
      <c r="B18287" s="574">
        <v>406.69799999999998</v>
      </c>
      <c r="C18287" s="574">
        <v>477.84399999999999</v>
      </c>
    </row>
    <row r="18288" spans="1:3">
      <c r="A18288" s="569" t="s">
        <v>2465</v>
      </c>
      <c r="B18288" s="570">
        <v>519.077</v>
      </c>
      <c r="C18288" s="570">
        <v>494.47800000000001</v>
      </c>
    </row>
    <row r="18289" spans="1:3">
      <c r="A18289" s="569" t="s">
        <v>2465</v>
      </c>
      <c r="B18289" s="570">
        <v>693.52099999999996</v>
      </c>
      <c r="C18289" s="570">
        <v>507.79700000000003</v>
      </c>
    </row>
    <row r="18290" spans="1:3">
      <c r="A18290" s="569" t="s">
        <v>2465</v>
      </c>
      <c r="B18290" s="570">
        <v>807.76499999999999</v>
      </c>
      <c r="C18290" s="570">
        <v>518.88599999999997</v>
      </c>
    </row>
    <row r="18291" spans="1:3">
      <c r="A18291" s="569" t="s">
        <v>2465</v>
      </c>
      <c r="B18291" s="570">
        <v>984.86699999999996</v>
      </c>
      <c r="C18291" s="570">
        <v>498.983</v>
      </c>
    </row>
    <row r="18292" spans="1:3">
      <c r="A18292" s="569" t="s">
        <v>2465</v>
      </c>
      <c r="B18292" s="570">
        <v>1420.1</v>
      </c>
      <c r="C18292" s="570">
        <v>564.34100000000001</v>
      </c>
    </row>
    <row r="18293" spans="1:3">
      <c r="A18293" s="569" t="s">
        <v>2465</v>
      </c>
      <c r="B18293" s="570">
        <v>1812.5</v>
      </c>
      <c r="C18293" s="570">
        <v>516.76900000000001</v>
      </c>
    </row>
    <row r="18294" spans="1:3">
      <c r="A18294" s="569" t="s">
        <v>2465</v>
      </c>
      <c r="B18294" s="570">
        <v>2016.67</v>
      </c>
      <c r="C18294" s="570">
        <v>525.63800000000003</v>
      </c>
    </row>
    <row r="18295" spans="1:3">
      <c r="A18295" s="569" t="s">
        <v>2465</v>
      </c>
      <c r="B18295" s="570">
        <v>2777.85</v>
      </c>
      <c r="C18295" s="570">
        <v>526.78300000000002</v>
      </c>
    </row>
    <row r="18296" spans="1:3">
      <c r="A18296" s="571" t="s">
        <v>2467</v>
      </c>
      <c r="B18296" s="572">
        <v>5.1122199999999998</v>
      </c>
      <c r="C18296" s="572">
        <v>151.857</v>
      </c>
    </row>
    <row r="18297" spans="1:3">
      <c r="A18297" s="571" t="s">
        <v>2467</v>
      </c>
      <c r="B18297" s="572">
        <v>8.0776500000000002</v>
      </c>
      <c r="C18297" s="572">
        <v>227.18799999999999</v>
      </c>
    </row>
    <row r="18298" spans="1:3">
      <c r="A18298" s="571" t="s">
        <v>2467</v>
      </c>
      <c r="B18298" s="572">
        <v>15.800700000000001</v>
      </c>
      <c r="C18298" s="572">
        <v>351.25400000000002</v>
      </c>
    </row>
    <row r="18299" spans="1:3">
      <c r="A18299" s="571" t="s">
        <v>2467</v>
      </c>
      <c r="B18299" s="572">
        <v>30.907699999999998</v>
      </c>
      <c r="C18299" s="572">
        <v>377.90300000000002</v>
      </c>
    </row>
    <row r="18300" spans="1:3">
      <c r="A18300" s="571" t="s">
        <v>2467</v>
      </c>
      <c r="B18300" s="572">
        <v>46.6524</v>
      </c>
      <c r="C18300" s="572">
        <v>421.12599999999998</v>
      </c>
    </row>
    <row r="18301" spans="1:3">
      <c r="A18301" s="571" t="s">
        <v>2467</v>
      </c>
      <c r="B18301" s="572">
        <v>53.5152</v>
      </c>
      <c r="C18301" s="572">
        <v>428.892</v>
      </c>
    </row>
    <row r="18302" spans="1:3">
      <c r="A18302" s="571" t="s">
        <v>2467</v>
      </c>
      <c r="B18302" s="572">
        <v>87.176100000000005</v>
      </c>
      <c r="C18302" s="572">
        <v>436.69900000000001</v>
      </c>
    </row>
    <row r="18303" spans="1:3">
      <c r="A18303" s="573" t="s">
        <v>2467</v>
      </c>
      <c r="B18303" s="574">
        <v>146.40700000000001</v>
      </c>
      <c r="C18303" s="574">
        <v>432.334</v>
      </c>
    </row>
    <row r="18304" spans="1:3">
      <c r="A18304" s="573" t="s">
        <v>2467</v>
      </c>
      <c r="B18304" s="574">
        <v>181.25</v>
      </c>
      <c r="C18304" s="574">
        <v>469.99799999999999</v>
      </c>
    </row>
    <row r="18305" spans="1:3">
      <c r="A18305" s="573" t="s">
        <v>2467</v>
      </c>
      <c r="B18305" s="574">
        <v>217.64500000000001</v>
      </c>
      <c r="C18305" s="574">
        <v>519.83500000000004</v>
      </c>
    </row>
    <row r="18306" spans="1:3">
      <c r="A18306" s="573" t="s">
        <v>2467</v>
      </c>
      <c r="B18306" s="574">
        <v>277.78500000000003</v>
      </c>
      <c r="C18306" s="574">
        <v>481.11900000000003</v>
      </c>
    </row>
    <row r="18307" spans="1:3">
      <c r="A18307" s="573" t="s">
        <v>2467</v>
      </c>
      <c r="B18307" s="574">
        <v>438.91899999999998</v>
      </c>
      <c r="C18307" s="574">
        <v>461.24799999999999</v>
      </c>
    </row>
    <row r="18308" spans="1:3">
      <c r="A18308" s="569" t="s">
        <v>2467</v>
      </c>
      <c r="B18308" s="570">
        <v>511.22199999999998</v>
      </c>
      <c r="C18308" s="570">
        <v>474.55</v>
      </c>
    </row>
    <row r="18309" spans="1:3">
      <c r="A18309" s="569" t="s">
        <v>2467</v>
      </c>
      <c r="B18309" s="570">
        <v>642.60900000000004</v>
      </c>
      <c r="C18309" s="570">
        <v>482.327</v>
      </c>
    </row>
    <row r="18310" spans="1:3">
      <c r="A18310" s="569" t="s">
        <v>2467</v>
      </c>
      <c r="B18310" s="570">
        <v>795.54</v>
      </c>
      <c r="C18310" s="570">
        <v>516.66999999999996</v>
      </c>
    </row>
    <row r="18311" spans="1:3">
      <c r="A18311" s="569" t="s">
        <v>2467</v>
      </c>
      <c r="B18311" s="570">
        <v>984.86699999999996</v>
      </c>
      <c r="C18311" s="570">
        <v>510.05399999999997</v>
      </c>
    </row>
    <row r="18312" spans="1:3">
      <c r="A18312" s="569" t="s">
        <v>2467</v>
      </c>
      <c r="B18312" s="570">
        <v>1420.1</v>
      </c>
      <c r="C18312" s="570">
        <v>492.38499999999999</v>
      </c>
    </row>
    <row r="18313" spans="1:3">
      <c r="A18313" s="569" t="s">
        <v>2467</v>
      </c>
      <c r="B18313" s="570">
        <v>1812.5</v>
      </c>
      <c r="C18313" s="570">
        <v>487.98700000000002</v>
      </c>
    </row>
    <row r="18314" spans="1:3">
      <c r="A18314" s="569" t="s">
        <v>2467</v>
      </c>
      <c r="B18314" s="570">
        <v>2047.66</v>
      </c>
      <c r="C18314" s="570">
        <v>503.49900000000002</v>
      </c>
    </row>
    <row r="18315" spans="1:3">
      <c r="A18315" s="569" t="s">
        <v>2467</v>
      </c>
      <c r="B18315" s="570">
        <v>2573.9299999999998</v>
      </c>
      <c r="C18315" s="570">
        <v>486.92200000000003</v>
      </c>
    </row>
    <row r="18316" spans="1:3">
      <c r="A18316" s="569" t="s">
        <v>2467</v>
      </c>
      <c r="B18316" s="570">
        <v>2735.81</v>
      </c>
      <c r="C18316" s="570">
        <v>510.17599999999999</v>
      </c>
    </row>
    <row r="18317" spans="1:3">
      <c r="A18317" s="571" t="s">
        <v>2469</v>
      </c>
      <c r="B18317" s="572">
        <v>0.98286799999999996</v>
      </c>
      <c r="C18317" s="572">
        <v>58.399099999999997</v>
      </c>
    </row>
    <row r="18318" spans="1:3">
      <c r="A18318" s="571" t="s">
        <v>2469</v>
      </c>
      <c r="B18318" s="572">
        <v>1.5945100000000001</v>
      </c>
      <c r="C18318" s="572">
        <v>84.674800000000005</v>
      </c>
    </row>
    <row r="18319" spans="1:3">
      <c r="A18319" s="571" t="s">
        <v>2469</v>
      </c>
      <c r="B18319" s="572">
        <v>1.96193</v>
      </c>
      <c r="C18319" s="572">
        <v>110.985</v>
      </c>
    </row>
    <row r="18320" spans="1:3">
      <c r="A18320" s="571" t="s">
        <v>2469</v>
      </c>
      <c r="B18320" s="572">
        <v>3.0747200000000001</v>
      </c>
      <c r="C18320" s="572">
        <v>148.715</v>
      </c>
    </row>
    <row r="18321" spans="1:3">
      <c r="A18321" s="571" t="s">
        <v>2469</v>
      </c>
      <c r="B18321" s="572">
        <v>4.5752300000000004</v>
      </c>
      <c r="C18321" s="572">
        <v>178.43700000000001</v>
      </c>
    </row>
    <row r="18322" spans="1:3">
      <c r="A18322" s="571" t="s">
        <v>2469</v>
      </c>
      <c r="B18322" s="572">
        <v>20.932700000000001</v>
      </c>
      <c r="C18322" s="572">
        <v>306.49200000000002</v>
      </c>
    </row>
    <row r="18323" spans="1:3">
      <c r="A18323" s="571" t="s">
        <v>2469</v>
      </c>
      <c r="B18323" s="572">
        <v>28.080500000000001</v>
      </c>
      <c r="C18323" s="572">
        <v>333.93700000000001</v>
      </c>
    </row>
    <row r="18324" spans="1:3">
      <c r="A18324" s="571" t="s">
        <v>2469</v>
      </c>
      <c r="B18324" s="572">
        <v>87.844499999999996</v>
      </c>
      <c r="C18324" s="572">
        <v>426.54300000000001</v>
      </c>
    </row>
    <row r="18325" spans="1:3">
      <c r="A18325" s="573" t="s">
        <v>2469</v>
      </c>
      <c r="B18325" s="574">
        <v>219.51499999999999</v>
      </c>
      <c r="C18325" s="574">
        <v>472.23</v>
      </c>
    </row>
    <row r="18326" spans="1:3">
      <c r="A18326" s="573" t="s">
        <v>2469</v>
      </c>
      <c r="B18326" s="574">
        <v>315.54500000000002</v>
      </c>
      <c r="C18326" s="574">
        <v>507.68200000000002</v>
      </c>
    </row>
    <row r="18327" spans="1:3">
      <c r="A18327" s="569" t="s">
        <v>2469</v>
      </c>
      <c r="B18327" s="570">
        <v>511.91</v>
      </c>
      <c r="C18327" s="570">
        <v>507.62099999999998</v>
      </c>
    </row>
    <row r="18328" spans="1:3">
      <c r="A18328" s="569" t="s">
        <v>2469</v>
      </c>
      <c r="B18328" s="570">
        <v>1173.33</v>
      </c>
      <c r="C18328" s="570">
        <v>554.46500000000003</v>
      </c>
    </row>
    <row r="18329" spans="1:3">
      <c r="A18329" s="569" t="s">
        <v>2469</v>
      </c>
      <c r="B18329" s="570">
        <v>2597.9699999999998</v>
      </c>
      <c r="C18329" s="570">
        <v>569.25199999999995</v>
      </c>
    </row>
    <row r="18330" spans="1:3">
      <c r="A18330" s="571" t="s">
        <v>2471</v>
      </c>
      <c r="B18330" s="572">
        <v>1.05321</v>
      </c>
      <c r="C18330" s="572">
        <v>32.054600000000001</v>
      </c>
    </row>
    <row r="18331" spans="1:3">
      <c r="A18331" s="571" t="s">
        <v>2471</v>
      </c>
      <c r="B18331" s="572">
        <v>2.0663200000000002</v>
      </c>
      <c r="C18331" s="572">
        <v>36.551000000000002</v>
      </c>
    </row>
    <row r="18332" spans="1:3">
      <c r="A18332" s="571" t="s">
        <v>2471</v>
      </c>
      <c r="B18332" s="572">
        <v>3.2383099999999998</v>
      </c>
      <c r="C18332" s="572">
        <v>26.189800000000002</v>
      </c>
    </row>
    <row r="18333" spans="1:3">
      <c r="A18333" s="571" t="s">
        <v>2471</v>
      </c>
      <c r="B18333" s="572">
        <v>5.3450899999999999</v>
      </c>
      <c r="C18333" s="572">
        <v>47.883200000000002</v>
      </c>
    </row>
    <row r="18334" spans="1:3">
      <c r="A18334" s="571" t="s">
        <v>2471</v>
      </c>
      <c r="B18334" s="572">
        <v>12.6821</v>
      </c>
      <c r="C18334" s="572">
        <v>48.9208</v>
      </c>
    </row>
    <row r="18335" spans="1:3">
      <c r="A18335" s="571" t="s">
        <v>2471</v>
      </c>
      <c r="B18335" s="572">
        <v>22.430800000000001</v>
      </c>
      <c r="C18335" s="572">
        <v>85.491200000000006</v>
      </c>
    </row>
    <row r="18336" spans="1:3">
      <c r="A18336" s="571" t="s">
        <v>2471</v>
      </c>
      <c r="B18336" s="572">
        <v>24.8813</v>
      </c>
      <c r="C18336" s="572">
        <v>112.959</v>
      </c>
    </row>
    <row r="18337" spans="1:3">
      <c r="A18337" s="571" t="s">
        <v>2471</v>
      </c>
      <c r="B18337" s="572">
        <v>95.771900000000002</v>
      </c>
      <c r="C18337" s="572">
        <v>202.10499999999999</v>
      </c>
    </row>
    <row r="18338" spans="1:3">
      <c r="A18338" s="573" t="s">
        <v>2471</v>
      </c>
      <c r="B18338" s="574">
        <v>187.898</v>
      </c>
      <c r="C18338" s="574">
        <v>175.685</v>
      </c>
    </row>
    <row r="18339" spans="1:3">
      <c r="A18339" s="573" t="s">
        <v>2471</v>
      </c>
      <c r="B18339" s="574">
        <v>395.02300000000002</v>
      </c>
      <c r="C18339" s="574">
        <v>232.84399999999999</v>
      </c>
    </row>
    <row r="18340" spans="1:3">
      <c r="A18340" s="573" t="s">
        <v>2471</v>
      </c>
      <c r="B18340" s="574">
        <v>486.048</v>
      </c>
      <c r="C18340" s="574">
        <v>233.964</v>
      </c>
    </row>
    <row r="18341" spans="1:3">
      <c r="A18341" s="569" t="s">
        <v>2471</v>
      </c>
      <c r="B18341" s="570">
        <v>674.94500000000005</v>
      </c>
      <c r="C18341" s="570">
        <v>222.47300000000001</v>
      </c>
    </row>
    <row r="18342" spans="1:3">
      <c r="A18342" s="569" t="s">
        <v>2471</v>
      </c>
      <c r="B18342" s="570">
        <v>723.24800000000005</v>
      </c>
      <c r="C18342" s="570">
        <v>244.22</v>
      </c>
    </row>
    <row r="18343" spans="1:3">
      <c r="A18343" s="569" t="s">
        <v>2471</v>
      </c>
      <c r="B18343" s="570">
        <v>953.59100000000001</v>
      </c>
      <c r="C18343" s="570">
        <v>302.58199999999999</v>
      </c>
    </row>
    <row r="18344" spans="1:3">
      <c r="A18344" s="569" t="s">
        <v>2471</v>
      </c>
      <c r="B18344" s="570">
        <v>1301.51</v>
      </c>
      <c r="C18344" s="570">
        <v>296.81799999999998</v>
      </c>
    </row>
    <row r="18345" spans="1:3">
      <c r="A18345" s="569" t="s">
        <v>2471</v>
      </c>
      <c r="B18345" s="570">
        <v>1418.96</v>
      </c>
      <c r="C18345" s="570">
        <v>325.43400000000003</v>
      </c>
    </row>
    <row r="18346" spans="1:3">
      <c r="A18346" s="569" t="s">
        <v>2471</v>
      </c>
      <c r="B18346" s="570">
        <v>1547.01</v>
      </c>
      <c r="C18346" s="570">
        <v>336.87299999999999</v>
      </c>
    </row>
    <row r="18347" spans="1:3">
      <c r="A18347" s="569" t="s">
        <v>2471</v>
      </c>
      <c r="B18347" s="570">
        <v>2185.6799999999998</v>
      </c>
      <c r="C18347" s="570">
        <v>352.86099999999999</v>
      </c>
    </row>
    <row r="18348" spans="1:3">
      <c r="A18348" s="569" t="s">
        <v>2471</v>
      </c>
      <c r="B18348" s="570">
        <v>2382.9299999999998</v>
      </c>
      <c r="C18348" s="570">
        <v>387.20100000000002</v>
      </c>
    </row>
    <row r="18349" spans="1:3">
      <c r="A18349" s="571" t="s">
        <v>2473</v>
      </c>
      <c r="B18349" s="572">
        <v>1.0351600000000001</v>
      </c>
      <c r="C18349" s="572">
        <v>32.056800000000003</v>
      </c>
    </row>
    <row r="18350" spans="1:3">
      <c r="A18350" s="571" t="s">
        <v>2473</v>
      </c>
      <c r="B18350" s="572">
        <v>1.96193</v>
      </c>
      <c r="C18350" s="572">
        <v>6.7864500000000003</v>
      </c>
    </row>
    <row r="18351" spans="1:3">
      <c r="A18351" s="571" t="s">
        <v>2473</v>
      </c>
      <c r="B18351" s="572">
        <v>3.9845100000000002</v>
      </c>
      <c r="C18351" s="572">
        <v>43.339599999999997</v>
      </c>
    </row>
    <row r="18352" spans="1:3">
      <c r="A18352" s="571" t="s">
        <v>2473</v>
      </c>
      <c r="B18352" s="572">
        <v>6.3533400000000002</v>
      </c>
      <c r="C18352" s="572">
        <v>54.731999999999999</v>
      </c>
    </row>
    <row r="18353" spans="1:3">
      <c r="A18353" s="571" t="s">
        <v>2473</v>
      </c>
      <c r="B18353" s="572">
        <v>7.8173199999999996</v>
      </c>
      <c r="C18353" s="572">
        <v>68.446600000000004</v>
      </c>
    </row>
    <row r="18354" spans="1:3">
      <c r="A18354" s="571" t="s">
        <v>2473</v>
      </c>
      <c r="B18354" s="572">
        <v>10.669499999999999</v>
      </c>
      <c r="C18354" s="572">
        <v>62.6828</v>
      </c>
    </row>
    <row r="18355" spans="1:3">
      <c r="A18355" s="571" t="s">
        <v>2473</v>
      </c>
      <c r="B18355" s="572">
        <v>11.835100000000001</v>
      </c>
      <c r="C18355" s="572">
        <v>94.730999999999995</v>
      </c>
    </row>
    <row r="18356" spans="1:3">
      <c r="A18356" s="571" t="s">
        <v>2473</v>
      </c>
      <c r="B18356" s="572">
        <v>28.080500000000001</v>
      </c>
      <c r="C18356" s="572">
        <v>122.104</v>
      </c>
    </row>
    <row r="18357" spans="1:3">
      <c r="A18357" s="573" t="s">
        <v>2473</v>
      </c>
      <c r="B18357" s="574">
        <v>184.679</v>
      </c>
      <c r="C18357" s="574">
        <v>124.16</v>
      </c>
    </row>
    <row r="18358" spans="1:3">
      <c r="A18358" s="573" t="s">
        <v>2473</v>
      </c>
      <c r="B18358" s="574">
        <v>310.14</v>
      </c>
      <c r="C18358" s="574">
        <v>189.363</v>
      </c>
    </row>
    <row r="18359" spans="1:3">
      <c r="A18359" s="573" t="s">
        <v>2473</v>
      </c>
      <c r="B18359" s="574">
        <v>356.11900000000003</v>
      </c>
      <c r="C18359" s="574">
        <v>213.392</v>
      </c>
    </row>
    <row r="18360" spans="1:3">
      <c r="A18360" s="569" t="s">
        <v>2473</v>
      </c>
      <c r="B18360" s="570">
        <v>587.80200000000002</v>
      </c>
      <c r="C18360" s="570">
        <v>206.459</v>
      </c>
    </row>
    <row r="18361" spans="1:3">
      <c r="A18361" s="569" t="s">
        <v>2473</v>
      </c>
      <c r="B18361" s="570">
        <v>629.86800000000005</v>
      </c>
      <c r="C18361" s="570">
        <v>310.649</v>
      </c>
    </row>
    <row r="18362" spans="1:3">
      <c r="A18362" s="569" t="s">
        <v>2473</v>
      </c>
      <c r="B18362" s="570">
        <v>686.70899999999995</v>
      </c>
      <c r="C18362" s="570">
        <v>327.81400000000002</v>
      </c>
    </row>
    <row r="18363" spans="1:3">
      <c r="A18363" s="569" t="s">
        <v>2473</v>
      </c>
      <c r="B18363" s="570">
        <v>921.197</v>
      </c>
      <c r="C18363" s="570">
        <v>379.30399999999997</v>
      </c>
    </row>
    <row r="18364" spans="1:3">
      <c r="A18364" s="569" t="s">
        <v>2473</v>
      </c>
      <c r="B18364" s="570">
        <v>1235.76</v>
      </c>
      <c r="C18364" s="570">
        <v>364.38200000000001</v>
      </c>
    </row>
    <row r="18365" spans="1:3">
      <c r="A18365" s="569" t="s">
        <v>2473</v>
      </c>
      <c r="B18365" s="570">
        <v>1468.86</v>
      </c>
      <c r="C18365" s="570">
        <v>414.74200000000002</v>
      </c>
    </row>
    <row r="18366" spans="1:3">
      <c r="A18366" s="569" t="s">
        <v>2473</v>
      </c>
      <c r="B18366" s="570">
        <v>2111.44</v>
      </c>
      <c r="C18366" s="570">
        <v>441.03300000000002</v>
      </c>
    </row>
    <row r="18367" spans="1:3">
      <c r="A18367" s="571" t="s">
        <v>2475</v>
      </c>
      <c r="B18367" s="572">
        <v>1</v>
      </c>
      <c r="C18367" s="572">
        <v>32.061100000000003</v>
      </c>
    </row>
    <row r="18368" spans="1:3">
      <c r="A18368" s="571" t="s">
        <v>2475</v>
      </c>
      <c r="B18368" s="572">
        <v>1.9961199999999999</v>
      </c>
      <c r="C18368" s="572">
        <v>56.020899999999997</v>
      </c>
    </row>
    <row r="18369" spans="1:3">
      <c r="A18369" s="571" t="s">
        <v>2475</v>
      </c>
      <c r="B18369" s="572">
        <v>4.05396</v>
      </c>
      <c r="C18369" s="572">
        <v>144.101</v>
      </c>
    </row>
    <row r="18370" spans="1:3">
      <c r="A18370" s="571" t="s">
        <v>2475</v>
      </c>
      <c r="B18370" s="572">
        <v>14.3127</v>
      </c>
      <c r="C18370" s="572">
        <v>251.578</v>
      </c>
    </row>
    <row r="18371" spans="1:3">
      <c r="A18371" s="571" t="s">
        <v>2475</v>
      </c>
      <c r="B18371" s="572">
        <v>31.148199999999999</v>
      </c>
      <c r="C18371" s="572">
        <v>300.71800000000002</v>
      </c>
    </row>
    <row r="18372" spans="1:3">
      <c r="A18372" s="571" t="s">
        <v>2475</v>
      </c>
      <c r="B18372" s="572">
        <v>75.1922</v>
      </c>
      <c r="C18372" s="572">
        <v>372.745</v>
      </c>
    </row>
    <row r="18373" spans="1:3">
      <c r="A18373" s="573" t="s">
        <v>2475</v>
      </c>
      <c r="B18373" s="574">
        <v>201.345</v>
      </c>
      <c r="C18373" s="574">
        <v>410.40899999999999</v>
      </c>
    </row>
    <row r="18374" spans="1:3">
      <c r="A18374" s="573" t="s">
        <v>2475</v>
      </c>
      <c r="B18374" s="574">
        <v>310.14</v>
      </c>
      <c r="C18374" s="574">
        <v>444.70699999999999</v>
      </c>
    </row>
    <row r="18375" spans="1:3">
      <c r="A18375" s="573" t="s">
        <v>2475</v>
      </c>
      <c r="B18375" s="574">
        <v>388.25599999999997</v>
      </c>
      <c r="C18375" s="574">
        <v>461.85399999999998</v>
      </c>
    </row>
    <row r="18376" spans="1:3">
      <c r="A18376" s="569" t="s">
        <v>2475</v>
      </c>
      <c r="B18376" s="570">
        <v>558.10599999999999</v>
      </c>
      <c r="C18376" s="570">
        <v>440.053</v>
      </c>
    </row>
    <row r="18377" spans="1:3">
      <c r="A18377" s="569" t="s">
        <v>2475</v>
      </c>
      <c r="B18377" s="570">
        <v>723.24800000000005</v>
      </c>
      <c r="C18377" s="570">
        <v>468.64699999999999</v>
      </c>
    </row>
    <row r="18378" spans="1:3">
      <c r="A18378" s="569" t="s">
        <v>2475</v>
      </c>
      <c r="B18378" s="570">
        <v>1193.78</v>
      </c>
      <c r="C18378" s="570">
        <v>458.28</v>
      </c>
    </row>
    <row r="18379" spans="1:3">
      <c r="A18379" s="569" t="s">
        <v>2475</v>
      </c>
      <c r="B18379" s="570">
        <v>1494.46</v>
      </c>
      <c r="C18379" s="570">
        <v>451.38099999999997</v>
      </c>
    </row>
    <row r="18380" spans="1:3">
      <c r="A18380" s="569" t="s">
        <v>2475</v>
      </c>
      <c r="B18380" s="570">
        <v>1686.62</v>
      </c>
      <c r="C18380" s="570">
        <v>483.42700000000002</v>
      </c>
    </row>
    <row r="18381" spans="1:3">
      <c r="A18381" s="569" t="s">
        <v>2475</v>
      </c>
      <c r="B18381" s="570">
        <v>2597.9699999999998</v>
      </c>
      <c r="C18381" s="570">
        <v>486.80900000000003</v>
      </c>
    </row>
    <row r="18382" spans="1:3">
      <c r="A18382" s="571" t="s">
        <v>2477</v>
      </c>
      <c r="B18382" s="572">
        <v>0.98286799999999996</v>
      </c>
      <c r="C18382" s="572">
        <v>57.254100000000001</v>
      </c>
    </row>
    <row r="18383" spans="1:3">
      <c r="A18383" s="571" t="s">
        <v>2477</v>
      </c>
      <c r="B18383" s="572">
        <v>1.96193</v>
      </c>
      <c r="C18383" s="572">
        <v>99.534499999999994</v>
      </c>
    </row>
    <row r="18384" spans="1:3">
      <c r="A18384" s="571" t="s">
        <v>2477</v>
      </c>
      <c r="B18384" s="572">
        <v>2.9702700000000002</v>
      </c>
      <c r="C18384" s="572">
        <v>146.43</v>
      </c>
    </row>
    <row r="18385" spans="1:3">
      <c r="A18385" s="571" t="s">
        <v>2477</v>
      </c>
      <c r="B18385" s="572">
        <v>4.90266</v>
      </c>
      <c r="C18385" s="572">
        <v>186.44399999999999</v>
      </c>
    </row>
    <row r="18386" spans="1:3">
      <c r="A18386" s="571" t="s">
        <v>2477</v>
      </c>
      <c r="B18386" s="572">
        <v>20.574100000000001</v>
      </c>
      <c r="C18386" s="572">
        <v>298.47899999999998</v>
      </c>
    </row>
    <row r="18387" spans="1:3">
      <c r="A18387" s="571" t="s">
        <v>2477</v>
      </c>
      <c r="B18387" s="572">
        <v>79.192999999999998</v>
      </c>
      <c r="C18387" s="572">
        <v>429.99099999999999</v>
      </c>
    </row>
    <row r="18388" spans="1:3">
      <c r="A18388" s="573" t="s">
        <v>2477</v>
      </c>
      <c r="B18388" s="574">
        <v>201.345</v>
      </c>
      <c r="C18388" s="574">
        <v>481.40199999999999</v>
      </c>
    </row>
    <row r="18389" spans="1:3">
      <c r="A18389" s="573" t="s">
        <v>2477</v>
      </c>
      <c r="B18389" s="574">
        <v>304.82600000000002</v>
      </c>
      <c r="C18389" s="574">
        <v>500.81599999999997</v>
      </c>
    </row>
    <row r="18390" spans="1:3">
      <c r="A18390" s="573" t="s">
        <v>2477</v>
      </c>
      <c r="B18390" s="574">
        <v>381.60500000000002</v>
      </c>
      <c r="C18390" s="574">
        <v>537.42899999999997</v>
      </c>
    </row>
    <row r="18391" spans="1:3">
      <c r="A18391" s="569" t="s">
        <v>2477</v>
      </c>
      <c r="B18391" s="570">
        <v>577.73199999999997</v>
      </c>
      <c r="C18391" s="570">
        <v>532.79700000000003</v>
      </c>
    </row>
    <row r="18392" spans="1:3">
      <c r="A18392" s="569" t="s">
        <v>2477</v>
      </c>
      <c r="B18392" s="570">
        <v>735.85400000000004</v>
      </c>
      <c r="C18392" s="570">
        <v>535.05700000000002</v>
      </c>
    </row>
    <row r="18393" spans="1:3">
      <c r="A18393" s="569" t="s">
        <v>2477</v>
      </c>
      <c r="B18393" s="570">
        <v>1193.78</v>
      </c>
      <c r="C18393" s="570">
        <v>536.14200000000005</v>
      </c>
    </row>
    <row r="18394" spans="1:3">
      <c r="A18394" s="569" t="s">
        <v>2477</v>
      </c>
      <c r="B18394" s="570">
        <v>1547.01</v>
      </c>
      <c r="C18394" s="570">
        <v>575.04100000000005</v>
      </c>
    </row>
    <row r="18395" spans="1:3">
      <c r="A18395" s="569" t="s">
        <v>2477</v>
      </c>
      <c r="B18395" s="570">
        <v>1716.02</v>
      </c>
      <c r="C18395" s="570">
        <v>549.83699999999999</v>
      </c>
    </row>
    <row r="18396" spans="1:3">
      <c r="A18396" s="571" t="s">
        <v>2479</v>
      </c>
      <c r="B18396" s="572">
        <v>2.0145200000000001</v>
      </c>
      <c r="C18396" s="572">
        <v>144.64599999999999</v>
      </c>
    </row>
    <row r="18397" spans="1:3">
      <c r="A18397" s="571" t="s">
        <v>2479</v>
      </c>
      <c r="B18397" s="572">
        <v>2.9479500000000001</v>
      </c>
      <c r="C18397" s="572">
        <v>158.297</v>
      </c>
    </row>
    <row r="18398" spans="1:3">
      <c r="A18398" s="571" t="s">
        <v>2479</v>
      </c>
      <c r="B18398" s="572">
        <v>4.90327</v>
      </c>
      <c r="C18398" s="572">
        <v>234.404</v>
      </c>
    </row>
    <row r="18399" spans="1:3">
      <c r="A18399" s="571" t="s">
        <v>2479</v>
      </c>
      <c r="B18399" s="572">
        <v>7.8873899999999999</v>
      </c>
      <c r="C18399" s="572">
        <v>223.65799999999999</v>
      </c>
    </row>
    <row r="18400" spans="1:3">
      <c r="A18400" s="571" t="s">
        <v>2479</v>
      </c>
      <c r="B18400" s="572">
        <v>25.985199999999999</v>
      </c>
      <c r="C18400" s="572">
        <v>391.08</v>
      </c>
    </row>
    <row r="18401" spans="1:3">
      <c r="A18401" s="571" t="s">
        <v>2479</v>
      </c>
      <c r="B18401" s="572">
        <v>28.590199999999999</v>
      </c>
      <c r="C18401" s="572">
        <v>412.39800000000002</v>
      </c>
    </row>
    <row r="18402" spans="1:3">
      <c r="A18402" s="571" t="s">
        <v>2479</v>
      </c>
      <c r="B18402" s="572">
        <v>32.993499999999997</v>
      </c>
      <c r="C18402" s="572">
        <v>441.32600000000002</v>
      </c>
    </row>
    <row r="18403" spans="1:3">
      <c r="A18403" s="571" t="s">
        <v>2479</v>
      </c>
      <c r="B18403" s="572">
        <v>37.435400000000001</v>
      </c>
      <c r="C18403" s="572">
        <v>415.40100000000001</v>
      </c>
    </row>
    <row r="18404" spans="1:3">
      <c r="A18404" s="571" t="s">
        <v>2479</v>
      </c>
      <c r="B18404" s="572">
        <v>55.683500000000002</v>
      </c>
      <c r="C18404" s="572">
        <v>453.43</v>
      </c>
    </row>
    <row r="18405" spans="1:3">
      <c r="A18405" s="571" t="s">
        <v>2479</v>
      </c>
      <c r="B18405" s="572">
        <v>82.764300000000006</v>
      </c>
      <c r="C18405" s="572">
        <v>453.36500000000001</v>
      </c>
    </row>
    <row r="18406" spans="1:3">
      <c r="A18406" s="573" t="s">
        <v>2479</v>
      </c>
      <c r="B18406" s="574">
        <v>185.904</v>
      </c>
      <c r="C18406" s="574">
        <v>491.32600000000002</v>
      </c>
    </row>
    <row r="18407" spans="1:3">
      <c r="A18407" s="573" t="s">
        <v>2479</v>
      </c>
      <c r="B18407" s="574">
        <v>304.08</v>
      </c>
      <c r="C18407" s="574">
        <v>523.245</v>
      </c>
    </row>
    <row r="18408" spans="1:3">
      <c r="A18408" s="573" t="s">
        <v>2479</v>
      </c>
      <c r="B18408" s="574">
        <v>368.06</v>
      </c>
      <c r="C18408" s="574">
        <v>559.78399999999999</v>
      </c>
    </row>
    <row r="18409" spans="1:3">
      <c r="A18409" s="569" t="s">
        <v>2479</v>
      </c>
      <c r="B18409" s="570">
        <v>564.88800000000003</v>
      </c>
      <c r="C18409" s="570">
        <v>577.99900000000002</v>
      </c>
    </row>
    <row r="18410" spans="1:3">
      <c r="A18410" s="569" t="s">
        <v>2479</v>
      </c>
      <c r="B18410" s="570">
        <v>716.33100000000002</v>
      </c>
      <c r="C18410" s="570">
        <v>564.24599999999998</v>
      </c>
    </row>
    <row r="18411" spans="1:3">
      <c r="A18411" s="569" t="s">
        <v>2479</v>
      </c>
      <c r="B18411" s="570">
        <v>1227.9100000000001</v>
      </c>
      <c r="C18411" s="570">
        <v>561.10900000000004</v>
      </c>
    </row>
    <row r="18412" spans="1:3">
      <c r="A18412" s="569" t="s">
        <v>2479</v>
      </c>
      <c r="B18412" s="570">
        <v>1608.04</v>
      </c>
      <c r="C18412" s="570">
        <v>571.73099999999999</v>
      </c>
    </row>
    <row r="18413" spans="1:3">
      <c r="A18413" s="569" t="s">
        <v>2479</v>
      </c>
      <c r="B18413" s="570">
        <v>2354.42</v>
      </c>
      <c r="C18413" s="570">
        <v>612.81100000000004</v>
      </c>
    </row>
    <row r="18414" spans="1:3">
      <c r="A18414" s="571" t="s">
        <v>2481</v>
      </c>
      <c r="B18414" s="572">
        <v>0.96958200000000005</v>
      </c>
      <c r="C18414" s="572">
        <v>41.148000000000003</v>
      </c>
    </row>
    <row r="18415" spans="1:3">
      <c r="A18415" s="571" t="s">
        <v>2481</v>
      </c>
      <c r="B18415" s="572">
        <v>2.9883700000000002</v>
      </c>
      <c r="C18415" s="572">
        <v>45.533200000000001</v>
      </c>
    </row>
    <row r="18416" spans="1:3">
      <c r="A18416" s="571" t="s">
        <v>2481</v>
      </c>
      <c r="B18416" s="572">
        <v>4.9637500000000001</v>
      </c>
      <c r="C18416" s="572">
        <v>53.068300000000001</v>
      </c>
    </row>
    <row r="18417" spans="1:3">
      <c r="A18417" s="571" t="s">
        <v>2481</v>
      </c>
      <c r="B18417" s="572">
        <v>12.2539</v>
      </c>
      <c r="C18417" s="572">
        <v>57.490200000000002</v>
      </c>
    </row>
    <row r="18418" spans="1:3">
      <c r="A18418" s="571" t="s">
        <v>2481</v>
      </c>
      <c r="B18418" s="572">
        <v>26.264399999999998</v>
      </c>
      <c r="C18418" s="572">
        <v>130.50700000000001</v>
      </c>
    </row>
    <row r="18419" spans="1:3">
      <c r="A18419" s="571" t="s">
        <v>2481</v>
      </c>
      <c r="B18419" s="572">
        <v>30.292999999999999</v>
      </c>
      <c r="C18419" s="572">
        <v>132.00700000000001</v>
      </c>
    </row>
    <row r="18420" spans="1:3">
      <c r="A18420" s="571" t="s">
        <v>2481</v>
      </c>
      <c r="B18420" s="572">
        <v>54.5107</v>
      </c>
      <c r="C18420" s="572">
        <v>179.148</v>
      </c>
    </row>
    <row r="18421" spans="1:3">
      <c r="A18421" s="571" t="s">
        <v>2481</v>
      </c>
      <c r="B18421" s="572">
        <v>81.101799999999997</v>
      </c>
      <c r="C18421" s="572">
        <v>229.36799999999999</v>
      </c>
    </row>
    <row r="18422" spans="1:3">
      <c r="A18422" s="573" t="s">
        <v>2481</v>
      </c>
      <c r="B18422" s="574">
        <v>188.00399999999999</v>
      </c>
      <c r="C18422" s="574">
        <v>258.18099999999998</v>
      </c>
    </row>
    <row r="18423" spans="1:3">
      <c r="A18423" s="573" t="s">
        <v>2481</v>
      </c>
      <c r="B18423" s="574">
        <v>297.92700000000002</v>
      </c>
      <c r="C18423" s="574">
        <v>291.62900000000002</v>
      </c>
    </row>
    <row r="18424" spans="1:3">
      <c r="A18424" s="573" t="s">
        <v>2481</v>
      </c>
      <c r="B18424" s="574">
        <v>354.75900000000001</v>
      </c>
      <c r="C18424" s="574">
        <v>302.267</v>
      </c>
    </row>
    <row r="18425" spans="1:3">
      <c r="A18425" s="569" t="s">
        <v>2481</v>
      </c>
      <c r="B18425" s="570">
        <v>561.94500000000005</v>
      </c>
      <c r="C18425" s="570">
        <v>314.38099999999997</v>
      </c>
    </row>
    <row r="18426" spans="1:3">
      <c r="A18426" s="569" t="s">
        <v>2481</v>
      </c>
      <c r="B18426" s="570">
        <v>712.64200000000005</v>
      </c>
      <c r="C18426" s="570">
        <v>303.67500000000001</v>
      </c>
    </row>
    <row r="18427" spans="1:3">
      <c r="A18427" s="569" t="s">
        <v>2481</v>
      </c>
      <c r="B18427" s="570">
        <v>1060.76</v>
      </c>
      <c r="C18427" s="570">
        <v>376.75200000000001</v>
      </c>
    </row>
    <row r="18428" spans="1:3">
      <c r="A18428" s="569" t="s">
        <v>2481</v>
      </c>
      <c r="B18428" s="570">
        <v>1184.79</v>
      </c>
      <c r="C18428" s="570">
        <v>356.92399999999998</v>
      </c>
    </row>
    <row r="18429" spans="1:3">
      <c r="A18429" s="569" t="s">
        <v>2481</v>
      </c>
      <c r="B18429" s="570">
        <v>1629.15</v>
      </c>
      <c r="C18429" s="570">
        <v>430.01400000000001</v>
      </c>
    </row>
    <row r="18430" spans="1:3">
      <c r="A18430" s="569" t="s">
        <v>2481</v>
      </c>
      <c r="B18430" s="570">
        <v>2035.03</v>
      </c>
      <c r="C18430" s="570">
        <v>455.88200000000001</v>
      </c>
    </row>
    <row r="18431" spans="1:3">
      <c r="A18431" s="571" t="s">
        <v>2483</v>
      </c>
      <c r="B18431" s="572">
        <v>1.94747</v>
      </c>
      <c r="C18431" s="572">
        <v>36.461199999999998</v>
      </c>
    </row>
    <row r="18432" spans="1:3">
      <c r="A18432" s="571" t="s">
        <v>2483</v>
      </c>
      <c r="B18432" s="572">
        <v>2.9423499999999998</v>
      </c>
      <c r="C18432" s="572">
        <v>62.297600000000003</v>
      </c>
    </row>
    <row r="18433" spans="1:3">
      <c r="A18433" s="571" t="s">
        <v>2483</v>
      </c>
      <c r="B18433" s="572">
        <v>4.8116000000000003</v>
      </c>
      <c r="C18433" s="572">
        <v>82.025800000000004</v>
      </c>
    </row>
    <row r="18434" spans="1:3">
      <c r="A18434" s="571" t="s">
        <v>2483</v>
      </c>
      <c r="B18434" s="572">
        <v>16.322600000000001</v>
      </c>
      <c r="C18434" s="572">
        <v>126.014</v>
      </c>
    </row>
    <row r="18435" spans="1:3">
      <c r="A18435" s="571" t="s">
        <v>2483</v>
      </c>
      <c r="B18435" s="572">
        <v>34.424300000000002</v>
      </c>
      <c r="C18435" s="572">
        <v>183.79499999999999</v>
      </c>
    </row>
    <row r="18436" spans="1:3">
      <c r="A18436" s="571" t="s">
        <v>2483</v>
      </c>
      <c r="B18436" s="572">
        <v>64.977599999999995</v>
      </c>
      <c r="C18436" s="572">
        <v>243.119</v>
      </c>
    </row>
    <row r="18437" spans="1:3">
      <c r="A18437" s="573" t="s">
        <v>2483</v>
      </c>
      <c r="B18437" s="574">
        <v>171.08</v>
      </c>
      <c r="C18437" s="574">
        <v>297.81599999999997</v>
      </c>
    </row>
    <row r="18438" spans="1:3">
      <c r="A18438" s="573" t="s">
        <v>2483</v>
      </c>
      <c r="B18438" s="574">
        <v>288.41199999999998</v>
      </c>
      <c r="C18438" s="574">
        <v>253.53899999999999</v>
      </c>
    </row>
    <row r="18439" spans="1:3">
      <c r="A18439" s="573" t="s">
        <v>2483</v>
      </c>
      <c r="B18439" s="574">
        <v>429.065</v>
      </c>
      <c r="C18439" s="574">
        <v>299.18799999999999</v>
      </c>
    </row>
    <row r="18440" spans="1:3">
      <c r="A18440" s="569" t="s">
        <v>2483</v>
      </c>
      <c r="B18440" s="570">
        <v>544.06200000000001</v>
      </c>
      <c r="C18440" s="570">
        <v>282.38600000000002</v>
      </c>
    </row>
    <row r="18441" spans="1:3">
      <c r="A18441" s="569" t="s">
        <v>2483</v>
      </c>
      <c r="B18441" s="570">
        <v>627.68499999999995</v>
      </c>
      <c r="C18441" s="570">
        <v>297.601</v>
      </c>
    </row>
    <row r="18442" spans="1:3">
      <c r="A18442" s="569" t="s">
        <v>2483</v>
      </c>
      <c r="B18442" s="570">
        <v>797.36</v>
      </c>
      <c r="C18442" s="570">
        <v>372.22800000000001</v>
      </c>
    </row>
    <row r="18443" spans="1:3">
      <c r="A18443" s="569" t="s">
        <v>2483</v>
      </c>
      <c r="B18443" s="570">
        <v>1184.18</v>
      </c>
      <c r="C18443" s="570">
        <v>331.02</v>
      </c>
    </row>
    <row r="18444" spans="1:3">
      <c r="A18444" s="569" t="s">
        <v>2483</v>
      </c>
      <c r="B18444" s="570">
        <v>1434.16</v>
      </c>
      <c r="C18444" s="570">
        <v>396.512</v>
      </c>
    </row>
    <row r="18445" spans="1:3">
      <c r="A18445" s="569" t="s">
        <v>2483</v>
      </c>
      <c r="B18445" s="570">
        <v>2066.61</v>
      </c>
      <c r="C18445" s="570">
        <v>433.02300000000002</v>
      </c>
    </row>
    <row r="18446" spans="1:3">
      <c r="A18446" s="569" t="s">
        <v>2483</v>
      </c>
      <c r="B18446" s="570">
        <v>2308.4499999999998</v>
      </c>
      <c r="C18446" s="570">
        <v>417.76600000000002</v>
      </c>
    </row>
    <row r="18447" spans="1:3">
      <c r="A18447" s="571" t="s">
        <v>2485</v>
      </c>
      <c r="B18447" s="572">
        <v>1.01884</v>
      </c>
      <c r="C18447" s="572">
        <v>141.71100000000001</v>
      </c>
    </row>
    <row r="18448" spans="1:3">
      <c r="A18448" s="571" t="s">
        <v>2485</v>
      </c>
      <c r="B18448" s="572">
        <v>1.95224</v>
      </c>
      <c r="C18448" s="572">
        <v>159.88900000000001</v>
      </c>
    </row>
    <row r="18449" spans="1:3">
      <c r="A18449" s="571" t="s">
        <v>2485</v>
      </c>
      <c r="B18449" s="572">
        <v>3.9304399999999999</v>
      </c>
      <c r="C18449" s="572">
        <v>274.05900000000003</v>
      </c>
    </row>
    <row r="18450" spans="1:3">
      <c r="A18450" s="571" t="s">
        <v>2485</v>
      </c>
      <c r="B18450" s="572">
        <v>4.9124499999999998</v>
      </c>
      <c r="C18450" s="572">
        <v>328.88</v>
      </c>
    </row>
    <row r="18451" spans="1:3">
      <c r="A18451" s="571" t="s">
        <v>2485</v>
      </c>
      <c r="B18451" s="572">
        <v>18.6587</v>
      </c>
      <c r="C18451" s="572">
        <v>476.46800000000002</v>
      </c>
    </row>
    <row r="18452" spans="1:3">
      <c r="A18452" s="571" t="s">
        <v>2485</v>
      </c>
      <c r="B18452" s="572">
        <v>46.137599999999999</v>
      </c>
      <c r="C18452" s="572">
        <v>563.17600000000004</v>
      </c>
    </row>
    <row r="18453" spans="1:3">
      <c r="A18453" s="571" t="s">
        <v>2485</v>
      </c>
      <c r="B18453" s="572">
        <v>77.831800000000001</v>
      </c>
      <c r="C18453" s="572">
        <v>552.42200000000003</v>
      </c>
    </row>
    <row r="18454" spans="1:3">
      <c r="A18454" s="573" t="s">
        <v>2485</v>
      </c>
      <c r="B18454" s="574">
        <v>183.39500000000001</v>
      </c>
      <c r="C18454" s="574">
        <v>605.61400000000003</v>
      </c>
    </row>
    <row r="18455" spans="1:3">
      <c r="A18455" s="573" t="s">
        <v>2485</v>
      </c>
      <c r="B18455" s="574">
        <v>299.89499999999998</v>
      </c>
      <c r="C18455" s="574">
        <v>623.81799999999998</v>
      </c>
    </row>
    <row r="18456" spans="1:3">
      <c r="A18456" s="573" t="s">
        <v>2485</v>
      </c>
      <c r="B18456" s="574">
        <v>368.86099999999999</v>
      </c>
      <c r="C18456" s="574">
        <v>669.49800000000005</v>
      </c>
    </row>
    <row r="18457" spans="1:3">
      <c r="A18457" s="569" t="s">
        <v>2485</v>
      </c>
      <c r="B18457" s="570">
        <v>642.06200000000001</v>
      </c>
      <c r="C18457" s="570">
        <v>640.45399999999995</v>
      </c>
    </row>
    <row r="18458" spans="1:3">
      <c r="A18458" s="569" t="s">
        <v>2485</v>
      </c>
      <c r="B18458" s="570">
        <v>717.86900000000003</v>
      </c>
      <c r="C18458" s="570">
        <v>672.43600000000004</v>
      </c>
    </row>
    <row r="18459" spans="1:3">
      <c r="A18459" s="569" t="s">
        <v>2485</v>
      </c>
      <c r="B18459" s="570">
        <v>1230.4000000000001</v>
      </c>
      <c r="C18459" s="570">
        <v>663.20399999999995</v>
      </c>
    </row>
    <row r="18460" spans="1:3">
      <c r="A18460" s="569" t="s">
        <v>2485</v>
      </c>
      <c r="B18460" s="570">
        <v>1561.48</v>
      </c>
      <c r="C18460" s="570">
        <v>689.06899999999996</v>
      </c>
    </row>
    <row r="18461" spans="1:3">
      <c r="A18461" s="569" t="s">
        <v>2485</v>
      </c>
      <c r="B18461" s="570">
        <v>1637.64</v>
      </c>
      <c r="C18461" s="570">
        <v>692.10900000000004</v>
      </c>
    </row>
    <row r="18462" spans="1:3">
      <c r="A18462" s="569" t="s">
        <v>2485</v>
      </c>
      <c r="B18462" s="570">
        <v>2322.2199999999998</v>
      </c>
      <c r="C18462" s="570">
        <v>717.95600000000002</v>
      </c>
    </row>
    <row r="18463" spans="1:3">
      <c r="A18463" s="571" t="s">
        <v>2487</v>
      </c>
      <c r="B18463" s="572">
        <v>1.9828300000000001</v>
      </c>
      <c r="C18463" s="572">
        <v>144.649</v>
      </c>
    </row>
    <row r="18464" spans="1:3">
      <c r="A18464" s="571" t="s">
        <v>2487</v>
      </c>
      <c r="B18464" s="572">
        <v>2.9959600000000002</v>
      </c>
      <c r="C18464" s="572">
        <v>173.53299999999999</v>
      </c>
    </row>
    <row r="18465" spans="1:3">
      <c r="A18465" s="571" t="s">
        <v>2487</v>
      </c>
      <c r="B18465" s="572">
        <v>4.98658</v>
      </c>
      <c r="C18465" s="572">
        <v>284.68700000000001</v>
      </c>
    </row>
    <row r="18466" spans="1:3">
      <c r="A18466" s="571" t="s">
        <v>2487</v>
      </c>
      <c r="B18466" s="572">
        <v>14.462</v>
      </c>
      <c r="C18466" s="572">
        <v>418.60599999999999</v>
      </c>
    </row>
    <row r="18467" spans="1:3">
      <c r="A18467" s="571" t="s">
        <v>2487</v>
      </c>
      <c r="B18467" s="572">
        <v>32.507899999999999</v>
      </c>
      <c r="C18467" s="572">
        <v>493.13799999999998</v>
      </c>
    </row>
    <row r="18468" spans="1:3">
      <c r="A18468" s="571" t="s">
        <v>2487</v>
      </c>
      <c r="B18468" s="572">
        <v>66.399699999999996</v>
      </c>
      <c r="C18468" s="572">
        <v>535.68700000000001</v>
      </c>
    </row>
    <row r="18469" spans="1:3">
      <c r="A18469" s="573" t="s">
        <v>2487</v>
      </c>
      <c r="B18469" s="574">
        <v>156.46199999999999</v>
      </c>
      <c r="C18469" s="574">
        <v>590.40200000000004</v>
      </c>
    </row>
    <row r="18470" spans="1:3">
      <c r="A18470" s="573" t="s">
        <v>2487</v>
      </c>
      <c r="B18470" s="574">
        <v>309.54599999999999</v>
      </c>
      <c r="C18470" s="574">
        <v>622.28899999999999</v>
      </c>
    </row>
    <row r="18471" spans="1:3">
      <c r="A18471" s="573" t="s">
        <v>2487</v>
      </c>
      <c r="B18471" s="574">
        <v>438.654</v>
      </c>
      <c r="C18471" s="574">
        <v>614.61300000000006</v>
      </c>
    </row>
    <row r="18472" spans="1:3">
      <c r="A18472" s="569" t="s">
        <v>2487</v>
      </c>
      <c r="B18472" s="570">
        <v>662.10500000000002</v>
      </c>
      <c r="C18472" s="570">
        <v>591.68700000000001</v>
      </c>
    </row>
    <row r="18473" spans="1:3">
      <c r="A18473" s="569" t="s">
        <v>2487</v>
      </c>
      <c r="B18473" s="570">
        <v>1153.23</v>
      </c>
      <c r="C18473" s="570">
        <v>594.64300000000003</v>
      </c>
    </row>
    <row r="18474" spans="1:3">
      <c r="A18474" s="569" t="s">
        <v>2487</v>
      </c>
      <c r="B18474" s="570">
        <v>1534.1</v>
      </c>
      <c r="C18474" s="570">
        <v>596.12</v>
      </c>
    </row>
    <row r="18475" spans="1:3">
      <c r="A18475" s="569" t="s">
        <v>2487</v>
      </c>
      <c r="B18475" s="570">
        <v>2281.63</v>
      </c>
      <c r="C18475" s="570">
        <v>628.05399999999997</v>
      </c>
    </row>
    <row r="18476" spans="1:3">
      <c r="A18476" s="571" t="s">
        <v>2489</v>
      </c>
      <c r="B18476" s="572">
        <v>1.9653700000000001</v>
      </c>
      <c r="C18476" s="572">
        <v>162.81299999999999</v>
      </c>
    </row>
    <row r="18477" spans="1:3">
      <c r="A18477" s="571" t="s">
        <v>2489</v>
      </c>
      <c r="B18477" s="572">
        <v>5.0273199999999996</v>
      </c>
      <c r="C18477" s="572">
        <v>260.40699999999998</v>
      </c>
    </row>
    <row r="18478" spans="1:3">
      <c r="A18478" s="571" t="s">
        <v>2489</v>
      </c>
      <c r="B18478" s="572">
        <v>9.7366100000000007</v>
      </c>
      <c r="C18478" s="572">
        <v>384.11900000000003</v>
      </c>
    </row>
    <row r="18479" spans="1:3">
      <c r="A18479" s="571" t="s">
        <v>2489</v>
      </c>
      <c r="B18479" s="572">
        <v>28.644300000000001</v>
      </c>
      <c r="C18479" s="572">
        <v>429.54899999999998</v>
      </c>
    </row>
    <row r="18480" spans="1:3">
      <c r="A18480" s="571" t="s">
        <v>2489</v>
      </c>
      <c r="B18480" s="572">
        <v>88.325199999999995</v>
      </c>
      <c r="C18480" s="572">
        <v>437.49700000000001</v>
      </c>
    </row>
    <row r="18481" spans="1:3">
      <c r="A18481" s="573" t="s">
        <v>2489</v>
      </c>
      <c r="B18481" s="574">
        <v>111.229</v>
      </c>
      <c r="C18481" s="574">
        <v>481.44799999999998</v>
      </c>
    </row>
    <row r="18482" spans="1:3">
      <c r="A18482" s="573" t="s">
        <v>2489</v>
      </c>
      <c r="B18482" s="574">
        <v>135.97499999999999</v>
      </c>
      <c r="C18482" s="574">
        <v>465.11900000000003</v>
      </c>
    </row>
    <row r="18483" spans="1:3">
      <c r="A18483" s="573" t="s">
        <v>2489</v>
      </c>
      <c r="B18483" s="574">
        <v>206.209</v>
      </c>
      <c r="C18483" s="574">
        <v>471.56200000000001</v>
      </c>
    </row>
    <row r="18484" spans="1:3">
      <c r="A18484" s="573" t="s">
        <v>2489</v>
      </c>
      <c r="B18484" s="574">
        <v>342.858</v>
      </c>
      <c r="C18484" s="574">
        <v>507.31799999999998</v>
      </c>
    </row>
    <row r="18485" spans="1:3">
      <c r="A18485" s="573" t="s">
        <v>2489</v>
      </c>
      <c r="B18485" s="574">
        <v>370.399</v>
      </c>
      <c r="C18485" s="574">
        <v>500.78699999999998</v>
      </c>
    </row>
    <row r="18486" spans="1:3">
      <c r="A18486" s="573" t="s">
        <v>2489</v>
      </c>
      <c r="B18486" s="574">
        <v>466.625</v>
      </c>
      <c r="C18486" s="574">
        <v>525.18600000000004</v>
      </c>
    </row>
    <row r="18487" spans="1:3">
      <c r="A18487" s="569" t="s">
        <v>2489</v>
      </c>
      <c r="B18487" s="570">
        <v>606.36599999999999</v>
      </c>
      <c r="C18487" s="570">
        <v>541.43299999999999</v>
      </c>
    </row>
    <row r="18488" spans="1:3">
      <c r="A18488" s="569" t="s">
        <v>2489</v>
      </c>
      <c r="B18488" s="570">
        <v>707.22799999999995</v>
      </c>
      <c r="C18488" s="570">
        <v>562.58699999999999</v>
      </c>
    </row>
    <row r="18489" spans="1:3">
      <c r="A18489" s="571" t="s">
        <v>2491</v>
      </c>
      <c r="B18489" s="572">
        <v>3.1310600000000002</v>
      </c>
      <c r="C18489" s="572">
        <v>14.462</v>
      </c>
    </row>
    <row r="18490" spans="1:3">
      <c r="A18490" s="571" t="s">
        <v>2491</v>
      </c>
      <c r="B18490" s="572">
        <v>5.2069000000000001</v>
      </c>
      <c r="C18490" s="572">
        <v>40.441299999999998</v>
      </c>
    </row>
    <row r="18491" spans="1:3">
      <c r="A18491" s="571" t="s">
        <v>2491</v>
      </c>
      <c r="B18491" s="572">
        <v>19.576899999999998</v>
      </c>
      <c r="C18491" s="572">
        <v>165.66499999999999</v>
      </c>
    </row>
    <row r="18492" spans="1:3">
      <c r="A18492" s="571" t="s">
        <v>2491</v>
      </c>
      <c r="B18492" s="572">
        <v>42.937899999999999</v>
      </c>
      <c r="C18492" s="572">
        <v>238.846</v>
      </c>
    </row>
    <row r="18493" spans="1:3">
      <c r="A18493" s="571" t="s">
        <v>2491</v>
      </c>
      <c r="B18493" s="572">
        <v>60.261499999999998</v>
      </c>
      <c r="C18493" s="572">
        <v>263.226</v>
      </c>
    </row>
    <row r="18494" spans="1:3">
      <c r="A18494" s="571" t="s">
        <v>2491</v>
      </c>
      <c r="B18494" s="572">
        <v>91.345200000000006</v>
      </c>
      <c r="C18494" s="572">
        <v>294.11</v>
      </c>
    </row>
    <row r="18495" spans="1:3">
      <c r="A18495" s="573" t="s">
        <v>2491</v>
      </c>
      <c r="B18495" s="574">
        <v>230.18799999999999</v>
      </c>
      <c r="C18495" s="574">
        <v>367.26600000000002</v>
      </c>
    </row>
    <row r="18496" spans="1:3">
      <c r="A18496" s="573" t="s">
        <v>2491</v>
      </c>
      <c r="B18496" s="574">
        <v>426.68200000000002</v>
      </c>
      <c r="C18496" s="574">
        <v>365.52699999999999</v>
      </c>
    </row>
    <row r="18497" spans="1:3">
      <c r="A18497" s="569" t="s">
        <v>2491</v>
      </c>
      <c r="B18497" s="570">
        <v>571.87199999999996</v>
      </c>
      <c r="C18497" s="570">
        <v>378.51</v>
      </c>
    </row>
    <row r="18498" spans="1:3">
      <c r="A18498" s="569" t="s">
        <v>2491</v>
      </c>
      <c r="B18498" s="570">
        <v>1058.8699999999999</v>
      </c>
      <c r="C18498" s="570">
        <v>433.798</v>
      </c>
    </row>
    <row r="18499" spans="1:3">
      <c r="A18499" s="569" t="s">
        <v>2491</v>
      </c>
      <c r="B18499" s="570">
        <v>1789.22</v>
      </c>
      <c r="C18499" s="570">
        <v>432.07600000000002</v>
      </c>
    </row>
    <row r="18500" spans="1:3">
      <c r="A18500" s="569" t="s">
        <v>2491</v>
      </c>
      <c r="B18500" s="570">
        <v>2084.34</v>
      </c>
      <c r="C18500" s="570">
        <v>515.14499999999998</v>
      </c>
    </row>
    <row r="18501" spans="1:3">
      <c r="A18501" s="571" t="s">
        <v>2493</v>
      </c>
      <c r="B18501" s="572">
        <v>5.0499599999999996</v>
      </c>
      <c r="C18501" s="572">
        <v>27.412099999999999</v>
      </c>
    </row>
    <row r="18502" spans="1:3">
      <c r="A18502" s="571" t="s">
        <v>2493</v>
      </c>
      <c r="B18502" s="572">
        <v>46.370899999999999</v>
      </c>
      <c r="C18502" s="572">
        <v>250.238</v>
      </c>
    </row>
    <row r="18503" spans="1:3">
      <c r="A18503" s="573" t="s">
        <v>2493</v>
      </c>
      <c r="B18503" s="574">
        <v>147.37799999999999</v>
      </c>
      <c r="C18503" s="574">
        <v>289.137</v>
      </c>
    </row>
    <row r="18504" spans="1:3">
      <c r="A18504" s="573" t="s">
        <v>2493</v>
      </c>
      <c r="B18504" s="574">
        <v>182.90899999999999</v>
      </c>
      <c r="C18504" s="574">
        <v>289.09899999999999</v>
      </c>
    </row>
    <row r="18505" spans="1:3">
      <c r="A18505" s="573" t="s">
        <v>2493</v>
      </c>
      <c r="B18505" s="574">
        <v>237.55799999999999</v>
      </c>
      <c r="C18505" s="574">
        <v>333.04399999999998</v>
      </c>
    </row>
    <row r="18506" spans="1:3">
      <c r="A18506" s="573" t="s">
        <v>2493</v>
      </c>
      <c r="B18506" s="574">
        <v>420.55900000000003</v>
      </c>
      <c r="C18506" s="574">
        <v>315.02100000000002</v>
      </c>
    </row>
    <row r="18507" spans="1:3">
      <c r="A18507" s="569" t="s">
        <v>2493</v>
      </c>
      <c r="B18507" s="570">
        <v>618.13900000000001</v>
      </c>
      <c r="C18507" s="570">
        <v>344.28100000000001</v>
      </c>
    </row>
    <row r="18508" spans="1:3">
      <c r="A18508" s="569" t="s">
        <v>2493</v>
      </c>
      <c r="B18508" s="570">
        <v>754.47199999999998</v>
      </c>
      <c r="C18508" s="570">
        <v>409.41800000000001</v>
      </c>
    </row>
    <row r="18509" spans="1:3">
      <c r="A18509" s="569" t="s">
        <v>2493</v>
      </c>
      <c r="B18509" s="570">
        <v>1354.01</v>
      </c>
      <c r="C18509" s="570">
        <v>484.26400000000001</v>
      </c>
    </row>
    <row r="18510" spans="1:3">
      <c r="A18510" s="571" t="s">
        <v>2495</v>
      </c>
      <c r="B18510" s="572">
        <v>13.5482</v>
      </c>
      <c r="C18510" s="572">
        <v>53.306800000000003</v>
      </c>
    </row>
    <row r="18511" spans="1:3">
      <c r="A18511" s="571" t="s">
        <v>2495</v>
      </c>
      <c r="B18511" s="572">
        <v>31.1052</v>
      </c>
      <c r="C18511" s="572">
        <v>155.80699999999999</v>
      </c>
    </row>
    <row r="18512" spans="1:3">
      <c r="A18512" s="571" t="s">
        <v>2495</v>
      </c>
      <c r="B18512" s="572">
        <v>70.300799999999995</v>
      </c>
      <c r="C18512" s="572">
        <v>272.97500000000002</v>
      </c>
    </row>
    <row r="18513" spans="1:3">
      <c r="A18513" s="573" t="s">
        <v>2495</v>
      </c>
      <c r="B18513" s="574">
        <v>100.22</v>
      </c>
      <c r="C18513" s="574">
        <v>285.947</v>
      </c>
    </row>
    <row r="18514" spans="1:3">
      <c r="A18514" s="573" t="s">
        <v>2495</v>
      </c>
      <c r="B18514" s="574">
        <v>149.58500000000001</v>
      </c>
      <c r="C18514" s="574">
        <v>318.46199999999999</v>
      </c>
    </row>
    <row r="18515" spans="1:3">
      <c r="A18515" s="573" t="s">
        <v>2495</v>
      </c>
      <c r="B18515" s="574">
        <v>185.584</v>
      </c>
      <c r="C18515" s="574">
        <v>336.34699999999998</v>
      </c>
    </row>
    <row r="18516" spans="1:3">
      <c r="A18516" s="573" t="s">
        <v>2495</v>
      </c>
      <c r="B18516" s="574">
        <v>240.941</v>
      </c>
      <c r="C18516" s="574">
        <v>399.84399999999999</v>
      </c>
    </row>
    <row r="18517" spans="1:3">
      <c r="A18517" s="573" t="s">
        <v>2495</v>
      </c>
      <c r="B18517" s="574">
        <v>299.02</v>
      </c>
      <c r="C18517" s="574">
        <v>401.43599999999998</v>
      </c>
    </row>
    <row r="18518" spans="1:3">
      <c r="A18518" s="573" t="s">
        <v>2495</v>
      </c>
      <c r="B18518" s="574">
        <v>370.65499999999997</v>
      </c>
      <c r="C18518" s="574">
        <v>464.94099999999997</v>
      </c>
    </row>
    <row r="18519" spans="1:3">
      <c r="A18519" s="573" t="s">
        <v>2495</v>
      </c>
      <c r="B18519" s="574">
        <v>419.649</v>
      </c>
      <c r="C18519" s="574">
        <v>427.44499999999999</v>
      </c>
    </row>
    <row r="18520" spans="1:3">
      <c r="A18520" s="569" t="s">
        <v>2495</v>
      </c>
      <c r="B18520" s="570">
        <v>645.61300000000006</v>
      </c>
      <c r="C18520" s="570">
        <v>489.28300000000002</v>
      </c>
    </row>
    <row r="18521" spans="1:3">
      <c r="A18521" s="569" t="s">
        <v>2495</v>
      </c>
      <c r="B18521" s="570">
        <v>776.77099999999996</v>
      </c>
      <c r="C18521" s="570">
        <v>499.02600000000001</v>
      </c>
    </row>
    <row r="18522" spans="1:3">
      <c r="A18522" s="569" t="s">
        <v>2495</v>
      </c>
      <c r="B18522" s="570">
        <v>851.43799999999999</v>
      </c>
      <c r="C18522" s="570">
        <v>539.74300000000005</v>
      </c>
    </row>
    <row r="18523" spans="1:3">
      <c r="A18523" s="569" t="s">
        <v>2495</v>
      </c>
      <c r="B18523" s="570">
        <v>1124.08</v>
      </c>
      <c r="C18523" s="570">
        <v>534.80600000000004</v>
      </c>
    </row>
    <row r="18524" spans="1:3">
      <c r="A18524" s="569" t="s">
        <v>2495</v>
      </c>
      <c r="B18524" s="570">
        <v>2112.89</v>
      </c>
      <c r="C18524" s="570">
        <v>609.64400000000001</v>
      </c>
    </row>
    <row r="18525" spans="1:3">
      <c r="A18525" s="569" t="s">
        <v>2495</v>
      </c>
      <c r="B18525" s="570">
        <v>2706.92</v>
      </c>
      <c r="C18525" s="570">
        <v>562.34900000000005</v>
      </c>
    </row>
    <row r="18526" spans="1:3">
      <c r="A18526" s="571" t="s">
        <v>2497</v>
      </c>
      <c r="B18526" s="572">
        <v>0.99745799999999996</v>
      </c>
      <c r="C18526" s="572">
        <v>131.976</v>
      </c>
    </row>
    <row r="18527" spans="1:3">
      <c r="A18527" s="571" t="s">
        <v>2497</v>
      </c>
      <c r="B18527" s="572">
        <v>1.9058900000000001</v>
      </c>
      <c r="C18527" s="572">
        <v>156.30099999999999</v>
      </c>
    </row>
    <row r="18528" spans="1:3">
      <c r="A18528" s="571" t="s">
        <v>2497</v>
      </c>
      <c r="B18528" s="572">
        <v>5.18567</v>
      </c>
      <c r="C18528" s="572">
        <v>252.255</v>
      </c>
    </row>
    <row r="18529" spans="1:3">
      <c r="A18529" s="571" t="s">
        <v>2497</v>
      </c>
      <c r="B18529" s="572">
        <v>8.2279599999999995</v>
      </c>
      <c r="C18529" s="572">
        <v>314.08699999999999</v>
      </c>
    </row>
    <row r="18530" spans="1:3">
      <c r="A18530" s="571" t="s">
        <v>2497</v>
      </c>
      <c r="B18530" s="572">
        <v>15.9414</v>
      </c>
      <c r="C18530" s="572">
        <v>418.24700000000001</v>
      </c>
    </row>
    <row r="18531" spans="1:3">
      <c r="A18531" s="571" t="s">
        <v>2497</v>
      </c>
      <c r="B18531" s="572">
        <v>30.0031</v>
      </c>
      <c r="C18531" s="572">
        <v>426.28199999999998</v>
      </c>
    </row>
    <row r="18532" spans="1:3">
      <c r="A18532" s="571" t="s">
        <v>2497</v>
      </c>
      <c r="B18532" s="572">
        <v>98.3887</v>
      </c>
      <c r="C18532" s="572">
        <v>442.36500000000001</v>
      </c>
    </row>
    <row r="18533" spans="1:3">
      <c r="A18533" s="573" t="s">
        <v>2497</v>
      </c>
      <c r="B18533" s="574">
        <v>142.31299999999999</v>
      </c>
      <c r="C18533" s="574">
        <v>502.58499999999998</v>
      </c>
    </row>
    <row r="18534" spans="1:3">
      <c r="A18534" s="573" t="s">
        <v>2497</v>
      </c>
      <c r="B18534" s="574">
        <v>255.82</v>
      </c>
      <c r="C18534" s="574">
        <v>492.70600000000002</v>
      </c>
    </row>
    <row r="18535" spans="1:3">
      <c r="A18535" s="573" t="s">
        <v>2497</v>
      </c>
      <c r="B18535" s="574">
        <v>347.98099999999999</v>
      </c>
      <c r="C18535" s="574">
        <v>538.27200000000005</v>
      </c>
    </row>
    <row r="18536" spans="1:3">
      <c r="A18536" s="573" t="s">
        <v>2497</v>
      </c>
      <c r="B18536" s="574">
        <v>438.36900000000003</v>
      </c>
      <c r="C18536" s="574">
        <v>564.30100000000004</v>
      </c>
    </row>
    <row r="18537" spans="1:3">
      <c r="A18537" s="569" t="s">
        <v>2497</v>
      </c>
      <c r="B18537" s="570">
        <v>587.62800000000004</v>
      </c>
      <c r="C18537" s="570">
        <v>569.13699999999994</v>
      </c>
    </row>
    <row r="18538" spans="1:3">
      <c r="A18538" s="569" t="s">
        <v>2497</v>
      </c>
      <c r="B18538" s="570">
        <v>729.024</v>
      </c>
      <c r="C18538" s="570">
        <v>588.65099999999995</v>
      </c>
    </row>
    <row r="18539" spans="1:3">
      <c r="A18539" s="569" t="s">
        <v>2497</v>
      </c>
      <c r="B18539" s="570">
        <v>947.70299999999997</v>
      </c>
      <c r="C18539" s="570">
        <v>585.346</v>
      </c>
    </row>
    <row r="18540" spans="1:3">
      <c r="A18540" s="569" t="s">
        <v>2497</v>
      </c>
      <c r="B18540" s="570">
        <v>1270.9000000000001</v>
      </c>
      <c r="C18540" s="570">
        <v>569</v>
      </c>
    </row>
    <row r="18541" spans="1:3">
      <c r="A18541" s="569" t="s">
        <v>2497</v>
      </c>
      <c r="B18541" s="570">
        <v>1677.02</v>
      </c>
      <c r="C18541" s="570">
        <v>590.13300000000004</v>
      </c>
    </row>
    <row r="18542" spans="1:3">
      <c r="A18542" s="569" t="s">
        <v>2497</v>
      </c>
      <c r="B18542" s="570">
        <v>1898.15</v>
      </c>
      <c r="C18542" s="570">
        <v>567.29999999999995</v>
      </c>
    </row>
    <row r="18543" spans="1:3">
      <c r="A18543" s="569" t="s">
        <v>2497</v>
      </c>
      <c r="B18543" s="570">
        <v>2623.69</v>
      </c>
      <c r="C18543" s="570">
        <v>581.90700000000004</v>
      </c>
    </row>
    <row r="18544" spans="1:3">
      <c r="A18544" s="571" t="s">
        <v>2499</v>
      </c>
      <c r="B18544" s="572">
        <v>1.9652400000000001</v>
      </c>
      <c r="C18544" s="572">
        <v>166.072</v>
      </c>
    </row>
    <row r="18545" spans="1:3">
      <c r="A18545" s="571" t="s">
        <v>2499</v>
      </c>
      <c r="B18545" s="572">
        <v>2.8867099999999999</v>
      </c>
      <c r="C18545" s="572">
        <v>227.91800000000001</v>
      </c>
    </row>
    <row r="18546" spans="1:3">
      <c r="A18546" s="571" t="s">
        <v>2499</v>
      </c>
      <c r="B18546" s="572">
        <v>5.1838800000000003</v>
      </c>
      <c r="C18546" s="572">
        <v>270.17700000000002</v>
      </c>
    </row>
    <row r="18547" spans="1:3">
      <c r="A18547" s="571" t="s">
        <v>2499</v>
      </c>
      <c r="B18547" s="572">
        <v>7.8481800000000002</v>
      </c>
      <c r="C18547" s="572">
        <v>364.60500000000002</v>
      </c>
    </row>
    <row r="18548" spans="1:3">
      <c r="A18548" s="571" t="s">
        <v>2499</v>
      </c>
      <c r="B18548" s="572">
        <v>11.526899999999999</v>
      </c>
      <c r="C18548" s="572">
        <v>431.339</v>
      </c>
    </row>
    <row r="18549" spans="1:3">
      <c r="A18549" s="571" t="s">
        <v>2499</v>
      </c>
      <c r="B18549" s="572">
        <v>29.024000000000001</v>
      </c>
      <c r="C18549" s="572">
        <v>546.85799999999995</v>
      </c>
    </row>
    <row r="18550" spans="1:3">
      <c r="A18550" s="571" t="s">
        <v>2499</v>
      </c>
      <c r="B18550" s="572">
        <v>79.052199999999999</v>
      </c>
      <c r="C18550" s="572">
        <v>589.04399999999998</v>
      </c>
    </row>
    <row r="18551" spans="1:3">
      <c r="A18551" s="573" t="s">
        <v>2499</v>
      </c>
      <c r="B18551" s="574">
        <v>259.25099999999998</v>
      </c>
      <c r="C18551" s="574">
        <v>601.86800000000005</v>
      </c>
    </row>
    <row r="18552" spans="1:3">
      <c r="A18552" s="573" t="s">
        <v>2499</v>
      </c>
      <c r="B18552" s="574">
        <v>472.94299999999998</v>
      </c>
      <c r="C18552" s="574">
        <v>627.83100000000002</v>
      </c>
    </row>
    <row r="18553" spans="1:3">
      <c r="A18553" s="569" t="s">
        <v>2499</v>
      </c>
      <c r="B18553" s="570">
        <v>904.04399999999998</v>
      </c>
      <c r="C18553" s="570">
        <v>630.97500000000002</v>
      </c>
    </row>
    <row r="18554" spans="1:3">
      <c r="A18554" s="569" t="s">
        <v>2499</v>
      </c>
      <c r="B18554" s="570">
        <v>1105.2</v>
      </c>
      <c r="C18554" s="570">
        <v>613.01700000000005</v>
      </c>
    </row>
    <row r="18555" spans="1:3">
      <c r="A18555" s="569" t="s">
        <v>2499</v>
      </c>
      <c r="B18555" s="570">
        <v>1755.03</v>
      </c>
      <c r="C18555" s="570">
        <v>632.48699999999997</v>
      </c>
    </row>
    <row r="18556" spans="1:3">
      <c r="A18556" s="569" t="s">
        <v>2499</v>
      </c>
      <c r="B18556" s="570">
        <v>2424.79</v>
      </c>
      <c r="C18556" s="570">
        <v>669.904</v>
      </c>
    </row>
    <row r="18557" spans="1:3">
      <c r="A18557" s="571" t="s">
        <v>2501</v>
      </c>
      <c r="B18557" s="572">
        <v>2.1124900000000002</v>
      </c>
      <c r="C18557" s="572">
        <v>187.07400000000001</v>
      </c>
    </row>
    <row r="18558" spans="1:3">
      <c r="A18558" s="571" t="s">
        <v>2501</v>
      </c>
      <c r="B18558" s="572">
        <v>3.1783999999999999</v>
      </c>
      <c r="C18558" s="572">
        <v>261.87099999999998</v>
      </c>
    </row>
    <row r="18559" spans="1:3">
      <c r="A18559" s="571" t="s">
        <v>2501</v>
      </c>
      <c r="B18559" s="572">
        <v>4.9498199999999999</v>
      </c>
      <c r="C18559" s="572">
        <v>323.28100000000001</v>
      </c>
    </row>
    <row r="18560" spans="1:3">
      <c r="A18560" s="571" t="s">
        <v>2501</v>
      </c>
      <c r="B18560" s="572">
        <v>8.9874399999999994</v>
      </c>
      <c r="C18560" s="572">
        <v>398.024</v>
      </c>
    </row>
    <row r="18561" spans="1:3">
      <c r="A18561" s="571" t="s">
        <v>2501</v>
      </c>
      <c r="B18561" s="572">
        <v>12.6332</v>
      </c>
      <c r="C18561" s="572">
        <v>456.78800000000001</v>
      </c>
    </row>
    <row r="18562" spans="1:3">
      <c r="A18562" s="571" t="s">
        <v>2501</v>
      </c>
      <c r="B18562" s="572">
        <v>23.355</v>
      </c>
      <c r="C18562" s="572">
        <v>488.71699999999998</v>
      </c>
    </row>
    <row r="18563" spans="1:3">
      <c r="A18563" s="571" t="s">
        <v>2501</v>
      </c>
      <c r="B18563" s="572">
        <v>30.163</v>
      </c>
      <c r="C18563" s="572">
        <v>512.72299999999996</v>
      </c>
    </row>
    <row r="18564" spans="1:3">
      <c r="A18564" s="571" t="s">
        <v>2501</v>
      </c>
      <c r="B18564" s="572">
        <v>31.706</v>
      </c>
      <c r="C18564" s="572">
        <v>576.92200000000003</v>
      </c>
    </row>
    <row r="18565" spans="1:3">
      <c r="A18565" s="571" t="s">
        <v>2501</v>
      </c>
      <c r="B18565" s="572">
        <v>48.554000000000002</v>
      </c>
      <c r="C18565" s="572">
        <v>624.95899999999995</v>
      </c>
    </row>
    <row r="18566" spans="1:3">
      <c r="A18566" s="571" t="s">
        <v>2501</v>
      </c>
      <c r="B18566" s="572">
        <v>71.889300000000006</v>
      </c>
      <c r="C18566" s="572">
        <v>651.601</v>
      </c>
    </row>
    <row r="18567" spans="1:3">
      <c r="A18567" s="573" t="s">
        <v>2501</v>
      </c>
      <c r="B18567" s="574">
        <v>157.595</v>
      </c>
      <c r="C18567" s="574">
        <v>704.88499999999999</v>
      </c>
    </row>
    <row r="18568" spans="1:3">
      <c r="A18568" s="573" t="s">
        <v>2501</v>
      </c>
      <c r="B18568" s="574">
        <v>424.08300000000003</v>
      </c>
      <c r="C18568" s="574">
        <v>760.78399999999999</v>
      </c>
    </row>
    <row r="18569" spans="1:3">
      <c r="A18569" s="569" t="s">
        <v>2501</v>
      </c>
      <c r="B18569" s="570">
        <v>640.43899999999996</v>
      </c>
      <c r="C18569" s="570">
        <v>661.66800000000001</v>
      </c>
    </row>
    <row r="18570" spans="1:3">
      <c r="A18570" s="569" t="s">
        <v>2501</v>
      </c>
      <c r="B18570" s="570">
        <v>1124.04</v>
      </c>
      <c r="C18570" s="570">
        <v>725.71900000000005</v>
      </c>
    </row>
    <row r="18571" spans="1:3">
      <c r="A18571" s="569" t="s">
        <v>2501</v>
      </c>
      <c r="B18571" s="570">
        <v>2341.5100000000002</v>
      </c>
      <c r="C18571" s="570">
        <v>768.31500000000005</v>
      </c>
    </row>
    <row r="18572" spans="1:3">
      <c r="A18572" s="571" t="s">
        <v>2503</v>
      </c>
      <c r="B18572" s="572">
        <v>2.1180500000000002</v>
      </c>
      <c r="C18572" s="572">
        <v>63.996000000000002</v>
      </c>
    </row>
    <row r="18573" spans="1:3">
      <c r="A18573" s="571" t="s">
        <v>2503</v>
      </c>
      <c r="B18573" s="572">
        <v>4.8865800000000004</v>
      </c>
      <c r="C18573" s="572">
        <v>125.292</v>
      </c>
    </row>
    <row r="18574" spans="1:3">
      <c r="A18574" s="571" t="s">
        <v>2503</v>
      </c>
      <c r="B18574" s="572">
        <v>8.8797200000000007</v>
      </c>
      <c r="C18574" s="572">
        <v>162.57599999999999</v>
      </c>
    </row>
    <row r="18575" spans="1:3">
      <c r="A18575" s="571" t="s">
        <v>2503</v>
      </c>
      <c r="B18575" s="572">
        <v>12.281499999999999</v>
      </c>
      <c r="C18575" s="572">
        <v>178.536</v>
      </c>
    </row>
    <row r="18576" spans="1:3">
      <c r="A18576" s="571" t="s">
        <v>2503</v>
      </c>
      <c r="B18576" s="572">
        <v>23.8855</v>
      </c>
      <c r="C18576" s="572">
        <v>237.20500000000001</v>
      </c>
    </row>
    <row r="18577" spans="1:3">
      <c r="A18577" s="571" t="s">
        <v>2503</v>
      </c>
      <c r="B18577" s="572">
        <v>30.3324</v>
      </c>
      <c r="C18577" s="572">
        <v>250.51400000000001</v>
      </c>
    </row>
    <row r="18578" spans="1:3">
      <c r="A18578" s="571" t="s">
        <v>2503</v>
      </c>
      <c r="B18578" s="572">
        <v>35.927199999999999</v>
      </c>
      <c r="C18578" s="572">
        <v>325.38099999999997</v>
      </c>
    </row>
    <row r="18579" spans="1:3">
      <c r="A18579" s="571" t="s">
        <v>2503</v>
      </c>
      <c r="B18579" s="572">
        <v>48.851799999999997</v>
      </c>
      <c r="C18579" s="572">
        <v>338.67</v>
      </c>
    </row>
    <row r="18580" spans="1:3">
      <c r="A18580" s="571" t="s">
        <v>2503</v>
      </c>
      <c r="B18580" s="572">
        <v>73.593699999999998</v>
      </c>
      <c r="C18580" s="572">
        <v>354.60399999999998</v>
      </c>
    </row>
    <row r="18581" spans="1:3">
      <c r="A18581" s="573" t="s">
        <v>2503</v>
      </c>
      <c r="B18581" s="574">
        <v>175.852</v>
      </c>
      <c r="C18581" s="574">
        <v>373.08</v>
      </c>
    </row>
    <row r="18582" spans="1:3">
      <c r="A18582" s="573" t="s">
        <v>2503</v>
      </c>
      <c r="B18582" s="574">
        <v>336.553</v>
      </c>
      <c r="C18582" s="574">
        <v>383.59399999999999</v>
      </c>
    </row>
    <row r="18583" spans="1:3">
      <c r="A18583" s="573" t="s">
        <v>2503</v>
      </c>
      <c r="B18583" s="574">
        <v>441.87200000000001</v>
      </c>
      <c r="C18583" s="574">
        <v>437.02699999999999</v>
      </c>
    </row>
    <row r="18584" spans="1:3">
      <c r="A18584" s="569" t="s">
        <v>2503</v>
      </c>
      <c r="B18584" s="570">
        <v>570.93899999999996</v>
      </c>
      <c r="C18584" s="570">
        <v>439.62799999999999</v>
      </c>
    </row>
    <row r="18585" spans="1:3">
      <c r="A18585" s="569" t="s">
        <v>2503</v>
      </c>
      <c r="B18585" s="570">
        <v>1036.6600000000001</v>
      </c>
      <c r="C18585" s="570">
        <v>514.37099999999998</v>
      </c>
    </row>
    <row r="18586" spans="1:3">
      <c r="A18586" s="569" t="s">
        <v>2503</v>
      </c>
      <c r="B18586" s="570">
        <v>1616.27</v>
      </c>
      <c r="C18586" s="570">
        <v>522.26900000000001</v>
      </c>
    </row>
    <row r="18587" spans="1:3">
      <c r="A18587" s="569" t="s">
        <v>2503</v>
      </c>
      <c r="B18587" s="570">
        <v>2123.27</v>
      </c>
      <c r="C18587" s="570">
        <v>548.94500000000005</v>
      </c>
    </row>
    <row r="18588" spans="1:3">
      <c r="A18588" s="571" t="s">
        <v>2505</v>
      </c>
      <c r="B18588" s="572">
        <v>1</v>
      </c>
      <c r="C18588" s="572">
        <v>2.2699999999999999E-13</v>
      </c>
    </row>
    <row r="18589" spans="1:3">
      <c r="A18589" s="571" t="s">
        <v>2505</v>
      </c>
      <c r="B18589" s="572">
        <v>2.08264</v>
      </c>
      <c r="C18589" s="572">
        <v>53.2986</v>
      </c>
    </row>
    <row r="18590" spans="1:3">
      <c r="A18590" s="571" t="s">
        <v>2505</v>
      </c>
      <c r="B18590" s="572">
        <v>8.4490099999999995</v>
      </c>
      <c r="C18590" s="572">
        <v>90.35</v>
      </c>
    </row>
    <row r="18591" spans="1:3">
      <c r="A18591" s="571" t="s">
        <v>2505</v>
      </c>
      <c r="B18591" s="572">
        <v>30.872800000000002</v>
      </c>
      <c r="C18591" s="572">
        <v>223.75299999999999</v>
      </c>
    </row>
    <row r="18592" spans="1:3">
      <c r="A18592" s="571" t="s">
        <v>2505</v>
      </c>
      <c r="B18592" s="572">
        <v>53.291400000000003</v>
      </c>
      <c r="C18592" s="572">
        <v>266.404</v>
      </c>
    </row>
    <row r="18593" spans="1:3">
      <c r="A18593" s="573" t="s">
        <v>2505</v>
      </c>
      <c r="B18593" s="574">
        <v>148.357</v>
      </c>
      <c r="C18593" s="574">
        <v>332.99599999999998</v>
      </c>
    </row>
    <row r="18594" spans="1:3">
      <c r="A18594" s="573" t="s">
        <v>2505</v>
      </c>
      <c r="B18594" s="574">
        <v>314.60500000000002</v>
      </c>
      <c r="C18594" s="574">
        <v>340.80399999999997</v>
      </c>
    </row>
    <row r="18595" spans="1:3">
      <c r="A18595" s="573" t="s">
        <v>2505</v>
      </c>
      <c r="B18595" s="574">
        <v>498.84399999999999</v>
      </c>
      <c r="C18595" s="574">
        <v>359.399</v>
      </c>
    </row>
    <row r="18596" spans="1:3">
      <c r="A18596" s="569" t="s">
        <v>2505</v>
      </c>
      <c r="B18596" s="570">
        <v>612.76199999999994</v>
      </c>
      <c r="C18596" s="570">
        <v>329.90800000000002</v>
      </c>
    </row>
    <row r="18597" spans="1:3">
      <c r="A18597" s="569" t="s">
        <v>2505</v>
      </c>
      <c r="B18597" s="570">
        <v>1212.05</v>
      </c>
      <c r="C18597" s="570">
        <v>396.6</v>
      </c>
    </row>
    <row r="18598" spans="1:3">
      <c r="A18598" s="569" t="s">
        <v>2505</v>
      </c>
      <c r="B18598" s="570">
        <v>1592.34</v>
      </c>
      <c r="C18598" s="570">
        <v>420.601</v>
      </c>
    </row>
    <row r="18599" spans="1:3">
      <c r="A18599" s="569" t="s">
        <v>2505</v>
      </c>
      <c r="B18599" s="570">
        <v>2278.2800000000002</v>
      </c>
      <c r="C18599" s="570">
        <v>449.928</v>
      </c>
    </row>
    <row r="18600" spans="1:3">
      <c r="A18600" s="571" t="s">
        <v>2507</v>
      </c>
      <c r="B18600" s="572">
        <v>0.99709000000000003</v>
      </c>
      <c r="C18600" s="572">
        <v>136.45599999999999</v>
      </c>
    </row>
    <row r="18601" spans="1:3">
      <c r="A18601" s="571" t="s">
        <v>2507</v>
      </c>
      <c r="B18601" s="572">
        <v>1.8406800000000001</v>
      </c>
      <c r="C18601" s="572">
        <v>235.274</v>
      </c>
    </row>
    <row r="18602" spans="1:3">
      <c r="A18602" s="571" t="s">
        <v>2507</v>
      </c>
      <c r="B18602" s="572">
        <v>4.1037400000000002</v>
      </c>
      <c r="C18602" s="572">
        <v>299.255</v>
      </c>
    </row>
    <row r="18603" spans="1:3">
      <c r="A18603" s="571" t="s">
        <v>2507</v>
      </c>
      <c r="B18603" s="572">
        <v>30.119900000000001</v>
      </c>
      <c r="C18603" s="572">
        <v>579.61300000000006</v>
      </c>
    </row>
    <row r="18604" spans="1:3">
      <c r="A18604" s="571" t="s">
        <v>2507</v>
      </c>
      <c r="B18604" s="572">
        <v>54.717199999999998</v>
      </c>
      <c r="C18604" s="572">
        <v>630.27599999999995</v>
      </c>
    </row>
    <row r="18605" spans="1:3">
      <c r="A18605" s="573" t="s">
        <v>2507</v>
      </c>
      <c r="B18605" s="574">
        <v>142.24600000000001</v>
      </c>
      <c r="C18605" s="574">
        <v>702.23900000000003</v>
      </c>
    </row>
    <row r="18606" spans="1:3">
      <c r="A18606" s="573" t="s">
        <v>2507</v>
      </c>
      <c r="B18606" s="574">
        <v>296.39999999999998</v>
      </c>
      <c r="C18606" s="574">
        <v>731.45699999999999</v>
      </c>
    </row>
    <row r="18607" spans="1:3">
      <c r="A18607" s="573" t="s">
        <v>2507</v>
      </c>
      <c r="B18607" s="574">
        <v>396.065</v>
      </c>
      <c r="C18607" s="574">
        <v>760.80399999999997</v>
      </c>
    </row>
    <row r="18608" spans="1:3">
      <c r="A18608" s="569" t="s">
        <v>2507</v>
      </c>
      <c r="B18608" s="570">
        <v>629.08500000000004</v>
      </c>
      <c r="C18608" s="570">
        <v>699.13099999999997</v>
      </c>
    </row>
    <row r="18609" spans="1:3">
      <c r="A18609" s="569" t="s">
        <v>2507</v>
      </c>
      <c r="B18609" s="570">
        <v>1475.87</v>
      </c>
      <c r="C18609" s="570">
        <v>776.476</v>
      </c>
    </row>
    <row r="18610" spans="1:3">
      <c r="A18610" s="569" t="s">
        <v>2507</v>
      </c>
      <c r="B18610" s="570">
        <v>2262.9699999999998</v>
      </c>
      <c r="C18610" s="570">
        <v>765.649</v>
      </c>
    </row>
    <row r="18611" spans="1:3">
      <c r="A18611" s="571" t="s">
        <v>2509</v>
      </c>
      <c r="B18611" s="572">
        <v>0.99783100000000002</v>
      </c>
      <c r="C18611" s="572">
        <v>101.673</v>
      </c>
    </row>
    <row r="18612" spans="1:3">
      <c r="A18612" s="571" t="s">
        <v>2509</v>
      </c>
      <c r="B18612" s="572">
        <v>1.52596</v>
      </c>
      <c r="C18612" s="572">
        <v>213.92400000000001</v>
      </c>
    </row>
    <row r="18613" spans="1:3">
      <c r="A18613" s="571" t="s">
        <v>2509</v>
      </c>
      <c r="B18613" s="572">
        <v>1.9045700000000001</v>
      </c>
      <c r="C18613" s="572">
        <v>237.94</v>
      </c>
    </row>
    <row r="18614" spans="1:3">
      <c r="A18614" s="571" t="s">
        <v>2509</v>
      </c>
      <c r="B18614" s="572">
        <v>2.5021399999999998</v>
      </c>
      <c r="C18614" s="572">
        <v>261.94099999999997</v>
      </c>
    </row>
    <row r="18615" spans="1:3">
      <c r="A18615" s="571" t="s">
        <v>2509</v>
      </c>
      <c r="B18615" s="572">
        <v>5.11869</v>
      </c>
      <c r="C18615" s="572">
        <v>352.70299999999997</v>
      </c>
    </row>
    <row r="18616" spans="1:3">
      <c r="A18616" s="571" t="s">
        <v>2509</v>
      </c>
      <c r="B18616" s="572">
        <v>8.6706000000000003</v>
      </c>
      <c r="C18616" s="572">
        <v>478.30200000000002</v>
      </c>
    </row>
    <row r="18617" spans="1:3">
      <c r="A18617" s="571" t="s">
        <v>2509</v>
      </c>
      <c r="B18617" s="572">
        <v>33.929600000000001</v>
      </c>
      <c r="C18617" s="572">
        <v>603.65800000000002</v>
      </c>
    </row>
    <row r="18618" spans="1:3">
      <c r="A18618" s="573" t="s">
        <v>2509</v>
      </c>
      <c r="B18618" s="574">
        <v>152.25700000000001</v>
      </c>
      <c r="C18618" s="574">
        <v>718.27300000000002</v>
      </c>
    </row>
    <row r="18619" spans="1:3">
      <c r="A18619" s="573" t="s">
        <v>2509</v>
      </c>
      <c r="B18619" s="574">
        <v>296.43400000000003</v>
      </c>
      <c r="C18619" s="574">
        <v>726.10599999999999</v>
      </c>
    </row>
    <row r="18620" spans="1:3">
      <c r="A18620" s="573" t="s">
        <v>2509</v>
      </c>
      <c r="B18620" s="574">
        <v>417.041</v>
      </c>
      <c r="C18620" s="574">
        <v>744.73599999999999</v>
      </c>
    </row>
    <row r="18621" spans="1:3">
      <c r="A18621" s="569" t="s">
        <v>2509</v>
      </c>
      <c r="B18621" s="570">
        <v>662.25099999999998</v>
      </c>
      <c r="C18621" s="570">
        <v>693.76499999999999</v>
      </c>
    </row>
    <row r="18622" spans="1:3">
      <c r="A18622" s="569" t="s">
        <v>2509</v>
      </c>
      <c r="B18622" s="570">
        <v>996.91899999999998</v>
      </c>
      <c r="C18622" s="570">
        <v>744.48299999999995</v>
      </c>
    </row>
    <row r="18623" spans="1:3">
      <c r="A18623" s="569" t="s">
        <v>2509</v>
      </c>
      <c r="B18623" s="570">
        <v>1355.63</v>
      </c>
      <c r="C18623" s="570">
        <v>755.096</v>
      </c>
    </row>
    <row r="18624" spans="1:3">
      <c r="A18624" s="569" t="s">
        <v>2509</v>
      </c>
      <c r="B18624" s="570">
        <v>1665.12</v>
      </c>
      <c r="C18624" s="570">
        <v>728.28</v>
      </c>
    </row>
    <row r="18625" spans="1:3">
      <c r="A18625" s="569" t="s">
        <v>2509</v>
      </c>
      <c r="B18625" s="570">
        <v>2263.1</v>
      </c>
      <c r="C18625" s="570">
        <v>762.97299999999996</v>
      </c>
    </row>
    <row r="18626" spans="1:3">
      <c r="A18626" s="571" t="s">
        <v>2770</v>
      </c>
      <c r="B18626" s="572">
        <v>1.0519000000000001</v>
      </c>
      <c r="C18626" s="572">
        <v>6.0027999999999997</v>
      </c>
    </row>
    <row r="18627" spans="1:3">
      <c r="A18627" s="571" t="s">
        <v>2770</v>
      </c>
      <c r="B18627" s="572">
        <v>2.9571999999999998</v>
      </c>
      <c r="C18627" s="572">
        <v>9.9451000000000001</v>
      </c>
    </row>
    <row r="18628" spans="1:3">
      <c r="A18628" s="571" t="s">
        <v>2770</v>
      </c>
      <c r="B18628" s="572">
        <v>5.9135999999999997</v>
      </c>
      <c r="C18628" s="572">
        <v>16.047000000000001</v>
      </c>
    </row>
    <row r="18629" spans="1:3">
      <c r="A18629" s="571" t="s">
        <v>2770</v>
      </c>
      <c r="B18629" s="572">
        <v>7.0180999999999996</v>
      </c>
      <c r="C18629" s="572">
        <v>17.428000000000001</v>
      </c>
    </row>
    <row r="18630" spans="1:3">
      <c r="A18630" s="571" t="s">
        <v>2770</v>
      </c>
      <c r="B18630" s="572">
        <v>8.8435000000000006</v>
      </c>
      <c r="C18630" s="572">
        <v>20.968</v>
      </c>
    </row>
    <row r="18631" spans="1:3">
      <c r="A18631" s="571" t="s">
        <v>2770</v>
      </c>
      <c r="B18631" s="572">
        <v>12.784000000000001</v>
      </c>
      <c r="C18631" s="572">
        <v>26.478999999999999</v>
      </c>
    </row>
    <row r="18632" spans="1:3">
      <c r="A18632" s="571" t="s">
        <v>2770</v>
      </c>
      <c r="B18632" s="572">
        <v>19.690999999999999</v>
      </c>
      <c r="C18632" s="572">
        <v>36.893000000000001</v>
      </c>
    </row>
    <row r="18633" spans="1:3">
      <c r="A18633" s="571" t="s">
        <v>2770</v>
      </c>
      <c r="B18633" s="572">
        <v>33.369</v>
      </c>
      <c r="C18633" s="572">
        <v>48.695</v>
      </c>
    </row>
    <row r="18634" spans="1:3">
      <c r="A18634" s="571" t="s">
        <v>2770</v>
      </c>
      <c r="B18634" s="572">
        <v>54.404000000000003</v>
      </c>
      <c r="C18634" s="572">
        <v>62.063000000000002</v>
      </c>
    </row>
    <row r="18635" spans="1:3">
      <c r="A18635" s="571" t="s">
        <v>2770</v>
      </c>
      <c r="B18635" s="572">
        <v>75.123999999999995</v>
      </c>
      <c r="C18635" s="572">
        <v>70.129000000000005</v>
      </c>
    </row>
    <row r="18636" spans="1:3">
      <c r="A18636" s="573" t="s">
        <v>2770</v>
      </c>
      <c r="B18636" s="574">
        <v>102.72</v>
      </c>
      <c r="C18636" s="574">
        <v>77.608000000000004</v>
      </c>
    </row>
    <row r="18637" spans="1:3">
      <c r="A18637" s="573" t="s">
        <v>2770</v>
      </c>
      <c r="B18637" s="574">
        <v>131.24</v>
      </c>
      <c r="C18637" s="574">
        <v>82.338999999999999</v>
      </c>
    </row>
    <row r="18638" spans="1:3">
      <c r="A18638" s="573" t="s">
        <v>2770</v>
      </c>
      <c r="B18638" s="574">
        <v>170.46</v>
      </c>
      <c r="C18638" s="574">
        <v>85.507000000000005</v>
      </c>
    </row>
    <row r="18639" spans="1:3">
      <c r="A18639" s="573" t="s">
        <v>2770</v>
      </c>
      <c r="B18639" s="574">
        <v>201.92</v>
      </c>
      <c r="C18639" s="574">
        <v>88.858000000000004</v>
      </c>
    </row>
    <row r="18640" spans="1:3">
      <c r="A18640" s="573" t="s">
        <v>2770</v>
      </c>
      <c r="B18640" s="574">
        <v>243.66</v>
      </c>
      <c r="C18640" s="574">
        <v>91.233000000000004</v>
      </c>
    </row>
    <row r="18641" spans="1:3">
      <c r="A18641" s="573" t="s">
        <v>2770</v>
      </c>
      <c r="B18641" s="574">
        <v>290.83999999999997</v>
      </c>
      <c r="C18641" s="574">
        <v>93.606999999999999</v>
      </c>
    </row>
    <row r="18642" spans="1:3">
      <c r="A18642" s="573" t="s">
        <v>2770</v>
      </c>
      <c r="B18642" s="574">
        <v>382.47</v>
      </c>
      <c r="C18642" s="574">
        <v>99.126000000000005</v>
      </c>
    </row>
    <row r="18643" spans="1:3">
      <c r="A18643" s="569" t="s">
        <v>2770</v>
      </c>
      <c r="B18643" s="570">
        <v>516.80999999999995</v>
      </c>
      <c r="C18643" s="570">
        <v>100.54</v>
      </c>
    </row>
    <row r="18644" spans="1:3">
      <c r="A18644" s="569" t="s">
        <v>2770</v>
      </c>
      <c r="B18644" s="570">
        <v>690.72</v>
      </c>
      <c r="C18644" s="570">
        <v>102.74</v>
      </c>
    </row>
    <row r="18645" spans="1:3">
      <c r="A18645" s="569" t="s">
        <v>2770</v>
      </c>
      <c r="B18645" s="570">
        <v>1967.8</v>
      </c>
      <c r="C18645" s="570">
        <v>105.04</v>
      </c>
    </row>
    <row r="18646" spans="1:3">
      <c r="A18646" s="571" t="s">
        <v>2771</v>
      </c>
      <c r="B18646" s="572">
        <v>3.0583</v>
      </c>
      <c r="C18646" s="572">
        <v>5.8369</v>
      </c>
    </row>
    <row r="18647" spans="1:3">
      <c r="A18647" s="571" t="s">
        <v>2771</v>
      </c>
      <c r="B18647" s="572">
        <v>5.9062999999999999</v>
      </c>
      <c r="C18647" s="572">
        <v>9.7849000000000004</v>
      </c>
    </row>
    <row r="18648" spans="1:3">
      <c r="A18648" s="571" t="s">
        <v>2771</v>
      </c>
      <c r="B18648" s="572">
        <v>7.01</v>
      </c>
      <c r="C18648" s="572">
        <v>10.97</v>
      </c>
    </row>
    <row r="18649" spans="1:3">
      <c r="A18649" s="571" t="s">
        <v>2771</v>
      </c>
      <c r="B18649" s="572">
        <v>8.8322000000000003</v>
      </c>
      <c r="C18649" s="572">
        <v>12.944000000000001</v>
      </c>
    </row>
    <row r="18650" spans="1:3">
      <c r="A18650" s="571" t="s">
        <v>2771</v>
      </c>
      <c r="B18650" s="572">
        <v>12.965999999999999</v>
      </c>
      <c r="C18650" s="572">
        <v>16.5</v>
      </c>
    </row>
    <row r="18651" spans="1:3">
      <c r="A18651" s="571" t="s">
        <v>2771</v>
      </c>
      <c r="B18651" s="572">
        <v>19.920000000000002</v>
      </c>
      <c r="C18651" s="572">
        <v>21.63</v>
      </c>
    </row>
    <row r="18652" spans="1:3">
      <c r="A18652" s="571" t="s">
        <v>2771</v>
      </c>
      <c r="B18652" s="572">
        <v>33.716999999999999</v>
      </c>
      <c r="C18652" s="572">
        <v>34.801000000000002</v>
      </c>
    </row>
    <row r="18653" spans="1:3">
      <c r="A18653" s="571" t="s">
        <v>2771</v>
      </c>
      <c r="B18653" s="572">
        <v>54.323</v>
      </c>
      <c r="C18653" s="572">
        <v>46.603000000000002</v>
      </c>
    </row>
    <row r="18654" spans="1:3">
      <c r="A18654" s="571" t="s">
        <v>2771</v>
      </c>
      <c r="B18654" s="572">
        <v>74.242000000000004</v>
      </c>
      <c r="C18654" s="572">
        <v>56.625</v>
      </c>
    </row>
    <row r="18655" spans="1:3">
      <c r="A18655" s="573" t="s">
        <v>2771</v>
      </c>
      <c r="B18655" s="574">
        <v>102.6</v>
      </c>
      <c r="C18655" s="574">
        <v>64.888000000000005</v>
      </c>
    </row>
    <row r="18656" spans="1:3">
      <c r="A18656" s="573" t="s">
        <v>2771</v>
      </c>
      <c r="B18656" s="574">
        <v>129.79</v>
      </c>
      <c r="C18656" s="574">
        <v>70.986999999999995</v>
      </c>
    </row>
    <row r="18657" spans="1:3">
      <c r="A18657" s="573" t="s">
        <v>2771</v>
      </c>
      <c r="B18657" s="574">
        <v>172.04</v>
      </c>
      <c r="C18657" s="574">
        <v>76.701999999999998</v>
      </c>
    </row>
    <row r="18658" spans="1:3">
      <c r="A18658" s="573" t="s">
        <v>2771</v>
      </c>
      <c r="B18658" s="574">
        <v>203.78</v>
      </c>
      <c r="C18658" s="574">
        <v>80.052999999999997</v>
      </c>
    </row>
    <row r="18659" spans="1:3">
      <c r="A18659" s="573" t="s">
        <v>2771</v>
      </c>
      <c r="B18659" s="574">
        <v>241.13</v>
      </c>
      <c r="C18659" s="574">
        <v>84.186999999999998</v>
      </c>
    </row>
    <row r="18660" spans="1:3">
      <c r="A18660" s="573" t="s">
        <v>2771</v>
      </c>
      <c r="B18660" s="574">
        <v>293.54000000000002</v>
      </c>
      <c r="C18660" s="574">
        <v>86.954999999999998</v>
      </c>
    </row>
    <row r="18661" spans="1:3">
      <c r="A18661" s="573" t="s">
        <v>2771</v>
      </c>
      <c r="B18661" s="574">
        <v>385.92</v>
      </c>
      <c r="C18661" s="574">
        <v>90.320999999999998</v>
      </c>
    </row>
    <row r="18662" spans="1:3">
      <c r="A18662" s="569" t="s">
        <v>2771</v>
      </c>
      <c r="B18662" s="570">
        <v>516.55999999999995</v>
      </c>
      <c r="C18662" s="570">
        <v>94.864999999999995</v>
      </c>
    </row>
    <row r="18663" spans="1:3">
      <c r="A18663" s="569" t="s">
        <v>2771</v>
      </c>
      <c r="B18663" s="570">
        <v>690.44</v>
      </c>
      <c r="C18663" s="570">
        <v>98.039000000000001</v>
      </c>
    </row>
    <row r="18664" spans="1:3">
      <c r="A18664" s="569" t="s">
        <v>2771</v>
      </c>
      <c r="B18664" s="570">
        <v>1967.3</v>
      </c>
      <c r="C18664" s="570">
        <v>102.5</v>
      </c>
    </row>
    <row r="18665" spans="1:3">
      <c r="A18665" s="571" t="s">
        <v>2772</v>
      </c>
      <c r="B18665" s="572">
        <v>8.8237000000000005</v>
      </c>
      <c r="C18665" s="572">
        <v>6.8777999999999997</v>
      </c>
    </row>
    <row r="18666" spans="1:3">
      <c r="A18666" s="571" t="s">
        <v>2772</v>
      </c>
      <c r="B18666" s="572">
        <v>12.955</v>
      </c>
      <c r="C18666" s="572">
        <v>10.433</v>
      </c>
    </row>
    <row r="18667" spans="1:3">
      <c r="A18667" s="571" t="s">
        <v>2772</v>
      </c>
      <c r="B18667" s="572">
        <v>19.905000000000001</v>
      </c>
      <c r="C18667" s="572">
        <v>14.977</v>
      </c>
    </row>
    <row r="18668" spans="1:3">
      <c r="A18668" s="571" t="s">
        <v>2772</v>
      </c>
      <c r="B18668" s="572">
        <v>33.671999999999997</v>
      </c>
      <c r="C18668" s="572">
        <v>21.885000000000002</v>
      </c>
    </row>
    <row r="18669" spans="1:3">
      <c r="A18669" s="571" t="s">
        <v>2772</v>
      </c>
      <c r="B18669" s="572">
        <v>54.241999999999997</v>
      </c>
      <c r="C18669" s="572">
        <v>30.946999999999999</v>
      </c>
    </row>
    <row r="18670" spans="1:3">
      <c r="A18670" s="571" t="s">
        <v>2772</v>
      </c>
      <c r="B18670" s="572">
        <v>75.703000000000003</v>
      </c>
      <c r="C18670" s="572">
        <v>39.015000000000001</v>
      </c>
    </row>
    <row r="18671" spans="1:3">
      <c r="A18671" s="573" t="s">
        <v>2772</v>
      </c>
      <c r="B18671" s="574">
        <v>103.5</v>
      </c>
      <c r="C18671" s="574">
        <v>47.667999999999999</v>
      </c>
    </row>
    <row r="18672" spans="1:3">
      <c r="A18672" s="573" t="s">
        <v>2772</v>
      </c>
      <c r="B18672" s="574">
        <v>132.24</v>
      </c>
      <c r="C18672" s="574">
        <v>53.573</v>
      </c>
    </row>
    <row r="18673" spans="1:3">
      <c r="A18673" s="573" t="s">
        <v>2772</v>
      </c>
      <c r="B18673" s="574">
        <v>171.78</v>
      </c>
      <c r="C18673" s="574">
        <v>59.284999999999997</v>
      </c>
    </row>
    <row r="18674" spans="1:3">
      <c r="A18674" s="573" t="s">
        <v>2772</v>
      </c>
      <c r="B18674" s="574">
        <v>203.52</v>
      </c>
      <c r="C18674" s="574">
        <v>65.180000000000007</v>
      </c>
    </row>
    <row r="18675" spans="1:3">
      <c r="A18675" s="573" t="s">
        <v>2772</v>
      </c>
      <c r="B18675" s="574">
        <v>240.81</v>
      </c>
      <c r="C18675" s="574">
        <v>68.727000000000004</v>
      </c>
    </row>
    <row r="18676" spans="1:3">
      <c r="A18676" s="573" t="s">
        <v>2772</v>
      </c>
      <c r="B18676" s="574">
        <v>293.14999999999998</v>
      </c>
      <c r="C18676" s="574">
        <v>71.69</v>
      </c>
    </row>
    <row r="18677" spans="1:3">
      <c r="A18677" s="573" t="s">
        <v>2772</v>
      </c>
      <c r="B18677" s="574">
        <v>381.73</v>
      </c>
      <c r="C18677" s="574">
        <v>76.620999999999995</v>
      </c>
    </row>
    <row r="18678" spans="1:3">
      <c r="A18678" s="569" t="s">
        <v>2772</v>
      </c>
      <c r="B18678" s="570">
        <v>506.08</v>
      </c>
      <c r="C18678" s="570">
        <v>81.555000000000007</v>
      </c>
    </row>
    <row r="18679" spans="1:3">
      <c r="A18679" s="569" t="s">
        <v>2772</v>
      </c>
      <c r="B18679" s="570">
        <v>683.08</v>
      </c>
      <c r="C18679" s="570">
        <v>85.316999999999993</v>
      </c>
    </row>
    <row r="18680" spans="1:3">
      <c r="A18680" s="569" t="s">
        <v>2772</v>
      </c>
      <c r="B18680" s="570">
        <v>1947</v>
      </c>
      <c r="C18680" s="570">
        <v>92.712000000000003</v>
      </c>
    </row>
    <row r="18681" spans="1:3">
      <c r="A18681" s="571" t="s">
        <v>2773</v>
      </c>
      <c r="B18681" s="572">
        <v>8.8207000000000004</v>
      </c>
      <c r="C18681" s="572">
        <v>4.7251000000000003</v>
      </c>
    </row>
    <row r="18682" spans="1:3">
      <c r="A18682" s="571" t="s">
        <v>2773</v>
      </c>
      <c r="B18682" s="572">
        <v>12.948</v>
      </c>
      <c r="C18682" s="572">
        <v>6.3232999999999997</v>
      </c>
    </row>
    <row r="18683" spans="1:3">
      <c r="A18683" s="571" t="s">
        <v>2773</v>
      </c>
      <c r="B18683" s="572">
        <v>19.890999999999998</v>
      </c>
      <c r="C18683" s="572">
        <v>9.1056000000000008</v>
      </c>
    </row>
    <row r="18684" spans="1:3">
      <c r="A18684" s="571" t="s">
        <v>2773</v>
      </c>
      <c r="B18684" s="572">
        <v>33.645000000000003</v>
      </c>
      <c r="C18684" s="572">
        <v>14.253</v>
      </c>
    </row>
    <row r="18685" spans="1:3">
      <c r="A18685" s="571" t="s">
        <v>2773</v>
      </c>
      <c r="B18685" s="572">
        <v>54.179000000000002</v>
      </c>
      <c r="C18685" s="572">
        <v>18.814</v>
      </c>
    </row>
    <row r="18686" spans="1:3">
      <c r="A18686" s="571" t="s">
        <v>2773</v>
      </c>
      <c r="B18686" s="572">
        <v>75.603999999999999</v>
      </c>
      <c r="C18686" s="572">
        <v>24.923999999999999</v>
      </c>
    </row>
    <row r="18687" spans="1:3">
      <c r="A18687" s="573" t="s">
        <v>2773</v>
      </c>
      <c r="B18687" s="574">
        <v>102.27</v>
      </c>
      <c r="C18687" s="574">
        <v>29.271000000000001</v>
      </c>
    </row>
    <row r="18688" spans="1:3">
      <c r="A18688" s="573" t="s">
        <v>2773</v>
      </c>
      <c r="B18688" s="574">
        <v>130.66</v>
      </c>
      <c r="C18688" s="574">
        <v>32.436</v>
      </c>
    </row>
    <row r="18689" spans="1:3">
      <c r="A18689" s="573" t="s">
        <v>2773</v>
      </c>
      <c r="B18689" s="574">
        <v>173.23</v>
      </c>
      <c r="C18689" s="574">
        <v>41.673999999999999</v>
      </c>
    </row>
    <row r="18690" spans="1:3">
      <c r="A18690" s="573" t="s">
        <v>2773</v>
      </c>
      <c r="B18690" s="574">
        <v>203.19</v>
      </c>
      <c r="C18690" s="574">
        <v>46.393000000000001</v>
      </c>
    </row>
    <row r="18691" spans="1:3">
      <c r="A18691" s="573" t="s">
        <v>2773</v>
      </c>
      <c r="B18691" s="574">
        <v>240.43</v>
      </c>
      <c r="C18691" s="574">
        <v>50.527000000000001</v>
      </c>
    </row>
    <row r="18692" spans="1:3">
      <c r="A18692" s="573" t="s">
        <v>2773</v>
      </c>
      <c r="B18692" s="574">
        <v>292.70999999999998</v>
      </c>
      <c r="C18692" s="574">
        <v>54.078000000000003</v>
      </c>
    </row>
    <row r="18693" spans="1:3">
      <c r="A18693" s="573" t="s">
        <v>2773</v>
      </c>
      <c r="B18693" s="574">
        <v>381.21</v>
      </c>
      <c r="C18693" s="574">
        <v>60.378</v>
      </c>
    </row>
    <row r="18694" spans="1:3">
      <c r="A18694" s="569" t="s">
        <v>2773</v>
      </c>
      <c r="B18694" s="570">
        <v>510.4</v>
      </c>
      <c r="C18694" s="570">
        <v>67.662000000000006</v>
      </c>
    </row>
    <row r="18695" spans="1:3">
      <c r="A18695" s="569" t="s">
        <v>2773</v>
      </c>
      <c r="B18695" s="570">
        <v>682.36</v>
      </c>
      <c r="C18695" s="570">
        <v>72.792000000000002</v>
      </c>
    </row>
    <row r="18696" spans="1:3">
      <c r="A18696" s="569" t="s">
        <v>2773</v>
      </c>
      <c r="B18696" s="570">
        <v>1927.1</v>
      </c>
      <c r="C18696" s="570">
        <v>84.492000000000004</v>
      </c>
    </row>
    <row r="18697" spans="1:3">
      <c r="A18697" s="571" t="s">
        <v>2774</v>
      </c>
      <c r="B18697" s="572">
        <v>8.8173999999999992</v>
      </c>
      <c r="C18697" s="572">
        <v>2.3767</v>
      </c>
    </row>
    <row r="18698" spans="1:3">
      <c r="A18698" s="571" t="s">
        <v>2774</v>
      </c>
      <c r="B18698" s="572">
        <v>12.944000000000001</v>
      </c>
      <c r="C18698" s="572">
        <v>3.9748999999999999</v>
      </c>
    </row>
    <row r="18699" spans="1:3">
      <c r="A18699" s="571" t="s">
        <v>2774</v>
      </c>
      <c r="B18699" s="572">
        <v>19.885000000000002</v>
      </c>
      <c r="C18699" s="572">
        <v>6.5614999999999997</v>
      </c>
    </row>
    <row r="18700" spans="1:3">
      <c r="A18700" s="571" t="s">
        <v>2774</v>
      </c>
      <c r="B18700" s="572">
        <v>33.622999999999998</v>
      </c>
      <c r="C18700" s="572">
        <v>7.9909999999999997</v>
      </c>
    </row>
    <row r="18701" spans="1:3">
      <c r="A18701" s="571" t="s">
        <v>2774</v>
      </c>
      <c r="B18701" s="572">
        <v>54.732999999999997</v>
      </c>
      <c r="C18701" s="572">
        <v>10.792</v>
      </c>
    </row>
    <row r="18702" spans="1:3">
      <c r="A18702" s="571" t="s">
        <v>2774</v>
      </c>
      <c r="B18702" s="572">
        <v>75.534999999999997</v>
      </c>
      <c r="C18702" s="572">
        <v>14.944000000000001</v>
      </c>
    </row>
    <row r="18703" spans="1:3">
      <c r="A18703" s="573" t="s">
        <v>2774</v>
      </c>
      <c r="B18703" s="574">
        <v>103.23</v>
      </c>
      <c r="C18703" s="574">
        <v>18.117999999999999</v>
      </c>
    </row>
    <row r="18704" spans="1:3">
      <c r="A18704" s="573" t="s">
        <v>2774</v>
      </c>
      <c r="B18704" s="574">
        <v>130.53</v>
      </c>
      <c r="C18704" s="574">
        <v>21.085999999999999</v>
      </c>
    </row>
    <row r="18705" spans="1:3">
      <c r="A18705" s="573" t="s">
        <v>2774</v>
      </c>
      <c r="B18705" s="574">
        <v>173.06</v>
      </c>
      <c r="C18705" s="574">
        <v>29.931999999999999</v>
      </c>
    </row>
    <row r="18706" spans="1:3">
      <c r="A18706" s="573" t="s">
        <v>2774</v>
      </c>
      <c r="B18706" s="574">
        <v>202.9</v>
      </c>
      <c r="C18706" s="574">
        <v>30.15</v>
      </c>
    </row>
    <row r="18707" spans="1:3">
      <c r="A18707" s="573" t="s">
        <v>2774</v>
      </c>
      <c r="B18707" s="574">
        <v>242.49</v>
      </c>
      <c r="C18707" s="574">
        <v>35.264000000000003</v>
      </c>
    </row>
    <row r="18708" spans="1:3">
      <c r="A18708" s="573" t="s">
        <v>2774</v>
      </c>
      <c r="B18708" s="574">
        <v>295.2</v>
      </c>
      <c r="C18708" s="574">
        <v>38.423000000000002</v>
      </c>
    </row>
    <row r="18709" spans="1:3">
      <c r="A18709" s="573" t="s">
        <v>2774</v>
      </c>
      <c r="B18709" s="574">
        <v>380.74</v>
      </c>
      <c r="C18709" s="574">
        <v>46.091999999999999</v>
      </c>
    </row>
    <row r="18710" spans="1:3">
      <c r="A18710" s="569" t="s">
        <v>2774</v>
      </c>
      <c r="B18710" s="570">
        <v>509.71</v>
      </c>
      <c r="C18710" s="570">
        <v>51.613999999999997</v>
      </c>
    </row>
    <row r="18711" spans="1:3">
      <c r="A18711" s="569" t="s">
        <v>2774</v>
      </c>
      <c r="B18711" s="570">
        <v>681.64</v>
      </c>
      <c r="C18711" s="570">
        <v>60.268000000000001</v>
      </c>
    </row>
    <row r="18712" spans="1:3">
      <c r="A18712" s="569" t="s">
        <v>2774</v>
      </c>
      <c r="B18712" s="570">
        <v>1944.2</v>
      </c>
      <c r="C18712" s="570">
        <v>75.295000000000002</v>
      </c>
    </row>
    <row r="18713" spans="1:3">
      <c r="A18713" s="571" t="s">
        <v>2775</v>
      </c>
      <c r="B18713" s="572">
        <v>0.14662</v>
      </c>
      <c r="C18713" s="572">
        <v>0.11627999999999999</v>
      </c>
    </row>
    <row r="18714" spans="1:3">
      <c r="A18714" s="571" t="s">
        <v>2775</v>
      </c>
      <c r="B18714" s="572">
        <v>0.96160000000000001</v>
      </c>
      <c r="C18714" s="572">
        <v>0.13045999999999999</v>
      </c>
    </row>
    <row r="18715" spans="1:3">
      <c r="A18715" s="571" t="s">
        <v>2775</v>
      </c>
      <c r="B18715" s="572">
        <v>3.0529000000000002</v>
      </c>
      <c r="C18715" s="572">
        <v>3.4034000000000002E-2</v>
      </c>
    </row>
    <row r="18716" spans="1:3">
      <c r="A18716" s="571" t="s">
        <v>2775</v>
      </c>
      <c r="B18716" s="572">
        <v>6.8541999999999996</v>
      </c>
      <c r="C18716" s="572">
        <v>0.20562</v>
      </c>
    </row>
    <row r="18717" spans="1:3">
      <c r="A18717" s="571" t="s">
        <v>2775</v>
      </c>
      <c r="B18717" s="572">
        <v>8.8147000000000002</v>
      </c>
      <c r="C18717" s="572">
        <v>0.41976000000000002</v>
      </c>
    </row>
    <row r="18718" spans="1:3">
      <c r="A18718" s="571" t="s">
        <v>2775</v>
      </c>
      <c r="B18718" s="572">
        <v>13.138999999999999</v>
      </c>
      <c r="C18718" s="572">
        <v>0.84518000000000004</v>
      </c>
    </row>
    <row r="18719" spans="1:3">
      <c r="A18719" s="571" t="s">
        <v>2775</v>
      </c>
      <c r="B18719" s="572">
        <v>19.608000000000001</v>
      </c>
      <c r="C18719" s="572">
        <v>1.2763</v>
      </c>
    </row>
    <row r="18720" spans="1:3">
      <c r="A18720" s="571" t="s">
        <v>2775</v>
      </c>
      <c r="B18720" s="572">
        <v>33.603000000000002</v>
      </c>
      <c r="C18720" s="572">
        <v>2.1200999999999999</v>
      </c>
    </row>
    <row r="18721" spans="1:3">
      <c r="A18721" s="571" t="s">
        <v>2775</v>
      </c>
      <c r="B18721" s="572">
        <v>54.685000000000002</v>
      </c>
      <c r="C18721" s="572">
        <v>1.7896000000000001</v>
      </c>
    </row>
    <row r="18722" spans="1:3">
      <c r="A18722" s="571" t="s">
        <v>2775</v>
      </c>
      <c r="B18722" s="572">
        <v>76.247</v>
      </c>
      <c r="C18722" s="572">
        <v>2.4207000000000001</v>
      </c>
    </row>
    <row r="18723" spans="1:3">
      <c r="A18723" s="573" t="s">
        <v>2775</v>
      </c>
      <c r="B18723" s="574">
        <v>103.08</v>
      </c>
      <c r="C18723" s="574">
        <v>2.2660999999999998</v>
      </c>
    </row>
    <row r="18724" spans="1:3">
      <c r="A18724" s="573" t="s">
        <v>2775</v>
      </c>
      <c r="B18724" s="574">
        <v>130.31</v>
      </c>
      <c r="C18724" s="574">
        <v>1.9073</v>
      </c>
    </row>
    <row r="18725" spans="1:3">
      <c r="A18725" s="573" t="s">
        <v>2775</v>
      </c>
      <c r="B18725" s="574">
        <v>172.65</v>
      </c>
      <c r="C18725" s="574">
        <v>2.7298</v>
      </c>
    </row>
    <row r="18726" spans="1:3">
      <c r="A18726" s="573" t="s">
        <v>2775</v>
      </c>
      <c r="B18726" s="574">
        <v>204.44</v>
      </c>
      <c r="C18726" s="574">
        <v>2.9496000000000002</v>
      </c>
    </row>
    <row r="18727" spans="1:3">
      <c r="A18727" s="573" t="s">
        <v>2775</v>
      </c>
      <c r="B18727" s="574">
        <v>244.23</v>
      </c>
      <c r="C18727" s="574">
        <v>3.9535999999999998</v>
      </c>
    </row>
    <row r="18728" spans="1:3">
      <c r="A18728" s="573" t="s">
        <v>2775</v>
      </c>
      <c r="B18728" s="574">
        <v>294.33</v>
      </c>
      <c r="C18728" s="574">
        <v>3.9805999999999999</v>
      </c>
    </row>
    <row r="18729" spans="1:3">
      <c r="A18729" s="573" t="s">
        <v>2775</v>
      </c>
      <c r="B18729" s="574">
        <v>383.07</v>
      </c>
      <c r="C18729" s="574">
        <v>3.4318</v>
      </c>
    </row>
    <row r="18730" spans="1:3">
      <c r="A18730" s="569" t="s">
        <v>2775</v>
      </c>
      <c r="B18730" s="570">
        <v>512.75</v>
      </c>
      <c r="C18730" s="570">
        <v>7.5839999999999996</v>
      </c>
    </row>
    <row r="18731" spans="1:3">
      <c r="A18731" s="569" t="s">
        <v>2775</v>
      </c>
      <c r="B18731" s="570">
        <v>685.31</v>
      </c>
      <c r="C18731" s="570">
        <v>9.5835000000000008</v>
      </c>
    </row>
    <row r="18732" spans="1:3">
      <c r="A18732" s="569" t="s">
        <v>2775</v>
      </c>
      <c r="B18732" s="570">
        <v>1954.6</v>
      </c>
      <c r="C18732" s="570">
        <v>25.001999999999999</v>
      </c>
    </row>
    <row r="18733" spans="1:3">
      <c r="A18733" s="571" t="s">
        <v>2776</v>
      </c>
      <c r="B18733" s="572">
        <v>2.6981000000000002</v>
      </c>
      <c r="C18733" s="572">
        <v>13.254</v>
      </c>
    </row>
    <row r="18734" spans="1:3">
      <c r="A18734" s="571" t="s">
        <v>2776</v>
      </c>
      <c r="B18734" s="572">
        <v>5.5860000000000003</v>
      </c>
      <c r="C18734" s="572">
        <v>22.632000000000001</v>
      </c>
    </row>
    <row r="18735" spans="1:3">
      <c r="A18735" s="571" t="s">
        <v>2776</v>
      </c>
      <c r="B18735" s="572">
        <v>6.5465</v>
      </c>
      <c r="C18735" s="572">
        <v>24.890999999999998</v>
      </c>
    </row>
    <row r="18736" spans="1:3">
      <c r="A18736" s="571" t="s">
        <v>2776</v>
      </c>
      <c r="B18736" s="572">
        <v>8.3928999999999991</v>
      </c>
      <c r="C18736" s="572">
        <v>29.405999999999999</v>
      </c>
    </row>
    <row r="18737" spans="1:3">
      <c r="A18737" s="571" t="s">
        <v>2776</v>
      </c>
      <c r="B18737" s="572">
        <v>12.292</v>
      </c>
      <c r="C18737" s="572">
        <v>37.396000000000001</v>
      </c>
    </row>
    <row r="18738" spans="1:3">
      <c r="A18738" s="571" t="s">
        <v>2776</v>
      </c>
      <c r="B18738" s="572">
        <v>18.891999999999999</v>
      </c>
      <c r="C18738" s="572">
        <v>49.029000000000003</v>
      </c>
    </row>
    <row r="18739" spans="1:3">
      <c r="A18739" s="571" t="s">
        <v>2776</v>
      </c>
      <c r="B18739" s="572">
        <v>32.517000000000003</v>
      </c>
      <c r="C18739" s="572">
        <v>62.408999999999999</v>
      </c>
    </row>
    <row r="18740" spans="1:3">
      <c r="A18740" s="571" t="s">
        <v>2776</v>
      </c>
      <c r="B18740" s="572">
        <v>53.052999999999997</v>
      </c>
      <c r="C18740" s="572">
        <v>73.710999999999999</v>
      </c>
    </row>
    <row r="18741" spans="1:3">
      <c r="A18741" s="571" t="s">
        <v>2776</v>
      </c>
      <c r="B18741" s="572">
        <v>73.647000000000006</v>
      </c>
      <c r="C18741" s="572">
        <v>78.591999999999999</v>
      </c>
    </row>
    <row r="18742" spans="1:3">
      <c r="A18742" s="573" t="s">
        <v>2776</v>
      </c>
      <c r="B18742" s="574">
        <v>101.18</v>
      </c>
      <c r="C18742" s="574">
        <v>84.338999999999999</v>
      </c>
    </row>
    <row r="18743" spans="1:3">
      <c r="A18743" s="573" t="s">
        <v>2776</v>
      </c>
      <c r="B18743" s="574">
        <v>127.21</v>
      </c>
      <c r="C18743" s="574">
        <v>86.96</v>
      </c>
    </row>
    <row r="18744" spans="1:3">
      <c r="A18744" s="573" t="s">
        <v>2776</v>
      </c>
      <c r="B18744" s="574">
        <v>168.28</v>
      </c>
      <c r="C18744" s="574">
        <v>88.201999999999998</v>
      </c>
    </row>
    <row r="18745" spans="1:3">
      <c r="A18745" s="573" t="s">
        <v>2776</v>
      </c>
      <c r="B18745" s="574">
        <v>197.6</v>
      </c>
      <c r="C18745" s="574">
        <v>90.99</v>
      </c>
    </row>
    <row r="18746" spans="1:3">
      <c r="A18746" s="573" t="s">
        <v>2776</v>
      </c>
      <c r="B18746" s="574">
        <v>235.96</v>
      </c>
      <c r="C18746" s="574">
        <v>92.567999999999998</v>
      </c>
    </row>
    <row r="18747" spans="1:3">
      <c r="A18747" s="573" t="s">
        <v>2776</v>
      </c>
      <c r="B18747" s="574">
        <v>286.49</v>
      </c>
      <c r="C18747" s="574">
        <v>93.801000000000002</v>
      </c>
    </row>
    <row r="18748" spans="1:3">
      <c r="A18748" s="573" t="s">
        <v>2776</v>
      </c>
      <c r="B18748" s="574">
        <v>372.56</v>
      </c>
      <c r="C18748" s="574">
        <v>98.852000000000004</v>
      </c>
    </row>
    <row r="18749" spans="1:3">
      <c r="A18749" s="573" t="s">
        <v>2776</v>
      </c>
      <c r="B18749" s="574">
        <v>492.45</v>
      </c>
      <c r="C18749" s="574">
        <v>99.575999999999993</v>
      </c>
    </row>
    <row r="18750" spans="1:3">
      <c r="A18750" s="569" t="s">
        <v>2776</v>
      </c>
      <c r="B18750" s="570">
        <v>661.4</v>
      </c>
      <c r="C18750" s="570">
        <v>101.69</v>
      </c>
    </row>
    <row r="18751" spans="1:3">
      <c r="A18751" s="569" t="s">
        <v>2776</v>
      </c>
      <c r="B18751" s="570">
        <v>1861.3</v>
      </c>
      <c r="C18751" s="570">
        <v>104.57</v>
      </c>
    </row>
    <row r="18752" spans="1:3">
      <c r="A18752" s="571" t="s">
        <v>2777</v>
      </c>
      <c r="B18752" s="572">
        <v>2.7008999999999999</v>
      </c>
      <c r="C18752" s="572">
        <v>9.7911999999999999</v>
      </c>
    </row>
    <row r="18753" spans="1:3">
      <c r="A18753" s="571" t="s">
        <v>2777</v>
      </c>
      <c r="B18753" s="572">
        <v>5.5911</v>
      </c>
      <c r="C18753" s="572">
        <v>17.61</v>
      </c>
    </row>
    <row r="18754" spans="1:3">
      <c r="A18754" s="571" t="s">
        <v>2777</v>
      </c>
      <c r="B18754" s="572">
        <v>6.6776999999999997</v>
      </c>
      <c r="C18754" s="572">
        <v>19.350999999999999</v>
      </c>
    </row>
    <row r="18755" spans="1:3">
      <c r="A18755" s="571" t="s">
        <v>2777</v>
      </c>
      <c r="B18755" s="572">
        <v>8.5421999999999993</v>
      </c>
      <c r="C18755" s="572">
        <v>22.654</v>
      </c>
    </row>
    <row r="18756" spans="1:3">
      <c r="A18756" s="571" t="s">
        <v>2777</v>
      </c>
      <c r="B18756" s="572">
        <v>12.305999999999999</v>
      </c>
      <c r="C18756" s="572">
        <v>28.738</v>
      </c>
    </row>
    <row r="18757" spans="1:3">
      <c r="A18757" s="571" t="s">
        <v>2777</v>
      </c>
      <c r="B18757" s="572">
        <v>18.917000000000002</v>
      </c>
      <c r="C18757" s="572">
        <v>36.908000000000001</v>
      </c>
    </row>
    <row r="18758" spans="1:3">
      <c r="A18758" s="571" t="s">
        <v>2777</v>
      </c>
      <c r="B18758" s="572">
        <v>32.895000000000003</v>
      </c>
      <c r="C18758" s="572">
        <v>52.54</v>
      </c>
    </row>
    <row r="18759" spans="1:3">
      <c r="A18759" s="571" t="s">
        <v>2777</v>
      </c>
      <c r="B18759" s="572">
        <v>53.098999999999997</v>
      </c>
      <c r="C18759" s="572">
        <v>63.667000000000002</v>
      </c>
    </row>
    <row r="18760" spans="1:3">
      <c r="A18760" s="571" t="s">
        <v>2777</v>
      </c>
      <c r="B18760" s="572">
        <v>73.683000000000007</v>
      </c>
      <c r="C18760" s="572">
        <v>72.703999999999994</v>
      </c>
    </row>
    <row r="18761" spans="1:3">
      <c r="A18761" s="573" t="s">
        <v>2777</v>
      </c>
      <c r="B18761" s="574">
        <v>100.29</v>
      </c>
      <c r="C18761" s="574">
        <v>79.143000000000001</v>
      </c>
    </row>
    <row r="18762" spans="1:3">
      <c r="A18762" s="573" t="s">
        <v>2777</v>
      </c>
      <c r="B18762" s="574">
        <v>127.24</v>
      </c>
      <c r="C18762" s="574">
        <v>83.323999999999998</v>
      </c>
    </row>
    <row r="18763" spans="1:3">
      <c r="A18763" s="573" t="s">
        <v>2777</v>
      </c>
      <c r="B18763" s="574">
        <v>166.8</v>
      </c>
      <c r="C18763" s="574">
        <v>86.47</v>
      </c>
    </row>
    <row r="18764" spans="1:3">
      <c r="A18764" s="573" t="s">
        <v>2777</v>
      </c>
      <c r="B18764" s="574">
        <v>197.63</v>
      </c>
      <c r="C18764" s="574">
        <v>89.085999999999999</v>
      </c>
    </row>
    <row r="18765" spans="1:3">
      <c r="A18765" s="573" t="s">
        <v>2777</v>
      </c>
      <c r="B18765" s="574">
        <v>235.97</v>
      </c>
      <c r="C18765" s="574">
        <v>92.221999999999994</v>
      </c>
    </row>
    <row r="18766" spans="1:3">
      <c r="A18766" s="573" t="s">
        <v>2777</v>
      </c>
      <c r="B18766" s="574">
        <v>283.97000000000003</v>
      </c>
      <c r="C18766" s="574">
        <v>94.147000000000006</v>
      </c>
    </row>
    <row r="18767" spans="1:3">
      <c r="A18767" s="573" t="s">
        <v>2777</v>
      </c>
      <c r="B18767" s="574">
        <v>369.37</v>
      </c>
      <c r="C18767" s="574">
        <v>96.945999999999998</v>
      </c>
    </row>
    <row r="18768" spans="1:3">
      <c r="A18768" s="569" t="s">
        <v>2777</v>
      </c>
      <c r="B18768" s="570">
        <v>501.08</v>
      </c>
      <c r="C18768" s="570">
        <v>99.924000000000007</v>
      </c>
    </row>
    <row r="18769" spans="1:3">
      <c r="A18769" s="569" t="s">
        <v>2777</v>
      </c>
      <c r="B18769" s="570">
        <v>661.39</v>
      </c>
      <c r="C18769" s="570">
        <v>102.03</v>
      </c>
    </row>
    <row r="18770" spans="1:3">
      <c r="A18770" s="569" t="s">
        <v>2777</v>
      </c>
      <c r="B18770" s="570">
        <v>1893.6</v>
      </c>
      <c r="C18770" s="570">
        <v>104.57</v>
      </c>
    </row>
    <row r="18771" spans="1:3">
      <c r="A18771" s="571" t="s">
        <v>2779</v>
      </c>
      <c r="B18771" s="572">
        <v>2.7936000000000001</v>
      </c>
      <c r="C18771" s="572">
        <v>8.9263999999999992</v>
      </c>
    </row>
    <row r="18772" spans="1:3">
      <c r="A18772" s="571" t="s">
        <v>2779</v>
      </c>
      <c r="B18772" s="572">
        <v>5.4791999999999996</v>
      </c>
      <c r="C18772" s="572">
        <v>13.8</v>
      </c>
    </row>
    <row r="18773" spans="1:3">
      <c r="A18773" s="571" t="s">
        <v>2779</v>
      </c>
      <c r="B18773" s="572">
        <v>6.6828000000000003</v>
      </c>
      <c r="C18773" s="572">
        <v>14.675000000000001</v>
      </c>
    </row>
    <row r="18774" spans="1:3">
      <c r="A18774" s="571" t="s">
        <v>2779</v>
      </c>
      <c r="B18774" s="572">
        <v>8.6913999999999998</v>
      </c>
      <c r="C18774" s="572">
        <v>17.114000000000001</v>
      </c>
    </row>
    <row r="18775" spans="1:3">
      <c r="A18775" s="571" t="s">
        <v>2779</v>
      </c>
      <c r="B18775" s="572">
        <v>12.317</v>
      </c>
      <c r="C18775" s="572">
        <v>21.292000000000002</v>
      </c>
    </row>
    <row r="18776" spans="1:3">
      <c r="A18776" s="571" t="s">
        <v>2779</v>
      </c>
      <c r="B18776" s="572">
        <v>19.164999999999999</v>
      </c>
      <c r="C18776" s="572">
        <v>28.597999999999999</v>
      </c>
    </row>
    <row r="18777" spans="1:3">
      <c r="A18777" s="571" t="s">
        <v>2779</v>
      </c>
      <c r="B18777" s="572">
        <v>32.585000000000001</v>
      </c>
      <c r="C18777" s="572">
        <v>39.898000000000003</v>
      </c>
    </row>
    <row r="18778" spans="1:3">
      <c r="A18778" s="571" t="s">
        <v>2779</v>
      </c>
      <c r="B18778" s="572">
        <v>53.677999999999997</v>
      </c>
      <c r="C18778" s="572">
        <v>52.067</v>
      </c>
    </row>
    <row r="18779" spans="1:3">
      <c r="A18779" s="571" t="s">
        <v>2779</v>
      </c>
      <c r="B18779" s="572">
        <v>73.763000000000005</v>
      </c>
      <c r="C18779" s="572">
        <v>59.718000000000004</v>
      </c>
    </row>
    <row r="18780" spans="1:3">
      <c r="A18780" s="571" t="s">
        <v>2779</v>
      </c>
      <c r="B18780" s="572">
        <v>99.457999999999998</v>
      </c>
      <c r="C18780" s="572">
        <v>68.233000000000004</v>
      </c>
    </row>
    <row r="18781" spans="1:3">
      <c r="A18781" s="573" t="s">
        <v>2779</v>
      </c>
      <c r="B18781" s="574">
        <v>127.34</v>
      </c>
      <c r="C18781" s="574">
        <v>73.626999999999995</v>
      </c>
    </row>
    <row r="18782" spans="1:3">
      <c r="A18782" s="573" t="s">
        <v>2779</v>
      </c>
      <c r="B18782" s="574">
        <v>168.43</v>
      </c>
      <c r="C18782" s="574">
        <v>76.774000000000001</v>
      </c>
    </row>
    <row r="18783" spans="1:3">
      <c r="A18783" s="573" t="s">
        <v>2779</v>
      </c>
      <c r="B18783" s="574">
        <v>196</v>
      </c>
      <c r="C18783" s="574">
        <v>81.293000000000006</v>
      </c>
    </row>
    <row r="18784" spans="1:3">
      <c r="A18784" s="573" t="s">
        <v>2779</v>
      </c>
      <c r="B18784" s="574">
        <v>236.13</v>
      </c>
      <c r="C18784" s="574">
        <v>83.391000000000005</v>
      </c>
    </row>
    <row r="18785" spans="1:3">
      <c r="A18785" s="573" t="s">
        <v>2779</v>
      </c>
      <c r="B18785" s="574">
        <v>284.17</v>
      </c>
      <c r="C18785" s="574">
        <v>85.143000000000001</v>
      </c>
    </row>
    <row r="18786" spans="1:3">
      <c r="A18786" s="573" t="s">
        <v>2779</v>
      </c>
      <c r="B18786" s="574">
        <v>369.6</v>
      </c>
      <c r="C18786" s="574">
        <v>88.980999999999995</v>
      </c>
    </row>
    <row r="18787" spans="1:3">
      <c r="A18787" s="573" t="s">
        <v>2779</v>
      </c>
      <c r="B18787" s="574">
        <v>492.74</v>
      </c>
      <c r="C18787" s="574">
        <v>91.956999999999994</v>
      </c>
    </row>
    <row r="18788" spans="1:3">
      <c r="A18788" s="569" t="s">
        <v>2779</v>
      </c>
      <c r="B18788" s="570">
        <v>661.73</v>
      </c>
      <c r="C18788" s="570">
        <v>95.278999999999996</v>
      </c>
    </row>
    <row r="18789" spans="1:3">
      <c r="A18789" s="569" t="s">
        <v>2779</v>
      </c>
      <c r="B18789" s="570">
        <v>1878.2</v>
      </c>
      <c r="C18789" s="570">
        <v>99.033000000000001</v>
      </c>
    </row>
    <row r="18790" spans="1:3">
      <c r="A18790" s="571" t="s">
        <v>2781</v>
      </c>
      <c r="B18790" s="572">
        <v>2.7054999999999998</v>
      </c>
      <c r="C18790" s="572">
        <v>4.077</v>
      </c>
    </row>
    <row r="18791" spans="1:3">
      <c r="A18791" s="571" t="s">
        <v>2781</v>
      </c>
      <c r="B18791" s="572">
        <v>6.3205999999999998</v>
      </c>
      <c r="C18791" s="572">
        <v>5.3219000000000003</v>
      </c>
    </row>
    <row r="18792" spans="1:3">
      <c r="A18792" s="571" t="s">
        <v>2781</v>
      </c>
      <c r="B18792" s="572">
        <v>8.5615000000000006</v>
      </c>
      <c r="C18792" s="572">
        <v>7.0698999999999996</v>
      </c>
    </row>
    <row r="18793" spans="1:3">
      <c r="A18793" s="571" t="s">
        <v>2781</v>
      </c>
      <c r="B18793" s="572">
        <v>12.507999999999999</v>
      </c>
      <c r="C18793" s="572">
        <v>10.557</v>
      </c>
    </row>
    <row r="18794" spans="1:3">
      <c r="A18794" s="571" t="s">
        <v>2781</v>
      </c>
      <c r="B18794" s="572">
        <v>19.196000000000002</v>
      </c>
      <c r="C18794" s="572">
        <v>13.532999999999999</v>
      </c>
    </row>
    <row r="18795" spans="1:3">
      <c r="A18795" s="571" t="s">
        <v>2781</v>
      </c>
      <c r="B18795" s="572">
        <v>32.634999999999998</v>
      </c>
      <c r="C18795" s="572">
        <v>23.448</v>
      </c>
    </row>
    <row r="18796" spans="1:3">
      <c r="A18796" s="571" t="s">
        <v>2781</v>
      </c>
      <c r="B18796" s="572">
        <v>53.774999999999999</v>
      </c>
      <c r="C18796" s="572">
        <v>31.114000000000001</v>
      </c>
    </row>
    <row r="18797" spans="1:3">
      <c r="A18797" s="571" t="s">
        <v>2781</v>
      </c>
      <c r="B18797" s="572">
        <v>74.591999999999999</v>
      </c>
      <c r="C18797" s="572">
        <v>39.286000000000001</v>
      </c>
    </row>
    <row r="18798" spans="1:3">
      <c r="A18798" s="573" t="s">
        <v>2781</v>
      </c>
      <c r="B18798" s="574">
        <v>100.57</v>
      </c>
      <c r="C18798" s="574">
        <v>44.685000000000002</v>
      </c>
    </row>
    <row r="18799" spans="1:3">
      <c r="A18799" s="573" t="s">
        <v>2781</v>
      </c>
      <c r="B18799" s="574">
        <v>127.6</v>
      </c>
      <c r="C18799" s="574">
        <v>48.345999999999997</v>
      </c>
    </row>
    <row r="18800" spans="1:3">
      <c r="A18800" s="573" t="s">
        <v>2781</v>
      </c>
      <c r="B18800" s="574">
        <v>168.7</v>
      </c>
      <c r="C18800" s="574">
        <v>56.341000000000001</v>
      </c>
    </row>
    <row r="18801" spans="1:3">
      <c r="A18801" s="573" t="s">
        <v>2781</v>
      </c>
      <c r="B18801" s="574">
        <v>199.83</v>
      </c>
      <c r="C18801" s="574">
        <v>61.034999999999997</v>
      </c>
    </row>
    <row r="18802" spans="1:3">
      <c r="A18802" s="573" t="s">
        <v>2781</v>
      </c>
      <c r="B18802" s="574">
        <v>236.47</v>
      </c>
      <c r="C18802" s="574">
        <v>65.036000000000001</v>
      </c>
    </row>
    <row r="18803" spans="1:3">
      <c r="A18803" s="573" t="s">
        <v>2781</v>
      </c>
      <c r="B18803" s="574">
        <v>287.07</v>
      </c>
      <c r="C18803" s="574">
        <v>67.480999999999995</v>
      </c>
    </row>
    <row r="18804" spans="1:3">
      <c r="A18804" s="573" t="s">
        <v>2781</v>
      </c>
      <c r="B18804" s="574">
        <v>373.3</v>
      </c>
      <c r="C18804" s="574">
        <v>73.051000000000002</v>
      </c>
    </row>
    <row r="18805" spans="1:3">
      <c r="A18805" s="573" t="s">
        <v>2781</v>
      </c>
      <c r="B18805" s="574">
        <v>497.65</v>
      </c>
      <c r="C18805" s="574">
        <v>76.027000000000001</v>
      </c>
    </row>
    <row r="18806" spans="1:3">
      <c r="A18806" s="569" t="s">
        <v>2781</v>
      </c>
      <c r="B18806" s="570">
        <v>668.25</v>
      </c>
      <c r="C18806" s="570">
        <v>80.215999999999994</v>
      </c>
    </row>
    <row r="18807" spans="1:3">
      <c r="A18807" s="569" t="s">
        <v>2781</v>
      </c>
      <c r="B18807" s="570">
        <v>1896.4</v>
      </c>
      <c r="C18807" s="570">
        <v>85.353999999999999</v>
      </c>
    </row>
    <row r="18808" spans="1:3">
      <c r="A18808" s="571" t="s">
        <v>2783</v>
      </c>
      <c r="B18808" s="572">
        <v>2.7075999999999998</v>
      </c>
      <c r="C18808" s="572">
        <v>1.4796</v>
      </c>
    </row>
    <row r="18809" spans="1:3">
      <c r="A18809" s="571" t="s">
        <v>2783</v>
      </c>
      <c r="B18809" s="572">
        <v>5.6059999999999999</v>
      </c>
      <c r="C18809" s="572">
        <v>3.0649999999999999</v>
      </c>
    </row>
    <row r="18810" spans="1:3">
      <c r="A18810" s="571" t="s">
        <v>2783</v>
      </c>
      <c r="B18810" s="572">
        <v>8.7065000000000001</v>
      </c>
      <c r="C18810" s="572">
        <v>4.9930000000000003</v>
      </c>
    </row>
    <row r="18811" spans="1:3">
      <c r="A18811" s="571" t="s">
        <v>2783</v>
      </c>
      <c r="B18811" s="572">
        <v>12.69</v>
      </c>
      <c r="C18811" s="572">
        <v>6.7487000000000004</v>
      </c>
    </row>
    <row r="18812" spans="1:3">
      <c r="A18812" s="571" t="s">
        <v>2783</v>
      </c>
      <c r="B18812" s="572">
        <v>19.202999999999999</v>
      </c>
      <c r="C18812" s="572">
        <v>10.243</v>
      </c>
    </row>
    <row r="18813" spans="1:3">
      <c r="A18813" s="571" t="s">
        <v>2783</v>
      </c>
      <c r="B18813" s="572">
        <v>33.015000000000001</v>
      </c>
      <c r="C18813" s="572">
        <v>13.406000000000001</v>
      </c>
    </row>
    <row r="18814" spans="1:3">
      <c r="A18814" s="571" t="s">
        <v>2783</v>
      </c>
      <c r="B18814" s="572">
        <v>53.820999999999998</v>
      </c>
      <c r="C18814" s="572">
        <v>21.071000000000002</v>
      </c>
    </row>
    <row r="18815" spans="1:3">
      <c r="A18815" s="571" t="s">
        <v>2783</v>
      </c>
      <c r="B18815" s="572">
        <v>73.960999999999999</v>
      </c>
      <c r="C18815" s="572">
        <v>27.337</v>
      </c>
    </row>
    <row r="18816" spans="1:3">
      <c r="A18816" s="573" t="s">
        <v>2783</v>
      </c>
      <c r="B18816" s="574">
        <v>102.54</v>
      </c>
      <c r="C18816" s="574">
        <v>33.258000000000003</v>
      </c>
    </row>
    <row r="18817" spans="1:3">
      <c r="A18817" s="573" t="s">
        <v>2783</v>
      </c>
      <c r="B18817" s="574">
        <v>128.87</v>
      </c>
      <c r="C18817" s="574">
        <v>38.131</v>
      </c>
    </row>
    <row r="18818" spans="1:3">
      <c r="A18818" s="573" t="s">
        <v>2783</v>
      </c>
      <c r="B18818" s="574">
        <v>167.34</v>
      </c>
      <c r="C18818" s="574">
        <v>45.603999999999999</v>
      </c>
    </row>
    <row r="18819" spans="1:3">
      <c r="A18819" s="573" t="s">
        <v>2783</v>
      </c>
      <c r="B18819" s="574">
        <v>198.27</v>
      </c>
      <c r="C18819" s="574">
        <v>47.701000000000001</v>
      </c>
    </row>
    <row r="18820" spans="1:3">
      <c r="A18820" s="573" t="s">
        <v>2783</v>
      </c>
      <c r="B18820" s="574">
        <v>236.69</v>
      </c>
      <c r="C18820" s="574">
        <v>53.088000000000001</v>
      </c>
    </row>
    <row r="18821" spans="1:3">
      <c r="A18821" s="573" t="s">
        <v>2783</v>
      </c>
      <c r="B18821" s="574">
        <v>287.31</v>
      </c>
      <c r="C18821" s="574">
        <v>56.746000000000002</v>
      </c>
    </row>
    <row r="18822" spans="1:3">
      <c r="A18822" s="573" t="s">
        <v>2783</v>
      </c>
      <c r="B18822" s="574">
        <v>370.3</v>
      </c>
      <c r="C18822" s="574">
        <v>64.218999999999994</v>
      </c>
    </row>
    <row r="18823" spans="1:3">
      <c r="A18823" s="573" t="s">
        <v>2783</v>
      </c>
      <c r="B18823" s="574">
        <v>493.63</v>
      </c>
      <c r="C18823" s="574">
        <v>68.233999999999995</v>
      </c>
    </row>
    <row r="18824" spans="1:3">
      <c r="A18824" s="569" t="s">
        <v>2783</v>
      </c>
      <c r="B18824" s="570">
        <v>674.36</v>
      </c>
      <c r="C18824" s="570">
        <v>74.328999999999994</v>
      </c>
    </row>
    <row r="18825" spans="1:3">
      <c r="A18825" s="569" t="s">
        <v>2783</v>
      </c>
      <c r="B18825" s="570">
        <v>1880.4</v>
      </c>
      <c r="C18825" s="570">
        <v>83.795000000000002</v>
      </c>
    </row>
    <row r="18826" spans="1:3">
      <c r="A18826" s="571" t="s">
        <v>2785</v>
      </c>
      <c r="B18826" s="572">
        <v>2.8008999999999999</v>
      </c>
      <c r="C18826" s="572">
        <v>7.7889E-2</v>
      </c>
    </row>
    <row r="18827" spans="1:3">
      <c r="A18827" s="571" t="s">
        <v>2785</v>
      </c>
      <c r="B18827" s="572">
        <v>5.6087999999999996</v>
      </c>
      <c r="C18827" s="572">
        <v>0.29449999999999998</v>
      </c>
    </row>
    <row r="18828" spans="1:3">
      <c r="A18828" s="571" t="s">
        <v>2785</v>
      </c>
      <c r="B18828" s="572">
        <v>6.5735000000000001</v>
      </c>
      <c r="C18828" s="572">
        <v>0.12906000000000001</v>
      </c>
    </row>
    <row r="18829" spans="1:3">
      <c r="A18829" s="571" t="s">
        <v>2785</v>
      </c>
      <c r="B18829" s="572">
        <v>8.5701000000000001</v>
      </c>
      <c r="C18829" s="572">
        <v>0.14355000000000001</v>
      </c>
    </row>
    <row r="18830" spans="1:3">
      <c r="A18830" s="571" t="s">
        <v>2785</v>
      </c>
      <c r="B18830" s="572">
        <v>12.523</v>
      </c>
      <c r="C18830" s="572">
        <v>0.51400000000000001</v>
      </c>
    </row>
    <row r="18831" spans="1:3">
      <c r="A18831" s="571" t="s">
        <v>2785</v>
      </c>
      <c r="B18831" s="572">
        <v>19.456</v>
      </c>
      <c r="C18831" s="572">
        <v>0.89315</v>
      </c>
    </row>
    <row r="18832" spans="1:3">
      <c r="A18832" s="571" t="s">
        <v>2785</v>
      </c>
      <c r="B18832" s="572">
        <v>32.701000000000001</v>
      </c>
      <c r="C18832" s="572">
        <v>1.9764999999999999</v>
      </c>
    </row>
    <row r="18833" spans="1:3">
      <c r="A18833" s="571" t="s">
        <v>2785</v>
      </c>
      <c r="B18833" s="572">
        <v>53.912999999999997</v>
      </c>
      <c r="C18833" s="572">
        <v>1.3311999999999999</v>
      </c>
    </row>
    <row r="18834" spans="1:3">
      <c r="A18834" s="571" t="s">
        <v>2785</v>
      </c>
      <c r="B18834" s="572">
        <v>74.822000000000003</v>
      </c>
      <c r="C18834" s="572">
        <v>2.2298</v>
      </c>
    </row>
    <row r="18835" spans="1:3">
      <c r="A18835" s="573" t="s">
        <v>2785</v>
      </c>
      <c r="B18835" s="574">
        <v>100.92</v>
      </c>
      <c r="C18835" s="574">
        <v>1.9144000000000001</v>
      </c>
    </row>
    <row r="18836" spans="1:3">
      <c r="A18836" s="573" t="s">
        <v>2785</v>
      </c>
      <c r="B18836" s="574">
        <v>129.24</v>
      </c>
      <c r="C18836" s="574">
        <v>1.5942000000000001</v>
      </c>
    </row>
    <row r="18837" spans="1:3">
      <c r="A18837" s="573" t="s">
        <v>2785</v>
      </c>
      <c r="B18837" s="574">
        <v>170.94</v>
      </c>
      <c r="C18837" s="574">
        <v>2.6629999999999998</v>
      </c>
    </row>
    <row r="18838" spans="1:3">
      <c r="A18838" s="573" t="s">
        <v>2785</v>
      </c>
      <c r="B18838" s="574">
        <v>202.54</v>
      </c>
      <c r="C18838" s="574">
        <v>2.5082</v>
      </c>
    </row>
    <row r="18839" spans="1:3">
      <c r="A18839" s="573" t="s">
        <v>2785</v>
      </c>
      <c r="B18839" s="574">
        <v>239.71</v>
      </c>
      <c r="C18839" s="574">
        <v>3.5655000000000001</v>
      </c>
    </row>
    <row r="18840" spans="1:3">
      <c r="A18840" s="573" t="s">
        <v>2785</v>
      </c>
      <c r="B18840" s="574">
        <v>291.02999999999997</v>
      </c>
      <c r="C18840" s="574">
        <v>3.5868000000000002</v>
      </c>
    </row>
    <row r="18841" spans="1:3">
      <c r="A18841" s="573" t="s">
        <v>2785</v>
      </c>
      <c r="B18841" s="574">
        <v>378.59</v>
      </c>
      <c r="C18841" s="574">
        <v>3.4426000000000001</v>
      </c>
    </row>
    <row r="18842" spans="1:3">
      <c r="A18842" s="569" t="s">
        <v>2785</v>
      </c>
      <c r="B18842" s="570">
        <v>509.04</v>
      </c>
      <c r="C18842" s="570">
        <v>7.1116999999999999</v>
      </c>
    </row>
    <row r="18843" spans="1:3">
      <c r="A18843" s="569" t="s">
        <v>2785</v>
      </c>
      <c r="B18843" s="570">
        <v>677.7</v>
      </c>
      <c r="C18843" s="570">
        <v>9.2215000000000007</v>
      </c>
    </row>
    <row r="18844" spans="1:3">
      <c r="A18844" s="569" t="s">
        <v>2785</v>
      </c>
      <c r="B18844" s="570">
        <v>1921.5</v>
      </c>
      <c r="C18844" s="570">
        <v>24.576000000000001</v>
      </c>
    </row>
    <row r="18845" spans="1:3">
      <c r="A18845" s="48" t="s">
        <v>2786</v>
      </c>
      <c r="B18845" s="549">
        <v>-3.7990000000000003E-2</v>
      </c>
      <c r="C18845" s="549">
        <v>0</v>
      </c>
    </row>
    <row r="18846" spans="1:3">
      <c r="A18846" s="571" t="s">
        <v>2786</v>
      </c>
      <c r="B18846" s="572">
        <v>1.08</v>
      </c>
      <c r="C18846" s="572">
        <v>0</v>
      </c>
    </row>
    <row r="18847" spans="1:3">
      <c r="A18847" s="571" t="s">
        <v>2786</v>
      </c>
      <c r="B18847" s="572">
        <v>3.0666000000000002</v>
      </c>
      <c r="C18847" s="572">
        <v>10.781000000000001</v>
      </c>
    </row>
    <row r="18848" spans="1:3">
      <c r="A18848" s="571" t="s">
        <v>2786</v>
      </c>
      <c r="B18848" s="572">
        <v>6.0974000000000004</v>
      </c>
      <c r="C18848" s="572">
        <v>18.420999999999999</v>
      </c>
    </row>
    <row r="18849" spans="1:3">
      <c r="A18849" s="571" t="s">
        <v>2786</v>
      </c>
      <c r="B18849" s="572">
        <v>7.2548000000000004</v>
      </c>
      <c r="C18849" s="572">
        <v>20.373000000000001</v>
      </c>
    </row>
    <row r="18850" spans="1:3">
      <c r="A18850" s="571" t="s">
        <v>2786</v>
      </c>
      <c r="B18850" s="572">
        <v>9.3097999999999992</v>
      </c>
      <c r="C18850" s="572">
        <v>23.895</v>
      </c>
    </row>
    <row r="18851" spans="1:3">
      <c r="A18851" s="571" t="s">
        <v>2786</v>
      </c>
      <c r="B18851" s="572">
        <v>13.256</v>
      </c>
      <c r="C18851" s="572">
        <v>29.913</v>
      </c>
    </row>
    <row r="18852" spans="1:3">
      <c r="A18852" s="571" t="s">
        <v>2786</v>
      </c>
      <c r="B18852" s="572">
        <v>19.943000000000001</v>
      </c>
      <c r="C18852" s="572">
        <v>38.055</v>
      </c>
    </row>
    <row r="18853" spans="1:3">
      <c r="A18853" s="571" t="s">
        <v>2786</v>
      </c>
      <c r="B18853" s="572">
        <v>34.095999999999997</v>
      </c>
      <c r="C18853" s="572">
        <v>53.201000000000001</v>
      </c>
    </row>
    <row r="18854" spans="1:3">
      <c r="A18854" s="571" t="s">
        <v>2786</v>
      </c>
      <c r="B18854" s="572">
        <v>56.085999999999999</v>
      </c>
      <c r="C18854" s="572">
        <v>64.978999999999999</v>
      </c>
    </row>
    <row r="18855" spans="1:3">
      <c r="A18855" s="571" t="s">
        <v>2786</v>
      </c>
      <c r="B18855" s="572">
        <v>76.197999999999993</v>
      </c>
      <c r="C18855" s="572">
        <v>73.313000000000002</v>
      </c>
    </row>
    <row r="18856" spans="1:3">
      <c r="A18856" s="573" t="s">
        <v>2786</v>
      </c>
      <c r="B18856" s="574">
        <v>105.03</v>
      </c>
      <c r="C18856" s="574">
        <v>79.876999999999995</v>
      </c>
    </row>
    <row r="18857" spans="1:3">
      <c r="A18857" s="573" t="s">
        <v>2786</v>
      </c>
      <c r="B18857" s="574">
        <v>133.63999999999999</v>
      </c>
      <c r="C18857" s="574">
        <v>83.832999999999998</v>
      </c>
    </row>
    <row r="18858" spans="1:3">
      <c r="A18858" s="573" t="s">
        <v>2786</v>
      </c>
      <c r="B18858" s="574">
        <v>174.69</v>
      </c>
      <c r="C18858" s="574">
        <v>87.138999999999996</v>
      </c>
    </row>
    <row r="18859" spans="1:3">
      <c r="A18859" s="573" t="s">
        <v>2786</v>
      </c>
      <c r="B18859" s="574">
        <v>205.53</v>
      </c>
      <c r="C18859" s="574">
        <v>89.731999999999999</v>
      </c>
    </row>
    <row r="18860" spans="1:3">
      <c r="A18860" s="573" t="s">
        <v>2786</v>
      </c>
      <c r="B18860" s="574">
        <v>246.29</v>
      </c>
      <c r="C18860" s="574">
        <v>92.635999999999996</v>
      </c>
    </row>
    <row r="18861" spans="1:3">
      <c r="A18861" s="573" t="s">
        <v>2786</v>
      </c>
      <c r="B18861" s="574">
        <v>298.23</v>
      </c>
      <c r="C18861" s="574">
        <v>94.614000000000004</v>
      </c>
    </row>
    <row r="18862" spans="1:3">
      <c r="A18862" s="573" t="s">
        <v>2786</v>
      </c>
      <c r="B18862" s="574">
        <v>386.55</v>
      </c>
      <c r="C18862" s="574">
        <v>97.334999999999994</v>
      </c>
    </row>
    <row r="18863" spans="1:3">
      <c r="A18863" s="569" t="s">
        <v>2786</v>
      </c>
      <c r="B18863" s="570">
        <v>509.92</v>
      </c>
      <c r="C18863" s="570">
        <v>100.04</v>
      </c>
    </row>
    <row r="18864" spans="1:3">
      <c r="A18864" s="569" t="s">
        <v>2786</v>
      </c>
      <c r="B18864" s="570">
        <v>698.56</v>
      </c>
      <c r="C18864" s="570">
        <v>102.11</v>
      </c>
    </row>
    <row r="18865" spans="1:3">
      <c r="A18865" s="569" t="s">
        <v>2786</v>
      </c>
      <c r="B18865" s="570">
        <v>1978.1</v>
      </c>
      <c r="C18865" s="570">
        <v>104.57</v>
      </c>
    </row>
    <row r="18866" spans="1:3">
      <c r="A18866" s="571" t="s">
        <v>2787</v>
      </c>
      <c r="B18866" s="572">
        <v>2.7099999999999999E-2</v>
      </c>
      <c r="C18866" s="572">
        <v>18.309000000000001</v>
      </c>
    </row>
    <row r="18867" spans="1:3">
      <c r="A18867" s="571" t="s">
        <v>2787</v>
      </c>
      <c r="B18867" s="572">
        <v>0.95820000000000005</v>
      </c>
      <c r="C18867" s="572">
        <v>19.847999999999999</v>
      </c>
    </row>
    <row r="18868" spans="1:3">
      <c r="A18868" s="571" t="s">
        <v>2787</v>
      </c>
      <c r="B18868" s="572">
        <v>2.9954999999999998</v>
      </c>
      <c r="C18868" s="572">
        <v>23.387</v>
      </c>
    </row>
    <row r="18869" spans="1:3">
      <c r="A18869" s="571" t="s">
        <v>2787</v>
      </c>
      <c r="B18869" s="572">
        <v>7.0811000000000002</v>
      </c>
      <c r="C18869" s="572">
        <v>29.696000000000002</v>
      </c>
    </row>
    <row r="18870" spans="1:3">
      <c r="A18870" s="571" t="s">
        <v>2787</v>
      </c>
      <c r="B18870" s="572">
        <v>13.992000000000001</v>
      </c>
      <c r="C18870" s="572">
        <v>38.11</v>
      </c>
    </row>
    <row r="18871" spans="1:3">
      <c r="A18871" s="571" t="s">
        <v>2787</v>
      </c>
      <c r="B18871" s="572">
        <v>28.202000000000002</v>
      </c>
      <c r="C18871" s="572">
        <v>53.26</v>
      </c>
    </row>
    <row r="18872" spans="1:3">
      <c r="A18872" s="571" t="s">
        <v>2787</v>
      </c>
      <c r="B18872" s="572">
        <v>49.100999999999999</v>
      </c>
      <c r="C18872" s="572">
        <v>64.546000000000006</v>
      </c>
    </row>
    <row r="18873" spans="1:3">
      <c r="A18873" s="571" t="s">
        <v>2787</v>
      </c>
      <c r="B18873" s="572">
        <v>70.566999999999993</v>
      </c>
      <c r="C18873" s="572">
        <v>73.402000000000001</v>
      </c>
    </row>
    <row r="18874" spans="1:3">
      <c r="A18874" s="571" t="s">
        <v>2787</v>
      </c>
      <c r="B18874" s="572">
        <v>98.436000000000007</v>
      </c>
      <c r="C18874" s="572">
        <v>79.786000000000001</v>
      </c>
    </row>
    <row r="18875" spans="1:3">
      <c r="A18875" s="573" t="s">
        <v>2787</v>
      </c>
      <c r="B18875" s="574">
        <v>126.84</v>
      </c>
      <c r="C18875" s="574">
        <v>83.769000000000005</v>
      </c>
    </row>
    <row r="18876" spans="1:3">
      <c r="A18876" s="573" t="s">
        <v>2787</v>
      </c>
      <c r="B18876" s="574">
        <v>167.72</v>
      </c>
      <c r="C18876" s="574">
        <v>87.057000000000002</v>
      </c>
    </row>
    <row r="18877" spans="1:3">
      <c r="A18877" s="573" t="s">
        <v>2787</v>
      </c>
      <c r="B18877" s="574">
        <v>198.41</v>
      </c>
      <c r="C18877" s="574">
        <v>89.64</v>
      </c>
    </row>
    <row r="18878" spans="1:3">
      <c r="A18878" s="573" t="s">
        <v>2787</v>
      </c>
      <c r="B18878" s="574">
        <v>239.05</v>
      </c>
      <c r="C18878" s="574">
        <v>92.585999999999999</v>
      </c>
    </row>
    <row r="18879" spans="1:3">
      <c r="A18879" s="573" t="s">
        <v>2787</v>
      </c>
      <c r="B18879" s="574">
        <v>293.47000000000003</v>
      </c>
      <c r="C18879" s="574">
        <v>94.655000000000001</v>
      </c>
    </row>
    <row r="18880" spans="1:3">
      <c r="A18880" s="573" t="s">
        <v>2787</v>
      </c>
      <c r="B18880" s="574">
        <v>378.57</v>
      </c>
      <c r="C18880" s="574">
        <v>97.29</v>
      </c>
    </row>
    <row r="18881" spans="1:3">
      <c r="A18881" s="569" t="s">
        <v>2787</v>
      </c>
      <c r="B18881" s="570">
        <v>511.43</v>
      </c>
      <c r="C18881" s="570">
        <v>100.14</v>
      </c>
    </row>
    <row r="18882" spans="1:3">
      <c r="A18882" s="569" t="s">
        <v>2787</v>
      </c>
      <c r="B18882" s="570">
        <v>689.03</v>
      </c>
      <c r="C18882" s="570">
        <v>102.1</v>
      </c>
    </row>
    <row r="18883" spans="1:3">
      <c r="A18883" s="569" t="s">
        <v>2787</v>
      </c>
      <c r="B18883" s="570">
        <v>1943.9</v>
      </c>
      <c r="C18883" s="570">
        <v>104.57</v>
      </c>
    </row>
    <row r="18884" spans="1:3">
      <c r="A18884" s="571" t="s">
        <v>2788</v>
      </c>
      <c r="B18884" s="572">
        <v>1.1000000000000001E-3</v>
      </c>
      <c r="C18884" s="572">
        <v>29.597000000000001</v>
      </c>
    </row>
    <row r="18885" spans="1:3">
      <c r="A18885" s="571" t="s">
        <v>2788</v>
      </c>
      <c r="B18885" s="572">
        <v>0.96440000000000003</v>
      </c>
      <c r="C18885" s="572">
        <v>30.788</v>
      </c>
    </row>
    <row r="18886" spans="1:3">
      <c r="A18886" s="571" t="s">
        <v>2788</v>
      </c>
      <c r="B18886" s="572">
        <v>2.8247</v>
      </c>
      <c r="C18886" s="572">
        <v>33.087000000000003</v>
      </c>
    </row>
    <row r="18887" spans="1:3">
      <c r="A18887" s="571" t="s">
        <v>2788</v>
      </c>
      <c r="B18887" s="572">
        <v>6.6066000000000003</v>
      </c>
      <c r="C18887" s="572">
        <v>37.679000000000002</v>
      </c>
    </row>
    <row r="18888" spans="1:3">
      <c r="A18888" s="571" t="s">
        <v>2788</v>
      </c>
      <c r="B18888" s="572">
        <v>21.405999999999999</v>
      </c>
      <c r="C18888" s="572">
        <v>53.372</v>
      </c>
    </row>
    <row r="18889" spans="1:3">
      <c r="A18889" s="571" t="s">
        <v>2788</v>
      </c>
      <c r="B18889" s="572">
        <v>42.502000000000002</v>
      </c>
      <c r="C18889" s="572">
        <v>64.721999999999994</v>
      </c>
    </row>
    <row r="18890" spans="1:3">
      <c r="A18890" s="571" t="s">
        <v>2788</v>
      </c>
      <c r="B18890" s="572">
        <v>64.094999999999999</v>
      </c>
      <c r="C18890" s="572">
        <v>73.53</v>
      </c>
    </row>
    <row r="18891" spans="1:3">
      <c r="A18891" s="571" t="s">
        <v>2788</v>
      </c>
      <c r="B18891" s="572">
        <v>91.141999999999996</v>
      </c>
      <c r="C18891" s="572">
        <v>79.739999999999995</v>
      </c>
    </row>
    <row r="18892" spans="1:3">
      <c r="A18892" s="573" t="s">
        <v>2788</v>
      </c>
      <c r="B18892" s="574">
        <v>119.34</v>
      </c>
      <c r="C18892" s="574">
        <v>83.728999999999999</v>
      </c>
    </row>
    <row r="18893" spans="1:3">
      <c r="A18893" s="573" t="s">
        <v>2788</v>
      </c>
      <c r="B18893" s="574">
        <v>161.87</v>
      </c>
      <c r="C18893" s="574">
        <v>87.155000000000001</v>
      </c>
    </row>
    <row r="18894" spans="1:3">
      <c r="A18894" s="573" t="s">
        <v>2788</v>
      </c>
      <c r="B18894" s="574">
        <v>190.83</v>
      </c>
      <c r="C18894" s="574">
        <v>89.593000000000004</v>
      </c>
    </row>
    <row r="18895" spans="1:3">
      <c r="A18895" s="573" t="s">
        <v>2788</v>
      </c>
      <c r="B18895" s="574">
        <v>233.82</v>
      </c>
      <c r="C18895" s="574">
        <v>92.656999999999996</v>
      </c>
    </row>
    <row r="18896" spans="1:3">
      <c r="A18896" s="573" t="s">
        <v>2788</v>
      </c>
      <c r="B18896" s="574">
        <v>282.77</v>
      </c>
      <c r="C18896" s="574">
        <v>94.534000000000006</v>
      </c>
    </row>
    <row r="18897" spans="1:3">
      <c r="A18897" s="573" t="s">
        <v>2788</v>
      </c>
      <c r="B18897" s="574">
        <v>378.14</v>
      </c>
      <c r="C18897" s="574">
        <v>97.438000000000002</v>
      </c>
    </row>
    <row r="18898" spans="1:3">
      <c r="A18898" s="569" t="s">
        <v>2788</v>
      </c>
      <c r="B18898" s="570">
        <v>503.01</v>
      </c>
      <c r="C18898" s="570">
        <v>100.12</v>
      </c>
    </row>
    <row r="18899" spans="1:3">
      <c r="A18899" s="569" t="s">
        <v>2788</v>
      </c>
      <c r="B18899" s="570">
        <v>680.12</v>
      </c>
      <c r="C18899" s="570">
        <v>102.1</v>
      </c>
    </row>
    <row r="18900" spans="1:3">
      <c r="A18900" s="569" t="s">
        <v>2788</v>
      </c>
      <c r="B18900" s="570">
        <v>1952.2</v>
      </c>
      <c r="C18900" s="570">
        <v>104.57</v>
      </c>
    </row>
    <row r="18901" spans="1:3">
      <c r="A18901" s="48" t="s">
        <v>2789</v>
      </c>
      <c r="B18901" s="549">
        <v>-0.25700000000000001</v>
      </c>
      <c r="C18901" s="549">
        <v>37.832000000000001</v>
      </c>
    </row>
    <row r="18902" spans="1:3">
      <c r="A18902" s="571" t="s">
        <v>2789</v>
      </c>
      <c r="B18902" s="572">
        <v>1.0155000000000001</v>
      </c>
      <c r="C18902" s="572">
        <v>39.255000000000003</v>
      </c>
    </row>
    <row r="18903" spans="1:3">
      <c r="A18903" s="571" t="s">
        <v>2789</v>
      </c>
      <c r="B18903" s="572">
        <v>9.1073000000000004</v>
      </c>
      <c r="C18903" s="572">
        <v>48.304000000000002</v>
      </c>
    </row>
    <row r="18904" spans="1:3">
      <c r="A18904" s="571" t="s">
        <v>2789</v>
      </c>
      <c r="B18904" s="572">
        <v>14.157</v>
      </c>
      <c r="C18904" s="572">
        <v>53.234999999999999</v>
      </c>
    </row>
    <row r="18905" spans="1:3">
      <c r="A18905" s="571" t="s">
        <v>2789</v>
      </c>
      <c r="B18905" s="572">
        <v>28.609000000000002</v>
      </c>
      <c r="C18905" s="572">
        <v>61.194000000000003</v>
      </c>
    </row>
    <row r="18906" spans="1:3">
      <c r="A18906" s="571" t="s">
        <v>2789</v>
      </c>
      <c r="B18906" s="572">
        <v>34.478000000000002</v>
      </c>
      <c r="C18906" s="572">
        <v>64.272999999999996</v>
      </c>
    </row>
    <row r="18907" spans="1:3">
      <c r="A18907" s="571" t="s">
        <v>2789</v>
      </c>
      <c r="B18907" s="572">
        <v>56.604999999999997</v>
      </c>
      <c r="C18907" s="572">
        <v>73.411000000000001</v>
      </c>
    </row>
    <row r="18908" spans="1:3">
      <c r="A18908" s="571" t="s">
        <v>2789</v>
      </c>
      <c r="B18908" s="572">
        <v>85.671000000000006</v>
      </c>
      <c r="C18908" s="572">
        <v>79.977000000000004</v>
      </c>
    </row>
    <row r="18909" spans="1:3">
      <c r="A18909" s="573" t="s">
        <v>2789</v>
      </c>
      <c r="B18909" s="574">
        <v>112.86</v>
      </c>
      <c r="C18909" s="574">
        <v>83.771000000000001</v>
      </c>
    </row>
    <row r="18910" spans="1:3">
      <c r="A18910" s="573" t="s">
        <v>2789</v>
      </c>
      <c r="B18910" s="574">
        <v>155.53</v>
      </c>
      <c r="C18910" s="574">
        <v>87.210999999999999</v>
      </c>
    </row>
    <row r="18911" spans="1:3">
      <c r="A18911" s="573" t="s">
        <v>2789</v>
      </c>
      <c r="B18911" s="574">
        <v>184.55</v>
      </c>
      <c r="C18911" s="574">
        <v>89.652000000000001</v>
      </c>
    </row>
    <row r="18912" spans="1:3">
      <c r="A18912" s="573" t="s">
        <v>2789</v>
      </c>
      <c r="B18912" s="574">
        <v>227.55</v>
      </c>
      <c r="C18912" s="574">
        <v>92.686000000000007</v>
      </c>
    </row>
    <row r="18913" spans="1:3">
      <c r="A18913" s="573" t="s">
        <v>2789</v>
      </c>
      <c r="B18913" s="574">
        <v>276.67</v>
      </c>
      <c r="C18913" s="574">
        <v>94.563000000000002</v>
      </c>
    </row>
    <row r="18914" spans="1:3">
      <c r="A18914" s="573" t="s">
        <v>2789</v>
      </c>
      <c r="B18914" s="574">
        <v>368.5</v>
      </c>
      <c r="C18914" s="574">
        <v>97.379000000000005</v>
      </c>
    </row>
    <row r="18915" spans="1:3">
      <c r="A18915" s="573" t="s">
        <v>2789</v>
      </c>
      <c r="B18915" s="574">
        <v>497.61</v>
      </c>
      <c r="C18915" s="574">
        <v>100.14</v>
      </c>
    </row>
    <row r="18916" spans="1:3">
      <c r="A18916" s="569" t="s">
        <v>2789</v>
      </c>
      <c r="B18916" s="570">
        <v>668.47</v>
      </c>
      <c r="C18916" s="570">
        <v>102.09</v>
      </c>
    </row>
    <row r="18917" spans="1:3">
      <c r="A18917" s="569" t="s">
        <v>2789</v>
      </c>
      <c r="B18917" s="570">
        <v>1950.6</v>
      </c>
      <c r="C18917" s="570">
        <v>104.57</v>
      </c>
    </row>
    <row r="18918" spans="1:3">
      <c r="A18918" s="571" t="s">
        <v>2790</v>
      </c>
      <c r="B18918" s="572">
        <v>0.53410000000000002</v>
      </c>
      <c r="C18918" s="572">
        <v>73.394000000000005</v>
      </c>
    </row>
    <row r="18919" spans="1:3">
      <c r="A18919" s="571" t="s">
        <v>2790</v>
      </c>
      <c r="B18919" s="572">
        <v>0.97750000000000004</v>
      </c>
      <c r="C18919" s="572">
        <v>73.501999999999995</v>
      </c>
    </row>
    <row r="18920" spans="1:3">
      <c r="A18920" s="571" t="s">
        <v>2790</v>
      </c>
      <c r="B18920" s="572">
        <v>3.7574999999999998</v>
      </c>
      <c r="C18920" s="572">
        <v>74.174000000000007</v>
      </c>
    </row>
    <row r="18921" spans="1:3">
      <c r="A18921" s="571" t="s">
        <v>2790</v>
      </c>
      <c r="B18921" s="572">
        <v>6.5989000000000004</v>
      </c>
      <c r="C18921" s="572">
        <v>74.861999999999995</v>
      </c>
    </row>
    <row r="18922" spans="1:3">
      <c r="A18922" s="571" t="s">
        <v>2790</v>
      </c>
      <c r="B18922" s="572">
        <v>9.3895999999999997</v>
      </c>
      <c r="C18922" s="572">
        <v>75.537000000000006</v>
      </c>
    </row>
    <row r="18923" spans="1:3">
      <c r="A18923" s="571" t="s">
        <v>2790</v>
      </c>
      <c r="B18923" s="572">
        <v>14.144</v>
      </c>
      <c r="C18923" s="572">
        <v>76.686999999999998</v>
      </c>
    </row>
    <row r="18924" spans="1:3">
      <c r="A18924" s="571" t="s">
        <v>2790</v>
      </c>
      <c r="B18924" s="572">
        <v>22.282</v>
      </c>
      <c r="C18924" s="572">
        <v>78.656999999999996</v>
      </c>
    </row>
    <row r="18925" spans="1:3">
      <c r="A18925" s="571" t="s">
        <v>2790</v>
      </c>
      <c r="B18925" s="572">
        <v>27.765999999999998</v>
      </c>
      <c r="C18925" s="572">
        <v>79.682000000000002</v>
      </c>
    </row>
    <row r="18926" spans="1:3">
      <c r="A18926" s="571" t="s">
        <v>2790</v>
      </c>
      <c r="B18926" s="572">
        <v>56.125</v>
      </c>
      <c r="C18926" s="572">
        <v>83.712000000000003</v>
      </c>
    </row>
    <row r="18927" spans="1:3">
      <c r="A18927" s="571" t="s">
        <v>2790</v>
      </c>
      <c r="B18927" s="572">
        <v>98.837999999999994</v>
      </c>
      <c r="C18927" s="572">
        <v>87.152000000000001</v>
      </c>
    </row>
    <row r="18928" spans="1:3">
      <c r="A18928" s="573" t="s">
        <v>2790</v>
      </c>
      <c r="B18928" s="574">
        <v>127.7</v>
      </c>
      <c r="C18928" s="574">
        <v>89.581999999999994</v>
      </c>
    </row>
    <row r="18929" spans="1:3">
      <c r="A18929" s="573" t="s">
        <v>2790</v>
      </c>
      <c r="B18929" s="574">
        <v>168.25</v>
      </c>
      <c r="C18929" s="574">
        <v>92.554000000000002</v>
      </c>
    </row>
    <row r="18930" spans="1:3">
      <c r="A18930" s="573" t="s">
        <v>2790</v>
      </c>
      <c r="B18930" s="574">
        <v>222.71</v>
      </c>
      <c r="C18930" s="574">
        <v>94.63</v>
      </c>
    </row>
    <row r="18931" spans="1:3">
      <c r="A18931" s="573" t="s">
        <v>2790</v>
      </c>
      <c r="B18931" s="574">
        <v>311.55</v>
      </c>
      <c r="C18931" s="574">
        <v>97.356999999999999</v>
      </c>
    </row>
    <row r="18932" spans="1:3">
      <c r="A18932" s="573" t="s">
        <v>2790</v>
      </c>
      <c r="B18932" s="574">
        <v>440.59</v>
      </c>
      <c r="C18932" s="574">
        <v>100.13</v>
      </c>
    </row>
    <row r="18933" spans="1:3">
      <c r="A18933" s="569" t="s">
        <v>2790</v>
      </c>
      <c r="B18933" s="570">
        <v>604.62</v>
      </c>
      <c r="C18933" s="570">
        <v>102.07</v>
      </c>
    </row>
    <row r="18934" spans="1:3">
      <c r="A18934" s="569" t="s">
        <v>2790</v>
      </c>
      <c r="B18934" s="570">
        <v>1891.6</v>
      </c>
      <c r="C18934" s="570">
        <v>104.57</v>
      </c>
    </row>
    <row r="18935" spans="1:3">
      <c r="A18935" s="48" t="s">
        <v>2791</v>
      </c>
      <c r="B18935" s="549">
        <v>-1.494</v>
      </c>
      <c r="C18935" s="549">
        <v>86.953999999999994</v>
      </c>
    </row>
    <row r="18936" spans="1:3">
      <c r="A18936" s="571" t="s">
        <v>2791</v>
      </c>
      <c r="B18936" s="572">
        <v>2.85</v>
      </c>
      <c r="C18936" s="572">
        <v>87.322999999999993</v>
      </c>
    </row>
    <row r="18937" spans="1:3">
      <c r="A18937" s="571" t="s">
        <v>2791</v>
      </c>
      <c r="B18937" s="572">
        <v>5.1230000000000002</v>
      </c>
      <c r="C18937" s="572">
        <v>87.515000000000001</v>
      </c>
    </row>
    <row r="18938" spans="1:3">
      <c r="A18938" s="571" t="s">
        <v>2791</v>
      </c>
      <c r="B18938" s="572">
        <v>8.9809999999999999</v>
      </c>
      <c r="C18938" s="572">
        <v>87.843000000000004</v>
      </c>
    </row>
    <row r="18939" spans="1:3">
      <c r="A18939" s="571" t="s">
        <v>2791</v>
      </c>
      <c r="B18939" s="572">
        <v>18.879000000000001</v>
      </c>
      <c r="C18939" s="572">
        <v>88.683000000000007</v>
      </c>
    </row>
    <row r="18940" spans="1:3">
      <c r="A18940" s="571" t="s">
        <v>2791</v>
      </c>
      <c r="B18940" s="572">
        <v>31.468</v>
      </c>
      <c r="C18940" s="572">
        <v>89.727000000000004</v>
      </c>
    </row>
    <row r="18941" spans="1:3">
      <c r="A18941" s="571" t="s">
        <v>2791</v>
      </c>
      <c r="B18941" s="572">
        <v>70.451999999999998</v>
      </c>
      <c r="C18941" s="572">
        <v>92.561999999999998</v>
      </c>
    </row>
    <row r="18942" spans="1:3">
      <c r="A18942" s="573" t="s">
        <v>2791</v>
      </c>
      <c r="B18942" s="574">
        <v>125.15</v>
      </c>
      <c r="C18942" s="574">
        <v>94.644000000000005</v>
      </c>
    </row>
    <row r="18943" spans="1:3">
      <c r="A18943" s="573" t="s">
        <v>2791</v>
      </c>
      <c r="B18943" s="574">
        <v>210.76</v>
      </c>
      <c r="C18943" s="574">
        <v>97.293999999999997</v>
      </c>
    </row>
    <row r="18944" spans="1:3">
      <c r="A18944" s="573" t="s">
        <v>2791</v>
      </c>
      <c r="B18944" s="574">
        <v>343.92</v>
      </c>
      <c r="C18944" s="574">
        <v>100.15</v>
      </c>
    </row>
    <row r="18945" spans="1:3">
      <c r="A18945" s="569" t="s">
        <v>2791</v>
      </c>
      <c r="B18945" s="570">
        <v>514.88</v>
      </c>
      <c r="C18945" s="570">
        <v>102.09</v>
      </c>
    </row>
    <row r="18946" spans="1:3">
      <c r="A18946" s="569" t="s">
        <v>2791</v>
      </c>
      <c r="B18946" s="570">
        <v>1782</v>
      </c>
      <c r="C18946" s="570">
        <v>104.57</v>
      </c>
    </row>
    <row r="18947" spans="1:3">
      <c r="A18947" s="571" t="s">
        <v>1734</v>
      </c>
      <c r="B18947" s="572">
        <v>13</v>
      </c>
      <c r="C18947" s="572">
        <v>230</v>
      </c>
    </row>
    <row r="18948" spans="1:3">
      <c r="A18948" s="571" t="s">
        <v>1734</v>
      </c>
      <c r="B18948" s="572">
        <v>59</v>
      </c>
      <c r="C18948" s="572">
        <v>625</v>
      </c>
    </row>
    <row r="18949" spans="1:3">
      <c r="A18949" s="569" t="s">
        <v>1734</v>
      </c>
      <c r="B18949" s="570">
        <v>577</v>
      </c>
      <c r="C18949" s="570">
        <v>920</v>
      </c>
    </row>
    <row r="18950" spans="1:3">
      <c r="A18950" s="569" t="s">
        <v>1734</v>
      </c>
      <c r="B18950" s="570">
        <v>667</v>
      </c>
      <c r="C18950" s="570">
        <v>925</v>
      </c>
    </row>
    <row r="18951" spans="1:3">
      <c r="A18951" s="569" t="s">
        <v>1734</v>
      </c>
      <c r="B18951" s="570">
        <v>752</v>
      </c>
      <c r="C18951" s="570">
        <v>960</v>
      </c>
    </row>
    <row r="18952" spans="1:3">
      <c r="A18952" s="569" t="s">
        <v>1734</v>
      </c>
      <c r="B18952" s="570">
        <v>1982</v>
      </c>
      <c r="C18952" s="570">
        <v>1010</v>
      </c>
    </row>
    <row r="18953" spans="1:3">
      <c r="A18953" s="569" t="s">
        <v>1734</v>
      </c>
      <c r="B18953" s="570">
        <v>2775</v>
      </c>
      <c r="C18953" s="570">
        <v>990</v>
      </c>
    </row>
    <row r="18954" spans="1:3">
      <c r="A18954" s="571" t="s">
        <v>1733</v>
      </c>
      <c r="B18954" s="572">
        <v>12</v>
      </c>
      <c r="C18954" s="572">
        <v>165</v>
      </c>
    </row>
    <row r="18955" spans="1:3">
      <c r="A18955" s="571" t="s">
        <v>1733</v>
      </c>
      <c r="B18955" s="572">
        <v>25</v>
      </c>
      <c r="C18955" s="572">
        <v>395</v>
      </c>
    </row>
    <row r="18956" spans="1:3">
      <c r="A18956" s="571" t="s">
        <v>1733</v>
      </c>
      <c r="B18956" s="572">
        <v>31</v>
      </c>
      <c r="C18956" s="572">
        <v>340</v>
      </c>
    </row>
    <row r="18957" spans="1:3">
      <c r="A18957" s="571" t="s">
        <v>1733</v>
      </c>
      <c r="B18957" s="572">
        <v>48</v>
      </c>
      <c r="C18957" s="572">
        <v>385</v>
      </c>
    </row>
    <row r="18958" spans="1:3">
      <c r="A18958" s="571" t="s">
        <v>1733</v>
      </c>
      <c r="B18958" s="572">
        <v>90</v>
      </c>
      <c r="C18958" s="572">
        <v>740</v>
      </c>
    </row>
    <row r="18959" spans="1:3">
      <c r="A18959" s="573" t="s">
        <v>1733</v>
      </c>
      <c r="B18959" s="574">
        <v>121</v>
      </c>
      <c r="C18959" s="574">
        <v>555</v>
      </c>
    </row>
    <row r="18960" spans="1:3">
      <c r="A18960" s="569" t="s">
        <v>1733</v>
      </c>
      <c r="B18960" s="570">
        <v>577</v>
      </c>
      <c r="C18960" s="570">
        <v>830</v>
      </c>
    </row>
    <row r="18961" spans="1:3">
      <c r="A18961" s="569" t="s">
        <v>1733</v>
      </c>
      <c r="B18961" s="570">
        <v>665</v>
      </c>
      <c r="C18961" s="570">
        <v>900</v>
      </c>
    </row>
    <row r="18962" spans="1:3">
      <c r="A18962" s="569" t="s">
        <v>1733</v>
      </c>
      <c r="B18962" s="570">
        <v>665</v>
      </c>
      <c r="C18962" s="570">
        <v>770</v>
      </c>
    </row>
    <row r="18963" spans="1:3">
      <c r="A18963" s="569" t="s">
        <v>1733</v>
      </c>
      <c r="B18963" s="570">
        <v>667</v>
      </c>
      <c r="C18963" s="570">
        <v>760</v>
      </c>
    </row>
    <row r="18964" spans="1:3">
      <c r="A18964" s="569" t="s">
        <v>1733</v>
      </c>
      <c r="B18964" s="570">
        <v>752</v>
      </c>
      <c r="C18964" s="570">
        <v>760</v>
      </c>
    </row>
    <row r="18965" spans="1:3">
      <c r="A18965" s="569" t="s">
        <v>1733</v>
      </c>
      <c r="B18965" s="570">
        <v>806</v>
      </c>
      <c r="C18965" s="570">
        <v>930</v>
      </c>
    </row>
    <row r="18966" spans="1:3">
      <c r="A18966" s="569" t="s">
        <v>1733</v>
      </c>
      <c r="B18966" s="570">
        <v>806</v>
      </c>
      <c r="C18966" s="570">
        <v>750</v>
      </c>
    </row>
    <row r="18967" spans="1:3">
      <c r="A18967" s="569" t="s">
        <v>1733</v>
      </c>
      <c r="B18967" s="570">
        <v>1982</v>
      </c>
      <c r="C18967" s="570">
        <v>760</v>
      </c>
    </row>
    <row r="18968" spans="1:3">
      <c r="A18968" s="569" t="s">
        <v>1733</v>
      </c>
      <c r="B18968" s="570">
        <v>2775</v>
      </c>
      <c r="C18968" s="570">
        <v>770</v>
      </c>
    </row>
    <row r="18969" spans="1:3">
      <c r="A18969" s="569" t="s">
        <v>1733</v>
      </c>
      <c r="B18969" s="570">
        <v>4695</v>
      </c>
      <c r="C18969" s="570">
        <v>1060</v>
      </c>
    </row>
    <row r="18970" spans="1:3">
      <c r="A18970" s="569" t="s">
        <v>1733</v>
      </c>
      <c r="B18970" s="570">
        <v>4695</v>
      </c>
      <c r="C18970" s="570">
        <v>760</v>
      </c>
    </row>
    <row r="18971" spans="1:3">
      <c r="A18971" s="569" t="s">
        <v>1733</v>
      </c>
      <c r="B18971" s="570">
        <v>7066</v>
      </c>
      <c r="C18971" s="570">
        <v>790</v>
      </c>
    </row>
    <row r="18972" spans="1:3">
      <c r="A18972" s="569" t="s">
        <v>1733</v>
      </c>
      <c r="B18972" s="570">
        <v>7066</v>
      </c>
      <c r="C18972" s="570">
        <v>790</v>
      </c>
    </row>
    <row r="18973" spans="1:3">
      <c r="A18973" s="569" t="s">
        <v>1733</v>
      </c>
      <c r="B18973" s="570">
        <v>8960</v>
      </c>
      <c r="C18973" s="570">
        <v>1140</v>
      </c>
    </row>
    <row r="18974" spans="1:3">
      <c r="A18974" s="571" t="s">
        <v>1732</v>
      </c>
      <c r="B18974" s="572">
        <v>12</v>
      </c>
      <c r="C18974" s="572">
        <v>50</v>
      </c>
    </row>
    <row r="18975" spans="1:3">
      <c r="A18975" s="571" t="s">
        <v>1732</v>
      </c>
      <c r="B18975" s="572">
        <v>33</v>
      </c>
      <c r="C18975" s="572">
        <v>15</v>
      </c>
    </row>
    <row r="18976" spans="1:3">
      <c r="A18976" s="571" t="s">
        <v>1732</v>
      </c>
      <c r="B18976" s="572">
        <v>54</v>
      </c>
      <c r="C18976" s="572">
        <v>0</v>
      </c>
    </row>
    <row r="18977" spans="1:3">
      <c r="A18977" s="573" t="s">
        <v>1732</v>
      </c>
      <c r="B18977" s="574">
        <v>109</v>
      </c>
      <c r="C18977" s="574">
        <v>30</v>
      </c>
    </row>
    <row r="18978" spans="1:3">
      <c r="A18978" s="573" t="s">
        <v>1732</v>
      </c>
      <c r="B18978" s="574">
        <v>398</v>
      </c>
      <c r="C18978" s="574">
        <v>80</v>
      </c>
    </row>
    <row r="18979" spans="1:3">
      <c r="A18979" s="569" t="s">
        <v>1732</v>
      </c>
      <c r="B18979" s="570">
        <v>665</v>
      </c>
      <c r="C18979" s="570">
        <v>100</v>
      </c>
    </row>
    <row r="18980" spans="1:3">
      <c r="A18980" s="569" t="s">
        <v>1732</v>
      </c>
      <c r="B18980" s="570">
        <v>667</v>
      </c>
      <c r="C18980" s="570">
        <v>100</v>
      </c>
    </row>
    <row r="18981" spans="1:3">
      <c r="A18981" s="569" t="s">
        <v>1732</v>
      </c>
      <c r="B18981" s="570">
        <v>752</v>
      </c>
      <c r="C18981" s="570">
        <v>100</v>
      </c>
    </row>
    <row r="18982" spans="1:3">
      <c r="A18982" s="569" t="s">
        <v>1732</v>
      </c>
      <c r="B18982" s="570">
        <v>806</v>
      </c>
      <c r="C18982" s="570">
        <v>120</v>
      </c>
    </row>
    <row r="18983" spans="1:3">
      <c r="A18983" s="569" t="s">
        <v>1732</v>
      </c>
      <c r="B18983" s="570">
        <v>1982</v>
      </c>
      <c r="C18983" s="570">
        <v>140</v>
      </c>
    </row>
    <row r="18984" spans="1:3">
      <c r="A18984" s="569" t="s">
        <v>1732</v>
      </c>
      <c r="B18984" s="570">
        <v>2897</v>
      </c>
      <c r="C18984" s="570">
        <v>200</v>
      </c>
    </row>
    <row r="18985" spans="1:3">
      <c r="A18985" s="569" t="s">
        <v>1732</v>
      </c>
      <c r="B18985" s="570">
        <v>4695</v>
      </c>
      <c r="C18985" s="570">
        <v>130</v>
      </c>
    </row>
    <row r="18986" spans="1:3">
      <c r="A18986" s="569" t="s">
        <v>1732</v>
      </c>
      <c r="B18986" s="570">
        <v>8960</v>
      </c>
      <c r="C18986" s="570">
        <v>180</v>
      </c>
    </row>
    <row r="18987" spans="1:3">
      <c r="A18987" s="569" t="s">
        <v>1732</v>
      </c>
      <c r="B18987" s="570">
        <v>8960</v>
      </c>
      <c r="C18987" s="570">
        <v>180</v>
      </c>
    </row>
    <row r="18988" spans="1:3">
      <c r="A18988" s="571" t="s">
        <v>1731</v>
      </c>
      <c r="B18988" s="572">
        <v>13</v>
      </c>
      <c r="C18988" s="572">
        <v>0</v>
      </c>
    </row>
    <row r="18989" spans="1:3">
      <c r="A18989" s="571" t="s">
        <v>1731</v>
      </c>
      <c r="B18989" s="572">
        <v>27</v>
      </c>
      <c r="C18989" s="572">
        <v>0</v>
      </c>
    </row>
    <row r="18990" spans="1:3">
      <c r="A18990" s="571" t="s">
        <v>1731</v>
      </c>
      <c r="B18990" s="572">
        <v>59</v>
      </c>
      <c r="C18990" s="572">
        <v>0</v>
      </c>
    </row>
    <row r="18991" spans="1:3">
      <c r="A18991" s="573" t="s">
        <v>1731</v>
      </c>
      <c r="B18991" s="574">
        <v>115</v>
      </c>
      <c r="C18991" s="574">
        <v>50</v>
      </c>
    </row>
    <row r="18992" spans="1:3">
      <c r="A18992" s="573" t="s">
        <v>1731</v>
      </c>
      <c r="B18992" s="574">
        <v>398</v>
      </c>
      <c r="C18992" s="574">
        <v>40</v>
      </c>
    </row>
    <row r="18993" spans="1:3">
      <c r="A18993" s="569" t="s">
        <v>1731</v>
      </c>
      <c r="B18993" s="570">
        <v>577</v>
      </c>
      <c r="C18993" s="570">
        <v>70</v>
      </c>
    </row>
    <row r="18994" spans="1:3">
      <c r="A18994" s="569" t="s">
        <v>1731</v>
      </c>
      <c r="B18994" s="570">
        <v>665</v>
      </c>
      <c r="C18994" s="570">
        <v>90</v>
      </c>
    </row>
    <row r="18995" spans="1:3">
      <c r="A18995" s="569" t="s">
        <v>1731</v>
      </c>
      <c r="B18995" s="570">
        <v>806</v>
      </c>
      <c r="C18995" s="570">
        <v>100</v>
      </c>
    </row>
    <row r="18996" spans="1:3">
      <c r="A18996" s="569" t="s">
        <v>1731</v>
      </c>
      <c r="B18996" s="570">
        <v>1982</v>
      </c>
      <c r="C18996" s="570">
        <v>115</v>
      </c>
    </row>
    <row r="18997" spans="1:3">
      <c r="A18997" s="569" t="s">
        <v>1731</v>
      </c>
      <c r="B18997" s="570">
        <v>2897</v>
      </c>
      <c r="C18997" s="570">
        <v>160</v>
      </c>
    </row>
    <row r="18998" spans="1:3">
      <c r="A18998" s="569" t="s">
        <v>1731</v>
      </c>
      <c r="B18998" s="570">
        <v>4695</v>
      </c>
      <c r="C18998" s="570">
        <v>140</v>
      </c>
    </row>
    <row r="18999" spans="1:3">
      <c r="A18999" s="569" t="s">
        <v>1731</v>
      </c>
      <c r="B18999" s="570">
        <v>7066</v>
      </c>
      <c r="C18999" s="570">
        <v>190</v>
      </c>
    </row>
    <row r="19000" spans="1:3">
      <c r="A19000" s="569" t="s">
        <v>1731</v>
      </c>
      <c r="B19000" s="570">
        <v>7066</v>
      </c>
      <c r="C19000" s="570">
        <v>190</v>
      </c>
    </row>
    <row r="19001" spans="1:3">
      <c r="A19001" s="571" t="s">
        <v>2630</v>
      </c>
      <c r="B19001" s="572">
        <v>11.8406</v>
      </c>
      <c r="C19001" s="572">
        <v>161.53899999999999</v>
      </c>
    </row>
    <row r="19002" spans="1:3">
      <c r="A19002" s="571" t="s">
        <v>2630</v>
      </c>
      <c r="B19002" s="572">
        <v>18.7563</v>
      </c>
      <c r="C19002" s="572">
        <v>233.922</v>
      </c>
    </row>
    <row r="19003" spans="1:3">
      <c r="A19003" s="571" t="s">
        <v>2630</v>
      </c>
      <c r="B19003" s="572">
        <v>25.205200000000001</v>
      </c>
      <c r="C19003" s="572">
        <v>311.40699999999998</v>
      </c>
    </row>
    <row r="19004" spans="1:3">
      <c r="A19004" s="571" t="s">
        <v>2630</v>
      </c>
      <c r="B19004" s="572">
        <v>50.6295</v>
      </c>
      <c r="C19004" s="572">
        <v>432.43900000000002</v>
      </c>
    </row>
    <row r="19005" spans="1:3">
      <c r="A19005" s="571" t="s">
        <v>2630</v>
      </c>
      <c r="B19005" s="572">
        <v>86.856200000000001</v>
      </c>
      <c r="C19005" s="572">
        <v>541.86900000000003</v>
      </c>
    </row>
    <row r="19006" spans="1:3">
      <c r="A19006" s="573" t="s">
        <v>2630</v>
      </c>
      <c r="B19006" s="574">
        <v>389.11700000000002</v>
      </c>
      <c r="C19006" s="574">
        <v>683.33799999999997</v>
      </c>
    </row>
    <row r="19007" spans="1:3">
      <c r="A19007" s="569" t="s">
        <v>2630</v>
      </c>
      <c r="B19007" s="570">
        <v>564.65499999999997</v>
      </c>
      <c r="C19007" s="570">
        <v>689.553</v>
      </c>
    </row>
    <row r="19008" spans="1:3">
      <c r="A19008" s="569" t="s">
        <v>2630</v>
      </c>
      <c r="B19008" s="570">
        <v>779.52300000000002</v>
      </c>
      <c r="C19008" s="570">
        <v>704.38499999999999</v>
      </c>
    </row>
    <row r="19009" spans="1:3">
      <c r="A19009" s="569" t="s">
        <v>2630</v>
      </c>
      <c r="B19009" s="570">
        <v>1976.48</v>
      </c>
      <c r="C19009" s="570">
        <v>703.25900000000001</v>
      </c>
    </row>
    <row r="19010" spans="1:3">
      <c r="A19010" s="569" t="s">
        <v>2630</v>
      </c>
      <c r="B19010" s="570">
        <v>2868.75</v>
      </c>
      <c r="C19010" s="570">
        <v>717.80600000000004</v>
      </c>
    </row>
    <row r="19011" spans="1:3">
      <c r="A19011" s="569" t="s">
        <v>2630</v>
      </c>
      <c r="B19011" s="570">
        <v>4780.93</v>
      </c>
      <c r="C19011" s="570">
        <v>814.9</v>
      </c>
    </row>
    <row r="19012" spans="1:3">
      <c r="A19012" s="569" t="s">
        <v>2630</v>
      </c>
      <c r="B19012" s="570">
        <v>9051.8799999999992</v>
      </c>
      <c r="C19012" s="570">
        <v>865.43499999999995</v>
      </c>
    </row>
    <row r="19013" spans="1:3">
      <c r="A19013" s="571" t="s">
        <v>2631</v>
      </c>
      <c r="B19013" s="572">
        <v>12.2637</v>
      </c>
      <c r="C19013" s="572">
        <v>136.339</v>
      </c>
    </row>
    <row r="19014" spans="1:3">
      <c r="A19014" s="571" t="s">
        <v>2631</v>
      </c>
      <c r="B19014" s="572">
        <v>26.062100000000001</v>
      </c>
      <c r="C19014" s="572">
        <v>223.71700000000001</v>
      </c>
    </row>
    <row r="19015" spans="1:3">
      <c r="A19015" s="571" t="s">
        <v>2631</v>
      </c>
      <c r="B19015" s="572">
        <v>57.860700000000001</v>
      </c>
      <c r="C19015" s="572">
        <v>340.01299999999998</v>
      </c>
    </row>
    <row r="19016" spans="1:3">
      <c r="A19016" s="571" t="s">
        <v>2631</v>
      </c>
      <c r="B19016" s="572">
        <v>87.862200000000001</v>
      </c>
      <c r="C19016" s="572">
        <v>437.637</v>
      </c>
    </row>
    <row r="19017" spans="1:3">
      <c r="A19017" s="569" t="s">
        <v>2631</v>
      </c>
      <c r="B19017" s="570">
        <v>576.39300000000003</v>
      </c>
      <c r="C19017" s="570">
        <v>656.10199999999998</v>
      </c>
    </row>
    <row r="19018" spans="1:3">
      <c r="A19018" s="569" t="s">
        <v>2631</v>
      </c>
      <c r="B19018" s="570">
        <v>689.23099999999999</v>
      </c>
      <c r="C19018" s="570">
        <v>650.91899999999998</v>
      </c>
    </row>
    <row r="19019" spans="1:3">
      <c r="A19019" s="569" t="s">
        <v>2631</v>
      </c>
      <c r="B19019" s="570">
        <v>789.7</v>
      </c>
      <c r="C19019" s="570">
        <v>654.31100000000004</v>
      </c>
    </row>
    <row r="19020" spans="1:3">
      <c r="A19020" s="569" t="s">
        <v>2631</v>
      </c>
      <c r="B19020" s="570">
        <v>1961.95</v>
      </c>
      <c r="C19020" s="570">
        <v>694.96699999999998</v>
      </c>
    </row>
    <row r="19021" spans="1:3">
      <c r="A19021" s="569" t="s">
        <v>2631</v>
      </c>
      <c r="B19021" s="570">
        <v>2827.67</v>
      </c>
      <c r="C19021" s="570">
        <v>713.721</v>
      </c>
    </row>
    <row r="19022" spans="1:3">
      <c r="A19022" s="569" t="s">
        <v>2631</v>
      </c>
      <c r="B19022" s="570">
        <v>4883.04</v>
      </c>
      <c r="C19022" s="570">
        <v>802.28</v>
      </c>
    </row>
    <row r="19023" spans="1:3">
      <c r="A19023" s="569" t="s">
        <v>2631</v>
      </c>
      <c r="B19023" s="570">
        <v>8989.34</v>
      </c>
      <c r="C19023" s="570">
        <v>873.80799999999999</v>
      </c>
    </row>
    <row r="19024" spans="1:3">
      <c r="A19024" s="571" t="s">
        <v>2632</v>
      </c>
      <c r="B19024" s="572">
        <v>11.8644</v>
      </c>
      <c r="C19024" s="572">
        <v>236.52699999999999</v>
      </c>
    </row>
    <row r="19025" spans="1:3">
      <c r="A19025" s="571" t="s">
        <v>2632</v>
      </c>
      <c r="B19025" s="572">
        <v>25.440200000000001</v>
      </c>
      <c r="C19025" s="572">
        <v>390.52100000000002</v>
      </c>
    </row>
    <row r="19026" spans="1:3">
      <c r="A19026" s="571" t="s">
        <v>2632</v>
      </c>
      <c r="B19026" s="572">
        <v>66.845799999999997</v>
      </c>
      <c r="C19026" s="572">
        <v>651.69200000000001</v>
      </c>
    </row>
    <row r="19027" spans="1:3">
      <c r="A19027" s="571" t="s">
        <v>2632</v>
      </c>
      <c r="B19027" s="572">
        <v>94.453999999999994</v>
      </c>
      <c r="C19027" s="572">
        <v>733.05899999999997</v>
      </c>
    </row>
    <row r="19028" spans="1:3">
      <c r="A19028" s="569" t="s">
        <v>2632</v>
      </c>
      <c r="B19028" s="570">
        <v>572.28300000000002</v>
      </c>
      <c r="C19028" s="570">
        <v>922.81</v>
      </c>
    </row>
    <row r="19029" spans="1:3">
      <c r="A19029" s="569" t="s">
        <v>2632</v>
      </c>
      <c r="B19029" s="570">
        <v>655.11699999999996</v>
      </c>
      <c r="C19029" s="570">
        <v>892.87400000000002</v>
      </c>
    </row>
    <row r="19030" spans="1:3">
      <c r="A19030" s="569" t="s">
        <v>2632</v>
      </c>
      <c r="B19030" s="570">
        <v>689.30899999999997</v>
      </c>
      <c r="C19030" s="570">
        <v>921.75099999999998</v>
      </c>
    </row>
    <row r="19031" spans="1:3">
      <c r="A19031" s="569" t="s">
        <v>2632</v>
      </c>
      <c r="B19031" s="570">
        <v>773.53200000000004</v>
      </c>
      <c r="C19031" s="570">
        <v>950.26199999999994</v>
      </c>
    </row>
    <row r="19032" spans="1:3">
      <c r="A19032" s="569" t="s">
        <v>2632</v>
      </c>
      <c r="B19032" s="570">
        <v>813.08500000000004</v>
      </c>
      <c r="C19032" s="570">
        <v>941.64499999999998</v>
      </c>
    </row>
    <row r="19033" spans="1:3">
      <c r="A19033" s="569" t="s">
        <v>2632</v>
      </c>
      <c r="B19033" s="570">
        <v>836.22799999999995</v>
      </c>
      <c r="C19033" s="570">
        <v>920.65200000000004</v>
      </c>
    </row>
    <row r="19034" spans="1:3">
      <c r="A19034" s="569" t="s">
        <v>2632</v>
      </c>
      <c r="B19034" s="570">
        <v>1950.14</v>
      </c>
      <c r="C19034" s="570">
        <v>1003.33</v>
      </c>
    </row>
    <row r="19035" spans="1:3">
      <c r="A19035" s="569" t="s">
        <v>2632</v>
      </c>
      <c r="B19035" s="570">
        <v>2807.19</v>
      </c>
      <c r="C19035" s="570">
        <v>976.26199999999994</v>
      </c>
    </row>
    <row r="19036" spans="1:3">
      <c r="A19036" s="569" t="s">
        <v>2632</v>
      </c>
      <c r="B19036" s="570">
        <v>4847.68</v>
      </c>
      <c r="C19036" s="570">
        <v>1064.82</v>
      </c>
    </row>
    <row r="19037" spans="1:3">
      <c r="A19037" s="569" t="s">
        <v>2632</v>
      </c>
      <c r="B19037" s="570">
        <v>8988.34</v>
      </c>
      <c r="C19037" s="570">
        <v>1136.31</v>
      </c>
    </row>
    <row r="19038" spans="1:3">
      <c r="A19038" s="571" t="s">
        <v>2633</v>
      </c>
      <c r="B19038" s="572">
        <v>11.914999999999999</v>
      </c>
      <c r="C19038" s="572">
        <v>128.16999999999999</v>
      </c>
    </row>
    <row r="19039" spans="1:3">
      <c r="A19039" s="571" t="s">
        <v>2633</v>
      </c>
      <c r="B19039" s="572">
        <v>27.011500000000002</v>
      </c>
      <c r="C19039" s="572">
        <v>223.51400000000001</v>
      </c>
    </row>
    <row r="19040" spans="1:3">
      <c r="A19040" s="571" t="s">
        <v>2633</v>
      </c>
      <c r="B19040" s="572">
        <v>57.4482</v>
      </c>
      <c r="C19040" s="572">
        <v>340.05399999999997</v>
      </c>
    </row>
    <row r="19041" spans="1:3">
      <c r="A19041" s="573" t="s">
        <v>2633</v>
      </c>
      <c r="B19041" s="574">
        <v>108.16200000000001</v>
      </c>
      <c r="C19041" s="574">
        <v>448.95400000000001</v>
      </c>
    </row>
    <row r="19042" spans="1:3">
      <c r="A19042" s="573" t="s">
        <v>2633</v>
      </c>
      <c r="B19042" s="574">
        <v>393.053</v>
      </c>
      <c r="C19042" s="574">
        <v>524.947</v>
      </c>
    </row>
    <row r="19043" spans="1:3">
      <c r="A19043" s="569" t="s">
        <v>2633</v>
      </c>
      <c r="B19043" s="570">
        <v>562.01</v>
      </c>
      <c r="C19043" s="570">
        <v>514.57899999999995</v>
      </c>
    </row>
    <row r="19044" spans="1:3">
      <c r="A19044" s="569" t="s">
        <v>2633</v>
      </c>
      <c r="B19044" s="570">
        <v>657.46600000000001</v>
      </c>
      <c r="C19044" s="570">
        <v>492.85399999999998</v>
      </c>
    </row>
    <row r="19045" spans="1:3">
      <c r="A19045" s="569" t="s">
        <v>2633</v>
      </c>
      <c r="B19045" s="570">
        <v>792.61900000000003</v>
      </c>
      <c r="C19045" s="570">
        <v>525.12300000000005</v>
      </c>
    </row>
    <row r="19046" spans="1:3">
      <c r="A19046" s="569" t="s">
        <v>2633</v>
      </c>
      <c r="B19046" s="570">
        <v>1996.02</v>
      </c>
      <c r="C19046" s="570">
        <v>536.53599999999994</v>
      </c>
    </row>
    <row r="19047" spans="1:3">
      <c r="A19047" s="569" t="s">
        <v>2633</v>
      </c>
      <c r="B19047" s="570">
        <v>2774.43</v>
      </c>
      <c r="C19047" s="570">
        <v>538.82899999999995</v>
      </c>
    </row>
    <row r="19048" spans="1:3">
      <c r="A19048" s="569" t="s">
        <v>2633</v>
      </c>
      <c r="B19048" s="570">
        <v>4786.82</v>
      </c>
      <c r="C19048" s="570">
        <v>594.05999999999995</v>
      </c>
    </row>
    <row r="19049" spans="1:3">
      <c r="A19049" s="569" t="s">
        <v>2633</v>
      </c>
      <c r="B19049" s="570">
        <v>9004.43</v>
      </c>
      <c r="C19049" s="570">
        <v>669.63199999999995</v>
      </c>
    </row>
    <row r="19050" spans="1:3">
      <c r="A19050" s="571" t="s">
        <v>2634</v>
      </c>
      <c r="B19050" s="572">
        <v>13.740600000000001</v>
      </c>
      <c r="C19050" s="572">
        <v>106.526</v>
      </c>
    </row>
    <row r="19051" spans="1:3">
      <c r="A19051" s="571" t="s">
        <v>2634</v>
      </c>
      <c r="B19051" s="572">
        <v>25.2927</v>
      </c>
      <c r="C19051" s="572">
        <v>173.88800000000001</v>
      </c>
    </row>
    <row r="19052" spans="1:3">
      <c r="A19052" s="571" t="s">
        <v>2634</v>
      </c>
      <c r="B19052" s="572">
        <v>57.351900000000001</v>
      </c>
      <c r="C19052" s="572">
        <v>277.56299999999999</v>
      </c>
    </row>
    <row r="19053" spans="1:3">
      <c r="A19053" s="573" t="s">
        <v>2634</v>
      </c>
      <c r="B19053" s="574">
        <v>108.67100000000001</v>
      </c>
      <c r="C19053" s="574">
        <v>357.26100000000002</v>
      </c>
    </row>
    <row r="19054" spans="1:3">
      <c r="A19054" s="573" t="s">
        <v>2634</v>
      </c>
      <c r="B19054" s="574">
        <v>392.08699999999999</v>
      </c>
      <c r="C19054" s="574">
        <v>433.29399999999998</v>
      </c>
    </row>
    <row r="19055" spans="1:3">
      <c r="A19055" s="569" t="s">
        <v>2634</v>
      </c>
      <c r="B19055" s="570">
        <v>580.07799999999997</v>
      </c>
      <c r="C19055" s="570">
        <v>360.233</v>
      </c>
    </row>
    <row r="19056" spans="1:3">
      <c r="A19056" s="569" t="s">
        <v>2634</v>
      </c>
      <c r="B19056" s="570">
        <v>655.33699999999999</v>
      </c>
      <c r="C19056" s="570">
        <v>372.03899999999999</v>
      </c>
    </row>
    <row r="19057" spans="1:3">
      <c r="A19057" s="569" t="s">
        <v>2634</v>
      </c>
      <c r="B19057" s="570">
        <v>683.62900000000002</v>
      </c>
      <c r="C19057" s="570">
        <v>346.798</v>
      </c>
    </row>
    <row r="19058" spans="1:3">
      <c r="A19058" s="569" t="s">
        <v>2634</v>
      </c>
      <c r="B19058" s="570">
        <v>779.00099999999998</v>
      </c>
      <c r="C19058" s="570">
        <v>412.72199999999998</v>
      </c>
    </row>
    <row r="19059" spans="1:3">
      <c r="A19059" s="569" t="s">
        <v>2634</v>
      </c>
      <c r="B19059" s="570">
        <v>806.83600000000001</v>
      </c>
      <c r="C19059" s="570">
        <v>387.52199999999999</v>
      </c>
    </row>
    <row r="19060" spans="1:3">
      <c r="A19060" s="569" t="s">
        <v>2634</v>
      </c>
      <c r="B19060" s="570">
        <v>835.76</v>
      </c>
      <c r="C19060" s="570">
        <v>366.48899999999998</v>
      </c>
    </row>
    <row r="19061" spans="1:3">
      <c r="A19061" s="569" t="s">
        <v>2634</v>
      </c>
      <c r="B19061" s="570">
        <v>1947.31</v>
      </c>
      <c r="C19061" s="570">
        <v>415.84300000000002</v>
      </c>
    </row>
    <row r="19062" spans="1:3">
      <c r="A19062" s="569" t="s">
        <v>2634</v>
      </c>
      <c r="B19062" s="570">
        <v>2787.49</v>
      </c>
      <c r="C19062" s="570">
        <v>447.13600000000002</v>
      </c>
    </row>
    <row r="19063" spans="1:3">
      <c r="A19063" s="569" t="s">
        <v>2634</v>
      </c>
      <c r="B19063" s="570">
        <v>4812.04</v>
      </c>
      <c r="C19063" s="570">
        <v>523.19600000000003</v>
      </c>
    </row>
    <row r="19064" spans="1:3">
      <c r="A19064" s="569" t="s">
        <v>2634</v>
      </c>
      <c r="B19064" s="570">
        <v>8906.31</v>
      </c>
      <c r="C19064" s="570">
        <v>528.02700000000004</v>
      </c>
    </row>
    <row r="19065" spans="1:3">
      <c r="A19065" s="571" t="s">
        <v>2635</v>
      </c>
      <c r="B19065" s="572">
        <v>11.684100000000001</v>
      </c>
      <c r="C19065" s="572">
        <v>199.11500000000001</v>
      </c>
    </row>
    <row r="19066" spans="1:3">
      <c r="A19066" s="571" t="s">
        <v>2635</v>
      </c>
      <c r="B19066" s="572">
        <v>25.6114</v>
      </c>
      <c r="C19066" s="572">
        <v>373.81599999999997</v>
      </c>
    </row>
    <row r="19067" spans="1:3">
      <c r="A19067" s="571" t="s">
        <v>2635</v>
      </c>
      <c r="B19067" s="572">
        <v>57.076799999999999</v>
      </c>
      <c r="C19067" s="572">
        <v>631.75800000000004</v>
      </c>
    </row>
    <row r="19068" spans="1:3">
      <c r="A19068" s="571" t="s">
        <v>2635</v>
      </c>
      <c r="B19068" s="572">
        <v>91.870800000000003</v>
      </c>
      <c r="C19068" s="572">
        <v>766.55</v>
      </c>
    </row>
    <row r="19069" spans="1:3">
      <c r="A19069" s="573" t="s">
        <v>2635</v>
      </c>
      <c r="B19069" s="574">
        <v>401.08800000000002</v>
      </c>
      <c r="C19069" s="574">
        <v>1012.33</v>
      </c>
    </row>
    <row r="19070" spans="1:3">
      <c r="A19070" s="569" t="s">
        <v>2635</v>
      </c>
      <c r="B19070" s="570">
        <v>578.00599999999997</v>
      </c>
      <c r="C19070" s="570">
        <v>1026.92</v>
      </c>
    </row>
    <row r="19071" spans="1:3">
      <c r="A19071" s="569" t="s">
        <v>2635</v>
      </c>
      <c r="B19071" s="570">
        <v>638.91300000000001</v>
      </c>
      <c r="C19071" s="570">
        <v>1026.3499999999999</v>
      </c>
    </row>
    <row r="19072" spans="1:3">
      <c r="A19072" s="569" t="s">
        <v>2635</v>
      </c>
      <c r="B19072" s="570">
        <v>671.35699999999997</v>
      </c>
      <c r="C19072" s="570">
        <v>1005.23</v>
      </c>
    </row>
    <row r="19073" spans="1:3">
      <c r="A19073" s="569" t="s">
        <v>2635</v>
      </c>
      <c r="B19073" s="570">
        <v>742.84799999999996</v>
      </c>
      <c r="C19073" s="570">
        <v>1042.1600000000001</v>
      </c>
    </row>
    <row r="19074" spans="1:3">
      <c r="A19074" s="569" t="s">
        <v>2635</v>
      </c>
      <c r="B19074" s="570">
        <v>786.43899999999996</v>
      </c>
      <c r="C19074" s="570">
        <v>1033.5</v>
      </c>
    </row>
    <row r="19075" spans="1:3">
      <c r="A19075" s="569" t="s">
        <v>2635</v>
      </c>
      <c r="B19075" s="570">
        <v>826.375</v>
      </c>
      <c r="C19075" s="570">
        <v>1012.39</v>
      </c>
    </row>
    <row r="19076" spans="1:3">
      <c r="A19076" s="569" t="s">
        <v>2635</v>
      </c>
      <c r="B19076" s="570">
        <v>1968.54</v>
      </c>
      <c r="C19076" s="570">
        <v>1086.6099999999999</v>
      </c>
    </row>
    <row r="19077" spans="1:3">
      <c r="A19077" s="569" t="s">
        <v>2635</v>
      </c>
      <c r="B19077" s="570">
        <v>2793.73</v>
      </c>
      <c r="C19077" s="570">
        <v>1063.79</v>
      </c>
    </row>
    <row r="19078" spans="1:3">
      <c r="A19078" s="569" t="s">
        <v>2635</v>
      </c>
      <c r="B19078" s="570">
        <v>4792.71</v>
      </c>
      <c r="C19078" s="570">
        <v>1173.22</v>
      </c>
    </row>
    <row r="19079" spans="1:3">
      <c r="A19079" s="569" t="s">
        <v>2635</v>
      </c>
      <c r="B19079" s="570">
        <v>9021.57</v>
      </c>
      <c r="C19079" s="570">
        <v>1273.79</v>
      </c>
    </row>
    <row r="19080" spans="1:3">
      <c r="A19080" s="571" t="s">
        <v>1730</v>
      </c>
      <c r="B19080" s="572">
        <v>0</v>
      </c>
      <c r="C19080" s="572">
        <v>0</v>
      </c>
    </row>
    <row r="19081" spans="1:3">
      <c r="A19081" s="571" t="s">
        <v>1730</v>
      </c>
      <c r="B19081" s="572">
        <v>2.5</v>
      </c>
      <c r="C19081" s="572">
        <v>7.5</v>
      </c>
    </row>
    <row r="19082" spans="1:3">
      <c r="A19082" s="571" t="s">
        <v>1730</v>
      </c>
      <c r="B19082" s="572">
        <v>5</v>
      </c>
      <c r="C19082" s="572">
        <v>12.5</v>
      </c>
    </row>
    <row r="19083" spans="1:3">
      <c r="A19083" s="571" t="s">
        <v>1730</v>
      </c>
      <c r="B19083" s="572">
        <v>7.5</v>
      </c>
      <c r="C19083" s="572">
        <v>18.5</v>
      </c>
    </row>
    <row r="19084" spans="1:3">
      <c r="A19084" s="571" t="s">
        <v>1730</v>
      </c>
      <c r="B19084" s="572">
        <v>10</v>
      </c>
      <c r="C19084" s="572">
        <v>25</v>
      </c>
    </row>
    <row r="19085" spans="1:3">
      <c r="A19085" s="571" t="s">
        <v>1730</v>
      </c>
      <c r="B19085" s="572">
        <v>12.5</v>
      </c>
      <c r="C19085" s="572">
        <v>30</v>
      </c>
    </row>
    <row r="19086" spans="1:3">
      <c r="A19086" s="571" t="s">
        <v>1730</v>
      </c>
      <c r="B19086" s="572">
        <v>15</v>
      </c>
      <c r="C19086" s="572">
        <v>33</v>
      </c>
    </row>
    <row r="19087" spans="1:3">
      <c r="A19087" s="571" t="s">
        <v>1730</v>
      </c>
      <c r="B19087" s="572">
        <v>17.5</v>
      </c>
      <c r="C19087" s="572">
        <v>37.5</v>
      </c>
    </row>
    <row r="19088" spans="1:3">
      <c r="A19088" s="571" t="s">
        <v>1730</v>
      </c>
      <c r="B19088" s="572">
        <v>20</v>
      </c>
      <c r="C19088" s="572">
        <v>42.5</v>
      </c>
    </row>
    <row r="19089" spans="1:3">
      <c r="A19089" s="571" t="s">
        <v>1730</v>
      </c>
      <c r="B19089" s="572">
        <v>22.5</v>
      </c>
      <c r="C19089" s="572">
        <v>45.5</v>
      </c>
    </row>
    <row r="19090" spans="1:3">
      <c r="A19090" s="571" t="s">
        <v>1730</v>
      </c>
      <c r="B19090" s="572">
        <v>25</v>
      </c>
      <c r="C19090" s="572">
        <v>50</v>
      </c>
    </row>
    <row r="19091" spans="1:3">
      <c r="A19091" s="571" t="s">
        <v>1730</v>
      </c>
      <c r="B19091" s="572">
        <v>27.5</v>
      </c>
      <c r="C19091" s="572">
        <v>52.5</v>
      </c>
    </row>
    <row r="19092" spans="1:3">
      <c r="A19092" s="571" t="s">
        <v>1730</v>
      </c>
      <c r="B19092" s="572">
        <v>30</v>
      </c>
      <c r="C19092" s="572">
        <v>57.5</v>
      </c>
    </row>
    <row r="19093" spans="1:3">
      <c r="A19093" s="571" t="s">
        <v>1730</v>
      </c>
      <c r="B19093" s="572">
        <v>32.5</v>
      </c>
      <c r="C19093" s="572">
        <v>60</v>
      </c>
    </row>
    <row r="19094" spans="1:3">
      <c r="A19094" s="571" t="s">
        <v>1730</v>
      </c>
      <c r="B19094" s="572">
        <v>35</v>
      </c>
      <c r="C19094" s="572">
        <v>65</v>
      </c>
    </row>
    <row r="19095" spans="1:3">
      <c r="A19095" s="571" t="s">
        <v>1730</v>
      </c>
      <c r="B19095" s="572">
        <v>37.5</v>
      </c>
      <c r="C19095" s="572">
        <v>66</v>
      </c>
    </row>
    <row r="19096" spans="1:3">
      <c r="A19096" s="571" t="s">
        <v>1730</v>
      </c>
      <c r="B19096" s="572">
        <v>40</v>
      </c>
      <c r="C19096" s="572">
        <v>69</v>
      </c>
    </row>
    <row r="19097" spans="1:3">
      <c r="A19097" s="571" t="s">
        <v>1730</v>
      </c>
      <c r="B19097" s="572">
        <v>42.5</v>
      </c>
      <c r="C19097" s="572">
        <v>70</v>
      </c>
    </row>
    <row r="19098" spans="1:3">
      <c r="A19098" s="571" t="s">
        <v>1730</v>
      </c>
      <c r="B19098" s="572">
        <v>45</v>
      </c>
      <c r="C19098" s="572">
        <v>72</v>
      </c>
    </row>
    <row r="19099" spans="1:3">
      <c r="A19099" s="571" t="s">
        <v>1730</v>
      </c>
      <c r="B19099" s="572">
        <v>47.5</v>
      </c>
      <c r="C19099" s="572">
        <v>74</v>
      </c>
    </row>
    <row r="19100" spans="1:3">
      <c r="A19100" s="571" t="s">
        <v>1730</v>
      </c>
      <c r="B19100" s="572">
        <v>50</v>
      </c>
      <c r="C19100" s="572">
        <v>75</v>
      </c>
    </row>
    <row r="19101" spans="1:3">
      <c r="A19101" s="571" t="s">
        <v>1730</v>
      </c>
      <c r="B19101" s="572">
        <v>52.5</v>
      </c>
      <c r="C19101" s="572">
        <v>77.5</v>
      </c>
    </row>
    <row r="19102" spans="1:3">
      <c r="A19102" s="571" t="s">
        <v>1730</v>
      </c>
      <c r="B19102" s="572">
        <v>55</v>
      </c>
      <c r="C19102" s="572">
        <v>80</v>
      </c>
    </row>
    <row r="19103" spans="1:3">
      <c r="A19103" s="571" t="s">
        <v>1730</v>
      </c>
      <c r="B19103" s="572">
        <v>57.5</v>
      </c>
      <c r="C19103" s="572">
        <v>80</v>
      </c>
    </row>
    <row r="19104" spans="1:3">
      <c r="A19104" s="571" t="s">
        <v>1730</v>
      </c>
      <c r="B19104" s="572">
        <v>60</v>
      </c>
      <c r="C19104" s="572">
        <v>80</v>
      </c>
    </row>
    <row r="19105" spans="1:3">
      <c r="A19105" s="571" t="s">
        <v>1730</v>
      </c>
      <c r="B19105" s="572">
        <v>60</v>
      </c>
      <c r="C19105" s="572">
        <v>80</v>
      </c>
    </row>
    <row r="19106" spans="1:3">
      <c r="A19106" s="571" t="s">
        <v>1729</v>
      </c>
      <c r="B19106" s="572">
        <v>0</v>
      </c>
      <c r="C19106" s="572">
        <v>0</v>
      </c>
    </row>
    <row r="19107" spans="1:3">
      <c r="A19107" s="571" t="s">
        <v>1729</v>
      </c>
      <c r="B19107" s="572">
        <v>2.5</v>
      </c>
      <c r="C19107" s="572">
        <v>15</v>
      </c>
    </row>
    <row r="19108" spans="1:3">
      <c r="A19108" s="571" t="s">
        <v>1729</v>
      </c>
      <c r="B19108" s="572">
        <v>5</v>
      </c>
      <c r="C19108" s="572">
        <v>27.5</v>
      </c>
    </row>
    <row r="19109" spans="1:3">
      <c r="A19109" s="571" t="s">
        <v>1729</v>
      </c>
      <c r="B19109" s="572">
        <v>7.5</v>
      </c>
      <c r="C19109" s="572">
        <v>42</v>
      </c>
    </row>
    <row r="19110" spans="1:3">
      <c r="A19110" s="571" t="s">
        <v>1729</v>
      </c>
      <c r="B19110" s="572">
        <v>10</v>
      </c>
      <c r="C19110" s="572">
        <v>52.5</v>
      </c>
    </row>
    <row r="19111" spans="1:3">
      <c r="A19111" s="571" t="s">
        <v>1729</v>
      </c>
      <c r="B19111" s="572">
        <v>12.5</v>
      </c>
      <c r="C19111" s="572">
        <v>63</v>
      </c>
    </row>
    <row r="19112" spans="1:3">
      <c r="A19112" s="571" t="s">
        <v>1729</v>
      </c>
      <c r="B19112" s="572">
        <v>15</v>
      </c>
      <c r="C19112" s="572">
        <v>72.5</v>
      </c>
    </row>
    <row r="19113" spans="1:3">
      <c r="A19113" s="571" t="s">
        <v>1729</v>
      </c>
      <c r="B19113" s="572">
        <v>17.5</v>
      </c>
      <c r="C19113" s="572">
        <v>81</v>
      </c>
    </row>
    <row r="19114" spans="1:3">
      <c r="A19114" s="571" t="s">
        <v>1729</v>
      </c>
      <c r="B19114" s="572">
        <v>20</v>
      </c>
      <c r="C19114" s="572">
        <v>90</v>
      </c>
    </row>
    <row r="19115" spans="1:3">
      <c r="A19115" s="571" t="s">
        <v>1729</v>
      </c>
      <c r="B19115" s="572">
        <v>22.5</v>
      </c>
      <c r="C19115" s="572">
        <v>96</v>
      </c>
    </row>
    <row r="19116" spans="1:3">
      <c r="A19116" s="571" t="s">
        <v>1729</v>
      </c>
      <c r="B19116" s="572">
        <v>25</v>
      </c>
      <c r="C19116" s="572">
        <v>102.5</v>
      </c>
    </row>
    <row r="19117" spans="1:3">
      <c r="A19117" s="571" t="s">
        <v>1729</v>
      </c>
      <c r="B19117" s="572">
        <v>27.5</v>
      </c>
      <c r="C19117" s="572">
        <v>107.5</v>
      </c>
    </row>
    <row r="19118" spans="1:3">
      <c r="A19118" s="571" t="s">
        <v>1729</v>
      </c>
      <c r="B19118" s="572">
        <v>30</v>
      </c>
      <c r="C19118" s="572">
        <v>113</v>
      </c>
    </row>
    <row r="19119" spans="1:3">
      <c r="A19119" s="571" t="s">
        <v>1729</v>
      </c>
      <c r="B19119" s="572">
        <v>32.5</v>
      </c>
      <c r="C19119" s="572">
        <v>118</v>
      </c>
    </row>
    <row r="19120" spans="1:3">
      <c r="A19120" s="571" t="s">
        <v>1729</v>
      </c>
      <c r="B19120" s="572">
        <v>35</v>
      </c>
      <c r="C19120" s="572">
        <v>125</v>
      </c>
    </row>
    <row r="19121" spans="1:3">
      <c r="A19121" s="571" t="s">
        <v>1729</v>
      </c>
      <c r="B19121" s="572">
        <v>37.5</v>
      </c>
      <c r="C19121" s="572">
        <v>127.5</v>
      </c>
    </row>
    <row r="19122" spans="1:3">
      <c r="A19122" s="571" t="s">
        <v>1729</v>
      </c>
      <c r="B19122" s="572">
        <v>40</v>
      </c>
      <c r="C19122" s="572">
        <v>130</v>
      </c>
    </row>
    <row r="19123" spans="1:3">
      <c r="A19123" s="571" t="s">
        <v>1729</v>
      </c>
      <c r="B19123" s="572">
        <v>42.5</v>
      </c>
      <c r="C19123" s="572">
        <v>132.5</v>
      </c>
    </row>
    <row r="19124" spans="1:3">
      <c r="A19124" s="571" t="s">
        <v>1729</v>
      </c>
      <c r="B19124" s="572">
        <v>45</v>
      </c>
      <c r="C19124" s="572">
        <v>135</v>
      </c>
    </row>
    <row r="19125" spans="1:3">
      <c r="A19125" s="571" t="s">
        <v>1729</v>
      </c>
      <c r="B19125" s="572">
        <v>47.5</v>
      </c>
      <c r="C19125" s="572">
        <v>138</v>
      </c>
    </row>
    <row r="19126" spans="1:3">
      <c r="A19126" s="571" t="s">
        <v>1729</v>
      </c>
      <c r="B19126" s="572">
        <v>50</v>
      </c>
      <c r="C19126" s="572">
        <v>140</v>
      </c>
    </row>
    <row r="19127" spans="1:3">
      <c r="A19127" s="571" t="s">
        <v>1729</v>
      </c>
      <c r="B19127" s="572">
        <v>52.5</v>
      </c>
      <c r="C19127" s="572">
        <v>142.5</v>
      </c>
    </row>
    <row r="19128" spans="1:3">
      <c r="A19128" s="571" t="s">
        <v>1729</v>
      </c>
      <c r="B19128" s="572">
        <v>55</v>
      </c>
      <c r="C19128" s="572">
        <v>143</v>
      </c>
    </row>
    <row r="19129" spans="1:3">
      <c r="A19129" s="571" t="s">
        <v>1729</v>
      </c>
      <c r="B19129" s="572">
        <v>57.5</v>
      </c>
      <c r="C19129" s="572">
        <v>144</v>
      </c>
    </row>
    <row r="19130" spans="1:3">
      <c r="A19130" s="571" t="s">
        <v>1729</v>
      </c>
      <c r="B19130" s="572">
        <v>60</v>
      </c>
      <c r="C19130" s="572">
        <v>144</v>
      </c>
    </row>
    <row r="19131" spans="1:3">
      <c r="A19131" s="571" t="s">
        <v>1729</v>
      </c>
      <c r="B19131" s="572">
        <v>60</v>
      </c>
      <c r="C19131" s="572">
        <v>144</v>
      </c>
    </row>
    <row r="19132" spans="1:3">
      <c r="A19132" s="571" t="s">
        <v>1728</v>
      </c>
      <c r="B19132" s="572">
        <v>0</v>
      </c>
      <c r="C19132" s="572">
        <v>0</v>
      </c>
    </row>
    <row r="19133" spans="1:3">
      <c r="A19133" s="571" t="s">
        <v>1728</v>
      </c>
      <c r="B19133" s="572">
        <v>2.5</v>
      </c>
      <c r="C19133" s="572">
        <v>45</v>
      </c>
    </row>
    <row r="19134" spans="1:3">
      <c r="A19134" s="571" t="s">
        <v>1728</v>
      </c>
      <c r="B19134" s="572">
        <v>5</v>
      </c>
      <c r="C19134" s="572">
        <v>78</v>
      </c>
    </row>
    <row r="19135" spans="1:3">
      <c r="A19135" s="571" t="s">
        <v>1728</v>
      </c>
      <c r="B19135" s="572">
        <v>7.5</v>
      </c>
      <c r="C19135" s="572">
        <v>107.5</v>
      </c>
    </row>
    <row r="19136" spans="1:3">
      <c r="A19136" s="571" t="s">
        <v>1728</v>
      </c>
      <c r="B19136" s="572">
        <v>10</v>
      </c>
      <c r="C19136" s="572">
        <v>127.5</v>
      </c>
    </row>
    <row r="19137" spans="1:3">
      <c r="A19137" s="571" t="s">
        <v>1728</v>
      </c>
      <c r="B19137" s="572">
        <v>12.5</v>
      </c>
      <c r="C19137" s="572">
        <v>146</v>
      </c>
    </row>
    <row r="19138" spans="1:3">
      <c r="A19138" s="571" t="s">
        <v>1728</v>
      </c>
      <c r="B19138" s="572">
        <v>15</v>
      </c>
      <c r="C19138" s="572">
        <v>162</v>
      </c>
    </row>
    <row r="19139" spans="1:3">
      <c r="A19139" s="571" t="s">
        <v>1728</v>
      </c>
      <c r="B19139" s="572">
        <v>17.5</v>
      </c>
      <c r="C19139" s="572">
        <v>172</v>
      </c>
    </row>
    <row r="19140" spans="1:3">
      <c r="A19140" s="571" t="s">
        <v>1728</v>
      </c>
      <c r="B19140" s="572">
        <v>20</v>
      </c>
      <c r="C19140" s="572">
        <v>183</v>
      </c>
    </row>
    <row r="19141" spans="1:3">
      <c r="A19141" s="571" t="s">
        <v>1728</v>
      </c>
      <c r="B19141" s="572">
        <v>22.5</v>
      </c>
      <c r="C19141" s="572">
        <v>192.5</v>
      </c>
    </row>
    <row r="19142" spans="1:3">
      <c r="A19142" s="571" t="s">
        <v>1728</v>
      </c>
      <c r="B19142" s="572">
        <v>25</v>
      </c>
      <c r="C19142" s="572">
        <v>200</v>
      </c>
    </row>
    <row r="19143" spans="1:3">
      <c r="A19143" s="571" t="s">
        <v>1728</v>
      </c>
      <c r="B19143" s="572">
        <v>27.5</v>
      </c>
      <c r="C19143" s="572">
        <v>207.5</v>
      </c>
    </row>
    <row r="19144" spans="1:3">
      <c r="A19144" s="571" t="s">
        <v>1728</v>
      </c>
      <c r="B19144" s="572">
        <v>30</v>
      </c>
      <c r="C19144" s="572">
        <v>213</v>
      </c>
    </row>
    <row r="19145" spans="1:3">
      <c r="A19145" s="571" t="s">
        <v>1728</v>
      </c>
      <c r="B19145" s="572">
        <v>32.5</v>
      </c>
      <c r="C19145" s="572">
        <v>220</v>
      </c>
    </row>
    <row r="19146" spans="1:3">
      <c r="A19146" s="571" t="s">
        <v>1728</v>
      </c>
      <c r="B19146" s="572">
        <v>35</v>
      </c>
      <c r="C19146" s="572">
        <v>226</v>
      </c>
    </row>
    <row r="19147" spans="1:3">
      <c r="A19147" s="571" t="s">
        <v>1728</v>
      </c>
      <c r="B19147" s="572">
        <v>37.5</v>
      </c>
      <c r="C19147" s="572">
        <v>230</v>
      </c>
    </row>
    <row r="19148" spans="1:3">
      <c r="A19148" s="571" t="s">
        <v>1728</v>
      </c>
      <c r="B19148" s="572">
        <v>40</v>
      </c>
      <c r="C19148" s="572">
        <v>234</v>
      </c>
    </row>
    <row r="19149" spans="1:3">
      <c r="A19149" s="571" t="s">
        <v>1728</v>
      </c>
      <c r="B19149" s="572">
        <v>42.5</v>
      </c>
      <c r="C19149" s="572">
        <v>237.5</v>
      </c>
    </row>
    <row r="19150" spans="1:3">
      <c r="A19150" s="571" t="s">
        <v>1728</v>
      </c>
      <c r="B19150" s="572">
        <v>45</v>
      </c>
      <c r="C19150" s="572">
        <v>241</v>
      </c>
    </row>
    <row r="19151" spans="1:3">
      <c r="A19151" s="571" t="s">
        <v>1728</v>
      </c>
      <c r="B19151" s="572">
        <v>47.5</v>
      </c>
      <c r="C19151" s="572">
        <v>245</v>
      </c>
    </row>
    <row r="19152" spans="1:3">
      <c r="A19152" s="571" t="s">
        <v>1728</v>
      </c>
      <c r="B19152" s="572">
        <v>50</v>
      </c>
      <c r="C19152" s="572">
        <v>248.5</v>
      </c>
    </row>
    <row r="19153" spans="1:3">
      <c r="A19153" s="571" t="s">
        <v>1728</v>
      </c>
      <c r="B19153" s="572">
        <v>52.5</v>
      </c>
      <c r="C19153" s="572">
        <v>250</v>
      </c>
    </row>
    <row r="19154" spans="1:3">
      <c r="A19154" s="571" t="s">
        <v>1728</v>
      </c>
      <c r="B19154" s="572">
        <v>55</v>
      </c>
      <c r="C19154" s="572">
        <v>254</v>
      </c>
    </row>
    <row r="19155" spans="1:3">
      <c r="A19155" s="571" t="s">
        <v>1728</v>
      </c>
      <c r="B19155" s="572">
        <v>57.5</v>
      </c>
      <c r="C19155" s="572">
        <v>255</v>
      </c>
    </row>
    <row r="19156" spans="1:3">
      <c r="A19156" s="571" t="s">
        <v>1728</v>
      </c>
      <c r="B19156" s="572">
        <v>60</v>
      </c>
      <c r="C19156" s="572">
        <v>256</v>
      </c>
    </row>
    <row r="19157" spans="1:3">
      <c r="A19157" s="571" t="s">
        <v>1728</v>
      </c>
      <c r="B19157" s="572">
        <v>60</v>
      </c>
      <c r="C19157" s="572">
        <v>256</v>
      </c>
    </row>
    <row r="19158" spans="1:3">
      <c r="A19158" s="571" t="s">
        <v>1727</v>
      </c>
      <c r="B19158" s="572">
        <v>0</v>
      </c>
      <c r="C19158" s="572">
        <v>0</v>
      </c>
    </row>
    <row r="19159" spans="1:3">
      <c r="A19159" s="571" t="s">
        <v>1727</v>
      </c>
      <c r="B19159" s="572">
        <v>2.5</v>
      </c>
      <c r="C19159" s="572">
        <v>110</v>
      </c>
    </row>
    <row r="19160" spans="1:3">
      <c r="A19160" s="571" t="s">
        <v>1727</v>
      </c>
      <c r="B19160" s="572">
        <v>5</v>
      </c>
      <c r="C19160" s="572">
        <v>162.5</v>
      </c>
    </row>
    <row r="19161" spans="1:3">
      <c r="A19161" s="571" t="s">
        <v>1727</v>
      </c>
      <c r="B19161" s="572">
        <v>7.5</v>
      </c>
      <c r="C19161" s="572">
        <v>197.5</v>
      </c>
    </row>
    <row r="19162" spans="1:3">
      <c r="A19162" s="571" t="s">
        <v>1727</v>
      </c>
      <c r="B19162" s="572">
        <v>10</v>
      </c>
      <c r="C19162" s="572">
        <v>222.5</v>
      </c>
    </row>
    <row r="19163" spans="1:3">
      <c r="A19163" s="571" t="s">
        <v>1727</v>
      </c>
      <c r="B19163" s="572">
        <v>12.5</v>
      </c>
      <c r="C19163" s="572">
        <v>243</v>
      </c>
    </row>
    <row r="19164" spans="1:3">
      <c r="A19164" s="571" t="s">
        <v>1727</v>
      </c>
      <c r="B19164" s="572">
        <v>15</v>
      </c>
      <c r="C19164" s="572">
        <v>258</v>
      </c>
    </row>
    <row r="19165" spans="1:3">
      <c r="A19165" s="571" t="s">
        <v>1727</v>
      </c>
      <c r="B19165" s="572">
        <v>17.5</v>
      </c>
      <c r="C19165" s="572">
        <v>269</v>
      </c>
    </row>
    <row r="19166" spans="1:3">
      <c r="A19166" s="571" t="s">
        <v>1727</v>
      </c>
      <c r="B19166" s="572">
        <v>20</v>
      </c>
      <c r="C19166" s="572">
        <v>279</v>
      </c>
    </row>
    <row r="19167" spans="1:3">
      <c r="A19167" s="571" t="s">
        <v>1727</v>
      </c>
      <c r="B19167" s="572">
        <v>22.5</v>
      </c>
      <c r="C19167" s="572">
        <v>287.5</v>
      </c>
    </row>
    <row r="19168" spans="1:3">
      <c r="A19168" s="571" t="s">
        <v>1727</v>
      </c>
      <c r="B19168" s="572">
        <v>25</v>
      </c>
      <c r="C19168" s="572">
        <v>292</v>
      </c>
    </row>
    <row r="19169" spans="1:3">
      <c r="A19169" s="571" t="s">
        <v>1727</v>
      </c>
      <c r="B19169" s="572">
        <v>27.5</v>
      </c>
      <c r="C19169" s="572">
        <v>297.5</v>
      </c>
    </row>
    <row r="19170" spans="1:3">
      <c r="A19170" s="571" t="s">
        <v>1727</v>
      </c>
      <c r="B19170" s="572">
        <v>30</v>
      </c>
      <c r="C19170" s="572">
        <v>302.5</v>
      </c>
    </row>
    <row r="19171" spans="1:3">
      <c r="A19171" s="571" t="s">
        <v>1727</v>
      </c>
      <c r="B19171" s="572">
        <v>32.5</v>
      </c>
      <c r="C19171" s="572">
        <v>307.5</v>
      </c>
    </row>
    <row r="19172" spans="1:3">
      <c r="A19172" s="571" t="s">
        <v>1727</v>
      </c>
      <c r="B19172" s="572">
        <v>35</v>
      </c>
      <c r="C19172" s="572">
        <v>311</v>
      </c>
    </row>
    <row r="19173" spans="1:3">
      <c r="A19173" s="571" t="s">
        <v>1727</v>
      </c>
      <c r="B19173" s="572">
        <v>37.5</v>
      </c>
      <c r="C19173" s="572">
        <v>312.5</v>
      </c>
    </row>
    <row r="19174" spans="1:3">
      <c r="A19174" s="571" t="s">
        <v>1727</v>
      </c>
      <c r="B19174" s="572">
        <v>40</v>
      </c>
      <c r="C19174" s="572">
        <v>315</v>
      </c>
    </row>
    <row r="19175" spans="1:3">
      <c r="A19175" s="571" t="s">
        <v>1727</v>
      </c>
      <c r="B19175" s="572">
        <v>42.5</v>
      </c>
      <c r="C19175" s="572">
        <v>318</v>
      </c>
    </row>
    <row r="19176" spans="1:3">
      <c r="A19176" s="571" t="s">
        <v>1727</v>
      </c>
      <c r="B19176" s="572">
        <v>45</v>
      </c>
      <c r="C19176" s="572">
        <v>320</v>
      </c>
    </row>
    <row r="19177" spans="1:3">
      <c r="A19177" s="571" t="s">
        <v>1727</v>
      </c>
      <c r="B19177" s="572">
        <v>47.5</v>
      </c>
      <c r="C19177" s="572">
        <v>322.5</v>
      </c>
    </row>
    <row r="19178" spans="1:3">
      <c r="A19178" s="571" t="s">
        <v>1727</v>
      </c>
      <c r="B19178" s="572">
        <v>50</v>
      </c>
      <c r="C19178" s="572">
        <v>324</v>
      </c>
    </row>
    <row r="19179" spans="1:3">
      <c r="A19179" s="571" t="s">
        <v>1727</v>
      </c>
      <c r="B19179" s="572">
        <v>52.5</v>
      </c>
      <c r="C19179" s="572">
        <v>324.5</v>
      </c>
    </row>
    <row r="19180" spans="1:3">
      <c r="A19180" s="571" t="s">
        <v>1727</v>
      </c>
      <c r="B19180" s="572">
        <v>55</v>
      </c>
      <c r="C19180" s="572">
        <v>325</v>
      </c>
    </row>
    <row r="19181" spans="1:3">
      <c r="A19181" s="571" t="s">
        <v>1727</v>
      </c>
      <c r="B19181" s="572">
        <v>57.5</v>
      </c>
      <c r="C19181" s="572">
        <v>325.5</v>
      </c>
    </row>
    <row r="19182" spans="1:3">
      <c r="A19182" s="571" t="s">
        <v>1727</v>
      </c>
      <c r="B19182" s="572">
        <v>60</v>
      </c>
      <c r="C19182" s="572">
        <v>327.5</v>
      </c>
    </row>
    <row r="19183" spans="1:3">
      <c r="A19183" s="571" t="s">
        <v>1727</v>
      </c>
      <c r="B19183" s="572">
        <v>60</v>
      </c>
      <c r="C19183" s="572">
        <v>327.5</v>
      </c>
    </row>
    <row r="19184" spans="1:3">
      <c r="A19184" s="571" t="s">
        <v>1725</v>
      </c>
      <c r="B19184" s="572">
        <v>1</v>
      </c>
      <c r="C19184" s="572">
        <v>5</v>
      </c>
    </row>
    <row r="19185" spans="1:3">
      <c r="A19185" s="571" t="s">
        <v>1725</v>
      </c>
      <c r="B19185" s="572">
        <v>3</v>
      </c>
      <c r="C19185" s="572">
        <v>0</v>
      </c>
    </row>
    <row r="19186" spans="1:3">
      <c r="A19186" s="571" t="s">
        <v>1725</v>
      </c>
      <c r="B19186" s="572">
        <v>4</v>
      </c>
      <c r="C19186" s="572">
        <v>5</v>
      </c>
    </row>
    <row r="19187" spans="1:3">
      <c r="A19187" s="571" t="s">
        <v>1725</v>
      </c>
      <c r="B19187" s="572">
        <v>7</v>
      </c>
      <c r="C19187" s="572">
        <v>50</v>
      </c>
    </row>
    <row r="19188" spans="1:3">
      <c r="A19188" s="571" t="s">
        <v>1725</v>
      </c>
      <c r="B19188" s="572">
        <v>10</v>
      </c>
      <c r="C19188" s="572">
        <v>75</v>
      </c>
    </row>
    <row r="19189" spans="1:3">
      <c r="A19189" s="571" t="s">
        <v>1725</v>
      </c>
      <c r="B19189" s="572">
        <v>21</v>
      </c>
      <c r="C19189" s="572">
        <v>115</v>
      </c>
    </row>
    <row r="19190" spans="1:3">
      <c r="A19190" s="571" t="s">
        <v>1725</v>
      </c>
      <c r="B19190" s="572">
        <v>28</v>
      </c>
      <c r="C19190" s="572">
        <v>130</v>
      </c>
    </row>
    <row r="19191" spans="1:3">
      <c r="A19191" s="571" t="s">
        <v>1725</v>
      </c>
      <c r="B19191" s="572">
        <v>49</v>
      </c>
      <c r="C19191" s="572">
        <v>175</v>
      </c>
    </row>
    <row r="19192" spans="1:3">
      <c r="A19192" s="571" t="s">
        <v>1725</v>
      </c>
      <c r="B19192" s="572">
        <v>52</v>
      </c>
      <c r="C19192" s="572">
        <v>155</v>
      </c>
    </row>
    <row r="19193" spans="1:3">
      <c r="A19193" s="571" t="s">
        <v>1725</v>
      </c>
      <c r="B19193" s="572">
        <v>77</v>
      </c>
      <c r="C19193" s="572">
        <v>200</v>
      </c>
    </row>
    <row r="19194" spans="1:3">
      <c r="A19194" s="571" t="s">
        <v>1725</v>
      </c>
      <c r="B19194" s="572">
        <v>90</v>
      </c>
      <c r="C19194" s="572">
        <v>210</v>
      </c>
    </row>
    <row r="19195" spans="1:3">
      <c r="A19195" s="573" t="s">
        <v>1725</v>
      </c>
      <c r="B19195" s="574">
        <v>116</v>
      </c>
      <c r="C19195" s="574">
        <v>255</v>
      </c>
    </row>
    <row r="19196" spans="1:3">
      <c r="A19196" s="573" t="s">
        <v>1725</v>
      </c>
      <c r="B19196" s="574">
        <v>176</v>
      </c>
      <c r="C19196" s="574">
        <v>300</v>
      </c>
    </row>
    <row r="19197" spans="1:3">
      <c r="A19197" s="573" t="s">
        <v>1725</v>
      </c>
      <c r="B19197" s="574">
        <v>264</v>
      </c>
      <c r="C19197" s="574">
        <v>365</v>
      </c>
    </row>
    <row r="19198" spans="1:3">
      <c r="A19198" s="573" t="s">
        <v>1725</v>
      </c>
      <c r="B19198" s="574">
        <v>356</v>
      </c>
      <c r="C19198" s="574">
        <v>385</v>
      </c>
    </row>
    <row r="19199" spans="1:3">
      <c r="A19199" s="569" t="s">
        <v>1725</v>
      </c>
      <c r="B19199" s="570">
        <v>536</v>
      </c>
      <c r="C19199" s="570">
        <v>400</v>
      </c>
    </row>
    <row r="19200" spans="1:3">
      <c r="A19200" s="569" t="s">
        <v>1725</v>
      </c>
      <c r="B19200" s="570">
        <v>745</v>
      </c>
      <c r="C19200" s="570">
        <v>385</v>
      </c>
    </row>
    <row r="19201" spans="1:3">
      <c r="A19201" s="569" t="s">
        <v>1725</v>
      </c>
      <c r="B19201" s="570">
        <v>1126</v>
      </c>
      <c r="C19201" s="570">
        <v>415</v>
      </c>
    </row>
    <row r="19202" spans="1:3">
      <c r="A19202" s="569" t="s">
        <v>1725</v>
      </c>
      <c r="B19202" s="570">
        <v>1599</v>
      </c>
      <c r="C19202" s="570">
        <v>430</v>
      </c>
    </row>
    <row r="19203" spans="1:3">
      <c r="A19203" s="569" t="s">
        <v>1725</v>
      </c>
      <c r="B19203" s="570">
        <v>1599</v>
      </c>
      <c r="C19203" s="570">
        <v>430</v>
      </c>
    </row>
    <row r="19204" spans="1:3">
      <c r="A19204" s="571" t="s">
        <v>1724</v>
      </c>
      <c r="B19204" s="572">
        <v>7</v>
      </c>
      <c r="C19204" s="572">
        <v>45</v>
      </c>
    </row>
    <row r="19205" spans="1:3">
      <c r="A19205" s="571" t="s">
        <v>1724</v>
      </c>
      <c r="B19205" s="572">
        <v>21</v>
      </c>
      <c r="C19205" s="572">
        <v>85</v>
      </c>
    </row>
    <row r="19206" spans="1:3">
      <c r="A19206" s="571" t="s">
        <v>1724</v>
      </c>
      <c r="B19206" s="572">
        <v>24</v>
      </c>
      <c r="C19206" s="572">
        <v>100</v>
      </c>
    </row>
    <row r="19207" spans="1:3">
      <c r="A19207" s="571" t="s">
        <v>1724</v>
      </c>
      <c r="B19207" s="572">
        <v>28</v>
      </c>
      <c r="C19207" s="572">
        <v>115</v>
      </c>
    </row>
    <row r="19208" spans="1:3">
      <c r="A19208" s="571" t="s">
        <v>1724</v>
      </c>
      <c r="B19208" s="572">
        <v>35</v>
      </c>
      <c r="C19208" s="572">
        <v>120</v>
      </c>
    </row>
    <row r="19209" spans="1:3">
      <c r="A19209" s="571" t="s">
        <v>1724</v>
      </c>
      <c r="B19209" s="572">
        <v>49</v>
      </c>
      <c r="C19209" s="572">
        <v>135</v>
      </c>
    </row>
    <row r="19210" spans="1:3">
      <c r="A19210" s="571" t="s">
        <v>1724</v>
      </c>
      <c r="B19210" s="572">
        <v>77</v>
      </c>
      <c r="C19210" s="572">
        <v>175</v>
      </c>
    </row>
    <row r="19211" spans="1:3">
      <c r="A19211" s="571" t="s">
        <v>1724</v>
      </c>
      <c r="B19211" s="572">
        <v>83</v>
      </c>
      <c r="C19211" s="572">
        <v>180</v>
      </c>
    </row>
    <row r="19212" spans="1:3">
      <c r="A19212" s="573" t="s">
        <v>1724</v>
      </c>
      <c r="B19212" s="574">
        <v>111</v>
      </c>
      <c r="C19212" s="574">
        <v>210</v>
      </c>
    </row>
    <row r="19213" spans="1:3">
      <c r="A19213" s="573" t="s">
        <v>1724</v>
      </c>
      <c r="B19213" s="574">
        <v>142</v>
      </c>
      <c r="C19213" s="574">
        <v>210</v>
      </c>
    </row>
    <row r="19214" spans="1:3">
      <c r="A19214" s="573" t="s">
        <v>1724</v>
      </c>
      <c r="B19214" s="574">
        <v>171</v>
      </c>
      <c r="C19214" s="574">
        <v>235</v>
      </c>
    </row>
    <row r="19215" spans="1:3">
      <c r="A19215" s="573" t="s">
        <v>1724</v>
      </c>
      <c r="B19215" s="574">
        <v>201</v>
      </c>
      <c r="C19215" s="574">
        <v>245</v>
      </c>
    </row>
    <row r="19216" spans="1:3">
      <c r="A19216" s="573" t="s">
        <v>1724</v>
      </c>
      <c r="B19216" s="574">
        <v>263</v>
      </c>
      <c r="C19216" s="574">
        <v>255</v>
      </c>
    </row>
    <row r="19217" spans="1:3">
      <c r="A19217" s="573" t="s">
        <v>1724</v>
      </c>
      <c r="B19217" s="574">
        <v>353</v>
      </c>
      <c r="C19217" s="574">
        <v>275</v>
      </c>
    </row>
    <row r="19218" spans="1:3">
      <c r="A19218" s="569" t="s">
        <v>1724</v>
      </c>
      <c r="B19218" s="570">
        <v>535</v>
      </c>
      <c r="C19218" s="570">
        <v>290</v>
      </c>
    </row>
    <row r="19219" spans="1:3">
      <c r="A19219" s="569" t="s">
        <v>1724</v>
      </c>
      <c r="B19219" s="570">
        <v>748</v>
      </c>
      <c r="C19219" s="570">
        <v>280</v>
      </c>
    </row>
    <row r="19220" spans="1:3">
      <c r="A19220" s="569" t="s">
        <v>1724</v>
      </c>
      <c r="B19220" s="570">
        <v>962</v>
      </c>
      <c r="C19220" s="570">
        <v>305</v>
      </c>
    </row>
    <row r="19221" spans="1:3">
      <c r="A19221" s="569" t="s">
        <v>1724</v>
      </c>
      <c r="B19221" s="570">
        <v>1099</v>
      </c>
      <c r="C19221" s="570">
        <v>295</v>
      </c>
    </row>
    <row r="19222" spans="1:3">
      <c r="A19222" s="569" t="s">
        <v>1724</v>
      </c>
      <c r="B19222" s="570">
        <v>1440</v>
      </c>
      <c r="C19222" s="570">
        <v>325</v>
      </c>
    </row>
    <row r="19223" spans="1:3">
      <c r="A19223" s="569" t="s">
        <v>1724</v>
      </c>
      <c r="B19223" s="570">
        <v>1440</v>
      </c>
      <c r="C19223" s="570">
        <v>325</v>
      </c>
    </row>
    <row r="19224" spans="1:3">
      <c r="A19224" s="571" t="s">
        <v>1723</v>
      </c>
      <c r="B19224" s="572">
        <v>7</v>
      </c>
      <c r="C19224" s="572">
        <v>15</v>
      </c>
    </row>
    <row r="19225" spans="1:3">
      <c r="A19225" s="571" t="s">
        <v>1723</v>
      </c>
      <c r="B19225" s="572">
        <v>21</v>
      </c>
      <c r="C19225" s="572">
        <v>85</v>
      </c>
    </row>
    <row r="19226" spans="1:3">
      <c r="A19226" s="571" t="s">
        <v>1723</v>
      </c>
      <c r="B19226" s="572">
        <v>22</v>
      </c>
      <c r="C19226" s="572">
        <v>80</v>
      </c>
    </row>
    <row r="19227" spans="1:3">
      <c r="A19227" s="571" t="s">
        <v>1723</v>
      </c>
      <c r="B19227" s="572">
        <v>28</v>
      </c>
      <c r="C19227" s="572">
        <v>90</v>
      </c>
    </row>
    <row r="19228" spans="1:3">
      <c r="A19228" s="571" t="s">
        <v>1723</v>
      </c>
      <c r="B19228" s="572">
        <v>35</v>
      </c>
      <c r="C19228" s="572">
        <v>100</v>
      </c>
    </row>
    <row r="19229" spans="1:3">
      <c r="A19229" s="571" t="s">
        <v>1723</v>
      </c>
      <c r="B19229" s="572">
        <v>49</v>
      </c>
      <c r="C19229" s="572">
        <v>110</v>
      </c>
    </row>
    <row r="19230" spans="1:3">
      <c r="A19230" s="571" t="s">
        <v>1723</v>
      </c>
      <c r="B19230" s="572">
        <v>77</v>
      </c>
      <c r="C19230" s="572">
        <v>150</v>
      </c>
    </row>
    <row r="19231" spans="1:3">
      <c r="A19231" s="571" t="s">
        <v>1723</v>
      </c>
      <c r="B19231" s="572">
        <v>83</v>
      </c>
      <c r="C19231" s="572">
        <v>175</v>
      </c>
    </row>
    <row r="19232" spans="1:3">
      <c r="A19232" s="573" t="s">
        <v>1723</v>
      </c>
      <c r="B19232" s="574">
        <v>111</v>
      </c>
      <c r="C19232" s="574">
        <v>200</v>
      </c>
    </row>
    <row r="19233" spans="1:3">
      <c r="A19233" s="573" t="s">
        <v>1723</v>
      </c>
      <c r="B19233" s="574">
        <v>141</v>
      </c>
      <c r="C19233" s="574">
        <v>210</v>
      </c>
    </row>
    <row r="19234" spans="1:3">
      <c r="A19234" s="573" t="s">
        <v>1723</v>
      </c>
      <c r="B19234" s="574">
        <v>171</v>
      </c>
      <c r="C19234" s="574">
        <v>215</v>
      </c>
    </row>
    <row r="19235" spans="1:3">
      <c r="A19235" s="573" t="s">
        <v>1723</v>
      </c>
      <c r="B19235" s="574">
        <v>202</v>
      </c>
      <c r="C19235" s="574">
        <v>255</v>
      </c>
    </row>
    <row r="19236" spans="1:3">
      <c r="A19236" s="573" t="s">
        <v>1723</v>
      </c>
      <c r="B19236" s="574">
        <v>291</v>
      </c>
      <c r="C19236" s="574">
        <v>260</v>
      </c>
    </row>
    <row r="19237" spans="1:3">
      <c r="A19237" s="573" t="s">
        <v>1723</v>
      </c>
      <c r="B19237" s="574">
        <v>353</v>
      </c>
      <c r="C19237" s="574">
        <v>285</v>
      </c>
    </row>
    <row r="19238" spans="1:3">
      <c r="A19238" s="569" t="s">
        <v>1723</v>
      </c>
      <c r="B19238" s="570">
        <v>533</v>
      </c>
      <c r="C19238" s="570">
        <v>300</v>
      </c>
    </row>
    <row r="19239" spans="1:3">
      <c r="A19239" s="569" t="s">
        <v>1723</v>
      </c>
      <c r="B19239" s="570">
        <v>755</v>
      </c>
      <c r="C19239" s="570">
        <v>275</v>
      </c>
    </row>
    <row r="19240" spans="1:3">
      <c r="A19240" s="569" t="s">
        <v>1723</v>
      </c>
      <c r="B19240" s="570">
        <v>969</v>
      </c>
      <c r="C19240" s="570">
        <v>305</v>
      </c>
    </row>
    <row r="19241" spans="1:3">
      <c r="A19241" s="569" t="s">
        <v>1723</v>
      </c>
      <c r="B19241" s="570">
        <v>1106</v>
      </c>
      <c r="C19241" s="570">
        <v>290</v>
      </c>
    </row>
    <row r="19242" spans="1:3">
      <c r="A19242" s="569" t="s">
        <v>1723</v>
      </c>
      <c r="B19242" s="570">
        <v>1447</v>
      </c>
      <c r="C19242" s="570">
        <v>340</v>
      </c>
    </row>
    <row r="19243" spans="1:3">
      <c r="A19243" s="569" t="s">
        <v>1723</v>
      </c>
      <c r="B19243" s="570">
        <v>1447</v>
      </c>
      <c r="C19243" s="570">
        <v>340</v>
      </c>
    </row>
    <row r="19244" spans="1:3">
      <c r="A19244" s="571" t="s">
        <v>1722</v>
      </c>
      <c r="B19244" s="572">
        <v>7</v>
      </c>
      <c r="C19244" s="572">
        <v>5</v>
      </c>
    </row>
    <row r="19245" spans="1:3">
      <c r="A19245" s="571" t="s">
        <v>1722</v>
      </c>
      <c r="B19245" s="572">
        <v>21</v>
      </c>
      <c r="C19245" s="572">
        <v>25</v>
      </c>
    </row>
    <row r="19246" spans="1:3">
      <c r="A19246" s="571" t="s">
        <v>1722</v>
      </c>
      <c r="B19246" s="572">
        <v>22</v>
      </c>
      <c r="C19246" s="572">
        <v>30</v>
      </c>
    </row>
    <row r="19247" spans="1:3">
      <c r="A19247" s="571" t="s">
        <v>1722</v>
      </c>
      <c r="B19247" s="572">
        <v>24</v>
      </c>
      <c r="C19247" s="572">
        <v>40</v>
      </c>
    </row>
    <row r="19248" spans="1:3">
      <c r="A19248" s="571" t="s">
        <v>1722</v>
      </c>
      <c r="B19248" s="572">
        <v>28</v>
      </c>
      <c r="C19248" s="572">
        <v>75</v>
      </c>
    </row>
    <row r="19249" spans="1:3">
      <c r="A19249" s="571" t="s">
        <v>1722</v>
      </c>
      <c r="B19249" s="572">
        <v>35</v>
      </c>
      <c r="C19249" s="572">
        <v>65</v>
      </c>
    </row>
    <row r="19250" spans="1:3">
      <c r="A19250" s="571" t="s">
        <v>1722</v>
      </c>
      <c r="B19250" s="572">
        <v>49</v>
      </c>
      <c r="C19250" s="572">
        <v>110</v>
      </c>
    </row>
    <row r="19251" spans="1:3">
      <c r="A19251" s="571" t="s">
        <v>1722</v>
      </c>
      <c r="B19251" s="572">
        <v>77</v>
      </c>
      <c r="C19251" s="572">
        <v>150</v>
      </c>
    </row>
    <row r="19252" spans="1:3">
      <c r="A19252" s="571" t="s">
        <v>1722</v>
      </c>
      <c r="B19252" s="572">
        <v>83</v>
      </c>
      <c r="C19252" s="572">
        <v>150</v>
      </c>
    </row>
    <row r="19253" spans="1:3">
      <c r="A19253" s="573" t="s">
        <v>1722</v>
      </c>
      <c r="B19253" s="574">
        <v>111</v>
      </c>
      <c r="C19253" s="574">
        <v>205</v>
      </c>
    </row>
    <row r="19254" spans="1:3">
      <c r="A19254" s="573" t="s">
        <v>1722</v>
      </c>
      <c r="B19254" s="574">
        <v>141</v>
      </c>
      <c r="C19254" s="574">
        <v>235</v>
      </c>
    </row>
    <row r="19255" spans="1:3">
      <c r="A19255" s="573" t="s">
        <v>1722</v>
      </c>
      <c r="B19255" s="574">
        <v>174</v>
      </c>
      <c r="C19255" s="574">
        <v>250</v>
      </c>
    </row>
    <row r="19256" spans="1:3">
      <c r="A19256" s="573" t="s">
        <v>1722</v>
      </c>
      <c r="B19256" s="574">
        <v>263</v>
      </c>
      <c r="C19256" s="574">
        <v>300</v>
      </c>
    </row>
    <row r="19257" spans="1:3">
      <c r="A19257" s="573" t="s">
        <v>1722</v>
      </c>
      <c r="B19257" s="574">
        <v>353</v>
      </c>
      <c r="C19257" s="574">
        <v>340</v>
      </c>
    </row>
    <row r="19258" spans="1:3">
      <c r="A19258" s="569" t="s">
        <v>1722</v>
      </c>
      <c r="B19258" s="570">
        <v>538</v>
      </c>
      <c r="C19258" s="570">
        <v>375</v>
      </c>
    </row>
    <row r="19259" spans="1:3">
      <c r="A19259" s="569" t="s">
        <v>1722</v>
      </c>
      <c r="B19259" s="570">
        <v>762</v>
      </c>
      <c r="C19259" s="570">
        <v>360</v>
      </c>
    </row>
    <row r="19260" spans="1:3">
      <c r="A19260" s="569" t="s">
        <v>1722</v>
      </c>
      <c r="B19260" s="570">
        <v>987</v>
      </c>
      <c r="C19260" s="570">
        <v>380</v>
      </c>
    </row>
    <row r="19261" spans="1:3">
      <c r="A19261" s="569" t="s">
        <v>1722</v>
      </c>
      <c r="B19261" s="570">
        <v>1183</v>
      </c>
      <c r="C19261" s="570">
        <v>380</v>
      </c>
    </row>
    <row r="19262" spans="1:3">
      <c r="A19262" s="569" t="s">
        <v>1722</v>
      </c>
      <c r="B19262" s="570">
        <v>1454</v>
      </c>
      <c r="C19262" s="570">
        <v>405</v>
      </c>
    </row>
    <row r="19263" spans="1:3">
      <c r="A19263" s="569" t="s">
        <v>1722</v>
      </c>
      <c r="B19263" s="570">
        <v>1454</v>
      </c>
      <c r="C19263" s="570">
        <v>405</v>
      </c>
    </row>
    <row r="19264" spans="1:3">
      <c r="A19264" s="571" t="s">
        <v>1721</v>
      </c>
      <c r="B19264" s="572">
        <v>1</v>
      </c>
      <c r="C19264" s="572">
        <v>20</v>
      </c>
    </row>
    <row r="19265" spans="1:3">
      <c r="A19265" s="571" t="s">
        <v>1721</v>
      </c>
      <c r="B19265" s="572">
        <v>3</v>
      </c>
      <c r="C19265" s="572">
        <v>30</v>
      </c>
    </row>
    <row r="19266" spans="1:3">
      <c r="A19266" s="571" t="s">
        <v>1721</v>
      </c>
      <c r="B19266" s="572">
        <v>7</v>
      </c>
      <c r="C19266" s="572">
        <v>70</v>
      </c>
    </row>
    <row r="19267" spans="1:3">
      <c r="A19267" s="571" t="s">
        <v>1721</v>
      </c>
      <c r="B19267" s="572">
        <v>10</v>
      </c>
      <c r="C19267" s="572">
        <v>90</v>
      </c>
    </row>
    <row r="19268" spans="1:3">
      <c r="A19268" s="571" t="s">
        <v>1721</v>
      </c>
      <c r="B19268" s="572">
        <v>21</v>
      </c>
      <c r="C19268" s="572">
        <v>135</v>
      </c>
    </row>
    <row r="19269" spans="1:3">
      <c r="A19269" s="571" t="s">
        <v>1721</v>
      </c>
      <c r="B19269" s="572">
        <v>28</v>
      </c>
      <c r="C19269" s="572">
        <v>155</v>
      </c>
    </row>
    <row r="19270" spans="1:3">
      <c r="A19270" s="571" t="s">
        <v>1721</v>
      </c>
      <c r="B19270" s="572">
        <v>49</v>
      </c>
      <c r="C19270" s="572">
        <v>185</v>
      </c>
    </row>
    <row r="19271" spans="1:3">
      <c r="A19271" s="571" t="s">
        <v>1721</v>
      </c>
      <c r="B19271" s="572">
        <v>52</v>
      </c>
      <c r="C19271" s="572">
        <v>200</v>
      </c>
    </row>
    <row r="19272" spans="1:3">
      <c r="A19272" s="571" t="s">
        <v>1721</v>
      </c>
      <c r="B19272" s="572">
        <v>77</v>
      </c>
      <c r="C19272" s="572">
        <v>250</v>
      </c>
    </row>
    <row r="19273" spans="1:3">
      <c r="A19273" s="571" t="s">
        <v>1721</v>
      </c>
      <c r="B19273" s="572">
        <v>90</v>
      </c>
      <c r="C19273" s="572">
        <v>265</v>
      </c>
    </row>
    <row r="19274" spans="1:3">
      <c r="A19274" s="573" t="s">
        <v>1721</v>
      </c>
      <c r="B19274" s="574">
        <v>116</v>
      </c>
      <c r="C19274" s="574">
        <v>315</v>
      </c>
    </row>
    <row r="19275" spans="1:3">
      <c r="A19275" s="573" t="s">
        <v>1721</v>
      </c>
      <c r="B19275" s="574">
        <v>174</v>
      </c>
      <c r="C19275" s="574">
        <v>375</v>
      </c>
    </row>
    <row r="19276" spans="1:3">
      <c r="A19276" s="573" t="s">
        <v>1721</v>
      </c>
      <c r="B19276" s="574">
        <v>266</v>
      </c>
      <c r="C19276" s="574">
        <v>435</v>
      </c>
    </row>
    <row r="19277" spans="1:3">
      <c r="A19277" s="573" t="s">
        <v>1721</v>
      </c>
      <c r="B19277" s="574">
        <v>356</v>
      </c>
      <c r="C19277" s="574">
        <v>460</v>
      </c>
    </row>
    <row r="19278" spans="1:3">
      <c r="A19278" s="569" t="s">
        <v>1721</v>
      </c>
      <c r="B19278" s="570">
        <v>536</v>
      </c>
      <c r="C19278" s="570">
        <v>480</v>
      </c>
    </row>
    <row r="19279" spans="1:3">
      <c r="A19279" s="569" t="s">
        <v>1721</v>
      </c>
      <c r="B19279" s="570">
        <v>710</v>
      </c>
      <c r="C19279" s="570">
        <v>480</v>
      </c>
    </row>
    <row r="19280" spans="1:3">
      <c r="A19280" s="569" t="s">
        <v>1721</v>
      </c>
      <c r="B19280" s="570">
        <v>744</v>
      </c>
      <c r="C19280" s="570">
        <v>450</v>
      </c>
    </row>
    <row r="19281" spans="1:3">
      <c r="A19281" s="569" t="s">
        <v>1721</v>
      </c>
      <c r="B19281" s="570">
        <v>1124</v>
      </c>
      <c r="C19281" s="570">
        <v>480</v>
      </c>
    </row>
    <row r="19282" spans="1:3">
      <c r="A19282" s="569" t="s">
        <v>1721</v>
      </c>
      <c r="B19282" s="570">
        <v>1455</v>
      </c>
      <c r="C19282" s="570">
        <v>520</v>
      </c>
    </row>
    <row r="19283" spans="1:3">
      <c r="A19283" s="569" t="s">
        <v>1721</v>
      </c>
      <c r="B19283" s="570">
        <v>1455</v>
      </c>
      <c r="C19283" s="570">
        <v>520</v>
      </c>
    </row>
    <row r="19284" spans="1:3">
      <c r="A19284" s="571" t="s">
        <v>1720</v>
      </c>
      <c r="B19284" s="572">
        <v>2</v>
      </c>
      <c r="C19284" s="572">
        <v>7</v>
      </c>
    </row>
    <row r="19285" spans="1:3">
      <c r="A19285" s="571" t="s">
        <v>1720</v>
      </c>
      <c r="B19285" s="572">
        <v>5</v>
      </c>
      <c r="C19285" s="572">
        <v>9</v>
      </c>
    </row>
    <row r="19286" spans="1:3">
      <c r="A19286" s="571" t="s">
        <v>1720</v>
      </c>
      <c r="B19286" s="572">
        <v>9</v>
      </c>
      <c r="C19286" s="572">
        <v>18</v>
      </c>
    </row>
    <row r="19287" spans="1:3">
      <c r="A19287" s="571" t="s">
        <v>1720</v>
      </c>
      <c r="B19287" s="572">
        <v>13</v>
      </c>
      <c r="C19287" s="572">
        <v>28</v>
      </c>
    </row>
    <row r="19288" spans="1:3">
      <c r="A19288" s="571" t="s">
        <v>1720</v>
      </c>
      <c r="B19288" s="572">
        <v>20</v>
      </c>
      <c r="C19288" s="572">
        <v>44</v>
      </c>
    </row>
    <row r="19289" spans="1:3">
      <c r="A19289" s="571" t="s">
        <v>1720</v>
      </c>
      <c r="B19289" s="572">
        <v>26</v>
      </c>
      <c r="C19289" s="572">
        <v>75</v>
      </c>
    </row>
    <row r="19290" spans="1:3">
      <c r="A19290" s="571" t="s">
        <v>1720</v>
      </c>
      <c r="B19290" s="572">
        <v>49</v>
      </c>
      <c r="C19290" s="572">
        <v>137</v>
      </c>
    </row>
    <row r="19291" spans="1:3">
      <c r="A19291" s="571" t="s">
        <v>1720</v>
      </c>
      <c r="B19291" s="572">
        <v>57</v>
      </c>
      <c r="C19291" s="572">
        <v>145</v>
      </c>
    </row>
    <row r="19292" spans="1:3">
      <c r="A19292" s="571" t="s">
        <v>1720</v>
      </c>
      <c r="B19292" s="572">
        <v>74</v>
      </c>
      <c r="C19292" s="572">
        <v>180</v>
      </c>
    </row>
    <row r="19293" spans="1:3">
      <c r="A19293" s="571" t="s">
        <v>1720</v>
      </c>
      <c r="B19293" s="572">
        <v>89</v>
      </c>
      <c r="C19293" s="572">
        <v>183</v>
      </c>
    </row>
    <row r="19294" spans="1:3">
      <c r="A19294" s="573" t="s">
        <v>1720</v>
      </c>
      <c r="B19294" s="574">
        <v>113</v>
      </c>
      <c r="C19294" s="574">
        <v>208</v>
      </c>
    </row>
    <row r="19295" spans="1:3">
      <c r="A19295" s="573" t="s">
        <v>1720</v>
      </c>
      <c r="B19295" s="574">
        <v>174</v>
      </c>
      <c r="C19295" s="574">
        <v>257</v>
      </c>
    </row>
    <row r="19296" spans="1:3">
      <c r="A19296" s="573" t="s">
        <v>1720</v>
      </c>
      <c r="B19296" s="574">
        <v>204</v>
      </c>
      <c r="C19296" s="574">
        <v>280</v>
      </c>
    </row>
    <row r="19297" spans="1:3">
      <c r="A19297" s="573" t="s">
        <v>1720</v>
      </c>
      <c r="B19297" s="574">
        <v>258</v>
      </c>
      <c r="C19297" s="574">
        <v>317</v>
      </c>
    </row>
    <row r="19298" spans="1:3">
      <c r="A19298" s="573" t="s">
        <v>1720</v>
      </c>
      <c r="B19298" s="574">
        <v>363</v>
      </c>
      <c r="C19298" s="574">
        <v>315</v>
      </c>
    </row>
    <row r="19299" spans="1:3">
      <c r="A19299" s="573" t="s">
        <v>1720</v>
      </c>
      <c r="B19299" s="574">
        <v>441</v>
      </c>
      <c r="C19299" s="574">
        <v>327</v>
      </c>
    </row>
    <row r="19300" spans="1:3">
      <c r="A19300" s="569" t="s">
        <v>1720</v>
      </c>
      <c r="B19300" s="570">
        <v>623</v>
      </c>
      <c r="C19300" s="570">
        <v>348</v>
      </c>
    </row>
    <row r="19301" spans="1:3">
      <c r="A19301" s="569" t="s">
        <v>1720</v>
      </c>
      <c r="B19301" s="570">
        <v>916</v>
      </c>
      <c r="C19301" s="570">
        <v>374</v>
      </c>
    </row>
    <row r="19302" spans="1:3">
      <c r="A19302" s="569" t="s">
        <v>1720</v>
      </c>
      <c r="B19302" s="570">
        <v>1031</v>
      </c>
      <c r="C19302" s="570">
        <v>360</v>
      </c>
    </row>
    <row r="19303" spans="1:3">
      <c r="A19303" s="569" t="s">
        <v>1720</v>
      </c>
      <c r="B19303" s="570">
        <v>1031</v>
      </c>
      <c r="C19303" s="570">
        <v>360</v>
      </c>
    </row>
    <row r="19304" spans="1:3">
      <c r="A19304" s="571" t="s">
        <v>1719</v>
      </c>
      <c r="B19304" s="572">
        <v>2</v>
      </c>
      <c r="C19304" s="572">
        <v>18</v>
      </c>
    </row>
    <row r="19305" spans="1:3">
      <c r="A19305" s="571" t="s">
        <v>1719</v>
      </c>
      <c r="B19305" s="572">
        <v>5</v>
      </c>
      <c r="C19305" s="572">
        <v>18</v>
      </c>
    </row>
    <row r="19306" spans="1:3">
      <c r="A19306" s="571" t="s">
        <v>1719</v>
      </c>
      <c r="B19306" s="572">
        <v>10</v>
      </c>
      <c r="C19306" s="572">
        <v>21</v>
      </c>
    </row>
    <row r="19307" spans="1:3">
      <c r="A19307" s="571" t="s">
        <v>1719</v>
      </c>
      <c r="B19307" s="572">
        <v>17</v>
      </c>
      <c r="C19307" s="572">
        <v>44</v>
      </c>
    </row>
    <row r="19308" spans="1:3">
      <c r="A19308" s="571" t="s">
        <v>1719</v>
      </c>
      <c r="B19308" s="572">
        <v>21</v>
      </c>
      <c r="C19308" s="572">
        <v>59</v>
      </c>
    </row>
    <row r="19309" spans="1:3">
      <c r="A19309" s="571" t="s">
        <v>1719</v>
      </c>
      <c r="B19309" s="572">
        <v>31</v>
      </c>
      <c r="C19309" s="572">
        <v>64</v>
      </c>
    </row>
    <row r="19310" spans="1:3">
      <c r="A19310" s="571" t="s">
        <v>1719</v>
      </c>
      <c r="B19310" s="572">
        <v>50</v>
      </c>
      <c r="C19310" s="572">
        <v>85</v>
      </c>
    </row>
    <row r="19311" spans="1:3">
      <c r="A19311" s="571" t="s">
        <v>1719</v>
      </c>
      <c r="B19311" s="572">
        <v>60</v>
      </c>
      <c r="C19311" s="572">
        <v>93</v>
      </c>
    </row>
    <row r="19312" spans="1:3">
      <c r="A19312" s="571" t="s">
        <v>1719</v>
      </c>
      <c r="B19312" s="572">
        <v>72</v>
      </c>
      <c r="C19312" s="572">
        <v>107</v>
      </c>
    </row>
    <row r="19313" spans="1:3">
      <c r="A19313" s="571" t="s">
        <v>1719</v>
      </c>
      <c r="B19313" s="572">
        <v>95</v>
      </c>
      <c r="C19313" s="572">
        <v>137</v>
      </c>
    </row>
    <row r="19314" spans="1:3">
      <c r="A19314" s="573" t="s">
        <v>1719</v>
      </c>
      <c r="B19314" s="574">
        <v>126</v>
      </c>
      <c r="C19314" s="574">
        <v>159</v>
      </c>
    </row>
    <row r="19315" spans="1:3">
      <c r="A19315" s="573" t="s">
        <v>1719</v>
      </c>
      <c r="B19315" s="574">
        <v>186</v>
      </c>
      <c r="C19315" s="574">
        <v>189</v>
      </c>
    </row>
    <row r="19316" spans="1:3">
      <c r="A19316" s="573" t="s">
        <v>1719</v>
      </c>
      <c r="B19316" s="574">
        <v>219</v>
      </c>
      <c r="C19316" s="574">
        <v>201</v>
      </c>
    </row>
    <row r="19317" spans="1:3">
      <c r="A19317" s="573" t="s">
        <v>1719</v>
      </c>
      <c r="B19317" s="574">
        <v>270</v>
      </c>
      <c r="C19317" s="574">
        <v>204</v>
      </c>
    </row>
    <row r="19318" spans="1:3">
      <c r="A19318" s="573" t="s">
        <v>1719</v>
      </c>
      <c r="B19318" s="574">
        <v>345</v>
      </c>
      <c r="C19318" s="574">
        <v>214</v>
      </c>
    </row>
    <row r="19319" spans="1:3">
      <c r="A19319" s="573" t="s">
        <v>1719</v>
      </c>
      <c r="B19319" s="574">
        <v>463</v>
      </c>
      <c r="C19319" s="574">
        <v>240</v>
      </c>
    </row>
    <row r="19320" spans="1:3">
      <c r="A19320" s="569" t="s">
        <v>1719</v>
      </c>
      <c r="B19320" s="570">
        <v>569</v>
      </c>
      <c r="C19320" s="570">
        <v>248</v>
      </c>
    </row>
    <row r="19321" spans="1:3">
      <c r="A19321" s="569" t="s">
        <v>1719</v>
      </c>
      <c r="B19321" s="570">
        <v>862</v>
      </c>
      <c r="C19321" s="570">
        <v>296</v>
      </c>
    </row>
    <row r="19322" spans="1:3">
      <c r="A19322" s="569" t="s">
        <v>1719</v>
      </c>
      <c r="B19322" s="570">
        <v>1079</v>
      </c>
      <c r="C19322" s="570">
        <v>313</v>
      </c>
    </row>
    <row r="19323" spans="1:3">
      <c r="A19323" s="569" t="s">
        <v>1719</v>
      </c>
      <c r="B19323" s="570">
        <v>1079</v>
      </c>
      <c r="C19323" s="570">
        <v>313</v>
      </c>
    </row>
    <row r="19324" spans="1:3">
      <c r="A19324" s="571" t="s">
        <v>1718</v>
      </c>
      <c r="B19324" s="572">
        <v>6</v>
      </c>
      <c r="C19324" s="572">
        <v>62</v>
      </c>
    </row>
    <row r="19325" spans="1:3">
      <c r="A19325" s="571" t="s">
        <v>1718</v>
      </c>
      <c r="B19325" s="572">
        <v>8</v>
      </c>
      <c r="C19325" s="572">
        <v>59</v>
      </c>
    </row>
    <row r="19326" spans="1:3">
      <c r="A19326" s="571" t="s">
        <v>1718</v>
      </c>
      <c r="B19326" s="572">
        <v>15</v>
      </c>
      <c r="C19326" s="572">
        <v>88</v>
      </c>
    </row>
    <row r="19327" spans="1:3">
      <c r="A19327" s="571" t="s">
        <v>1718</v>
      </c>
      <c r="B19327" s="572">
        <v>20</v>
      </c>
      <c r="C19327" s="572">
        <v>110</v>
      </c>
    </row>
    <row r="19328" spans="1:3">
      <c r="A19328" s="571" t="s">
        <v>1718</v>
      </c>
      <c r="B19328" s="572">
        <v>27</v>
      </c>
      <c r="C19328" s="572">
        <v>137</v>
      </c>
    </row>
    <row r="19329" spans="1:3">
      <c r="A19329" s="571" t="s">
        <v>1718</v>
      </c>
      <c r="B19329" s="572">
        <v>37</v>
      </c>
      <c r="C19329" s="572">
        <v>142</v>
      </c>
    </row>
    <row r="19330" spans="1:3">
      <c r="A19330" s="571" t="s">
        <v>1718</v>
      </c>
      <c r="B19330" s="572">
        <v>47</v>
      </c>
      <c r="C19330" s="572">
        <v>182</v>
      </c>
    </row>
    <row r="19331" spans="1:3">
      <c r="A19331" s="571" t="s">
        <v>1718</v>
      </c>
      <c r="B19331" s="572">
        <v>63</v>
      </c>
      <c r="C19331" s="572">
        <v>216</v>
      </c>
    </row>
    <row r="19332" spans="1:3">
      <c r="A19332" s="571" t="s">
        <v>1718</v>
      </c>
      <c r="B19332" s="572">
        <v>78</v>
      </c>
      <c r="C19332" s="572">
        <v>245</v>
      </c>
    </row>
    <row r="19333" spans="1:3">
      <c r="A19333" s="571" t="s">
        <v>1718</v>
      </c>
      <c r="B19333" s="572">
        <v>93</v>
      </c>
      <c r="C19333" s="572">
        <v>286</v>
      </c>
    </row>
    <row r="19334" spans="1:3">
      <c r="A19334" s="573" t="s">
        <v>1718</v>
      </c>
      <c r="B19334" s="574">
        <v>121</v>
      </c>
      <c r="C19334" s="574">
        <v>317</v>
      </c>
    </row>
    <row r="19335" spans="1:3">
      <c r="A19335" s="573" t="s">
        <v>1718</v>
      </c>
      <c r="B19335" s="574">
        <v>175</v>
      </c>
      <c r="C19335" s="574">
        <v>359</v>
      </c>
    </row>
    <row r="19336" spans="1:3">
      <c r="A19336" s="573" t="s">
        <v>1718</v>
      </c>
      <c r="B19336" s="574">
        <v>222</v>
      </c>
      <c r="C19336" s="574">
        <v>357</v>
      </c>
    </row>
    <row r="19337" spans="1:3">
      <c r="A19337" s="573" t="s">
        <v>1718</v>
      </c>
      <c r="B19337" s="574">
        <v>254</v>
      </c>
      <c r="C19337" s="574">
        <v>367</v>
      </c>
    </row>
    <row r="19338" spans="1:3">
      <c r="A19338" s="573" t="s">
        <v>1718</v>
      </c>
      <c r="B19338" s="574">
        <v>345</v>
      </c>
      <c r="C19338" s="574">
        <v>389</v>
      </c>
    </row>
    <row r="19339" spans="1:3">
      <c r="A19339" s="573" t="s">
        <v>1718</v>
      </c>
      <c r="B19339" s="574">
        <v>477</v>
      </c>
      <c r="C19339" s="574">
        <v>433</v>
      </c>
    </row>
    <row r="19340" spans="1:3">
      <c r="A19340" s="569" t="s">
        <v>1718</v>
      </c>
      <c r="B19340" s="570">
        <v>558</v>
      </c>
      <c r="C19340" s="570">
        <v>437</v>
      </c>
    </row>
    <row r="19341" spans="1:3">
      <c r="A19341" s="569" t="s">
        <v>1718</v>
      </c>
      <c r="B19341" s="570">
        <v>844</v>
      </c>
      <c r="C19341" s="570">
        <v>481</v>
      </c>
    </row>
    <row r="19342" spans="1:3">
      <c r="A19342" s="569" t="s">
        <v>1718</v>
      </c>
      <c r="B19342" s="570">
        <v>1064</v>
      </c>
      <c r="C19342" s="570">
        <v>498</v>
      </c>
    </row>
    <row r="19343" spans="1:3">
      <c r="A19343" s="569" t="s">
        <v>1718</v>
      </c>
      <c r="B19343" s="570">
        <v>1064</v>
      </c>
      <c r="C19343" s="570">
        <v>498</v>
      </c>
    </row>
    <row r="19344" spans="1:3">
      <c r="A19344" s="571" t="s">
        <v>1717</v>
      </c>
      <c r="B19344" s="572">
        <v>3</v>
      </c>
      <c r="C19344" s="572">
        <v>46</v>
      </c>
    </row>
    <row r="19345" spans="1:3">
      <c r="A19345" s="571" t="s">
        <v>1717</v>
      </c>
      <c r="B19345" s="572">
        <v>7</v>
      </c>
      <c r="C19345" s="572">
        <v>69</v>
      </c>
    </row>
    <row r="19346" spans="1:3">
      <c r="A19346" s="571" t="s">
        <v>1717</v>
      </c>
      <c r="B19346" s="572">
        <v>10</v>
      </c>
      <c r="C19346" s="572">
        <v>74</v>
      </c>
    </row>
    <row r="19347" spans="1:3">
      <c r="A19347" s="571" t="s">
        <v>1717</v>
      </c>
      <c r="B19347" s="572">
        <v>15</v>
      </c>
      <c r="C19347" s="572">
        <v>93</v>
      </c>
    </row>
    <row r="19348" spans="1:3">
      <c r="A19348" s="571" t="s">
        <v>1717</v>
      </c>
      <c r="B19348" s="572">
        <v>23</v>
      </c>
      <c r="C19348" s="572">
        <v>117</v>
      </c>
    </row>
    <row r="19349" spans="1:3">
      <c r="A19349" s="571" t="s">
        <v>1717</v>
      </c>
      <c r="B19349" s="572">
        <v>30</v>
      </c>
      <c r="C19349" s="572">
        <v>131</v>
      </c>
    </row>
    <row r="19350" spans="1:3">
      <c r="A19350" s="571" t="s">
        <v>1717</v>
      </c>
      <c r="B19350" s="572">
        <v>38</v>
      </c>
      <c r="C19350" s="572">
        <v>157</v>
      </c>
    </row>
    <row r="19351" spans="1:3">
      <c r="A19351" s="571" t="s">
        <v>1717</v>
      </c>
      <c r="B19351" s="572">
        <v>48</v>
      </c>
      <c r="C19351" s="572">
        <v>167</v>
      </c>
    </row>
    <row r="19352" spans="1:3">
      <c r="A19352" s="571" t="s">
        <v>1717</v>
      </c>
      <c r="B19352" s="572">
        <v>69</v>
      </c>
      <c r="C19352" s="572">
        <v>187</v>
      </c>
    </row>
    <row r="19353" spans="1:3">
      <c r="A19353" s="571" t="s">
        <v>1717</v>
      </c>
      <c r="B19353" s="572">
        <v>98</v>
      </c>
      <c r="C19353" s="572">
        <v>230</v>
      </c>
    </row>
    <row r="19354" spans="1:3">
      <c r="A19354" s="573" t="s">
        <v>1717</v>
      </c>
      <c r="B19354" s="574">
        <v>113</v>
      </c>
      <c r="C19354" s="574">
        <v>251</v>
      </c>
    </row>
    <row r="19355" spans="1:3">
      <c r="A19355" s="573" t="s">
        <v>1717</v>
      </c>
      <c r="B19355" s="574">
        <v>157</v>
      </c>
      <c r="C19355" s="574">
        <v>270</v>
      </c>
    </row>
    <row r="19356" spans="1:3">
      <c r="A19356" s="573" t="s">
        <v>1717</v>
      </c>
      <c r="B19356" s="574">
        <v>213</v>
      </c>
      <c r="C19356" s="574">
        <v>307</v>
      </c>
    </row>
    <row r="19357" spans="1:3">
      <c r="A19357" s="573" t="s">
        <v>1717</v>
      </c>
      <c r="B19357" s="574">
        <v>269</v>
      </c>
      <c r="C19357" s="574">
        <v>321</v>
      </c>
    </row>
    <row r="19358" spans="1:3">
      <c r="A19358" s="573" t="s">
        <v>1717</v>
      </c>
      <c r="B19358" s="574">
        <v>351</v>
      </c>
      <c r="C19358" s="574">
        <v>332</v>
      </c>
    </row>
    <row r="19359" spans="1:3">
      <c r="A19359" s="573" t="s">
        <v>1717</v>
      </c>
      <c r="B19359" s="574">
        <v>485</v>
      </c>
      <c r="C19359" s="574">
        <v>357</v>
      </c>
    </row>
    <row r="19360" spans="1:3">
      <c r="A19360" s="569" t="s">
        <v>1717</v>
      </c>
      <c r="B19360" s="570">
        <v>568</v>
      </c>
      <c r="C19360" s="570">
        <v>373</v>
      </c>
    </row>
    <row r="19361" spans="1:3">
      <c r="A19361" s="569" t="s">
        <v>1717</v>
      </c>
      <c r="B19361" s="570">
        <v>603</v>
      </c>
      <c r="C19361" s="570">
        <v>359</v>
      </c>
    </row>
    <row r="19362" spans="1:3">
      <c r="A19362" s="569" t="s">
        <v>1717</v>
      </c>
      <c r="B19362" s="570">
        <v>762</v>
      </c>
      <c r="C19362" s="570">
        <v>374</v>
      </c>
    </row>
    <row r="19363" spans="1:3">
      <c r="A19363" s="569" t="s">
        <v>1717</v>
      </c>
      <c r="B19363" s="570">
        <v>762</v>
      </c>
      <c r="C19363" s="570">
        <v>374</v>
      </c>
    </row>
    <row r="19364" spans="1:3">
      <c r="A19364" s="571" t="s">
        <v>1716</v>
      </c>
      <c r="B19364" s="572">
        <v>1</v>
      </c>
      <c r="C19364" s="572">
        <v>20</v>
      </c>
    </row>
    <row r="19365" spans="1:3">
      <c r="A19365" s="571" t="s">
        <v>1716</v>
      </c>
      <c r="B19365" s="572">
        <v>2</v>
      </c>
      <c r="C19365" s="572">
        <v>59</v>
      </c>
    </row>
    <row r="19366" spans="1:3">
      <c r="A19366" s="571" t="s">
        <v>1716</v>
      </c>
      <c r="B19366" s="572">
        <v>9</v>
      </c>
      <c r="C19366" s="572">
        <v>88</v>
      </c>
    </row>
    <row r="19367" spans="1:3">
      <c r="A19367" s="571" t="s">
        <v>1716</v>
      </c>
      <c r="B19367" s="572">
        <v>22</v>
      </c>
      <c r="C19367" s="572">
        <v>148</v>
      </c>
    </row>
    <row r="19368" spans="1:3">
      <c r="A19368" s="571" t="s">
        <v>1716</v>
      </c>
      <c r="B19368" s="572">
        <v>27</v>
      </c>
      <c r="C19368" s="572">
        <v>176</v>
      </c>
    </row>
    <row r="19369" spans="1:3">
      <c r="A19369" s="571" t="s">
        <v>1716</v>
      </c>
      <c r="B19369" s="572">
        <v>42</v>
      </c>
      <c r="C19369" s="572">
        <v>239</v>
      </c>
    </row>
    <row r="19370" spans="1:3">
      <c r="A19370" s="571" t="s">
        <v>1716</v>
      </c>
      <c r="B19370" s="572">
        <v>58</v>
      </c>
      <c r="C19370" s="572">
        <v>294</v>
      </c>
    </row>
    <row r="19371" spans="1:3">
      <c r="A19371" s="571" t="s">
        <v>1716</v>
      </c>
      <c r="B19371" s="572">
        <v>68</v>
      </c>
      <c r="C19371" s="572">
        <v>304</v>
      </c>
    </row>
    <row r="19372" spans="1:3">
      <c r="A19372" s="571" t="s">
        <v>1716</v>
      </c>
      <c r="B19372" s="572">
        <v>77</v>
      </c>
      <c r="C19372" s="572">
        <v>311</v>
      </c>
    </row>
    <row r="19373" spans="1:3">
      <c r="A19373" s="571" t="s">
        <v>1716</v>
      </c>
      <c r="B19373" s="572">
        <v>86</v>
      </c>
      <c r="C19373" s="572">
        <v>320</v>
      </c>
    </row>
    <row r="19374" spans="1:3">
      <c r="A19374" s="573" t="s">
        <v>1716</v>
      </c>
      <c r="B19374" s="574">
        <v>126</v>
      </c>
      <c r="C19374" s="574">
        <v>322</v>
      </c>
    </row>
    <row r="19375" spans="1:3">
      <c r="A19375" s="573" t="s">
        <v>1716</v>
      </c>
      <c r="B19375" s="574">
        <v>160</v>
      </c>
      <c r="C19375" s="574">
        <v>322</v>
      </c>
    </row>
    <row r="19376" spans="1:3">
      <c r="A19376" s="573" t="s">
        <v>1716</v>
      </c>
      <c r="B19376" s="574">
        <v>198</v>
      </c>
      <c r="C19376" s="574">
        <v>348</v>
      </c>
    </row>
    <row r="19377" spans="1:3">
      <c r="A19377" s="573" t="s">
        <v>1716</v>
      </c>
      <c r="B19377" s="574">
        <v>231</v>
      </c>
      <c r="C19377" s="574">
        <v>379</v>
      </c>
    </row>
    <row r="19378" spans="1:3">
      <c r="A19378" s="573" t="s">
        <v>1716</v>
      </c>
      <c r="B19378" s="574">
        <v>282</v>
      </c>
      <c r="C19378" s="574">
        <v>410</v>
      </c>
    </row>
    <row r="19379" spans="1:3">
      <c r="A19379" s="573" t="s">
        <v>1716</v>
      </c>
      <c r="B19379" s="574">
        <v>414</v>
      </c>
      <c r="C19379" s="574">
        <v>414</v>
      </c>
    </row>
    <row r="19380" spans="1:3">
      <c r="A19380" s="569" t="s">
        <v>1716</v>
      </c>
      <c r="B19380" s="570">
        <v>531</v>
      </c>
      <c r="C19380" s="570">
        <v>451</v>
      </c>
    </row>
    <row r="19381" spans="1:3">
      <c r="A19381" s="569" t="s">
        <v>1716</v>
      </c>
      <c r="B19381" s="570">
        <v>783</v>
      </c>
      <c r="C19381" s="570">
        <v>498</v>
      </c>
    </row>
    <row r="19382" spans="1:3">
      <c r="A19382" s="569" t="s">
        <v>1716</v>
      </c>
      <c r="B19382" s="570">
        <v>1002</v>
      </c>
      <c r="C19382" s="570">
        <v>536</v>
      </c>
    </row>
    <row r="19383" spans="1:3">
      <c r="A19383" s="569" t="s">
        <v>1716</v>
      </c>
      <c r="B19383" s="570">
        <v>1002</v>
      </c>
      <c r="C19383" s="570">
        <v>536</v>
      </c>
    </row>
    <row r="19384" spans="1:3">
      <c r="A19384" s="571" t="s">
        <v>1715</v>
      </c>
      <c r="B19384" s="572">
        <v>3</v>
      </c>
      <c r="C19384" s="572">
        <v>0</v>
      </c>
    </row>
    <row r="19385" spans="1:3">
      <c r="A19385" s="571" t="s">
        <v>1715</v>
      </c>
      <c r="B19385" s="572">
        <v>8</v>
      </c>
      <c r="C19385" s="572">
        <v>24</v>
      </c>
    </row>
    <row r="19386" spans="1:3">
      <c r="A19386" s="571" t="s">
        <v>1715</v>
      </c>
      <c r="B19386" s="572">
        <v>11</v>
      </c>
      <c r="C19386" s="572">
        <v>46</v>
      </c>
    </row>
    <row r="19387" spans="1:3">
      <c r="A19387" s="571" t="s">
        <v>1715</v>
      </c>
      <c r="B19387" s="572">
        <v>21</v>
      </c>
      <c r="C19387" s="572">
        <v>73</v>
      </c>
    </row>
    <row r="19388" spans="1:3">
      <c r="A19388" s="571" t="s">
        <v>1715</v>
      </c>
      <c r="B19388" s="572">
        <v>35</v>
      </c>
      <c r="C19388" s="572">
        <v>134</v>
      </c>
    </row>
    <row r="19389" spans="1:3">
      <c r="A19389" s="571" t="s">
        <v>1715</v>
      </c>
      <c r="B19389" s="572">
        <v>49</v>
      </c>
      <c r="C19389" s="572">
        <v>160</v>
      </c>
    </row>
    <row r="19390" spans="1:3">
      <c r="A19390" s="571" t="s">
        <v>1715</v>
      </c>
      <c r="B19390" s="572">
        <v>58</v>
      </c>
      <c r="C19390" s="572">
        <v>185</v>
      </c>
    </row>
    <row r="19391" spans="1:3">
      <c r="A19391" s="571" t="s">
        <v>1715</v>
      </c>
      <c r="B19391" s="572">
        <v>67</v>
      </c>
      <c r="C19391" s="572">
        <v>207</v>
      </c>
    </row>
    <row r="19392" spans="1:3">
      <c r="A19392" s="571" t="s">
        <v>1715</v>
      </c>
      <c r="B19392" s="572">
        <v>88</v>
      </c>
      <c r="C19392" s="572">
        <v>235</v>
      </c>
    </row>
    <row r="19393" spans="1:3">
      <c r="A19393" s="573" t="s">
        <v>1715</v>
      </c>
      <c r="B19393" s="574">
        <v>107</v>
      </c>
      <c r="C19393" s="574">
        <v>267</v>
      </c>
    </row>
    <row r="19394" spans="1:3">
      <c r="A19394" s="573" t="s">
        <v>1715</v>
      </c>
      <c r="B19394" s="574">
        <v>123</v>
      </c>
      <c r="C19394" s="574">
        <v>272</v>
      </c>
    </row>
    <row r="19395" spans="1:3">
      <c r="A19395" s="573" t="s">
        <v>1715</v>
      </c>
      <c r="B19395" s="574">
        <v>141</v>
      </c>
      <c r="C19395" s="574">
        <v>267</v>
      </c>
    </row>
    <row r="19396" spans="1:3">
      <c r="A19396" s="573" t="s">
        <v>1715</v>
      </c>
      <c r="B19396" s="574">
        <v>179</v>
      </c>
      <c r="C19396" s="574">
        <v>293</v>
      </c>
    </row>
    <row r="19397" spans="1:3">
      <c r="A19397" s="573" t="s">
        <v>1715</v>
      </c>
      <c r="B19397" s="574">
        <v>212</v>
      </c>
      <c r="C19397" s="574">
        <v>310</v>
      </c>
    </row>
    <row r="19398" spans="1:3">
      <c r="A19398" s="573" t="s">
        <v>1715</v>
      </c>
      <c r="B19398" s="574">
        <v>260</v>
      </c>
      <c r="C19398" s="574">
        <v>328</v>
      </c>
    </row>
    <row r="19399" spans="1:3">
      <c r="A19399" s="573" t="s">
        <v>1715</v>
      </c>
      <c r="B19399" s="574">
        <v>288</v>
      </c>
      <c r="C19399" s="574">
        <v>332</v>
      </c>
    </row>
    <row r="19400" spans="1:3">
      <c r="A19400" s="573" t="s">
        <v>1715</v>
      </c>
      <c r="B19400" s="574">
        <v>395</v>
      </c>
      <c r="C19400" s="574">
        <v>354</v>
      </c>
    </row>
    <row r="19401" spans="1:3">
      <c r="A19401" s="573" t="s">
        <v>1715</v>
      </c>
      <c r="B19401" s="574">
        <v>479</v>
      </c>
      <c r="C19401" s="574">
        <v>370</v>
      </c>
    </row>
    <row r="19402" spans="1:3">
      <c r="A19402" s="573" t="s">
        <v>1715</v>
      </c>
      <c r="B19402" s="574">
        <v>479</v>
      </c>
      <c r="C19402" s="574">
        <v>370</v>
      </c>
    </row>
    <row r="19403" spans="1:3">
      <c r="A19403" s="571" t="s">
        <v>1714</v>
      </c>
      <c r="B19403" s="572">
        <v>1</v>
      </c>
      <c r="C19403" s="572">
        <v>220</v>
      </c>
    </row>
    <row r="19404" spans="1:3">
      <c r="A19404" s="571" t="s">
        <v>1714</v>
      </c>
      <c r="B19404" s="572">
        <v>7</v>
      </c>
      <c r="C19404" s="572">
        <v>570</v>
      </c>
    </row>
    <row r="19405" spans="1:3">
      <c r="A19405" s="571" t="s">
        <v>1714</v>
      </c>
      <c r="B19405" s="572">
        <v>14</v>
      </c>
      <c r="C19405" s="572">
        <v>755</v>
      </c>
    </row>
    <row r="19406" spans="1:3">
      <c r="A19406" s="571" t="s">
        <v>1714</v>
      </c>
      <c r="B19406" s="572">
        <v>21</v>
      </c>
      <c r="C19406" s="572">
        <v>870</v>
      </c>
    </row>
    <row r="19407" spans="1:3">
      <c r="A19407" s="571" t="s">
        <v>1714</v>
      </c>
      <c r="B19407" s="572">
        <v>28</v>
      </c>
      <c r="C19407" s="572">
        <v>965</v>
      </c>
    </row>
    <row r="19408" spans="1:3">
      <c r="A19408" s="571" t="s">
        <v>1714</v>
      </c>
      <c r="B19408" s="572">
        <v>56</v>
      </c>
      <c r="C19408" s="572">
        <v>1165</v>
      </c>
    </row>
    <row r="19409" spans="1:3">
      <c r="A19409" s="571" t="s">
        <v>1714</v>
      </c>
      <c r="B19409" s="572">
        <v>91</v>
      </c>
      <c r="C19409" s="572">
        <v>1265</v>
      </c>
    </row>
    <row r="19410" spans="1:3">
      <c r="A19410" s="573" t="s">
        <v>1714</v>
      </c>
      <c r="B19410" s="574">
        <v>175</v>
      </c>
      <c r="C19410" s="574">
        <v>1345</v>
      </c>
    </row>
    <row r="19411" spans="1:3">
      <c r="A19411" s="573" t="s">
        <v>1714</v>
      </c>
      <c r="B19411" s="574">
        <v>365</v>
      </c>
      <c r="C19411" s="574">
        <v>1385</v>
      </c>
    </row>
    <row r="19412" spans="1:3">
      <c r="A19412" s="569" t="s">
        <v>1714</v>
      </c>
      <c r="B19412" s="570">
        <v>897</v>
      </c>
      <c r="C19412" s="570">
        <v>1410</v>
      </c>
    </row>
    <row r="19413" spans="1:3">
      <c r="A19413" s="571" t="s">
        <v>1713</v>
      </c>
      <c r="B19413" s="572">
        <v>1</v>
      </c>
      <c r="C19413" s="572">
        <v>150</v>
      </c>
    </row>
    <row r="19414" spans="1:3">
      <c r="A19414" s="571" t="s">
        <v>1713</v>
      </c>
      <c r="B19414" s="572">
        <v>7</v>
      </c>
      <c r="C19414" s="572">
        <v>385</v>
      </c>
    </row>
    <row r="19415" spans="1:3">
      <c r="A19415" s="571" t="s">
        <v>1713</v>
      </c>
      <c r="B19415" s="572">
        <v>14</v>
      </c>
      <c r="C19415" s="572">
        <v>505</v>
      </c>
    </row>
    <row r="19416" spans="1:3">
      <c r="A19416" s="571" t="s">
        <v>1713</v>
      </c>
      <c r="B19416" s="572">
        <v>21</v>
      </c>
      <c r="C19416" s="572">
        <v>590</v>
      </c>
    </row>
    <row r="19417" spans="1:3">
      <c r="A19417" s="571" t="s">
        <v>1713</v>
      </c>
      <c r="B19417" s="572">
        <v>28</v>
      </c>
      <c r="C19417" s="572">
        <v>650</v>
      </c>
    </row>
    <row r="19418" spans="1:3">
      <c r="A19418" s="571" t="s">
        <v>1713</v>
      </c>
      <c r="B19418" s="572">
        <v>56</v>
      </c>
      <c r="C19418" s="572">
        <v>805</v>
      </c>
    </row>
    <row r="19419" spans="1:3">
      <c r="A19419" s="571" t="s">
        <v>1713</v>
      </c>
      <c r="B19419" s="572">
        <v>91</v>
      </c>
      <c r="C19419" s="572">
        <v>885</v>
      </c>
    </row>
    <row r="19420" spans="1:3">
      <c r="A19420" s="573" t="s">
        <v>1713</v>
      </c>
      <c r="B19420" s="574">
        <v>175</v>
      </c>
      <c r="C19420" s="574">
        <v>965</v>
      </c>
    </row>
    <row r="19421" spans="1:3">
      <c r="A19421" s="573" t="s">
        <v>1713</v>
      </c>
      <c r="B19421" s="574">
        <v>365</v>
      </c>
      <c r="C19421" s="574">
        <v>1025</v>
      </c>
    </row>
    <row r="19422" spans="1:3">
      <c r="A19422" s="569" t="s">
        <v>1713</v>
      </c>
      <c r="B19422" s="570">
        <v>897</v>
      </c>
      <c r="C19422" s="570">
        <v>1065</v>
      </c>
    </row>
    <row r="19423" spans="1:3">
      <c r="A19423" s="571" t="s">
        <v>1712</v>
      </c>
      <c r="B19423" s="572">
        <v>1</v>
      </c>
      <c r="C19423" s="572">
        <v>65</v>
      </c>
    </row>
    <row r="19424" spans="1:3">
      <c r="A19424" s="571" t="s">
        <v>1712</v>
      </c>
      <c r="B19424" s="572">
        <v>7</v>
      </c>
      <c r="C19424" s="572">
        <v>230</v>
      </c>
    </row>
    <row r="19425" spans="1:3">
      <c r="A19425" s="571" t="s">
        <v>1712</v>
      </c>
      <c r="B19425" s="572">
        <v>14</v>
      </c>
      <c r="C19425" s="572">
        <v>350</v>
      </c>
    </row>
    <row r="19426" spans="1:3">
      <c r="A19426" s="571" t="s">
        <v>1712</v>
      </c>
      <c r="B19426" s="572">
        <v>21</v>
      </c>
      <c r="C19426" s="572">
        <v>430</v>
      </c>
    </row>
    <row r="19427" spans="1:3">
      <c r="A19427" s="571" t="s">
        <v>1712</v>
      </c>
      <c r="B19427" s="572">
        <v>28</v>
      </c>
      <c r="C19427" s="572">
        <v>495</v>
      </c>
    </row>
    <row r="19428" spans="1:3">
      <c r="A19428" s="571" t="s">
        <v>1712</v>
      </c>
      <c r="B19428" s="572">
        <v>56</v>
      </c>
      <c r="C19428" s="572">
        <v>660</v>
      </c>
    </row>
    <row r="19429" spans="1:3">
      <c r="A19429" s="571" t="s">
        <v>1712</v>
      </c>
      <c r="B19429" s="572">
        <v>91</v>
      </c>
      <c r="C19429" s="572">
        <v>770</v>
      </c>
    </row>
    <row r="19430" spans="1:3">
      <c r="A19430" s="573" t="s">
        <v>1712</v>
      </c>
      <c r="B19430" s="574">
        <v>175</v>
      </c>
      <c r="C19430" s="574">
        <v>875</v>
      </c>
    </row>
    <row r="19431" spans="1:3">
      <c r="A19431" s="573" t="s">
        <v>1712</v>
      </c>
      <c r="B19431" s="574">
        <v>365</v>
      </c>
      <c r="C19431" s="574">
        <v>940</v>
      </c>
    </row>
    <row r="19432" spans="1:3">
      <c r="A19432" s="569" t="s">
        <v>1712</v>
      </c>
      <c r="B19432" s="570">
        <v>897</v>
      </c>
      <c r="C19432" s="570">
        <v>970</v>
      </c>
    </row>
    <row r="19433" spans="1:3">
      <c r="A19433" s="571" t="s">
        <v>1711</v>
      </c>
      <c r="B19433" s="572">
        <v>1</v>
      </c>
      <c r="C19433" s="572">
        <v>200</v>
      </c>
    </row>
    <row r="19434" spans="1:3">
      <c r="A19434" s="571" t="s">
        <v>1711</v>
      </c>
      <c r="B19434" s="572">
        <v>7</v>
      </c>
      <c r="C19434" s="572">
        <v>500</v>
      </c>
    </row>
    <row r="19435" spans="1:3">
      <c r="A19435" s="571" t="s">
        <v>1711</v>
      </c>
      <c r="B19435" s="572">
        <v>14</v>
      </c>
      <c r="C19435" s="572">
        <v>675</v>
      </c>
    </row>
    <row r="19436" spans="1:3">
      <c r="A19436" s="571" t="s">
        <v>1711</v>
      </c>
      <c r="B19436" s="572">
        <v>21</v>
      </c>
      <c r="C19436" s="572">
        <v>775</v>
      </c>
    </row>
    <row r="19437" spans="1:3">
      <c r="A19437" s="571" t="s">
        <v>1711</v>
      </c>
      <c r="B19437" s="572">
        <v>28</v>
      </c>
      <c r="C19437" s="572">
        <v>850</v>
      </c>
    </row>
    <row r="19438" spans="1:3">
      <c r="A19438" s="571" t="s">
        <v>1711</v>
      </c>
      <c r="B19438" s="572">
        <v>56</v>
      </c>
      <c r="C19438" s="572">
        <v>1010</v>
      </c>
    </row>
    <row r="19439" spans="1:3">
      <c r="A19439" s="571" t="s">
        <v>1711</v>
      </c>
      <c r="B19439" s="572">
        <v>91</v>
      </c>
      <c r="C19439" s="572">
        <v>1095</v>
      </c>
    </row>
    <row r="19440" spans="1:3">
      <c r="A19440" s="573" t="s">
        <v>1711</v>
      </c>
      <c r="B19440" s="574">
        <v>175</v>
      </c>
      <c r="C19440" s="574">
        <v>1175</v>
      </c>
    </row>
    <row r="19441" spans="1:3">
      <c r="A19441" s="573" t="s">
        <v>1711</v>
      </c>
      <c r="B19441" s="574">
        <v>365</v>
      </c>
      <c r="C19441" s="574">
        <v>1215</v>
      </c>
    </row>
    <row r="19442" spans="1:3">
      <c r="A19442" s="569" t="s">
        <v>1711</v>
      </c>
      <c r="B19442" s="570">
        <v>897</v>
      </c>
      <c r="C19442" s="570">
        <v>1235</v>
      </c>
    </row>
    <row r="19443" spans="1:3">
      <c r="A19443" s="571" t="s">
        <v>1710</v>
      </c>
      <c r="B19443" s="572">
        <v>1</v>
      </c>
      <c r="C19443" s="572">
        <v>125</v>
      </c>
    </row>
    <row r="19444" spans="1:3">
      <c r="A19444" s="571" t="s">
        <v>1710</v>
      </c>
      <c r="B19444" s="572">
        <v>7</v>
      </c>
      <c r="C19444" s="572">
        <v>334</v>
      </c>
    </row>
    <row r="19445" spans="1:3">
      <c r="A19445" s="571" t="s">
        <v>1710</v>
      </c>
      <c r="B19445" s="572">
        <v>14</v>
      </c>
      <c r="C19445" s="572">
        <v>450</v>
      </c>
    </row>
    <row r="19446" spans="1:3">
      <c r="A19446" s="571" t="s">
        <v>1710</v>
      </c>
      <c r="B19446" s="572">
        <v>21</v>
      </c>
      <c r="C19446" s="572">
        <v>530</v>
      </c>
    </row>
    <row r="19447" spans="1:3">
      <c r="A19447" s="571" t="s">
        <v>1710</v>
      </c>
      <c r="B19447" s="572">
        <v>28</v>
      </c>
      <c r="C19447" s="572">
        <v>585</v>
      </c>
    </row>
    <row r="19448" spans="1:3">
      <c r="A19448" s="571" t="s">
        <v>1710</v>
      </c>
      <c r="B19448" s="572">
        <v>56</v>
      </c>
      <c r="C19448" s="572">
        <v>730</v>
      </c>
    </row>
    <row r="19449" spans="1:3">
      <c r="A19449" s="571" t="s">
        <v>1710</v>
      </c>
      <c r="B19449" s="572">
        <v>91</v>
      </c>
      <c r="C19449" s="572">
        <v>815</v>
      </c>
    </row>
    <row r="19450" spans="1:3">
      <c r="A19450" s="573" t="s">
        <v>1710</v>
      </c>
      <c r="B19450" s="574">
        <v>175</v>
      </c>
      <c r="C19450" s="574">
        <v>930</v>
      </c>
    </row>
    <row r="19451" spans="1:3">
      <c r="A19451" s="573" t="s">
        <v>1710</v>
      </c>
      <c r="B19451" s="574">
        <v>365</v>
      </c>
      <c r="C19451" s="574">
        <v>1015</v>
      </c>
    </row>
    <row r="19452" spans="1:3">
      <c r="A19452" s="569" t="s">
        <v>1710</v>
      </c>
      <c r="B19452" s="570">
        <v>897</v>
      </c>
      <c r="C19452" s="570">
        <v>1065</v>
      </c>
    </row>
    <row r="19453" spans="1:3">
      <c r="A19453" s="571" t="s">
        <v>1709</v>
      </c>
      <c r="B19453" s="572">
        <v>1</v>
      </c>
      <c r="C19453" s="572">
        <v>50</v>
      </c>
    </row>
    <row r="19454" spans="1:3">
      <c r="A19454" s="571" t="s">
        <v>1709</v>
      </c>
      <c r="B19454" s="572">
        <v>7</v>
      </c>
      <c r="C19454" s="572">
        <v>200</v>
      </c>
    </row>
    <row r="19455" spans="1:3">
      <c r="A19455" s="571" t="s">
        <v>1709</v>
      </c>
      <c r="B19455" s="572">
        <v>14</v>
      </c>
      <c r="C19455" s="572">
        <v>305</v>
      </c>
    </row>
    <row r="19456" spans="1:3">
      <c r="A19456" s="571" t="s">
        <v>1709</v>
      </c>
      <c r="B19456" s="572">
        <v>21</v>
      </c>
      <c r="C19456" s="572">
        <v>385</v>
      </c>
    </row>
    <row r="19457" spans="1:3">
      <c r="A19457" s="571" t="s">
        <v>1709</v>
      </c>
      <c r="B19457" s="572">
        <v>28</v>
      </c>
      <c r="C19457" s="572">
        <v>445</v>
      </c>
    </row>
    <row r="19458" spans="1:3">
      <c r="A19458" s="571" t="s">
        <v>1709</v>
      </c>
      <c r="B19458" s="572">
        <v>56</v>
      </c>
      <c r="C19458" s="572">
        <v>585</v>
      </c>
    </row>
    <row r="19459" spans="1:3">
      <c r="A19459" s="571" t="s">
        <v>1709</v>
      </c>
      <c r="B19459" s="572">
        <v>91</v>
      </c>
      <c r="C19459" s="572">
        <v>680</v>
      </c>
    </row>
    <row r="19460" spans="1:3">
      <c r="A19460" s="573" t="s">
        <v>1709</v>
      </c>
      <c r="B19460" s="574">
        <v>175</v>
      </c>
      <c r="C19460" s="574">
        <v>780</v>
      </c>
    </row>
    <row r="19461" spans="1:3">
      <c r="A19461" s="573" t="s">
        <v>1709</v>
      </c>
      <c r="B19461" s="574">
        <v>365</v>
      </c>
      <c r="C19461" s="574">
        <v>840</v>
      </c>
    </row>
    <row r="19462" spans="1:3">
      <c r="A19462" s="569" t="s">
        <v>1709</v>
      </c>
      <c r="B19462" s="570">
        <v>897</v>
      </c>
      <c r="C19462" s="570">
        <v>875</v>
      </c>
    </row>
    <row r="19463" spans="1:3">
      <c r="A19463" s="571" t="s">
        <v>1708</v>
      </c>
      <c r="B19463" s="572">
        <v>1</v>
      </c>
      <c r="C19463" s="572">
        <v>170</v>
      </c>
    </row>
    <row r="19464" spans="1:3">
      <c r="A19464" s="571" t="s">
        <v>1708</v>
      </c>
      <c r="B19464" s="572">
        <v>7</v>
      </c>
      <c r="C19464" s="572">
        <v>380</v>
      </c>
    </row>
    <row r="19465" spans="1:3">
      <c r="A19465" s="571" t="s">
        <v>1708</v>
      </c>
      <c r="B19465" s="572">
        <v>14</v>
      </c>
      <c r="C19465" s="572">
        <v>490</v>
      </c>
    </row>
    <row r="19466" spans="1:3">
      <c r="A19466" s="571" t="s">
        <v>1708</v>
      </c>
      <c r="B19466" s="572">
        <v>21</v>
      </c>
      <c r="C19466" s="572">
        <v>555</v>
      </c>
    </row>
    <row r="19467" spans="1:3">
      <c r="A19467" s="571" t="s">
        <v>1708</v>
      </c>
      <c r="B19467" s="572">
        <v>28</v>
      </c>
      <c r="C19467" s="572">
        <v>610</v>
      </c>
    </row>
    <row r="19468" spans="1:3">
      <c r="A19468" s="571" t="s">
        <v>1708</v>
      </c>
      <c r="B19468" s="572">
        <v>56</v>
      </c>
      <c r="C19468" s="572">
        <v>705</v>
      </c>
    </row>
    <row r="19469" spans="1:3">
      <c r="A19469" s="571" t="s">
        <v>1708</v>
      </c>
      <c r="B19469" s="572">
        <v>91</v>
      </c>
      <c r="C19469" s="572">
        <v>755</v>
      </c>
    </row>
    <row r="19470" spans="1:3">
      <c r="A19470" s="573" t="s">
        <v>1708</v>
      </c>
      <c r="B19470" s="574">
        <v>175</v>
      </c>
      <c r="C19470" s="574">
        <v>800</v>
      </c>
    </row>
    <row r="19471" spans="1:3">
      <c r="A19471" s="573" t="s">
        <v>1708</v>
      </c>
      <c r="B19471" s="574">
        <v>365</v>
      </c>
      <c r="C19471" s="574">
        <v>830</v>
      </c>
    </row>
    <row r="19472" spans="1:3">
      <c r="A19472" s="569" t="s">
        <v>1708</v>
      </c>
      <c r="B19472" s="570">
        <v>897</v>
      </c>
      <c r="C19472" s="570">
        <v>845</v>
      </c>
    </row>
    <row r="19473" spans="1:3">
      <c r="A19473" s="571" t="s">
        <v>1707</v>
      </c>
      <c r="B19473" s="572">
        <v>1</v>
      </c>
      <c r="C19473" s="572">
        <v>105</v>
      </c>
    </row>
    <row r="19474" spans="1:3">
      <c r="A19474" s="571" t="s">
        <v>1707</v>
      </c>
      <c r="B19474" s="572">
        <v>7</v>
      </c>
      <c r="C19474" s="572">
        <v>252</v>
      </c>
    </row>
    <row r="19475" spans="1:3">
      <c r="A19475" s="571" t="s">
        <v>1707</v>
      </c>
      <c r="B19475" s="572">
        <v>14</v>
      </c>
      <c r="C19475" s="572">
        <v>343</v>
      </c>
    </row>
    <row r="19476" spans="1:3">
      <c r="A19476" s="571" t="s">
        <v>1707</v>
      </c>
      <c r="B19476" s="572">
        <v>21</v>
      </c>
      <c r="C19476" s="572">
        <v>404</v>
      </c>
    </row>
    <row r="19477" spans="1:3">
      <c r="A19477" s="571" t="s">
        <v>1707</v>
      </c>
      <c r="B19477" s="572">
        <v>28</v>
      </c>
      <c r="C19477" s="572">
        <v>450</v>
      </c>
    </row>
    <row r="19478" spans="1:3">
      <c r="A19478" s="571" t="s">
        <v>1707</v>
      </c>
      <c r="B19478" s="572">
        <v>56</v>
      </c>
      <c r="C19478" s="572">
        <v>540</v>
      </c>
    </row>
    <row r="19479" spans="1:3">
      <c r="A19479" s="571" t="s">
        <v>1707</v>
      </c>
      <c r="B19479" s="572">
        <v>91</v>
      </c>
      <c r="C19479" s="572">
        <v>605</v>
      </c>
    </row>
    <row r="19480" spans="1:3">
      <c r="A19480" s="573" t="s">
        <v>1707</v>
      </c>
      <c r="B19480" s="574">
        <v>175</v>
      </c>
      <c r="C19480" s="574">
        <v>668</v>
      </c>
    </row>
    <row r="19481" spans="1:3">
      <c r="A19481" s="573" t="s">
        <v>1707</v>
      </c>
      <c r="B19481" s="574">
        <v>365</v>
      </c>
      <c r="C19481" s="574">
        <v>715</v>
      </c>
    </row>
    <row r="19482" spans="1:3">
      <c r="A19482" s="569" t="s">
        <v>1707</v>
      </c>
      <c r="B19482" s="570">
        <v>897</v>
      </c>
      <c r="C19482" s="570">
        <v>746</v>
      </c>
    </row>
    <row r="19483" spans="1:3">
      <c r="A19483" s="571" t="s">
        <v>1706</v>
      </c>
      <c r="B19483" s="572">
        <v>1</v>
      </c>
      <c r="C19483" s="572">
        <v>30</v>
      </c>
    </row>
    <row r="19484" spans="1:3">
      <c r="A19484" s="571" t="s">
        <v>1706</v>
      </c>
      <c r="B19484" s="572">
        <v>7</v>
      </c>
      <c r="C19484" s="572">
        <v>165</v>
      </c>
    </row>
    <row r="19485" spans="1:3">
      <c r="A19485" s="571" t="s">
        <v>1706</v>
      </c>
      <c r="B19485" s="572">
        <v>14</v>
      </c>
      <c r="C19485" s="572">
        <v>240</v>
      </c>
    </row>
    <row r="19486" spans="1:3">
      <c r="A19486" s="571" t="s">
        <v>1706</v>
      </c>
      <c r="B19486" s="572">
        <v>21</v>
      </c>
      <c r="C19486" s="572">
        <v>280</v>
      </c>
    </row>
    <row r="19487" spans="1:3">
      <c r="A19487" s="571" t="s">
        <v>1706</v>
      </c>
      <c r="B19487" s="572">
        <v>28</v>
      </c>
      <c r="C19487" s="572">
        <v>310</v>
      </c>
    </row>
    <row r="19488" spans="1:3">
      <c r="A19488" s="571" t="s">
        <v>1706</v>
      </c>
      <c r="B19488" s="572">
        <v>56</v>
      </c>
      <c r="C19488" s="572">
        <v>385</v>
      </c>
    </row>
    <row r="19489" spans="1:3">
      <c r="A19489" s="571" t="s">
        <v>1706</v>
      </c>
      <c r="B19489" s="572">
        <v>91</v>
      </c>
      <c r="C19489" s="572">
        <v>440</v>
      </c>
    </row>
    <row r="19490" spans="1:3">
      <c r="A19490" s="573" t="s">
        <v>1706</v>
      </c>
      <c r="B19490" s="574">
        <v>175</v>
      </c>
      <c r="C19490" s="574">
        <v>500</v>
      </c>
    </row>
    <row r="19491" spans="1:3">
      <c r="A19491" s="573" t="s">
        <v>1706</v>
      </c>
      <c r="B19491" s="574">
        <v>365</v>
      </c>
      <c r="C19491" s="574">
        <v>545</v>
      </c>
    </row>
    <row r="19492" spans="1:3">
      <c r="A19492" s="569" t="s">
        <v>1706</v>
      </c>
      <c r="B19492" s="570">
        <v>897</v>
      </c>
      <c r="C19492" s="570">
        <v>565</v>
      </c>
    </row>
    <row r="19493" spans="1:3">
      <c r="A19493" s="571" t="s">
        <v>1705</v>
      </c>
      <c r="B19493" s="572">
        <v>1</v>
      </c>
      <c r="C19493" s="572">
        <v>0</v>
      </c>
    </row>
    <row r="19494" spans="1:3">
      <c r="A19494" s="571" t="s">
        <v>1705</v>
      </c>
      <c r="B19494" s="572">
        <v>7</v>
      </c>
      <c r="C19494" s="572">
        <v>15</v>
      </c>
    </row>
    <row r="19495" spans="1:3">
      <c r="A19495" s="571" t="s">
        <v>1705</v>
      </c>
      <c r="B19495" s="572">
        <v>14</v>
      </c>
      <c r="C19495" s="572">
        <v>35</v>
      </c>
    </row>
    <row r="19496" spans="1:3">
      <c r="A19496" s="571" t="s">
        <v>1705</v>
      </c>
      <c r="B19496" s="572">
        <v>21</v>
      </c>
      <c r="C19496" s="572">
        <v>55</v>
      </c>
    </row>
    <row r="19497" spans="1:3">
      <c r="A19497" s="571" t="s">
        <v>1705</v>
      </c>
      <c r="B19497" s="572">
        <v>28</v>
      </c>
      <c r="C19497" s="572">
        <v>70</v>
      </c>
    </row>
    <row r="19498" spans="1:3">
      <c r="A19498" s="571" t="s">
        <v>1705</v>
      </c>
      <c r="B19498" s="572">
        <v>56</v>
      </c>
      <c r="C19498" s="572">
        <v>120</v>
      </c>
    </row>
    <row r="19499" spans="1:3">
      <c r="A19499" s="571" t="s">
        <v>1705</v>
      </c>
      <c r="B19499" s="572">
        <v>91</v>
      </c>
      <c r="C19499" s="572">
        <v>165</v>
      </c>
    </row>
    <row r="19500" spans="1:3">
      <c r="A19500" s="573" t="s">
        <v>1705</v>
      </c>
      <c r="B19500" s="574">
        <v>175</v>
      </c>
      <c r="C19500" s="574">
        <v>225</v>
      </c>
    </row>
    <row r="19501" spans="1:3">
      <c r="A19501" s="573" t="s">
        <v>1705</v>
      </c>
      <c r="B19501" s="574">
        <v>365</v>
      </c>
      <c r="C19501" s="574">
        <v>255</v>
      </c>
    </row>
    <row r="19502" spans="1:3">
      <c r="A19502" s="569" t="s">
        <v>1705</v>
      </c>
      <c r="B19502" s="570">
        <v>897</v>
      </c>
      <c r="C19502" s="570">
        <v>275</v>
      </c>
    </row>
    <row r="19503" spans="1:3">
      <c r="A19503" s="571" t="s">
        <v>1704</v>
      </c>
      <c r="B19503" s="572">
        <v>1</v>
      </c>
      <c r="C19503" s="572">
        <v>0</v>
      </c>
    </row>
    <row r="19504" spans="1:3">
      <c r="A19504" s="571" t="s">
        <v>1704</v>
      </c>
      <c r="B19504" s="572">
        <v>7</v>
      </c>
      <c r="C19504" s="572">
        <v>0</v>
      </c>
    </row>
    <row r="19505" spans="1:3">
      <c r="A19505" s="571" t="s">
        <v>1704</v>
      </c>
      <c r="B19505" s="572">
        <v>14</v>
      </c>
      <c r="C19505" s="572">
        <v>5</v>
      </c>
    </row>
    <row r="19506" spans="1:3">
      <c r="A19506" s="571" t="s">
        <v>1704</v>
      </c>
      <c r="B19506" s="572">
        <v>21</v>
      </c>
      <c r="C19506" s="572">
        <v>8</v>
      </c>
    </row>
    <row r="19507" spans="1:3">
      <c r="A19507" s="571" t="s">
        <v>1704</v>
      </c>
      <c r="B19507" s="572">
        <v>28</v>
      </c>
      <c r="C19507" s="572">
        <v>15</v>
      </c>
    </row>
    <row r="19508" spans="1:3">
      <c r="A19508" s="571" t="s">
        <v>1704</v>
      </c>
      <c r="B19508" s="572">
        <v>56</v>
      </c>
      <c r="C19508" s="572">
        <v>45</v>
      </c>
    </row>
    <row r="19509" spans="1:3">
      <c r="A19509" s="571" t="s">
        <v>1704</v>
      </c>
      <c r="B19509" s="572">
        <v>91</v>
      </c>
      <c r="C19509" s="572">
        <v>75</v>
      </c>
    </row>
    <row r="19510" spans="1:3">
      <c r="A19510" s="573" t="s">
        <v>1704</v>
      </c>
      <c r="B19510" s="574">
        <v>175</v>
      </c>
      <c r="C19510" s="574">
        <v>122</v>
      </c>
    </row>
    <row r="19511" spans="1:3">
      <c r="A19511" s="573" t="s">
        <v>1704</v>
      </c>
      <c r="B19511" s="574">
        <v>365</v>
      </c>
      <c r="C19511" s="574">
        <v>156</v>
      </c>
    </row>
    <row r="19512" spans="1:3">
      <c r="A19512" s="569" t="s">
        <v>1704</v>
      </c>
      <c r="B19512" s="570">
        <v>897</v>
      </c>
      <c r="C19512" s="570">
        <v>176</v>
      </c>
    </row>
    <row r="19513" spans="1:3">
      <c r="A19513" s="571" t="s">
        <v>1703</v>
      </c>
      <c r="B19513" s="572">
        <v>1</v>
      </c>
      <c r="C19513" s="572">
        <v>0</v>
      </c>
    </row>
    <row r="19514" spans="1:3">
      <c r="A19514" s="571" t="s">
        <v>1703</v>
      </c>
      <c r="B19514" s="572">
        <v>7</v>
      </c>
      <c r="C19514" s="572">
        <v>0</v>
      </c>
    </row>
    <row r="19515" spans="1:3">
      <c r="A19515" s="571" t="s">
        <v>1703</v>
      </c>
      <c r="B19515" s="572">
        <v>14</v>
      </c>
      <c r="C19515" s="572">
        <v>10</v>
      </c>
    </row>
    <row r="19516" spans="1:3">
      <c r="A19516" s="571" t="s">
        <v>1703</v>
      </c>
      <c r="B19516" s="572">
        <v>21</v>
      </c>
      <c r="C19516" s="572">
        <v>25</v>
      </c>
    </row>
    <row r="19517" spans="1:3">
      <c r="A19517" s="571" t="s">
        <v>1703</v>
      </c>
      <c r="B19517" s="572">
        <v>28</v>
      </c>
      <c r="C19517" s="572">
        <v>35</v>
      </c>
    </row>
    <row r="19518" spans="1:3">
      <c r="A19518" s="571" t="s">
        <v>1703</v>
      </c>
      <c r="B19518" s="572">
        <v>56</v>
      </c>
      <c r="C19518" s="572">
        <v>75</v>
      </c>
    </row>
    <row r="19519" spans="1:3">
      <c r="A19519" s="571" t="s">
        <v>1703</v>
      </c>
      <c r="B19519" s="572">
        <v>91</v>
      </c>
      <c r="C19519" s="572">
        <v>110</v>
      </c>
    </row>
    <row r="19520" spans="1:3">
      <c r="A19520" s="573" t="s">
        <v>1703</v>
      </c>
      <c r="B19520" s="574">
        <v>175</v>
      </c>
      <c r="C19520" s="574">
        <v>155</v>
      </c>
    </row>
    <row r="19521" spans="1:3">
      <c r="A19521" s="573" t="s">
        <v>1703</v>
      </c>
      <c r="B19521" s="574">
        <v>365</v>
      </c>
      <c r="C19521" s="574">
        <v>190</v>
      </c>
    </row>
    <row r="19522" spans="1:3">
      <c r="A19522" s="569" t="s">
        <v>1703</v>
      </c>
      <c r="B19522" s="570">
        <v>897</v>
      </c>
      <c r="C19522" s="570">
        <v>200</v>
      </c>
    </row>
    <row r="19523" spans="1:3">
      <c r="A19523" s="571" t="s">
        <v>1702</v>
      </c>
      <c r="B19523" s="572">
        <v>1</v>
      </c>
      <c r="C19523" s="572">
        <v>80</v>
      </c>
    </row>
    <row r="19524" spans="1:3">
      <c r="A19524" s="571" t="s">
        <v>1702</v>
      </c>
      <c r="B19524" s="572">
        <v>7</v>
      </c>
      <c r="C19524" s="572">
        <v>250</v>
      </c>
    </row>
    <row r="19525" spans="1:3">
      <c r="A19525" s="571" t="s">
        <v>1702</v>
      </c>
      <c r="B19525" s="572">
        <v>14</v>
      </c>
      <c r="C19525" s="572">
        <v>355</v>
      </c>
    </row>
    <row r="19526" spans="1:3">
      <c r="A19526" s="571" t="s">
        <v>1702</v>
      </c>
      <c r="B19526" s="572">
        <v>21</v>
      </c>
      <c r="C19526" s="572">
        <v>425</v>
      </c>
    </row>
    <row r="19527" spans="1:3">
      <c r="A19527" s="571" t="s">
        <v>1702</v>
      </c>
      <c r="B19527" s="572">
        <v>28</v>
      </c>
      <c r="C19527" s="572">
        <v>480</v>
      </c>
    </row>
    <row r="19528" spans="1:3">
      <c r="A19528" s="571" t="s">
        <v>1702</v>
      </c>
      <c r="B19528" s="572">
        <v>56</v>
      </c>
      <c r="C19528" s="572">
        <v>615</v>
      </c>
    </row>
    <row r="19529" spans="1:3">
      <c r="A19529" s="571" t="s">
        <v>1702</v>
      </c>
      <c r="B19529" s="572">
        <v>91</v>
      </c>
      <c r="C19529" s="572">
        <v>700</v>
      </c>
    </row>
    <row r="19530" spans="1:3">
      <c r="A19530" s="573" t="s">
        <v>1702</v>
      </c>
      <c r="B19530" s="574">
        <v>175</v>
      </c>
      <c r="C19530" s="574">
        <v>790</v>
      </c>
    </row>
    <row r="19531" spans="1:3">
      <c r="A19531" s="573" t="s">
        <v>1702</v>
      </c>
      <c r="B19531" s="574">
        <v>365</v>
      </c>
      <c r="C19531" s="574">
        <v>865</v>
      </c>
    </row>
    <row r="19532" spans="1:3">
      <c r="A19532" s="569" t="s">
        <v>1702</v>
      </c>
      <c r="B19532" s="570">
        <v>590</v>
      </c>
      <c r="C19532" s="570">
        <v>900</v>
      </c>
    </row>
    <row r="19533" spans="1:3">
      <c r="A19533" s="571" t="s">
        <v>1701</v>
      </c>
      <c r="B19533" s="572">
        <v>1</v>
      </c>
      <c r="C19533" s="572">
        <v>69</v>
      </c>
    </row>
    <row r="19534" spans="1:3">
      <c r="A19534" s="571" t="s">
        <v>1701</v>
      </c>
      <c r="B19534" s="572">
        <v>7</v>
      </c>
      <c r="C19534" s="572">
        <v>215</v>
      </c>
    </row>
    <row r="19535" spans="1:3">
      <c r="A19535" s="571" t="s">
        <v>1701</v>
      </c>
      <c r="B19535" s="572">
        <v>14</v>
      </c>
      <c r="C19535" s="572">
        <v>295</v>
      </c>
    </row>
    <row r="19536" spans="1:3">
      <c r="A19536" s="571" t="s">
        <v>1701</v>
      </c>
      <c r="B19536" s="572">
        <v>21</v>
      </c>
      <c r="C19536" s="572">
        <v>340</v>
      </c>
    </row>
    <row r="19537" spans="1:3">
      <c r="A19537" s="571" t="s">
        <v>1701</v>
      </c>
      <c r="B19537" s="572">
        <v>28</v>
      </c>
      <c r="C19537" s="572">
        <v>385</v>
      </c>
    </row>
    <row r="19538" spans="1:3">
      <c r="A19538" s="571" t="s">
        <v>1701</v>
      </c>
      <c r="B19538" s="572">
        <v>56</v>
      </c>
      <c r="C19538" s="572">
        <v>480</v>
      </c>
    </row>
    <row r="19539" spans="1:3">
      <c r="A19539" s="571" t="s">
        <v>1701</v>
      </c>
      <c r="B19539" s="572">
        <v>91</v>
      </c>
      <c r="C19539" s="572">
        <v>550</v>
      </c>
    </row>
    <row r="19540" spans="1:3">
      <c r="A19540" s="573" t="s">
        <v>1701</v>
      </c>
      <c r="B19540" s="574">
        <v>175</v>
      </c>
      <c r="C19540" s="574">
        <v>630</v>
      </c>
    </row>
    <row r="19541" spans="1:3">
      <c r="A19541" s="573" t="s">
        <v>1701</v>
      </c>
      <c r="B19541" s="574">
        <v>365</v>
      </c>
      <c r="C19541" s="574">
        <v>710</v>
      </c>
    </row>
    <row r="19542" spans="1:3">
      <c r="A19542" s="569" t="s">
        <v>1701</v>
      </c>
      <c r="B19542" s="570">
        <v>590</v>
      </c>
      <c r="C19542" s="570">
        <v>750</v>
      </c>
    </row>
    <row r="19543" spans="1:3">
      <c r="A19543" s="571" t="s">
        <v>1700</v>
      </c>
      <c r="B19543" s="572">
        <v>1</v>
      </c>
      <c r="C19543" s="572">
        <v>50</v>
      </c>
    </row>
    <row r="19544" spans="1:3">
      <c r="A19544" s="571" t="s">
        <v>1700</v>
      </c>
      <c r="B19544" s="572">
        <v>7</v>
      </c>
      <c r="C19544" s="572">
        <v>165</v>
      </c>
    </row>
    <row r="19545" spans="1:3">
      <c r="A19545" s="571" t="s">
        <v>1700</v>
      </c>
      <c r="B19545" s="572">
        <v>14</v>
      </c>
      <c r="C19545" s="572">
        <v>240</v>
      </c>
    </row>
    <row r="19546" spans="1:3">
      <c r="A19546" s="571" t="s">
        <v>1700</v>
      </c>
      <c r="B19546" s="572">
        <v>21</v>
      </c>
      <c r="C19546" s="572">
        <v>280</v>
      </c>
    </row>
    <row r="19547" spans="1:3">
      <c r="A19547" s="571" t="s">
        <v>1700</v>
      </c>
      <c r="B19547" s="572">
        <v>28</v>
      </c>
      <c r="C19547" s="572">
        <v>315</v>
      </c>
    </row>
    <row r="19548" spans="1:3">
      <c r="A19548" s="571" t="s">
        <v>1700</v>
      </c>
      <c r="B19548" s="572">
        <v>56</v>
      </c>
      <c r="C19548" s="572">
        <v>390</v>
      </c>
    </row>
    <row r="19549" spans="1:3">
      <c r="A19549" s="571" t="s">
        <v>1700</v>
      </c>
      <c r="B19549" s="572">
        <v>91</v>
      </c>
      <c r="C19549" s="572">
        <v>445</v>
      </c>
    </row>
    <row r="19550" spans="1:3">
      <c r="A19550" s="573" t="s">
        <v>1700</v>
      </c>
      <c r="B19550" s="574">
        <v>175</v>
      </c>
      <c r="C19550" s="574">
        <v>505</v>
      </c>
    </row>
    <row r="19551" spans="1:3">
      <c r="A19551" s="573" t="s">
        <v>1700</v>
      </c>
      <c r="B19551" s="574">
        <v>365</v>
      </c>
      <c r="C19551" s="574">
        <v>561</v>
      </c>
    </row>
    <row r="19552" spans="1:3">
      <c r="A19552" s="569" t="s">
        <v>1700</v>
      </c>
      <c r="B19552" s="570">
        <v>590</v>
      </c>
      <c r="C19552" s="570">
        <v>580</v>
      </c>
    </row>
    <row r="19553" spans="1:3">
      <c r="A19553" s="571" t="s">
        <v>1699</v>
      </c>
      <c r="B19553" s="572">
        <v>1</v>
      </c>
      <c r="C19553" s="572">
        <v>3</v>
      </c>
    </row>
    <row r="19554" spans="1:3">
      <c r="A19554" s="571" t="s">
        <v>1699</v>
      </c>
      <c r="B19554" s="572">
        <v>7</v>
      </c>
      <c r="C19554" s="572">
        <v>9</v>
      </c>
    </row>
    <row r="19555" spans="1:3">
      <c r="A19555" s="571" t="s">
        <v>1699</v>
      </c>
      <c r="B19555" s="572">
        <v>14</v>
      </c>
      <c r="C19555" s="572">
        <v>16</v>
      </c>
    </row>
    <row r="19556" spans="1:3">
      <c r="A19556" s="571" t="s">
        <v>1699</v>
      </c>
      <c r="B19556" s="572">
        <v>21</v>
      </c>
      <c r="C19556" s="572">
        <v>20</v>
      </c>
    </row>
    <row r="19557" spans="1:3">
      <c r="A19557" s="571" t="s">
        <v>1699</v>
      </c>
      <c r="B19557" s="572">
        <v>28</v>
      </c>
      <c r="C19557" s="572">
        <v>29</v>
      </c>
    </row>
    <row r="19558" spans="1:3">
      <c r="A19558" s="571" t="s">
        <v>1699</v>
      </c>
      <c r="B19558" s="572">
        <v>56</v>
      </c>
      <c r="C19558" s="572">
        <v>47</v>
      </c>
    </row>
    <row r="19559" spans="1:3">
      <c r="A19559" s="571" t="s">
        <v>1699</v>
      </c>
      <c r="B19559" s="572">
        <v>91</v>
      </c>
      <c r="C19559" s="572">
        <v>57</v>
      </c>
    </row>
    <row r="19560" spans="1:3">
      <c r="A19560" s="573" t="s">
        <v>1699</v>
      </c>
      <c r="B19560" s="574">
        <v>175</v>
      </c>
      <c r="C19560" s="574">
        <v>73</v>
      </c>
    </row>
    <row r="19561" spans="1:3">
      <c r="A19561" s="573" t="s">
        <v>1699</v>
      </c>
      <c r="B19561" s="574">
        <v>365</v>
      </c>
      <c r="C19561" s="574">
        <v>85</v>
      </c>
    </row>
    <row r="19562" spans="1:3">
      <c r="A19562" s="569" t="s">
        <v>1699</v>
      </c>
      <c r="B19562" s="570">
        <v>590</v>
      </c>
      <c r="C19562" s="570">
        <v>98</v>
      </c>
    </row>
    <row r="19563" spans="1:3">
      <c r="A19563" s="571" t="s">
        <v>1698</v>
      </c>
      <c r="B19563" s="572">
        <v>1</v>
      </c>
      <c r="C19563" s="572">
        <v>31</v>
      </c>
    </row>
    <row r="19564" spans="1:3">
      <c r="A19564" s="571" t="s">
        <v>1698</v>
      </c>
      <c r="B19564" s="572">
        <v>2</v>
      </c>
      <c r="C19564" s="572">
        <v>51</v>
      </c>
    </row>
    <row r="19565" spans="1:3">
      <c r="A19565" s="571" t="s">
        <v>1698</v>
      </c>
      <c r="B19565" s="572">
        <v>6</v>
      </c>
      <c r="C19565" s="572">
        <v>113</v>
      </c>
    </row>
    <row r="19566" spans="1:3">
      <c r="A19566" s="571" t="s">
        <v>1698</v>
      </c>
      <c r="B19566" s="572">
        <v>13</v>
      </c>
      <c r="C19566" s="572">
        <v>171</v>
      </c>
    </row>
    <row r="19567" spans="1:3">
      <c r="A19567" s="571" t="s">
        <v>1698</v>
      </c>
      <c r="B19567" s="572">
        <v>20</v>
      </c>
      <c r="C19567" s="572">
        <v>208</v>
      </c>
    </row>
    <row r="19568" spans="1:3">
      <c r="A19568" s="571" t="s">
        <v>1698</v>
      </c>
      <c r="B19568" s="572">
        <v>27</v>
      </c>
      <c r="C19568" s="572">
        <v>222</v>
      </c>
    </row>
    <row r="19569" spans="1:3">
      <c r="A19569" s="571" t="s">
        <v>1698</v>
      </c>
      <c r="B19569" s="572">
        <v>41</v>
      </c>
      <c r="C19569" s="572">
        <v>244</v>
      </c>
    </row>
    <row r="19570" spans="1:3">
      <c r="A19570" s="571" t="s">
        <v>1698</v>
      </c>
      <c r="B19570" s="572">
        <v>55</v>
      </c>
      <c r="C19570" s="572">
        <v>256</v>
      </c>
    </row>
    <row r="19571" spans="1:3">
      <c r="A19571" s="571" t="s">
        <v>1698</v>
      </c>
      <c r="B19571" s="572">
        <v>89</v>
      </c>
      <c r="C19571" s="572">
        <v>275</v>
      </c>
    </row>
    <row r="19572" spans="1:3">
      <c r="A19572" s="573" t="s">
        <v>1698</v>
      </c>
      <c r="B19572" s="574">
        <v>179</v>
      </c>
      <c r="C19572" s="574">
        <v>301</v>
      </c>
    </row>
    <row r="19573" spans="1:3">
      <c r="A19573" s="573" t="s">
        <v>1698</v>
      </c>
      <c r="B19573" s="574">
        <v>359</v>
      </c>
      <c r="C19573" s="574">
        <v>337</v>
      </c>
    </row>
    <row r="19574" spans="1:3">
      <c r="A19574" s="569" t="s">
        <v>1698</v>
      </c>
      <c r="B19574" s="570">
        <v>539</v>
      </c>
      <c r="C19574" s="570">
        <v>361</v>
      </c>
    </row>
    <row r="19575" spans="1:3">
      <c r="A19575" s="569" t="s">
        <v>1698</v>
      </c>
      <c r="B19575" s="570">
        <v>719</v>
      </c>
      <c r="C19575" s="570">
        <v>377</v>
      </c>
    </row>
    <row r="19576" spans="1:3">
      <c r="A19576" s="569" t="s">
        <v>1698</v>
      </c>
      <c r="B19576" s="570">
        <v>999</v>
      </c>
      <c r="C19576" s="570">
        <v>404</v>
      </c>
    </row>
    <row r="19577" spans="1:3">
      <c r="A19577" s="569" t="s">
        <v>1698</v>
      </c>
      <c r="B19577" s="570">
        <v>1499</v>
      </c>
      <c r="C19577" s="570">
        <v>433</v>
      </c>
    </row>
    <row r="19578" spans="1:3">
      <c r="A19578" s="569" t="s">
        <v>1698</v>
      </c>
      <c r="B19578" s="570">
        <v>1999</v>
      </c>
      <c r="C19578" s="570">
        <v>463</v>
      </c>
    </row>
    <row r="19579" spans="1:3">
      <c r="A19579" s="569" t="s">
        <v>1698</v>
      </c>
      <c r="B19579" s="570">
        <v>1999</v>
      </c>
      <c r="C19579" s="570">
        <v>463</v>
      </c>
    </row>
    <row r="19580" spans="1:3">
      <c r="A19580" s="571" t="s">
        <v>1697</v>
      </c>
      <c r="B19580" s="572">
        <v>1</v>
      </c>
      <c r="C19580" s="572">
        <v>27</v>
      </c>
    </row>
    <row r="19581" spans="1:3">
      <c r="A19581" s="571" t="s">
        <v>1697</v>
      </c>
      <c r="B19581" s="572">
        <v>2</v>
      </c>
      <c r="C19581" s="572">
        <v>39</v>
      </c>
    </row>
    <row r="19582" spans="1:3">
      <c r="A19582" s="571" t="s">
        <v>1697</v>
      </c>
      <c r="B19582" s="572">
        <v>6</v>
      </c>
      <c r="C19582" s="572">
        <v>53</v>
      </c>
    </row>
    <row r="19583" spans="1:3">
      <c r="A19583" s="571" t="s">
        <v>1697</v>
      </c>
      <c r="B19583" s="572">
        <v>13</v>
      </c>
      <c r="C19583" s="572">
        <v>61</v>
      </c>
    </row>
    <row r="19584" spans="1:3">
      <c r="A19584" s="571" t="s">
        <v>1697</v>
      </c>
      <c r="B19584" s="572">
        <v>20</v>
      </c>
      <c r="C19584" s="572">
        <v>66</v>
      </c>
    </row>
    <row r="19585" spans="1:3">
      <c r="A19585" s="571" t="s">
        <v>1697</v>
      </c>
      <c r="B19585" s="572">
        <v>27</v>
      </c>
      <c r="C19585" s="572">
        <v>70</v>
      </c>
    </row>
    <row r="19586" spans="1:3">
      <c r="A19586" s="571" t="s">
        <v>1697</v>
      </c>
      <c r="B19586" s="572">
        <v>41</v>
      </c>
      <c r="C19586" s="572">
        <v>74</v>
      </c>
    </row>
    <row r="19587" spans="1:3">
      <c r="A19587" s="571" t="s">
        <v>1697</v>
      </c>
      <c r="B19587" s="572">
        <v>55</v>
      </c>
      <c r="C19587" s="572">
        <v>77</v>
      </c>
    </row>
    <row r="19588" spans="1:3">
      <c r="A19588" s="571" t="s">
        <v>1697</v>
      </c>
      <c r="B19588" s="572">
        <v>89</v>
      </c>
      <c r="C19588" s="572">
        <v>87</v>
      </c>
    </row>
    <row r="19589" spans="1:3">
      <c r="A19589" s="573" t="s">
        <v>1697</v>
      </c>
      <c r="B19589" s="574">
        <v>179</v>
      </c>
      <c r="C19589" s="574">
        <v>94</v>
      </c>
    </row>
    <row r="19590" spans="1:3">
      <c r="A19590" s="573" t="s">
        <v>1697</v>
      </c>
      <c r="B19590" s="574">
        <v>359</v>
      </c>
      <c r="C19590" s="574">
        <v>96</v>
      </c>
    </row>
    <row r="19591" spans="1:3">
      <c r="A19591" s="569" t="s">
        <v>1697</v>
      </c>
      <c r="B19591" s="570">
        <v>539</v>
      </c>
      <c r="C19591" s="570">
        <v>97</v>
      </c>
    </row>
    <row r="19592" spans="1:3">
      <c r="A19592" s="569" t="s">
        <v>1697</v>
      </c>
      <c r="B19592" s="570">
        <v>719</v>
      </c>
      <c r="C19592" s="570">
        <v>98</v>
      </c>
    </row>
    <row r="19593" spans="1:3">
      <c r="A19593" s="569" t="s">
        <v>1697</v>
      </c>
      <c r="B19593" s="570">
        <v>999</v>
      </c>
      <c r="C19593" s="570">
        <v>98</v>
      </c>
    </row>
    <row r="19594" spans="1:3">
      <c r="A19594" s="569" t="s">
        <v>1697</v>
      </c>
      <c r="B19594" s="570">
        <v>1499</v>
      </c>
      <c r="C19594" s="570">
        <v>99</v>
      </c>
    </row>
    <row r="19595" spans="1:3">
      <c r="A19595" s="569" t="s">
        <v>1697</v>
      </c>
      <c r="B19595" s="570">
        <v>1999</v>
      </c>
      <c r="C19595" s="570">
        <v>99</v>
      </c>
    </row>
    <row r="19596" spans="1:3">
      <c r="A19596" s="569" t="s">
        <v>1697</v>
      </c>
      <c r="B19596" s="570">
        <v>2499</v>
      </c>
      <c r="C19596" s="570">
        <v>100</v>
      </c>
    </row>
    <row r="19597" spans="1:3">
      <c r="A19597" s="569" t="s">
        <v>1697</v>
      </c>
      <c r="B19597" s="570">
        <v>2499</v>
      </c>
      <c r="C19597" s="570">
        <v>100</v>
      </c>
    </row>
    <row r="19598" spans="1:3">
      <c r="A19598" s="571" t="s">
        <v>1696</v>
      </c>
      <c r="B19598" s="572">
        <v>27</v>
      </c>
      <c r="C19598" s="572">
        <v>60</v>
      </c>
    </row>
    <row r="19599" spans="1:3">
      <c r="A19599" s="571" t="s">
        <v>1696</v>
      </c>
      <c r="B19599" s="572">
        <v>28</v>
      </c>
      <c r="C19599" s="572">
        <v>60</v>
      </c>
    </row>
    <row r="19600" spans="1:3">
      <c r="A19600" s="571" t="s">
        <v>1696</v>
      </c>
      <c r="B19600" s="572">
        <v>55</v>
      </c>
      <c r="C19600" s="572">
        <v>55</v>
      </c>
    </row>
    <row r="19601" spans="1:3">
      <c r="A19601" s="569" t="s">
        <v>1696</v>
      </c>
      <c r="B19601" s="570">
        <v>506</v>
      </c>
      <c r="C19601" s="570">
        <v>50</v>
      </c>
    </row>
    <row r="19602" spans="1:3">
      <c r="A19602" s="569" t="s">
        <v>1696</v>
      </c>
      <c r="B19602" s="570">
        <v>506</v>
      </c>
      <c r="C19602" s="570">
        <v>50</v>
      </c>
    </row>
    <row r="19603" spans="1:3">
      <c r="A19603" s="571" t="s">
        <v>1695</v>
      </c>
      <c r="B19603" s="572">
        <v>27</v>
      </c>
      <c r="C19603" s="572">
        <v>50</v>
      </c>
    </row>
    <row r="19604" spans="1:3">
      <c r="A19604" s="571" t="s">
        <v>1695</v>
      </c>
      <c r="B19604" s="572">
        <v>28</v>
      </c>
      <c r="C19604" s="572">
        <v>50</v>
      </c>
    </row>
    <row r="19605" spans="1:3">
      <c r="A19605" s="571" t="s">
        <v>1695</v>
      </c>
      <c r="B19605" s="572">
        <v>55</v>
      </c>
      <c r="C19605" s="572">
        <v>45</v>
      </c>
    </row>
    <row r="19606" spans="1:3">
      <c r="A19606" s="569" t="s">
        <v>1695</v>
      </c>
      <c r="B19606" s="570">
        <v>506</v>
      </c>
      <c r="C19606" s="570">
        <v>60</v>
      </c>
    </row>
    <row r="19607" spans="1:3">
      <c r="A19607" s="569" t="s">
        <v>1695</v>
      </c>
      <c r="B19607" s="570">
        <v>506</v>
      </c>
      <c r="C19607" s="570">
        <v>60</v>
      </c>
    </row>
    <row r="19608" spans="1:3">
      <c r="A19608" s="571" t="s">
        <v>1694</v>
      </c>
      <c r="B19608" s="572">
        <v>7</v>
      </c>
      <c r="C19608" s="572">
        <v>120</v>
      </c>
    </row>
    <row r="19609" spans="1:3">
      <c r="A19609" s="571" t="s">
        <v>1694</v>
      </c>
      <c r="B19609" s="572">
        <v>28</v>
      </c>
      <c r="C19609" s="572">
        <v>236</v>
      </c>
    </row>
    <row r="19610" spans="1:3">
      <c r="A19610" s="571" t="s">
        <v>1694</v>
      </c>
      <c r="B19610" s="572">
        <v>90</v>
      </c>
      <c r="C19610" s="572">
        <v>260</v>
      </c>
    </row>
    <row r="19611" spans="1:3">
      <c r="A19611" s="573" t="s">
        <v>1694</v>
      </c>
      <c r="B19611" s="574">
        <v>200</v>
      </c>
      <c r="C19611" s="574">
        <v>273</v>
      </c>
    </row>
    <row r="19612" spans="1:3">
      <c r="A19612" s="569" t="s">
        <v>1694</v>
      </c>
      <c r="B19612" s="570">
        <v>730</v>
      </c>
      <c r="C19612" s="570">
        <v>339</v>
      </c>
    </row>
    <row r="19613" spans="1:3">
      <c r="A19613" s="569" t="s">
        <v>1694</v>
      </c>
      <c r="B19613" s="570">
        <v>1825</v>
      </c>
      <c r="C19613" s="570">
        <v>371</v>
      </c>
    </row>
    <row r="19614" spans="1:3">
      <c r="A19614" s="569" t="s">
        <v>1694</v>
      </c>
      <c r="B19614" s="570">
        <v>1825</v>
      </c>
      <c r="C19614" s="570">
        <v>371</v>
      </c>
    </row>
    <row r="19615" spans="1:3">
      <c r="A19615" s="571" t="s">
        <v>1693</v>
      </c>
      <c r="B19615" s="572">
        <v>7</v>
      </c>
      <c r="C19615" s="572">
        <v>138</v>
      </c>
    </row>
    <row r="19616" spans="1:3">
      <c r="A19616" s="571" t="s">
        <v>1693</v>
      </c>
      <c r="B19616" s="572">
        <v>28</v>
      </c>
      <c r="C19616" s="572">
        <v>261</v>
      </c>
    </row>
    <row r="19617" spans="1:3">
      <c r="A19617" s="571" t="s">
        <v>1693</v>
      </c>
      <c r="B19617" s="572">
        <v>90</v>
      </c>
      <c r="C19617" s="572">
        <v>350</v>
      </c>
    </row>
    <row r="19618" spans="1:3">
      <c r="A19618" s="573" t="s">
        <v>1693</v>
      </c>
      <c r="B19618" s="574">
        <v>200</v>
      </c>
      <c r="C19618" s="574">
        <v>412</v>
      </c>
    </row>
    <row r="19619" spans="1:3">
      <c r="A19619" s="569" t="s">
        <v>1693</v>
      </c>
      <c r="B19619" s="570">
        <v>730</v>
      </c>
      <c r="C19619" s="570">
        <v>505</v>
      </c>
    </row>
    <row r="19620" spans="1:3">
      <c r="A19620" s="569" t="s">
        <v>1693</v>
      </c>
      <c r="B19620" s="570">
        <v>1825</v>
      </c>
      <c r="C19620" s="570">
        <v>565</v>
      </c>
    </row>
    <row r="19621" spans="1:3">
      <c r="A19621" s="569" t="s">
        <v>1693</v>
      </c>
      <c r="B19621" s="570">
        <v>1825</v>
      </c>
      <c r="C19621" s="570">
        <v>565</v>
      </c>
    </row>
    <row r="19622" spans="1:3">
      <c r="A19622" s="571" t="s">
        <v>1692</v>
      </c>
      <c r="B19622" s="572">
        <v>7</v>
      </c>
      <c r="C19622" s="572">
        <v>144</v>
      </c>
    </row>
    <row r="19623" spans="1:3">
      <c r="A19623" s="571" t="s">
        <v>1692</v>
      </c>
      <c r="B19623" s="572">
        <v>28</v>
      </c>
      <c r="C19623" s="572">
        <v>276</v>
      </c>
    </row>
    <row r="19624" spans="1:3">
      <c r="A19624" s="571" t="s">
        <v>1692</v>
      </c>
      <c r="B19624" s="572">
        <v>90</v>
      </c>
      <c r="C19624" s="572">
        <v>376</v>
      </c>
    </row>
    <row r="19625" spans="1:3">
      <c r="A19625" s="573" t="s">
        <v>1692</v>
      </c>
      <c r="B19625" s="574">
        <v>200</v>
      </c>
      <c r="C19625" s="574">
        <v>417</v>
      </c>
    </row>
    <row r="19626" spans="1:3">
      <c r="A19626" s="569" t="s">
        <v>1692</v>
      </c>
      <c r="B19626" s="570">
        <v>730</v>
      </c>
      <c r="C19626" s="570">
        <v>524</v>
      </c>
    </row>
    <row r="19627" spans="1:3">
      <c r="A19627" s="569" t="s">
        <v>1692</v>
      </c>
      <c r="B19627" s="570">
        <v>1825</v>
      </c>
      <c r="C19627" s="570">
        <v>586</v>
      </c>
    </row>
    <row r="19628" spans="1:3">
      <c r="A19628" s="569" t="s">
        <v>1692</v>
      </c>
      <c r="B19628" s="570">
        <v>1825</v>
      </c>
      <c r="C19628" s="570">
        <v>586</v>
      </c>
    </row>
    <row r="19629" spans="1:3">
      <c r="A19629" s="571" t="s">
        <v>1691</v>
      </c>
      <c r="B19629" s="572">
        <v>2</v>
      </c>
      <c r="C19629" s="572">
        <v>59</v>
      </c>
    </row>
    <row r="19630" spans="1:3">
      <c r="A19630" s="571" t="s">
        <v>1691</v>
      </c>
      <c r="B19630" s="572">
        <v>6</v>
      </c>
      <c r="C19630" s="572">
        <v>137</v>
      </c>
    </row>
    <row r="19631" spans="1:3">
      <c r="A19631" s="571" t="s">
        <v>1691</v>
      </c>
      <c r="B19631" s="572">
        <v>13</v>
      </c>
      <c r="C19631" s="572">
        <v>193</v>
      </c>
    </row>
    <row r="19632" spans="1:3">
      <c r="A19632" s="571" t="s">
        <v>1691</v>
      </c>
      <c r="B19632" s="572">
        <v>20</v>
      </c>
      <c r="C19632" s="572">
        <v>256</v>
      </c>
    </row>
    <row r="19633" spans="1:3">
      <c r="A19633" s="571" t="s">
        <v>1691</v>
      </c>
      <c r="B19633" s="572">
        <v>29</v>
      </c>
      <c r="C19633" s="572">
        <v>273</v>
      </c>
    </row>
    <row r="19634" spans="1:3">
      <c r="A19634" s="571" t="s">
        <v>1691</v>
      </c>
      <c r="B19634" s="572">
        <v>64</v>
      </c>
      <c r="C19634" s="572">
        <v>310</v>
      </c>
    </row>
    <row r="19635" spans="1:3">
      <c r="A19635" s="571" t="s">
        <v>1691</v>
      </c>
      <c r="B19635" s="572">
        <v>89</v>
      </c>
      <c r="C19635" s="572">
        <v>391</v>
      </c>
    </row>
    <row r="19636" spans="1:3">
      <c r="A19636" s="573" t="s">
        <v>1691</v>
      </c>
      <c r="B19636" s="574">
        <v>127</v>
      </c>
      <c r="C19636" s="574">
        <v>419</v>
      </c>
    </row>
    <row r="19637" spans="1:3">
      <c r="A19637" s="573" t="s">
        <v>1691</v>
      </c>
      <c r="B19637" s="574">
        <v>185</v>
      </c>
      <c r="C19637" s="574">
        <v>424</v>
      </c>
    </row>
    <row r="19638" spans="1:3">
      <c r="A19638" s="573" t="s">
        <v>1691</v>
      </c>
      <c r="B19638" s="574">
        <v>226</v>
      </c>
      <c r="C19638" s="574">
        <v>438</v>
      </c>
    </row>
    <row r="19639" spans="1:3">
      <c r="A19639" s="573" t="s">
        <v>1691</v>
      </c>
      <c r="B19639" s="574">
        <v>299</v>
      </c>
      <c r="C19639" s="574">
        <v>436</v>
      </c>
    </row>
    <row r="19640" spans="1:3">
      <c r="A19640" s="569" t="s">
        <v>1691</v>
      </c>
      <c r="B19640" s="570">
        <v>1437</v>
      </c>
      <c r="C19640" s="570">
        <v>526</v>
      </c>
    </row>
    <row r="19641" spans="1:3">
      <c r="A19641" s="569" t="s">
        <v>1691</v>
      </c>
      <c r="B19641" s="570">
        <v>1746</v>
      </c>
      <c r="C19641" s="570">
        <v>507</v>
      </c>
    </row>
    <row r="19642" spans="1:3">
      <c r="A19642" s="569" t="s">
        <v>1691</v>
      </c>
      <c r="B19642" s="570">
        <v>1746</v>
      </c>
      <c r="C19642" s="570">
        <v>507</v>
      </c>
    </row>
    <row r="19643" spans="1:3">
      <c r="A19643" s="571" t="s">
        <v>1690</v>
      </c>
      <c r="B19643" s="572">
        <v>2</v>
      </c>
      <c r="C19643" s="572">
        <v>20</v>
      </c>
    </row>
    <row r="19644" spans="1:3">
      <c r="A19644" s="571" t="s">
        <v>1690</v>
      </c>
      <c r="B19644" s="572">
        <v>6</v>
      </c>
      <c r="C19644" s="572">
        <v>80</v>
      </c>
    </row>
    <row r="19645" spans="1:3">
      <c r="A19645" s="571" t="s">
        <v>1690</v>
      </c>
      <c r="B19645" s="572">
        <v>13</v>
      </c>
      <c r="C19645" s="572">
        <v>107</v>
      </c>
    </row>
    <row r="19646" spans="1:3">
      <c r="A19646" s="571" t="s">
        <v>1690</v>
      </c>
      <c r="B19646" s="572">
        <v>20</v>
      </c>
      <c r="C19646" s="572">
        <v>145</v>
      </c>
    </row>
    <row r="19647" spans="1:3">
      <c r="A19647" s="571" t="s">
        <v>1690</v>
      </c>
      <c r="B19647" s="572">
        <v>29</v>
      </c>
      <c r="C19647" s="572">
        <v>164</v>
      </c>
    </row>
    <row r="19648" spans="1:3">
      <c r="A19648" s="571" t="s">
        <v>1690</v>
      </c>
      <c r="B19648" s="572">
        <v>64</v>
      </c>
      <c r="C19648" s="572">
        <v>244</v>
      </c>
    </row>
    <row r="19649" spans="1:3">
      <c r="A19649" s="571" t="s">
        <v>1690</v>
      </c>
      <c r="B19649" s="572">
        <v>89</v>
      </c>
      <c r="C19649" s="572">
        <v>278</v>
      </c>
    </row>
    <row r="19650" spans="1:3">
      <c r="A19650" s="573" t="s">
        <v>1690</v>
      </c>
      <c r="B19650" s="574">
        <v>127</v>
      </c>
      <c r="C19650" s="574">
        <v>311</v>
      </c>
    </row>
    <row r="19651" spans="1:3">
      <c r="A19651" s="573" t="s">
        <v>1690</v>
      </c>
      <c r="B19651" s="574">
        <v>185</v>
      </c>
      <c r="C19651" s="574">
        <v>339</v>
      </c>
    </row>
    <row r="19652" spans="1:3">
      <c r="A19652" s="573" t="s">
        <v>1690</v>
      </c>
      <c r="B19652" s="574">
        <v>226</v>
      </c>
      <c r="C19652" s="574">
        <v>359</v>
      </c>
    </row>
    <row r="19653" spans="1:3">
      <c r="A19653" s="573" t="s">
        <v>1690</v>
      </c>
      <c r="B19653" s="574">
        <v>299</v>
      </c>
      <c r="C19653" s="574">
        <v>385</v>
      </c>
    </row>
    <row r="19654" spans="1:3">
      <c r="A19654" s="573" t="s">
        <v>1690</v>
      </c>
      <c r="B19654" s="574">
        <v>456</v>
      </c>
      <c r="C19654" s="574">
        <v>414</v>
      </c>
    </row>
    <row r="19655" spans="1:3">
      <c r="A19655" s="569" t="s">
        <v>1690</v>
      </c>
      <c r="B19655" s="570">
        <v>755</v>
      </c>
      <c r="C19655" s="570">
        <v>463</v>
      </c>
    </row>
    <row r="19656" spans="1:3">
      <c r="A19656" s="569" t="s">
        <v>1690</v>
      </c>
      <c r="B19656" s="570">
        <v>1437</v>
      </c>
      <c r="C19656" s="570">
        <v>486</v>
      </c>
    </row>
    <row r="19657" spans="1:3">
      <c r="A19657" s="569" t="s">
        <v>1690</v>
      </c>
      <c r="B19657" s="570">
        <v>1746</v>
      </c>
      <c r="C19657" s="570">
        <v>491</v>
      </c>
    </row>
    <row r="19658" spans="1:3">
      <c r="A19658" s="569" t="s">
        <v>1690</v>
      </c>
      <c r="B19658" s="570">
        <v>1746</v>
      </c>
      <c r="C19658" s="570">
        <v>491</v>
      </c>
    </row>
    <row r="19659" spans="1:3">
      <c r="A19659" s="571" t="s">
        <v>1689</v>
      </c>
      <c r="B19659" s="572">
        <v>6</v>
      </c>
      <c r="C19659" s="572">
        <v>21</v>
      </c>
    </row>
    <row r="19660" spans="1:3">
      <c r="A19660" s="571" t="s">
        <v>1689</v>
      </c>
      <c r="B19660" s="572">
        <v>13</v>
      </c>
      <c r="C19660" s="572">
        <v>64</v>
      </c>
    </row>
    <row r="19661" spans="1:3">
      <c r="A19661" s="571" t="s">
        <v>1689</v>
      </c>
      <c r="B19661" s="572">
        <v>20</v>
      </c>
      <c r="C19661" s="572">
        <v>92</v>
      </c>
    </row>
    <row r="19662" spans="1:3">
      <c r="A19662" s="571" t="s">
        <v>1689</v>
      </c>
      <c r="B19662" s="572">
        <v>29</v>
      </c>
      <c r="C19662" s="572">
        <v>115</v>
      </c>
    </row>
    <row r="19663" spans="1:3">
      <c r="A19663" s="571" t="s">
        <v>1689</v>
      </c>
      <c r="B19663" s="572">
        <v>64</v>
      </c>
      <c r="C19663" s="572">
        <v>183</v>
      </c>
    </row>
    <row r="19664" spans="1:3">
      <c r="A19664" s="571" t="s">
        <v>1689</v>
      </c>
      <c r="B19664" s="572">
        <v>89</v>
      </c>
      <c r="C19664" s="572">
        <v>222</v>
      </c>
    </row>
    <row r="19665" spans="1:3">
      <c r="A19665" s="573" t="s">
        <v>1689</v>
      </c>
      <c r="B19665" s="574">
        <v>127</v>
      </c>
      <c r="C19665" s="574">
        <v>255</v>
      </c>
    </row>
    <row r="19666" spans="1:3">
      <c r="A19666" s="573" t="s">
        <v>1689</v>
      </c>
      <c r="B19666" s="574">
        <v>185</v>
      </c>
      <c r="C19666" s="574">
        <v>299</v>
      </c>
    </row>
    <row r="19667" spans="1:3">
      <c r="A19667" s="573" t="s">
        <v>1689</v>
      </c>
      <c r="B19667" s="574">
        <v>226</v>
      </c>
      <c r="C19667" s="574">
        <v>315</v>
      </c>
    </row>
    <row r="19668" spans="1:3">
      <c r="A19668" s="573" t="s">
        <v>1689</v>
      </c>
      <c r="B19668" s="574">
        <v>299</v>
      </c>
      <c r="C19668" s="574">
        <v>344</v>
      </c>
    </row>
    <row r="19669" spans="1:3">
      <c r="A19669" s="573" t="s">
        <v>1689</v>
      </c>
      <c r="B19669" s="574">
        <v>456</v>
      </c>
      <c r="C19669" s="574">
        <v>354</v>
      </c>
    </row>
    <row r="19670" spans="1:3">
      <c r="A19670" s="569" t="s">
        <v>1689</v>
      </c>
      <c r="B19670" s="570">
        <v>755</v>
      </c>
      <c r="C19670" s="570">
        <v>420</v>
      </c>
    </row>
    <row r="19671" spans="1:3">
      <c r="A19671" s="569" t="s">
        <v>1689</v>
      </c>
      <c r="B19671" s="570">
        <v>810</v>
      </c>
      <c r="C19671" s="570">
        <v>429</v>
      </c>
    </row>
    <row r="19672" spans="1:3">
      <c r="A19672" s="569" t="s">
        <v>1689</v>
      </c>
      <c r="B19672" s="570">
        <v>1437</v>
      </c>
      <c r="C19672" s="570">
        <v>456</v>
      </c>
    </row>
    <row r="19673" spans="1:3">
      <c r="A19673" s="569" t="s">
        <v>1689</v>
      </c>
      <c r="B19673" s="570">
        <v>1746</v>
      </c>
      <c r="C19673" s="570">
        <v>467</v>
      </c>
    </row>
    <row r="19674" spans="1:3">
      <c r="A19674" s="569" t="s">
        <v>1689</v>
      </c>
      <c r="B19674" s="570">
        <v>1746</v>
      </c>
      <c r="C19674" s="570">
        <v>467</v>
      </c>
    </row>
    <row r="19675" spans="1:3">
      <c r="A19675" s="571" t="s">
        <v>1687</v>
      </c>
      <c r="B19675" s="572">
        <v>7</v>
      </c>
      <c r="C19675" s="572">
        <v>108</v>
      </c>
    </row>
    <row r="19676" spans="1:3">
      <c r="A19676" s="571" t="s">
        <v>1687</v>
      </c>
      <c r="B19676" s="572">
        <v>14</v>
      </c>
      <c r="C19676" s="572">
        <v>138</v>
      </c>
    </row>
    <row r="19677" spans="1:3">
      <c r="A19677" s="571" t="s">
        <v>1687</v>
      </c>
      <c r="B19677" s="572">
        <v>56</v>
      </c>
      <c r="C19677" s="572">
        <v>201</v>
      </c>
    </row>
    <row r="19678" spans="1:3">
      <c r="A19678" s="571" t="s">
        <v>1687</v>
      </c>
      <c r="B19678" s="572">
        <v>90</v>
      </c>
      <c r="C19678" s="572">
        <v>229</v>
      </c>
    </row>
    <row r="19679" spans="1:3">
      <c r="A19679" s="569" t="s">
        <v>1687</v>
      </c>
      <c r="B19679" s="570">
        <v>540</v>
      </c>
      <c r="C19679" s="570">
        <v>300</v>
      </c>
    </row>
    <row r="19680" spans="1:3">
      <c r="A19680" s="569" t="s">
        <v>1687</v>
      </c>
      <c r="B19680" s="570">
        <v>744</v>
      </c>
      <c r="C19680" s="570">
        <v>332</v>
      </c>
    </row>
    <row r="19681" spans="1:3">
      <c r="A19681" s="569" t="s">
        <v>1687</v>
      </c>
      <c r="B19681" s="570">
        <v>744</v>
      </c>
      <c r="C19681" s="570">
        <v>332</v>
      </c>
    </row>
    <row r="19682" spans="1:3">
      <c r="A19682" s="571" t="s">
        <v>1686</v>
      </c>
      <c r="B19682" s="572">
        <v>7</v>
      </c>
      <c r="C19682" s="572">
        <v>90</v>
      </c>
    </row>
    <row r="19683" spans="1:3">
      <c r="A19683" s="571" t="s">
        <v>1686</v>
      </c>
      <c r="B19683" s="572">
        <v>14</v>
      </c>
      <c r="C19683" s="572">
        <v>116</v>
      </c>
    </row>
    <row r="19684" spans="1:3">
      <c r="A19684" s="571" t="s">
        <v>1686</v>
      </c>
      <c r="B19684" s="572">
        <v>56</v>
      </c>
      <c r="C19684" s="572">
        <v>179</v>
      </c>
    </row>
    <row r="19685" spans="1:3">
      <c r="A19685" s="571" t="s">
        <v>1686</v>
      </c>
      <c r="B19685" s="572">
        <v>90</v>
      </c>
      <c r="C19685" s="572">
        <v>214</v>
      </c>
    </row>
    <row r="19686" spans="1:3">
      <c r="A19686" s="569" t="s">
        <v>1686</v>
      </c>
      <c r="B19686" s="570">
        <v>540</v>
      </c>
      <c r="C19686" s="570">
        <v>279</v>
      </c>
    </row>
    <row r="19687" spans="1:3">
      <c r="A19687" s="569" t="s">
        <v>1686</v>
      </c>
      <c r="B19687" s="570">
        <v>744</v>
      </c>
      <c r="C19687" s="570">
        <v>325</v>
      </c>
    </row>
    <row r="19688" spans="1:3">
      <c r="A19688" s="569" t="s">
        <v>1686</v>
      </c>
      <c r="B19688" s="570">
        <v>744</v>
      </c>
      <c r="C19688" s="570">
        <v>325</v>
      </c>
    </row>
    <row r="19689" spans="1:3">
      <c r="A19689" s="571" t="s">
        <v>1685</v>
      </c>
      <c r="B19689" s="572">
        <v>7</v>
      </c>
      <c r="C19689" s="572">
        <v>81</v>
      </c>
    </row>
    <row r="19690" spans="1:3">
      <c r="A19690" s="571" t="s">
        <v>1685</v>
      </c>
      <c r="B19690" s="572">
        <v>14</v>
      </c>
      <c r="C19690" s="572">
        <v>107</v>
      </c>
    </row>
    <row r="19691" spans="1:3">
      <c r="A19691" s="571" t="s">
        <v>1685</v>
      </c>
      <c r="B19691" s="572">
        <v>56</v>
      </c>
      <c r="C19691" s="572">
        <v>145</v>
      </c>
    </row>
    <row r="19692" spans="1:3">
      <c r="A19692" s="571" t="s">
        <v>1685</v>
      </c>
      <c r="B19692" s="572">
        <v>90</v>
      </c>
      <c r="C19692" s="572">
        <v>182</v>
      </c>
    </row>
    <row r="19693" spans="1:3">
      <c r="A19693" s="569" t="s">
        <v>1685</v>
      </c>
      <c r="B19693" s="570">
        <v>540</v>
      </c>
      <c r="C19693" s="570">
        <v>201</v>
      </c>
    </row>
    <row r="19694" spans="1:3">
      <c r="A19694" s="569" t="s">
        <v>1685</v>
      </c>
      <c r="B19694" s="570">
        <v>744</v>
      </c>
      <c r="C19694" s="570">
        <v>227</v>
      </c>
    </row>
    <row r="19695" spans="1:3">
      <c r="A19695" s="569" t="s">
        <v>1685</v>
      </c>
      <c r="B19695" s="570">
        <v>744</v>
      </c>
      <c r="C19695" s="570">
        <v>227</v>
      </c>
    </row>
    <row r="19696" spans="1:3">
      <c r="A19696" s="571" t="s">
        <v>1684</v>
      </c>
      <c r="B19696" s="572">
        <v>7</v>
      </c>
      <c r="C19696" s="572">
        <v>16</v>
      </c>
    </row>
    <row r="19697" spans="1:3">
      <c r="A19697" s="571" t="s">
        <v>1684</v>
      </c>
      <c r="B19697" s="572">
        <v>14</v>
      </c>
      <c r="C19697" s="572">
        <v>21</v>
      </c>
    </row>
    <row r="19698" spans="1:3">
      <c r="A19698" s="571" t="s">
        <v>1684</v>
      </c>
      <c r="B19698" s="572">
        <v>56</v>
      </c>
      <c r="C19698" s="572">
        <v>48</v>
      </c>
    </row>
    <row r="19699" spans="1:3">
      <c r="A19699" s="571" t="s">
        <v>1684</v>
      </c>
      <c r="B19699" s="572">
        <v>90</v>
      </c>
      <c r="C19699" s="572">
        <v>45</v>
      </c>
    </row>
    <row r="19700" spans="1:3">
      <c r="A19700" s="569" t="s">
        <v>1684</v>
      </c>
      <c r="B19700" s="570">
        <v>540</v>
      </c>
      <c r="C19700" s="570">
        <v>45</v>
      </c>
    </row>
    <row r="19701" spans="1:3">
      <c r="A19701" s="569" t="s">
        <v>1684</v>
      </c>
      <c r="B19701" s="570">
        <v>744</v>
      </c>
      <c r="C19701" s="570">
        <v>39</v>
      </c>
    </row>
    <row r="19702" spans="1:3">
      <c r="A19702" s="569" t="s">
        <v>1684</v>
      </c>
      <c r="B19702" s="570">
        <v>744</v>
      </c>
      <c r="C19702" s="570">
        <v>39</v>
      </c>
    </row>
    <row r="19703" spans="1:3">
      <c r="A19703" s="571" t="s">
        <v>1683</v>
      </c>
      <c r="B19703" s="572">
        <v>1</v>
      </c>
      <c r="C19703" s="572">
        <v>30</v>
      </c>
    </row>
    <row r="19704" spans="1:3">
      <c r="A19704" s="571" t="s">
        <v>1683</v>
      </c>
      <c r="B19704" s="572">
        <v>2</v>
      </c>
      <c r="C19704" s="572">
        <v>80</v>
      </c>
    </row>
    <row r="19705" spans="1:3">
      <c r="A19705" s="571" t="s">
        <v>1683</v>
      </c>
      <c r="B19705" s="572">
        <v>4</v>
      </c>
      <c r="C19705" s="572">
        <v>141</v>
      </c>
    </row>
    <row r="19706" spans="1:3">
      <c r="A19706" s="571" t="s">
        <v>1683</v>
      </c>
      <c r="B19706" s="572">
        <v>7</v>
      </c>
      <c r="C19706" s="572">
        <v>180</v>
      </c>
    </row>
    <row r="19707" spans="1:3">
      <c r="A19707" s="571" t="s">
        <v>1683</v>
      </c>
      <c r="B19707" s="572">
        <v>9</v>
      </c>
      <c r="C19707" s="572">
        <v>210</v>
      </c>
    </row>
    <row r="19708" spans="1:3">
      <c r="A19708" s="571" t="s">
        <v>1683</v>
      </c>
      <c r="B19708" s="572">
        <v>10</v>
      </c>
      <c r="C19708" s="572">
        <v>221</v>
      </c>
    </row>
    <row r="19709" spans="1:3">
      <c r="A19709" s="571" t="s">
        <v>1683</v>
      </c>
      <c r="B19709" s="572">
        <v>13</v>
      </c>
      <c r="C19709" s="572">
        <v>251</v>
      </c>
    </row>
    <row r="19710" spans="1:3">
      <c r="A19710" s="571" t="s">
        <v>1683</v>
      </c>
      <c r="B19710" s="572">
        <v>21</v>
      </c>
      <c r="C19710" s="572">
        <v>252</v>
      </c>
    </row>
    <row r="19711" spans="1:3">
      <c r="A19711" s="571" t="s">
        <v>1683</v>
      </c>
      <c r="B19711" s="572">
        <v>28</v>
      </c>
      <c r="C19711" s="572">
        <v>311</v>
      </c>
    </row>
    <row r="19712" spans="1:3">
      <c r="A19712" s="571" t="s">
        <v>1683</v>
      </c>
      <c r="B19712" s="572">
        <v>35</v>
      </c>
      <c r="C19712" s="572">
        <v>351</v>
      </c>
    </row>
    <row r="19713" spans="1:3">
      <c r="A19713" s="571" t="s">
        <v>1683</v>
      </c>
      <c r="B19713" s="572">
        <v>42</v>
      </c>
      <c r="C19713" s="572">
        <v>361</v>
      </c>
    </row>
    <row r="19714" spans="1:3">
      <c r="A19714" s="571" t="s">
        <v>1683</v>
      </c>
      <c r="B19714" s="572">
        <v>50</v>
      </c>
      <c r="C19714" s="572">
        <v>402</v>
      </c>
    </row>
    <row r="19715" spans="1:3">
      <c r="A19715" s="571" t="s">
        <v>1683</v>
      </c>
      <c r="B19715" s="572">
        <v>56</v>
      </c>
      <c r="C19715" s="572">
        <v>391</v>
      </c>
    </row>
    <row r="19716" spans="1:3">
      <c r="A19716" s="571" t="s">
        <v>1683</v>
      </c>
      <c r="B19716" s="572">
        <v>68</v>
      </c>
      <c r="C19716" s="572">
        <v>411</v>
      </c>
    </row>
    <row r="19717" spans="1:3">
      <c r="A19717" s="571" t="s">
        <v>1683</v>
      </c>
      <c r="B19717" s="572">
        <v>84</v>
      </c>
      <c r="C19717" s="572">
        <v>422</v>
      </c>
    </row>
    <row r="19718" spans="1:3">
      <c r="A19718" s="571" t="s">
        <v>1683</v>
      </c>
      <c r="B19718" s="572">
        <v>98</v>
      </c>
      <c r="C19718" s="572">
        <v>450</v>
      </c>
    </row>
    <row r="19719" spans="1:3">
      <c r="A19719" s="573" t="s">
        <v>1683</v>
      </c>
      <c r="B19719" s="574">
        <v>100</v>
      </c>
      <c r="C19719" s="574">
        <v>432</v>
      </c>
    </row>
    <row r="19720" spans="1:3">
      <c r="A19720" s="573" t="s">
        <v>1683</v>
      </c>
      <c r="B19720" s="574">
        <v>130</v>
      </c>
      <c r="C19720" s="574">
        <v>430</v>
      </c>
    </row>
    <row r="19721" spans="1:3">
      <c r="A19721" s="573" t="s">
        <v>1683</v>
      </c>
      <c r="B19721" s="574">
        <v>157</v>
      </c>
      <c r="C19721" s="574">
        <v>454</v>
      </c>
    </row>
    <row r="19722" spans="1:3">
      <c r="A19722" s="573" t="s">
        <v>1683</v>
      </c>
      <c r="B19722" s="574">
        <v>157</v>
      </c>
      <c r="C19722" s="574">
        <v>454</v>
      </c>
    </row>
    <row r="19723" spans="1:3">
      <c r="A19723" s="571" t="s">
        <v>1682</v>
      </c>
      <c r="B19723" s="572">
        <v>1</v>
      </c>
      <c r="C19723" s="572">
        <v>30</v>
      </c>
    </row>
    <row r="19724" spans="1:3">
      <c r="A19724" s="571" t="s">
        <v>1682</v>
      </c>
      <c r="B19724" s="572">
        <v>2</v>
      </c>
      <c r="C19724" s="572">
        <v>71</v>
      </c>
    </row>
    <row r="19725" spans="1:3">
      <c r="A19725" s="571" t="s">
        <v>1682</v>
      </c>
      <c r="B19725" s="572">
        <v>4</v>
      </c>
      <c r="C19725" s="572">
        <v>112</v>
      </c>
    </row>
    <row r="19726" spans="1:3">
      <c r="A19726" s="571" t="s">
        <v>1682</v>
      </c>
      <c r="B19726" s="572">
        <v>7</v>
      </c>
      <c r="C19726" s="572">
        <v>152</v>
      </c>
    </row>
    <row r="19727" spans="1:3">
      <c r="A19727" s="571" t="s">
        <v>1682</v>
      </c>
      <c r="B19727" s="572">
        <v>9</v>
      </c>
      <c r="C19727" s="572">
        <v>191</v>
      </c>
    </row>
    <row r="19728" spans="1:3">
      <c r="A19728" s="571" t="s">
        <v>1682</v>
      </c>
      <c r="B19728" s="572">
        <v>10</v>
      </c>
      <c r="C19728" s="572">
        <v>200</v>
      </c>
    </row>
    <row r="19729" spans="1:3">
      <c r="A19729" s="571" t="s">
        <v>1682</v>
      </c>
      <c r="B19729" s="572">
        <v>13</v>
      </c>
      <c r="C19729" s="572">
        <v>220</v>
      </c>
    </row>
    <row r="19730" spans="1:3">
      <c r="A19730" s="571" t="s">
        <v>1682</v>
      </c>
      <c r="B19730" s="572">
        <v>21</v>
      </c>
      <c r="C19730" s="572">
        <v>231</v>
      </c>
    </row>
    <row r="19731" spans="1:3">
      <c r="A19731" s="571" t="s">
        <v>1682</v>
      </c>
      <c r="B19731" s="572">
        <v>28</v>
      </c>
      <c r="C19731" s="572">
        <v>281</v>
      </c>
    </row>
    <row r="19732" spans="1:3">
      <c r="A19732" s="571" t="s">
        <v>1682</v>
      </c>
      <c r="B19732" s="572">
        <v>35</v>
      </c>
      <c r="C19732" s="572">
        <v>322</v>
      </c>
    </row>
    <row r="19733" spans="1:3">
      <c r="A19733" s="571" t="s">
        <v>1682</v>
      </c>
      <c r="B19733" s="572">
        <v>42</v>
      </c>
      <c r="C19733" s="572">
        <v>332</v>
      </c>
    </row>
    <row r="19734" spans="1:3">
      <c r="A19734" s="571" t="s">
        <v>1682</v>
      </c>
      <c r="B19734" s="572">
        <v>60</v>
      </c>
      <c r="C19734" s="572">
        <v>363</v>
      </c>
    </row>
    <row r="19735" spans="1:3">
      <c r="A19735" s="571" t="s">
        <v>1682</v>
      </c>
      <c r="B19735" s="572">
        <v>66</v>
      </c>
      <c r="C19735" s="572">
        <v>373</v>
      </c>
    </row>
    <row r="19736" spans="1:3">
      <c r="A19736" s="571" t="s">
        <v>1682</v>
      </c>
      <c r="B19736" s="572">
        <v>70</v>
      </c>
      <c r="C19736" s="572">
        <v>402</v>
      </c>
    </row>
    <row r="19737" spans="1:3">
      <c r="A19737" s="571" t="s">
        <v>1682</v>
      </c>
      <c r="B19737" s="572">
        <v>84</v>
      </c>
      <c r="C19737" s="572">
        <v>402</v>
      </c>
    </row>
    <row r="19738" spans="1:3">
      <c r="A19738" s="571" t="s">
        <v>1682</v>
      </c>
      <c r="B19738" s="572">
        <v>98</v>
      </c>
      <c r="C19738" s="572">
        <v>431</v>
      </c>
    </row>
    <row r="19739" spans="1:3">
      <c r="A19739" s="573" t="s">
        <v>1682</v>
      </c>
      <c r="B19739" s="574">
        <v>100</v>
      </c>
      <c r="C19739" s="574">
        <v>422</v>
      </c>
    </row>
    <row r="19740" spans="1:3">
      <c r="A19740" s="573" t="s">
        <v>1682</v>
      </c>
      <c r="B19740" s="574">
        <v>130</v>
      </c>
      <c r="C19740" s="574">
        <v>440</v>
      </c>
    </row>
    <row r="19741" spans="1:3">
      <c r="A19741" s="573" t="s">
        <v>1682</v>
      </c>
      <c r="B19741" s="574">
        <v>157</v>
      </c>
      <c r="C19741" s="574">
        <v>462</v>
      </c>
    </row>
    <row r="19742" spans="1:3">
      <c r="A19742" s="573" t="s">
        <v>1682</v>
      </c>
      <c r="B19742" s="574">
        <v>157</v>
      </c>
      <c r="C19742" s="574">
        <v>462</v>
      </c>
    </row>
    <row r="19743" spans="1:3">
      <c r="A19743" s="571" t="s">
        <v>1681</v>
      </c>
      <c r="B19743" s="572">
        <v>1</v>
      </c>
      <c r="C19743" s="572">
        <v>10</v>
      </c>
    </row>
    <row r="19744" spans="1:3">
      <c r="A19744" s="571" t="s">
        <v>1681</v>
      </c>
      <c r="B19744" s="572">
        <v>2</v>
      </c>
      <c r="C19744" s="572">
        <v>49</v>
      </c>
    </row>
    <row r="19745" spans="1:3">
      <c r="A19745" s="571" t="s">
        <v>1681</v>
      </c>
      <c r="B19745" s="572">
        <v>4</v>
      </c>
      <c r="C19745" s="572">
        <v>69</v>
      </c>
    </row>
    <row r="19746" spans="1:3">
      <c r="A19746" s="571" t="s">
        <v>1681</v>
      </c>
      <c r="B19746" s="572">
        <v>7</v>
      </c>
      <c r="C19746" s="572">
        <v>110</v>
      </c>
    </row>
    <row r="19747" spans="1:3">
      <c r="A19747" s="571" t="s">
        <v>1681</v>
      </c>
      <c r="B19747" s="572">
        <v>8</v>
      </c>
      <c r="C19747" s="572">
        <v>121</v>
      </c>
    </row>
    <row r="19748" spans="1:3">
      <c r="A19748" s="571" t="s">
        <v>1681</v>
      </c>
      <c r="B19748" s="572">
        <v>10</v>
      </c>
      <c r="C19748" s="572">
        <v>132</v>
      </c>
    </row>
    <row r="19749" spans="1:3">
      <c r="A19749" s="571" t="s">
        <v>1681</v>
      </c>
      <c r="B19749" s="572">
        <v>12</v>
      </c>
      <c r="C19749" s="572">
        <v>150</v>
      </c>
    </row>
    <row r="19750" spans="1:3">
      <c r="A19750" s="571" t="s">
        <v>1681</v>
      </c>
      <c r="B19750" s="572">
        <v>21</v>
      </c>
      <c r="C19750" s="572">
        <v>161</v>
      </c>
    </row>
    <row r="19751" spans="1:3">
      <c r="A19751" s="571" t="s">
        <v>1681</v>
      </c>
      <c r="B19751" s="572">
        <v>28</v>
      </c>
      <c r="C19751" s="572">
        <v>211</v>
      </c>
    </row>
    <row r="19752" spans="1:3">
      <c r="A19752" s="571" t="s">
        <v>1681</v>
      </c>
      <c r="B19752" s="572">
        <v>35</v>
      </c>
      <c r="C19752" s="572">
        <v>242</v>
      </c>
    </row>
    <row r="19753" spans="1:3">
      <c r="A19753" s="571" t="s">
        <v>1681</v>
      </c>
      <c r="B19753" s="572">
        <v>42</v>
      </c>
      <c r="C19753" s="572">
        <v>261</v>
      </c>
    </row>
    <row r="19754" spans="1:3">
      <c r="A19754" s="571" t="s">
        <v>1681</v>
      </c>
      <c r="B19754" s="572">
        <v>50</v>
      </c>
      <c r="C19754" s="572">
        <v>293</v>
      </c>
    </row>
    <row r="19755" spans="1:3">
      <c r="A19755" s="571" t="s">
        <v>1681</v>
      </c>
      <c r="B19755" s="572">
        <v>56</v>
      </c>
      <c r="C19755" s="572">
        <v>311</v>
      </c>
    </row>
    <row r="19756" spans="1:3">
      <c r="A19756" s="571" t="s">
        <v>1681</v>
      </c>
      <c r="B19756" s="572">
        <v>68</v>
      </c>
      <c r="C19756" s="572">
        <v>332</v>
      </c>
    </row>
    <row r="19757" spans="1:3">
      <c r="A19757" s="571" t="s">
        <v>1681</v>
      </c>
      <c r="B19757" s="572">
        <v>84</v>
      </c>
      <c r="C19757" s="572">
        <v>352</v>
      </c>
    </row>
    <row r="19758" spans="1:3">
      <c r="A19758" s="571" t="s">
        <v>1681</v>
      </c>
      <c r="B19758" s="572">
        <v>98</v>
      </c>
      <c r="C19758" s="572">
        <v>340</v>
      </c>
    </row>
    <row r="19759" spans="1:3">
      <c r="A19759" s="573" t="s">
        <v>1681</v>
      </c>
      <c r="B19759" s="574">
        <v>100</v>
      </c>
      <c r="C19759" s="574">
        <v>349</v>
      </c>
    </row>
    <row r="19760" spans="1:3">
      <c r="A19760" s="573" t="s">
        <v>1681</v>
      </c>
      <c r="B19760" s="574">
        <v>130</v>
      </c>
      <c r="C19760" s="574">
        <v>381</v>
      </c>
    </row>
    <row r="19761" spans="1:3">
      <c r="A19761" s="573" t="s">
        <v>1681</v>
      </c>
      <c r="B19761" s="574">
        <v>157</v>
      </c>
      <c r="C19761" s="574">
        <v>419</v>
      </c>
    </row>
    <row r="19762" spans="1:3">
      <c r="A19762" s="573" t="s">
        <v>1681</v>
      </c>
      <c r="B19762" s="574">
        <v>157</v>
      </c>
      <c r="C19762" s="574">
        <v>419</v>
      </c>
    </row>
    <row r="19763" spans="1:3">
      <c r="A19763" s="571" t="s">
        <v>1680</v>
      </c>
      <c r="B19763" s="572">
        <v>1</v>
      </c>
      <c r="C19763" s="572">
        <v>28</v>
      </c>
    </row>
    <row r="19764" spans="1:3">
      <c r="A19764" s="571" t="s">
        <v>1680</v>
      </c>
      <c r="B19764" s="572">
        <v>2</v>
      </c>
      <c r="C19764" s="572">
        <v>78</v>
      </c>
    </row>
    <row r="19765" spans="1:3">
      <c r="A19765" s="571" t="s">
        <v>1680</v>
      </c>
      <c r="B19765" s="572">
        <v>4</v>
      </c>
      <c r="C19765" s="572">
        <v>119</v>
      </c>
    </row>
    <row r="19766" spans="1:3">
      <c r="A19766" s="571" t="s">
        <v>1680</v>
      </c>
      <c r="B19766" s="572">
        <v>7</v>
      </c>
      <c r="C19766" s="572">
        <v>189</v>
      </c>
    </row>
    <row r="19767" spans="1:3">
      <c r="A19767" s="571" t="s">
        <v>1680</v>
      </c>
      <c r="B19767" s="572">
        <v>10</v>
      </c>
      <c r="C19767" s="572">
        <v>249</v>
      </c>
    </row>
    <row r="19768" spans="1:3">
      <c r="A19768" s="571" t="s">
        <v>1680</v>
      </c>
      <c r="B19768" s="572">
        <v>13</v>
      </c>
      <c r="C19768" s="572">
        <v>267</v>
      </c>
    </row>
    <row r="19769" spans="1:3">
      <c r="A19769" s="571" t="s">
        <v>1680</v>
      </c>
      <c r="B19769" s="572">
        <v>15</v>
      </c>
      <c r="C19769" s="572">
        <v>287</v>
      </c>
    </row>
    <row r="19770" spans="1:3">
      <c r="A19770" s="571" t="s">
        <v>1680</v>
      </c>
      <c r="B19770" s="572">
        <v>21</v>
      </c>
      <c r="C19770" s="572">
        <v>300</v>
      </c>
    </row>
    <row r="19771" spans="1:3">
      <c r="A19771" s="571" t="s">
        <v>1680</v>
      </c>
      <c r="B19771" s="572">
        <v>28</v>
      </c>
      <c r="C19771" s="572">
        <v>338</v>
      </c>
    </row>
    <row r="19772" spans="1:3">
      <c r="A19772" s="571" t="s">
        <v>1680</v>
      </c>
      <c r="B19772" s="572">
        <v>35</v>
      </c>
      <c r="C19772" s="572">
        <v>379</v>
      </c>
    </row>
    <row r="19773" spans="1:3">
      <c r="A19773" s="571" t="s">
        <v>1680</v>
      </c>
      <c r="B19773" s="572">
        <v>42</v>
      </c>
      <c r="C19773" s="572">
        <v>400</v>
      </c>
    </row>
    <row r="19774" spans="1:3">
      <c r="A19774" s="571" t="s">
        <v>1680</v>
      </c>
      <c r="B19774" s="572">
        <v>50</v>
      </c>
      <c r="C19774" s="572">
        <v>407</v>
      </c>
    </row>
    <row r="19775" spans="1:3">
      <c r="A19775" s="571" t="s">
        <v>1680</v>
      </c>
      <c r="B19775" s="572">
        <v>56</v>
      </c>
      <c r="C19775" s="572">
        <v>426</v>
      </c>
    </row>
    <row r="19776" spans="1:3">
      <c r="A19776" s="571" t="s">
        <v>1680</v>
      </c>
      <c r="B19776" s="572">
        <v>69</v>
      </c>
      <c r="C19776" s="572">
        <v>447</v>
      </c>
    </row>
    <row r="19777" spans="1:3">
      <c r="A19777" s="571" t="s">
        <v>1680</v>
      </c>
      <c r="B19777" s="572">
        <v>84</v>
      </c>
      <c r="C19777" s="572">
        <v>452</v>
      </c>
    </row>
    <row r="19778" spans="1:3">
      <c r="A19778" s="571" t="s">
        <v>1680</v>
      </c>
      <c r="B19778" s="572">
        <v>98</v>
      </c>
      <c r="C19778" s="572">
        <v>468</v>
      </c>
    </row>
    <row r="19779" spans="1:3">
      <c r="A19779" s="573" t="s">
        <v>1680</v>
      </c>
      <c r="B19779" s="574">
        <v>100</v>
      </c>
      <c r="C19779" s="574">
        <v>468</v>
      </c>
    </row>
    <row r="19780" spans="1:3">
      <c r="A19780" s="573" t="s">
        <v>1680</v>
      </c>
      <c r="B19780" s="574">
        <v>130</v>
      </c>
      <c r="C19780" s="574">
        <v>493</v>
      </c>
    </row>
    <row r="19781" spans="1:3">
      <c r="A19781" s="573" t="s">
        <v>1680</v>
      </c>
      <c r="B19781" s="574">
        <v>157</v>
      </c>
      <c r="C19781" s="574">
        <v>500</v>
      </c>
    </row>
    <row r="19782" spans="1:3">
      <c r="A19782" s="573" t="s">
        <v>1680</v>
      </c>
      <c r="B19782" s="574">
        <v>157</v>
      </c>
      <c r="C19782" s="574">
        <v>500</v>
      </c>
    </row>
    <row r="19783" spans="1:3">
      <c r="A19783" s="571" t="s">
        <v>1679</v>
      </c>
      <c r="B19783" s="572">
        <v>2</v>
      </c>
      <c r="C19783" s="572">
        <v>29</v>
      </c>
    </row>
    <row r="19784" spans="1:3">
      <c r="A19784" s="571" t="s">
        <v>1679</v>
      </c>
      <c r="B19784" s="572">
        <v>3</v>
      </c>
      <c r="C19784" s="572">
        <v>100</v>
      </c>
    </row>
    <row r="19785" spans="1:3">
      <c r="A19785" s="571" t="s">
        <v>1679</v>
      </c>
      <c r="B19785" s="572">
        <v>6</v>
      </c>
      <c r="C19785" s="572">
        <v>138</v>
      </c>
    </row>
    <row r="19786" spans="1:3">
      <c r="A19786" s="571" t="s">
        <v>1679</v>
      </c>
      <c r="B19786" s="572">
        <v>9</v>
      </c>
      <c r="C19786" s="572">
        <v>168</v>
      </c>
    </row>
    <row r="19787" spans="1:3">
      <c r="A19787" s="571" t="s">
        <v>1679</v>
      </c>
      <c r="B19787" s="572">
        <v>10</v>
      </c>
      <c r="C19787" s="572">
        <v>168</v>
      </c>
    </row>
    <row r="19788" spans="1:3">
      <c r="A19788" s="571" t="s">
        <v>1679</v>
      </c>
      <c r="B19788" s="572">
        <v>13</v>
      </c>
      <c r="C19788" s="572">
        <v>208</v>
      </c>
    </row>
    <row r="19789" spans="1:3">
      <c r="A19789" s="571" t="s">
        <v>1679</v>
      </c>
      <c r="B19789" s="572">
        <v>15</v>
      </c>
      <c r="C19789" s="572">
        <v>209</v>
      </c>
    </row>
    <row r="19790" spans="1:3">
      <c r="A19790" s="571" t="s">
        <v>1679</v>
      </c>
      <c r="B19790" s="572">
        <v>21</v>
      </c>
      <c r="C19790" s="572">
        <v>239</v>
      </c>
    </row>
    <row r="19791" spans="1:3">
      <c r="A19791" s="571" t="s">
        <v>1679</v>
      </c>
      <c r="B19791" s="572">
        <v>28</v>
      </c>
      <c r="C19791" s="572">
        <v>269</v>
      </c>
    </row>
    <row r="19792" spans="1:3">
      <c r="A19792" s="571" t="s">
        <v>1679</v>
      </c>
      <c r="B19792" s="572">
        <v>35</v>
      </c>
      <c r="C19792" s="572">
        <v>300</v>
      </c>
    </row>
    <row r="19793" spans="1:3">
      <c r="A19793" s="571" t="s">
        <v>1679</v>
      </c>
      <c r="B19793" s="572">
        <v>42</v>
      </c>
      <c r="C19793" s="572">
        <v>330</v>
      </c>
    </row>
    <row r="19794" spans="1:3">
      <c r="A19794" s="571" t="s">
        <v>1679</v>
      </c>
      <c r="B19794" s="572">
        <v>50</v>
      </c>
      <c r="C19794" s="572">
        <v>330</v>
      </c>
    </row>
    <row r="19795" spans="1:3">
      <c r="A19795" s="571" t="s">
        <v>1679</v>
      </c>
      <c r="B19795" s="572">
        <v>56</v>
      </c>
      <c r="C19795" s="572">
        <v>349</v>
      </c>
    </row>
    <row r="19796" spans="1:3">
      <c r="A19796" s="571" t="s">
        <v>1679</v>
      </c>
      <c r="B19796" s="572">
        <v>68</v>
      </c>
      <c r="C19796" s="572">
        <v>379</v>
      </c>
    </row>
    <row r="19797" spans="1:3">
      <c r="A19797" s="571" t="s">
        <v>1679</v>
      </c>
      <c r="B19797" s="572">
        <v>84</v>
      </c>
      <c r="C19797" s="572">
        <v>389</v>
      </c>
    </row>
    <row r="19798" spans="1:3">
      <c r="A19798" s="571" t="s">
        <v>1679</v>
      </c>
      <c r="B19798" s="572">
        <v>98</v>
      </c>
      <c r="C19798" s="572">
        <v>409</v>
      </c>
    </row>
    <row r="19799" spans="1:3">
      <c r="A19799" s="573" t="s">
        <v>1679</v>
      </c>
      <c r="B19799" s="574">
        <v>100</v>
      </c>
      <c r="C19799" s="574">
        <v>400</v>
      </c>
    </row>
    <row r="19800" spans="1:3">
      <c r="A19800" s="573" t="s">
        <v>1679</v>
      </c>
      <c r="B19800" s="574">
        <v>130</v>
      </c>
      <c r="C19800" s="574">
        <v>417</v>
      </c>
    </row>
    <row r="19801" spans="1:3">
      <c r="A19801" s="573" t="s">
        <v>1679</v>
      </c>
      <c r="B19801" s="574">
        <v>157</v>
      </c>
      <c r="C19801" s="574">
        <v>438</v>
      </c>
    </row>
    <row r="19802" spans="1:3">
      <c r="A19802" s="573" t="s">
        <v>1679</v>
      </c>
      <c r="B19802" s="574">
        <v>157</v>
      </c>
      <c r="C19802" s="574">
        <v>438</v>
      </c>
    </row>
    <row r="19803" spans="1:3">
      <c r="A19803" s="571" t="s">
        <v>1678</v>
      </c>
      <c r="B19803" s="572">
        <v>1</v>
      </c>
      <c r="C19803" s="572">
        <v>7</v>
      </c>
    </row>
    <row r="19804" spans="1:3">
      <c r="A19804" s="571" t="s">
        <v>1678</v>
      </c>
      <c r="B19804" s="572">
        <v>2</v>
      </c>
      <c r="C19804" s="572">
        <v>38</v>
      </c>
    </row>
    <row r="19805" spans="1:3">
      <c r="A19805" s="571" t="s">
        <v>1678</v>
      </c>
      <c r="B19805" s="572">
        <v>6</v>
      </c>
      <c r="C19805" s="572">
        <v>90</v>
      </c>
    </row>
    <row r="19806" spans="1:3">
      <c r="A19806" s="571" t="s">
        <v>1678</v>
      </c>
      <c r="B19806" s="572">
        <v>9</v>
      </c>
      <c r="C19806" s="572">
        <v>128</v>
      </c>
    </row>
    <row r="19807" spans="1:3">
      <c r="A19807" s="571" t="s">
        <v>1678</v>
      </c>
      <c r="B19807" s="572">
        <v>10</v>
      </c>
      <c r="C19807" s="572">
        <v>119</v>
      </c>
    </row>
    <row r="19808" spans="1:3">
      <c r="A19808" s="571" t="s">
        <v>1678</v>
      </c>
      <c r="B19808" s="572">
        <v>13</v>
      </c>
      <c r="C19808" s="572">
        <v>148</v>
      </c>
    </row>
    <row r="19809" spans="1:3">
      <c r="A19809" s="571" t="s">
        <v>1678</v>
      </c>
      <c r="B19809" s="572">
        <v>15</v>
      </c>
      <c r="C19809" s="572">
        <v>168</v>
      </c>
    </row>
    <row r="19810" spans="1:3">
      <c r="A19810" s="571" t="s">
        <v>1678</v>
      </c>
      <c r="B19810" s="572">
        <v>21</v>
      </c>
      <c r="C19810" s="572">
        <v>167</v>
      </c>
    </row>
    <row r="19811" spans="1:3">
      <c r="A19811" s="571" t="s">
        <v>1678</v>
      </c>
      <c r="B19811" s="572">
        <v>28</v>
      </c>
      <c r="C19811" s="572">
        <v>220</v>
      </c>
    </row>
    <row r="19812" spans="1:3">
      <c r="A19812" s="571" t="s">
        <v>1678</v>
      </c>
      <c r="B19812" s="572">
        <v>35</v>
      </c>
      <c r="C19812" s="572">
        <v>249</v>
      </c>
    </row>
    <row r="19813" spans="1:3">
      <c r="A19813" s="571" t="s">
        <v>1678</v>
      </c>
      <c r="B19813" s="572">
        <v>42</v>
      </c>
      <c r="C19813" s="572">
        <v>279</v>
      </c>
    </row>
    <row r="19814" spans="1:3">
      <c r="A19814" s="571" t="s">
        <v>1678</v>
      </c>
      <c r="B19814" s="572">
        <v>50</v>
      </c>
      <c r="C19814" s="572">
        <v>300</v>
      </c>
    </row>
    <row r="19815" spans="1:3">
      <c r="A19815" s="571" t="s">
        <v>1678</v>
      </c>
      <c r="B19815" s="572">
        <v>56</v>
      </c>
      <c r="C19815" s="572">
        <v>318</v>
      </c>
    </row>
    <row r="19816" spans="1:3">
      <c r="A19816" s="571" t="s">
        <v>1678</v>
      </c>
      <c r="B19816" s="572">
        <v>68</v>
      </c>
      <c r="C19816" s="572">
        <v>361</v>
      </c>
    </row>
    <row r="19817" spans="1:3">
      <c r="A19817" s="571" t="s">
        <v>1678</v>
      </c>
      <c r="B19817" s="572">
        <v>84</v>
      </c>
      <c r="C19817" s="572">
        <v>376</v>
      </c>
    </row>
    <row r="19818" spans="1:3">
      <c r="A19818" s="571" t="s">
        <v>1678</v>
      </c>
      <c r="B19818" s="572">
        <v>98</v>
      </c>
      <c r="C19818" s="572">
        <v>400</v>
      </c>
    </row>
    <row r="19819" spans="1:3">
      <c r="A19819" s="573" t="s">
        <v>1678</v>
      </c>
      <c r="B19819" s="574">
        <v>100</v>
      </c>
      <c r="C19819" s="574">
        <v>409</v>
      </c>
    </row>
    <row r="19820" spans="1:3">
      <c r="A19820" s="573" t="s">
        <v>1678</v>
      </c>
      <c r="B19820" s="574">
        <v>130</v>
      </c>
      <c r="C19820" s="574">
        <v>429</v>
      </c>
    </row>
    <row r="19821" spans="1:3">
      <c r="A19821" s="573" t="s">
        <v>1678</v>
      </c>
      <c r="B19821" s="574">
        <v>157</v>
      </c>
      <c r="C19821" s="574">
        <v>448</v>
      </c>
    </row>
    <row r="19822" spans="1:3">
      <c r="A19822" s="573" t="s">
        <v>1678</v>
      </c>
      <c r="B19822" s="574">
        <v>157</v>
      </c>
      <c r="C19822" s="574">
        <v>448</v>
      </c>
    </row>
    <row r="19823" spans="1:3">
      <c r="A19823" s="571" t="s">
        <v>1677</v>
      </c>
      <c r="B19823" s="572">
        <v>1</v>
      </c>
      <c r="C19823" s="572">
        <v>30</v>
      </c>
    </row>
    <row r="19824" spans="1:3">
      <c r="A19824" s="571" t="s">
        <v>1677</v>
      </c>
      <c r="B19824" s="572">
        <v>2</v>
      </c>
      <c r="C19824" s="572">
        <v>40</v>
      </c>
    </row>
    <row r="19825" spans="1:3">
      <c r="A19825" s="571" t="s">
        <v>1677</v>
      </c>
      <c r="B19825" s="572">
        <v>3</v>
      </c>
      <c r="C19825" s="572">
        <v>50</v>
      </c>
    </row>
    <row r="19826" spans="1:3">
      <c r="A19826" s="571" t="s">
        <v>1677</v>
      </c>
      <c r="B19826" s="572">
        <v>4</v>
      </c>
      <c r="C19826" s="572">
        <v>71</v>
      </c>
    </row>
    <row r="19827" spans="1:3">
      <c r="A19827" s="571" t="s">
        <v>1677</v>
      </c>
      <c r="B19827" s="572">
        <v>6</v>
      </c>
      <c r="C19827" s="572">
        <v>92</v>
      </c>
    </row>
    <row r="19828" spans="1:3">
      <c r="A19828" s="571" t="s">
        <v>1677</v>
      </c>
      <c r="B19828" s="572">
        <v>7</v>
      </c>
      <c r="C19828" s="572">
        <v>111</v>
      </c>
    </row>
    <row r="19829" spans="1:3">
      <c r="A19829" s="571" t="s">
        <v>1677</v>
      </c>
      <c r="B19829" s="572">
        <v>8</v>
      </c>
      <c r="C19829" s="572">
        <v>133</v>
      </c>
    </row>
    <row r="19830" spans="1:3">
      <c r="A19830" s="571" t="s">
        <v>1677</v>
      </c>
      <c r="B19830" s="572">
        <v>10</v>
      </c>
      <c r="C19830" s="572">
        <v>133</v>
      </c>
    </row>
    <row r="19831" spans="1:3">
      <c r="A19831" s="571" t="s">
        <v>1677</v>
      </c>
      <c r="B19831" s="572">
        <v>13</v>
      </c>
      <c r="C19831" s="572">
        <v>153</v>
      </c>
    </row>
    <row r="19832" spans="1:3">
      <c r="A19832" s="571" t="s">
        <v>1677</v>
      </c>
      <c r="B19832" s="572">
        <v>14</v>
      </c>
      <c r="C19832" s="572">
        <v>163</v>
      </c>
    </row>
    <row r="19833" spans="1:3">
      <c r="A19833" s="571" t="s">
        <v>1677</v>
      </c>
      <c r="B19833" s="572">
        <v>27</v>
      </c>
      <c r="C19833" s="572">
        <v>243</v>
      </c>
    </row>
    <row r="19834" spans="1:3">
      <c r="A19834" s="571" t="s">
        <v>1677</v>
      </c>
      <c r="B19834" s="572">
        <v>36</v>
      </c>
      <c r="C19834" s="572">
        <v>283</v>
      </c>
    </row>
    <row r="19835" spans="1:3">
      <c r="A19835" s="571" t="s">
        <v>1677</v>
      </c>
      <c r="B19835" s="572">
        <v>42</v>
      </c>
      <c r="C19835" s="572">
        <v>284</v>
      </c>
    </row>
    <row r="19836" spans="1:3">
      <c r="A19836" s="571" t="s">
        <v>1677</v>
      </c>
      <c r="B19836" s="572">
        <v>49</v>
      </c>
      <c r="C19836" s="572">
        <v>300</v>
      </c>
    </row>
    <row r="19837" spans="1:3">
      <c r="A19837" s="571" t="s">
        <v>1677</v>
      </c>
      <c r="B19837" s="572">
        <v>56</v>
      </c>
      <c r="C19837" s="572">
        <v>332</v>
      </c>
    </row>
    <row r="19838" spans="1:3">
      <c r="A19838" s="571" t="s">
        <v>1677</v>
      </c>
      <c r="B19838" s="572">
        <v>70</v>
      </c>
      <c r="C19838" s="572">
        <v>343</v>
      </c>
    </row>
    <row r="19839" spans="1:3">
      <c r="A19839" s="571" t="s">
        <v>1677</v>
      </c>
      <c r="B19839" s="572">
        <v>83</v>
      </c>
      <c r="C19839" s="572">
        <v>373</v>
      </c>
    </row>
    <row r="19840" spans="1:3">
      <c r="A19840" s="571" t="s">
        <v>1677</v>
      </c>
      <c r="B19840" s="572">
        <v>98</v>
      </c>
      <c r="C19840" s="572">
        <v>372</v>
      </c>
    </row>
    <row r="19841" spans="1:3">
      <c r="A19841" s="573" t="s">
        <v>1677</v>
      </c>
      <c r="B19841" s="574">
        <v>100</v>
      </c>
      <c r="C19841" s="574">
        <v>372</v>
      </c>
    </row>
    <row r="19842" spans="1:3">
      <c r="A19842" s="573" t="s">
        <v>1677</v>
      </c>
      <c r="B19842" s="574">
        <v>100</v>
      </c>
      <c r="C19842" s="574">
        <v>372</v>
      </c>
    </row>
    <row r="19843" spans="1:3">
      <c r="A19843" s="571" t="s">
        <v>1676</v>
      </c>
      <c r="B19843" s="572">
        <v>1</v>
      </c>
      <c r="C19843" s="572">
        <v>10</v>
      </c>
    </row>
    <row r="19844" spans="1:3">
      <c r="A19844" s="571" t="s">
        <v>1676</v>
      </c>
      <c r="B19844" s="572">
        <v>2</v>
      </c>
      <c r="C19844" s="572">
        <v>10</v>
      </c>
    </row>
    <row r="19845" spans="1:3">
      <c r="A19845" s="571" t="s">
        <v>1676</v>
      </c>
      <c r="B19845" s="572">
        <v>3</v>
      </c>
      <c r="C19845" s="572">
        <v>30</v>
      </c>
    </row>
    <row r="19846" spans="1:3">
      <c r="A19846" s="571" t="s">
        <v>1676</v>
      </c>
      <c r="B19846" s="572">
        <v>4</v>
      </c>
      <c r="C19846" s="572">
        <v>30</v>
      </c>
    </row>
    <row r="19847" spans="1:3">
      <c r="A19847" s="571" t="s">
        <v>1676</v>
      </c>
      <c r="B19847" s="572">
        <v>6</v>
      </c>
      <c r="C19847" s="572">
        <v>70</v>
      </c>
    </row>
    <row r="19848" spans="1:3">
      <c r="A19848" s="571" t="s">
        <v>1676</v>
      </c>
      <c r="B19848" s="572">
        <v>7</v>
      </c>
      <c r="C19848" s="572">
        <v>80</v>
      </c>
    </row>
    <row r="19849" spans="1:3">
      <c r="A19849" s="571" t="s">
        <v>1676</v>
      </c>
      <c r="B19849" s="572">
        <v>8</v>
      </c>
      <c r="C19849" s="572">
        <v>100</v>
      </c>
    </row>
    <row r="19850" spans="1:3">
      <c r="A19850" s="571" t="s">
        <v>1676</v>
      </c>
      <c r="B19850" s="572">
        <v>10</v>
      </c>
      <c r="C19850" s="572">
        <v>92</v>
      </c>
    </row>
    <row r="19851" spans="1:3">
      <c r="A19851" s="571" t="s">
        <v>1676</v>
      </c>
      <c r="B19851" s="572">
        <v>13</v>
      </c>
      <c r="C19851" s="572">
        <v>111</v>
      </c>
    </row>
    <row r="19852" spans="1:3">
      <c r="A19852" s="571" t="s">
        <v>1676</v>
      </c>
      <c r="B19852" s="572">
        <v>14</v>
      </c>
      <c r="C19852" s="572">
        <v>100</v>
      </c>
    </row>
    <row r="19853" spans="1:3">
      <c r="A19853" s="571" t="s">
        <v>1676</v>
      </c>
      <c r="B19853" s="572">
        <v>27</v>
      </c>
      <c r="C19853" s="572">
        <v>172</v>
      </c>
    </row>
    <row r="19854" spans="1:3">
      <c r="A19854" s="571" t="s">
        <v>1676</v>
      </c>
      <c r="B19854" s="572">
        <v>36</v>
      </c>
      <c r="C19854" s="572">
        <v>192</v>
      </c>
    </row>
    <row r="19855" spans="1:3">
      <c r="A19855" s="571" t="s">
        <v>1676</v>
      </c>
      <c r="B19855" s="572">
        <v>42</v>
      </c>
      <c r="C19855" s="572">
        <v>192</v>
      </c>
    </row>
    <row r="19856" spans="1:3">
      <c r="A19856" s="571" t="s">
        <v>1676</v>
      </c>
      <c r="B19856" s="572">
        <v>49</v>
      </c>
      <c r="C19856" s="572">
        <v>222</v>
      </c>
    </row>
    <row r="19857" spans="1:3">
      <c r="A19857" s="571" t="s">
        <v>1676</v>
      </c>
      <c r="B19857" s="572">
        <v>56</v>
      </c>
      <c r="C19857" s="572">
        <v>252</v>
      </c>
    </row>
    <row r="19858" spans="1:3">
      <c r="A19858" s="571" t="s">
        <v>1676</v>
      </c>
      <c r="B19858" s="572">
        <v>70</v>
      </c>
      <c r="C19858" s="572">
        <v>271</v>
      </c>
    </row>
    <row r="19859" spans="1:3">
      <c r="A19859" s="571" t="s">
        <v>1676</v>
      </c>
      <c r="B19859" s="572">
        <v>83</v>
      </c>
      <c r="C19859" s="572">
        <v>291</v>
      </c>
    </row>
    <row r="19860" spans="1:3">
      <c r="A19860" s="571" t="s">
        <v>1676</v>
      </c>
      <c r="B19860" s="572">
        <v>98</v>
      </c>
      <c r="C19860" s="572">
        <v>300</v>
      </c>
    </row>
    <row r="19861" spans="1:3">
      <c r="A19861" s="573" t="s">
        <v>1676</v>
      </c>
      <c r="B19861" s="574">
        <v>100</v>
      </c>
      <c r="C19861" s="574">
        <v>300</v>
      </c>
    </row>
    <row r="19862" spans="1:3">
      <c r="A19862" s="573" t="s">
        <v>1676</v>
      </c>
      <c r="B19862" s="574">
        <v>100</v>
      </c>
      <c r="C19862" s="574">
        <v>300</v>
      </c>
    </row>
    <row r="19863" spans="1:3">
      <c r="A19863" s="571" t="s">
        <v>1675</v>
      </c>
      <c r="B19863" s="572">
        <v>1</v>
      </c>
      <c r="C19863" s="572">
        <v>42</v>
      </c>
    </row>
    <row r="19864" spans="1:3">
      <c r="A19864" s="571" t="s">
        <v>1675</v>
      </c>
      <c r="B19864" s="572">
        <v>2</v>
      </c>
      <c r="C19864" s="572">
        <v>60</v>
      </c>
    </row>
    <row r="19865" spans="1:3">
      <c r="A19865" s="571" t="s">
        <v>1675</v>
      </c>
      <c r="B19865" s="572">
        <v>3</v>
      </c>
      <c r="C19865" s="572">
        <v>82</v>
      </c>
    </row>
    <row r="19866" spans="1:3">
      <c r="A19866" s="571" t="s">
        <v>1675</v>
      </c>
      <c r="B19866" s="572">
        <v>6</v>
      </c>
      <c r="C19866" s="572">
        <v>131</v>
      </c>
    </row>
    <row r="19867" spans="1:3">
      <c r="A19867" s="571" t="s">
        <v>1675</v>
      </c>
      <c r="B19867" s="572">
        <v>8</v>
      </c>
      <c r="C19867" s="572">
        <v>159</v>
      </c>
    </row>
    <row r="19868" spans="1:3">
      <c r="A19868" s="571" t="s">
        <v>1675</v>
      </c>
      <c r="B19868" s="572">
        <v>10</v>
      </c>
      <c r="C19868" s="572">
        <v>182</v>
      </c>
    </row>
    <row r="19869" spans="1:3">
      <c r="A19869" s="571" t="s">
        <v>1675</v>
      </c>
      <c r="B19869" s="572">
        <v>12</v>
      </c>
      <c r="C19869" s="572">
        <v>200</v>
      </c>
    </row>
    <row r="19870" spans="1:3">
      <c r="A19870" s="571" t="s">
        <v>1675</v>
      </c>
      <c r="B19870" s="572">
        <v>14</v>
      </c>
      <c r="C19870" s="572">
        <v>210</v>
      </c>
    </row>
    <row r="19871" spans="1:3">
      <c r="A19871" s="571" t="s">
        <v>1675</v>
      </c>
      <c r="B19871" s="572">
        <v>21</v>
      </c>
      <c r="C19871" s="572">
        <v>261</v>
      </c>
    </row>
    <row r="19872" spans="1:3">
      <c r="A19872" s="571" t="s">
        <v>1675</v>
      </c>
      <c r="B19872" s="572">
        <v>28</v>
      </c>
      <c r="C19872" s="572">
        <v>281</v>
      </c>
    </row>
    <row r="19873" spans="1:3">
      <c r="A19873" s="571" t="s">
        <v>1675</v>
      </c>
      <c r="B19873" s="572">
        <v>35</v>
      </c>
      <c r="C19873" s="572">
        <v>302</v>
      </c>
    </row>
    <row r="19874" spans="1:3">
      <c r="A19874" s="571" t="s">
        <v>1675</v>
      </c>
      <c r="B19874" s="572">
        <v>42</v>
      </c>
      <c r="C19874" s="572">
        <v>310</v>
      </c>
    </row>
    <row r="19875" spans="1:3">
      <c r="A19875" s="571" t="s">
        <v>1675</v>
      </c>
      <c r="B19875" s="572">
        <v>49</v>
      </c>
      <c r="C19875" s="572">
        <v>341</v>
      </c>
    </row>
    <row r="19876" spans="1:3">
      <c r="A19876" s="571" t="s">
        <v>1675</v>
      </c>
      <c r="B19876" s="572">
        <v>56</v>
      </c>
      <c r="C19876" s="572">
        <v>352</v>
      </c>
    </row>
    <row r="19877" spans="1:3">
      <c r="A19877" s="571" t="s">
        <v>1675</v>
      </c>
      <c r="B19877" s="572">
        <v>76</v>
      </c>
      <c r="C19877" s="572">
        <v>371</v>
      </c>
    </row>
    <row r="19878" spans="1:3">
      <c r="A19878" s="571" t="s">
        <v>1675</v>
      </c>
      <c r="B19878" s="572">
        <v>84</v>
      </c>
      <c r="C19878" s="572">
        <v>383</v>
      </c>
    </row>
    <row r="19879" spans="1:3">
      <c r="A19879" s="573" t="s">
        <v>1675</v>
      </c>
      <c r="B19879" s="574">
        <v>100</v>
      </c>
      <c r="C19879" s="574">
        <v>391</v>
      </c>
    </row>
    <row r="19880" spans="1:3">
      <c r="A19880" s="573" t="s">
        <v>1675</v>
      </c>
      <c r="B19880" s="574">
        <v>128</v>
      </c>
      <c r="C19880" s="574">
        <v>400</v>
      </c>
    </row>
    <row r="19881" spans="1:3">
      <c r="A19881" s="573" t="s">
        <v>1675</v>
      </c>
      <c r="B19881" s="574">
        <v>156</v>
      </c>
      <c r="C19881" s="574">
        <v>420</v>
      </c>
    </row>
    <row r="19882" spans="1:3">
      <c r="A19882" s="573" t="s">
        <v>1675</v>
      </c>
      <c r="B19882" s="574">
        <v>156</v>
      </c>
      <c r="C19882" s="574">
        <v>420</v>
      </c>
    </row>
    <row r="19883" spans="1:3">
      <c r="A19883" s="571" t="s">
        <v>1674</v>
      </c>
      <c r="B19883" s="572">
        <v>1</v>
      </c>
      <c r="C19883" s="572">
        <v>21</v>
      </c>
    </row>
    <row r="19884" spans="1:3">
      <c r="A19884" s="571" t="s">
        <v>1674</v>
      </c>
      <c r="B19884" s="572">
        <v>3</v>
      </c>
      <c r="C19884" s="572">
        <v>51</v>
      </c>
    </row>
    <row r="19885" spans="1:3">
      <c r="A19885" s="571" t="s">
        <v>1674</v>
      </c>
      <c r="B19885" s="572">
        <v>6</v>
      </c>
      <c r="C19885" s="572">
        <v>90</v>
      </c>
    </row>
    <row r="19886" spans="1:3">
      <c r="A19886" s="571" t="s">
        <v>1674</v>
      </c>
      <c r="B19886" s="572">
        <v>7</v>
      </c>
      <c r="C19886" s="572">
        <v>90</v>
      </c>
    </row>
    <row r="19887" spans="1:3">
      <c r="A19887" s="571" t="s">
        <v>1674</v>
      </c>
      <c r="B19887" s="572">
        <v>8</v>
      </c>
      <c r="C19887" s="572">
        <v>100</v>
      </c>
    </row>
    <row r="19888" spans="1:3">
      <c r="A19888" s="571" t="s">
        <v>1674</v>
      </c>
      <c r="B19888" s="572">
        <v>10</v>
      </c>
      <c r="C19888" s="572">
        <v>130</v>
      </c>
    </row>
    <row r="19889" spans="1:3">
      <c r="A19889" s="571" t="s">
        <v>1674</v>
      </c>
      <c r="B19889" s="572">
        <v>12</v>
      </c>
      <c r="C19889" s="572">
        <v>142</v>
      </c>
    </row>
    <row r="19890" spans="1:3">
      <c r="A19890" s="571" t="s">
        <v>1674</v>
      </c>
      <c r="B19890" s="572">
        <v>14</v>
      </c>
      <c r="C19890" s="572">
        <v>153</v>
      </c>
    </row>
    <row r="19891" spans="1:3">
      <c r="A19891" s="571" t="s">
        <v>1674</v>
      </c>
      <c r="B19891" s="572">
        <v>21</v>
      </c>
      <c r="C19891" s="572">
        <v>189</v>
      </c>
    </row>
    <row r="19892" spans="1:3">
      <c r="A19892" s="571" t="s">
        <v>1674</v>
      </c>
      <c r="B19892" s="572">
        <v>28</v>
      </c>
      <c r="C19892" s="572">
        <v>212</v>
      </c>
    </row>
    <row r="19893" spans="1:3">
      <c r="A19893" s="571" t="s">
        <v>1674</v>
      </c>
      <c r="B19893" s="572">
        <v>35</v>
      </c>
      <c r="C19893" s="572">
        <v>241</v>
      </c>
    </row>
    <row r="19894" spans="1:3">
      <c r="A19894" s="571" t="s">
        <v>1674</v>
      </c>
      <c r="B19894" s="572">
        <v>42</v>
      </c>
      <c r="C19894" s="572">
        <v>250</v>
      </c>
    </row>
    <row r="19895" spans="1:3">
      <c r="A19895" s="571" t="s">
        <v>1674</v>
      </c>
      <c r="B19895" s="572">
        <v>49</v>
      </c>
      <c r="C19895" s="572">
        <v>281</v>
      </c>
    </row>
    <row r="19896" spans="1:3">
      <c r="A19896" s="571" t="s">
        <v>1674</v>
      </c>
      <c r="B19896" s="572">
        <v>56</v>
      </c>
      <c r="C19896" s="572">
        <v>281</v>
      </c>
    </row>
    <row r="19897" spans="1:3">
      <c r="A19897" s="571" t="s">
        <v>1674</v>
      </c>
      <c r="B19897" s="572">
        <v>76</v>
      </c>
      <c r="C19897" s="572">
        <v>311</v>
      </c>
    </row>
    <row r="19898" spans="1:3">
      <c r="A19898" s="571" t="s">
        <v>1674</v>
      </c>
      <c r="B19898" s="572">
        <v>84</v>
      </c>
      <c r="C19898" s="572">
        <v>332</v>
      </c>
    </row>
    <row r="19899" spans="1:3">
      <c r="A19899" s="573" t="s">
        <v>1674</v>
      </c>
      <c r="B19899" s="574">
        <v>100</v>
      </c>
      <c r="C19899" s="574">
        <v>343</v>
      </c>
    </row>
    <row r="19900" spans="1:3">
      <c r="A19900" s="573" t="s">
        <v>1674</v>
      </c>
      <c r="B19900" s="574">
        <v>128</v>
      </c>
      <c r="C19900" s="574">
        <v>360</v>
      </c>
    </row>
    <row r="19901" spans="1:3">
      <c r="A19901" s="573" t="s">
        <v>1674</v>
      </c>
      <c r="B19901" s="574">
        <v>156</v>
      </c>
      <c r="C19901" s="574">
        <v>373</v>
      </c>
    </row>
    <row r="19902" spans="1:3">
      <c r="A19902" s="573" t="s">
        <v>1674</v>
      </c>
      <c r="B19902" s="574">
        <v>156</v>
      </c>
      <c r="C19902" s="574">
        <v>373</v>
      </c>
    </row>
    <row r="19903" spans="1:3">
      <c r="A19903" s="571" t="s">
        <v>1673</v>
      </c>
      <c r="B19903" s="572">
        <v>1</v>
      </c>
      <c r="C19903" s="572">
        <v>31</v>
      </c>
    </row>
    <row r="19904" spans="1:3">
      <c r="A19904" s="571" t="s">
        <v>1673</v>
      </c>
      <c r="B19904" s="572">
        <v>3</v>
      </c>
      <c r="C19904" s="572">
        <v>41</v>
      </c>
    </row>
    <row r="19905" spans="1:3">
      <c r="A19905" s="571" t="s">
        <v>1673</v>
      </c>
      <c r="B19905" s="572">
        <v>6</v>
      </c>
      <c r="C19905" s="572">
        <v>70</v>
      </c>
    </row>
    <row r="19906" spans="1:3">
      <c r="A19906" s="571" t="s">
        <v>1673</v>
      </c>
      <c r="B19906" s="572">
        <v>7</v>
      </c>
      <c r="C19906" s="572">
        <v>82</v>
      </c>
    </row>
    <row r="19907" spans="1:3">
      <c r="A19907" s="571" t="s">
        <v>1673</v>
      </c>
      <c r="B19907" s="572">
        <v>8</v>
      </c>
      <c r="C19907" s="572">
        <v>82</v>
      </c>
    </row>
    <row r="19908" spans="1:3">
      <c r="A19908" s="571" t="s">
        <v>1673</v>
      </c>
      <c r="B19908" s="572">
        <v>10</v>
      </c>
      <c r="C19908" s="572">
        <v>90</v>
      </c>
    </row>
    <row r="19909" spans="1:3">
      <c r="A19909" s="571" t="s">
        <v>1673</v>
      </c>
      <c r="B19909" s="572">
        <v>12</v>
      </c>
      <c r="C19909" s="572">
        <v>100</v>
      </c>
    </row>
    <row r="19910" spans="1:3">
      <c r="A19910" s="571" t="s">
        <v>1673</v>
      </c>
      <c r="B19910" s="572">
        <v>14</v>
      </c>
      <c r="C19910" s="572">
        <v>100</v>
      </c>
    </row>
    <row r="19911" spans="1:3">
      <c r="A19911" s="571" t="s">
        <v>1673</v>
      </c>
      <c r="B19911" s="572">
        <v>21</v>
      </c>
      <c r="C19911" s="572">
        <v>142</v>
      </c>
    </row>
    <row r="19912" spans="1:3">
      <c r="A19912" s="571" t="s">
        <v>1673</v>
      </c>
      <c r="B19912" s="572">
        <v>28</v>
      </c>
      <c r="C19912" s="572">
        <v>161</v>
      </c>
    </row>
    <row r="19913" spans="1:3">
      <c r="A19913" s="571" t="s">
        <v>1673</v>
      </c>
      <c r="B19913" s="572">
        <v>35</v>
      </c>
      <c r="C19913" s="572">
        <v>180</v>
      </c>
    </row>
    <row r="19914" spans="1:3">
      <c r="A19914" s="571" t="s">
        <v>1673</v>
      </c>
      <c r="B19914" s="572">
        <v>42</v>
      </c>
      <c r="C19914" s="572">
        <v>192</v>
      </c>
    </row>
    <row r="19915" spans="1:3">
      <c r="A19915" s="571" t="s">
        <v>1673</v>
      </c>
      <c r="B19915" s="572">
        <v>49</v>
      </c>
      <c r="C19915" s="572">
        <v>222</v>
      </c>
    </row>
    <row r="19916" spans="1:3">
      <c r="A19916" s="571" t="s">
        <v>1673</v>
      </c>
      <c r="B19916" s="572">
        <v>56</v>
      </c>
      <c r="C19916" s="572">
        <v>219</v>
      </c>
    </row>
    <row r="19917" spans="1:3">
      <c r="A19917" s="571" t="s">
        <v>1673</v>
      </c>
      <c r="B19917" s="572">
        <v>76</v>
      </c>
      <c r="C19917" s="572">
        <v>240</v>
      </c>
    </row>
    <row r="19918" spans="1:3">
      <c r="A19918" s="571" t="s">
        <v>1673</v>
      </c>
      <c r="B19918" s="572">
        <v>84</v>
      </c>
      <c r="C19918" s="572">
        <v>261</v>
      </c>
    </row>
    <row r="19919" spans="1:3">
      <c r="A19919" s="573" t="s">
        <v>1673</v>
      </c>
      <c r="B19919" s="574">
        <v>100</v>
      </c>
      <c r="C19919" s="574">
        <v>271</v>
      </c>
    </row>
    <row r="19920" spans="1:3">
      <c r="A19920" s="573" t="s">
        <v>1673</v>
      </c>
      <c r="B19920" s="574">
        <v>128</v>
      </c>
      <c r="C19920" s="574">
        <v>279</v>
      </c>
    </row>
    <row r="19921" spans="1:3">
      <c r="A19921" s="573" t="s">
        <v>1673</v>
      </c>
      <c r="B19921" s="574">
        <v>156</v>
      </c>
      <c r="C19921" s="574">
        <v>310</v>
      </c>
    </row>
    <row r="19922" spans="1:3">
      <c r="A19922" s="573" t="s">
        <v>1673</v>
      </c>
      <c r="B19922" s="574">
        <v>156</v>
      </c>
      <c r="C19922" s="574">
        <v>310</v>
      </c>
    </row>
    <row r="19923" spans="1:3">
      <c r="A19923" s="571" t="s">
        <v>1672</v>
      </c>
      <c r="B19923" s="572">
        <v>1</v>
      </c>
      <c r="C19923" s="572">
        <v>40</v>
      </c>
    </row>
    <row r="19924" spans="1:3">
      <c r="A19924" s="571" t="s">
        <v>1672</v>
      </c>
      <c r="B19924" s="572">
        <v>2</v>
      </c>
      <c r="C19924" s="572">
        <v>69</v>
      </c>
    </row>
    <row r="19925" spans="1:3">
      <c r="A19925" s="571" t="s">
        <v>1672</v>
      </c>
      <c r="B19925" s="572">
        <v>4</v>
      </c>
      <c r="C19925" s="572">
        <v>91</v>
      </c>
    </row>
    <row r="19926" spans="1:3">
      <c r="A19926" s="571" t="s">
        <v>1672</v>
      </c>
      <c r="B19926" s="572">
        <v>6</v>
      </c>
      <c r="C19926" s="572">
        <v>122</v>
      </c>
    </row>
    <row r="19927" spans="1:3">
      <c r="A19927" s="571" t="s">
        <v>1672</v>
      </c>
      <c r="B19927" s="572">
        <v>9</v>
      </c>
      <c r="C19927" s="572">
        <v>149</v>
      </c>
    </row>
    <row r="19928" spans="1:3">
      <c r="A19928" s="571" t="s">
        <v>1672</v>
      </c>
      <c r="B19928" s="572">
        <v>13</v>
      </c>
      <c r="C19928" s="572">
        <v>169</v>
      </c>
    </row>
    <row r="19929" spans="1:3">
      <c r="A19929" s="571" t="s">
        <v>1672</v>
      </c>
      <c r="B19929" s="572">
        <v>14</v>
      </c>
      <c r="C19929" s="572">
        <v>180</v>
      </c>
    </row>
    <row r="19930" spans="1:3">
      <c r="A19930" s="571" t="s">
        <v>1672</v>
      </c>
      <c r="B19930" s="572">
        <v>21</v>
      </c>
      <c r="C19930" s="572">
        <v>220</v>
      </c>
    </row>
    <row r="19931" spans="1:3">
      <c r="A19931" s="571" t="s">
        <v>1672</v>
      </c>
      <c r="B19931" s="572">
        <v>29</v>
      </c>
      <c r="C19931" s="572">
        <v>239</v>
      </c>
    </row>
    <row r="19932" spans="1:3">
      <c r="A19932" s="571" t="s">
        <v>1672</v>
      </c>
      <c r="B19932" s="572">
        <v>36</v>
      </c>
      <c r="C19932" s="572">
        <v>270</v>
      </c>
    </row>
    <row r="19933" spans="1:3">
      <c r="A19933" s="571" t="s">
        <v>1672</v>
      </c>
      <c r="B19933" s="572">
        <v>42</v>
      </c>
      <c r="C19933" s="572">
        <v>311</v>
      </c>
    </row>
    <row r="19934" spans="1:3">
      <c r="A19934" s="571" t="s">
        <v>1672</v>
      </c>
      <c r="B19934" s="572">
        <v>50</v>
      </c>
      <c r="C19934" s="572">
        <v>281</v>
      </c>
    </row>
    <row r="19935" spans="1:3">
      <c r="A19935" s="571" t="s">
        <v>1672</v>
      </c>
      <c r="B19935" s="572">
        <v>58</v>
      </c>
      <c r="C19935" s="572">
        <v>301</v>
      </c>
    </row>
    <row r="19936" spans="1:3">
      <c r="A19936" s="571" t="s">
        <v>1672</v>
      </c>
      <c r="B19936" s="572">
        <v>70</v>
      </c>
      <c r="C19936" s="572">
        <v>313</v>
      </c>
    </row>
    <row r="19937" spans="1:3">
      <c r="A19937" s="571" t="s">
        <v>1672</v>
      </c>
      <c r="B19937" s="572">
        <v>84</v>
      </c>
      <c r="C19937" s="572">
        <v>332</v>
      </c>
    </row>
    <row r="19938" spans="1:3">
      <c r="A19938" s="571" t="s">
        <v>1672</v>
      </c>
      <c r="B19938" s="572">
        <v>98</v>
      </c>
      <c r="C19938" s="572">
        <v>331</v>
      </c>
    </row>
    <row r="19939" spans="1:3">
      <c r="A19939" s="573" t="s">
        <v>1672</v>
      </c>
      <c r="B19939" s="574">
        <v>100</v>
      </c>
      <c r="C19939" s="574">
        <v>321</v>
      </c>
    </row>
    <row r="19940" spans="1:3">
      <c r="A19940" s="573" t="s">
        <v>1672</v>
      </c>
      <c r="B19940" s="574">
        <v>128</v>
      </c>
      <c r="C19940" s="574">
        <v>341</v>
      </c>
    </row>
    <row r="19941" spans="1:3">
      <c r="A19941" s="573" t="s">
        <v>1672</v>
      </c>
      <c r="B19941" s="574">
        <v>157</v>
      </c>
      <c r="C19941" s="574">
        <v>371</v>
      </c>
    </row>
    <row r="19942" spans="1:3">
      <c r="A19942" s="573" t="s">
        <v>1672</v>
      </c>
      <c r="B19942" s="574">
        <v>157</v>
      </c>
      <c r="C19942" s="574">
        <v>371</v>
      </c>
    </row>
    <row r="19943" spans="1:3">
      <c r="A19943" s="571" t="s">
        <v>1671</v>
      </c>
      <c r="B19943" s="572">
        <v>1</v>
      </c>
      <c r="C19943" s="572">
        <v>31</v>
      </c>
    </row>
    <row r="19944" spans="1:3">
      <c r="A19944" s="571" t="s">
        <v>1671</v>
      </c>
      <c r="B19944" s="572">
        <v>2</v>
      </c>
      <c r="C19944" s="572">
        <v>58</v>
      </c>
    </row>
    <row r="19945" spans="1:3">
      <c r="A19945" s="571" t="s">
        <v>1671</v>
      </c>
      <c r="B19945" s="572">
        <v>4</v>
      </c>
      <c r="C19945" s="572">
        <v>80</v>
      </c>
    </row>
    <row r="19946" spans="1:3">
      <c r="A19946" s="571" t="s">
        <v>1671</v>
      </c>
      <c r="B19946" s="572">
        <v>6</v>
      </c>
      <c r="C19946" s="572">
        <v>108</v>
      </c>
    </row>
    <row r="19947" spans="1:3">
      <c r="A19947" s="571" t="s">
        <v>1671</v>
      </c>
      <c r="B19947" s="572">
        <v>8</v>
      </c>
      <c r="C19947" s="572">
        <v>121</v>
      </c>
    </row>
    <row r="19948" spans="1:3">
      <c r="A19948" s="571" t="s">
        <v>1671</v>
      </c>
      <c r="B19948" s="572">
        <v>13</v>
      </c>
      <c r="C19948" s="572">
        <v>130</v>
      </c>
    </row>
    <row r="19949" spans="1:3">
      <c r="A19949" s="571" t="s">
        <v>1671</v>
      </c>
      <c r="B19949" s="572">
        <v>14</v>
      </c>
      <c r="C19949" s="572">
        <v>141</v>
      </c>
    </row>
    <row r="19950" spans="1:3">
      <c r="A19950" s="571" t="s">
        <v>1671</v>
      </c>
      <c r="B19950" s="572">
        <v>21</v>
      </c>
      <c r="C19950" s="572">
        <v>191</v>
      </c>
    </row>
    <row r="19951" spans="1:3">
      <c r="A19951" s="571" t="s">
        <v>1671</v>
      </c>
      <c r="B19951" s="572">
        <v>29</v>
      </c>
      <c r="C19951" s="572">
        <v>210</v>
      </c>
    </row>
    <row r="19952" spans="1:3">
      <c r="A19952" s="571" t="s">
        <v>1671</v>
      </c>
      <c r="B19952" s="572">
        <v>36</v>
      </c>
      <c r="C19952" s="572">
        <v>241</v>
      </c>
    </row>
    <row r="19953" spans="1:3">
      <c r="A19953" s="571" t="s">
        <v>1671</v>
      </c>
      <c r="B19953" s="572">
        <v>42</v>
      </c>
      <c r="C19953" s="572">
        <v>271</v>
      </c>
    </row>
    <row r="19954" spans="1:3">
      <c r="A19954" s="571" t="s">
        <v>1671</v>
      </c>
      <c r="B19954" s="572">
        <v>50</v>
      </c>
      <c r="C19954" s="572">
        <v>259</v>
      </c>
    </row>
    <row r="19955" spans="1:3">
      <c r="A19955" s="571" t="s">
        <v>1671</v>
      </c>
      <c r="B19955" s="572">
        <v>58</v>
      </c>
      <c r="C19955" s="572">
        <v>261</v>
      </c>
    </row>
    <row r="19956" spans="1:3">
      <c r="A19956" s="571" t="s">
        <v>1671</v>
      </c>
      <c r="B19956" s="572">
        <v>70</v>
      </c>
      <c r="C19956" s="572">
        <v>300</v>
      </c>
    </row>
    <row r="19957" spans="1:3">
      <c r="A19957" s="571" t="s">
        <v>1671</v>
      </c>
      <c r="B19957" s="572">
        <v>84</v>
      </c>
      <c r="C19957" s="572">
        <v>322</v>
      </c>
    </row>
    <row r="19958" spans="1:3">
      <c r="A19958" s="571" t="s">
        <v>1671</v>
      </c>
      <c r="B19958" s="572">
        <v>98</v>
      </c>
      <c r="C19958" s="572">
        <v>324</v>
      </c>
    </row>
    <row r="19959" spans="1:3">
      <c r="A19959" s="573" t="s">
        <v>1671</v>
      </c>
      <c r="B19959" s="574">
        <v>100</v>
      </c>
      <c r="C19959" s="574">
        <v>316</v>
      </c>
    </row>
    <row r="19960" spans="1:3">
      <c r="A19960" s="573" t="s">
        <v>1671</v>
      </c>
      <c r="B19960" s="574">
        <v>128</v>
      </c>
      <c r="C19960" s="574">
        <v>335</v>
      </c>
    </row>
    <row r="19961" spans="1:3">
      <c r="A19961" s="573" t="s">
        <v>1671</v>
      </c>
      <c r="B19961" s="574">
        <v>157</v>
      </c>
      <c r="C19961" s="574">
        <v>358</v>
      </c>
    </row>
    <row r="19962" spans="1:3">
      <c r="A19962" s="573" t="s">
        <v>1671</v>
      </c>
      <c r="B19962" s="574">
        <v>157</v>
      </c>
      <c r="C19962" s="574">
        <v>358</v>
      </c>
    </row>
    <row r="19963" spans="1:3">
      <c r="A19963" s="571" t="s">
        <v>1670</v>
      </c>
      <c r="B19963" s="572">
        <v>1</v>
      </c>
      <c r="C19963" s="572">
        <v>10</v>
      </c>
    </row>
    <row r="19964" spans="1:3">
      <c r="A19964" s="571" t="s">
        <v>1670</v>
      </c>
      <c r="B19964" s="572">
        <v>2</v>
      </c>
      <c r="C19964" s="572">
        <v>22</v>
      </c>
    </row>
    <row r="19965" spans="1:3">
      <c r="A19965" s="571" t="s">
        <v>1670</v>
      </c>
      <c r="B19965" s="572">
        <v>4</v>
      </c>
      <c r="C19965" s="572">
        <v>31</v>
      </c>
    </row>
    <row r="19966" spans="1:3">
      <c r="A19966" s="571" t="s">
        <v>1670</v>
      </c>
      <c r="B19966" s="572">
        <v>6</v>
      </c>
      <c r="C19966" s="572">
        <v>60</v>
      </c>
    </row>
    <row r="19967" spans="1:3">
      <c r="A19967" s="571" t="s">
        <v>1670</v>
      </c>
      <c r="B19967" s="572">
        <v>8</v>
      </c>
      <c r="C19967" s="572">
        <v>81</v>
      </c>
    </row>
    <row r="19968" spans="1:3">
      <c r="A19968" s="571" t="s">
        <v>1670</v>
      </c>
      <c r="B19968" s="572">
        <v>13</v>
      </c>
      <c r="C19968" s="572">
        <v>100</v>
      </c>
    </row>
    <row r="19969" spans="1:3">
      <c r="A19969" s="571" t="s">
        <v>1670</v>
      </c>
      <c r="B19969" s="572">
        <v>14</v>
      </c>
      <c r="C19969" s="572">
        <v>100</v>
      </c>
    </row>
    <row r="19970" spans="1:3">
      <c r="A19970" s="571" t="s">
        <v>1670</v>
      </c>
      <c r="B19970" s="572">
        <v>21</v>
      </c>
      <c r="C19970" s="572">
        <v>129</v>
      </c>
    </row>
    <row r="19971" spans="1:3">
      <c r="A19971" s="571" t="s">
        <v>1670</v>
      </c>
      <c r="B19971" s="572">
        <v>29</v>
      </c>
      <c r="C19971" s="572">
        <v>170</v>
      </c>
    </row>
    <row r="19972" spans="1:3">
      <c r="A19972" s="571" t="s">
        <v>1670</v>
      </c>
      <c r="B19972" s="572">
        <v>36</v>
      </c>
      <c r="C19972" s="572">
        <v>180</v>
      </c>
    </row>
    <row r="19973" spans="1:3">
      <c r="A19973" s="571" t="s">
        <v>1670</v>
      </c>
      <c r="B19973" s="572">
        <v>42</v>
      </c>
      <c r="C19973" s="572">
        <v>210</v>
      </c>
    </row>
    <row r="19974" spans="1:3">
      <c r="A19974" s="571" t="s">
        <v>1670</v>
      </c>
      <c r="B19974" s="572">
        <v>50</v>
      </c>
      <c r="C19974" s="572">
        <v>211</v>
      </c>
    </row>
    <row r="19975" spans="1:3">
      <c r="A19975" s="571" t="s">
        <v>1670</v>
      </c>
      <c r="B19975" s="572">
        <v>58</v>
      </c>
      <c r="C19975" s="572">
        <v>210</v>
      </c>
    </row>
    <row r="19976" spans="1:3">
      <c r="A19976" s="571" t="s">
        <v>1670</v>
      </c>
      <c r="B19976" s="572">
        <v>70</v>
      </c>
      <c r="C19976" s="572">
        <v>252</v>
      </c>
    </row>
    <row r="19977" spans="1:3">
      <c r="A19977" s="571" t="s">
        <v>1670</v>
      </c>
      <c r="B19977" s="572">
        <v>84</v>
      </c>
      <c r="C19977" s="572">
        <v>261</v>
      </c>
    </row>
    <row r="19978" spans="1:3">
      <c r="A19978" s="571" t="s">
        <v>1670</v>
      </c>
      <c r="B19978" s="572">
        <v>98</v>
      </c>
      <c r="C19978" s="572">
        <v>271</v>
      </c>
    </row>
    <row r="19979" spans="1:3">
      <c r="A19979" s="573" t="s">
        <v>1670</v>
      </c>
      <c r="B19979" s="574">
        <v>100</v>
      </c>
      <c r="C19979" s="574">
        <v>270</v>
      </c>
    </row>
    <row r="19980" spans="1:3">
      <c r="A19980" s="573" t="s">
        <v>1670</v>
      </c>
      <c r="B19980" s="574">
        <v>128</v>
      </c>
      <c r="C19980" s="574">
        <v>300</v>
      </c>
    </row>
    <row r="19981" spans="1:3">
      <c r="A19981" s="573" t="s">
        <v>1670</v>
      </c>
      <c r="B19981" s="574">
        <v>157</v>
      </c>
      <c r="C19981" s="574">
        <v>321</v>
      </c>
    </row>
    <row r="19982" spans="1:3">
      <c r="A19982" s="573" t="s">
        <v>1670</v>
      </c>
      <c r="B19982" s="574">
        <v>157</v>
      </c>
      <c r="C19982" s="574">
        <v>321</v>
      </c>
    </row>
    <row r="19983" spans="1:3">
      <c r="A19983" s="571" t="s">
        <v>1669</v>
      </c>
      <c r="B19983" s="572">
        <v>1</v>
      </c>
      <c r="C19983" s="572">
        <v>30</v>
      </c>
    </row>
    <row r="19984" spans="1:3">
      <c r="A19984" s="571" t="s">
        <v>1669</v>
      </c>
      <c r="B19984" s="572">
        <v>2</v>
      </c>
      <c r="C19984" s="572">
        <v>38</v>
      </c>
    </row>
    <row r="19985" spans="1:3">
      <c r="A19985" s="571" t="s">
        <v>1669</v>
      </c>
      <c r="B19985" s="572">
        <v>4</v>
      </c>
      <c r="C19985" s="572">
        <v>110</v>
      </c>
    </row>
    <row r="19986" spans="1:3">
      <c r="A19986" s="571" t="s">
        <v>1669</v>
      </c>
      <c r="B19986" s="572">
        <v>6</v>
      </c>
      <c r="C19986" s="572">
        <v>100</v>
      </c>
    </row>
    <row r="19987" spans="1:3">
      <c r="A19987" s="571" t="s">
        <v>1669</v>
      </c>
      <c r="B19987" s="572">
        <v>7</v>
      </c>
      <c r="C19987" s="572">
        <v>129</v>
      </c>
    </row>
    <row r="19988" spans="1:3">
      <c r="A19988" s="571" t="s">
        <v>1669</v>
      </c>
      <c r="B19988" s="572">
        <v>8</v>
      </c>
      <c r="C19988" s="572">
        <v>111</v>
      </c>
    </row>
    <row r="19989" spans="1:3">
      <c r="A19989" s="571" t="s">
        <v>1669</v>
      </c>
      <c r="B19989" s="572">
        <v>11</v>
      </c>
      <c r="C19989" s="572">
        <v>160</v>
      </c>
    </row>
    <row r="19990" spans="1:3">
      <c r="A19990" s="571" t="s">
        <v>1669</v>
      </c>
      <c r="B19990" s="572">
        <v>12</v>
      </c>
      <c r="C19990" s="572">
        <v>150</v>
      </c>
    </row>
    <row r="19991" spans="1:3">
      <c r="A19991" s="571" t="s">
        <v>1669</v>
      </c>
      <c r="B19991" s="572">
        <v>15</v>
      </c>
      <c r="C19991" s="572">
        <v>200</v>
      </c>
    </row>
    <row r="19992" spans="1:3">
      <c r="A19992" s="571" t="s">
        <v>1669</v>
      </c>
      <c r="B19992" s="572">
        <v>22</v>
      </c>
      <c r="C19992" s="572">
        <v>249</v>
      </c>
    </row>
    <row r="19993" spans="1:3">
      <c r="A19993" s="571" t="s">
        <v>1669</v>
      </c>
      <c r="B19993" s="572">
        <v>28</v>
      </c>
      <c r="C19993" s="572">
        <v>269</v>
      </c>
    </row>
    <row r="19994" spans="1:3">
      <c r="A19994" s="571" t="s">
        <v>1669</v>
      </c>
      <c r="B19994" s="572">
        <v>36</v>
      </c>
      <c r="C19994" s="572">
        <v>309</v>
      </c>
    </row>
    <row r="19995" spans="1:3">
      <c r="A19995" s="571" t="s">
        <v>1669</v>
      </c>
      <c r="B19995" s="572">
        <v>43</v>
      </c>
      <c r="C19995" s="572">
        <v>329</v>
      </c>
    </row>
    <row r="19996" spans="1:3">
      <c r="A19996" s="571" t="s">
        <v>1669</v>
      </c>
      <c r="B19996" s="572">
        <v>47</v>
      </c>
      <c r="C19996" s="572">
        <v>340</v>
      </c>
    </row>
    <row r="19997" spans="1:3">
      <c r="A19997" s="571" t="s">
        <v>1669</v>
      </c>
      <c r="B19997" s="572">
        <v>56</v>
      </c>
      <c r="C19997" s="572">
        <v>360</v>
      </c>
    </row>
    <row r="19998" spans="1:3">
      <c r="A19998" s="571" t="s">
        <v>1669</v>
      </c>
      <c r="B19998" s="572">
        <v>70</v>
      </c>
      <c r="C19998" s="572">
        <v>370</v>
      </c>
    </row>
    <row r="19999" spans="1:3">
      <c r="A19999" s="571" t="s">
        <v>1669</v>
      </c>
      <c r="B19999" s="572">
        <v>84</v>
      </c>
      <c r="C19999" s="572">
        <v>400</v>
      </c>
    </row>
    <row r="20000" spans="1:3">
      <c r="A20000" s="571" t="s">
        <v>1669</v>
      </c>
      <c r="B20000" s="572">
        <v>97</v>
      </c>
      <c r="C20000" s="572">
        <v>421</v>
      </c>
    </row>
    <row r="20001" spans="1:3">
      <c r="A20001" s="573" t="s">
        <v>1669</v>
      </c>
      <c r="B20001" s="574">
        <v>100</v>
      </c>
      <c r="C20001" s="574">
        <v>412</v>
      </c>
    </row>
    <row r="20002" spans="1:3">
      <c r="A20002" s="573" t="s">
        <v>1669</v>
      </c>
      <c r="B20002" s="574">
        <v>100</v>
      </c>
      <c r="C20002" s="574">
        <v>412</v>
      </c>
    </row>
    <row r="20003" spans="1:3">
      <c r="A20003" s="571" t="s">
        <v>1668</v>
      </c>
      <c r="B20003" s="572">
        <v>1</v>
      </c>
      <c r="C20003" s="572">
        <v>20</v>
      </c>
    </row>
    <row r="20004" spans="1:3">
      <c r="A20004" s="571" t="s">
        <v>1668</v>
      </c>
      <c r="B20004" s="572">
        <v>4</v>
      </c>
      <c r="C20004" s="572">
        <v>51</v>
      </c>
    </row>
    <row r="20005" spans="1:3">
      <c r="A20005" s="571" t="s">
        <v>1668</v>
      </c>
      <c r="B20005" s="572">
        <v>5</v>
      </c>
      <c r="C20005" s="572">
        <v>70</v>
      </c>
    </row>
    <row r="20006" spans="1:3">
      <c r="A20006" s="571" t="s">
        <v>1668</v>
      </c>
      <c r="B20006" s="572">
        <v>6</v>
      </c>
      <c r="C20006" s="572">
        <v>70</v>
      </c>
    </row>
    <row r="20007" spans="1:3">
      <c r="A20007" s="571" t="s">
        <v>1668</v>
      </c>
      <c r="B20007" s="572">
        <v>7</v>
      </c>
      <c r="C20007" s="572">
        <v>70</v>
      </c>
    </row>
    <row r="20008" spans="1:3">
      <c r="A20008" s="571" t="s">
        <v>1668</v>
      </c>
      <c r="B20008" s="572">
        <v>8</v>
      </c>
      <c r="C20008" s="572">
        <v>70</v>
      </c>
    </row>
    <row r="20009" spans="1:3">
      <c r="A20009" s="571" t="s">
        <v>1668</v>
      </c>
      <c r="B20009" s="572">
        <v>11</v>
      </c>
      <c r="C20009" s="572">
        <v>100</v>
      </c>
    </row>
    <row r="20010" spans="1:3">
      <c r="A20010" s="571" t="s">
        <v>1668</v>
      </c>
      <c r="B20010" s="572">
        <v>12</v>
      </c>
      <c r="C20010" s="572">
        <v>100</v>
      </c>
    </row>
    <row r="20011" spans="1:3">
      <c r="A20011" s="571" t="s">
        <v>1668</v>
      </c>
      <c r="B20011" s="572">
        <v>15</v>
      </c>
      <c r="C20011" s="572">
        <v>141</v>
      </c>
    </row>
    <row r="20012" spans="1:3">
      <c r="A20012" s="571" t="s">
        <v>1668</v>
      </c>
      <c r="B20012" s="572">
        <v>22</v>
      </c>
      <c r="C20012" s="572">
        <v>181</v>
      </c>
    </row>
    <row r="20013" spans="1:3">
      <c r="A20013" s="571" t="s">
        <v>1668</v>
      </c>
      <c r="B20013" s="572">
        <v>28</v>
      </c>
      <c r="C20013" s="572">
        <v>200</v>
      </c>
    </row>
    <row r="20014" spans="1:3">
      <c r="A20014" s="571" t="s">
        <v>1668</v>
      </c>
      <c r="B20014" s="572">
        <v>36</v>
      </c>
      <c r="C20014" s="572">
        <v>210</v>
      </c>
    </row>
    <row r="20015" spans="1:3">
      <c r="A20015" s="571" t="s">
        <v>1668</v>
      </c>
      <c r="B20015" s="572">
        <v>43</v>
      </c>
      <c r="C20015" s="572">
        <v>250</v>
      </c>
    </row>
    <row r="20016" spans="1:3">
      <c r="A20016" s="571" t="s">
        <v>1668</v>
      </c>
      <c r="B20016" s="572">
        <v>49</v>
      </c>
      <c r="C20016" s="572">
        <v>250</v>
      </c>
    </row>
    <row r="20017" spans="1:3">
      <c r="A20017" s="571" t="s">
        <v>1668</v>
      </c>
      <c r="B20017" s="572">
        <v>56</v>
      </c>
      <c r="C20017" s="572">
        <v>270</v>
      </c>
    </row>
    <row r="20018" spans="1:3">
      <c r="A20018" s="571" t="s">
        <v>1668</v>
      </c>
      <c r="B20018" s="572">
        <v>70</v>
      </c>
      <c r="C20018" s="572">
        <v>300</v>
      </c>
    </row>
    <row r="20019" spans="1:3">
      <c r="A20019" s="571" t="s">
        <v>1668</v>
      </c>
      <c r="B20019" s="572">
        <v>84</v>
      </c>
      <c r="C20019" s="572">
        <v>310</v>
      </c>
    </row>
    <row r="20020" spans="1:3">
      <c r="A20020" s="571" t="s">
        <v>1668</v>
      </c>
      <c r="B20020" s="572">
        <v>97</v>
      </c>
      <c r="C20020" s="572">
        <v>329</v>
      </c>
    </row>
    <row r="20021" spans="1:3">
      <c r="A20021" s="573" t="s">
        <v>1668</v>
      </c>
      <c r="B20021" s="574">
        <v>100</v>
      </c>
      <c r="C20021" s="574">
        <v>329</v>
      </c>
    </row>
    <row r="20022" spans="1:3">
      <c r="A20022" s="573" t="s">
        <v>1668</v>
      </c>
      <c r="B20022" s="574">
        <v>100</v>
      </c>
      <c r="C20022" s="574">
        <v>329</v>
      </c>
    </row>
    <row r="20023" spans="1:3">
      <c r="A20023" s="571" t="s">
        <v>1667</v>
      </c>
      <c r="B20023" s="572">
        <v>1</v>
      </c>
      <c r="C20023" s="572">
        <v>9</v>
      </c>
    </row>
    <row r="20024" spans="1:3">
      <c r="A20024" s="571" t="s">
        <v>1667</v>
      </c>
      <c r="B20024" s="572">
        <v>2</v>
      </c>
      <c r="C20024" s="572">
        <v>29</v>
      </c>
    </row>
    <row r="20025" spans="1:3">
      <c r="A20025" s="571" t="s">
        <v>1667</v>
      </c>
      <c r="B20025" s="572">
        <v>4</v>
      </c>
      <c r="C20025" s="572">
        <v>20</v>
      </c>
    </row>
    <row r="20026" spans="1:3">
      <c r="A20026" s="571" t="s">
        <v>1667</v>
      </c>
      <c r="B20026" s="572">
        <v>6</v>
      </c>
      <c r="C20026" s="572">
        <v>40</v>
      </c>
    </row>
    <row r="20027" spans="1:3">
      <c r="A20027" s="571" t="s">
        <v>1667</v>
      </c>
      <c r="B20027" s="572">
        <v>7</v>
      </c>
      <c r="C20027" s="572">
        <v>50</v>
      </c>
    </row>
    <row r="20028" spans="1:3">
      <c r="A20028" s="571" t="s">
        <v>1667</v>
      </c>
      <c r="B20028" s="572">
        <v>8</v>
      </c>
      <c r="C20028" s="572">
        <v>50</v>
      </c>
    </row>
    <row r="20029" spans="1:3">
      <c r="A20029" s="571" t="s">
        <v>1667</v>
      </c>
      <c r="B20029" s="572">
        <v>11</v>
      </c>
      <c r="C20029" s="572">
        <v>82</v>
      </c>
    </row>
    <row r="20030" spans="1:3">
      <c r="A20030" s="571" t="s">
        <v>1667</v>
      </c>
      <c r="B20030" s="572">
        <v>12</v>
      </c>
      <c r="C20030" s="572">
        <v>71</v>
      </c>
    </row>
    <row r="20031" spans="1:3">
      <c r="A20031" s="571" t="s">
        <v>1667</v>
      </c>
      <c r="B20031" s="572">
        <v>15</v>
      </c>
      <c r="C20031" s="572">
        <v>80</v>
      </c>
    </row>
    <row r="20032" spans="1:3">
      <c r="A20032" s="571" t="s">
        <v>1667</v>
      </c>
      <c r="B20032" s="572">
        <v>22</v>
      </c>
      <c r="C20032" s="572">
        <v>119</v>
      </c>
    </row>
    <row r="20033" spans="1:3">
      <c r="A20033" s="571" t="s">
        <v>1667</v>
      </c>
      <c r="B20033" s="572">
        <v>28</v>
      </c>
      <c r="C20033" s="572">
        <v>139</v>
      </c>
    </row>
    <row r="20034" spans="1:3">
      <c r="A20034" s="571" t="s">
        <v>1667</v>
      </c>
      <c r="B20034" s="572">
        <v>36</v>
      </c>
      <c r="C20034" s="572">
        <v>150</v>
      </c>
    </row>
    <row r="20035" spans="1:3">
      <c r="A20035" s="571" t="s">
        <v>1667</v>
      </c>
      <c r="B20035" s="572">
        <v>43</v>
      </c>
      <c r="C20035" s="572">
        <v>188</v>
      </c>
    </row>
    <row r="20036" spans="1:3">
      <c r="A20036" s="571" t="s">
        <v>1667</v>
      </c>
      <c r="B20036" s="572">
        <v>49</v>
      </c>
      <c r="C20036" s="572">
        <v>171</v>
      </c>
    </row>
    <row r="20037" spans="1:3">
      <c r="A20037" s="571" t="s">
        <v>1667</v>
      </c>
      <c r="B20037" s="572">
        <v>54</v>
      </c>
      <c r="C20037" s="572">
        <v>200</v>
      </c>
    </row>
    <row r="20038" spans="1:3">
      <c r="A20038" s="571" t="s">
        <v>1667</v>
      </c>
      <c r="B20038" s="572">
        <v>70</v>
      </c>
      <c r="C20038" s="572">
        <v>220</v>
      </c>
    </row>
    <row r="20039" spans="1:3">
      <c r="A20039" s="571" t="s">
        <v>1667</v>
      </c>
      <c r="B20039" s="572">
        <v>84</v>
      </c>
      <c r="C20039" s="572">
        <v>241</v>
      </c>
    </row>
    <row r="20040" spans="1:3">
      <c r="A20040" s="571" t="s">
        <v>1667</v>
      </c>
      <c r="B20040" s="572">
        <v>97</v>
      </c>
      <c r="C20040" s="572">
        <v>249</v>
      </c>
    </row>
    <row r="20041" spans="1:3">
      <c r="A20041" s="573" t="s">
        <v>1667</v>
      </c>
      <c r="B20041" s="574">
        <v>100</v>
      </c>
      <c r="C20041" s="574">
        <v>250</v>
      </c>
    </row>
    <row r="20042" spans="1:3">
      <c r="A20042" s="573" t="s">
        <v>1667</v>
      </c>
      <c r="B20042" s="574">
        <v>100</v>
      </c>
      <c r="C20042" s="574">
        <v>250</v>
      </c>
    </row>
    <row r="20043" spans="1:3">
      <c r="A20043" s="571" t="s">
        <v>1666</v>
      </c>
      <c r="B20043" s="572">
        <v>2</v>
      </c>
      <c r="C20043" s="572">
        <v>51</v>
      </c>
    </row>
    <row r="20044" spans="1:3">
      <c r="A20044" s="571" t="s">
        <v>1666</v>
      </c>
      <c r="B20044" s="572">
        <v>4</v>
      </c>
      <c r="C20044" s="572">
        <v>81</v>
      </c>
    </row>
    <row r="20045" spans="1:3">
      <c r="A20045" s="571" t="s">
        <v>1666</v>
      </c>
      <c r="B20045" s="572">
        <v>6</v>
      </c>
      <c r="C20045" s="572">
        <v>121</v>
      </c>
    </row>
    <row r="20046" spans="1:3">
      <c r="A20046" s="571" t="s">
        <v>1666</v>
      </c>
      <c r="B20046" s="572">
        <v>7</v>
      </c>
      <c r="C20046" s="572">
        <v>131</v>
      </c>
    </row>
    <row r="20047" spans="1:3">
      <c r="A20047" s="571" t="s">
        <v>1666</v>
      </c>
      <c r="B20047" s="572">
        <v>8</v>
      </c>
      <c r="C20047" s="572">
        <v>149</v>
      </c>
    </row>
    <row r="20048" spans="1:3">
      <c r="A20048" s="571" t="s">
        <v>1666</v>
      </c>
      <c r="B20048" s="572">
        <v>11</v>
      </c>
      <c r="C20048" s="572">
        <v>150</v>
      </c>
    </row>
    <row r="20049" spans="1:3">
      <c r="A20049" s="571" t="s">
        <v>1666</v>
      </c>
      <c r="B20049" s="572">
        <v>13</v>
      </c>
      <c r="C20049" s="572">
        <v>170</v>
      </c>
    </row>
    <row r="20050" spans="1:3">
      <c r="A20050" s="571" t="s">
        <v>1666</v>
      </c>
      <c r="B20050" s="572">
        <v>14</v>
      </c>
      <c r="C20050" s="572">
        <v>170</v>
      </c>
    </row>
    <row r="20051" spans="1:3">
      <c r="A20051" s="571" t="s">
        <v>1666</v>
      </c>
      <c r="B20051" s="572">
        <v>21</v>
      </c>
      <c r="C20051" s="572">
        <v>219</v>
      </c>
    </row>
    <row r="20052" spans="1:3">
      <c r="A20052" s="571" t="s">
        <v>1666</v>
      </c>
      <c r="B20052" s="572">
        <v>28</v>
      </c>
      <c r="C20052" s="572">
        <v>231</v>
      </c>
    </row>
    <row r="20053" spans="1:3">
      <c r="A20053" s="571" t="s">
        <v>1666</v>
      </c>
      <c r="B20053" s="572">
        <v>36</v>
      </c>
      <c r="C20053" s="572">
        <v>271</v>
      </c>
    </row>
    <row r="20054" spans="1:3">
      <c r="A20054" s="571" t="s">
        <v>1666</v>
      </c>
      <c r="B20054" s="572">
        <v>42</v>
      </c>
      <c r="C20054" s="572">
        <v>275</v>
      </c>
    </row>
    <row r="20055" spans="1:3">
      <c r="A20055" s="571" t="s">
        <v>1666</v>
      </c>
      <c r="B20055" s="572">
        <v>50</v>
      </c>
      <c r="C20055" s="572">
        <v>271</v>
      </c>
    </row>
    <row r="20056" spans="1:3">
      <c r="A20056" s="571" t="s">
        <v>1666</v>
      </c>
      <c r="B20056" s="572">
        <v>57</v>
      </c>
      <c r="C20056" s="572">
        <v>300</v>
      </c>
    </row>
    <row r="20057" spans="1:3">
      <c r="A20057" s="571" t="s">
        <v>1666</v>
      </c>
      <c r="B20057" s="572">
        <v>70</v>
      </c>
      <c r="C20057" s="572">
        <v>310</v>
      </c>
    </row>
    <row r="20058" spans="1:3">
      <c r="A20058" s="571" t="s">
        <v>1666</v>
      </c>
      <c r="B20058" s="572">
        <v>98</v>
      </c>
      <c r="C20058" s="572">
        <v>332</v>
      </c>
    </row>
    <row r="20059" spans="1:3">
      <c r="A20059" s="573" t="s">
        <v>1666</v>
      </c>
      <c r="B20059" s="574">
        <v>100</v>
      </c>
      <c r="C20059" s="574">
        <v>321</v>
      </c>
    </row>
    <row r="20060" spans="1:3">
      <c r="A20060" s="573" t="s">
        <v>1666</v>
      </c>
      <c r="B20060" s="574">
        <v>128</v>
      </c>
      <c r="C20060" s="574">
        <v>341</v>
      </c>
    </row>
    <row r="20061" spans="1:3">
      <c r="A20061" s="573" t="s">
        <v>1666</v>
      </c>
      <c r="B20061" s="574">
        <v>156</v>
      </c>
      <c r="C20061" s="574">
        <v>360</v>
      </c>
    </row>
    <row r="20062" spans="1:3">
      <c r="A20062" s="573" t="s">
        <v>1666</v>
      </c>
      <c r="B20062" s="574">
        <v>156</v>
      </c>
      <c r="C20062" s="574">
        <v>360</v>
      </c>
    </row>
    <row r="20063" spans="1:3">
      <c r="A20063" s="571" t="s">
        <v>1665</v>
      </c>
      <c r="B20063" s="572">
        <v>2</v>
      </c>
      <c r="C20063" s="572">
        <v>20</v>
      </c>
    </row>
    <row r="20064" spans="1:3">
      <c r="A20064" s="571" t="s">
        <v>1665</v>
      </c>
      <c r="B20064" s="572">
        <v>4</v>
      </c>
      <c r="C20064" s="572">
        <v>50</v>
      </c>
    </row>
    <row r="20065" spans="1:3">
      <c r="A20065" s="571" t="s">
        <v>1665</v>
      </c>
      <c r="B20065" s="572">
        <v>6</v>
      </c>
      <c r="C20065" s="572">
        <v>90</v>
      </c>
    </row>
    <row r="20066" spans="1:3">
      <c r="A20066" s="571" t="s">
        <v>1665</v>
      </c>
      <c r="B20066" s="572">
        <v>8</v>
      </c>
      <c r="C20066" s="572">
        <v>120</v>
      </c>
    </row>
    <row r="20067" spans="1:3">
      <c r="A20067" s="571" t="s">
        <v>1665</v>
      </c>
      <c r="B20067" s="572">
        <v>11</v>
      </c>
      <c r="C20067" s="572">
        <v>121</v>
      </c>
    </row>
    <row r="20068" spans="1:3">
      <c r="A20068" s="571" t="s">
        <v>1665</v>
      </c>
      <c r="B20068" s="572">
        <v>13</v>
      </c>
      <c r="C20068" s="572">
        <v>142</v>
      </c>
    </row>
    <row r="20069" spans="1:3">
      <c r="A20069" s="571" t="s">
        <v>1665</v>
      </c>
      <c r="B20069" s="572">
        <v>14</v>
      </c>
      <c r="C20069" s="572">
        <v>151</v>
      </c>
    </row>
    <row r="20070" spans="1:3">
      <c r="A20070" s="571" t="s">
        <v>1665</v>
      </c>
      <c r="B20070" s="572">
        <v>21</v>
      </c>
      <c r="C20070" s="572">
        <v>191</v>
      </c>
    </row>
    <row r="20071" spans="1:3">
      <c r="A20071" s="571" t="s">
        <v>1665</v>
      </c>
      <c r="B20071" s="572">
        <v>28</v>
      </c>
      <c r="C20071" s="572">
        <v>219</v>
      </c>
    </row>
    <row r="20072" spans="1:3">
      <c r="A20072" s="571" t="s">
        <v>1665</v>
      </c>
      <c r="B20072" s="572">
        <v>36</v>
      </c>
      <c r="C20072" s="572">
        <v>251</v>
      </c>
    </row>
    <row r="20073" spans="1:3">
      <c r="A20073" s="571" t="s">
        <v>1665</v>
      </c>
      <c r="B20073" s="572">
        <v>42</v>
      </c>
      <c r="C20073" s="572">
        <v>271</v>
      </c>
    </row>
    <row r="20074" spans="1:3">
      <c r="A20074" s="571" t="s">
        <v>1665</v>
      </c>
      <c r="B20074" s="572">
        <v>50</v>
      </c>
      <c r="C20074" s="572">
        <v>291</v>
      </c>
    </row>
    <row r="20075" spans="1:3">
      <c r="A20075" s="571" t="s">
        <v>1665</v>
      </c>
      <c r="B20075" s="572">
        <v>57</v>
      </c>
      <c r="C20075" s="572">
        <v>311</v>
      </c>
    </row>
    <row r="20076" spans="1:3">
      <c r="A20076" s="571" t="s">
        <v>1665</v>
      </c>
      <c r="B20076" s="572">
        <v>70</v>
      </c>
      <c r="C20076" s="572">
        <v>321</v>
      </c>
    </row>
    <row r="20077" spans="1:3">
      <c r="A20077" s="571" t="s">
        <v>1665</v>
      </c>
      <c r="B20077" s="572">
        <v>84</v>
      </c>
      <c r="C20077" s="572">
        <v>335</v>
      </c>
    </row>
    <row r="20078" spans="1:3">
      <c r="A20078" s="571" t="s">
        <v>1665</v>
      </c>
      <c r="B20078" s="572">
        <v>98</v>
      </c>
      <c r="C20078" s="572">
        <v>342</v>
      </c>
    </row>
    <row r="20079" spans="1:3">
      <c r="A20079" s="573" t="s">
        <v>1665</v>
      </c>
      <c r="B20079" s="574">
        <v>100</v>
      </c>
      <c r="C20079" s="574">
        <v>353</v>
      </c>
    </row>
    <row r="20080" spans="1:3">
      <c r="A20080" s="573" t="s">
        <v>1665</v>
      </c>
      <c r="B20080" s="574">
        <v>128</v>
      </c>
      <c r="C20080" s="574">
        <v>372</v>
      </c>
    </row>
    <row r="20081" spans="1:3">
      <c r="A20081" s="573" t="s">
        <v>1665</v>
      </c>
      <c r="B20081" s="574">
        <v>156</v>
      </c>
      <c r="C20081" s="574">
        <v>390</v>
      </c>
    </row>
    <row r="20082" spans="1:3">
      <c r="A20082" s="573" t="s">
        <v>1665</v>
      </c>
      <c r="B20082" s="574">
        <v>156</v>
      </c>
      <c r="C20082" s="574">
        <v>390</v>
      </c>
    </row>
    <row r="20083" spans="1:3">
      <c r="A20083" s="571" t="s">
        <v>1664</v>
      </c>
      <c r="B20083" s="572">
        <v>2</v>
      </c>
      <c r="C20083" s="572">
        <v>40</v>
      </c>
    </row>
    <row r="20084" spans="1:3">
      <c r="A20084" s="571" t="s">
        <v>1664</v>
      </c>
      <c r="B20084" s="572">
        <v>4</v>
      </c>
      <c r="C20084" s="572">
        <v>57</v>
      </c>
    </row>
    <row r="20085" spans="1:3">
      <c r="A20085" s="571" t="s">
        <v>1664</v>
      </c>
      <c r="B20085" s="572">
        <v>6</v>
      </c>
      <c r="C20085" s="572">
        <v>80</v>
      </c>
    </row>
    <row r="20086" spans="1:3">
      <c r="A20086" s="571" t="s">
        <v>1664</v>
      </c>
      <c r="B20086" s="572">
        <v>8</v>
      </c>
      <c r="C20086" s="572">
        <v>100</v>
      </c>
    </row>
    <row r="20087" spans="1:3">
      <c r="A20087" s="571" t="s">
        <v>1664</v>
      </c>
      <c r="B20087" s="572">
        <v>11</v>
      </c>
      <c r="C20087" s="572">
        <v>110</v>
      </c>
    </row>
    <row r="20088" spans="1:3">
      <c r="A20088" s="571" t="s">
        <v>1664</v>
      </c>
      <c r="B20088" s="572">
        <v>13</v>
      </c>
      <c r="C20088" s="572">
        <v>119</v>
      </c>
    </row>
    <row r="20089" spans="1:3">
      <c r="A20089" s="571" t="s">
        <v>1664</v>
      </c>
      <c r="B20089" s="572">
        <v>14</v>
      </c>
      <c r="C20089" s="572">
        <v>131</v>
      </c>
    </row>
    <row r="20090" spans="1:3">
      <c r="A20090" s="571" t="s">
        <v>1664</v>
      </c>
      <c r="B20090" s="572">
        <v>21</v>
      </c>
      <c r="C20090" s="572">
        <v>171</v>
      </c>
    </row>
    <row r="20091" spans="1:3">
      <c r="A20091" s="571" t="s">
        <v>1664</v>
      </c>
      <c r="B20091" s="572">
        <v>28</v>
      </c>
      <c r="C20091" s="572">
        <v>189</v>
      </c>
    </row>
    <row r="20092" spans="1:3">
      <c r="A20092" s="571" t="s">
        <v>1664</v>
      </c>
      <c r="B20092" s="572">
        <v>36</v>
      </c>
      <c r="C20092" s="572">
        <v>210</v>
      </c>
    </row>
    <row r="20093" spans="1:3">
      <c r="A20093" s="571" t="s">
        <v>1664</v>
      </c>
      <c r="B20093" s="572">
        <v>42</v>
      </c>
      <c r="C20093" s="572">
        <v>231</v>
      </c>
    </row>
    <row r="20094" spans="1:3">
      <c r="A20094" s="571" t="s">
        <v>1664</v>
      </c>
      <c r="B20094" s="572">
        <v>50</v>
      </c>
      <c r="C20094" s="572">
        <v>241</v>
      </c>
    </row>
    <row r="20095" spans="1:3">
      <c r="A20095" s="571" t="s">
        <v>1664</v>
      </c>
      <c r="B20095" s="572">
        <v>57</v>
      </c>
      <c r="C20095" s="572">
        <v>252</v>
      </c>
    </row>
    <row r="20096" spans="1:3">
      <c r="A20096" s="571" t="s">
        <v>1664</v>
      </c>
      <c r="B20096" s="572">
        <v>70</v>
      </c>
      <c r="C20096" s="572">
        <v>271</v>
      </c>
    </row>
    <row r="20097" spans="1:3">
      <c r="A20097" s="571" t="s">
        <v>1664</v>
      </c>
      <c r="B20097" s="572">
        <v>84</v>
      </c>
      <c r="C20097" s="572">
        <v>291</v>
      </c>
    </row>
    <row r="20098" spans="1:3">
      <c r="A20098" s="571" t="s">
        <v>1664</v>
      </c>
      <c r="B20098" s="572">
        <v>98</v>
      </c>
      <c r="C20098" s="572">
        <v>292</v>
      </c>
    </row>
    <row r="20099" spans="1:3">
      <c r="A20099" s="573" t="s">
        <v>1664</v>
      </c>
      <c r="B20099" s="574">
        <v>100</v>
      </c>
      <c r="C20099" s="574">
        <v>291</v>
      </c>
    </row>
    <row r="20100" spans="1:3">
      <c r="A20100" s="573" t="s">
        <v>1664</v>
      </c>
      <c r="B20100" s="574">
        <v>128</v>
      </c>
      <c r="C20100" s="574">
        <v>300</v>
      </c>
    </row>
    <row r="20101" spans="1:3">
      <c r="A20101" s="573" t="s">
        <v>1664</v>
      </c>
      <c r="B20101" s="574">
        <v>156</v>
      </c>
      <c r="C20101" s="574">
        <v>329</v>
      </c>
    </row>
    <row r="20102" spans="1:3">
      <c r="A20102" s="573" t="s">
        <v>1664</v>
      </c>
      <c r="B20102" s="574">
        <v>156</v>
      </c>
      <c r="C20102" s="574">
        <v>329</v>
      </c>
    </row>
    <row r="20103" spans="1:3">
      <c r="A20103" s="571" t="s">
        <v>1663</v>
      </c>
      <c r="B20103" s="572">
        <v>2</v>
      </c>
      <c r="C20103" s="572">
        <v>81</v>
      </c>
    </row>
    <row r="20104" spans="1:3">
      <c r="A20104" s="571" t="s">
        <v>1663</v>
      </c>
      <c r="B20104" s="572">
        <v>3</v>
      </c>
      <c r="C20104" s="572">
        <v>100</v>
      </c>
    </row>
    <row r="20105" spans="1:3">
      <c r="A20105" s="571" t="s">
        <v>1663</v>
      </c>
      <c r="B20105" s="572">
        <v>4</v>
      </c>
      <c r="C20105" s="572">
        <v>130</v>
      </c>
    </row>
    <row r="20106" spans="1:3">
      <c r="A20106" s="571" t="s">
        <v>1663</v>
      </c>
      <c r="B20106" s="572">
        <v>7</v>
      </c>
      <c r="C20106" s="572">
        <v>141</v>
      </c>
    </row>
    <row r="20107" spans="1:3">
      <c r="A20107" s="571" t="s">
        <v>1663</v>
      </c>
      <c r="B20107" s="572">
        <v>9</v>
      </c>
      <c r="C20107" s="572">
        <v>172</v>
      </c>
    </row>
    <row r="20108" spans="1:3">
      <c r="A20108" s="571" t="s">
        <v>1663</v>
      </c>
      <c r="B20108" s="572">
        <v>12</v>
      </c>
      <c r="C20108" s="572">
        <v>190</v>
      </c>
    </row>
    <row r="20109" spans="1:3">
      <c r="A20109" s="571" t="s">
        <v>1663</v>
      </c>
      <c r="B20109" s="572">
        <v>14</v>
      </c>
      <c r="C20109" s="572">
        <v>200</v>
      </c>
    </row>
    <row r="20110" spans="1:3">
      <c r="A20110" s="571" t="s">
        <v>1663</v>
      </c>
      <c r="B20110" s="572">
        <v>21</v>
      </c>
      <c r="C20110" s="572">
        <v>222</v>
      </c>
    </row>
    <row r="20111" spans="1:3">
      <c r="A20111" s="571" t="s">
        <v>1663</v>
      </c>
      <c r="B20111" s="572">
        <v>28</v>
      </c>
      <c r="C20111" s="572">
        <v>252</v>
      </c>
    </row>
    <row r="20112" spans="1:3">
      <c r="A20112" s="571" t="s">
        <v>1663</v>
      </c>
      <c r="B20112" s="572">
        <v>37</v>
      </c>
      <c r="C20112" s="572">
        <v>270</v>
      </c>
    </row>
    <row r="20113" spans="1:3">
      <c r="A20113" s="571" t="s">
        <v>1663</v>
      </c>
      <c r="B20113" s="572">
        <v>42</v>
      </c>
      <c r="C20113" s="572">
        <v>282</v>
      </c>
    </row>
    <row r="20114" spans="1:3">
      <c r="A20114" s="571" t="s">
        <v>1663</v>
      </c>
      <c r="B20114" s="572">
        <v>49</v>
      </c>
      <c r="C20114" s="572">
        <v>300</v>
      </c>
    </row>
    <row r="20115" spans="1:3">
      <c r="A20115" s="571" t="s">
        <v>1663</v>
      </c>
      <c r="B20115" s="572">
        <v>56</v>
      </c>
      <c r="C20115" s="572">
        <v>312</v>
      </c>
    </row>
    <row r="20116" spans="1:3">
      <c r="A20116" s="571" t="s">
        <v>1663</v>
      </c>
      <c r="B20116" s="572">
        <v>70</v>
      </c>
      <c r="C20116" s="572">
        <v>334</v>
      </c>
    </row>
    <row r="20117" spans="1:3">
      <c r="A20117" s="571" t="s">
        <v>1663</v>
      </c>
      <c r="B20117" s="572">
        <v>84</v>
      </c>
      <c r="C20117" s="572">
        <v>342</v>
      </c>
    </row>
    <row r="20118" spans="1:3">
      <c r="A20118" s="571" t="s">
        <v>1663</v>
      </c>
      <c r="B20118" s="572">
        <v>98</v>
      </c>
      <c r="C20118" s="572">
        <v>352</v>
      </c>
    </row>
    <row r="20119" spans="1:3">
      <c r="A20119" s="573" t="s">
        <v>1663</v>
      </c>
      <c r="B20119" s="574">
        <v>100</v>
      </c>
      <c r="C20119" s="574">
        <v>352</v>
      </c>
    </row>
    <row r="20120" spans="1:3">
      <c r="A20120" s="573" t="s">
        <v>1663</v>
      </c>
      <c r="B20120" s="574">
        <v>128</v>
      </c>
      <c r="C20120" s="574">
        <v>352</v>
      </c>
    </row>
    <row r="20121" spans="1:3">
      <c r="A20121" s="573" t="s">
        <v>1663</v>
      </c>
      <c r="B20121" s="574">
        <v>157</v>
      </c>
      <c r="C20121" s="574">
        <v>372</v>
      </c>
    </row>
    <row r="20122" spans="1:3">
      <c r="A20122" s="573" t="s">
        <v>1663</v>
      </c>
      <c r="B20122" s="574">
        <v>157</v>
      </c>
      <c r="C20122" s="574">
        <v>372</v>
      </c>
    </row>
    <row r="20123" spans="1:3">
      <c r="A20123" s="571" t="s">
        <v>1662</v>
      </c>
      <c r="B20123" s="572">
        <v>2</v>
      </c>
      <c r="C20123" s="572">
        <v>63</v>
      </c>
    </row>
    <row r="20124" spans="1:3">
      <c r="A20124" s="571" t="s">
        <v>1662</v>
      </c>
      <c r="B20124" s="572">
        <v>3</v>
      </c>
      <c r="C20124" s="572">
        <v>71</v>
      </c>
    </row>
    <row r="20125" spans="1:3">
      <c r="A20125" s="571" t="s">
        <v>1662</v>
      </c>
      <c r="B20125" s="572">
        <v>4</v>
      </c>
      <c r="C20125" s="572">
        <v>93</v>
      </c>
    </row>
    <row r="20126" spans="1:3">
      <c r="A20126" s="571" t="s">
        <v>1662</v>
      </c>
      <c r="B20126" s="572">
        <v>7</v>
      </c>
      <c r="C20126" s="572">
        <v>131</v>
      </c>
    </row>
    <row r="20127" spans="1:3">
      <c r="A20127" s="571" t="s">
        <v>1662</v>
      </c>
      <c r="B20127" s="572">
        <v>9</v>
      </c>
      <c r="C20127" s="572">
        <v>153</v>
      </c>
    </row>
    <row r="20128" spans="1:3">
      <c r="A20128" s="571" t="s">
        <v>1662</v>
      </c>
      <c r="B20128" s="572">
        <v>12</v>
      </c>
      <c r="C20128" s="572">
        <v>161</v>
      </c>
    </row>
    <row r="20129" spans="1:3">
      <c r="A20129" s="571" t="s">
        <v>1662</v>
      </c>
      <c r="B20129" s="572">
        <v>14</v>
      </c>
      <c r="C20129" s="572">
        <v>172</v>
      </c>
    </row>
    <row r="20130" spans="1:3">
      <c r="A20130" s="571" t="s">
        <v>1662</v>
      </c>
      <c r="B20130" s="572">
        <v>21</v>
      </c>
      <c r="C20130" s="572">
        <v>192</v>
      </c>
    </row>
    <row r="20131" spans="1:3">
      <c r="A20131" s="571" t="s">
        <v>1662</v>
      </c>
      <c r="B20131" s="572">
        <v>28</v>
      </c>
      <c r="C20131" s="572">
        <v>212</v>
      </c>
    </row>
    <row r="20132" spans="1:3">
      <c r="A20132" s="571" t="s">
        <v>1662</v>
      </c>
      <c r="B20132" s="572">
        <v>37</v>
      </c>
      <c r="C20132" s="572">
        <v>252</v>
      </c>
    </row>
    <row r="20133" spans="1:3">
      <c r="A20133" s="571" t="s">
        <v>1662</v>
      </c>
      <c r="B20133" s="572">
        <v>42</v>
      </c>
      <c r="C20133" s="572">
        <v>262</v>
      </c>
    </row>
    <row r="20134" spans="1:3">
      <c r="A20134" s="571" t="s">
        <v>1662</v>
      </c>
      <c r="B20134" s="572">
        <v>49</v>
      </c>
      <c r="C20134" s="572">
        <v>282</v>
      </c>
    </row>
    <row r="20135" spans="1:3">
      <c r="A20135" s="571" t="s">
        <v>1662</v>
      </c>
      <c r="B20135" s="572">
        <v>56</v>
      </c>
      <c r="C20135" s="572">
        <v>293</v>
      </c>
    </row>
    <row r="20136" spans="1:3">
      <c r="A20136" s="571" t="s">
        <v>1662</v>
      </c>
      <c r="B20136" s="572">
        <v>70</v>
      </c>
      <c r="C20136" s="572">
        <v>292</v>
      </c>
    </row>
    <row r="20137" spans="1:3">
      <c r="A20137" s="571" t="s">
        <v>1662</v>
      </c>
      <c r="B20137" s="572">
        <v>84</v>
      </c>
      <c r="C20137" s="572">
        <v>323</v>
      </c>
    </row>
    <row r="20138" spans="1:3">
      <c r="A20138" s="571" t="s">
        <v>1662</v>
      </c>
      <c r="B20138" s="572">
        <v>98</v>
      </c>
      <c r="C20138" s="572">
        <v>334</v>
      </c>
    </row>
    <row r="20139" spans="1:3">
      <c r="A20139" s="573" t="s">
        <v>1662</v>
      </c>
      <c r="B20139" s="574">
        <v>100</v>
      </c>
      <c r="C20139" s="574">
        <v>324</v>
      </c>
    </row>
    <row r="20140" spans="1:3">
      <c r="A20140" s="573" t="s">
        <v>1662</v>
      </c>
      <c r="B20140" s="574">
        <v>128</v>
      </c>
      <c r="C20140" s="574">
        <v>348</v>
      </c>
    </row>
    <row r="20141" spans="1:3">
      <c r="A20141" s="573" t="s">
        <v>1662</v>
      </c>
      <c r="B20141" s="574">
        <v>157</v>
      </c>
      <c r="C20141" s="574">
        <v>352</v>
      </c>
    </row>
    <row r="20142" spans="1:3">
      <c r="A20142" s="573" t="s">
        <v>1662</v>
      </c>
      <c r="B20142" s="574">
        <v>157</v>
      </c>
      <c r="C20142" s="574">
        <v>352</v>
      </c>
    </row>
    <row r="20143" spans="1:3">
      <c r="A20143" s="571" t="s">
        <v>1661</v>
      </c>
      <c r="B20143" s="572">
        <v>2</v>
      </c>
      <c r="C20143" s="572">
        <v>10</v>
      </c>
    </row>
    <row r="20144" spans="1:3">
      <c r="A20144" s="571" t="s">
        <v>1661</v>
      </c>
      <c r="B20144" s="572">
        <v>3</v>
      </c>
      <c r="C20144" s="572">
        <v>30</v>
      </c>
    </row>
    <row r="20145" spans="1:3">
      <c r="A20145" s="571" t="s">
        <v>1661</v>
      </c>
      <c r="B20145" s="572">
        <v>4</v>
      </c>
      <c r="C20145" s="572">
        <v>42</v>
      </c>
    </row>
    <row r="20146" spans="1:3">
      <c r="A20146" s="571" t="s">
        <v>1661</v>
      </c>
      <c r="B20146" s="572">
        <v>7</v>
      </c>
      <c r="C20146" s="572">
        <v>70</v>
      </c>
    </row>
    <row r="20147" spans="1:3">
      <c r="A20147" s="571" t="s">
        <v>1661</v>
      </c>
      <c r="B20147" s="572">
        <v>9</v>
      </c>
      <c r="C20147" s="572">
        <v>91</v>
      </c>
    </row>
    <row r="20148" spans="1:3">
      <c r="A20148" s="571" t="s">
        <v>1661</v>
      </c>
      <c r="B20148" s="572">
        <v>12</v>
      </c>
      <c r="C20148" s="572">
        <v>100</v>
      </c>
    </row>
    <row r="20149" spans="1:3">
      <c r="A20149" s="571" t="s">
        <v>1661</v>
      </c>
      <c r="B20149" s="572">
        <v>14</v>
      </c>
      <c r="C20149" s="572">
        <v>100</v>
      </c>
    </row>
    <row r="20150" spans="1:3">
      <c r="A20150" s="571" t="s">
        <v>1661</v>
      </c>
      <c r="B20150" s="572">
        <v>21</v>
      </c>
      <c r="C20150" s="572">
        <v>121</v>
      </c>
    </row>
    <row r="20151" spans="1:3">
      <c r="A20151" s="571" t="s">
        <v>1661</v>
      </c>
      <c r="B20151" s="572">
        <v>28</v>
      </c>
      <c r="C20151" s="572">
        <v>142</v>
      </c>
    </row>
    <row r="20152" spans="1:3">
      <c r="A20152" s="571" t="s">
        <v>1661</v>
      </c>
      <c r="B20152" s="572">
        <v>37</v>
      </c>
      <c r="C20152" s="572">
        <v>200</v>
      </c>
    </row>
    <row r="20153" spans="1:3">
      <c r="A20153" s="571" t="s">
        <v>1661</v>
      </c>
      <c r="B20153" s="572">
        <v>42</v>
      </c>
      <c r="C20153" s="572">
        <v>209</v>
      </c>
    </row>
    <row r="20154" spans="1:3">
      <c r="A20154" s="571" t="s">
        <v>1661</v>
      </c>
      <c r="B20154" s="572">
        <v>49</v>
      </c>
      <c r="C20154" s="572">
        <v>210</v>
      </c>
    </row>
    <row r="20155" spans="1:3">
      <c r="A20155" s="571" t="s">
        <v>1661</v>
      </c>
      <c r="B20155" s="572">
        <v>56</v>
      </c>
      <c r="C20155" s="572">
        <v>231</v>
      </c>
    </row>
    <row r="20156" spans="1:3">
      <c r="A20156" s="571" t="s">
        <v>1661</v>
      </c>
      <c r="B20156" s="572">
        <v>70</v>
      </c>
      <c r="C20156" s="572">
        <v>232</v>
      </c>
    </row>
    <row r="20157" spans="1:3">
      <c r="A20157" s="571" t="s">
        <v>1661</v>
      </c>
      <c r="B20157" s="572">
        <v>84</v>
      </c>
      <c r="C20157" s="572">
        <v>252</v>
      </c>
    </row>
    <row r="20158" spans="1:3">
      <c r="A20158" s="571" t="s">
        <v>1661</v>
      </c>
      <c r="B20158" s="572">
        <v>98</v>
      </c>
      <c r="C20158" s="572">
        <v>272</v>
      </c>
    </row>
    <row r="20159" spans="1:3">
      <c r="A20159" s="573" t="s">
        <v>1661</v>
      </c>
      <c r="B20159" s="574">
        <v>100</v>
      </c>
      <c r="C20159" s="574">
        <v>262</v>
      </c>
    </row>
    <row r="20160" spans="1:3">
      <c r="A20160" s="573" t="s">
        <v>1661</v>
      </c>
      <c r="B20160" s="574">
        <v>128</v>
      </c>
      <c r="C20160" s="574">
        <v>300</v>
      </c>
    </row>
    <row r="20161" spans="1:3">
      <c r="A20161" s="573" t="s">
        <v>1661</v>
      </c>
      <c r="B20161" s="574">
        <v>157</v>
      </c>
      <c r="C20161" s="574">
        <v>312</v>
      </c>
    </row>
    <row r="20162" spans="1:3">
      <c r="A20162" s="573" t="s">
        <v>1661</v>
      </c>
      <c r="B20162" s="574">
        <v>157</v>
      </c>
      <c r="C20162" s="574">
        <v>312</v>
      </c>
    </row>
    <row r="20163" spans="1:3">
      <c r="A20163" s="571" t="s">
        <v>1660</v>
      </c>
      <c r="B20163" s="572">
        <v>3</v>
      </c>
      <c r="C20163" s="572">
        <v>81</v>
      </c>
    </row>
    <row r="20164" spans="1:3">
      <c r="A20164" s="571" t="s">
        <v>1660</v>
      </c>
      <c r="B20164" s="572">
        <v>4</v>
      </c>
      <c r="C20164" s="572">
        <v>92</v>
      </c>
    </row>
    <row r="20165" spans="1:3">
      <c r="A20165" s="571" t="s">
        <v>1660</v>
      </c>
      <c r="B20165" s="572">
        <v>5</v>
      </c>
      <c r="C20165" s="572">
        <v>100</v>
      </c>
    </row>
    <row r="20166" spans="1:3">
      <c r="A20166" s="571" t="s">
        <v>1660</v>
      </c>
      <c r="B20166" s="572">
        <v>6</v>
      </c>
      <c r="C20166" s="572">
        <v>121</v>
      </c>
    </row>
    <row r="20167" spans="1:3">
      <c r="A20167" s="571" t="s">
        <v>1660</v>
      </c>
      <c r="B20167" s="572">
        <v>7</v>
      </c>
      <c r="C20167" s="572">
        <v>120</v>
      </c>
    </row>
    <row r="20168" spans="1:3">
      <c r="A20168" s="571" t="s">
        <v>1660</v>
      </c>
      <c r="B20168" s="572">
        <v>8</v>
      </c>
      <c r="C20168" s="572">
        <v>118</v>
      </c>
    </row>
    <row r="20169" spans="1:3">
      <c r="A20169" s="571" t="s">
        <v>1660</v>
      </c>
      <c r="B20169" s="572">
        <v>10</v>
      </c>
      <c r="C20169" s="572">
        <v>131</v>
      </c>
    </row>
    <row r="20170" spans="1:3">
      <c r="A20170" s="571" t="s">
        <v>1660</v>
      </c>
      <c r="B20170" s="572">
        <v>13</v>
      </c>
      <c r="C20170" s="572">
        <v>161</v>
      </c>
    </row>
    <row r="20171" spans="1:3">
      <c r="A20171" s="571" t="s">
        <v>1660</v>
      </c>
      <c r="B20171" s="572">
        <v>14</v>
      </c>
      <c r="C20171" s="572">
        <v>151</v>
      </c>
    </row>
    <row r="20172" spans="1:3">
      <c r="A20172" s="571" t="s">
        <v>1660</v>
      </c>
      <c r="B20172" s="572">
        <v>23</v>
      </c>
      <c r="C20172" s="572">
        <v>200</v>
      </c>
    </row>
    <row r="20173" spans="1:3">
      <c r="A20173" s="571" t="s">
        <v>1660</v>
      </c>
      <c r="B20173" s="572">
        <v>28</v>
      </c>
      <c r="C20173" s="572">
        <v>200</v>
      </c>
    </row>
    <row r="20174" spans="1:3">
      <c r="A20174" s="571" t="s">
        <v>1660</v>
      </c>
      <c r="B20174" s="572">
        <v>35</v>
      </c>
      <c r="C20174" s="572">
        <v>241</v>
      </c>
    </row>
    <row r="20175" spans="1:3">
      <c r="A20175" s="571" t="s">
        <v>1660</v>
      </c>
      <c r="B20175" s="572">
        <v>42</v>
      </c>
      <c r="C20175" s="572">
        <v>260</v>
      </c>
    </row>
    <row r="20176" spans="1:3">
      <c r="A20176" s="571" t="s">
        <v>1660</v>
      </c>
      <c r="B20176" s="572">
        <v>48</v>
      </c>
      <c r="C20176" s="572">
        <v>252</v>
      </c>
    </row>
    <row r="20177" spans="1:3">
      <c r="A20177" s="571" t="s">
        <v>1660</v>
      </c>
      <c r="B20177" s="572">
        <v>56</v>
      </c>
      <c r="C20177" s="572">
        <v>261</v>
      </c>
    </row>
    <row r="20178" spans="1:3">
      <c r="A20178" s="571" t="s">
        <v>1660</v>
      </c>
      <c r="B20178" s="572">
        <v>70</v>
      </c>
      <c r="C20178" s="572">
        <v>270</v>
      </c>
    </row>
    <row r="20179" spans="1:3">
      <c r="A20179" s="571" t="s">
        <v>1660</v>
      </c>
      <c r="B20179" s="572">
        <v>84</v>
      </c>
      <c r="C20179" s="572">
        <v>280</v>
      </c>
    </row>
    <row r="20180" spans="1:3">
      <c r="A20180" s="571" t="s">
        <v>1660</v>
      </c>
      <c r="B20180" s="572">
        <v>98</v>
      </c>
      <c r="C20180" s="572">
        <v>290</v>
      </c>
    </row>
    <row r="20181" spans="1:3">
      <c r="A20181" s="573" t="s">
        <v>1660</v>
      </c>
      <c r="B20181" s="574">
        <v>100</v>
      </c>
      <c r="C20181" s="574">
        <v>290</v>
      </c>
    </row>
    <row r="20182" spans="1:3">
      <c r="A20182" s="573" t="s">
        <v>1660</v>
      </c>
      <c r="B20182" s="574">
        <v>100</v>
      </c>
      <c r="C20182" s="574">
        <v>290</v>
      </c>
    </row>
    <row r="20183" spans="1:3">
      <c r="A20183" s="571" t="s">
        <v>1659</v>
      </c>
      <c r="B20183" s="572">
        <v>3</v>
      </c>
      <c r="C20183" s="572">
        <v>11</v>
      </c>
    </row>
    <row r="20184" spans="1:3">
      <c r="A20184" s="571" t="s">
        <v>1659</v>
      </c>
      <c r="B20184" s="572">
        <v>4</v>
      </c>
      <c r="C20184" s="572">
        <v>51</v>
      </c>
    </row>
    <row r="20185" spans="1:3">
      <c r="A20185" s="571" t="s">
        <v>1659</v>
      </c>
      <c r="B20185" s="572">
        <v>5</v>
      </c>
      <c r="C20185" s="572">
        <v>42</v>
      </c>
    </row>
    <row r="20186" spans="1:3">
      <c r="A20186" s="571" t="s">
        <v>1659</v>
      </c>
      <c r="B20186" s="572">
        <v>6</v>
      </c>
      <c r="C20186" s="572">
        <v>49</v>
      </c>
    </row>
    <row r="20187" spans="1:3">
      <c r="A20187" s="571" t="s">
        <v>1659</v>
      </c>
      <c r="B20187" s="572">
        <v>7</v>
      </c>
      <c r="C20187" s="572">
        <v>82</v>
      </c>
    </row>
    <row r="20188" spans="1:3">
      <c r="A20188" s="571" t="s">
        <v>1659</v>
      </c>
      <c r="B20188" s="572">
        <v>8</v>
      </c>
      <c r="C20188" s="572">
        <v>51</v>
      </c>
    </row>
    <row r="20189" spans="1:3">
      <c r="A20189" s="571" t="s">
        <v>1659</v>
      </c>
      <c r="B20189" s="572">
        <v>10</v>
      </c>
      <c r="C20189" s="572">
        <v>52</v>
      </c>
    </row>
    <row r="20190" spans="1:3">
      <c r="A20190" s="571" t="s">
        <v>1659</v>
      </c>
      <c r="B20190" s="572">
        <v>13</v>
      </c>
      <c r="C20190" s="572">
        <v>90</v>
      </c>
    </row>
    <row r="20191" spans="1:3">
      <c r="A20191" s="571" t="s">
        <v>1659</v>
      </c>
      <c r="B20191" s="572">
        <v>14</v>
      </c>
      <c r="C20191" s="572">
        <v>42</v>
      </c>
    </row>
    <row r="20192" spans="1:3">
      <c r="A20192" s="571" t="s">
        <v>1659</v>
      </c>
      <c r="B20192" s="572">
        <v>23</v>
      </c>
      <c r="C20192" s="572">
        <v>81</v>
      </c>
    </row>
    <row r="20193" spans="1:3">
      <c r="A20193" s="571" t="s">
        <v>1659</v>
      </c>
      <c r="B20193" s="572">
        <v>28</v>
      </c>
      <c r="C20193" s="572">
        <v>82</v>
      </c>
    </row>
    <row r="20194" spans="1:3">
      <c r="A20194" s="571" t="s">
        <v>1659</v>
      </c>
      <c r="B20194" s="572">
        <v>35</v>
      </c>
      <c r="C20194" s="572">
        <v>121</v>
      </c>
    </row>
    <row r="20195" spans="1:3">
      <c r="A20195" s="571" t="s">
        <v>1659</v>
      </c>
      <c r="B20195" s="572">
        <v>42</v>
      </c>
      <c r="C20195" s="572">
        <v>142</v>
      </c>
    </row>
    <row r="20196" spans="1:3">
      <c r="A20196" s="571" t="s">
        <v>1659</v>
      </c>
      <c r="B20196" s="572">
        <v>48</v>
      </c>
      <c r="C20196" s="572">
        <v>142</v>
      </c>
    </row>
    <row r="20197" spans="1:3">
      <c r="A20197" s="571" t="s">
        <v>1659</v>
      </c>
      <c r="B20197" s="572">
        <v>56</v>
      </c>
      <c r="C20197" s="572">
        <v>151</v>
      </c>
    </row>
    <row r="20198" spans="1:3">
      <c r="A20198" s="571" t="s">
        <v>1659</v>
      </c>
      <c r="B20198" s="572">
        <v>70</v>
      </c>
      <c r="C20198" s="572">
        <v>170</v>
      </c>
    </row>
    <row r="20199" spans="1:3">
      <c r="A20199" s="571" t="s">
        <v>1659</v>
      </c>
      <c r="B20199" s="572">
        <v>84</v>
      </c>
      <c r="C20199" s="572">
        <v>193</v>
      </c>
    </row>
    <row r="20200" spans="1:3">
      <c r="A20200" s="571" t="s">
        <v>1659</v>
      </c>
      <c r="B20200" s="572">
        <v>98</v>
      </c>
      <c r="C20200" s="572">
        <v>191</v>
      </c>
    </row>
    <row r="20201" spans="1:3">
      <c r="A20201" s="573" t="s">
        <v>1659</v>
      </c>
      <c r="B20201" s="574">
        <v>100</v>
      </c>
      <c r="C20201" s="574">
        <v>200</v>
      </c>
    </row>
    <row r="20202" spans="1:3">
      <c r="A20202" s="573" t="s">
        <v>1659</v>
      </c>
      <c r="B20202" s="574">
        <v>100</v>
      </c>
      <c r="C20202" s="574">
        <v>200</v>
      </c>
    </row>
    <row r="20203" spans="1:3">
      <c r="A20203" s="571" t="s">
        <v>1658</v>
      </c>
      <c r="B20203" s="572">
        <v>4</v>
      </c>
      <c r="C20203" s="572">
        <v>10</v>
      </c>
    </row>
    <row r="20204" spans="1:3">
      <c r="A20204" s="571" t="s">
        <v>1658</v>
      </c>
      <c r="B20204" s="572">
        <v>5</v>
      </c>
      <c r="C20204" s="572">
        <v>30</v>
      </c>
    </row>
    <row r="20205" spans="1:3">
      <c r="A20205" s="571" t="s">
        <v>1658</v>
      </c>
      <c r="B20205" s="572">
        <v>6</v>
      </c>
      <c r="C20205" s="572">
        <v>56</v>
      </c>
    </row>
    <row r="20206" spans="1:3">
      <c r="A20206" s="571" t="s">
        <v>1658</v>
      </c>
      <c r="B20206" s="572">
        <v>7</v>
      </c>
      <c r="C20206" s="572">
        <v>30</v>
      </c>
    </row>
    <row r="20207" spans="1:3">
      <c r="A20207" s="571" t="s">
        <v>1658</v>
      </c>
      <c r="B20207" s="572">
        <v>8</v>
      </c>
      <c r="C20207" s="572">
        <v>57</v>
      </c>
    </row>
    <row r="20208" spans="1:3">
      <c r="A20208" s="571" t="s">
        <v>1658</v>
      </c>
      <c r="B20208" s="572">
        <v>10</v>
      </c>
      <c r="C20208" s="572">
        <v>58</v>
      </c>
    </row>
    <row r="20209" spans="1:3">
      <c r="A20209" s="571" t="s">
        <v>1658</v>
      </c>
      <c r="B20209" s="572">
        <v>13</v>
      </c>
      <c r="C20209" s="572">
        <v>70</v>
      </c>
    </row>
    <row r="20210" spans="1:3">
      <c r="A20210" s="571" t="s">
        <v>1658</v>
      </c>
      <c r="B20210" s="572">
        <v>14</v>
      </c>
      <c r="C20210" s="572">
        <v>69</v>
      </c>
    </row>
    <row r="20211" spans="1:3">
      <c r="A20211" s="571" t="s">
        <v>1658</v>
      </c>
      <c r="B20211" s="572">
        <v>23</v>
      </c>
      <c r="C20211" s="572">
        <v>110</v>
      </c>
    </row>
    <row r="20212" spans="1:3">
      <c r="A20212" s="571" t="s">
        <v>1658</v>
      </c>
      <c r="B20212" s="572">
        <v>28</v>
      </c>
      <c r="C20212" s="572">
        <v>131</v>
      </c>
    </row>
    <row r="20213" spans="1:3">
      <c r="A20213" s="571" t="s">
        <v>1658</v>
      </c>
      <c r="B20213" s="572">
        <v>35</v>
      </c>
      <c r="C20213" s="572">
        <v>150</v>
      </c>
    </row>
    <row r="20214" spans="1:3">
      <c r="A20214" s="571" t="s">
        <v>1658</v>
      </c>
      <c r="B20214" s="572">
        <v>42</v>
      </c>
      <c r="C20214" s="572">
        <v>173</v>
      </c>
    </row>
    <row r="20215" spans="1:3">
      <c r="A20215" s="571" t="s">
        <v>1658</v>
      </c>
      <c r="B20215" s="572">
        <v>48</v>
      </c>
      <c r="C20215" s="572">
        <v>171</v>
      </c>
    </row>
    <row r="20216" spans="1:3">
      <c r="A20216" s="571" t="s">
        <v>1658</v>
      </c>
      <c r="B20216" s="572">
        <v>54</v>
      </c>
      <c r="C20216" s="572">
        <v>193</v>
      </c>
    </row>
    <row r="20217" spans="1:3">
      <c r="A20217" s="571" t="s">
        <v>1658</v>
      </c>
      <c r="B20217" s="572">
        <v>70</v>
      </c>
      <c r="C20217" s="572">
        <v>211</v>
      </c>
    </row>
    <row r="20218" spans="1:3">
      <c r="A20218" s="571" t="s">
        <v>1658</v>
      </c>
      <c r="B20218" s="572">
        <v>84</v>
      </c>
      <c r="C20218" s="572">
        <v>222</v>
      </c>
    </row>
    <row r="20219" spans="1:3">
      <c r="A20219" s="571" t="s">
        <v>1658</v>
      </c>
      <c r="B20219" s="572">
        <v>98</v>
      </c>
      <c r="C20219" s="572">
        <v>231</v>
      </c>
    </row>
    <row r="20220" spans="1:3">
      <c r="A20220" s="573" t="s">
        <v>1658</v>
      </c>
      <c r="B20220" s="574">
        <v>100</v>
      </c>
      <c r="C20220" s="574">
        <v>251</v>
      </c>
    </row>
    <row r="20221" spans="1:3">
      <c r="A20221" s="573" t="s">
        <v>1658</v>
      </c>
      <c r="B20221" s="574">
        <v>100</v>
      </c>
      <c r="C20221" s="574">
        <v>251</v>
      </c>
    </row>
    <row r="20222" spans="1:3">
      <c r="A20222" s="571" t="s">
        <v>1657</v>
      </c>
      <c r="B20222" s="572">
        <v>8</v>
      </c>
      <c r="C20222" s="572">
        <v>240</v>
      </c>
    </row>
    <row r="20223" spans="1:3">
      <c r="A20223" s="571" t="s">
        <v>1657</v>
      </c>
      <c r="B20223" s="572">
        <v>10</v>
      </c>
      <c r="C20223" s="572">
        <v>330</v>
      </c>
    </row>
    <row r="20224" spans="1:3">
      <c r="A20224" s="571" t="s">
        <v>1657</v>
      </c>
      <c r="B20224" s="572">
        <v>17</v>
      </c>
      <c r="C20224" s="572">
        <v>460</v>
      </c>
    </row>
    <row r="20225" spans="1:3">
      <c r="A20225" s="571" t="s">
        <v>1657</v>
      </c>
      <c r="B20225" s="572">
        <v>31</v>
      </c>
      <c r="C20225" s="572">
        <v>580</v>
      </c>
    </row>
    <row r="20226" spans="1:3">
      <c r="A20226" s="571" t="s">
        <v>1657</v>
      </c>
      <c r="B20226" s="572">
        <v>48</v>
      </c>
      <c r="C20226" s="572">
        <v>660</v>
      </c>
    </row>
    <row r="20227" spans="1:3">
      <c r="A20227" s="571" t="s">
        <v>1657</v>
      </c>
      <c r="B20227" s="572">
        <v>63</v>
      </c>
      <c r="C20227" s="572">
        <v>705</v>
      </c>
    </row>
    <row r="20228" spans="1:3">
      <c r="A20228" s="571" t="s">
        <v>1657</v>
      </c>
      <c r="B20228" s="572">
        <v>89</v>
      </c>
      <c r="C20228" s="572">
        <v>740</v>
      </c>
    </row>
    <row r="20229" spans="1:3">
      <c r="A20229" s="573" t="s">
        <v>1657</v>
      </c>
      <c r="B20229" s="574">
        <v>120</v>
      </c>
      <c r="C20229" s="574">
        <v>775</v>
      </c>
    </row>
    <row r="20230" spans="1:3">
      <c r="A20230" s="573" t="s">
        <v>1657</v>
      </c>
      <c r="B20230" s="574">
        <v>185</v>
      </c>
      <c r="C20230" s="574">
        <v>810</v>
      </c>
    </row>
    <row r="20231" spans="1:3">
      <c r="A20231" s="573" t="s">
        <v>1657</v>
      </c>
      <c r="B20231" s="574">
        <v>248</v>
      </c>
      <c r="C20231" s="574">
        <v>840</v>
      </c>
    </row>
    <row r="20232" spans="1:3">
      <c r="A20232" s="573" t="s">
        <v>1657</v>
      </c>
      <c r="B20232" s="574">
        <v>363</v>
      </c>
      <c r="C20232" s="574">
        <v>860</v>
      </c>
    </row>
    <row r="20233" spans="1:3">
      <c r="A20233" s="573" t="s">
        <v>1657</v>
      </c>
      <c r="B20233" s="574">
        <v>412</v>
      </c>
      <c r="C20233" s="574">
        <v>870</v>
      </c>
    </row>
    <row r="20234" spans="1:3">
      <c r="A20234" s="569" t="s">
        <v>1657</v>
      </c>
      <c r="B20234" s="570">
        <v>538</v>
      </c>
      <c r="C20234" s="570">
        <v>895</v>
      </c>
    </row>
    <row r="20235" spans="1:3">
      <c r="A20235" s="569" t="s">
        <v>1657</v>
      </c>
      <c r="B20235" s="570">
        <v>766</v>
      </c>
      <c r="C20235" s="570">
        <v>900</v>
      </c>
    </row>
    <row r="20236" spans="1:3">
      <c r="A20236" s="569" t="s">
        <v>1657</v>
      </c>
      <c r="B20236" s="570">
        <v>849</v>
      </c>
      <c r="C20236" s="570">
        <v>910</v>
      </c>
    </row>
    <row r="20237" spans="1:3">
      <c r="A20237" s="569" t="s">
        <v>1657</v>
      </c>
      <c r="B20237" s="570">
        <v>1035</v>
      </c>
      <c r="C20237" s="570">
        <v>920</v>
      </c>
    </row>
    <row r="20238" spans="1:3">
      <c r="A20238" s="569" t="s">
        <v>1657</v>
      </c>
      <c r="B20238" s="570">
        <v>1340</v>
      </c>
      <c r="C20238" s="570">
        <v>925</v>
      </c>
    </row>
    <row r="20239" spans="1:3">
      <c r="A20239" s="569" t="s">
        <v>1657</v>
      </c>
      <c r="B20239" s="570">
        <v>1395</v>
      </c>
      <c r="C20239" s="570">
        <v>930</v>
      </c>
    </row>
    <row r="20240" spans="1:3">
      <c r="A20240" s="569" t="s">
        <v>1657</v>
      </c>
      <c r="B20240" s="570">
        <v>1495</v>
      </c>
      <c r="C20240" s="570">
        <v>930</v>
      </c>
    </row>
    <row r="20241" spans="1:3">
      <c r="A20241" s="569" t="s">
        <v>1657</v>
      </c>
      <c r="B20241" s="570">
        <v>1495</v>
      </c>
      <c r="C20241" s="570">
        <v>930</v>
      </c>
    </row>
    <row r="20242" spans="1:3">
      <c r="A20242" s="571" t="s">
        <v>1656</v>
      </c>
      <c r="B20242" s="572">
        <v>16</v>
      </c>
      <c r="C20242" s="572">
        <v>300</v>
      </c>
    </row>
    <row r="20243" spans="1:3">
      <c r="A20243" s="571" t="s">
        <v>1656</v>
      </c>
      <c r="B20243" s="572">
        <v>28</v>
      </c>
      <c r="C20243" s="572">
        <v>380</v>
      </c>
    </row>
    <row r="20244" spans="1:3">
      <c r="A20244" s="571" t="s">
        <v>1656</v>
      </c>
      <c r="B20244" s="572">
        <v>31</v>
      </c>
      <c r="C20244" s="572">
        <v>440</v>
      </c>
    </row>
    <row r="20245" spans="1:3">
      <c r="A20245" s="571" t="s">
        <v>1656</v>
      </c>
      <c r="B20245" s="572">
        <v>41</v>
      </c>
      <c r="C20245" s="572">
        <v>470</v>
      </c>
    </row>
    <row r="20246" spans="1:3">
      <c r="A20246" s="571" t="s">
        <v>1656</v>
      </c>
      <c r="B20246" s="572">
        <v>55</v>
      </c>
      <c r="C20246" s="572">
        <v>545</v>
      </c>
    </row>
    <row r="20247" spans="1:3">
      <c r="A20247" s="571" t="s">
        <v>1656</v>
      </c>
      <c r="B20247" s="572">
        <v>80</v>
      </c>
      <c r="C20247" s="572">
        <v>605</v>
      </c>
    </row>
    <row r="20248" spans="1:3">
      <c r="A20248" s="573" t="s">
        <v>1656</v>
      </c>
      <c r="B20248" s="574">
        <v>120</v>
      </c>
      <c r="C20248" s="574">
        <v>660</v>
      </c>
    </row>
    <row r="20249" spans="1:3">
      <c r="A20249" s="573" t="s">
        <v>1656</v>
      </c>
      <c r="B20249" s="574">
        <v>142</v>
      </c>
      <c r="C20249" s="574">
        <v>710</v>
      </c>
    </row>
    <row r="20250" spans="1:3">
      <c r="A20250" s="573" t="s">
        <v>1656</v>
      </c>
      <c r="B20250" s="574">
        <v>181</v>
      </c>
      <c r="C20250" s="574">
        <v>750</v>
      </c>
    </row>
    <row r="20251" spans="1:3">
      <c r="A20251" s="573" t="s">
        <v>1656</v>
      </c>
      <c r="B20251" s="574">
        <v>298</v>
      </c>
      <c r="C20251" s="574">
        <v>840</v>
      </c>
    </row>
    <row r="20252" spans="1:3">
      <c r="A20252" s="573" t="s">
        <v>1656</v>
      </c>
      <c r="B20252" s="574">
        <v>385</v>
      </c>
      <c r="C20252" s="574">
        <v>850</v>
      </c>
    </row>
    <row r="20253" spans="1:3">
      <c r="A20253" s="573" t="s">
        <v>1656</v>
      </c>
      <c r="B20253" s="574">
        <v>454</v>
      </c>
      <c r="C20253" s="574">
        <v>850</v>
      </c>
    </row>
    <row r="20254" spans="1:3">
      <c r="A20254" s="569" t="s">
        <v>1656</v>
      </c>
      <c r="B20254" s="570">
        <v>568</v>
      </c>
      <c r="C20254" s="570">
        <v>860</v>
      </c>
    </row>
    <row r="20255" spans="1:3">
      <c r="A20255" s="569" t="s">
        <v>1656</v>
      </c>
      <c r="B20255" s="570">
        <v>680</v>
      </c>
      <c r="C20255" s="570">
        <v>880</v>
      </c>
    </row>
    <row r="20256" spans="1:3">
      <c r="A20256" s="569" t="s">
        <v>1656</v>
      </c>
      <c r="B20256" s="570">
        <v>875</v>
      </c>
      <c r="C20256" s="570">
        <v>885</v>
      </c>
    </row>
    <row r="20257" spans="1:3">
      <c r="A20257" s="569" t="s">
        <v>1656</v>
      </c>
      <c r="B20257" s="570">
        <v>1110</v>
      </c>
      <c r="C20257" s="570">
        <v>890</v>
      </c>
    </row>
    <row r="20258" spans="1:3">
      <c r="A20258" s="569" t="s">
        <v>1656</v>
      </c>
      <c r="B20258" s="570">
        <v>1430</v>
      </c>
      <c r="C20258" s="570">
        <v>900</v>
      </c>
    </row>
    <row r="20259" spans="1:3">
      <c r="A20259" s="569" t="s">
        <v>1656</v>
      </c>
      <c r="B20259" s="570">
        <v>1633</v>
      </c>
      <c r="C20259" s="570">
        <v>880</v>
      </c>
    </row>
    <row r="20260" spans="1:3">
      <c r="A20260" s="569" t="s">
        <v>1656</v>
      </c>
      <c r="B20260" s="570">
        <v>1760</v>
      </c>
      <c r="C20260" s="570">
        <v>890</v>
      </c>
    </row>
    <row r="20261" spans="1:3">
      <c r="A20261" s="569" t="s">
        <v>1656</v>
      </c>
      <c r="B20261" s="570">
        <v>1760</v>
      </c>
      <c r="C20261" s="570">
        <v>890</v>
      </c>
    </row>
    <row r="20262" spans="1:3">
      <c r="A20262" s="571" t="s">
        <v>1655</v>
      </c>
      <c r="B20262" s="572">
        <v>12</v>
      </c>
      <c r="C20262" s="572">
        <v>180</v>
      </c>
    </row>
    <row r="20263" spans="1:3">
      <c r="A20263" s="571" t="s">
        <v>1655</v>
      </c>
      <c r="B20263" s="572">
        <v>25</v>
      </c>
      <c r="C20263" s="572">
        <v>290</v>
      </c>
    </row>
    <row r="20264" spans="1:3">
      <c r="A20264" s="571" t="s">
        <v>1655</v>
      </c>
      <c r="B20264" s="572">
        <v>45</v>
      </c>
      <c r="C20264" s="572">
        <v>410</v>
      </c>
    </row>
    <row r="20265" spans="1:3">
      <c r="A20265" s="571" t="s">
        <v>1655</v>
      </c>
      <c r="B20265" s="572">
        <v>65</v>
      </c>
      <c r="C20265" s="572">
        <v>490</v>
      </c>
    </row>
    <row r="20266" spans="1:3">
      <c r="A20266" s="571" t="s">
        <v>1655</v>
      </c>
      <c r="B20266" s="572">
        <v>85</v>
      </c>
      <c r="C20266" s="572">
        <v>530</v>
      </c>
    </row>
    <row r="20267" spans="1:3">
      <c r="A20267" s="573" t="s">
        <v>1655</v>
      </c>
      <c r="B20267" s="574">
        <v>115</v>
      </c>
      <c r="C20267" s="574">
        <v>570</v>
      </c>
    </row>
    <row r="20268" spans="1:3">
      <c r="A20268" s="573" t="s">
        <v>1655</v>
      </c>
      <c r="B20268" s="574">
        <v>140</v>
      </c>
      <c r="C20268" s="574">
        <v>600</v>
      </c>
    </row>
    <row r="20269" spans="1:3">
      <c r="A20269" s="573" t="s">
        <v>1655</v>
      </c>
      <c r="B20269" s="574">
        <v>175</v>
      </c>
      <c r="C20269" s="574">
        <v>630</v>
      </c>
    </row>
    <row r="20270" spans="1:3">
      <c r="A20270" s="573" t="s">
        <v>1655</v>
      </c>
      <c r="B20270" s="574">
        <v>260</v>
      </c>
      <c r="C20270" s="574">
        <v>690</v>
      </c>
    </row>
    <row r="20271" spans="1:3">
      <c r="A20271" s="573" t="s">
        <v>1655</v>
      </c>
      <c r="B20271" s="574">
        <v>350</v>
      </c>
      <c r="C20271" s="574">
        <v>710</v>
      </c>
    </row>
    <row r="20272" spans="1:3">
      <c r="A20272" s="573" t="s">
        <v>1655</v>
      </c>
      <c r="B20272" s="574">
        <v>445</v>
      </c>
      <c r="C20272" s="574">
        <v>730</v>
      </c>
    </row>
    <row r="20273" spans="1:3">
      <c r="A20273" s="569" t="s">
        <v>1655</v>
      </c>
      <c r="B20273" s="570">
        <v>560</v>
      </c>
      <c r="C20273" s="570">
        <v>750</v>
      </c>
    </row>
    <row r="20274" spans="1:3">
      <c r="A20274" s="569" t="s">
        <v>1655</v>
      </c>
      <c r="B20274" s="570">
        <v>672</v>
      </c>
      <c r="C20274" s="570">
        <v>755</v>
      </c>
    </row>
    <row r="20275" spans="1:3">
      <c r="A20275" s="569" t="s">
        <v>1655</v>
      </c>
      <c r="B20275" s="570">
        <v>800</v>
      </c>
      <c r="C20275" s="570">
        <v>775</v>
      </c>
    </row>
    <row r="20276" spans="1:3">
      <c r="A20276" s="569" t="s">
        <v>1655</v>
      </c>
      <c r="B20276" s="570">
        <v>1110</v>
      </c>
      <c r="C20276" s="570">
        <v>785</v>
      </c>
    </row>
    <row r="20277" spans="1:3">
      <c r="A20277" s="569" t="s">
        <v>1655</v>
      </c>
      <c r="B20277" s="570">
        <v>1300</v>
      </c>
      <c r="C20277" s="570">
        <v>800</v>
      </c>
    </row>
    <row r="20278" spans="1:3">
      <c r="A20278" s="569" t="s">
        <v>1655</v>
      </c>
      <c r="B20278" s="570">
        <v>1518</v>
      </c>
      <c r="C20278" s="570">
        <v>795</v>
      </c>
    </row>
    <row r="20279" spans="1:3">
      <c r="A20279" s="569" t="s">
        <v>1655</v>
      </c>
      <c r="B20279" s="570">
        <v>1695</v>
      </c>
      <c r="C20279" s="570">
        <v>795</v>
      </c>
    </row>
    <row r="20280" spans="1:3">
      <c r="A20280" s="569" t="s">
        <v>1655</v>
      </c>
      <c r="B20280" s="570">
        <v>1795</v>
      </c>
      <c r="C20280" s="570">
        <v>800</v>
      </c>
    </row>
    <row r="20281" spans="1:3">
      <c r="A20281" s="569" t="s">
        <v>1655</v>
      </c>
      <c r="B20281" s="570">
        <v>1795</v>
      </c>
      <c r="C20281" s="570">
        <v>800</v>
      </c>
    </row>
    <row r="20282" spans="1:3">
      <c r="A20282" s="571" t="s">
        <v>1654</v>
      </c>
      <c r="B20282" s="572">
        <v>15</v>
      </c>
      <c r="C20282" s="572">
        <v>110</v>
      </c>
    </row>
    <row r="20283" spans="1:3">
      <c r="A20283" s="571" t="s">
        <v>1654</v>
      </c>
      <c r="B20283" s="572">
        <v>25</v>
      </c>
      <c r="C20283" s="572">
        <v>220</v>
      </c>
    </row>
    <row r="20284" spans="1:3">
      <c r="A20284" s="571" t="s">
        <v>1654</v>
      </c>
      <c r="B20284" s="572">
        <v>33</v>
      </c>
      <c r="C20284" s="572">
        <v>260</v>
      </c>
    </row>
    <row r="20285" spans="1:3">
      <c r="A20285" s="571" t="s">
        <v>1654</v>
      </c>
      <c r="B20285" s="572">
        <v>45</v>
      </c>
      <c r="C20285" s="572">
        <v>310</v>
      </c>
    </row>
    <row r="20286" spans="1:3">
      <c r="A20286" s="571" t="s">
        <v>1654</v>
      </c>
      <c r="B20286" s="572">
        <v>60</v>
      </c>
      <c r="C20286" s="572">
        <v>350</v>
      </c>
    </row>
    <row r="20287" spans="1:3">
      <c r="A20287" s="571" t="s">
        <v>1654</v>
      </c>
      <c r="B20287" s="572">
        <v>92</v>
      </c>
      <c r="C20287" s="572">
        <v>410</v>
      </c>
    </row>
    <row r="20288" spans="1:3">
      <c r="A20288" s="573" t="s">
        <v>1654</v>
      </c>
      <c r="B20288" s="574">
        <v>145</v>
      </c>
      <c r="C20288" s="574">
        <v>505</v>
      </c>
    </row>
    <row r="20289" spans="1:3">
      <c r="A20289" s="573" t="s">
        <v>1654</v>
      </c>
      <c r="B20289" s="574">
        <v>180</v>
      </c>
      <c r="C20289" s="574">
        <v>550</v>
      </c>
    </row>
    <row r="20290" spans="1:3">
      <c r="A20290" s="573" t="s">
        <v>1654</v>
      </c>
      <c r="B20290" s="574">
        <v>277</v>
      </c>
      <c r="C20290" s="574">
        <v>620</v>
      </c>
    </row>
    <row r="20291" spans="1:3">
      <c r="A20291" s="573" t="s">
        <v>1654</v>
      </c>
      <c r="B20291" s="574">
        <v>370</v>
      </c>
      <c r="C20291" s="574">
        <v>630</v>
      </c>
    </row>
    <row r="20292" spans="1:3">
      <c r="A20292" s="573" t="s">
        <v>1654</v>
      </c>
      <c r="B20292" s="574">
        <v>435</v>
      </c>
      <c r="C20292" s="574">
        <v>640</v>
      </c>
    </row>
    <row r="20293" spans="1:3">
      <c r="A20293" s="569" t="s">
        <v>1654</v>
      </c>
      <c r="B20293" s="570">
        <v>545</v>
      </c>
      <c r="C20293" s="570">
        <v>670</v>
      </c>
    </row>
    <row r="20294" spans="1:3">
      <c r="A20294" s="569" t="s">
        <v>1654</v>
      </c>
      <c r="B20294" s="570">
        <v>735</v>
      </c>
      <c r="C20294" s="570">
        <v>680</v>
      </c>
    </row>
    <row r="20295" spans="1:3">
      <c r="A20295" s="569" t="s">
        <v>1654</v>
      </c>
      <c r="B20295" s="570">
        <v>910</v>
      </c>
      <c r="C20295" s="570">
        <v>690</v>
      </c>
    </row>
    <row r="20296" spans="1:3">
      <c r="A20296" s="569" t="s">
        <v>1654</v>
      </c>
      <c r="B20296" s="570">
        <v>1020</v>
      </c>
      <c r="C20296" s="570">
        <v>700</v>
      </c>
    </row>
    <row r="20297" spans="1:3">
      <c r="A20297" s="569" t="s">
        <v>1654</v>
      </c>
      <c r="B20297" s="570">
        <v>1110</v>
      </c>
      <c r="C20297" s="570">
        <v>710</v>
      </c>
    </row>
    <row r="20298" spans="1:3">
      <c r="A20298" s="569" t="s">
        <v>1654</v>
      </c>
      <c r="B20298" s="570">
        <v>1410</v>
      </c>
      <c r="C20298" s="570">
        <v>720</v>
      </c>
    </row>
    <row r="20299" spans="1:3">
      <c r="A20299" s="569" t="s">
        <v>1654</v>
      </c>
      <c r="B20299" s="570">
        <v>1680</v>
      </c>
      <c r="C20299" s="570">
        <v>710</v>
      </c>
    </row>
    <row r="20300" spans="1:3">
      <c r="A20300" s="569" t="s">
        <v>1654</v>
      </c>
      <c r="B20300" s="570">
        <v>1750</v>
      </c>
      <c r="C20300" s="570">
        <v>715</v>
      </c>
    </row>
    <row r="20301" spans="1:3">
      <c r="A20301" s="569" t="s">
        <v>1654</v>
      </c>
      <c r="B20301" s="570">
        <v>1750</v>
      </c>
      <c r="C20301" s="570">
        <v>715</v>
      </c>
    </row>
    <row r="20302" spans="1:3">
      <c r="A20302" s="571" t="s">
        <v>1652</v>
      </c>
      <c r="B20302" s="572">
        <v>15</v>
      </c>
      <c r="C20302" s="572">
        <v>80</v>
      </c>
    </row>
    <row r="20303" spans="1:3">
      <c r="A20303" s="571" t="s">
        <v>1652</v>
      </c>
      <c r="B20303" s="572">
        <v>24</v>
      </c>
      <c r="C20303" s="572">
        <v>150</v>
      </c>
    </row>
    <row r="20304" spans="1:3">
      <c r="A20304" s="571" t="s">
        <v>1652</v>
      </c>
      <c r="B20304" s="572">
        <v>28</v>
      </c>
      <c r="C20304" s="572">
        <v>175</v>
      </c>
    </row>
    <row r="20305" spans="1:3">
      <c r="A20305" s="571" t="s">
        <v>1652</v>
      </c>
      <c r="B20305" s="572">
        <v>43</v>
      </c>
      <c r="C20305" s="572">
        <v>200</v>
      </c>
    </row>
    <row r="20306" spans="1:3">
      <c r="A20306" s="571" t="s">
        <v>1652</v>
      </c>
      <c r="B20306" s="572">
        <v>55</v>
      </c>
      <c r="C20306" s="572">
        <v>225</v>
      </c>
    </row>
    <row r="20307" spans="1:3">
      <c r="A20307" s="571" t="s">
        <v>1652</v>
      </c>
      <c r="B20307" s="572">
        <v>66</v>
      </c>
      <c r="C20307" s="572">
        <v>245</v>
      </c>
    </row>
    <row r="20308" spans="1:3">
      <c r="A20308" s="571" t="s">
        <v>1652</v>
      </c>
      <c r="B20308" s="572">
        <v>80</v>
      </c>
      <c r="C20308" s="572">
        <v>260</v>
      </c>
    </row>
    <row r="20309" spans="1:3">
      <c r="A20309" s="571" t="s">
        <v>1652</v>
      </c>
      <c r="B20309" s="572">
        <v>95</v>
      </c>
      <c r="C20309" s="572">
        <v>285</v>
      </c>
    </row>
    <row r="20310" spans="1:3">
      <c r="A20310" s="573" t="s">
        <v>1652</v>
      </c>
      <c r="B20310" s="574">
        <v>138</v>
      </c>
      <c r="C20310" s="574">
        <v>335</v>
      </c>
    </row>
    <row r="20311" spans="1:3">
      <c r="A20311" s="573" t="s">
        <v>1652</v>
      </c>
      <c r="B20311" s="574">
        <v>185</v>
      </c>
      <c r="C20311" s="574">
        <v>365</v>
      </c>
    </row>
    <row r="20312" spans="1:3">
      <c r="A20312" s="573" t="s">
        <v>1652</v>
      </c>
      <c r="B20312" s="574">
        <v>310</v>
      </c>
      <c r="C20312" s="574">
        <v>455</v>
      </c>
    </row>
    <row r="20313" spans="1:3">
      <c r="A20313" s="573" t="s">
        <v>1652</v>
      </c>
      <c r="B20313" s="574">
        <v>365</v>
      </c>
      <c r="C20313" s="574">
        <v>465</v>
      </c>
    </row>
    <row r="20314" spans="1:3">
      <c r="A20314" s="569" t="s">
        <v>1652</v>
      </c>
      <c r="B20314" s="570">
        <v>512</v>
      </c>
      <c r="C20314" s="570">
        <v>520</v>
      </c>
    </row>
    <row r="20315" spans="1:3">
      <c r="A20315" s="569" t="s">
        <v>1652</v>
      </c>
      <c r="B20315" s="570">
        <v>756</v>
      </c>
      <c r="C20315" s="570">
        <v>560</v>
      </c>
    </row>
    <row r="20316" spans="1:3">
      <c r="A20316" s="569" t="s">
        <v>1652</v>
      </c>
      <c r="B20316" s="570">
        <v>1070</v>
      </c>
      <c r="C20316" s="570">
        <v>580</v>
      </c>
    </row>
    <row r="20317" spans="1:3">
      <c r="A20317" s="569" t="s">
        <v>1652</v>
      </c>
      <c r="B20317" s="570">
        <v>1160</v>
      </c>
      <c r="C20317" s="570">
        <v>590</v>
      </c>
    </row>
    <row r="20318" spans="1:3">
      <c r="A20318" s="569" t="s">
        <v>1652</v>
      </c>
      <c r="B20318" s="570">
        <v>1375</v>
      </c>
      <c r="C20318" s="570">
        <v>610</v>
      </c>
    </row>
    <row r="20319" spans="1:3">
      <c r="A20319" s="569" t="s">
        <v>1652</v>
      </c>
      <c r="B20319" s="570">
        <v>1648</v>
      </c>
      <c r="C20319" s="570">
        <v>605</v>
      </c>
    </row>
    <row r="20320" spans="1:3">
      <c r="A20320" s="569" t="s">
        <v>1652</v>
      </c>
      <c r="B20320" s="570">
        <v>1720</v>
      </c>
      <c r="C20320" s="570">
        <v>610</v>
      </c>
    </row>
    <row r="20321" spans="1:3">
      <c r="A20321" s="569" t="s">
        <v>1652</v>
      </c>
      <c r="B20321" s="570">
        <v>1720</v>
      </c>
      <c r="C20321" s="570">
        <v>610</v>
      </c>
    </row>
    <row r="20322" spans="1:3">
      <c r="A20322" s="571" t="s">
        <v>1651</v>
      </c>
      <c r="B20322" s="572">
        <v>28</v>
      </c>
      <c r="C20322" s="572">
        <v>110</v>
      </c>
    </row>
    <row r="20323" spans="1:3">
      <c r="A20323" s="571" t="s">
        <v>1651</v>
      </c>
      <c r="B20323" s="572">
        <v>40</v>
      </c>
      <c r="C20323" s="572">
        <v>155</v>
      </c>
    </row>
    <row r="20324" spans="1:3">
      <c r="A20324" s="571" t="s">
        <v>1651</v>
      </c>
      <c r="B20324" s="572">
        <v>52</v>
      </c>
      <c r="C20324" s="572">
        <v>180</v>
      </c>
    </row>
    <row r="20325" spans="1:3">
      <c r="A20325" s="571" t="s">
        <v>1651</v>
      </c>
      <c r="B20325" s="572">
        <v>65</v>
      </c>
      <c r="C20325" s="572">
        <v>210</v>
      </c>
    </row>
    <row r="20326" spans="1:3">
      <c r="A20326" s="571" t="s">
        <v>1651</v>
      </c>
      <c r="B20326" s="572">
        <v>88</v>
      </c>
      <c r="C20326" s="572">
        <v>230</v>
      </c>
    </row>
    <row r="20327" spans="1:3">
      <c r="A20327" s="573" t="s">
        <v>1651</v>
      </c>
      <c r="B20327" s="574">
        <v>120</v>
      </c>
      <c r="C20327" s="574">
        <v>260</v>
      </c>
    </row>
    <row r="20328" spans="1:3">
      <c r="A20328" s="573" t="s">
        <v>1651</v>
      </c>
      <c r="B20328" s="574">
        <v>195</v>
      </c>
      <c r="C20328" s="574">
        <v>340</v>
      </c>
    </row>
    <row r="20329" spans="1:3">
      <c r="A20329" s="573" t="s">
        <v>1651</v>
      </c>
      <c r="B20329" s="574">
        <v>265</v>
      </c>
      <c r="C20329" s="574">
        <v>400</v>
      </c>
    </row>
    <row r="20330" spans="1:3">
      <c r="A20330" s="573" t="s">
        <v>1651</v>
      </c>
      <c r="B20330" s="574">
        <v>375</v>
      </c>
      <c r="C20330" s="574">
        <v>440</v>
      </c>
    </row>
    <row r="20331" spans="1:3">
      <c r="A20331" s="573" t="s">
        <v>1651</v>
      </c>
      <c r="B20331" s="574">
        <v>440</v>
      </c>
      <c r="C20331" s="574">
        <v>460</v>
      </c>
    </row>
    <row r="20332" spans="1:3">
      <c r="A20332" s="569" t="s">
        <v>1651</v>
      </c>
      <c r="B20332" s="570">
        <v>505</v>
      </c>
      <c r="C20332" s="570">
        <v>480</v>
      </c>
    </row>
    <row r="20333" spans="1:3">
      <c r="A20333" s="569" t="s">
        <v>1651</v>
      </c>
      <c r="B20333" s="570">
        <v>595</v>
      </c>
      <c r="C20333" s="570">
        <v>490</v>
      </c>
    </row>
    <row r="20334" spans="1:3">
      <c r="A20334" s="569" t="s">
        <v>1651</v>
      </c>
      <c r="B20334" s="570">
        <v>720</v>
      </c>
      <c r="C20334" s="570">
        <v>520</v>
      </c>
    </row>
    <row r="20335" spans="1:3">
      <c r="A20335" s="569" t="s">
        <v>1651</v>
      </c>
      <c r="B20335" s="570">
        <v>1005</v>
      </c>
      <c r="C20335" s="570">
        <v>540</v>
      </c>
    </row>
    <row r="20336" spans="1:3">
      <c r="A20336" s="569" t="s">
        <v>1651</v>
      </c>
      <c r="B20336" s="570">
        <v>1090</v>
      </c>
      <c r="C20336" s="570">
        <v>550</v>
      </c>
    </row>
    <row r="20337" spans="1:3">
      <c r="A20337" s="569" t="s">
        <v>1651</v>
      </c>
      <c r="B20337" s="570">
        <v>1270</v>
      </c>
      <c r="C20337" s="570">
        <v>565</v>
      </c>
    </row>
    <row r="20338" spans="1:3">
      <c r="A20338" s="569" t="s">
        <v>1651</v>
      </c>
      <c r="B20338" s="570">
        <v>1395</v>
      </c>
      <c r="C20338" s="570">
        <v>580</v>
      </c>
    </row>
    <row r="20339" spans="1:3">
      <c r="A20339" s="569" t="s">
        <v>1651</v>
      </c>
      <c r="B20339" s="570">
        <v>1560</v>
      </c>
      <c r="C20339" s="570">
        <v>570</v>
      </c>
    </row>
    <row r="20340" spans="1:3">
      <c r="A20340" s="569" t="s">
        <v>1651</v>
      </c>
      <c r="B20340" s="570">
        <v>1775</v>
      </c>
      <c r="C20340" s="570">
        <v>585</v>
      </c>
    </row>
    <row r="20341" spans="1:3">
      <c r="A20341" s="569" t="s">
        <v>1651</v>
      </c>
      <c r="B20341" s="570">
        <v>1775</v>
      </c>
      <c r="C20341" s="570">
        <v>585</v>
      </c>
    </row>
    <row r="20342" spans="1:3">
      <c r="A20342" s="571" t="s">
        <v>1650</v>
      </c>
      <c r="B20342" s="572">
        <v>20</v>
      </c>
      <c r="C20342" s="572">
        <v>40</v>
      </c>
    </row>
    <row r="20343" spans="1:3">
      <c r="A20343" s="571" t="s">
        <v>1650</v>
      </c>
      <c r="B20343" s="572">
        <v>38</v>
      </c>
      <c r="C20343" s="572">
        <v>80</v>
      </c>
    </row>
    <row r="20344" spans="1:3">
      <c r="A20344" s="571" t="s">
        <v>1650</v>
      </c>
      <c r="B20344" s="572">
        <v>55</v>
      </c>
      <c r="C20344" s="572">
        <v>110</v>
      </c>
    </row>
    <row r="20345" spans="1:3">
      <c r="A20345" s="571" t="s">
        <v>1650</v>
      </c>
      <c r="B20345" s="572">
        <v>70</v>
      </c>
      <c r="C20345" s="572">
        <v>120</v>
      </c>
    </row>
    <row r="20346" spans="1:3">
      <c r="A20346" s="571" t="s">
        <v>1650</v>
      </c>
      <c r="B20346" s="572">
        <v>95</v>
      </c>
      <c r="C20346" s="572">
        <v>160</v>
      </c>
    </row>
    <row r="20347" spans="1:3">
      <c r="A20347" s="573" t="s">
        <v>1650</v>
      </c>
      <c r="B20347" s="574">
        <v>117</v>
      </c>
      <c r="C20347" s="574">
        <v>170</v>
      </c>
    </row>
    <row r="20348" spans="1:3">
      <c r="A20348" s="573" t="s">
        <v>1650</v>
      </c>
      <c r="B20348" s="574">
        <v>150</v>
      </c>
      <c r="C20348" s="574">
        <v>210</v>
      </c>
    </row>
    <row r="20349" spans="1:3">
      <c r="A20349" s="573" t="s">
        <v>1650</v>
      </c>
      <c r="B20349" s="574">
        <v>210</v>
      </c>
      <c r="C20349" s="574">
        <v>255</v>
      </c>
    </row>
    <row r="20350" spans="1:3">
      <c r="A20350" s="573" t="s">
        <v>1650</v>
      </c>
      <c r="B20350" s="574">
        <v>280</v>
      </c>
      <c r="C20350" s="574">
        <v>290</v>
      </c>
    </row>
    <row r="20351" spans="1:3">
      <c r="A20351" s="573" t="s">
        <v>1650</v>
      </c>
      <c r="B20351" s="574">
        <v>328</v>
      </c>
      <c r="C20351" s="574">
        <v>305</v>
      </c>
    </row>
    <row r="20352" spans="1:3">
      <c r="A20352" s="573" t="s">
        <v>1650</v>
      </c>
      <c r="B20352" s="574">
        <v>395</v>
      </c>
      <c r="C20352" s="574">
        <v>320</v>
      </c>
    </row>
    <row r="20353" spans="1:3">
      <c r="A20353" s="573" t="s">
        <v>1650</v>
      </c>
      <c r="B20353" s="574">
        <v>460</v>
      </c>
      <c r="C20353" s="574">
        <v>330</v>
      </c>
    </row>
    <row r="20354" spans="1:3">
      <c r="A20354" s="569" t="s">
        <v>1650</v>
      </c>
      <c r="B20354" s="570">
        <v>580</v>
      </c>
      <c r="C20354" s="570">
        <v>350</v>
      </c>
    </row>
    <row r="20355" spans="1:3">
      <c r="A20355" s="569" t="s">
        <v>1650</v>
      </c>
      <c r="B20355" s="570">
        <v>750</v>
      </c>
      <c r="C20355" s="570">
        <v>410</v>
      </c>
    </row>
    <row r="20356" spans="1:3">
      <c r="A20356" s="569" t="s">
        <v>1650</v>
      </c>
      <c r="B20356" s="570">
        <v>875</v>
      </c>
      <c r="C20356" s="570">
        <v>400</v>
      </c>
    </row>
    <row r="20357" spans="1:3">
      <c r="A20357" s="569" t="s">
        <v>1650</v>
      </c>
      <c r="B20357" s="570">
        <v>1065</v>
      </c>
      <c r="C20357" s="570">
        <v>420</v>
      </c>
    </row>
    <row r="20358" spans="1:3">
      <c r="A20358" s="569" t="s">
        <v>1650</v>
      </c>
      <c r="B20358" s="570">
        <v>1250</v>
      </c>
      <c r="C20358" s="570">
        <v>435</v>
      </c>
    </row>
    <row r="20359" spans="1:3">
      <c r="A20359" s="569" t="s">
        <v>1650</v>
      </c>
      <c r="B20359" s="570">
        <v>1530</v>
      </c>
      <c r="C20359" s="570">
        <v>450</v>
      </c>
    </row>
    <row r="20360" spans="1:3">
      <c r="A20360" s="569" t="s">
        <v>1650</v>
      </c>
      <c r="B20360" s="570">
        <v>1745</v>
      </c>
      <c r="C20360" s="570">
        <v>470</v>
      </c>
    </row>
    <row r="20361" spans="1:3">
      <c r="A20361" s="569" t="s">
        <v>1650</v>
      </c>
      <c r="B20361" s="570">
        <v>1745</v>
      </c>
      <c r="C20361" s="570">
        <v>470</v>
      </c>
    </row>
    <row r="20362" spans="1:3">
      <c r="A20362" s="571" t="s">
        <v>1648</v>
      </c>
      <c r="B20362" s="572">
        <v>9</v>
      </c>
      <c r="C20362" s="572">
        <v>60</v>
      </c>
    </row>
    <row r="20363" spans="1:3">
      <c r="A20363" s="571" t="s">
        <v>1648</v>
      </c>
      <c r="B20363" s="572">
        <v>18</v>
      </c>
      <c r="C20363" s="572">
        <v>90</v>
      </c>
    </row>
    <row r="20364" spans="1:3">
      <c r="A20364" s="571" t="s">
        <v>1648</v>
      </c>
      <c r="B20364" s="572">
        <v>28</v>
      </c>
      <c r="C20364" s="572">
        <v>120</v>
      </c>
    </row>
    <row r="20365" spans="1:3">
      <c r="A20365" s="571" t="s">
        <v>1648</v>
      </c>
      <c r="B20365" s="572">
        <v>56</v>
      </c>
      <c r="C20365" s="572">
        <v>190</v>
      </c>
    </row>
    <row r="20366" spans="1:3">
      <c r="A20366" s="571" t="s">
        <v>1648</v>
      </c>
      <c r="B20366" s="572">
        <v>82</v>
      </c>
      <c r="C20366" s="572">
        <v>230</v>
      </c>
    </row>
    <row r="20367" spans="1:3">
      <c r="A20367" s="573" t="s">
        <v>1648</v>
      </c>
      <c r="B20367" s="574">
        <v>110</v>
      </c>
      <c r="C20367" s="574">
        <v>255</v>
      </c>
    </row>
    <row r="20368" spans="1:3">
      <c r="A20368" s="573" t="s">
        <v>1648</v>
      </c>
      <c r="B20368" s="574">
        <v>176</v>
      </c>
      <c r="C20368" s="574">
        <v>340</v>
      </c>
    </row>
    <row r="20369" spans="1:3">
      <c r="A20369" s="573" t="s">
        <v>1648</v>
      </c>
      <c r="B20369" s="574">
        <v>266</v>
      </c>
      <c r="C20369" s="574">
        <v>385</v>
      </c>
    </row>
    <row r="20370" spans="1:3">
      <c r="A20370" s="573" t="s">
        <v>1648</v>
      </c>
      <c r="B20370" s="574">
        <v>364</v>
      </c>
      <c r="C20370" s="574">
        <v>410</v>
      </c>
    </row>
    <row r="20371" spans="1:3">
      <c r="A20371" s="573" t="s">
        <v>1648</v>
      </c>
      <c r="B20371" s="574">
        <v>425</v>
      </c>
      <c r="C20371" s="574">
        <v>440</v>
      </c>
    </row>
    <row r="20372" spans="1:3">
      <c r="A20372" s="569" t="s">
        <v>1648</v>
      </c>
      <c r="B20372" s="570">
        <v>540</v>
      </c>
      <c r="C20372" s="570">
        <v>460</v>
      </c>
    </row>
    <row r="20373" spans="1:3">
      <c r="A20373" s="569" t="s">
        <v>1648</v>
      </c>
      <c r="B20373" s="570">
        <v>590</v>
      </c>
      <c r="C20373" s="570">
        <v>480</v>
      </c>
    </row>
    <row r="20374" spans="1:3">
      <c r="A20374" s="569" t="s">
        <v>1648</v>
      </c>
      <c r="B20374" s="570">
        <v>785</v>
      </c>
      <c r="C20374" s="570">
        <v>505</v>
      </c>
    </row>
    <row r="20375" spans="1:3">
      <c r="A20375" s="569" t="s">
        <v>1648</v>
      </c>
      <c r="B20375" s="570">
        <v>1025</v>
      </c>
      <c r="C20375" s="570">
        <v>520</v>
      </c>
    </row>
    <row r="20376" spans="1:3">
      <c r="A20376" s="569" t="s">
        <v>1648</v>
      </c>
      <c r="B20376" s="570">
        <v>1128</v>
      </c>
      <c r="C20376" s="570">
        <v>530</v>
      </c>
    </row>
    <row r="20377" spans="1:3">
      <c r="A20377" s="569" t="s">
        <v>1648</v>
      </c>
      <c r="B20377" s="570">
        <v>1335</v>
      </c>
      <c r="C20377" s="570">
        <v>540</v>
      </c>
    </row>
    <row r="20378" spans="1:3">
      <c r="A20378" s="569" t="s">
        <v>1648</v>
      </c>
      <c r="B20378" s="570">
        <v>1522</v>
      </c>
      <c r="C20378" s="570">
        <v>550</v>
      </c>
    </row>
    <row r="20379" spans="1:3">
      <c r="A20379" s="569" t="s">
        <v>1648</v>
      </c>
      <c r="B20379" s="570">
        <v>1610</v>
      </c>
      <c r="C20379" s="570">
        <v>550</v>
      </c>
    </row>
    <row r="20380" spans="1:3">
      <c r="A20380" s="569" t="s">
        <v>1648</v>
      </c>
      <c r="B20380" s="570">
        <v>1705</v>
      </c>
      <c r="C20380" s="570">
        <v>560</v>
      </c>
    </row>
    <row r="20381" spans="1:3">
      <c r="A20381" s="569" t="s">
        <v>1648</v>
      </c>
      <c r="B20381" s="570">
        <v>1705</v>
      </c>
      <c r="C20381" s="570">
        <v>560</v>
      </c>
    </row>
    <row r="20382" spans="1:3">
      <c r="A20382" s="571" t="s">
        <v>1647</v>
      </c>
      <c r="B20382" s="572">
        <v>10</v>
      </c>
      <c r="C20382" s="572">
        <v>45</v>
      </c>
    </row>
    <row r="20383" spans="1:3">
      <c r="A20383" s="571" t="s">
        <v>1647</v>
      </c>
      <c r="B20383" s="572">
        <v>18</v>
      </c>
      <c r="C20383" s="572">
        <v>195</v>
      </c>
    </row>
    <row r="20384" spans="1:3">
      <c r="A20384" s="571" t="s">
        <v>1647</v>
      </c>
      <c r="B20384" s="572">
        <v>28</v>
      </c>
      <c r="C20384" s="572">
        <v>290</v>
      </c>
    </row>
    <row r="20385" spans="1:3">
      <c r="A20385" s="571" t="s">
        <v>1647</v>
      </c>
      <c r="B20385" s="572">
        <v>60</v>
      </c>
      <c r="C20385" s="572">
        <v>410</v>
      </c>
    </row>
    <row r="20386" spans="1:3">
      <c r="A20386" s="571" t="s">
        <v>1647</v>
      </c>
      <c r="B20386" s="572">
        <v>84</v>
      </c>
      <c r="C20386" s="572">
        <v>480</v>
      </c>
    </row>
    <row r="20387" spans="1:3">
      <c r="A20387" s="573" t="s">
        <v>1647</v>
      </c>
      <c r="B20387" s="574">
        <v>110</v>
      </c>
      <c r="C20387" s="574">
        <v>515</v>
      </c>
    </row>
    <row r="20388" spans="1:3">
      <c r="A20388" s="573" t="s">
        <v>1647</v>
      </c>
      <c r="B20388" s="574">
        <v>140</v>
      </c>
      <c r="C20388" s="574">
        <v>550</v>
      </c>
    </row>
    <row r="20389" spans="1:3">
      <c r="A20389" s="573" t="s">
        <v>1647</v>
      </c>
      <c r="B20389" s="574">
        <v>178</v>
      </c>
      <c r="C20389" s="574">
        <v>575</v>
      </c>
    </row>
    <row r="20390" spans="1:3">
      <c r="A20390" s="573" t="s">
        <v>1647</v>
      </c>
      <c r="B20390" s="574">
        <v>270</v>
      </c>
      <c r="C20390" s="574">
        <v>615</v>
      </c>
    </row>
    <row r="20391" spans="1:3">
      <c r="A20391" s="573" t="s">
        <v>1647</v>
      </c>
      <c r="B20391" s="574">
        <v>365</v>
      </c>
      <c r="C20391" s="574">
        <v>625</v>
      </c>
    </row>
    <row r="20392" spans="1:3">
      <c r="A20392" s="569" t="s">
        <v>1647</v>
      </c>
      <c r="B20392" s="570">
        <v>542</v>
      </c>
      <c r="C20392" s="570">
        <v>660</v>
      </c>
    </row>
    <row r="20393" spans="1:3">
      <c r="A20393" s="569" t="s">
        <v>1647</v>
      </c>
      <c r="B20393" s="570">
        <v>720</v>
      </c>
      <c r="C20393" s="570">
        <v>680</v>
      </c>
    </row>
    <row r="20394" spans="1:3">
      <c r="A20394" s="569" t="s">
        <v>1647</v>
      </c>
      <c r="B20394" s="570">
        <v>946</v>
      </c>
      <c r="C20394" s="570">
        <v>685</v>
      </c>
    </row>
    <row r="20395" spans="1:3">
      <c r="A20395" s="569" t="s">
        <v>1647</v>
      </c>
      <c r="B20395" s="570">
        <v>1130</v>
      </c>
      <c r="C20395" s="570">
        <v>680</v>
      </c>
    </row>
    <row r="20396" spans="1:3">
      <c r="A20396" s="569" t="s">
        <v>1647</v>
      </c>
      <c r="B20396" s="570">
        <v>1223</v>
      </c>
      <c r="C20396" s="570">
        <v>695</v>
      </c>
    </row>
    <row r="20397" spans="1:3">
      <c r="A20397" s="569" t="s">
        <v>1647</v>
      </c>
      <c r="B20397" s="570">
        <v>1442</v>
      </c>
      <c r="C20397" s="570">
        <v>705</v>
      </c>
    </row>
    <row r="20398" spans="1:3">
      <c r="A20398" s="569" t="s">
        <v>1647</v>
      </c>
      <c r="B20398" s="570">
        <v>1555</v>
      </c>
      <c r="C20398" s="570">
        <v>700</v>
      </c>
    </row>
    <row r="20399" spans="1:3">
      <c r="A20399" s="569" t="s">
        <v>1647</v>
      </c>
      <c r="B20399" s="570">
        <v>1625</v>
      </c>
      <c r="C20399" s="570">
        <v>705</v>
      </c>
    </row>
    <row r="20400" spans="1:3">
      <c r="A20400" s="569" t="s">
        <v>1647</v>
      </c>
      <c r="B20400" s="570">
        <v>1690</v>
      </c>
      <c r="C20400" s="570">
        <v>700</v>
      </c>
    </row>
    <row r="20401" spans="1:3">
      <c r="A20401" s="569" t="s">
        <v>1647</v>
      </c>
      <c r="B20401" s="570">
        <v>1690</v>
      </c>
      <c r="C20401" s="570">
        <v>700</v>
      </c>
    </row>
    <row r="20402" spans="1:3">
      <c r="A20402" s="571" t="s">
        <v>1646</v>
      </c>
      <c r="B20402" s="572">
        <v>8</v>
      </c>
      <c r="C20402" s="572">
        <v>185</v>
      </c>
    </row>
    <row r="20403" spans="1:3">
      <c r="A20403" s="571" t="s">
        <v>1646</v>
      </c>
      <c r="B20403" s="572">
        <v>10</v>
      </c>
      <c r="C20403" s="572">
        <v>270</v>
      </c>
    </row>
    <row r="20404" spans="1:3">
      <c r="A20404" s="571" t="s">
        <v>1646</v>
      </c>
      <c r="B20404" s="572">
        <v>16</v>
      </c>
      <c r="C20404" s="572">
        <v>360</v>
      </c>
    </row>
    <row r="20405" spans="1:3">
      <c r="A20405" s="571" t="s">
        <v>1646</v>
      </c>
      <c r="B20405" s="572">
        <v>23</v>
      </c>
      <c r="C20405" s="572">
        <v>400</v>
      </c>
    </row>
    <row r="20406" spans="1:3">
      <c r="A20406" s="571" t="s">
        <v>1646</v>
      </c>
      <c r="B20406" s="572">
        <v>32</v>
      </c>
      <c r="C20406" s="572">
        <v>470</v>
      </c>
    </row>
    <row r="20407" spans="1:3">
      <c r="A20407" s="571" t="s">
        <v>1646</v>
      </c>
      <c r="B20407" s="572">
        <v>46</v>
      </c>
      <c r="C20407" s="572">
        <v>530</v>
      </c>
    </row>
    <row r="20408" spans="1:3">
      <c r="A20408" s="571" t="s">
        <v>1646</v>
      </c>
      <c r="B20408" s="572">
        <v>63</v>
      </c>
      <c r="C20408" s="572">
        <v>565</v>
      </c>
    </row>
    <row r="20409" spans="1:3">
      <c r="A20409" s="571" t="s">
        <v>1646</v>
      </c>
      <c r="B20409" s="572">
        <v>74</v>
      </c>
      <c r="C20409" s="572">
        <v>595</v>
      </c>
    </row>
    <row r="20410" spans="1:3">
      <c r="A20410" s="573" t="s">
        <v>1646</v>
      </c>
      <c r="B20410" s="574">
        <v>108</v>
      </c>
      <c r="C20410" s="574">
        <v>640</v>
      </c>
    </row>
    <row r="20411" spans="1:3">
      <c r="A20411" s="573" t="s">
        <v>1646</v>
      </c>
      <c r="B20411" s="574">
        <v>176</v>
      </c>
      <c r="C20411" s="574">
        <v>685</v>
      </c>
    </row>
    <row r="20412" spans="1:3">
      <c r="A20412" s="573" t="s">
        <v>1646</v>
      </c>
      <c r="B20412" s="574">
        <v>256</v>
      </c>
      <c r="C20412" s="574">
        <v>695</v>
      </c>
    </row>
    <row r="20413" spans="1:3">
      <c r="A20413" s="573" t="s">
        <v>1646</v>
      </c>
      <c r="B20413" s="574">
        <v>360</v>
      </c>
      <c r="C20413" s="574">
        <v>710</v>
      </c>
    </row>
    <row r="20414" spans="1:3">
      <c r="A20414" s="569" t="s">
        <v>1646</v>
      </c>
      <c r="B20414" s="570">
        <v>526</v>
      </c>
      <c r="C20414" s="570">
        <v>750</v>
      </c>
    </row>
    <row r="20415" spans="1:3">
      <c r="A20415" s="569" t="s">
        <v>1646</v>
      </c>
      <c r="B20415" s="570">
        <v>774</v>
      </c>
      <c r="C20415" s="570">
        <v>745</v>
      </c>
    </row>
    <row r="20416" spans="1:3">
      <c r="A20416" s="569" t="s">
        <v>1646</v>
      </c>
      <c r="B20416" s="570">
        <v>1052</v>
      </c>
      <c r="C20416" s="570">
        <v>745</v>
      </c>
    </row>
    <row r="20417" spans="1:3">
      <c r="A20417" s="569" t="s">
        <v>1646</v>
      </c>
      <c r="B20417" s="570">
        <v>1276</v>
      </c>
      <c r="C20417" s="570">
        <v>760</v>
      </c>
    </row>
    <row r="20418" spans="1:3">
      <c r="A20418" s="569" t="s">
        <v>1646</v>
      </c>
      <c r="B20418" s="570">
        <v>1496</v>
      </c>
      <c r="C20418" s="570">
        <v>760</v>
      </c>
    </row>
    <row r="20419" spans="1:3">
      <c r="A20419" s="569" t="s">
        <v>1646</v>
      </c>
      <c r="B20419" s="570">
        <v>1552</v>
      </c>
      <c r="C20419" s="570">
        <v>765</v>
      </c>
    </row>
    <row r="20420" spans="1:3">
      <c r="A20420" s="569" t="s">
        <v>1646</v>
      </c>
      <c r="B20420" s="570">
        <v>1622</v>
      </c>
      <c r="C20420" s="570">
        <v>765</v>
      </c>
    </row>
    <row r="20421" spans="1:3">
      <c r="A20421" s="569" t="s">
        <v>1646</v>
      </c>
      <c r="B20421" s="570">
        <v>1622</v>
      </c>
      <c r="C20421" s="570">
        <v>765</v>
      </c>
    </row>
    <row r="20422" spans="1:3">
      <c r="A20422" s="571" t="s">
        <v>1645</v>
      </c>
      <c r="B20422" s="572">
        <v>1</v>
      </c>
      <c r="C20422" s="572">
        <v>50</v>
      </c>
    </row>
    <row r="20423" spans="1:3">
      <c r="A20423" s="571" t="s">
        <v>1645</v>
      </c>
      <c r="B20423" s="572">
        <v>2</v>
      </c>
      <c r="C20423" s="572">
        <v>79</v>
      </c>
    </row>
    <row r="20424" spans="1:3">
      <c r="A20424" s="571" t="s">
        <v>1645</v>
      </c>
      <c r="B20424" s="572">
        <v>3</v>
      </c>
      <c r="C20424" s="572">
        <v>102</v>
      </c>
    </row>
    <row r="20425" spans="1:3">
      <c r="A20425" s="571" t="s">
        <v>1645</v>
      </c>
      <c r="B20425" s="572">
        <v>6</v>
      </c>
      <c r="C20425" s="572">
        <v>168</v>
      </c>
    </row>
    <row r="20426" spans="1:3">
      <c r="A20426" s="571" t="s">
        <v>1645</v>
      </c>
      <c r="B20426" s="572">
        <v>7</v>
      </c>
      <c r="C20426" s="572">
        <v>188</v>
      </c>
    </row>
    <row r="20427" spans="1:3">
      <c r="A20427" s="571" t="s">
        <v>1645</v>
      </c>
      <c r="B20427" s="572">
        <v>14</v>
      </c>
      <c r="C20427" s="572">
        <v>288</v>
      </c>
    </row>
    <row r="20428" spans="1:3">
      <c r="A20428" s="571" t="s">
        <v>1645</v>
      </c>
      <c r="B20428" s="572">
        <v>21</v>
      </c>
      <c r="C20428" s="572">
        <v>350</v>
      </c>
    </row>
    <row r="20429" spans="1:3">
      <c r="A20429" s="571" t="s">
        <v>1645</v>
      </c>
      <c r="B20429" s="572">
        <v>28</v>
      </c>
      <c r="C20429" s="572">
        <v>388</v>
      </c>
    </row>
    <row r="20430" spans="1:3">
      <c r="A20430" s="571" t="s">
        <v>1645</v>
      </c>
      <c r="B20430" s="572">
        <v>43</v>
      </c>
      <c r="C20430" s="572">
        <v>449</v>
      </c>
    </row>
    <row r="20431" spans="1:3">
      <c r="A20431" s="571" t="s">
        <v>1645</v>
      </c>
      <c r="B20431" s="572">
        <v>56</v>
      </c>
      <c r="C20431" s="572">
        <v>478</v>
      </c>
    </row>
    <row r="20432" spans="1:3">
      <c r="A20432" s="571" t="s">
        <v>1645</v>
      </c>
      <c r="B20432" s="572">
        <v>70</v>
      </c>
      <c r="C20432" s="572">
        <v>506</v>
      </c>
    </row>
    <row r="20433" spans="1:3">
      <c r="A20433" s="571" t="s">
        <v>1645</v>
      </c>
      <c r="B20433" s="572">
        <v>84</v>
      </c>
      <c r="C20433" s="572">
        <v>517</v>
      </c>
    </row>
    <row r="20434" spans="1:3">
      <c r="A20434" s="571" t="s">
        <v>1645</v>
      </c>
      <c r="B20434" s="572">
        <v>98</v>
      </c>
      <c r="C20434" s="572">
        <v>545</v>
      </c>
    </row>
    <row r="20435" spans="1:3">
      <c r="A20435" s="573" t="s">
        <v>1645</v>
      </c>
      <c r="B20435" s="574">
        <v>120</v>
      </c>
      <c r="C20435" s="574">
        <v>558</v>
      </c>
    </row>
    <row r="20436" spans="1:3">
      <c r="A20436" s="573" t="s">
        <v>1645</v>
      </c>
      <c r="B20436" s="574">
        <v>157</v>
      </c>
      <c r="C20436" s="574">
        <v>565</v>
      </c>
    </row>
    <row r="20437" spans="1:3">
      <c r="A20437" s="573" t="s">
        <v>1645</v>
      </c>
      <c r="B20437" s="574">
        <v>157</v>
      </c>
      <c r="C20437" s="574">
        <v>565</v>
      </c>
    </row>
    <row r="20438" spans="1:3">
      <c r="A20438" s="571" t="s">
        <v>1644</v>
      </c>
      <c r="B20438" s="572">
        <v>1</v>
      </c>
      <c r="C20438" s="572">
        <v>40</v>
      </c>
    </row>
    <row r="20439" spans="1:3">
      <c r="A20439" s="571" t="s">
        <v>1644</v>
      </c>
      <c r="B20439" s="572">
        <v>2</v>
      </c>
      <c r="C20439" s="572">
        <v>61</v>
      </c>
    </row>
    <row r="20440" spans="1:3">
      <c r="A20440" s="571" t="s">
        <v>1644</v>
      </c>
      <c r="B20440" s="572">
        <v>3</v>
      </c>
      <c r="C20440" s="572">
        <v>91</v>
      </c>
    </row>
    <row r="20441" spans="1:3">
      <c r="A20441" s="571" t="s">
        <v>1644</v>
      </c>
      <c r="B20441" s="572">
        <v>6</v>
      </c>
      <c r="C20441" s="572">
        <v>139</v>
      </c>
    </row>
    <row r="20442" spans="1:3">
      <c r="A20442" s="571" t="s">
        <v>1644</v>
      </c>
      <c r="B20442" s="572">
        <v>7</v>
      </c>
      <c r="C20442" s="572">
        <v>158</v>
      </c>
    </row>
    <row r="20443" spans="1:3">
      <c r="A20443" s="571" t="s">
        <v>1644</v>
      </c>
      <c r="B20443" s="572">
        <v>14</v>
      </c>
      <c r="C20443" s="572">
        <v>238</v>
      </c>
    </row>
    <row r="20444" spans="1:3">
      <c r="A20444" s="571" t="s">
        <v>1644</v>
      </c>
      <c r="B20444" s="572">
        <v>21</v>
      </c>
      <c r="C20444" s="572">
        <v>308</v>
      </c>
    </row>
    <row r="20445" spans="1:3">
      <c r="A20445" s="571" t="s">
        <v>1644</v>
      </c>
      <c r="B20445" s="572">
        <v>28</v>
      </c>
      <c r="C20445" s="572">
        <v>338</v>
      </c>
    </row>
    <row r="20446" spans="1:3">
      <c r="A20446" s="571" t="s">
        <v>1644</v>
      </c>
      <c r="B20446" s="572">
        <v>43</v>
      </c>
      <c r="C20446" s="572">
        <v>408</v>
      </c>
    </row>
    <row r="20447" spans="1:3">
      <c r="A20447" s="571" t="s">
        <v>1644</v>
      </c>
      <c r="B20447" s="572">
        <v>56</v>
      </c>
      <c r="C20447" s="572">
        <v>449</v>
      </c>
    </row>
    <row r="20448" spans="1:3">
      <c r="A20448" s="571" t="s">
        <v>1644</v>
      </c>
      <c r="B20448" s="572">
        <v>70</v>
      </c>
      <c r="C20448" s="572">
        <v>467</v>
      </c>
    </row>
    <row r="20449" spans="1:3">
      <c r="A20449" s="571" t="s">
        <v>1644</v>
      </c>
      <c r="B20449" s="572">
        <v>84</v>
      </c>
      <c r="C20449" s="572">
        <v>488</v>
      </c>
    </row>
    <row r="20450" spans="1:3">
      <c r="A20450" s="571" t="s">
        <v>1644</v>
      </c>
      <c r="B20450" s="572">
        <v>98</v>
      </c>
      <c r="C20450" s="572">
        <v>518</v>
      </c>
    </row>
    <row r="20451" spans="1:3">
      <c r="A20451" s="573" t="s">
        <v>1644</v>
      </c>
      <c r="B20451" s="574">
        <v>120</v>
      </c>
      <c r="C20451" s="574">
        <v>528</v>
      </c>
    </row>
    <row r="20452" spans="1:3">
      <c r="A20452" s="573" t="s">
        <v>1644</v>
      </c>
      <c r="B20452" s="574">
        <v>157</v>
      </c>
      <c r="C20452" s="574">
        <v>539</v>
      </c>
    </row>
    <row r="20453" spans="1:3">
      <c r="A20453" s="573" t="s">
        <v>1644</v>
      </c>
      <c r="B20453" s="574">
        <v>157</v>
      </c>
      <c r="C20453" s="574">
        <v>539</v>
      </c>
    </row>
    <row r="20454" spans="1:3">
      <c r="A20454" s="571" t="s">
        <v>1643</v>
      </c>
      <c r="B20454" s="572">
        <v>1</v>
      </c>
      <c r="C20454" s="572">
        <v>17</v>
      </c>
    </row>
    <row r="20455" spans="1:3">
      <c r="A20455" s="571" t="s">
        <v>1643</v>
      </c>
      <c r="B20455" s="572">
        <v>2</v>
      </c>
      <c r="C20455" s="572">
        <v>38</v>
      </c>
    </row>
    <row r="20456" spans="1:3">
      <c r="A20456" s="571" t="s">
        <v>1643</v>
      </c>
      <c r="B20456" s="572">
        <v>3</v>
      </c>
      <c r="C20456" s="572">
        <v>59</v>
      </c>
    </row>
    <row r="20457" spans="1:3">
      <c r="A20457" s="571" t="s">
        <v>1643</v>
      </c>
      <c r="B20457" s="572">
        <v>6</v>
      </c>
      <c r="C20457" s="572">
        <v>99</v>
      </c>
    </row>
    <row r="20458" spans="1:3">
      <c r="A20458" s="571" t="s">
        <v>1643</v>
      </c>
      <c r="B20458" s="572">
        <v>7</v>
      </c>
      <c r="C20458" s="572">
        <v>108</v>
      </c>
    </row>
    <row r="20459" spans="1:3">
      <c r="A20459" s="571" t="s">
        <v>1643</v>
      </c>
      <c r="B20459" s="572">
        <v>14</v>
      </c>
      <c r="C20459" s="572">
        <v>190</v>
      </c>
    </row>
    <row r="20460" spans="1:3">
      <c r="A20460" s="571" t="s">
        <v>1643</v>
      </c>
      <c r="B20460" s="572">
        <v>21</v>
      </c>
      <c r="C20460" s="572">
        <v>218</v>
      </c>
    </row>
    <row r="20461" spans="1:3">
      <c r="A20461" s="571" t="s">
        <v>1643</v>
      </c>
      <c r="B20461" s="572">
        <v>28</v>
      </c>
      <c r="C20461" s="572">
        <v>289</v>
      </c>
    </row>
    <row r="20462" spans="1:3">
      <c r="A20462" s="571" t="s">
        <v>1643</v>
      </c>
      <c r="B20462" s="572">
        <v>43</v>
      </c>
      <c r="C20462" s="572">
        <v>347</v>
      </c>
    </row>
    <row r="20463" spans="1:3">
      <c r="A20463" s="571" t="s">
        <v>1643</v>
      </c>
      <c r="B20463" s="572">
        <v>56</v>
      </c>
      <c r="C20463" s="572">
        <v>408</v>
      </c>
    </row>
    <row r="20464" spans="1:3">
      <c r="A20464" s="571" t="s">
        <v>1643</v>
      </c>
      <c r="B20464" s="572">
        <v>70</v>
      </c>
      <c r="C20464" s="572">
        <v>438</v>
      </c>
    </row>
    <row r="20465" spans="1:3">
      <c r="A20465" s="571" t="s">
        <v>1643</v>
      </c>
      <c r="B20465" s="572">
        <v>84</v>
      </c>
      <c r="C20465" s="572">
        <v>458</v>
      </c>
    </row>
    <row r="20466" spans="1:3">
      <c r="A20466" s="571" t="s">
        <v>1643</v>
      </c>
      <c r="B20466" s="572">
        <v>98</v>
      </c>
      <c r="C20466" s="572">
        <v>487</v>
      </c>
    </row>
    <row r="20467" spans="1:3">
      <c r="A20467" s="573" t="s">
        <v>1643</v>
      </c>
      <c r="B20467" s="574">
        <v>120</v>
      </c>
      <c r="C20467" s="574">
        <v>496</v>
      </c>
    </row>
    <row r="20468" spans="1:3">
      <c r="A20468" s="573" t="s">
        <v>1643</v>
      </c>
      <c r="B20468" s="574">
        <v>157</v>
      </c>
      <c r="C20468" s="574">
        <v>528</v>
      </c>
    </row>
    <row r="20469" spans="1:3">
      <c r="A20469" s="573" t="s">
        <v>1643</v>
      </c>
      <c r="B20469" s="574">
        <v>157</v>
      </c>
      <c r="C20469" s="574">
        <v>528</v>
      </c>
    </row>
    <row r="20470" spans="1:3">
      <c r="A20470" s="571" t="s">
        <v>1642</v>
      </c>
      <c r="B20470" s="572">
        <v>1</v>
      </c>
      <c r="C20470" s="572">
        <v>58</v>
      </c>
    </row>
    <row r="20471" spans="1:3">
      <c r="A20471" s="571" t="s">
        <v>1642</v>
      </c>
      <c r="B20471" s="572">
        <v>2</v>
      </c>
      <c r="C20471" s="572">
        <v>79</v>
      </c>
    </row>
    <row r="20472" spans="1:3">
      <c r="A20472" s="571" t="s">
        <v>1642</v>
      </c>
      <c r="B20472" s="572">
        <v>3</v>
      </c>
      <c r="C20472" s="572">
        <v>109</v>
      </c>
    </row>
    <row r="20473" spans="1:3">
      <c r="A20473" s="571" t="s">
        <v>1642</v>
      </c>
      <c r="B20473" s="572">
        <v>4</v>
      </c>
      <c r="C20473" s="572">
        <v>129</v>
      </c>
    </row>
    <row r="20474" spans="1:3">
      <c r="A20474" s="571" t="s">
        <v>1642</v>
      </c>
      <c r="B20474" s="572">
        <v>6</v>
      </c>
      <c r="C20474" s="572">
        <v>170</v>
      </c>
    </row>
    <row r="20475" spans="1:3">
      <c r="A20475" s="571" t="s">
        <v>1642</v>
      </c>
      <c r="B20475" s="572">
        <v>14</v>
      </c>
      <c r="C20475" s="572">
        <v>280</v>
      </c>
    </row>
    <row r="20476" spans="1:3">
      <c r="A20476" s="571" t="s">
        <v>1642</v>
      </c>
      <c r="B20476" s="572">
        <v>21</v>
      </c>
      <c r="C20476" s="572">
        <v>339</v>
      </c>
    </row>
    <row r="20477" spans="1:3">
      <c r="A20477" s="571" t="s">
        <v>1642</v>
      </c>
      <c r="B20477" s="572">
        <v>28</v>
      </c>
      <c r="C20477" s="572">
        <v>379</v>
      </c>
    </row>
    <row r="20478" spans="1:3">
      <c r="A20478" s="571" t="s">
        <v>1642</v>
      </c>
      <c r="B20478" s="572">
        <v>43</v>
      </c>
      <c r="C20478" s="572">
        <v>428</v>
      </c>
    </row>
    <row r="20479" spans="1:3">
      <c r="A20479" s="571" t="s">
        <v>1642</v>
      </c>
      <c r="B20479" s="572">
        <v>48</v>
      </c>
      <c r="C20479" s="572">
        <v>438</v>
      </c>
    </row>
    <row r="20480" spans="1:3">
      <c r="A20480" s="571" t="s">
        <v>1642</v>
      </c>
      <c r="B20480" s="572">
        <v>56</v>
      </c>
      <c r="C20480" s="572">
        <v>477</v>
      </c>
    </row>
    <row r="20481" spans="1:3">
      <c r="A20481" s="571" t="s">
        <v>1642</v>
      </c>
      <c r="B20481" s="572">
        <v>70</v>
      </c>
      <c r="C20481" s="572">
        <v>495</v>
      </c>
    </row>
    <row r="20482" spans="1:3">
      <c r="A20482" s="571" t="s">
        <v>1642</v>
      </c>
      <c r="B20482" s="572">
        <v>84</v>
      </c>
      <c r="C20482" s="572">
        <v>515</v>
      </c>
    </row>
    <row r="20483" spans="1:3">
      <c r="A20483" s="571" t="s">
        <v>1642</v>
      </c>
      <c r="B20483" s="572">
        <v>98</v>
      </c>
      <c r="C20483" s="572">
        <v>556</v>
      </c>
    </row>
    <row r="20484" spans="1:3">
      <c r="A20484" s="573" t="s">
        <v>1642</v>
      </c>
      <c r="B20484" s="574">
        <v>120</v>
      </c>
      <c r="C20484" s="574">
        <v>566</v>
      </c>
    </row>
    <row r="20485" spans="1:3">
      <c r="A20485" s="573" t="s">
        <v>1642</v>
      </c>
      <c r="B20485" s="574">
        <v>157</v>
      </c>
      <c r="C20485" s="574">
        <v>576</v>
      </c>
    </row>
    <row r="20486" spans="1:3">
      <c r="A20486" s="573" t="s">
        <v>1642</v>
      </c>
      <c r="B20486" s="574">
        <v>157</v>
      </c>
      <c r="C20486" s="574">
        <v>576</v>
      </c>
    </row>
    <row r="20487" spans="1:3">
      <c r="A20487" s="571" t="s">
        <v>1641</v>
      </c>
      <c r="B20487" s="572">
        <v>1</v>
      </c>
      <c r="C20487" s="572">
        <v>37</v>
      </c>
    </row>
    <row r="20488" spans="1:3">
      <c r="A20488" s="571" t="s">
        <v>1641</v>
      </c>
      <c r="B20488" s="572">
        <v>2</v>
      </c>
      <c r="C20488" s="572">
        <v>58</v>
      </c>
    </row>
    <row r="20489" spans="1:3">
      <c r="A20489" s="571" t="s">
        <v>1641</v>
      </c>
      <c r="B20489" s="572">
        <v>3</v>
      </c>
      <c r="C20489" s="572">
        <v>79</v>
      </c>
    </row>
    <row r="20490" spans="1:3">
      <c r="A20490" s="571" t="s">
        <v>1641</v>
      </c>
      <c r="B20490" s="572">
        <v>4</v>
      </c>
      <c r="C20490" s="572">
        <v>89</v>
      </c>
    </row>
    <row r="20491" spans="1:3">
      <c r="A20491" s="571" t="s">
        <v>1641</v>
      </c>
      <c r="B20491" s="572">
        <v>6</v>
      </c>
      <c r="C20491" s="572">
        <v>118</v>
      </c>
    </row>
    <row r="20492" spans="1:3">
      <c r="A20492" s="571" t="s">
        <v>1641</v>
      </c>
      <c r="B20492" s="572">
        <v>14</v>
      </c>
      <c r="C20492" s="572">
        <v>208</v>
      </c>
    </row>
    <row r="20493" spans="1:3">
      <c r="A20493" s="571" t="s">
        <v>1641</v>
      </c>
      <c r="B20493" s="572">
        <v>21</v>
      </c>
      <c r="C20493" s="572">
        <v>267</v>
      </c>
    </row>
    <row r="20494" spans="1:3">
      <c r="A20494" s="571" t="s">
        <v>1641</v>
      </c>
      <c r="B20494" s="572">
        <v>28</v>
      </c>
      <c r="C20494" s="572">
        <v>307</v>
      </c>
    </row>
    <row r="20495" spans="1:3">
      <c r="A20495" s="571" t="s">
        <v>1641</v>
      </c>
      <c r="B20495" s="572">
        <v>43</v>
      </c>
      <c r="C20495" s="572">
        <v>356</v>
      </c>
    </row>
    <row r="20496" spans="1:3">
      <c r="A20496" s="571" t="s">
        <v>1641</v>
      </c>
      <c r="B20496" s="572">
        <v>56</v>
      </c>
      <c r="C20496" s="572">
        <v>418</v>
      </c>
    </row>
    <row r="20497" spans="1:3">
      <c r="A20497" s="571" t="s">
        <v>1641</v>
      </c>
      <c r="B20497" s="572">
        <v>70</v>
      </c>
      <c r="C20497" s="572">
        <v>426</v>
      </c>
    </row>
    <row r="20498" spans="1:3">
      <c r="A20498" s="571" t="s">
        <v>1641</v>
      </c>
      <c r="B20498" s="572">
        <v>84</v>
      </c>
      <c r="C20498" s="572">
        <v>477</v>
      </c>
    </row>
    <row r="20499" spans="1:3">
      <c r="A20499" s="571" t="s">
        <v>1641</v>
      </c>
      <c r="B20499" s="572">
        <v>98</v>
      </c>
      <c r="C20499" s="572">
        <v>495</v>
      </c>
    </row>
    <row r="20500" spans="1:3">
      <c r="A20500" s="573" t="s">
        <v>1641</v>
      </c>
      <c r="B20500" s="574">
        <v>120</v>
      </c>
      <c r="C20500" s="574">
        <v>505</v>
      </c>
    </row>
    <row r="20501" spans="1:3">
      <c r="A20501" s="573" t="s">
        <v>1641</v>
      </c>
      <c r="B20501" s="574">
        <v>157</v>
      </c>
      <c r="C20501" s="574">
        <v>525</v>
      </c>
    </row>
    <row r="20502" spans="1:3">
      <c r="A20502" s="573" t="s">
        <v>1641</v>
      </c>
      <c r="B20502" s="574">
        <v>157</v>
      </c>
      <c r="C20502" s="574">
        <v>525</v>
      </c>
    </row>
    <row r="20503" spans="1:3">
      <c r="A20503" s="571" t="s">
        <v>1640</v>
      </c>
      <c r="B20503" s="572">
        <v>1</v>
      </c>
      <c r="C20503" s="572">
        <v>30</v>
      </c>
    </row>
    <row r="20504" spans="1:3">
      <c r="A20504" s="571" t="s">
        <v>1640</v>
      </c>
      <c r="B20504" s="572">
        <v>2</v>
      </c>
      <c r="C20504" s="572">
        <v>50</v>
      </c>
    </row>
    <row r="20505" spans="1:3">
      <c r="A20505" s="571" t="s">
        <v>1640</v>
      </c>
      <c r="B20505" s="572">
        <v>4</v>
      </c>
      <c r="C20505" s="572">
        <v>79</v>
      </c>
    </row>
    <row r="20506" spans="1:3">
      <c r="A20506" s="571" t="s">
        <v>1640</v>
      </c>
      <c r="B20506" s="572">
        <v>6</v>
      </c>
      <c r="C20506" s="572">
        <v>99</v>
      </c>
    </row>
    <row r="20507" spans="1:3">
      <c r="A20507" s="571" t="s">
        <v>1640</v>
      </c>
      <c r="B20507" s="572">
        <v>7</v>
      </c>
      <c r="C20507" s="572">
        <v>110</v>
      </c>
    </row>
    <row r="20508" spans="1:3">
      <c r="A20508" s="571" t="s">
        <v>1640</v>
      </c>
      <c r="B20508" s="572">
        <v>14</v>
      </c>
      <c r="C20508" s="572">
        <v>145</v>
      </c>
    </row>
    <row r="20509" spans="1:3">
      <c r="A20509" s="571" t="s">
        <v>1640</v>
      </c>
      <c r="B20509" s="572">
        <v>21</v>
      </c>
      <c r="C20509" s="572">
        <v>228</v>
      </c>
    </row>
    <row r="20510" spans="1:3">
      <c r="A20510" s="571" t="s">
        <v>1640</v>
      </c>
      <c r="B20510" s="572">
        <v>28</v>
      </c>
      <c r="C20510" s="572">
        <v>259</v>
      </c>
    </row>
    <row r="20511" spans="1:3">
      <c r="A20511" s="571" t="s">
        <v>1640</v>
      </c>
      <c r="B20511" s="572">
        <v>43</v>
      </c>
      <c r="C20511" s="572">
        <v>307</v>
      </c>
    </row>
    <row r="20512" spans="1:3">
      <c r="A20512" s="571" t="s">
        <v>1640</v>
      </c>
      <c r="B20512" s="572">
        <v>56</v>
      </c>
      <c r="C20512" s="572">
        <v>368</v>
      </c>
    </row>
    <row r="20513" spans="1:3">
      <c r="A20513" s="571" t="s">
        <v>1640</v>
      </c>
      <c r="B20513" s="572">
        <v>70</v>
      </c>
      <c r="C20513" s="572">
        <v>400</v>
      </c>
    </row>
    <row r="20514" spans="1:3">
      <c r="A20514" s="571" t="s">
        <v>1640</v>
      </c>
      <c r="B20514" s="572">
        <v>84</v>
      </c>
      <c r="C20514" s="572">
        <v>426</v>
      </c>
    </row>
    <row r="20515" spans="1:3">
      <c r="A20515" s="571" t="s">
        <v>1640</v>
      </c>
      <c r="B20515" s="572">
        <v>98</v>
      </c>
      <c r="C20515" s="572">
        <v>455</v>
      </c>
    </row>
    <row r="20516" spans="1:3">
      <c r="A20516" s="573" t="s">
        <v>1640</v>
      </c>
      <c r="B20516" s="574">
        <v>120</v>
      </c>
      <c r="C20516" s="574">
        <v>465</v>
      </c>
    </row>
    <row r="20517" spans="1:3">
      <c r="A20517" s="573" t="s">
        <v>1640</v>
      </c>
      <c r="B20517" s="574">
        <v>157</v>
      </c>
      <c r="C20517" s="574">
        <v>484</v>
      </c>
    </row>
    <row r="20518" spans="1:3">
      <c r="A20518" s="573" t="s">
        <v>1640</v>
      </c>
      <c r="B20518" s="574">
        <v>157</v>
      </c>
      <c r="C20518" s="574">
        <v>484</v>
      </c>
    </row>
    <row r="20519" spans="1:3">
      <c r="A20519" s="571" t="s">
        <v>1639</v>
      </c>
      <c r="B20519" s="572">
        <v>1</v>
      </c>
      <c r="C20519" s="572">
        <v>28</v>
      </c>
    </row>
    <row r="20520" spans="1:3">
      <c r="A20520" s="571" t="s">
        <v>1639</v>
      </c>
      <c r="B20520" s="572">
        <v>2</v>
      </c>
      <c r="C20520" s="572">
        <v>51</v>
      </c>
    </row>
    <row r="20521" spans="1:3">
      <c r="A20521" s="571" t="s">
        <v>1639</v>
      </c>
      <c r="B20521" s="572">
        <v>3</v>
      </c>
      <c r="C20521" s="572">
        <v>79</v>
      </c>
    </row>
    <row r="20522" spans="1:3">
      <c r="A20522" s="571" t="s">
        <v>1639</v>
      </c>
      <c r="B20522" s="572">
        <v>4</v>
      </c>
      <c r="C20522" s="572">
        <v>88</v>
      </c>
    </row>
    <row r="20523" spans="1:3">
      <c r="A20523" s="571" t="s">
        <v>1639</v>
      </c>
      <c r="B20523" s="572">
        <v>6</v>
      </c>
      <c r="C20523" s="572">
        <v>117</v>
      </c>
    </row>
    <row r="20524" spans="1:3">
      <c r="A20524" s="571" t="s">
        <v>1639</v>
      </c>
      <c r="B20524" s="572">
        <v>7</v>
      </c>
      <c r="C20524" s="572">
        <v>139</v>
      </c>
    </row>
    <row r="20525" spans="1:3">
      <c r="A20525" s="571" t="s">
        <v>1639</v>
      </c>
      <c r="B20525" s="572">
        <v>14</v>
      </c>
      <c r="C20525" s="572">
        <v>209</v>
      </c>
    </row>
    <row r="20526" spans="1:3">
      <c r="A20526" s="571" t="s">
        <v>1639</v>
      </c>
      <c r="B20526" s="572">
        <v>21</v>
      </c>
      <c r="C20526" s="572">
        <v>257</v>
      </c>
    </row>
    <row r="20527" spans="1:3">
      <c r="A20527" s="571" t="s">
        <v>1639</v>
      </c>
      <c r="B20527" s="572">
        <v>28</v>
      </c>
      <c r="C20527" s="572">
        <v>298</v>
      </c>
    </row>
    <row r="20528" spans="1:3">
      <c r="A20528" s="571" t="s">
        <v>1639</v>
      </c>
      <c r="B20528" s="572">
        <v>43</v>
      </c>
      <c r="C20528" s="572">
        <v>367</v>
      </c>
    </row>
    <row r="20529" spans="1:3">
      <c r="A20529" s="571" t="s">
        <v>1639</v>
      </c>
      <c r="B20529" s="572">
        <v>56</v>
      </c>
      <c r="C20529" s="572">
        <v>378</v>
      </c>
    </row>
    <row r="20530" spans="1:3">
      <c r="A20530" s="571" t="s">
        <v>1639</v>
      </c>
      <c r="B20530" s="572">
        <v>70</v>
      </c>
      <c r="C20530" s="572">
        <v>407</v>
      </c>
    </row>
    <row r="20531" spans="1:3">
      <c r="A20531" s="571" t="s">
        <v>1639</v>
      </c>
      <c r="B20531" s="572">
        <v>84</v>
      </c>
      <c r="C20531" s="572">
        <v>417</v>
      </c>
    </row>
    <row r="20532" spans="1:3">
      <c r="A20532" s="571" t="s">
        <v>1639</v>
      </c>
      <c r="B20532" s="572">
        <v>98</v>
      </c>
      <c r="C20532" s="572">
        <v>438</v>
      </c>
    </row>
    <row r="20533" spans="1:3">
      <c r="A20533" s="573" t="s">
        <v>1639</v>
      </c>
      <c r="B20533" s="574">
        <v>120</v>
      </c>
      <c r="C20533" s="574">
        <v>438</v>
      </c>
    </row>
    <row r="20534" spans="1:3">
      <c r="A20534" s="573" t="s">
        <v>1639</v>
      </c>
      <c r="B20534" s="574">
        <v>150</v>
      </c>
      <c r="C20534" s="574">
        <v>436</v>
      </c>
    </row>
    <row r="20535" spans="1:3">
      <c r="A20535" s="573" t="s">
        <v>1639</v>
      </c>
      <c r="B20535" s="574">
        <v>150</v>
      </c>
      <c r="C20535" s="574">
        <v>436</v>
      </c>
    </row>
    <row r="20536" spans="1:3">
      <c r="A20536" s="571" t="s">
        <v>1638</v>
      </c>
      <c r="B20536" s="572">
        <v>1</v>
      </c>
      <c r="C20536" s="572">
        <v>19</v>
      </c>
    </row>
    <row r="20537" spans="1:3">
      <c r="A20537" s="571" t="s">
        <v>1638</v>
      </c>
      <c r="B20537" s="572">
        <v>2</v>
      </c>
      <c r="C20537" s="572">
        <v>37</v>
      </c>
    </row>
    <row r="20538" spans="1:3">
      <c r="A20538" s="571" t="s">
        <v>1638</v>
      </c>
      <c r="B20538" s="572">
        <v>3</v>
      </c>
      <c r="C20538" s="572">
        <v>88</v>
      </c>
    </row>
    <row r="20539" spans="1:3">
      <c r="A20539" s="571" t="s">
        <v>1638</v>
      </c>
      <c r="B20539" s="572">
        <v>4</v>
      </c>
      <c r="C20539" s="572">
        <v>79</v>
      </c>
    </row>
    <row r="20540" spans="1:3">
      <c r="A20540" s="571" t="s">
        <v>1638</v>
      </c>
      <c r="B20540" s="572">
        <v>7</v>
      </c>
      <c r="C20540" s="572">
        <v>129</v>
      </c>
    </row>
    <row r="20541" spans="1:3">
      <c r="A20541" s="571" t="s">
        <v>1638</v>
      </c>
      <c r="B20541" s="572">
        <v>28</v>
      </c>
      <c r="C20541" s="572">
        <v>286</v>
      </c>
    </row>
    <row r="20542" spans="1:3">
      <c r="A20542" s="571" t="s">
        <v>1638</v>
      </c>
      <c r="B20542" s="572">
        <v>43</v>
      </c>
      <c r="C20542" s="572">
        <v>346</v>
      </c>
    </row>
    <row r="20543" spans="1:3">
      <c r="A20543" s="571" t="s">
        <v>1638</v>
      </c>
      <c r="B20543" s="572">
        <v>56</v>
      </c>
      <c r="C20543" s="572">
        <v>407</v>
      </c>
    </row>
    <row r="20544" spans="1:3">
      <c r="A20544" s="571" t="s">
        <v>1638</v>
      </c>
      <c r="B20544" s="572">
        <v>70</v>
      </c>
      <c r="C20544" s="572">
        <v>427</v>
      </c>
    </row>
    <row r="20545" spans="1:3">
      <c r="A20545" s="571" t="s">
        <v>1638</v>
      </c>
      <c r="B20545" s="572">
        <v>84</v>
      </c>
      <c r="C20545" s="572">
        <v>446</v>
      </c>
    </row>
    <row r="20546" spans="1:3">
      <c r="A20546" s="571" t="s">
        <v>1638</v>
      </c>
      <c r="B20546" s="572">
        <v>98</v>
      </c>
      <c r="C20546" s="572">
        <v>466</v>
      </c>
    </row>
    <row r="20547" spans="1:3">
      <c r="A20547" s="573" t="s">
        <v>1638</v>
      </c>
      <c r="B20547" s="574">
        <v>120</v>
      </c>
      <c r="C20547" s="574">
        <v>457</v>
      </c>
    </row>
    <row r="20548" spans="1:3">
      <c r="A20548" s="573" t="s">
        <v>1638</v>
      </c>
      <c r="B20548" s="574">
        <v>150</v>
      </c>
      <c r="C20548" s="574">
        <v>469</v>
      </c>
    </row>
    <row r="20549" spans="1:3">
      <c r="A20549" s="573" t="s">
        <v>1638</v>
      </c>
      <c r="B20549" s="574">
        <v>150</v>
      </c>
      <c r="C20549" s="574">
        <v>469</v>
      </c>
    </row>
    <row r="20550" spans="1:3">
      <c r="A20550" s="571" t="s">
        <v>1637</v>
      </c>
      <c r="B20550" s="572">
        <v>2</v>
      </c>
      <c r="C20550" s="572">
        <v>46</v>
      </c>
    </row>
    <row r="20551" spans="1:3">
      <c r="A20551" s="571" t="s">
        <v>1637</v>
      </c>
      <c r="B20551" s="572">
        <v>6</v>
      </c>
      <c r="C20551" s="572">
        <v>99</v>
      </c>
    </row>
    <row r="20552" spans="1:3">
      <c r="A20552" s="571" t="s">
        <v>1637</v>
      </c>
      <c r="B20552" s="572">
        <v>7</v>
      </c>
      <c r="C20552" s="572">
        <v>109</v>
      </c>
    </row>
    <row r="20553" spans="1:3">
      <c r="A20553" s="571" t="s">
        <v>1637</v>
      </c>
      <c r="B20553" s="572">
        <v>14</v>
      </c>
      <c r="C20553" s="572">
        <v>136</v>
      </c>
    </row>
    <row r="20554" spans="1:3">
      <c r="A20554" s="571" t="s">
        <v>1637</v>
      </c>
      <c r="B20554" s="572">
        <v>21</v>
      </c>
      <c r="C20554" s="572">
        <v>198</v>
      </c>
    </row>
    <row r="20555" spans="1:3">
      <c r="A20555" s="571" t="s">
        <v>1637</v>
      </c>
      <c r="B20555" s="572">
        <v>28</v>
      </c>
      <c r="C20555" s="572">
        <v>248</v>
      </c>
    </row>
    <row r="20556" spans="1:3">
      <c r="A20556" s="571" t="s">
        <v>1637</v>
      </c>
      <c r="B20556" s="572">
        <v>43</v>
      </c>
      <c r="C20556" s="572">
        <v>297</v>
      </c>
    </row>
    <row r="20557" spans="1:3">
      <c r="A20557" s="571" t="s">
        <v>1637</v>
      </c>
      <c r="B20557" s="572">
        <v>56</v>
      </c>
      <c r="C20557" s="572">
        <v>347</v>
      </c>
    </row>
    <row r="20558" spans="1:3">
      <c r="A20558" s="571" t="s">
        <v>1637</v>
      </c>
      <c r="B20558" s="572">
        <v>70</v>
      </c>
      <c r="C20558" s="572">
        <v>378</v>
      </c>
    </row>
    <row r="20559" spans="1:3">
      <c r="A20559" s="571" t="s">
        <v>1637</v>
      </c>
      <c r="B20559" s="572">
        <v>84</v>
      </c>
      <c r="C20559" s="572">
        <v>387</v>
      </c>
    </row>
    <row r="20560" spans="1:3">
      <c r="A20560" s="571" t="s">
        <v>1637</v>
      </c>
      <c r="B20560" s="572">
        <v>98</v>
      </c>
      <c r="C20560" s="572">
        <v>417</v>
      </c>
    </row>
    <row r="20561" spans="1:3">
      <c r="A20561" s="573" t="s">
        <v>1637</v>
      </c>
      <c r="B20561" s="574">
        <v>120</v>
      </c>
      <c r="C20561" s="574">
        <v>428</v>
      </c>
    </row>
    <row r="20562" spans="1:3">
      <c r="A20562" s="573" t="s">
        <v>1637</v>
      </c>
      <c r="B20562" s="574">
        <v>150</v>
      </c>
      <c r="C20562" s="574">
        <v>450</v>
      </c>
    </row>
    <row r="20563" spans="1:3">
      <c r="A20563" s="573" t="s">
        <v>1637</v>
      </c>
      <c r="B20563" s="574">
        <v>150</v>
      </c>
      <c r="C20563" s="574">
        <v>450</v>
      </c>
    </row>
    <row r="20564" spans="1:3">
      <c r="A20564" s="571" t="s">
        <v>1636</v>
      </c>
      <c r="B20564" s="572">
        <v>1</v>
      </c>
      <c r="C20564" s="572">
        <v>40</v>
      </c>
    </row>
    <row r="20565" spans="1:3">
      <c r="A20565" s="571" t="s">
        <v>1636</v>
      </c>
      <c r="B20565" s="572">
        <v>2</v>
      </c>
      <c r="C20565" s="572">
        <v>70</v>
      </c>
    </row>
    <row r="20566" spans="1:3">
      <c r="A20566" s="571" t="s">
        <v>1636</v>
      </c>
      <c r="B20566" s="572">
        <v>3</v>
      </c>
      <c r="C20566" s="572">
        <v>100</v>
      </c>
    </row>
    <row r="20567" spans="1:3">
      <c r="A20567" s="571" t="s">
        <v>1636</v>
      </c>
      <c r="B20567" s="572">
        <v>4</v>
      </c>
      <c r="C20567" s="572">
        <v>110</v>
      </c>
    </row>
    <row r="20568" spans="1:3">
      <c r="A20568" s="571" t="s">
        <v>1636</v>
      </c>
      <c r="B20568" s="572">
        <v>6</v>
      </c>
      <c r="C20568" s="572">
        <v>141</v>
      </c>
    </row>
    <row r="20569" spans="1:3">
      <c r="A20569" s="571" t="s">
        <v>1636</v>
      </c>
      <c r="B20569" s="572">
        <v>7</v>
      </c>
      <c r="C20569" s="572">
        <v>160</v>
      </c>
    </row>
    <row r="20570" spans="1:3">
      <c r="A20570" s="571" t="s">
        <v>1636</v>
      </c>
      <c r="B20570" s="572">
        <v>14</v>
      </c>
      <c r="C20570" s="572">
        <v>229</v>
      </c>
    </row>
    <row r="20571" spans="1:3">
      <c r="A20571" s="571" t="s">
        <v>1636</v>
      </c>
      <c r="B20571" s="572">
        <v>21</v>
      </c>
      <c r="C20571" s="572">
        <v>279</v>
      </c>
    </row>
    <row r="20572" spans="1:3">
      <c r="A20572" s="571" t="s">
        <v>1636</v>
      </c>
      <c r="B20572" s="572">
        <v>28</v>
      </c>
      <c r="C20572" s="572">
        <v>320</v>
      </c>
    </row>
    <row r="20573" spans="1:3">
      <c r="A20573" s="571" t="s">
        <v>1636</v>
      </c>
      <c r="B20573" s="572">
        <v>43</v>
      </c>
      <c r="C20573" s="572">
        <v>379</v>
      </c>
    </row>
    <row r="20574" spans="1:3">
      <c r="A20574" s="571" t="s">
        <v>1636</v>
      </c>
      <c r="B20574" s="572">
        <v>56</v>
      </c>
      <c r="C20574" s="572">
        <v>409</v>
      </c>
    </row>
    <row r="20575" spans="1:3">
      <c r="A20575" s="571" t="s">
        <v>1636</v>
      </c>
      <c r="B20575" s="572">
        <v>70</v>
      </c>
      <c r="C20575" s="572">
        <v>448</v>
      </c>
    </row>
    <row r="20576" spans="1:3">
      <c r="A20576" s="571" t="s">
        <v>1636</v>
      </c>
      <c r="B20576" s="572">
        <v>84</v>
      </c>
      <c r="C20576" s="572">
        <v>448</v>
      </c>
    </row>
    <row r="20577" spans="1:3">
      <c r="A20577" s="571" t="s">
        <v>1636</v>
      </c>
      <c r="B20577" s="572">
        <v>98</v>
      </c>
      <c r="C20577" s="572">
        <v>475</v>
      </c>
    </row>
    <row r="20578" spans="1:3">
      <c r="A20578" s="573" t="s">
        <v>1636</v>
      </c>
      <c r="B20578" s="574">
        <v>120</v>
      </c>
      <c r="C20578" s="574">
        <v>469</v>
      </c>
    </row>
    <row r="20579" spans="1:3">
      <c r="A20579" s="573" t="s">
        <v>1636</v>
      </c>
      <c r="B20579" s="574">
        <v>150</v>
      </c>
      <c r="C20579" s="574">
        <v>478</v>
      </c>
    </row>
    <row r="20580" spans="1:3">
      <c r="A20580" s="573" t="s">
        <v>1636</v>
      </c>
      <c r="B20580" s="574">
        <v>150</v>
      </c>
      <c r="C20580" s="574">
        <v>478</v>
      </c>
    </row>
    <row r="20581" spans="1:3">
      <c r="A20581" s="571" t="s">
        <v>1634</v>
      </c>
      <c r="B20581" s="572">
        <v>1</v>
      </c>
      <c r="C20581" s="572">
        <v>30</v>
      </c>
    </row>
    <row r="20582" spans="1:3">
      <c r="A20582" s="571" t="s">
        <v>1634</v>
      </c>
      <c r="B20582" s="572">
        <v>2</v>
      </c>
      <c r="C20582" s="572">
        <v>59</v>
      </c>
    </row>
    <row r="20583" spans="1:3">
      <c r="A20583" s="571" t="s">
        <v>1634</v>
      </c>
      <c r="B20583" s="572">
        <v>3</v>
      </c>
      <c r="C20583" s="572">
        <v>89</v>
      </c>
    </row>
    <row r="20584" spans="1:3">
      <c r="A20584" s="571" t="s">
        <v>1634</v>
      </c>
      <c r="B20584" s="572">
        <v>4</v>
      </c>
      <c r="C20584" s="572">
        <v>98</v>
      </c>
    </row>
    <row r="20585" spans="1:3">
      <c r="A20585" s="571" t="s">
        <v>1634</v>
      </c>
      <c r="B20585" s="572">
        <v>6</v>
      </c>
      <c r="C20585" s="572">
        <v>129</v>
      </c>
    </row>
    <row r="20586" spans="1:3">
      <c r="A20586" s="571" t="s">
        <v>1634</v>
      </c>
      <c r="B20586" s="572">
        <v>7</v>
      </c>
      <c r="C20586" s="572">
        <v>141</v>
      </c>
    </row>
    <row r="20587" spans="1:3">
      <c r="A20587" s="571" t="s">
        <v>1634</v>
      </c>
      <c r="B20587" s="572">
        <v>14</v>
      </c>
      <c r="C20587" s="572">
        <v>200</v>
      </c>
    </row>
    <row r="20588" spans="1:3">
      <c r="A20588" s="571" t="s">
        <v>1634</v>
      </c>
      <c r="B20588" s="572">
        <v>21</v>
      </c>
      <c r="C20588" s="572">
        <v>261</v>
      </c>
    </row>
    <row r="20589" spans="1:3">
      <c r="A20589" s="571" t="s">
        <v>1634</v>
      </c>
      <c r="B20589" s="572">
        <v>28</v>
      </c>
      <c r="C20589" s="572">
        <v>281</v>
      </c>
    </row>
    <row r="20590" spans="1:3">
      <c r="A20590" s="571" t="s">
        <v>1634</v>
      </c>
      <c r="B20590" s="572">
        <v>43</v>
      </c>
      <c r="C20590" s="572">
        <v>339</v>
      </c>
    </row>
    <row r="20591" spans="1:3">
      <c r="A20591" s="571" t="s">
        <v>1634</v>
      </c>
      <c r="B20591" s="572">
        <v>56</v>
      </c>
      <c r="C20591" s="572">
        <v>382</v>
      </c>
    </row>
    <row r="20592" spans="1:3">
      <c r="A20592" s="571" t="s">
        <v>1634</v>
      </c>
      <c r="B20592" s="572">
        <v>70</v>
      </c>
      <c r="C20592" s="572">
        <v>409</v>
      </c>
    </row>
    <row r="20593" spans="1:3">
      <c r="A20593" s="571" t="s">
        <v>1634</v>
      </c>
      <c r="B20593" s="572">
        <v>84</v>
      </c>
      <c r="C20593" s="572">
        <v>439</v>
      </c>
    </row>
    <row r="20594" spans="1:3">
      <c r="A20594" s="571" t="s">
        <v>1634</v>
      </c>
      <c r="B20594" s="572">
        <v>98</v>
      </c>
      <c r="C20594" s="572">
        <v>448</v>
      </c>
    </row>
    <row r="20595" spans="1:3">
      <c r="A20595" s="573" t="s">
        <v>1634</v>
      </c>
      <c r="B20595" s="574">
        <v>120</v>
      </c>
      <c r="C20595" s="574">
        <v>458</v>
      </c>
    </row>
    <row r="20596" spans="1:3">
      <c r="A20596" s="573" t="s">
        <v>1634</v>
      </c>
      <c r="B20596" s="574">
        <v>150</v>
      </c>
      <c r="C20596" s="574">
        <v>466</v>
      </c>
    </row>
    <row r="20597" spans="1:3">
      <c r="A20597" s="573" t="s">
        <v>1634</v>
      </c>
      <c r="B20597" s="574">
        <v>150</v>
      </c>
      <c r="C20597" s="574">
        <v>466</v>
      </c>
    </row>
    <row r="20598" spans="1:3">
      <c r="A20598" s="571" t="s">
        <v>1632</v>
      </c>
      <c r="B20598" s="572">
        <v>1</v>
      </c>
      <c r="C20598" s="572">
        <v>20</v>
      </c>
    </row>
    <row r="20599" spans="1:3">
      <c r="A20599" s="571" t="s">
        <v>1632</v>
      </c>
      <c r="B20599" s="572">
        <v>2</v>
      </c>
      <c r="C20599" s="572">
        <v>40</v>
      </c>
    </row>
    <row r="20600" spans="1:3">
      <c r="A20600" s="571" t="s">
        <v>1632</v>
      </c>
      <c r="B20600" s="572">
        <v>3</v>
      </c>
      <c r="C20600" s="572">
        <v>62</v>
      </c>
    </row>
    <row r="20601" spans="1:3">
      <c r="A20601" s="571" t="s">
        <v>1632</v>
      </c>
      <c r="B20601" s="572">
        <v>4</v>
      </c>
      <c r="C20601" s="572">
        <v>69</v>
      </c>
    </row>
    <row r="20602" spans="1:3">
      <c r="A20602" s="571" t="s">
        <v>1632</v>
      </c>
      <c r="B20602" s="572">
        <v>6</v>
      </c>
      <c r="C20602" s="572">
        <v>88</v>
      </c>
    </row>
    <row r="20603" spans="1:3">
      <c r="A20603" s="571" t="s">
        <v>1632</v>
      </c>
      <c r="B20603" s="572">
        <v>7</v>
      </c>
      <c r="C20603" s="572">
        <v>99</v>
      </c>
    </row>
    <row r="20604" spans="1:3">
      <c r="A20604" s="571" t="s">
        <v>1632</v>
      </c>
      <c r="B20604" s="572">
        <v>14</v>
      </c>
      <c r="C20604" s="572">
        <v>159</v>
      </c>
    </row>
    <row r="20605" spans="1:3">
      <c r="A20605" s="571" t="s">
        <v>1632</v>
      </c>
      <c r="B20605" s="572">
        <v>21</v>
      </c>
      <c r="C20605" s="572">
        <v>199</v>
      </c>
    </row>
    <row r="20606" spans="1:3">
      <c r="A20606" s="571" t="s">
        <v>1632</v>
      </c>
      <c r="B20606" s="572">
        <v>28</v>
      </c>
      <c r="C20606" s="572">
        <v>231</v>
      </c>
    </row>
    <row r="20607" spans="1:3">
      <c r="A20607" s="571" t="s">
        <v>1632</v>
      </c>
      <c r="B20607" s="572">
        <v>43</v>
      </c>
      <c r="C20607" s="572">
        <v>290</v>
      </c>
    </row>
    <row r="20608" spans="1:3">
      <c r="A20608" s="571" t="s">
        <v>1632</v>
      </c>
      <c r="B20608" s="572">
        <v>56</v>
      </c>
      <c r="C20608" s="572">
        <v>330</v>
      </c>
    </row>
    <row r="20609" spans="1:3">
      <c r="A20609" s="571" t="s">
        <v>1632</v>
      </c>
      <c r="B20609" s="572">
        <v>70</v>
      </c>
      <c r="C20609" s="572">
        <v>368</v>
      </c>
    </row>
    <row r="20610" spans="1:3">
      <c r="A20610" s="571" t="s">
        <v>1632</v>
      </c>
      <c r="B20610" s="572">
        <v>84</v>
      </c>
      <c r="C20610" s="572">
        <v>399</v>
      </c>
    </row>
    <row r="20611" spans="1:3">
      <c r="A20611" s="571" t="s">
        <v>1632</v>
      </c>
      <c r="B20611" s="572">
        <v>98</v>
      </c>
      <c r="C20611" s="572">
        <v>418</v>
      </c>
    </row>
    <row r="20612" spans="1:3">
      <c r="A20612" s="573" t="s">
        <v>1632</v>
      </c>
      <c r="B20612" s="574">
        <v>120</v>
      </c>
      <c r="C20612" s="574">
        <v>429</v>
      </c>
    </row>
    <row r="20613" spans="1:3">
      <c r="A20613" s="573" t="s">
        <v>1632</v>
      </c>
      <c r="B20613" s="574">
        <v>150</v>
      </c>
      <c r="C20613" s="574">
        <v>446</v>
      </c>
    </row>
    <row r="20614" spans="1:3">
      <c r="A20614" s="573" t="s">
        <v>1632</v>
      </c>
      <c r="B20614" s="574">
        <v>150</v>
      </c>
      <c r="C20614" s="574">
        <v>446</v>
      </c>
    </row>
    <row r="20615" spans="1:3">
      <c r="A20615" s="571" t="s">
        <v>1630</v>
      </c>
      <c r="B20615" s="572">
        <v>1</v>
      </c>
      <c r="C20615" s="572">
        <v>50</v>
      </c>
    </row>
    <row r="20616" spans="1:3">
      <c r="A20616" s="571" t="s">
        <v>1630</v>
      </c>
      <c r="B20616" s="572">
        <v>2</v>
      </c>
      <c r="C20616" s="572">
        <v>81</v>
      </c>
    </row>
    <row r="20617" spans="1:3">
      <c r="A20617" s="571" t="s">
        <v>1630</v>
      </c>
      <c r="B20617" s="572">
        <v>3</v>
      </c>
      <c r="C20617" s="572">
        <v>100</v>
      </c>
    </row>
    <row r="20618" spans="1:3">
      <c r="A20618" s="571" t="s">
        <v>1630</v>
      </c>
      <c r="B20618" s="572">
        <v>4</v>
      </c>
      <c r="C20618" s="572">
        <v>119</v>
      </c>
    </row>
    <row r="20619" spans="1:3">
      <c r="A20619" s="571" t="s">
        <v>1630</v>
      </c>
      <c r="B20619" s="572">
        <v>6</v>
      </c>
      <c r="C20619" s="572">
        <v>158</v>
      </c>
    </row>
    <row r="20620" spans="1:3">
      <c r="A20620" s="571" t="s">
        <v>1630</v>
      </c>
      <c r="B20620" s="572">
        <v>7</v>
      </c>
      <c r="C20620" s="572">
        <v>169</v>
      </c>
    </row>
    <row r="20621" spans="1:3">
      <c r="A20621" s="571" t="s">
        <v>1630</v>
      </c>
      <c r="B20621" s="572">
        <v>14</v>
      </c>
      <c r="C20621" s="572">
        <v>250</v>
      </c>
    </row>
    <row r="20622" spans="1:3">
      <c r="A20622" s="571" t="s">
        <v>1630</v>
      </c>
      <c r="B20622" s="572">
        <v>21</v>
      </c>
      <c r="C20622" s="572">
        <v>279</v>
      </c>
    </row>
    <row r="20623" spans="1:3">
      <c r="A20623" s="571" t="s">
        <v>1630</v>
      </c>
      <c r="B20623" s="572">
        <v>28</v>
      </c>
      <c r="C20623" s="572">
        <v>330</v>
      </c>
    </row>
    <row r="20624" spans="1:3">
      <c r="A20624" s="571" t="s">
        <v>1630</v>
      </c>
      <c r="B20624" s="572">
        <v>43</v>
      </c>
      <c r="C20624" s="572">
        <v>359</v>
      </c>
    </row>
    <row r="20625" spans="1:3">
      <c r="A20625" s="571" t="s">
        <v>1630</v>
      </c>
      <c r="B20625" s="572">
        <v>56</v>
      </c>
      <c r="C20625" s="572">
        <v>399</v>
      </c>
    </row>
    <row r="20626" spans="1:3">
      <c r="A20626" s="571" t="s">
        <v>1630</v>
      </c>
      <c r="B20626" s="572">
        <v>70</v>
      </c>
      <c r="C20626" s="572">
        <v>418</v>
      </c>
    </row>
    <row r="20627" spans="1:3">
      <c r="A20627" s="571" t="s">
        <v>1630</v>
      </c>
      <c r="B20627" s="572">
        <v>84</v>
      </c>
      <c r="C20627" s="572">
        <v>438</v>
      </c>
    </row>
    <row r="20628" spans="1:3">
      <c r="A20628" s="573" t="s">
        <v>1630</v>
      </c>
      <c r="B20628" s="574">
        <v>101</v>
      </c>
      <c r="C20628" s="574">
        <v>458</v>
      </c>
    </row>
    <row r="20629" spans="1:3">
      <c r="A20629" s="573" t="s">
        <v>1630</v>
      </c>
      <c r="B20629" s="574">
        <v>120</v>
      </c>
      <c r="C20629" s="574">
        <v>467</v>
      </c>
    </row>
    <row r="20630" spans="1:3">
      <c r="A20630" s="573" t="s">
        <v>1630</v>
      </c>
      <c r="B20630" s="574">
        <v>150</v>
      </c>
      <c r="C20630" s="574">
        <v>477</v>
      </c>
    </row>
    <row r="20631" spans="1:3">
      <c r="A20631" s="573" t="s">
        <v>1630</v>
      </c>
      <c r="B20631" s="574">
        <v>150</v>
      </c>
      <c r="C20631" s="574">
        <v>477</v>
      </c>
    </row>
    <row r="20632" spans="1:3">
      <c r="A20632" s="571" t="s">
        <v>1628</v>
      </c>
      <c r="B20632" s="572">
        <v>1</v>
      </c>
      <c r="C20632" s="572">
        <v>40</v>
      </c>
    </row>
    <row r="20633" spans="1:3">
      <c r="A20633" s="571" t="s">
        <v>1628</v>
      </c>
      <c r="B20633" s="572">
        <v>2</v>
      </c>
      <c r="C20633" s="572">
        <v>61</v>
      </c>
    </row>
    <row r="20634" spans="1:3">
      <c r="A20634" s="571" t="s">
        <v>1628</v>
      </c>
      <c r="B20634" s="572">
        <v>3</v>
      </c>
      <c r="C20634" s="572">
        <v>79</v>
      </c>
    </row>
    <row r="20635" spans="1:3">
      <c r="A20635" s="571" t="s">
        <v>1628</v>
      </c>
      <c r="B20635" s="572">
        <v>4</v>
      </c>
      <c r="C20635" s="572">
        <v>88</v>
      </c>
    </row>
    <row r="20636" spans="1:3">
      <c r="A20636" s="571" t="s">
        <v>1628</v>
      </c>
      <c r="B20636" s="572">
        <v>6</v>
      </c>
      <c r="C20636" s="572">
        <v>109</v>
      </c>
    </row>
    <row r="20637" spans="1:3">
      <c r="A20637" s="571" t="s">
        <v>1628</v>
      </c>
      <c r="B20637" s="572">
        <v>7</v>
      </c>
      <c r="C20637" s="572">
        <v>120</v>
      </c>
    </row>
    <row r="20638" spans="1:3">
      <c r="A20638" s="571" t="s">
        <v>1628</v>
      </c>
      <c r="B20638" s="572">
        <v>14</v>
      </c>
      <c r="C20638" s="572">
        <v>200</v>
      </c>
    </row>
    <row r="20639" spans="1:3">
      <c r="A20639" s="571" t="s">
        <v>1628</v>
      </c>
      <c r="B20639" s="572">
        <v>21</v>
      </c>
      <c r="C20639" s="572">
        <v>238</v>
      </c>
    </row>
    <row r="20640" spans="1:3">
      <c r="A20640" s="571" t="s">
        <v>1628</v>
      </c>
      <c r="B20640" s="572">
        <v>28</v>
      </c>
      <c r="C20640" s="572">
        <v>279</v>
      </c>
    </row>
    <row r="20641" spans="1:3">
      <c r="A20641" s="571" t="s">
        <v>1628</v>
      </c>
      <c r="B20641" s="572">
        <v>43</v>
      </c>
      <c r="C20641" s="572">
        <v>329</v>
      </c>
    </row>
    <row r="20642" spans="1:3">
      <c r="A20642" s="571" t="s">
        <v>1628</v>
      </c>
      <c r="B20642" s="572">
        <v>56</v>
      </c>
      <c r="C20642" s="572">
        <v>378</v>
      </c>
    </row>
    <row r="20643" spans="1:3">
      <c r="A20643" s="571" t="s">
        <v>1628</v>
      </c>
      <c r="B20643" s="572">
        <v>70</v>
      </c>
      <c r="C20643" s="572">
        <v>399</v>
      </c>
    </row>
    <row r="20644" spans="1:3">
      <c r="A20644" s="571" t="s">
        <v>1628</v>
      </c>
      <c r="B20644" s="572">
        <v>84</v>
      </c>
      <c r="C20644" s="572">
        <v>418</v>
      </c>
    </row>
    <row r="20645" spans="1:3">
      <c r="A20645" s="573" t="s">
        <v>1628</v>
      </c>
      <c r="B20645" s="574">
        <v>101</v>
      </c>
      <c r="C20645" s="574">
        <v>428</v>
      </c>
    </row>
    <row r="20646" spans="1:3">
      <c r="A20646" s="573" t="s">
        <v>1628</v>
      </c>
      <c r="B20646" s="574">
        <v>120</v>
      </c>
      <c r="C20646" s="574">
        <v>448</v>
      </c>
    </row>
    <row r="20647" spans="1:3">
      <c r="A20647" s="573" t="s">
        <v>1628</v>
      </c>
      <c r="B20647" s="574">
        <v>150</v>
      </c>
      <c r="C20647" s="574">
        <v>457</v>
      </c>
    </row>
    <row r="20648" spans="1:3">
      <c r="A20648" s="573" t="s">
        <v>1628</v>
      </c>
      <c r="B20648" s="574">
        <v>150</v>
      </c>
      <c r="C20648" s="574">
        <v>457</v>
      </c>
    </row>
    <row r="20649" spans="1:3">
      <c r="A20649" s="571" t="s">
        <v>1626</v>
      </c>
      <c r="B20649" s="572">
        <v>3</v>
      </c>
      <c r="C20649" s="572">
        <v>59</v>
      </c>
    </row>
    <row r="20650" spans="1:3">
      <c r="A20650" s="571" t="s">
        <v>1626</v>
      </c>
      <c r="B20650" s="572">
        <v>6</v>
      </c>
      <c r="C20650" s="572">
        <v>90</v>
      </c>
    </row>
    <row r="20651" spans="1:3">
      <c r="A20651" s="571" t="s">
        <v>1626</v>
      </c>
      <c r="B20651" s="572">
        <v>7</v>
      </c>
      <c r="C20651" s="572">
        <v>109</v>
      </c>
    </row>
    <row r="20652" spans="1:3">
      <c r="A20652" s="571" t="s">
        <v>1626</v>
      </c>
      <c r="B20652" s="572">
        <v>14</v>
      </c>
      <c r="C20652" s="572">
        <v>158</v>
      </c>
    </row>
    <row r="20653" spans="1:3">
      <c r="A20653" s="571" t="s">
        <v>1626</v>
      </c>
      <c r="B20653" s="572">
        <v>21</v>
      </c>
      <c r="C20653" s="572">
        <v>199</v>
      </c>
    </row>
    <row r="20654" spans="1:3">
      <c r="A20654" s="571" t="s">
        <v>1626</v>
      </c>
      <c r="B20654" s="572">
        <v>28</v>
      </c>
      <c r="C20654" s="572">
        <v>228</v>
      </c>
    </row>
    <row r="20655" spans="1:3">
      <c r="A20655" s="571" t="s">
        <v>1626</v>
      </c>
      <c r="B20655" s="572">
        <v>43</v>
      </c>
      <c r="C20655" s="572">
        <v>277</v>
      </c>
    </row>
    <row r="20656" spans="1:3">
      <c r="A20656" s="571" t="s">
        <v>1626</v>
      </c>
      <c r="B20656" s="572">
        <v>56</v>
      </c>
      <c r="C20656" s="572">
        <v>317</v>
      </c>
    </row>
    <row r="20657" spans="1:3">
      <c r="A20657" s="571" t="s">
        <v>1626</v>
      </c>
      <c r="B20657" s="572">
        <v>70</v>
      </c>
      <c r="C20657" s="572">
        <v>337</v>
      </c>
    </row>
    <row r="20658" spans="1:3">
      <c r="A20658" s="571" t="s">
        <v>1626</v>
      </c>
      <c r="B20658" s="572">
        <v>84</v>
      </c>
      <c r="C20658" s="572">
        <v>369</v>
      </c>
    </row>
    <row r="20659" spans="1:3">
      <c r="A20659" s="573" t="s">
        <v>1626</v>
      </c>
      <c r="B20659" s="574">
        <v>101</v>
      </c>
      <c r="C20659" s="574">
        <v>388</v>
      </c>
    </row>
    <row r="20660" spans="1:3">
      <c r="A20660" s="573" t="s">
        <v>1626</v>
      </c>
      <c r="B20660" s="574">
        <v>120</v>
      </c>
      <c r="C20660" s="574">
        <v>399</v>
      </c>
    </row>
    <row r="20661" spans="1:3">
      <c r="A20661" s="573" t="s">
        <v>1626</v>
      </c>
      <c r="B20661" s="574">
        <v>150</v>
      </c>
      <c r="C20661" s="574">
        <v>416</v>
      </c>
    </row>
    <row r="20662" spans="1:3">
      <c r="A20662" s="573" t="s">
        <v>1626</v>
      </c>
      <c r="B20662" s="574">
        <v>150</v>
      </c>
      <c r="C20662" s="574">
        <v>416</v>
      </c>
    </row>
    <row r="20663" spans="1:3">
      <c r="A20663" s="571" t="s">
        <v>1625</v>
      </c>
      <c r="B20663" s="572">
        <v>0</v>
      </c>
      <c r="C20663" s="572">
        <v>0</v>
      </c>
    </row>
    <row r="20664" spans="1:3">
      <c r="A20664" s="571" t="s">
        <v>1625</v>
      </c>
      <c r="B20664" s="572">
        <v>6</v>
      </c>
      <c r="C20664" s="572">
        <v>5</v>
      </c>
    </row>
    <row r="20665" spans="1:3">
      <c r="A20665" s="571" t="s">
        <v>1625</v>
      </c>
      <c r="B20665" s="572">
        <v>25</v>
      </c>
      <c r="C20665" s="572">
        <v>5</v>
      </c>
    </row>
    <row r="20666" spans="1:3">
      <c r="A20666" s="571" t="s">
        <v>1625</v>
      </c>
      <c r="B20666" s="572">
        <v>33</v>
      </c>
      <c r="C20666" s="572">
        <v>8</v>
      </c>
    </row>
    <row r="20667" spans="1:3">
      <c r="A20667" s="571" t="s">
        <v>1625</v>
      </c>
      <c r="B20667" s="572">
        <v>40</v>
      </c>
      <c r="C20667" s="572">
        <v>9</v>
      </c>
    </row>
    <row r="20668" spans="1:3">
      <c r="A20668" s="571" t="s">
        <v>1625</v>
      </c>
      <c r="B20668" s="572">
        <v>43</v>
      </c>
      <c r="C20668" s="572">
        <v>9</v>
      </c>
    </row>
    <row r="20669" spans="1:3">
      <c r="A20669" s="571" t="s">
        <v>1625</v>
      </c>
      <c r="B20669" s="572">
        <v>65</v>
      </c>
      <c r="C20669" s="572">
        <v>5</v>
      </c>
    </row>
    <row r="20670" spans="1:3">
      <c r="A20670" s="571" t="s">
        <v>1625</v>
      </c>
      <c r="B20670" s="572">
        <v>78</v>
      </c>
      <c r="C20670" s="572">
        <v>11</v>
      </c>
    </row>
    <row r="20671" spans="1:3">
      <c r="A20671" s="571" t="s">
        <v>1625</v>
      </c>
      <c r="B20671" s="572">
        <v>96</v>
      </c>
      <c r="C20671" s="572">
        <v>15</v>
      </c>
    </row>
    <row r="20672" spans="1:3">
      <c r="A20672" s="573" t="s">
        <v>1625</v>
      </c>
      <c r="B20672" s="574">
        <v>100</v>
      </c>
      <c r="C20672" s="574">
        <v>25</v>
      </c>
    </row>
    <row r="20673" spans="1:3">
      <c r="A20673" s="573" t="s">
        <v>1625</v>
      </c>
      <c r="B20673" s="574">
        <v>115</v>
      </c>
      <c r="C20673" s="574">
        <v>10</v>
      </c>
    </row>
    <row r="20674" spans="1:3">
      <c r="A20674" s="573" t="s">
        <v>1625</v>
      </c>
      <c r="B20674" s="574">
        <v>130</v>
      </c>
      <c r="C20674" s="574">
        <v>10</v>
      </c>
    </row>
    <row r="20675" spans="1:3">
      <c r="A20675" s="573" t="s">
        <v>1625</v>
      </c>
      <c r="B20675" s="574">
        <v>150</v>
      </c>
      <c r="C20675" s="574">
        <v>10</v>
      </c>
    </row>
    <row r="20676" spans="1:3">
      <c r="A20676" s="573" t="s">
        <v>1625</v>
      </c>
      <c r="B20676" s="574">
        <v>180</v>
      </c>
      <c r="C20676" s="574">
        <v>2</v>
      </c>
    </row>
    <row r="20677" spans="1:3">
      <c r="A20677" s="573" t="s">
        <v>1625</v>
      </c>
      <c r="B20677" s="574">
        <v>210</v>
      </c>
      <c r="C20677" s="574">
        <v>7</v>
      </c>
    </row>
    <row r="20678" spans="1:3">
      <c r="A20678" s="573" t="s">
        <v>1625</v>
      </c>
      <c r="B20678" s="574">
        <v>250</v>
      </c>
      <c r="C20678" s="574">
        <v>12</v>
      </c>
    </row>
    <row r="20679" spans="1:3">
      <c r="A20679" s="573" t="s">
        <v>1625</v>
      </c>
      <c r="B20679" s="574">
        <v>280</v>
      </c>
      <c r="C20679" s="574">
        <v>5</v>
      </c>
    </row>
    <row r="20680" spans="1:3">
      <c r="A20680" s="573" t="s">
        <v>1625</v>
      </c>
      <c r="B20680" s="574">
        <v>330</v>
      </c>
      <c r="C20680" s="574">
        <v>10</v>
      </c>
    </row>
    <row r="20681" spans="1:3">
      <c r="A20681" s="573" t="s">
        <v>1625</v>
      </c>
      <c r="B20681" s="574">
        <v>365</v>
      </c>
      <c r="C20681" s="574">
        <v>5</v>
      </c>
    </row>
    <row r="20682" spans="1:3">
      <c r="A20682" s="573" t="s">
        <v>1625</v>
      </c>
      <c r="B20682" s="574">
        <v>430</v>
      </c>
      <c r="C20682" s="574">
        <v>3</v>
      </c>
    </row>
    <row r="20683" spans="1:3">
      <c r="A20683" s="573" t="s">
        <v>1625</v>
      </c>
      <c r="B20683" s="574">
        <v>470</v>
      </c>
      <c r="C20683" s="574">
        <v>8</v>
      </c>
    </row>
    <row r="20684" spans="1:3">
      <c r="A20684" s="569" t="s">
        <v>1625</v>
      </c>
      <c r="B20684" s="570">
        <v>500</v>
      </c>
      <c r="C20684" s="570">
        <v>15</v>
      </c>
    </row>
    <row r="20685" spans="1:3">
      <c r="A20685" s="569" t="s">
        <v>1625</v>
      </c>
      <c r="B20685" s="570">
        <v>570</v>
      </c>
      <c r="C20685" s="570">
        <v>18</v>
      </c>
    </row>
    <row r="20686" spans="1:3">
      <c r="A20686" s="569" t="s">
        <v>1625</v>
      </c>
      <c r="B20686" s="570">
        <v>590</v>
      </c>
      <c r="C20686" s="570">
        <v>20</v>
      </c>
    </row>
    <row r="20687" spans="1:3">
      <c r="A20687" s="569" t="s">
        <v>1625</v>
      </c>
      <c r="B20687" s="570">
        <v>650</v>
      </c>
      <c r="C20687" s="570">
        <v>5</v>
      </c>
    </row>
    <row r="20688" spans="1:3">
      <c r="A20688" s="569" t="s">
        <v>1625</v>
      </c>
      <c r="B20688" s="570">
        <v>743</v>
      </c>
      <c r="C20688" s="570">
        <v>7</v>
      </c>
    </row>
    <row r="20689" spans="1:3">
      <c r="A20689" s="569" t="s">
        <v>1625</v>
      </c>
      <c r="B20689" s="570">
        <v>743</v>
      </c>
      <c r="C20689" s="570">
        <v>7</v>
      </c>
    </row>
    <row r="20690" spans="1:3">
      <c r="A20690" s="571" t="s">
        <v>1624</v>
      </c>
      <c r="B20690" s="572">
        <v>0</v>
      </c>
      <c r="C20690" s="572">
        <v>0</v>
      </c>
    </row>
    <row r="20691" spans="1:3">
      <c r="A20691" s="573" t="s">
        <v>1624</v>
      </c>
      <c r="B20691" s="574">
        <v>115</v>
      </c>
      <c r="C20691" s="574">
        <v>25</v>
      </c>
    </row>
    <row r="20692" spans="1:3">
      <c r="A20692" s="573" t="s">
        <v>1624</v>
      </c>
      <c r="B20692" s="574">
        <v>180</v>
      </c>
      <c r="C20692" s="574">
        <v>20</v>
      </c>
    </row>
    <row r="20693" spans="1:3">
      <c r="A20693" s="573" t="s">
        <v>1624</v>
      </c>
      <c r="B20693" s="574">
        <v>210</v>
      </c>
      <c r="C20693" s="574">
        <v>20</v>
      </c>
    </row>
    <row r="20694" spans="1:3">
      <c r="A20694" s="573" t="s">
        <v>1624</v>
      </c>
      <c r="B20694" s="574">
        <v>250</v>
      </c>
      <c r="C20694" s="574">
        <v>30</v>
      </c>
    </row>
    <row r="20695" spans="1:3">
      <c r="A20695" s="573" t="s">
        <v>1624</v>
      </c>
      <c r="B20695" s="574">
        <v>280</v>
      </c>
      <c r="C20695" s="574">
        <v>25</v>
      </c>
    </row>
    <row r="20696" spans="1:3">
      <c r="A20696" s="573" t="s">
        <v>1624</v>
      </c>
      <c r="B20696" s="574">
        <v>330</v>
      </c>
      <c r="C20696" s="574">
        <v>25</v>
      </c>
    </row>
    <row r="20697" spans="1:3">
      <c r="A20697" s="573" t="s">
        <v>1624</v>
      </c>
      <c r="B20697" s="574">
        <v>365</v>
      </c>
      <c r="C20697" s="574">
        <v>35</v>
      </c>
    </row>
    <row r="20698" spans="1:3">
      <c r="A20698" s="573" t="s">
        <v>1624</v>
      </c>
      <c r="B20698" s="574">
        <v>430</v>
      </c>
      <c r="C20698" s="574">
        <v>32</v>
      </c>
    </row>
    <row r="20699" spans="1:3">
      <c r="A20699" s="573" t="s">
        <v>1624</v>
      </c>
      <c r="B20699" s="574">
        <v>470</v>
      </c>
      <c r="C20699" s="574">
        <v>42</v>
      </c>
    </row>
    <row r="20700" spans="1:3">
      <c r="A20700" s="569" t="s">
        <v>1624</v>
      </c>
      <c r="B20700" s="570">
        <v>500</v>
      </c>
      <c r="C20700" s="570">
        <v>41</v>
      </c>
    </row>
    <row r="20701" spans="1:3">
      <c r="A20701" s="569" t="s">
        <v>1624</v>
      </c>
      <c r="B20701" s="570">
        <v>570</v>
      </c>
      <c r="C20701" s="570">
        <v>58</v>
      </c>
    </row>
    <row r="20702" spans="1:3">
      <c r="A20702" s="569" t="s">
        <v>1624</v>
      </c>
      <c r="B20702" s="570">
        <v>590</v>
      </c>
      <c r="C20702" s="570">
        <v>75</v>
      </c>
    </row>
    <row r="20703" spans="1:3">
      <c r="A20703" s="569" t="s">
        <v>1624</v>
      </c>
      <c r="B20703" s="570">
        <v>650</v>
      </c>
      <c r="C20703" s="570">
        <v>65</v>
      </c>
    </row>
    <row r="20704" spans="1:3">
      <c r="A20704" s="569" t="s">
        <v>1624</v>
      </c>
      <c r="B20704" s="570">
        <v>743</v>
      </c>
      <c r="C20704" s="570">
        <v>79</v>
      </c>
    </row>
    <row r="20705" spans="1:3">
      <c r="A20705" s="569" t="s">
        <v>1624</v>
      </c>
      <c r="B20705" s="570">
        <v>743</v>
      </c>
      <c r="C20705" s="570">
        <v>79</v>
      </c>
    </row>
    <row r="20706" spans="1:3">
      <c r="A20706" s="571" t="s">
        <v>1623</v>
      </c>
      <c r="B20706" s="572">
        <v>0</v>
      </c>
      <c r="C20706" s="572">
        <v>0</v>
      </c>
    </row>
    <row r="20707" spans="1:3">
      <c r="A20707" s="571" t="s">
        <v>1623</v>
      </c>
      <c r="B20707" s="572">
        <v>12</v>
      </c>
      <c r="C20707" s="572">
        <v>30</v>
      </c>
    </row>
    <row r="20708" spans="1:3">
      <c r="A20708" s="571" t="s">
        <v>1623</v>
      </c>
      <c r="B20708" s="572">
        <v>78</v>
      </c>
      <c r="C20708" s="572">
        <v>25</v>
      </c>
    </row>
    <row r="20709" spans="1:3">
      <c r="A20709" s="571" t="s">
        <v>1623</v>
      </c>
      <c r="B20709" s="572">
        <v>96</v>
      </c>
      <c r="C20709" s="572">
        <v>30</v>
      </c>
    </row>
    <row r="20710" spans="1:3">
      <c r="A20710" s="573" t="s">
        <v>1623</v>
      </c>
      <c r="B20710" s="574">
        <v>100</v>
      </c>
      <c r="C20710" s="574">
        <v>40</v>
      </c>
    </row>
    <row r="20711" spans="1:3">
      <c r="A20711" s="573" t="s">
        <v>1623</v>
      </c>
      <c r="B20711" s="574">
        <v>115</v>
      </c>
      <c r="C20711" s="574">
        <v>55</v>
      </c>
    </row>
    <row r="20712" spans="1:3">
      <c r="A20712" s="573" t="s">
        <v>1623</v>
      </c>
      <c r="B20712" s="574">
        <v>130</v>
      </c>
      <c r="C20712" s="574">
        <v>35</v>
      </c>
    </row>
    <row r="20713" spans="1:3">
      <c r="A20713" s="573" t="s">
        <v>1623</v>
      </c>
      <c r="B20713" s="574">
        <v>150</v>
      </c>
      <c r="C20713" s="574">
        <v>22</v>
      </c>
    </row>
    <row r="20714" spans="1:3">
      <c r="A20714" s="573" t="s">
        <v>1623</v>
      </c>
      <c r="B20714" s="574">
        <v>180</v>
      </c>
      <c r="C20714" s="574">
        <v>42</v>
      </c>
    </row>
    <row r="20715" spans="1:3">
      <c r="A20715" s="573" t="s">
        <v>1623</v>
      </c>
      <c r="B20715" s="574">
        <v>210</v>
      </c>
      <c r="C20715" s="574">
        <v>37</v>
      </c>
    </row>
    <row r="20716" spans="1:3">
      <c r="A20716" s="573" t="s">
        <v>1623</v>
      </c>
      <c r="B20716" s="574">
        <v>250</v>
      </c>
      <c r="C20716" s="574">
        <v>55</v>
      </c>
    </row>
    <row r="20717" spans="1:3">
      <c r="A20717" s="573" t="s">
        <v>1623</v>
      </c>
      <c r="B20717" s="574">
        <v>280</v>
      </c>
      <c r="C20717" s="574">
        <v>47</v>
      </c>
    </row>
    <row r="20718" spans="1:3">
      <c r="A20718" s="573" t="s">
        <v>1623</v>
      </c>
      <c r="B20718" s="574">
        <v>330</v>
      </c>
      <c r="C20718" s="574">
        <v>32</v>
      </c>
    </row>
    <row r="20719" spans="1:3">
      <c r="A20719" s="573" t="s">
        <v>1623</v>
      </c>
      <c r="B20719" s="574">
        <v>400</v>
      </c>
      <c r="C20719" s="574">
        <v>50</v>
      </c>
    </row>
    <row r="20720" spans="1:3">
      <c r="A20720" s="569" t="s">
        <v>1623</v>
      </c>
      <c r="B20720" s="570">
        <v>500</v>
      </c>
      <c r="C20720" s="570">
        <v>67</v>
      </c>
    </row>
    <row r="20721" spans="1:3">
      <c r="A20721" s="569" t="s">
        <v>1623</v>
      </c>
      <c r="B20721" s="570">
        <v>590</v>
      </c>
      <c r="C20721" s="570">
        <v>85</v>
      </c>
    </row>
    <row r="20722" spans="1:3">
      <c r="A20722" s="569" t="s">
        <v>1623</v>
      </c>
      <c r="B20722" s="570">
        <v>743</v>
      </c>
      <c r="C20722" s="570">
        <v>97</v>
      </c>
    </row>
    <row r="20723" spans="1:3">
      <c r="A20723" s="569" t="s">
        <v>1623</v>
      </c>
      <c r="B20723" s="570">
        <v>743</v>
      </c>
      <c r="C20723" s="570">
        <v>97</v>
      </c>
    </row>
    <row r="20724" spans="1:3">
      <c r="A20724" s="571" t="s">
        <v>1622</v>
      </c>
      <c r="B20724" s="572">
        <v>4</v>
      </c>
      <c r="C20724" s="572">
        <v>40</v>
      </c>
    </row>
    <row r="20725" spans="1:3">
      <c r="A20725" s="571" t="s">
        <v>1622</v>
      </c>
      <c r="B20725" s="572">
        <v>11</v>
      </c>
      <c r="C20725" s="572">
        <v>80</v>
      </c>
    </row>
    <row r="20726" spans="1:3">
      <c r="A20726" s="571" t="s">
        <v>1622</v>
      </c>
      <c r="B20726" s="572">
        <v>21</v>
      </c>
      <c r="C20726" s="572">
        <v>150</v>
      </c>
    </row>
    <row r="20727" spans="1:3">
      <c r="A20727" s="571" t="s">
        <v>1622</v>
      </c>
      <c r="B20727" s="572">
        <v>37</v>
      </c>
      <c r="C20727" s="572">
        <v>205</v>
      </c>
    </row>
    <row r="20728" spans="1:3">
      <c r="A20728" s="571" t="s">
        <v>1622</v>
      </c>
      <c r="B20728" s="572">
        <v>63</v>
      </c>
      <c r="C20728" s="572">
        <v>245</v>
      </c>
    </row>
    <row r="20729" spans="1:3">
      <c r="A20729" s="573" t="s">
        <v>1622</v>
      </c>
      <c r="B20729" s="574">
        <v>113</v>
      </c>
      <c r="C20729" s="574">
        <v>280</v>
      </c>
    </row>
    <row r="20730" spans="1:3">
      <c r="A20730" s="573" t="s">
        <v>1622</v>
      </c>
      <c r="B20730" s="574">
        <v>173</v>
      </c>
      <c r="C20730" s="574">
        <v>310</v>
      </c>
    </row>
    <row r="20731" spans="1:3">
      <c r="A20731" s="573" t="s">
        <v>1622</v>
      </c>
      <c r="B20731" s="574">
        <v>273</v>
      </c>
      <c r="C20731" s="574">
        <v>335</v>
      </c>
    </row>
    <row r="20732" spans="1:3">
      <c r="A20732" s="573" t="s">
        <v>1622</v>
      </c>
      <c r="B20732" s="574">
        <v>433</v>
      </c>
      <c r="C20732" s="574">
        <v>350</v>
      </c>
    </row>
    <row r="20733" spans="1:3">
      <c r="A20733" s="569" t="s">
        <v>1622</v>
      </c>
      <c r="B20733" s="570">
        <v>693</v>
      </c>
      <c r="C20733" s="570">
        <v>360</v>
      </c>
    </row>
    <row r="20734" spans="1:3">
      <c r="A20734" s="569" t="s">
        <v>1622</v>
      </c>
      <c r="B20734" s="570">
        <v>1093</v>
      </c>
      <c r="C20734" s="570">
        <v>370</v>
      </c>
    </row>
    <row r="20735" spans="1:3">
      <c r="A20735" s="569" t="s">
        <v>1622</v>
      </c>
      <c r="B20735" s="570">
        <v>1093</v>
      </c>
      <c r="C20735" s="570">
        <v>370</v>
      </c>
    </row>
    <row r="20736" spans="1:3">
      <c r="A20736" s="571" t="s">
        <v>1621</v>
      </c>
      <c r="B20736" s="572">
        <v>4</v>
      </c>
      <c r="C20736" s="572">
        <v>45</v>
      </c>
    </row>
    <row r="20737" spans="1:3">
      <c r="A20737" s="571" t="s">
        <v>1621</v>
      </c>
      <c r="B20737" s="572">
        <v>11</v>
      </c>
      <c r="C20737" s="572">
        <v>95</v>
      </c>
    </row>
    <row r="20738" spans="1:3">
      <c r="A20738" s="571" t="s">
        <v>1621</v>
      </c>
      <c r="B20738" s="572">
        <v>21</v>
      </c>
      <c r="C20738" s="572">
        <v>150</v>
      </c>
    </row>
    <row r="20739" spans="1:3">
      <c r="A20739" s="571" t="s">
        <v>1621</v>
      </c>
      <c r="B20739" s="572">
        <v>37</v>
      </c>
      <c r="C20739" s="572">
        <v>205</v>
      </c>
    </row>
    <row r="20740" spans="1:3">
      <c r="A20740" s="571" t="s">
        <v>1621</v>
      </c>
      <c r="B20740" s="572">
        <v>63</v>
      </c>
      <c r="C20740" s="572">
        <v>250</v>
      </c>
    </row>
    <row r="20741" spans="1:3">
      <c r="A20741" s="573" t="s">
        <v>1621</v>
      </c>
      <c r="B20741" s="574">
        <v>113</v>
      </c>
      <c r="C20741" s="574">
        <v>310</v>
      </c>
    </row>
    <row r="20742" spans="1:3">
      <c r="A20742" s="573" t="s">
        <v>1621</v>
      </c>
      <c r="B20742" s="574">
        <v>173</v>
      </c>
      <c r="C20742" s="574">
        <v>350</v>
      </c>
    </row>
    <row r="20743" spans="1:3">
      <c r="A20743" s="573" t="s">
        <v>1621</v>
      </c>
      <c r="B20743" s="574">
        <v>273</v>
      </c>
      <c r="C20743" s="574">
        <v>390</v>
      </c>
    </row>
    <row r="20744" spans="1:3">
      <c r="A20744" s="573" t="s">
        <v>1621</v>
      </c>
      <c r="B20744" s="574">
        <v>433</v>
      </c>
      <c r="C20744" s="574">
        <v>440</v>
      </c>
    </row>
    <row r="20745" spans="1:3">
      <c r="A20745" s="569" t="s">
        <v>1621</v>
      </c>
      <c r="B20745" s="570">
        <v>693</v>
      </c>
      <c r="C20745" s="570">
        <v>460</v>
      </c>
    </row>
    <row r="20746" spans="1:3">
      <c r="A20746" s="569" t="s">
        <v>1621</v>
      </c>
      <c r="B20746" s="570">
        <v>1093</v>
      </c>
      <c r="C20746" s="570">
        <v>490</v>
      </c>
    </row>
    <row r="20747" spans="1:3">
      <c r="A20747" s="569" t="s">
        <v>1621</v>
      </c>
      <c r="B20747" s="570">
        <v>1093</v>
      </c>
      <c r="C20747" s="570">
        <v>490</v>
      </c>
    </row>
    <row r="20748" spans="1:3">
      <c r="A20748" s="571" t="s">
        <v>1620</v>
      </c>
      <c r="B20748" s="572">
        <v>4</v>
      </c>
      <c r="C20748" s="572">
        <v>60</v>
      </c>
    </row>
    <row r="20749" spans="1:3">
      <c r="A20749" s="571" t="s">
        <v>1620</v>
      </c>
      <c r="B20749" s="572">
        <v>11</v>
      </c>
      <c r="C20749" s="572">
        <v>130</v>
      </c>
    </row>
    <row r="20750" spans="1:3">
      <c r="A20750" s="571" t="s">
        <v>1620</v>
      </c>
      <c r="B20750" s="572">
        <v>21</v>
      </c>
      <c r="C20750" s="572">
        <v>205</v>
      </c>
    </row>
    <row r="20751" spans="1:3">
      <c r="A20751" s="571" t="s">
        <v>1620</v>
      </c>
      <c r="B20751" s="572">
        <v>37</v>
      </c>
      <c r="C20751" s="572">
        <v>260</v>
      </c>
    </row>
    <row r="20752" spans="1:3">
      <c r="A20752" s="571" t="s">
        <v>1620</v>
      </c>
      <c r="B20752" s="572">
        <v>63</v>
      </c>
      <c r="C20752" s="572">
        <v>315</v>
      </c>
    </row>
    <row r="20753" spans="1:3">
      <c r="A20753" s="573" t="s">
        <v>1620</v>
      </c>
      <c r="B20753" s="574">
        <v>113</v>
      </c>
      <c r="C20753" s="574">
        <v>370</v>
      </c>
    </row>
    <row r="20754" spans="1:3">
      <c r="A20754" s="573" t="s">
        <v>1620</v>
      </c>
      <c r="B20754" s="574">
        <v>173</v>
      </c>
      <c r="C20754" s="574">
        <v>415</v>
      </c>
    </row>
    <row r="20755" spans="1:3">
      <c r="A20755" s="573" t="s">
        <v>1620</v>
      </c>
      <c r="B20755" s="574">
        <v>273</v>
      </c>
      <c r="C20755" s="574">
        <v>450</v>
      </c>
    </row>
    <row r="20756" spans="1:3">
      <c r="A20756" s="573" t="s">
        <v>1620</v>
      </c>
      <c r="B20756" s="574">
        <v>433</v>
      </c>
      <c r="C20756" s="574">
        <v>470</v>
      </c>
    </row>
    <row r="20757" spans="1:3">
      <c r="A20757" s="569" t="s">
        <v>1620</v>
      </c>
      <c r="B20757" s="570">
        <v>693</v>
      </c>
      <c r="C20757" s="570">
        <v>480</v>
      </c>
    </row>
    <row r="20758" spans="1:3">
      <c r="A20758" s="569" t="s">
        <v>1620</v>
      </c>
      <c r="B20758" s="570">
        <v>693</v>
      </c>
      <c r="C20758" s="570">
        <v>480</v>
      </c>
    </row>
    <row r="20759" spans="1:3">
      <c r="A20759" s="571" t="s">
        <v>1619</v>
      </c>
      <c r="B20759" s="572">
        <v>2</v>
      </c>
      <c r="C20759" s="572">
        <v>50</v>
      </c>
    </row>
    <row r="20760" spans="1:3">
      <c r="A20760" s="571" t="s">
        <v>1619</v>
      </c>
      <c r="B20760" s="572">
        <v>6</v>
      </c>
      <c r="C20760" s="572">
        <v>100</v>
      </c>
    </row>
    <row r="20761" spans="1:3">
      <c r="A20761" s="571" t="s">
        <v>1619</v>
      </c>
      <c r="B20761" s="572">
        <v>10</v>
      </c>
      <c r="C20761" s="572">
        <v>140</v>
      </c>
    </row>
    <row r="20762" spans="1:3">
      <c r="A20762" s="571" t="s">
        <v>1619</v>
      </c>
      <c r="B20762" s="572">
        <v>17</v>
      </c>
      <c r="C20762" s="572">
        <v>180</v>
      </c>
    </row>
    <row r="20763" spans="1:3">
      <c r="A20763" s="571" t="s">
        <v>1619</v>
      </c>
      <c r="B20763" s="572">
        <v>27</v>
      </c>
      <c r="C20763" s="572">
        <v>240</v>
      </c>
    </row>
    <row r="20764" spans="1:3">
      <c r="A20764" s="571" t="s">
        <v>1619</v>
      </c>
      <c r="B20764" s="572">
        <v>43</v>
      </c>
      <c r="C20764" s="572">
        <v>285</v>
      </c>
    </row>
    <row r="20765" spans="1:3">
      <c r="A20765" s="571" t="s">
        <v>1619</v>
      </c>
      <c r="B20765" s="572">
        <v>69</v>
      </c>
      <c r="C20765" s="572">
        <v>340</v>
      </c>
    </row>
    <row r="20766" spans="1:3">
      <c r="A20766" s="573" t="s">
        <v>1619</v>
      </c>
      <c r="B20766" s="574">
        <v>109</v>
      </c>
      <c r="C20766" s="574">
        <v>405</v>
      </c>
    </row>
    <row r="20767" spans="1:3">
      <c r="A20767" s="573" t="s">
        <v>1619</v>
      </c>
      <c r="B20767" s="574">
        <v>179</v>
      </c>
      <c r="C20767" s="574">
        <v>470</v>
      </c>
    </row>
    <row r="20768" spans="1:3">
      <c r="A20768" s="573" t="s">
        <v>1619</v>
      </c>
      <c r="B20768" s="574">
        <v>279</v>
      </c>
      <c r="C20768" s="574">
        <v>505</v>
      </c>
    </row>
    <row r="20769" spans="1:3">
      <c r="A20769" s="573" t="s">
        <v>1619</v>
      </c>
      <c r="B20769" s="574">
        <v>439</v>
      </c>
      <c r="C20769" s="574">
        <v>515</v>
      </c>
    </row>
    <row r="20770" spans="1:3">
      <c r="A20770" s="569" t="s">
        <v>1619</v>
      </c>
      <c r="B20770" s="570">
        <v>699</v>
      </c>
      <c r="C20770" s="570">
        <v>520</v>
      </c>
    </row>
    <row r="20771" spans="1:3">
      <c r="A20771" s="569" t="s">
        <v>1619</v>
      </c>
      <c r="B20771" s="570">
        <v>1099</v>
      </c>
      <c r="C20771" s="570">
        <v>520</v>
      </c>
    </row>
    <row r="20772" spans="1:3">
      <c r="A20772" s="569" t="s">
        <v>1619</v>
      </c>
      <c r="B20772" s="570">
        <v>1799</v>
      </c>
      <c r="C20772" s="570">
        <v>520</v>
      </c>
    </row>
    <row r="20773" spans="1:3">
      <c r="A20773" s="569" t="s">
        <v>1619</v>
      </c>
      <c r="B20773" s="570">
        <v>1799</v>
      </c>
      <c r="C20773" s="570">
        <v>520</v>
      </c>
    </row>
    <row r="20774" spans="1:3">
      <c r="A20774" s="571" t="s">
        <v>1618</v>
      </c>
      <c r="B20774" s="572">
        <v>2</v>
      </c>
      <c r="C20774" s="572">
        <v>50</v>
      </c>
    </row>
    <row r="20775" spans="1:3">
      <c r="A20775" s="571" t="s">
        <v>1618</v>
      </c>
      <c r="B20775" s="572">
        <v>6</v>
      </c>
      <c r="C20775" s="572">
        <v>135</v>
      </c>
    </row>
    <row r="20776" spans="1:3">
      <c r="A20776" s="571" t="s">
        <v>1618</v>
      </c>
      <c r="B20776" s="572">
        <v>10</v>
      </c>
      <c r="C20776" s="572">
        <v>175</v>
      </c>
    </row>
    <row r="20777" spans="1:3">
      <c r="A20777" s="571" t="s">
        <v>1618</v>
      </c>
      <c r="B20777" s="572">
        <v>17</v>
      </c>
      <c r="C20777" s="572">
        <v>220</v>
      </c>
    </row>
    <row r="20778" spans="1:3">
      <c r="A20778" s="571" t="s">
        <v>1618</v>
      </c>
      <c r="B20778" s="572">
        <v>27</v>
      </c>
      <c r="C20778" s="572">
        <v>260</v>
      </c>
    </row>
    <row r="20779" spans="1:3">
      <c r="A20779" s="571" t="s">
        <v>1618</v>
      </c>
      <c r="B20779" s="572">
        <v>43</v>
      </c>
      <c r="C20779" s="572">
        <v>300</v>
      </c>
    </row>
    <row r="20780" spans="1:3">
      <c r="A20780" s="571" t="s">
        <v>1618</v>
      </c>
      <c r="B20780" s="572">
        <v>69</v>
      </c>
      <c r="C20780" s="572">
        <v>340</v>
      </c>
    </row>
    <row r="20781" spans="1:3">
      <c r="A20781" s="573" t="s">
        <v>1618</v>
      </c>
      <c r="B20781" s="574">
        <v>109</v>
      </c>
      <c r="C20781" s="574">
        <v>375</v>
      </c>
    </row>
    <row r="20782" spans="1:3">
      <c r="A20782" s="573" t="s">
        <v>1618</v>
      </c>
      <c r="B20782" s="574">
        <v>179</v>
      </c>
      <c r="C20782" s="574">
        <v>405</v>
      </c>
    </row>
    <row r="20783" spans="1:3">
      <c r="A20783" s="573" t="s">
        <v>1618</v>
      </c>
      <c r="B20783" s="574">
        <v>279</v>
      </c>
      <c r="C20783" s="574">
        <v>440</v>
      </c>
    </row>
    <row r="20784" spans="1:3">
      <c r="A20784" s="573" t="s">
        <v>1618</v>
      </c>
      <c r="B20784" s="574">
        <v>439</v>
      </c>
      <c r="C20784" s="574">
        <v>460</v>
      </c>
    </row>
    <row r="20785" spans="1:3">
      <c r="A20785" s="569" t="s">
        <v>1618</v>
      </c>
      <c r="B20785" s="570">
        <v>699</v>
      </c>
      <c r="C20785" s="570">
        <v>470</v>
      </c>
    </row>
    <row r="20786" spans="1:3">
      <c r="A20786" s="569" t="s">
        <v>1618</v>
      </c>
      <c r="B20786" s="570">
        <v>1099</v>
      </c>
      <c r="C20786" s="570">
        <v>480</v>
      </c>
    </row>
    <row r="20787" spans="1:3">
      <c r="A20787" s="569" t="s">
        <v>1618</v>
      </c>
      <c r="B20787" s="570">
        <v>1099</v>
      </c>
      <c r="C20787" s="570">
        <v>480</v>
      </c>
    </row>
    <row r="20788" spans="1:3">
      <c r="A20788" s="571" t="s">
        <v>1617</v>
      </c>
      <c r="B20788" s="572">
        <v>4</v>
      </c>
      <c r="C20788" s="572">
        <v>80</v>
      </c>
    </row>
    <row r="20789" spans="1:3">
      <c r="A20789" s="571" t="s">
        <v>1617</v>
      </c>
      <c r="B20789" s="572">
        <v>11</v>
      </c>
      <c r="C20789" s="572">
        <v>160</v>
      </c>
    </row>
    <row r="20790" spans="1:3">
      <c r="A20790" s="571" t="s">
        <v>1617</v>
      </c>
      <c r="B20790" s="572">
        <v>21</v>
      </c>
      <c r="C20790" s="572">
        <v>250</v>
      </c>
    </row>
    <row r="20791" spans="1:3">
      <c r="A20791" s="571" t="s">
        <v>1617</v>
      </c>
      <c r="B20791" s="572">
        <v>37</v>
      </c>
      <c r="C20791" s="572">
        <v>340</v>
      </c>
    </row>
    <row r="20792" spans="1:3">
      <c r="A20792" s="571" t="s">
        <v>1617</v>
      </c>
      <c r="B20792" s="572">
        <v>63</v>
      </c>
      <c r="C20792" s="572">
        <v>405</v>
      </c>
    </row>
    <row r="20793" spans="1:3">
      <c r="A20793" s="573" t="s">
        <v>1617</v>
      </c>
      <c r="B20793" s="574">
        <v>113</v>
      </c>
      <c r="C20793" s="574">
        <v>465</v>
      </c>
    </row>
    <row r="20794" spans="1:3">
      <c r="A20794" s="573" t="s">
        <v>1617</v>
      </c>
      <c r="B20794" s="574">
        <v>173</v>
      </c>
      <c r="C20794" s="574">
        <v>515</v>
      </c>
    </row>
    <row r="20795" spans="1:3">
      <c r="A20795" s="573" t="s">
        <v>1617</v>
      </c>
      <c r="B20795" s="574">
        <v>273</v>
      </c>
      <c r="C20795" s="574">
        <v>555</v>
      </c>
    </row>
    <row r="20796" spans="1:3">
      <c r="A20796" s="573" t="s">
        <v>1617</v>
      </c>
      <c r="B20796" s="574">
        <v>433</v>
      </c>
      <c r="C20796" s="574">
        <v>575</v>
      </c>
    </row>
    <row r="20797" spans="1:3">
      <c r="A20797" s="569" t="s">
        <v>1617</v>
      </c>
      <c r="B20797" s="570">
        <v>693</v>
      </c>
      <c r="C20797" s="570">
        <v>595</v>
      </c>
    </row>
    <row r="20798" spans="1:3">
      <c r="A20798" s="569" t="s">
        <v>1617</v>
      </c>
      <c r="B20798" s="570">
        <v>693</v>
      </c>
      <c r="C20798" s="570">
        <v>595</v>
      </c>
    </row>
    <row r="20799" spans="1:3">
      <c r="A20799" s="571" t="s">
        <v>1616</v>
      </c>
      <c r="B20799" s="572">
        <v>4</v>
      </c>
      <c r="C20799" s="572">
        <v>110</v>
      </c>
    </row>
    <row r="20800" spans="1:3">
      <c r="A20800" s="571" t="s">
        <v>1616</v>
      </c>
      <c r="B20800" s="572">
        <v>11</v>
      </c>
      <c r="C20800" s="572">
        <v>220</v>
      </c>
    </row>
    <row r="20801" spans="1:3">
      <c r="A20801" s="571" t="s">
        <v>1616</v>
      </c>
      <c r="B20801" s="572">
        <v>21</v>
      </c>
      <c r="C20801" s="572">
        <v>320</v>
      </c>
    </row>
    <row r="20802" spans="1:3">
      <c r="A20802" s="571" t="s">
        <v>1616</v>
      </c>
      <c r="B20802" s="572">
        <v>37</v>
      </c>
      <c r="C20802" s="572">
        <v>410</v>
      </c>
    </row>
    <row r="20803" spans="1:3">
      <c r="A20803" s="571" t="s">
        <v>1616</v>
      </c>
      <c r="B20803" s="572">
        <v>63</v>
      </c>
      <c r="C20803" s="572">
        <v>470</v>
      </c>
    </row>
    <row r="20804" spans="1:3">
      <c r="A20804" s="573" t="s">
        <v>1616</v>
      </c>
      <c r="B20804" s="574">
        <v>113</v>
      </c>
      <c r="C20804" s="574">
        <v>530</v>
      </c>
    </row>
    <row r="20805" spans="1:3">
      <c r="A20805" s="573" t="s">
        <v>1616</v>
      </c>
      <c r="B20805" s="574">
        <v>173</v>
      </c>
      <c r="C20805" s="574">
        <v>560</v>
      </c>
    </row>
    <row r="20806" spans="1:3">
      <c r="A20806" s="573" t="s">
        <v>1616</v>
      </c>
      <c r="B20806" s="574">
        <v>273</v>
      </c>
      <c r="C20806" s="574">
        <v>600</v>
      </c>
    </row>
    <row r="20807" spans="1:3">
      <c r="A20807" s="573" t="s">
        <v>1616</v>
      </c>
      <c r="B20807" s="574">
        <v>433</v>
      </c>
      <c r="C20807" s="574">
        <v>620</v>
      </c>
    </row>
    <row r="20808" spans="1:3">
      <c r="A20808" s="569" t="s">
        <v>1616</v>
      </c>
      <c r="B20808" s="570">
        <v>693</v>
      </c>
      <c r="C20808" s="570">
        <v>630</v>
      </c>
    </row>
    <row r="20809" spans="1:3">
      <c r="A20809" s="569" t="s">
        <v>1616</v>
      </c>
      <c r="B20809" s="570">
        <v>693</v>
      </c>
      <c r="C20809" s="570">
        <v>630</v>
      </c>
    </row>
    <row r="20810" spans="1:3">
      <c r="A20810" s="571" t="s">
        <v>1615</v>
      </c>
      <c r="B20810" s="572">
        <v>2</v>
      </c>
      <c r="C20810" s="572">
        <v>68</v>
      </c>
    </row>
    <row r="20811" spans="1:3">
      <c r="A20811" s="571" t="s">
        <v>1615</v>
      </c>
      <c r="B20811" s="572">
        <v>4</v>
      </c>
      <c r="C20811" s="572">
        <v>94</v>
      </c>
    </row>
    <row r="20812" spans="1:3">
      <c r="A20812" s="571" t="s">
        <v>1615</v>
      </c>
      <c r="B20812" s="572">
        <v>6</v>
      </c>
      <c r="C20812" s="572">
        <v>114</v>
      </c>
    </row>
    <row r="20813" spans="1:3">
      <c r="A20813" s="571" t="s">
        <v>1615</v>
      </c>
      <c r="B20813" s="572">
        <v>9</v>
      </c>
      <c r="C20813" s="572">
        <v>141</v>
      </c>
    </row>
    <row r="20814" spans="1:3">
      <c r="A20814" s="571" t="s">
        <v>1615</v>
      </c>
      <c r="B20814" s="572">
        <v>19</v>
      </c>
      <c r="C20814" s="572">
        <v>201</v>
      </c>
    </row>
    <row r="20815" spans="1:3">
      <c r="A20815" s="571" t="s">
        <v>1615</v>
      </c>
      <c r="B20815" s="572">
        <v>29</v>
      </c>
      <c r="C20815" s="572">
        <v>238</v>
      </c>
    </row>
    <row r="20816" spans="1:3">
      <c r="A20816" s="571" t="s">
        <v>1615</v>
      </c>
      <c r="B20816" s="572">
        <v>49</v>
      </c>
      <c r="C20816" s="572">
        <v>272</v>
      </c>
    </row>
    <row r="20817" spans="1:3">
      <c r="A20817" s="571" t="s">
        <v>1615</v>
      </c>
      <c r="B20817" s="572">
        <v>69</v>
      </c>
      <c r="C20817" s="572">
        <v>290</v>
      </c>
    </row>
    <row r="20818" spans="1:3">
      <c r="A20818" s="571" t="s">
        <v>1615</v>
      </c>
      <c r="B20818" s="572">
        <v>99</v>
      </c>
      <c r="C20818" s="572">
        <v>306</v>
      </c>
    </row>
    <row r="20819" spans="1:3">
      <c r="A20819" s="573" t="s">
        <v>1615</v>
      </c>
      <c r="B20819" s="574">
        <v>199</v>
      </c>
      <c r="C20819" s="574">
        <v>336</v>
      </c>
    </row>
    <row r="20820" spans="1:3">
      <c r="A20820" s="573" t="s">
        <v>1615</v>
      </c>
      <c r="B20820" s="574">
        <v>299</v>
      </c>
      <c r="C20820" s="574">
        <v>346</v>
      </c>
    </row>
    <row r="20821" spans="1:3">
      <c r="A20821" s="573" t="s">
        <v>1615</v>
      </c>
      <c r="B20821" s="574">
        <v>499</v>
      </c>
      <c r="C20821" s="574">
        <v>349</v>
      </c>
    </row>
    <row r="20822" spans="1:3">
      <c r="A20822" s="569" t="s">
        <v>1615</v>
      </c>
      <c r="B20822" s="570">
        <v>699</v>
      </c>
      <c r="C20822" s="570">
        <v>349</v>
      </c>
    </row>
    <row r="20823" spans="1:3">
      <c r="A20823" s="569" t="s">
        <v>1615</v>
      </c>
      <c r="B20823" s="570">
        <v>999</v>
      </c>
      <c r="C20823" s="570">
        <v>350</v>
      </c>
    </row>
    <row r="20824" spans="1:3">
      <c r="A20824" s="569" t="s">
        <v>1615</v>
      </c>
      <c r="B20824" s="570">
        <v>999</v>
      </c>
      <c r="C20824" s="570">
        <v>350</v>
      </c>
    </row>
    <row r="20825" spans="1:3">
      <c r="A20825" s="571" t="s">
        <v>1614</v>
      </c>
      <c r="B20825" s="572">
        <v>2</v>
      </c>
      <c r="C20825" s="572">
        <v>30</v>
      </c>
    </row>
    <row r="20826" spans="1:3">
      <c r="A20826" s="571" t="s">
        <v>1614</v>
      </c>
      <c r="B20826" s="572">
        <v>4</v>
      </c>
      <c r="C20826" s="572">
        <v>44</v>
      </c>
    </row>
    <row r="20827" spans="1:3">
      <c r="A20827" s="571" t="s">
        <v>1614</v>
      </c>
      <c r="B20827" s="572">
        <v>6</v>
      </c>
      <c r="C20827" s="572">
        <v>57</v>
      </c>
    </row>
    <row r="20828" spans="1:3">
      <c r="A20828" s="571" t="s">
        <v>1614</v>
      </c>
      <c r="B20828" s="572">
        <v>9</v>
      </c>
      <c r="C20828" s="572">
        <v>73</v>
      </c>
    </row>
    <row r="20829" spans="1:3">
      <c r="A20829" s="571" t="s">
        <v>1614</v>
      </c>
      <c r="B20829" s="572">
        <v>19</v>
      </c>
      <c r="C20829" s="572">
        <v>119</v>
      </c>
    </row>
    <row r="20830" spans="1:3">
      <c r="A20830" s="571" t="s">
        <v>1614</v>
      </c>
      <c r="B20830" s="572">
        <v>29</v>
      </c>
      <c r="C20830" s="572">
        <v>150</v>
      </c>
    </row>
    <row r="20831" spans="1:3">
      <c r="A20831" s="571" t="s">
        <v>1614</v>
      </c>
      <c r="B20831" s="572">
        <v>49</v>
      </c>
      <c r="C20831" s="572">
        <v>199</v>
      </c>
    </row>
    <row r="20832" spans="1:3">
      <c r="A20832" s="571" t="s">
        <v>1614</v>
      </c>
      <c r="B20832" s="572">
        <v>69</v>
      </c>
      <c r="C20832" s="572">
        <v>231</v>
      </c>
    </row>
    <row r="20833" spans="1:3">
      <c r="A20833" s="571" t="s">
        <v>1614</v>
      </c>
      <c r="B20833" s="572">
        <v>99</v>
      </c>
      <c r="C20833" s="572">
        <v>259</v>
      </c>
    </row>
    <row r="20834" spans="1:3">
      <c r="A20834" s="573" t="s">
        <v>1614</v>
      </c>
      <c r="B20834" s="574">
        <v>199</v>
      </c>
      <c r="C20834" s="574">
        <v>306</v>
      </c>
    </row>
    <row r="20835" spans="1:3">
      <c r="A20835" s="573" t="s">
        <v>1614</v>
      </c>
      <c r="B20835" s="574">
        <v>299</v>
      </c>
      <c r="C20835" s="574">
        <v>325</v>
      </c>
    </row>
    <row r="20836" spans="1:3">
      <c r="A20836" s="573" t="s">
        <v>1614</v>
      </c>
      <c r="B20836" s="574">
        <v>499</v>
      </c>
      <c r="C20836" s="574">
        <v>340</v>
      </c>
    </row>
    <row r="20837" spans="1:3">
      <c r="A20837" s="573" t="s">
        <v>1614</v>
      </c>
      <c r="B20837" s="574">
        <v>499</v>
      </c>
      <c r="C20837" s="574">
        <v>340</v>
      </c>
    </row>
    <row r="20838" spans="1:3">
      <c r="A20838" s="571" t="s">
        <v>1612</v>
      </c>
      <c r="B20838" s="572">
        <v>2</v>
      </c>
      <c r="C20838" s="572">
        <v>9</v>
      </c>
    </row>
    <row r="20839" spans="1:3">
      <c r="A20839" s="571" t="s">
        <v>1612</v>
      </c>
      <c r="B20839" s="572">
        <v>4</v>
      </c>
      <c r="C20839" s="572">
        <v>17</v>
      </c>
    </row>
    <row r="20840" spans="1:3">
      <c r="A20840" s="571" t="s">
        <v>1612</v>
      </c>
      <c r="B20840" s="572">
        <v>6</v>
      </c>
      <c r="C20840" s="572">
        <v>31</v>
      </c>
    </row>
    <row r="20841" spans="1:3">
      <c r="A20841" s="571" t="s">
        <v>1612</v>
      </c>
      <c r="B20841" s="572">
        <v>9</v>
      </c>
      <c r="C20841" s="572">
        <v>42</v>
      </c>
    </row>
    <row r="20842" spans="1:3">
      <c r="A20842" s="571" t="s">
        <v>1612</v>
      </c>
      <c r="B20842" s="572">
        <v>19</v>
      </c>
      <c r="C20842" s="572">
        <v>83</v>
      </c>
    </row>
    <row r="20843" spans="1:3">
      <c r="A20843" s="571" t="s">
        <v>1612</v>
      </c>
      <c r="B20843" s="572">
        <v>29</v>
      </c>
      <c r="C20843" s="572">
        <v>114</v>
      </c>
    </row>
    <row r="20844" spans="1:3">
      <c r="A20844" s="571" t="s">
        <v>1612</v>
      </c>
      <c r="B20844" s="572">
        <v>49</v>
      </c>
      <c r="C20844" s="572">
        <v>159</v>
      </c>
    </row>
    <row r="20845" spans="1:3">
      <c r="A20845" s="571" t="s">
        <v>1612</v>
      </c>
      <c r="B20845" s="572">
        <v>69</v>
      </c>
      <c r="C20845" s="572">
        <v>188</v>
      </c>
    </row>
    <row r="20846" spans="1:3">
      <c r="A20846" s="571" t="s">
        <v>1612</v>
      </c>
      <c r="B20846" s="572">
        <v>99</v>
      </c>
      <c r="C20846" s="572">
        <v>219</v>
      </c>
    </row>
    <row r="20847" spans="1:3">
      <c r="A20847" s="573" t="s">
        <v>1612</v>
      </c>
      <c r="B20847" s="574">
        <v>199</v>
      </c>
      <c r="C20847" s="574">
        <v>281</v>
      </c>
    </row>
    <row r="20848" spans="1:3">
      <c r="A20848" s="573" t="s">
        <v>1612</v>
      </c>
      <c r="B20848" s="574">
        <v>299</v>
      </c>
      <c r="C20848" s="574">
        <v>312</v>
      </c>
    </row>
    <row r="20849" spans="1:3">
      <c r="A20849" s="573" t="s">
        <v>1612</v>
      </c>
      <c r="B20849" s="574">
        <v>499</v>
      </c>
      <c r="C20849" s="574">
        <v>335</v>
      </c>
    </row>
    <row r="20850" spans="1:3">
      <c r="A20850" s="569" t="s">
        <v>1612</v>
      </c>
      <c r="B20850" s="570">
        <v>699</v>
      </c>
      <c r="C20850" s="570">
        <v>340</v>
      </c>
    </row>
    <row r="20851" spans="1:3">
      <c r="A20851" s="569" t="s">
        <v>1612</v>
      </c>
      <c r="B20851" s="570">
        <v>699</v>
      </c>
      <c r="C20851" s="570">
        <v>340</v>
      </c>
    </row>
    <row r="20852" spans="1:3">
      <c r="A20852" s="571" t="s">
        <v>1610</v>
      </c>
      <c r="B20852" s="572">
        <v>2</v>
      </c>
      <c r="C20852" s="572">
        <v>9</v>
      </c>
    </row>
    <row r="20853" spans="1:3">
      <c r="A20853" s="571" t="s">
        <v>1610</v>
      </c>
      <c r="B20853" s="572">
        <v>4</v>
      </c>
      <c r="C20853" s="572">
        <v>17</v>
      </c>
    </row>
    <row r="20854" spans="1:3">
      <c r="A20854" s="571" t="s">
        <v>1610</v>
      </c>
      <c r="B20854" s="572">
        <v>6</v>
      </c>
      <c r="C20854" s="572">
        <v>25</v>
      </c>
    </row>
    <row r="20855" spans="1:3">
      <c r="A20855" s="571" t="s">
        <v>1610</v>
      </c>
      <c r="B20855" s="572">
        <v>9</v>
      </c>
      <c r="C20855" s="572">
        <v>37</v>
      </c>
    </row>
    <row r="20856" spans="1:3">
      <c r="A20856" s="571" t="s">
        <v>1610</v>
      </c>
      <c r="B20856" s="572">
        <v>19</v>
      </c>
      <c r="C20856" s="572">
        <v>74</v>
      </c>
    </row>
    <row r="20857" spans="1:3">
      <c r="A20857" s="571" t="s">
        <v>1610</v>
      </c>
      <c r="B20857" s="572">
        <v>29</v>
      </c>
      <c r="C20857" s="572">
        <v>102</v>
      </c>
    </row>
    <row r="20858" spans="1:3">
      <c r="A20858" s="571" t="s">
        <v>1610</v>
      </c>
      <c r="B20858" s="572">
        <v>49</v>
      </c>
      <c r="C20858" s="572">
        <v>141</v>
      </c>
    </row>
    <row r="20859" spans="1:3">
      <c r="A20859" s="571" t="s">
        <v>1610</v>
      </c>
      <c r="B20859" s="572">
        <v>69</v>
      </c>
      <c r="C20859" s="572">
        <v>170</v>
      </c>
    </row>
    <row r="20860" spans="1:3">
      <c r="A20860" s="571" t="s">
        <v>1610</v>
      </c>
      <c r="B20860" s="572">
        <v>99</v>
      </c>
      <c r="C20860" s="572">
        <v>198</v>
      </c>
    </row>
    <row r="20861" spans="1:3">
      <c r="A20861" s="573" t="s">
        <v>1610</v>
      </c>
      <c r="B20861" s="574">
        <v>199</v>
      </c>
      <c r="C20861" s="574">
        <v>250</v>
      </c>
    </row>
    <row r="20862" spans="1:3">
      <c r="A20862" s="573" t="s">
        <v>1610</v>
      </c>
      <c r="B20862" s="574">
        <v>299</v>
      </c>
      <c r="C20862" s="574">
        <v>281</v>
      </c>
    </row>
    <row r="20863" spans="1:3">
      <c r="A20863" s="573" t="s">
        <v>1610</v>
      </c>
      <c r="B20863" s="574">
        <v>499</v>
      </c>
      <c r="C20863" s="574">
        <v>322</v>
      </c>
    </row>
    <row r="20864" spans="1:3">
      <c r="A20864" s="569" t="s">
        <v>1610</v>
      </c>
      <c r="B20864" s="570">
        <v>699</v>
      </c>
      <c r="C20864" s="570">
        <v>327</v>
      </c>
    </row>
    <row r="20865" spans="1:3">
      <c r="A20865" s="569" t="s">
        <v>1610</v>
      </c>
      <c r="B20865" s="570">
        <v>699</v>
      </c>
      <c r="C20865" s="570">
        <v>327</v>
      </c>
    </row>
    <row r="20866" spans="1:3">
      <c r="A20866" s="571" t="s">
        <v>1608</v>
      </c>
      <c r="B20866" s="572">
        <v>2</v>
      </c>
      <c r="C20866" s="572">
        <v>9</v>
      </c>
    </row>
    <row r="20867" spans="1:3">
      <c r="A20867" s="571" t="s">
        <v>1608</v>
      </c>
      <c r="B20867" s="572">
        <v>4</v>
      </c>
      <c r="C20867" s="572">
        <v>12</v>
      </c>
    </row>
    <row r="20868" spans="1:3">
      <c r="A20868" s="571" t="s">
        <v>1608</v>
      </c>
      <c r="B20868" s="572">
        <v>6</v>
      </c>
      <c r="C20868" s="572">
        <v>22</v>
      </c>
    </row>
    <row r="20869" spans="1:3">
      <c r="A20869" s="571" t="s">
        <v>1608</v>
      </c>
      <c r="B20869" s="572">
        <v>9</v>
      </c>
      <c r="C20869" s="572">
        <v>31</v>
      </c>
    </row>
    <row r="20870" spans="1:3">
      <c r="A20870" s="571" t="s">
        <v>1608</v>
      </c>
      <c r="B20870" s="572">
        <v>19</v>
      </c>
      <c r="C20870" s="572">
        <v>49</v>
      </c>
    </row>
    <row r="20871" spans="1:3">
      <c r="A20871" s="571" t="s">
        <v>1608</v>
      </c>
      <c r="B20871" s="572">
        <v>29</v>
      </c>
      <c r="C20871" s="572">
        <v>70</v>
      </c>
    </row>
    <row r="20872" spans="1:3">
      <c r="A20872" s="571" t="s">
        <v>1608</v>
      </c>
      <c r="B20872" s="572">
        <v>49</v>
      </c>
      <c r="C20872" s="572">
        <v>99</v>
      </c>
    </row>
    <row r="20873" spans="1:3">
      <c r="A20873" s="571" t="s">
        <v>1608</v>
      </c>
      <c r="B20873" s="572">
        <v>69</v>
      </c>
      <c r="C20873" s="572">
        <v>120</v>
      </c>
    </row>
    <row r="20874" spans="1:3">
      <c r="A20874" s="571" t="s">
        <v>1608</v>
      </c>
      <c r="B20874" s="572">
        <v>99</v>
      </c>
      <c r="C20874" s="572">
        <v>147</v>
      </c>
    </row>
    <row r="20875" spans="1:3">
      <c r="A20875" s="573" t="s">
        <v>1608</v>
      </c>
      <c r="B20875" s="574">
        <v>199</v>
      </c>
      <c r="C20875" s="574">
        <v>204</v>
      </c>
    </row>
    <row r="20876" spans="1:3">
      <c r="A20876" s="573" t="s">
        <v>1608</v>
      </c>
      <c r="B20876" s="574">
        <v>299</v>
      </c>
      <c r="C20876" s="574">
        <v>242</v>
      </c>
    </row>
    <row r="20877" spans="1:3">
      <c r="A20877" s="573" t="s">
        <v>1608</v>
      </c>
      <c r="B20877" s="574">
        <v>499</v>
      </c>
      <c r="C20877" s="574">
        <v>299</v>
      </c>
    </row>
    <row r="20878" spans="1:3">
      <c r="A20878" s="569" t="s">
        <v>1608</v>
      </c>
      <c r="B20878" s="570">
        <v>699</v>
      </c>
      <c r="C20878" s="570">
        <v>330</v>
      </c>
    </row>
    <row r="20879" spans="1:3">
      <c r="A20879" s="569" t="s">
        <v>1608</v>
      </c>
      <c r="B20879" s="570">
        <v>699</v>
      </c>
      <c r="C20879" s="570">
        <v>330</v>
      </c>
    </row>
    <row r="20880" spans="1:3">
      <c r="A20880" s="571" t="s">
        <v>1606</v>
      </c>
      <c r="B20880" s="572">
        <v>2</v>
      </c>
      <c r="C20880" s="572">
        <v>12</v>
      </c>
    </row>
    <row r="20881" spans="1:3">
      <c r="A20881" s="571" t="s">
        <v>1606</v>
      </c>
      <c r="B20881" s="572">
        <v>4</v>
      </c>
      <c r="C20881" s="572">
        <v>12</v>
      </c>
    </row>
    <row r="20882" spans="1:3">
      <c r="A20882" s="571" t="s">
        <v>1606</v>
      </c>
      <c r="B20882" s="572">
        <v>6</v>
      </c>
      <c r="C20882" s="572">
        <v>8</v>
      </c>
    </row>
    <row r="20883" spans="1:3">
      <c r="A20883" s="571" t="s">
        <v>1606</v>
      </c>
      <c r="B20883" s="572">
        <v>9</v>
      </c>
      <c r="C20883" s="572">
        <v>3</v>
      </c>
    </row>
    <row r="20884" spans="1:3">
      <c r="A20884" s="571" t="s">
        <v>1606</v>
      </c>
      <c r="B20884" s="572">
        <v>19</v>
      </c>
      <c r="C20884" s="572">
        <v>12</v>
      </c>
    </row>
    <row r="20885" spans="1:3">
      <c r="A20885" s="571" t="s">
        <v>1606</v>
      </c>
      <c r="B20885" s="572">
        <v>29</v>
      </c>
      <c r="C20885" s="572">
        <v>27</v>
      </c>
    </row>
    <row r="20886" spans="1:3">
      <c r="A20886" s="571" t="s">
        <v>1606</v>
      </c>
      <c r="B20886" s="572">
        <v>49</v>
      </c>
      <c r="C20886" s="572">
        <v>51</v>
      </c>
    </row>
    <row r="20887" spans="1:3">
      <c r="A20887" s="571" t="s">
        <v>1606</v>
      </c>
      <c r="B20887" s="572">
        <v>69</v>
      </c>
      <c r="C20887" s="572">
        <v>70</v>
      </c>
    </row>
    <row r="20888" spans="1:3">
      <c r="A20888" s="571" t="s">
        <v>1606</v>
      </c>
      <c r="B20888" s="572">
        <v>99</v>
      </c>
      <c r="C20888" s="572">
        <v>91</v>
      </c>
    </row>
    <row r="20889" spans="1:3">
      <c r="A20889" s="573" t="s">
        <v>1606</v>
      </c>
      <c r="B20889" s="574">
        <v>199</v>
      </c>
      <c r="C20889" s="574">
        <v>139</v>
      </c>
    </row>
    <row r="20890" spans="1:3">
      <c r="A20890" s="573" t="s">
        <v>1606</v>
      </c>
      <c r="B20890" s="574">
        <v>299</v>
      </c>
      <c r="C20890" s="574">
        <v>168</v>
      </c>
    </row>
    <row r="20891" spans="1:3">
      <c r="A20891" s="573" t="s">
        <v>1606</v>
      </c>
      <c r="B20891" s="574">
        <v>499</v>
      </c>
      <c r="C20891" s="574">
        <v>209</v>
      </c>
    </row>
    <row r="20892" spans="1:3">
      <c r="A20892" s="569" t="s">
        <v>1606</v>
      </c>
      <c r="B20892" s="570">
        <v>699</v>
      </c>
      <c r="C20892" s="570">
        <v>238</v>
      </c>
    </row>
    <row r="20893" spans="1:3">
      <c r="A20893" s="569" t="s">
        <v>1606</v>
      </c>
      <c r="B20893" s="570">
        <v>699</v>
      </c>
      <c r="C20893" s="570">
        <v>238</v>
      </c>
    </row>
    <row r="20894" spans="1:3">
      <c r="A20894" s="571" t="s">
        <v>1604</v>
      </c>
      <c r="B20894" s="572">
        <v>2</v>
      </c>
      <c r="C20894" s="572">
        <v>0.4</v>
      </c>
    </row>
    <row r="20895" spans="1:3">
      <c r="A20895" s="571" t="s">
        <v>1604</v>
      </c>
      <c r="B20895" s="572">
        <v>5</v>
      </c>
      <c r="C20895" s="572">
        <v>2</v>
      </c>
    </row>
    <row r="20896" spans="1:3">
      <c r="A20896" s="571" t="s">
        <v>1604</v>
      </c>
      <c r="B20896" s="572">
        <v>7</v>
      </c>
      <c r="C20896" s="572">
        <v>4.4000000000000004</v>
      </c>
    </row>
    <row r="20897" spans="1:3">
      <c r="A20897" s="571" t="s">
        <v>1604</v>
      </c>
      <c r="B20897" s="572">
        <v>14</v>
      </c>
      <c r="C20897" s="572">
        <v>5.9</v>
      </c>
    </row>
    <row r="20898" spans="1:3">
      <c r="A20898" s="571" t="s">
        <v>1604</v>
      </c>
      <c r="B20898" s="572">
        <v>21</v>
      </c>
      <c r="C20898" s="572">
        <v>8.5</v>
      </c>
    </row>
    <row r="20899" spans="1:3">
      <c r="A20899" s="571" t="s">
        <v>1604</v>
      </c>
      <c r="B20899" s="572">
        <v>28</v>
      </c>
      <c r="C20899" s="572">
        <v>9.4</v>
      </c>
    </row>
    <row r="20900" spans="1:3">
      <c r="A20900" s="571" t="s">
        <v>1604</v>
      </c>
      <c r="B20900" s="572">
        <v>56</v>
      </c>
      <c r="C20900" s="572">
        <v>14.7</v>
      </c>
    </row>
    <row r="20901" spans="1:3">
      <c r="A20901" s="571" t="s">
        <v>1604</v>
      </c>
      <c r="B20901" s="572">
        <v>84</v>
      </c>
      <c r="C20901" s="572">
        <v>18.5</v>
      </c>
    </row>
    <row r="20902" spans="1:3">
      <c r="A20902" s="573" t="s">
        <v>1604</v>
      </c>
      <c r="B20902" s="574">
        <v>112</v>
      </c>
      <c r="C20902" s="574">
        <v>23.9</v>
      </c>
    </row>
    <row r="20903" spans="1:3">
      <c r="A20903" s="573" t="s">
        <v>1604</v>
      </c>
      <c r="B20903" s="574">
        <v>140</v>
      </c>
      <c r="C20903" s="574">
        <v>26.4</v>
      </c>
    </row>
    <row r="20904" spans="1:3">
      <c r="A20904" s="573" t="s">
        <v>1604</v>
      </c>
      <c r="B20904" s="574">
        <v>168</v>
      </c>
      <c r="C20904" s="574">
        <v>28.9</v>
      </c>
    </row>
    <row r="20905" spans="1:3">
      <c r="A20905" s="573" t="s">
        <v>1604</v>
      </c>
      <c r="B20905" s="574">
        <v>196</v>
      </c>
      <c r="C20905" s="574">
        <v>31.4</v>
      </c>
    </row>
    <row r="20906" spans="1:3">
      <c r="A20906" s="573" t="s">
        <v>1604</v>
      </c>
      <c r="B20906" s="574">
        <v>224</v>
      </c>
      <c r="C20906" s="574">
        <v>32.200000000000003</v>
      </c>
    </row>
    <row r="20907" spans="1:3">
      <c r="A20907" s="573" t="s">
        <v>1604</v>
      </c>
      <c r="B20907" s="574">
        <v>252</v>
      </c>
      <c r="C20907" s="574">
        <v>32.1</v>
      </c>
    </row>
    <row r="20908" spans="1:3">
      <c r="A20908" s="573" t="s">
        <v>1604</v>
      </c>
      <c r="B20908" s="574">
        <v>280</v>
      </c>
      <c r="C20908" s="574">
        <v>33.700000000000003</v>
      </c>
    </row>
    <row r="20909" spans="1:3">
      <c r="A20909" s="573" t="s">
        <v>1604</v>
      </c>
      <c r="B20909" s="574">
        <v>308</v>
      </c>
      <c r="C20909" s="574">
        <v>33.700000000000003</v>
      </c>
    </row>
    <row r="20910" spans="1:3">
      <c r="A20910" s="573" t="s">
        <v>1604</v>
      </c>
      <c r="B20910" s="574">
        <v>336</v>
      </c>
      <c r="C20910" s="574">
        <v>34.5</v>
      </c>
    </row>
    <row r="20911" spans="1:3">
      <c r="A20911" s="573" t="s">
        <v>1604</v>
      </c>
      <c r="B20911" s="574">
        <v>364</v>
      </c>
      <c r="C20911" s="574">
        <v>35</v>
      </c>
    </row>
    <row r="20912" spans="1:3">
      <c r="A20912" s="573" t="s">
        <v>1604</v>
      </c>
      <c r="B20912" s="574">
        <v>366</v>
      </c>
      <c r="C20912" s="574">
        <v>34.799999999999997</v>
      </c>
    </row>
    <row r="20913" spans="1:3">
      <c r="A20913" s="573" t="s">
        <v>1604</v>
      </c>
      <c r="B20913" s="574">
        <v>371</v>
      </c>
      <c r="C20913" s="574">
        <v>35.6</v>
      </c>
    </row>
    <row r="20914" spans="1:3">
      <c r="A20914" s="573" t="s">
        <v>1604</v>
      </c>
      <c r="B20914" s="574">
        <v>378</v>
      </c>
      <c r="C20914" s="574">
        <v>35.799999999999997</v>
      </c>
    </row>
    <row r="20915" spans="1:3">
      <c r="A20915" s="573" t="s">
        <v>1604</v>
      </c>
      <c r="B20915" s="574">
        <v>385</v>
      </c>
      <c r="C20915" s="574">
        <v>35.5</v>
      </c>
    </row>
    <row r="20916" spans="1:3">
      <c r="A20916" s="573" t="s">
        <v>1604</v>
      </c>
      <c r="B20916" s="574">
        <v>392</v>
      </c>
      <c r="C20916" s="574">
        <v>36</v>
      </c>
    </row>
    <row r="20917" spans="1:3">
      <c r="A20917" s="573" t="s">
        <v>1604</v>
      </c>
      <c r="B20917" s="574">
        <v>392</v>
      </c>
      <c r="C20917" s="574">
        <v>36</v>
      </c>
    </row>
    <row r="20918" spans="1:3">
      <c r="A20918" s="571" t="s">
        <v>1603</v>
      </c>
      <c r="B20918" s="572">
        <v>2</v>
      </c>
      <c r="C20918" s="572">
        <v>8.5</v>
      </c>
    </row>
    <row r="20919" spans="1:3">
      <c r="A20919" s="571" t="s">
        <v>1603</v>
      </c>
      <c r="B20919" s="572">
        <v>5</v>
      </c>
      <c r="C20919" s="572">
        <v>17.3</v>
      </c>
    </row>
    <row r="20920" spans="1:3">
      <c r="A20920" s="571" t="s">
        <v>1603</v>
      </c>
      <c r="B20920" s="572">
        <v>14</v>
      </c>
      <c r="C20920" s="572">
        <v>28.2</v>
      </c>
    </row>
    <row r="20921" spans="1:3">
      <c r="A20921" s="571" t="s">
        <v>1603</v>
      </c>
      <c r="B20921" s="572">
        <v>28</v>
      </c>
      <c r="C20921" s="572">
        <v>36.5</v>
      </c>
    </row>
    <row r="20922" spans="1:3">
      <c r="A20922" s="571" t="s">
        <v>1603</v>
      </c>
      <c r="B20922" s="572">
        <v>56</v>
      </c>
      <c r="C20922" s="572">
        <v>52.8</v>
      </c>
    </row>
    <row r="20923" spans="1:3">
      <c r="A20923" s="571" t="s">
        <v>1603</v>
      </c>
      <c r="B20923" s="572">
        <v>84</v>
      </c>
      <c r="C20923" s="572">
        <v>61</v>
      </c>
    </row>
    <row r="20924" spans="1:3">
      <c r="A20924" s="573" t="s">
        <v>1603</v>
      </c>
      <c r="B20924" s="574">
        <v>112</v>
      </c>
      <c r="C20924" s="574">
        <v>60.7</v>
      </c>
    </row>
    <row r="20925" spans="1:3">
      <c r="A20925" s="573" t="s">
        <v>1603</v>
      </c>
      <c r="B20925" s="574">
        <v>140</v>
      </c>
      <c r="C20925" s="574">
        <v>63</v>
      </c>
    </row>
    <row r="20926" spans="1:3">
      <c r="A20926" s="573" t="s">
        <v>1603</v>
      </c>
      <c r="B20926" s="574">
        <v>168</v>
      </c>
      <c r="C20926" s="574">
        <v>65.099999999999994</v>
      </c>
    </row>
    <row r="20927" spans="1:3">
      <c r="A20927" s="573" t="s">
        <v>1603</v>
      </c>
      <c r="B20927" s="574">
        <v>196</v>
      </c>
      <c r="C20927" s="574">
        <v>67.5</v>
      </c>
    </row>
    <row r="20928" spans="1:3">
      <c r="A20928" s="573" t="s">
        <v>1603</v>
      </c>
      <c r="B20928" s="574">
        <v>224</v>
      </c>
      <c r="C20928" s="574">
        <v>66.400000000000006</v>
      </c>
    </row>
    <row r="20929" spans="1:3">
      <c r="A20929" s="573" t="s">
        <v>1603</v>
      </c>
      <c r="B20929" s="574">
        <v>252</v>
      </c>
      <c r="C20929" s="574">
        <v>68.2</v>
      </c>
    </row>
    <row r="20930" spans="1:3">
      <c r="A20930" s="573" t="s">
        <v>1603</v>
      </c>
      <c r="B20930" s="574">
        <v>280</v>
      </c>
      <c r="C20930" s="574">
        <v>65.5</v>
      </c>
    </row>
    <row r="20931" spans="1:3">
      <c r="A20931" s="573" t="s">
        <v>1603</v>
      </c>
      <c r="B20931" s="574">
        <v>308</v>
      </c>
      <c r="C20931" s="574">
        <v>66.400000000000006</v>
      </c>
    </row>
    <row r="20932" spans="1:3">
      <c r="A20932" s="573" t="s">
        <v>1603</v>
      </c>
      <c r="B20932" s="574">
        <v>336</v>
      </c>
      <c r="C20932" s="574">
        <v>66.5</v>
      </c>
    </row>
    <row r="20933" spans="1:3">
      <c r="A20933" s="573" t="s">
        <v>1603</v>
      </c>
      <c r="B20933" s="574">
        <v>364</v>
      </c>
      <c r="C20933" s="574">
        <v>65.5</v>
      </c>
    </row>
    <row r="20934" spans="1:3">
      <c r="A20934" s="573" t="s">
        <v>1603</v>
      </c>
      <c r="B20934" s="574">
        <v>392</v>
      </c>
      <c r="C20934" s="574">
        <v>65</v>
      </c>
    </row>
    <row r="20935" spans="1:3">
      <c r="A20935" s="573" t="s">
        <v>1603</v>
      </c>
      <c r="B20935" s="574">
        <v>420</v>
      </c>
      <c r="C20935" s="574">
        <v>64.5</v>
      </c>
    </row>
    <row r="20936" spans="1:3">
      <c r="A20936" s="573" t="s">
        <v>1603</v>
      </c>
      <c r="B20936" s="574">
        <v>450</v>
      </c>
      <c r="C20936" s="574">
        <v>67.5</v>
      </c>
    </row>
    <row r="20937" spans="1:3">
      <c r="A20937" s="573" t="s">
        <v>1603</v>
      </c>
      <c r="B20937" s="574">
        <v>450</v>
      </c>
      <c r="C20937" s="574">
        <v>67.5</v>
      </c>
    </row>
    <row r="20938" spans="1:3">
      <c r="A20938" s="571" t="s">
        <v>1602</v>
      </c>
      <c r="B20938" s="572">
        <v>2</v>
      </c>
      <c r="C20938" s="572">
        <v>0.9</v>
      </c>
    </row>
    <row r="20939" spans="1:3">
      <c r="A20939" s="571" t="s">
        <v>1602</v>
      </c>
      <c r="B20939" s="572">
        <v>5</v>
      </c>
      <c r="C20939" s="572">
        <v>1.1000000000000001</v>
      </c>
    </row>
    <row r="20940" spans="1:3">
      <c r="A20940" s="571" t="s">
        <v>1602</v>
      </c>
      <c r="B20940" s="572">
        <v>7</v>
      </c>
      <c r="C20940" s="572">
        <v>0.4</v>
      </c>
    </row>
    <row r="20941" spans="1:3">
      <c r="A20941" s="571" t="s">
        <v>1602</v>
      </c>
      <c r="B20941" s="572">
        <v>14</v>
      </c>
      <c r="C20941" s="572">
        <v>1.1000000000000001</v>
      </c>
    </row>
    <row r="20942" spans="1:3">
      <c r="A20942" s="571" t="s">
        <v>1602</v>
      </c>
      <c r="B20942" s="572">
        <v>21</v>
      </c>
      <c r="C20942" s="572">
        <v>0.4</v>
      </c>
    </row>
    <row r="20943" spans="1:3">
      <c r="A20943" s="571" t="s">
        <v>1602</v>
      </c>
      <c r="B20943" s="572">
        <v>28</v>
      </c>
      <c r="C20943" s="572">
        <v>0.3</v>
      </c>
    </row>
    <row r="20944" spans="1:3">
      <c r="A20944" s="571" t="s">
        <v>1602</v>
      </c>
      <c r="B20944" s="572">
        <v>56</v>
      </c>
      <c r="C20944" s="572">
        <v>0.6</v>
      </c>
    </row>
    <row r="20945" spans="1:3">
      <c r="A20945" s="571" t="s">
        <v>1602</v>
      </c>
      <c r="B20945" s="572">
        <v>84</v>
      </c>
      <c r="C20945" s="572">
        <v>0.6</v>
      </c>
    </row>
    <row r="20946" spans="1:3">
      <c r="A20946" s="573" t="s">
        <v>1602</v>
      </c>
      <c r="B20946" s="574">
        <v>112</v>
      </c>
      <c r="C20946" s="574">
        <v>0.1</v>
      </c>
    </row>
    <row r="20947" spans="1:3">
      <c r="A20947" s="573" t="s">
        <v>1602</v>
      </c>
      <c r="B20947" s="574">
        <v>140</v>
      </c>
      <c r="C20947" s="574">
        <v>0.8</v>
      </c>
    </row>
    <row r="20948" spans="1:3">
      <c r="A20948" s="573" t="s">
        <v>1602</v>
      </c>
      <c r="B20948" s="574">
        <v>168</v>
      </c>
      <c r="C20948" s="574">
        <v>0.5</v>
      </c>
    </row>
    <row r="20949" spans="1:3">
      <c r="A20949" s="573" t="s">
        <v>1602</v>
      </c>
      <c r="B20949" s="574">
        <v>168</v>
      </c>
      <c r="C20949" s="574">
        <v>0.5</v>
      </c>
    </row>
    <row r="20950" spans="1:3">
      <c r="A20950" s="571" t="s">
        <v>1601</v>
      </c>
      <c r="B20950" s="572">
        <v>2</v>
      </c>
      <c r="C20950" s="572">
        <v>1</v>
      </c>
    </row>
    <row r="20951" spans="1:3">
      <c r="A20951" s="571" t="s">
        <v>1601</v>
      </c>
      <c r="B20951" s="572">
        <v>5</v>
      </c>
      <c r="C20951" s="572">
        <v>4.5</v>
      </c>
    </row>
    <row r="20952" spans="1:3">
      <c r="A20952" s="571" t="s">
        <v>1601</v>
      </c>
      <c r="B20952" s="572">
        <v>14</v>
      </c>
      <c r="C20952" s="572">
        <v>19.5</v>
      </c>
    </row>
    <row r="20953" spans="1:3">
      <c r="A20953" s="571" t="s">
        <v>1601</v>
      </c>
      <c r="B20953" s="572">
        <v>28</v>
      </c>
      <c r="C20953" s="572">
        <v>23.5</v>
      </c>
    </row>
    <row r="20954" spans="1:3">
      <c r="A20954" s="571" t="s">
        <v>1601</v>
      </c>
      <c r="B20954" s="572">
        <v>56</v>
      </c>
      <c r="C20954" s="572">
        <v>34.5</v>
      </c>
    </row>
    <row r="20955" spans="1:3">
      <c r="A20955" s="571" t="s">
        <v>1601</v>
      </c>
      <c r="B20955" s="572">
        <v>84</v>
      </c>
      <c r="C20955" s="572">
        <v>33.5</v>
      </c>
    </row>
    <row r="20956" spans="1:3">
      <c r="A20956" s="573" t="s">
        <v>1601</v>
      </c>
      <c r="B20956" s="574">
        <v>112</v>
      </c>
      <c r="C20956" s="574">
        <v>33</v>
      </c>
    </row>
    <row r="20957" spans="1:3">
      <c r="A20957" s="573" t="s">
        <v>1601</v>
      </c>
      <c r="B20957" s="574">
        <v>140</v>
      </c>
      <c r="C20957" s="574">
        <v>32.799999999999997</v>
      </c>
    </row>
    <row r="20958" spans="1:3">
      <c r="A20958" s="573" t="s">
        <v>1601</v>
      </c>
      <c r="B20958" s="574">
        <v>168</v>
      </c>
      <c r="C20958" s="574">
        <v>33</v>
      </c>
    </row>
    <row r="20959" spans="1:3">
      <c r="A20959" s="573" t="s">
        <v>1601</v>
      </c>
      <c r="B20959" s="574">
        <v>196</v>
      </c>
      <c r="C20959" s="574">
        <v>33.5</v>
      </c>
    </row>
    <row r="20960" spans="1:3">
      <c r="A20960" s="573" t="s">
        <v>1601</v>
      </c>
      <c r="B20960" s="574">
        <v>224</v>
      </c>
      <c r="C20960" s="574">
        <v>33.200000000000003</v>
      </c>
    </row>
    <row r="20961" spans="1:3">
      <c r="A20961" s="573" t="s">
        <v>1601</v>
      </c>
      <c r="B20961" s="574">
        <v>252</v>
      </c>
      <c r="C20961" s="574">
        <v>28</v>
      </c>
    </row>
    <row r="20962" spans="1:3">
      <c r="A20962" s="573" t="s">
        <v>1601</v>
      </c>
      <c r="B20962" s="574">
        <v>308</v>
      </c>
      <c r="C20962" s="574">
        <v>30.5</v>
      </c>
    </row>
    <row r="20963" spans="1:3">
      <c r="A20963" s="573" t="s">
        <v>1601</v>
      </c>
      <c r="B20963" s="574">
        <v>336</v>
      </c>
      <c r="C20963" s="574">
        <v>31</v>
      </c>
    </row>
    <row r="20964" spans="1:3">
      <c r="A20964" s="573" t="s">
        <v>1601</v>
      </c>
      <c r="B20964" s="574">
        <v>364</v>
      </c>
      <c r="C20964" s="574">
        <v>29</v>
      </c>
    </row>
    <row r="20965" spans="1:3">
      <c r="A20965" s="573" t="s">
        <v>1601</v>
      </c>
      <c r="B20965" s="574">
        <v>392</v>
      </c>
      <c r="C20965" s="574">
        <v>30.1</v>
      </c>
    </row>
    <row r="20966" spans="1:3">
      <c r="A20966" s="573" t="s">
        <v>1601</v>
      </c>
      <c r="B20966" s="574">
        <v>420</v>
      </c>
      <c r="C20966" s="574">
        <v>28.9</v>
      </c>
    </row>
    <row r="20967" spans="1:3">
      <c r="A20967" s="573" t="s">
        <v>1601</v>
      </c>
      <c r="B20967" s="574">
        <v>450</v>
      </c>
      <c r="C20967" s="574">
        <v>30.4</v>
      </c>
    </row>
    <row r="20968" spans="1:3">
      <c r="A20968" s="573" t="s">
        <v>1601</v>
      </c>
      <c r="B20968" s="574">
        <v>450</v>
      </c>
      <c r="C20968" s="574">
        <v>30.4</v>
      </c>
    </row>
    <row r="20969" spans="1:3">
      <c r="A20969" s="571" t="s">
        <v>1600</v>
      </c>
      <c r="B20969" s="572">
        <v>0</v>
      </c>
      <c r="C20969" s="572">
        <v>0</v>
      </c>
    </row>
    <row r="20970" spans="1:3">
      <c r="A20970" s="571" t="s">
        <v>1600</v>
      </c>
      <c r="B20970" s="572">
        <v>1</v>
      </c>
      <c r="C20970" s="572">
        <v>3</v>
      </c>
    </row>
    <row r="20971" spans="1:3">
      <c r="A20971" s="571" t="s">
        <v>1600</v>
      </c>
      <c r="B20971" s="572">
        <v>5</v>
      </c>
      <c r="C20971" s="572">
        <v>3</v>
      </c>
    </row>
    <row r="20972" spans="1:3">
      <c r="A20972" s="571" t="s">
        <v>1600</v>
      </c>
      <c r="B20972" s="572">
        <v>6</v>
      </c>
      <c r="C20972" s="572">
        <v>3</v>
      </c>
    </row>
    <row r="20973" spans="1:3">
      <c r="A20973" s="571" t="s">
        <v>1600</v>
      </c>
      <c r="B20973" s="572">
        <v>7</v>
      </c>
      <c r="C20973" s="572">
        <v>3</v>
      </c>
    </row>
    <row r="20974" spans="1:3">
      <c r="A20974" s="571" t="s">
        <v>1600</v>
      </c>
      <c r="B20974" s="572">
        <v>8</v>
      </c>
      <c r="C20974" s="572">
        <v>3</v>
      </c>
    </row>
    <row r="20975" spans="1:3">
      <c r="A20975" s="571" t="s">
        <v>1600</v>
      </c>
      <c r="B20975" s="572">
        <v>9</v>
      </c>
      <c r="C20975" s="572">
        <v>4</v>
      </c>
    </row>
    <row r="20976" spans="1:3">
      <c r="A20976" s="571" t="s">
        <v>1600</v>
      </c>
      <c r="B20976" s="572">
        <v>12</v>
      </c>
      <c r="C20976" s="572">
        <v>3</v>
      </c>
    </row>
    <row r="20977" spans="1:3">
      <c r="A20977" s="571" t="s">
        <v>1600</v>
      </c>
      <c r="B20977" s="572">
        <v>14</v>
      </c>
      <c r="C20977" s="572">
        <v>1</v>
      </c>
    </row>
    <row r="20978" spans="1:3">
      <c r="A20978" s="571" t="s">
        <v>1600</v>
      </c>
      <c r="B20978" s="572">
        <v>16</v>
      </c>
      <c r="C20978" s="572">
        <v>1</v>
      </c>
    </row>
    <row r="20979" spans="1:3">
      <c r="A20979" s="571" t="s">
        <v>1600</v>
      </c>
      <c r="B20979" s="572">
        <v>19</v>
      </c>
      <c r="C20979" s="572">
        <v>1</v>
      </c>
    </row>
    <row r="20980" spans="1:3">
      <c r="A20980" s="571" t="s">
        <v>1600</v>
      </c>
      <c r="B20980" s="572">
        <v>21</v>
      </c>
      <c r="C20980" s="572">
        <v>3</v>
      </c>
    </row>
    <row r="20981" spans="1:3">
      <c r="A20981" s="571" t="s">
        <v>1600</v>
      </c>
      <c r="B20981" s="572">
        <v>22</v>
      </c>
      <c r="C20981" s="572">
        <v>6</v>
      </c>
    </row>
    <row r="20982" spans="1:3">
      <c r="A20982" s="571" t="s">
        <v>1600</v>
      </c>
      <c r="B20982" s="572">
        <v>26</v>
      </c>
      <c r="C20982" s="572">
        <v>6</v>
      </c>
    </row>
    <row r="20983" spans="1:3">
      <c r="A20983" s="571" t="s">
        <v>1600</v>
      </c>
      <c r="B20983" s="572">
        <v>31</v>
      </c>
      <c r="C20983" s="572">
        <v>1</v>
      </c>
    </row>
    <row r="20984" spans="1:3">
      <c r="A20984" s="571" t="s">
        <v>1600</v>
      </c>
      <c r="B20984" s="572">
        <v>37</v>
      </c>
      <c r="C20984" s="572">
        <v>3</v>
      </c>
    </row>
    <row r="20985" spans="1:3">
      <c r="A20985" s="571" t="s">
        <v>1600</v>
      </c>
      <c r="B20985" s="572">
        <v>44</v>
      </c>
      <c r="C20985" s="572">
        <v>3</v>
      </c>
    </row>
    <row r="20986" spans="1:3">
      <c r="A20986" s="571" t="s">
        <v>1600</v>
      </c>
      <c r="B20986" s="572">
        <v>58</v>
      </c>
      <c r="C20986" s="572">
        <v>6</v>
      </c>
    </row>
    <row r="20987" spans="1:3">
      <c r="A20987" s="571" t="s">
        <v>1600</v>
      </c>
      <c r="B20987" s="572">
        <v>84</v>
      </c>
      <c r="C20987" s="572">
        <v>7</v>
      </c>
    </row>
    <row r="20988" spans="1:3">
      <c r="A20988" s="571" t="s">
        <v>1600</v>
      </c>
      <c r="B20988" s="572">
        <v>92</v>
      </c>
      <c r="C20988" s="572">
        <v>5</v>
      </c>
    </row>
    <row r="20989" spans="1:3">
      <c r="A20989" s="573" t="s">
        <v>1600</v>
      </c>
      <c r="B20989" s="574">
        <v>106</v>
      </c>
      <c r="C20989" s="574">
        <v>7</v>
      </c>
    </row>
    <row r="20990" spans="1:3">
      <c r="A20990" s="573" t="s">
        <v>1600</v>
      </c>
      <c r="B20990" s="574">
        <v>120</v>
      </c>
      <c r="C20990" s="574">
        <v>7</v>
      </c>
    </row>
    <row r="20991" spans="1:3">
      <c r="A20991" s="573" t="s">
        <v>1600</v>
      </c>
      <c r="B20991" s="574">
        <v>169</v>
      </c>
      <c r="C20991" s="574">
        <v>7</v>
      </c>
    </row>
    <row r="20992" spans="1:3">
      <c r="A20992" s="573" t="s">
        <v>1600</v>
      </c>
      <c r="B20992" s="574">
        <v>197</v>
      </c>
      <c r="C20992" s="574">
        <v>8</v>
      </c>
    </row>
    <row r="20993" spans="1:3">
      <c r="A20993" s="573" t="s">
        <v>1600</v>
      </c>
      <c r="B20993" s="574">
        <v>225</v>
      </c>
      <c r="C20993" s="574">
        <v>10</v>
      </c>
    </row>
    <row r="20994" spans="1:3">
      <c r="A20994" s="573" t="s">
        <v>1600</v>
      </c>
      <c r="B20994" s="574">
        <v>254</v>
      </c>
      <c r="C20994" s="574">
        <v>8</v>
      </c>
    </row>
    <row r="20995" spans="1:3">
      <c r="A20995" s="573" t="s">
        <v>1600</v>
      </c>
      <c r="B20995" s="574">
        <v>285</v>
      </c>
      <c r="C20995" s="574">
        <v>10</v>
      </c>
    </row>
    <row r="20996" spans="1:3">
      <c r="A20996" s="573" t="s">
        <v>1600</v>
      </c>
      <c r="B20996" s="574">
        <v>314</v>
      </c>
      <c r="C20996" s="574">
        <v>10</v>
      </c>
    </row>
    <row r="20997" spans="1:3">
      <c r="A20997" s="573" t="s">
        <v>1600</v>
      </c>
      <c r="B20997" s="574">
        <v>348</v>
      </c>
      <c r="C20997" s="574">
        <v>10</v>
      </c>
    </row>
    <row r="20998" spans="1:3">
      <c r="A20998" s="573" t="s">
        <v>1600</v>
      </c>
      <c r="B20998" s="574">
        <v>363</v>
      </c>
      <c r="C20998" s="574">
        <v>12</v>
      </c>
    </row>
    <row r="20999" spans="1:3">
      <c r="A20999" s="573" t="s">
        <v>1600</v>
      </c>
      <c r="B20999" s="574">
        <v>366</v>
      </c>
      <c r="C20999" s="574">
        <v>11</v>
      </c>
    </row>
    <row r="21000" spans="1:3">
      <c r="A21000" s="573" t="s">
        <v>1600</v>
      </c>
      <c r="B21000" s="574">
        <v>373</v>
      </c>
      <c r="C21000" s="574">
        <v>8</v>
      </c>
    </row>
    <row r="21001" spans="1:3">
      <c r="A21001" s="573" t="s">
        <v>1600</v>
      </c>
      <c r="B21001" s="574">
        <v>386</v>
      </c>
      <c r="C21001" s="574">
        <v>12</v>
      </c>
    </row>
    <row r="21002" spans="1:3">
      <c r="A21002" s="573" t="s">
        <v>1600</v>
      </c>
      <c r="B21002" s="574">
        <v>397</v>
      </c>
      <c r="C21002" s="574">
        <v>10</v>
      </c>
    </row>
    <row r="21003" spans="1:3">
      <c r="A21003" s="573" t="s">
        <v>1600</v>
      </c>
      <c r="B21003" s="574">
        <v>418</v>
      </c>
      <c r="C21003" s="574">
        <v>14</v>
      </c>
    </row>
    <row r="21004" spans="1:3">
      <c r="A21004" s="573" t="s">
        <v>1600</v>
      </c>
      <c r="B21004" s="574">
        <v>435</v>
      </c>
      <c r="C21004" s="574">
        <v>11</v>
      </c>
    </row>
    <row r="21005" spans="1:3">
      <c r="A21005" s="573" t="s">
        <v>1600</v>
      </c>
      <c r="B21005" s="574">
        <v>460</v>
      </c>
      <c r="C21005" s="574">
        <v>11</v>
      </c>
    </row>
    <row r="21006" spans="1:3">
      <c r="A21006" s="573" t="s">
        <v>1600</v>
      </c>
      <c r="B21006" s="574">
        <v>483</v>
      </c>
      <c r="C21006" s="574">
        <v>8</v>
      </c>
    </row>
    <row r="21007" spans="1:3">
      <c r="A21007" s="571" t="s">
        <v>1599</v>
      </c>
      <c r="B21007" s="572">
        <v>0</v>
      </c>
      <c r="C21007" s="572">
        <v>0</v>
      </c>
    </row>
    <row r="21008" spans="1:3">
      <c r="A21008" s="571" t="s">
        <v>1599</v>
      </c>
      <c r="B21008" s="572">
        <v>1</v>
      </c>
      <c r="C21008" s="572">
        <v>0</v>
      </c>
    </row>
    <row r="21009" spans="1:3">
      <c r="A21009" s="571" t="s">
        <v>1599</v>
      </c>
      <c r="B21009" s="572">
        <v>2</v>
      </c>
      <c r="C21009" s="572">
        <v>0</v>
      </c>
    </row>
    <row r="21010" spans="1:3">
      <c r="A21010" s="571" t="s">
        <v>1599</v>
      </c>
      <c r="B21010" s="572">
        <v>3</v>
      </c>
      <c r="C21010" s="572">
        <v>0</v>
      </c>
    </row>
    <row r="21011" spans="1:3">
      <c r="A21011" s="571" t="s">
        <v>1599</v>
      </c>
      <c r="B21011" s="572">
        <v>4</v>
      </c>
      <c r="C21011" s="572">
        <v>0</v>
      </c>
    </row>
    <row r="21012" spans="1:3">
      <c r="A21012" s="571" t="s">
        <v>1599</v>
      </c>
      <c r="B21012" s="572">
        <v>5</v>
      </c>
      <c r="C21012" s="572">
        <v>0</v>
      </c>
    </row>
    <row r="21013" spans="1:3">
      <c r="A21013" s="571" t="s">
        <v>1599</v>
      </c>
      <c r="B21013" s="572">
        <v>20</v>
      </c>
      <c r="C21013" s="572">
        <v>0</v>
      </c>
    </row>
    <row r="21014" spans="1:3">
      <c r="A21014" s="571" t="s">
        <v>1599</v>
      </c>
      <c r="B21014" s="572">
        <v>27</v>
      </c>
      <c r="C21014" s="572">
        <v>3</v>
      </c>
    </row>
    <row r="21015" spans="1:3">
      <c r="A21015" s="571" t="s">
        <v>1599</v>
      </c>
      <c r="B21015" s="572">
        <v>28</v>
      </c>
      <c r="C21015" s="572">
        <v>3</v>
      </c>
    </row>
    <row r="21016" spans="1:3">
      <c r="A21016" s="571" t="s">
        <v>1599</v>
      </c>
      <c r="B21016" s="572">
        <v>33</v>
      </c>
      <c r="C21016" s="572">
        <v>3</v>
      </c>
    </row>
    <row r="21017" spans="1:3">
      <c r="A21017" s="571" t="s">
        <v>1599</v>
      </c>
      <c r="B21017" s="572">
        <v>34</v>
      </c>
      <c r="C21017" s="572">
        <v>4</v>
      </c>
    </row>
    <row r="21018" spans="1:3">
      <c r="A21018" s="571" t="s">
        <v>1599</v>
      </c>
      <c r="B21018" s="572">
        <v>55</v>
      </c>
      <c r="C21018" s="572">
        <v>4</v>
      </c>
    </row>
    <row r="21019" spans="1:3">
      <c r="A21019" s="571" t="s">
        <v>1599</v>
      </c>
      <c r="B21019" s="572">
        <v>77</v>
      </c>
      <c r="C21019" s="572">
        <v>6</v>
      </c>
    </row>
    <row r="21020" spans="1:3">
      <c r="A21020" s="571" t="s">
        <v>1599</v>
      </c>
      <c r="B21020" s="572">
        <v>95</v>
      </c>
      <c r="C21020" s="572">
        <v>6</v>
      </c>
    </row>
    <row r="21021" spans="1:3">
      <c r="A21021" s="573" t="s">
        <v>1599</v>
      </c>
      <c r="B21021" s="574">
        <v>113</v>
      </c>
      <c r="C21021" s="574">
        <v>7</v>
      </c>
    </row>
    <row r="21022" spans="1:3">
      <c r="A21022" s="573" t="s">
        <v>1599</v>
      </c>
      <c r="B21022" s="574">
        <v>131</v>
      </c>
      <c r="C21022" s="574">
        <v>7</v>
      </c>
    </row>
    <row r="21023" spans="1:3">
      <c r="A21023" s="573" t="s">
        <v>1599</v>
      </c>
      <c r="B21023" s="574">
        <v>147</v>
      </c>
      <c r="C21023" s="574">
        <v>8</v>
      </c>
    </row>
    <row r="21024" spans="1:3">
      <c r="A21024" s="573" t="s">
        <v>1599</v>
      </c>
      <c r="B21024" s="574">
        <v>167</v>
      </c>
      <c r="C21024" s="574">
        <v>8</v>
      </c>
    </row>
    <row r="21025" spans="1:3">
      <c r="A21025" s="573" t="s">
        <v>1599</v>
      </c>
      <c r="B21025" s="574">
        <v>196</v>
      </c>
      <c r="C21025" s="574">
        <v>8</v>
      </c>
    </row>
    <row r="21026" spans="1:3">
      <c r="A21026" s="573" t="s">
        <v>1599</v>
      </c>
      <c r="B21026" s="574">
        <v>229</v>
      </c>
      <c r="C21026" s="574">
        <v>10</v>
      </c>
    </row>
    <row r="21027" spans="1:3">
      <c r="A21027" s="573" t="s">
        <v>1599</v>
      </c>
      <c r="B21027" s="574">
        <v>256</v>
      </c>
      <c r="C21027" s="574">
        <v>11</v>
      </c>
    </row>
    <row r="21028" spans="1:3">
      <c r="A21028" s="573" t="s">
        <v>1599</v>
      </c>
      <c r="B21028" s="574">
        <v>286</v>
      </c>
      <c r="C21028" s="574">
        <v>13</v>
      </c>
    </row>
    <row r="21029" spans="1:3">
      <c r="A21029" s="573" t="s">
        <v>1599</v>
      </c>
      <c r="B21029" s="574">
        <v>319</v>
      </c>
      <c r="C21029" s="574">
        <v>13</v>
      </c>
    </row>
    <row r="21030" spans="1:3">
      <c r="A21030" s="573" t="s">
        <v>1599</v>
      </c>
      <c r="B21030" s="574">
        <v>362</v>
      </c>
      <c r="C21030" s="574">
        <v>13</v>
      </c>
    </row>
    <row r="21031" spans="1:3">
      <c r="A21031" s="573" t="s">
        <v>1599</v>
      </c>
      <c r="B21031" s="574">
        <v>363</v>
      </c>
      <c r="C21031" s="574">
        <v>13</v>
      </c>
    </row>
    <row r="21032" spans="1:3">
      <c r="A21032" s="573" t="s">
        <v>1599</v>
      </c>
      <c r="B21032" s="574">
        <v>376</v>
      </c>
      <c r="C21032" s="574">
        <v>14</v>
      </c>
    </row>
    <row r="21033" spans="1:3">
      <c r="A21033" s="573" t="s">
        <v>1599</v>
      </c>
      <c r="B21033" s="574">
        <v>392</v>
      </c>
      <c r="C21033" s="574">
        <v>15</v>
      </c>
    </row>
    <row r="21034" spans="1:3">
      <c r="A21034" s="573" t="s">
        <v>1599</v>
      </c>
      <c r="B21034" s="574">
        <v>417</v>
      </c>
      <c r="C21034" s="574">
        <v>13</v>
      </c>
    </row>
    <row r="21035" spans="1:3">
      <c r="A21035" s="573" t="s">
        <v>1599</v>
      </c>
      <c r="B21035" s="574">
        <v>440</v>
      </c>
      <c r="C21035" s="574">
        <v>14</v>
      </c>
    </row>
    <row r="21036" spans="1:3">
      <c r="A21036" s="573" t="s">
        <v>1599</v>
      </c>
      <c r="B21036" s="574">
        <v>466</v>
      </c>
      <c r="C21036" s="574">
        <v>13</v>
      </c>
    </row>
    <row r="21037" spans="1:3">
      <c r="A21037" s="573" t="s">
        <v>1599</v>
      </c>
      <c r="B21037" s="574">
        <v>480</v>
      </c>
      <c r="C21037" s="574">
        <v>13</v>
      </c>
    </row>
    <row r="21038" spans="1:3">
      <c r="A21038" s="573" t="s">
        <v>1599</v>
      </c>
      <c r="B21038" s="574">
        <v>487</v>
      </c>
      <c r="C21038" s="574">
        <v>13</v>
      </c>
    </row>
    <row r="21039" spans="1:3">
      <c r="A21039" s="571" t="s">
        <v>1598</v>
      </c>
      <c r="B21039" s="572">
        <v>0</v>
      </c>
      <c r="C21039" s="572">
        <v>0</v>
      </c>
    </row>
    <row r="21040" spans="1:3">
      <c r="A21040" s="571" t="s">
        <v>1598</v>
      </c>
      <c r="B21040" s="572">
        <v>1</v>
      </c>
      <c r="C21040" s="572">
        <v>0</v>
      </c>
    </row>
    <row r="21041" spans="1:3">
      <c r="A21041" s="571" t="s">
        <v>1598</v>
      </c>
      <c r="B21041" s="572">
        <v>2</v>
      </c>
      <c r="C21041" s="572">
        <v>0</v>
      </c>
    </row>
    <row r="21042" spans="1:3">
      <c r="A21042" s="571" t="s">
        <v>1598</v>
      </c>
      <c r="B21042" s="572">
        <v>3</v>
      </c>
      <c r="C21042" s="572">
        <v>1</v>
      </c>
    </row>
    <row r="21043" spans="1:3">
      <c r="A21043" s="571" t="s">
        <v>1598</v>
      </c>
      <c r="B21043" s="572">
        <v>6</v>
      </c>
      <c r="C21043" s="572">
        <v>1</v>
      </c>
    </row>
    <row r="21044" spans="1:3">
      <c r="A21044" s="571" t="s">
        <v>1598</v>
      </c>
      <c r="B21044" s="572">
        <v>9</v>
      </c>
      <c r="C21044" s="572">
        <v>1</v>
      </c>
    </row>
    <row r="21045" spans="1:3">
      <c r="A21045" s="571" t="s">
        <v>1598</v>
      </c>
      <c r="B21045" s="572">
        <v>15</v>
      </c>
      <c r="C21045" s="572">
        <v>3</v>
      </c>
    </row>
    <row r="21046" spans="1:3">
      <c r="A21046" s="571" t="s">
        <v>1598</v>
      </c>
      <c r="B21046" s="572">
        <v>23</v>
      </c>
      <c r="C21046" s="572">
        <v>3</v>
      </c>
    </row>
    <row r="21047" spans="1:3">
      <c r="A21047" s="571" t="s">
        <v>1598</v>
      </c>
      <c r="B21047" s="572">
        <v>34</v>
      </c>
      <c r="C21047" s="572">
        <v>5</v>
      </c>
    </row>
    <row r="21048" spans="1:3">
      <c r="A21048" s="571" t="s">
        <v>1598</v>
      </c>
      <c r="B21048" s="572">
        <v>43</v>
      </c>
      <c r="C21048" s="572">
        <v>4</v>
      </c>
    </row>
    <row r="21049" spans="1:3">
      <c r="A21049" s="571" t="s">
        <v>1598</v>
      </c>
      <c r="B21049" s="572">
        <v>51</v>
      </c>
      <c r="C21049" s="572">
        <v>4</v>
      </c>
    </row>
    <row r="21050" spans="1:3">
      <c r="A21050" s="571" t="s">
        <v>1598</v>
      </c>
      <c r="B21050" s="572">
        <v>62</v>
      </c>
      <c r="C21050" s="572">
        <v>5</v>
      </c>
    </row>
    <row r="21051" spans="1:3">
      <c r="A21051" s="571" t="s">
        <v>1598</v>
      </c>
      <c r="B21051" s="572">
        <v>79</v>
      </c>
      <c r="C21051" s="572">
        <v>5</v>
      </c>
    </row>
    <row r="21052" spans="1:3">
      <c r="A21052" s="571" t="s">
        <v>1598</v>
      </c>
      <c r="B21052" s="572">
        <v>90</v>
      </c>
      <c r="C21052" s="572">
        <v>5</v>
      </c>
    </row>
    <row r="21053" spans="1:3">
      <c r="A21053" s="573" t="s">
        <v>1598</v>
      </c>
      <c r="B21053" s="574">
        <v>120</v>
      </c>
      <c r="C21053" s="574">
        <v>5</v>
      </c>
    </row>
    <row r="21054" spans="1:3">
      <c r="A21054" s="573" t="s">
        <v>1598</v>
      </c>
      <c r="B21054" s="574">
        <v>154</v>
      </c>
      <c r="C21054" s="574">
        <v>8</v>
      </c>
    </row>
    <row r="21055" spans="1:3">
      <c r="A21055" s="573" t="s">
        <v>1598</v>
      </c>
      <c r="B21055" s="574">
        <v>196</v>
      </c>
      <c r="C21055" s="574">
        <v>9</v>
      </c>
    </row>
    <row r="21056" spans="1:3">
      <c r="A21056" s="573" t="s">
        <v>1598</v>
      </c>
      <c r="B21056" s="574">
        <v>211</v>
      </c>
      <c r="C21056" s="574">
        <v>4</v>
      </c>
    </row>
    <row r="21057" spans="1:3">
      <c r="A21057" s="573" t="s">
        <v>1598</v>
      </c>
      <c r="B21057" s="574">
        <v>251</v>
      </c>
      <c r="C21057" s="574">
        <v>9</v>
      </c>
    </row>
    <row r="21058" spans="1:3">
      <c r="A21058" s="573" t="s">
        <v>1598</v>
      </c>
      <c r="B21058" s="574">
        <v>274</v>
      </c>
      <c r="C21058" s="574">
        <v>11</v>
      </c>
    </row>
    <row r="21059" spans="1:3">
      <c r="A21059" s="573" t="s">
        <v>1598</v>
      </c>
      <c r="B21059" s="574">
        <v>279</v>
      </c>
      <c r="C21059" s="574">
        <v>11</v>
      </c>
    </row>
    <row r="21060" spans="1:3">
      <c r="A21060" s="573" t="s">
        <v>1598</v>
      </c>
      <c r="B21060" s="574">
        <v>286</v>
      </c>
      <c r="C21060" s="574">
        <v>12</v>
      </c>
    </row>
    <row r="21061" spans="1:3">
      <c r="A21061" s="573" t="s">
        <v>1598</v>
      </c>
      <c r="B21061" s="574">
        <v>293</v>
      </c>
      <c r="C21061" s="574">
        <v>11</v>
      </c>
    </row>
    <row r="21062" spans="1:3">
      <c r="A21062" s="573" t="s">
        <v>1598</v>
      </c>
      <c r="B21062" s="574">
        <v>300</v>
      </c>
      <c r="C21062" s="574">
        <v>11</v>
      </c>
    </row>
    <row r="21063" spans="1:3">
      <c r="A21063" s="573" t="s">
        <v>1598</v>
      </c>
      <c r="B21063" s="574">
        <v>314</v>
      </c>
      <c r="C21063" s="574">
        <v>12</v>
      </c>
    </row>
    <row r="21064" spans="1:3">
      <c r="A21064" s="573" t="s">
        <v>1598</v>
      </c>
      <c r="B21064" s="574">
        <v>328</v>
      </c>
      <c r="C21064" s="574">
        <v>12</v>
      </c>
    </row>
    <row r="21065" spans="1:3">
      <c r="A21065" s="573" t="s">
        <v>1598</v>
      </c>
      <c r="B21065" s="574">
        <v>342</v>
      </c>
      <c r="C21065" s="574">
        <v>11</v>
      </c>
    </row>
    <row r="21066" spans="1:3">
      <c r="A21066" s="573" t="s">
        <v>1598</v>
      </c>
      <c r="B21066" s="574">
        <v>356</v>
      </c>
      <c r="C21066" s="574">
        <v>12</v>
      </c>
    </row>
    <row r="21067" spans="1:3">
      <c r="A21067" s="573" t="s">
        <v>1598</v>
      </c>
      <c r="B21067" s="574">
        <v>366</v>
      </c>
      <c r="C21067" s="574">
        <v>13</v>
      </c>
    </row>
    <row r="21068" spans="1:3">
      <c r="A21068" s="573" t="s">
        <v>1598</v>
      </c>
      <c r="B21068" s="574">
        <v>381</v>
      </c>
      <c r="C21068" s="574">
        <v>9</v>
      </c>
    </row>
    <row r="21069" spans="1:3">
      <c r="A21069" s="573" t="s">
        <v>1598</v>
      </c>
      <c r="B21069" s="574">
        <v>398</v>
      </c>
      <c r="C21069" s="574">
        <v>13</v>
      </c>
    </row>
    <row r="21070" spans="1:3">
      <c r="A21070" s="573" t="s">
        <v>1598</v>
      </c>
      <c r="B21070" s="574">
        <v>420</v>
      </c>
      <c r="C21070" s="574">
        <v>13</v>
      </c>
    </row>
    <row r="21071" spans="1:3">
      <c r="A21071" s="573" t="s">
        <v>1598</v>
      </c>
      <c r="B21071" s="574">
        <v>442</v>
      </c>
      <c r="C21071" s="574">
        <v>13</v>
      </c>
    </row>
    <row r="21072" spans="1:3">
      <c r="A21072" s="573" t="s">
        <v>1598</v>
      </c>
      <c r="B21072" s="574">
        <v>467</v>
      </c>
      <c r="C21072" s="574">
        <v>16</v>
      </c>
    </row>
    <row r="21073" spans="1:3">
      <c r="A21073" s="573" t="s">
        <v>1598</v>
      </c>
      <c r="B21073" s="574">
        <v>483</v>
      </c>
      <c r="C21073" s="574">
        <v>16</v>
      </c>
    </row>
    <row r="21074" spans="1:3">
      <c r="A21074" s="571" t="s">
        <v>1597</v>
      </c>
      <c r="B21074" s="572">
        <v>0</v>
      </c>
      <c r="C21074" s="572">
        <v>0</v>
      </c>
    </row>
    <row r="21075" spans="1:3">
      <c r="A21075" s="571" t="s">
        <v>1597</v>
      </c>
      <c r="B21075" s="572">
        <v>1</v>
      </c>
      <c r="C21075" s="572">
        <v>4</v>
      </c>
    </row>
    <row r="21076" spans="1:3">
      <c r="A21076" s="571" t="s">
        <v>1597</v>
      </c>
      <c r="B21076" s="572">
        <v>5</v>
      </c>
      <c r="C21076" s="572">
        <v>7</v>
      </c>
    </row>
    <row r="21077" spans="1:3">
      <c r="A21077" s="571" t="s">
        <v>1597</v>
      </c>
      <c r="B21077" s="572">
        <v>6</v>
      </c>
      <c r="C21077" s="572">
        <v>8</v>
      </c>
    </row>
    <row r="21078" spans="1:3">
      <c r="A21078" s="571" t="s">
        <v>1597</v>
      </c>
      <c r="B21078" s="572">
        <v>7</v>
      </c>
      <c r="C21078" s="572">
        <v>8</v>
      </c>
    </row>
    <row r="21079" spans="1:3">
      <c r="A21079" s="571" t="s">
        <v>1597</v>
      </c>
      <c r="B21079" s="572">
        <v>8</v>
      </c>
      <c r="C21079" s="572">
        <v>11</v>
      </c>
    </row>
    <row r="21080" spans="1:3">
      <c r="A21080" s="571" t="s">
        <v>1597</v>
      </c>
      <c r="B21080" s="572">
        <v>9</v>
      </c>
      <c r="C21080" s="572">
        <v>11</v>
      </c>
    </row>
    <row r="21081" spans="1:3">
      <c r="A21081" s="571" t="s">
        <v>1597</v>
      </c>
      <c r="B21081" s="572">
        <v>12</v>
      </c>
      <c r="C21081" s="572">
        <v>11</v>
      </c>
    </row>
    <row r="21082" spans="1:3">
      <c r="A21082" s="571" t="s">
        <v>1597</v>
      </c>
      <c r="B21082" s="572">
        <v>14</v>
      </c>
      <c r="C21082" s="572">
        <v>11</v>
      </c>
    </row>
    <row r="21083" spans="1:3">
      <c r="A21083" s="571" t="s">
        <v>1597</v>
      </c>
      <c r="B21083" s="572">
        <v>16</v>
      </c>
      <c r="C21083" s="572">
        <v>11</v>
      </c>
    </row>
    <row r="21084" spans="1:3">
      <c r="A21084" s="571" t="s">
        <v>1597</v>
      </c>
      <c r="B21084" s="572">
        <v>19</v>
      </c>
      <c r="C21084" s="572">
        <v>15</v>
      </c>
    </row>
    <row r="21085" spans="1:3">
      <c r="A21085" s="571" t="s">
        <v>1597</v>
      </c>
      <c r="B21085" s="572">
        <v>21</v>
      </c>
      <c r="C21085" s="572">
        <v>13</v>
      </c>
    </row>
    <row r="21086" spans="1:3">
      <c r="A21086" s="571" t="s">
        <v>1597</v>
      </c>
      <c r="B21086" s="572">
        <v>22</v>
      </c>
      <c r="C21086" s="572">
        <v>12</v>
      </c>
    </row>
    <row r="21087" spans="1:3">
      <c r="A21087" s="571" t="s">
        <v>1597</v>
      </c>
      <c r="B21087" s="572">
        <v>26</v>
      </c>
      <c r="C21087" s="572">
        <v>13</v>
      </c>
    </row>
    <row r="21088" spans="1:3">
      <c r="A21088" s="571" t="s">
        <v>1597</v>
      </c>
      <c r="B21088" s="572">
        <v>31</v>
      </c>
      <c r="C21088" s="572">
        <v>12</v>
      </c>
    </row>
    <row r="21089" spans="1:3">
      <c r="A21089" s="571" t="s">
        <v>1597</v>
      </c>
      <c r="B21089" s="572">
        <v>37</v>
      </c>
      <c r="C21089" s="572">
        <v>11</v>
      </c>
    </row>
    <row r="21090" spans="1:3">
      <c r="A21090" s="571" t="s">
        <v>1597</v>
      </c>
      <c r="B21090" s="572">
        <v>44</v>
      </c>
      <c r="C21090" s="572">
        <v>12</v>
      </c>
    </row>
    <row r="21091" spans="1:3">
      <c r="A21091" s="571" t="s">
        <v>1597</v>
      </c>
      <c r="B21091" s="572">
        <v>58</v>
      </c>
      <c r="C21091" s="572">
        <v>11</v>
      </c>
    </row>
    <row r="21092" spans="1:3">
      <c r="A21092" s="571" t="s">
        <v>1597</v>
      </c>
      <c r="B21092" s="572">
        <v>84</v>
      </c>
      <c r="C21092" s="572">
        <v>11</v>
      </c>
    </row>
    <row r="21093" spans="1:3">
      <c r="A21093" s="571" t="s">
        <v>1597</v>
      </c>
      <c r="B21093" s="572">
        <v>92</v>
      </c>
      <c r="C21093" s="572">
        <v>8</v>
      </c>
    </row>
    <row r="21094" spans="1:3">
      <c r="A21094" s="573" t="s">
        <v>1597</v>
      </c>
      <c r="B21094" s="574">
        <v>106</v>
      </c>
      <c r="C21094" s="574">
        <v>8</v>
      </c>
    </row>
    <row r="21095" spans="1:3">
      <c r="A21095" s="573" t="s">
        <v>1597</v>
      </c>
      <c r="B21095" s="574">
        <v>120</v>
      </c>
      <c r="C21095" s="574">
        <v>5</v>
      </c>
    </row>
    <row r="21096" spans="1:3">
      <c r="A21096" s="573" t="s">
        <v>1597</v>
      </c>
      <c r="B21096" s="574">
        <v>169</v>
      </c>
      <c r="C21096" s="574">
        <v>0</v>
      </c>
    </row>
    <row r="21097" spans="1:3">
      <c r="A21097" s="573" t="s">
        <v>1597</v>
      </c>
      <c r="B21097" s="574">
        <v>197</v>
      </c>
      <c r="C21097" s="574">
        <v>8</v>
      </c>
    </row>
    <row r="21098" spans="1:3">
      <c r="A21098" s="573" t="s">
        <v>1597</v>
      </c>
      <c r="B21098" s="574">
        <v>225</v>
      </c>
      <c r="C21098" s="574">
        <v>12</v>
      </c>
    </row>
    <row r="21099" spans="1:3">
      <c r="A21099" s="573" t="s">
        <v>1597</v>
      </c>
      <c r="B21099" s="574">
        <v>254</v>
      </c>
      <c r="C21099" s="574">
        <v>19</v>
      </c>
    </row>
    <row r="21100" spans="1:3">
      <c r="A21100" s="573" t="s">
        <v>1597</v>
      </c>
      <c r="B21100" s="574">
        <v>285</v>
      </c>
      <c r="C21100" s="574">
        <v>23</v>
      </c>
    </row>
    <row r="21101" spans="1:3">
      <c r="A21101" s="573" t="s">
        <v>1597</v>
      </c>
      <c r="B21101" s="574">
        <v>314</v>
      </c>
      <c r="C21101" s="574">
        <v>32</v>
      </c>
    </row>
    <row r="21102" spans="1:3">
      <c r="A21102" s="573" t="s">
        <v>1597</v>
      </c>
      <c r="B21102" s="574">
        <v>348</v>
      </c>
      <c r="C21102" s="574">
        <v>42</v>
      </c>
    </row>
    <row r="21103" spans="1:3">
      <c r="A21103" s="573" t="s">
        <v>1597</v>
      </c>
      <c r="B21103" s="574">
        <v>363</v>
      </c>
      <c r="C21103" s="574">
        <v>46</v>
      </c>
    </row>
    <row r="21104" spans="1:3">
      <c r="A21104" s="573" t="s">
        <v>1597</v>
      </c>
      <c r="B21104" s="574">
        <v>366</v>
      </c>
      <c r="C21104" s="574">
        <v>49</v>
      </c>
    </row>
    <row r="21105" spans="1:3">
      <c r="A21105" s="573" t="s">
        <v>1597</v>
      </c>
      <c r="B21105" s="574">
        <v>373</v>
      </c>
      <c r="C21105" s="574">
        <v>53</v>
      </c>
    </row>
    <row r="21106" spans="1:3">
      <c r="A21106" s="573" t="s">
        <v>1597</v>
      </c>
      <c r="B21106" s="574">
        <v>386</v>
      </c>
      <c r="C21106" s="574">
        <v>62</v>
      </c>
    </row>
    <row r="21107" spans="1:3">
      <c r="A21107" s="573" t="s">
        <v>1597</v>
      </c>
      <c r="B21107" s="574">
        <v>397</v>
      </c>
      <c r="C21107" s="574">
        <v>66</v>
      </c>
    </row>
    <row r="21108" spans="1:3">
      <c r="A21108" s="571" t="s">
        <v>1596</v>
      </c>
      <c r="B21108" s="572">
        <v>0</v>
      </c>
      <c r="C21108" s="572">
        <v>0</v>
      </c>
    </row>
    <row r="21109" spans="1:3">
      <c r="A21109" s="571" t="s">
        <v>1596</v>
      </c>
      <c r="B21109" s="572">
        <v>5</v>
      </c>
      <c r="C21109" s="572">
        <v>8</v>
      </c>
    </row>
    <row r="21110" spans="1:3">
      <c r="A21110" s="571" t="s">
        <v>1596</v>
      </c>
      <c r="B21110" s="572">
        <v>55</v>
      </c>
      <c r="C21110" s="572">
        <v>15</v>
      </c>
    </row>
    <row r="21111" spans="1:3">
      <c r="A21111" s="571" t="s">
        <v>1596</v>
      </c>
      <c r="B21111" s="572">
        <v>77</v>
      </c>
      <c r="C21111" s="572">
        <v>20</v>
      </c>
    </row>
    <row r="21112" spans="1:3">
      <c r="A21112" s="573" t="s">
        <v>1596</v>
      </c>
      <c r="B21112" s="574">
        <v>113</v>
      </c>
      <c r="C21112" s="574">
        <v>17</v>
      </c>
    </row>
    <row r="21113" spans="1:3">
      <c r="A21113" s="573" t="s">
        <v>1596</v>
      </c>
      <c r="B21113" s="574">
        <v>131</v>
      </c>
      <c r="C21113" s="574">
        <v>11</v>
      </c>
    </row>
    <row r="21114" spans="1:3">
      <c r="A21114" s="573" t="s">
        <v>1596</v>
      </c>
      <c r="B21114" s="574">
        <v>147</v>
      </c>
      <c r="C21114" s="574">
        <v>6</v>
      </c>
    </row>
    <row r="21115" spans="1:3">
      <c r="A21115" s="573" t="s">
        <v>1596</v>
      </c>
      <c r="B21115" s="574">
        <v>167</v>
      </c>
      <c r="C21115" s="574">
        <v>0</v>
      </c>
    </row>
    <row r="21116" spans="1:3">
      <c r="A21116" s="573" t="s">
        <v>1596</v>
      </c>
      <c r="B21116" s="574">
        <v>196</v>
      </c>
      <c r="C21116" s="574">
        <v>10</v>
      </c>
    </row>
    <row r="21117" spans="1:3">
      <c r="A21117" s="573" t="s">
        <v>1596</v>
      </c>
      <c r="B21117" s="574">
        <v>229</v>
      </c>
      <c r="C21117" s="574">
        <v>24</v>
      </c>
    </row>
    <row r="21118" spans="1:3">
      <c r="A21118" s="573" t="s">
        <v>1596</v>
      </c>
      <c r="B21118" s="574">
        <v>256</v>
      </c>
      <c r="C21118" s="574">
        <v>43</v>
      </c>
    </row>
    <row r="21119" spans="1:3">
      <c r="A21119" s="573" t="s">
        <v>1596</v>
      </c>
      <c r="B21119" s="574">
        <v>286</v>
      </c>
      <c r="C21119" s="574">
        <v>79</v>
      </c>
    </row>
    <row r="21120" spans="1:3">
      <c r="A21120" s="571" t="s">
        <v>1595</v>
      </c>
      <c r="B21120" s="572">
        <v>0</v>
      </c>
      <c r="C21120" s="572">
        <v>0</v>
      </c>
    </row>
    <row r="21121" spans="1:3">
      <c r="A21121" s="571" t="s">
        <v>1595</v>
      </c>
      <c r="B21121" s="572">
        <v>1</v>
      </c>
      <c r="C21121" s="572">
        <v>1</v>
      </c>
    </row>
    <row r="21122" spans="1:3">
      <c r="A21122" s="571" t="s">
        <v>1595</v>
      </c>
      <c r="B21122" s="572">
        <v>2</v>
      </c>
      <c r="C21122" s="572">
        <v>1</v>
      </c>
    </row>
    <row r="21123" spans="1:3">
      <c r="A21123" s="571" t="s">
        <v>1595</v>
      </c>
      <c r="B21123" s="572">
        <v>3</v>
      </c>
      <c r="C21123" s="572">
        <v>0</v>
      </c>
    </row>
    <row r="21124" spans="1:3">
      <c r="A21124" s="571" t="s">
        <v>1595</v>
      </c>
      <c r="B21124" s="572">
        <v>6</v>
      </c>
      <c r="C21124" s="572">
        <v>1</v>
      </c>
    </row>
    <row r="21125" spans="1:3">
      <c r="A21125" s="571" t="s">
        <v>1595</v>
      </c>
      <c r="B21125" s="572">
        <v>9</v>
      </c>
      <c r="C21125" s="572">
        <v>3</v>
      </c>
    </row>
    <row r="21126" spans="1:3">
      <c r="A21126" s="571" t="s">
        <v>1595</v>
      </c>
      <c r="B21126" s="572">
        <v>15</v>
      </c>
      <c r="C21126" s="572">
        <v>3</v>
      </c>
    </row>
    <row r="21127" spans="1:3">
      <c r="A21127" s="571" t="s">
        <v>1595</v>
      </c>
      <c r="B21127" s="572">
        <v>23</v>
      </c>
      <c r="C21127" s="572">
        <v>4</v>
      </c>
    </row>
    <row r="21128" spans="1:3">
      <c r="A21128" s="571" t="s">
        <v>1595</v>
      </c>
      <c r="B21128" s="572">
        <v>34</v>
      </c>
      <c r="C21128" s="572">
        <v>4</v>
      </c>
    </row>
    <row r="21129" spans="1:3">
      <c r="A21129" s="571" t="s">
        <v>1595</v>
      </c>
      <c r="B21129" s="572">
        <v>43</v>
      </c>
      <c r="C21129" s="572">
        <v>3</v>
      </c>
    </row>
    <row r="21130" spans="1:3">
      <c r="A21130" s="571" t="s">
        <v>1595</v>
      </c>
      <c r="B21130" s="572">
        <v>51</v>
      </c>
      <c r="C21130" s="572">
        <v>3</v>
      </c>
    </row>
    <row r="21131" spans="1:3">
      <c r="A21131" s="571" t="s">
        <v>1595</v>
      </c>
      <c r="B21131" s="572">
        <v>62</v>
      </c>
      <c r="C21131" s="572">
        <v>3</v>
      </c>
    </row>
    <row r="21132" spans="1:3">
      <c r="A21132" s="571" t="s">
        <v>1595</v>
      </c>
      <c r="B21132" s="572">
        <v>90</v>
      </c>
      <c r="C21132" s="572">
        <v>3</v>
      </c>
    </row>
    <row r="21133" spans="1:3">
      <c r="A21133" s="573" t="s">
        <v>1595</v>
      </c>
      <c r="B21133" s="574">
        <v>120</v>
      </c>
      <c r="C21133" s="574">
        <v>1</v>
      </c>
    </row>
    <row r="21134" spans="1:3">
      <c r="A21134" s="573" t="s">
        <v>1595</v>
      </c>
      <c r="B21134" s="574">
        <v>154</v>
      </c>
      <c r="C21134" s="574">
        <v>0</v>
      </c>
    </row>
    <row r="21135" spans="1:3">
      <c r="A21135" s="573" t="s">
        <v>1595</v>
      </c>
      <c r="B21135" s="574">
        <v>196</v>
      </c>
      <c r="C21135" s="574">
        <v>1</v>
      </c>
    </row>
    <row r="21136" spans="1:3">
      <c r="A21136" s="573" t="s">
        <v>1595</v>
      </c>
      <c r="B21136" s="574">
        <v>211</v>
      </c>
      <c r="C21136" s="574">
        <v>3</v>
      </c>
    </row>
    <row r="21137" spans="1:3">
      <c r="A21137" s="573" t="s">
        <v>1595</v>
      </c>
      <c r="B21137" s="574">
        <v>251</v>
      </c>
      <c r="C21137" s="574">
        <v>1</v>
      </c>
    </row>
    <row r="21138" spans="1:3">
      <c r="A21138" s="573" t="s">
        <v>1595</v>
      </c>
      <c r="B21138" s="574">
        <v>274</v>
      </c>
      <c r="C21138" s="574">
        <v>3</v>
      </c>
    </row>
    <row r="21139" spans="1:3">
      <c r="A21139" s="573" t="s">
        <v>1595</v>
      </c>
      <c r="B21139" s="574">
        <v>279</v>
      </c>
      <c r="C21139" s="574">
        <v>1</v>
      </c>
    </row>
    <row r="21140" spans="1:3">
      <c r="A21140" s="573" t="s">
        <v>1595</v>
      </c>
      <c r="B21140" s="574">
        <v>286</v>
      </c>
      <c r="C21140" s="574">
        <v>1</v>
      </c>
    </row>
    <row r="21141" spans="1:3">
      <c r="A21141" s="573" t="s">
        <v>1595</v>
      </c>
      <c r="B21141" s="574">
        <v>293</v>
      </c>
      <c r="C21141" s="574">
        <v>3</v>
      </c>
    </row>
    <row r="21142" spans="1:3">
      <c r="A21142" s="573" t="s">
        <v>1595</v>
      </c>
      <c r="B21142" s="574">
        <v>300</v>
      </c>
      <c r="C21142" s="574">
        <v>1</v>
      </c>
    </row>
    <row r="21143" spans="1:3">
      <c r="A21143" s="573" t="s">
        <v>1595</v>
      </c>
      <c r="B21143" s="574">
        <v>314</v>
      </c>
      <c r="C21143" s="574">
        <v>4</v>
      </c>
    </row>
    <row r="21144" spans="1:3">
      <c r="A21144" s="573" t="s">
        <v>1595</v>
      </c>
      <c r="B21144" s="574">
        <v>328</v>
      </c>
      <c r="C21144" s="574">
        <v>3</v>
      </c>
    </row>
    <row r="21145" spans="1:3">
      <c r="A21145" s="573" t="s">
        <v>1595</v>
      </c>
      <c r="B21145" s="574">
        <v>342</v>
      </c>
      <c r="C21145" s="574">
        <v>1</v>
      </c>
    </row>
    <row r="21146" spans="1:3">
      <c r="A21146" s="573" t="s">
        <v>1595</v>
      </c>
      <c r="B21146" s="574">
        <v>356</v>
      </c>
      <c r="C21146" s="574">
        <v>3</v>
      </c>
    </row>
    <row r="21147" spans="1:3">
      <c r="A21147" s="573" t="s">
        <v>1595</v>
      </c>
      <c r="B21147" s="574">
        <v>366</v>
      </c>
      <c r="C21147" s="574">
        <v>4</v>
      </c>
    </row>
    <row r="21148" spans="1:3">
      <c r="A21148" s="573" t="s">
        <v>1595</v>
      </c>
      <c r="B21148" s="574">
        <v>381</v>
      </c>
      <c r="C21148" s="574">
        <v>4</v>
      </c>
    </row>
    <row r="21149" spans="1:3">
      <c r="A21149" s="573" t="s">
        <v>1595</v>
      </c>
      <c r="B21149" s="574">
        <v>398</v>
      </c>
      <c r="C21149" s="574">
        <v>4</v>
      </c>
    </row>
    <row r="21150" spans="1:3">
      <c r="A21150" s="573" t="s">
        <v>1595</v>
      </c>
      <c r="B21150" s="574">
        <v>420</v>
      </c>
      <c r="C21150" s="574">
        <v>4</v>
      </c>
    </row>
    <row r="21151" spans="1:3">
      <c r="A21151" s="573" t="s">
        <v>1595</v>
      </c>
      <c r="B21151" s="574">
        <v>442</v>
      </c>
      <c r="C21151" s="574">
        <v>4</v>
      </c>
    </row>
    <row r="21152" spans="1:3">
      <c r="A21152" s="573" t="s">
        <v>1595</v>
      </c>
      <c r="B21152" s="574">
        <v>467</v>
      </c>
      <c r="C21152" s="574">
        <v>4</v>
      </c>
    </row>
    <row r="21153" spans="1:3">
      <c r="A21153" s="573" t="s">
        <v>1595</v>
      </c>
      <c r="B21153" s="574">
        <v>483</v>
      </c>
      <c r="C21153" s="574">
        <v>4</v>
      </c>
    </row>
    <row r="21154" spans="1:3">
      <c r="A21154" s="571" t="s">
        <v>1594</v>
      </c>
      <c r="B21154" s="572">
        <v>0</v>
      </c>
      <c r="C21154" s="572">
        <v>0</v>
      </c>
    </row>
    <row r="21155" spans="1:3">
      <c r="A21155" s="571" t="s">
        <v>1594</v>
      </c>
      <c r="B21155" s="572">
        <v>1</v>
      </c>
      <c r="C21155" s="572">
        <v>1</v>
      </c>
    </row>
    <row r="21156" spans="1:3">
      <c r="A21156" s="571" t="s">
        <v>1594</v>
      </c>
      <c r="B21156" s="572">
        <v>5</v>
      </c>
      <c r="C21156" s="572">
        <v>1</v>
      </c>
    </row>
    <row r="21157" spans="1:3">
      <c r="A21157" s="571" t="s">
        <v>1594</v>
      </c>
      <c r="B21157" s="572">
        <v>6</v>
      </c>
      <c r="C21157" s="572">
        <v>3</v>
      </c>
    </row>
    <row r="21158" spans="1:3">
      <c r="A21158" s="571" t="s">
        <v>1594</v>
      </c>
      <c r="B21158" s="572">
        <v>7</v>
      </c>
      <c r="C21158" s="572">
        <v>4</v>
      </c>
    </row>
    <row r="21159" spans="1:3">
      <c r="A21159" s="571" t="s">
        <v>1594</v>
      </c>
      <c r="B21159" s="572">
        <v>8</v>
      </c>
      <c r="C21159" s="572">
        <v>4</v>
      </c>
    </row>
    <row r="21160" spans="1:3">
      <c r="A21160" s="571" t="s">
        <v>1594</v>
      </c>
      <c r="B21160" s="572">
        <v>9</v>
      </c>
      <c r="C21160" s="572">
        <v>5</v>
      </c>
    </row>
    <row r="21161" spans="1:3">
      <c r="A21161" s="571" t="s">
        <v>1594</v>
      </c>
      <c r="B21161" s="572">
        <v>12</v>
      </c>
      <c r="C21161" s="572">
        <v>5</v>
      </c>
    </row>
    <row r="21162" spans="1:3">
      <c r="A21162" s="571" t="s">
        <v>1594</v>
      </c>
      <c r="B21162" s="572">
        <v>14</v>
      </c>
      <c r="C21162" s="572">
        <v>5</v>
      </c>
    </row>
    <row r="21163" spans="1:3">
      <c r="A21163" s="571" t="s">
        <v>1594</v>
      </c>
      <c r="B21163" s="572">
        <v>16</v>
      </c>
      <c r="C21163" s="572">
        <v>5</v>
      </c>
    </row>
    <row r="21164" spans="1:3">
      <c r="A21164" s="571" t="s">
        <v>1594</v>
      </c>
      <c r="B21164" s="572">
        <v>19</v>
      </c>
      <c r="C21164" s="572">
        <v>6</v>
      </c>
    </row>
    <row r="21165" spans="1:3">
      <c r="A21165" s="571" t="s">
        <v>1594</v>
      </c>
      <c r="B21165" s="572">
        <v>21</v>
      </c>
      <c r="C21165" s="572">
        <v>8</v>
      </c>
    </row>
    <row r="21166" spans="1:3">
      <c r="A21166" s="571" t="s">
        <v>1594</v>
      </c>
      <c r="B21166" s="572">
        <v>22</v>
      </c>
      <c r="C21166" s="572">
        <v>8</v>
      </c>
    </row>
    <row r="21167" spans="1:3">
      <c r="A21167" s="571" t="s">
        <v>1594</v>
      </c>
      <c r="B21167" s="572">
        <v>26</v>
      </c>
      <c r="C21167" s="572">
        <v>10</v>
      </c>
    </row>
    <row r="21168" spans="1:3">
      <c r="A21168" s="571" t="s">
        <v>1594</v>
      </c>
      <c r="B21168" s="572">
        <v>31</v>
      </c>
      <c r="C21168" s="572">
        <v>10</v>
      </c>
    </row>
    <row r="21169" spans="1:3">
      <c r="A21169" s="571" t="s">
        <v>1594</v>
      </c>
      <c r="B21169" s="572">
        <v>37</v>
      </c>
      <c r="C21169" s="572">
        <v>10</v>
      </c>
    </row>
    <row r="21170" spans="1:3">
      <c r="A21170" s="571" t="s">
        <v>1594</v>
      </c>
      <c r="B21170" s="572">
        <v>44</v>
      </c>
      <c r="C21170" s="572">
        <v>12</v>
      </c>
    </row>
    <row r="21171" spans="1:3">
      <c r="A21171" s="571" t="s">
        <v>1594</v>
      </c>
      <c r="B21171" s="572">
        <v>58</v>
      </c>
      <c r="C21171" s="572">
        <v>14</v>
      </c>
    </row>
    <row r="21172" spans="1:3">
      <c r="A21172" s="571" t="s">
        <v>1594</v>
      </c>
      <c r="B21172" s="572">
        <v>84</v>
      </c>
      <c r="C21172" s="572">
        <v>17</v>
      </c>
    </row>
    <row r="21173" spans="1:3">
      <c r="A21173" s="571" t="s">
        <v>1594</v>
      </c>
      <c r="B21173" s="572">
        <v>92</v>
      </c>
      <c r="C21173" s="572">
        <v>17</v>
      </c>
    </row>
    <row r="21174" spans="1:3">
      <c r="A21174" s="573" t="s">
        <v>1594</v>
      </c>
      <c r="B21174" s="574">
        <v>106</v>
      </c>
      <c r="C21174" s="574">
        <v>17</v>
      </c>
    </row>
    <row r="21175" spans="1:3">
      <c r="A21175" s="573" t="s">
        <v>1594</v>
      </c>
      <c r="B21175" s="574">
        <v>120</v>
      </c>
      <c r="C21175" s="574">
        <v>17</v>
      </c>
    </row>
    <row r="21176" spans="1:3">
      <c r="A21176" s="573" t="s">
        <v>1594</v>
      </c>
      <c r="B21176" s="574">
        <v>169</v>
      </c>
      <c r="C21176" s="574">
        <v>18</v>
      </c>
    </row>
    <row r="21177" spans="1:3">
      <c r="A21177" s="573" t="s">
        <v>1594</v>
      </c>
      <c r="B21177" s="574">
        <v>197</v>
      </c>
      <c r="C21177" s="574">
        <v>20</v>
      </c>
    </row>
    <row r="21178" spans="1:3">
      <c r="A21178" s="573" t="s">
        <v>1594</v>
      </c>
      <c r="B21178" s="574">
        <v>225</v>
      </c>
      <c r="C21178" s="574">
        <v>21</v>
      </c>
    </row>
    <row r="21179" spans="1:3">
      <c r="A21179" s="573" t="s">
        <v>1594</v>
      </c>
      <c r="B21179" s="574">
        <v>254</v>
      </c>
      <c r="C21179" s="574">
        <v>21</v>
      </c>
    </row>
    <row r="21180" spans="1:3">
      <c r="A21180" s="573" t="s">
        <v>1594</v>
      </c>
      <c r="B21180" s="574">
        <v>285</v>
      </c>
      <c r="C21180" s="574">
        <v>21</v>
      </c>
    </row>
    <row r="21181" spans="1:3">
      <c r="A21181" s="573" t="s">
        <v>1594</v>
      </c>
      <c r="B21181" s="574">
        <v>314</v>
      </c>
      <c r="C21181" s="574">
        <v>21</v>
      </c>
    </row>
    <row r="21182" spans="1:3">
      <c r="A21182" s="573" t="s">
        <v>1594</v>
      </c>
      <c r="B21182" s="574">
        <v>348</v>
      </c>
      <c r="C21182" s="574">
        <v>21</v>
      </c>
    </row>
    <row r="21183" spans="1:3">
      <c r="A21183" s="573" t="s">
        <v>1594</v>
      </c>
      <c r="B21183" s="574">
        <v>363</v>
      </c>
      <c r="C21183" s="574">
        <v>22</v>
      </c>
    </row>
    <row r="21184" spans="1:3">
      <c r="A21184" s="573" t="s">
        <v>1594</v>
      </c>
      <c r="B21184" s="574">
        <v>366</v>
      </c>
      <c r="C21184" s="574">
        <v>21</v>
      </c>
    </row>
    <row r="21185" spans="1:3">
      <c r="A21185" s="573" t="s">
        <v>1594</v>
      </c>
      <c r="B21185" s="574">
        <v>373</v>
      </c>
      <c r="C21185" s="574">
        <v>21</v>
      </c>
    </row>
    <row r="21186" spans="1:3">
      <c r="A21186" s="573" t="s">
        <v>1594</v>
      </c>
      <c r="B21186" s="574">
        <v>386</v>
      </c>
      <c r="C21186" s="574">
        <v>22</v>
      </c>
    </row>
    <row r="21187" spans="1:3">
      <c r="A21187" s="573" t="s">
        <v>1594</v>
      </c>
      <c r="B21187" s="574">
        <v>397</v>
      </c>
      <c r="C21187" s="574">
        <v>21</v>
      </c>
    </row>
    <row r="21188" spans="1:3">
      <c r="A21188" s="573" t="s">
        <v>1594</v>
      </c>
      <c r="B21188" s="574">
        <v>418</v>
      </c>
      <c r="C21188" s="574">
        <v>23</v>
      </c>
    </row>
    <row r="21189" spans="1:3">
      <c r="A21189" s="573" t="s">
        <v>1594</v>
      </c>
      <c r="B21189" s="574">
        <v>435</v>
      </c>
      <c r="C21189" s="574">
        <v>21</v>
      </c>
    </row>
    <row r="21190" spans="1:3">
      <c r="A21190" s="573" t="s">
        <v>1594</v>
      </c>
      <c r="B21190" s="574">
        <v>460</v>
      </c>
      <c r="C21190" s="574">
        <v>20</v>
      </c>
    </row>
    <row r="21191" spans="1:3">
      <c r="A21191" s="573" t="s">
        <v>1594</v>
      </c>
      <c r="B21191" s="574">
        <v>483</v>
      </c>
      <c r="C21191" s="574">
        <v>20</v>
      </c>
    </row>
    <row r="21192" spans="1:3">
      <c r="A21192" s="571" t="s">
        <v>1593</v>
      </c>
      <c r="B21192" s="572">
        <v>0</v>
      </c>
      <c r="C21192" s="572">
        <v>0</v>
      </c>
    </row>
    <row r="21193" spans="1:3">
      <c r="A21193" s="571" t="s">
        <v>1593</v>
      </c>
      <c r="B21193" s="572">
        <v>1</v>
      </c>
      <c r="C21193" s="572">
        <v>0</v>
      </c>
    </row>
    <row r="21194" spans="1:3">
      <c r="A21194" s="571" t="s">
        <v>1593</v>
      </c>
      <c r="B21194" s="572">
        <v>2</v>
      </c>
      <c r="C21194" s="572">
        <v>1</v>
      </c>
    </row>
    <row r="21195" spans="1:3">
      <c r="A21195" s="571" t="s">
        <v>1593</v>
      </c>
      <c r="B21195" s="572">
        <v>3</v>
      </c>
      <c r="C21195" s="572">
        <v>1</v>
      </c>
    </row>
    <row r="21196" spans="1:3">
      <c r="A21196" s="571" t="s">
        <v>1593</v>
      </c>
      <c r="B21196" s="572">
        <v>4</v>
      </c>
      <c r="C21196" s="572">
        <v>3</v>
      </c>
    </row>
    <row r="21197" spans="1:3">
      <c r="A21197" s="571" t="s">
        <v>1593</v>
      </c>
      <c r="B21197" s="572">
        <v>5</v>
      </c>
      <c r="C21197" s="572">
        <v>3</v>
      </c>
    </row>
    <row r="21198" spans="1:3">
      <c r="A21198" s="571" t="s">
        <v>1593</v>
      </c>
      <c r="B21198" s="572">
        <v>20</v>
      </c>
      <c r="C21198" s="572">
        <v>8</v>
      </c>
    </row>
    <row r="21199" spans="1:3">
      <c r="A21199" s="571" t="s">
        <v>1593</v>
      </c>
      <c r="B21199" s="572">
        <v>27</v>
      </c>
      <c r="C21199" s="572">
        <v>9</v>
      </c>
    </row>
    <row r="21200" spans="1:3">
      <c r="A21200" s="571" t="s">
        <v>1593</v>
      </c>
      <c r="B21200" s="572">
        <v>28</v>
      </c>
      <c r="C21200" s="572">
        <v>11</v>
      </c>
    </row>
    <row r="21201" spans="1:3">
      <c r="A21201" s="571" t="s">
        <v>1593</v>
      </c>
      <c r="B21201" s="572">
        <v>33</v>
      </c>
      <c r="C21201" s="572">
        <v>9</v>
      </c>
    </row>
    <row r="21202" spans="1:3">
      <c r="A21202" s="571" t="s">
        <v>1593</v>
      </c>
      <c r="B21202" s="572">
        <v>34</v>
      </c>
      <c r="C21202" s="572">
        <v>11</v>
      </c>
    </row>
    <row r="21203" spans="1:3">
      <c r="A21203" s="571" t="s">
        <v>1593</v>
      </c>
      <c r="B21203" s="572">
        <v>55</v>
      </c>
      <c r="C21203" s="572">
        <v>16</v>
      </c>
    </row>
    <row r="21204" spans="1:3">
      <c r="A21204" s="571" t="s">
        <v>1593</v>
      </c>
      <c r="B21204" s="572">
        <v>77</v>
      </c>
      <c r="C21204" s="572">
        <v>16</v>
      </c>
    </row>
    <row r="21205" spans="1:3">
      <c r="A21205" s="571" t="s">
        <v>1593</v>
      </c>
      <c r="B21205" s="572">
        <v>95</v>
      </c>
      <c r="C21205" s="572">
        <v>20</v>
      </c>
    </row>
    <row r="21206" spans="1:3">
      <c r="A21206" s="573" t="s">
        <v>1593</v>
      </c>
      <c r="B21206" s="574">
        <v>113</v>
      </c>
      <c r="C21206" s="574">
        <v>24</v>
      </c>
    </row>
    <row r="21207" spans="1:3">
      <c r="A21207" s="573" t="s">
        <v>1593</v>
      </c>
      <c r="B21207" s="574">
        <v>131</v>
      </c>
      <c r="C21207" s="574">
        <v>24</v>
      </c>
    </row>
    <row r="21208" spans="1:3">
      <c r="A21208" s="573" t="s">
        <v>1593</v>
      </c>
      <c r="B21208" s="574">
        <v>147</v>
      </c>
      <c r="C21208" s="574">
        <v>28</v>
      </c>
    </row>
    <row r="21209" spans="1:3">
      <c r="A21209" s="573" t="s">
        <v>1593</v>
      </c>
      <c r="B21209" s="574">
        <v>167</v>
      </c>
      <c r="C21209" s="574">
        <v>28</v>
      </c>
    </row>
    <row r="21210" spans="1:3">
      <c r="A21210" s="573" t="s">
        <v>1593</v>
      </c>
      <c r="B21210" s="574">
        <v>196</v>
      </c>
      <c r="C21210" s="574">
        <v>32</v>
      </c>
    </row>
    <row r="21211" spans="1:3">
      <c r="A21211" s="573" t="s">
        <v>1593</v>
      </c>
      <c r="B21211" s="574">
        <v>229</v>
      </c>
      <c r="C21211" s="574">
        <v>34</v>
      </c>
    </row>
    <row r="21212" spans="1:3">
      <c r="A21212" s="573" t="s">
        <v>1593</v>
      </c>
      <c r="B21212" s="574">
        <v>256</v>
      </c>
      <c r="C21212" s="574">
        <v>36</v>
      </c>
    </row>
    <row r="21213" spans="1:3">
      <c r="A21213" s="573" t="s">
        <v>1593</v>
      </c>
      <c r="B21213" s="574">
        <v>286</v>
      </c>
      <c r="C21213" s="574">
        <v>36</v>
      </c>
    </row>
    <row r="21214" spans="1:3">
      <c r="A21214" s="573" t="s">
        <v>1593</v>
      </c>
      <c r="B21214" s="574">
        <v>319</v>
      </c>
      <c r="C21214" s="574">
        <v>39</v>
      </c>
    </row>
    <row r="21215" spans="1:3">
      <c r="A21215" s="573" t="s">
        <v>1593</v>
      </c>
      <c r="B21215" s="574">
        <v>362</v>
      </c>
      <c r="C21215" s="574">
        <v>39</v>
      </c>
    </row>
    <row r="21216" spans="1:3">
      <c r="A21216" s="573" t="s">
        <v>1593</v>
      </c>
      <c r="B21216" s="574">
        <v>363</v>
      </c>
      <c r="C21216" s="574">
        <v>39</v>
      </c>
    </row>
    <row r="21217" spans="1:3">
      <c r="A21217" s="573" t="s">
        <v>1593</v>
      </c>
      <c r="B21217" s="574">
        <v>376</v>
      </c>
      <c r="C21217" s="574">
        <v>38</v>
      </c>
    </row>
    <row r="21218" spans="1:3">
      <c r="A21218" s="573" t="s">
        <v>1593</v>
      </c>
      <c r="B21218" s="574">
        <v>392</v>
      </c>
      <c r="C21218" s="574">
        <v>40</v>
      </c>
    </row>
    <row r="21219" spans="1:3">
      <c r="A21219" s="573" t="s">
        <v>1593</v>
      </c>
      <c r="B21219" s="574">
        <v>417</v>
      </c>
      <c r="C21219" s="574">
        <v>39</v>
      </c>
    </row>
    <row r="21220" spans="1:3">
      <c r="A21220" s="573" t="s">
        <v>1593</v>
      </c>
      <c r="B21220" s="574">
        <v>440</v>
      </c>
      <c r="C21220" s="574">
        <v>39</v>
      </c>
    </row>
    <row r="21221" spans="1:3">
      <c r="A21221" s="573" t="s">
        <v>1593</v>
      </c>
      <c r="B21221" s="574">
        <v>466</v>
      </c>
      <c r="C21221" s="574">
        <v>40</v>
      </c>
    </row>
    <row r="21222" spans="1:3">
      <c r="A21222" s="573" t="s">
        <v>1593</v>
      </c>
      <c r="B21222" s="574">
        <v>480</v>
      </c>
      <c r="C21222" s="574">
        <v>39</v>
      </c>
    </row>
    <row r="21223" spans="1:3">
      <c r="A21223" s="573" t="s">
        <v>1593</v>
      </c>
      <c r="B21223" s="574">
        <v>487</v>
      </c>
      <c r="C21223" s="574">
        <v>39</v>
      </c>
    </row>
    <row r="21224" spans="1:3">
      <c r="A21224" s="571" t="s">
        <v>1592</v>
      </c>
      <c r="B21224" s="572">
        <v>0</v>
      </c>
      <c r="C21224" s="572">
        <v>0</v>
      </c>
    </row>
    <row r="21225" spans="1:3">
      <c r="A21225" s="571" t="s">
        <v>1592</v>
      </c>
      <c r="B21225" s="572">
        <v>1</v>
      </c>
      <c r="C21225" s="572">
        <v>1</v>
      </c>
    </row>
    <row r="21226" spans="1:3">
      <c r="A21226" s="571" t="s">
        <v>1592</v>
      </c>
      <c r="B21226" s="572">
        <v>2</v>
      </c>
      <c r="C21226" s="572">
        <v>1</v>
      </c>
    </row>
    <row r="21227" spans="1:3">
      <c r="A21227" s="571" t="s">
        <v>1592</v>
      </c>
      <c r="B21227" s="572">
        <v>3</v>
      </c>
      <c r="C21227" s="572">
        <v>1</v>
      </c>
    </row>
    <row r="21228" spans="1:3">
      <c r="A21228" s="571" t="s">
        <v>1592</v>
      </c>
      <c r="B21228" s="572">
        <v>6</v>
      </c>
      <c r="C21228" s="572">
        <v>4</v>
      </c>
    </row>
    <row r="21229" spans="1:3">
      <c r="A21229" s="571" t="s">
        <v>1592</v>
      </c>
      <c r="B21229" s="572">
        <v>9</v>
      </c>
      <c r="C21229" s="572">
        <v>4</v>
      </c>
    </row>
    <row r="21230" spans="1:3">
      <c r="A21230" s="571" t="s">
        <v>1592</v>
      </c>
      <c r="B21230" s="572">
        <v>15</v>
      </c>
      <c r="C21230" s="572">
        <v>5</v>
      </c>
    </row>
    <row r="21231" spans="1:3">
      <c r="A21231" s="571" t="s">
        <v>1592</v>
      </c>
      <c r="B21231" s="572">
        <v>23</v>
      </c>
      <c r="C21231" s="572">
        <v>9</v>
      </c>
    </row>
    <row r="21232" spans="1:3">
      <c r="A21232" s="571" t="s">
        <v>1592</v>
      </c>
      <c r="B21232" s="572">
        <v>34</v>
      </c>
      <c r="C21232" s="572">
        <v>12</v>
      </c>
    </row>
    <row r="21233" spans="1:3">
      <c r="A21233" s="571" t="s">
        <v>1592</v>
      </c>
      <c r="B21233" s="572">
        <v>43</v>
      </c>
      <c r="C21233" s="572">
        <v>14</v>
      </c>
    </row>
    <row r="21234" spans="1:3">
      <c r="A21234" s="571" t="s">
        <v>1592</v>
      </c>
      <c r="B21234" s="572">
        <v>51</v>
      </c>
      <c r="C21234" s="572">
        <v>15</v>
      </c>
    </row>
    <row r="21235" spans="1:3">
      <c r="A21235" s="571" t="s">
        <v>1592</v>
      </c>
      <c r="B21235" s="572">
        <v>62</v>
      </c>
      <c r="C21235" s="572">
        <v>18</v>
      </c>
    </row>
    <row r="21236" spans="1:3">
      <c r="A21236" s="571" t="s">
        <v>1592</v>
      </c>
      <c r="B21236" s="572">
        <v>79</v>
      </c>
      <c r="C21236" s="572">
        <v>20</v>
      </c>
    </row>
    <row r="21237" spans="1:3">
      <c r="A21237" s="571" t="s">
        <v>1592</v>
      </c>
      <c r="B21237" s="572">
        <v>90</v>
      </c>
      <c r="C21237" s="572">
        <v>22</v>
      </c>
    </row>
    <row r="21238" spans="1:3">
      <c r="A21238" s="573" t="s">
        <v>1592</v>
      </c>
      <c r="B21238" s="574">
        <v>120</v>
      </c>
      <c r="C21238" s="574">
        <v>26</v>
      </c>
    </row>
    <row r="21239" spans="1:3">
      <c r="A21239" s="573" t="s">
        <v>1592</v>
      </c>
      <c r="B21239" s="574">
        <v>154</v>
      </c>
      <c r="C21239" s="574">
        <v>27</v>
      </c>
    </row>
    <row r="21240" spans="1:3">
      <c r="A21240" s="573" t="s">
        <v>1592</v>
      </c>
      <c r="B21240" s="574">
        <v>196</v>
      </c>
      <c r="C21240" s="574">
        <v>30</v>
      </c>
    </row>
    <row r="21241" spans="1:3">
      <c r="A21241" s="573" t="s">
        <v>1592</v>
      </c>
      <c r="B21241" s="574">
        <v>211</v>
      </c>
      <c r="C21241" s="574">
        <v>32</v>
      </c>
    </row>
    <row r="21242" spans="1:3">
      <c r="A21242" s="573" t="s">
        <v>1592</v>
      </c>
      <c r="B21242" s="574">
        <v>251</v>
      </c>
      <c r="C21242" s="574">
        <v>33</v>
      </c>
    </row>
    <row r="21243" spans="1:3">
      <c r="A21243" s="573" t="s">
        <v>1592</v>
      </c>
      <c r="B21243" s="574">
        <v>274</v>
      </c>
      <c r="C21243" s="574">
        <v>33</v>
      </c>
    </row>
    <row r="21244" spans="1:3">
      <c r="A21244" s="573" t="s">
        <v>1592</v>
      </c>
      <c r="B21244" s="574">
        <v>279</v>
      </c>
      <c r="C21244" s="574">
        <v>31</v>
      </c>
    </row>
    <row r="21245" spans="1:3">
      <c r="A21245" s="573" t="s">
        <v>1592</v>
      </c>
      <c r="B21245" s="574">
        <v>286</v>
      </c>
      <c r="C21245" s="574">
        <v>33</v>
      </c>
    </row>
    <row r="21246" spans="1:3">
      <c r="A21246" s="573" t="s">
        <v>1592</v>
      </c>
      <c r="B21246" s="574">
        <v>293</v>
      </c>
      <c r="C21246" s="574">
        <v>33</v>
      </c>
    </row>
    <row r="21247" spans="1:3">
      <c r="A21247" s="573" t="s">
        <v>1592</v>
      </c>
      <c r="B21247" s="574">
        <v>300</v>
      </c>
      <c r="C21247" s="574">
        <v>33</v>
      </c>
    </row>
    <row r="21248" spans="1:3">
      <c r="A21248" s="573" t="s">
        <v>1592</v>
      </c>
      <c r="B21248" s="574">
        <v>314</v>
      </c>
      <c r="C21248" s="574">
        <v>33</v>
      </c>
    </row>
    <row r="21249" spans="1:3">
      <c r="A21249" s="573" t="s">
        <v>1592</v>
      </c>
      <c r="B21249" s="574">
        <v>328</v>
      </c>
      <c r="C21249" s="574">
        <v>33</v>
      </c>
    </row>
    <row r="21250" spans="1:3">
      <c r="A21250" s="573" t="s">
        <v>1592</v>
      </c>
      <c r="B21250" s="574">
        <v>342</v>
      </c>
      <c r="C21250" s="574">
        <v>33</v>
      </c>
    </row>
    <row r="21251" spans="1:3">
      <c r="A21251" s="573" t="s">
        <v>1592</v>
      </c>
      <c r="B21251" s="574">
        <v>356</v>
      </c>
      <c r="C21251" s="574">
        <v>33</v>
      </c>
    </row>
    <row r="21252" spans="1:3">
      <c r="A21252" s="573" t="s">
        <v>1592</v>
      </c>
      <c r="B21252" s="574">
        <v>366</v>
      </c>
      <c r="C21252" s="574">
        <v>33</v>
      </c>
    </row>
    <row r="21253" spans="1:3">
      <c r="A21253" s="573" t="s">
        <v>1592</v>
      </c>
      <c r="B21253" s="574">
        <v>381</v>
      </c>
      <c r="C21253" s="574">
        <v>33</v>
      </c>
    </row>
    <row r="21254" spans="1:3">
      <c r="A21254" s="573" t="s">
        <v>1592</v>
      </c>
      <c r="B21254" s="574">
        <v>398</v>
      </c>
      <c r="C21254" s="574">
        <v>33</v>
      </c>
    </row>
    <row r="21255" spans="1:3">
      <c r="A21255" s="573" t="s">
        <v>1592</v>
      </c>
      <c r="B21255" s="574">
        <v>420</v>
      </c>
      <c r="C21255" s="574">
        <v>35</v>
      </c>
    </row>
    <row r="21256" spans="1:3">
      <c r="A21256" s="573" t="s">
        <v>1592</v>
      </c>
      <c r="B21256" s="574">
        <v>442</v>
      </c>
      <c r="C21256" s="574">
        <v>35</v>
      </c>
    </row>
    <row r="21257" spans="1:3">
      <c r="A21257" s="573" t="s">
        <v>1592</v>
      </c>
      <c r="B21257" s="574">
        <v>467</v>
      </c>
      <c r="C21257" s="574">
        <v>35</v>
      </c>
    </row>
    <row r="21258" spans="1:3">
      <c r="A21258" s="573" t="s">
        <v>1592</v>
      </c>
      <c r="B21258" s="574">
        <v>483</v>
      </c>
      <c r="C21258" s="574">
        <v>35</v>
      </c>
    </row>
    <row r="21259" spans="1:3">
      <c r="A21259" s="571" t="s">
        <v>1591</v>
      </c>
      <c r="B21259" s="572">
        <v>0</v>
      </c>
      <c r="C21259" s="572">
        <v>0</v>
      </c>
    </row>
    <row r="21260" spans="1:3">
      <c r="A21260" s="571" t="s">
        <v>1591</v>
      </c>
      <c r="B21260" s="572">
        <v>1</v>
      </c>
      <c r="C21260" s="572">
        <v>1</v>
      </c>
    </row>
    <row r="21261" spans="1:3">
      <c r="A21261" s="571" t="s">
        <v>1591</v>
      </c>
      <c r="B21261" s="572">
        <v>5</v>
      </c>
      <c r="C21261" s="572">
        <v>5</v>
      </c>
    </row>
    <row r="21262" spans="1:3">
      <c r="A21262" s="571" t="s">
        <v>1591</v>
      </c>
      <c r="B21262" s="572">
        <v>6</v>
      </c>
      <c r="C21262" s="572">
        <v>6</v>
      </c>
    </row>
    <row r="21263" spans="1:3">
      <c r="A21263" s="571" t="s">
        <v>1591</v>
      </c>
      <c r="B21263" s="572">
        <v>7</v>
      </c>
      <c r="C21263" s="572">
        <v>7</v>
      </c>
    </row>
    <row r="21264" spans="1:3">
      <c r="A21264" s="571" t="s">
        <v>1591</v>
      </c>
      <c r="B21264" s="572">
        <v>8</v>
      </c>
      <c r="C21264" s="572">
        <v>8</v>
      </c>
    </row>
    <row r="21265" spans="1:3">
      <c r="A21265" s="571" t="s">
        <v>1591</v>
      </c>
      <c r="B21265" s="572">
        <v>9</v>
      </c>
      <c r="C21265" s="572">
        <v>10</v>
      </c>
    </row>
    <row r="21266" spans="1:3">
      <c r="A21266" s="571" t="s">
        <v>1591</v>
      </c>
      <c r="B21266" s="572">
        <v>12</v>
      </c>
      <c r="C21266" s="572">
        <v>12</v>
      </c>
    </row>
    <row r="21267" spans="1:3">
      <c r="A21267" s="571" t="s">
        <v>1591</v>
      </c>
      <c r="B21267" s="572">
        <v>14</v>
      </c>
      <c r="C21267" s="572">
        <v>13</v>
      </c>
    </row>
    <row r="21268" spans="1:3">
      <c r="A21268" s="571" t="s">
        <v>1591</v>
      </c>
      <c r="B21268" s="572">
        <v>16</v>
      </c>
      <c r="C21268" s="572">
        <v>14</v>
      </c>
    </row>
    <row r="21269" spans="1:3">
      <c r="A21269" s="571" t="s">
        <v>1591</v>
      </c>
      <c r="B21269" s="572">
        <v>19</v>
      </c>
      <c r="C21269" s="572">
        <v>17</v>
      </c>
    </row>
    <row r="21270" spans="1:3">
      <c r="A21270" s="571" t="s">
        <v>1591</v>
      </c>
      <c r="B21270" s="572">
        <v>21</v>
      </c>
      <c r="C21270" s="572">
        <v>17</v>
      </c>
    </row>
    <row r="21271" spans="1:3">
      <c r="A21271" s="571" t="s">
        <v>1591</v>
      </c>
      <c r="B21271" s="572">
        <v>22</v>
      </c>
      <c r="C21271" s="572">
        <v>17</v>
      </c>
    </row>
    <row r="21272" spans="1:3">
      <c r="A21272" s="571" t="s">
        <v>1591</v>
      </c>
      <c r="B21272" s="572">
        <v>26</v>
      </c>
      <c r="C21272" s="572">
        <v>19</v>
      </c>
    </row>
    <row r="21273" spans="1:3">
      <c r="A21273" s="571" t="s">
        <v>1591</v>
      </c>
      <c r="B21273" s="572">
        <v>31</v>
      </c>
      <c r="C21273" s="572">
        <v>20</v>
      </c>
    </row>
    <row r="21274" spans="1:3">
      <c r="A21274" s="571" t="s">
        <v>1591</v>
      </c>
      <c r="B21274" s="572">
        <v>37</v>
      </c>
      <c r="C21274" s="572">
        <v>20</v>
      </c>
    </row>
    <row r="21275" spans="1:3">
      <c r="A21275" s="571" t="s">
        <v>1591</v>
      </c>
      <c r="B21275" s="572">
        <v>44</v>
      </c>
      <c r="C21275" s="572">
        <v>21</v>
      </c>
    </row>
    <row r="21276" spans="1:3">
      <c r="A21276" s="571" t="s">
        <v>1591</v>
      </c>
      <c r="B21276" s="572">
        <v>58</v>
      </c>
      <c r="C21276" s="572">
        <v>23</v>
      </c>
    </row>
    <row r="21277" spans="1:3">
      <c r="A21277" s="571" t="s">
        <v>1591</v>
      </c>
      <c r="B21277" s="572">
        <v>84</v>
      </c>
      <c r="C21277" s="572">
        <v>23</v>
      </c>
    </row>
    <row r="21278" spans="1:3">
      <c r="A21278" s="571" t="s">
        <v>1591</v>
      </c>
      <c r="B21278" s="572">
        <v>92</v>
      </c>
      <c r="C21278" s="572">
        <v>31</v>
      </c>
    </row>
    <row r="21279" spans="1:3">
      <c r="A21279" s="573" t="s">
        <v>1591</v>
      </c>
      <c r="B21279" s="574">
        <v>106</v>
      </c>
      <c r="C21279" s="574">
        <v>31</v>
      </c>
    </row>
    <row r="21280" spans="1:3">
      <c r="A21280" s="573" t="s">
        <v>1591</v>
      </c>
      <c r="B21280" s="574">
        <v>120</v>
      </c>
      <c r="C21280" s="574">
        <v>34</v>
      </c>
    </row>
    <row r="21281" spans="1:3">
      <c r="A21281" s="573" t="s">
        <v>1591</v>
      </c>
      <c r="B21281" s="574">
        <v>169</v>
      </c>
      <c r="C21281" s="574">
        <v>33</v>
      </c>
    </row>
    <row r="21282" spans="1:3">
      <c r="A21282" s="573" t="s">
        <v>1591</v>
      </c>
      <c r="B21282" s="574">
        <v>197</v>
      </c>
      <c r="C21282" s="574">
        <v>34</v>
      </c>
    </row>
    <row r="21283" spans="1:3">
      <c r="A21283" s="573" t="s">
        <v>1591</v>
      </c>
      <c r="B21283" s="574">
        <v>225</v>
      </c>
      <c r="C21283" s="574">
        <v>34</v>
      </c>
    </row>
    <row r="21284" spans="1:3">
      <c r="A21284" s="573" t="s">
        <v>1591</v>
      </c>
      <c r="B21284" s="574">
        <v>254</v>
      </c>
      <c r="C21284" s="574">
        <v>34</v>
      </c>
    </row>
    <row r="21285" spans="1:3">
      <c r="A21285" s="573" t="s">
        <v>1591</v>
      </c>
      <c r="B21285" s="574">
        <v>285</v>
      </c>
      <c r="C21285" s="574">
        <v>34</v>
      </c>
    </row>
    <row r="21286" spans="1:3">
      <c r="A21286" s="573" t="s">
        <v>1591</v>
      </c>
      <c r="B21286" s="574">
        <v>314</v>
      </c>
      <c r="C21286" s="574">
        <v>32</v>
      </c>
    </row>
    <row r="21287" spans="1:3">
      <c r="A21287" s="573" t="s">
        <v>1591</v>
      </c>
      <c r="B21287" s="574">
        <v>348</v>
      </c>
      <c r="C21287" s="574">
        <v>32</v>
      </c>
    </row>
    <row r="21288" spans="1:3">
      <c r="A21288" s="573" t="s">
        <v>1591</v>
      </c>
      <c r="B21288" s="574">
        <v>363</v>
      </c>
      <c r="C21288" s="574">
        <v>32</v>
      </c>
    </row>
    <row r="21289" spans="1:3">
      <c r="A21289" s="573" t="s">
        <v>1591</v>
      </c>
      <c r="B21289" s="574">
        <v>366</v>
      </c>
      <c r="C21289" s="574">
        <v>32</v>
      </c>
    </row>
    <row r="21290" spans="1:3">
      <c r="A21290" s="573" t="s">
        <v>1591</v>
      </c>
      <c r="B21290" s="574">
        <v>373</v>
      </c>
      <c r="C21290" s="574">
        <v>32</v>
      </c>
    </row>
    <row r="21291" spans="1:3">
      <c r="A21291" s="573" t="s">
        <v>1591</v>
      </c>
      <c r="B21291" s="574">
        <v>386</v>
      </c>
      <c r="C21291" s="574">
        <v>32</v>
      </c>
    </row>
    <row r="21292" spans="1:3">
      <c r="A21292" s="573" t="s">
        <v>1591</v>
      </c>
      <c r="B21292" s="574">
        <v>397</v>
      </c>
      <c r="C21292" s="574">
        <v>34</v>
      </c>
    </row>
    <row r="21293" spans="1:3">
      <c r="A21293" s="573" t="s">
        <v>1591</v>
      </c>
      <c r="B21293" s="574">
        <v>418</v>
      </c>
      <c r="C21293" s="574">
        <v>31</v>
      </c>
    </row>
    <row r="21294" spans="1:3">
      <c r="A21294" s="573" t="s">
        <v>1591</v>
      </c>
      <c r="B21294" s="574">
        <v>435</v>
      </c>
      <c r="C21294" s="574">
        <v>31</v>
      </c>
    </row>
    <row r="21295" spans="1:3">
      <c r="A21295" s="573" t="s">
        <v>1591</v>
      </c>
      <c r="B21295" s="574">
        <v>460</v>
      </c>
      <c r="C21295" s="574">
        <v>30</v>
      </c>
    </row>
    <row r="21296" spans="1:3">
      <c r="A21296" s="573" t="s">
        <v>1591</v>
      </c>
      <c r="B21296" s="574">
        <v>483</v>
      </c>
      <c r="C21296" s="574">
        <v>27</v>
      </c>
    </row>
    <row r="21297" spans="1:3">
      <c r="A21297" s="571" t="s">
        <v>1590</v>
      </c>
      <c r="B21297" s="572">
        <v>0</v>
      </c>
      <c r="C21297" s="572">
        <v>0</v>
      </c>
    </row>
    <row r="21298" spans="1:3">
      <c r="A21298" s="571" t="s">
        <v>1590</v>
      </c>
      <c r="B21298" s="572">
        <v>3</v>
      </c>
      <c r="C21298" s="572">
        <v>3</v>
      </c>
    </row>
    <row r="21299" spans="1:3">
      <c r="A21299" s="571" t="s">
        <v>1590</v>
      </c>
      <c r="B21299" s="572">
        <v>5</v>
      </c>
      <c r="C21299" s="572">
        <v>6</v>
      </c>
    </row>
    <row r="21300" spans="1:3">
      <c r="A21300" s="571" t="s">
        <v>1590</v>
      </c>
      <c r="B21300" s="572">
        <v>55</v>
      </c>
      <c r="C21300" s="572">
        <v>13</v>
      </c>
    </row>
    <row r="21301" spans="1:3">
      <c r="A21301" s="571" t="s">
        <v>1590</v>
      </c>
      <c r="B21301" s="572">
        <v>77</v>
      </c>
      <c r="C21301" s="572">
        <v>15</v>
      </c>
    </row>
    <row r="21302" spans="1:3">
      <c r="A21302" s="573" t="s">
        <v>1590</v>
      </c>
      <c r="B21302" s="574">
        <v>113</v>
      </c>
      <c r="C21302" s="574">
        <v>17</v>
      </c>
    </row>
    <row r="21303" spans="1:3">
      <c r="A21303" s="573" t="s">
        <v>1590</v>
      </c>
      <c r="B21303" s="574">
        <v>131</v>
      </c>
      <c r="C21303" s="574">
        <v>15</v>
      </c>
    </row>
    <row r="21304" spans="1:3">
      <c r="A21304" s="573" t="s">
        <v>1590</v>
      </c>
      <c r="B21304" s="574">
        <v>147</v>
      </c>
      <c r="C21304" s="574">
        <v>14</v>
      </c>
    </row>
    <row r="21305" spans="1:3">
      <c r="A21305" s="573" t="s">
        <v>1590</v>
      </c>
      <c r="B21305" s="574">
        <v>167</v>
      </c>
      <c r="C21305" s="574">
        <v>13</v>
      </c>
    </row>
    <row r="21306" spans="1:3">
      <c r="A21306" s="573" t="s">
        <v>1590</v>
      </c>
      <c r="B21306" s="574">
        <v>229</v>
      </c>
      <c r="C21306" s="574">
        <v>10</v>
      </c>
    </row>
    <row r="21307" spans="1:3">
      <c r="A21307" s="573" t="s">
        <v>1590</v>
      </c>
      <c r="B21307" s="574">
        <v>256</v>
      </c>
      <c r="C21307" s="574">
        <v>7</v>
      </c>
    </row>
    <row r="21308" spans="1:3">
      <c r="A21308" s="573" t="s">
        <v>1590</v>
      </c>
      <c r="B21308" s="574">
        <v>286</v>
      </c>
      <c r="C21308" s="574">
        <v>3</v>
      </c>
    </row>
    <row r="21309" spans="1:3">
      <c r="A21309" s="573" t="s">
        <v>1590</v>
      </c>
      <c r="B21309" s="574">
        <v>319</v>
      </c>
      <c r="C21309" s="574">
        <v>1</v>
      </c>
    </row>
    <row r="21310" spans="1:3">
      <c r="A21310" s="573" t="s">
        <v>1590</v>
      </c>
      <c r="B21310" s="574">
        <v>362</v>
      </c>
      <c r="C21310" s="574">
        <v>8</v>
      </c>
    </row>
    <row r="21311" spans="1:3">
      <c r="A21311" s="573" t="s">
        <v>1590</v>
      </c>
      <c r="B21311" s="574">
        <v>363</v>
      </c>
      <c r="C21311" s="574">
        <v>10</v>
      </c>
    </row>
    <row r="21312" spans="1:3">
      <c r="A21312" s="573" t="s">
        <v>1590</v>
      </c>
      <c r="B21312" s="574">
        <v>376</v>
      </c>
      <c r="C21312" s="574">
        <v>13</v>
      </c>
    </row>
    <row r="21313" spans="1:3">
      <c r="A21313" s="573" t="s">
        <v>1590</v>
      </c>
      <c r="B21313" s="574">
        <v>417</v>
      </c>
      <c r="C21313" s="574">
        <v>21</v>
      </c>
    </row>
    <row r="21314" spans="1:3">
      <c r="A21314" s="573" t="s">
        <v>1590</v>
      </c>
      <c r="B21314" s="574">
        <v>440</v>
      </c>
      <c r="C21314" s="574">
        <v>29</v>
      </c>
    </row>
    <row r="21315" spans="1:3">
      <c r="A21315" s="573" t="s">
        <v>1590</v>
      </c>
      <c r="B21315" s="574">
        <v>466</v>
      </c>
      <c r="C21315" s="574">
        <v>39</v>
      </c>
    </row>
    <row r="21316" spans="1:3">
      <c r="A21316" s="573" t="s">
        <v>1590</v>
      </c>
      <c r="B21316" s="574">
        <v>480</v>
      </c>
      <c r="C21316" s="574">
        <v>46</v>
      </c>
    </row>
    <row r="21317" spans="1:3">
      <c r="A21317" s="573" t="s">
        <v>1590</v>
      </c>
      <c r="B21317" s="574">
        <v>487</v>
      </c>
      <c r="C21317" s="574">
        <v>43</v>
      </c>
    </row>
    <row r="21318" spans="1:3">
      <c r="A21318" s="571" t="s">
        <v>1589</v>
      </c>
      <c r="B21318" s="572">
        <v>0</v>
      </c>
      <c r="C21318" s="572">
        <v>0</v>
      </c>
    </row>
    <row r="21319" spans="1:3">
      <c r="A21319" s="571" t="s">
        <v>1589</v>
      </c>
      <c r="B21319" s="572">
        <v>1</v>
      </c>
      <c r="C21319" s="572">
        <v>2</v>
      </c>
    </row>
    <row r="21320" spans="1:3">
      <c r="A21320" s="571" t="s">
        <v>1589</v>
      </c>
      <c r="B21320" s="572">
        <v>2</v>
      </c>
      <c r="C21320" s="572">
        <v>3</v>
      </c>
    </row>
    <row r="21321" spans="1:3">
      <c r="A21321" s="571" t="s">
        <v>1589</v>
      </c>
      <c r="B21321" s="572">
        <v>3</v>
      </c>
      <c r="C21321" s="572">
        <v>3</v>
      </c>
    </row>
    <row r="21322" spans="1:3">
      <c r="A21322" s="571" t="s">
        <v>1589</v>
      </c>
      <c r="B21322" s="572">
        <v>6</v>
      </c>
      <c r="C21322" s="572">
        <v>7</v>
      </c>
    </row>
    <row r="21323" spans="1:3">
      <c r="A21323" s="571" t="s">
        <v>1589</v>
      </c>
      <c r="B21323" s="572">
        <v>9</v>
      </c>
      <c r="C21323" s="572">
        <v>7</v>
      </c>
    </row>
    <row r="21324" spans="1:3">
      <c r="A21324" s="571" t="s">
        <v>1589</v>
      </c>
      <c r="B21324" s="572">
        <v>15</v>
      </c>
      <c r="C21324" s="572">
        <v>8</v>
      </c>
    </row>
    <row r="21325" spans="1:3">
      <c r="A21325" s="571" t="s">
        <v>1589</v>
      </c>
      <c r="B21325" s="572">
        <v>23</v>
      </c>
      <c r="C21325" s="572">
        <v>8</v>
      </c>
    </row>
    <row r="21326" spans="1:3">
      <c r="A21326" s="571" t="s">
        <v>1589</v>
      </c>
      <c r="B21326" s="572">
        <v>34</v>
      </c>
      <c r="C21326" s="572">
        <v>14</v>
      </c>
    </row>
    <row r="21327" spans="1:3">
      <c r="A21327" s="571" t="s">
        <v>1589</v>
      </c>
      <c r="B21327" s="572">
        <v>43</v>
      </c>
      <c r="C21327" s="572">
        <v>11</v>
      </c>
    </row>
    <row r="21328" spans="1:3">
      <c r="A21328" s="571" t="s">
        <v>1589</v>
      </c>
      <c r="B21328" s="572">
        <v>51</v>
      </c>
      <c r="C21328" s="572">
        <v>11</v>
      </c>
    </row>
    <row r="21329" spans="1:3">
      <c r="A21329" s="571" t="s">
        <v>1589</v>
      </c>
      <c r="B21329" s="572">
        <v>62</v>
      </c>
      <c r="C21329" s="572">
        <v>10</v>
      </c>
    </row>
    <row r="21330" spans="1:3">
      <c r="A21330" s="571" t="s">
        <v>1589</v>
      </c>
      <c r="B21330" s="572">
        <v>90</v>
      </c>
      <c r="C21330" s="572">
        <v>6</v>
      </c>
    </row>
    <row r="21331" spans="1:3">
      <c r="A21331" s="573" t="s">
        <v>1589</v>
      </c>
      <c r="B21331" s="574">
        <v>120</v>
      </c>
      <c r="C21331" s="574">
        <v>3</v>
      </c>
    </row>
    <row r="21332" spans="1:3">
      <c r="A21332" s="573" t="s">
        <v>1589</v>
      </c>
      <c r="B21332" s="574">
        <v>154</v>
      </c>
      <c r="C21332" s="574">
        <v>3</v>
      </c>
    </row>
    <row r="21333" spans="1:3">
      <c r="A21333" s="573" t="s">
        <v>1589</v>
      </c>
      <c r="B21333" s="574">
        <v>196</v>
      </c>
      <c r="C21333" s="574">
        <v>14</v>
      </c>
    </row>
    <row r="21334" spans="1:3">
      <c r="A21334" s="573" t="s">
        <v>1589</v>
      </c>
      <c r="B21334" s="574">
        <v>211</v>
      </c>
      <c r="C21334" s="574">
        <v>19</v>
      </c>
    </row>
    <row r="21335" spans="1:3">
      <c r="A21335" s="573" t="s">
        <v>1589</v>
      </c>
      <c r="B21335" s="574">
        <v>251</v>
      </c>
      <c r="C21335" s="574">
        <v>64</v>
      </c>
    </row>
    <row r="21336" spans="1:3">
      <c r="A21336" s="571" t="s">
        <v>2598</v>
      </c>
      <c r="B21336" s="572">
        <v>0</v>
      </c>
      <c r="C21336" s="572">
        <v>0</v>
      </c>
    </row>
    <row r="21337" spans="1:3">
      <c r="A21337" s="571" t="s">
        <v>2598</v>
      </c>
      <c r="B21337" s="572">
        <v>1</v>
      </c>
      <c r="C21337" s="572">
        <v>0</v>
      </c>
    </row>
    <row r="21338" spans="1:3">
      <c r="A21338" s="571" t="s">
        <v>2598</v>
      </c>
      <c r="B21338" s="572">
        <v>2</v>
      </c>
      <c r="C21338" s="572">
        <v>0</v>
      </c>
    </row>
    <row r="21339" spans="1:3">
      <c r="A21339" s="571" t="s">
        <v>2598</v>
      </c>
      <c r="B21339" s="572">
        <v>3</v>
      </c>
      <c r="C21339" s="572">
        <v>0</v>
      </c>
    </row>
    <row r="21340" spans="1:3">
      <c r="A21340" s="571" t="s">
        <v>2598</v>
      </c>
      <c r="B21340" s="572">
        <v>6</v>
      </c>
      <c r="C21340" s="572">
        <v>1</v>
      </c>
    </row>
    <row r="21341" spans="1:3">
      <c r="A21341" s="571" t="s">
        <v>2598</v>
      </c>
      <c r="B21341" s="572">
        <v>8</v>
      </c>
      <c r="C21341" s="572">
        <v>0</v>
      </c>
    </row>
    <row r="21342" spans="1:3">
      <c r="A21342" s="571" t="s">
        <v>2598</v>
      </c>
      <c r="B21342" s="572">
        <v>9</v>
      </c>
      <c r="C21342" s="572">
        <v>3</v>
      </c>
    </row>
    <row r="21343" spans="1:3">
      <c r="A21343" s="571" t="s">
        <v>2598</v>
      </c>
      <c r="B21343" s="572">
        <v>13</v>
      </c>
      <c r="C21343" s="572">
        <v>3</v>
      </c>
    </row>
    <row r="21344" spans="1:3">
      <c r="A21344" s="571" t="s">
        <v>2598</v>
      </c>
      <c r="B21344" s="572">
        <v>16</v>
      </c>
      <c r="C21344" s="572">
        <v>3</v>
      </c>
    </row>
    <row r="21345" spans="1:3">
      <c r="A21345" s="571" t="s">
        <v>2598</v>
      </c>
      <c r="B21345" s="572">
        <v>21</v>
      </c>
      <c r="C21345" s="572">
        <v>4</v>
      </c>
    </row>
    <row r="21346" spans="1:3">
      <c r="A21346" s="571" t="s">
        <v>2598</v>
      </c>
      <c r="B21346" s="572">
        <v>31</v>
      </c>
      <c r="C21346" s="572">
        <v>3</v>
      </c>
    </row>
    <row r="21347" spans="1:3">
      <c r="A21347" s="571" t="s">
        <v>2598</v>
      </c>
      <c r="B21347" s="572">
        <v>42</v>
      </c>
      <c r="C21347" s="572">
        <v>0</v>
      </c>
    </row>
    <row r="21348" spans="1:3">
      <c r="A21348" s="571" t="s">
        <v>2598</v>
      </c>
      <c r="B21348" s="572">
        <v>71</v>
      </c>
      <c r="C21348" s="572">
        <v>0</v>
      </c>
    </row>
    <row r="21349" spans="1:3">
      <c r="A21349" s="571" t="s">
        <v>2598</v>
      </c>
      <c r="B21349" s="572">
        <v>79</v>
      </c>
      <c r="C21349" s="572">
        <v>12</v>
      </c>
    </row>
    <row r="21350" spans="1:3">
      <c r="A21350" s="571" t="s">
        <v>2598</v>
      </c>
      <c r="B21350" s="572">
        <v>93</v>
      </c>
      <c r="C21350" s="572">
        <v>3</v>
      </c>
    </row>
    <row r="21351" spans="1:3">
      <c r="A21351" s="573" t="s">
        <v>2598</v>
      </c>
      <c r="B21351" s="574">
        <v>111</v>
      </c>
      <c r="C21351" s="574">
        <v>0</v>
      </c>
    </row>
    <row r="21352" spans="1:3">
      <c r="A21352" s="573" t="s">
        <v>2598</v>
      </c>
      <c r="B21352" s="574">
        <v>156</v>
      </c>
      <c r="C21352" s="574">
        <v>1</v>
      </c>
    </row>
    <row r="21353" spans="1:3">
      <c r="A21353" s="573" t="s">
        <v>2598</v>
      </c>
      <c r="B21353" s="574">
        <v>188</v>
      </c>
      <c r="C21353" s="574">
        <v>4</v>
      </c>
    </row>
    <row r="21354" spans="1:3">
      <c r="A21354" s="573" t="s">
        <v>2598</v>
      </c>
      <c r="B21354" s="574">
        <v>212</v>
      </c>
      <c r="C21354" s="574">
        <v>3</v>
      </c>
    </row>
    <row r="21355" spans="1:3">
      <c r="A21355" s="573" t="s">
        <v>2598</v>
      </c>
      <c r="B21355" s="574">
        <v>241</v>
      </c>
      <c r="C21355" s="574">
        <v>3</v>
      </c>
    </row>
    <row r="21356" spans="1:3">
      <c r="A21356" s="573" t="s">
        <v>2598</v>
      </c>
      <c r="B21356" s="574">
        <v>272</v>
      </c>
      <c r="C21356" s="574">
        <v>8</v>
      </c>
    </row>
    <row r="21357" spans="1:3">
      <c r="A21357" s="573" t="s">
        <v>2598</v>
      </c>
      <c r="B21357" s="574">
        <v>302</v>
      </c>
      <c r="C21357" s="574">
        <v>8</v>
      </c>
    </row>
    <row r="21358" spans="1:3">
      <c r="A21358" s="573" t="s">
        <v>2598</v>
      </c>
      <c r="B21358" s="574">
        <v>335</v>
      </c>
      <c r="C21358" s="574">
        <v>10</v>
      </c>
    </row>
    <row r="21359" spans="1:3">
      <c r="A21359" s="573" t="s">
        <v>2598</v>
      </c>
      <c r="B21359" s="574">
        <v>365</v>
      </c>
      <c r="C21359" s="574">
        <v>12</v>
      </c>
    </row>
    <row r="21360" spans="1:3">
      <c r="A21360" s="573" t="s">
        <v>2598</v>
      </c>
      <c r="B21360" s="574">
        <v>373</v>
      </c>
      <c r="C21360" s="574">
        <v>17</v>
      </c>
    </row>
    <row r="21361" spans="1:3">
      <c r="A21361" s="573" t="s">
        <v>2598</v>
      </c>
      <c r="B21361" s="574">
        <v>393</v>
      </c>
      <c r="C21361" s="574">
        <v>11</v>
      </c>
    </row>
    <row r="21362" spans="1:3">
      <c r="A21362" s="573" t="s">
        <v>2598</v>
      </c>
      <c r="B21362" s="574">
        <v>419</v>
      </c>
      <c r="C21362" s="574">
        <v>11</v>
      </c>
    </row>
    <row r="21363" spans="1:3">
      <c r="A21363" s="573" t="s">
        <v>2598</v>
      </c>
      <c r="B21363" s="574">
        <v>440</v>
      </c>
      <c r="C21363" s="574">
        <v>14</v>
      </c>
    </row>
    <row r="21364" spans="1:3">
      <c r="A21364" s="573" t="s">
        <v>2598</v>
      </c>
      <c r="B21364" s="574">
        <v>461</v>
      </c>
      <c r="C21364" s="574">
        <v>15</v>
      </c>
    </row>
    <row r="21365" spans="1:3">
      <c r="A21365" s="573" t="s">
        <v>2598</v>
      </c>
      <c r="B21365" s="574">
        <v>482</v>
      </c>
      <c r="C21365" s="574">
        <v>15</v>
      </c>
    </row>
    <row r="21366" spans="1:3">
      <c r="A21366" s="571" t="s">
        <v>2599</v>
      </c>
      <c r="B21366" s="572">
        <v>0</v>
      </c>
      <c r="C21366" s="572">
        <v>0</v>
      </c>
    </row>
    <row r="21367" spans="1:3">
      <c r="A21367" s="571" t="s">
        <v>2599</v>
      </c>
      <c r="B21367" s="572">
        <v>1</v>
      </c>
      <c r="C21367" s="572">
        <v>3</v>
      </c>
    </row>
    <row r="21368" spans="1:3">
      <c r="A21368" s="571" t="s">
        <v>2599</v>
      </c>
      <c r="B21368" s="572">
        <v>2</v>
      </c>
      <c r="C21368" s="572">
        <v>3</v>
      </c>
    </row>
    <row r="21369" spans="1:3">
      <c r="A21369" s="571" t="s">
        <v>2599</v>
      </c>
      <c r="B21369" s="572">
        <v>7</v>
      </c>
      <c r="C21369" s="572">
        <v>3</v>
      </c>
    </row>
    <row r="21370" spans="1:3">
      <c r="A21370" s="571" t="s">
        <v>2599</v>
      </c>
      <c r="B21370" s="572">
        <v>14</v>
      </c>
      <c r="C21370" s="572">
        <v>4</v>
      </c>
    </row>
    <row r="21371" spans="1:3">
      <c r="A21371" s="571" t="s">
        <v>2599</v>
      </c>
      <c r="B21371" s="572">
        <v>20</v>
      </c>
      <c r="C21371" s="572">
        <v>4</v>
      </c>
    </row>
    <row r="21372" spans="1:3">
      <c r="A21372" s="571" t="s">
        <v>2599</v>
      </c>
      <c r="B21372" s="572">
        <v>29</v>
      </c>
      <c r="C21372" s="572">
        <v>6</v>
      </c>
    </row>
    <row r="21373" spans="1:3">
      <c r="A21373" s="571" t="s">
        <v>2599</v>
      </c>
      <c r="B21373" s="572">
        <v>42</v>
      </c>
      <c r="C21373" s="572">
        <v>6</v>
      </c>
    </row>
    <row r="21374" spans="1:3">
      <c r="A21374" s="571" t="s">
        <v>2599</v>
      </c>
      <c r="B21374" s="572">
        <v>64</v>
      </c>
      <c r="C21374" s="572">
        <v>8</v>
      </c>
    </row>
    <row r="21375" spans="1:3">
      <c r="A21375" s="571" t="s">
        <v>2599</v>
      </c>
      <c r="B21375" s="572">
        <v>83</v>
      </c>
      <c r="C21375" s="572">
        <v>8</v>
      </c>
    </row>
    <row r="21376" spans="1:3">
      <c r="A21376" s="573" t="s">
        <v>2599</v>
      </c>
      <c r="B21376" s="574">
        <v>100</v>
      </c>
      <c r="C21376" s="574">
        <v>8</v>
      </c>
    </row>
    <row r="21377" spans="1:3">
      <c r="A21377" s="573" t="s">
        <v>2599</v>
      </c>
      <c r="B21377" s="574">
        <v>118</v>
      </c>
      <c r="C21377" s="574">
        <v>8</v>
      </c>
    </row>
    <row r="21378" spans="1:3">
      <c r="A21378" s="573" t="s">
        <v>2599</v>
      </c>
      <c r="B21378" s="574">
        <v>134</v>
      </c>
      <c r="C21378" s="574">
        <v>6</v>
      </c>
    </row>
    <row r="21379" spans="1:3">
      <c r="A21379" s="573" t="s">
        <v>2599</v>
      </c>
      <c r="B21379" s="574">
        <v>154</v>
      </c>
      <c r="C21379" s="574">
        <v>7</v>
      </c>
    </row>
    <row r="21380" spans="1:3">
      <c r="A21380" s="573" t="s">
        <v>2599</v>
      </c>
      <c r="B21380" s="574">
        <v>183</v>
      </c>
      <c r="C21380" s="574">
        <v>7</v>
      </c>
    </row>
    <row r="21381" spans="1:3">
      <c r="A21381" s="573" t="s">
        <v>2599</v>
      </c>
      <c r="B21381" s="574">
        <v>216</v>
      </c>
      <c r="C21381" s="574">
        <v>6</v>
      </c>
    </row>
    <row r="21382" spans="1:3">
      <c r="A21382" s="573" t="s">
        <v>2599</v>
      </c>
      <c r="B21382" s="574">
        <v>244</v>
      </c>
      <c r="C21382" s="574">
        <v>4</v>
      </c>
    </row>
    <row r="21383" spans="1:3">
      <c r="A21383" s="573" t="s">
        <v>2599</v>
      </c>
      <c r="B21383" s="574">
        <v>273</v>
      </c>
      <c r="C21383" s="574">
        <v>7</v>
      </c>
    </row>
    <row r="21384" spans="1:3">
      <c r="A21384" s="573" t="s">
        <v>2599</v>
      </c>
      <c r="B21384" s="574">
        <v>306</v>
      </c>
      <c r="C21384" s="574">
        <v>3</v>
      </c>
    </row>
    <row r="21385" spans="1:3">
      <c r="A21385" s="573" t="s">
        <v>2599</v>
      </c>
      <c r="B21385" s="574">
        <v>349</v>
      </c>
      <c r="C21385" s="574">
        <v>1</v>
      </c>
    </row>
    <row r="21386" spans="1:3">
      <c r="A21386" s="573" t="s">
        <v>2599</v>
      </c>
      <c r="B21386" s="574">
        <v>365</v>
      </c>
      <c r="C21386" s="574">
        <v>3</v>
      </c>
    </row>
    <row r="21387" spans="1:3">
      <c r="A21387" s="573" t="s">
        <v>2599</v>
      </c>
      <c r="B21387" s="574">
        <v>380</v>
      </c>
      <c r="C21387" s="574">
        <v>4</v>
      </c>
    </row>
    <row r="21388" spans="1:3">
      <c r="A21388" s="573" t="s">
        <v>2599</v>
      </c>
      <c r="B21388" s="574">
        <v>392</v>
      </c>
      <c r="C21388" s="574">
        <v>4</v>
      </c>
    </row>
    <row r="21389" spans="1:3">
      <c r="A21389" s="573" t="s">
        <v>2599</v>
      </c>
      <c r="B21389" s="574">
        <v>407</v>
      </c>
      <c r="C21389" s="574">
        <v>4</v>
      </c>
    </row>
    <row r="21390" spans="1:3">
      <c r="A21390" s="573" t="s">
        <v>2599</v>
      </c>
      <c r="B21390" s="574">
        <v>432</v>
      </c>
      <c r="C21390" s="574">
        <v>1</v>
      </c>
    </row>
    <row r="21391" spans="1:3">
      <c r="A21391" s="573" t="s">
        <v>2599</v>
      </c>
      <c r="B21391" s="574">
        <v>453</v>
      </c>
      <c r="C21391" s="574">
        <v>0</v>
      </c>
    </row>
    <row r="21392" spans="1:3">
      <c r="A21392" s="573" t="s">
        <v>2599</v>
      </c>
      <c r="B21392" s="574">
        <v>467</v>
      </c>
      <c r="C21392" s="574">
        <v>1</v>
      </c>
    </row>
    <row r="21393" spans="1:3">
      <c r="A21393" s="573" t="s">
        <v>2599</v>
      </c>
      <c r="B21393" s="574">
        <v>481</v>
      </c>
      <c r="C21393" s="574">
        <v>0</v>
      </c>
    </row>
    <row r="21394" spans="1:3">
      <c r="A21394" s="571" t="s">
        <v>2600</v>
      </c>
      <c r="B21394" s="572">
        <v>0</v>
      </c>
      <c r="C21394" s="572">
        <v>0</v>
      </c>
    </row>
    <row r="21395" spans="1:3">
      <c r="A21395" s="571" t="s">
        <v>2600</v>
      </c>
      <c r="B21395" s="572">
        <v>5</v>
      </c>
      <c r="C21395" s="572">
        <v>2</v>
      </c>
    </row>
    <row r="21396" spans="1:3">
      <c r="A21396" s="571" t="s">
        <v>2600</v>
      </c>
      <c r="B21396" s="572">
        <v>6</v>
      </c>
      <c r="C21396" s="572">
        <v>3</v>
      </c>
    </row>
    <row r="21397" spans="1:3">
      <c r="A21397" s="571" t="s">
        <v>2600</v>
      </c>
      <c r="B21397" s="572">
        <v>8</v>
      </c>
      <c r="C21397" s="572">
        <v>3</v>
      </c>
    </row>
    <row r="21398" spans="1:3">
      <c r="A21398" s="571" t="s">
        <v>2600</v>
      </c>
      <c r="B21398" s="572">
        <v>11</v>
      </c>
      <c r="C21398" s="572">
        <v>4</v>
      </c>
    </row>
    <row r="21399" spans="1:3">
      <c r="A21399" s="571" t="s">
        <v>2600</v>
      </c>
      <c r="B21399" s="572">
        <v>20</v>
      </c>
      <c r="C21399" s="572">
        <v>6</v>
      </c>
    </row>
    <row r="21400" spans="1:3">
      <c r="A21400" s="571" t="s">
        <v>2600</v>
      </c>
      <c r="B21400" s="572">
        <v>21</v>
      </c>
      <c r="C21400" s="572">
        <v>4</v>
      </c>
    </row>
    <row r="21401" spans="1:3">
      <c r="A21401" s="571" t="s">
        <v>2600</v>
      </c>
      <c r="B21401" s="572">
        <v>26</v>
      </c>
      <c r="C21401" s="572">
        <v>4</v>
      </c>
    </row>
    <row r="21402" spans="1:3">
      <c r="A21402" s="571" t="s">
        <v>2600</v>
      </c>
      <c r="B21402" s="572">
        <v>39</v>
      </c>
      <c r="C21402" s="572">
        <v>6</v>
      </c>
    </row>
    <row r="21403" spans="1:3">
      <c r="A21403" s="571" t="s">
        <v>2600</v>
      </c>
      <c r="B21403" s="572">
        <v>43</v>
      </c>
      <c r="C21403" s="572">
        <v>6</v>
      </c>
    </row>
    <row r="21404" spans="1:3">
      <c r="A21404" s="571" t="s">
        <v>2600</v>
      </c>
      <c r="B21404" s="572">
        <v>61</v>
      </c>
      <c r="C21404" s="572">
        <v>7</v>
      </c>
    </row>
    <row r="21405" spans="1:3">
      <c r="A21405" s="571" t="s">
        <v>2600</v>
      </c>
      <c r="B21405" s="572">
        <v>77</v>
      </c>
      <c r="C21405" s="572">
        <v>1</v>
      </c>
    </row>
    <row r="21406" spans="1:3">
      <c r="A21406" s="571" t="s">
        <v>2600</v>
      </c>
      <c r="B21406" s="572">
        <v>97</v>
      </c>
      <c r="C21406" s="572">
        <v>6</v>
      </c>
    </row>
    <row r="21407" spans="1:3">
      <c r="A21407" s="573" t="s">
        <v>2600</v>
      </c>
      <c r="B21407" s="574">
        <v>120</v>
      </c>
      <c r="C21407" s="574">
        <v>8</v>
      </c>
    </row>
    <row r="21408" spans="1:3">
      <c r="A21408" s="573" t="s">
        <v>2600</v>
      </c>
      <c r="B21408" s="574">
        <v>126</v>
      </c>
      <c r="C21408" s="574">
        <v>8</v>
      </c>
    </row>
    <row r="21409" spans="1:3">
      <c r="A21409" s="573" t="s">
        <v>2600</v>
      </c>
      <c r="B21409" s="574">
        <v>159</v>
      </c>
      <c r="C21409" s="574">
        <v>8</v>
      </c>
    </row>
    <row r="21410" spans="1:3">
      <c r="A21410" s="573" t="s">
        <v>2600</v>
      </c>
      <c r="B21410" s="574">
        <v>187</v>
      </c>
      <c r="C21410" s="574">
        <v>10</v>
      </c>
    </row>
    <row r="21411" spans="1:3">
      <c r="A21411" s="573" t="s">
        <v>2600</v>
      </c>
      <c r="B21411" s="574">
        <v>216</v>
      </c>
      <c r="C21411" s="574">
        <v>10</v>
      </c>
    </row>
    <row r="21412" spans="1:3">
      <c r="A21412" s="573" t="s">
        <v>2600</v>
      </c>
      <c r="B21412" s="574">
        <v>249</v>
      </c>
      <c r="C21412" s="574">
        <v>11</v>
      </c>
    </row>
    <row r="21413" spans="1:3">
      <c r="A21413" s="573" t="s">
        <v>2600</v>
      </c>
      <c r="B21413" s="574">
        <v>292</v>
      </c>
      <c r="C21413" s="574">
        <v>8</v>
      </c>
    </row>
    <row r="21414" spans="1:3">
      <c r="A21414" s="573" t="s">
        <v>2600</v>
      </c>
      <c r="B21414" s="574">
        <v>307</v>
      </c>
      <c r="C21414" s="574">
        <v>8</v>
      </c>
    </row>
    <row r="21415" spans="1:3">
      <c r="A21415" s="573" t="s">
        <v>2600</v>
      </c>
      <c r="B21415" s="574">
        <v>347</v>
      </c>
      <c r="C21415" s="574">
        <v>10</v>
      </c>
    </row>
    <row r="21416" spans="1:3">
      <c r="A21416" s="573" t="s">
        <v>2600</v>
      </c>
      <c r="B21416" s="574">
        <v>361</v>
      </c>
      <c r="C21416" s="574">
        <v>10</v>
      </c>
    </row>
    <row r="21417" spans="1:3">
      <c r="A21417" s="573" t="s">
        <v>2600</v>
      </c>
      <c r="B21417" s="574">
        <v>365</v>
      </c>
      <c r="C21417" s="574">
        <v>8</v>
      </c>
    </row>
    <row r="21418" spans="1:3">
      <c r="A21418" s="573" t="s">
        <v>2600</v>
      </c>
      <c r="B21418" s="574">
        <v>382</v>
      </c>
      <c r="C21418" s="574">
        <v>11</v>
      </c>
    </row>
    <row r="21419" spans="1:3">
      <c r="A21419" s="573" t="s">
        <v>2600</v>
      </c>
      <c r="B21419" s="574">
        <v>396</v>
      </c>
      <c r="C21419" s="574">
        <v>10</v>
      </c>
    </row>
    <row r="21420" spans="1:3">
      <c r="A21420" s="573" t="s">
        <v>2600</v>
      </c>
      <c r="B21420" s="574">
        <v>410</v>
      </c>
      <c r="C21420" s="574">
        <v>10</v>
      </c>
    </row>
    <row r="21421" spans="1:3">
      <c r="A21421" s="573" t="s">
        <v>2600</v>
      </c>
      <c r="B21421" s="574">
        <v>424</v>
      </c>
      <c r="C21421" s="574">
        <v>7</v>
      </c>
    </row>
    <row r="21422" spans="1:3">
      <c r="A21422" s="573" t="s">
        <v>2600</v>
      </c>
      <c r="B21422" s="574">
        <v>445</v>
      </c>
      <c r="C21422" s="574">
        <v>7</v>
      </c>
    </row>
    <row r="21423" spans="1:3">
      <c r="A21423" s="573" t="s">
        <v>2600</v>
      </c>
      <c r="B21423" s="574">
        <v>467</v>
      </c>
      <c r="C21423" s="574">
        <v>8</v>
      </c>
    </row>
    <row r="21424" spans="1:3">
      <c r="A21424" s="573" t="s">
        <v>2600</v>
      </c>
      <c r="B21424" s="574">
        <v>480</v>
      </c>
      <c r="C21424" s="574">
        <v>7</v>
      </c>
    </row>
    <row r="21425" spans="1:3">
      <c r="A21425" s="571" t="s">
        <v>2601</v>
      </c>
      <c r="B21425" s="572">
        <v>0</v>
      </c>
      <c r="C21425" s="572">
        <v>0</v>
      </c>
    </row>
    <row r="21426" spans="1:3">
      <c r="A21426" s="571" t="s">
        <v>2601</v>
      </c>
      <c r="B21426" s="572">
        <v>1</v>
      </c>
      <c r="C21426" s="572">
        <v>0</v>
      </c>
    </row>
    <row r="21427" spans="1:3">
      <c r="A21427" s="571" t="s">
        <v>2601</v>
      </c>
      <c r="B21427" s="572">
        <v>2</v>
      </c>
      <c r="C21427" s="572">
        <v>1</v>
      </c>
    </row>
    <row r="21428" spans="1:3">
      <c r="A21428" s="571" t="s">
        <v>2601</v>
      </c>
      <c r="B21428" s="572">
        <v>3</v>
      </c>
      <c r="C21428" s="572">
        <v>1</v>
      </c>
    </row>
    <row r="21429" spans="1:3">
      <c r="A21429" s="571" t="s">
        <v>2601</v>
      </c>
      <c r="B21429" s="572">
        <v>6</v>
      </c>
      <c r="C21429" s="572">
        <v>5</v>
      </c>
    </row>
    <row r="21430" spans="1:3">
      <c r="A21430" s="571" t="s">
        <v>2601</v>
      </c>
      <c r="B21430" s="572">
        <v>8</v>
      </c>
      <c r="C21430" s="572">
        <v>8</v>
      </c>
    </row>
    <row r="21431" spans="1:3">
      <c r="A21431" s="571" t="s">
        <v>2601</v>
      </c>
      <c r="B21431" s="572">
        <v>9</v>
      </c>
      <c r="C21431" s="572">
        <v>8</v>
      </c>
    </row>
    <row r="21432" spans="1:3">
      <c r="A21432" s="571" t="s">
        <v>2601</v>
      </c>
      <c r="B21432" s="572">
        <v>13</v>
      </c>
      <c r="C21432" s="572">
        <v>12</v>
      </c>
    </row>
    <row r="21433" spans="1:3">
      <c r="A21433" s="571" t="s">
        <v>2601</v>
      </c>
      <c r="B21433" s="572">
        <v>16</v>
      </c>
      <c r="C21433" s="572">
        <v>12</v>
      </c>
    </row>
    <row r="21434" spans="1:3">
      <c r="A21434" s="571" t="s">
        <v>2601</v>
      </c>
      <c r="B21434" s="572">
        <v>21</v>
      </c>
      <c r="C21434" s="572">
        <v>15</v>
      </c>
    </row>
    <row r="21435" spans="1:3">
      <c r="A21435" s="571" t="s">
        <v>2601</v>
      </c>
      <c r="B21435" s="572">
        <v>31</v>
      </c>
      <c r="C21435" s="572">
        <v>22</v>
      </c>
    </row>
    <row r="21436" spans="1:3">
      <c r="A21436" s="571" t="s">
        <v>2601</v>
      </c>
      <c r="B21436" s="572">
        <v>42</v>
      </c>
      <c r="C21436" s="572">
        <v>31</v>
      </c>
    </row>
    <row r="21437" spans="1:3">
      <c r="A21437" s="571" t="s">
        <v>2601</v>
      </c>
      <c r="B21437" s="572">
        <v>71</v>
      </c>
      <c r="C21437" s="572">
        <v>41</v>
      </c>
    </row>
    <row r="21438" spans="1:3">
      <c r="A21438" s="571" t="s">
        <v>2601</v>
      </c>
      <c r="B21438" s="572">
        <v>79</v>
      </c>
      <c r="C21438" s="572">
        <v>43</v>
      </c>
    </row>
    <row r="21439" spans="1:3">
      <c r="A21439" s="571" t="s">
        <v>2601</v>
      </c>
      <c r="B21439" s="572">
        <v>93</v>
      </c>
      <c r="C21439" s="572">
        <v>49</v>
      </c>
    </row>
    <row r="21440" spans="1:3">
      <c r="A21440" s="573" t="s">
        <v>2601</v>
      </c>
      <c r="B21440" s="574">
        <v>111</v>
      </c>
      <c r="C21440" s="574">
        <v>50</v>
      </c>
    </row>
    <row r="21441" spans="1:3">
      <c r="A21441" s="573" t="s">
        <v>2601</v>
      </c>
      <c r="B21441" s="574">
        <v>156</v>
      </c>
      <c r="C21441" s="574">
        <v>54</v>
      </c>
    </row>
    <row r="21442" spans="1:3">
      <c r="A21442" s="573" t="s">
        <v>2601</v>
      </c>
      <c r="B21442" s="574">
        <v>188</v>
      </c>
      <c r="C21442" s="574">
        <v>61</v>
      </c>
    </row>
    <row r="21443" spans="1:3">
      <c r="A21443" s="573" t="s">
        <v>2601</v>
      </c>
      <c r="B21443" s="574">
        <v>212</v>
      </c>
      <c r="C21443" s="574">
        <v>64</v>
      </c>
    </row>
    <row r="21444" spans="1:3">
      <c r="A21444" s="573" t="s">
        <v>2601</v>
      </c>
      <c r="B21444" s="574">
        <v>241</v>
      </c>
      <c r="C21444" s="574">
        <v>67</v>
      </c>
    </row>
    <row r="21445" spans="1:3">
      <c r="A21445" s="573" t="s">
        <v>2601</v>
      </c>
      <c r="B21445" s="574">
        <v>272</v>
      </c>
      <c r="C21445" s="574">
        <v>67</v>
      </c>
    </row>
    <row r="21446" spans="1:3">
      <c r="A21446" s="573" t="s">
        <v>2601</v>
      </c>
      <c r="B21446" s="574">
        <v>302</v>
      </c>
      <c r="C21446" s="574">
        <v>70</v>
      </c>
    </row>
    <row r="21447" spans="1:3">
      <c r="A21447" s="573" t="s">
        <v>2601</v>
      </c>
      <c r="B21447" s="574">
        <v>335</v>
      </c>
      <c r="C21447" s="574">
        <v>70</v>
      </c>
    </row>
    <row r="21448" spans="1:3">
      <c r="A21448" s="573" t="s">
        <v>2601</v>
      </c>
      <c r="B21448" s="574">
        <v>365</v>
      </c>
      <c r="C21448" s="574">
        <v>71</v>
      </c>
    </row>
    <row r="21449" spans="1:3">
      <c r="A21449" s="573" t="s">
        <v>2601</v>
      </c>
      <c r="B21449" s="574">
        <v>373</v>
      </c>
      <c r="C21449" s="574">
        <v>68</v>
      </c>
    </row>
    <row r="21450" spans="1:3">
      <c r="A21450" s="573" t="s">
        <v>2601</v>
      </c>
      <c r="B21450" s="574">
        <v>393</v>
      </c>
      <c r="C21450" s="574">
        <v>74</v>
      </c>
    </row>
    <row r="21451" spans="1:3">
      <c r="A21451" s="573" t="s">
        <v>2601</v>
      </c>
      <c r="B21451" s="574">
        <v>419</v>
      </c>
      <c r="C21451" s="574">
        <v>81</v>
      </c>
    </row>
    <row r="21452" spans="1:3">
      <c r="A21452" s="573" t="s">
        <v>2601</v>
      </c>
      <c r="B21452" s="574">
        <v>440</v>
      </c>
      <c r="C21452" s="574">
        <v>75</v>
      </c>
    </row>
    <row r="21453" spans="1:3">
      <c r="A21453" s="573" t="s">
        <v>2601</v>
      </c>
      <c r="B21453" s="574">
        <v>461</v>
      </c>
      <c r="C21453" s="574">
        <v>78</v>
      </c>
    </row>
    <row r="21454" spans="1:3">
      <c r="A21454" s="573" t="s">
        <v>2601</v>
      </c>
      <c r="B21454" s="574">
        <v>482</v>
      </c>
      <c r="C21454" s="574">
        <v>76</v>
      </c>
    </row>
    <row r="21455" spans="1:3">
      <c r="A21455" s="571" t="s">
        <v>2602</v>
      </c>
      <c r="B21455" s="572">
        <v>0</v>
      </c>
      <c r="C21455" s="572">
        <v>0</v>
      </c>
    </row>
    <row r="21456" spans="1:3">
      <c r="A21456" s="571" t="s">
        <v>2602</v>
      </c>
      <c r="B21456" s="572">
        <v>1</v>
      </c>
      <c r="C21456" s="572">
        <v>1</v>
      </c>
    </row>
    <row r="21457" spans="1:3">
      <c r="A21457" s="571" t="s">
        <v>2602</v>
      </c>
      <c r="B21457" s="572">
        <v>2</v>
      </c>
      <c r="C21457" s="572">
        <v>0</v>
      </c>
    </row>
    <row r="21458" spans="1:3">
      <c r="A21458" s="571" t="s">
        <v>2602</v>
      </c>
      <c r="B21458" s="572">
        <v>7</v>
      </c>
      <c r="C21458" s="572">
        <v>0</v>
      </c>
    </row>
    <row r="21459" spans="1:3">
      <c r="A21459" s="571" t="s">
        <v>2602</v>
      </c>
      <c r="B21459" s="572">
        <v>14</v>
      </c>
      <c r="C21459" s="572">
        <v>14</v>
      </c>
    </row>
    <row r="21460" spans="1:3">
      <c r="A21460" s="571" t="s">
        <v>2602</v>
      </c>
      <c r="B21460" s="572">
        <v>20</v>
      </c>
      <c r="C21460" s="572">
        <v>17</v>
      </c>
    </row>
    <row r="21461" spans="1:3">
      <c r="A21461" s="571" t="s">
        <v>2602</v>
      </c>
      <c r="B21461" s="572">
        <v>29</v>
      </c>
      <c r="C21461" s="572">
        <v>20</v>
      </c>
    </row>
    <row r="21462" spans="1:3">
      <c r="A21462" s="571" t="s">
        <v>2602</v>
      </c>
      <c r="B21462" s="572">
        <v>42</v>
      </c>
      <c r="C21462" s="572">
        <v>25</v>
      </c>
    </row>
    <row r="21463" spans="1:3">
      <c r="A21463" s="571" t="s">
        <v>2602</v>
      </c>
      <c r="B21463" s="572">
        <v>64</v>
      </c>
      <c r="C21463" s="572">
        <v>32</v>
      </c>
    </row>
    <row r="21464" spans="1:3">
      <c r="A21464" s="571" t="s">
        <v>2602</v>
      </c>
      <c r="B21464" s="572">
        <v>83</v>
      </c>
      <c r="C21464" s="572">
        <v>33</v>
      </c>
    </row>
    <row r="21465" spans="1:3">
      <c r="A21465" s="573" t="s">
        <v>2602</v>
      </c>
      <c r="B21465" s="574">
        <v>100</v>
      </c>
      <c r="C21465" s="574">
        <v>35</v>
      </c>
    </row>
    <row r="21466" spans="1:3">
      <c r="A21466" s="573" t="s">
        <v>2602</v>
      </c>
      <c r="B21466" s="574">
        <v>118</v>
      </c>
      <c r="C21466" s="574">
        <v>37</v>
      </c>
    </row>
    <row r="21467" spans="1:3">
      <c r="A21467" s="573" t="s">
        <v>2602</v>
      </c>
      <c r="B21467" s="574">
        <v>134</v>
      </c>
      <c r="C21467" s="574">
        <v>33</v>
      </c>
    </row>
    <row r="21468" spans="1:3">
      <c r="A21468" s="573" t="s">
        <v>2602</v>
      </c>
      <c r="B21468" s="574">
        <v>154</v>
      </c>
      <c r="C21468" s="574">
        <v>40</v>
      </c>
    </row>
    <row r="21469" spans="1:3">
      <c r="A21469" s="573" t="s">
        <v>2602</v>
      </c>
      <c r="B21469" s="574">
        <v>183</v>
      </c>
      <c r="C21469" s="574">
        <v>44</v>
      </c>
    </row>
    <row r="21470" spans="1:3">
      <c r="A21470" s="573" t="s">
        <v>2602</v>
      </c>
      <c r="B21470" s="574">
        <v>216</v>
      </c>
      <c r="C21470" s="574">
        <v>45</v>
      </c>
    </row>
    <row r="21471" spans="1:3">
      <c r="A21471" s="573" t="s">
        <v>2602</v>
      </c>
      <c r="B21471" s="574">
        <v>244</v>
      </c>
      <c r="C21471" s="574">
        <v>47</v>
      </c>
    </row>
    <row r="21472" spans="1:3">
      <c r="A21472" s="573" t="s">
        <v>2602</v>
      </c>
      <c r="B21472" s="574">
        <v>273</v>
      </c>
      <c r="C21472" s="574">
        <v>48</v>
      </c>
    </row>
    <row r="21473" spans="1:3">
      <c r="A21473" s="573" t="s">
        <v>2602</v>
      </c>
      <c r="B21473" s="574">
        <v>306</v>
      </c>
      <c r="C21473" s="574">
        <v>48</v>
      </c>
    </row>
    <row r="21474" spans="1:3">
      <c r="A21474" s="573" t="s">
        <v>2602</v>
      </c>
      <c r="B21474" s="574">
        <v>349</v>
      </c>
      <c r="C21474" s="574">
        <v>48</v>
      </c>
    </row>
    <row r="21475" spans="1:3">
      <c r="A21475" s="573" t="s">
        <v>2602</v>
      </c>
      <c r="B21475" s="574">
        <v>365</v>
      </c>
      <c r="C21475" s="574">
        <v>47</v>
      </c>
    </row>
    <row r="21476" spans="1:3">
      <c r="A21476" s="573" t="s">
        <v>2602</v>
      </c>
      <c r="B21476" s="574">
        <v>380</v>
      </c>
      <c r="C21476" s="574">
        <v>51</v>
      </c>
    </row>
    <row r="21477" spans="1:3">
      <c r="A21477" s="573" t="s">
        <v>2602</v>
      </c>
      <c r="B21477" s="574">
        <v>392</v>
      </c>
      <c r="C21477" s="574">
        <v>55</v>
      </c>
    </row>
    <row r="21478" spans="1:3">
      <c r="A21478" s="573" t="s">
        <v>2602</v>
      </c>
      <c r="B21478" s="574">
        <v>407</v>
      </c>
      <c r="C21478" s="574">
        <v>55</v>
      </c>
    </row>
    <row r="21479" spans="1:3">
      <c r="A21479" s="573" t="s">
        <v>2602</v>
      </c>
      <c r="B21479" s="574">
        <v>432</v>
      </c>
      <c r="C21479" s="574">
        <v>56</v>
      </c>
    </row>
    <row r="21480" spans="1:3">
      <c r="A21480" s="573" t="s">
        <v>2602</v>
      </c>
      <c r="B21480" s="574">
        <v>453</v>
      </c>
      <c r="C21480" s="574">
        <v>52</v>
      </c>
    </row>
    <row r="21481" spans="1:3">
      <c r="A21481" s="573" t="s">
        <v>2602</v>
      </c>
      <c r="B21481" s="574">
        <v>467</v>
      </c>
      <c r="C21481" s="574">
        <v>54</v>
      </c>
    </row>
    <row r="21482" spans="1:3">
      <c r="A21482" s="573" t="s">
        <v>2602</v>
      </c>
      <c r="B21482" s="574">
        <v>481</v>
      </c>
      <c r="C21482" s="574">
        <v>54</v>
      </c>
    </row>
    <row r="21483" spans="1:3">
      <c r="A21483" s="571" t="s">
        <v>2603</v>
      </c>
      <c r="B21483" s="572">
        <v>0</v>
      </c>
      <c r="C21483" s="572">
        <v>0</v>
      </c>
    </row>
    <row r="21484" spans="1:3">
      <c r="A21484" s="571" t="s">
        <v>2603</v>
      </c>
      <c r="B21484" s="572">
        <v>5</v>
      </c>
      <c r="C21484" s="572">
        <v>11</v>
      </c>
    </row>
    <row r="21485" spans="1:3">
      <c r="A21485" s="571" t="s">
        <v>2603</v>
      </c>
      <c r="B21485" s="572">
        <v>6</v>
      </c>
      <c r="C21485" s="572">
        <v>13</v>
      </c>
    </row>
    <row r="21486" spans="1:3">
      <c r="A21486" s="571" t="s">
        <v>2603</v>
      </c>
      <c r="B21486" s="572">
        <v>8</v>
      </c>
      <c r="C21486" s="572">
        <v>16</v>
      </c>
    </row>
    <row r="21487" spans="1:3">
      <c r="A21487" s="571" t="s">
        <v>2603</v>
      </c>
      <c r="B21487" s="572">
        <v>11</v>
      </c>
      <c r="C21487" s="572">
        <v>20</v>
      </c>
    </row>
    <row r="21488" spans="1:3">
      <c r="A21488" s="571" t="s">
        <v>2603</v>
      </c>
      <c r="B21488" s="572">
        <v>20</v>
      </c>
      <c r="C21488" s="572">
        <v>30</v>
      </c>
    </row>
    <row r="21489" spans="1:3">
      <c r="A21489" s="571" t="s">
        <v>2603</v>
      </c>
      <c r="B21489" s="572">
        <v>21</v>
      </c>
      <c r="C21489" s="572">
        <v>30</v>
      </c>
    </row>
    <row r="21490" spans="1:3">
      <c r="A21490" s="571" t="s">
        <v>2603</v>
      </c>
      <c r="B21490" s="572">
        <v>26</v>
      </c>
      <c r="C21490" s="572">
        <v>33</v>
      </c>
    </row>
    <row r="21491" spans="1:3">
      <c r="A21491" s="571" t="s">
        <v>2603</v>
      </c>
      <c r="B21491" s="572">
        <v>39</v>
      </c>
      <c r="C21491" s="572">
        <v>42</v>
      </c>
    </row>
    <row r="21492" spans="1:3">
      <c r="A21492" s="571" t="s">
        <v>2603</v>
      </c>
      <c r="B21492" s="572">
        <v>43</v>
      </c>
      <c r="C21492" s="572">
        <v>41</v>
      </c>
    </row>
    <row r="21493" spans="1:3">
      <c r="A21493" s="571" t="s">
        <v>2603</v>
      </c>
      <c r="B21493" s="572">
        <v>61</v>
      </c>
      <c r="C21493" s="572">
        <v>52</v>
      </c>
    </row>
    <row r="21494" spans="1:3">
      <c r="A21494" s="571" t="s">
        <v>2603</v>
      </c>
      <c r="B21494" s="572">
        <v>77</v>
      </c>
      <c r="C21494" s="572">
        <v>50</v>
      </c>
    </row>
    <row r="21495" spans="1:3">
      <c r="A21495" s="571" t="s">
        <v>2603</v>
      </c>
      <c r="B21495" s="572">
        <v>97</v>
      </c>
      <c r="C21495" s="572">
        <v>60</v>
      </c>
    </row>
    <row r="21496" spans="1:3">
      <c r="A21496" s="573" t="s">
        <v>2603</v>
      </c>
      <c r="B21496" s="574">
        <v>120</v>
      </c>
      <c r="C21496" s="574">
        <v>67</v>
      </c>
    </row>
    <row r="21497" spans="1:3">
      <c r="A21497" s="573" t="s">
        <v>2603</v>
      </c>
      <c r="B21497" s="574">
        <v>126</v>
      </c>
      <c r="C21497" s="574">
        <v>68</v>
      </c>
    </row>
    <row r="21498" spans="1:3">
      <c r="A21498" s="573" t="s">
        <v>2603</v>
      </c>
      <c r="B21498" s="574">
        <v>159</v>
      </c>
      <c r="C21498" s="574">
        <v>75</v>
      </c>
    </row>
    <row r="21499" spans="1:3">
      <c r="A21499" s="573" t="s">
        <v>2603</v>
      </c>
      <c r="B21499" s="574">
        <v>187</v>
      </c>
      <c r="C21499" s="574">
        <v>80</v>
      </c>
    </row>
    <row r="21500" spans="1:3">
      <c r="A21500" s="573" t="s">
        <v>2603</v>
      </c>
      <c r="B21500" s="574">
        <v>216</v>
      </c>
      <c r="C21500" s="574">
        <v>83</v>
      </c>
    </row>
    <row r="21501" spans="1:3">
      <c r="A21501" s="573" t="s">
        <v>2603</v>
      </c>
      <c r="B21501" s="574">
        <v>249</v>
      </c>
      <c r="C21501" s="574">
        <v>84</v>
      </c>
    </row>
    <row r="21502" spans="1:3">
      <c r="A21502" s="573" t="s">
        <v>2603</v>
      </c>
      <c r="B21502" s="574">
        <v>292</v>
      </c>
      <c r="C21502" s="574">
        <v>88</v>
      </c>
    </row>
    <row r="21503" spans="1:3">
      <c r="A21503" s="573" t="s">
        <v>2603</v>
      </c>
      <c r="B21503" s="574">
        <v>307</v>
      </c>
      <c r="C21503" s="574">
        <v>88</v>
      </c>
    </row>
    <row r="21504" spans="1:3">
      <c r="A21504" s="573" t="s">
        <v>2603</v>
      </c>
      <c r="B21504" s="574">
        <v>347</v>
      </c>
      <c r="C21504" s="574">
        <v>94</v>
      </c>
    </row>
    <row r="21505" spans="1:3">
      <c r="A21505" s="573" t="s">
        <v>2603</v>
      </c>
      <c r="B21505" s="574">
        <v>361</v>
      </c>
      <c r="C21505" s="574">
        <v>96</v>
      </c>
    </row>
    <row r="21506" spans="1:3">
      <c r="A21506" s="573" t="s">
        <v>2603</v>
      </c>
      <c r="B21506" s="574">
        <v>365</v>
      </c>
      <c r="C21506" s="574">
        <v>94</v>
      </c>
    </row>
    <row r="21507" spans="1:3">
      <c r="A21507" s="573" t="s">
        <v>2603</v>
      </c>
      <c r="B21507" s="574">
        <v>382</v>
      </c>
      <c r="C21507" s="574">
        <v>96</v>
      </c>
    </row>
    <row r="21508" spans="1:3">
      <c r="A21508" s="573" t="s">
        <v>2603</v>
      </c>
      <c r="B21508" s="574">
        <v>396</v>
      </c>
      <c r="C21508" s="574">
        <v>96</v>
      </c>
    </row>
    <row r="21509" spans="1:3">
      <c r="A21509" s="573" t="s">
        <v>2603</v>
      </c>
      <c r="B21509" s="574">
        <v>410</v>
      </c>
      <c r="C21509" s="574">
        <v>98</v>
      </c>
    </row>
    <row r="21510" spans="1:3">
      <c r="A21510" s="573" t="s">
        <v>2603</v>
      </c>
      <c r="B21510" s="574">
        <v>424</v>
      </c>
      <c r="C21510" s="574">
        <v>96</v>
      </c>
    </row>
    <row r="21511" spans="1:3">
      <c r="A21511" s="573" t="s">
        <v>2603</v>
      </c>
      <c r="B21511" s="574">
        <v>445</v>
      </c>
      <c r="C21511" s="574">
        <v>95</v>
      </c>
    </row>
    <row r="21512" spans="1:3">
      <c r="A21512" s="573" t="s">
        <v>2603</v>
      </c>
      <c r="B21512" s="574">
        <v>467</v>
      </c>
      <c r="C21512" s="574">
        <v>96</v>
      </c>
    </row>
    <row r="21513" spans="1:3">
      <c r="A21513" s="573" t="s">
        <v>2603</v>
      </c>
      <c r="B21513" s="574">
        <v>480</v>
      </c>
      <c r="C21513" s="574">
        <v>99</v>
      </c>
    </row>
    <row r="21514" spans="1:3">
      <c r="A21514" s="571" t="s">
        <v>2604</v>
      </c>
      <c r="B21514" s="572">
        <v>0</v>
      </c>
      <c r="C21514" s="572">
        <v>0</v>
      </c>
    </row>
    <row r="21515" spans="1:3">
      <c r="A21515" s="571" t="s">
        <v>2604</v>
      </c>
      <c r="B21515" s="572">
        <v>1</v>
      </c>
      <c r="C21515" s="572">
        <v>0</v>
      </c>
    </row>
    <row r="21516" spans="1:3">
      <c r="A21516" s="571" t="s">
        <v>2604</v>
      </c>
      <c r="B21516" s="572">
        <v>2</v>
      </c>
      <c r="C21516" s="572">
        <v>1</v>
      </c>
    </row>
    <row r="21517" spans="1:3">
      <c r="A21517" s="571" t="s">
        <v>2604</v>
      </c>
      <c r="B21517" s="572">
        <v>3</v>
      </c>
      <c r="C21517" s="572">
        <v>1</v>
      </c>
    </row>
    <row r="21518" spans="1:3">
      <c r="A21518" s="571" t="s">
        <v>2604</v>
      </c>
      <c r="B21518" s="572">
        <v>6</v>
      </c>
      <c r="C21518" s="572">
        <v>19</v>
      </c>
    </row>
    <row r="21519" spans="1:3">
      <c r="A21519" s="571" t="s">
        <v>2604</v>
      </c>
      <c r="B21519" s="572">
        <v>8</v>
      </c>
      <c r="C21519" s="572">
        <v>20</v>
      </c>
    </row>
    <row r="21520" spans="1:3">
      <c r="A21520" s="571" t="s">
        <v>2604</v>
      </c>
      <c r="B21520" s="572">
        <v>9</v>
      </c>
      <c r="C21520" s="572">
        <v>12</v>
      </c>
    </row>
    <row r="21521" spans="1:3">
      <c r="A21521" s="571" t="s">
        <v>2604</v>
      </c>
      <c r="B21521" s="572">
        <v>13</v>
      </c>
      <c r="C21521" s="572">
        <v>12</v>
      </c>
    </row>
    <row r="21522" spans="1:3">
      <c r="A21522" s="571" t="s">
        <v>2604</v>
      </c>
      <c r="B21522" s="572">
        <v>16</v>
      </c>
      <c r="C21522" s="572">
        <v>7</v>
      </c>
    </row>
    <row r="21523" spans="1:3">
      <c r="A21523" s="571" t="s">
        <v>2604</v>
      </c>
      <c r="B21523" s="572">
        <v>21</v>
      </c>
      <c r="C21523" s="572">
        <v>10</v>
      </c>
    </row>
    <row r="21524" spans="1:3">
      <c r="A21524" s="571" t="s">
        <v>2604</v>
      </c>
      <c r="B21524" s="572">
        <v>31</v>
      </c>
      <c r="C21524" s="572">
        <v>12</v>
      </c>
    </row>
    <row r="21525" spans="1:3">
      <c r="A21525" s="571" t="s">
        <v>2604</v>
      </c>
      <c r="B21525" s="572">
        <v>42</v>
      </c>
      <c r="C21525" s="572">
        <v>17</v>
      </c>
    </row>
    <row r="21526" spans="1:3">
      <c r="A21526" s="571" t="s">
        <v>2604</v>
      </c>
      <c r="B21526" s="572">
        <v>71</v>
      </c>
      <c r="C21526" s="572">
        <v>39</v>
      </c>
    </row>
    <row r="21527" spans="1:3">
      <c r="A21527" s="571" t="s">
        <v>2604</v>
      </c>
      <c r="B21527" s="572">
        <v>79</v>
      </c>
      <c r="C21527" s="572">
        <v>13</v>
      </c>
    </row>
    <row r="21528" spans="1:3">
      <c r="A21528" s="571" t="s">
        <v>2604</v>
      </c>
      <c r="B21528" s="572">
        <v>93</v>
      </c>
      <c r="C21528" s="572">
        <v>9</v>
      </c>
    </row>
    <row r="21529" spans="1:3">
      <c r="A21529" s="573" t="s">
        <v>2604</v>
      </c>
      <c r="B21529" s="574">
        <v>111</v>
      </c>
      <c r="C21529" s="574">
        <v>1</v>
      </c>
    </row>
    <row r="21530" spans="1:3">
      <c r="A21530" s="573" t="s">
        <v>2604</v>
      </c>
      <c r="B21530" s="574">
        <v>156</v>
      </c>
      <c r="C21530" s="574">
        <v>14</v>
      </c>
    </row>
    <row r="21531" spans="1:3">
      <c r="A21531" s="573" t="s">
        <v>2604</v>
      </c>
      <c r="B21531" s="574">
        <v>188</v>
      </c>
      <c r="C21531" s="574">
        <v>36</v>
      </c>
    </row>
    <row r="21532" spans="1:3">
      <c r="A21532" s="573" t="s">
        <v>2604</v>
      </c>
      <c r="B21532" s="574">
        <v>212</v>
      </c>
      <c r="C21532" s="574">
        <v>80</v>
      </c>
    </row>
    <row r="21533" spans="1:3">
      <c r="A21533" s="571" t="s">
        <v>2605</v>
      </c>
      <c r="B21533" s="572">
        <v>0</v>
      </c>
      <c r="C21533" s="572">
        <v>0</v>
      </c>
    </row>
    <row r="21534" spans="1:3">
      <c r="A21534" s="571" t="s">
        <v>2605</v>
      </c>
      <c r="B21534" s="572">
        <v>1</v>
      </c>
      <c r="C21534" s="572">
        <v>3</v>
      </c>
    </row>
    <row r="21535" spans="1:3">
      <c r="A21535" s="571" t="s">
        <v>2605</v>
      </c>
      <c r="B21535" s="572">
        <v>2</v>
      </c>
      <c r="C21535" s="572">
        <v>4</v>
      </c>
    </row>
    <row r="21536" spans="1:3">
      <c r="A21536" s="571" t="s">
        <v>2605</v>
      </c>
      <c r="B21536" s="572">
        <v>14</v>
      </c>
      <c r="C21536" s="572">
        <v>22</v>
      </c>
    </row>
    <row r="21537" spans="1:3">
      <c r="A21537" s="571" t="s">
        <v>2605</v>
      </c>
      <c r="B21537" s="572">
        <v>20</v>
      </c>
      <c r="C21537" s="572">
        <v>23</v>
      </c>
    </row>
    <row r="21538" spans="1:3">
      <c r="A21538" s="571" t="s">
        <v>2605</v>
      </c>
      <c r="B21538" s="572">
        <v>64</v>
      </c>
      <c r="C21538" s="572">
        <v>23</v>
      </c>
    </row>
    <row r="21539" spans="1:3">
      <c r="A21539" s="573" t="s">
        <v>2605</v>
      </c>
      <c r="B21539" s="574">
        <v>118</v>
      </c>
      <c r="C21539" s="574">
        <v>15</v>
      </c>
    </row>
    <row r="21540" spans="1:3">
      <c r="A21540" s="573" t="s">
        <v>2605</v>
      </c>
      <c r="B21540" s="574">
        <v>154</v>
      </c>
      <c r="C21540" s="574">
        <v>5</v>
      </c>
    </row>
    <row r="21541" spans="1:3">
      <c r="A21541" s="573" t="s">
        <v>2605</v>
      </c>
      <c r="B21541" s="574">
        <v>183</v>
      </c>
      <c r="C21541" s="574">
        <v>0</v>
      </c>
    </row>
    <row r="21542" spans="1:3">
      <c r="A21542" s="573" t="s">
        <v>2605</v>
      </c>
      <c r="B21542" s="574">
        <v>216</v>
      </c>
      <c r="C21542" s="574">
        <v>7</v>
      </c>
    </row>
    <row r="21543" spans="1:3">
      <c r="A21543" s="573" t="s">
        <v>2605</v>
      </c>
      <c r="B21543" s="574">
        <v>244</v>
      </c>
      <c r="C21543" s="574">
        <v>9</v>
      </c>
    </row>
    <row r="21544" spans="1:3">
      <c r="A21544" s="573" t="s">
        <v>2605</v>
      </c>
      <c r="B21544" s="574">
        <v>273</v>
      </c>
      <c r="C21544" s="574">
        <v>17</v>
      </c>
    </row>
    <row r="21545" spans="1:3">
      <c r="A21545" s="573" t="s">
        <v>2605</v>
      </c>
      <c r="B21545" s="574">
        <v>306</v>
      </c>
      <c r="C21545" s="574">
        <v>23</v>
      </c>
    </row>
    <row r="21546" spans="1:3">
      <c r="A21546" s="573" t="s">
        <v>2605</v>
      </c>
      <c r="B21546" s="574">
        <v>349</v>
      </c>
      <c r="C21546" s="574">
        <v>31</v>
      </c>
    </row>
    <row r="21547" spans="1:3">
      <c r="A21547" s="573" t="s">
        <v>2605</v>
      </c>
      <c r="B21547" s="574">
        <v>365</v>
      </c>
      <c r="C21547" s="574">
        <v>35</v>
      </c>
    </row>
    <row r="21548" spans="1:3">
      <c r="A21548" s="573" t="s">
        <v>2605</v>
      </c>
      <c r="B21548" s="574">
        <v>380</v>
      </c>
      <c r="C21548" s="574">
        <v>37</v>
      </c>
    </row>
    <row r="21549" spans="1:3">
      <c r="A21549" s="573" t="s">
        <v>2605</v>
      </c>
      <c r="B21549" s="574">
        <v>392</v>
      </c>
      <c r="C21549" s="574">
        <v>41</v>
      </c>
    </row>
    <row r="21550" spans="1:3">
      <c r="A21550" s="573" t="s">
        <v>2605</v>
      </c>
      <c r="B21550" s="574">
        <v>407</v>
      </c>
      <c r="C21550" s="574">
        <v>43</v>
      </c>
    </row>
    <row r="21551" spans="1:3">
      <c r="A21551" s="573" t="s">
        <v>2605</v>
      </c>
      <c r="B21551" s="574">
        <v>432</v>
      </c>
      <c r="C21551" s="574">
        <v>49</v>
      </c>
    </row>
    <row r="21552" spans="1:3">
      <c r="A21552" s="573" t="s">
        <v>2605</v>
      </c>
      <c r="B21552" s="574">
        <v>453</v>
      </c>
      <c r="C21552" s="574">
        <v>52</v>
      </c>
    </row>
    <row r="21553" spans="1:3">
      <c r="A21553" s="573" t="s">
        <v>2605</v>
      </c>
      <c r="B21553" s="574">
        <v>467</v>
      </c>
      <c r="C21553" s="574">
        <v>57</v>
      </c>
    </row>
    <row r="21554" spans="1:3">
      <c r="A21554" s="573" t="s">
        <v>2605</v>
      </c>
      <c r="B21554" s="574">
        <v>481</v>
      </c>
      <c r="C21554" s="574">
        <v>63</v>
      </c>
    </row>
    <row r="21555" spans="1:3">
      <c r="A21555" s="571" t="s">
        <v>2606</v>
      </c>
      <c r="B21555" s="572">
        <v>0</v>
      </c>
      <c r="C21555" s="572">
        <v>0</v>
      </c>
    </row>
    <row r="21556" spans="1:3">
      <c r="A21556" s="571" t="s">
        <v>2606</v>
      </c>
      <c r="B21556" s="572">
        <v>8</v>
      </c>
      <c r="C21556" s="572">
        <v>29</v>
      </c>
    </row>
    <row r="21557" spans="1:3">
      <c r="A21557" s="571" t="s">
        <v>2606</v>
      </c>
      <c r="B21557" s="572">
        <v>11</v>
      </c>
      <c r="C21557" s="572">
        <v>33</v>
      </c>
    </row>
    <row r="21558" spans="1:3">
      <c r="A21558" s="571" t="s">
        <v>2606</v>
      </c>
      <c r="B21558" s="572">
        <v>20</v>
      </c>
      <c r="C21558" s="572">
        <v>43</v>
      </c>
    </row>
    <row r="21559" spans="1:3">
      <c r="A21559" s="571" t="s">
        <v>2606</v>
      </c>
      <c r="B21559" s="572">
        <v>21</v>
      </c>
      <c r="C21559" s="572">
        <v>44</v>
      </c>
    </row>
    <row r="21560" spans="1:3">
      <c r="A21560" s="571" t="s">
        <v>2606</v>
      </c>
      <c r="B21560" s="572">
        <v>39</v>
      </c>
      <c r="C21560" s="572">
        <v>51</v>
      </c>
    </row>
    <row r="21561" spans="1:3">
      <c r="A21561" s="571" t="s">
        <v>2606</v>
      </c>
      <c r="B21561" s="572">
        <v>43</v>
      </c>
      <c r="C21561" s="572">
        <v>52</v>
      </c>
    </row>
    <row r="21562" spans="1:3">
      <c r="A21562" s="571" t="s">
        <v>2606</v>
      </c>
      <c r="B21562" s="572">
        <v>61</v>
      </c>
      <c r="C21562" s="572">
        <v>55</v>
      </c>
    </row>
    <row r="21563" spans="1:3">
      <c r="A21563" s="571" t="s">
        <v>2606</v>
      </c>
      <c r="B21563" s="572">
        <v>77</v>
      </c>
      <c r="C21563" s="572">
        <v>59</v>
      </c>
    </row>
    <row r="21564" spans="1:3">
      <c r="A21564" s="571" t="s">
        <v>2606</v>
      </c>
      <c r="B21564" s="572">
        <v>97</v>
      </c>
      <c r="C21564" s="572">
        <v>59</v>
      </c>
    </row>
    <row r="21565" spans="1:3">
      <c r="A21565" s="573" t="s">
        <v>2606</v>
      </c>
      <c r="B21565" s="574">
        <v>120</v>
      </c>
      <c r="C21565" s="574">
        <v>60</v>
      </c>
    </row>
    <row r="21566" spans="1:3">
      <c r="A21566" s="573" t="s">
        <v>2606</v>
      </c>
      <c r="B21566" s="574">
        <v>126</v>
      </c>
      <c r="C21566" s="574">
        <v>60</v>
      </c>
    </row>
    <row r="21567" spans="1:3">
      <c r="A21567" s="573" t="s">
        <v>2606</v>
      </c>
      <c r="B21567" s="574">
        <v>159</v>
      </c>
      <c r="C21567" s="574">
        <v>60</v>
      </c>
    </row>
    <row r="21568" spans="1:3">
      <c r="A21568" s="573" t="s">
        <v>2606</v>
      </c>
      <c r="B21568" s="574">
        <v>187</v>
      </c>
      <c r="C21568" s="574">
        <v>60</v>
      </c>
    </row>
    <row r="21569" spans="1:3">
      <c r="A21569" s="573" t="s">
        <v>2606</v>
      </c>
      <c r="B21569" s="574">
        <v>216</v>
      </c>
      <c r="C21569" s="574">
        <v>59</v>
      </c>
    </row>
    <row r="21570" spans="1:3">
      <c r="A21570" s="573" t="s">
        <v>2606</v>
      </c>
      <c r="B21570" s="574">
        <v>249</v>
      </c>
      <c r="C21570" s="574">
        <v>58</v>
      </c>
    </row>
    <row r="21571" spans="1:3">
      <c r="A21571" s="573" t="s">
        <v>2606</v>
      </c>
      <c r="B21571" s="574">
        <v>292</v>
      </c>
      <c r="C21571" s="574">
        <v>57</v>
      </c>
    </row>
    <row r="21572" spans="1:3">
      <c r="A21572" s="573" t="s">
        <v>2606</v>
      </c>
      <c r="B21572" s="574">
        <v>307</v>
      </c>
      <c r="C21572" s="574">
        <v>56</v>
      </c>
    </row>
    <row r="21573" spans="1:3">
      <c r="A21573" s="573" t="s">
        <v>2606</v>
      </c>
      <c r="B21573" s="574">
        <v>347</v>
      </c>
      <c r="C21573" s="574">
        <v>55</v>
      </c>
    </row>
    <row r="21574" spans="1:3">
      <c r="A21574" s="573" t="s">
        <v>2606</v>
      </c>
      <c r="B21574" s="574">
        <v>361</v>
      </c>
      <c r="C21574" s="574">
        <v>53</v>
      </c>
    </row>
    <row r="21575" spans="1:3">
      <c r="A21575" s="573" t="s">
        <v>2606</v>
      </c>
      <c r="B21575" s="574">
        <v>382</v>
      </c>
      <c r="C21575" s="574">
        <v>52</v>
      </c>
    </row>
    <row r="21576" spans="1:3">
      <c r="A21576" s="573" t="s">
        <v>2606</v>
      </c>
      <c r="B21576" s="574">
        <v>396</v>
      </c>
      <c r="C21576" s="574">
        <v>53</v>
      </c>
    </row>
    <row r="21577" spans="1:3">
      <c r="A21577" s="573" t="s">
        <v>2606</v>
      </c>
      <c r="B21577" s="574">
        <v>410</v>
      </c>
      <c r="C21577" s="574">
        <v>51</v>
      </c>
    </row>
    <row r="21578" spans="1:3">
      <c r="A21578" s="573" t="s">
        <v>2606</v>
      </c>
      <c r="B21578" s="574">
        <v>424</v>
      </c>
      <c r="C21578" s="574">
        <v>51</v>
      </c>
    </row>
    <row r="21579" spans="1:3">
      <c r="A21579" s="573" t="s">
        <v>2606</v>
      </c>
      <c r="B21579" s="574">
        <v>445</v>
      </c>
      <c r="C21579" s="574">
        <v>52</v>
      </c>
    </row>
    <row r="21580" spans="1:3">
      <c r="A21580" s="573" t="s">
        <v>2606</v>
      </c>
      <c r="B21580" s="574">
        <v>467</v>
      </c>
      <c r="C21580" s="574">
        <v>49</v>
      </c>
    </row>
    <row r="21581" spans="1:3">
      <c r="A21581" s="573" t="s">
        <v>2606</v>
      </c>
      <c r="B21581" s="574">
        <v>480</v>
      </c>
      <c r="C21581" s="574">
        <v>43</v>
      </c>
    </row>
    <row r="21582" spans="1:3">
      <c r="A21582" s="571" t="s">
        <v>2607</v>
      </c>
      <c r="B21582" s="572">
        <v>0</v>
      </c>
      <c r="C21582" s="572">
        <v>0</v>
      </c>
    </row>
    <row r="21583" spans="1:3">
      <c r="A21583" s="571" t="s">
        <v>2607</v>
      </c>
      <c r="B21583" s="572">
        <v>1</v>
      </c>
      <c r="C21583" s="572">
        <v>0</v>
      </c>
    </row>
    <row r="21584" spans="1:3">
      <c r="A21584" s="571" t="s">
        <v>2607</v>
      </c>
      <c r="B21584" s="572">
        <v>2</v>
      </c>
      <c r="C21584" s="572">
        <v>4</v>
      </c>
    </row>
    <row r="21585" spans="1:3">
      <c r="A21585" s="571" t="s">
        <v>2607</v>
      </c>
      <c r="B21585" s="572">
        <v>3</v>
      </c>
      <c r="C21585" s="572">
        <v>5</v>
      </c>
    </row>
    <row r="21586" spans="1:3">
      <c r="A21586" s="571" t="s">
        <v>2607</v>
      </c>
      <c r="B21586" s="572">
        <v>6</v>
      </c>
      <c r="C21586" s="572">
        <v>25</v>
      </c>
    </row>
    <row r="21587" spans="1:3">
      <c r="A21587" s="571" t="s">
        <v>2607</v>
      </c>
      <c r="B21587" s="572">
        <v>8</v>
      </c>
      <c r="C21587" s="572">
        <v>20</v>
      </c>
    </row>
    <row r="21588" spans="1:3">
      <c r="A21588" s="571" t="s">
        <v>2607</v>
      </c>
      <c r="B21588" s="572">
        <v>9</v>
      </c>
      <c r="C21588" s="572">
        <v>19</v>
      </c>
    </row>
    <row r="21589" spans="1:3">
      <c r="A21589" s="571" t="s">
        <v>2607</v>
      </c>
      <c r="B21589" s="572">
        <v>13</v>
      </c>
      <c r="C21589" s="572">
        <v>20</v>
      </c>
    </row>
    <row r="21590" spans="1:3">
      <c r="A21590" s="571" t="s">
        <v>2607</v>
      </c>
      <c r="B21590" s="572">
        <v>16</v>
      </c>
      <c r="C21590" s="572">
        <v>17</v>
      </c>
    </row>
    <row r="21591" spans="1:3">
      <c r="A21591" s="571" t="s">
        <v>2607</v>
      </c>
      <c r="B21591" s="572">
        <v>21</v>
      </c>
      <c r="C21591" s="572">
        <v>20</v>
      </c>
    </row>
    <row r="21592" spans="1:3">
      <c r="A21592" s="571" t="s">
        <v>2607</v>
      </c>
      <c r="B21592" s="572">
        <v>31</v>
      </c>
      <c r="C21592" s="572">
        <v>23</v>
      </c>
    </row>
    <row r="21593" spans="1:3">
      <c r="A21593" s="571" t="s">
        <v>2607</v>
      </c>
      <c r="B21593" s="572">
        <v>42</v>
      </c>
      <c r="C21593" s="572">
        <v>29</v>
      </c>
    </row>
    <row r="21594" spans="1:3">
      <c r="A21594" s="571" t="s">
        <v>2607</v>
      </c>
      <c r="B21594" s="572">
        <v>71</v>
      </c>
      <c r="C21594" s="572">
        <v>5</v>
      </c>
    </row>
    <row r="21595" spans="1:3">
      <c r="A21595" s="571" t="s">
        <v>2607</v>
      </c>
      <c r="B21595" s="572">
        <v>79</v>
      </c>
      <c r="C21595" s="572">
        <v>16</v>
      </c>
    </row>
    <row r="21596" spans="1:3">
      <c r="A21596" s="571" t="s">
        <v>2607</v>
      </c>
      <c r="B21596" s="572">
        <v>93</v>
      </c>
      <c r="C21596" s="572">
        <v>24</v>
      </c>
    </row>
    <row r="21597" spans="1:3">
      <c r="A21597" s="571" t="s">
        <v>2608</v>
      </c>
      <c r="B21597" s="572">
        <v>0</v>
      </c>
      <c r="C21597" s="572">
        <v>0</v>
      </c>
    </row>
    <row r="21598" spans="1:3">
      <c r="A21598" s="571" t="s">
        <v>2608</v>
      </c>
      <c r="B21598" s="572">
        <v>1</v>
      </c>
      <c r="C21598" s="572">
        <v>3</v>
      </c>
    </row>
    <row r="21599" spans="1:3">
      <c r="A21599" s="571" t="s">
        <v>2608</v>
      </c>
      <c r="B21599" s="572">
        <v>2</v>
      </c>
      <c r="C21599" s="572">
        <v>5</v>
      </c>
    </row>
    <row r="21600" spans="1:3">
      <c r="A21600" s="571" t="s">
        <v>2608</v>
      </c>
      <c r="B21600" s="572">
        <v>14</v>
      </c>
      <c r="C21600" s="572">
        <v>26</v>
      </c>
    </row>
    <row r="21601" spans="1:3">
      <c r="A21601" s="571" t="s">
        <v>2608</v>
      </c>
      <c r="B21601" s="572">
        <v>20</v>
      </c>
      <c r="C21601" s="572">
        <v>30</v>
      </c>
    </row>
    <row r="21602" spans="1:3">
      <c r="A21602" s="571" t="s">
        <v>2608</v>
      </c>
      <c r="B21602" s="572">
        <v>42</v>
      </c>
      <c r="C21602" s="572">
        <v>68</v>
      </c>
    </row>
    <row r="21603" spans="1:3">
      <c r="A21603" s="571" t="s">
        <v>2608</v>
      </c>
      <c r="B21603" s="572">
        <v>64</v>
      </c>
      <c r="C21603" s="572">
        <v>69</v>
      </c>
    </row>
    <row r="21604" spans="1:3">
      <c r="A21604" s="573" t="s">
        <v>2608</v>
      </c>
      <c r="B21604" s="574">
        <v>100</v>
      </c>
      <c r="C21604" s="574">
        <v>61</v>
      </c>
    </row>
    <row r="21605" spans="1:3">
      <c r="A21605" s="573" t="s">
        <v>2608</v>
      </c>
      <c r="B21605" s="574">
        <v>118</v>
      </c>
      <c r="C21605" s="574">
        <v>65</v>
      </c>
    </row>
    <row r="21606" spans="1:3">
      <c r="A21606" s="573" t="s">
        <v>2608</v>
      </c>
      <c r="B21606" s="574">
        <v>134</v>
      </c>
      <c r="C21606" s="574">
        <v>69</v>
      </c>
    </row>
    <row r="21607" spans="1:3">
      <c r="A21607" s="573" t="s">
        <v>2608</v>
      </c>
      <c r="B21607" s="574">
        <v>154</v>
      </c>
      <c r="C21607" s="574">
        <v>74</v>
      </c>
    </row>
    <row r="21608" spans="1:3">
      <c r="A21608" s="573" t="s">
        <v>2608</v>
      </c>
      <c r="B21608" s="574">
        <v>216</v>
      </c>
      <c r="C21608" s="574">
        <v>82</v>
      </c>
    </row>
    <row r="21609" spans="1:3">
      <c r="A21609" s="573" t="s">
        <v>2608</v>
      </c>
      <c r="B21609" s="574">
        <v>244</v>
      </c>
      <c r="C21609" s="574">
        <v>88</v>
      </c>
    </row>
    <row r="21610" spans="1:3">
      <c r="A21610" s="573" t="s">
        <v>2608</v>
      </c>
      <c r="B21610" s="574">
        <v>273</v>
      </c>
      <c r="C21610" s="574">
        <v>88</v>
      </c>
    </row>
    <row r="21611" spans="1:3">
      <c r="A21611" s="573" t="s">
        <v>2608</v>
      </c>
      <c r="B21611" s="574">
        <v>306</v>
      </c>
      <c r="C21611" s="574">
        <v>90</v>
      </c>
    </row>
    <row r="21612" spans="1:3">
      <c r="A21612" s="573" t="s">
        <v>2608</v>
      </c>
      <c r="B21612" s="574">
        <v>349</v>
      </c>
      <c r="C21612" s="574">
        <v>90</v>
      </c>
    </row>
    <row r="21613" spans="1:3">
      <c r="A21613" s="573" t="s">
        <v>2608</v>
      </c>
      <c r="B21613" s="574">
        <v>365</v>
      </c>
      <c r="C21613" s="574">
        <v>92</v>
      </c>
    </row>
    <row r="21614" spans="1:3">
      <c r="A21614" s="573" t="s">
        <v>2608</v>
      </c>
      <c r="B21614" s="574">
        <v>380</v>
      </c>
      <c r="C21614" s="574">
        <v>92</v>
      </c>
    </row>
    <row r="21615" spans="1:3">
      <c r="A21615" s="573" t="s">
        <v>2608</v>
      </c>
      <c r="B21615" s="574">
        <v>392</v>
      </c>
      <c r="C21615" s="574">
        <v>90</v>
      </c>
    </row>
    <row r="21616" spans="1:3">
      <c r="A21616" s="573" t="s">
        <v>2608</v>
      </c>
      <c r="B21616" s="574">
        <v>407</v>
      </c>
      <c r="C21616" s="574">
        <v>90</v>
      </c>
    </row>
    <row r="21617" spans="1:3">
      <c r="A21617" s="571" t="s">
        <v>2609</v>
      </c>
      <c r="B21617" s="572">
        <v>0</v>
      </c>
      <c r="C21617" s="572">
        <v>0</v>
      </c>
    </row>
    <row r="21618" spans="1:3">
      <c r="A21618" s="571" t="s">
        <v>2609</v>
      </c>
      <c r="B21618" s="572">
        <v>8</v>
      </c>
      <c r="C21618" s="572">
        <v>26</v>
      </c>
    </row>
    <row r="21619" spans="1:3">
      <c r="A21619" s="571" t="s">
        <v>2609</v>
      </c>
      <c r="B21619" s="572">
        <v>11</v>
      </c>
      <c r="C21619" s="572">
        <v>27</v>
      </c>
    </row>
    <row r="21620" spans="1:3">
      <c r="A21620" s="571" t="s">
        <v>2609</v>
      </c>
      <c r="B21620" s="572">
        <v>20</v>
      </c>
      <c r="C21620" s="572">
        <v>27</v>
      </c>
    </row>
    <row r="21621" spans="1:3">
      <c r="A21621" s="571" t="s">
        <v>2609</v>
      </c>
      <c r="B21621" s="572">
        <v>21</v>
      </c>
      <c r="C21621" s="572">
        <v>25</v>
      </c>
    </row>
    <row r="21622" spans="1:3">
      <c r="A21622" s="571" t="s">
        <v>2609</v>
      </c>
      <c r="B21622" s="572">
        <v>39</v>
      </c>
      <c r="C21622" s="572">
        <v>7</v>
      </c>
    </row>
    <row r="21623" spans="1:3">
      <c r="A21623" s="571" t="s">
        <v>2609</v>
      </c>
      <c r="B21623" s="572">
        <v>43</v>
      </c>
      <c r="C21623" s="572">
        <v>0</v>
      </c>
    </row>
    <row r="21624" spans="1:3">
      <c r="A21624" s="571" t="s">
        <v>2610</v>
      </c>
      <c r="B21624" s="572">
        <v>0</v>
      </c>
      <c r="C21624" s="572">
        <v>0</v>
      </c>
    </row>
    <row r="21625" spans="1:3">
      <c r="A21625" s="571" t="s">
        <v>2610</v>
      </c>
      <c r="B21625" s="572">
        <v>1</v>
      </c>
      <c r="C21625" s="572">
        <v>3</v>
      </c>
    </row>
    <row r="21626" spans="1:3">
      <c r="A21626" s="571" t="s">
        <v>2610</v>
      </c>
      <c r="B21626" s="572">
        <v>2</v>
      </c>
      <c r="C21626" s="572">
        <v>3</v>
      </c>
    </row>
    <row r="21627" spans="1:3">
      <c r="A21627" s="571" t="s">
        <v>2610</v>
      </c>
      <c r="B21627" s="572">
        <v>6</v>
      </c>
      <c r="C21627" s="572">
        <v>3</v>
      </c>
    </row>
    <row r="21628" spans="1:3">
      <c r="A21628" s="571" t="s">
        <v>2610</v>
      </c>
      <c r="B21628" s="572">
        <v>8</v>
      </c>
      <c r="C21628" s="572">
        <v>17</v>
      </c>
    </row>
    <row r="21629" spans="1:3">
      <c r="A21629" s="571" t="s">
        <v>2610</v>
      </c>
      <c r="B21629" s="572">
        <v>9</v>
      </c>
      <c r="C21629" s="572">
        <v>3</v>
      </c>
    </row>
    <row r="21630" spans="1:3">
      <c r="A21630" s="571" t="s">
        <v>2610</v>
      </c>
      <c r="B21630" s="572">
        <v>14</v>
      </c>
      <c r="C21630" s="572">
        <v>1</v>
      </c>
    </row>
    <row r="21631" spans="1:3">
      <c r="A21631" s="571" t="s">
        <v>2610</v>
      </c>
      <c r="B21631" s="572">
        <v>27</v>
      </c>
      <c r="C21631" s="572">
        <v>4</v>
      </c>
    </row>
    <row r="21632" spans="1:3">
      <c r="A21632" s="571" t="s">
        <v>2610</v>
      </c>
      <c r="B21632" s="572">
        <v>41</v>
      </c>
      <c r="C21632" s="572">
        <v>5</v>
      </c>
    </row>
    <row r="21633" spans="1:3">
      <c r="A21633" s="571" t="s">
        <v>2610</v>
      </c>
      <c r="B21633" s="572">
        <v>64</v>
      </c>
      <c r="C21633" s="572">
        <v>3</v>
      </c>
    </row>
    <row r="21634" spans="1:3">
      <c r="A21634" s="571" t="s">
        <v>2610</v>
      </c>
      <c r="B21634" s="572">
        <v>86</v>
      </c>
      <c r="C21634" s="572">
        <v>3</v>
      </c>
    </row>
    <row r="21635" spans="1:3">
      <c r="A21635" s="573" t="s">
        <v>2610</v>
      </c>
      <c r="B21635" s="574">
        <v>104</v>
      </c>
      <c r="C21635" s="574">
        <v>0</v>
      </c>
    </row>
    <row r="21636" spans="1:3">
      <c r="A21636" s="573" t="s">
        <v>2610</v>
      </c>
      <c r="B21636" s="574">
        <v>149</v>
      </c>
      <c r="C21636" s="574">
        <v>0</v>
      </c>
    </row>
    <row r="21637" spans="1:3">
      <c r="A21637" s="573" t="s">
        <v>2610</v>
      </c>
      <c r="B21637" s="574">
        <v>181</v>
      </c>
      <c r="C21637" s="574">
        <v>0</v>
      </c>
    </row>
    <row r="21638" spans="1:3">
      <c r="A21638" s="573" t="s">
        <v>2610</v>
      </c>
      <c r="B21638" s="574">
        <v>205</v>
      </c>
      <c r="C21638" s="574">
        <v>4</v>
      </c>
    </row>
    <row r="21639" spans="1:3">
      <c r="A21639" s="573" t="s">
        <v>2610</v>
      </c>
      <c r="B21639" s="574">
        <v>238</v>
      </c>
      <c r="C21639" s="574">
        <v>5</v>
      </c>
    </row>
    <row r="21640" spans="1:3">
      <c r="A21640" s="573" t="s">
        <v>2610</v>
      </c>
      <c r="B21640" s="574">
        <v>265</v>
      </c>
      <c r="C21640" s="574">
        <v>5</v>
      </c>
    </row>
    <row r="21641" spans="1:3">
      <c r="A21641" s="573" t="s">
        <v>2610</v>
      </c>
      <c r="B21641" s="574">
        <v>295</v>
      </c>
      <c r="C21641" s="574">
        <v>8</v>
      </c>
    </row>
    <row r="21642" spans="1:3">
      <c r="A21642" s="573" t="s">
        <v>2610</v>
      </c>
      <c r="B21642" s="574">
        <v>328</v>
      </c>
      <c r="C21642" s="574">
        <v>8</v>
      </c>
    </row>
    <row r="21643" spans="1:3">
      <c r="A21643" s="573" t="s">
        <v>2610</v>
      </c>
      <c r="B21643" s="574">
        <v>363</v>
      </c>
      <c r="C21643" s="574">
        <v>10</v>
      </c>
    </row>
    <row r="21644" spans="1:3">
      <c r="A21644" s="573" t="s">
        <v>2610</v>
      </c>
      <c r="B21644" s="574">
        <v>364</v>
      </c>
      <c r="C21644" s="574">
        <v>11</v>
      </c>
    </row>
    <row r="21645" spans="1:3">
      <c r="A21645" s="573" t="s">
        <v>2610</v>
      </c>
      <c r="B21645" s="574">
        <v>365</v>
      </c>
      <c r="C21645" s="574">
        <v>10</v>
      </c>
    </row>
    <row r="21646" spans="1:3">
      <c r="A21646" s="573" t="s">
        <v>2610</v>
      </c>
      <c r="B21646" s="574">
        <v>373</v>
      </c>
      <c r="C21646" s="574">
        <v>11</v>
      </c>
    </row>
    <row r="21647" spans="1:3">
      <c r="A21647" s="573" t="s">
        <v>2610</v>
      </c>
      <c r="B21647" s="574">
        <v>392</v>
      </c>
      <c r="C21647" s="574">
        <v>11</v>
      </c>
    </row>
    <row r="21648" spans="1:3">
      <c r="A21648" s="573" t="s">
        <v>2610</v>
      </c>
      <c r="B21648" s="574">
        <v>419</v>
      </c>
      <c r="C21648" s="574">
        <v>14</v>
      </c>
    </row>
    <row r="21649" spans="1:3">
      <c r="A21649" s="573" t="s">
        <v>2610</v>
      </c>
      <c r="B21649" s="574">
        <v>440</v>
      </c>
      <c r="C21649" s="574">
        <v>14</v>
      </c>
    </row>
    <row r="21650" spans="1:3">
      <c r="A21650" s="573" t="s">
        <v>2610</v>
      </c>
      <c r="B21650" s="574">
        <v>458</v>
      </c>
      <c r="C21650" s="574">
        <v>15</v>
      </c>
    </row>
    <row r="21651" spans="1:3">
      <c r="A21651" s="573" t="s">
        <v>2610</v>
      </c>
      <c r="B21651" s="574">
        <v>484</v>
      </c>
      <c r="C21651" s="574">
        <v>18</v>
      </c>
    </row>
    <row r="21652" spans="1:3">
      <c r="A21652" s="573" t="s">
        <v>2610</v>
      </c>
      <c r="B21652" s="574">
        <v>489</v>
      </c>
      <c r="C21652" s="574">
        <v>18</v>
      </c>
    </row>
    <row r="21653" spans="1:3">
      <c r="A21653" s="571" t="s">
        <v>2611</v>
      </c>
      <c r="B21653" s="572">
        <v>0</v>
      </c>
      <c r="C21653" s="572">
        <v>0</v>
      </c>
    </row>
    <row r="21654" spans="1:3">
      <c r="A21654" s="571" t="s">
        <v>2611</v>
      </c>
      <c r="B21654" s="572">
        <v>1</v>
      </c>
      <c r="C21654" s="572">
        <v>0</v>
      </c>
    </row>
    <row r="21655" spans="1:3">
      <c r="A21655" s="571" t="s">
        <v>2611</v>
      </c>
      <c r="B21655" s="572">
        <v>2</v>
      </c>
      <c r="C21655" s="572">
        <v>0</v>
      </c>
    </row>
    <row r="21656" spans="1:3">
      <c r="A21656" s="571" t="s">
        <v>2611</v>
      </c>
      <c r="B21656" s="572">
        <v>4</v>
      </c>
      <c r="C21656" s="572">
        <v>0</v>
      </c>
    </row>
    <row r="21657" spans="1:3">
      <c r="A21657" s="571" t="s">
        <v>2611</v>
      </c>
      <c r="B21657" s="572">
        <v>10</v>
      </c>
      <c r="C21657" s="572">
        <v>1</v>
      </c>
    </row>
    <row r="21658" spans="1:3">
      <c r="A21658" s="571" t="s">
        <v>2611</v>
      </c>
      <c r="B21658" s="572">
        <v>11</v>
      </c>
      <c r="C21658" s="572">
        <v>1</v>
      </c>
    </row>
    <row r="21659" spans="1:3">
      <c r="A21659" s="571" t="s">
        <v>2611</v>
      </c>
      <c r="B21659" s="572">
        <v>17</v>
      </c>
      <c r="C21659" s="572">
        <v>0</v>
      </c>
    </row>
    <row r="21660" spans="1:3">
      <c r="A21660" s="571" t="s">
        <v>2611</v>
      </c>
      <c r="B21660" s="572">
        <v>21</v>
      </c>
      <c r="C21660" s="572">
        <v>1</v>
      </c>
    </row>
    <row r="21661" spans="1:3">
      <c r="A21661" s="571" t="s">
        <v>2611</v>
      </c>
      <c r="B21661" s="572">
        <v>29</v>
      </c>
      <c r="C21661" s="572">
        <v>0</v>
      </c>
    </row>
    <row r="21662" spans="1:3">
      <c r="A21662" s="571" t="s">
        <v>2611</v>
      </c>
      <c r="B21662" s="572">
        <v>38</v>
      </c>
      <c r="C21662" s="572">
        <v>0</v>
      </c>
    </row>
    <row r="21663" spans="1:3">
      <c r="A21663" s="571" t="s">
        <v>2611</v>
      </c>
      <c r="B21663" s="572">
        <v>49</v>
      </c>
      <c r="C21663" s="572">
        <v>3</v>
      </c>
    </row>
    <row r="21664" spans="1:3">
      <c r="A21664" s="571" t="s">
        <v>2611</v>
      </c>
      <c r="B21664" s="572">
        <v>78</v>
      </c>
      <c r="C21664" s="572">
        <v>6</v>
      </c>
    </row>
    <row r="21665" spans="1:3">
      <c r="A21665" s="573" t="s">
        <v>2611</v>
      </c>
      <c r="B21665" s="574">
        <v>108</v>
      </c>
      <c r="C21665" s="574">
        <v>8</v>
      </c>
    </row>
    <row r="21666" spans="1:3">
      <c r="A21666" s="573" t="s">
        <v>2611</v>
      </c>
      <c r="B21666" s="574">
        <v>141</v>
      </c>
      <c r="C21666" s="574">
        <v>7</v>
      </c>
    </row>
    <row r="21667" spans="1:3">
      <c r="A21667" s="573" t="s">
        <v>2611</v>
      </c>
      <c r="B21667" s="574">
        <v>183</v>
      </c>
      <c r="C21667" s="574">
        <v>12</v>
      </c>
    </row>
    <row r="21668" spans="1:3">
      <c r="A21668" s="573" t="s">
        <v>2611</v>
      </c>
      <c r="B21668" s="574">
        <v>198</v>
      </c>
      <c r="C21668" s="574">
        <v>9</v>
      </c>
    </row>
    <row r="21669" spans="1:3">
      <c r="A21669" s="573" t="s">
        <v>2611</v>
      </c>
      <c r="B21669" s="574">
        <v>238</v>
      </c>
      <c r="C21669" s="574">
        <v>13</v>
      </c>
    </row>
    <row r="21670" spans="1:3">
      <c r="A21670" s="573" t="s">
        <v>2611</v>
      </c>
      <c r="B21670" s="574">
        <v>261</v>
      </c>
      <c r="C21670" s="574">
        <v>17</v>
      </c>
    </row>
    <row r="21671" spans="1:3">
      <c r="A21671" s="573" t="s">
        <v>2611</v>
      </c>
      <c r="B21671" s="574">
        <v>266</v>
      </c>
      <c r="C21671" s="574">
        <v>9</v>
      </c>
    </row>
    <row r="21672" spans="1:3">
      <c r="A21672" s="573" t="s">
        <v>2611</v>
      </c>
      <c r="B21672" s="574">
        <v>273</v>
      </c>
      <c r="C21672" s="574">
        <v>19</v>
      </c>
    </row>
    <row r="21673" spans="1:3">
      <c r="A21673" s="573" t="s">
        <v>2611</v>
      </c>
      <c r="B21673" s="574">
        <v>280</v>
      </c>
      <c r="C21673" s="574">
        <v>19</v>
      </c>
    </row>
    <row r="21674" spans="1:3">
      <c r="A21674" s="573" t="s">
        <v>2611</v>
      </c>
      <c r="B21674" s="574">
        <v>287</v>
      </c>
      <c r="C21674" s="574">
        <v>19</v>
      </c>
    </row>
    <row r="21675" spans="1:3">
      <c r="A21675" s="573" t="s">
        <v>2611</v>
      </c>
      <c r="B21675" s="574">
        <v>301</v>
      </c>
      <c r="C21675" s="574">
        <v>19</v>
      </c>
    </row>
    <row r="21676" spans="1:3">
      <c r="A21676" s="573" t="s">
        <v>2611</v>
      </c>
      <c r="B21676" s="574">
        <v>308</v>
      </c>
      <c r="C21676" s="574">
        <v>19</v>
      </c>
    </row>
    <row r="21677" spans="1:3">
      <c r="A21677" s="573" t="s">
        <v>2611</v>
      </c>
      <c r="B21677" s="574">
        <v>324</v>
      </c>
      <c r="C21677" s="574">
        <v>23</v>
      </c>
    </row>
    <row r="21678" spans="1:3">
      <c r="A21678" s="573" t="s">
        <v>2611</v>
      </c>
      <c r="B21678" s="574">
        <v>336</v>
      </c>
      <c r="C21678" s="574">
        <v>23</v>
      </c>
    </row>
    <row r="21679" spans="1:3">
      <c r="A21679" s="573" t="s">
        <v>2611</v>
      </c>
      <c r="B21679" s="574">
        <v>350</v>
      </c>
      <c r="C21679" s="574">
        <v>24</v>
      </c>
    </row>
    <row r="21680" spans="1:3">
      <c r="A21680" s="573" t="s">
        <v>2611</v>
      </c>
      <c r="B21680" s="574">
        <v>365</v>
      </c>
      <c r="C21680" s="574">
        <v>27</v>
      </c>
    </row>
    <row r="21681" spans="1:3">
      <c r="A21681" s="573" t="s">
        <v>2611</v>
      </c>
      <c r="B21681" s="574">
        <v>371</v>
      </c>
      <c r="C21681" s="574">
        <v>25</v>
      </c>
    </row>
    <row r="21682" spans="1:3">
      <c r="A21682" s="573" t="s">
        <v>2611</v>
      </c>
      <c r="B21682" s="574">
        <v>378</v>
      </c>
      <c r="C21682" s="574">
        <v>21</v>
      </c>
    </row>
    <row r="21683" spans="1:3">
      <c r="A21683" s="573" t="s">
        <v>2611</v>
      </c>
      <c r="B21683" s="574">
        <v>385</v>
      </c>
      <c r="C21683" s="574">
        <v>25</v>
      </c>
    </row>
    <row r="21684" spans="1:3">
      <c r="A21684" s="573" t="s">
        <v>2611</v>
      </c>
      <c r="B21684" s="574">
        <v>392</v>
      </c>
      <c r="C21684" s="574">
        <v>24</v>
      </c>
    </row>
    <row r="21685" spans="1:3">
      <c r="A21685" s="573" t="s">
        <v>2611</v>
      </c>
      <c r="B21685" s="574">
        <v>407</v>
      </c>
      <c r="C21685" s="574">
        <v>28</v>
      </c>
    </row>
    <row r="21686" spans="1:3">
      <c r="A21686" s="573" t="s">
        <v>2611</v>
      </c>
      <c r="B21686" s="574">
        <v>420</v>
      </c>
      <c r="C21686" s="574">
        <v>31</v>
      </c>
    </row>
    <row r="21687" spans="1:3">
      <c r="A21687" s="573" t="s">
        <v>2611</v>
      </c>
      <c r="B21687" s="574">
        <v>435</v>
      </c>
      <c r="C21687" s="574">
        <v>32</v>
      </c>
    </row>
    <row r="21688" spans="1:3">
      <c r="A21688" s="573" t="s">
        <v>2611</v>
      </c>
      <c r="B21688" s="574">
        <v>448</v>
      </c>
      <c r="C21688" s="574">
        <v>32</v>
      </c>
    </row>
    <row r="21689" spans="1:3">
      <c r="A21689" s="573" t="s">
        <v>2611</v>
      </c>
      <c r="B21689" s="574">
        <v>462</v>
      </c>
      <c r="C21689" s="574">
        <v>32</v>
      </c>
    </row>
    <row r="21690" spans="1:3">
      <c r="A21690" s="573" t="s">
        <v>2611</v>
      </c>
      <c r="B21690" s="574">
        <v>484</v>
      </c>
      <c r="C21690" s="574">
        <v>35</v>
      </c>
    </row>
    <row r="21691" spans="1:3">
      <c r="A21691" s="571" t="s">
        <v>2612</v>
      </c>
      <c r="B21691" s="572">
        <v>0</v>
      </c>
      <c r="C21691" s="572">
        <v>0</v>
      </c>
    </row>
    <row r="21692" spans="1:3">
      <c r="A21692" s="571" t="s">
        <v>2612</v>
      </c>
      <c r="B21692" s="572">
        <v>1</v>
      </c>
      <c r="C21692" s="572">
        <v>6</v>
      </c>
    </row>
    <row r="21693" spans="1:3">
      <c r="A21693" s="571" t="s">
        <v>2612</v>
      </c>
      <c r="B21693" s="572">
        <v>2</v>
      </c>
      <c r="C21693" s="572">
        <v>17</v>
      </c>
    </row>
    <row r="21694" spans="1:3">
      <c r="A21694" s="571" t="s">
        <v>2612</v>
      </c>
      <c r="B21694" s="572">
        <v>6</v>
      </c>
      <c r="C21694" s="572">
        <v>13</v>
      </c>
    </row>
    <row r="21695" spans="1:3">
      <c r="A21695" s="571" t="s">
        <v>2612</v>
      </c>
      <c r="B21695" s="572">
        <v>8</v>
      </c>
      <c r="C21695" s="572">
        <v>11</v>
      </c>
    </row>
    <row r="21696" spans="1:3">
      <c r="A21696" s="571" t="s">
        <v>2612</v>
      </c>
      <c r="B21696" s="572">
        <v>9</v>
      </c>
      <c r="C21696" s="572">
        <v>21</v>
      </c>
    </row>
    <row r="21697" spans="1:3">
      <c r="A21697" s="571" t="s">
        <v>2612</v>
      </c>
      <c r="B21697" s="572">
        <v>14</v>
      </c>
      <c r="C21697" s="572">
        <v>11</v>
      </c>
    </row>
    <row r="21698" spans="1:3">
      <c r="A21698" s="571" t="s">
        <v>2612</v>
      </c>
      <c r="B21698" s="572">
        <v>27</v>
      </c>
      <c r="C21698" s="572">
        <v>14</v>
      </c>
    </row>
    <row r="21699" spans="1:3">
      <c r="A21699" s="571" t="s">
        <v>2612</v>
      </c>
      <c r="B21699" s="572">
        <v>41</v>
      </c>
      <c r="C21699" s="572">
        <v>13</v>
      </c>
    </row>
    <row r="21700" spans="1:3">
      <c r="A21700" s="571" t="s">
        <v>2612</v>
      </c>
      <c r="B21700" s="572">
        <v>64</v>
      </c>
      <c r="C21700" s="572">
        <v>17</v>
      </c>
    </row>
    <row r="21701" spans="1:3">
      <c r="A21701" s="571" t="s">
        <v>2612</v>
      </c>
      <c r="B21701" s="572">
        <v>86</v>
      </c>
      <c r="C21701" s="572">
        <v>11</v>
      </c>
    </row>
    <row r="21702" spans="1:3">
      <c r="A21702" s="573" t="s">
        <v>2612</v>
      </c>
      <c r="B21702" s="574">
        <v>104</v>
      </c>
      <c r="C21702" s="574">
        <v>11</v>
      </c>
    </row>
    <row r="21703" spans="1:3">
      <c r="A21703" s="573" t="s">
        <v>2612</v>
      </c>
      <c r="B21703" s="574">
        <v>149</v>
      </c>
      <c r="C21703" s="574">
        <v>16</v>
      </c>
    </row>
    <row r="21704" spans="1:3">
      <c r="A21704" s="573" t="s">
        <v>2612</v>
      </c>
      <c r="B21704" s="574">
        <v>181</v>
      </c>
      <c r="C21704" s="574">
        <v>16</v>
      </c>
    </row>
    <row r="21705" spans="1:3">
      <c r="A21705" s="573" t="s">
        <v>2612</v>
      </c>
      <c r="B21705" s="574">
        <v>205</v>
      </c>
      <c r="C21705" s="574">
        <v>17</v>
      </c>
    </row>
    <row r="21706" spans="1:3">
      <c r="A21706" s="573" t="s">
        <v>2612</v>
      </c>
      <c r="B21706" s="574">
        <v>238</v>
      </c>
      <c r="C21706" s="574">
        <v>20</v>
      </c>
    </row>
    <row r="21707" spans="1:3">
      <c r="A21707" s="573" t="s">
        <v>2612</v>
      </c>
      <c r="B21707" s="574">
        <v>265</v>
      </c>
      <c r="C21707" s="574">
        <v>20</v>
      </c>
    </row>
    <row r="21708" spans="1:3">
      <c r="A21708" s="573" t="s">
        <v>2612</v>
      </c>
      <c r="B21708" s="574">
        <v>295</v>
      </c>
      <c r="C21708" s="574">
        <v>20</v>
      </c>
    </row>
    <row r="21709" spans="1:3">
      <c r="A21709" s="573" t="s">
        <v>2612</v>
      </c>
      <c r="B21709" s="574">
        <v>328</v>
      </c>
      <c r="C21709" s="574">
        <v>20</v>
      </c>
    </row>
    <row r="21710" spans="1:3">
      <c r="A21710" s="573" t="s">
        <v>2612</v>
      </c>
      <c r="B21710" s="574">
        <v>363</v>
      </c>
      <c r="C21710" s="574">
        <v>17</v>
      </c>
    </row>
    <row r="21711" spans="1:3">
      <c r="A21711" s="573" t="s">
        <v>2612</v>
      </c>
      <c r="B21711" s="574">
        <v>364</v>
      </c>
      <c r="C21711" s="574">
        <v>17</v>
      </c>
    </row>
    <row r="21712" spans="1:3">
      <c r="A21712" s="573" t="s">
        <v>2612</v>
      </c>
      <c r="B21712" s="574">
        <v>365</v>
      </c>
      <c r="C21712" s="574">
        <v>18</v>
      </c>
    </row>
    <row r="21713" spans="1:3">
      <c r="A21713" s="573" t="s">
        <v>2612</v>
      </c>
      <c r="B21713" s="574">
        <v>373</v>
      </c>
      <c r="C21713" s="574">
        <v>21</v>
      </c>
    </row>
    <row r="21714" spans="1:3">
      <c r="A21714" s="573" t="s">
        <v>2612</v>
      </c>
      <c r="B21714" s="574">
        <v>392</v>
      </c>
      <c r="C21714" s="574">
        <v>16</v>
      </c>
    </row>
    <row r="21715" spans="1:3">
      <c r="A21715" s="573" t="s">
        <v>2612</v>
      </c>
      <c r="B21715" s="574">
        <v>419</v>
      </c>
      <c r="C21715" s="574">
        <v>10</v>
      </c>
    </row>
    <row r="21716" spans="1:3">
      <c r="A21716" s="573" t="s">
        <v>2612</v>
      </c>
      <c r="B21716" s="574">
        <v>440</v>
      </c>
      <c r="C21716" s="574">
        <v>1</v>
      </c>
    </row>
    <row r="21717" spans="1:3">
      <c r="A21717" s="571" t="s">
        <v>2613</v>
      </c>
      <c r="B21717" s="572">
        <v>0</v>
      </c>
      <c r="C21717" s="572">
        <v>0</v>
      </c>
    </row>
    <row r="21718" spans="1:3">
      <c r="A21718" s="571" t="s">
        <v>2613</v>
      </c>
      <c r="B21718" s="572">
        <v>1</v>
      </c>
      <c r="C21718" s="572">
        <v>3</v>
      </c>
    </row>
    <row r="21719" spans="1:3">
      <c r="A21719" s="571" t="s">
        <v>2613</v>
      </c>
      <c r="B21719" s="572">
        <v>2</v>
      </c>
      <c r="C21719" s="572">
        <v>6</v>
      </c>
    </row>
    <row r="21720" spans="1:3">
      <c r="A21720" s="571" t="s">
        <v>2613</v>
      </c>
      <c r="B21720" s="572">
        <v>4</v>
      </c>
      <c r="C21720" s="572">
        <v>13</v>
      </c>
    </row>
    <row r="21721" spans="1:3">
      <c r="A21721" s="571" t="s">
        <v>2613</v>
      </c>
      <c r="B21721" s="572">
        <v>10</v>
      </c>
      <c r="C21721" s="572">
        <v>24</v>
      </c>
    </row>
    <row r="21722" spans="1:3">
      <c r="A21722" s="571" t="s">
        <v>2613</v>
      </c>
      <c r="B21722" s="572">
        <v>11</v>
      </c>
      <c r="C21722" s="572">
        <v>24</v>
      </c>
    </row>
    <row r="21723" spans="1:3">
      <c r="A21723" s="571" t="s">
        <v>2613</v>
      </c>
      <c r="B21723" s="572">
        <v>17</v>
      </c>
      <c r="C21723" s="572">
        <v>32</v>
      </c>
    </row>
    <row r="21724" spans="1:3">
      <c r="A21724" s="571" t="s">
        <v>2613</v>
      </c>
      <c r="B21724" s="572">
        <v>21</v>
      </c>
      <c r="C21724" s="572">
        <v>36</v>
      </c>
    </row>
    <row r="21725" spans="1:3">
      <c r="A21725" s="571" t="s">
        <v>2613</v>
      </c>
      <c r="B21725" s="572">
        <v>29</v>
      </c>
      <c r="C21725" s="572">
        <v>40</v>
      </c>
    </row>
    <row r="21726" spans="1:3">
      <c r="A21726" s="571" t="s">
        <v>2613</v>
      </c>
      <c r="B21726" s="572">
        <v>38</v>
      </c>
      <c r="C21726" s="572">
        <v>46</v>
      </c>
    </row>
    <row r="21727" spans="1:3">
      <c r="A21727" s="571" t="s">
        <v>2613</v>
      </c>
      <c r="B21727" s="572">
        <v>49</v>
      </c>
      <c r="C21727" s="572">
        <v>52</v>
      </c>
    </row>
    <row r="21728" spans="1:3">
      <c r="A21728" s="571" t="s">
        <v>2613</v>
      </c>
      <c r="B21728" s="572">
        <v>78</v>
      </c>
      <c r="C21728" s="572">
        <v>64</v>
      </c>
    </row>
    <row r="21729" spans="1:3">
      <c r="A21729" s="573" t="s">
        <v>2613</v>
      </c>
      <c r="B21729" s="574">
        <v>108</v>
      </c>
      <c r="C21729" s="574">
        <v>71</v>
      </c>
    </row>
    <row r="21730" spans="1:3">
      <c r="A21730" s="573" t="s">
        <v>2613</v>
      </c>
      <c r="B21730" s="574">
        <v>141</v>
      </c>
      <c r="C21730" s="574">
        <v>80</v>
      </c>
    </row>
    <row r="21731" spans="1:3">
      <c r="A21731" s="573" t="s">
        <v>2613</v>
      </c>
      <c r="B21731" s="574">
        <v>183</v>
      </c>
      <c r="C21731" s="574">
        <v>87</v>
      </c>
    </row>
    <row r="21732" spans="1:3">
      <c r="A21732" s="573" t="s">
        <v>2613</v>
      </c>
      <c r="B21732" s="574">
        <v>198</v>
      </c>
      <c r="C21732" s="574">
        <v>89</v>
      </c>
    </row>
    <row r="21733" spans="1:3">
      <c r="A21733" s="573" t="s">
        <v>2613</v>
      </c>
      <c r="B21733" s="574">
        <v>238</v>
      </c>
      <c r="C21733" s="574">
        <v>94</v>
      </c>
    </row>
    <row r="21734" spans="1:3">
      <c r="A21734" s="573" t="s">
        <v>2613</v>
      </c>
      <c r="B21734" s="574">
        <v>261</v>
      </c>
      <c r="C21734" s="574">
        <v>97</v>
      </c>
    </row>
    <row r="21735" spans="1:3">
      <c r="A21735" s="573" t="s">
        <v>2613</v>
      </c>
      <c r="B21735" s="574">
        <v>266</v>
      </c>
      <c r="C21735" s="574">
        <v>102</v>
      </c>
    </row>
    <row r="21736" spans="1:3">
      <c r="A21736" s="573" t="s">
        <v>2613</v>
      </c>
      <c r="B21736" s="574">
        <v>273</v>
      </c>
      <c r="C21736" s="574">
        <v>102</v>
      </c>
    </row>
    <row r="21737" spans="1:3">
      <c r="A21737" s="573" t="s">
        <v>2613</v>
      </c>
      <c r="B21737" s="574">
        <v>280</v>
      </c>
      <c r="C21737" s="574">
        <v>100</v>
      </c>
    </row>
    <row r="21738" spans="1:3">
      <c r="A21738" s="573" t="s">
        <v>2613</v>
      </c>
      <c r="B21738" s="574">
        <v>287</v>
      </c>
      <c r="C21738" s="574">
        <v>102</v>
      </c>
    </row>
    <row r="21739" spans="1:3">
      <c r="A21739" s="573" t="s">
        <v>2613</v>
      </c>
      <c r="B21739" s="574">
        <v>301</v>
      </c>
      <c r="C21739" s="574">
        <v>103</v>
      </c>
    </row>
    <row r="21740" spans="1:3">
      <c r="A21740" s="573" t="s">
        <v>2613</v>
      </c>
      <c r="B21740" s="574">
        <v>308</v>
      </c>
      <c r="C21740" s="574">
        <v>102</v>
      </c>
    </row>
    <row r="21741" spans="1:3">
      <c r="A21741" s="573" t="s">
        <v>2613</v>
      </c>
      <c r="B21741" s="574">
        <v>324</v>
      </c>
      <c r="C21741" s="574">
        <v>103</v>
      </c>
    </row>
    <row r="21742" spans="1:3">
      <c r="A21742" s="573" t="s">
        <v>2613</v>
      </c>
      <c r="B21742" s="574">
        <v>336</v>
      </c>
      <c r="C21742" s="574">
        <v>102</v>
      </c>
    </row>
    <row r="21743" spans="1:3">
      <c r="A21743" s="573" t="s">
        <v>2613</v>
      </c>
      <c r="B21743" s="574">
        <v>350</v>
      </c>
      <c r="C21743" s="574">
        <v>103</v>
      </c>
    </row>
    <row r="21744" spans="1:3">
      <c r="A21744" s="573" t="s">
        <v>2613</v>
      </c>
      <c r="B21744" s="574">
        <v>365</v>
      </c>
      <c r="C21744" s="574">
        <v>105</v>
      </c>
    </row>
    <row r="21745" spans="1:3">
      <c r="A21745" s="573" t="s">
        <v>2613</v>
      </c>
      <c r="B21745" s="574">
        <v>371</v>
      </c>
      <c r="C21745" s="574">
        <v>106</v>
      </c>
    </row>
    <row r="21746" spans="1:3">
      <c r="A21746" s="573" t="s">
        <v>2613</v>
      </c>
      <c r="B21746" s="574">
        <v>378</v>
      </c>
      <c r="C21746" s="574">
        <v>103</v>
      </c>
    </row>
    <row r="21747" spans="1:3">
      <c r="A21747" s="573" t="s">
        <v>2613</v>
      </c>
      <c r="B21747" s="574">
        <v>385</v>
      </c>
      <c r="C21747" s="574">
        <v>103</v>
      </c>
    </row>
    <row r="21748" spans="1:3">
      <c r="A21748" s="573" t="s">
        <v>2613</v>
      </c>
      <c r="B21748" s="574">
        <v>392</v>
      </c>
      <c r="C21748" s="574">
        <v>106</v>
      </c>
    </row>
    <row r="21749" spans="1:3">
      <c r="A21749" s="573" t="s">
        <v>2613</v>
      </c>
      <c r="B21749" s="574">
        <v>407</v>
      </c>
      <c r="C21749" s="574">
        <v>106</v>
      </c>
    </row>
    <row r="21750" spans="1:3">
      <c r="A21750" s="573" t="s">
        <v>2613</v>
      </c>
      <c r="B21750" s="574">
        <v>420</v>
      </c>
      <c r="C21750" s="574">
        <v>109</v>
      </c>
    </row>
    <row r="21751" spans="1:3">
      <c r="A21751" s="573" t="s">
        <v>2613</v>
      </c>
      <c r="B21751" s="574">
        <v>435</v>
      </c>
      <c r="C21751" s="574">
        <v>111</v>
      </c>
    </row>
    <row r="21752" spans="1:3">
      <c r="A21752" s="573" t="s">
        <v>2613</v>
      </c>
      <c r="B21752" s="574">
        <v>448</v>
      </c>
      <c r="C21752" s="574">
        <v>115</v>
      </c>
    </row>
    <row r="21753" spans="1:3">
      <c r="A21753" s="573" t="s">
        <v>2613</v>
      </c>
      <c r="B21753" s="574">
        <v>462</v>
      </c>
      <c r="C21753" s="574">
        <v>117</v>
      </c>
    </row>
    <row r="21754" spans="1:3">
      <c r="A21754" s="573" t="s">
        <v>2613</v>
      </c>
      <c r="B21754" s="574">
        <v>484</v>
      </c>
      <c r="C21754" s="574">
        <v>120</v>
      </c>
    </row>
    <row r="21755" spans="1:3">
      <c r="A21755" s="571" t="s">
        <v>2614</v>
      </c>
      <c r="B21755" s="572">
        <v>0</v>
      </c>
      <c r="C21755" s="572">
        <v>0</v>
      </c>
    </row>
    <row r="21756" spans="1:3">
      <c r="A21756" s="571" t="s">
        <v>2614</v>
      </c>
      <c r="B21756" s="572">
        <v>1</v>
      </c>
      <c r="C21756" s="572">
        <v>4</v>
      </c>
    </row>
    <row r="21757" spans="1:3">
      <c r="A21757" s="571" t="s">
        <v>2614</v>
      </c>
      <c r="B21757" s="572">
        <v>2</v>
      </c>
      <c r="C21757" s="572">
        <v>6</v>
      </c>
    </row>
    <row r="21758" spans="1:3">
      <c r="A21758" s="571" t="s">
        <v>2614</v>
      </c>
      <c r="B21758" s="572">
        <v>6</v>
      </c>
      <c r="C21758" s="572">
        <v>41</v>
      </c>
    </row>
    <row r="21759" spans="1:3">
      <c r="A21759" s="571" t="s">
        <v>2614</v>
      </c>
      <c r="B21759" s="572">
        <v>8</v>
      </c>
      <c r="C21759" s="572">
        <v>21</v>
      </c>
    </row>
    <row r="21760" spans="1:3">
      <c r="A21760" s="571" t="s">
        <v>2614</v>
      </c>
      <c r="B21760" s="572">
        <v>9</v>
      </c>
      <c r="C21760" s="572">
        <v>24</v>
      </c>
    </row>
    <row r="21761" spans="1:3">
      <c r="A21761" s="571" t="s">
        <v>2614</v>
      </c>
      <c r="B21761" s="572">
        <v>14</v>
      </c>
      <c r="C21761" s="572">
        <v>33</v>
      </c>
    </row>
    <row r="21762" spans="1:3">
      <c r="A21762" s="571" t="s">
        <v>2614</v>
      </c>
      <c r="B21762" s="572">
        <v>27</v>
      </c>
      <c r="C21762" s="572">
        <v>51</v>
      </c>
    </row>
    <row r="21763" spans="1:3">
      <c r="A21763" s="571" t="s">
        <v>2614</v>
      </c>
      <c r="B21763" s="572">
        <v>41</v>
      </c>
      <c r="C21763" s="572">
        <v>60</v>
      </c>
    </row>
    <row r="21764" spans="1:3">
      <c r="A21764" s="571" t="s">
        <v>2614</v>
      </c>
      <c r="B21764" s="572">
        <v>64</v>
      </c>
      <c r="C21764" s="572">
        <v>76</v>
      </c>
    </row>
    <row r="21765" spans="1:3">
      <c r="A21765" s="571" t="s">
        <v>2614</v>
      </c>
      <c r="B21765" s="572">
        <v>86</v>
      </c>
      <c r="C21765" s="572">
        <v>78</v>
      </c>
    </row>
    <row r="21766" spans="1:3">
      <c r="A21766" s="573" t="s">
        <v>2614</v>
      </c>
      <c r="B21766" s="574">
        <v>104</v>
      </c>
      <c r="C21766" s="574">
        <v>86</v>
      </c>
    </row>
    <row r="21767" spans="1:3">
      <c r="A21767" s="573" t="s">
        <v>2614</v>
      </c>
      <c r="B21767" s="574">
        <v>149</v>
      </c>
      <c r="C21767" s="574">
        <v>104</v>
      </c>
    </row>
    <row r="21768" spans="1:3">
      <c r="A21768" s="573" t="s">
        <v>2614</v>
      </c>
      <c r="B21768" s="574">
        <v>181</v>
      </c>
      <c r="C21768" s="574">
        <v>110</v>
      </c>
    </row>
    <row r="21769" spans="1:3">
      <c r="A21769" s="573" t="s">
        <v>2614</v>
      </c>
      <c r="B21769" s="574">
        <v>205</v>
      </c>
      <c r="C21769" s="574">
        <v>114</v>
      </c>
    </row>
    <row r="21770" spans="1:3">
      <c r="A21770" s="573" t="s">
        <v>2614</v>
      </c>
      <c r="B21770" s="574">
        <v>265</v>
      </c>
      <c r="C21770" s="574">
        <v>126</v>
      </c>
    </row>
    <row r="21771" spans="1:3">
      <c r="A21771" s="573" t="s">
        <v>2614</v>
      </c>
      <c r="B21771" s="574">
        <v>295</v>
      </c>
      <c r="C21771" s="574">
        <v>128</v>
      </c>
    </row>
    <row r="21772" spans="1:3">
      <c r="A21772" s="573" t="s">
        <v>2614</v>
      </c>
      <c r="B21772" s="574">
        <v>328</v>
      </c>
      <c r="C21772" s="574">
        <v>134</v>
      </c>
    </row>
    <row r="21773" spans="1:3">
      <c r="A21773" s="573" t="s">
        <v>2614</v>
      </c>
      <c r="B21773" s="574">
        <v>363</v>
      </c>
      <c r="C21773" s="574">
        <v>138</v>
      </c>
    </row>
    <row r="21774" spans="1:3">
      <c r="A21774" s="573" t="s">
        <v>2614</v>
      </c>
      <c r="B21774" s="574">
        <v>364</v>
      </c>
      <c r="C21774" s="574">
        <v>136</v>
      </c>
    </row>
    <row r="21775" spans="1:3">
      <c r="A21775" s="573" t="s">
        <v>2614</v>
      </c>
      <c r="B21775" s="574">
        <v>365</v>
      </c>
      <c r="C21775" s="574">
        <v>137</v>
      </c>
    </row>
    <row r="21776" spans="1:3">
      <c r="A21776" s="573" t="s">
        <v>2614</v>
      </c>
      <c r="B21776" s="574">
        <v>373</v>
      </c>
      <c r="C21776" s="574">
        <v>138</v>
      </c>
    </row>
    <row r="21777" spans="1:3">
      <c r="A21777" s="573" t="s">
        <v>2614</v>
      </c>
      <c r="B21777" s="574">
        <v>392</v>
      </c>
      <c r="C21777" s="574">
        <v>144</v>
      </c>
    </row>
    <row r="21778" spans="1:3">
      <c r="A21778" s="573" t="s">
        <v>2614</v>
      </c>
      <c r="B21778" s="574">
        <v>419</v>
      </c>
      <c r="C21778" s="574">
        <v>154</v>
      </c>
    </row>
    <row r="21779" spans="1:3">
      <c r="A21779" s="573" t="s">
        <v>2614</v>
      </c>
      <c r="B21779" s="574">
        <v>440</v>
      </c>
      <c r="C21779" s="574">
        <v>141</v>
      </c>
    </row>
    <row r="21780" spans="1:3">
      <c r="A21780" s="573" t="s">
        <v>2614</v>
      </c>
      <c r="B21780" s="574">
        <v>458</v>
      </c>
      <c r="C21780" s="574">
        <v>143</v>
      </c>
    </row>
    <row r="21781" spans="1:3">
      <c r="A21781" s="573" t="s">
        <v>2614</v>
      </c>
      <c r="B21781" s="574">
        <v>484</v>
      </c>
      <c r="C21781" s="574">
        <v>152</v>
      </c>
    </row>
    <row r="21782" spans="1:3">
      <c r="A21782" s="573" t="s">
        <v>2614</v>
      </c>
      <c r="B21782" s="574">
        <v>489</v>
      </c>
      <c r="C21782" s="574">
        <v>148</v>
      </c>
    </row>
    <row r="21783" spans="1:3">
      <c r="A21783" s="571" t="s">
        <v>2615</v>
      </c>
      <c r="B21783" s="572">
        <v>0</v>
      </c>
      <c r="C21783" s="572">
        <v>0</v>
      </c>
    </row>
    <row r="21784" spans="1:3">
      <c r="A21784" s="571" t="s">
        <v>2615</v>
      </c>
      <c r="B21784" s="572">
        <v>1</v>
      </c>
      <c r="C21784" s="572">
        <v>3</v>
      </c>
    </row>
    <row r="21785" spans="1:3">
      <c r="A21785" s="571" t="s">
        <v>2615</v>
      </c>
      <c r="B21785" s="572">
        <v>2</v>
      </c>
      <c r="C21785" s="572">
        <v>6</v>
      </c>
    </row>
    <row r="21786" spans="1:3">
      <c r="A21786" s="571" t="s">
        <v>2615</v>
      </c>
      <c r="B21786" s="572">
        <v>4</v>
      </c>
      <c r="C21786" s="572">
        <v>11</v>
      </c>
    </row>
    <row r="21787" spans="1:3">
      <c r="A21787" s="571" t="s">
        <v>2615</v>
      </c>
      <c r="B21787" s="572">
        <v>10</v>
      </c>
      <c r="C21787" s="572">
        <v>23</v>
      </c>
    </row>
    <row r="21788" spans="1:3">
      <c r="A21788" s="571" t="s">
        <v>2615</v>
      </c>
      <c r="B21788" s="572">
        <v>11</v>
      </c>
      <c r="C21788" s="572">
        <v>26</v>
      </c>
    </row>
    <row r="21789" spans="1:3">
      <c r="A21789" s="571" t="s">
        <v>2615</v>
      </c>
      <c r="B21789" s="572">
        <v>17</v>
      </c>
      <c r="C21789" s="572">
        <v>35</v>
      </c>
    </row>
    <row r="21790" spans="1:3">
      <c r="A21790" s="571" t="s">
        <v>2615</v>
      </c>
      <c r="B21790" s="572">
        <v>21</v>
      </c>
      <c r="C21790" s="572">
        <v>38</v>
      </c>
    </row>
    <row r="21791" spans="1:3">
      <c r="A21791" s="571" t="s">
        <v>2615</v>
      </c>
      <c r="B21791" s="572">
        <v>29</v>
      </c>
      <c r="C21791" s="572">
        <v>46</v>
      </c>
    </row>
    <row r="21792" spans="1:3">
      <c r="A21792" s="571" t="s">
        <v>2615</v>
      </c>
      <c r="B21792" s="572">
        <v>38</v>
      </c>
      <c r="C21792" s="572">
        <v>53</v>
      </c>
    </row>
    <row r="21793" spans="1:3">
      <c r="A21793" s="571" t="s">
        <v>2615</v>
      </c>
      <c r="B21793" s="572">
        <v>49</v>
      </c>
      <c r="C21793" s="572">
        <v>58</v>
      </c>
    </row>
    <row r="21794" spans="1:3">
      <c r="A21794" s="571" t="s">
        <v>2615</v>
      </c>
      <c r="B21794" s="572">
        <v>78</v>
      </c>
      <c r="C21794" s="572">
        <v>68</v>
      </c>
    </row>
    <row r="21795" spans="1:3">
      <c r="A21795" s="573" t="s">
        <v>2615</v>
      </c>
      <c r="B21795" s="574">
        <v>108</v>
      </c>
      <c r="C21795" s="574">
        <v>72</v>
      </c>
    </row>
    <row r="21796" spans="1:3">
      <c r="A21796" s="573" t="s">
        <v>2615</v>
      </c>
      <c r="B21796" s="574">
        <v>141</v>
      </c>
      <c r="C21796" s="574">
        <v>76</v>
      </c>
    </row>
    <row r="21797" spans="1:3">
      <c r="A21797" s="573" t="s">
        <v>2615</v>
      </c>
      <c r="B21797" s="574">
        <v>183</v>
      </c>
      <c r="C21797" s="574">
        <v>82</v>
      </c>
    </row>
    <row r="21798" spans="1:3">
      <c r="A21798" s="573" t="s">
        <v>2615</v>
      </c>
      <c r="B21798" s="574">
        <v>198</v>
      </c>
      <c r="C21798" s="574">
        <v>81</v>
      </c>
    </row>
    <row r="21799" spans="1:3">
      <c r="A21799" s="573" t="s">
        <v>2615</v>
      </c>
      <c r="B21799" s="574">
        <v>238</v>
      </c>
      <c r="C21799" s="574">
        <v>83</v>
      </c>
    </row>
    <row r="21800" spans="1:3">
      <c r="A21800" s="573" t="s">
        <v>2615</v>
      </c>
      <c r="B21800" s="574">
        <v>261</v>
      </c>
      <c r="C21800" s="574">
        <v>78</v>
      </c>
    </row>
    <row r="21801" spans="1:3">
      <c r="A21801" s="573" t="s">
        <v>2615</v>
      </c>
      <c r="B21801" s="574">
        <v>266</v>
      </c>
      <c r="C21801" s="574">
        <v>79</v>
      </c>
    </row>
    <row r="21802" spans="1:3">
      <c r="A21802" s="573" t="s">
        <v>2615</v>
      </c>
      <c r="B21802" s="574">
        <v>273</v>
      </c>
      <c r="C21802" s="574">
        <v>86</v>
      </c>
    </row>
    <row r="21803" spans="1:3">
      <c r="A21803" s="573" t="s">
        <v>2615</v>
      </c>
      <c r="B21803" s="574">
        <v>280</v>
      </c>
      <c r="C21803" s="574">
        <v>76</v>
      </c>
    </row>
    <row r="21804" spans="1:3">
      <c r="A21804" s="573" t="s">
        <v>2615</v>
      </c>
      <c r="B21804" s="574">
        <v>287</v>
      </c>
      <c r="C21804" s="574">
        <v>107</v>
      </c>
    </row>
    <row r="21805" spans="1:3">
      <c r="A21805" s="573" t="s">
        <v>2615</v>
      </c>
      <c r="B21805" s="574">
        <v>301</v>
      </c>
      <c r="C21805" s="574">
        <v>76</v>
      </c>
    </row>
    <row r="21806" spans="1:3">
      <c r="A21806" s="573" t="s">
        <v>2615</v>
      </c>
      <c r="B21806" s="574">
        <v>308</v>
      </c>
      <c r="C21806" s="574">
        <v>78</v>
      </c>
    </row>
    <row r="21807" spans="1:3">
      <c r="A21807" s="573" t="s">
        <v>2615</v>
      </c>
      <c r="B21807" s="574">
        <v>324</v>
      </c>
      <c r="C21807" s="574">
        <v>74</v>
      </c>
    </row>
    <row r="21808" spans="1:3">
      <c r="A21808" s="573" t="s">
        <v>2615</v>
      </c>
      <c r="B21808" s="574">
        <v>336</v>
      </c>
      <c r="C21808" s="574">
        <v>73</v>
      </c>
    </row>
    <row r="21809" spans="1:3">
      <c r="A21809" s="573" t="s">
        <v>2615</v>
      </c>
      <c r="B21809" s="574">
        <v>350</v>
      </c>
      <c r="C21809" s="574">
        <v>108</v>
      </c>
    </row>
    <row r="21810" spans="1:3">
      <c r="A21810" s="573" t="s">
        <v>2615</v>
      </c>
      <c r="B21810" s="574">
        <v>365</v>
      </c>
      <c r="C21810" s="574">
        <v>71</v>
      </c>
    </row>
    <row r="21811" spans="1:3">
      <c r="A21811" s="573" t="s">
        <v>2615</v>
      </c>
      <c r="B21811" s="574">
        <v>371</v>
      </c>
      <c r="C21811" s="574">
        <v>96</v>
      </c>
    </row>
    <row r="21812" spans="1:3">
      <c r="A21812" s="571" t="s">
        <v>2616</v>
      </c>
      <c r="B21812" s="572">
        <v>0</v>
      </c>
      <c r="C21812" s="572">
        <v>0</v>
      </c>
    </row>
    <row r="21813" spans="1:3">
      <c r="A21813" s="571" t="s">
        <v>2616</v>
      </c>
      <c r="B21813" s="572">
        <v>1</v>
      </c>
      <c r="C21813" s="572">
        <v>5</v>
      </c>
    </row>
    <row r="21814" spans="1:3">
      <c r="A21814" s="571" t="s">
        <v>2616</v>
      </c>
      <c r="B21814" s="572">
        <v>2</v>
      </c>
      <c r="C21814" s="572">
        <v>8</v>
      </c>
    </row>
    <row r="21815" spans="1:3">
      <c r="A21815" s="571" t="s">
        <v>2616</v>
      </c>
      <c r="B21815" s="572">
        <v>6</v>
      </c>
      <c r="C21815" s="572">
        <v>22</v>
      </c>
    </row>
    <row r="21816" spans="1:3">
      <c r="A21816" s="571" t="s">
        <v>2616</v>
      </c>
      <c r="B21816" s="572">
        <v>8</v>
      </c>
      <c r="C21816" s="572">
        <v>27</v>
      </c>
    </row>
    <row r="21817" spans="1:3">
      <c r="A21817" s="571" t="s">
        <v>2616</v>
      </c>
      <c r="B21817" s="572">
        <v>9</v>
      </c>
      <c r="C21817" s="572">
        <v>29</v>
      </c>
    </row>
    <row r="21818" spans="1:3">
      <c r="A21818" s="571" t="s">
        <v>2616</v>
      </c>
      <c r="B21818" s="572">
        <v>14</v>
      </c>
      <c r="C21818" s="572">
        <v>35</v>
      </c>
    </row>
    <row r="21819" spans="1:3">
      <c r="A21819" s="571" t="s">
        <v>2616</v>
      </c>
      <c r="B21819" s="572">
        <v>27</v>
      </c>
      <c r="C21819" s="572">
        <v>44</v>
      </c>
    </row>
    <row r="21820" spans="1:3">
      <c r="A21820" s="571" t="s">
        <v>2616</v>
      </c>
      <c r="B21820" s="572">
        <v>41</v>
      </c>
      <c r="C21820" s="572">
        <v>42</v>
      </c>
    </row>
    <row r="21821" spans="1:3">
      <c r="A21821" s="571" t="s">
        <v>2616</v>
      </c>
      <c r="B21821" s="572">
        <v>64</v>
      </c>
      <c r="C21821" s="572">
        <v>44</v>
      </c>
    </row>
    <row r="21822" spans="1:3">
      <c r="A21822" s="571" t="s">
        <v>2616</v>
      </c>
      <c r="B21822" s="572">
        <v>86</v>
      </c>
      <c r="C21822" s="572">
        <v>28</v>
      </c>
    </row>
    <row r="21823" spans="1:3">
      <c r="A21823" s="571" t="s">
        <v>2617</v>
      </c>
      <c r="B21823" s="572">
        <v>0</v>
      </c>
      <c r="C21823" s="572">
        <v>0</v>
      </c>
    </row>
    <row r="21824" spans="1:3">
      <c r="A21824" s="571" t="s">
        <v>2617</v>
      </c>
      <c r="B21824" s="572">
        <v>1</v>
      </c>
      <c r="C21824" s="572">
        <v>9</v>
      </c>
    </row>
    <row r="21825" spans="1:3">
      <c r="A21825" s="571" t="s">
        <v>2617</v>
      </c>
      <c r="B21825" s="572">
        <v>2</v>
      </c>
      <c r="C21825" s="572">
        <v>6</v>
      </c>
    </row>
    <row r="21826" spans="1:3">
      <c r="A21826" s="571" t="s">
        <v>2617</v>
      </c>
      <c r="B21826" s="572">
        <v>4</v>
      </c>
      <c r="C21826" s="572">
        <v>12</v>
      </c>
    </row>
    <row r="21827" spans="1:3">
      <c r="A21827" s="571" t="s">
        <v>2617</v>
      </c>
      <c r="B21827" s="572">
        <v>10</v>
      </c>
      <c r="C21827" s="572">
        <v>21</v>
      </c>
    </row>
    <row r="21828" spans="1:3">
      <c r="A21828" s="571" t="s">
        <v>2617</v>
      </c>
      <c r="B21828" s="572">
        <v>11</v>
      </c>
      <c r="C21828" s="572">
        <v>25</v>
      </c>
    </row>
    <row r="21829" spans="1:3">
      <c r="A21829" s="571" t="s">
        <v>2617</v>
      </c>
      <c r="B21829" s="572">
        <v>21</v>
      </c>
      <c r="C21829" s="572">
        <v>32</v>
      </c>
    </row>
    <row r="21830" spans="1:3">
      <c r="A21830" s="571" t="s">
        <v>2617</v>
      </c>
      <c r="B21830" s="572">
        <v>29</v>
      </c>
      <c r="C21830" s="572">
        <v>38</v>
      </c>
    </row>
    <row r="21831" spans="1:3">
      <c r="A21831" s="571" t="s">
        <v>2617</v>
      </c>
      <c r="B21831" s="572">
        <v>38</v>
      </c>
      <c r="C21831" s="572">
        <v>43</v>
      </c>
    </row>
    <row r="21832" spans="1:3">
      <c r="A21832" s="571" t="s">
        <v>2617</v>
      </c>
      <c r="B21832" s="572">
        <v>49</v>
      </c>
      <c r="C21832" s="572">
        <v>46</v>
      </c>
    </row>
    <row r="21833" spans="1:3">
      <c r="A21833" s="571" t="s">
        <v>2617</v>
      </c>
      <c r="B21833" s="572">
        <v>78</v>
      </c>
      <c r="C21833" s="572">
        <v>54</v>
      </c>
    </row>
    <row r="21834" spans="1:3">
      <c r="A21834" s="573" t="s">
        <v>2617</v>
      </c>
      <c r="B21834" s="574">
        <v>108</v>
      </c>
      <c r="C21834" s="574">
        <v>58</v>
      </c>
    </row>
    <row r="21835" spans="1:3">
      <c r="A21835" s="573" t="s">
        <v>2617</v>
      </c>
      <c r="B21835" s="574">
        <v>141</v>
      </c>
      <c r="C21835" s="574">
        <v>61</v>
      </c>
    </row>
    <row r="21836" spans="1:3">
      <c r="A21836" s="573" t="s">
        <v>2617</v>
      </c>
      <c r="B21836" s="574">
        <v>183</v>
      </c>
      <c r="C21836" s="574">
        <v>61</v>
      </c>
    </row>
    <row r="21837" spans="1:3">
      <c r="A21837" s="573" t="s">
        <v>2617</v>
      </c>
      <c r="B21837" s="574">
        <v>198</v>
      </c>
      <c r="C21837" s="574">
        <v>60</v>
      </c>
    </row>
    <row r="21838" spans="1:3">
      <c r="A21838" s="573" t="s">
        <v>2617</v>
      </c>
      <c r="B21838" s="574">
        <v>238</v>
      </c>
      <c r="C21838" s="574">
        <v>60</v>
      </c>
    </row>
    <row r="21839" spans="1:3">
      <c r="A21839" s="573" t="s">
        <v>2617</v>
      </c>
      <c r="B21839" s="574">
        <v>261</v>
      </c>
      <c r="C21839" s="574">
        <v>61</v>
      </c>
    </row>
    <row r="21840" spans="1:3">
      <c r="A21840" s="573" t="s">
        <v>2617</v>
      </c>
      <c r="B21840" s="574">
        <v>266</v>
      </c>
      <c r="C21840" s="574">
        <v>73</v>
      </c>
    </row>
    <row r="21841" spans="1:3">
      <c r="A21841" s="573" t="s">
        <v>2617</v>
      </c>
      <c r="B21841" s="574">
        <v>273</v>
      </c>
      <c r="C21841" s="574">
        <v>59</v>
      </c>
    </row>
    <row r="21842" spans="1:3">
      <c r="A21842" s="573" t="s">
        <v>2617</v>
      </c>
      <c r="B21842" s="574">
        <v>280</v>
      </c>
      <c r="C21842" s="574">
        <v>50</v>
      </c>
    </row>
    <row r="21843" spans="1:3">
      <c r="A21843" s="573" t="s">
        <v>2617</v>
      </c>
      <c r="B21843" s="574">
        <v>287</v>
      </c>
      <c r="C21843" s="574">
        <v>70</v>
      </c>
    </row>
    <row r="21844" spans="1:3">
      <c r="A21844" s="573" t="s">
        <v>2617</v>
      </c>
      <c r="B21844" s="574">
        <v>301</v>
      </c>
      <c r="C21844" s="574">
        <v>46</v>
      </c>
    </row>
    <row r="21845" spans="1:3">
      <c r="A21845" s="573" t="s">
        <v>2617</v>
      </c>
      <c r="B21845" s="574">
        <v>308</v>
      </c>
      <c r="C21845" s="574">
        <v>44</v>
      </c>
    </row>
    <row r="21846" spans="1:3">
      <c r="A21846" s="573" t="s">
        <v>2617</v>
      </c>
      <c r="B21846" s="574">
        <v>324</v>
      </c>
      <c r="C21846" s="574">
        <v>41</v>
      </c>
    </row>
    <row r="21847" spans="1:3">
      <c r="A21847" s="573" t="s">
        <v>2617</v>
      </c>
      <c r="B21847" s="574">
        <v>336</v>
      </c>
      <c r="C21847" s="574">
        <v>43</v>
      </c>
    </row>
    <row r="21848" spans="1:3">
      <c r="A21848" s="573" t="s">
        <v>2617</v>
      </c>
      <c r="B21848" s="574">
        <v>350</v>
      </c>
      <c r="C21848" s="574">
        <v>42</v>
      </c>
    </row>
    <row r="21849" spans="1:3">
      <c r="A21849" s="573" t="s">
        <v>2617</v>
      </c>
      <c r="B21849" s="574">
        <v>365</v>
      </c>
      <c r="C21849" s="574">
        <v>45</v>
      </c>
    </row>
    <row r="21850" spans="1:3">
      <c r="A21850" s="573" t="s">
        <v>2617</v>
      </c>
      <c r="B21850" s="574">
        <v>371</v>
      </c>
      <c r="C21850" s="574">
        <v>36</v>
      </c>
    </row>
    <row r="21851" spans="1:3">
      <c r="A21851" s="573" t="s">
        <v>2617</v>
      </c>
      <c r="B21851" s="574">
        <v>385</v>
      </c>
      <c r="C21851" s="574">
        <v>38</v>
      </c>
    </row>
    <row r="21852" spans="1:3">
      <c r="A21852" s="573" t="s">
        <v>2617</v>
      </c>
      <c r="B21852" s="574">
        <v>392</v>
      </c>
      <c r="C21852" s="574">
        <v>27</v>
      </c>
    </row>
    <row r="21853" spans="1:3">
      <c r="A21853" s="573" t="s">
        <v>2617</v>
      </c>
      <c r="B21853" s="574">
        <v>407</v>
      </c>
      <c r="C21853" s="574">
        <v>38</v>
      </c>
    </row>
    <row r="21854" spans="1:3">
      <c r="A21854" s="573" t="s">
        <v>2617</v>
      </c>
      <c r="B21854" s="574">
        <v>420</v>
      </c>
      <c r="C21854" s="574">
        <v>20</v>
      </c>
    </row>
    <row r="21855" spans="1:3">
      <c r="A21855" s="573" t="s">
        <v>2617</v>
      </c>
      <c r="B21855" s="574">
        <v>435</v>
      </c>
      <c r="C21855" s="574">
        <v>15</v>
      </c>
    </row>
    <row r="21856" spans="1:3">
      <c r="A21856" s="573" t="s">
        <v>2617</v>
      </c>
      <c r="B21856" s="574">
        <v>448</v>
      </c>
      <c r="C21856" s="574">
        <v>20</v>
      </c>
    </row>
    <row r="21857" spans="1:3">
      <c r="A21857" s="573" t="s">
        <v>2617</v>
      </c>
      <c r="B21857" s="574">
        <v>462</v>
      </c>
      <c r="C21857" s="574">
        <v>14</v>
      </c>
    </row>
    <row r="21858" spans="1:3">
      <c r="A21858" s="573" t="s">
        <v>2617</v>
      </c>
      <c r="B21858" s="574">
        <v>484</v>
      </c>
      <c r="C21858" s="574">
        <v>0</v>
      </c>
    </row>
    <row r="21859" spans="1:3">
      <c r="A21859" s="571" t="s">
        <v>1588</v>
      </c>
      <c r="B21859" s="572">
        <v>0</v>
      </c>
      <c r="C21859" s="572">
        <v>0</v>
      </c>
    </row>
    <row r="21860" spans="1:3">
      <c r="A21860" s="571" t="s">
        <v>1588</v>
      </c>
      <c r="B21860" s="572">
        <v>10</v>
      </c>
      <c r="C21860" s="572">
        <v>28</v>
      </c>
    </row>
    <row r="21861" spans="1:3">
      <c r="A21861" s="573" t="s">
        <v>1588</v>
      </c>
      <c r="B21861" s="574">
        <v>100</v>
      </c>
      <c r="C21861" s="574">
        <v>35</v>
      </c>
    </row>
    <row r="21862" spans="1:3">
      <c r="A21862" s="573" t="s">
        <v>1588</v>
      </c>
      <c r="B21862" s="574">
        <v>200</v>
      </c>
      <c r="C21862" s="574">
        <v>37</v>
      </c>
    </row>
    <row r="21863" spans="1:3">
      <c r="A21863" s="573" t="s">
        <v>1588</v>
      </c>
      <c r="B21863" s="574">
        <v>365</v>
      </c>
      <c r="C21863" s="574">
        <v>46</v>
      </c>
    </row>
    <row r="21864" spans="1:3">
      <c r="A21864" s="571" t="s">
        <v>1587</v>
      </c>
      <c r="B21864" s="572">
        <v>0</v>
      </c>
      <c r="C21864" s="572">
        <v>52</v>
      </c>
    </row>
    <row r="21865" spans="1:3">
      <c r="A21865" s="571" t="s">
        <v>1587</v>
      </c>
      <c r="B21865" s="572">
        <v>1</v>
      </c>
      <c r="C21865" s="572">
        <v>82</v>
      </c>
    </row>
    <row r="21866" spans="1:3">
      <c r="A21866" s="571" t="s">
        <v>1587</v>
      </c>
      <c r="B21866" s="572">
        <v>10</v>
      </c>
      <c r="C21866" s="572">
        <v>144</v>
      </c>
    </row>
    <row r="21867" spans="1:3">
      <c r="A21867" s="573" t="s">
        <v>1587</v>
      </c>
      <c r="B21867" s="574">
        <v>100</v>
      </c>
      <c r="C21867" s="574">
        <v>319</v>
      </c>
    </row>
    <row r="21868" spans="1:3">
      <c r="A21868" s="573" t="s">
        <v>1587</v>
      </c>
      <c r="B21868" s="574">
        <v>200</v>
      </c>
      <c r="C21868" s="574">
        <v>374</v>
      </c>
    </row>
    <row r="21869" spans="1:3">
      <c r="A21869" s="573" t="s">
        <v>1587</v>
      </c>
      <c r="B21869" s="574">
        <v>365</v>
      </c>
      <c r="C21869" s="574">
        <v>429</v>
      </c>
    </row>
    <row r="21870" spans="1:3">
      <c r="A21870" s="571" t="s">
        <v>1586</v>
      </c>
      <c r="B21870" s="572">
        <v>0</v>
      </c>
      <c r="C21870" s="572">
        <v>8</v>
      </c>
    </row>
    <row r="21871" spans="1:3">
      <c r="A21871" s="571" t="s">
        <v>1586</v>
      </c>
      <c r="B21871" s="572">
        <v>10</v>
      </c>
      <c r="C21871" s="572">
        <v>24</v>
      </c>
    </row>
    <row r="21872" spans="1:3">
      <c r="A21872" s="573" t="s">
        <v>1586</v>
      </c>
      <c r="B21872" s="574">
        <v>100</v>
      </c>
      <c r="C21872" s="574">
        <v>41</v>
      </c>
    </row>
    <row r="21873" spans="1:3">
      <c r="A21873" s="573" t="s">
        <v>1586</v>
      </c>
      <c r="B21873" s="574">
        <v>200</v>
      </c>
      <c r="C21873" s="574">
        <v>47</v>
      </c>
    </row>
    <row r="21874" spans="1:3">
      <c r="A21874" s="573" t="s">
        <v>1586</v>
      </c>
      <c r="B21874" s="574">
        <v>365</v>
      </c>
      <c r="C21874" s="574">
        <v>60</v>
      </c>
    </row>
    <row r="21875" spans="1:3">
      <c r="A21875" s="571" t="s">
        <v>1585</v>
      </c>
      <c r="B21875" s="572">
        <v>0</v>
      </c>
      <c r="C21875" s="572">
        <v>32</v>
      </c>
    </row>
    <row r="21876" spans="1:3">
      <c r="A21876" s="571" t="s">
        <v>1585</v>
      </c>
      <c r="B21876" s="572">
        <v>1</v>
      </c>
      <c r="C21876" s="572">
        <v>34</v>
      </c>
    </row>
    <row r="21877" spans="1:3">
      <c r="A21877" s="571" t="s">
        <v>1585</v>
      </c>
      <c r="B21877" s="572">
        <v>10</v>
      </c>
      <c r="C21877" s="572">
        <v>105</v>
      </c>
    </row>
    <row r="21878" spans="1:3">
      <c r="A21878" s="573" t="s">
        <v>1585</v>
      </c>
      <c r="B21878" s="574">
        <v>100</v>
      </c>
      <c r="C21878" s="574">
        <v>292</v>
      </c>
    </row>
    <row r="21879" spans="1:3">
      <c r="A21879" s="573" t="s">
        <v>1585</v>
      </c>
      <c r="B21879" s="574">
        <v>200</v>
      </c>
      <c r="C21879" s="574">
        <v>365</v>
      </c>
    </row>
    <row r="21880" spans="1:3">
      <c r="A21880" s="573" t="s">
        <v>1585</v>
      </c>
      <c r="B21880" s="574">
        <v>365</v>
      </c>
      <c r="C21880" s="574">
        <v>395</v>
      </c>
    </row>
    <row r="21881" spans="1:3">
      <c r="A21881" s="571" t="s">
        <v>1584</v>
      </c>
      <c r="B21881" s="572">
        <v>0</v>
      </c>
      <c r="C21881" s="572">
        <v>28</v>
      </c>
    </row>
    <row r="21882" spans="1:3">
      <c r="A21882" s="571" t="s">
        <v>1584</v>
      </c>
      <c r="B21882" s="572">
        <v>10</v>
      </c>
      <c r="C21882" s="572">
        <v>3</v>
      </c>
    </row>
    <row r="21883" spans="1:3">
      <c r="A21883" s="573" t="s">
        <v>1584</v>
      </c>
      <c r="B21883" s="574">
        <v>100</v>
      </c>
      <c r="C21883" s="574">
        <v>4</v>
      </c>
    </row>
    <row r="21884" spans="1:3">
      <c r="A21884" s="573" t="s">
        <v>1584</v>
      </c>
      <c r="B21884" s="574">
        <v>200</v>
      </c>
      <c r="C21884" s="574">
        <v>20</v>
      </c>
    </row>
    <row r="21885" spans="1:3">
      <c r="A21885" s="573" t="s">
        <v>1584</v>
      </c>
      <c r="B21885" s="574">
        <v>365</v>
      </c>
      <c r="C21885" s="574">
        <v>44</v>
      </c>
    </row>
    <row r="21886" spans="1:3">
      <c r="A21886" s="571" t="s">
        <v>1583</v>
      </c>
      <c r="B21886" s="572">
        <v>0</v>
      </c>
      <c r="C21886" s="572">
        <v>22</v>
      </c>
    </row>
    <row r="21887" spans="1:3">
      <c r="A21887" s="571" t="s">
        <v>1583</v>
      </c>
      <c r="B21887" s="572">
        <v>1</v>
      </c>
      <c r="C21887" s="572">
        <v>86</v>
      </c>
    </row>
    <row r="21888" spans="1:3">
      <c r="A21888" s="571" t="s">
        <v>1583</v>
      </c>
      <c r="B21888" s="572">
        <v>10</v>
      </c>
      <c r="C21888" s="572">
        <v>214</v>
      </c>
    </row>
    <row r="21889" spans="1:3">
      <c r="A21889" s="573" t="s">
        <v>1583</v>
      </c>
      <c r="B21889" s="574">
        <v>100</v>
      </c>
      <c r="C21889" s="574">
        <v>383</v>
      </c>
    </row>
    <row r="21890" spans="1:3">
      <c r="A21890" s="573" t="s">
        <v>1583</v>
      </c>
      <c r="B21890" s="574">
        <v>200</v>
      </c>
      <c r="C21890" s="574">
        <v>455</v>
      </c>
    </row>
    <row r="21891" spans="1:3">
      <c r="A21891" s="573" t="s">
        <v>1583</v>
      </c>
      <c r="B21891" s="574">
        <v>365</v>
      </c>
      <c r="C21891" s="574">
        <v>501</v>
      </c>
    </row>
    <row r="21892" spans="1:3">
      <c r="A21892" s="571" t="s">
        <v>1582</v>
      </c>
      <c r="B21892" s="572">
        <v>0</v>
      </c>
      <c r="C21892" s="572">
        <v>14</v>
      </c>
    </row>
    <row r="21893" spans="1:3">
      <c r="A21893" s="571" t="s">
        <v>1582</v>
      </c>
      <c r="B21893" s="572">
        <v>10</v>
      </c>
      <c r="C21893" s="572">
        <v>8</v>
      </c>
    </row>
    <row r="21894" spans="1:3">
      <c r="A21894" s="573" t="s">
        <v>1582</v>
      </c>
      <c r="B21894" s="574">
        <v>100</v>
      </c>
      <c r="C21894" s="574">
        <v>23</v>
      </c>
    </row>
    <row r="21895" spans="1:3">
      <c r="A21895" s="573" t="s">
        <v>1582</v>
      </c>
      <c r="B21895" s="574">
        <v>200</v>
      </c>
      <c r="C21895" s="574">
        <v>42</v>
      </c>
    </row>
    <row r="21896" spans="1:3">
      <c r="A21896" s="573" t="s">
        <v>1582</v>
      </c>
      <c r="B21896" s="574">
        <v>365</v>
      </c>
      <c r="C21896" s="574">
        <v>62</v>
      </c>
    </row>
    <row r="21897" spans="1:3">
      <c r="A21897" s="571" t="s">
        <v>1581</v>
      </c>
      <c r="B21897" s="572">
        <v>0</v>
      </c>
      <c r="C21897" s="572">
        <v>32</v>
      </c>
    </row>
    <row r="21898" spans="1:3">
      <c r="A21898" s="571" t="s">
        <v>1581</v>
      </c>
      <c r="B21898" s="572">
        <v>1</v>
      </c>
      <c r="C21898" s="572">
        <v>96</v>
      </c>
    </row>
    <row r="21899" spans="1:3">
      <c r="A21899" s="571" t="s">
        <v>1581</v>
      </c>
      <c r="B21899" s="572">
        <v>10</v>
      </c>
      <c r="C21899" s="572">
        <v>235</v>
      </c>
    </row>
    <row r="21900" spans="1:3">
      <c r="A21900" s="573" t="s">
        <v>1581</v>
      </c>
      <c r="B21900" s="574">
        <v>100</v>
      </c>
      <c r="C21900" s="574">
        <v>442</v>
      </c>
    </row>
    <row r="21901" spans="1:3">
      <c r="A21901" s="573" t="s">
        <v>1581</v>
      </c>
      <c r="B21901" s="574">
        <v>200</v>
      </c>
      <c r="C21901" s="574">
        <v>500</v>
      </c>
    </row>
    <row r="21902" spans="1:3">
      <c r="A21902" s="573" t="s">
        <v>1581</v>
      </c>
      <c r="B21902" s="574">
        <v>365</v>
      </c>
      <c r="C21902" s="574">
        <v>577</v>
      </c>
    </row>
    <row r="21903" spans="1:3">
      <c r="A21903" s="571" t="s">
        <v>1580</v>
      </c>
      <c r="B21903" s="572">
        <v>0</v>
      </c>
      <c r="C21903" s="572">
        <v>33</v>
      </c>
    </row>
    <row r="21904" spans="1:3">
      <c r="A21904" s="571" t="s">
        <v>1580</v>
      </c>
      <c r="B21904" s="572">
        <v>10</v>
      </c>
      <c r="C21904" s="572">
        <v>28</v>
      </c>
    </row>
    <row r="21905" spans="1:3">
      <c r="A21905" s="573" t="s">
        <v>1580</v>
      </c>
      <c r="B21905" s="574">
        <v>100</v>
      </c>
      <c r="C21905" s="574">
        <v>40</v>
      </c>
    </row>
    <row r="21906" spans="1:3">
      <c r="A21906" s="573" t="s">
        <v>1580</v>
      </c>
      <c r="B21906" s="574">
        <v>200</v>
      </c>
      <c r="C21906" s="574">
        <v>62</v>
      </c>
    </row>
    <row r="21907" spans="1:3">
      <c r="A21907" s="573" t="s">
        <v>1580</v>
      </c>
      <c r="B21907" s="574">
        <v>365</v>
      </c>
      <c r="C21907" s="574">
        <v>96</v>
      </c>
    </row>
    <row r="21908" spans="1:3">
      <c r="A21908" s="571" t="s">
        <v>1579</v>
      </c>
      <c r="B21908" s="572">
        <v>0</v>
      </c>
      <c r="C21908" s="572">
        <v>41</v>
      </c>
    </row>
    <row r="21909" spans="1:3">
      <c r="A21909" s="571" t="s">
        <v>1579</v>
      </c>
      <c r="B21909" s="572">
        <v>1</v>
      </c>
      <c r="C21909" s="572">
        <v>77</v>
      </c>
    </row>
    <row r="21910" spans="1:3">
      <c r="A21910" s="571" t="s">
        <v>1579</v>
      </c>
      <c r="B21910" s="572">
        <v>10</v>
      </c>
      <c r="C21910" s="572">
        <v>142</v>
      </c>
    </row>
    <row r="21911" spans="1:3">
      <c r="A21911" s="573" t="s">
        <v>1579</v>
      </c>
      <c r="B21911" s="574">
        <v>100</v>
      </c>
      <c r="C21911" s="574">
        <v>288</v>
      </c>
    </row>
    <row r="21912" spans="1:3">
      <c r="A21912" s="573" t="s">
        <v>1579</v>
      </c>
      <c r="B21912" s="574">
        <v>200</v>
      </c>
      <c r="C21912" s="574">
        <v>338</v>
      </c>
    </row>
    <row r="21913" spans="1:3">
      <c r="A21913" s="573" t="s">
        <v>1579</v>
      </c>
      <c r="B21913" s="574">
        <v>365</v>
      </c>
      <c r="C21913" s="574">
        <v>404</v>
      </c>
    </row>
    <row r="21914" spans="1:3">
      <c r="A21914" s="571" t="s">
        <v>1578</v>
      </c>
      <c r="B21914" s="572">
        <v>0</v>
      </c>
      <c r="C21914" s="572">
        <v>64</v>
      </c>
    </row>
    <row r="21915" spans="1:3">
      <c r="A21915" s="571" t="s">
        <v>1578</v>
      </c>
      <c r="B21915" s="572">
        <v>10</v>
      </c>
      <c r="C21915" s="572">
        <v>57</v>
      </c>
    </row>
    <row r="21916" spans="1:3">
      <c r="A21916" s="573" t="s">
        <v>1578</v>
      </c>
      <c r="B21916" s="574">
        <v>100</v>
      </c>
      <c r="C21916" s="574">
        <v>81</v>
      </c>
    </row>
    <row r="21917" spans="1:3">
      <c r="A21917" s="573" t="s">
        <v>1578</v>
      </c>
      <c r="B21917" s="574">
        <v>200</v>
      </c>
      <c r="C21917" s="574">
        <v>110</v>
      </c>
    </row>
    <row r="21918" spans="1:3">
      <c r="A21918" s="573" t="s">
        <v>1578</v>
      </c>
      <c r="B21918" s="574">
        <v>365</v>
      </c>
      <c r="C21918" s="574">
        <v>134</v>
      </c>
    </row>
    <row r="21919" spans="1:3">
      <c r="A21919" s="571" t="s">
        <v>1577</v>
      </c>
      <c r="B21919" s="572">
        <v>0</v>
      </c>
      <c r="C21919" s="572">
        <v>74</v>
      </c>
    </row>
    <row r="21920" spans="1:3">
      <c r="A21920" s="571" t="s">
        <v>1577</v>
      </c>
      <c r="B21920" s="572">
        <v>1</v>
      </c>
      <c r="C21920" s="572">
        <v>137</v>
      </c>
    </row>
    <row r="21921" spans="1:3">
      <c r="A21921" s="571" t="s">
        <v>1577</v>
      </c>
      <c r="B21921" s="572">
        <v>10</v>
      </c>
      <c r="C21921" s="572">
        <v>270</v>
      </c>
    </row>
    <row r="21922" spans="1:3">
      <c r="A21922" s="573" t="s">
        <v>1577</v>
      </c>
      <c r="B21922" s="574">
        <v>100</v>
      </c>
      <c r="C21922" s="574">
        <v>445</v>
      </c>
    </row>
    <row r="21923" spans="1:3">
      <c r="A21923" s="573" t="s">
        <v>1577</v>
      </c>
      <c r="B21923" s="574">
        <v>200</v>
      </c>
      <c r="C21923" s="574">
        <v>505</v>
      </c>
    </row>
    <row r="21924" spans="1:3">
      <c r="A21924" s="573" t="s">
        <v>1577</v>
      </c>
      <c r="B21924" s="574">
        <v>365</v>
      </c>
      <c r="C21924" s="574">
        <v>580</v>
      </c>
    </row>
    <row r="21925" spans="1:3">
      <c r="A21925" s="571" t="s">
        <v>1576</v>
      </c>
      <c r="B21925" s="572">
        <v>0</v>
      </c>
      <c r="C21925" s="572">
        <v>49</v>
      </c>
    </row>
    <row r="21926" spans="1:3">
      <c r="A21926" s="571" t="s">
        <v>1576</v>
      </c>
      <c r="B21926" s="572">
        <v>10</v>
      </c>
      <c r="C21926" s="572">
        <v>40</v>
      </c>
    </row>
    <row r="21927" spans="1:3">
      <c r="A21927" s="573" t="s">
        <v>1576</v>
      </c>
      <c r="B21927" s="574">
        <v>100</v>
      </c>
      <c r="C21927" s="574">
        <v>56</v>
      </c>
    </row>
    <row r="21928" spans="1:3">
      <c r="A21928" s="573" t="s">
        <v>1576</v>
      </c>
      <c r="B21928" s="574">
        <v>200</v>
      </c>
      <c r="C21928" s="574">
        <v>71</v>
      </c>
    </row>
    <row r="21929" spans="1:3">
      <c r="A21929" s="573" t="s">
        <v>1576</v>
      </c>
      <c r="B21929" s="574">
        <v>365</v>
      </c>
      <c r="C21929" s="574">
        <v>97</v>
      </c>
    </row>
    <row r="21930" spans="1:3">
      <c r="A21930" s="571" t="s">
        <v>1575</v>
      </c>
      <c r="B21930" s="572">
        <v>0</v>
      </c>
      <c r="C21930" s="572">
        <v>65</v>
      </c>
    </row>
    <row r="21931" spans="1:3">
      <c r="A21931" s="571" t="s">
        <v>1575</v>
      </c>
      <c r="B21931" s="572">
        <v>1</v>
      </c>
      <c r="C21931" s="572">
        <v>129</v>
      </c>
    </row>
    <row r="21932" spans="1:3">
      <c r="A21932" s="571" t="s">
        <v>1575</v>
      </c>
      <c r="B21932" s="572">
        <v>10</v>
      </c>
      <c r="C21932" s="572">
        <v>240</v>
      </c>
    </row>
    <row r="21933" spans="1:3">
      <c r="A21933" s="573" t="s">
        <v>1575</v>
      </c>
      <c r="B21933" s="574">
        <v>100</v>
      </c>
      <c r="C21933" s="574">
        <v>410</v>
      </c>
    </row>
    <row r="21934" spans="1:3">
      <c r="A21934" s="573" t="s">
        <v>1575</v>
      </c>
      <c r="B21934" s="574">
        <v>200</v>
      </c>
      <c r="C21934" s="574">
        <v>455</v>
      </c>
    </row>
    <row r="21935" spans="1:3">
      <c r="A21935" s="573" t="s">
        <v>1575</v>
      </c>
      <c r="B21935" s="574">
        <v>365</v>
      </c>
      <c r="C21935" s="574">
        <v>496</v>
      </c>
    </row>
    <row r="21936" spans="1:3">
      <c r="A21936" s="571" t="s">
        <v>1574</v>
      </c>
      <c r="B21936" s="572">
        <v>0</v>
      </c>
      <c r="C21936" s="572">
        <v>55</v>
      </c>
    </row>
    <row r="21937" spans="1:3">
      <c r="A21937" s="571" t="s">
        <v>1574</v>
      </c>
      <c r="B21937" s="572">
        <v>10</v>
      </c>
      <c r="C21937" s="572">
        <v>48</v>
      </c>
    </row>
    <row r="21938" spans="1:3">
      <c r="A21938" s="573" t="s">
        <v>1574</v>
      </c>
      <c r="B21938" s="574">
        <v>100</v>
      </c>
      <c r="C21938" s="574">
        <v>65</v>
      </c>
    </row>
    <row r="21939" spans="1:3">
      <c r="A21939" s="573" t="s">
        <v>1574</v>
      </c>
      <c r="B21939" s="574">
        <v>200</v>
      </c>
      <c r="C21939" s="574">
        <v>84</v>
      </c>
    </row>
    <row r="21940" spans="1:3">
      <c r="A21940" s="573" t="s">
        <v>1574</v>
      </c>
      <c r="B21940" s="574">
        <v>365</v>
      </c>
      <c r="C21940" s="574">
        <v>108</v>
      </c>
    </row>
    <row r="21941" spans="1:3">
      <c r="A21941" s="571" t="s">
        <v>1573</v>
      </c>
      <c r="B21941" s="572">
        <v>0</v>
      </c>
      <c r="C21941" s="572">
        <v>56</v>
      </c>
    </row>
    <row r="21942" spans="1:3">
      <c r="A21942" s="571" t="s">
        <v>1573</v>
      </c>
      <c r="B21942" s="572">
        <v>1</v>
      </c>
      <c r="C21942" s="572">
        <v>120</v>
      </c>
    </row>
    <row r="21943" spans="1:3">
      <c r="A21943" s="571" t="s">
        <v>1573</v>
      </c>
      <c r="B21943" s="572">
        <v>10</v>
      </c>
      <c r="C21943" s="572">
        <v>223</v>
      </c>
    </row>
    <row r="21944" spans="1:3">
      <c r="A21944" s="573" t="s">
        <v>1573</v>
      </c>
      <c r="B21944" s="574">
        <v>100</v>
      </c>
      <c r="C21944" s="574">
        <v>385</v>
      </c>
    </row>
    <row r="21945" spans="1:3">
      <c r="A21945" s="573" t="s">
        <v>1573</v>
      </c>
      <c r="B21945" s="574">
        <v>200</v>
      </c>
      <c r="C21945" s="574">
        <v>432</v>
      </c>
    </row>
    <row r="21946" spans="1:3">
      <c r="A21946" s="573" t="s">
        <v>1573</v>
      </c>
      <c r="B21946" s="574">
        <v>365</v>
      </c>
      <c r="C21946" s="574">
        <v>460</v>
      </c>
    </row>
    <row r="21947" spans="1:3">
      <c r="A21947" s="571" t="s">
        <v>1572</v>
      </c>
      <c r="B21947" s="572">
        <v>0</v>
      </c>
      <c r="C21947" s="572">
        <v>3</v>
      </c>
    </row>
    <row r="21948" spans="1:3">
      <c r="A21948" s="571" t="s">
        <v>1572</v>
      </c>
      <c r="B21948" s="572">
        <v>10</v>
      </c>
      <c r="C21948" s="572">
        <v>22</v>
      </c>
    </row>
    <row r="21949" spans="1:3">
      <c r="A21949" s="573" t="s">
        <v>1572</v>
      </c>
      <c r="B21949" s="574">
        <v>100</v>
      </c>
      <c r="C21949" s="574">
        <v>36</v>
      </c>
    </row>
    <row r="21950" spans="1:3">
      <c r="A21950" s="573" t="s">
        <v>1572</v>
      </c>
      <c r="B21950" s="574">
        <v>200</v>
      </c>
      <c r="C21950" s="574">
        <v>21</v>
      </c>
    </row>
    <row r="21951" spans="1:3">
      <c r="A21951" s="573" t="s">
        <v>1572</v>
      </c>
      <c r="B21951" s="574">
        <v>365</v>
      </c>
      <c r="C21951" s="574">
        <v>7</v>
      </c>
    </row>
    <row r="21952" spans="1:3">
      <c r="A21952" s="571" t="s">
        <v>1571</v>
      </c>
      <c r="B21952" s="572">
        <v>0</v>
      </c>
      <c r="C21952" s="572">
        <v>6</v>
      </c>
    </row>
    <row r="21953" spans="1:3">
      <c r="A21953" s="571" t="s">
        <v>1571</v>
      </c>
      <c r="B21953" s="572">
        <v>1</v>
      </c>
      <c r="C21953" s="572">
        <v>64</v>
      </c>
    </row>
    <row r="21954" spans="1:3">
      <c r="A21954" s="571" t="s">
        <v>1571</v>
      </c>
      <c r="B21954" s="572">
        <v>10</v>
      </c>
      <c r="C21954" s="572">
        <v>194</v>
      </c>
    </row>
    <row r="21955" spans="1:3">
      <c r="A21955" s="573" t="s">
        <v>1571</v>
      </c>
      <c r="B21955" s="574">
        <v>100</v>
      </c>
      <c r="C21955" s="574">
        <v>503</v>
      </c>
    </row>
    <row r="21956" spans="1:3">
      <c r="A21956" s="573" t="s">
        <v>1571</v>
      </c>
      <c r="B21956" s="574">
        <v>200</v>
      </c>
      <c r="C21956" s="574">
        <v>514</v>
      </c>
    </row>
    <row r="21957" spans="1:3">
      <c r="A21957" s="573" t="s">
        <v>1571</v>
      </c>
      <c r="B21957" s="574">
        <v>365</v>
      </c>
      <c r="C21957" s="574">
        <v>522</v>
      </c>
    </row>
    <row r="21958" spans="1:3">
      <c r="A21958" s="571" t="s">
        <v>1570</v>
      </c>
      <c r="B21958" s="572">
        <v>0</v>
      </c>
      <c r="C21958" s="572">
        <v>2</v>
      </c>
    </row>
    <row r="21959" spans="1:3">
      <c r="A21959" s="571" t="s">
        <v>1570</v>
      </c>
      <c r="B21959" s="572">
        <v>10</v>
      </c>
      <c r="C21959" s="572">
        <v>12</v>
      </c>
    </row>
    <row r="21960" spans="1:3">
      <c r="A21960" s="573" t="s">
        <v>1570</v>
      </c>
      <c r="B21960" s="574">
        <v>100</v>
      </c>
      <c r="C21960" s="574">
        <v>34</v>
      </c>
    </row>
    <row r="21961" spans="1:3">
      <c r="A21961" s="573" t="s">
        <v>1570</v>
      </c>
      <c r="B21961" s="574">
        <v>200</v>
      </c>
      <c r="C21961" s="574">
        <v>60</v>
      </c>
    </row>
    <row r="21962" spans="1:3">
      <c r="A21962" s="573" t="s">
        <v>1570</v>
      </c>
      <c r="B21962" s="574">
        <v>365</v>
      </c>
      <c r="C21962" s="574">
        <v>83</v>
      </c>
    </row>
    <row r="21963" spans="1:3">
      <c r="A21963" s="571" t="s">
        <v>1569</v>
      </c>
      <c r="B21963" s="572">
        <v>0</v>
      </c>
      <c r="C21963" s="572">
        <v>26</v>
      </c>
    </row>
    <row r="21964" spans="1:3">
      <c r="A21964" s="571" t="s">
        <v>1569</v>
      </c>
      <c r="B21964" s="572">
        <v>1</v>
      </c>
      <c r="C21964" s="572">
        <v>75</v>
      </c>
    </row>
    <row r="21965" spans="1:3">
      <c r="A21965" s="571" t="s">
        <v>1569</v>
      </c>
      <c r="B21965" s="572">
        <v>10</v>
      </c>
      <c r="C21965" s="572">
        <v>210</v>
      </c>
    </row>
    <row r="21966" spans="1:3">
      <c r="A21966" s="573" t="s">
        <v>1569</v>
      </c>
      <c r="B21966" s="574">
        <v>100</v>
      </c>
      <c r="C21966" s="574">
        <v>422</v>
      </c>
    </row>
    <row r="21967" spans="1:3">
      <c r="A21967" s="573" t="s">
        <v>1569</v>
      </c>
      <c r="B21967" s="574">
        <v>200</v>
      </c>
      <c r="C21967" s="574">
        <v>425</v>
      </c>
    </row>
    <row r="21968" spans="1:3">
      <c r="A21968" s="573" t="s">
        <v>1569</v>
      </c>
      <c r="B21968" s="574">
        <v>365</v>
      </c>
      <c r="C21968" s="574">
        <v>440</v>
      </c>
    </row>
    <row r="21969" spans="1:3">
      <c r="A21969" s="571" t="s">
        <v>1568</v>
      </c>
      <c r="B21969" s="572">
        <v>0</v>
      </c>
      <c r="C21969" s="572">
        <v>51</v>
      </c>
    </row>
    <row r="21970" spans="1:3">
      <c r="A21970" s="571" t="s">
        <v>1568</v>
      </c>
      <c r="B21970" s="572">
        <v>10</v>
      </c>
      <c r="C21970" s="572">
        <v>4</v>
      </c>
    </row>
    <row r="21971" spans="1:3">
      <c r="A21971" s="573" t="s">
        <v>1568</v>
      </c>
      <c r="B21971" s="574">
        <v>100</v>
      </c>
      <c r="C21971" s="574">
        <v>20</v>
      </c>
    </row>
    <row r="21972" spans="1:3">
      <c r="A21972" s="573" t="s">
        <v>1568</v>
      </c>
      <c r="B21972" s="574">
        <v>200</v>
      </c>
      <c r="C21972" s="574">
        <v>42</v>
      </c>
    </row>
    <row r="21973" spans="1:3">
      <c r="A21973" s="573" t="s">
        <v>1568</v>
      </c>
      <c r="B21973" s="574">
        <v>365</v>
      </c>
      <c r="C21973" s="574">
        <v>66</v>
      </c>
    </row>
    <row r="21974" spans="1:3">
      <c r="A21974" s="571" t="s">
        <v>1567</v>
      </c>
      <c r="B21974" s="572">
        <v>0</v>
      </c>
      <c r="C21974" s="572">
        <v>26</v>
      </c>
    </row>
    <row r="21975" spans="1:3">
      <c r="A21975" s="571" t="s">
        <v>1567</v>
      </c>
      <c r="B21975" s="572">
        <v>1</v>
      </c>
      <c r="C21975" s="572">
        <v>105</v>
      </c>
    </row>
    <row r="21976" spans="1:3">
      <c r="A21976" s="571" t="s">
        <v>1567</v>
      </c>
      <c r="B21976" s="572">
        <v>10</v>
      </c>
      <c r="C21976" s="572">
        <v>235</v>
      </c>
    </row>
    <row r="21977" spans="1:3">
      <c r="A21977" s="573" t="s">
        <v>1567</v>
      </c>
      <c r="B21977" s="574">
        <v>100</v>
      </c>
      <c r="C21977" s="574">
        <v>465</v>
      </c>
    </row>
    <row r="21978" spans="1:3">
      <c r="A21978" s="573" t="s">
        <v>1567</v>
      </c>
      <c r="B21978" s="574">
        <v>200</v>
      </c>
      <c r="C21978" s="574">
        <v>469</v>
      </c>
    </row>
    <row r="21979" spans="1:3">
      <c r="A21979" s="573" t="s">
        <v>1567</v>
      </c>
      <c r="B21979" s="574">
        <v>365</v>
      </c>
      <c r="C21979" s="574">
        <v>480</v>
      </c>
    </row>
    <row r="21980" spans="1:3">
      <c r="A21980" s="571" t="s">
        <v>1566</v>
      </c>
      <c r="B21980" s="572">
        <v>0</v>
      </c>
      <c r="C21980" s="572">
        <v>40</v>
      </c>
    </row>
    <row r="21981" spans="1:3">
      <c r="A21981" s="571" t="s">
        <v>1566</v>
      </c>
      <c r="B21981" s="572">
        <v>10</v>
      </c>
      <c r="C21981" s="572">
        <v>8</v>
      </c>
    </row>
    <row r="21982" spans="1:3">
      <c r="A21982" s="573" t="s">
        <v>1566</v>
      </c>
      <c r="B21982" s="574">
        <v>100</v>
      </c>
      <c r="C21982" s="574">
        <v>25</v>
      </c>
    </row>
    <row r="21983" spans="1:3">
      <c r="A21983" s="573" t="s">
        <v>1566</v>
      </c>
      <c r="B21983" s="574">
        <v>200</v>
      </c>
      <c r="C21983" s="574">
        <v>44</v>
      </c>
    </row>
    <row r="21984" spans="1:3">
      <c r="A21984" s="573" t="s">
        <v>1566</v>
      </c>
      <c r="B21984" s="574">
        <v>365</v>
      </c>
      <c r="C21984" s="574">
        <v>70</v>
      </c>
    </row>
    <row r="21985" spans="1:3">
      <c r="A21985" s="571" t="s">
        <v>1565</v>
      </c>
      <c r="B21985" s="572">
        <v>0</v>
      </c>
      <c r="C21985" s="572">
        <v>31</v>
      </c>
    </row>
    <row r="21986" spans="1:3">
      <c r="A21986" s="571" t="s">
        <v>1565</v>
      </c>
      <c r="B21986" s="572">
        <v>1</v>
      </c>
      <c r="C21986" s="572">
        <v>77</v>
      </c>
    </row>
    <row r="21987" spans="1:3">
      <c r="A21987" s="571" t="s">
        <v>1565</v>
      </c>
      <c r="B21987" s="572">
        <v>10</v>
      </c>
      <c r="C21987" s="572">
        <v>235</v>
      </c>
    </row>
    <row r="21988" spans="1:3">
      <c r="A21988" s="573" t="s">
        <v>1565</v>
      </c>
      <c r="B21988" s="574">
        <v>100</v>
      </c>
      <c r="C21988" s="574">
        <v>400</v>
      </c>
    </row>
    <row r="21989" spans="1:3">
      <c r="A21989" s="573" t="s">
        <v>1565</v>
      </c>
      <c r="B21989" s="574">
        <v>200</v>
      </c>
      <c r="C21989" s="574">
        <v>430</v>
      </c>
    </row>
    <row r="21990" spans="1:3">
      <c r="A21990" s="573" t="s">
        <v>1565</v>
      </c>
      <c r="B21990" s="574">
        <v>365</v>
      </c>
      <c r="C21990" s="574">
        <v>453</v>
      </c>
    </row>
    <row r="21991" spans="1:3">
      <c r="A21991" s="571" t="s">
        <v>1564</v>
      </c>
      <c r="B21991" s="572">
        <v>0</v>
      </c>
      <c r="C21991" s="572">
        <v>30</v>
      </c>
    </row>
    <row r="21992" spans="1:3">
      <c r="A21992" s="571" t="s">
        <v>1564</v>
      </c>
      <c r="B21992" s="572">
        <v>10</v>
      </c>
      <c r="C21992" s="572">
        <v>0</v>
      </c>
    </row>
    <row r="21993" spans="1:3">
      <c r="A21993" s="573" t="s">
        <v>1564</v>
      </c>
      <c r="B21993" s="574">
        <v>100</v>
      </c>
      <c r="C21993" s="574">
        <v>13</v>
      </c>
    </row>
    <row r="21994" spans="1:3">
      <c r="A21994" s="573" t="s">
        <v>1564</v>
      </c>
      <c r="B21994" s="574">
        <v>200</v>
      </c>
      <c r="C21994" s="574">
        <v>38</v>
      </c>
    </row>
    <row r="21995" spans="1:3">
      <c r="A21995" s="571" t="s">
        <v>1563</v>
      </c>
      <c r="B21995" s="572">
        <v>0</v>
      </c>
      <c r="C21995" s="572">
        <v>18</v>
      </c>
    </row>
    <row r="21996" spans="1:3">
      <c r="A21996" s="571" t="s">
        <v>1563</v>
      </c>
      <c r="B21996" s="572">
        <v>1</v>
      </c>
      <c r="C21996" s="572">
        <v>108</v>
      </c>
    </row>
    <row r="21997" spans="1:3">
      <c r="A21997" s="571" t="s">
        <v>1563</v>
      </c>
      <c r="B21997" s="572">
        <v>10</v>
      </c>
      <c r="C21997" s="572">
        <v>310</v>
      </c>
    </row>
    <row r="21998" spans="1:3">
      <c r="A21998" s="573" t="s">
        <v>1563</v>
      </c>
      <c r="B21998" s="574">
        <v>100</v>
      </c>
      <c r="C21998" s="574">
        <v>520</v>
      </c>
    </row>
    <row r="21999" spans="1:3">
      <c r="A21999" s="573" t="s">
        <v>1563</v>
      </c>
      <c r="B21999" s="574">
        <v>200</v>
      </c>
      <c r="C21999" s="574">
        <v>530</v>
      </c>
    </row>
    <row r="22000" spans="1:3">
      <c r="A22000" s="573" t="s">
        <v>1563</v>
      </c>
      <c r="B22000" s="574">
        <v>365</v>
      </c>
      <c r="C22000" s="574">
        <v>547</v>
      </c>
    </row>
    <row r="22001" spans="1:3">
      <c r="A22001" s="571" t="s">
        <v>1562</v>
      </c>
      <c r="B22001" s="572">
        <v>0</v>
      </c>
      <c r="C22001" s="572">
        <v>5</v>
      </c>
    </row>
    <row r="22002" spans="1:3">
      <c r="A22002" s="571" t="s">
        <v>1562</v>
      </c>
      <c r="B22002" s="572">
        <v>10</v>
      </c>
      <c r="C22002" s="572">
        <v>13</v>
      </c>
    </row>
    <row r="22003" spans="1:3">
      <c r="A22003" s="573" t="s">
        <v>1562</v>
      </c>
      <c r="B22003" s="574">
        <v>100</v>
      </c>
      <c r="C22003" s="574">
        <v>73</v>
      </c>
    </row>
    <row r="22004" spans="1:3">
      <c r="A22004" s="573" t="s">
        <v>1562</v>
      </c>
      <c r="B22004" s="574">
        <v>200</v>
      </c>
      <c r="C22004" s="574">
        <v>100</v>
      </c>
    </row>
    <row r="22005" spans="1:3">
      <c r="A22005" s="571" t="s">
        <v>1561</v>
      </c>
      <c r="B22005" s="572">
        <v>0</v>
      </c>
      <c r="C22005" s="572">
        <v>40</v>
      </c>
    </row>
    <row r="22006" spans="1:3">
      <c r="A22006" s="571" t="s">
        <v>1561</v>
      </c>
      <c r="B22006" s="572">
        <v>1</v>
      </c>
      <c r="C22006" s="572">
        <v>104</v>
      </c>
    </row>
    <row r="22007" spans="1:3">
      <c r="A22007" s="571" t="s">
        <v>1561</v>
      </c>
      <c r="B22007" s="572">
        <v>10</v>
      </c>
      <c r="C22007" s="572">
        <v>255</v>
      </c>
    </row>
    <row r="22008" spans="1:3">
      <c r="A22008" s="573" t="s">
        <v>1561</v>
      </c>
      <c r="B22008" s="574">
        <v>100</v>
      </c>
      <c r="C22008" s="574">
        <v>410</v>
      </c>
    </row>
    <row r="22009" spans="1:3">
      <c r="A22009" s="573" t="s">
        <v>1561</v>
      </c>
      <c r="B22009" s="574">
        <v>200</v>
      </c>
      <c r="C22009" s="574">
        <v>421</v>
      </c>
    </row>
    <row r="22010" spans="1:3">
      <c r="A22010" s="573" t="s">
        <v>1561</v>
      </c>
      <c r="B22010" s="574">
        <v>365</v>
      </c>
      <c r="C22010" s="574">
        <v>440</v>
      </c>
    </row>
    <row r="22011" spans="1:3">
      <c r="A22011" s="571" t="s">
        <v>1560</v>
      </c>
      <c r="B22011" s="572">
        <v>1</v>
      </c>
      <c r="C22011" s="572">
        <v>29</v>
      </c>
    </row>
    <row r="22012" spans="1:3">
      <c r="A22012" s="571" t="s">
        <v>1560</v>
      </c>
      <c r="B22012" s="572">
        <v>2</v>
      </c>
      <c r="C22012" s="572">
        <v>34</v>
      </c>
    </row>
    <row r="22013" spans="1:3">
      <c r="A22013" s="571" t="s">
        <v>1560</v>
      </c>
      <c r="B22013" s="572">
        <v>3</v>
      </c>
      <c r="C22013" s="572">
        <v>44</v>
      </c>
    </row>
    <row r="22014" spans="1:3">
      <c r="A22014" s="571" t="s">
        <v>1560</v>
      </c>
      <c r="B22014" s="572">
        <v>7</v>
      </c>
      <c r="C22014" s="572">
        <v>69</v>
      </c>
    </row>
    <row r="22015" spans="1:3">
      <c r="A22015" s="571" t="s">
        <v>1560</v>
      </c>
      <c r="B22015" s="572">
        <v>14</v>
      </c>
      <c r="C22015" s="572">
        <v>100</v>
      </c>
    </row>
    <row r="22016" spans="1:3">
      <c r="A22016" s="571" t="s">
        <v>1560</v>
      </c>
      <c r="B22016" s="572">
        <v>28</v>
      </c>
      <c r="C22016" s="572">
        <v>162</v>
      </c>
    </row>
    <row r="22017" spans="1:3">
      <c r="A22017" s="571" t="s">
        <v>1560</v>
      </c>
      <c r="B22017" s="572">
        <v>56</v>
      </c>
      <c r="C22017" s="572">
        <v>265</v>
      </c>
    </row>
    <row r="22018" spans="1:3">
      <c r="A22018" s="571" t="s">
        <v>1560</v>
      </c>
      <c r="B22018" s="572">
        <v>90</v>
      </c>
      <c r="C22018" s="572">
        <v>311</v>
      </c>
    </row>
    <row r="22019" spans="1:3">
      <c r="A22019" s="573" t="s">
        <v>1560</v>
      </c>
      <c r="B22019" s="574">
        <v>180</v>
      </c>
      <c r="C22019" s="574">
        <v>350</v>
      </c>
    </row>
    <row r="22020" spans="1:3">
      <c r="A22020" s="573" t="s">
        <v>1560</v>
      </c>
      <c r="B22020" s="574">
        <v>360</v>
      </c>
      <c r="C22020" s="574">
        <v>375</v>
      </c>
    </row>
    <row r="22021" spans="1:3">
      <c r="A22021" s="573" t="s">
        <v>1560</v>
      </c>
      <c r="B22021" s="574">
        <v>360</v>
      </c>
      <c r="C22021" s="574">
        <v>375</v>
      </c>
    </row>
    <row r="22022" spans="1:3">
      <c r="A22022" s="571" t="s">
        <v>1559</v>
      </c>
      <c r="B22022" s="572">
        <v>1</v>
      </c>
      <c r="C22022" s="572">
        <v>54</v>
      </c>
    </row>
    <row r="22023" spans="1:3">
      <c r="A22023" s="571" t="s">
        <v>1559</v>
      </c>
      <c r="B22023" s="572">
        <v>2</v>
      </c>
      <c r="C22023" s="572">
        <v>91</v>
      </c>
    </row>
    <row r="22024" spans="1:3">
      <c r="A22024" s="571" t="s">
        <v>1559</v>
      </c>
      <c r="B22024" s="572">
        <v>3</v>
      </c>
      <c r="C22024" s="572">
        <v>98</v>
      </c>
    </row>
    <row r="22025" spans="1:3">
      <c r="A22025" s="571" t="s">
        <v>1559</v>
      </c>
      <c r="B22025" s="572">
        <v>7</v>
      </c>
      <c r="C22025" s="572">
        <v>110</v>
      </c>
    </row>
    <row r="22026" spans="1:3">
      <c r="A22026" s="571" t="s">
        <v>1559</v>
      </c>
      <c r="B22026" s="572">
        <v>14</v>
      </c>
      <c r="C22026" s="572">
        <v>174</v>
      </c>
    </row>
    <row r="22027" spans="1:3">
      <c r="A22027" s="571" t="s">
        <v>1559</v>
      </c>
      <c r="B22027" s="572">
        <v>28</v>
      </c>
      <c r="C22027" s="572">
        <v>275</v>
      </c>
    </row>
    <row r="22028" spans="1:3">
      <c r="A22028" s="571" t="s">
        <v>1559</v>
      </c>
      <c r="B22028" s="572">
        <v>56</v>
      </c>
      <c r="C22028" s="572">
        <v>373</v>
      </c>
    </row>
    <row r="22029" spans="1:3">
      <c r="A22029" s="571" t="s">
        <v>1559</v>
      </c>
      <c r="B22029" s="572">
        <v>90</v>
      </c>
      <c r="C22029" s="572">
        <v>422</v>
      </c>
    </row>
    <row r="22030" spans="1:3">
      <c r="A22030" s="573" t="s">
        <v>1559</v>
      </c>
      <c r="B22030" s="574">
        <v>180</v>
      </c>
      <c r="C22030" s="574">
        <v>480</v>
      </c>
    </row>
    <row r="22031" spans="1:3">
      <c r="A22031" s="573" t="s">
        <v>1559</v>
      </c>
      <c r="B22031" s="574">
        <v>360</v>
      </c>
      <c r="C22031" s="574">
        <v>551</v>
      </c>
    </row>
    <row r="22032" spans="1:3">
      <c r="A22032" s="573" t="s">
        <v>1559</v>
      </c>
      <c r="B22032" s="574">
        <v>360</v>
      </c>
      <c r="C22032" s="574">
        <v>551</v>
      </c>
    </row>
    <row r="22033" spans="1:3">
      <c r="A22033" s="571" t="s">
        <v>1558</v>
      </c>
      <c r="B22033" s="572">
        <v>1</v>
      </c>
      <c r="C22033" s="572">
        <v>29</v>
      </c>
    </row>
    <row r="22034" spans="1:3">
      <c r="A22034" s="571" t="s">
        <v>1558</v>
      </c>
      <c r="B22034" s="572">
        <v>2</v>
      </c>
      <c r="C22034" s="572">
        <v>49</v>
      </c>
    </row>
    <row r="22035" spans="1:3">
      <c r="A22035" s="571" t="s">
        <v>1558</v>
      </c>
      <c r="B22035" s="572">
        <v>6</v>
      </c>
      <c r="C22035" s="572">
        <v>110</v>
      </c>
    </row>
    <row r="22036" spans="1:3">
      <c r="A22036" s="571" t="s">
        <v>1558</v>
      </c>
      <c r="B22036" s="572">
        <v>13</v>
      </c>
      <c r="C22036" s="572">
        <v>194</v>
      </c>
    </row>
    <row r="22037" spans="1:3">
      <c r="A22037" s="571" t="s">
        <v>1558</v>
      </c>
      <c r="B22037" s="572">
        <v>27</v>
      </c>
      <c r="C22037" s="572">
        <v>301</v>
      </c>
    </row>
    <row r="22038" spans="1:3">
      <c r="A22038" s="571" t="s">
        <v>1558</v>
      </c>
      <c r="B22038" s="572">
        <v>55</v>
      </c>
      <c r="C22038" s="572">
        <v>402</v>
      </c>
    </row>
    <row r="22039" spans="1:3">
      <c r="A22039" s="571" t="s">
        <v>1558</v>
      </c>
      <c r="B22039" s="572">
        <v>89</v>
      </c>
      <c r="C22039" s="572">
        <v>458</v>
      </c>
    </row>
    <row r="22040" spans="1:3">
      <c r="A22040" s="573" t="s">
        <v>1558</v>
      </c>
      <c r="B22040" s="574">
        <v>179</v>
      </c>
      <c r="C22040" s="574">
        <v>510</v>
      </c>
    </row>
    <row r="22041" spans="1:3">
      <c r="A22041" s="573" t="s">
        <v>1558</v>
      </c>
      <c r="B22041" s="574">
        <v>359</v>
      </c>
      <c r="C22041" s="574">
        <v>539</v>
      </c>
    </row>
    <row r="22042" spans="1:3">
      <c r="A22042" s="573" t="s">
        <v>1558</v>
      </c>
      <c r="B22042" s="574">
        <v>359</v>
      </c>
      <c r="C22042" s="574">
        <v>539</v>
      </c>
    </row>
    <row r="22043" spans="1:3">
      <c r="A22043" s="571" t="s">
        <v>1557</v>
      </c>
      <c r="B22043" s="572">
        <v>1</v>
      </c>
      <c r="C22043" s="572">
        <v>37</v>
      </c>
    </row>
    <row r="22044" spans="1:3">
      <c r="A22044" s="571" t="s">
        <v>1557</v>
      </c>
      <c r="B22044" s="572">
        <v>2</v>
      </c>
      <c r="C22044" s="572">
        <v>54</v>
      </c>
    </row>
    <row r="22045" spans="1:3">
      <c r="A22045" s="571" t="s">
        <v>1557</v>
      </c>
      <c r="B22045" s="572">
        <v>6</v>
      </c>
      <c r="C22045" s="572">
        <v>115</v>
      </c>
    </row>
    <row r="22046" spans="1:3">
      <c r="A22046" s="571" t="s">
        <v>1557</v>
      </c>
      <c r="B22046" s="572">
        <v>13</v>
      </c>
      <c r="C22046" s="572">
        <v>172</v>
      </c>
    </row>
    <row r="22047" spans="1:3">
      <c r="A22047" s="571" t="s">
        <v>1557</v>
      </c>
      <c r="B22047" s="572">
        <v>27</v>
      </c>
      <c r="C22047" s="572">
        <v>265</v>
      </c>
    </row>
    <row r="22048" spans="1:3">
      <c r="A22048" s="571" t="s">
        <v>1557</v>
      </c>
      <c r="B22048" s="572">
        <v>55</v>
      </c>
      <c r="C22048" s="572">
        <v>319</v>
      </c>
    </row>
    <row r="22049" spans="1:3">
      <c r="A22049" s="571" t="s">
        <v>1557</v>
      </c>
      <c r="B22049" s="572">
        <v>89</v>
      </c>
      <c r="C22049" s="572">
        <v>377</v>
      </c>
    </row>
    <row r="22050" spans="1:3">
      <c r="A22050" s="573" t="s">
        <v>1557</v>
      </c>
      <c r="B22050" s="574">
        <v>179</v>
      </c>
      <c r="C22050" s="574">
        <v>355</v>
      </c>
    </row>
    <row r="22051" spans="1:3">
      <c r="A22051" s="573" t="s">
        <v>1557</v>
      </c>
      <c r="B22051" s="574">
        <v>359</v>
      </c>
      <c r="C22051" s="574">
        <v>461</v>
      </c>
    </row>
    <row r="22052" spans="1:3">
      <c r="A22052" s="573" t="s">
        <v>1557</v>
      </c>
      <c r="B22052" s="574">
        <v>359</v>
      </c>
      <c r="C22052" s="574">
        <v>461</v>
      </c>
    </row>
    <row r="22053" spans="1:3">
      <c r="A22053" s="571" t="s">
        <v>1555</v>
      </c>
      <c r="B22053" s="572">
        <v>1</v>
      </c>
      <c r="C22053" s="572">
        <v>0</v>
      </c>
    </row>
    <row r="22054" spans="1:3">
      <c r="A22054" s="571" t="s">
        <v>1555</v>
      </c>
      <c r="B22054" s="572">
        <v>3</v>
      </c>
      <c r="C22054" s="572">
        <v>29</v>
      </c>
    </row>
    <row r="22055" spans="1:3">
      <c r="A22055" s="571" t="s">
        <v>1555</v>
      </c>
      <c r="B22055" s="572">
        <v>7</v>
      </c>
      <c r="C22055" s="572">
        <v>62</v>
      </c>
    </row>
    <row r="22056" spans="1:3">
      <c r="A22056" s="571" t="s">
        <v>1555</v>
      </c>
      <c r="B22056" s="572">
        <v>28</v>
      </c>
      <c r="C22056" s="572">
        <v>174</v>
      </c>
    </row>
    <row r="22057" spans="1:3">
      <c r="A22057" s="571" t="s">
        <v>1555</v>
      </c>
      <c r="B22057" s="572">
        <v>91</v>
      </c>
      <c r="C22057" s="572">
        <v>295</v>
      </c>
    </row>
    <row r="22058" spans="1:3">
      <c r="A22058" s="573" t="s">
        <v>1555</v>
      </c>
      <c r="B22058" s="574">
        <v>182</v>
      </c>
      <c r="C22058" s="574">
        <v>350</v>
      </c>
    </row>
    <row r="22059" spans="1:3">
      <c r="A22059" s="573" t="s">
        <v>1555</v>
      </c>
      <c r="B22059" s="574">
        <v>365</v>
      </c>
      <c r="C22059" s="574">
        <v>385</v>
      </c>
    </row>
    <row r="22060" spans="1:3">
      <c r="A22060" s="569" t="s">
        <v>1555</v>
      </c>
      <c r="B22060" s="570">
        <v>730</v>
      </c>
      <c r="C22060" s="570">
        <v>409</v>
      </c>
    </row>
    <row r="22061" spans="1:3">
      <c r="A22061" s="569" t="s">
        <v>1555</v>
      </c>
      <c r="B22061" s="570">
        <v>1095</v>
      </c>
      <c r="C22061" s="570">
        <v>421</v>
      </c>
    </row>
    <row r="22062" spans="1:3">
      <c r="A22062" s="569" t="s">
        <v>1555</v>
      </c>
      <c r="B22062" s="570">
        <v>1460</v>
      </c>
      <c r="C22062" s="570">
        <v>421</v>
      </c>
    </row>
    <row r="22063" spans="1:3">
      <c r="A22063" s="569" t="s">
        <v>1555</v>
      </c>
      <c r="B22063" s="570">
        <v>1825</v>
      </c>
      <c r="C22063" s="570">
        <v>421</v>
      </c>
    </row>
    <row r="22064" spans="1:3">
      <c r="A22064" s="569" t="s">
        <v>1555</v>
      </c>
      <c r="B22064" s="570">
        <v>2190</v>
      </c>
      <c r="C22064" s="570">
        <v>432</v>
      </c>
    </row>
    <row r="22065" spans="1:3">
      <c r="A22065" s="569" t="s">
        <v>1555</v>
      </c>
      <c r="B22065" s="570">
        <v>2190</v>
      </c>
      <c r="C22065" s="570">
        <v>432</v>
      </c>
    </row>
    <row r="22066" spans="1:3">
      <c r="A22066" s="571" t="s">
        <v>1554</v>
      </c>
      <c r="B22066" s="572">
        <v>1</v>
      </c>
      <c r="C22066" s="572">
        <v>0</v>
      </c>
    </row>
    <row r="22067" spans="1:3">
      <c r="A22067" s="571" t="s">
        <v>1554</v>
      </c>
      <c r="B22067" s="572">
        <v>3</v>
      </c>
      <c r="C22067" s="572">
        <v>15</v>
      </c>
    </row>
    <row r="22068" spans="1:3">
      <c r="A22068" s="571" t="s">
        <v>1554</v>
      </c>
      <c r="B22068" s="572">
        <v>7</v>
      </c>
      <c r="C22068" s="572">
        <v>48</v>
      </c>
    </row>
    <row r="22069" spans="1:3">
      <c r="A22069" s="571" t="s">
        <v>1554</v>
      </c>
      <c r="B22069" s="572">
        <v>28</v>
      </c>
      <c r="C22069" s="572">
        <v>172</v>
      </c>
    </row>
    <row r="22070" spans="1:3">
      <c r="A22070" s="571" t="s">
        <v>1554</v>
      </c>
      <c r="B22070" s="572">
        <v>91</v>
      </c>
      <c r="C22070" s="572">
        <v>298</v>
      </c>
    </row>
    <row r="22071" spans="1:3">
      <c r="A22071" s="573" t="s">
        <v>1554</v>
      </c>
      <c r="B22071" s="574">
        <v>182</v>
      </c>
      <c r="C22071" s="574">
        <v>357</v>
      </c>
    </row>
    <row r="22072" spans="1:3">
      <c r="A22072" s="573" t="s">
        <v>1554</v>
      </c>
      <c r="B22072" s="574">
        <v>365</v>
      </c>
      <c r="C22072" s="574">
        <v>394</v>
      </c>
    </row>
    <row r="22073" spans="1:3">
      <c r="A22073" s="569" t="s">
        <v>1554</v>
      </c>
      <c r="B22073" s="570">
        <v>730</v>
      </c>
      <c r="C22073" s="570">
        <v>421</v>
      </c>
    </row>
    <row r="22074" spans="1:3">
      <c r="A22074" s="569" t="s">
        <v>1554</v>
      </c>
      <c r="B22074" s="570">
        <v>1095</v>
      </c>
      <c r="C22074" s="570">
        <v>435</v>
      </c>
    </row>
    <row r="22075" spans="1:3">
      <c r="A22075" s="569" t="s">
        <v>1554</v>
      </c>
      <c r="B22075" s="570">
        <v>1460</v>
      </c>
      <c r="C22075" s="570">
        <v>443</v>
      </c>
    </row>
    <row r="22076" spans="1:3">
      <c r="A22076" s="569" t="s">
        <v>1554</v>
      </c>
      <c r="B22076" s="570">
        <v>1825</v>
      </c>
      <c r="C22076" s="570">
        <v>450</v>
      </c>
    </row>
    <row r="22077" spans="1:3">
      <c r="A22077" s="569" t="s">
        <v>1554</v>
      </c>
      <c r="B22077" s="570">
        <v>2190</v>
      </c>
      <c r="C22077" s="570">
        <v>455</v>
      </c>
    </row>
    <row r="22078" spans="1:3">
      <c r="A22078" s="569" t="s">
        <v>1554</v>
      </c>
      <c r="B22078" s="570">
        <v>2190</v>
      </c>
      <c r="C22078" s="570">
        <v>455</v>
      </c>
    </row>
    <row r="22079" spans="1:3">
      <c r="A22079" s="571" t="s">
        <v>1553</v>
      </c>
      <c r="B22079" s="572">
        <v>1</v>
      </c>
      <c r="C22079" s="572">
        <v>0</v>
      </c>
    </row>
    <row r="22080" spans="1:3">
      <c r="A22080" s="571" t="s">
        <v>1553</v>
      </c>
      <c r="B22080" s="572">
        <v>3</v>
      </c>
      <c r="C22080" s="572">
        <v>0</v>
      </c>
    </row>
    <row r="22081" spans="1:3">
      <c r="A22081" s="571" t="s">
        <v>1553</v>
      </c>
      <c r="B22081" s="572">
        <v>7</v>
      </c>
      <c r="C22081" s="572">
        <v>40</v>
      </c>
    </row>
    <row r="22082" spans="1:3">
      <c r="A22082" s="571" t="s">
        <v>1553</v>
      </c>
      <c r="B22082" s="572">
        <v>28</v>
      </c>
      <c r="C22082" s="572">
        <v>159</v>
      </c>
    </row>
    <row r="22083" spans="1:3">
      <c r="A22083" s="571" t="s">
        <v>1553</v>
      </c>
      <c r="B22083" s="572">
        <v>91</v>
      </c>
      <c r="C22083" s="572">
        <v>292</v>
      </c>
    </row>
    <row r="22084" spans="1:3">
      <c r="A22084" s="573" t="s">
        <v>1553</v>
      </c>
      <c r="B22084" s="574">
        <v>182</v>
      </c>
      <c r="C22084" s="574">
        <v>351</v>
      </c>
    </row>
    <row r="22085" spans="1:3">
      <c r="A22085" s="573" t="s">
        <v>1553</v>
      </c>
      <c r="B22085" s="574">
        <v>365</v>
      </c>
      <c r="C22085" s="574">
        <v>384</v>
      </c>
    </row>
    <row r="22086" spans="1:3">
      <c r="A22086" s="569" t="s">
        <v>1553</v>
      </c>
      <c r="B22086" s="570">
        <v>730</v>
      </c>
      <c r="C22086" s="570">
        <v>413</v>
      </c>
    </row>
    <row r="22087" spans="1:3">
      <c r="A22087" s="569" t="s">
        <v>1553</v>
      </c>
      <c r="B22087" s="570">
        <v>1095</v>
      </c>
      <c r="C22087" s="570">
        <v>424</v>
      </c>
    </row>
    <row r="22088" spans="1:3">
      <c r="A22088" s="569" t="s">
        <v>1553</v>
      </c>
      <c r="B22088" s="570">
        <v>1460</v>
      </c>
      <c r="C22088" s="570">
        <v>430</v>
      </c>
    </row>
    <row r="22089" spans="1:3">
      <c r="A22089" s="569" t="s">
        <v>1553</v>
      </c>
      <c r="B22089" s="570">
        <v>1825</v>
      </c>
      <c r="C22089" s="570">
        <v>436</v>
      </c>
    </row>
    <row r="22090" spans="1:3">
      <c r="A22090" s="569" t="s">
        <v>1553</v>
      </c>
      <c r="B22090" s="570">
        <v>2190</v>
      </c>
      <c r="C22090" s="570">
        <v>440</v>
      </c>
    </row>
    <row r="22091" spans="1:3">
      <c r="A22091" s="569" t="s">
        <v>1553</v>
      </c>
      <c r="B22091" s="570">
        <v>2190</v>
      </c>
      <c r="C22091" s="570">
        <v>440</v>
      </c>
    </row>
    <row r="22092" spans="1:3">
      <c r="A22092" s="571" t="s">
        <v>1552</v>
      </c>
      <c r="B22092" s="572">
        <v>1</v>
      </c>
      <c r="C22092" s="572">
        <v>22</v>
      </c>
    </row>
    <row r="22093" spans="1:3">
      <c r="A22093" s="571" t="s">
        <v>1552</v>
      </c>
      <c r="B22093" s="572">
        <v>3</v>
      </c>
      <c r="C22093" s="572">
        <v>64</v>
      </c>
    </row>
    <row r="22094" spans="1:3">
      <c r="A22094" s="571" t="s">
        <v>1552</v>
      </c>
      <c r="B22094" s="572">
        <v>7</v>
      </c>
      <c r="C22094" s="572">
        <v>114</v>
      </c>
    </row>
    <row r="22095" spans="1:3">
      <c r="A22095" s="571" t="s">
        <v>1552</v>
      </c>
      <c r="B22095" s="572">
        <v>28</v>
      </c>
      <c r="C22095" s="572">
        <v>259</v>
      </c>
    </row>
    <row r="22096" spans="1:3">
      <c r="A22096" s="571" t="s">
        <v>1552</v>
      </c>
      <c r="B22096" s="572">
        <v>91</v>
      </c>
      <c r="C22096" s="572">
        <v>415</v>
      </c>
    </row>
    <row r="22097" spans="1:3">
      <c r="A22097" s="573" t="s">
        <v>1552</v>
      </c>
      <c r="B22097" s="574">
        <v>182</v>
      </c>
      <c r="C22097" s="574">
        <v>486</v>
      </c>
    </row>
    <row r="22098" spans="1:3">
      <c r="A22098" s="573" t="s">
        <v>1552</v>
      </c>
      <c r="B22098" s="574">
        <v>365</v>
      </c>
      <c r="C22098" s="574">
        <v>520</v>
      </c>
    </row>
    <row r="22099" spans="1:3">
      <c r="A22099" s="569" t="s">
        <v>1552</v>
      </c>
      <c r="B22099" s="570">
        <v>730</v>
      </c>
      <c r="C22099" s="570">
        <v>548</v>
      </c>
    </row>
    <row r="22100" spans="1:3">
      <c r="A22100" s="569" t="s">
        <v>1552</v>
      </c>
      <c r="B22100" s="570">
        <v>1095</v>
      </c>
      <c r="C22100" s="570">
        <v>568</v>
      </c>
    </row>
    <row r="22101" spans="1:3">
      <c r="A22101" s="569" t="s">
        <v>1552</v>
      </c>
      <c r="B22101" s="570">
        <v>1460</v>
      </c>
      <c r="C22101" s="570">
        <v>563</v>
      </c>
    </row>
    <row r="22102" spans="1:3">
      <c r="A22102" s="569" t="s">
        <v>1552</v>
      </c>
      <c r="B22102" s="570">
        <v>1825</v>
      </c>
      <c r="C22102" s="570">
        <v>587</v>
      </c>
    </row>
    <row r="22103" spans="1:3">
      <c r="A22103" s="569" t="s">
        <v>1552</v>
      </c>
      <c r="B22103" s="570">
        <v>2190</v>
      </c>
      <c r="C22103" s="570">
        <v>575</v>
      </c>
    </row>
    <row r="22104" spans="1:3">
      <c r="A22104" s="569" t="s">
        <v>1552</v>
      </c>
      <c r="B22104" s="570">
        <v>2190</v>
      </c>
      <c r="C22104" s="570">
        <v>575</v>
      </c>
    </row>
    <row r="22105" spans="1:3">
      <c r="A22105" s="571" t="s">
        <v>1551</v>
      </c>
      <c r="B22105" s="572">
        <v>1</v>
      </c>
      <c r="C22105" s="572">
        <v>24</v>
      </c>
    </row>
    <row r="22106" spans="1:3">
      <c r="A22106" s="571" t="s">
        <v>1551</v>
      </c>
      <c r="B22106" s="572">
        <v>3</v>
      </c>
      <c r="C22106" s="572">
        <v>61</v>
      </c>
    </row>
    <row r="22107" spans="1:3">
      <c r="A22107" s="571" t="s">
        <v>1551</v>
      </c>
      <c r="B22107" s="572">
        <v>7</v>
      </c>
      <c r="C22107" s="572">
        <v>81</v>
      </c>
    </row>
    <row r="22108" spans="1:3">
      <c r="A22108" s="571" t="s">
        <v>1551</v>
      </c>
      <c r="B22108" s="572">
        <v>28</v>
      </c>
      <c r="C22108" s="572">
        <v>240</v>
      </c>
    </row>
    <row r="22109" spans="1:3">
      <c r="A22109" s="571" t="s">
        <v>1551</v>
      </c>
      <c r="B22109" s="572">
        <v>91</v>
      </c>
      <c r="C22109" s="572">
        <v>381</v>
      </c>
    </row>
    <row r="22110" spans="1:3">
      <c r="A22110" s="573" t="s">
        <v>1551</v>
      </c>
      <c r="B22110" s="574">
        <v>182</v>
      </c>
      <c r="C22110" s="574">
        <v>447</v>
      </c>
    </row>
    <row r="22111" spans="1:3">
      <c r="A22111" s="573" t="s">
        <v>1551</v>
      </c>
      <c r="B22111" s="574">
        <v>365</v>
      </c>
      <c r="C22111" s="574">
        <v>484</v>
      </c>
    </row>
    <row r="22112" spans="1:3">
      <c r="A22112" s="569" t="s">
        <v>1551</v>
      </c>
      <c r="B22112" s="570">
        <v>730</v>
      </c>
      <c r="C22112" s="570">
        <v>514</v>
      </c>
    </row>
    <row r="22113" spans="1:3">
      <c r="A22113" s="569" t="s">
        <v>1551</v>
      </c>
      <c r="B22113" s="570">
        <v>1095</v>
      </c>
      <c r="C22113" s="570">
        <v>529</v>
      </c>
    </row>
    <row r="22114" spans="1:3">
      <c r="A22114" s="569" t="s">
        <v>1551</v>
      </c>
      <c r="B22114" s="570">
        <v>1460</v>
      </c>
      <c r="C22114" s="570">
        <v>527</v>
      </c>
    </row>
    <row r="22115" spans="1:3">
      <c r="A22115" s="569" t="s">
        <v>1551</v>
      </c>
      <c r="B22115" s="570">
        <v>1825</v>
      </c>
      <c r="C22115" s="570">
        <v>542</v>
      </c>
    </row>
    <row r="22116" spans="1:3">
      <c r="A22116" s="569" t="s">
        <v>1551</v>
      </c>
      <c r="B22116" s="570">
        <v>2190</v>
      </c>
      <c r="C22116" s="570">
        <v>545</v>
      </c>
    </row>
    <row r="22117" spans="1:3">
      <c r="A22117" s="569" t="s">
        <v>1551</v>
      </c>
      <c r="B22117" s="570">
        <v>2190</v>
      </c>
      <c r="C22117" s="570">
        <v>545</v>
      </c>
    </row>
    <row r="22118" spans="1:3">
      <c r="A22118" s="571" t="s">
        <v>1550</v>
      </c>
      <c r="B22118" s="572">
        <v>1</v>
      </c>
      <c r="C22118" s="572">
        <v>6</v>
      </c>
    </row>
    <row r="22119" spans="1:3">
      <c r="A22119" s="571" t="s">
        <v>1550</v>
      </c>
      <c r="B22119" s="572">
        <v>3</v>
      </c>
      <c r="C22119" s="572">
        <v>27</v>
      </c>
    </row>
    <row r="22120" spans="1:3">
      <c r="A22120" s="571" t="s">
        <v>1550</v>
      </c>
      <c r="B22120" s="572">
        <v>7</v>
      </c>
      <c r="C22120" s="572">
        <v>77</v>
      </c>
    </row>
    <row r="22121" spans="1:3">
      <c r="A22121" s="571" t="s">
        <v>1550</v>
      </c>
      <c r="B22121" s="572">
        <v>28</v>
      </c>
      <c r="C22121" s="572">
        <v>228</v>
      </c>
    </row>
    <row r="22122" spans="1:3">
      <c r="A22122" s="571" t="s">
        <v>1550</v>
      </c>
      <c r="B22122" s="572">
        <v>91</v>
      </c>
      <c r="C22122" s="572">
        <v>382</v>
      </c>
    </row>
    <row r="22123" spans="1:3">
      <c r="A22123" s="573" t="s">
        <v>1550</v>
      </c>
      <c r="B22123" s="574">
        <v>182</v>
      </c>
      <c r="C22123" s="574">
        <v>469</v>
      </c>
    </row>
    <row r="22124" spans="1:3">
      <c r="A22124" s="573" t="s">
        <v>1550</v>
      </c>
      <c r="B22124" s="574">
        <v>365</v>
      </c>
      <c r="C22124" s="574">
        <v>498</v>
      </c>
    </row>
    <row r="22125" spans="1:3">
      <c r="A22125" s="569" t="s">
        <v>1550</v>
      </c>
      <c r="B22125" s="570">
        <v>730</v>
      </c>
      <c r="C22125" s="570">
        <v>538</v>
      </c>
    </row>
    <row r="22126" spans="1:3">
      <c r="A22126" s="569" t="s">
        <v>1550</v>
      </c>
      <c r="B22126" s="570">
        <v>1095</v>
      </c>
      <c r="C22126" s="570">
        <v>557</v>
      </c>
    </row>
    <row r="22127" spans="1:3">
      <c r="A22127" s="569" t="s">
        <v>1550</v>
      </c>
      <c r="B22127" s="570">
        <v>1460</v>
      </c>
      <c r="C22127" s="570">
        <v>561</v>
      </c>
    </row>
    <row r="22128" spans="1:3">
      <c r="A22128" s="569" t="s">
        <v>1550</v>
      </c>
      <c r="B22128" s="570">
        <v>1825</v>
      </c>
      <c r="C22128" s="570">
        <v>582</v>
      </c>
    </row>
    <row r="22129" spans="1:3">
      <c r="A22129" s="569" t="s">
        <v>1550</v>
      </c>
      <c r="B22129" s="570">
        <v>2190</v>
      </c>
      <c r="C22129" s="570">
        <v>575</v>
      </c>
    </row>
    <row r="22130" spans="1:3">
      <c r="A22130" s="569" t="s">
        <v>1550</v>
      </c>
      <c r="B22130" s="570">
        <v>2190</v>
      </c>
      <c r="C22130" s="570">
        <v>575</v>
      </c>
    </row>
    <row r="22131" spans="1:3">
      <c r="A22131" s="571" t="s">
        <v>1549</v>
      </c>
      <c r="B22131" s="572">
        <v>1</v>
      </c>
      <c r="C22131" s="572">
        <v>25</v>
      </c>
    </row>
    <row r="22132" spans="1:3">
      <c r="A22132" s="571" t="s">
        <v>1549</v>
      </c>
      <c r="B22132" s="572">
        <v>3</v>
      </c>
      <c r="C22132" s="572">
        <v>42</v>
      </c>
    </row>
    <row r="22133" spans="1:3">
      <c r="A22133" s="571" t="s">
        <v>1549</v>
      </c>
      <c r="B22133" s="572">
        <v>7</v>
      </c>
      <c r="C22133" s="572">
        <v>86</v>
      </c>
    </row>
    <row r="22134" spans="1:3">
      <c r="A22134" s="571" t="s">
        <v>1549</v>
      </c>
      <c r="B22134" s="572">
        <v>28</v>
      </c>
      <c r="C22134" s="572">
        <v>193</v>
      </c>
    </row>
    <row r="22135" spans="1:3">
      <c r="A22135" s="571" t="s">
        <v>1549</v>
      </c>
      <c r="B22135" s="572">
        <v>91</v>
      </c>
      <c r="C22135" s="572">
        <v>248</v>
      </c>
    </row>
    <row r="22136" spans="1:3">
      <c r="A22136" s="573" t="s">
        <v>1549</v>
      </c>
      <c r="B22136" s="574">
        <v>182</v>
      </c>
      <c r="C22136" s="574">
        <v>312</v>
      </c>
    </row>
    <row r="22137" spans="1:3">
      <c r="A22137" s="573" t="s">
        <v>1549</v>
      </c>
      <c r="B22137" s="574">
        <v>365</v>
      </c>
      <c r="C22137" s="574">
        <v>357</v>
      </c>
    </row>
    <row r="22138" spans="1:3">
      <c r="A22138" s="569" t="s">
        <v>1549</v>
      </c>
      <c r="B22138" s="570">
        <v>730</v>
      </c>
      <c r="C22138" s="570">
        <v>380</v>
      </c>
    </row>
    <row r="22139" spans="1:3">
      <c r="A22139" s="569" t="s">
        <v>1549</v>
      </c>
      <c r="B22139" s="570">
        <v>1095</v>
      </c>
      <c r="C22139" s="570">
        <v>389</v>
      </c>
    </row>
    <row r="22140" spans="1:3">
      <c r="A22140" s="569" t="s">
        <v>1549</v>
      </c>
      <c r="B22140" s="570">
        <v>1460</v>
      </c>
      <c r="C22140" s="570">
        <v>401</v>
      </c>
    </row>
    <row r="22141" spans="1:3">
      <c r="A22141" s="569" t="s">
        <v>1549</v>
      </c>
      <c r="B22141" s="570">
        <v>1825</v>
      </c>
      <c r="C22141" s="570">
        <v>412</v>
      </c>
    </row>
    <row r="22142" spans="1:3">
      <c r="A22142" s="569" t="s">
        <v>1549</v>
      </c>
      <c r="B22142" s="570">
        <v>2190</v>
      </c>
      <c r="C22142" s="570">
        <v>424</v>
      </c>
    </row>
    <row r="22143" spans="1:3">
      <c r="A22143" s="569" t="s">
        <v>1549</v>
      </c>
      <c r="B22143" s="570">
        <v>2190</v>
      </c>
      <c r="C22143" s="570">
        <v>424</v>
      </c>
    </row>
    <row r="22144" spans="1:3">
      <c r="A22144" s="571" t="s">
        <v>1548</v>
      </c>
      <c r="B22144" s="572">
        <v>1</v>
      </c>
      <c r="C22144" s="572">
        <v>44</v>
      </c>
    </row>
    <row r="22145" spans="1:3">
      <c r="A22145" s="571" t="s">
        <v>1548</v>
      </c>
      <c r="B22145" s="572">
        <v>3</v>
      </c>
      <c r="C22145" s="572">
        <v>81</v>
      </c>
    </row>
    <row r="22146" spans="1:3">
      <c r="A22146" s="571" t="s">
        <v>1548</v>
      </c>
      <c r="B22146" s="572">
        <v>7</v>
      </c>
      <c r="C22146" s="572">
        <v>134</v>
      </c>
    </row>
    <row r="22147" spans="1:3">
      <c r="A22147" s="571" t="s">
        <v>1548</v>
      </c>
      <c r="B22147" s="572">
        <v>28</v>
      </c>
      <c r="C22147" s="572">
        <v>236</v>
      </c>
    </row>
    <row r="22148" spans="1:3">
      <c r="A22148" s="571" t="s">
        <v>1548</v>
      </c>
      <c r="B22148" s="572">
        <v>91</v>
      </c>
      <c r="C22148" s="572">
        <v>361</v>
      </c>
    </row>
    <row r="22149" spans="1:3">
      <c r="A22149" s="573" t="s">
        <v>1548</v>
      </c>
      <c r="B22149" s="574">
        <v>182</v>
      </c>
      <c r="C22149" s="574">
        <v>426</v>
      </c>
    </row>
    <row r="22150" spans="1:3">
      <c r="A22150" s="573" t="s">
        <v>1548</v>
      </c>
      <c r="B22150" s="574">
        <v>365</v>
      </c>
      <c r="C22150" s="574">
        <v>471</v>
      </c>
    </row>
    <row r="22151" spans="1:3">
      <c r="A22151" s="569" t="s">
        <v>1548</v>
      </c>
      <c r="B22151" s="570">
        <v>730</v>
      </c>
      <c r="C22151" s="570">
        <v>496</v>
      </c>
    </row>
    <row r="22152" spans="1:3">
      <c r="A22152" s="569" t="s">
        <v>1548</v>
      </c>
      <c r="B22152" s="570">
        <v>1095</v>
      </c>
      <c r="C22152" s="570">
        <v>506</v>
      </c>
    </row>
    <row r="22153" spans="1:3">
      <c r="A22153" s="569" t="s">
        <v>1548</v>
      </c>
      <c r="B22153" s="570">
        <v>1460</v>
      </c>
      <c r="C22153" s="570">
        <v>505</v>
      </c>
    </row>
    <row r="22154" spans="1:3">
      <c r="A22154" s="569" t="s">
        <v>1548</v>
      </c>
      <c r="B22154" s="570">
        <v>1825</v>
      </c>
      <c r="C22154" s="570">
        <v>527</v>
      </c>
    </row>
    <row r="22155" spans="1:3">
      <c r="A22155" s="569" t="s">
        <v>1548</v>
      </c>
      <c r="B22155" s="570">
        <v>2190</v>
      </c>
      <c r="C22155" s="570">
        <v>508</v>
      </c>
    </row>
    <row r="22156" spans="1:3">
      <c r="A22156" s="569" t="s">
        <v>1548</v>
      </c>
      <c r="B22156" s="570">
        <v>2190</v>
      </c>
      <c r="C22156" s="570">
        <v>508</v>
      </c>
    </row>
    <row r="22157" spans="1:3">
      <c r="A22157" s="571" t="s">
        <v>1547</v>
      </c>
      <c r="B22157" s="572">
        <v>1</v>
      </c>
      <c r="C22157" s="572">
        <v>0</v>
      </c>
    </row>
    <row r="22158" spans="1:3">
      <c r="A22158" s="571" t="s">
        <v>1547</v>
      </c>
      <c r="B22158" s="572">
        <v>3</v>
      </c>
      <c r="C22158" s="572">
        <v>28</v>
      </c>
    </row>
    <row r="22159" spans="1:3">
      <c r="A22159" s="571" t="s">
        <v>1547</v>
      </c>
      <c r="B22159" s="572">
        <v>7</v>
      </c>
      <c r="C22159" s="572">
        <v>93</v>
      </c>
    </row>
    <row r="22160" spans="1:3">
      <c r="A22160" s="571" t="s">
        <v>1547</v>
      </c>
      <c r="B22160" s="572">
        <v>28</v>
      </c>
      <c r="C22160" s="572">
        <v>211</v>
      </c>
    </row>
    <row r="22161" spans="1:3">
      <c r="A22161" s="571" t="s">
        <v>1547</v>
      </c>
      <c r="B22161" s="572">
        <v>91</v>
      </c>
      <c r="C22161" s="572">
        <v>331</v>
      </c>
    </row>
    <row r="22162" spans="1:3">
      <c r="A22162" s="573" t="s">
        <v>1547</v>
      </c>
      <c r="B22162" s="574">
        <v>182</v>
      </c>
      <c r="C22162" s="574">
        <v>392</v>
      </c>
    </row>
    <row r="22163" spans="1:3">
      <c r="A22163" s="573" t="s">
        <v>1547</v>
      </c>
      <c r="B22163" s="574">
        <v>365</v>
      </c>
      <c r="C22163" s="574">
        <v>432</v>
      </c>
    </row>
    <row r="22164" spans="1:3">
      <c r="A22164" s="569" t="s">
        <v>1547</v>
      </c>
      <c r="B22164" s="570">
        <v>730</v>
      </c>
      <c r="C22164" s="570">
        <v>456</v>
      </c>
    </row>
    <row r="22165" spans="1:3">
      <c r="A22165" s="569" t="s">
        <v>1547</v>
      </c>
      <c r="B22165" s="570">
        <v>1095</v>
      </c>
      <c r="C22165" s="570">
        <v>469</v>
      </c>
    </row>
    <row r="22166" spans="1:3">
      <c r="A22166" s="569" t="s">
        <v>1547</v>
      </c>
      <c r="B22166" s="570">
        <v>1460</v>
      </c>
      <c r="C22166" s="570">
        <v>474</v>
      </c>
    </row>
    <row r="22167" spans="1:3">
      <c r="A22167" s="569" t="s">
        <v>1547</v>
      </c>
      <c r="B22167" s="570">
        <v>1825</v>
      </c>
      <c r="C22167" s="570">
        <v>464</v>
      </c>
    </row>
    <row r="22168" spans="1:3">
      <c r="A22168" s="569" t="s">
        <v>1547</v>
      </c>
      <c r="B22168" s="570">
        <v>2190</v>
      </c>
      <c r="C22168" s="570">
        <v>479</v>
      </c>
    </row>
    <row r="22169" spans="1:3">
      <c r="A22169" s="569" t="s">
        <v>1547</v>
      </c>
      <c r="B22169" s="570">
        <v>2190</v>
      </c>
      <c r="C22169" s="570">
        <v>479</v>
      </c>
    </row>
    <row r="22170" spans="1:3">
      <c r="A22170" s="571" t="s">
        <v>1546</v>
      </c>
      <c r="B22170" s="572">
        <v>1</v>
      </c>
      <c r="C22170" s="572">
        <v>39</v>
      </c>
    </row>
    <row r="22171" spans="1:3">
      <c r="A22171" s="571" t="s">
        <v>1546</v>
      </c>
      <c r="B22171" s="572">
        <v>3</v>
      </c>
      <c r="C22171" s="572">
        <v>92</v>
      </c>
    </row>
    <row r="22172" spans="1:3">
      <c r="A22172" s="571" t="s">
        <v>1546</v>
      </c>
      <c r="B22172" s="572">
        <v>7</v>
      </c>
      <c r="C22172" s="572">
        <v>132</v>
      </c>
    </row>
    <row r="22173" spans="1:3">
      <c r="A22173" s="571" t="s">
        <v>1546</v>
      </c>
      <c r="B22173" s="572">
        <v>28</v>
      </c>
      <c r="C22173" s="572">
        <v>264</v>
      </c>
    </row>
    <row r="22174" spans="1:3">
      <c r="A22174" s="571" t="s">
        <v>1546</v>
      </c>
      <c r="B22174" s="572">
        <v>91</v>
      </c>
      <c r="C22174" s="572">
        <v>397</v>
      </c>
    </row>
    <row r="22175" spans="1:3">
      <c r="A22175" s="573" t="s">
        <v>1546</v>
      </c>
      <c r="B22175" s="574">
        <v>182</v>
      </c>
      <c r="C22175" s="574">
        <v>484</v>
      </c>
    </row>
    <row r="22176" spans="1:3">
      <c r="A22176" s="573" t="s">
        <v>1546</v>
      </c>
      <c r="B22176" s="574">
        <v>365</v>
      </c>
      <c r="C22176" s="574">
        <v>529</v>
      </c>
    </row>
    <row r="22177" spans="1:3">
      <c r="A22177" s="569" t="s">
        <v>1546</v>
      </c>
      <c r="B22177" s="570">
        <v>730</v>
      </c>
      <c r="C22177" s="570">
        <v>571</v>
      </c>
    </row>
    <row r="22178" spans="1:3">
      <c r="A22178" s="569" t="s">
        <v>1546</v>
      </c>
      <c r="B22178" s="570">
        <v>1095</v>
      </c>
      <c r="C22178" s="570">
        <v>590</v>
      </c>
    </row>
    <row r="22179" spans="1:3">
      <c r="A22179" s="569" t="s">
        <v>1546</v>
      </c>
      <c r="B22179" s="570">
        <v>1460</v>
      </c>
      <c r="C22179" s="570">
        <v>595</v>
      </c>
    </row>
    <row r="22180" spans="1:3">
      <c r="A22180" s="569" t="s">
        <v>1546</v>
      </c>
      <c r="B22180" s="570">
        <v>1825</v>
      </c>
      <c r="C22180" s="570">
        <v>596</v>
      </c>
    </row>
    <row r="22181" spans="1:3">
      <c r="A22181" s="569" t="s">
        <v>1546</v>
      </c>
      <c r="B22181" s="570">
        <v>2190</v>
      </c>
      <c r="C22181" s="570">
        <v>601</v>
      </c>
    </row>
    <row r="22182" spans="1:3">
      <c r="A22182" s="569" t="s">
        <v>1546</v>
      </c>
      <c r="B22182" s="570">
        <v>2190</v>
      </c>
      <c r="C22182" s="570">
        <v>601</v>
      </c>
    </row>
    <row r="22183" spans="1:3">
      <c r="A22183" s="571" t="s">
        <v>1545</v>
      </c>
      <c r="B22183" s="572">
        <v>1</v>
      </c>
      <c r="C22183" s="572">
        <v>57</v>
      </c>
    </row>
    <row r="22184" spans="1:3">
      <c r="A22184" s="571" t="s">
        <v>1545</v>
      </c>
      <c r="B22184" s="572">
        <v>3</v>
      </c>
      <c r="C22184" s="572">
        <v>96</v>
      </c>
    </row>
    <row r="22185" spans="1:3">
      <c r="A22185" s="571" t="s">
        <v>1545</v>
      </c>
      <c r="B22185" s="572">
        <v>7</v>
      </c>
      <c r="C22185" s="572">
        <v>161</v>
      </c>
    </row>
    <row r="22186" spans="1:3">
      <c r="A22186" s="571" t="s">
        <v>1545</v>
      </c>
      <c r="B22186" s="572">
        <v>28</v>
      </c>
      <c r="C22186" s="572">
        <v>322</v>
      </c>
    </row>
    <row r="22187" spans="1:3">
      <c r="A22187" s="571" t="s">
        <v>1545</v>
      </c>
      <c r="B22187" s="572">
        <v>91</v>
      </c>
      <c r="C22187" s="572">
        <v>463</v>
      </c>
    </row>
    <row r="22188" spans="1:3">
      <c r="A22188" s="573" t="s">
        <v>1545</v>
      </c>
      <c r="B22188" s="574">
        <v>182</v>
      </c>
      <c r="C22188" s="574">
        <v>558</v>
      </c>
    </row>
    <row r="22189" spans="1:3">
      <c r="A22189" s="573" t="s">
        <v>1545</v>
      </c>
      <c r="B22189" s="574">
        <v>365</v>
      </c>
      <c r="C22189" s="574">
        <v>605</v>
      </c>
    </row>
    <row r="22190" spans="1:3">
      <c r="A22190" s="569" t="s">
        <v>1545</v>
      </c>
      <c r="B22190" s="570">
        <v>730</v>
      </c>
      <c r="C22190" s="570">
        <v>644</v>
      </c>
    </row>
    <row r="22191" spans="1:3">
      <c r="A22191" s="569" t="s">
        <v>1545</v>
      </c>
      <c r="B22191" s="570">
        <v>1095</v>
      </c>
      <c r="C22191" s="570">
        <v>662</v>
      </c>
    </row>
    <row r="22192" spans="1:3">
      <c r="A22192" s="569" t="s">
        <v>1545</v>
      </c>
      <c r="B22192" s="570">
        <v>1460</v>
      </c>
      <c r="C22192" s="570">
        <v>666</v>
      </c>
    </row>
    <row r="22193" spans="1:3">
      <c r="A22193" s="569" t="s">
        <v>1545</v>
      </c>
      <c r="B22193" s="570">
        <v>1825</v>
      </c>
      <c r="C22193" s="570">
        <v>688</v>
      </c>
    </row>
    <row r="22194" spans="1:3">
      <c r="A22194" s="569" t="s">
        <v>1545</v>
      </c>
      <c r="B22194" s="570">
        <v>2190</v>
      </c>
      <c r="C22194" s="570">
        <v>677</v>
      </c>
    </row>
    <row r="22195" spans="1:3">
      <c r="A22195" s="569" t="s">
        <v>1545</v>
      </c>
      <c r="B22195" s="570">
        <v>2190</v>
      </c>
      <c r="C22195" s="570">
        <v>677</v>
      </c>
    </row>
    <row r="22196" spans="1:3">
      <c r="A22196" s="571" t="s">
        <v>1544</v>
      </c>
      <c r="B22196" s="572">
        <v>1</v>
      </c>
      <c r="C22196" s="572">
        <v>2</v>
      </c>
    </row>
    <row r="22197" spans="1:3">
      <c r="A22197" s="571" t="s">
        <v>1544</v>
      </c>
      <c r="B22197" s="572">
        <v>3</v>
      </c>
      <c r="C22197" s="572">
        <v>40</v>
      </c>
    </row>
    <row r="22198" spans="1:3">
      <c r="A22198" s="571" t="s">
        <v>1544</v>
      </c>
      <c r="B22198" s="572">
        <v>7</v>
      </c>
      <c r="C22198" s="572">
        <v>90</v>
      </c>
    </row>
    <row r="22199" spans="1:3">
      <c r="A22199" s="571" t="s">
        <v>1544</v>
      </c>
      <c r="B22199" s="572">
        <v>28</v>
      </c>
      <c r="C22199" s="572">
        <v>234</v>
      </c>
    </row>
    <row r="22200" spans="1:3">
      <c r="A22200" s="571" t="s">
        <v>1544</v>
      </c>
      <c r="B22200" s="572">
        <v>91</v>
      </c>
      <c r="C22200" s="572">
        <v>378</v>
      </c>
    </row>
    <row r="22201" spans="1:3">
      <c r="A22201" s="573" t="s">
        <v>1544</v>
      </c>
      <c r="B22201" s="574">
        <v>182</v>
      </c>
      <c r="C22201" s="574">
        <v>456</v>
      </c>
    </row>
    <row r="22202" spans="1:3">
      <c r="A22202" s="573" t="s">
        <v>1544</v>
      </c>
      <c r="B22202" s="574">
        <v>365</v>
      </c>
      <c r="C22202" s="574">
        <v>506</v>
      </c>
    </row>
    <row r="22203" spans="1:3">
      <c r="A22203" s="569" t="s">
        <v>1544</v>
      </c>
      <c r="B22203" s="570">
        <v>730</v>
      </c>
      <c r="C22203" s="570">
        <v>547</v>
      </c>
    </row>
    <row r="22204" spans="1:3">
      <c r="A22204" s="569" t="s">
        <v>1544</v>
      </c>
      <c r="B22204" s="570">
        <v>1095</v>
      </c>
      <c r="C22204" s="570">
        <v>567</v>
      </c>
    </row>
    <row r="22205" spans="1:3">
      <c r="A22205" s="569" t="s">
        <v>1544</v>
      </c>
      <c r="B22205" s="570">
        <v>1460</v>
      </c>
      <c r="C22205" s="570">
        <v>576</v>
      </c>
    </row>
    <row r="22206" spans="1:3">
      <c r="A22206" s="569" t="s">
        <v>1544</v>
      </c>
      <c r="B22206" s="570">
        <v>1825</v>
      </c>
      <c r="C22206" s="570">
        <v>578</v>
      </c>
    </row>
    <row r="22207" spans="1:3">
      <c r="A22207" s="569" t="s">
        <v>1544</v>
      </c>
      <c r="B22207" s="570">
        <v>2190</v>
      </c>
      <c r="C22207" s="570">
        <v>593</v>
      </c>
    </row>
    <row r="22208" spans="1:3">
      <c r="A22208" s="569" t="s">
        <v>1544</v>
      </c>
      <c r="B22208" s="570">
        <v>2190</v>
      </c>
      <c r="C22208" s="570">
        <v>593</v>
      </c>
    </row>
    <row r="22209" spans="1:3">
      <c r="A22209" s="571" t="s">
        <v>1543</v>
      </c>
      <c r="B22209" s="572">
        <v>1</v>
      </c>
      <c r="C22209" s="572">
        <v>51</v>
      </c>
    </row>
    <row r="22210" spans="1:3">
      <c r="A22210" s="571" t="s">
        <v>1543</v>
      </c>
      <c r="B22210" s="572">
        <v>3</v>
      </c>
      <c r="C22210" s="572">
        <v>91</v>
      </c>
    </row>
    <row r="22211" spans="1:3">
      <c r="A22211" s="571" t="s">
        <v>1543</v>
      </c>
      <c r="B22211" s="572">
        <v>7</v>
      </c>
      <c r="C22211" s="572">
        <v>134</v>
      </c>
    </row>
    <row r="22212" spans="1:3">
      <c r="A22212" s="571" t="s">
        <v>1543</v>
      </c>
      <c r="B22212" s="572">
        <v>28</v>
      </c>
      <c r="C22212" s="572">
        <v>228</v>
      </c>
    </row>
    <row r="22213" spans="1:3">
      <c r="A22213" s="571" t="s">
        <v>1543</v>
      </c>
      <c r="B22213" s="572">
        <v>91</v>
      </c>
      <c r="C22213" s="572">
        <v>313</v>
      </c>
    </row>
    <row r="22214" spans="1:3">
      <c r="A22214" s="573" t="s">
        <v>1543</v>
      </c>
      <c r="B22214" s="574">
        <v>182</v>
      </c>
      <c r="C22214" s="574">
        <v>361</v>
      </c>
    </row>
    <row r="22215" spans="1:3">
      <c r="A22215" s="573" t="s">
        <v>1543</v>
      </c>
      <c r="B22215" s="574">
        <v>365</v>
      </c>
      <c r="C22215" s="574">
        <v>401</v>
      </c>
    </row>
    <row r="22216" spans="1:3">
      <c r="A22216" s="569" t="s">
        <v>1543</v>
      </c>
      <c r="B22216" s="570">
        <v>730</v>
      </c>
      <c r="C22216" s="570">
        <v>423</v>
      </c>
    </row>
    <row r="22217" spans="1:3">
      <c r="A22217" s="569" t="s">
        <v>1543</v>
      </c>
      <c r="B22217" s="570">
        <v>1095</v>
      </c>
      <c r="C22217" s="570">
        <v>437</v>
      </c>
    </row>
    <row r="22218" spans="1:3">
      <c r="A22218" s="569" t="s">
        <v>1543</v>
      </c>
      <c r="B22218" s="570">
        <v>1460</v>
      </c>
      <c r="C22218" s="570">
        <v>437</v>
      </c>
    </row>
    <row r="22219" spans="1:3">
      <c r="A22219" s="569" t="s">
        <v>1543</v>
      </c>
      <c r="B22219" s="570">
        <v>1825</v>
      </c>
      <c r="C22219" s="570">
        <v>441</v>
      </c>
    </row>
    <row r="22220" spans="1:3">
      <c r="A22220" s="569" t="s">
        <v>1543</v>
      </c>
      <c r="B22220" s="570">
        <v>2190</v>
      </c>
      <c r="C22220" s="570">
        <v>441</v>
      </c>
    </row>
    <row r="22221" spans="1:3">
      <c r="A22221" s="569" t="s">
        <v>1543</v>
      </c>
      <c r="B22221" s="570">
        <v>2190</v>
      </c>
      <c r="C22221" s="570">
        <v>441</v>
      </c>
    </row>
    <row r="22222" spans="1:3">
      <c r="A22222" s="571" t="s">
        <v>1542</v>
      </c>
      <c r="B22222" s="572">
        <v>1</v>
      </c>
      <c r="C22222" s="572">
        <v>41</v>
      </c>
    </row>
    <row r="22223" spans="1:3">
      <c r="A22223" s="571" t="s">
        <v>1542</v>
      </c>
      <c r="B22223" s="572">
        <v>3</v>
      </c>
      <c r="C22223" s="572">
        <v>82</v>
      </c>
    </row>
    <row r="22224" spans="1:3">
      <c r="A22224" s="571" t="s">
        <v>1542</v>
      </c>
      <c r="B22224" s="572">
        <v>7</v>
      </c>
      <c r="C22224" s="572">
        <v>106</v>
      </c>
    </row>
    <row r="22225" spans="1:3">
      <c r="A22225" s="571" t="s">
        <v>1542</v>
      </c>
      <c r="B22225" s="572">
        <v>28</v>
      </c>
      <c r="C22225" s="572">
        <v>189</v>
      </c>
    </row>
    <row r="22226" spans="1:3">
      <c r="A22226" s="571" t="s">
        <v>1542</v>
      </c>
      <c r="B22226" s="572">
        <v>91</v>
      </c>
      <c r="C22226" s="572">
        <v>269</v>
      </c>
    </row>
    <row r="22227" spans="1:3">
      <c r="A22227" s="573" t="s">
        <v>1542</v>
      </c>
      <c r="B22227" s="574">
        <v>182</v>
      </c>
      <c r="C22227" s="574">
        <v>325</v>
      </c>
    </row>
    <row r="22228" spans="1:3">
      <c r="A22228" s="573" t="s">
        <v>1542</v>
      </c>
      <c r="B22228" s="574">
        <v>365</v>
      </c>
      <c r="C22228" s="574">
        <v>360</v>
      </c>
    </row>
    <row r="22229" spans="1:3">
      <c r="A22229" s="569" t="s">
        <v>1542</v>
      </c>
      <c r="B22229" s="570">
        <v>730</v>
      </c>
      <c r="C22229" s="570">
        <v>385</v>
      </c>
    </row>
    <row r="22230" spans="1:3">
      <c r="A22230" s="569" t="s">
        <v>1542</v>
      </c>
      <c r="B22230" s="570">
        <v>1095</v>
      </c>
      <c r="C22230" s="570">
        <v>400</v>
      </c>
    </row>
    <row r="22231" spans="1:3">
      <c r="A22231" s="569" t="s">
        <v>1542</v>
      </c>
      <c r="B22231" s="570">
        <v>1460</v>
      </c>
      <c r="C22231" s="570">
        <v>403</v>
      </c>
    </row>
    <row r="22232" spans="1:3">
      <c r="A22232" s="569" t="s">
        <v>1542</v>
      </c>
      <c r="B22232" s="570">
        <v>1825</v>
      </c>
      <c r="C22232" s="570">
        <v>403</v>
      </c>
    </row>
    <row r="22233" spans="1:3">
      <c r="A22233" s="569" t="s">
        <v>1542</v>
      </c>
      <c r="B22233" s="570">
        <v>2190</v>
      </c>
      <c r="C22233" s="570">
        <v>414</v>
      </c>
    </row>
    <row r="22234" spans="1:3">
      <c r="A22234" s="569" t="s">
        <v>1542</v>
      </c>
      <c r="B22234" s="570">
        <v>2190</v>
      </c>
      <c r="C22234" s="570">
        <v>414</v>
      </c>
    </row>
    <row r="22235" spans="1:3">
      <c r="A22235" s="571" t="s">
        <v>1541</v>
      </c>
      <c r="B22235" s="572">
        <v>1</v>
      </c>
      <c r="C22235" s="572">
        <v>1</v>
      </c>
    </row>
    <row r="22236" spans="1:3">
      <c r="A22236" s="571" t="s">
        <v>1541</v>
      </c>
      <c r="B22236" s="572">
        <v>3</v>
      </c>
      <c r="C22236" s="572">
        <v>10</v>
      </c>
    </row>
    <row r="22237" spans="1:3">
      <c r="A22237" s="571" t="s">
        <v>1541</v>
      </c>
      <c r="B22237" s="572">
        <v>7</v>
      </c>
      <c r="C22237" s="572">
        <v>46</v>
      </c>
    </row>
    <row r="22238" spans="1:3">
      <c r="A22238" s="571" t="s">
        <v>1541</v>
      </c>
      <c r="B22238" s="572">
        <v>28</v>
      </c>
      <c r="C22238" s="572">
        <v>141</v>
      </c>
    </row>
    <row r="22239" spans="1:3">
      <c r="A22239" s="571" t="s">
        <v>1541</v>
      </c>
      <c r="B22239" s="572">
        <v>91</v>
      </c>
      <c r="C22239" s="572">
        <v>215</v>
      </c>
    </row>
    <row r="22240" spans="1:3">
      <c r="A22240" s="573" t="s">
        <v>1541</v>
      </c>
      <c r="B22240" s="574">
        <v>182</v>
      </c>
      <c r="C22240" s="574">
        <v>255</v>
      </c>
    </row>
    <row r="22241" spans="1:3">
      <c r="A22241" s="573" t="s">
        <v>1541</v>
      </c>
      <c r="B22241" s="574">
        <v>365</v>
      </c>
      <c r="C22241" s="574">
        <v>303</v>
      </c>
    </row>
    <row r="22242" spans="1:3">
      <c r="A22242" s="569" t="s">
        <v>1541</v>
      </c>
      <c r="B22242" s="570">
        <v>730</v>
      </c>
      <c r="C22242" s="570">
        <v>328</v>
      </c>
    </row>
    <row r="22243" spans="1:3">
      <c r="A22243" s="569" t="s">
        <v>1541</v>
      </c>
      <c r="B22243" s="570">
        <v>1095</v>
      </c>
      <c r="C22243" s="570">
        <v>332</v>
      </c>
    </row>
    <row r="22244" spans="1:3">
      <c r="A22244" s="569" t="s">
        <v>1541</v>
      </c>
      <c r="B22244" s="570">
        <v>1460</v>
      </c>
      <c r="C22244" s="570">
        <v>336</v>
      </c>
    </row>
    <row r="22245" spans="1:3">
      <c r="A22245" s="569" t="s">
        <v>1541</v>
      </c>
      <c r="B22245" s="570">
        <v>1825</v>
      </c>
      <c r="C22245" s="570">
        <v>340</v>
      </c>
    </row>
    <row r="22246" spans="1:3">
      <c r="A22246" s="569" t="s">
        <v>1541</v>
      </c>
      <c r="B22246" s="570">
        <v>2190</v>
      </c>
      <c r="C22246" s="570">
        <v>344</v>
      </c>
    </row>
    <row r="22247" spans="1:3">
      <c r="A22247" s="569" t="s">
        <v>1541</v>
      </c>
      <c r="B22247" s="570">
        <v>2190</v>
      </c>
      <c r="C22247" s="570">
        <v>344</v>
      </c>
    </row>
    <row r="22248" spans="1:3">
      <c r="A22248" s="571" t="s">
        <v>1540</v>
      </c>
      <c r="B22248" s="572">
        <v>1</v>
      </c>
      <c r="C22248" s="572">
        <v>20</v>
      </c>
    </row>
    <row r="22249" spans="1:3">
      <c r="A22249" s="571" t="s">
        <v>1540</v>
      </c>
      <c r="B22249" s="572">
        <v>2</v>
      </c>
      <c r="C22249" s="572">
        <v>44</v>
      </c>
    </row>
    <row r="22250" spans="1:3">
      <c r="A22250" s="571" t="s">
        <v>1540</v>
      </c>
      <c r="B22250" s="572">
        <v>4</v>
      </c>
      <c r="C22250" s="572">
        <v>60</v>
      </c>
    </row>
    <row r="22251" spans="1:3">
      <c r="A22251" s="571" t="s">
        <v>1540</v>
      </c>
      <c r="B22251" s="572">
        <v>5</v>
      </c>
      <c r="C22251" s="572">
        <v>64</v>
      </c>
    </row>
    <row r="22252" spans="1:3">
      <c r="A22252" s="571" t="s">
        <v>1540</v>
      </c>
      <c r="B22252" s="572">
        <v>7</v>
      </c>
      <c r="C22252" s="572">
        <v>80</v>
      </c>
    </row>
    <row r="22253" spans="1:3">
      <c r="A22253" s="571" t="s">
        <v>1540</v>
      </c>
      <c r="B22253" s="572">
        <v>11</v>
      </c>
      <c r="C22253" s="572">
        <v>95</v>
      </c>
    </row>
    <row r="22254" spans="1:3">
      <c r="A22254" s="571" t="s">
        <v>1540</v>
      </c>
      <c r="B22254" s="572">
        <v>14</v>
      </c>
      <c r="C22254" s="572">
        <v>125</v>
      </c>
    </row>
    <row r="22255" spans="1:3">
      <c r="A22255" s="571" t="s">
        <v>1540</v>
      </c>
      <c r="B22255" s="572">
        <v>21</v>
      </c>
      <c r="C22255" s="572">
        <v>155</v>
      </c>
    </row>
    <row r="22256" spans="1:3">
      <c r="A22256" s="571" t="s">
        <v>1540</v>
      </c>
      <c r="B22256" s="572">
        <v>28</v>
      </c>
      <c r="C22256" s="572">
        <v>184</v>
      </c>
    </row>
    <row r="22257" spans="1:3">
      <c r="A22257" s="571" t="s">
        <v>1540</v>
      </c>
      <c r="B22257" s="572">
        <v>46</v>
      </c>
      <c r="C22257" s="572">
        <v>240</v>
      </c>
    </row>
    <row r="22258" spans="1:3">
      <c r="A22258" s="571" t="s">
        <v>1540</v>
      </c>
      <c r="B22258" s="572">
        <v>60</v>
      </c>
      <c r="C22258" s="572">
        <v>275</v>
      </c>
    </row>
    <row r="22259" spans="1:3">
      <c r="A22259" s="571" t="s">
        <v>1540</v>
      </c>
      <c r="B22259" s="572">
        <v>75</v>
      </c>
      <c r="C22259" s="572">
        <v>300</v>
      </c>
    </row>
    <row r="22260" spans="1:3">
      <c r="A22260" s="571" t="s">
        <v>1540</v>
      </c>
      <c r="B22260" s="572">
        <v>95</v>
      </c>
      <c r="C22260" s="572">
        <v>335</v>
      </c>
    </row>
    <row r="22261" spans="1:3">
      <c r="A22261" s="573" t="s">
        <v>1540</v>
      </c>
      <c r="B22261" s="574">
        <v>123</v>
      </c>
      <c r="C22261" s="574">
        <v>381</v>
      </c>
    </row>
    <row r="22262" spans="1:3">
      <c r="A22262" s="573" t="s">
        <v>1540</v>
      </c>
      <c r="B22262" s="574">
        <v>180</v>
      </c>
      <c r="C22262" s="574">
        <v>412</v>
      </c>
    </row>
    <row r="22263" spans="1:3">
      <c r="A22263" s="573" t="s">
        <v>1540</v>
      </c>
      <c r="B22263" s="574">
        <v>277</v>
      </c>
      <c r="C22263" s="574">
        <v>432</v>
      </c>
    </row>
    <row r="22264" spans="1:3">
      <c r="A22264" s="573" t="s">
        <v>1540</v>
      </c>
      <c r="B22264" s="574">
        <v>368</v>
      </c>
      <c r="C22264" s="574">
        <v>438</v>
      </c>
    </row>
    <row r="22265" spans="1:3">
      <c r="A22265" s="573" t="s">
        <v>1540</v>
      </c>
      <c r="B22265" s="574">
        <v>461</v>
      </c>
      <c r="C22265" s="574">
        <v>439</v>
      </c>
    </row>
    <row r="22266" spans="1:3">
      <c r="A22266" s="569" t="s">
        <v>1540</v>
      </c>
      <c r="B22266" s="570">
        <v>553</v>
      </c>
      <c r="C22266" s="570">
        <v>442</v>
      </c>
    </row>
    <row r="22267" spans="1:3">
      <c r="A22267" s="569" t="s">
        <v>1540</v>
      </c>
      <c r="B22267" s="570">
        <v>553</v>
      </c>
      <c r="C22267" s="570">
        <v>442</v>
      </c>
    </row>
    <row r="22268" spans="1:3">
      <c r="A22268" s="571" t="s">
        <v>1539</v>
      </c>
      <c r="B22268" s="572">
        <v>1</v>
      </c>
      <c r="C22268" s="572">
        <v>5</v>
      </c>
    </row>
    <row r="22269" spans="1:3">
      <c r="A22269" s="571" t="s">
        <v>1539</v>
      </c>
      <c r="B22269" s="572">
        <v>2</v>
      </c>
      <c r="C22269" s="572">
        <v>15</v>
      </c>
    </row>
    <row r="22270" spans="1:3">
      <c r="A22270" s="571" t="s">
        <v>1539</v>
      </c>
      <c r="B22270" s="572">
        <v>3</v>
      </c>
      <c r="C22270" s="572">
        <v>15</v>
      </c>
    </row>
    <row r="22271" spans="1:3">
      <c r="A22271" s="571" t="s">
        <v>1539</v>
      </c>
      <c r="B22271" s="572">
        <v>4</v>
      </c>
      <c r="C22271" s="572">
        <v>27</v>
      </c>
    </row>
    <row r="22272" spans="1:3">
      <c r="A22272" s="571" t="s">
        <v>1539</v>
      </c>
      <c r="B22272" s="572">
        <v>7</v>
      </c>
      <c r="C22272" s="572">
        <v>50</v>
      </c>
    </row>
    <row r="22273" spans="1:3">
      <c r="A22273" s="571" t="s">
        <v>1539</v>
      </c>
      <c r="B22273" s="572">
        <v>10</v>
      </c>
      <c r="C22273" s="572">
        <v>63</v>
      </c>
    </row>
    <row r="22274" spans="1:3">
      <c r="A22274" s="571" t="s">
        <v>1539</v>
      </c>
      <c r="B22274" s="572">
        <v>14</v>
      </c>
      <c r="C22274" s="572">
        <v>85</v>
      </c>
    </row>
    <row r="22275" spans="1:3">
      <c r="A22275" s="571" t="s">
        <v>1539</v>
      </c>
      <c r="B22275" s="572">
        <v>21</v>
      </c>
      <c r="C22275" s="572">
        <v>120</v>
      </c>
    </row>
    <row r="22276" spans="1:3">
      <c r="A22276" s="571" t="s">
        <v>1539</v>
      </c>
      <c r="B22276" s="572">
        <v>28</v>
      </c>
      <c r="C22276" s="572">
        <v>144</v>
      </c>
    </row>
    <row r="22277" spans="1:3">
      <c r="A22277" s="571" t="s">
        <v>1539</v>
      </c>
      <c r="B22277" s="572">
        <v>42</v>
      </c>
      <c r="C22277" s="572">
        <v>185</v>
      </c>
    </row>
    <row r="22278" spans="1:3">
      <c r="A22278" s="571" t="s">
        <v>1539</v>
      </c>
      <c r="B22278" s="572">
        <v>56</v>
      </c>
      <c r="C22278" s="572">
        <v>217</v>
      </c>
    </row>
    <row r="22279" spans="1:3">
      <c r="A22279" s="571" t="s">
        <v>1539</v>
      </c>
      <c r="B22279" s="572">
        <v>71</v>
      </c>
      <c r="C22279" s="572">
        <v>243</v>
      </c>
    </row>
    <row r="22280" spans="1:3">
      <c r="A22280" s="571" t="s">
        <v>1539</v>
      </c>
      <c r="B22280" s="572">
        <v>91</v>
      </c>
      <c r="C22280" s="572">
        <v>275</v>
      </c>
    </row>
    <row r="22281" spans="1:3">
      <c r="A22281" s="573" t="s">
        <v>1539</v>
      </c>
      <c r="B22281" s="574">
        <v>105</v>
      </c>
      <c r="C22281" s="574">
        <v>291</v>
      </c>
    </row>
    <row r="22282" spans="1:3">
      <c r="A22282" s="573" t="s">
        <v>1539</v>
      </c>
      <c r="B22282" s="574">
        <v>182</v>
      </c>
      <c r="C22282" s="574">
        <v>362</v>
      </c>
    </row>
    <row r="22283" spans="1:3">
      <c r="A22283" s="573" t="s">
        <v>1539</v>
      </c>
      <c r="B22283" s="574">
        <v>273</v>
      </c>
      <c r="C22283" s="574">
        <v>412</v>
      </c>
    </row>
    <row r="22284" spans="1:3">
      <c r="A22284" s="573" t="s">
        <v>1539</v>
      </c>
      <c r="B22284" s="574">
        <v>364</v>
      </c>
      <c r="C22284" s="574">
        <v>432</v>
      </c>
    </row>
    <row r="22285" spans="1:3">
      <c r="A22285" s="573" t="s">
        <v>1539</v>
      </c>
      <c r="B22285" s="574">
        <v>457</v>
      </c>
      <c r="C22285" s="574">
        <v>445</v>
      </c>
    </row>
    <row r="22286" spans="1:3">
      <c r="A22286" s="569" t="s">
        <v>1539</v>
      </c>
      <c r="B22286" s="570">
        <v>549</v>
      </c>
      <c r="C22286" s="570">
        <v>452</v>
      </c>
    </row>
    <row r="22287" spans="1:3">
      <c r="A22287" s="569" t="s">
        <v>1539</v>
      </c>
      <c r="B22287" s="570">
        <v>549</v>
      </c>
      <c r="C22287" s="570">
        <v>452</v>
      </c>
    </row>
    <row r="22288" spans="1:3">
      <c r="A22288" s="571" t="s">
        <v>1538</v>
      </c>
      <c r="B22288" s="572">
        <v>1</v>
      </c>
      <c r="C22288" s="572">
        <v>10</v>
      </c>
    </row>
    <row r="22289" spans="1:3">
      <c r="A22289" s="571" t="s">
        <v>1538</v>
      </c>
      <c r="B22289" s="572">
        <v>2</v>
      </c>
      <c r="C22289" s="572">
        <v>40</v>
      </c>
    </row>
    <row r="22290" spans="1:3">
      <c r="A22290" s="571" t="s">
        <v>1538</v>
      </c>
      <c r="B22290" s="572">
        <v>3</v>
      </c>
      <c r="C22290" s="572">
        <v>60</v>
      </c>
    </row>
    <row r="22291" spans="1:3">
      <c r="A22291" s="571" t="s">
        <v>1538</v>
      </c>
      <c r="B22291" s="572">
        <v>7</v>
      </c>
      <c r="C22291" s="572">
        <v>95</v>
      </c>
    </row>
    <row r="22292" spans="1:3">
      <c r="A22292" s="571" t="s">
        <v>1538</v>
      </c>
      <c r="B22292" s="572">
        <v>10</v>
      </c>
      <c r="C22292" s="572">
        <v>115</v>
      </c>
    </row>
    <row r="22293" spans="1:3">
      <c r="A22293" s="571" t="s">
        <v>1538</v>
      </c>
      <c r="B22293" s="572">
        <v>15</v>
      </c>
      <c r="C22293" s="572">
        <v>139</v>
      </c>
    </row>
    <row r="22294" spans="1:3">
      <c r="A22294" s="571" t="s">
        <v>1538</v>
      </c>
      <c r="B22294" s="572">
        <v>21</v>
      </c>
      <c r="C22294" s="572">
        <v>169</v>
      </c>
    </row>
    <row r="22295" spans="1:3">
      <c r="A22295" s="571" t="s">
        <v>1538</v>
      </c>
      <c r="B22295" s="572">
        <v>28</v>
      </c>
      <c r="C22295" s="572">
        <v>195</v>
      </c>
    </row>
    <row r="22296" spans="1:3">
      <c r="A22296" s="571" t="s">
        <v>1538</v>
      </c>
      <c r="B22296" s="572">
        <v>42</v>
      </c>
      <c r="C22296" s="572">
        <v>240</v>
      </c>
    </row>
    <row r="22297" spans="1:3">
      <c r="A22297" s="571" t="s">
        <v>1538</v>
      </c>
      <c r="B22297" s="572">
        <v>56</v>
      </c>
      <c r="C22297" s="572">
        <v>272</v>
      </c>
    </row>
    <row r="22298" spans="1:3">
      <c r="A22298" s="571" t="s">
        <v>1538</v>
      </c>
      <c r="B22298" s="572">
        <v>77</v>
      </c>
      <c r="C22298" s="572">
        <v>314</v>
      </c>
    </row>
    <row r="22299" spans="1:3">
      <c r="A22299" s="571" t="s">
        <v>1538</v>
      </c>
      <c r="B22299" s="572">
        <v>91</v>
      </c>
      <c r="C22299" s="572">
        <v>336</v>
      </c>
    </row>
    <row r="22300" spans="1:3">
      <c r="A22300" s="573" t="s">
        <v>1538</v>
      </c>
      <c r="B22300" s="574">
        <v>126</v>
      </c>
      <c r="C22300" s="574">
        <v>384</v>
      </c>
    </row>
    <row r="22301" spans="1:3">
      <c r="A22301" s="573" t="s">
        <v>1538</v>
      </c>
      <c r="B22301" s="574">
        <v>184</v>
      </c>
      <c r="C22301" s="574">
        <v>455</v>
      </c>
    </row>
    <row r="22302" spans="1:3">
      <c r="A22302" s="573" t="s">
        <v>1538</v>
      </c>
      <c r="B22302" s="574">
        <v>252</v>
      </c>
      <c r="C22302" s="574">
        <v>504</v>
      </c>
    </row>
    <row r="22303" spans="1:3">
      <c r="A22303" s="573" t="s">
        <v>1538</v>
      </c>
      <c r="B22303" s="574">
        <v>360</v>
      </c>
      <c r="C22303" s="574">
        <v>559</v>
      </c>
    </row>
    <row r="22304" spans="1:3">
      <c r="A22304" s="569" t="s">
        <v>1538</v>
      </c>
      <c r="B22304" s="570">
        <v>500</v>
      </c>
      <c r="C22304" s="570">
        <v>605</v>
      </c>
    </row>
    <row r="22305" spans="1:3">
      <c r="A22305" s="569" t="s">
        <v>1538</v>
      </c>
      <c r="B22305" s="570">
        <v>650</v>
      </c>
      <c r="C22305" s="570">
        <v>617</v>
      </c>
    </row>
    <row r="22306" spans="1:3">
      <c r="A22306" s="569" t="s">
        <v>1538</v>
      </c>
      <c r="B22306" s="570">
        <v>721</v>
      </c>
      <c r="C22306" s="570">
        <v>638</v>
      </c>
    </row>
    <row r="22307" spans="1:3">
      <c r="A22307" s="569" t="s">
        <v>1538</v>
      </c>
      <c r="B22307" s="570">
        <v>721</v>
      </c>
      <c r="C22307" s="570">
        <v>638</v>
      </c>
    </row>
    <row r="22308" spans="1:3">
      <c r="A22308" s="571" t="s">
        <v>1537</v>
      </c>
      <c r="B22308" s="572">
        <v>1</v>
      </c>
      <c r="C22308" s="572">
        <v>15</v>
      </c>
    </row>
    <row r="22309" spans="1:3">
      <c r="A22309" s="571" t="s">
        <v>1537</v>
      </c>
      <c r="B22309" s="572">
        <v>3</v>
      </c>
      <c r="C22309" s="572">
        <v>38</v>
      </c>
    </row>
    <row r="22310" spans="1:3">
      <c r="A22310" s="571" t="s">
        <v>1537</v>
      </c>
      <c r="B22310" s="572">
        <v>5</v>
      </c>
      <c r="C22310" s="572">
        <v>64</v>
      </c>
    </row>
    <row r="22311" spans="1:3">
      <c r="A22311" s="571" t="s">
        <v>1537</v>
      </c>
      <c r="B22311" s="572">
        <v>7</v>
      </c>
      <c r="C22311" s="572">
        <v>87</v>
      </c>
    </row>
    <row r="22312" spans="1:3">
      <c r="A22312" s="571" t="s">
        <v>1537</v>
      </c>
      <c r="B22312" s="572">
        <v>9</v>
      </c>
      <c r="C22312" s="572">
        <v>109</v>
      </c>
    </row>
    <row r="22313" spans="1:3">
      <c r="A22313" s="571" t="s">
        <v>1537</v>
      </c>
      <c r="B22313" s="572">
        <v>14</v>
      </c>
      <c r="C22313" s="572">
        <v>139</v>
      </c>
    </row>
    <row r="22314" spans="1:3">
      <c r="A22314" s="571" t="s">
        <v>1537</v>
      </c>
      <c r="B22314" s="572">
        <v>19</v>
      </c>
      <c r="C22314" s="572">
        <v>160</v>
      </c>
    </row>
    <row r="22315" spans="1:3">
      <c r="A22315" s="571" t="s">
        <v>1537</v>
      </c>
      <c r="B22315" s="572">
        <v>27</v>
      </c>
      <c r="C22315" s="572">
        <v>190</v>
      </c>
    </row>
    <row r="22316" spans="1:3">
      <c r="A22316" s="571" t="s">
        <v>1537</v>
      </c>
      <c r="B22316" s="572">
        <v>41</v>
      </c>
      <c r="C22316" s="572">
        <v>232</v>
      </c>
    </row>
    <row r="22317" spans="1:3">
      <c r="A22317" s="571" t="s">
        <v>1537</v>
      </c>
      <c r="B22317" s="572">
        <v>55</v>
      </c>
      <c r="C22317" s="572">
        <v>268</v>
      </c>
    </row>
    <row r="22318" spans="1:3">
      <c r="A22318" s="571" t="s">
        <v>1537</v>
      </c>
      <c r="B22318" s="572">
        <v>76</v>
      </c>
      <c r="C22318" s="572">
        <v>304</v>
      </c>
    </row>
    <row r="22319" spans="1:3">
      <c r="A22319" s="571" t="s">
        <v>1537</v>
      </c>
      <c r="B22319" s="572">
        <v>90</v>
      </c>
      <c r="C22319" s="572">
        <v>326</v>
      </c>
    </row>
    <row r="22320" spans="1:3">
      <c r="A22320" s="573" t="s">
        <v>1537</v>
      </c>
      <c r="B22320" s="574">
        <v>118</v>
      </c>
      <c r="C22320" s="574">
        <v>361</v>
      </c>
    </row>
    <row r="22321" spans="1:3">
      <c r="A22321" s="573" t="s">
        <v>1537</v>
      </c>
      <c r="B22321" s="574">
        <v>183</v>
      </c>
      <c r="C22321" s="574">
        <v>426</v>
      </c>
    </row>
    <row r="22322" spans="1:3">
      <c r="A22322" s="573" t="s">
        <v>1537</v>
      </c>
      <c r="B22322" s="574">
        <v>275</v>
      </c>
      <c r="C22322" s="574">
        <v>496</v>
      </c>
    </row>
    <row r="22323" spans="1:3">
      <c r="A22323" s="573" t="s">
        <v>1537</v>
      </c>
      <c r="B22323" s="574">
        <v>361</v>
      </c>
      <c r="C22323" s="574">
        <v>539</v>
      </c>
    </row>
    <row r="22324" spans="1:3">
      <c r="A22324" s="569" t="s">
        <v>1537</v>
      </c>
      <c r="B22324" s="570">
        <v>551</v>
      </c>
      <c r="C22324" s="570">
        <v>596</v>
      </c>
    </row>
    <row r="22325" spans="1:3">
      <c r="A22325" s="569" t="s">
        <v>1537</v>
      </c>
      <c r="B22325" s="570">
        <v>720</v>
      </c>
      <c r="C22325" s="570">
        <v>626</v>
      </c>
    </row>
    <row r="22326" spans="1:3">
      <c r="A22326" s="569" t="s">
        <v>1537</v>
      </c>
      <c r="B22326" s="570">
        <v>765</v>
      </c>
      <c r="C22326" s="570">
        <v>629</v>
      </c>
    </row>
    <row r="22327" spans="1:3">
      <c r="A22327" s="569" t="s">
        <v>1537</v>
      </c>
      <c r="B22327" s="570">
        <v>765</v>
      </c>
      <c r="C22327" s="570">
        <v>629</v>
      </c>
    </row>
    <row r="22328" spans="1:3">
      <c r="A22328" s="571" t="s">
        <v>1536</v>
      </c>
      <c r="B22328" s="572">
        <v>1</v>
      </c>
      <c r="C22328" s="572">
        <v>8</v>
      </c>
    </row>
    <row r="22329" spans="1:3">
      <c r="A22329" s="571" t="s">
        <v>1536</v>
      </c>
      <c r="B22329" s="572">
        <v>4</v>
      </c>
      <c r="C22329" s="572">
        <v>34</v>
      </c>
    </row>
    <row r="22330" spans="1:3">
      <c r="A22330" s="571" t="s">
        <v>1536</v>
      </c>
      <c r="B22330" s="572">
        <v>6</v>
      </c>
      <c r="C22330" s="572">
        <v>50</v>
      </c>
    </row>
    <row r="22331" spans="1:3">
      <c r="A22331" s="571" t="s">
        <v>1536</v>
      </c>
      <c r="B22331" s="572">
        <v>11</v>
      </c>
      <c r="C22331" s="572">
        <v>58</v>
      </c>
    </row>
    <row r="22332" spans="1:3">
      <c r="A22332" s="571" t="s">
        <v>1536</v>
      </c>
      <c r="B22332" s="572">
        <v>14</v>
      </c>
      <c r="C22332" s="572">
        <v>71</v>
      </c>
    </row>
    <row r="22333" spans="1:3">
      <c r="A22333" s="571" t="s">
        <v>1536</v>
      </c>
      <c r="B22333" s="572">
        <v>19</v>
      </c>
      <c r="C22333" s="572">
        <v>100</v>
      </c>
    </row>
    <row r="22334" spans="1:3">
      <c r="A22334" s="571" t="s">
        <v>1536</v>
      </c>
      <c r="B22334" s="572">
        <v>27</v>
      </c>
      <c r="C22334" s="572">
        <v>134</v>
      </c>
    </row>
    <row r="22335" spans="1:3">
      <c r="A22335" s="571" t="s">
        <v>1536</v>
      </c>
      <c r="B22335" s="572">
        <v>40</v>
      </c>
      <c r="C22335" s="572">
        <v>179</v>
      </c>
    </row>
    <row r="22336" spans="1:3">
      <c r="A22336" s="571" t="s">
        <v>1536</v>
      </c>
      <c r="B22336" s="572">
        <v>54</v>
      </c>
      <c r="C22336" s="572">
        <v>216</v>
      </c>
    </row>
    <row r="22337" spans="1:3">
      <c r="A22337" s="571" t="s">
        <v>1536</v>
      </c>
      <c r="B22337" s="572">
        <v>67</v>
      </c>
      <c r="C22337" s="572">
        <v>245</v>
      </c>
    </row>
    <row r="22338" spans="1:3">
      <c r="A22338" s="571" t="s">
        <v>1536</v>
      </c>
      <c r="B22338" s="572">
        <v>89</v>
      </c>
      <c r="C22338" s="572">
        <v>285</v>
      </c>
    </row>
    <row r="22339" spans="1:3">
      <c r="A22339" s="573" t="s">
        <v>1536</v>
      </c>
      <c r="B22339" s="574">
        <v>118</v>
      </c>
      <c r="C22339" s="574">
        <v>326</v>
      </c>
    </row>
    <row r="22340" spans="1:3">
      <c r="A22340" s="573" t="s">
        <v>1536</v>
      </c>
      <c r="B22340" s="574">
        <v>174</v>
      </c>
      <c r="C22340" s="574">
        <v>387</v>
      </c>
    </row>
    <row r="22341" spans="1:3">
      <c r="A22341" s="573" t="s">
        <v>1536</v>
      </c>
      <c r="B22341" s="574">
        <v>275</v>
      </c>
      <c r="C22341" s="574">
        <v>467</v>
      </c>
    </row>
    <row r="22342" spans="1:3">
      <c r="A22342" s="573" t="s">
        <v>1536</v>
      </c>
      <c r="B22342" s="574">
        <v>306</v>
      </c>
      <c r="C22342" s="574">
        <v>490</v>
      </c>
    </row>
    <row r="22343" spans="1:3">
      <c r="A22343" s="573" t="s">
        <v>1536</v>
      </c>
      <c r="B22343" s="574">
        <v>369</v>
      </c>
      <c r="C22343" s="574">
        <v>522</v>
      </c>
    </row>
    <row r="22344" spans="1:3">
      <c r="A22344" s="569" t="s">
        <v>1536</v>
      </c>
      <c r="B22344" s="570">
        <v>551</v>
      </c>
      <c r="C22344" s="570">
        <v>580</v>
      </c>
    </row>
    <row r="22345" spans="1:3">
      <c r="A22345" s="569" t="s">
        <v>1536</v>
      </c>
      <c r="B22345" s="570">
        <v>705</v>
      </c>
      <c r="C22345" s="570">
        <v>611</v>
      </c>
    </row>
    <row r="22346" spans="1:3">
      <c r="A22346" s="569" t="s">
        <v>1536</v>
      </c>
      <c r="B22346" s="570">
        <v>760</v>
      </c>
      <c r="C22346" s="570">
        <v>620</v>
      </c>
    </row>
    <row r="22347" spans="1:3">
      <c r="A22347" s="569" t="s">
        <v>1536</v>
      </c>
      <c r="B22347" s="570">
        <v>760</v>
      </c>
      <c r="C22347" s="570">
        <v>620</v>
      </c>
    </row>
    <row r="22348" spans="1:3">
      <c r="A22348" s="571" t="s">
        <v>1535</v>
      </c>
      <c r="B22348" s="572">
        <v>1</v>
      </c>
      <c r="C22348" s="572">
        <v>8</v>
      </c>
    </row>
    <row r="22349" spans="1:3">
      <c r="A22349" s="571" t="s">
        <v>1535</v>
      </c>
      <c r="B22349" s="572">
        <v>3</v>
      </c>
      <c r="C22349" s="572">
        <v>34</v>
      </c>
    </row>
    <row r="22350" spans="1:3">
      <c r="A22350" s="571" t="s">
        <v>1535</v>
      </c>
      <c r="B22350" s="572">
        <v>6</v>
      </c>
      <c r="C22350" s="572">
        <v>75</v>
      </c>
    </row>
    <row r="22351" spans="1:3">
      <c r="A22351" s="571" t="s">
        <v>1535</v>
      </c>
      <c r="B22351" s="572">
        <v>10</v>
      </c>
      <c r="C22351" s="572">
        <v>91</v>
      </c>
    </row>
    <row r="22352" spans="1:3">
      <c r="A22352" s="571" t="s">
        <v>1535</v>
      </c>
      <c r="B22352" s="572">
        <v>14</v>
      </c>
      <c r="C22352" s="572">
        <v>115</v>
      </c>
    </row>
    <row r="22353" spans="1:3">
      <c r="A22353" s="571" t="s">
        <v>1535</v>
      </c>
      <c r="B22353" s="572">
        <v>26</v>
      </c>
      <c r="C22353" s="572">
        <v>174</v>
      </c>
    </row>
    <row r="22354" spans="1:3">
      <c r="A22354" s="571" t="s">
        <v>1535</v>
      </c>
      <c r="B22354" s="572">
        <v>46</v>
      </c>
      <c r="C22354" s="572">
        <v>233</v>
      </c>
    </row>
    <row r="22355" spans="1:3">
      <c r="A22355" s="571" t="s">
        <v>1535</v>
      </c>
      <c r="B22355" s="572">
        <v>60</v>
      </c>
      <c r="C22355" s="572">
        <v>269</v>
      </c>
    </row>
    <row r="22356" spans="1:3">
      <c r="A22356" s="571" t="s">
        <v>1535</v>
      </c>
      <c r="B22356" s="572">
        <v>75</v>
      </c>
      <c r="C22356" s="572">
        <v>301</v>
      </c>
    </row>
    <row r="22357" spans="1:3">
      <c r="A22357" s="571" t="s">
        <v>1535</v>
      </c>
      <c r="B22357" s="572">
        <v>98</v>
      </c>
      <c r="C22357" s="572">
        <v>339</v>
      </c>
    </row>
    <row r="22358" spans="1:3">
      <c r="A22358" s="573" t="s">
        <v>1535</v>
      </c>
      <c r="B22358" s="574">
        <v>126</v>
      </c>
      <c r="C22358" s="574">
        <v>372</v>
      </c>
    </row>
    <row r="22359" spans="1:3">
      <c r="A22359" s="573" t="s">
        <v>1535</v>
      </c>
      <c r="B22359" s="574">
        <v>183</v>
      </c>
      <c r="C22359" s="574">
        <v>425</v>
      </c>
    </row>
    <row r="22360" spans="1:3">
      <c r="A22360" s="573" t="s">
        <v>1535</v>
      </c>
      <c r="B22360" s="574">
        <v>231</v>
      </c>
      <c r="C22360" s="574">
        <v>445</v>
      </c>
    </row>
    <row r="22361" spans="1:3">
      <c r="A22361" s="573" t="s">
        <v>1535</v>
      </c>
      <c r="B22361" s="574">
        <v>275</v>
      </c>
      <c r="C22361" s="574">
        <v>476</v>
      </c>
    </row>
    <row r="22362" spans="1:3">
      <c r="A22362" s="573" t="s">
        <v>1535</v>
      </c>
      <c r="B22362" s="574">
        <v>313</v>
      </c>
      <c r="C22362" s="574">
        <v>487</v>
      </c>
    </row>
    <row r="22363" spans="1:3">
      <c r="A22363" s="573" t="s">
        <v>1535</v>
      </c>
      <c r="B22363" s="574">
        <v>362</v>
      </c>
      <c r="C22363" s="574">
        <v>504</v>
      </c>
    </row>
    <row r="22364" spans="1:3">
      <c r="A22364" s="569" t="s">
        <v>1535</v>
      </c>
      <c r="B22364" s="570">
        <v>551</v>
      </c>
      <c r="C22364" s="570">
        <v>530</v>
      </c>
    </row>
    <row r="22365" spans="1:3">
      <c r="A22365" s="569" t="s">
        <v>1535</v>
      </c>
      <c r="B22365" s="570">
        <v>706</v>
      </c>
      <c r="C22365" s="570">
        <v>542</v>
      </c>
    </row>
    <row r="22366" spans="1:3">
      <c r="A22366" s="569" t="s">
        <v>1535</v>
      </c>
      <c r="B22366" s="570">
        <v>761</v>
      </c>
      <c r="C22366" s="570">
        <v>547</v>
      </c>
    </row>
    <row r="22367" spans="1:3">
      <c r="A22367" s="569" t="s">
        <v>1535</v>
      </c>
      <c r="B22367" s="570">
        <v>761</v>
      </c>
      <c r="C22367" s="570">
        <v>547</v>
      </c>
    </row>
    <row r="22368" spans="1:3">
      <c r="A22368" s="571" t="s">
        <v>1534</v>
      </c>
      <c r="B22368" s="572">
        <v>1</v>
      </c>
      <c r="C22368" s="572">
        <v>3</v>
      </c>
    </row>
    <row r="22369" spans="1:3">
      <c r="A22369" s="571" t="s">
        <v>1534</v>
      </c>
      <c r="B22369" s="572">
        <v>3</v>
      </c>
      <c r="C22369" s="572">
        <v>9</v>
      </c>
    </row>
    <row r="22370" spans="1:3">
      <c r="A22370" s="571" t="s">
        <v>1534</v>
      </c>
      <c r="B22370" s="572">
        <v>5</v>
      </c>
      <c r="C22370" s="572">
        <v>15</v>
      </c>
    </row>
    <row r="22371" spans="1:3">
      <c r="A22371" s="571" t="s">
        <v>1534</v>
      </c>
      <c r="B22371" s="572">
        <v>7</v>
      </c>
      <c r="C22371" s="572">
        <v>21</v>
      </c>
    </row>
    <row r="22372" spans="1:3">
      <c r="A22372" s="571" t="s">
        <v>1534</v>
      </c>
      <c r="B22372" s="572">
        <v>18</v>
      </c>
      <c r="C22372" s="572">
        <v>54</v>
      </c>
    </row>
    <row r="22373" spans="1:3">
      <c r="A22373" s="571" t="s">
        <v>1534</v>
      </c>
      <c r="B22373" s="572">
        <v>26</v>
      </c>
      <c r="C22373" s="572">
        <v>77</v>
      </c>
    </row>
    <row r="22374" spans="1:3">
      <c r="A22374" s="571" t="s">
        <v>1534</v>
      </c>
      <c r="B22374" s="572">
        <v>42</v>
      </c>
      <c r="C22374" s="572">
        <v>120</v>
      </c>
    </row>
    <row r="22375" spans="1:3">
      <c r="A22375" s="571" t="s">
        <v>1534</v>
      </c>
      <c r="B22375" s="572">
        <v>63</v>
      </c>
      <c r="C22375" s="572">
        <v>171</v>
      </c>
    </row>
    <row r="22376" spans="1:3">
      <c r="A22376" s="573" t="s">
        <v>1534</v>
      </c>
      <c r="B22376" s="574">
        <v>124</v>
      </c>
      <c r="C22376" s="574">
        <v>272</v>
      </c>
    </row>
    <row r="22377" spans="1:3">
      <c r="A22377" s="573" t="s">
        <v>1534</v>
      </c>
      <c r="B22377" s="574">
        <v>185</v>
      </c>
      <c r="C22377" s="574">
        <v>333</v>
      </c>
    </row>
    <row r="22378" spans="1:3">
      <c r="A22378" s="573" t="s">
        <v>1534</v>
      </c>
      <c r="B22378" s="574">
        <v>277</v>
      </c>
      <c r="C22378" s="574">
        <v>387</v>
      </c>
    </row>
    <row r="22379" spans="1:3">
      <c r="A22379" s="573" t="s">
        <v>1534</v>
      </c>
      <c r="B22379" s="574">
        <v>368</v>
      </c>
      <c r="C22379" s="574">
        <v>419</v>
      </c>
    </row>
    <row r="22380" spans="1:3">
      <c r="A22380" s="573" t="s">
        <v>1534</v>
      </c>
      <c r="B22380" s="574">
        <v>461</v>
      </c>
      <c r="C22380" s="574">
        <v>435</v>
      </c>
    </row>
    <row r="22381" spans="1:3">
      <c r="A22381" s="569" t="s">
        <v>1534</v>
      </c>
      <c r="B22381" s="570">
        <v>559</v>
      </c>
      <c r="C22381" s="570">
        <v>449</v>
      </c>
    </row>
    <row r="22382" spans="1:3">
      <c r="A22382" s="569" t="s">
        <v>1534</v>
      </c>
      <c r="B22382" s="570">
        <v>639</v>
      </c>
      <c r="C22382" s="570">
        <v>458</v>
      </c>
    </row>
    <row r="22383" spans="1:3">
      <c r="A22383" s="569" t="s">
        <v>1534</v>
      </c>
      <c r="B22383" s="570">
        <v>727</v>
      </c>
      <c r="C22383" s="570">
        <v>464</v>
      </c>
    </row>
    <row r="22384" spans="1:3">
      <c r="A22384" s="569" t="s">
        <v>1534</v>
      </c>
      <c r="B22384" s="570">
        <v>786</v>
      </c>
      <c r="C22384" s="570">
        <v>467</v>
      </c>
    </row>
    <row r="22385" spans="1:3">
      <c r="A22385" s="569" t="s">
        <v>1534</v>
      </c>
      <c r="B22385" s="570">
        <v>817</v>
      </c>
      <c r="C22385" s="570">
        <v>470</v>
      </c>
    </row>
    <row r="22386" spans="1:3">
      <c r="A22386" s="569" t="s">
        <v>1534</v>
      </c>
      <c r="B22386" s="570">
        <v>849</v>
      </c>
      <c r="C22386" s="570">
        <v>474</v>
      </c>
    </row>
    <row r="22387" spans="1:3">
      <c r="A22387" s="569" t="s">
        <v>1534</v>
      </c>
      <c r="B22387" s="570">
        <v>849</v>
      </c>
      <c r="C22387" s="570">
        <v>474</v>
      </c>
    </row>
    <row r="22388" spans="1:3">
      <c r="A22388" s="571" t="s">
        <v>1533</v>
      </c>
      <c r="B22388" s="572">
        <v>1</v>
      </c>
      <c r="C22388" s="572">
        <v>10</v>
      </c>
    </row>
    <row r="22389" spans="1:3">
      <c r="A22389" s="571" t="s">
        <v>1533</v>
      </c>
      <c r="B22389" s="572">
        <v>3</v>
      </c>
      <c r="C22389" s="572">
        <v>25</v>
      </c>
    </row>
    <row r="22390" spans="1:3">
      <c r="A22390" s="571" t="s">
        <v>1533</v>
      </c>
      <c r="B22390" s="572">
        <v>7</v>
      </c>
      <c r="C22390" s="572">
        <v>44</v>
      </c>
    </row>
    <row r="22391" spans="1:3">
      <c r="A22391" s="571" t="s">
        <v>1533</v>
      </c>
      <c r="B22391" s="572">
        <v>10</v>
      </c>
      <c r="C22391" s="572">
        <v>60</v>
      </c>
    </row>
    <row r="22392" spans="1:3">
      <c r="A22392" s="571" t="s">
        <v>1533</v>
      </c>
      <c r="B22392" s="572">
        <v>14</v>
      </c>
      <c r="C22392" s="572">
        <v>84</v>
      </c>
    </row>
    <row r="22393" spans="1:3">
      <c r="A22393" s="571" t="s">
        <v>1533</v>
      </c>
      <c r="B22393" s="572">
        <v>20</v>
      </c>
      <c r="C22393" s="572">
        <v>100</v>
      </c>
    </row>
    <row r="22394" spans="1:3">
      <c r="A22394" s="571" t="s">
        <v>1533</v>
      </c>
      <c r="B22394" s="572">
        <v>28</v>
      </c>
      <c r="C22394" s="572">
        <v>125</v>
      </c>
    </row>
    <row r="22395" spans="1:3">
      <c r="A22395" s="571" t="s">
        <v>1533</v>
      </c>
      <c r="B22395" s="572">
        <v>42</v>
      </c>
      <c r="C22395" s="572">
        <v>161</v>
      </c>
    </row>
    <row r="22396" spans="1:3">
      <c r="A22396" s="571" t="s">
        <v>1533</v>
      </c>
      <c r="B22396" s="572">
        <v>56</v>
      </c>
      <c r="C22396" s="572">
        <v>200</v>
      </c>
    </row>
    <row r="22397" spans="1:3">
      <c r="A22397" s="571" t="s">
        <v>1533</v>
      </c>
      <c r="B22397" s="572">
        <v>70</v>
      </c>
      <c r="C22397" s="572">
        <v>219</v>
      </c>
    </row>
    <row r="22398" spans="1:3">
      <c r="A22398" s="571" t="s">
        <v>1533</v>
      </c>
      <c r="B22398" s="572">
        <v>98</v>
      </c>
      <c r="C22398" s="572">
        <v>266</v>
      </c>
    </row>
    <row r="22399" spans="1:3">
      <c r="A22399" s="573" t="s">
        <v>1533</v>
      </c>
      <c r="B22399" s="574">
        <v>120</v>
      </c>
      <c r="C22399" s="574">
        <v>297</v>
      </c>
    </row>
    <row r="22400" spans="1:3">
      <c r="A22400" s="573" t="s">
        <v>1533</v>
      </c>
      <c r="B22400" s="574">
        <v>175</v>
      </c>
      <c r="C22400" s="574">
        <v>355</v>
      </c>
    </row>
    <row r="22401" spans="1:3">
      <c r="A22401" s="573" t="s">
        <v>1533</v>
      </c>
      <c r="B22401" s="574">
        <v>220</v>
      </c>
      <c r="C22401" s="574">
        <v>391</v>
      </c>
    </row>
    <row r="22402" spans="1:3">
      <c r="A22402" s="573" t="s">
        <v>1533</v>
      </c>
      <c r="B22402" s="574">
        <v>273</v>
      </c>
      <c r="C22402" s="574">
        <v>423</v>
      </c>
    </row>
    <row r="22403" spans="1:3">
      <c r="A22403" s="573" t="s">
        <v>1533</v>
      </c>
      <c r="B22403" s="574">
        <v>357</v>
      </c>
      <c r="C22403" s="574">
        <v>452</v>
      </c>
    </row>
    <row r="22404" spans="1:3">
      <c r="A22404" s="569" t="s">
        <v>1533</v>
      </c>
      <c r="B22404" s="570">
        <v>581</v>
      </c>
      <c r="C22404" s="570">
        <v>486</v>
      </c>
    </row>
    <row r="22405" spans="1:3">
      <c r="A22405" s="569" t="s">
        <v>1533</v>
      </c>
      <c r="B22405" s="570">
        <v>728</v>
      </c>
      <c r="C22405" s="570">
        <v>492</v>
      </c>
    </row>
    <row r="22406" spans="1:3">
      <c r="A22406" s="569" t="s">
        <v>1533</v>
      </c>
      <c r="B22406" s="570">
        <v>791</v>
      </c>
      <c r="C22406" s="570">
        <v>492</v>
      </c>
    </row>
    <row r="22407" spans="1:3">
      <c r="A22407" s="569" t="s">
        <v>1533</v>
      </c>
      <c r="B22407" s="570">
        <v>791</v>
      </c>
      <c r="C22407" s="570">
        <v>492</v>
      </c>
    </row>
    <row r="22408" spans="1:3">
      <c r="A22408" s="571" t="s">
        <v>1532</v>
      </c>
      <c r="B22408" s="572">
        <v>1</v>
      </c>
      <c r="C22408" s="572">
        <v>5</v>
      </c>
    </row>
    <row r="22409" spans="1:3">
      <c r="A22409" s="571" t="s">
        <v>1532</v>
      </c>
      <c r="B22409" s="572">
        <v>3</v>
      </c>
      <c r="C22409" s="572">
        <v>30</v>
      </c>
    </row>
    <row r="22410" spans="1:3">
      <c r="A22410" s="571" t="s">
        <v>1532</v>
      </c>
      <c r="B22410" s="572">
        <v>7</v>
      </c>
      <c r="C22410" s="572">
        <v>60</v>
      </c>
    </row>
    <row r="22411" spans="1:3">
      <c r="A22411" s="571" t="s">
        <v>1532</v>
      </c>
      <c r="B22411" s="572">
        <v>9</v>
      </c>
      <c r="C22411" s="572">
        <v>72</v>
      </c>
    </row>
    <row r="22412" spans="1:3">
      <c r="A22412" s="571" t="s">
        <v>1532</v>
      </c>
      <c r="B22412" s="572">
        <v>14</v>
      </c>
      <c r="C22412" s="572">
        <v>104</v>
      </c>
    </row>
    <row r="22413" spans="1:3">
      <c r="A22413" s="571" t="s">
        <v>1532</v>
      </c>
      <c r="B22413" s="572">
        <v>20</v>
      </c>
      <c r="C22413" s="572">
        <v>120</v>
      </c>
    </row>
    <row r="22414" spans="1:3">
      <c r="A22414" s="571" t="s">
        <v>1532</v>
      </c>
      <c r="B22414" s="572">
        <v>26</v>
      </c>
      <c r="C22414" s="572">
        <v>136</v>
      </c>
    </row>
    <row r="22415" spans="1:3">
      <c r="A22415" s="571" t="s">
        <v>1532</v>
      </c>
      <c r="B22415" s="572">
        <v>41</v>
      </c>
      <c r="C22415" s="572">
        <v>198</v>
      </c>
    </row>
    <row r="22416" spans="1:3">
      <c r="A22416" s="571" t="s">
        <v>1532</v>
      </c>
      <c r="B22416" s="572">
        <v>54</v>
      </c>
      <c r="C22416" s="572">
        <v>230</v>
      </c>
    </row>
    <row r="22417" spans="1:3">
      <c r="A22417" s="571" t="s">
        <v>1532</v>
      </c>
      <c r="B22417" s="572">
        <v>68</v>
      </c>
      <c r="C22417" s="572">
        <v>259</v>
      </c>
    </row>
    <row r="22418" spans="1:3">
      <c r="A22418" s="571" t="s">
        <v>1532</v>
      </c>
      <c r="B22418" s="572">
        <v>89</v>
      </c>
      <c r="C22418" s="572">
        <v>291</v>
      </c>
    </row>
    <row r="22419" spans="1:3">
      <c r="A22419" s="573" t="s">
        <v>1532</v>
      </c>
      <c r="B22419" s="574">
        <v>126</v>
      </c>
      <c r="C22419" s="574">
        <v>335</v>
      </c>
    </row>
    <row r="22420" spans="1:3">
      <c r="A22420" s="573" t="s">
        <v>1532</v>
      </c>
      <c r="B22420" s="574">
        <v>182</v>
      </c>
      <c r="C22420" s="574">
        <v>378</v>
      </c>
    </row>
    <row r="22421" spans="1:3">
      <c r="A22421" s="573" t="s">
        <v>1532</v>
      </c>
      <c r="B22421" s="574">
        <v>272</v>
      </c>
      <c r="C22421" s="574">
        <v>433</v>
      </c>
    </row>
    <row r="22422" spans="1:3">
      <c r="A22422" s="573" t="s">
        <v>1532</v>
      </c>
      <c r="B22422" s="574">
        <v>355</v>
      </c>
      <c r="C22422" s="574">
        <v>467</v>
      </c>
    </row>
    <row r="22423" spans="1:3">
      <c r="A22423" s="569" t="s">
        <v>1532</v>
      </c>
      <c r="B22423" s="570">
        <v>551</v>
      </c>
      <c r="C22423" s="570">
        <v>504</v>
      </c>
    </row>
    <row r="22424" spans="1:3">
      <c r="A22424" s="569" t="s">
        <v>1532</v>
      </c>
      <c r="B22424" s="570">
        <v>663</v>
      </c>
      <c r="C22424" s="570">
        <v>518</v>
      </c>
    </row>
    <row r="22425" spans="1:3">
      <c r="A22425" s="569" t="s">
        <v>1532</v>
      </c>
      <c r="B22425" s="570">
        <v>761</v>
      </c>
      <c r="C22425" s="570">
        <v>527</v>
      </c>
    </row>
    <row r="22426" spans="1:3">
      <c r="A22426" s="569" t="s">
        <v>1532</v>
      </c>
      <c r="B22426" s="570">
        <v>789</v>
      </c>
      <c r="C22426" s="570">
        <v>530</v>
      </c>
    </row>
    <row r="22427" spans="1:3">
      <c r="A22427" s="569" t="s">
        <v>1532</v>
      </c>
      <c r="B22427" s="570">
        <v>789</v>
      </c>
      <c r="C22427" s="570">
        <v>530</v>
      </c>
    </row>
    <row r="22428" spans="1:3">
      <c r="A22428" s="571" t="s">
        <v>1531</v>
      </c>
      <c r="B22428" s="572">
        <v>7</v>
      </c>
      <c r="C22428" s="572">
        <v>18</v>
      </c>
    </row>
    <row r="22429" spans="1:3">
      <c r="A22429" s="571" t="s">
        <v>1531</v>
      </c>
      <c r="B22429" s="572">
        <v>21</v>
      </c>
      <c r="C22429" s="572">
        <v>53</v>
      </c>
    </row>
    <row r="22430" spans="1:3">
      <c r="A22430" s="571" t="s">
        <v>1531</v>
      </c>
      <c r="B22430" s="572">
        <v>42</v>
      </c>
      <c r="C22430" s="572">
        <v>98</v>
      </c>
    </row>
    <row r="22431" spans="1:3">
      <c r="A22431" s="573" t="s">
        <v>1531</v>
      </c>
      <c r="B22431" s="574">
        <v>111</v>
      </c>
      <c r="C22431" s="574">
        <v>143</v>
      </c>
    </row>
    <row r="22432" spans="1:3">
      <c r="A22432" s="573" t="s">
        <v>1531</v>
      </c>
      <c r="B22432" s="574">
        <v>142</v>
      </c>
      <c r="C22432" s="574">
        <v>195</v>
      </c>
    </row>
    <row r="22433" spans="1:3">
      <c r="A22433" s="573" t="s">
        <v>1531</v>
      </c>
      <c r="B22433" s="574">
        <v>163</v>
      </c>
      <c r="C22433" s="574">
        <v>205</v>
      </c>
    </row>
    <row r="22434" spans="1:3">
      <c r="A22434" s="573" t="s">
        <v>1531</v>
      </c>
      <c r="B22434" s="574">
        <v>174</v>
      </c>
      <c r="C22434" s="574">
        <v>213</v>
      </c>
    </row>
    <row r="22435" spans="1:3">
      <c r="A22435" s="573" t="s">
        <v>1531</v>
      </c>
      <c r="B22435" s="574">
        <v>212</v>
      </c>
      <c r="C22435" s="574">
        <v>216</v>
      </c>
    </row>
    <row r="22436" spans="1:3">
      <c r="A22436" s="573" t="s">
        <v>1531</v>
      </c>
      <c r="B22436" s="574">
        <v>233</v>
      </c>
      <c r="C22436" s="574">
        <v>220</v>
      </c>
    </row>
    <row r="22437" spans="1:3">
      <c r="A22437" s="573" t="s">
        <v>1531</v>
      </c>
      <c r="B22437" s="574">
        <v>272</v>
      </c>
      <c r="C22437" s="574">
        <v>225</v>
      </c>
    </row>
    <row r="22438" spans="1:3">
      <c r="A22438" s="573" t="s">
        <v>1531</v>
      </c>
      <c r="B22438" s="574">
        <v>306</v>
      </c>
      <c r="C22438" s="574">
        <v>228</v>
      </c>
    </row>
    <row r="22439" spans="1:3">
      <c r="A22439" s="573" t="s">
        <v>1531</v>
      </c>
      <c r="B22439" s="574">
        <v>438</v>
      </c>
      <c r="C22439" s="574">
        <v>231</v>
      </c>
    </row>
    <row r="22440" spans="1:3">
      <c r="A22440" s="569" t="s">
        <v>1531</v>
      </c>
      <c r="B22440" s="570">
        <v>540</v>
      </c>
      <c r="C22440" s="570">
        <v>235</v>
      </c>
    </row>
    <row r="22441" spans="1:3">
      <c r="A22441" s="569" t="s">
        <v>1531</v>
      </c>
      <c r="B22441" s="570">
        <v>540</v>
      </c>
      <c r="C22441" s="570">
        <v>235</v>
      </c>
    </row>
    <row r="22442" spans="1:3">
      <c r="A22442" s="571" t="s">
        <v>1530</v>
      </c>
      <c r="B22442" s="572">
        <v>0</v>
      </c>
      <c r="C22442" s="572">
        <v>0</v>
      </c>
    </row>
    <row r="22443" spans="1:3">
      <c r="A22443" s="571" t="s">
        <v>1530</v>
      </c>
      <c r="B22443" s="572">
        <v>7</v>
      </c>
      <c r="C22443" s="572">
        <v>90</v>
      </c>
    </row>
    <row r="22444" spans="1:3">
      <c r="A22444" s="571" t="s">
        <v>1530</v>
      </c>
      <c r="B22444" s="572">
        <v>15</v>
      </c>
      <c r="C22444" s="572">
        <v>155</v>
      </c>
    </row>
    <row r="22445" spans="1:3">
      <c r="A22445" s="571" t="s">
        <v>1530</v>
      </c>
      <c r="B22445" s="572">
        <v>30</v>
      </c>
      <c r="C22445" s="572">
        <v>238</v>
      </c>
    </row>
    <row r="22446" spans="1:3">
      <c r="A22446" s="571" t="s">
        <v>1530</v>
      </c>
      <c r="B22446" s="572">
        <v>45</v>
      </c>
      <c r="C22446" s="572">
        <v>297</v>
      </c>
    </row>
    <row r="22447" spans="1:3">
      <c r="A22447" s="571" t="s">
        <v>1530</v>
      </c>
      <c r="B22447" s="572">
        <v>60</v>
      </c>
      <c r="C22447" s="572">
        <v>345</v>
      </c>
    </row>
    <row r="22448" spans="1:3">
      <c r="A22448" s="571" t="s">
        <v>1530</v>
      </c>
      <c r="B22448" s="572">
        <v>90</v>
      </c>
      <c r="C22448" s="572">
        <v>402</v>
      </c>
    </row>
    <row r="22449" spans="1:3">
      <c r="A22449" s="571" t="s">
        <v>1530</v>
      </c>
      <c r="B22449" s="572">
        <v>90</v>
      </c>
      <c r="C22449" s="572">
        <v>402</v>
      </c>
    </row>
    <row r="22450" spans="1:3">
      <c r="A22450" s="571" t="s">
        <v>1528</v>
      </c>
      <c r="B22450" s="572">
        <v>1</v>
      </c>
      <c r="C22450" s="572">
        <v>5</v>
      </c>
    </row>
    <row r="22451" spans="1:3">
      <c r="A22451" s="571" t="s">
        <v>1528</v>
      </c>
      <c r="B22451" s="572">
        <v>4</v>
      </c>
      <c r="C22451" s="572">
        <v>30</v>
      </c>
    </row>
    <row r="22452" spans="1:3">
      <c r="A22452" s="571" t="s">
        <v>1528</v>
      </c>
      <c r="B22452" s="572">
        <v>49</v>
      </c>
      <c r="C22452" s="572">
        <v>221</v>
      </c>
    </row>
    <row r="22453" spans="1:3">
      <c r="A22453" s="573" t="s">
        <v>1528</v>
      </c>
      <c r="B22453" s="574">
        <v>109</v>
      </c>
      <c r="C22453" s="574">
        <v>319</v>
      </c>
    </row>
    <row r="22454" spans="1:3">
      <c r="A22454" s="573" t="s">
        <v>1528</v>
      </c>
      <c r="B22454" s="574">
        <v>204</v>
      </c>
      <c r="C22454" s="574">
        <v>406</v>
      </c>
    </row>
    <row r="22455" spans="1:3">
      <c r="A22455" s="573" t="s">
        <v>1528</v>
      </c>
      <c r="B22455" s="574">
        <v>259</v>
      </c>
      <c r="C22455" s="574">
        <v>436</v>
      </c>
    </row>
    <row r="22456" spans="1:3">
      <c r="A22456" s="573" t="s">
        <v>1528</v>
      </c>
      <c r="B22456" s="574">
        <v>477</v>
      </c>
      <c r="C22456" s="574">
        <v>530</v>
      </c>
    </row>
    <row r="22457" spans="1:3">
      <c r="A22457" s="569" t="s">
        <v>1528</v>
      </c>
      <c r="B22457" s="570">
        <v>760</v>
      </c>
      <c r="C22457" s="570">
        <v>613</v>
      </c>
    </row>
    <row r="22458" spans="1:3">
      <c r="A22458" s="569" t="s">
        <v>1528</v>
      </c>
      <c r="B22458" s="570">
        <v>760</v>
      </c>
      <c r="C22458" s="570">
        <v>613</v>
      </c>
    </row>
    <row r="22459" spans="1:3">
      <c r="A22459" s="571" t="s">
        <v>1527</v>
      </c>
      <c r="B22459" s="572">
        <v>1</v>
      </c>
      <c r="C22459" s="572">
        <v>11</v>
      </c>
    </row>
    <row r="22460" spans="1:3">
      <c r="A22460" s="571" t="s">
        <v>1527</v>
      </c>
      <c r="B22460" s="572">
        <v>3</v>
      </c>
      <c r="C22460" s="572">
        <v>30</v>
      </c>
    </row>
    <row r="22461" spans="1:3">
      <c r="A22461" s="571" t="s">
        <v>1527</v>
      </c>
      <c r="B22461" s="572">
        <v>57</v>
      </c>
      <c r="C22461" s="572">
        <v>258</v>
      </c>
    </row>
    <row r="22462" spans="1:3">
      <c r="A22462" s="573" t="s">
        <v>1527</v>
      </c>
      <c r="B22462" s="574">
        <v>115</v>
      </c>
      <c r="C22462" s="574">
        <v>325</v>
      </c>
    </row>
    <row r="22463" spans="1:3">
      <c r="A22463" s="573" t="s">
        <v>1527</v>
      </c>
      <c r="B22463" s="574">
        <v>195</v>
      </c>
      <c r="C22463" s="574">
        <v>360</v>
      </c>
    </row>
    <row r="22464" spans="1:3">
      <c r="A22464" s="573" t="s">
        <v>1527</v>
      </c>
      <c r="B22464" s="574">
        <v>259</v>
      </c>
      <c r="C22464" s="574">
        <v>364</v>
      </c>
    </row>
    <row r="22465" spans="1:3">
      <c r="A22465" s="573" t="s">
        <v>1527</v>
      </c>
      <c r="B22465" s="574">
        <v>455</v>
      </c>
      <c r="C22465" s="574">
        <v>321</v>
      </c>
    </row>
    <row r="22466" spans="1:3">
      <c r="A22466" s="569" t="s">
        <v>1527</v>
      </c>
      <c r="B22466" s="570">
        <v>760</v>
      </c>
      <c r="C22466" s="570">
        <v>366</v>
      </c>
    </row>
    <row r="22467" spans="1:3">
      <c r="A22467" s="569" t="s">
        <v>1527</v>
      </c>
      <c r="B22467" s="570">
        <v>760</v>
      </c>
      <c r="C22467" s="570">
        <v>366</v>
      </c>
    </row>
    <row r="22468" spans="1:3">
      <c r="A22468" s="571" t="s">
        <v>1526</v>
      </c>
      <c r="B22468" s="572">
        <v>1</v>
      </c>
      <c r="C22468" s="572">
        <v>0</v>
      </c>
    </row>
    <row r="22469" spans="1:3">
      <c r="A22469" s="571" t="s">
        <v>1526</v>
      </c>
      <c r="B22469" s="572">
        <v>2</v>
      </c>
      <c r="C22469" s="572">
        <v>4</v>
      </c>
    </row>
    <row r="22470" spans="1:3">
      <c r="A22470" s="571" t="s">
        <v>1526</v>
      </c>
      <c r="B22470" s="572">
        <v>7</v>
      </c>
      <c r="C22470" s="572">
        <v>50</v>
      </c>
    </row>
    <row r="22471" spans="1:3">
      <c r="A22471" s="571" t="s">
        <v>1526</v>
      </c>
      <c r="B22471" s="572">
        <v>22</v>
      </c>
      <c r="C22471" s="572">
        <v>167</v>
      </c>
    </row>
    <row r="22472" spans="1:3">
      <c r="A22472" s="571" t="s">
        <v>1526</v>
      </c>
      <c r="B22472" s="572">
        <v>30</v>
      </c>
      <c r="C22472" s="572">
        <v>195</v>
      </c>
    </row>
    <row r="22473" spans="1:3">
      <c r="A22473" s="571" t="s">
        <v>1526</v>
      </c>
      <c r="B22473" s="572">
        <v>51</v>
      </c>
      <c r="C22473" s="572">
        <v>257</v>
      </c>
    </row>
    <row r="22474" spans="1:3">
      <c r="A22474" s="573" t="s">
        <v>1526</v>
      </c>
      <c r="B22474" s="574">
        <v>120</v>
      </c>
      <c r="C22474" s="574">
        <v>344</v>
      </c>
    </row>
    <row r="22475" spans="1:3">
      <c r="A22475" s="573" t="s">
        <v>1526</v>
      </c>
      <c r="B22475" s="574">
        <v>177</v>
      </c>
      <c r="C22475" s="574">
        <v>375</v>
      </c>
    </row>
    <row r="22476" spans="1:3">
      <c r="A22476" s="573" t="s">
        <v>1526</v>
      </c>
      <c r="B22476" s="574">
        <v>259</v>
      </c>
      <c r="C22476" s="574">
        <v>406</v>
      </c>
    </row>
    <row r="22477" spans="1:3">
      <c r="A22477" s="573" t="s">
        <v>1526</v>
      </c>
      <c r="B22477" s="574">
        <v>328</v>
      </c>
      <c r="C22477" s="574">
        <v>418</v>
      </c>
    </row>
    <row r="22478" spans="1:3">
      <c r="A22478" s="569" t="s">
        <v>1526</v>
      </c>
      <c r="B22478" s="570">
        <v>524</v>
      </c>
      <c r="C22478" s="570">
        <v>450</v>
      </c>
    </row>
    <row r="22479" spans="1:3">
      <c r="A22479" s="569" t="s">
        <v>1526</v>
      </c>
      <c r="B22479" s="570">
        <v>725</v>
      </c>
      <c r="C22479" s="570">
        <v>469</v>
      </c>
    </row>
    <row r="22480" spans="1:3">
      <c r="A22480" s="569" t="s">
        <v>1526</v>
      </c>
      <c r="B22480" s="570">
        <v>725</v>
      </c>
      <c r="C22480" s="570">
        <v>469</v>
      </c>
    </row>
    <row r="22481" spans="1:3">
      <c r="A22481" s="571" t="s">
        <v>1525</v>
      </c>
      <c r="B22481" s="572">
        <v>1</v>
      </c>
      <c r="C22481" s="572">
        <v>11</v>
      </c>
    </row>
    <row r="22482" spans="1:3">
      <c r="A22482" s="571" t="s">
        <v>1525</v>
      </c>
      <c r="B22482" s="572">
        <v>4</v>
      </c>
      <c r="C22482" s="572">
        <v>26</v>
      </c>
    </row>
    <row r="22483" spans="1:3">
      <c r="A22483" s="571" t="s">
        <v>1525</v>
      </c>
      <c r="B22483" s="572">
        <v>14</v>
      </c>
      <c r="C22483" s="572">
        <v>74</v>
      </c>
    </row>
    <row r="22484" spans="1:3">
      <c r="A22484" s="571" t="s">
        <v>1525</v>
      </c>
      <c r="B22484" s="572">
        <v>21</v>
      </c>
      <c r="C22484" s="572">
        <v>93</v>
      </c>
    </row>
    <row r="22485" spans="1:3">
      <c r="A22485" s="571" t="s">
        <v>1525</v>
      </c>
      <c r="B22485" s="572">
        <v>43</v>
      </c>
      <c r="C22485" s="572">
        <v>160</v>
      </c>
    </row>
    <row r="22486" spans="1:3">
      <c r="A22486" s="573" t="s">
        <v>1525</v>
      </c>
      <c r="B22486" s="574">
        <v>109</v>
      </c>
      <c r="C22486" s="574">
        <v>266</v>
      </c>
    </row>
    <row r="22487" spans="1:3">
      <c r="A22487" s="573" t="s">
        <v>1525</v>
      </c>
      <c r="B22487" s="574">
        <v>164</v>
      </c>
      <c r="C22487" s="574">
        <v>332</v>
      </c>
    </row>
    <row r="22488" spans="1:3">
      <c r="A22488" s="573" t="s">
        <v>1525</v>
      </c>
      <c r="B22488" s="574">
        <v>257</v>
      </c>
      <c r="C22488" s="574">
        <v>368</v>
      </c>
    </row>
    <row r="22489" spans="1:3">
      <c r="A22489" s="573" t="s">
        <v>1525</v>
      </c>
      <c r="B22489" s="574">
        <v>322</v>
      </c>
      <c r="C22489" s="574">
        <v>395</v>
      </c>
    </row>
    <row r="22490" spans="1:3">
      <c r="A22490" s="569" t="s">
        <v>1525</v>
      </c>
      <c r="B22490" s="570">
        <v>514</v>
      </c>
      <c r="C22490" s="570">
        <v>438</v>
      </c>
    </row>
    <row r="22491" spans="1:3">
      <c r="A22491" s="569" t="s">
        <v>1525</v>
      </c>
      <c r="B22491" s="570">
        <v>804</v>
      </c>
      <c r="C22491" s="570">
        <v>466</v>
      </c>
    </row>
    <row r="22492" spans="1:3">
      <c r="A22492" s="569" t="s">
        <v>1525</v>
      </c>
      <c r="B22492" s="570">
        <v>804</v>
      </c>
      <c r="C22492" s="570">
        <v>466</v>
      </c>
    </row>
    <row r="22493" spans="1:3">
      <c r="A22493" s="571" t="s">
        <v>1524</v>
      </c>
      <c r="B22493" s="572">
        <v>1</v>
      </c>
      <c r="C22493" s="572">
        <v>15</v>
      </c>
    </row>
    <row r="22494" spans="1:3">
      <c r="A22494" s="571" t="s">
        <v>1524</v>
      </c>
      <c r="B22494" s="572">
        <v>4</v>
      </c>
      <c r="C22494" s="572">
        <v>66</v>
      </c>
    </row>
    <row r="22495" spans="1:3">
      <c r="A22495" s="571" t="s">
        <v>1524</v>
      </c>
      <c r="B22495" s="572">
        <v>7</v>
      </c>
      <c r="C22495" s="572">
        <v>99</v>
      </c>
    </row>
    <row r="22496" spans="1:3">
      <c r="A22496" s="571" t="s">
        <v>1524</v>
      </c>
      <c r="B22496" s="572">
        <v>14</v>
      </c>
      <c r="C22496" s="572">
        <v>143</v>
      </c>
    </row>
    <row r="22497" spans="1:3">
      <c r="A22497" s="571" t="s">
        <v>1524</v>
      </c>
      <c r="B22497" s="572">
        <v>21</v>
      </c>
      <c r="C22497" s="572">
        <v>169</v>
      </c>
    </row>
    <row r="22498" spans="1:3">
      <c r="A22498" s="571" t="s">
        <v>1524</v>
      </c>
      <c r="B22498" s="572">
        <v>28</v>
      </c>
      <c r="C22498" s="572">
        <v>198</v>
      </c>
    </row>
    <row r="22499" spans="1:3">
      <c r="A22499" s="571" t="s">
        <v>1524</v>
      </c>
      <c r="B22499" s="572">
        <v>35</v>
      </c>
      <c r="C22499" s="572">
        <v>223</v>
      </c>
    </row>
    <row r="22500" spans="1:3">
      <c r="A22500" s="571" t="s">
        <v>1524</v>
      </c>
      <c r="B22500" s="572">
        <v>42</v>
      </c>
      <c r="C22500" s="572">
        <v>234</v>
      </c>
    </row>
    <row r="22501" spans="1:3">
      <c r="A22501" s="571" t="s">
        <v>1524</v>
      </c>
      <c r="B22501" s="572">
        <v>56</v>
      </c>
      <c r="C22501" s="572">
        <v>266</v>
      </c>
    </row>
    <row r="22502" spans="1:3">
      <c r="A22502" s="569" t="s">
        <v>1524</v>
      </c>
      <c r="B22502" s="570">
        <v>980</v>
      </c>
      <c r="C22502" s="570">
        <v>526</v>
      </c>
    </row>
    <row r="22503" spans="1:3">
      <c r="A22503" s="569" t="s">
        <v>1524</v>
      </c>
      <c r="B22503" s="570">
        <v>980</v>
      </c>
      <c r="C22503" s="570">
        <v>526</v>
      </c>
    </row>
    <row r="22504" spans="1:3">
      <c r="A22504" s="571" t="s">
        <v>1523</v>
      </c>
      <c r="B22504" s="572">
        <v>1</v>
      </c>
      <c r="C22504" s="572">
        <v>8</v>
      </c>
    </row>
    <row r="22505" spans="1:3">
      <c r="A22505" s="571" t="s">
        <v>1523</v>
      </c>
      <c r="B22505" s="572">
        <v>4</v>
      </c>
      <c r="C22505" s="572">
        <v>47</v>
      </c>
    </row>
    <row r="22506" spans="1:3">
      <c r="A22506" s="571" t="s">
        <v>1523</v>
      </c>
      <c r="B22506" s="572">
        <v>7</v>
      </c>
      <c r="C22506" s="572">
        <v>69</v>
      </c>
    </row>
    <row r="22507" spans="1:3">
      <c r="A22507" s="571" t="s">
        <v>1523</v>
      </c>
      <c r="B22507" s="572">
        <v>14</v>
      </c>
      <c r="C22507" s="572">
        <v>107</v>
      </c>
    </row>
    <row r="22508" spans="1:3">
      <c r="A22508" s="571" t="s">
        <v>1523</v>
      </c>
      <c r="B22508" s="572">
        <v>21</v>
      </c>
      <c r="C22508" s="572">
        <v>140</v>
      </c>
    </row>
    <row r="22509" spans="1:3">
      <c r="A22509" s="571" t="s">
        <v>1523</v>
      </c>
      <c r="B22509" s="572">
        <v>28</v>
      </c>
      <c r="C22509" s="572">
        <v>165</v>
      </c>
    </row>
    <row r="22510" spans="1:3">
      <c r="A22510" s="571" t="s">
        <v>1523</v>
      </c>
      <c r="B22510" s="572">
        <v>35</v>
      </c>
      <c r="C22510" s="572">
        <v>184</v>
      </c>
    </row>
    <row r="22511" spans="1:3">
      <c r="A22511" s="571" t="s">
        <v>1523</v>
      </c>
      <c r="B22511" s="572">
        <v>42</v>
      </c>
      <c r="C22511" s="572">
        <v>209</v>
      </c>
    </row>
    <row r="22512" spans="1:3">
      <c r="A22512" s="571" t="s">
        <v>1523</v>
      </c>
      <c r="B22512" s="572">
        <v>49</v>
      </c>
      <c r="C22512" s="572">
        <v>225</v>
      </c>
    </row>
    <row r="22513" spans="1:3">
      <c r="A22513" s="571" t="s">
        <v>1523</v>
      </c>
      <c r="B22513" s="572">
        <v>56</v>
      </c>
      <c r="C22513" s="572">
        <v>248</v>
      </c>
    </row>
    <row r="22514" spans="1:3">
      <c r="A22514" s="569" t="s">
        <v>1523</v>
      </c>
      <c r="B22514" s="570">
        <v>973</v>
      </c>
      <c r="C22514" s="570">
        <v>496</v>
      </c>
    </row>
    <row r="22515" spans="1:3">
      <c r="A22515" s="569" t="s">
        <v>1523</v>
      </c>
      <c r="B22515" s="570">
        <v>973</v>
      </c>
      <c r="C22515" s="570">
        <v>496</v>
      </c>
    </row>
    <row r="22516" spans="1:3">
      <c r="A22516" s="571" t="s">
        <v>1522</v>
      </c>
      <c r="B22516" s="572">
        <v>1</v>
      </c>
      <c r="C22516" s="572">
        <v>11</v>
      </c>
    </row>
    <row r="22517" spans="1:3">
      <c r="A22517" s="571" t="s">
        <v>1522</v>
      </c>
      <c r="B22517" s="572">
        <v>4</v>
      </c>
      <c r="C22517" s="572">
        <v>73</v>
      </c>
    </row>
    <row r="22518" spans="1:3">
      <c r="A22518" s="571" t="s">
        <v>1522</v>
      </c>
      <c r="B22518" s="572">
        <v>7</v>
      </c>
      <c r="C22518" s="572">
        <v>96</v>
      </c>
    </row>
    <row r="22519" spans="1:3">
      <c r="A22519" s="571" t="s">
        <v>1522</v>
      </c>
      <c r="B22519" s="572">
        <v>14</v>
      </c>
      <c r="C22519" s="572">
        <v>136</v>
      </c>
    </row>
    <row r="22520" spans="1:3">
      <c r="A22520" s="571" t="s">
        <v>1522</v>
      </c>
      <c r="B22520" s="572">
        <v>21</v>
      </c>
      <c r="C22520" s="572">
        <v>165</v>
      </c>
    </row>
    <row r="22521" spans="1:3">
      <c r="A22521" s="571" t="s">
        <v>1522</v>
      </c>
      <c r="B22521" s="572">
        <v>28</v>
      </c>
      <c r="C22521" s="572">
        <v>193</v>
      </c>
    </row>
    <row r="22522" spans="1:3">
      <c r="A22522" s="571" t="s">
        <v>1522</v>
      </c>
      <c r="B22522" s="572">
        <v>35</v>
      </c>
      <c r="C22522" s="572">
        <v>214</v>
      </c>
    </row>
    <row r="22523" spans="1:3">
      <c r="A22523" s="571" t="s">
        <v>1522</v>
      </c>
      <c r="B22523" s="572">
        <v>42</v>
      </c>
      <c r="C22523" s="572">
        <v>233</v>
      </c>
    </row>
    <row r="22524" spans="1:3">
      <c r="A22524" s="571" t="s">
        <v>1522</v>
      </c>
      <c r="B22524" s="572">
        <v>49</v>
      </c>
      <c r="C22524" s="572">
        <v>249</v>
      </c>
    </row>
    <row r="22525" spans="1:3">
      <c r="A22525" s="571" t="s">
        <v>1522</v>
      </c>
      <c r="B22525" s="572">
        <v>56</v>
      </c>
      <c r="C22525" s="572">
        <v>263</v>
      </c>
    </row>
    <row r="22526" spans="1:3">
      <c r="A22526" s="571" t="s">
        <v>1522</v>
      </c>
      <c r="B22526" s="572">
        <v>56</v>
      </c>
      <c r="C22526" s="572">
        <v>263</v>
      </c>
    </row>
    <row r="22527" spans="1:3">
      <c r="A22527" s="571" t="s">
        <v>1521</v>
      </c>
      <c r="B22527" s="572">
        <v>1</v>
      </c>
      <c r="C22527" s="572">
        <v>10</v>
      </c>
    </row>
    <row r="22528" spans="1:3">
      <c r="A22528" s="571" t="s">
        <v>1521</v>
      </c>
      <c r="B22528" s="572">
        <v>4</v>
      </c>
      <c r="C22528" s="572">
        <v>40</v>
      </c>
    </row>
    <row r="22529" spans="1:3">
      <c r="A22529" s="571" t="s">
        <v>1521</v>
      </c>
      <c r="B22529" s="572">
        <v>7</v>
      </c>
      <c r="C22529" s="572">
        <v>50</v>
      </c>
    </row>
    <row r="22530" spans="1:3">
      <c r="A22530" s="571" t="s">
        <v>1521</v>
      </c>
      <c r="B22530" s="572">
        <v>14</v>
      </c>
      <c r="C22530" s="572">
        <v>90</v>
      </c>
    </row>
    <row r="22531" spans="1:3">
      <c r="A22531" s="571" t="s">
        <v>1521</v>
      </c>
      <c r="B22531" s="572">
        <v>21</v>
      </c>
      <c r="C22531" s="572">
        <v>130</v>
      </c>
    </row>
    <row r="22532" spans="1:3">
      <c r="A22532" s="571" t="s">
        <v>1521</v>
      </c>
      <c r="B22532" s="572">
        <v>28</v>
      </c>
      <c r="C22532" s="572">
        <v>150</v>
      </c>
    </row>
    <row r="22533" spans="1:3">
      <c r="A22533" s="571" t="s">
        <v>1521</v>
      </c>
      <c r="B22533" s="572">
        <v>35</v>
      </c>
      <c r="C22533" s="572">
        <v>170</v>
      </c>
    </row>
    <row r="22534" spans="1:3">
      <c r="A22534" s="571" t="s">
        <v>1521</v>
      </c>
      <c r="B22534" s="572">
        <v>42</v>
      </c>
      <c r="C22534" s="572">
        <v>180</v>
      </c>
    </row>
    <row r="22535" spans="1:3">
      <c r="A22535" s="571" t="s">
        <v>1521</v>
      </c>
      <c r="B22535" s="572">
        <v>49</v>
      </c>
      <c r="C22535" s="572">
        <v>210</v>
      </c>
    </row>
    <row r="22536" spans="1:3">
      <c r="A22536" s="571" t="s">
        <v>1521</v>
      </c>
      <c r="B22536" s="572">
        <v>56</v>
      </c>
      <c r="C22536" s="572">
        <v>220</v>
      </c>
    </row>
    <row r="22537" spans="1:3">
      <c r="A22537" s="569" t="s">
        <v>1521</v>
      </c>
      <c r="B22537" s="570">
        <v>952</v>
      </c>
      <c r="C22537" s="570">
        <v>480</v>
      </c>
    </row>
    <row r="22538" spans="1:3">
      <c r="A22538" s="569" t="s">
        <v>1521</v>
      </c>
      <c r="B22538" s="570">
        <v>952</v>
      </c>
      <c r="C22538" s="570">
        <v>480</v>
      </c>
    </row>
    <row r="22539" spans="1:3">
      <c r="A22539" s="571" t="s">
        <v>1520</v>
      </c>
      <c r="B22539" s="572">
        <v>1</v>
      </c>
      <c r="C22539" s="572">
        <v>9</v>
      </c>
    </row>
    <row r="22540" spans="1:3">
      <c r="A22540" s="571" t="s">
        <v>1520</v>
      </c>
      <c r="B22540" s="572">
        <v>4</v>
      </c>
      <c r="C22540" s="572">
        <v>47</v>
      </c>
    </row>
    <row r="22541" spans="1:3">
      <c r="A22541" s="571" t="s">
        <v>1520</v>
      </c>
      <c r="B22541" s="572">
        <v>7</v>
      </c>
      <c r="C22541" s="572">
        <v>68</v>
      </c>
    </row>
    <row r="22542" spans="1:3">
      <c r="A22542" s="571" t="s">
        <v>1520</v>
      </c>
      <c r="B22542" s="572">
        <v>14</v>
      </c>
      <c r="C22542" s="572">
        <v>110</v>
      </c>
    </row>
    <row r="22543" spans="1:3">
      <c r="A22543" s="571" t="s">
        <v>1520</v>
      </c>
      <c r="B22543" s="572">
        <v>21</v>
      </c>
      <c r="C22543" s="572">
        <v>142</v>
      </c>
    </row>
    <row r="22544" spans="1:3">
      <c r="A22544" s="571" t="s">
        <v>1520</v>
      </c>
      <c r="B22544" s="572">
        <v>28</v>
      </c>
      <c r="C22544" s="572">
        <v>168</v>
      </c>
    </row>
    <row r="22545" spans="1:3">
      <c r="A22545" s="571" t="s">
        <v>1520</v>
      </c>
      <c r="B22545" s="572">
        <v>35</v>
      </c>
      <c r="C22545" s="572">
        <v>193</v>
      </c>
    </row>
    <row r="22546" spans="1:3">
      <c r="A22546" s="571" t="s">
        <v>1520</v>
      </c>
      <c r="B22546" s="572">
        <v>42</v>
      </c>
      <c r="C22546" s="572">
        <v>213</v>
      </c>
    </row>
    <row r="22547" spans="1:3">
      <c r="A22547" s="571" t="s">
        <v>1520</v>
      </c>
      <c r="B22547" s="572">
        <v>49</v>
      </c>
      <c r="C22547" s="572">
        <v>236</v>
      </c>
    </row>
    <row r="22548" spans="1:3">
      <c r="A22548" s="571" t="s">
        <v>1520</v>
      </c>
      <c r="B22548" s="572">
        <v>56</v>
      </c>
      <c r="C22548" s="572">
        <v>242</v>
      </c>
    </row>
    <row r="22549" spans="1:3">
      <c r="A22549" s="569" t="s">
        <v>1520</v>
      </c>
      <c r="B22549" s="570">
        <v>966</v>
      </c>
      <c r="C22549" s="570">
        <v>526</v>
      </c>
    </row>
    <row r="22550" spans="1:3">
      <c r="A22550" s="569" t="s">
        <v>1520</v>
      </c>
      <c r="B22550" s="570">
        <v>966</v>
      </c>
      <c r="C22550" s="570">
        <v>526</v>
      </c>
    </row>
    <row r="22551" spans="1:3">
      <c r="A22551" s="571" t="s">
        <v>1519</v>
      </c>
      <c r="B22551" s="572">
        <v>1</v>
      </c>
      <c r="C22551" s="572">
        <v>11</v>
      </c>
    </row>
    <row r="22552" spans="1:3">
      <c r="A22552" s="571" t="s">
        <v>1519</v>
      </c>
      <c r="B22552" s="572">
        <v>4</v>
      </c>
      <c r="C22552" s="572">
        <v>62</v>
      </c>
    </row>
    <row r="22553" spans="1:3">
      <c r="A22553" s="571" t="s">
        <v>1519</v>
      </c>
      <c r="B22553" s="572">
        <v>7</v>
      </c>
      <c r="C22553" s="572">
        <v>76</v>
      </c>
    </row>
    <row r="22554" spans="1:3">
      <c r="A22554" s="571" t="s">
        <v>1519</v>
      </c>
      <c r="B22554" s="572">
        <v>14</v>
      </c>
      <c r="C22554" s="572">
        <v>118</v>
      </c>
    </row>
    <row r="22555" spans="1:3">
      <c r="A22555" s="571" t="s">
        <v>1519</v>
      </c>
      <c r="B22555" s="572">
        <v>21</v>
      </c>
      <c r="C22555" s="572">
        <v>143</v>
      </c>
    </row>
    <row r="22556" spans="1:3">
      <c r="A22556" s="571" t="s">
        <v>1519</v>
      </c>
      <c r="B22556" s="572">
        <v>28</v>
      </c>
      <c r="C22556" s="572">
        <v>170</v>
      </c>
    </row>
    <row r="22557" spans="1:3">
      <c r="A22557" s="571" t="s">
        <v>1519</v>
      </c>
      <c r="B22557" s="572">
        <v>35</v>
      </c>
      <c r="C22557" s="572">
        <v>193</v>
      </c>
    </row>
    <row r="22558" spans="1:3">
      <c r="A22558" s="571" t="s">
        <v>1519</v>
      </c>
      <c r="B22558" s="572">
        <v>42</v>
      </c>
      <c r="C22558" s="572">
        <v>212</v>
      </c>
    </row>
    <row r="22559" spans="1:3">
      <c r="A22559" s="571" t="s">
        <v>1519</v>
      </c>
      <c r="B22559" s="572">
        <v>49</v>
      </c>
      <c r="C22559" s="572">
        <v>232</v>
      </c>
    </row>
    <row r="22560" spans="1:3">
      <c r="A22560" s="571" t="s">
        <v>1519</v>
      </c>
      <c r="B22560" s="572">
        <v>56</v>
      </c>
      <c r="C22560" s="572">
        <v>246</v>
      </c>
    </row>
    <row r="22561" spans="1:3">
      <c r="A22561" s="569" t="s">
        <v>1519</v>
      </c>
      <c r="B22561" s="570">
        <v>980</v>
      </c>
      <c r="C22561" s="570">
        <v>536</v>
      </c>
    </row>
    <row r="22562" spans="1:3">
      <c r="A22562" s="569" t="s">
        <v>1519</v>
      </c>
      <c r="B22562" s="570">
        <v>980</v>
      </c>
      <c r="C22562" s="570">
        <v>536</v>
      </c>
    </row>
    <row r="22563" spans="1:3">
      <c r="A22563" s="571" t="s">
        <v>1518</v>
      </c>
      <c r="B22563" s="572">
        <v>1</v>
      </c>
      <c r="C22563" s="572">
        <v>3</v>
      </c>
    </row>
    <row r="22564" spans="1:3">
      <c r="A22564" s="571" t="s">
        <v>1518</v>
      </c>
      <c r="B22564" s="572">
        <v>4</v>
      </c>
      <c r="C22564" s="572">
        <v>37</v>
      </c>
    </row>
    <row r="22565" spans="1:3">
      <c r="A22565" s="571" t="s">
        <v>1518</v>
      </c>
      <c r="B22565" s="572">
        <v>7</v>
      </c>
      <c r="C22565" s="572">
        <v>57</v>
      </c>
    </row>
    <row r="22566" spans="1:3">
      <c r="A22566" s="571" t="s">
        <v>1518</v>
      </c>
      <c r="B22566" s="572">
        <v>14</v>
      </c>
      <c r="C22566" s="572">
        <v>92</v>
      </c>
    </row>
    <row r="22567" spans="1:3">
      <c r="A22567" s="571" t="s">
        <v>1518</v>
      </c>
      <c r="B22567" s="572">
        <v>21</v>
      </c>
      <c r="C22567" s="572">
        <v>127</v>
      </c>
    </row>
    <row r="22568" spans="1:3">
      <c r="A22568" s="571" t="s">
        <v>1518</v>
      </c>
      <c r="B22568" s="572">
        <v>28</v>
      </c>
      <c r="C22568" s="572">
        <v>157</v>
      </c>
    </row>
    <row r="22569" spans="1:3">
      <c r="A22569" s="571" t="s">
        <v>1518</v>
      </c>
      <c r="B22569" s="572">
        <v>35</v>
      </c>
      <c r="C22569" s="572">
        <v>177</v>
      </c>
    </row>
    <row r="22570" spans="1:3">
      <c r="A22570" s="571" t="s">
        <v>1518</v>
      </c>
      <c r="B22570" s="572">
        <v>42</v>
      </c>
      <c r="C22570" s="572">
        <v>202</v>
      </c>
    </row>
    <row r="22571" spans="1:3">
      <c r="A22571" s="571" t="s">
        <v>1518</v>
      </c>
      <c r="B22571" s="572">
        <v>49</v>
      </c>
      <c r="C22571" s="572">
        <v>220</v>
      </c>
    </row>
    <row r="22572" spans="1:3">
      <c r="A22572" s="571" t="s">
        <v>1518</v>
      </c>
      <c r="B22572" s="572">
        <v>56</v>
      </c>
      <c r="C22572" s="572">
        <v>238</v>
      </c>
    </row>
    <row r="22573" spans="1:3">
      <c r="A22573" s="569" t="s">
        <v>1518</v>
      </c>
      <c r="B22573" s="570">
        <v>973</v>
      </c>
      <c r="C22573" s="570">
        <v>498</v>
      </c>
    </row>
    <row r="22574" spans="1:3">
      <c r="A22574" s="569" t="s">
        <v>1518</v>
      </c>
      <c r="B22574" s="570">
        <v>973</v>
      </c>
      <c r="C22574" s="570">
        <v>498</v>
      </c>
    </row>
    <row r="22575" spans="1:3">
      <c r="A22575" s="571" t="s">
        <v>1517</v>
      </c>
      <c r="B22575" s="572">
        <v>1</v>
      </c>
      <c r="C22575" s="572">
        <v>8</v>
      </c>
    </row>
    <row r="22576" spans="1:3">
      <c r="A22576" s="571" t="s">
        <v>1517</v>
      </c>
      <c r="B22576" s="572">
        <v>4</v>
      </c>
      <c r="C22576" s="572">
        <v>45</v>
      </c>
    </row>
    <row r="22577" spans="1:3">
      <c r="A22577" s="571" t="s">
        <v>1517</v>
      </c>
      <c r="B22577" s="572">
        <v>7</v>
      </c>
      <c r="C22577" s="572">
        <v>56</v>
      </c>
    </row>
    <row r="22578" spans="1:3">
      <c r="A22578" s="571" t="s">
        <v>1517</v>
      </c>
      <c r="B22578" s="572">
        <v>14</v>
      </c>
      <c r="C22578" s="572">
        <v>94</v>
      </c>
    </row>
    <row r="22579" spans="1:3">
      <c r="A22579" s="571" t="s">
        <v>1517</v>
      </c>
      <c r="B22579" s="572">
        <v>21</v>
      </c>
      <c r="C22579" s="572">
        <v>129</v>
      </c>
    </row>
    <row r="22580" spans="1:3">
      <c r="A22580" s="571" t="s">
        <v>1517</v>
      </c>
      <c r="B22580" s="572">
        <v>28</v>
      </c>
      <c r="C22580" s="572">
        <v>156</v>
      </c>
    </row>
    <row r="22581" spans="1:3">
      <c r="A22581" s="571" t="s">
        <v>1517</v>
      </c>
      <c r="B22581" s="572">
        <v>35</v>
      </c>
      <c r="C22581" s="572">
        <v>183</v>
      </c>
    </row>
    <row r="22582" spans="1:3">
      <c r="A22582" s="571" t="s">
        <v>1517</v>
      </c>
      <c r="B22582" s="572">
        <v>42</v>
      </c>
      <c r="C22582" s="572">
        <v>205</v>
      </c>
    </row>
    <row r="22583" spans="1:3">
      <c r="A22583" s="571" t="s">
        <v>1517</v>
      </c>
      <c r="B22583" s="572">
        <v>49</v>
      </c>
      <c r="C22583" s="572">
        <v>226</v>
      </c>
    </row>
    <row r="22584" spans="1:3">
      <c r="A22584" s="571" t="s">
        <v>1517</v>
      </c>
      <c r="B22584" s="572">
        <v>56</v>
      </c>
      <c r="C22584" s="572">
        <v>240</v>
      </c>
    </row>
    <row r="22585" spans="1:3">
      <c r="A22585" s="569" t="s">
        <v>1517</v>
      </c>
      <c r="B22585" s="570">
        <v>966</v>
      </c>
      <c r="C22585" s="570">
        <v>527</v>
      </c>
    </row>
    <row r="22586" spans="1:3">
      <c r="A22586" s="569" t="s">
        <v>1517</v>
      </c>
      <c r="B22586" s="570">
        <v>966</v>
      </c>
      <c r="C22586" s="570">
        <v>527</v>
      </c>
    </row>
    <row r="22587" spans="1:3">
      <c r="A22587" s="571" t="s">
        <v>1516</v>
      </c>
      <c r="B22587" s="572">
        <v>0</v>
      </c>
      <c r="C22587" s="572">
        <v>0</v>
      </c>
    </row>
    <row r="22588" spans="1:3">
      <c r="A22588" s="571" t="s">
        <v>1516</v>
      </c>
      <c r="B22588" s="572">
        <v>12.5</v>
      </c>
      <c r="C22588" s="572">
        <v>10</v>
      </c>
    </row>
    <row r="22589" spans="1:3">
      <c r="A22589" s="571" t="s">
        <v>1516</v>
      </c>
      <c r="B22589" s="572">
        <v>25</v>
      </c>
      <c r="C22589" s="572">
        <v>30</v>
      </c>
    </row>
    <row r="22590" spans="1:3">
      <c r="A22590" s="571" t="s">
        <v>1516</v>
      </c>
      <c r="B22590" s="572">
        <v>37.5</v>
      </c>
      <c r="C22590" s="572">
        <v>60</v>
      </c>
    </row>
    <row r="22591" spans="1:3">
      <c r="A22591" s="571" t="s">
        <v>1516</v>
      </c>
      <c r="B22591" s="572">
        <v>50</v>
      </c>
      <c r="C22591" s="572">
        <v>75</v>
      </c>
    </row>
    <row r="22592" spans="1:3">
      <c r="A22592" s="571" t="s">
        <v>1516</v>
      </c>
      <c r="B22592" s="572">
        <v>62.5</v>
      </c>
      <c r="C22592" s="572">
        <v>90</v>
      </c>
    </row>
    <row r="22593" spans="1:3">
      <c r="A22593" s="571" t="s">
        <v>1516</v>
      </c>
      <c r="B22593" s="572">
        <v>75</v>
      </c>
      <c r="C22593" s="572">
        <v>75</v>
      </c>
    </row>
    <row r="22594" spans="1:3">
      <c r="A22594" s="571" t="s">
        <v>1516</v>
      </c>
      <c r="B22594" s="572">
        <v>87.5</v>
      </c>
      <c r="C22594" s="572">
        <v>80</v>
      </c>
    </row>
    <row r="22595" spans="1:3">
      <c r="A22595" s="573" t="s">
        <v>1516</v>
      </c>
      <c r="B22595" s="574">
        <v>100</v>
      </c>
      <c r="C22595" s="574">
        <v>85</v>
      </c>
    </row>
    <row r="22596" spans="1:3">
      <c r="A22596" s="573" t="s">
        <v>1516</v>
      </c>
      <c r="B22596" s="574">
        <v>112.5</v>
      </c>
      <c r="C22596" s="574">
        <v>82</v>
      </c>
    </row>
    <row r="22597" spans="1:3">
      <c r="A22597" s="573" t="s">
        <v>1516</v>
      </c>
      <c r="B22597" s="574">
        <v>125</v>
      </c>
      <c r="C22597" s="574">
        <v>82</v>
      </c>
    </row>
    <row r="22598" spans="1:3">
      <c r="A22598" s="573" t="s">
        <v>1516</v>
      </c>
      <c r="B22598" s="574">
        <v>137.5</v>
      </c>
      <c r="C22598" s="574">
        <v>82</v>
      </c>
    </row>
    <row r="22599" spans="1:3">
      <c r="A22599" s="573" t="s">
        <v>1516</v>
      </c>
      <c r="B22599" s="574">
        <v>150</v>
      </c>
      <c r="C22599" s="574">
        <v>75</v>
      </c>
    </row>
    <row r="22600" spans="1:3">
      <c r="A22600" s="573" t="s">
        <v>1516</v>
      </c>
      <c r="B22600" s="574">
        <v>162.5</v>
      </c>
      <c r="C22600" s="574">
        <v>82</v>
      </c>
    </row>
    <row r="22601" spans="1:3">
      <c r="A22601" s="573" t="s">
        <v>1516</v>
      </c>
      <c r="B22601" s="574">
        <v>175</v>
      </c>
      <c r="C22601" s="574">
        <v>82</v>
      </c>
    </row>
    <row r="22602" spans="1:3">
      <c r="A22602" s="573" t="s">
        <v>1516</v>
      </c>
      <c r="B22602" s="574">
        <v>187.5</v>
      </c>
      <c r="C22602" s="574">
        <v>82</v>
      </c>
    </row>
    <row r="22603" spans="1:3">
      <c r="A22603" s="573" t="s">
        <v>1516</v>
      </c>
      <c r="B22603" s="574">
        <v>200</v>
      </c>
      <c r="C22603" s="574">
        <v>85</v>
      </c>
    </row>
    <row r="22604" spans="1:3">
      <c r="A22604" s="573" t="s">
        <v>1516</v>
      </c>
      <c r="B22604" s="574">
        <v>212.5</v>
      </c>
      <c r="C22604" s="574">
        <v>90</v>
      </c>
    </row>
    <row r="22605" spans="1:3">
      <c r="A22605" s="573" t="s">
        <v>1516</v>
      </c>
      <c r="B22605" s="574">
        <v>225</v>
      </c>
      <c r="C22605" s="574">
        <v>90</v>
      </c>
    </row>
    <row r="22606" spans="1:3">
      <c r="A22606" s="573" t="s">
        <v>1516</v>
      </c>
      <c r="B22606" s="574">
        <v>237.5</v>
      </c>
      <c r="C22606" s="574">
        <v>90</v>
      </c>
    </row>
    <row r="22607" spans="1:3">
      <c r="A22607" s="573" t="s">
        <v>1516</v>
      </c>
      <c r="B22607" s="574">
        <v>250</v>
      </c>
      <c r="C22607" s="574">
        <v>92</v>
      </c>
    </row>
    <row r="22608" spans="1:3">
      <c r="A22608" s="573" t="s">
        <v>1516</v>
      </c>
      <c r="B22608" s="574">
        <v>262.5</v>
      </c>
      <c r="C22608" s="574">
        <v>95</v>
      </c>
    </row>
    <row r="22609" spans="1:3">
      <c r="A22609" s="573" t="s">
        <v>1516</v>
      </c>
      <c r="B22609" s="574">
        <v>275</v>
      </c>
      <c r="C22609" s="574">
        <v>97</v>
      </c>
    </row>
    <row r="22610" spans="1:3">
      <c r="A22610" s="573" t="s">
        <v>1516</v>
      </c>
      <c r="B22610" s="574">
        <v>287.5</v>
      </c>
      <c r="C22610" s="574">
        <v>100</v>
      </c>
    </row>
    <row r="22611" spans="1:3">
      <c r="A22611" s="573" t="s">
        <v>1516</v>
      </c>
      <c r="B22611" s="574">
        <v>300</v>
      </c>
      <c r="C22611" s="574">
        <v>100</v>
      </c>
    </row>
    <row r="22612" spans="1:3">
      <c r="A22612" s="573" t="s">
        <v>1516</v>
      </c>
      <c r="B22612" s="574">
        <v>312.5</v>
      </c>
      <c r="C22612" s="574">
        <v>100</v>
      </c>
    </row>
    <row r="22613" spans="1:3">
      <c r="A22613" s="573" t="s">
        <v>1516</v>
      </c>
      <c r="B22613" s="574">
        <v>325</v>
      </c>
      <c r="C22613" s="574">
        <v>100</v>
      </c>
    </row>
    <row r="22614" spans="1:3">
      <c r="A22614" s="573" t="s">
        <v>1516</v>
      </c>
      <c r="B22614" s="574">
        <v>337.5</v>
      </c>
      <c r="C22614" s="574">
        <v>100</v>
      </c>
    </row>
    <row r="22615" spans="1:3">
      <c r="A22615" s="573" t="s">
        <v>1516</v>
      </c>
      <c r="B22615" s="574">
        <v>350</v>
      </c>
      <c r="C22615" s="574">
        <v>103</v>
      </c>
    </row>
    <row r="22616" spans="1:3">
      <c r="A22616" s="573" t="s">
        <v>1516</v>
      </c>
      <c r="B22616" s="574">
        <v>350</v>
      </c>
      <c r="C22616" s="574">
        <v>103</v>
      </c>
    </row>
    <row r="22617" spans="1:3">
      <c r="A22617" s="571" t="s">
        <v>1515</v>
      </c>
      <c r="B22617" s="572">
        <v>0</v>
      </c>
      <c r="C22617" s="572">
        <v>0</v>
      </c>
    </row>
    <row r="22618" spans="1:3">
      <c r="A22618" s="571" t="s">
        <v>1515</v>
      </c>
      <c r="B22618" s="572">
        <v>12.5</v>
      </c>
      <c r="C22618" s="572">
        <v>10</v>
      </c>
    </row>
    <row r="22619" spans="1:3">
      <c r="A22619" s="571" t="s">
        <v>1515</v>
      </c>
      <c r="B22619" s="572">
        <v>25</v>
      </c>
      <c r="C22619" s="572">
        <v>30</v>
      </c>
    </row>
    <row r="22620" spans="1:3">
      <c r="A22620" s="571" t="s">
        <v>1515</v>
      </c>
      <c r="B22620" s="572">
        <v>37.5</v>
      </c>
      <c r="C22620" s="572">
        <v>60</v>
      </c>
    </row>
    <row r="22621" spans="1:3">
      <c r="A22621" s="571" t="s">
        <v>1515</v>
      </c>
      <c r="B22621" s="572">
        <v>50</v>
      </c>
      <c r="C22621" s="572">
        <v>80</v>
      </c>
    </row>
    <row r="22622" spans="1:3">
      <c r="A22622" s="571" t="s">
        <v>1515</v>
      </c>
      <c r="B22622" s="572">
        <v>62.5</v>
      </c>
      <c r="C22622" s="572">
        <v>90</v>
      </c>
    </row>
    <row r="22623" spans="1:3">
      <c r="A22623" s="571" t="s">
        <v>1515</v>
      </c>
      <c r="B22623" s="572">
        <v>75</v>
      </c>
      <c r="C22623" s="572">
        <v>105</v>
      </c>
    </row>
    <row r="22624" spans="1:3">
      <c r="A22624" s="571" t="s">
        <v>1515</v>
      </c>
      <c r="B22624" s="572">
        <v>87.5</v>
      </c>
      <c r="C22624" s="572">
        <v>110</v>
      </c>
    </row>
    <row r="22625" spans="1:3">
      <c r="A22625" s="573" t="s">
        <v>1515</v>
      </c>
      <c r="B22625" s="574">
        <v>100</v>
      </c>
      <c r="C22625" s="574">
        <v>120</v>
      </c>
    </row>
    <row r="22626" spans="1:3">
      <c r="A22626" s="573" t="s">
        <v>1515</v>
      </c>
      <c r="B22626" s="574">
        <v>112.5</v>
      </c>
      <c r="C22626" s="574">
        <v>120</v>
      </c>
    </row>
    <row r="22627" spans="1:3">
      <c r="A22627" s="573" t="s">
        <v>1515</v>
      </c>
      <c r="B22627" s="574">
        <v>125</v>
      </c>
      <c r="C22627" s="574">
        <v>125</v>
      </c>
    </row>
    <row r="22628" spans="1:3">
      <c r="A22628" s="573" t="s">
        <v>1515</v>
      </c>
      <c r="B22628" s="574">
        <v>137.5</v>
      </c>
      <c r="C22628" s="574">
        <v>130</v>
      </c>
    </row>
    <row r="22629" spans="1:3">
      <c r="A22629" s="573" t="s">
        <v>1515</v>
      </c>
      <c r="B22629" s="574">
        <v>150</v>
      </c>
      <c r="C22629" s="574">
        <v>135</v>
      </c>
    </row>
    <row r="22630" spans="1:3">
      <c r="A22630" s="573" t="s">
        <v>1515</v>
      </c>
      <c r="B22630" s="574">
        <v>162.5</v>
      </c>
      <c r="C22630" s="574">
        <v>140</v>
      </c>
    </row>
    <row r="22631" spans="1:3">
      <c r="A22631" s="573" t="s">
        <v>1515</v>
      </c>
      <c r="B22631" s="574">
        <v>175</v>
      </c>
      <c r="C22631" s="574">
        <v>155</v>
      </c>
    </row>
    <row r="22632" spans="1:3">
      <c r="A22632" s="573" t="s">
        <v>1515</v>
      </c>
      <c r="B22632" s="574">
        <v>187.5</v>
      </c>
      <c r="C22632" s="574">
        <v>160</v>
      </c>
    </row>
    <row r="22633" spans="1:3">
      <c r="A22633" s="573" t="s">
        <v>1515</v>
      </c>
      <c r="B22633" s="574">
        <v>200</v>
      </c>
      <c r="C22633" s="574">
        <v>165</v>
      </c>
    </row>
    <row r="22634" spans="1:3">
      <c r="A22634" s="573" t="s">
        <v>1515</v>
      </c>
      <c r="B22634" s="574">
        <v>212.5</v>
      </c>
      <c r="C22634" s="574">
        <v>172</v>
      </c>
    </row>
    <row r="22635" spans="1:3">
      <c r="A22635" s="573" t="s">
        <v>1515</v>
      </c>
      <c r="B22635" s="574">
        <v>225</v>
      </c>
      <c r="C22635" s="574">
        <v>180</v>
      </c>
    </row>
    <row r="22636" spans="1:3">
      <c r="A22636" s="573" t="s">
        <v>1515</v>
      </c>
      <c r="B22636" s="574">
        <v>237.5</v>
      </c>
      <c r="C22636" s="574">
        <v>190</v>
      </c>
    </row>
    <row r="22637" spans="1:3">
      <c r="A22637" s="573" t="s">
        <v>1515</v>
      </c>
      <c r="B22637" s="574">
        <v>250</v>
      </c>
      <c r="C22637" s="574">
        <v>193</v>
      </c>
    </row>
    <row r="22638" spans="1:3">
      <c r="A22638" s="573" t="s">
        <v>1515</v>
      </c>
      <c r="B22638" s="574">
        <v>262.5</v>
      </c>
      <c r="C22638" s="574">
        <v>200</v>
      </c>
    </row>
    <row r="22639" spans="1:3">
      <c r="A22639" s="573" t="s">
        <v>1515</v>
      </c>
      <c r="B22639" s="574">
        <v>275</v>
      </c>
      <c r="C22639" s="574">
        <v>210</v>
      </c>
    </row>
    <row r="22640" spans="1:3">
      <c r="A22640" s="573" t="s">
        <v>1515</v>
      </c>
      <c r="B22640" s="574">
        <v>287.5</v>
      </c>
      <c r="C22640" s="574">
        <v>220</v>
      </c>
    </row>
    <row r="22641" spans="1:3">
      <c r="A22641" s="573" t="s">
        <v>1515</v>
      </c>
      <c r="B22641" s="574">
        <v>300</v>
      </c>
      <c r="C22641" s="574">
        <v>223</v>
      </c>
    </row>
    <row r="22642" spans="1:3">
      <c r="A22642" s="573" t="s">
        <v>1515</v>
      </c>
      <c r="B22642" s="574">
        <v>312.5</v>
      </c>
      <c r="C22642" s="574">
        <v>230</v>
      </c>
    </row>
    <row r="22643" spans="1:3">
      <c r="A22643" s="573" t="s">
        <v>1515</v>
      </c>
      <c r="B22643" s="574">
        <v>325</v>
      </c>
      <c r="C22643" s="574">
        <v>240</v>
      </c>
    </row>
    <row r="22644" spans="1:3">
      <c r="A22644" s="573" t="s">
        <v>1515</v>
      </c>
      <c r="B22644" s="574">
        <v>337.5</v>
      </c>
      <c r="C22644" s="574">
        <v>242</v>
      </c>
    </row>
    <row r="22645" spans="1:3">
      <c r="A22645" s="573" t="s">
        <v>1515</v>
      </c>
      <c r="B22645" s="574">
        <v>337.5</v>
      </c>
      <c r="C22645" s="574">
        <v>242</v>
      </c>
    </row>
    <row r="22646" spans="1:3">
      <c r="A22646" s="571" t="s">
        <v>1514</v>
      </c>
      <c r="B22646" s="572">
        <v>0</v>
      </c>
      <c r="C22646" s="572">
        <v>0</v>
      </c>
    </row>
    <row r="22647" spans="1:3">
      <c r="A22647" s="571" t="s">
        <v>1514</v>
      </c>
      <c r="B22647" s="572">
        <v>12.5</v>
      </c>
      <c r="C22647" s="572">
        <v>40</v>
      </c>
    </row>
    <row r="22648" spans="1:3">
      <c r="A22648" s="571" t="s">
        <v>1514</v>
      </c>
      <c r="B22648" s="572">
        <v>25</v>
      </c>
      <c r="C22648" s="572">
        <v>22</v>
      </c>
    </row>
    <row r="22649" spans="1:3">
      <c r="A22649" s="571" t="s">
        <v>1514</v>
      </c>
      <c r="B22649" s="572">
        <v>37.5</v>
      </c>
      <c r="C22649" s="572">
        <v>10</v>
      </c>
    </row>
    <row r="22650" spans="1:3">
      <c r="A22650" s="571" t="s">
        <v>1514</v>
      </c>
      <c r="B22650" s="572">
        <v>50</v>
      </c>
      <c r="C22650" s="572">
        <v>15</v>
      </c>
    </row>
    <row r="22651" spans="1:3">
      <c r="A22651" s="571" t="s">
        <v>1514</v>
      </c>
      <c r="B22651" s="572">
        <v>62.5</v>
      </c>
      <c r="C22651" s="572">
        <v>35</v>
      </c>
    </row>
    <row r="22652" spans="1:3">
      <c r="A22652" s="571" t="s">
        <v>1514</v>
      </c>
      <c r="B22652" s="572">
        <v>62.5</v>
      </c>
      <c r="C22652" s="572">
        <v>35</v>
      </c>
    </row>
    <row r="22653" spans="1:3">
      <c r="A22653" s="571" t="s">
        <v>1514</v>
      </c>
      <c r="B22653" s="572">
        <v>75</v>
      </c>
      <c r="C22653" s="572">
        <v>50</v>
      </c>
    </row>
    <row r="22654" spans="1:3">
      <c r="A22654" s="571" t="s">
        <v>1514</v>
      </c>
      <c r="B22654" s="572">
        <v>87.5</v>
      </c>
      <c r="C22654" s="572">
        <v>60</v>
      </c>
    </row>
    <row r="22655" spans="1:3">
      <c r="A22655" s="573" t="s">
        <v>1514</v>
      </c>
      <c r="B22655" s="574">
        <v>100</v>
      </c>
      <c r="C22655" s="574">
        <v>65</v>
      </c>
    </row>
    <row r="22656" spans="1:3">
      <c r="A22656" s="573" t="s">
        <v>1514</v>
      </c>
      <c r="B22656" s="574">
        <v>112.5</v>
      </c>
      <c r="C22656" s="574">
        <v>75</v>
      </c>
    </row>
    <row r="22657" spans="1:3">
      <c r="A22657" s="573" t="s">
        <v>1514</v>
      </c>
      <c r="B22657" s="574">
        <v>125</v>
      </c>
      <c r="C22657" s="574">
        <v>80</v>
      </c>
    </row>
    <row r="22658" spans="1:3">
      <c r="A22658" s="573" t="s">
        <v>1514</v>
      </c>
      <c r="B22658" s="574">
        <v>137.5</v>
      </c>
      <c r="C22658" s="574">
        <v>90</v>
      </c>
    </row>
    <row r="22659" spans="1:3">
      <c r="A22659" s="573" t="s">
        <v>1514</v>
      </c>
      <c r="B22659" s="574">
        <v>150</v>
      </c>
      <c r="C22659" s="574">
        <v>95</v>
      </c>
    </row>
    <row r="22660" spans="1:3">
      <c r="A22660" s="573" t="s">
        <v>1514</v>
      </c>
      <c r="B22660" s="574">
        <v>162.5</v>
      </c>
      <c r="C22660" s="574">
        <v>105</v>
      </c>
    </row>
    <row r="22661" spans="1:3">
      <c r="A22661" s="573" t="s">
        <v>1514</v>
      </c>
      <c r="B22661" s="574">
        <v>175</v>
      </c>
      <c r="C22661" s="574">
        <v>115</v>
      </c>
    </row>
    <row r="22662" spans="1:3">
      <c r="A22662" s="573" t="s">
        <v>1514</v>
      </c>
      <c r="B22662" s="574">
        <v>187.5</v>
      </c>
      <c r="C22662" s="574">
        <v>120</v>
      </c>
    </row>
    <row r="22663" spans="1:3">
      <c r="A22663" s="573" t="s">
        <v>1514</v>
      </c>
      <c r="B22663" s="574">
        <v>200</v>
      </c>
      <c r="C22663" s="574">
        <v>130</v>
      </c>
    </row>
    <row r="22664" spans="1:3">
      <c r="A22664" s="573" t="s">
        <v>1514</v>
      </c>
      <c r="B22664" s="574">
        <v>212.5</v>
      </c>
      <c r="C22664" s="574">
        <v>137</v>
      </c>
    </row>
    <row r="22665" spans="1:3">
      <c r="A22665" s="573" t="s">
        <v>1514</v>
      </c>
      <c r="B22665" s="574">
        <v>225</v>
      </c>
      <c r="C22665" s="574">
        <v>145</v>
      </c>
    </row>
    <row r="22666" spans="1:3">
      <c r="A22666" s="573" t="s">
        <v>1514</v>
      </c>
      <c r="B22666" s="574">
        <v>237.5</v>
      </c>
      <c r="C22666" s="574">
        <v>155</v>
      </c>
    </row>
    <row r="22667" spans="1:3">
      <c r="A22667" s="573" t="s">
        <v>1514</v>
      </c>
      <c r="B22667" s="574">
        <v>250</v>
      </c>
      <c r="C22667" s="574">
        <v>160</v>
      </c>
    </row>
    <row r="22668" spans="1:3">
      <c r="A22668" s="573" t="s">
        <v>1514</v>
      </c>
      <c r="B22668" s="574">
        <v>262.5</v>
      </c>
      <c r="C22668" s="574">
        <v>170</v>
      </c>
    </row>
    <row r="22669" spans="1:3">
      <c r="A22669" s="573" t="s">
        <v>1514</v>
      </c>
      <c r="B22669" s="574">
        <v>275</v>
      </c>
      <c r="C22669" s="574">
        <v>180</v>
      </c>
    </row>
    <row r="22670" spans="1:3">
      <c r="A22670" s="573" t="s">
        <v>1514</v>
      </c>
      <c r="B22670" s="574">
        <v>287.5</v>
      </c>
      <c r="C22670" s="574">
        <v>187</v>
      </c>
    </row>
    <row r="22671" spans="1:3">
      <c r="A22671" s="573" t="s">
        <v>1514</v>
      </c>
      <c r="B22671" s="574">
        <v>300</v>
      </c>
      <c r="C22671" s="574">
        <v>195</v>
      </c>
    </row>
    <row r="22672" spans="1:3">
      <c r="A22672" s="573" t="s">
        <v>1514</v>
      </c>
      <c r="B22672" s="574">
        <v>312.5</v>
      </c>
      <c r="C22672" s="574">
        <v>205</v>
      </c>
    </row>
    <row r="22673" spans="1:3">
      <c r="A22673" s="573" t="s">
        <v>1514</v>
      </c>
      <c r="B22673" s="574">
        <v>325</v>
      </c>
      <c r="C22673" s="574">
        <v>210</v>
      </c>
    </row>
    <row r="22674" spans="1:3">
      <c r="A22674" s="573" t="s">
        <v>1514</v>
      </c>
      <c r="B22674" s="574">
        <v>337.5</v>
      </c>
      <c r="C22674" s="574">
        <v>220</v>
      </c>
    </row>
    <row r="22675" spans="1:3">
      <c r="A22675" s="573" t="s">
        <v>1514</v>
      </c>
      <c r="B22675" s="574">
        <v>337.5</v>
      </c>
      <c r="C22675" s="574">
        <v>220</v>
      </c>
    </row>
    <row r="22676" spans="1:3">
      <c r="A22676" s="571" t="s">
        <v>1513</v>
      </c>
      <c r="B22676" s="572">
        <v>0</v>
      </c>
      <c r="C22676" s="572">
        <v>0</v>
      </c>
    </row>
    <row r="22677" spans="1:3">
      <c r="A22677" s="571" t="s">
        <v>1513</v>
      </c>
      <c r="B22677" s="572">
        <v>12.5</v>
      </c>
      <c r="C22677" s="572">
        <v>40</v>
      </c>
    </row>
    <row r="22678" spans="1:3">
      <c r="A22678" s="571" t="s">
        <v>1513</v>
      </c>
      <c r="B22678" s="572">
        <v>25</v>
      </c>
      <c r="C22678" s="572">
        <v>55</v>
      </c>
    </row>
    <row r="22679" spans="1:3">
      <c r="A22679" s="571" t="s">
        <v>1513</v>
      </c>
      <c r="B22679" s="572">
        <v>37.5</v>
      </c>
      <c r="C22679" s="572">
        <v>75</v>
      </c>
    </row>
    <row r="22680" spans="1:3">
      <c r="A22680" s="571" t="s">
        <v>1513</v>
      </c>
      <c r="B22680" s="572">
        <v>50</v>
      </c>
      <c r="C22680" s="572">
        <v>90</v>
      </c>
    </row>
    <row r="22681" spans="1:3">
      <c r="A22681" s="571" t="s">
        <v>1513</v>
      </c>
      <c r="B22681" s="572">
        <v>62.5</v>
      </c>
      <c r="C22681" s="572">
        <v>110</v>
      </c>
    </row>
    <row r="22682" spans="1:3">
      <c r="A22682" s="571" t="s">
        <v>1513</v>
      </c>
      <c r="B22682" s="572">
        <v>75</v>
      </c>
      <c r="C22682" s="572">
        <v>115</v>
      </c>
    </row>
    <row r="22683" spans="1:3">
      <c r="A22683" s="571" t="s">
        <v>1513</v>
      </c>
      <c r="B22683" s="572">
        <v>87.5</v>
      </c>
      <c r="C22683" s="572">
        <v>120</v>
      </c>
    </row>
    <row r="22684" spans="1:3">
      <c r="A22684" s="573" t="s">
        <v>1513</v>
      </c>
      <c r="B22684" s="574">
        <v>100</v>
      </c>
      <c r="C22684" s="574">
        <v>130</v>
      </c>
    </row>
    <row r="22685" spans="1:3">
      <c r="A22685" s="573" t="s">
        <v>1513</v>
      </c>
      <c r="B22685" s="574">
        <v>112.5</v>
      </c>
      <c r="C22685" s="574">
        <v>137</v>
      </c>
    </row>
    <row r="22686" spans="1:3">
      <c r="A22686" s="573" t="s">
        <v>1513</v>
      </c>
      <c r="B22686" s="574">
        <v>125</v>
      </c>
      <c r="C22686" s="574">
        <v>142</v>
      </c>
    </row>
    <row r="22687" spans="1:3">
      <c r="A22687" s="573" t="s">
        <v>1513</v>
      </c>
      <c r="B22687" s="574">
        <v>137.5</v>
      </c>
      <c r="C22687" s="574">
        <v>155</v>
      </c>
    </row>
    <row r="22688" spans="1:3">
      <c r="A22688" s="573" t="s">
        <v>1513</v>
      </c>
      <c r="B22688" s="574">
        <v>150</v>
      </c>
      <c r="C22688" s="574">
        <v>160</v>
      </c>
    </row>
    <row r="22689" spans="1:3">
      <c r="A22689" s="573" t="s">
        <v>1513</v>
      </c>
      <c r="B22689" s="574">
        <v>162.5</v>
      </c>
      <c r="C22689" s="574">
        <v>170</v>
      </c>
    </row>
    <row r="22690" spans="1:3">
      <c r="A22690" s="573" t="s">
        <v>1513</v>
      </c>
      <c r="B22690" s="574">
        <v>175</v>
      </c>
      <c r="C22690" s="574">
        <v>180</v>
      </c>
    </row>
    <row r="22691" spans="1:3">
      <c r="A22691" s="573" t="s">
        <v>1513</v>
      </c>
      <c r="B22691" s="574">
        <v>187.5</v>
      </c>
      <c r="C22691" s="574">
        <v>187</v>
      </c>
    </row>
    <row r="22692" spans="1:3">
      <c r="A22692" s="573" t="s">
        <v>1513</v>
      </c>
      <c r="B22692" s="574">
        <v>200</v>
      </c>
      <c r="C22692" s="574">
        <v>190</v>
      </c>
    </row>
    <row r="22693" spans="1:3">
      <c r="A22693" s="573" t="s">
        <v>1513</v>
      </c>
      <c r="B22693" s="574">
        <v>212.5</v>
      </c>
      <c r="C22693" s="574">
        <v>200</v>
      </c>
    </row>
    <row r="22694" spans="1:3">
      <c r="A22694" s="573" t="s">
        <v>1513</v>
      </c>
      <c r="B22694" s="574">
        <v>225</v>
      </c>
      <c r="C22694" s="574">
        <v>210</v>
      </c>
    </row>
    <row r="22695" spans="1:3">
      <c r="A22695" s="573" t="s">
        <v>1513</v>
      </c>
      <c r="B22695" s="574">
        <v>237.5</v>
      </c>
      <c r="C22695" s="574">
        <v>220</v>
      </c>
    </row>
    <row r="22696" spans="1:3">
      <c r="A22696" s="573" t="s">
        <v>1513</v>
      </c>
      <c r="B22696" s="574">
        <v>250</v>
      </c>
      <c r="C22696" s="574">
        <v>230</v>
      </c>
    </row>
    <row r="22697" spans="1:3">
      <c r="A22697" s="573" t="s">
        <v>1513</v>
      </c>
      <c r="B22697" s="574">
        <v>262.5</v>
      </c>
      <c r="C22697" s="574">
        <v>237</v>
      </c>
    </row>
    <row r="22698" spans="1:3">
      <c r="A22698" s="573" t="s">
        <v>1513</v>
      </c>
      <c r="B22698" s="574">
        <v>275</v>
      </c>
      <c r="C22698" s="574">
        <v>245</v>
      </c>
    </row>
    <row r="22699" spans="1:3">
      <c r="A22699" s="573" t="s">
        <v>1513</v>
      </c>
      <c r="B22699" s="574">
        <v>287.5</v>
      </c>
      <c r="C22699" s="574">
        <v>255</v>
      </c>
    </row>
    <row r="22700" spans="1:3">
      <c r="A22700" s="573" t="s">
        <v>1513</v>
      </c>
      <c r="B22700" s="574">
        <v>300</v>
      </c>
      <c r="C22700" s="574">
        <v>260</v>
      </c>
    </row>
    <row r="22701" spans="1:3">
      <c r="A22701" s="573" t="s">
        <v>1513</v>
      </c>
      <c r="B22701" s="574">
        <v>312.5</v>
      </c>
      <c r="C22701" s="574">
        <v>270</v>
      </c>
    </row>
    <row r="22702" spans="1:3">
      <c r="A22702" s="573" t="s">
        <v>1513</v>
      </c>
      <c r="B22702" s="574">
        <v>325</v>
      </c>
      <c r="C22702" s="574">
        <v>275</v>
      </c>
    </row>
    <row r="22703" spans="1:3">
      <c r="A22703" s="573" t="s">
        <v>1513</v>
      </c>
      <c r="B22703" s="574">
        <v>337.5</v>
      </c>
      <c r="C22703" s="574">
        <v>290</v>
      </c>
    </row>
    <row r="22704" spans="1:3">
      <c r="A22704" s="573" t="s">
        <v>1513</v>
      </c>
      <c r="B22704" s="574">
        <v>337.5</v>
      </c>
      <c r="C22704" s="574">
        <v>290</v>
      </c>
    </row>
    <row r="22705" spans="1:3">
      <c r="A22705" s="571" t="s">
        <v>1512</v>
      </c>
      <c r="B22705" s="572">
        <v>0</v>
      </c>
      <c r="C22705" s="572">
        <v>0</v>
      </c>
    </row>
    <row r="22706" spans="1:3">
      <c r="A22706" s="571" t="s">
        <v>1512</v>
      </c>
      <c r="B22706" s="572">
        <v>12.5</v>
      </c>
      <c r="C22706" s="572">
        <v>50</v>
      </c>
    </row>
    <row r="22707" spans="1:3">
      <c r="A22707" s="571" t="s">
        <v>1512</v>
      </c>
      <c r="B22707" s="572">
        <v>25</v>
      </c>
      <c r="C22707" s="572">
        <v>90</v>
      </c>
    </row>
    <row r="22708" spans="1:3">
      <c r="A22708" s="571" t="s">
        <v>1512</v>
      </c>
      <c r="B22708" s="572">
        <v>37.5</v>
      </c>
      <c r="C22708" s="572">
        <v>120</v>
      </c>
    </row>
    <row r="22709" spans="1:3">
      <c r="A22709" s="571" t="s">
        <v>1512</v>
      </c>
      <c r="B22709" s="572">
        <v>50</v>
      </c>
      <c r="C22709" s="572">
        <v>135</v>
      </c>
    </row>
    <row r="22710" spans="1:3">
      <c r="A22710" s="571" t="s">
        <v>1512</v>
      </c>
      <c r="B22710" s="572">
        <v>62.5</v>
      </c>
      <c r="C22710" s="572">
        <v>150</v>
      </c>
    </row>
    <row r="22711" spans="1:3">
      <c r="A22711" s="571" t="s">
        <v>1512</v>
      </c>
      <c r="B22711" s="572">
        <v>75</v>
      </c>
      <c r="C22711" s="572">
        <v>160</v>
      </c>
    </row>
    <row r="22712" spans="1:3">
      <c r="A22712" s="571" t="s">
        <v>1512</v>
      </c>
      <c r="B22712" s="572">
        <v>87.5</v>
      </c>
      <c r="C22712" s="572">
        <v>170</v>
      </c>
    </row>
    <row r="22713" spans="1:3">
      <c r="A22713" s="573" t="s">
        <v>1512</v>
      </c>
      <c r="B22713" s="574">
        <v>100</v>
      </c>
      <c r="C22713" s="574">
        <v>185</v>
      </c>
    </row>
    <row r="22714" spans="1:3">
      <c r="A22714" s="573" t="s">
        <v>1512</v>
      </c>
      <c r="B22714" s="574">
        <v>112.5</v>
      </c>
      <c r="C22714" s="574">
        <v>190</v>
      </c>
    </row>
    <row r="22715" spans="1:3">
      <c r="A22715" s="573" t="s">
        <v>1512</v>
      </c>
      <c r="B22715" s="574">
        <v>125</v>
      </c>
      <c r="C22715" s="574">
        <v>200</v>
      </c>
    </row>
    <row r="22716" spans="1:3">
      <c r="A22716" s="573" t="s">
        <v>1512</v>
      </c>
      <c r="B22716" s="574">
        <v>137.5</v>
      </c>
      <c r="C22716" s="574">
        <v>210</v>
      </c>
    </row>
    <row r="22717" spans="1:3">
      <c r="A22717" s="573" t="s">
        <v>1512</v>
      </c>
      <c r="B22717" s="574">
        <v>150</v>
      </c>
      <c r="C22717" s="574">
        <v>220</v>
      </c>
    </row>
    <row r="22718" spans="1:3">
      <c r="A22718" s="573" t="s">
        <v>1512</v>
      </c>
      <c r="B22718" s="574">
        <v>162.5</v>
      </c>
      <c r="C22718" s="574">
        <v>235</v>
      </c>
    </row>
    <row r="22719" spans="1:3">
      <c r="A22719" s="573" t="s">
        <v>1512</v>
      </c>
      <c r="B22719" s="574">
        <v>175</v>
      </c>
      <c r="C22719" s="574">
        <v>245</v>
      </c>
    </row>
    <row r="22720" spans="1:3">
      <c r="A22720" s="573" t="s">
        <v>1512</v>
      </c>
      <c r="B22720" s="574">
        <v>187.5</v>
      </c>
      <c r="C22720" s="574">
        <v>260</v>
      </c>
    </row>
    <row r="22721" spans="1:3">
      <c r="A22721" s="573" t="s">
        <v>1512</v>
      </c>
      <c r="B22721" s="574">
        <v>200</v>
      </c>
      <c r="C22721" s="574">
        <v>265</v>
      </c>
    </row>
    <row r="22722" spans="1:3">
      <c r="A22722" s="573" t="s">
        <v>1512</v>
      </c>
      <c r="B22722" s="574">
        <v>212.5</v>
      </c>
      <c r="C22722" s="574">
        <v>180</v>
      </c>
    </row>
    <row r="22723" spans="1:3">
      <c r="A22723" s="573" t="s">
        <v>1512</v>
      </c>
      <c r="B22723" s="574">
        <v>225</v>
      </c>
      <c r="C22723" s="574">
        <v>290</v>
      </c>
    </row>
    <row r="22724" spans="1:3">
      <c r="A22724" s="573" t="s">
        <v>1512</v>
      </c>
      <c r="B22724" s="574">
        <v>237.5</v>
      </c>
      <c r="C22724" s="574">
        <v>300</v>
      </c>
    </row>
    <row r="22725" spans="1:3">
      <c r="A22725" s="573" t="s">
        <v>1512</v>
      </c>
      <c r="B22725" s="574">
        <v>250</v>
      </c>
      <c r="C22725" s="574">
        <v>310</v>
      </c>
    </row>
    <row r="22726" spans="1:3">
      <c r="A22726" s="573" t="s">
        <v>1512</v>
      </c>
      <c r="B22726" s="574">
        <v>262.5</v>
      </c>
      <c r="C22726" s="574">
        <v>315</v>
      </c>
    </row>
    <row r="22727" spans="1:3">
      <c r="A22727" s="573" t="s">
        <v>1512</v>
      </c>
      <c r="B22727" s="574">
        <v>275</v>
      </c>
      <c r="C22727" s="574">
        <v>340</v>
      </c>
    </row>
    <row r="22728" spans="1:3">
      <c r="A22728" s="573" t="s">
        <v>1512</v>
      </c>
      <c r="B22728" s="574">
        <v>287.5</v>
      </c>
      <c r="C22728" s="574">
        <v>350</v>
      </c>
    </row>
    <row r="22729" spans="1:3">
      <c r="A22729" s="573" t="s">
        <v>1512</v>
      </c>
      <c r="B22729" s="574">
        <v>300</v>
      </c>
      <c r="C22729" s="574">
        <v>355</v>
      </c>
    </row>
    <row r="22730" spans="1:3">
      <c r="A22730" s="573" t="s">
        <v>1512</v>
      </c>
      <c r="B22730" s="574">
        <v>312.5</v>
      </c>
      <c r="C22730" s="574">
        <v>370</v>
      </c>
    </row>
    <row r="22731" spans="1:3">
      <c r="A22731" s="573" t="s">
        <v>1512</v>
      </c>
      <c r="B22731" s="574">
        <v>325</v>
      </c>
      <c r="C22731" s="574">
        <v>380</v>
      </c>
    </row>
    <row r="22732" spans="1:3">
      <c r="A22732" s="573" t="s">
        <v>1512</v>
      </c>
      <c r="B22732" s="574">
        <v>337.5</v>
      </c>
      <c r="C22732" s="574">
        <v>390</v>
      </c>
    </row>
    <row r="22733" spans="1:3">
      <c r="A22733" s="573" t="s">
        <v>1512</v>
      </c>
      <c r="B22733" s="574">
        <v>337.5</v>
      </c>
      <c r="C22733" s="574">
        <v>390</v>
      </c>
    </row>
    <row r="22734" spans="1:3">
      <c r="A22734" s="571" t="s">
        <v>1511</v>
      </c>
      <c r="B22734" s="572">
        <v>0</v>
      </c>
      <c r="C22734" s="572">
        <v>0</v>
      </c>
    </row>
    <row r="22735" spans="1:3">
      <c r="A22735" s="571" t="s">
        <v>1511</v>
      </c>
      <c r="B22735" s="572">
        <v>12.5</v>
      </c>
      <c r="C22735" s="572">
        <v>220</v>
      </c>
    </row>
    <row r="22736" spans="1:3">
      <c r="A22736" s="571" t="s">
        <v>1511</v>
      </c>
      <c r="B22736" s="572">
        <v>25</v>
      </c>
      <c r="C22736" s="572">
        <v>290</v>
      </c>
    </row>
    <row r="22737" spans="1:3">
      <c r="A22737" s="571" t="s">
        <v>1511</v>
      </c>
      <c r="B22737" s="572">
        <v>37.5</v>
      </c>
      <c r="C22737" s="572">
        <v>360</v>
      </c>
    </row>
    <row r="22738" spans="1:3">
      <c r="A22738" s="571" t="s">
        <v>1511</v>
      </c>
      <c r="B22738" s="572">
        <v>50</v>
      </c>
      <c r="C22738" s="572">
        <v>395</v>
      </c>
    </row>
    <row r="22739" spans="1:3">
      <c r="A22739" s="571" t="s">
        <v>1511</v>
      </c>
      <c r="B22739" s="572">
        <v>62.5</v>
      </c>
      <c r="C22739" s="572">
        <v>425</v>
      </c>
    </row>
    <row r="22740" spans="1:3">
      <c r="A22740" s="571" t="s">
        <v>1511</v>
      </c>
      <c r="B22740" s="572">
        <v>75</v>
      </c>
      <c r="C22740" s="572">
        <v>440</v>
      </c>
    </row>
    <row r="22741" spans="1:3">
      <c r="A22741" s="571" t="s">
        <v>1511</v>
      </c>
      <c r="B22741" s="572">
        <v>87.5</v>
      </c>
      <c r="C22741" s="572">
        <v>450</v>
      </c>
    </row>
    <row r="22742" spans="1:3">
      <c r="A22742" s="573" t="s">
        <v>1511</v>
      </c>
      <c r="B22742" s="574">
        <v>100</v>
      </c>
      <c r="C22742" s="574">
        <v>470</v>
      </c>
    </row>
    <row r="22743" spans="1:3">
      <c r="A22743" s="573" t="s">
        <v>1511</v>
      </c>
      <c r="B22743" s="574">
        <v>112.5</v>
      </c>
      <c r="C22743" s="574">
        <v>480</v>
      </c>
    </row>
    <row r="22744" spans="1:3">
      <c r="A22744" s="573" t="s">
        <v>1511</v>
      </c>
      <c r="B22744" s="574">
        <v>125</v>
      </c>
      <c r="C22744" s="574">
        <v>490</v>
      </c>
    </row>
    <row r="22745" spans="1:3">
      <c r="A22745" s="573" t="s">
        <v>1511</v>
      </c>
      <c r="B22745" s="574">
        <v>137.5</v>
      </c>
      <c r="C22745" s="574">
        <v>500</v>
      </c>
    </row>
    <row r="22746" spans="1:3">
      <c r="A22746" s="573" t="s">
        <v>1511</v>
      </c>
      <c r="B22746" s="574">
        <v>150</v>
      </c>
      <c r="C22746" s="574">
        <v>500</v>
      </c>
    </row>
    <row r="22747" spans="1:3">
      <c r="A22747" s="573" t="s">
        <v>1511</v>
      </c>
      <c r="B22747" s="574">
        <v>162.5</v>
      </c>
      <c r="C22747" s="574">
        <v>510</v>
      </c>
    </row>
    <row r="22748" spans="1:3">
      <c r="A22748" s="573" t="s">
        <v>1511</v>
      </c>
      <c r="B22748" s="574">
        <v>175</v>
      </c>
      <c r="C22748" s="574">
        <v>515</v>
      </c>
    </row>
    <row r="22749" spans="1:3">
      <c r="A22749" s="573" t="s">
        <v>1511</v>
      </c>
      <c r="B22749" s="574">
        <v>187.5</v>
      </c>
      <c r="C22749" s="574">
        <v>520</v>
      </c>
    </row>
    <row r="22750" spans="1:3">
      <c r="A22750" s="573" t="s">
        <v>1511</v>
      </c>
      <c r="B22750" s="574">
        <v>200</v>
      </c>
      <c r="C22750" s="574">
        <v>530</v>
      </c>
    </row>
    <row r="22751" spans="1:3">
      <c r="A22751" s="573" t="s">
        <v>1511</v>
      </c>
      <c r="B22751" s="574">
        <v>212.5</v>
      </c>
      <c r="C22751" s="574">
        <v>535</v>
      </c>
    </row>
    <row r="22752" spans="1:3">
      <c r="A22752" s="573" t="s">
        <v>1511</v>
      </c>
      <c r="B22752" s="574">
        <v>225</v>
      </c>
      <c r="C22752" s="574">
        <v>535</v>
      </c>
    </row>
    <row r="22753" spans="1:3">
      <c r="A22753" s="573" t="s">
        <v>1511</v>
      </c>
      <c r="B22753" s="574">
        <v>237.5</v>
      </c>
      <c r="C22753" s="574">
        <v>535</v>
      </c>
    </row>
    <row r="22754" spans="1:3">
      <c r="A22754" s="573" t="s">
        <v>1511</v>
      </c>
      <c r="B22754" s="574">
        <v>250</v>
      </c>
      <c r="C22754" s="574">
        <v>540</v>
      </c>
    </row>
    <row r="22755" spans="1:3">
      <c r="A22755" s="573" t="s">
        <v>1511</v>
      </c>
      <c r="B22755" s="574">
        <v>262.5</v>
      </c>
      <c r="C22755" s="574">
        <v>540</v>
      </c>
    </row>
    <row r="22756" spans="1:3">
      <c r="A22756" s="573" t="s">
        <v>1511</v>
      </c>
      <c r="B22756" s="574">
        <v>275</v>
      </c>
      <c r="C22756" s="574">
        <v>540</v>
      </c>
    </row>
    <row r="22757" spans="1:3">
      <c r="A22757" s="573" t="s">
        <v>1511</v>
      </c>
      <c r="B22757" s="574">
        <v>287.5</v>
      </c>
      <c r="C22757" s="574">
        <v>540</v>
      </c>
    </row>
    <row r="22758" spans="1:3">
      <c r="A22758" s="573" t="s">
        <v>1511</v>
      </c>
      <c r="B22758" s="574">
        <v>300</v>
      </c>
      <c r="C22758" s="574">
        <v>540</v>
      </c>
    </row>
    <row r="22759" spans="1:3">
      <c r="A22759" s="573" t="s">
        <v>1511</v>
      </c>
      <c r="B22759" s="574">
        <v>312.5</v>
      </c>
      <c r="C22759" s="574">
        <v>550</v>
      </c>
    </row>
    <row r="22760" spans="1:3">
      <c r="A22760" s="573" t="s">
        <v>1511</v>
      </c>
      <c r="B22760" s="574">
        <v>325</v>
      </c>
      <c r="C22760" s="574">
        <v>550</v>
      </c>
    </row>
    <row r="22761" spans="1:3">
      <c r="A22761" s="573" t="s">
        <v>1511</v>
      </c>
      <c r="B22761" s="574">
        <v>337.5</v>
      </c>
      <c r="C22761" s="574">
        <v>550</v>
      </c>
    </row>
    <row r="22762" spans="1:3">
      <c r="A22762" s="573" t="s">
        <v>1511</v>
      </c>
      <c r="B22762" s="574">
        <v>350</v>
      </c>
      <c r="C22762" s="574">
        <v>530</v>
      </c>
    </row>
    <row r="22763" spans="1:3">
      <c r="A22763" s="573" t="s">
        <v>1511</v>
      </c>
      <c r="B22763" s="574">
        <v>350</v>
      </c>
      <c r="C22763" s="574">
        <v>530</v>
      </c>
    </row>
    <row r="22764" spans="1:3">
      <c r="A22764" s="571" t="s">
        <v>1510</v>
      </c>
      <c r="B22764" s="572">
        <v>0</v>
      </c>
      <c r="C22764" s="572">
        <v>0</v>
      </c>
    </row>
    <row r="22765" spans="1:3">
      <c r="A22765" s="571" t="s">
        <v>1510</v>
      </c>
      <c r="B22765" s="572">
        <v>12.5</v>
      </c>
      <c r="C22765" s="572">
        <v>220</v>
      </c>
    </row>
    <row r="22766" spans="1:3">
      <c r="A22766" s="571" t="s">
        <v>1510</v>
      </c>
      <c r="B22766" s="572">
        <v>25</v>
      </c>
      <c r="C22766" s="572">
        <v>290</v>
      </c>
    </row>
    <row r="22767" spans="1:3">
      <c r="A22767" s="571" t="s">
        <v>1510</v>
      </c>
      <c r="B22767" s="572">
        <v>37.5</v>
      </c>
      <c r="C22767" s="572">
        <v>330</v>
      </c>
    </row>
    <row r="22768" spans="1:3">
      <c r="A22768" s="571" t="s">
        <v>1510</v>
      </c>
      <c r="B22768" s="572">
        <v>50</v>
      </c>
      <c r="C22768" s="572">
        <v>350</v>
      </c>
    </row>
    <row r="22769" spans="1:3">
      <c r="A22769" s="571" t="s">
        <v>1510</v>
      </c>
      <c r="B22769" s="572">
        <v>62.5</v>
      </c>
      <c r="C22769" s="572">
        <v>370</v>
      </c>
    </row>
    <row r="22770" spans="1:3">
      <c r="A22770" s="571" t="s">
        <v>1510</v>
      </c>
      <c r="B22770" s="572">
        <v>75</v>
      </c>
      <c r="C22770" s="572">
        <v>390</v>
      </c>
    </row>
    <row r="22771" spans="1:3">
      <c r="A22771" s="571" t="s">
        <v>1510</v>
      </c>
      <c r="B22771" s="572">
        <v>87.5</v>
      </c>
      <c r="C22771" s="572">
        <v>410</v>
      </c>
    </row>
    <row r="22772" spans="1:3">
      <c r="A22772" s="573" t="s">
        <v>1510</v>
      </c>
      <c r="B22772" s="574">
        <v>100</v>
      </c>
      <c r="C22772" s="574">
        <v>420</v>
      </c>
    </row>
    <row r="22773" spans="1:3">
      <c r="A22773" s="573" t="s">
        <v>1510</v>
      </c>
      <c r="B22773" s="574">
        <v>112.5</v>
      </c>
      <c r="C22773" s="574">
        <v>430</v>
      </c>
    </row>
    <row r="22774" spans="1:3">
      <c r="A22774" s="573" t="s">
        <v>1510</v>
      </c>
      <c r="B22774" s="574">
        <v>125</v>
      </c>
      <c r="C22774" s="574">
        <v>440</v>
      </c>
    </row>
    <row r="22775" spans="1:3">
      <c r="A22775" s="573" t="s">
        <v>1510</v>
      </c>
      <c r="B22775" s="574">
        <v>137.5</v>
      </c>
      <c r="C22775" s="574">
        <v>450</v>
      </c>
    </row>
    <row r="22776" spans="1:3">
      <c r="A22776" s="573" t="s">
        <v>1510</v>
      </c>
      <c r="B22776" s="574">
        <v>150</v>
      </c>
      <c r="C22776" s="574">
        <v>450</v>
      </c>
    </row>
    <row r="22777" spans="1:3">
      <c r="A22777" s="573" t="s">
        <v>1510</v>
      </c>
      <c r="B22777" s="574">
        <v>162.5</v>
      </c>
      <c r="C22777" s="574">
        <v>460</v>
      </c>
    </row>
    <row r="22778" spans="1:3">
      <c r="A22778" s="573" t="s">
        <v>1510</v>
      </c>
      <c r="B22778" s="574">
        <v>175</v>
      </c>
      <c r="C22778" s="574">
        <v>465</v>
      </c>
    </row>
    <row r="22779" spans="1:3">
      <c r="A22779" s="573" t="s">
        <v>1510</v>
      </c>
      <c r="B22779" s="574">
        <v>187.5</v>
      </c>
      <c r="C22779" s="574">
        <v>470</v>
      </c>
    </row>
    <row r="22780" spans="1:3">
      <c r="A22780" s="573" t="s">
        <v>1510</v>
      </c>
      <c r="B22780" s="574">
        <v>200</v>
      </c>
      <c r="C22780" s="574">
        <v>475</v>
      </c>
    </row>
    <row r="22781" spans="1:3">
      <c r="A22781" s="573" t="s">
        <v>1510</v>
      </c>
      <c r="B22781" s="574">
        <v>212.5</v>
      </c>
      <c r="C22781" s="574">
        <v>480</v>
      </c>
    </row>
    <row r="22782" spans="1:3">
      <c r="A22782" s="573" t="s">
        <v>1510</v>
      </c>
      <c r="B22782" s="574">
        <v>225</v>
      </c>
      <c r="C22782" s="574">
        <v>485</v>
      </c>
    </row>
    <row r="22783" spans="1:3">
      <c r="A22783" s="573" t="s">
        <v>1510</v>
      </c>
      <c r="B22783" s="574">
        <v>237.5</v>
      </c>
      <c r="C22783" s="574">
        <v>490</v>
      </c>
    </row>
    <row r="22784" spans="1:3">
      <c r="A22784" s="573" t="s">
        <v>1510</v>
      </c>
      <c r="B22784" s="574">
        <v>250</v>
      </c>
      <c r="C22784" s="574">
        <v>490</v>
      </c>
    </row>
    <row r="22785" spans="1:3">
      <c r="A22785" s="573" t="s">
        <v>1510</v>
      </c>
      <c r="B22785" s="574">
        <v>262.5</v>
      </c>
      <c r="C22785" s="574">
        <v>495</v>
      </c>
    </row>
    <row r="22786" spans="1:3">
      <c r="A22786" s="573" t="s">
        <v>1510</v>
      </c>
      <c r="B22786" s="574">
        <v>275</v>
      </c>
      <c r="C22786" s="574">
        <v>495</v>
      </c>
    </row>
    <row r="22787" spans="1:3">
      <c r="A22787" s="573" t="s">
        <v>1510</v>
      </c>
      <c r="B22787" s="574">
        <v>287.5</v>
      </c>
      <c r="C22787" s="574">
        <v>495</v>
      </c>
    </row>
    <row r="22788" spans="1:3">
      <c r="A22788" s="573" t="s">
        <v>1510</v>
      </c>
      <c r="B22788" s="574">
        <v>300</v>
      </c>
      <c r="C22788" s="574">
        <v>500</v>
      </c>
    </row>
    <row r="22789" spans="1:3">
      <c r="A22789" s="573" t="s">
        <v>1510</v>
      </c>
      <c r="B22789" s="574">
        <v>312.5</v>
      </c>
      <c r="C22789" s="574">
        <v>500</v>
      </c>
    </row>
    <row r="22790" spans="1:3">
      <c r="A22790" s="573" t="s">
        <v>1510</v>
      </c>
      <c r="B22790" s="574">
        <v>325</v>
      </c>
      <c r="C22790" s="574">
        <v>500</v>
      </c>
    </row>
    <row r="22791" spans="1:3">
      <c r="A22791" s="573" t="s">
        <v>1510</v>
      </c>
      <c r="B22791" s="574">
        <v>337.5</v>
      </c>
      <c r="C22791" s="574">
        <v>500</v>
      </c>
    </row>
    <row r="22792" spans="1:3">
      <c r="A22792" s="573" t="s">
        <v>1510</v>
      </c>
      <c r="B22792" s="574">
        <v>337.5</v>
      </c>
      <c r="C22792" s="574">
        <v>500</v>
      </c>
    </row>
    <row r="22793" spans="1:3">
      <c r="A22793" s="571" t="s">
        <v>1509</v>
      </c>
      <c r="B22793" s="572">
        <v>0</v>
      </c>
      <c r="C22793" s="572">
        <v>0</v>
      </c>
    </row>
    <row r="22794" spans="1:3">
      <c r="A22794" s="571" t="s">
        <v>1509</v>
      </c>
      <c r="B22794" s="572">
        <v>12.5</v>
      </c>
      <c r="C22794" s="572">
        <v>370</v>
      </c>
    </row>
    <row r="22795" spans="1:3">
      <c r="A22795" s="571" t="s">
        <v>1509</v>
      </c>
      <c r="B22795" s="572">
        <v>25</v>
      </c>
      <c r="C22795" s="572">
        <v>460</v>
      </c>
    </row>
    <row r="22796" spans="1:3">
      <c r="A22796" s="571" t="s">
        <v>1509</v>
      </c>
      <c r="B22796" s="572">
        <v>37.5</v>
      </c>
      <c r="C22796" s="572">
        <v>520</v>
      </c>
    </row>
    <row r="22797" spans="1:3">
      <c r="A22797" s="571" t="s">
        <v>1509</v>
      </c>
      <c r="B22797" s="572">
        <v>50</v>
      </c>
      <c r="C22797" s="572">
        <v>560</v>
      </c>
    </row>
    <row r="22798" spans="1:3">
      <c r="A22798" s="571" t="s">
        <v>1509</v>
      </c>
      <c r="B22798" s="572">
        <v>62.5</v>
      </c>
      <c r="C22798" s="572">
        <v>590</v>
      </c>
    </row>
    <row r="22799" spans="1:3">
      <c r="A22799" s="571" t="s">
        <v>1509</v>
      </c>
      <c r="B22799" s="572">
        <v>75</v>
      </c>
      <c r="C22799" s="572">
        <v>610</v>
      </c>
    </row>
    <row r="22800" spans="1:3">
      <c r="A22800" s="571" t="s">
        <v>1509</v>
      </c>
      <c r="B22800" s="572">
        <v>87.5</v>
      </c>
      <c r="C22800" s="572">
        <v>635</v>
      </c>
    </row>
    <row r="22801" spans="1:3">
      <c r="A22801" s="573" t="s">
        <v>1509</v>
      </c>
      <c r="B22801" s="574">
        <v>100</v>
      </c>
      <c r="C22801" s="574">
        <v>640</v>
      </c>
    </row>
    <row r="22802" spans="1:3">
      <c r="A22802" s="573" t="s">
        <v>1509</v>
      </c>
      <c r="B22802" s="574">
        <v>112.5</v>
      </c>
      <c r="C22802" s="574">
        <v>660</v>
      </c>
    </row>
    <row r="22803" spans="1:3">
      <c r="A22803" s="573" t="s">
        <v>1509</v>
      </c>
      <c r="B22803" s="574">
        <v>125</v>
      </c>
      <c r="C22803" s="574">
        <v>665</v>
      </c>
    </row>
    <row r="22804" spans="1:3">
      <c r="A22804" s="573" t="s">
        <v>1509</v>
      </c>
      <c r="B22804" s="574">
        <v>137.5</v>
      </c>
      <c r="C22804" s="574">
        <v>675</v>
      </c>
    </row>
    <row r="22805" spans="1:3">
      <c r="A22805" s="573" t="s">
        <v>1509</v>
      </c>
      <c r="B22805" s="574">
        <v>150</v>
      </c>
      <c r="C22805" s="574">
        <v>680</v>
      </c>
    </row>
    <row r="22806" spans="1:3">
      <c r="A22806" s="573" t="s">
        <v>1509</v>
      </c>
      <c r="B22806" s="574">
        <v>162.5</v>
      </c>
      <c r="C22806" s="574">
        <v>690</v>
      </c>
    </row>
    <row r="22807" spans="1:3">
      <c r="A22807" s="573" t="s">
        <v>1509</v>
      </c>
      <c r="B22807" s="574">
        <v>175</v>
      </c>
      <c r="C22807" s="574">
        <v>690</v>
      </c>
    </row>
    <row r="22808" spans="1:3">
      <c r="A22808" s="573" t="s">
        <v>1509</v>
      </c>
      <c r="B22808" s="574">
        <v>187.5</v>
      </c>
      <c r="C22808" s="574">
        <v>700</v>
      </c>
    </row>
    <row r="22809" spans="1:3">
      <c r="A22809" s="573" t="s">
        <v>1509</v>
      </c>
      <c r="B22809" s="574">
        <v>200</v>
      </c>
      <c r="C22809" s="574">
        <v>705</v>
      </c>
    </row>
    <row r="22810" spans="1:3">
      <c r="A22810" s="573" t="s">
        <v>1509</v>
      </c>
      <c r="B22810" s="574">
        <v>212.5</v>
      </c>
      <c r="C22810" s="574">
        <v>710</v>
      </c>
    </row>
    <row r="22811" spans="1:3">
      <c r="A22811" s="573" t="s">
        <v>1509</v>
      </c>
      <c r="B22811" s="574">
        <v>225</v>
      </c>
      <c r="C22811" s="574">
        <v>715</v>
      </c>
    </row>
    <row r="22812" spans="1:3">
      <c r="A22812" s="573" t="s">
        <v>1509</v>
      </c>
      <c r="B22812" s="574">
        <v>237.5</v>
      </c>
      <c r="C22812" s="574">
        <v>720</v>
      </c>
    </row>
    <row r="22813" spans="1:3">
      <c r="A22813" s="573" t="s">
        <v>1509</v>
      </c>
      <c r="B22813" s="574">
        <v>250</v>
      </c>
      <c r="C22813" s="574">
        <v>720</v>
      </c>
    </row>
    <row r="22814" spans="1:3">
      <c r="A22814" s="573" t="s">
        <v>1509</v>
      </c>
      <c r="B22814" s="574">
        <v>262.5</v>
      </c>
      <c r="C22814" s="574">
        <v>720</v>
      </c>
    </row>
    <row r="22815" spans="1:3">
      <c r="A22815" s="573" t="s">
        <v>1509</v>
      </c>
      <c r="B22815" s="574">
        <v>275</v>
      </c>
      <c r="C22815" s="574">
        <v>725</v>
      </c>
    </row>
    <row r="22816" spans="1:3">
      <c r="A22816" s="573" t="s">
        <v>1509</v>
      </c>
      <c r="B22816" s="574">
        <v>287.5</v>
      </c>
      <c r="C22816" s="574">
        <v>725</v>
      </c>
    </row>
    <row r="22817" spans="1:3">
      <c r="A22817" s="573" t="s">
        <v>1509</v>
      </c>
      <c r="B22817" s="574">
        <v>300</v>
      </c>
      <c r="C22817" s="574">
        <v>725</v>
      </c>
    </row>
    <row r="22818" spans="1:3">
      <c r="A22818" s="573" t="s">
        <v>1509</v>
      </c>
      <c r="B22818" s="574">
        <v>312.5</v>
      </c>
      <c r="C22818" s="574">
        <v>730</v>
      </c>
    </row>
    <row r="22819" spans="1:3">
      <c r="A22819" s="573" t="s">
        <v>1509</v>
      </c>
      <c r="B22819" s="574">
        <v>325</v>
      </c>
      <c r="C22819" s="574">
        <v>730</v>
      </c>
    </row>
    <row r="22820" spans="1:3">
      <c r="A22820" s="573" t="s">
        <v>1509</v>
      </c>
      <c r="B22820" s="574">
        <v>337.5</v>
      </c>
      <c r="C22820" s="574">
        <v>735</v>
      </c>
    </row>
    <row r="22821" spans="1:3">
      <c r="A22821" s="573" t="s">
        <v>1509</v>
      </c>
      <c r="B22821" s="574">
        <v>337.5</v>
      </c>
      <c r="C22821" s="574">
        <v>735</v>
      </c>
    </row>
    <row r="22822" spans="1:3">
      <c r="A22822" s="571" t="s">
        <v>1508</v>
      </c>
      <c r="B22822" s="572">
        <v>0</v>
      </c>
      <c r="C22822" s="572">
        <v>0</v>
      </c>
    </row>
    <row r="22823" spans="1:3">
      <c r="A22823" s="571" t="s">
        <v>1508</v>
      </c>
      <c r="B22823" s="572">
        <v>12.5</v>
      </c>
      <c r="C22823" s="572">
        <v>280</v>
      </c>
    </row>
    <row r="22824" spans="1:3">
      <c r="A22824" s="571" t="s">
        <v>1508</v>
      </c>
      <c r="B22824" s="572">
        <v>25</v>
      </c>
      <c r="C22824" s="572">
        <v>370</v>
      </c>
    </row>
    <row r="22825" spans="1:3">
      <c r="A22825" s="571" t="s">
        <v>1508</v>
      </c>
      <c r="B22825" s="572">
        <v>37.5</v>
      </c>
      <c r="C22825" s="572">
        <v>420</v>
      </c>
    </row>
    <row r="22826" spans="1:3">
      <c r="A22826" s="571" t="s">
        <v>1508</v>
      </c>
      <c r="B22826" s="572">
        <v>50</v>
      </c>
      <c r="C22826" s="572">
        <v>440</v>
      </c>
    </row>
    <row r="22827" spans="1:3">
      <c r="A22827" s="571" t="s">
        <v>1508</v>
      </c>
      <c r="B22827" s="572">
        <v>62.5</v>
      </c>
      <c r="C22827" s="572">
        <v>480</v>
      </c>
    </row>
    <row r="22828" spans="1:3">
      <c r="A22828" s="571" t="s">
        <v>1508</v>
      </c>
      <c r="B22828" s="572">
        <v>75</v>
      </c>
      <c r="C22828" s="572">
        <v>490</v>
      </c>
    </row>
    <row r="22829" spans="1:3">
      <c r="A22829" s="571" t="s">
        <v>1508</v>
      </c>
      <c r="B22829" s="572">
        <v>87.5</v>
      </c>
      <c r="C22829" s="572">
        <v>510</v>
      </c>
    </row>
    <row r="22830" spans="1:3">
      <c r="A22830" s="573" t="s">
        <v>1508</v>
      </c>
      <c r="B22830" s="574">
        <v>100</v>
      </c>
      <c r="C22830" s="574">
        <v>520</v>
      </c>
    </row>
    <row r="22831" spans="1:3">
      <c r="A22831" s="573" t="s">
        <v>1508</v>
      </c>
      <c r="B22831" s="574">
        <v>112.5</v>
      </c>
      <c r="C22831" s="574">
        <v>530</v>
      </c>
    </row>
    <row r="22832" spans="1:3">
      <c r="A22832" s="573" t="s">
        <v>1508</v>
      </c>
      <c r="B22832" s="574">
        <v>125</v>
      </c>
      <c r="C22832" s="574">
        <v>535</v>
      </c>
    </row>
    <row r="22833" spans="1:3">
      <c r="A22833" s="573" t="s">
        <v>1508</v>
      </c>
      <c r="B22833" s="574">
        <v>137.5</v>
      </c>
      <c r="C22833" s="574">
        <v>550</v>
      </c>
    </row>
    <row r="22834" spans="1:3">
      <c r="A22834" s="573" t="s">
        <v>1508</v>
      </c>
      <c r="B22834" s="574">
        <v>150</v>
      </c>
      <c r="C22834" s="574">
        <v>555</v>
      </c>
    </row>
    <row r="22835" spans="1:3">
      <c r="A22835" s="573" t="s">
        <v>1508</v>
      </c>
      <c r="B22835" s="574">
        <v>162.5</v>
      </c>
      <c r="C22835" s="574">
        <v>560</v>
      </c>
    </row>
    <row r="22836" spans="1:3">
      <c r="A22836" s="573" t="s">
        <v>1508</v>
      </c>
      <c r="B22836" s="574">
        <v>175</v>
      </c>
      <c r="C22836" s="574">
        <v>560</v>
      </c>
    </row>
    <row r="22837" spans="1:3">
      <c r="A22837" s="573" t="s">
        <v>1508</v>
      </c>
      <c r="B22837" s="574">
        <v>187.5</v>
      </c>
      <c r="C22837" s="574">
        <v>570</v>
      </c>
    </row>
    <row r="22838" spans="1:3">
      <c r="A22838" s="573" t="s">
        <v>1508</v>
      </c>
      <c r="B22838" s="574">
        <v>200</v>
      </c>
      <c r="C22838" s="574">
        <v>570</v>
      </c>
    </row>
    <row r="22839" spans="1:3">
      <c r="A22839" s="573" t="s">
        <v>1508</v>
      </c>
      <c r="B22839" s="574">
        <v>212.5</v>
      </c>
      <c r="C22839" s="574">
        <v>570</v>
      </c>
    </row>
    <row r="22840" spans="1:3">
      <c r="A22840" s="573" t="s">
        <v>1508</v>
      </c>
      <c r="B22840" s="574">
        <v>225</v>
      </c>
      <c r="C22840" s="574">
        <v>575</v>
      </c>
    </row>
    <row r="22841" spans="1:3">
      <c r="A22841" s="573" t="s">
        <v>1508</v>
      </c>
      <c r="B22841" s="574">
        <v>237.5</v>
      </c>
      <c r="C22841" s="574">
        <v>578</v>
      </c>
    </row>
    <row r="22842" spans="1:3">
      <c r="A22842" s="573" t="s">
        <v>1508</v>
      </c>
      <c r="B22842" s="574">
        <v>250</v>
      </c>
      <c r="C22842" s="574">
        <v>580</v>
      </c>
    </row>
    <row r="22843" spans="1:3">
      <c r="A22843" s="573" t="s">
        <v>1508</v>
      </c>
      <c r="B22843" s="574">
        <v>262.5</v>
      </c>
      <c r="C22843" s="574">
        <v>580</v>
      </c>
    </row>
    <row r="22844" spans="1:3">
      <c r="A22844" s="573" t="s">
        <v>1508</v>
      </c>
      <c r="B22844" s="574">
        <v>275</v>
      </c>
      <c r="C22844" s="574">
        <v>580</v>
      </c>
    </row>
    <row r="22845" spans="1:3">
      <c r="A22845" s="573" t="s">
        <v>1508</v>
      </c>
      <c r="B22845" s="574">
        <v>287.5</v>
      </c>
      <c r="C22845" s="574">
        <v>585</v>
      </c>
    </row>
    <row r="22846" spans="1:3">
      <c r="A22846" s="573" t="s">
        <v>1508</v>
      </c>
      <c r="B22846" s="574">
        <v>300</v>
      </c>
      <c r="C22846" s="574">
        <v>590</v>
      </c>
    </row>
    <row r="22847" spans="1:3">
      <c r="A22847" s="573" t="s">
        <v>1508</v>
      </c>
      <c r="B22847" s="574">
        <v>312.5</v>
      </c>
      <c r="C22847" s="574">
        <v>590</v>
      </c>
    </row>
    <row r="22848" spans="1:3">
      <c r="A22848" s="573" t="s">
        <v>1508</v>
      </c>
      <c r="B22848" s="574">
        <v>325</v>
      </c>
      <c r="C22848" s="574">
        <v>590</v>
      </c>
    </row>
    <row r="22849" spans="1:3">
      <c r="A22849" s="573" t="s">
        <v>1508</v>
      </c>
      <c r="B22849" s="574">
        <v>337.5</v>
      </c>
      <c r="C22849" s="574">
        <v>590</v>
      </c>
    </row>
    <row r="22850" spans="1:3">
      <c r="A22850" s="573" t="s">
        <v>1508</v>
      </c>
      <c r="B22850" s="574">
        <v>337.5</v>
      </c>
      <c r="C22850" s="574">
        <v>590</v>
      </c>
    </row>
    <row r="22851" spans="1:3">
      <c r="A22851" s="571" t="s">
        <v>1507</v>
      </c>
      <c r="B22851" s="572">
        <v>0</v>
      </c>
      <c r="C22851" s="572">
        <v>0</v>
      </c>
    </row>
    <row r="22852" spans="1:3">
      <c r="A22852" s="571" t="s">
        <v>1507</v>
      </c>
      <c r="B22852" s="572">
        <v>12.5</v>
      </c>
      <c r="C22852" s="572">
        <v>280</v>
      </c>
    </row>
    <row r="22853" spans="1:3">
      <c r="A22853" s="571" t="s">
        <v>1507</v>
      </c>
      <c r="B22853" s="572">
        <v>25</v>
      </c>
      <c r="C22853" s="572">
        <v>370</v>
      </c>
    </row>
    <row r="22854" spans="1:3">
      <c r="A22854" s="571" t="s">
        <v>1507</v>
      </c>
      <c r="B22854" s="572">
        <v>37.5</v>
      </c>
      <c r="C22854" s="572">
        <v>440</v>
      </c>
    </row>
    <row r="22855" spans="1:3">
      <c r="A22855" s="571" t="s">
        <v>1507</v>
      </c>
      <c r="B22855" s="572">
        <v>50</v>
      </c>
      <c r="C22855" s="572">
        <v>480</v>
      </c>
    </row>
    <row r="22856" spans="1:3">
      <c r="A22856" s="571" t="s">
        <v>1507</v>
      </c>
      <c r="B22856" s="572">
        <v>62.5</v>
      </c>
      <c r="C22856" s="572">
        <v>490</v>
      </c>
    </row>
    <row r="22857" spans="1:3">
      <c r="A22857" s="571" t="s">
        <v>1507</v>
      </c>
      <c r="B22857" s="572">
        <v>75</v>
      </c>
      <c r="C22857" s="572">
        <v>520</v>
      </c>
    </row>
    <row r="22858" spans="1:3">
      <c r="A22858" s="571" t="s">
        <v>1507</v>
      </c>
      <c r="B22858" s="572">
        <v>87.5</v>
      </c>
      <c r="C22858" s="572">
        <v>540</v>
      </c>
    </row>
    <row r="22859" spans="1:3">
      <c r="A22859" s="573" t="s">
        <v>1507</v>
      </c>
      <c r="B22859" s="574">
        <v>100</v>
      </c>
      <c r="C22859" s="574">
        <v>550</v>
      </c>
    </row>
    <row r="22860" spans="1:3">
      <c r="A22860" s="573" t="s">
        <v>1507</v>
      </c>
      <c r="B22860" s="574">
        <v>112.5</v>
      </c>
      <c r="C22860" s="574">
        <v>560</v>
      </c>
    </row>
    <row r="22861" spans="1:3">
      <c r="A22861" s="573" t="s">
        <v>1507</v>
      </c>
      <c r="B22861" s="574">
        <v>125</v>
      </c>
      <c r="C22861" s="574">
        <v>570</v>
      </c>
    </row>
    <row r="22862" spans="1:3">
      <c r="A22862" s="573" t="s">
        <v>1507</v>
      </c>
      <c r="B22862" s="574">
        <v>137.5</v>
      </c>
      <c r="C22862" s="574">
        <v>575</v>
      </c>
    </row>
    <row r="22863" spans="1:3">
      <c r="A22863" s="573" t="s">
        <v>1507</v>
      </c>
      <c r="B22863" s="574">
        <v>150</v>
      </c>
      <c r="C22863" s="574">
        <v>580</v>
      </c>
    </row>
    <row r="22864" spans="1:3">
      <c r="A22864" s="573" t="s">
        <v>1507</v>
      </c>
      <c r="B22864" s="574">
        <v>162.5</v>
      </c>
      <c r="C22864" s="574">
        <v>590</v>
      </c>
    </row>
    <row r="22865" spans="1:3">
      <c r="A22865" s="573" t="s">
        <v>1507</v>
      </c>
      <c r="B22865" s="574">
        <v>175</v>
      </c>
      <c r="C22865" s="574">
        <v>595</v>
      </c>
    </row>
    <row r="22866" spans="1:3">
      <c r="A22866" s="573" t="s">
        <v>1507</v>
      </c>
      <c r="B22866" s="574">
        <v>187.5</v>
      </c>
      <c r="C22866" s="574">
        <v>600</v>
      </c>
    </row>
    <row r="22867" spans="1:3">
      <c r="A22867" s="573" t="s">
        <v>1507</v>
      </c>
      <c r="B22867" s="574">
        <v>200</v>
      </c>
      <c r="C22867" s="574">
        <v>605</v>
      </c>
    </row>
    <row r="22868" spans="1:3">
      <c r="A22868" s="573" t="s">
        <v>1507</v>
      </c>
      <c r="B22868" s="574">
        <v>212.5</v>
      </c>
      <c r="C22868" s="574">
        <v>610</v>
      </c>
    </row>
    <row r="22869" spans="1:3">
      <c r="A22869" s="573" t="s">
        <v>1507</v>
      </c>
      <c r="B22869" s="574">
        <v>225</v>
      </c>
      <c r="C22869" s="574">
        <v>613</v>
      </c>
    </row>
    <row r="22870" spans="1:3">
      <c r="A22870" s="573" t="s">
        <v>1507</v>
      </c>
      <c r="B22870" s="574">
        <v>237.5</v>
      </c>
      <c r="C22870" s="574">
        <v>615</v>
      </c>
    </row>
    <row r="22871" spans="1:3">
      <c r="A22871" s="573" t="s">
        <v>1507</v>
      </c>
      <c r="B22871" s="574">
        <v>250</v>
      </c>
      <c r="C22871" s="574">
        <v>620</v>
      </c>
    </row>
    <row r="22872" spans="1:3">
      <c r="A22872" s="573" t="s">
        <v>1507</v>
      </c>
      <c r="B22872" s="574">
        <v>262.5</v>
      </c>
      <c r="C22872" s="574">
        <v>622</v>
      </c>
    </row>
    <row r="22873" spans="1:3">
      <c r="A22873" s="573" t="s">
        <v>1507</v>
      </c>
      <c r="B22873" s="574">
        <v>275</v>
      </c>
      <c r="C22873" s="574">
        <v>620</v>
      </c>
    </row>
    <row r="22874" spans="1:3">
      <c r="A22874" s="573" t="s">
        <v>1507</v>
      </c>
      <c r="B22874" s="574">
        <v>287.5</v>
      </c>
      <c r="C22874" s="574">
        <v>620</v>
      </c>
    </row>
    <row r="22875" spans="1:3">
      <c r="A22875" s="573" t="s">
        <v>1507</v>
      </c>
      <c r="B22875" s="574">
        <v>300</v>
      </c>
      <c r="C22875" s="574">
        <v>620</v>
      </c>
    </row>
    <row r="22876" spans="1:3">
      <c r="A22876" s="573" t="s">
        <v>1507</v>
      </c>
      <c r="B22876" s="574">
        <v>312.5</v>
      </c>
      <c r="C22876" s="574">
        <v>620</v>
      </c>
    </row>
    <row r="22877" spans="1:3">
      <c r="A22877" s="573" t="s">
        <v>1507</v>
      </c>
      <c r="B22877" s="574">
        <v>325</v>
      </c>
      <c r="C22877" s="574">
        <v>620</v>
      </c>
    </row>
    <row r="22878" spans="1:3">
      <c r="A22878" s="573" t="s">
        <v>1507</v>
      </c>
      <c r="B22878" s="574">
        <v>337.5</v>
      </c>
      <c r="C22878" s="574">
        <v>620</v>
      </c>
    </row>
    <row r="22879" spans="1:3">
      <c r="A22879" s="573" t="s">
        <v>1507</v>
      </c>
      <c r="B22879" s="574">
        <v>337.5</v>
      </c>
      <c r="C22879" s="574">
        <v>620</v>
      </c>
    </row>
    <row r="22880" spans="1:3">
      <c r="A22880" s="571" t="s">
        <v>1506</v>
      </c>
      <c r="B22880" s="572">
        <v>1.77277</v>
      </c>
      <c r="C22880" s="572">
        <v>116.428</v>
      </c>
    </row>
    <row r="22881" spans="1:3">
      <c r="A22881" s="571" t="s">
        <v>1506</v>
      </c>
      <c r="B22881" s="572">
        <v>3.0274999999999999</v>
      </c>
      <c r="C22881" s="572">
        <v>148.81399999999999</v>
      </c>
    </row>
    <row r="22882" spans="1:3">
      <c r="A22882" s="571" t="s">
        <v>1506</v>
      </c>
      <c r="B22882" s="572">
        <v>6.0754200000000003</v>
      </c>
      <c r="C22882" s="572">
        <v>229.63900000000001</v>
      </c>
    </row>
    <row r="22883" spans="1:3">
      <c r="A22883" s="571" t="s">
        <v>1506</v>
      </c>
      <c r="B22883" s="572">
        <v>7.14011</v>
      </c>
      <c r="C22883" s="572">
        <v>253.876</v>
      </c>
    </row>
    <row r="22884" spans="1:3">
      <c r="A22884" s="571" t="s">
        <v>1506</v>
      </c>
      <c r="B22884" s="572">
        <v>10.061500000000001</v>
      </c>
      <c r="C22884" s="572">
        <v>329.245</v>
      </c>
    </row>
    <row r="22885" spans="1:3">
      <c r="A22885" s="571" t="s">
        <v>1506</v>
      </c>
      <c r="B22885" s="572">
        <v>13.2104</v>
      </c>
      <c r="C22885" s="572">
        <v>401.91</v>
      </c>
    </row>
    <row r="22886" spans="1:3">
      <c r="A22886" s="571" t="s">
        <v>1506</v>
      </c>
      <c r="B22886" s="572">
        <v>15.059699999999999</v>
      </c>
      <c r="C22886" s="572">
        <v>450.34199999999998</v>
      </c>
    </row>
    <row r="22887" spans="1:3">
      <c r="A22887" s="571" t="s">
        <v>1506</v>
      </c>
      <c r="B22887" s="572">
        <v>17.171399999999998</v>
      </c>
      <c r="C22887" s="572">
        <v>466.505</v>
      </c>
    </row>
    <row r="22888" spans="1:3">
      <c r="A22888" s="571" t="s">
        <v>1506</v>
      </c>
      <c r="B22888" s="572">
        <v>19.971599999999999</v>
      </c>
      <c r="C22888" s="572">
        <v>539.14300000000003</v>
      </c>
    </row>
    <row r="22889" spans="1:3">
      <c r="A22889" s="571" t="s">
        <v>1506</v>
      </c>
      <c r="B22889" s="572">
        <v>30.195900000000002</v>
      </c>
      <c r="C22889" s="572">
        <v>662.93100000000004</v>
      </c>
    </row>
    <row r="22890" spans="1:3">
      <c r="A22890" s="571" t="s">
        <v>1506</v>
      </c>
      <c r="B22890" s="572">
        <v>37.325400000000002</v>
      </c>
      <c r="C22890" s="572">
        <v>689.86800000000005</v>
      </c>
    </row>
    <row r="22891" spans="1:3">
      <c r="A22891" s="571" t="s">
        <v>1506</v>
      </c>
      <c r="B22891" s="572">
        <v>49.007899999999999</v>
      </c>
      <c r="C22891" s="572">
        <v>759.84400000000005</v>
      </c>
    </row>
    <row r="22892" spans="1:3">
      <c r="A22892" s="571" t="s">
        <v>1506</v>
      </c>
      <c r="B22892" s="572">
        <v>63.718600000000002</v>
      </c>
      <c r="C22892" s="572">
        <v>784.10299999999995</v>
      </c>
    </row>
    <row r="22893" spans="1:3">
      <c r="A22893" s="571" t="s">
        <v>1506</v>
      </c>
      <c r="B22893" s="572">
        <v>77.968800000000002</v>
      </c>
      <c r="C22893" s="572">
        <v>816.41600000000005</v>
      </c>
    </row>
    <row r="22894" spans="1:3">
      <c r="A22894" s="571" t="s">
        <v>1506</v>
      </c>
      <c r="B22894" s="572">
        <v>91.634</v>
      </c>
      <c r="C22894" s="572">
        <v>837.96400000000006</v>
      </c>
    </row>
    <row r="22895" spans="1:3">
      <c r="A22895" s="571" t="s">
        <v>1506</v>
      </c>
      <c r="B22895" s="572">
        <v>98.343299999999999</v>
      </c>
      <c r="C22895" s="572">
        <v>846.04700000000003</v>
      </c>
    </row>
    <row r="22896" spans="1:3">
      <c r="A22896" s="573" t="s">
        <v>1506</v>
      </c>
      <c r="B22896" s="574">
        <v>127.86499999999999</v>
      </c>
      <c r="C22896" s="574">
        <v>867.61699999999996</v>
      </c>
    </row>
    <row r="22897" spans="1:3">
      <c r="A22897" s="573" t="s">
        <v>1506</v>
      </c>
      <c r="B22897" s="574">
        <v>154.91200000000001</v>
      </c>
      <c r="C22897" s="574">
        <v>875.726</v>
      </c>
    </row>
    <row r="22898" spans="1:3">
      <c r="A22898" s="573" t="s">
        <v>1506</v>
      </c>
      <c r="B22898" s="574">
        <v>185.791</v>
      </c>
      <c r="C22898" s="574">
        <v>886.52200000000005</v>
      </c>
    </row>
    <row r="22899" spans="1:3">
      <c r="A22899" s="573" t="s">
        <v>1506</v>
      </c>
      <c r="B22899" s="574">
        <v>214.001</v>
      </c>
      <c r="C22899" s="574">
        <v>897.30899999999997</v>
      </c>
    </row>
    <row r="22900" spans="1:3">
      <c r="A22900" s="573" t="s">
        <v>1506</v>
      </c>
      <c r="B22900" s="574">
        <v>234.36099999999999</v>
      </c>
      <c r="C22900" s="574">
        <v>902.70799999999997</v>
      </c>
    </row>
    <row r="22901" spans="1:3">
      <c r="A22901" s="573" t="s">
        <v>1506</v>
      </c>
      <c r="B22901" s="574">
        <v>256.66300000000001</v>
      </c>
      <c r="C22901" s="574">
        <v>905.41600000000005</v>
      </c>
    </row>
    <row r="22902" spans="1:3">
      <c r="A22902" s="573" t="s">
        <v>1506</v>
      </c>
      <c r="B22902" s="574">
        <v>376.80099999999999</v>
      </c>
      <c r="C22902" s="574">
        <v>892.05499999999995</v>
      </c>
    </row>
    <row r="22903" spans="1:3">
      <c r="A22903" s="573" t="s">
        <v>1506</v>
      </c>
      <c r="B22903" s="574">
        <v>421.09300000000002</v>
      </c>
      <c r="C22903" s="574">
        <v>889.39</v>
      </c>
    </row>
    <row r="22904" spans="1:3">
      <c r="A22904" s="573" t="s">
        <v>1506</v>
      </c>
      <c r="B22904" s="574">
        <v>456.52800000000002</v>
      </c>
      <c r="C22904" s="574">
        <v>892.09699999999998</v>
      </c>
    </row>
    <row r="22905" spans="1:3">
      <c r="A22905" s="573" t="s">
        <v>1506</v>
      </c>
      <c r="B22905" s="574">
        <v>470.58300000000003</v>
      </c>
      <c r="C22905" s="574">
        <v>889.41499999999996</v>
      </c>
    </row>
    <row r="22906" spans="1:3">
      <c r="A22906" s="569" t="s">
        <v>1506</v>
      </c>
      <c r="B22906" s="570">
        <v>531.16700000000003</v>
      </c>
      <c r="C22906" s="570">
        <v>908.26499999999999</v>
      </c>
    </row>
    <row r="22907" spans="1:3">
      <c r="A22907" s="569" t="s">
        <v>1506</v>
      </c>
      <c r="B22907" s="570">
        <v>587.66800000000001</v>
      </c>
      <c r="C22907" s="570">
        <v>897.53099999999995</v>
      </c>
    </row>
    <row r="22908" spans="1:3">
      <c r="A22908" s="569" t="s">
        <v>1506</v>
      </c>
      <c r="B22908" s="570">
        <v>663.34799999999996</v>
      </c>
      <c r="C22908" s="570">
        <v>911.00300000000004</v>
      </c>
    </row>
    <row r="22909" spans="1:3">
      <c r="A22909" s="569" t="s">
        <v>1506</v>
      </c>
      <c r="B22909" s="570">
        <v>719.15700000000004</v>
      </c>
      <c r="C22909" s="570">
        <v>916.39800000000002</v>
      </c>
    </row>
    <row r="22910" spans="1:3">
      <c r="A22910" s="569" t="s">
        <v>1506</v>
      </c>
      <c r="B22910" s="570">
        <v>726.49599999999998</v>
      </c>
      <c r="C22910" s="570">
        <v>908.33299999999997</v>
      </c>
    </row>
    <row r="22911" spans="1:3">
      <c r="A22911" s="569" t="s">
        <v>1506</v>
      </c>
      <c r="B22911" s="570">
        <v>756.46500000000003</v>
      </c>
      <c r="C22911" s="570">
        <v>905.65300000000002</v>
      </c>
    </row>
    <row r="22912" spans="1:3">
      <c r="A22912" s="569" t="s">
        <v>1506</v>
      </c>
      <c r="B22912" s="570">
        <v>820.12300000000005</v>
      </c>
      <c r="C22912" s="570">
        <v>908.36</v>
      </c>
    </row>
    <row r="22913" spans="1:3">
      <c r="A22913" s="569" t="s">
        <v>1506</v>
      </c>
      <c r="B22913" s="570">
        <v>871.33900000000006</v>
      </c>
      <c r="C22913" s="570">
        <v>913.75099999999998</v>
      </c>
    </row>
    <row r="22914" spans="1:3">
      <c r="A22914" s="569" t="s">
        <v>1506</v>
      </c>
      <c r="B22914" s="570">
        <v>944.67899999999997</v>
      </c>
      <c r="C22914" s="570">
        <v>913.76900000000001</v>
      </c>
    </row>
    <row r="22915" spans="1:3">
      <c r="A22915" s="569" t="s">
        <v>1506</v>
      </c>
      <c r="B22915" s="570">
        <v>1034.3800000000001</v>
      </c>
      <c r="C22915" s="570">
        <v>946.05799999999999</v>
      </c>
    </row>
    <row r="22916" spans="1:3">
      <c r="A22916" s="569" t="s">
        <v>1506</v>
      </c>
      <c r="B22916" s="570">
        <v>1077.03</v>
      </c>
      <c r="C22916" s="570">
        <v>946.06700000000001</v>
      </c>
    </row>
    <row r="22917" spans="1:3">
      <c r="A22917" s="569" t="s">
        <v>1506</v>
      </c>
      <c r="B22917" s="570">
        <v>1133.25</v>
      </c>
      <c r="C22917" s="570">
        <v>886.91800000000001</v>
      </c>
    </row>
    <row r="22918" spans="1:3">
      <c r="A22918" s="569" t="s">
        <v>1506</v>
      </c>
      <c r="B22918" s="570">
        <v>1203.78</v>
      </c>
      <c r="C22918" s="570">
        <v>924.57799999999997</v>
      </c>
    </row>
    <row r="22919" spans="1:3">
      <c r="A22919" s="569" t="s">
        <v>1506</v>
      </c>
      <c r="B22919" s="570">
        <v>1266.21</v>
      </c>
      <c r="C22919" s="570">
        <v>916.52200000000005</v>
      </c>
    </row>
    <row r="22920" spans="1:3">
      <c r="A22920" s="569" t="s">
        <v>1506</v>
      </c>
      <c r="B22920" s="570">
        <v>1358.69</v>
      </c>
      <c r="C22920" s="570">
        <v>951.49599999999998</v>
      </c>
    </row>
    <row r="22921" spans="1:3">
      <c r="A22921" s="569" t="s">
        <v>1506</v>
      </c>
      <c r="B22921" s="570">
        <v>1429.07</v>
      </c>
      <c r="C22921" s="570">
        <v>951.50699999999995</v>
      </c>
    </row>
    <row r="22922" spans="1:3">
      <c r="A22922" s="569" t="s">
        <v>1506</v>
      </c>
      <c r="B22922" s="570">
        <v>1565.25</v>
      </c>
      <c r="C22922" s="570">
        <v>935.39200000000005</v>
      </c>
    </row>
    <row r="22923" spans="1:3">
      <c r="A22923" s="569" t="s">
        <v>1506</v>
      </c>
      <c r="B22923" s="570">
        <v>1645.89</v>
      </c>
      <c r="C22923" s="570">
        <v>978.428</v>
      </c>
    </row>
    <row r="22924" spans="1:3">
      <c r="A22924" s="569" t="s">
        <v>1506</v>
      </c>
      <c r="B22924" s="570">
        <v>1713.73</v>
      </c>
      <c r="C22924" s="570">
        <v>981.12599999999998</v>
      </c>
    </row>
    <row r="22925" spans="1:3">
      <c r="A22925" s="569" t="s">
        <v>1506</v>
      </c>
      <c r="B22925" s="570">
        <v>1802.88</v>
      </c>
      <c r="C22925" s="570">
        <v>948.86900000000003</v>
      </c>
    </row>
    <row r="22926" spans="1:3">
      <c r="A22926" s="569" t="s">
        <v>1506</v>
      </c>
      <c r="B22926" s="570">
        <v>1935.31</v>
      </c>
      <c r="C22926" s="570">
        <v>921.99300000000005</v>
      </c>
    </row>
    <row r="22927" spans="1:3">
      <c r="A22927" s="569" t="s">
        <v>1506</v>
      </c>
      <c r="B22927" s="570">
        <v>2014.91</v>
      </c>
      <c r="C22927" s="570">
        <v>938.13699999999994</v>
      </c>
    </row>
    <row r="22928" spans="1:3">
      <c r="A22928" s="569" t="s">
        <v>1506</v>
      </c>
      <c r="B22928" s="570">
        <v>2184.06</v>
      </c>
      <c r="C22928" s="570">
        <v>970.423</v>
      </c>
    </row>
    <row r="22929" spans="1:3">
      <c r="A22929" s="569" t="s">
        <v>1506</v>
      </c>
      <c r="B22929" s="570">
        <v>2274.12</v>
      </c>
      <c r="C22929" s="570">
        <v>970.43200000000002</v>
      </c>
    </row>
    <row r="22930" spans="1:3">
      <c r="A22930" s="569" t="s">
        <v>1506</v>
      </c>
      <c r="B22930" s="570">
        <v>2416.0500000000002</v>
      </c>
      <c r="C22930" s="570">
        <v>981.202</v>
      </c>
    </row>
    <row r="22931" spans="1:3">
      <c r="A22931" s="569" t="s">
        <v>1506</v>
      </c>
      <c r="B22931" s="570">
        <v>2755.02</v>
      </c>
      <c r="C22931" s="570">
        <v>986.60799999999995</v>
      </c>
    </row>
    <row r="22932" spans="1:3">
      <c r="A22932" s="569" t="s">
        <v>1506</v>
      </c>
      <c r="B22932" s="570">
        <v>2987.16</v>
      </c>
      <c r="C22932" s="570">
        <v>973.18100000000004</v>
      </c>
    </row>
    <row r="22933" spans="1:3">
      <c r="A22933" s="569" t="s">
        <v>1506</v>
      </c>
      <c r="B22933" s="570">
        <v>3238.59</v>
      </c>
      <c r="C22933" s="570">
        <v>973.19799999999998</v>
      </c>
    </row>
    <row r="22934" spans="1:3">
      <c r="A22934" s="569" t="s">
        <v>1506</v>
      </c>
      <c r="B22934" s="570">
        <v>3475.83</v>
      </c>
      <c r="C22934" s="570">
        <v>975.90300000000002</v>
      </c>
    </row>
    <row r="22935" spans="1:3">
      <c r="A22935" s="569" t="s">
        <v>1506</v>
      </c>
      <c r="B22935" s="570">
        <v>3582.78</v>
      </c>
      <c r="C22935" s="570">
        <v>975.91</v>
      </c>
    </row>
    <row r="22936" spans="1:3">
      <c r="A22936" s="569" t="s">
        <v>1506</v>
      </c>
      <c r="B22936" s="570">
        <v>3884.61</v>
      </c>
      <c r="C22936" s="570">
        <v>965.17100000000005</v>
      </c>
    </row>
    <row r="22937" spans="1:3">
      <c r="A22937" s="569" t="s">
        <v>1506</v>
      </c>
      <c r="B22937" s="570">
        <v>3963.21</v>
      </c>
      <c r="C22937" s="570">
        <v>992.06600000000003</v>
      </c>
    </row>
    <row r="22938" spans="1:3">
      <c r="A22938" s="569" t="s">
        <v>1506</v>
      </c>
      <c r="B22938" s="570">
        <v>4168.75</v>
      </c>
      <c r="C22938" s="570">
        <v>984.01</v>
      </c>
    </row>
    <row r="22939" spans="1:3">
      <c r="A22939" s="569" t="s">
        <v>1506</v>
      </c>
      <c r="B22939" s="570">
        <v>4341.3100000000004</v>
      </c>
      <c r="C22939" s="570">
        <v>959.81700000000001</v>
      </c>
    </row>
    <row r="22940" spans="1:3">
      <c r="A22940" s="569" t="s">
        <v>1506</v>
      </c>
      <c r="B22940" s="570">
        <v>4611.71</v>
      </c>
      <c r="C22940" s="570">
        <v>989.41</v>
      </c>
    </row>
    <row r="22941" spans="1:3">
      <c r="A22941" s="569" t="s">
        <v>1506</v>
      </c>
      <c r="B22941" s="570">
        <v>4899.46</v>
      </c>
      <c r="C22941" s="570">
        <v>1002.87</v>
      </c>
    </row>
    <row r="22942" spans="1:3">
      <c r="A22942" s="569" t="s">
        <v>1506</v>
      </c>
      <c r="B22942" s="570">
        <v>5050.3900000000003</v>
      </c>
      <c r="C22942" s="570">
        <v>997.49699999999996</v>
      </c>
    </row>
    <row r="22943" spans="1:3">
      <c r="A22943" s="569" t="s">
        <v>1506</v>
      </c>
      <c r="B22943" s="570">
        <v>5205.17</v>
      </c>
      <c r="C22943" s="570">
        <v>1016.33</v>
      </c>
    </row>
    <row r="22944" spans="1:3">
      <c r="A22944" s="569" t="s">
        <v>1506</v>
      </c>
      <c r="B22944" s="570">
        <v>5700.19</v>
      </c>
      <c r="C22944" s="570">
        <v>1027.0999999999999</v>
      </c>
    </row>
    <row r="22945" spans="1:3">
      <c r="A22945" s="569" t="s">
        <v>1506</v>
      </c>
      <c r="B22945" s="570">
        <v>6056.58</v>
      </c>
      <c r="C22945" s="570">
        <v>1021.74</v>
      </c>
    </row>
    <row r="22946" spans="1:3">
      <c r="A22946" s="569" t="s">
        <v>1506</v>
      </c>
      <c r="B22946" s="570">
        <v>6907.36</v>
      </c>
      <c r="C22946" s="570">
        <v>1002.94</v>
      </c>
    </row>
    <row r="22947" spans="1:3">
      <c r="A22947" s="569" t="s">
        <v>1506</v>
      </c>
      <c r="B22947" s="570">
        <v>7265.33</v>
      </c>
      <c r="C22947" s="570">
        <v>1000.27</v>
      </c>
    </row>
    <row r="22948" spans="1:3">
      <c r="A22948" s="569" t="s">
        <v>1506</v>
      </c>
      <c r="B22948" s="570">
        <v>7641.2</v>
      </c>
      <c r="C22948" s="570">
        <v>1011.03</v>
      </c>
    </row>
    <row r="22949" spans="1:3">
      <c r="A22949" s="569" t="s">
        <v>1506</v>
      </c>
      <c r="B22949" s="570">
        <v>8369.18</v>
      </c>
      <c r="C22949" s="570">
        <v>997.60799999999995</v>
      </c>
    </row>
    <row r="22950" spans="1:3">
      <c r="A22950" s="569" t="s">
        <v>1506</v>
      </c>
      <c r="B22950" s="570">
        <v>10139</v>
      </c>
      <c r="C22950" s="570">
        <v>1013.78</v>
      </c>
    </row>
    <row r="22951" spans="1:3">
      <c r="A22951" s="571" t="s">
        <v>1505</v>
      </c>
      <c r="B22951" s="572">
        <v>1.7725299999999999</v>
      </c>
      <c r="C22951" s="572">
        <v>137.94</v>
      </c>
    </row>
    <row r="22952" spans="1:3">
      <c r="A22952" s="571" t="s">
        <v>1505</v>
      </c>
      <c r="B22952" s="572">
        <v>5.0655900000000003</v>
      </c>
      <c r="C22952" s="572">
        <v>221.53200000000001</v>
      </c>
    </row>
    <row r="22953" spans="1:3">
      <c r="A22953" s="571" t="s">
        <v>1505</v>
      </c>
      <c r="B22953" s="572">
        <v>6.0743900000000002</v>
      </c>
      <c r="C22953" s="572">
        <v>256.529</v>
      </c>
    </row>
    <row r="22954" spans="1:3">
      <c r="A22954" s="571" t="s">
        <v>1505</v>
      </c>
      <c r="B22954" s="572">
        <v>6.9961099999999998</v>
      </c>
      <c r="C22954" s="572">
        <v>280.762</v>
      </c>
    </row>
    <row r="22955" spans="1:3">
      <c r="A22955" s="571" t="s">
        <v>1505</v>
      </c>
      <c r="B22955" s="572">
        <v>8.1392199999999999</v>
      </c>
      <c r="C22955" s="572">
        <v>310.375</v>
      </c>
    </row>
    <row r="22956" spans="1:3">
      <c r="A22956" s="571" t="s">
        <v>1505</v>
      </c>
      <c r="B22956" s="572">
        <v>9.1870799999999999</v>
      </c>
      <c r="C22956" s="572">
        <v>329.22500000000002</v>
      </c>
    </row>
    <row r="22957" spans="1:3">
      <c r="A22957" s="571" t="s">
        <v>1505</v>
      </c>
      <c r="B22957" s="572">
        <v>12.063800000000001</v>
      </c>
      <c r="C22957" s="572">
        <v>383.06599999999997</v>
      </c>
    </row>
    <row r="22958" spans="1:3">
      <c r="A22958" s="571" t="s">
        <v>1505</v>
      </c>
      <c r="B22958" s="572">
        <v>14.4658</v>
      </c>
      <c r="C22958" s="572">
        <v>423.44200000000001</v>
      </c>
    </row>
    <row r="22959" spans="1:3">
      <c r="A22959" s="571" t="s">
        <v>1505</v>
      </c>
      <c r="B22959" s="572">
        <v>16.165099999999999</v>
      </c>
      <c r="C22959" s="572">
        <v>431.53399999999999</v>
      </c>
    </row>
    <row r="22960" spans="1:3">
      <c r="A22960" s="571" t="s">
        <v>1505</v>
      </c>
      <c r="B22960" s="572">
        <v>20.380299999999998</v>
      </c>
      <c r="C22960" s="572">
        <v>531.08000000000004</v>
      </c>
    </row>
    <row r="22961" spans="1:3">
      <c r="A22961" s="571" t="s">
        <v>1505</v>
      </c>
      <c r="B22961" s="572">
        <v>21.436499999999999</v>
      </c>
      <c r="C22961" s="572">
        <v>528.40200000000004</v>
      </c>
    </row>
    <row r="22962" spans="1:3">
      <c r="A22962" s="571" t="s">
        <v>1505</v>
      </c>
      <c r="B22962" s="572">
        <v>29.9117</v>
      </c>
      <c r="C22962" s="572">
        <v>560.74400000000003</v>
      </c>
    </row>
    <row r="22963" spans="1:3">
      <c r="A22963" s="571" t="s">
        <v>1505</v>
      </c>
      <c r="B22963" s="572">
        <v>34.090299999999999</v>
      </c>
      <c r="C22963" s="572">
        <v>649.51199999999994</v>
      </c>
    </row>
    <row r="22964" spans="1:3">
      <c r="A22964" s="571" t="s">
        <v>1505</v>
      </c>
      <c r="B22964" s="572">
        <v>47.081499999999998</v>
      </c>
      <c r="C22964" s="572">
        <v>711.43200000000002</v>
      </c>
    </row>
    <row r="22965" spans="1:3">
      <c r="A22965" s="571" t="s">
        <v>1505</v>
      </c>
      <c r="B22965" s="572">
        <v>61.834400000000002</v>
      </c>
      <c r="C22965" s="572">
        <v>738.38199999999995</v>
      </c>
    </row>
    <row r="22966" spans="1:3">
      <c r="A22966" s="571" t="s">
        <v>1505</v>
      </c>
      <c r="B22966" s="572">
        <v>77.202200000000005</v>
      </c>
      <c r="C22966" s="572">
        <v>781.45600000000002</v>
      </c>
    </row>
    <row r="22967" spans="1:3">
      <c r="A22967" s="571" t="s">
        <v>1505</v>
      </c>
      <c r="B22967" s="572">
        <v>89.820999999999998</v>
      </c>
      <c r="C22967" s="572">
        <v>803.00199999999995</v>
      </c>
    </row>
    <row r="22968" spans="1:3">
      <c r="A22968" s="573" t="s">
        <v>1505</v>
      </c>
      <c r="B22968" s="574">
        <v>127.887</v>
      </c>
      <c r="C22968" s="574">
        <v>840.726</v>
      </c>
    </row>
    <row r="22969" spans="1:3">
      <c r="A22969" s="573" t="s">
        <v>1505</v>
      </c>
      <c r="B22969" s="574">
        <v>158.08699999999999</v>
      </c>
      <c r="C22969" s="574">
        <v>862.28499999999997</v>
      </c>
    </row>
    <row r="22970" spans="1:3">
      <c r="A22970" s="573" t="s">
        <v>1505</v>
      </c>
      <c r="B22970" s="574">
        <v>216.18799999999999</v>
      </c>
      <c r="C22970" s="574">
        <v>886.55499999999995</v>
      </c>
    </row>
    <row r="22971" spans="1:3">
      <c r="A22971" s="573" t="s">
        <v>1505</v>
      </c>
      <c r="B22971" s="574">
        <v>239.16900000000001</v>
      </c>
      <c r="C22971" s="574">
        <v>886.577</v>
      </c>
    </row>
    <row r="22972" spans="1:3">
      <c r="A22972" s="573" t="s">
        <v>1505</v>
      </c>
      <c r="B22972" s="574">
        <v>256.69299999999998</v>
      </c>
      <c r="C22972" s="574">
        <v>886.59299999999996</v>
      </c>
    </row>
    <row r="22973" spans="1:3">
      <c r="A22973" s="573" t="s">
        <v>1505</v>
      </c>
      <c r="B22973" s="574">
        <v>286.88200000000001</v>
      </c>
      <c r="C22973" s="574">
        <v>875.86099999999999</v>
      </c>
    </row>
    <row r="22974" spans="1:3">
      <c r="A22974" s="573" t="s">
        <v>1505</v>
      </c>
      <c r="B22974" s="574">
        <v>301.73399999999998</v>
      </c>
      <c r="C22974" s="574">
        <v>881.25</v>
      </c>
    </row>
    <row r="22975" spans="1:3">
      <c r="A22975" s="573" t="s">
        <v>1505</v>
      </c>
      <c r="B22975" s="574">
        <v>344.06</v>
      </c>
      <c r="C22975" s="574">
        <v>889.346</v>
      </c>
    </row>
    <row r="22976" spans="1:3">
      <c r="A22976" s="573" t="s">
        <v>1505</v>
      </c>
      <c r="B22976" s="574">
        <v>361.916</v>
      </c>
      <c r="C22976" s="574">
        <v>875.91200000000003</v>
      </c>
    </row>
    <row r="22977" spans="1:3">
      <c r="A22977" s="573" t="s">
        <v>1505</v>
      </c>
      <c r="B22977" s="574">
        <v>396.36200000000002</v>
      </c>
      <c r="C22977" s="574">
        <v>875.93200000000002</v>
      </c>
    </row>
    <row r="22978" spans="1:3">
      <c r="A22978" s="573" t="s">
        <v>1505</v>
      </c>
      <c r="B22978" s="574">
        <v>421.17899999999997</v>
      </c>
      <c r="C22978" s="574">
        <v>857.12199999999996</v>
      </c>
    </row>
    <row r="22979" spans="1:3">
      <c r="A22979" s="573" t="s">
        <v>1505</v>
      </c>
      <c r="B22979" s="574">
        <v>480.27699999999999</v>
      </c>
      <c r="C22979" s="574">
        <v>859.83900000000006</v>
      </c>
    </row>
    <row r="22980" spans="1:3">
      <c r="A22980" s="569" t="s">
        <v>1505</v>
      </c>
      <c r="B22980" s="570">
        <v>536.678</v>
      </c>
      <c r="C22980" s="570">
        <v>873.30899999999997</v>
      </c>
    </row>
    <row r="22981" spans="1:3">
      <c r="A22981" s="569" t="s">
        <v>1505</v>
      </c>
      <c r="B22981" s="570">
        <v>605.80200000000002</v>
      </c>
      <c r="C22981" s="570">
        <v>884.09199999999998</v>
      </c>
    </row>
    <row r="22982" spans="1:3">
      <c r="A22982" s="569" t="s">
        <v>1505</v>
      </c>
      <c r="B22982" s="570">
        <v>656.74699999999996</v>
      </c>
      <c r="C22982" s="570">
        <v>894.86599999999999</v>
      </c>
    </row>
    <row r="22983" spans="1:3">
      <c r="A22983" s="569" t="s">
        <v>1505</v>
      </c>
      <c r="B22983" s="570">
        <v>828.60400000000004</v>
      </c>
      <c r="C22983" s="570">
        <v>878.78200000000004</v>
      </c>
    </row>
    <row r="22984" spans="1:3">
      <c r="A22984" s="569" t="s">
        <v>1505</v>
      </c>
      <c r="B22984" s="570">
        <v>935.327</v>
      </c>
      <c r="C22984" s="570">
        <v>889.56500000000005</v>
      </c>
    </row>
    <row r="22985" spans="1:3">
      <c r="A22985" s="569" t="s">
        <v>1505</v>
      </c>
      <c r="B22985" s="570">
        <v>1253.82</v>
      </c>
      <c r="C22985" s="570">
        <v>873.495</v>
      </c>
    </row>
    <row r="22986" spans="1:3">
      <c r="A22986" s="569" t="s">
        <v>1505</v>
      </c>
      <c r="B22986" s="570">
        <v>1473.65</v>
      </c>
      <c r="C22986" s="570">
        <v>886.976</v>
      </c>
    </row>
    <row r="22987" spans="1:3">
      <c r="A22987" s="569" t="s">
        <v>1505</v>
      </c>
      <c r="B22987" s="570">
        <v>1821.93</v>
      </c>
      <c r="C22987" s="570">
        <v>884.33299999999997</v>
      </c>
    </row>
    <row r="22988" spans="1:3">
      <c r="A22988" s="569" t="s">
        <v>1505</v>
      </c>
      <c r="B22988" s="570">
        <v>1995.5</v>
      </c>
      <c r="C22988" s="570">
        <v>870.90800000000002</v>
      </c>
    </row>
    <row r="22989" spans="1:3">
      <c r="A22989" s="569" t="s">
        <v>1505</v>
      </c>
      <c r="B22989" s="570">
        <v>2162.8000000000002</v>
      </c>
      <c r="C22989" s="570">
        <v>919.32899999999995</v>
      </c>
    </row>
    <row r="22990" spans="1:3">
      <c r="A22990" s="569" t="s">
        <v>1505</v>
      </c>
      <c r="B22990" s="570">
        <v>2568.85</v>
      </c>
      <c r="C22990" s="570">
        <v>868.274</v>
      </c>
    </row>
    <row r="22991" spans="1:3">
      <c r="A22991" s="569" t="s">
        <v>1505</v>
      </c>
      <c r="B22991" s="570">
        <v>2673.5</v>
      </c>
      <c r="C22991" s="570">
        <v>943.577</v>
      </c>
    </row>
    <row r="22992" spans="1:3">
      <c r="A22992" s="569" t="s">
        <v>1505</v>
      </c>
      <c r="B22992" s="570">
        <v>2898.73</v>
      </c>
      <c r="C22992" s="570">
        <v>932.83799999999997</v>
      </c>
    </row>
    <row r="22993" spans="1:3">
      <c r="A22993" s="569" t="s">
        <v>1505</v>
      </c>
      <c r="B22993" s="570">
        <v>3239.52</v>
      </c>
      <c r="C22993" s="570">
        <v>927.48400000000004</v>
      </c>
    </row>
    <row r="22994" spans="1:3">
      <c r="A22994" s="569" t="s">
        <v>1505</v>
      </c>
      <c r="B22994" s="570">
        <v>3477.01</v>
      </c>
      <c r="C22994" s="570">
        <v>922.12199999999996</v>
      </c>
    </row>
    <row r="22995" spans="1:3">
      <c r="A22995" s="569" t="s">
        <v>1505</v>
      </c>
      <c r="B22995" s="570">
        <v>3657.02</v>
      </c>
      <c r="C22995" s="570">
        <v>927.51099999999997</v>
      </c>
    </row>
    <row r="22996" spans="1:3">
      <c r="A22996" s="569" t="s">
        <v>1505</v>
      </c>
      <c r="B22996" s="570">
        <v>4169.6000000000004</v>
      </c>
      <c r="C22996" s="570">
        <v>951.74099999999999</v>
      </c>
    </row>
    <row r="22997" spans="1:3">
      <c r="A22997" s="569" t="s">
        <v>1505</v>
      </c>
      <c r="B22997" s="570">
        <v>4520.63</v>
      </c>
      <c r="C22997" s="570">
        <v>949.07</v>
      </c>
    </row>
    <row r="22998" spans="1:3">
      <c r="A22998" s="569" t="s">
        <v>1505</v>
      </c>
      <c r="B22998" s="570">
        <v>4851.78</v>
      </c>
      <c r="C22998" s="570">
        <v>951.774</v>
      </c>
    </row>
    <row r="22999" spans="1:3">
      <c r="A22999" s="569" t="s">
        <v>1505</v>
      </c>
      <c r="B22999" s="570">
        <v>4900.21</v>
      </c>
      <c r="C22999" s="570">
        <v>978.66700000000003</v>
      </c>
    </row>
    <row r="23000" spans="1:3">
      <c r="A23000" s="569" t="s">
        <v>1505</v>
      </c>
      <c r="B23000" s="570">
        <v>5312.3</v>
      </c>
      <c r="C23000" s="570">
        <v>989.44100000000003</v>
      </c>
    </row>
    <row r="23001" spans="1:3">
      <c r="A23001" s="569" t="s">
        <v>1505</v>
      </c>
      <c r="B23001" s="570">
        <v>5758.65</v>
      </c>
      <c r="C23001" s="570">
        <v>1010.97</v>
      </c>
    </row>
    <row r="23002" spans="1:3">
      <c r="A23002" s="569" t="s">
        <v>1505</v>
      </c>
      <c r="B23002" s="570">
        <v>5818.11</v>
      </c>
      <c r="C23002" s="570">
        <v>984.08299999999997</v>
      </c>
    </row>
    <row r="23003" spans="1:3">
      <c r="A23003" s="569" t="s">
        <v>1505</v>
      </c>
      <c r="B23003" s="570">
        <v>6568.36</v>
      </c>
      <c r="C23003" s="570">
        <v>973.35299999999995</v>
      </c>
    </row>
    <row r="23004" spans="1:3">
      <c r="A23004" s="569" t="s">
        <v>1505</v>
      </c>
      <c r="B23004" s="570">
        <v>6979.62</v>
      </c>
      <c r="C23004" s="570">
        <v>954.54300000000001</v>
      </c>
    </row>
    <row r="23005" spans="1:3">
      <c r="A23005" s="569" t="s">
        <v>1505</v>
      </c>
      <c r="B23005" s="570">
        <v>8203.4599999999991</v>
      </c>
      <c r="C23005" s="570">
        <v>965.33500000000004</v>
      </c>
    </row>
    <row r="23006" spans="1:3">
      <c r="A23006" s="569" t="s">
        <v>1505</v>
      </c>
      <c r="B23006" s="570">
        <v>10881.7</v>
      </c>
      <c r="C23006" s="570">
        <v>1016.49</v>
      </c>
    </row>
    <row r="23007" spans="1:3">
      <c r="A23007" s="569" t="s">
        <v>1505</v>
      </c>
      <c r="B23007" s="570">
        <v>10882.1</v>
      </c>
      <c r="C23007" s="570">
        <v>1011.11</v>
      </c>
    </row>
    <row r="23008" spans="1:3">
      <c r="A23008" s="571" t="s">
        <v>1504</v>
      </c>
      <c r="B23008" s="572">
        <v>2.0205899999999999</v>
      </c>
      <c r="C23008" s="572">
        <v>191.751</v>
      </c>
    </row>
    <row r="23009" spans="1:3">
      <c r="A23009" s="571" t="s">
        <v>1504</v>
      </c>
      <c r="B23009" s="572">
        <v>2.9954900000000002</v>
      </c>
      <c r="C23009" s="572">
        <v>232.173</v>
      </c>
    </row>
    <row r="23010" spans="1:3">
      <c r="A23010" s="571" t="s">
        <v>1504</v>
      </c>
      <c r="B23010" s="572">
        <v>4.0963399999999996</v>
      </c>
      <c r="C23010" s="572">
        <v>259.13200000000001</v>
      </c>
    </row>
    <row r="23011" spans="1:3">
      <c r="A23011" s="571" t="s">
        <v>1504</v>
      </c>
      <c r="B23011" s="572">
        <v>7.1373199999999999</v>
      </c>
      <c r="C23011" s="572">
        <v>315.72399999999999</v>
      </c>
    </row>
    <row r="23012" spans="1:3">
      <c r="A23012" s="571" t="s">
        <v>1504</v>
      </c>
      <c r="B23012" s="572">
        <v>7.9746699999999997</v>
      </c>
      <c r="C23012" s="572">
        <v>345.32900000000001</v>
      </c>
    </row>
    <row r="23013" spans="1:3">
      <c r="A23013" s="571" t="s">
        <v>1504</v>
      </c>
      <c r="B23013" s="572">
        <v>9.9579799999999992</v>
      </c>
      <c r="C23013" s="572">
        <v>366.89</v>
      </c>
    </row>
    <row r="23014" spans="1:3">
      <c r="A23014" s="571" t="s">
        <v>1504</v>
      </c>
      <c r="B23014" s="572">
        <v>11.125500000000001</v>
      </c>
      <c r="C23014" s="572">
        <v>407.25</v>
      </c>
    </row>
    <row r="23015" spans="1:3">
      <c r="A23015" s="571" t="s">
        <v>1504</v>
      </c>
      <c r="B23015" s="572">
        <v>15.3634</v>
      </c>
      <c r="C23015" s="572">
        <v>487.99299999999999</v>
      </c>
    </row>
    <row r="23016" spans="1:3">
      <c r="A23016" s="571" t="s">
        <v>1504</v>
      </c>
      <c r="B23016" s="572">
        <v>18.054200000000002</v>
      </c>
      <c r="C23016" s="572">
        <v>525.67600000000004</v>
      </c>
    </row>
    <row r="23017" spans="1:3">
      <c r="A23017" s="571" t="s">
        <v>1504</v>
      </c>
      <c r="B23017" s="572">
        <v>21.2163</v>
      </c>
      <c r="C23017" s="572">
        <v>563.35799999999995</v>
      </c>
    </row>
    <row r="23018" spans="1:3">
      <c r="A23018" s="571" t="s">
        <v>1504</v>
      </c>
      <c r="B23018" s="572">
        <v>31.447399999999998</v>
      </c>
      <c r="C23018" s="572">
        <v>630.67100000000005</v>
      </c>
    </row>
    <row r="23019" spans="1:3">
      <c r="A23019" s="571" t="s">
        <v>1504</v>
      </c>
      <c r="B23019" s="572">
        <v>38.090400000000002</v>
      </c>
      <c r="C23019" s="572">
        <v>676.42700000000002</v>
      </c>
    </row>
    <row r="23020" spans="1:3">
      <c r="A23020" s="571" t="s">
        <v>1504</v>
      </c>
      <c r="B23020" s="572">
        <v>50.019199999999998</v>
      </c>
      <c r="C23020" s="572">
        <v>724.89</v>
      </c>
    </row>
    <row r="23021" spans="1:3">
      <c r="A23021" s="571" t="s">
        <v>1504</v>
      </c>
      <c r="B23021" s="572">
        <v>64.369900000000001</v>
      </c>
      <c r="C23021" s="572">
        <v>773.34900000000005</v>
      </c>
    </row>
    <row r="23022" spans="1:3">
      <c r="A23022" s="571" t="s">
        <v>1504</v>
      </c>
      <c r="B23022" s="572">
        <v>79.569599999999994</v>
      </c>
      <c r="C23022" s="572">
        <v>797.59699999999998</v>
      </c>
    </row>
    <row r="23023" spans="1:3">
      <c r="A23023" s="571" t="s">
        <v>1504</v>
      </c>
      <c r="B23023" s="572">
        <v>92.573800000000006</v>
      </c>
      <c r="C23023" s="572">
        <v>821.83199999999999</v>
      </c>
    </row>
    <row r="23024" spans="1:3">
      <c r="A23024" s="573" t="s">
        <v>1504</v>
      </c>
      <c r="B23024" s="574">
        <v>101.38500000000001</v>
      </c>
      <c r="C23024" s="574">
        <v>821.85199999999998</v>
      </c>
    </row>
    <row r="23025" spans="1:3">
      <c r="A23025" s="573" t="s">
        <v>1504</v>
      </c>
      <c r="B23025" s="574">
        <v>133.15299999999999</v>
      </c>
      <c r="C23025" s="574">
        <v>848.80200000000002</v>
      </c>
    </row>
    <row r="23026" spans="1:3">
      <c r="A23026" s="573" t="s">
        <v>1504</v>
      </c>
      <c r="B23026" s="574">
        <v>154.92500000000001</v>
      </c>
      <c r="C23026" s="574">
        <v>862.28099999999995</v>
      </c>
    </row>
    <row r="23027" spans="1:3">
      <c r="A23027" s="573" t="s">
        <v>1504</v>
      </c>
      <c r="B23027" s="574">
        <v>183.93899999999999</v>
      </c>
      <c r="C23027" s="574">
        <v>873.07500000000005</v>
      </c>
    </row>
    <row r="23028" spans="1:3">
      <c r="A23028" s="573" t="s">
        <v>1504</v>
      </c>
      <c r="B23028" s="574">
        <v>216.18799999999999</v>
      </c>
      <c r="C23028" s="574">
        <v>886.55499999999995</v>
      </c>
    </row>
    <row r="23029" spans="1:3">
      <c r="A23029" s="573" t="s">
        <v>1504</v>
      </c>
      <c r="B23029" s="574">
        <v>251.53299999999999</v>
      </c>
      <c r="C23029" s="574">
        <v>902.72299999999996</v>
      </c>
    </row>
    <row r="23030" spans="1:3">
      <c r="A23030" s="573" t="s">
        <v>1504</v>
      </c>
      <c r="B23030" s="574">
        <v>289.77</v>
      </c>
      <c r="C23030" s="574">
        <v>889.30899999999997</v>
      </c>
    </row>
    <row r="23031" spans="1:3">
      <c r="A23031" s="573" t="s">
        <v>1504</v>
      </c>
      <c r="B23031" s="574">
        <v>307.87599999999998</v>
      </c>
      <c r="C23031" s="574">
        <v>889.322</v>
      </c>
    </row>
    <row r="23032" spans="1:3">
      <c r="A23032" s="573" t="s">
        <v>1504</v>
      </c>
      <c r="B23032" s="574">
        <v>330.41300000000001</v>
      </c>
      <c r="C23032" s="574">
        <v>900.09400000000005</v>
      </c>
    </row>
    <row r="23033" spans="1:3">
      <c r="A23033" s="573" t="s">
        <v>1504</v>
      </c>
      <c r="B23033" s="574">
        <v>369.22</v>
      </c>
      <c r="C23033" s="574">
        <v>910.87400000000002</v>
      </c>
    </row>
    <row r="23034" spans="1:3">
      <c r="A23034" s="573" t="s">
        <v>1504</v>
      </c>
      <c r="B23034" s="574">
        <v>400.35199999999998</v>
      </c>
      <c r="C23034" s="574">
        <v>889.37900000000002</v>
      </c>
    </row>
    <row r="23035" spans="1:3">
      <c r="A23035" s="573" t="s">
        <v>1504</v>
      </c>
      <c r="B23035" s="574">
        <v>425.41899999999998</v>
      </c>
      <c r="C23035" s="574">
        <v>870.56899999999996</v>
      </c>
    </row>
    <row r="23036" spans="1:3">
      <c r="A23036" s="573" t="s">
        <v>1504</v>
      </c>
      <c r="B23036" s="574">
        <v>447.45800000000003</v>
      </c>
      <c r="C23036" s="574">
        <v>870.58</v>
      </c>
    </row>
    <row r="23037" spans="1:3">
      <c r="A23037" s="573" t="s">
        <v>1504</v>
      </c>
      <c r="B23037" s="574">
        <v>475.41800000000001</v>
      </c>
      <c r="C23037" s="574">
        <v>870.59299999999996</v>
      </c>
    </row>
    <row r="23038" spans="1:3">
      <c r="A23038" s="569" t="s">
        <v>1504</v>
      </c>
      <c r="B23038" s="570">
        <v>531.25699999999995</v>
      </c>
      <c r="C23038" s="570">
        <v>881.37400000000002</v>
      </c>
    </row>
    <row r="23039" spans="1:3">
      <c r="A23039" s="569" t="s">
        <v>1504</v>
      </c>
      <c r="B23039" s="570">
        <v>593.67499999999995</v>
      </c>
      <c r="C23039" s="570">
        <v>886.77700000000004</v>
      </c>
    </row>
    <row r="23040" spans="1:3">
      <c r="A23040" s="569" t="s">
        <v>1504</v>
      </c>
      <c r="B23040" s="570">
        <v>650.09100000000001</v>
      </c>
      <c r="C23040" s="570">
        <v>908.30899999999997</v>
      </c>
    </row>
    <row r="23041" spans="1:3">
      <c r="A23041" s="569" t="s">
        <v>1504</v>
      </c>
      <c r="B23041" s="570">
        <v>697.72500000000002</v>
      </c>
      <c r="C23041" s="570">
        <v>908.32500000000005</v>
      </c>
    </row>
    <row r="23042" spans="1:3">
      <c r="A23042" s="569" t="s">
        <v>1504</v>
      </c>
      <c r="B23042" s="570">
        <v>712.01300000000003</v>
      </c>
      <c r="C23042" s="570">
        <v>897.57299999999998</v>
      </c>
    </row>
    <row r="23043" spans="1:3">
      <c r="A23043" s="569" t="s">
        <v>1504</v>
      </c>
      <c r="B23043" s="570">
        <v>764.30100000000004</v>
      </c>
      <c r="C23043" s="570">
        <v>873.38699999999994</v>
      </c>
    </row>
    <row r="23044" spans="1:3">
      <c r="A23044" s="569" t="s">
        <v>1504</v>
      </c>
      <c r="B23044" s="570">
        <v>803.80200000000002</v>
      </c>
      <c r="C23044" s="570">
        <v>892.221</v>
      </c>
    </row>
    <row r="23045" spans="1:3">
      <c r="A23045" s="569" t="s">
        <v>1504</v>
      </c>
      <c r="B23045" s="570">
        <v>871.44299999999998</v>
      </c>
      <c r="C23045" s="570">
        <v>894.928</v>
      </c>
    </row>
    <row r="23046" spans="1:3">
      <c r="A23046" s="569" t="s">
        <v>1504</v>
      </c>
      <c r="B23046" s="570">
        <v>935.40700000000004</v>
      </c>
      <c r="C23046" s="570">
        <v>876.12</v>
      </c>
    </row>
    <row r="23047" spans="1:3">
      <c r="A23047" s="569" t="s">
        <v>1504</v>
      </c>
      <c r="B23047" s="570">
        <v>1013.85</v>
      </c>
      <c r="C23047" s="570">
        <v>921.85199999999998</v>
      </c>
    </row>
    <row r="23048" spans="1:3">
      <c r="A23048" s="569" t="s">
        <v>1504</v>
      </c>
      <c r="B23048" s="570">
        <v>1088.17</v>
      </c>
      <c r="C23048" s="570">
        <v>916.48900000000003</v>
      </c>
    </row>
    <row r="23049" spans="1:3">
      <c r="A23049" s="569" t="s">
        <v>1504</v>
      </c>
      <c r="B23049" s="570">
        <v>1110.53</v>
      </c>
      <c r="C23049" s="570">
        <v>894.98099999999999</v>
      </c>
    </row>
    <row r="23050" spans="1:3">
      <c r="A23050" s="569" t="s">
        <v>1504</v>
      </c>
      <c r="B23050" s="570">
        <v>1133.3699999999999</v>
      </c>
      <c r="C23050" s="570">
        <v>870.78399999999999</v>
      </c>
    </row>
    <row r="23051" spans="1:3">
      <c r="A23051" s="569" t="s">
        <v>1504</v>
      </c>
      <c r="B23051" s="570">
        <v>1216.5999999999999</v>
      </c>
      <c r="C23051" s="570">
        <v>846.59799999999996</v>
      </c>
    </row>
    <row r="23052" spans="1:3">
      <c r="A23052" s="569" t="s">
        <v>1504</v>
      </c>
      <c r="B23052" s="570">
        <v>1266.5899999999999</v>
      </c>
      <c r="C23052" s="570">
        <v>868.11900000000003</v>
      </c>
    </row>
    <row r="23053" spans="1:3">
      <c r="A23053" s="569" t="s">
        <v>1504</v>
      </c>
      <c r="B23053" s="570">
        <v>1345.37</v>
      </c>
      <c r="C23053" s="570">
        <v>911.15700000000004</v>
      </c>
    </row>
    <row r="23054" spans="1:3">
      <c r="A23054" s="569" t="s">
        <v>1504</v>
      </c>
      <c r="B23054" s="570">
        <v>1458.83</v>
      </c>
      <c r="C23054" s="570">
        <v>886.97299999999996</v>
      </c>
    </row>
    <row r="23055" spans="1:3">
      <c r="A23055" s="569" t="s">
        <v>1504</v>
      </c>
      <c r="B23055" s="570">
        <v>1597.74</v>
      </c>
      <c r="C23055" s="570">
        <v>881.61500000000001</v>
      </c>
    </row>
    <row r="23056" spans="1:3">
      <c r="A23056" s="569" t="s">
        <v>1504</v>
      </c>
      <c r="B23056" s="570">
        <v>1629.65</v>
      </c>
      <c r="C23056" s="570">
        <v>948.846</v>
      </c>
    </row>
    <row r="23057" spans="1:3">
      <c r="A23057" s="569" t="s">
        <v>1504</v>
      </c>
      <c r="B23057" s="570">
        <v>1696.91</v>
      </c>
      <c r="C23057" s="570">
        <v>943.47699999999998</v>
      </c>
    </row>
    <row r="23058" spans="1:3">
      <c r="A23058" s="569" t="s">
        <v>1504</v>
      </c>
      <c r="B23058" s="570">
        <v>1840.61</v>
      </c>
      <c r="C23058" s="570">
        <v>868.20100000000002</v>
      </c>
    </row>
    <row r="23059" spans="1:3">
      <c r="A23059" s="569" t="s">
        <v>1504</v>
      </c>
      <c r="B23059" s="570">
        <v>1955.56</v>
      </c>
      <c r="C23059" s="570">
        <v>873.59199999999998</v>
      </c>
    </row>
    <row r="23060" spans="1:3">
      <c r="A23060" s="569" t="s">
        <v>1504</v>
      </c>
      <c r="B23060" s="570">
        <v>2036.3</v>
      </c>
      <c r="C23060" s="570">
        <v>865.53399999999999</v>
      </c>
    </row>
    <row r="23061" spans="1:3">
      <c r="A23061" s="569" t="s">
        <v>1504</v>
      </c>
      <c r="B23061" s="570">
        <v>2207.02</v>
      </c>
      <c r="C23061" s="570">
        <v>913.95500000000004</v>
      </c>
    </row>
    <row r="23062" spans="1:3">
      <c r="A23062" s="569" t="s">
        <v>1504</v>
      </c>
      <c r="B23062" s="570">
        <v>2298.2199999999998</v>
      </c>
      <c r="C23062" s="570">
        <v>900.51800000000003</v>
      </c>
    </row>
    <row r="23063" spans="1:3">
      <c r="A23063" s="569" t="s">
        <v>1504</v>
      </c>
      <c r="B23063" s="570">
        <v>2441.41</v>
      </c>
      <c r="C23063" s="570">
        <v>927.42200000000003</v>
      </c>
    </row>
    <row r="23064" spans="1:3">
      <c r="A23064" s="569" t="s">
        <v>1504</v>
      </c>
      <c r="B23064" s="570">
        <v>2542.6</v>
      </c>
      <c r="C23064" s="570">
        <v>895.16200000000003</v>
      </c>
    </row>
    <row r="23065" spans="1:3">
      <c r="A23065" s="569" t="s">
        <v>1504</v>
      </c>
      <c r="B23065" s="570">
        <v>2700.88</v>
      </c>
      <c r="C23065" s="570">
        <v>930.13400000000001</v>
      </c>
    </row>
    <row r="23066" spans="1:3">
      <c r="A23066" s="569" t="s">
        <v>1504</v>
      </c>
      <c r="B23066" s="570">
        <v>2899.12</v>
      </c>
      <c r="C23066" s="570">
        <v>911.32600000000002</v>
      </c>
    </row>
    <row r="23067" spans="1:3">
      <c r="A23067" s="569" t="s">
        <v>1504</v>
      </c>
      <c r="B23067" s="570">
        <v>3111.34</v>
      </c>
      <c r="C23067" s="570">
        <v>922.09699999999998</v>
      </c>
    </row>
    <row r="23068" spans="1:3">
      <c r="A23068" s="569" t="s">
        <v>1504</v>
      </c>
      <c r="B23068" s="570">
        <v>3272.8</v>
      </c>
      <c r="C23068" s="570">
        <v>908.66300000000001</v>
      </c>
    </row>
    <row r="23069" spans="1:3">
      <c r="A23069" s="569" t="s">
        <v>1504</v>
      </c>
      <c r="B23069" s="570">
        <v>3407.64</v>
      </c>
      <c r="C23069" s="570">
        <v>914.05</v>
      </c>
    </row>
    <row r="23070" spans="1:3">
      <c r="A23070" s="569" t="s">
        <v>1504</v>
      </c>
      <c r="B23070" s="570">
        <v>3657.27</v>
      </c>
      <c r="C23070" s="570">
        <v>916.755</v>
      </c>
    </row>
    <row r="23071" spans="1:3">
      <c r="A23071" s="569" t="s">
        <v>1504</v>
      </c>
      <c r="B23071" s="570">
        <v>3965.3</v>
      </c>
      <c r="C23071" s="570">
        <v>908.70500000000004</v>
      </c>
    </row>
    <row r="23072" spans="1:3">
      <c r="A23072" s="569" t="s">
        <v>1504</v>
      </c>
      <c r="B23072" s="570">
        <v>4004.68</v>
      </c>
      <c r="C23072" s="570">
        <v>943.66499999999996</v>
      </c>
    </row>
    <row r="23073" spans="1:3">
      <c r="A23073" s="569" t="s">
        <v>1504</v>
      </c>
      <c r="B23073" s="570">
        <v>4254.91</v>
      </c>
      <c r="C23073" s="570">
        <v>943.678</v>
      </c>
    </row>
    <row r="23074" spans="1:3">
      <c r="A23074" s="569" t="s">
        <v>1504</v>
      </c>
      <c r="B23074" s="570">
        <v>4431.1899999999996</v>
      </c>
      <c r="C23074" s="570">
        <v>914.10699999999997</v>
      </c>
    </row>
    <row r="23075" spans="1:3">
      <c r="A23075" s="569" t="s">
        <v>1504</v>
      </c>
      <c r="B23075" s="570">
        <v>4567.53</v>
      </c>
      <c r="C23075" s="570">
        <v>914.11400000000003</v>
      </c>
    </row>
    <row r="23076" spans="1:3">
      <c r="A23076" s="569" t="s">
        <v>1504</v>
      </c>
      <c r="B23076" s="570">
        <v>4707.51</v>
      </c>
      <c r="C23076" s="570">
        <v>932.94399999999996</v>
      </c>
    </row>
    <row r="23077" spans="1:3">
      <c r="A23077" s="569" t="s">
        <v>1504</v>
      </c>
      <c r="B23077" s="570">
        <v>4852.1099999999997</v>
      </c>
      <c r="C23077" s="570">
        <v>941.01800000000003</v>
      </c>
    </row>
    <row r="23078" spans="1:3">
      <c r="A23078" s="569" t="s">
        <v>1504</v>
      </c>
      <c r="B23078" s="570">
        <v>5103.05</v>
      </c>
      <c r="C23078" s="570">
        <v>954.47500000000002</v>
      </c>
    </row>
    <row r="23079" spans="1:3">
      <c r="A23079" s="569" t="s">
        <v>1504</v>
      </c>
      <c r="B23079" s="570">
        <v>5206.76</v>
      </c>
      <c r="C23079" s="570">
        <v>967.92399999999998</v>
      </c>
    </row>
    <row r="23080" spans="1:3">
      <c r="A23080" s="569" t="s">
        <v>1504</v>
      </c>
      <c r="B23080" s="570">
        <v>5422.93</v>
      </c>
      <c r="C23080" s="570">
        <v>924.90800000000002</v>
      </c>
    </row>
    <row r="23081" spans="1:3">
      <c r="A23081" s="569" t="s">
        <v>1504</v>
      </c>
      <c r="B23081" s="570">
        <v>5759.63</v>
      </c>
      <c r="C23081" s="570">
        <v>984.08100000000002</v>
      </c>
    </row>
    <row r="23082" spans="1:3">
      <c r="A23082" s="569" t="s">
        <v>1504</v>
      </c>
      <c r="B23082" s="570">
        <v>6058.32</v>
      </c>
      <c r="C23082" s="570">
        <v>976.02499999999998</v>
      </c>
    </row>
    <row r="23083" spans="1:3">
      <c r="A23083" s="569" t="s">
        <v>1504</v>
      </c>
      <c r="B23083" s="570">
        <v>6569.03</v>
      </c>
      <c r="C23083" s="570">
        <v>957.21900000000005</v>
      </c>
    </row>
    <row r="23084" spans="1:3">
      <c r="A23084" s="569" t="s">
        <v>1504</v>
      </c>
      <c r="B23084" s="570">
        <v>6840.37</v>
      </c>
      <c r="C23084" s="570">
        <v>946.471</v>
      </c>
    </row>
    <row r="23085" spans="1:3">
      <c r="A23085" s="569" t="s">
        <v>1504</v>
      </c>
      <c r="B23085" s="570">
        <v>7267.42</v>
      </c>
      <c r="C23085" s="570">
        <v>954.55200000000002</v>
      </c>
    </row>
    <row r="23086" spans="1:3">
      <c r="A23086" s="569" t="s">
        <v>1504</v>
      </c>
      <c r="B23086" s="570">
        <v>7642.75</v>
      </c>
      <c r="C23086" s="570">
        <v>978.76499999999999</v>
      </c>
    </row>
    <row r="23087" spans="1:3">
      <c r="A23087" s="569" t="s">
        <v>1504</v>
      </c>
      <c r="B23087" s="570">
        <v>7799.4</v>
      </c>
      <c r="C23087" s="570">
        <v>965.32399999999996</v>
      </c>
    </row>
    <row r="23088" spans="1:3">
      <c r="A23088" s="569" t="s">
        <v>1504</v>
      </c>
      <c r="B23088" s="570">
        <v>8121.97</v>
      </c>
      <c r="C23088" s="570">
        <v>946.50900000000001</v>
      </c>
    </row>
    <row r="23089" spans="1:3">
      <c r="A23089" s="569" t="s">
        <v>1504</v>
      </c>
      <c r="B23089" s="570">
        <v>10347.5</v>
      </c>
      <c r="C23089" s="570">
        <v>989.58699999999999</v>
      </c>
    </row>
    <row r="23090" spans="1:3">
      <c r="A23090" s="569" t="s">
        <v>1504</v>
      </c>
      <c r="B23090" s="570">
        <v>10883.4</v>
      </c>
      <c r="C23090" s="570">
        <v>992.28700000000003</v>
      </c>
    </row>
    <row r="23091" spans="1:3">
      <c r="A23091" s="571" t="s">
        <v>1503</v>
      </c>
      <c r="B23091" s="572">
        <v>1.71994</v>
      </c>
      <c r="C23091" s="572">
        <v>108.354</v>
      </c>
    </row>
    <row r="23092" spans="1:3">
      <c r="A23092" s="571" t="s">
        <v>1503</v>
      </c>
      <c r="B23092" s="572">
        <v>5.0661899999999997</v>
      </c>
      <c r="C23092" s="572">
        <v>202.708</v>
      </c>
    </row>
    <row r="23093" spans="1:3">
      <c r="A23093" s="571" t="s">
        <v>1503</v>
      </c>
      <c r="B23093" s="572">
        <v>8.9138900000000003</v>
      </c>
      <c r="C23093" s="572">
        <v>310.39499999999998</v>
      </c>
    </row>
    <row r="23094" spans="1:3">
      <c r="A23094" s="571" t="s">
        <v>1503</v>
      </c>
      <c r="B23094" s="572">
        <v>13.213800000000001</v>
      </c>
      <c r="C23094" s="572">
        <v>361.57400000000001</v>
      </c>
    </row>
    <row r="23095" spans="1:3">
      <c r="A23095" s="571" t="s">
        <v>1503</v>
      </c>
      <c r="B23095" s="572">
        <v>15.2188</v>
      </c>
      <c r="C23095" s="572">
        <v>385.80599999999998</v>
      </c>
    </row>
    <row r="23096" spans="1:3">
      <c r="A23096" s="571" t="s">
        <v>1503</v>
      </c>
      <c r="B23096" s="572">
        <v>19.5871</v>
      </c>
      <c r="C23096" s="572">
        <v>418.13</v>
      </c>
    </row>
    <row r="23097" spans="1:3">
      <c r="A23097" s="571" t="s">
        <v>1503</v>
      </c>
      <c r="B23097" s="572">
        <v>21.2315</v>
      </c>
      <c r="C23097" s="572">
        <v>450.41699999999997</v>
      </c>
    </row>
    <row r="23098" spans="1:3">
      <c r="A23098" s="571" t="s">
        <v>1503</v>
      </c>
      <c r="B23098" s="572">
        <v>29.327400000000001</v>
      </c>
      <c r="C23098" s="572">
        <v>485.44600000000003</v>
      </c>
    </row>
    <row r="23099" spans="1:3">
      <c r="A23099" s="571" t="s">
        <v>1503</v>
      </c>
      <c r="B23099" s="572">
        <v>36.249400000000001</v>
      </c>
      <c r="C23099" s="572">
        <v>523.13900000000001</v>
      </c>
    </row>
    <row r="23100" spans="1:3">
      <c r="A23100" s="571" t="s">
        <v>1503</v>
      </c>
      <c r="B23100" s="572">
        <v>47.602400000000003</v>
      </c>
      <c r="C23100" s="572">
        <v>568.91300000000001</v>
      </c>
    </row>
    <row r="23101" spans="1:3">
      <c r="A23101" s="571" t="s">
        <v>1503</v>
      </c>
      <c r="B23101" s="572">
        <v>61.886899999999997</v>
      </c>
      <c r="C23101" s="572">
        <v>603.92899999999997</v>
      </c>
    </row>
    <row r="23102" spans="1:3">
      <c r="A23102" s="571" t="s">
        <v>1503</v>
      </c>
      <c r="B23102" s="572">
        <v>78.056200000000004</v>
      </c>
      <c r="C23102" s="572">
        <v>638.93700000000001</v>
      </c>
    </row>
    <row r="23103" spans="1:3">
      <c r="A23103" s="571" t="s">
        <v>1503</v>
      </c>
      <c r="B23103" s="572">
        <v>88.999799999999993</v>
      </c>
      <c r="C23103" s="572">
        <v>657.79</v>
      </c>
    </row>
    <row r="23104" spans="1:3">
      <c r="A23104" s="573" t="s">
        <v>1503</v>
      </c>
      <c r="B23104" s="574">
        <v>100.46299999999999</v>
      </c>
      <c r="C23104" s="574">
        <v>668.572</v>
      </c>
    </row>
    <row r="23105" spans="1:3">
      <c r="A23105" s="573" t="s">
        <v>1503</v>
      </c>
      <c r="B23105" s="574">
        <v>129.297</v>
      </c>
      <c r="C23105" s="574">
        <v>703.58600000000001</v>
      </c>
    </row>
    <row r="23106" spans="1:3">
      <c r="A23106" s="573" t="s">
        <v>1503</v>
      </c>
      <c r="B23106" s="574">
        <v>151.98099999999999</v>
      </c>
      <c r="C23106" s="574">
        <v>700.93200000000002</v>
      </c>
    </row>
    <row r="23107" spans="1:3">
      <c r="A23107" s="573" t="s">
        <v>1503</v>
      </c>
      <c r="B23107" s="574">
        <v>185.98699999999999</v>
      </c>
      <c r="C23107" s="574">
        <v>719.8</v>
      </c>
    </row>
    <row r="23108" spans="1:3">
      <c r="A23108" s="573" t="s">
        <v>1503</v>
      </c>
      <c r="B23108" s="574">
        <v>212.08799999999999</v>
      </c>
      <c r="C23108" s="574">
        <v>719.82799999999997</v>
      </c>
    </row>
    <row r="23109" spans="1:3">
      <c r="A23109" s="573" t="s">
        <v>1503</v>
      </c>
      <c r="B23109" s="574">
        <v>239.39599999999999</v>
      </c>
      <c r="C23109" s="574">
        <v>735.98900000000003</v>
      </c>
    </row>
    <row r="23110" spans="1:3">
      <c r="A23110" s="573" t="s">
        <v>1503</v>
      </c>
      <c r="B23110" s="574">
        <v>254.376</v>
      </c>
      <c r="C23110" s="574">
        <v>722.55700000000002</v>
      </c>
    </row>
    <row r="23111" spans="1:3">
      <c r="A23111" s="573" t="s">
        <v>1503</v>
      </c>
      <c r="B23111" s="574">
        <v>270.27999999999997</v>
      </c>
      <c r="C23111" s="574">
        <v>717.19299999999998</v>
      </c>
    </row>
    <row r="23112" spans="1:3">
      <c r="A23112" s="573" t="s">
        <v>1503</v>
      </c>
      <c r="B23112" s="574">
        <v>311.31400000000002</v>
      </c>
      <c r="C23112" s="574">
        <v>730.66899999999998</v>
      </c>
    </row>
    <row r="23113" spans="1:3">
      <c r="A23113" s="573" t="s">
        <v>1503</v>
      </c>
      <c r="B23113" s="574">
        <v>330.755</v>
      </c>
      <c r="C23113" s="574">
        <v>736.06</v>
      </c>
    </row>
    <row r="23114" spans="1:3">
      <c r="A23114" s="573" t="s">
        <v>1503</v>
      </c>
      <c r="B23114" s="574">
        <v>358.58800000000002</v>
      </c>
      <c r="C23114" s="574">
        <v>738.76700000000005</v>
      </c>
    </row>
    <row r="23115" spans="1:3">
      <c r="A23115" s="573" t="s">
        <v>1503</v>
      </c>
      <c r="B23115" s="574">
        <v>384.91500000000002</v>
      </c>
      <c r="C23115" s="574">
        <v>717.27</v>
      </c>
    </row>
    <row r="23116" spans="1:3">
      <c r="A23116" s="573" t="s">
        <v>1503</v>
      </c>
      <c r="B23116" s="574">
        <v>404.90499999999997</v>
      </c>
      <c r="C23116" s="574">
        <v>698.45699999999999</v>
      </c>
    </row>
    <row r="23117" spans="1:3">
      <c r="A23117" s="573" t="s">
        <v>1503</v>
      </c>
      <c r="B23117" s="574">
        <v>447.97500000000002</v>
      </c>
      <c r="C23117" s="574">
        <v>687.72299999999996</v>
      </c>
    </row>
    <row r="23118" spans="1:3">
      <c r="A23118" s="569" t="s">
        <v>1503</v>
      </c>
      <c r="B23118" s="570">
        <v>537.18899999999996</v>
      </c>
      <c r="C23118" s="570">
        <v>722.721</v>
      </c>
    </row>
    <row r="23119" spans="1:3">
      <c r="A23119" s="569" t="s">
        <v>1503</v>
      </c>
      <c r="B23119" s="570">
        <v>588.327</v>
      </c>
      <c r="C23119" s="570">
        <v>720.05200000000002</v>
      </c>
    </row>
    <row r="23120" spans="1:3">
      <c r="A23120" s="569" t="s">
        <v>1503</v>
      </c>
      <c r="B23120" s="570">
        <v>650.82000000000005</v>
      </c>
      <c r="C23120" s="570">
        <v>730.83</v>
      </c>
    </row>
    <row r="23121" spans="1:3">
      <c r="A23121" s="569" t="s">
        <v>1503</v>
      </c>
      <c r="B23121" s="570">
        <v>691.56899999999996</v>
      </c>
      <c r="C23121" s="570">
        <v>712.02</v>
      </c>
    </row>
    <row r="23122" spans="1:3">
      <c r="A23122" s="569" t="s">
        <v>1503</v>
      </c>
      <c r="B23122" s="570">
        <v>720.17100000000005</v>
      </c>
      <c r="C23122" s="570">
        <v>693.20500000000004</v>
      </c>
    </row>
    <row r="23123" spans="1:3">
      <c r="A23123" s="569" t="s">
        <v>1503</v>
      </c>
      <c r="B23123" s="570">
        <v>804.70299999999997</v>
      </c>
      <c r="C23123" s="570">
        <v>714.74199999999996</v>
      </c>
    </row>
    <row r="23124" spans="1:3">
      <c r="A23124" s="569" t="s">
        <v>1503</v>
      </c>
      <c r="B23124" s="570">
        <v>927.04300000000001</v>
      </c>
      <c r="C23124" s="570">
        <v>698.63900000000001</v>
      </c>
    </row>
    <row r="23125" spans="1:3">
      <c r="A23125" s="569" t="s">
        <v>1503</v>
      </c>
      <c r="B23125" s="570">
        <v>1015.02</v>
      </c>
      <c r="C23125" s="570">
        <v>738.995</v>
      </c>
    </row>
    <row r="23126" spans="1:3">
      <c r="A23126" s="569" t="s">
        <v>1503</v>
      </c>
      <c r="B23126" s="570">
        <v>1067.75</v>
      </c>
      <c r="C23126" s="570">
        <v>717.49300000000005</v>
      </c>
    </row>
    <row r="23127" spans="1:3">
      <c r="A23127" s="569" t="s">
        <v>1503</v>
      </c>
      <c r="B23127" s="570">
        <v>1158.01</v>
      </c>
      <c r="C23127" s="570">
        <v>663.73</v>
      </c>
    </row>
    <row r="23128" spans="1:3">
      <c r="A23128" s="569" t="s">
        <v>1503</v>
      </c>
      <c r="B23128" s="570">
        <v>1294</v>
      </c>
      <c r="C23128" s="570">
        <v>677.19899999999996</v>
      </c>
    </row>
    <row r="23129" spans="1:3">
      <c r="A23129" s="569" t="s">
        <v>1503</v>
      </c>
      <c r="B23129" s="570">
        <v>1360.62</v>
      </c>
      <c r="C23129" s="570">
        <v>725.61400000000003</v>
      </c>
    </row>
    <row r="23130" spans="1:3">
      <c r="A23130" s="569" t="s">
        <v>1503</v>
      </c>
      <c r="B23130" s="570">
        <v>1475.12</v>
      </c>
      <c r="C23130" s="570">
        <v>728.32</v>
      </c>
    </row>
    <row r="23131" spans="1:3">
      <c r="A23131" s="569" t="s">
        <v>1503</v>
      </c>
      <c r="B23131" s="570">
        <v>1599.01</v>
      </c>
      <c r="C23131" s="570">
        <v>755.22900000000004</v>
      </c>
    </row>
    <row r="23132" spans="1:3">
      <c r="A23132" s="569" t="s">
        <v>1503</v>
      </c>
      <c r="B23132" s="570">
        <v>1716.21</v>
      </c>
      <c r="C23132" s="570">
        <v>752.55499999999995</v>
      </c>
    </row>
    <row r="23133" spans="1:3">
      <c r="A23133" s="569" t="s">
        <v>1503</v>
      </c>
      <c r="B23133" s="570">
        <v>1805.64</v>
      </c>
      <c r="C23133" s="570">
        <v>706.85199999999998</v>
      </c>
    </row>
    <row r="23134" spans="1:3">
      <c r="A23134" s="569" t="s">
        <v>1503</v>
      </c>
      <c r="B23134" s="570">
        <v>1824.4</v>
      </c>
      <c r="C23134" s="570">
        <v>669.20699999999999</v>
      </c>
    </row>
    <row r="23135" spans="1:3">
      <c r="A23135" s="569" t="s">
        <v>1503</v>
      </c>
      <c r="B23135" s="570">
        <v>2038.75</v>
      </c>
      <c r="C23135" s="570">
        <v>674.61</v>
      </c>
    </row>
    <row r="23136" spans="1:3">
      <c r="A23136" s="569" t="s">
        <v>1503</v>
      </c>
      <c r="B23136" s="570">
        <v>2231.96</v>
      </c>
      <c r="C23136" s="570">
        <v>733.78899999999999</v>
      </c>
    </row>
    <row r="23137" spans="1:3">
      <c r="A23137" s="569" t="s">
        <v>1503</v>
      </c>
      <c r="B23137" s="570">
        <v>2395.75</v>
      </c>
      <c r="C23137" s="570">
        <v>717.67</v>
      </c>
    </row>
    <row r="23138" spans="1:3">
      <c r="A23138" s="569" t="s">
        <v>1503</v>
      </c>
      <c r="B23138" s="570">
        <v>2444.27</v>
      </c>
      <c r="C23138" s="570">
        <v>741.87599999999998</v>
      </c>
    </row>
    <row r="23139" spans="1:3">
      <c r="A23139" s="569" t="s">
        <v>1503</v>
      </c>
      <c r="B23139" s="570">
        <v>2759.47</v>
      </c>
      <c r="C23139" s="570">
        <v>731.14700000000005</v>
      </c>
    </row>
    <row r="23140" spans="1:3">
      <c r="A23140" s="569" t="s">
        <v>1503</v>
      </c>
      <c r="B23140" s="570">
        <v>2931.74</v>
      </c>
      <c r="C23140" s="570">
        <v>739.22699999999998</v>
      </c>
    </row>
    <row r="23141" spans="1:3">
      <c r="A23141" s="569" t="s">
        <v>1503</v>
      </c>
      <c r="B23141" s="570">
        <v>3115.04</v>
      </c>
      <c r="C23141" s="570">
        <v>733.86199999999997</v>
      </c>
    </row>
    <row r="23142" spans="1:3">
      <c r="A23142" s="569" t="s">
        <v>1503</v>
      </c>
      <c r="B23142" s="570">
        <v>3343.63</v>
      </c>
      <c r="C23142" s="570">
        <v>717.74300000000005</v>
      </c>
    </row>
    <row r="23143" spans="1:3">
      <c r="A23143" s="569" t="s">
        <v>1503</v>
      </c>
      <c r="B23143" s="570">
        <v>3517.15</v>
      </c>
      <c r="C23143" s="570">
        <v>704.30899999999997</v>
      </c>
    </row>
    <row r="23144" spans="1:3">
      <c r="A23144" s="569" t="s">
        <v>1503</v>
      </c>
      <c r="B23144" s="570">
        <v>3699.55</v>
      </c>
      <c r="C23144" s="570">
        <v>696.25300000000004</v>
      </c>
    </row>
    <row r="23145" spans="1:3">
      <c r="A23145" s="569" t="s">
        <v>1503</v>
      </c>
      <c r="B23145" s="570">
        <v>3813.25</v>
      </c>
      <c r="C23145" s="570">
        <v>701.63800000000003</v>
      </c>
    </row>
    <row r="23146" spans="1:3">
      <c r="A23146" s="569" t="s">
        <v>1503</v>
      </c>
      <c r="B23146" s="570">
        <v>4133.58</v>
      </c>
      <c r="C23146" s="570">
        <v>725.85699999999997</v>
      </c>
    </row>
    <row r="23147" spans="1:3">
      <c r="A23147" s="569" t="s">
        <v>1503</v>
      </c>
      <c r="B23147" s="570">
        <v>4348.17</v>
      </c>
      <c r="C23147" s="570">
        <v>709.73400000000004</v>
      </c>
    </row>
    <row r="23148" spans="1:3">
      <c r="A23148" s="569" t="s">
        <v>1503</v>
      </c>
      <c r="B23148" s="570">
        <v>4572.6499999999996</v>
      </c>
      <c r="C23148" s="570">
        <v>736.63499999999999</v>
      </c>
    </row>
    <row r="23149" spans="1:3">
      <c r="A23149" s="569" t="s">
        <v>1503</v>
      </c>
      <c r="B23149" s="570">
        <v>4810.4399999999996</v>
      </c>
      <c r="C23149" s="570">
        <v>707.06700000000001</v>
      </c>
    </row>
    <row r="23150" spans="1:3">
      <c r="A23150" s="569" t="s">
        <v>1503</v>
      </c>
      <c r="B23150" s="570">
        <v>4957.62</v>
      </c>
      <c r="C23150" s="570">
        <v>733.96400000000006</v>
      </c>
    </row>
    <row r="23151" spans="1:3">
      <c r="A23151" s="569" t="s">
        <v>1503</v>
      </c>
      <c r="B23151" s="570">
        <v>5007.6099999999997</v>
      </c>
      <c r="C23151" s="570">
        <v>744.72299999999996</v>
      </c>
    </row>
    <row r="23152" spans="1:3">
      <c r="A23152" s="569" t="s">
        <v>1503</v>
      </c>
      <c r="B23152" s="570">
        <v>5267.04</v>
      </c>
      <c r="C23152" s="570">
        <v>744.73400000000004</v>
      </c>
    </row>
    <row r="23153" spans="1:3">
      <c r="A23153" s="569" t="s">
        <v>1503</v>
      </c>
      <c r="B23153" s="570">
        <v>5429.93</v>
      </c>
      <c r="C23153" s="570">
        <v>720.53899999999999</v>
      </c>
    </row>
    <row r="23154" spans="1:3">
      <c r="A23154" s="569" t="s">
        <v>1503</v>
      </c>
      <c r="B23154" s="570">
        <v>5595.58</v>
      </c>
      <c r="C23154" s="570">
        <v>760.88099999999997</v>
      </c>
    </row>
    <row r="23155" spans="1:3">
      <c r="A23155" s="569" t="s">
        <v>1503</v>
      </c>
      <c r="B23155" s="570">
        <v>6190.27</v>
      </c>
      <c r="C23155" s="570">
        <v>763.59199999999998</v>
      </c>
    </row>
    <row r="23156" spans="1:3">
      <c r="A23156" s="569" t="s">
        <v>1503</v>
      </c>
      <c r="B23156" s="570">
        <v>6711.98</v>
      </c>
      <c r="C23156" s="570">
        <v>747.476</v>
      </c>
    </row>
    <row r="23157" spans="1:3">
      <c r="A23157" s="569" t="s">
        <v>1503</v>
      </c>
      <c r="B23157" s="570">
        <v>6849.55</v>
      </c>
      <c r="C23157" s="570">
        <v>734.03499999999997</v>
      </c>
    </row>
    <row r="23158" spans="1:3">
      <c r="A23158" s="569" t="s">
        <v>1503</v>
      </c>
      <c r="B23158" s="570">
        <v>7425.7</v>
      </c>
      <c r="C23158" s="570">
        <v>742.12</v>
      </c>
    </row>
    <row r="23159" spans="1:3">
      <c r="A23159" s="569" t="s">
        <v>1503</v>
      </c>
      <c r="B23159" s="570">
        <v>7729.93</v>
      </c>
      <c r="C23159" s="570">
        <v>782.46500000000003</v>
      </c>
    </row>
    <row r="23160" spans="1:3">
      <c r="A23160" s="569" t="s">
        <v>1503</v>
      </c>
      <c r="B23160" s="570">
        <v>7969.12</v>
      </c>
      <c r="C23160" s="570">
        <v>755.58100000000002</v>
      </c>
    </row>
    <row r="23161" spans="1:3">
      <c r="A23161" s="569" t="s">
        <v>1503</v>
      </c>
      <c r="B23161" s="570">
        <v>8383.11</v>
      </c>
      <c r="C23161" s="570">
        <v>734.07899999999995</v>
      </c>
    </row>
    <row r="23162" spans="1:3">
      <c r="A23162" s="569" t="s">
        <v>1503</v>
      </c>
      <c r="B23162" s="570">
        <v>9951.9</v>
      </c>
      <c r="C23162" s="570">
        <v>763.69600000000003</v>
      </c>
    </row>
    <row r="23163" spans="1:3">
      <c r="A23163" s="569" t="s">
        <v>1503</v>
      </c>
      <c r="B23163" s="570">
        <v>10361.4</v>
      </c>
      <c r="C23163" s="570">
        <v>777.15099999999995</v>
      </c>
    </row>
    <row r="23164" spans="1:3">
      <c r="A23164" s="569" t="s">
        <v>1503</v>
      </c>
      <c r="B23164" s="570">
        <v>10897.6</v>
      </c>
      <c r="C23164" s="570">
        <v>785.22900000000004</v>
      </c>
    </row>
    <row r="23165" spans="1:3">
      <c r="A23165" s="571" t="s">
        <v>1502</v>
      </c>
      <c r="B23165" s="572">
        <v>2.0011299999999999</v>
      </c>
      <c r="C23165" s="572">
        <v>124.52200000000001</v>
      </c>
    </row>
    <row r="23166" spans="1:3">
      <c r="A23166" s="571" t="s">
        <v>1502</v>
      </c>
      <c r="B23166" s="572">
        <v>5.0652400000000002</v>
      </c>
      <c r="C23166" s="572">
        <v>232.28800000000001</v>
      </c>
    </row>
    <row r="23167" spans="1:3">
      <c r="A23167" s="571" t="s">
        <v>1502</v>
      </c>
      <c r="B23167" s="572">
        <v>6.1364799999999997</v>
      </c>
      <c r="C23167" s="572">
        <v>245.77500000000001</v>
      </c>
    </row>
    <row r="23168" spans="1:3">
      <c r="A23168" s="571" t="s">
        <v>1502</v>
      </c>
      <c r="B23168" s="572">
        <v>7.9788699999999997</v>
      </c>
      <c r="C23168" s="572">
        <v>261.96699999999998</v>
      </c>
    </row>
    <row r="23169" spans="1:3">
      <c r="A23169" s="571" t="s">
        <v>1502</v>
      </c>
      <c r="B23169" s="572">
        <v>9.0046999999999997</v>
      </c>
      <c r="C23169" s="572">
        <v>305.01900000000001</v>
      </c>
    </row>
    <row r="23170" spans="1:3">
      <c r="A23170" s="571" t="s">
        <v>1502</v>
      </c>
      <c r="B23170" s="572">
        <v>12.1877</v>
      </c>
      <c r="C23170" s="572">
        <v>364.245</v>
      </c>
    </row>
    <row r="23171" spans="1:3">
      <c r="A23171" s="571" t="s">
        <v>1502</v>
      </c>
      <c r="B23171" s="572">
        <v>16.004799999999999</v>
      </c>
      <c r="C23171" s="572">
        <v>410.01900000000001</v>
      </c>
    </row>
    <row r="23172" spans="1:3">
      <c r="A23172" s="571" t="s">
        <v>1502</v>
      </c>
      <c r="B23172" s="572">
        <v>19.192499999999999</v>
      </c>
      <c r="C23172" s="572">
        <v>442.32799999999997</v>
      </c>
    </row>
    <row r="23173" spans="1:3">
      <c r="A23173" s="571" t="s">
        <v>1502</v>
      </c>
      <c r="B23173" s="572">
        <v>21.233599999999999</v>
      </c>
      <c r="C23173" s="572">
        <v>434.28300000000002</v>
      </c>
    </row>
    <row r="23174" spans="1:3">
      <c r="A23174" s="571" t="s">
        <v>1502</v>
      </c>
      <c r="B23174" s="572">
        <v>29.325399999999998</v>
      </c>
      <c r="C23174" s="572">
        <v>496.202</v>
      </c>
    </row>
    <row r="23175" spans="1:3">
      <c r="A23175" s="571" t="s">
        <v>1502</v>
      </c>
      <c r="B23175" s="572">
        <v>36.248100000000001</v>
      </c>
      <c r="C23175" s="572">
        <v>528.51700000000005</v>
      </c>
    </row>
    <row r="23176" spans="1:3">
      <c r="A23176" s="571" t="s">
        <v>1502</v>
      </c>
      <c r="B23176" s="572">
        <v>48.569800000000001</v>
      </c>
      <c r="C23176" s="572">
        <v>582.36300000000006</v>
      </c>
    </row>
    <row r="23177" spans="1:3">
      <c r="A23177" s="571" t="s">
        <v>1502</v>
      </c>
      <c r="B23177" s="572">
        <v>61.8827</v>
      </c>
      <c r="C23177" s="572">
        <v>614.68499999999995</v>
      </c>
    </row>
    <row r="23178" spans="1:3">
      <c r="A23178" s="571" t="s">
        <v>1502</v>
      </c>
      <c r="B23178" s="572">
        <v>77.279600000000002</v>
      </c>
      <c r="C23178" s="572">
        <v>622.80100000000004</v>
      </c>
    </row>
    <row r="23179" spans="1:3">
      <c r="A23179" s="571" t="s">
        <v>1502</v>
      </c>
      <c r="B23179" s="572">
        <v>90.814700000000002</v>
      </c>
      <c r="C23179" s="572">
        <v>660.48299999999995</v>
      </c>
    </row>
    <row r="23180" spans="1:3">
      <c r="A23180" s="573" t="s">
        <v>1502</v>
      </c>
      <c r="B23180" s="574">
        <v>113.404</v>
      </c>
      <c r="C23180" s="574">
        <v>676.66600000000005</v>
      </c>
    </row>
    <row r="23181" spans="1:3">
      <c r="A23181" s="573" t="s">
        <v>1502</v>
      </c>
      <c r="B23181" s="574">
        <v>128.01499999999999</v>
      </c>
      <c r="C23181" s="574">
        <v>682.07100000000003</v>
      </c>
    </row>
    <row r="23182" spans="1:3">
      <c r="A23182" s="573" t="s">
        <v>1502</v>
      </c>
      <c r="B23182" s="574">
        <v>156.655</v>
      </c>
      <c r="C23182" s="574">
        <v>703.62800000000004</v>
      </c>
    </row>
    <row r="23183" spans="1:3">
      <c r="A23183" s="573" t="s">
        <v>1502</v>
      </c>
      <c r="B23183" s="574">
        <v>182.27600000000001</v>
      </c>
      <c r="C23183" s="574">
        <v>711.72799999999995</v>
      </c>
    </row>
    <row r="23184" spans="1:3">
      <c r="A23184" s="573" t="s">
        <v>1502</v>
      </c>
      <c r="B23184" s="574">
        <v>212.08</v>
      </c>
      <c r="C23184" s="574">
        <v>725.20699999999999</v>
      </c>
    </row>
    <row r="23185" spans="1:3">
      <c r="A23185" s="573" t="s">
        <v>1502</v>
      </c>
      <c r="B23185" s="574">
        <v>244.27799999999999</v>
      </c>
      <c r="C23185" s="574">
        <v>738.68299999999999</v>
      </c>
    </row>
    <row r="23186" spans="1:3">
      <c r="A23186" s="573" t="s">
        <v>1502</v>
      </c>
      <c r="B23186" s="574">
        <v>281.416</v>
      </c>
      <c r="C23186" s="574">
        <v>722.58</v>
      </c>
    </row>
    <row r="23187" spans="1:3">
      <c r="A23187" s="573" t="s">
        <v>1502</v>
      </c>
      <c r="B23187" s="574">
        <v>308.19</v>
      </c>
      <c r="C23187" s="574">
        <v>727.97799999999995</v>
      </c>
    </row>
    <row r="23188" spans="1:3">
      <c r="A23188" s="573" t="s">
        <v>1502</v>
      </c>
      <c r="B23188" s="574">
        <v>337.52199999999999</v>
      </c>
      <c r="C23188" s="574">
        <v>727.99699999999996</v>
      </c>
    </row>
    <row r="23189" spans="1:3">
      <c r="A23189" s="573" t="s">
        <v>1502</v>
      </c>
      <c r="B23189" s="574">
        <v>365.89400000000001</v>
      </c>
      <c r="C23189" s="574">
        <v>744.15</v>
      </c>
    </row>
    <row r="23190" spans="1:3">
      <c r="A23190" s="573" t="s">
        <v>1502</v>
      </c>
      <c r="B23190" s="574">
        <v>400.774</v>
      </c>
      <c r="C23190" s="574">
        <v>722.65700000000004</v>
      </c>
    </row>
    <row r="23191" spans="1:3">
      <c r="A23191" s="573" t="s">
        <v>1502</v>
      </c>
      <c r="B23191" s="574">
        <v>408.988</v>
      </c>
      <c r="C23191" s="574">
        <v>709.21600000000001</v>
      </c>
    </row>
    <row r="23192" spans="1:3">
      <c r="A23192" s="573" t="s">
        <v>1502</v>
      </c>
      <c r="B23192" s="574">
        <v>447.93700000000001</v>
      </c>
      <c r="C23192" s="574">
        <v>701.16899999999998</v>
      </c>
    </row>
    <row r="23193" spans="1:3">
      <c r="A23193" s="573" t="s">
        <v>1502</v>
      </c>
      <c r="B23193" s="574">
        <v>471.15100000000001</v>
      </c>
      <c r="C23193" s="574">
        <v>698.49099999999999</v>
      </c>
    </row>
    <row r="23194" spans="1:3">
      <c r="A23194" s="569" t="s">
        <v>1502</v>
      </c>
      <c r="B23194" s="570">
        <v>537.18899999999996</v>
      </c>
      <c r="C23194" s="570">
        <v>722.721</v>
      </c>
    </row>
    <row r="23195" spans="1:3">
      <c r="A23195" s="569" t="s">
        <v>1502</v>
      </c>
      <c r="B23195" s="570">
        <v>582.43299999999999</v>
      </c>
      <c r="C23195" s="570">
        <v>714.67200000000003</v>
      </c>
    </row>
    <row r="23196" spans="1:3">
      <c r="A23196" s="569" t="s">
        <v>1502</v>
      </c>
      <c r="B23196" s="570">
        <v>644.26800000000003</v>
      </c>
      <c r="C23196" s="570">
        <v>733.51700000000005</v>
      </c>
    </row>
    <row r="23197" spans="1:3">
      <c r="A23197" s="569" t="s">
        <v>1502</v>
      </c>
      <c r="B23197" s="570">
        <v>698.495</v>
      </c>
      <c r="C23197" s="570">
        <v>733.53499999999997</v>
      </c>
    </row>
    <row r="23198" spans="1:3">
      <c r="A23198" s="569" t="s">
        <v>1502</v>
      </c>
      <c r="B23198" s="570">
        <v>712.86</v>
      </c>
      <c r="C23198" s="570">
        <v>709.33799999999997</v>
      </c>
    </row>
    <row r="23199" spans="1:3">
      <c r="A23199" s="569" t="s">
        <v>1502</v>
      </c>
      <c r="B23199" s="570">
        <v>757.46799999999996</v>
      </c>
      <c r="C23199" s="570">
        <v>695.90599999999995</v>
      </c>
    </row>
    <row r="23200" spans="1:3">
      <c r="A23200" s="569" t="s">
        <v>1502</v>
      </c>
      <c r="B23200" s="570">
        <v>821.19600000000003</v>
      </c>
      <c r="C23200" s="570">
        <v>701.30100000000004</v>
      </c>
    </row>
    <row r="23201" spans="1:3">
      <c r="A23201" s="569" t="s">
        <v>1502</v>
      </c>
      <c r="B23201" s="570">
        <v>872.39</v>
      </c>
      <c r="C23201" s="570">
        <v>722.827</v>
      </c>
    </row>
    <row r="23202" spans="1:3">
      <c r="A23202" s="569" t="s">
        <v>1502</v>
      </c>
      <c r="B23202" s="570">
        <v>908.50199999999995</v>
      </c>
      <c r="C23202" s="570">
        <v>698.63400000000001</v>
      </c>
    </row>
    <row r="23203" spans="1:3">
      <c r="A23203" s="569" t="s">
        <v>1502</v>
      </c>
      <c r="B23203" s="570">
        <v>1015.29</v>
      </c>
      <c r="C23203" s="570">
        <v>695.97</v>
      </c>
    </row>
    <row r="23204" spans="1:3">
      <c r="A23204" s="569" t="s">
        <v>1502</v>
      </c>
      <c r="B23204" s="570">
        <v>1089.3900000000001</v>
      </c>
      <c r="C23204" s="570">
        <v>739.01</v>
      </c>
    </row>
    <row r="23205" spans="1:3">
      <c r="A23205" s="569" t="s">
        <v>1502</v>
      </c>
      <c r="B23205" s="570">
        <v>1100.6400000000001</v>
      </c>
      <c r="C23205" s="570">
        <v>712.12199999999996</v>
      </c>
    </row>
    <row r="23206" spans="1:3">
      <c r="A23206" s="569" t="s">
        <v>1502</v>
      </c>
      <c r="B23206" s="570">
        <v>1134.8900000000001</v>
      </c>
      <c r="C23206" s="570">
        <v>658.34699999999998</v>
      </c>
    </row>
    <row r="23207" spans="1:3">
      <c r="A23207" s="569" t="s">
        <v>1502</v>
      </c>
      <c r="B23207" s="570">
        <v>1193.46</v>
      </c>
      <c r="C23207" s="570">
        <v>687.93799999999999</v>
      </c>
    </row>
    <row r="23208" spans="1:3">
      <c r="A23208" s="569" t="s">
        <v>1502</v>
      </c>
      <c r="B23208" s="570">
        <v>1280.95</v>
      </c>
      <c r="C23208" s="570">
        <v>682.57500000000005</v>
      </c>
    </row>
    <row r="23209" spans="1:3">
      <c r="A23209" s="569" t="s">
        <v>1502</v>
      </c>
      <c r="B23209" s="570">
        <v>1374.53</v>
      </c>
      <c r="C23209" s="570">
        <v>714.86</v>
      </c>
    </row>
    <row r="23210" spans="1:3">
      <c r="A23210" s="569" t="s">
        <v>1502</v>
      </c>
      <c r="B23210" s="570">
        <v>1417.02</v>
      </c>
      <c r="C23210" s="570">
        <v>693.35400000000004</v>
      </c>
    </row>
    <row r="23211" spans="1:3">
      <c r="A23211" s="569" t="s">
        <v>1502</v>
      </c>
      <c r="B23211" s="570">
        <v>1505.59</v>
      </c>
      <c r="C23211" s="570">
        <v>690.678</v>
      </c>
    </row>
    <row r="23212" spans="1:3">
      <c r="A23212" s="569" t="s">
        <v>1502</v>
      </c>
      <c r="B23212" s="570">
        <v>1664.98</v>
      </c>
      <c r="C23212" s="570">
        <v>752.54899999999998</v>
      </c>
    </row>
    <row r="23213" spans="1:3">
      <c r="A23213" s="569" t="s">
        <v>1502</v>
      </c>
      <c r="B23213" s="570">
        <v>1842.8</v>
      </c>
      <c r="C23213" s="570">
        <v>679.96600000000001</v>
      </c>
    </row>
    <row r="23214" spans="1:3">
      <c r="A23214" s="569" t="s">
        <v>1502</v>
      </c>
      <c r="B23214" s="570">
        <v>1918.95</v>
      </c>
      <c r="C23214" s="570">
        <v>666.529</v>
      </c>
    </row>
    <row r="23215" spans="1:3">
      <c r="A23215" s="569" t="s">
        <v>1502</v>
      </c>
      <c r="B23215" s="570">
        <v>2018.06</v>
      </c>
      <c r="C23215" s="570">
        <v>690.74199999999996</v>
      </c>
    </row>
    <row r="23216" spans="1:3">
      <c r="A23216" s="569" t="s">
        <v>1502</v>
      </c>
      <c r="B23216" s="570">
        <v>2209.6799999999998</v>
      </c>
      <c r="C23216" s="570">
        <v>723.03099999999995</v>
      </c>
    </row>
    <row r="23217" spans="1:3">
      <c r="A23217" s="569" t="s">
        <v>1502</v>
      </c>
      <c r="B23217" s="570">
        <v>2347.87</v>
      </c>
      <c r="C23217" s="570">
        <v>714.97699999999998</v>
      </c>
    </row>
    <row r="23218" spans="1:3">
      <c r="A23218" s="569" t="s">
        <v>1502</v>
      </c>
      <c r="B23218" s="570">
        <v>2571.4699999999998</v>
      </c>
      <c r="C23218" s="570">
        <v>706.93</v>
      </c>
    </row>
    <row r="23219" spans="1:3">
      <c r="A23219" s="569" t="s">
        <v>1502</v>
      </c>
      <c r="B23219" s="570">
        <v>2731.82</v>
      </c>
      <c r="C23219" s="570">
        <v>725.76599999999996</v>
      </c>
    </row>
    <row r="23220" spans="1:3">
      <c r="A23220" s="569" t="s">
        <v>1502</v>
      </c>
      <c r="B23220" s="570">
        <v>2902.72</v>
      </c>
      <c r="C23220" s="570">
        <v>715.02300000000002</v>
      </c>
    </row>
    <row r="23221" spans="1:3">
      <c r="A23221" s="569" t="s">
        <v>1502</v>
      </c>
      <c r="B23221" s="570">
        <v>3211.27</v>
      </c>
      <c r="C23221" s="570">
        <v>715.04499999999996</v>
      </c>
    </row>
    <row r="23222" spans="1:3">
      <c r="A23222" s="569" t="s">
        <v>1502</v>
      </c>
      <c r="B23222" s="570">
        <v>3377.8</v>
      </c>
      <c r="C23222" s="570">
        <v>706.98900000000003</v>
      </c>
    </row>
    <row r="23223" spans="1:3">
      <c r="A23223" s="569" t="s">
        <v>1502</v>
      </c>
      <c r="B23223" s="570">
        <v>3588.93</v>
      </c>
      <c r="C23223" s="570">
        <v>704.31299999999999</v>
      </c>
    </row>
    <row r="23224" spans="1:3">
      <c r="A23224" s="569" t="s">
        <v>1502</v>
      </c>
      <c r="B23224" s="570">
        <v>3813.18</v>
      </c>
      <c r="C23224" s="570">
        <v>704.327</v>
      </c>
    </row>
    <row r="23225" spans="1:3">
      <c r="A23225" s="569" t="s">
        <v>1502</v>
      </c>
      <c r="B23225" s="570">
        <v>4133.37</v>
      </c>
      <c r="C23225" s="570">
        <v>733.92399999999998</v>
      </c>
    </row>
    <row r="23226" spans="1:3">
      <c r="A23226" s="569" t="s">
        <v>1502</v>
      </c>
      <c r="B23226" s="570">
        <v>4348.3100000000004</v>
      </c>
      <c r="C23226" s="570">
        <v>704.35500000000002</v>
      </c>
    </row>
    <row r="23227" spans="1:3">
      <c r="A23227" s="569" t="s">
        <v>1502</v>
      </c>
      <c r="B23227" s="570">
        <v>4527</v>
      </c>
      <c r="C23227" s="570">
        <v>725.87699999999995</v>
      </c>
    </row>
    <row r="23228" spans="1:3">
      <c r="A23228" s="569" t="s">
        <v>1502</v>
      </c>
      <c r="B23228" s="570">
        <v>4762.01</v>
      </c>
      <c r="C23228" s="570">
        <v>709.75400000000002</v>
      </c>
    </row>
    <row r="23229" spans="1:3">
      <c r="A23229" s="569" t="s">
        <v>1502</v>
      </c>
      <c r="B23229" s="570">
        <v>4957.3599999999997</v>
      </c>
      <c r="C23229" s="570">
        <v>742.03099999999995</v>
      </c>
    </row>
    <row r="23230" spans="1:3">
      <c r="A23230" s="569" t="s">
        <v>1502</v>
      </c>
      <c r="B23230" s="570">
        <v>5214.01</v>
      </c>
      <c r="C23230" s="570">
        <v>747.42</v>
      </c>
    </row>
    <row r="23231" spans="1:3">
      <c r="A23231" s="569" t="s">
        <v>1502</v>
      </c>
      <c r="B23231" s="570">
        <v>5485.43</v>
      </c>
      <c r="C23231" s="570">
        <v>709.78399999999999</v>
      </c>
    </row>
    <row r="23232" spans="1:3">
      <c r="A23232" s="569" t="s">
        <v>1502</v>
      </c>
      <c r="B23232" s="570">
        <v>5595.96</v>
      </c>
      <c r="C23232" s="570">
        <v>750.125</v>
      </c>
    </row>
    <row r="23233" spans="1:3">
      <c r="A23233" s="569" t="s">
        <v>1502</v>
      </c>
      <c r="B23233" s="570">
        <v>6191.11</v>
      </c>
      <c r="C23233" s="570">
        <v>742.08</v>
      </c>
    </row>
    <row r="23234" spans="1:3">
      <c r="A23234" s="569" t="s">
        <v>1502</v>
      </c>
      <c r="B23234" s="570">
        <v>6850.02</v>
      </c>
      <c r="C23234" s="570">
        <v>723.27800000000002</v>
      </c>
    </row>
    <row r="23235" spans="1:3">
      <c r="A23235" s="569" t="s">
        <v>1502</v>
      </c>
      <c r="B23235" s="570">
        <v>7426.58</v>
      </c>
      <c r="C23235" s="570">
        <v>723.29600000000005</v>
      </c>
    </row>
    <row r="23236" spans="1:3">
      <c r="A23236" s="569" t="s">
        <v>1502</v>
      </c>
      <c r="B23236" s="570">
        <v>7970.88</v>
      </c>
      <c r="C23236" s="570">
        <v>720.62300000000005</v>
      </c>
    </row>
    <row r="23237" spans="1:3">
      <c r="A23237" s="569" t="s">
        <v>1502</v>
      </c>
      <c r="B23237" s="570">
        <v>8383.82</v>
      </c>
      <c r="C23237" s="570">
        <v>720.63400000000001</v>
      </c>
    </row>
    <row r="23238" spans="1:3">
      <c r="A23238" s="569" t="s">
        <v>1502</v>
      </c>
      <c r="B23238" s="570">
        <v>10363.799999999999</v>
      </c>
      <c r="C23238" s="570">
        <v>739.50400000000002</v>
      </c>
    </row>
    <row r="23239" spans="1:3">
      <c r="A23239" s="569" t="s">
        <v>1502</v>
      </c>
      <c r="B23239" s="570">
        <v>11009.9</v>
      </c>
      <c r="C23239" s="570">
        <v>761.029</v>
      </c>
    </row>
    <row r="23240" spans="1:3">
      <c r="A23240" s="571" t="s">
        <v>1501</v>
      </c>
      <c r="B23240" s="572">
        <v>3.0065608639320076</v>
      </c>
      <c r="C23240" s="572">
        <v>300</v>
      </c>
    </row>
    <row r="23241" spans="1:3">
      <c r="A23241" s="571" t="s">
        <v>1501</v>
      </c>
      <c r="B23241" s="572">
        <v>4.0296098551707269</v>
      </c>
      <c r="C23241" s="572">
        <v>353.16500000000002</v>
      </c>
    </row>
    <row r="23242" spans="1:3">
      <c r="A23242" s="571" t="s">
        <v>1501</v>
      </c>
      <c r="B23242" s="572">
        <v>7.0224879069659814</v>
      </c>
      <c r="C23242" s="572">
        <v>527.84799999999996</v>
      </c>
    </row>
    <row r="23243" spans="1:3">
      <c r="A23243" s="571" t="s">
        <v>1501</v>
      </c>
      <c r="B23243" s="572">
        <v>8.0077222295040595</v>
      </c>
      <c r="C23243" s="572">
        <v>577.21500000000003</v>
      </c>
    </row>
    <row r="23244" spans="1:3">
      <c r="A23244" s="571" t="s">
        <v>1501</v>
      </c>
      <c r="B23244" s="572">
        <v>9.039408228527579</v>
      </c>
      <c r="C23244" s="572">
        <v>603.79700000000003</v>
      </c>
    </row>
    <row r="23245" spans="1:3">
      <c r="A23245" s="571" t="s">
        <v>1501</v>
      </c>
      <c r="B23245" s="572">
        <v>10.95140903100283</v>
      </c>
      <c r="C23245" s="572">
        <v>691.13900000000001</v>
      </c>
    </row>
    <row r="23246" spans="1:3">
      <c r="A23246" s="571" t="s">
        <v>1501</v>
      </c>
      <c r="B23246" s="572">
        <v>14.9775231662111</v>
      </c>
      <c r="C23246" s="572">
        <v>824.05100000000004</v>
      </c>
    </row>
    <row r="23247" spans="1:3">
      <c r="A23247" s="571" t="s">
        <v>1501</v>
      </c>
      <c r="B23247" s="572">
        <v>17.963460361916376</v>
      </c>
      <c r="C23247" s="572">
        <v>881.01300000000003</v>
      </c>
    </row>
    <row r="23248" spans="1:3">
      <c r="A23248" s="571" t="s">
        <v>1501</v>
      </c>
      <c r="B23248" s="572">
        <v>20.901622511126803</v>
      </c>
      <c r="C23248" s="572">
        <v>937.97500000000002</v>
      </c>
    </row>
    <row r="23249" spans="1:3">
      <c r="A23249" s="571" t="s">
        <v>1501</v>
      </c>
      <c r="B23249" s="572">
        <v>30.990601101066812</v>
      </c>
      <c r="C23249" s="572">
        <v>1048.0999999999999</v>
      </c>
    </row>
    <row r="23250" spans="1:3">
      <c r="A23250" s="571" t="s">
        <v>1501</v>
      </c>
      <c r="B23250" s="572">
        <v>37.927131723594997</v>
      </c>
      <c r="C23250" s="572">
        <v>1101.27</v>
      </c>
    </row>
    <row r="23251" spans="1:3">
      <c r="A23251" s="571" t="s">
        <v>1501</v>
      </c>
      <c r="B23251" s="572">
        <v>50.832328021667472</v>
      </c>
      <c r="C23251" s="572">
        <v>1135.44</v>
      </c>
    </row>
    <row r="23252" spans="1:3">
      <c r="A23252" s="571" t="s">
        <v>1501</v>
      </c>
      <c r="B23252" s="572">
        <v>52.927331718923057</v>
      </c>
      <c r="C23252" s="572">
        <v>1173.42</v>
      </c>
    </row>
    <row r="23253" spans="1:3">
      <c r="A23253" s="571" t="s">
        <v>1501</v>
      </c>
      <c r="B23253" s="572">
        <v>77.687295003961893</v>
      </c>
      <c r="C23253" s="572">
        <v>1192.4100000000001</v>
      </c>
    </row>
    <row r="23254" spans="1:3">
      <c r="A23254" s="571" t="s">
        <v>1501</v>
      </c>
      <c r="B23254" s="572">
        <v>92.238026003409828</v>
      </c>
      <c r="C23254" s="572">
        <v>1218.99</v>
      </c>
    </row>
    <row r="23255" spans="1:3">
      <c r="A23255" s="573" t="s">
        <v>1501</v>
      </c>
      <c r="B23255" s="574">
        <v>100</v>
      </c>
      <c r="C23255" s="574">
        <v>1218.99</v>
      </c>
    </row>
    <row r="23256" spans="1:3">
      <c r="A23256" s="573" t="s">
        <v>1501</v>
      </c>
      <c r="B23256" s="574">
        <v>127.42657200739166</v>
      </c>
      <c r="C23256" s="574">
        <v>1253.1600000000001</v>
      </c>
    </row>
    <row r="23257" spans="1:3">
      <c r="A23257" s="573" t="s">
        <v>1501</v>
      </c>
      <c r="B23257" s="574">
        <v>154.38318628248203</v>
      </c>
      <c r="C23257" s="574">
        <v>1272.1500000000001</v>
      </c>
    </row>
    <row r="23258" spans="1:3">
      <c r="A23258" s="573" t="s">
        <v>1501</v>
      </c>
      <c r="B23258" s="574">
        <v>183.29895963151543</v>
      </c>
      <c r="C23258" s="574">
        <v>1222.78</v>
      </c>
    </row>
    <row r="23259" spans="1:3">
      <c r="A23259" s="573" t="s">
        <v>1501</v>
      </c>
      <c r="B23259" s="574">
        <v>209.01622511126826</v>
      </c>
      <c r="C23259" s="574">
        <v>1287.3399999999999</v>
      </c>
    </row>
    <row r="23260" spans="1:3">
      <c r="A23260" s="573" t="s">
        <v>1501</v>
      </c>
      <c r="B23260" s="574">
        <v>245.66879746993959</v>
      </c>
      <c r="C23260" s="574">
        <v>1306.33</v>
      </c>
    </row>
    <row r="23261" spans="1:3">
      <c r="A23261" s="573" t="s">
        <v>1501</v>
      </c>
      <c r="B23261" s="574">
        <v>280.1366945999992</v>
      </c>
      <c r="C23261" s="574">
        <v>1294.94</v>
      </c>
    </row>
    <row r="23262" spans="1:3">
      <c r="A23262" s="573" t="s">
        <v>1501</v>
      </c>
      <c r="B23262" s="574">
        <v>309.90601101066807</v>
      </c>
      <c r="C23262" s="574">
        <v>1287.3399999999999</v>
      </c>
    </row>
    <row r="23263" spans="1:3">
      <c r="A23263" s="573" t="s">
        <v>1501</v>
      </c>
      <c r="B23263" s="574">
        <v>335.98508601995877</v>
      </c>
      <c r="C23263" s="574">
        <v>1310.1300000000001</v>
      </c>
    </row>
    <row r="23264" spans="1:3">
      <c r="A23264" s="573" t="s">
        <v>1501</v>
      </c>
      <c r="B23264" s="574">
        <v>360.59524866416433</v>
      </c>
      <c r="C23264" s="574">
        <v>1313.92</v>
      </c>
    </row>
    <row r="23265" spans="1:3">
      <c r="A23265" s="573" t="s">
        <v>1501</v>
      </c>
      <c r="B23265" s="574">
        <v>390.93990221650466</v>
      </c>
      <c r="C23265" s="574">
        <v>1264.56</v>
      </c>
    </row>
    <row r="23266" spans="1:3">
      <c r="A23266" s="573" t="s">
        <v>1501</v>
      </c>
      <c r="B23266" s="574">
        <v>415.35553287781221</v>
      </c>
      <c r="C23266" s="574">
        <v>1253.1600000000001</v>
      </c>
    </row>
    <row r="23267" spans="1:3">
      <c r="A23267" s="573" t="s">
        <v>1501</v>
      </c>
      <c r="B23267" s="574">
        <v>445.77940478350274</v>
      </c>
      <c r="C23267" s="574">
        <v>1256.96</v>
      </c>
    </row>
    <row r="23268" spans="1:3">
      <c r="A23268" s="573" t="s">
        <v>1501</v>
      </c>
      <c r="B23268" s="574">
        <v>473.63086913163744</v>
      </c>
      <c r="C23268" s="574">
        <v>1260.76</v>
      </c>
    </row>
    <row r="23269" spans="1:3">
      <c r="A23269" s="569" t="s">
        <v>1501</v>
      </c>
      <c r="B23269" s="570">
        <v>534.65052793591292</v>
      </c>
      <c r="C23269" s="570">
        <v>1310.1300000000001</v>
      </c>
    </row>
    <row r="23270" spans="1:3">
      <c r="A23270" s="569" t="s">
        <v>1501</v>
      </c>
      <c r="B23270" s="570">
        <v>591.466293389209</v>
      </c>
      <c r="C23270" s="570">
        <v>1298.73</v>
      </c>
    </row>
    <row r="23271" spans="1:3">
      <c r="A23271" s="569" t="s">
        <v>1501</v>
      </c>
      <c r="B23271" s="570">
        <v>647.7389306956361</v>
      </c>
      <c r="C23271" s="570">
        <v>1321.52</v>
      </c>
    </row>
    <row r="23272" spans="1:3">
      <c r="A23272" s="569" t="s">
        <v>1501</v>
      </c>
      <c r="B23272" s="570">
        <v>702.24717371086365</v>
      </c>
      <c r="C23272" s="570">
        <v>1310.1300000000001</v>
      </c>
    </row>
    <row r="23273" spans="1:3">
      <c r="A23273" s="569" t="s">
        <v>1501</v>
      </c>
      <c r="B23273" s="570">
        <v>723.85236886117707</v>
      </c>
      <c r="C23273" s="570">
        <v>1291.1400000000001</v>
      </c>
    </row>
    <row r="23274" spans="1:3">
      <c r="A23274" s="569" t="s">
        <v>1501</v>
      </c>
      <c r="B23274" s="570">
        <v>753.68522224505114</v>
      </c>
      <c r="C23274" s="570">
        <v>1275.95</v>
      </c>
    </row>
    <row r="23275" spans="1:3">
      <c r="A23275" s="569" t="s">
        <v>1501</v>
      </c>
      <c r="B23275" s="570">
        <v>808.89099379195579</v>
      </c>
      <c r="C23275" s="570">
        <v>1298.73</v>
      </c>
    </row>
    <row r="23276" spans="1:3">
      <c r="A23276" s="569" t="s">
        <v>1501</v>
      </c>
      <c r="B23276" s="570">
        <v>922.38026003409846</v>
      </c>
      <c r="C23276" s="570">
        <v>1321.52</v>
      </c>
    </row>
    <row r="23277" spans="1:3">
      <c r="A23277" s="569" t="s">
        <v>1501</v>
      </c>
      <c r="B23277" s="570">
        <v>989.94256908818352</v>
      </c>
      <c r="C23277" s="570">
        <v>1306.33</v>
      </c>
    </row>
    <row r="23278" spans="1:3">
      <c r="A23278" s="569" t="s">
        <v>1501</v>
      </c>
      <c r="B23278" s="570">
        <v>1020.3989428457804</v>
      </c>
      <c r="C23278" s="570">
        <v>1344.3</v>
      </c>
    </row>
    <row r="23279" spans="1:3">
      <c r="A23279" s="569" t="s">
        <v>1501</v>
      </c>
      <c r="B23279" s="570">
        <v>1084.1515623535063</v>
      </c>
      <c r="C23279" s="570">
        <v>1329.11</v>
      </c>
    </row>
    <row r="23280" spans="1:3">
      <c r="A23280" s="569" t="s">
        <v>1501</v>
      </c>
      <c r="B23280" s="570">
        <v>1199.3612136378783</v>
      </c>
      <c r="C23280" s="570">
        <v>1302.53</v>
      </c>
    </row>
    <row r="23281" spans="1:3">
      <c r="A23281" s="569" t="s">
        <v>1501</v>
      </c>
      <c r="B23281" s="570">
        <v>1274.2657200739168</v>
      </c>
      <c r="C23281" s="570">
        <v>1298.73</v>
      </c>
    </row>
    <row r="23282" spans="1:3">
      <c r="A23282" s="569" t="s">
        <v>1501</v>
      </c>
      <c r="B23282" s="570">
        <v>1340.2629123689844</v>
      </c>
      <c r="C23282" s="570">
        <v>1348.1</v>
      </c>
    </row>
    <row r="23283" spans="1:3">
      <c r="A23283" s="569" t="s">
        <v>1501</v>
      </c>
      <c r="B23283" s="570">
        <v>1453.0481304092939</v>
      </c>
      <c r="C23283" s="570">
        <v>1317.72</v>
      </c>
    </row>
    <row r="23284" spans="1:3">
      <c r="A23284" s="569" t="s">
        <v>1501</v>
      </c>
      <c r="B23284" s="570">
        <v>1543.8318628248207</v>
      </c>
      <c r="C23284" s="570">
        <v>1329.11</v>
      </c>
    </row>
    <row r="23285" spans="1:3">
      <c r="A23285" s="569" t="s">
        <v>1501</v>
      </c>
      <c r="B23285" s="570">
        <v>1640.2498246449852</v>
      </c>
      <c r="C23285" s="570">
        <v>1405.06</v>
      </c>
    </row>
    <row r="23286" spans="1:3">
      <c r="A23286" s="569" t="s">
        <v>1501</v>
      </c>
      <c r="B23286" s="570">
        <v>1707.8904102954702</v>
      </c>
      <c r="C23286" s="570">
        <v>1397.47</v>
      </c>
    </row>
    <row r="23287" spans="1:3">
      <c r="A23287" s="569" t="s">
        <v>1501</v>
      </c>
      <c r="B23287" s="570">
        <v>1814.5544300881338</v>
      </c>
      <c r="C23287" s="570">
        <v>1325.32</v>
      </c>
    </row>
    <row r="23288" spans="1:3">
      <c r="A23288" s="569" t="s">
        <v>1501</v>
      </c>
      <c r="B23288" s="570">
        <v>2007.3818818820023</v>
      </c>
      <c r="C23288" s="570">
        <v>1329.11</v>
      </c>
    </row>
    <row r="23289" spans="1:3">
      <c r="A23289" s="569" t="s">
        <v>1501</v>
      </c>
      <c r="B23289" s="570">
        <v>2154.418154198007</v>
      </c>
      <c r="C23289" s="570">
        <v>1386.08</v>
      </c>
    </row>
    <row r="23290" spans="1:3">
      <c r="A23290" s="569" t="s">
        <v>1501</v>
      </c>
      <c r="B23290" s="570">
        <v>2289.022175309663</v>
      </c>
      <c r="C23290" s="570">
        <v>1374.68</v>
      </c>
    </row>
    <row r="23291" spans="1:3">
      <c r="A23291" s="569" t="s">
        <v>1501</v>
      </c>
      <c r="B23291" s="570">
        <v>2407.5759700886847</v>
      </c>
      <c r="C23291" s="570">
        <v>1393.67</v>
      </c>
    </row>
    <row r="23292" spans="1:3">
      <c r="A23292" s="569" t="s">
        <v>1501</v>
      </c>
      <c r="B23292" s="570">
        <v>2532.2699422797491</v>
      </c>
      <c r="C23292" s="570">
        <v>1363.29</v>
      </c>
    </row>
    <row r="23293" spans="1:3">
      <c r="A23293" s="569" t="s">
        <v>1501</v>
      </c>
      <c r="B23293" s="570">
        <v>2663.4221059854181</v>
      </c>
      <c r="C23293" s="570">
        <v>1427.85</v>
      </c>
    </row>
    <row r="23294" spans="1:3">
      <c r="A23294" s="569" t="s">
        <v>1501</v>
      </c>
      <c r="B23294" s="570">
        <v>2887.5532374109553</v>
      </c>
      <c r="C23294" s="570">
        <v>1416.46</v>
      </c>
    </row>
    <row r="23295" spans="1:3">
      <c r="A23295" s="569" t="s">
        <v>1501</v>
      </c>
      <c r="B23295" s="570">
        <v>3067.8915271577121</v>
      </c>
      <c r="C23295" s="570">
        <v>1408.86</v>
      </c>
    </row>
    <row r="23296" spans="1:3">
      <c r="A23296" s="569" t="s">
        <v>1501</v>
      </c>
      <c r="B23296" s="570">
        <v>3259.5676579427945</v>
      </c>
      <c r="C23296" s="570">
        <v>1397.47</v>
      </c>
    </row>
    <row r="23297" spans="1:3">
      <c r="A23297" s="569" t="s">
        <v>1501</v>
      </c>
      <c r="B23297" s="570">
        <v>3428.3882658671409</v>
      </c>
      <c r="C23297" s="570">
        <v>1416.46</v>
      </c>
    </row>
    <row r="23298" spans="1:3">
      <c r="A23298" s="569" t="s">
        <v>1501</v>
      </c>
      <c r="B23298" s="570">
        <v>3605.9524866416441</v>
      </c>
      <c r="C23298" s="570">
        <v>1408.86</v>
      </c>
    </row>
    <row r="23299" spans="1:3">
      <c r="A23299" s="569" t="s">
        <v>1501</v>
      </c>
      <c r="B23299" s="570">
        <v>3831.1574442243777</v>
      </c>
      <c r="C23299" s="570">
        <v>1401.27</v>
      </c>
    </row>
    <row r="23300" spans="1:3">
      <c r="A23300" s="569" t="s">
        <v>1501</v>
      </c>
      <c r="B23300" s="570">
        <v>3989.1466293795393</v>
      </c>
      <c r="C23300" s="570">
        <v>1439.24</v>
      </c>
    </row>
    <row r="23301" spans="1:3">
      <c r="A23301" s="569" t="s">
        <v>1501</v>
      </c>
      <c r="B23301" s="570">
        <v>4111.8759113722717</v>
      </c>
      <c r="C23301" s="570">
        <v>1465.82</v>
      </c>
    </row>
    <row r="23302" spans="1:3">
      <c r="A23302" s="569" t="s">
        <v>1501</v>
      </c>
      <c r="B23302" s="570">
        <v>4324.7399687347342</v>
      </c>
      <c r="C23302" s="570">
        <v>1412.66</v>
      </c>
    </row>
    <row r="23303" spans="1:3">
      <c r="A23303" s="569" t="s">
        <v>1501</v>
      </c>
      <c r="B23303" s="570">
        <v>4548.7283338350717</v>
      </c>
      <c r="C23303" s="570">
        <v>1431.65</v>
      </c>
    </row>
    <row r="23304" spans="1:3">
      <c r="A23304" s="569" t="s">
        <v>1501</v>
      </c>
      <c r="B23304" s="570">
        <v>4688.6735938764177</v>
      </c>
      <c r="C23304" s="570">
        <v>1420.25</v>
      </c>
    </row>
    <row r="23305" spans="1:3">
      <c r="A23305" s="569" t="s">
        <v>1501</v>
      </c>
      <c r="B23305" s="570">
        <v>4882.0250108670671</v>
      </c>
      <c r="C23305" s="570">
        <v>1446.84</v>
      </c>
    </row>
    <row r="23306" spans="1:3">
      <c r="A23306" s="569" t="s">
        <v>1501</v>
      </c>
      <c r="B23306" s="570">
        <v>4981.6131600354074</v>
      </c>
      <c r="C23306" s="570">
        <v>1450.63</v>
      </c>
    </row>
    <row r="23307" spans="1:3">
      <c r="A23307" s="569" t="s">
        <v>1501</v>
      </c>
      <c r="B23307" s="570">
        <v>5134.876467479141</v>
      </c>
      <c r="C23307" s="570">
        <v>1443.04</v>
      </c>
    </row>
    <row r="23308" spans="1:3">
      <c r="A23308" s="569" t="s">
        <v>1501</v>
      </c>
      <c r="B23308" s="570">
        <v>10624.781316706678</v>
      </c>
      <c r="C23308" s="570">
        <v>1450.63</v>
      </c>
    </row>
    <row r="23309" spans="1:3">
      <c r="A23309" s="569" t="s">
        <v>1501</v>
      </c>
      <c r="B23309" s="570">
        <v>10841.515623535075</v>
      </c>
      <c r="C23309" s="570">
        <v>1446.84</v>
      </c>
    </row>
    <row r="23310" spans="1:3">
      <c r="A23310" s="571" t="s">
        <v>1500</v>
      </c>
      <c r="B23310" s="572">
        <v>1.9085432233776873</v>
      </c>
      <c r="C23310" s="572">
        <v>163.291</v>
      </c>
    </row>
    <row r="23311" spans="1:3">
      <c r="A23311" s="571" t="s">
        <v>1500</v>
      </c>
      <c r="B23311" s="572">
        <v>4.9815902189118235</v>
      </c>
      <c r="C23311" s="572">
        <v>364.55700000000002</v>
      </c>
    </row>
    <row r="23312" spans="1:3">
      <c r="A23312" s="571" t="s">
        <v>1500</v>
      </c>
      <c r="B23312" s="572">
        <v>6.03534359875301</v>
      </c>
      <c r="C23312" s="572">
        <v>406.32900000000001</v>
      </c>
    </row>
    <row r="23313" spans="1:3">
      <c r="A23313" s="571" t="s">
        <v>1500</v>
      </c>
      <c r="B23313" s="572">
        <v>7.0224879069659814</v>
      </c>
      <c r="C23313" s="572">
        <v>440.50599999999997</v>
      </c>
    </row>
    <row r="23314" spans="1:3">
      <c r="A23314" s="571" t="s">
        <v>1500</v>
      </c>
      <c r="B23314" s="572">
        <v>8.9485774238498141</v>
      </c>
      <c r="C23314" s="572">
        <v>516.45600000000002</v>
      </c>
    </row>
    <row r="23315" spans="1:3">
      <c r="A23315" s="571" t="s">
        <v>1500</v>
      </c>
      <c r="B23315" s="572">
        <v>13.00289333591703</v>
      </c>
      <c r="C23315" s="572">
        <v>600</v>
      </c>
    </row>
    <row r="23316" spans="1:3">
      <c r="A23316" s="571" t="s">
        <v>1500</v>
      </c>
      <c r="B23316" s="572">
        <v>16.074593531727015</v>
      </c>
      <c r="C23316" s="572">
        <v>702.53200000000004</v>
      </c>
    </row>
    <row r="23317" spans="1:3">
      <c r="A23317" s="571" t="s">
        <v>1500</v>
      </c>
      <c r="B23317" s="572">
        <v>19.085344342315743</v>
      </c>
      <c r="C23317" s="572">
        <v>774.68399999999997</v>
      </c>
    </row>
    <row r="23318" spans="1:3">
      <c r="A23318" s="571" t="s">
        <v>1500</v>
      </c>
      <c r="B23318" s="572">
        <v>20.901622511126803</v>
      </c>
      <c r="C23318" s="572">
        <v>786.07600000000002</v>
      </c>
    </row>
    <row r="23319" spans="1:3">
      <c r="A23319" s="571" t="s">
        <v>1500</v>
      </c>
      <c r="B23319" s="572">
        <v>28.875532374109564</v>
      </c>
      <c r="C23319" s="572">
        <v>900</v>
      </c>
    </row>
    <row r="23320" spans="1:3">
      <c r="A23320" s="571" t="s">
        <v>1500</v>
      </c>
      <c r="B23320" s="572">
        <v>36.05952486641641</v>
      </c>
      <c r="C23320" s="572">
        <v>972.15200000000004</v>
      </c>
    </row>
    <row r="23321" spans="1:3">
      <c r="A23321" s="571" t="s">
        <v>1500</v>
      </c>
      <c r="B23321" s="572">
        <v>48.820250108670649</v>
      </c>
      <c r="C23321" s="572">
        <v>1010.13</v>
      </c>
    </row>
    <row r="23322" spans="1:3">
      <c r="A23322" s="571" t="s">
        <v>1500</v>
      </c>
      <c r="B23322" s="572">
        <v>60.353158050326051</v>
      </c>
      <c r="C23322" s="572">
        <v>1021.52</v>
      </c>
    </row>
    <row r="23323" spans="1:3">
      <c r="A23323" s="571" t="s">
        <v>1500</v>
      </c>
      <c r="B23323" s="572">
        <v>76.134237053696623</v>
      </c>
      <c r="C23323" s="572">
        <v>1086.08</v>
      </c>
    </row>
    <row r="23324" spans="1:3">
      <c r="A23324" s="571" t="s">
        <v>1500</v>
      </c>
      <c r="B23324" s="572">
        <v>90.394082285275857</v>
      </c>
      <c r="C23324" s="572">
        <v>1112.6600000000001</v>
      </c>
    </row>
    <row r="23325" spans="1:3">
      <c r="A23325" s="573" t="s">
        <v>1500</v>
      </c>
      <c r="B23325" s="574">
        <v>100</v>
      </c>
      <c r="C23325" s="574">
        <v>1124.05</v>
      </c>
    </row>
    <row r="23326" spans="1:3">
      <c r="A23326" s="573" t="s">
        <v>1500</v>
      </c>
      <c r="B23326" s="574">
        <v>124.87916897680545</v>
      </c>
      <c r="C23326" s="574">
        <v>1150.6300000000001</v>
      </c>
    </row>
    <row r="23327" spans="1:3">
      <c r="A23327" s="573" t="s">
        <v>1500</v>
      </c>
      <c r="B23327" s="574">
        <v>154.38318628248203</v>
      </c>
      <c r="C23327" s="574">
        <v>1169.6199999999999</v>
      </c>
    </row>
    <row r="23328" spans="1:3">
      <c r="A23328" s="573" t="s">
        <v>1500</v>
      </c>
      <c r="B23328" s="574">
        <v>181.45544300881335</v>
      </c>
      <c r="C23328" s="574">
        <v>1173.42</v>
      </c>
    </row>
    <row r="23329" spans="1:3">
      <c r="A23329" s="573" t="s">
        <v>1500</v>
      </c>
      <c r="B23329" s="574">
        <v>206.91405886776249</v>
      </c>
      <c r="C23329" s="574">
        <v>1184.81</v>
      </c>
    </row>
    <row r="23330" spans="1:3">
      <c r="A23330" s="573" t="s">
        <v>1500</v>
      </c>
      <c r="B23330" s="574">
        <v>243.19800051219605</v>
      </c>
      <c r="C23330" s="574">
        <v>1203.8</v>
      </c>
    </row>
    <row r="23331" spans="1:3">
      <c r="A23331" s="573" t="s">
        <v>1500</v>
      </c>
      <c r="B23331" s="574">
        <v>277.31923914819464</v>
      </c>
      <c r="C23331" s="574">
        <v>1184.81</v>
      </c>
    </row>
    <row r="23332" spans="1:3">
      <c r="A23332" s="573" t="s">
        <v>1500</v>
      </c>
      <c r="B23332" s="574">
        <v>306.78915271577142</v>
      </c>
      <c r="C23332" s="574">
        <v>1192.4100000000001</v>
      </c>
    </row>
    <row r="23333" spans="1:3">
      <c r="A23333" s="573" t="s">
        <v>1500</v>
      </c>
      <c r="B23333" s="574">
        <v>332.60593922991183</v>
      </c>
      <c r="C23333" s="574">
        <v>1215.19</v>
      </c>
    </row>
    <row r="23334" spans="1:3">
      <c r="A23334" s="573" t="s">
        <v>1500</v>
      </c>
      <c r="B23334" s="574">
        <v>360.59524866416433</v>
      </c>
      <c r="C23334" s="574">
        <v>1215.19</v>
      </c>
    </row>
    <row r="23335" spans="1:3">
      <c r="A23335" s="573" t="s">
        <v>1500</v>
      </c>
      <c r="B23335" s="574">
        <v>387.00805115928927</v>
      </c>
      <c r="C23335" s="574">
        <v>1165.82</v>
      </c>
    </row>
    <row r="23336" spans="1:3">
      <c r="A23336" s="573" t="s">
        <v>1500</v>
      </c>
      <c r="B23336" s="574">
        <v>415.35553287781221</v>
      </c>
      <c r="C23336" s="574">
        <v>1143.04</v>
      </c>
    </row>
    <row r="23337" spans="1:3">
      <c r="A23337" s="573" t="s">
        <v>1500</v>
      </c>
      <c r="B23337" s="574">
        <v>473.63086913163744</v>
      </c>
      <c r="C23337" s="574">
        <v>1146.8399999999999</v>
      </c>
    </row>
    <row r="23338" spans="1:3">
      <c r="A23338" s="569" t="s">
        <v>1500</v>
      </c>
      <c r="B23338" s="570">
        <v>503.21085394502734</v>
      </c>
      <c r="C23338" s="570">
        <v>1154.43</v>
      </c>
    </row>
    <row r="23339" spans="1:3">
      <c r="A23339" s="569" t="s">
        <v>1500</v>
      </c>
      <c r="B23339" s="570">
        <v>556.68561616338764</v>
      </c>
      <c r="C23339" s="570">
        <v>1207.5899999999999</v>
      </c>
    </row>
    <row r="23340" spans="1:3">
      <c r="A23340" s="569" t="s">
        <v>1500</v>
      </c>
      <c r="B23340" s="570">
        <v>622.09971158913891</v>
      </c>
      <c r="C23340" s="570">
        <v>1196.2</v>
      </c>
    </row>
    <row r="23341" spans="1:3">
      <c r="A23341" s="569" t="s">
        <v>1500</v>
      </c>
      <c r="B23341" s="570">
        <v>674.45037425903024</v>
      </c>
      <c r="C23341" s="570">
        <v>1211.3900000000001</v>
      </c>
    </row>
    <row r="23342" spans="1:3">
      <c r="A23342" s="569" t="s">
        <v>1500</v>
      </c>
      <c r="B23342" s="570">
        <v>695.20037867423969</v>
      </c>
      <c r="C23342" s="570">
        <v>1200</v>
      </c>
    </row>
    <row r="23343" spans="1:3">
      <c r="A23343" s="569" t="s">
        <v>1500</v>
      </c>
      <c r="B23343" s="570">
        <v>723.85236886117707</v>
      </c>
      <c r="C23343" s="570">
        <v>1169.6199999999999</v>
      </c>
    </row>
    <row r="23344" spans="1:3">
      <c r="A23344" s="569" t="s">
        <v>1500</v>
      </c>
      <c r="B23344" s="570">
        <v>753.68522224505114</v>
      </c>
      <c r="C23344" s="570">
        <v>1169.6199999999999</v>
      </c>
    </row>
    <row r="23345" spans="1:3">
      <c r="A23345" s="569" t="s">
        <v>1500</v>
      </c>
      <c r="B23345" s="570">
        <v>808.89099379195579</v>
      </c>
      <c r="C23345" s="570">
        <v>1188.6099999999999</v>
      </c>
    </row>
    <row r="23346" spans="1:3">
      <c r="A23346" s="569" t="s">
        <v>1500</v>
      </c>
      <c r="B23346" s="570">
        <v>868.16045561199542</v>
      </c>
      <c r="C23346" s="570">
        <v>1203.8</v>
      </c>
    </row>
    <row r="23347" spans="1:3">
      <c r="A23347" s="569" t="s">
        <v>1500</v>
      </c>
      <c r="B23347" s="570">
        <v>922.38026003409846</v>
      </c>
      <c r="C23347" s="570">
        <v>1188.6099999999999</v>
      </c>
    </row>
    <row r="23348" spans="1:3">
      <c r="A23348" s="569" t="s">
        <v>1500</v>
      </c>
      <c r="B23348" s="570">
        <v>1020.3989428457804</v>
      </c>
      <c r="C23348" s="570">
        <v>1222.78</v>
      </c>
    </row>
    <row r="23349" spans="1:3">
      <c r="A23349" s="569" t="s">
        <v>1500</v>
      </c>
      <c r="B23349" s="570">
        <v>1073.2477829171974</v>
      </c>
      <c r="C23349" s="570">
        <v>1203.8</v>
      </c>
    </row>
    <row r="23350" spans="1:3">
      <c r="A23350" s="569" t="s">
        <v>1500</v>
      </c>
      <c r="B23350" s="570">
        <v>1084.1515623535063</v>
      </c>
      <c r="C23350" s="570">
        <v>1165.82</v>
      </c>
    </row>
    <row r="23351" spans="1:3">
      <c r="A23351" s="569" t="s">
        <v>1500</v>
      </c>
      <c r="B23351" s="570">
        <v>1187.298721093402</v>
      </c>
      <c r="C23351" s="570">
        <v>1143.04</v>
      </c>
    </row>
    <row r="23352" spans="1:3">
      <c r="A23352" s="569" t="s">
        <v>1500</v>
      </c>
      <c r="B23352" s="570">
        <v>1261.4789269222899</v>
      </c>
      <c r="C23352" s="570">
        <v>1173.42</v>
      </c>
    </row>
    <row r="23353" spans="1:3">
      <c r="A23353" s="569" t="s">
        <v>1500</v>
      </c>
      <c r="B23353" s="570">
        <v>1340.2629123689844</v>
      </c>
      <c r="C23353" s="570">
        <v>1218.99</v>
      </c>
    </row>
    <row r="23354" spans="1:3">
      <c r="A23354" s="569" t="s">
        <v>1500</v>
      </c>
      <c r="B23354" s="570">
        <v>1438.4341992261575</v>
      </c>
      <c r="C23354" s="570">
        <v>1192.4100000000001</v>
      </c>
    </row>
    <row r="23355" spans="1:3">
      <c r="A23355" s="569" t="s">
        <v>1500</v>
      </c>
      <c r="B23355" s="570">
        <v>1543.8318628248207</v>
      </c>
      <c r="C23355" s="570">
        <v>1200</v>
      </c>
    </row>
    <row r="23356" spans="1:3">
      <c r="A23356" s="569" t="s">
        <v>1500</v>
      </c>
      <c r="B23356" s="570">
        <v>1640.2498246449852</v>
      </c>
      <c r="C23356" s="570">
        <v>1275.95</v>
      </c>
    </row>
    <row r="23357" spans="1:3">
      <c r="A23357" s="569" t="s">
        <v>1500</v>
      </c>
      <c r="B23357" s="570">
        <v>1707.8904102954702</v>
      </c>
      <c r="C23357" s="570">
        <v>1275.95</v>
      </c>
    </row>
    <row r="23358" spans="1:3">
      <c r="A23358" s="569" t="s">
        <v>1500</v>
      </c>
      <c r="B23358" s="570">
        <v>1796.3460361916384</v>
      </c>
      <c r="C23358" s="570">
        <v>1211.3900000000001</v>
      </c>
    </row>
    <row r="23359" spans="1:3">
      <c r="A23359" s="569" t="s">
        <v>1500</v>
      </c>
      <c r="B23359" s="570">
        <v>2007.3818818820023</v>
      </c>
      <c r="C23359" s="570">
        <v>1200</v>
      </c>
    </row>
    <row r="23360" spans="1:3">
      <c r="A23360" s="569" t="s">
        <v>1500</v>
      </c>
      <c r="B23360" s="570">
        <v>2069.1405886776251</v>
      </c>
      <c r="C23360" s="570">
        <v>1184.81</v>
      </c>
    </row>
    <row r="23361" spans="1:3">
      <c r="A23361" s="569" t="s">
        <v>1500</v>
      </c>
      <c r="B23361" s="570">
        <v>2154.418154198007</v>
      </c>
      <c r="C23361" s="570">
        <v>1256.96</v>
      </c>
    </row>
    <row r="23362" spans="1:3">
      <c r="A23362" s="569" t="s">
        <v>1500</v>
      </c>
      <c r="B23362" s="570">
        <v>2266.0004929258666</v>
      </c>
      <c r="C23362" s="570">
        <v>1253.1600000000001</v>
      </c>
    </row>
    <row r="23363" spans="1:3">
      <c r="A23363" s="569" t="s">
        <v>1500</v>
      </c>
      <c r="B23363" s="570">
        <v>2407.5759700886847</v>
      </c>
      <c r="C23363" s="570">
        <v>1256.96</v>
      </c>
    </row>
    <row r="23364" spans="1:3">
      <c r="A23364" s="569" t="s">
        <v>1500</v>
      </c>
      <c r="B23364" s="570">
        <v>2506.8018122851995</v>
      </c>
      <c r="C23364" s="570">
        <v>1230.3800000000001</v>
      </c>
    </row>
    <row r="23365" spans="1:3">
      <c r="A23365" s="569" t="s">
        <v>1500</v>
      </c>
      <c r="B23365" s="570">
        <v>2663.4221059854181</v>
      </c>
      <c r="C23365" s="570">
        <v>1279.75</v>
      </c>
    </row>
    <row r="23366" spans="1:3">
      <c r="A23366" s="569" t="s">
        <v>1500</v>
      </c>
      <c r="B23366" s="570">
        <v>2858.5118702215004</v>
      </c>
      <c r="C23366" s="570">
        <v>1283.54</v>
      </c>
    </row>
    <row r="23367" spans="1:3">
      <c r="A23367" s="569" t="s">
        <v>1500</v>
      </c>
      <c r="B23367" s="570">
        <v>3067.8915271577121</v>
      </c>
      <c r="C23367" s="570">
        <v>1287.3399999999999</v>
      </c>
    </row>
    <row r="23368" spans="1:3">
      <c r="A23368" s="569" t="s">
        <v>1500</v>
      </c>
      <c r="B23368" s="570">
        <v>3226.7847814206439</v>
      </c>
      <c r="C23368" s="570">
        <v>1264.56</v>
      </c>
    </row>
    <row r="23369" spans="1:3">
      <c r="A23369" s="569" t="s">
        <v>1500</v>
      </c>
      <c r="B23369" s="570">
        <v>3393.9074877442945</v>
      </c>
      <c r="C23369" s="570">
        <v>1279.75</v>
      </c>
    </row>
    <row r="23370" spans="1:3">
      <c r="A23370" s="569" t="s">
        <v>1500</v>
      </c>
      <c r="B23370" s="570">
        <v>3605.9524866416441</v>
      </c>
      <c r="C23370" s="570">
        <v>1272.1500000000001</v>
      </c>
    </row>
    <row r="23371" spans="1:3">
      <c r="A23371" s="569" t="s">
        <v>1500</v>
      </c>
      <c r="B23371" s="570">
        <v>3831.1574442243777</v>
      </c>
      <c r="C23371" s="570">
        <v>1275.95</v>
      </c>
    </row>
    <row r="23372" spans="1:3">
      <c r="A23372" s="569" t="s">
        <v>1500</v>
      </c>
      <c r="B23372" s="570">
        <v>3989.1466293795393</v>
      </c>
      <c r="C23372" s="570">
        <v>1306.33</v>
      </c>
    </row>
    <row r="23373" spans="1:3">
      <c r="A23373" s="569" t="s">
        <v>1500</v>
      </c>
      <c r="B23373" s="570">
        <v>4111.8759113722717</v>
      </c>
      <c r="C23373" s="570">
        <v>1344.3</v>
      </c>
    </row>
    <row r="23374" spans="1:3">
      <c r="A23374" s="569" t="s">
        <v>1500</v>
      </c>
      <c r="B23374" s="570">
        <v>4368.6776422981602</v>
      </c>
      <c r="C23374" s="570">
        <v>1294.94</v>
      </c>
    </row>
    <row r="23375" spans="1:3">
      <c r="A23375" s="569" t="s">
        <v>1500</v>
      </c>
      <c r="B23375" s="570">
        <v>4548.7283338350717</v>
      </c>
      <c r="C23375" s="570">
        <v>1306.33</v>
      </c>
    </row>
    <row r="23376" spans="1:3">
      <c r="A23376" s="569" t="s">
        <v>1500</v>
      </c>
      <c r="B23376" s="570">
        <v>4688.6735938764177</v>
      </c>
      <c r="C23376" s="570">
        <v>1317.72</v>
      </c>
    </row>
    <row r="23377" spans="1:3">
      <c r="A23377" s="569" t="s">
        <v>1500</v>
      </c>
      <c r="B23377" s="570">
        <v>4931.5109298489479</v>
      </c>
      <c r="C23377" s="570">
        <v>1321.52</v>
      </c>
    </row>
    <row r="23378" spans="1:3">
      <c r="A23378" s="569" t="s">
        <v>1500</v>
      </c>
      <c r="B23378" s="570">
        <v>5083.232802166749</v>
      </c>
      <c r="C23378" s="570">
        <v>1329.11</v>
      </c>
    </row>
    <row r="23379" spans="1:3">
      <c r="A23379" s="569" t="s">
        <v>1500</v>
      </c>
      <c r="B23379" s="570">
        <v>10101.596104924376</v>
      </c>
      <c r="C23379" s="570">
        <v>1389.87</v>
      </c>
    </row>
    <row r="23380" spans="1:3">
      <c r="A23380" s="571" t="s">
        <v>1499</v>
      </c>
      <c r="B23380" s="572">
        <v>1.7604107016376374</v>
      </c>
      <c r="C23380" s="572">
        <v>113.92400000000001</v>
      </c>
    </row>
    <row r="23381" spans="1:3">
      <c r="A23381" s="571" t="s">
        <v>1499</v>
      </c>
      <c r="B23381" s="572">
        <v>4.0296098551707269</v>
      </c>
      <c r="C23381" s="572">
        <v>231.64599999999999</v>
      </c>
    </row>
    <row r="23382" spans="1:3">
      <c r="A23382" s="571" t="s">
        <v>1499</v>
      </c>
      <c r="B23382" s="572">
        <v>7.0224879069659814</v>
      </c>
      <c r="C23382" s="572">
        <v>349.36700000000002</v>
      </c>
    </row>
    <row r="23383" spans="1:3">
      <c r="A23383" s="571" t="s">
        <v>1499</v>
      </c>
      <c r="B23383" s="572">
        <v>9.039408228527579</v>
      </c>
      <c r="C23383" s="572">
        <v>413.92399999999998</v>
      </c>
    </row>
    <row r="23384" spans="1:3">
      <c r="A23384" s="571" t="s">
        <v>1499</v>
      </c>
      <c r="B23384" s="572">
        <v>11.062671081101174</v>
      </c>
      <c r="C23384" s="572">
        <v>448.101</v>
      </c>
    </row>
    <row r="23385" spans="1:3">
      <c r="A23385" s="571" t="s">
        <v>1499</v>
      </c>
      <c r="B23385" s="572">
        <v>15.129340597769236</v>
      </c>
      <c r="C23385" s="572">
        <v>539.24099999999999</v>
      </c>
    </row>
    <row r="23386" spans="1:3">
      <c r="A23386" s="571" t="s">
        <v>1499</v>
      </c>
      <c r="B23386" s="572">
        <v>18.145544300881323</v>
      </c>
      <c r="C23386" s="572">
        <v>584.80999999999995</v>
      </c>
    </row>
    <row r="23387" spans="1:3">
      <c r="A23387" s="571" t="s">
        <v>1499</v>
      </c>
      <c r="B23387" s="572">
        <v>20.901622511126803</v>
      </c>
      <c r="C23387" s="572">
        <v>634.17700000000002</v>
      </c>
    </row>
    <row r="23388" spans="1:3">
      <c r="A23388" s="571" t="s">
        <v>1499</v>
      </c>
      <c r="B23388" s="572">
        <v>24.075759700886838</v>
      </c>
      <c r="C23388" s="572">
        <v>683.54399999999998</v>
      </c>
    </row>
    <row r="23389" spans="1:3">
      <c r="A23389" s="571" t="s">
        <v>1499</v>
      </c>
      <c r="B23389" s="572">
        <v>30.990601101066812</v>
      </c>
      <c r="C23389" s="572">
        <v>755.69600000000003</v>
      </c>
    </row>
    <row r="23390" spans="1:3">
      <c r="A23390" s="571" t="s">
        <v>1499</v>
      </c>
      <c r="B23390" s="572">
        <v>37.927131723594997</v>
      </c>
      <c r="C23390" s="572">
        <v>782.27800000000002</v>
      </c>
    </row>
    <row r="23391" spans="1:3">
      <c r="A23391" s="571" t="s">
        <v>1499</v>
      </c>
      <c r="B23391" s="572">
        <v>49.816131600354048</v>
      </c>
      <c r="C23391" s="572">
        <v>854.43</v>
      </c>
    </row>
    <row r="23392" spans="1:3">
      <c r="A23392" s="571" t="s">
        <v>1499</v>
      </c>
      <c r="B23392" s="572">
        <v>63.478988805022112</v>
      </c>
      <c r="C23392" s="572">
        <v>843.03800000000001</v>
      </c>
    </row>
    <row r="23393" spans="1:3">
      <c r="A23393" s="571" t="s">
        <v>1499</v>
      </c>
      <c r="B23393" s="572">
        <v>77.687295003961893</v>
      </c>
      <c r="C23393" s="572">
        <v>922.78499999999997</v>
      </c>
    </row>
    <row r="23394" spans="1:3">
      <c r="A23394" s="571" t="s">
        <v>1499</v>
      </c>
      <c r="B23394" s="572">
        <v>92.238026003409828</v>
      </c>
      <c r="C23394" s="572">
        <v>941.77200000000005</v>
      </c>
    </row>
    <row r="23395" spans="1:3">
      <c r="A23395" s="573" t="s">
        <v>1499</v>
      </c>
      <c r="B23395" s="574">
        <v>100</v>
      </c>
      <c r="C23395" s="574">
        <v>949.36699999999996</v>
      </c>
    </row>
    <row r="23396" spans="1:3">
      <c r="A23396" s="573" t="s">
        <v>1499</v>
      </c>
      <c r="B23396" s="574">
        <v>127.42657200739166</v>
      </c>
      <c r="C23396" s="574">
        <v>975.94899999999996</v>
      </c>
    </row>
    <row r="23397" spans="1:3">
      <c r="A23397" s="573" t="s">
        <v>1499</v>
      </c>
      <c r="B23397" s="574">
        <v>148.26887761736788</v>
      </c>
      <c r="C23397" s="574">
        <v>994.93700000000001</v>
      </c>
    </row>
    <row r="23398" spans="1:3">
      <c r="A23398" s="573" t="s">
        <v>1499</v>
      </c>
      <c r="B23398" s="574">
        <v>154.38318628248203</v>
      </c>
      <c r="C23398" s="574">
        <v>987.34199999999998</v>
      </c>
    </row>
    <row r="23399" spans="1:3">
      <c r="A23399" s="573" t="s">
        <v>1499</v>
      </c>
      <c r="B23399" s="574">
        <v>183.29895963151543</v>
      </c>
      <c r="C23399" s="574">
        <v>1006.33</v>
      </c>
    </row>
    <row r="23400" spans="1:3">
      <c r="A23400" s="573" t="s">
        <v>1499</v>
      </c>
      <c r="B23400" s="574">
        <v>211.13488692859428</v>
      </c>
      <c r="C23400" s="574">
        <v>1029.1099999999999</v>
      </c>
    </row>
    <row r="23401" spans="1:3">
      <c r="A23401" s="573" t="s">
        <v>1499</v>
      </c>
      <c r="B23401" s="574">
        <v>238.3361941104566</v>
      </c>
      <c r="C23401" s="574">
        <v>1040.51</v>
      </c>
    </row>
    <row r="23402" spans="1:3">
      <c r="A23402" s="573" t="s">
        <v>1499</v>
      </c>
      <c r="B23402" s="574">
        <v>274.53644142234134</v>
      </c>
      <c r="C23402" s="574">
        <v>1013.92</v>
      </c>
    </row>
    <row r="23403" spans="1:3">
      <c r="A23403" s="573" t="s">
        <v>1499</v>
      </c>
      <c r="B23403" s="574">
        <v>300.65608639320095</v>
      </c>
      <c r="C23403" s="574">
        <v>1010.13</v>
      </c>
    </row>
    <row r="23404" spans="1:3">
      <c r="A23404" s="573" t="s">
        <v>1499</v>
      </c>
      <c r="B23404" s="574">
        <v>329.26077797524664</v>
      </c>
      <c r="C23404" s="574">
        <v>1032.9100000000001</v>
      </c>
    </row>
    <row r="23405" spans="1:3">
      <c r="A23405" s="573" t="s">
        <v>1499</v>
      </c>
      <c r="B23405" s="574">
        <v>360.59524866416433</v>
      </c>
      <c r="C23405" s="574">
        <v>1025.32</v>
      </c>
    </row>
    <row r="23406" spans="1:3">
      <c r="A23406" s="573" t="s">
        <v>1499</v>
      </c>
      <c r="B23406" s="574">
        <v>383.11574442243773</v>
      </c>
      <c r="C23406" s="574">
        <v>991.13900000000001</v>
      </c>
    </row>
    <row r="23407" spans="1:3">
      <c r="A23407" s="573" t="s">
        <v>1499</v>
      </c>
      <c r="B23407" s="574">
        <v>411.18759113722746</v>
      </c>
      <c r="C23407" s="574">
        <v>960.75900000000001</v>
      </c>
    </row>
    <row r="23408" spans="1:3">
      <c r="A23408" s="573" t="s">
        <v>1499</v>
      </c>
      <c r="B23408" s="574">
        <v>436.86776422981552</v>
      </c>
      <c r="C23408" s="574">
        <v>956.96199999999999</v>
      </c>
    </row>
    <row r="23409" spans="1:3">
      <c r="A23409" s="573" t="s">
        <v>1499</v>
      </c>
      <c r="B23409" s="574">
        <v>468.86735938764213</v>
      </c>
      <c r="C23409" s="574">
        <v>956.96199999999999</v>
      </c>
    </row>
    <row r="23410" spans="1:3">
      <c r="A23410" s="569" t="s">
        <v>1499</v>
      </c>
      <c r="B23410" s="570">
        <v>529.27331718923051</v>
      </c>
      <c r="C23410" s="570">
        <v>1021.52</v>
      </c>
    </row>
    <row r="23411" spans="1:3">
      <c r="A23411" s="569" t="s">
        <v>1499</v>
      </c>
      <c r="B23411" s="570">
        <v>585.51766200677844</v>
      </c>
      <c r="C23411" s="570">
        <v>1002.53</v>
      </c>
    </row>
    <row r="23412" spans="1:3">
      <c r="A23412" s="569" t="s">
        <v>1499</v>
      </c>
      <c r="B23412" s="570">
        <v>634.78988805022129</v>
      </c>
      <c r="C23412" s="570">
        <v>1025.32</v>
      </c>
    </row>
    <row r="23413" spans="1:3">
      <c r="A23413" s="569" t="s">
        <v>1499</v>
      </c>
      <c r="B23413" s="570">
        <v>695.20037867423969</v>
      </c>
      <c r="C23413" s="570">
        <v>1006.33</v>
      </c>
    </row>
    <row r="23414" spans="1:3">
      <c r="A23414" s="569" t="s">
        <v>1499</v>
      </c>
      <c r="B23414" s="570">
        <v>709.38173146517988</v>
      </c>
      <c r="C23414" s="570">
        <v>979.74699999999996</v>
      </c>
    </row>
    <row r="23415" spans="1:3">
      <c r="A23415" s="569" t="s">
        <v>1499</v>
      </c>
      <c r="B23415" s="570">
        <v>746.1222650953232</v>
      </c>
      <c r="C23415" s="570">
        <v>968.35400000000004</v>
      </c>
    </row>
    <row r="23416" spans="1:3">
      <c r="A23416" s="569" t="s">
        <v>1499</v>
      </c>
      <c r="B23416" s="570">
        <v>808.89099379195579</v>
      </c>
      <c r="C23416" s="570">
        <v>975.94899999999996</v>
      </c>
    </row>
    <row r="23417" spans="1:3">
      <c r="A23417" s="569" t="s">
        <v>1499</v>
      </c>
      <c r="B23417" s="570">
        <v>859.42899180930533</v>
      </c>
      <c r="C23417" s="570">
        <v>998.73400000000004</v>
      </c>
    </row>
    <row r="23418" spans="1:3">
      <c r="A23418" s="569" t="s">
        <v>1499</v>
      </c>
      <c r="B23418" s="570">
        <v>903.94082285275874</v>
      </c>
      <c r="C23418" s="570">
        <v>991.13900000000001</v>
      </c>
    </row>
    <row r="23419" spans="1:3">
      <c r="A23419" s="569" t="s">
        <v>1499</v>
      </c>
      <c r="B23419" s="570">
        <v>931.75128420195654</v>
      </c>
      <c r="C23419" s="570">
        <v>987.34199999999998</v>
      </c>
    </row>
    <row r="23420" spans="1:3">
      <c r="A23420" s="569" t="s">
        <v>1499</v>
      </c>
      <c r="B23420" s="570">
        <v>1010.1596104924364</v>
      </c>
      <c r="C23420" s="570">
        <v>1032.9100000000001</v>
      </c>
    </row>
    <row r="23421" spans="1:3">
      <c r="A23421" s="569" t="s">
        <v>1499</v>
      </c>
      <c r="B23421" s="570">
        <v>1073.2477829171974</v>
      </c>
      <c r="C23421" s="570">
        <v>1002.53</v>
      </c>
    </row>
    <row r="23422" spans="1:3">
      <c r="A23422" s="569" t="s">
        <v>1499</v>
      </c>
      <c r="B23422" s="570">
        <v>1187.298721093402</v>
      </c>
      <c r="C23422" s="570">
        <v>937.97500000000002</v>
      </c>
    </row>
    <row r="23423" spans="1:3">
      <c r="A23423" s="569" t="s">
        <v>1499</v>
      </c>
      <c r="B23423" s="570">
        <v>1248.7916897680548</v>
      </c>
      <c r="C23423" s="570">
        <v>960.75900000000001</v>
      </c>
    </row>
    <row r="23424" spans="1:3">
      <c r="A23424" s="569" t="s">
        <v>1499</v>
      </c>
      <c r="B23424" s="570">
        <v>1340.2629123689844</v>
      </c>
      <c r="C23424" s="570">
        <v>1013.92</v>
      </c>
    </row>
    <row r="23425" spans="1:3">
      <c r="A23425" s="569" t="s">
        <v>1499</v>
      </c>
      <c r="B23425" s="570">
        <v>1438.4341992261575</v>
      </c>
      <c r="C23425" s="570">
        <v>983.54399999999998</v>
      </c>
    </row>
    <row r="23426" spans="1:3">
      <c r="A23426" s="569" t="s">
        <v>1499</v>
      </c>
      <c r="B23426" s="570">
        <v>1528.304880524998</v>
      </c>
      <c r="C23426" s="570">
        <v>983.54399999999998</v>
      </c>
    </row>
    <row r="23427" spans="1:3">
      <c r="A23427" s="569" t="s">
        <v>1499</v>
      </c>
      <c r="B23427" s="570">
        <v>1640.2498246449852</v>
      </c>
      <c r="C23427" s="570">
        <v>1055.7</v>
      </c>
    </row>
    <row r="23428" spans="1:3">
      <c r="A23428" s="569" t="s">
        <v>1499</v>
      </c>
      <c r="B23428" s="570">
        <v>1707.8904102954702</v>
      </c>
      <c r="C23428" s="570">
        <v>1055.7</v>
      </c>
    </row>
    <row r="23429" spans="1:3">
      <c r="A23429" s="569" t="s">
        <v>1499</v>
      </c>
      <c r="B23429" s="570">
        <v>1814.5544300881338</v>
      </c>
      <c r="C23429" s="570">
        <v>975.94899999999996</v>
      </c>
    </row>
    <row r="23430" spans="1:3">
      <c r="A23430" s="569" t="s">
        <v>1499</v>
      </c>
      <c r="B23430" s="570">
        <v>2048.3303501601636</v>
      </c>
      <c r="C23430" s="570">
        <v>953.16499999999996</v>
      </c>
    </row>
    <row r="23431" spans="1:3">
      <c r="A23431" s="569" t="s">
        <v>1499</v>
      </c>
      <c r="B23431" s="570">
        <v>2154.418154198007</v>
      </c>
      <c r="C23431" s="570">
        <v>1029.1099999999999</v>
      </c>
    </row>
    <row r="23432" spans="1:3">
      <c r="A23432" s="569" t="s">
        <v>1499</v>
      </c>
      <c r="B23432" s="570">
        <v>2266.0004929258666</v>
      </c>
      <c r="C23432" s="570">
        <v>1017.72</v>
      </c>
    </row>
    <row r="23433" spans="1:3">
      <c r="A23433" s="569" t="s">
        <v>1499</v>
      </c>
      <c r="B23433" s="570">
        <v>2431.9800051219609</v>
      </c>
      <c r="C23433" s="570">
        <v>1029.1099999999999</v>
      </c>
    </row>
    <row r="23434" spans="1:3">
      <c r="A23434" s="569" t="s">
        <v>1499</v>
      </c>
      <c r="B23434" s="570">
        <v>2532.2699422797491</v>
      </c>
      <c r="C23434" s="570">
        <v>987.34199999999998</v>
      </c>
    </row>
    <row r="23435" spans="1:3">
      <c r="A23435" s="569" t="s">
        <v>1499</v>
      </c>
      <c r="B23435" s="570">
        <v>2663.4221059854181</v>
      </c>
      <c r="C23435" s="570">
        <v>1063.29</v>
      </c>
    </row>
    <row r="23436" spans="1:3">
      <c r="A23436" s="569" t="s">
        <v>1499</v>
      </c>
      <c r="B23436" s="570">
        <v>2887.5532374109553</v>
      </c>
      <c r="C23436" s="570">
        <v>1055.7</v>
      </c>
    </row>
    <row r="23437" spans="1:3">
      <c r="A23437" s="569" t="s">
        <v>1499</v>
      </c>
      <c r="B23437" s="570">
        <v>3037.1063512313608</v>
      </c>
      <c r="C23437" s="570">
        <v>1040.51</v>
      </c>
    </row>
    <row r="23438" spans="1:3">
      <c r="A23438" s="569" t="s">
        <v>1499</v>
      </c>
      <c r="B23438" s="570">
        <v>3194.405169464625</v>
      </c>
      <c r="C23438" s="570">
        <v>1013.92</v>
      </c>
    </row>
    <row r="23439" spans="1:3">
      <c r="A23439" s="569" t="s">
        <v>1499</v>
      </c>
      <c r="B23439" s="570">
        <v>3428.3882658671409</v>
      </c>
      <c r="C23439" s="570">
        <v>1029.1099999999999</v>
      </c>
    </row>
    <row r="23440" spans="1:3">
      <c r="A23440" s="569" t="s">
        <v>1499</v>
      </c>
      <c r="B23440" s="570">
        <v>3605.9524866416441</v>
      </c>
      <c r="C23440" s="570">
        <v>1036.71</v>
      </c>
    </row>
    <row r="23441" spans="1:3">
      <c r="A23441" s="569" t="s">
        <v>1499</v>
      </c>
      <c r="B23441" s="570">
        <v>3831.1574442243777</v>
      </c>
      <c r="C23441" s="570">
        <v>1036.71</v>
      </c>
    </row>
    <row r="23442" spans="1:3">
      <c r="A23442" s="569" t="s">
        <v>1499</v>
      </c>
      <c r="B23442" s="570">
        <v>3949.026062757443</v>
      </c>
      <c r="C23442" s="570">
        <v>1051.9000000000001</v>
      </c>
    </row>
    <row r="23443" spans="1:3">
      <c r="A23443" s="569" t="s">
        <v>1499</v>
      </c>
      <c r="B23443" s="570">
        <v>4111.8759113722717</v>
      </c>
      <c r="C23443" s="570">
        <v>1086.08</v>
      </c>
    </row>
    <row r="23444" spans="1:3">
      <c r="A23444" s="569" t="s">
        <v>1499</v>
      </c>
      <c r="B23444" s="570">
        <v>4324.7399687347342</v>
      </c>
      <c r="C23444" s="570">
        <v>1040.51</v>
      </c>
    </row>
    <row r="23445" spans="1:3">
      <c r="A23445" s="569" t="s">
        <v>1499</v>
      </c>
      <c r="B23445" s="570">
        <v>4548.7283338350717</v>
      </c>
      <c r="C23445" s="570">
        <v>1051.9000000000001</v>
      </c>
    </row>
    <row r="23446" spans="1:3">
      <c r="A23446" s="569" t="s">
        <v>1499</v>
      </c>
      <c r="B23446" s="570">
        <v>4641.6244592603543</v>
      </c>
      <c r="C23446" s="570">
        <v>1040.51</v>
      </c>
    </row>
    <row r="23447" spans="1:3">
      <c r="A23447" s="569" t="s">
        <v>1499</v>
      </c>
      <c r="B23447" s="570">
        <v>4832.9243816105036</v>
      </c>
      <c r="C23447" s="570">
        <v>1051.9000000000001</v>
      </c>
    </row>
    <row r="23448" spans="1:3">
      <c r="A23448" s="569" t="s">
        <v>1499</v>
      </c>
      <c r="B23448" s="570">
        <v>5134.876467479141</v>
      </c>
      <c r="C23448" s="570">
        <v>1063.29</v>
      </c>
    </row>
    <row r="23449" spans="1:3">
      <c r="A23449" s="569" t="s">
        <v>1499</v>
      </c>
      <c r="B23449" s="570">
        <v>10841.515623535075</v>
      </c>
      <c r="C23449" s="570">
        <v>1112.6600000000001</v>
      </c>
    </row>
    <row r="23450" spans="1:3">
      <c r="A23450" s="571" t="s">
        <v>1498</v>
      </c>
      <c r="B23450" s="572">
        <v>1.9085432233776873</v>
      </c>
      <c r="C23450" s="572">
        <v>117.72199999999999</v>
      </c>
    </row>
    <row r="23451" spans="1:3">
      <c r="A23451" s="571" t="s">
        <v>1498</v>
      </c>
      <c r="B23451" s="572">
        <v>5.0321548870961434</v>
      </c>
      <c r="C23451" s="572">
        <v>216.45599999999999</v>
      </c>
    </row>
    <row r="23452" spans="1:3">
      <c r="A23452" s="571" t="s">
        <v>1498</v>
      </c>
      <c r="B23452" s="572">
        <v>7.0224879069659814</v>
      </c>
      <c r="C23452" s="572">
        <v>277.21499999999997</v>
      </c>
    </row>
    <row r="23453" spans="1:3">
      <c r="A23453" s="571" t="s">
        <v>1498</v>
      </c>
      <c r="B23453" s="572">
        <v>9.039408228527579</v>
      </c>
      <c r="C23453" s="572">
        <v>322.78500000000003</v>
      </c>
    </row>
    <row r="23454" spans="1:3">
      <c r="A23454" s="571" t="s">
        <v>1498</v>
      </c>
      <c r="B23454" s="572">
        <v>13.00289333591703</v>
      </c>
      <c r="C23454" s="572">
        <v>421.51900000000001</v>
      </c>
    </row>
    <row r="23455" spans="1:3">
      <c r="A23455" s="571" t="s">
        <v>1498</v>
      </c>
      <c r="B23455" s="572">
        <v>13.955326444281743</v>
      </c>
      <c r="C23455" s="572">
        <v>432.911</v>
      </c>
    </row>
    <row r="23456" spans="1:3">
      <c r="A23456" s="571" t="s">
        <v>1498</v>
      </c>
      <c r="B23456" s="572">
        <v>16.074593531727015</v>
      </c>
      <c r="C23456" s="572">
        <v>474.68400000000003</v>
      </c>
    </row>
    <row r="23457" spans="1:3">
      <c r="A23457" s="571" t="s">
        <v>1498</v>
      </c>
      <c r="B23457" s="572">
        <v>19.085344342315743</v>
      </c>
      <c r="C23457" s="572">
        <v>508.86099999999999</v>
      </c>
    </row>
    <row r="23458" spans="1:3">
      <c r="A23458" s="571" t="s">
        <v>1498</v>
      </c>
      <c r="B23458" s="572">
        <v>20.901622511126803</v>
      </c>
      <c r="C23458" s="572">
        <v>535.44299999999998</v>
      </c>
    </row>
    <row r="23459" spans="1:3">
      <c r="A23459" s="571" t="s">
        <v>1498</v>
      </c>
      <c r="B23459" s="572">
        <v>21.984166268221461</v>
      </c>
      <c r="C23459" s="572">
        <v>535.44299999999998</v>
      </c>
    </row>
    <row r="23460" spans="1:3">
      <c r="A23460" s="571" t="s">
        <v>1498</v>
      </c>
      <c r="B23460" s="572">
        <v>28.875532374109564</v>
      </c>
      <c r="C23460" s="572">
        <v>618.98699999999997</v>
      </c>
    </row>
    <row r="23461" spans="1:3">
      <c r="A23461" s="571" t="s">
        <v>1498</v>
      </c>
      <c r="B23461" s="572">
        <v>35.696858686359462</v>
      </c>
      <c r="C23461" s="572">
        <v>645.57000000000005</v>
      </c>
    </row>
    <row r="23462" spans="1:3">
      <c r="A23462" s="571" t="s">
        <v>1498</v>
      </c>
      <c r="B23462" s="572">
        <v>47.843175785404178</v>
      </c>
      <c r="C23462" s="572">
        <v>717.72199999999998</v>
      </c>
    </row>
    <row r="23463" spans="1:3">
      <c r="A23463" s="571" t="s">
        <v>1498</v>
      </c>
      <c r="B23463" s="572">
        <v>61.584298671956915</v>
      </c>
      <c r="C23463" s="572">
        <v>755.69600000000003</v>
      </c>
    </row>
    <row r="23464" spans="1:3">
      <c r="A23464" s="571" t="s">
        <v>1498</v>
      </c>
      <c r="B23464" s="572">
        <v>75.368522224505099</v>
      </c>
      <c r="C23464" s="572">
        <v>786.07600000000002</v>
      </c>
    </row>
    <row r="23465" spans="1:3">
      <c r="A23465" s="571" t="s">
        <v>1498</v>
      </c>
      <c r="B23465" s="572">
        <v>90.394082285275857</v>
      </c>
      <c r="C23465" s="572">
        <v>808.86099999999999</v>
      </c>
    </row>
    <row r="23466" spans="1:3">
      <c r="A23466" s="573" t="s">
        <v>1498</v>
      </c>
      <c r="B23466" s="574">
        <v>100</v>
      </c>
      <c r="C23466" s="574">
        <v>820.25300000000004</v>
      </c>
    </row>
    <row r="23467" spans="1:3">
      <c r="A23467" s="573" t="s">
        <v>1498</v>
      </c>
      <c r="B23467" s="574">
        <v>124.87916897680545</v>
      </c>
      <c r="C23467" s="574">
        <v>843.03800000000001</v>
      </c>
    </row>
    <row r="23468" spans="1:3">
      <c r="A23468" s="573" t="s">
        <v>1498</v>
      </c>
      <c r="B23468" s="574">
        <v>152.83048805249979</v>
      </c>
      <c r="C23468" s="574">
        <v>850.63300000000004</v>
      </c>
    </row>
    <row r="23469" spans="1:3">
      <c r="A23469" s="573" t="s">
        <v>1498</v>
      </c>
      <c r="B23469" s="574">
        <v>181.45544300881335</v>
      </c>
      <c r="C23469" s="574">
        <v>869.62</v>
      </c>
    </row>
    <row r="23470" spans="1:3">
      <c r="A23470" s="573" t="s">
        <v>1498</v>
      </c>
      <c r="B23470" s="574">
        <v>209.01622511126826</v>
      </c>
      <c r="C23470" s="574">
        <v>892.40499999999997</v>
      </c>
    </row>
    <row r="23471" spans="1:3">
      <c r="A23471" s="573" t="s">
        <v>1498</v>
      </c>
      <c r="B23471" s="574">
        <v>235.94457706651687</v>
      </c>
      <c r="C23471" s="574">
        <v>892.40499999999997</v>
      </c>
    </row>
    <row r="23472" spans="1:3">
      <c r="A23472" s="573" t="s">
        <v>1498</v>
      </c>
      <c r="B23472" s="574">
        <v>271.77531012996002</v>
      </c>
      <c r="C23472" s="574">
        <v>877.21500000000003</v>
      </c>
    </row>
    <row r="23473" spans="1:3">
      <c r="A23473" s="573" t="s">
        <v>1498</v>
      </c>
      <c r="B23473" s="574">
        <v>297.63225857608376</v>
      </c>
      <c r="C23473" s="574">
        <v>892.40499999999997</v>
      </c>
    </row>
    <row r="23474" spans="1:3">
      <c r="A23474" s="573" t="s">
        <v>1498</v>
      </c>
      <c r="B23474" s="574">
        <v>329.26077797524664</v>
      </c>
      <c r="C23474" s="574">
        <v>900</v>
      </c>
    </row>
    <row r="23475" spans="1:3">
      <c r="A23475" s="573" t="s">
        <v>1498</v>
      </c>
      <c r="B23475" s="574">
        <v>360.59524866416433</v>
      </c>
      <c r="C23475" s="574">
        <v>892.40499999999997</v>
      </c>
    </row>
    <row r="23476" spans="1:3">
      <c r="A23476" s="573" t="s">
        <v>1498</v>
      </c>
      <c r="B23476" s="574">
        <v>383.11574442243773</v>
      </c>
      <c r="C23476" s="574">
        <v>854.43</v>
      </c>
    </row>
    <row r="23477" spans="1:3">
      <c r="A23477" s="573" t="s">
        <v>1498</v>
      </c>
      <c r="B23477" s="574">
        <v>407.0521003475676</v>
      </c>
      <c r="C23477" s="574">
        <v>831.64599999999996</v>
      </c>
    </row>
    <row r="23478" spans="1:3">
      <c r="A23478" s="573" t="s">
        <v>1498</v>
      </c>
      <c r="B23478" s="574">
        <v>436.86776422981552</v>
      </c>
      <c r="C23478" s="574">
        <v>824.05100000000004</v>
      </c>
    </row>
    <row r="23479" spans="1:3">
      <c r="A23479" s="573" t="s">
        <v>1498</v>
      </c>
      <c r="B23479" s="574">
        <v>468.86735938764213</v>
      </c>
      <c r="C23479" s="574">
        <v>824.05100000000004</v>
      </c>
    </row>
    <row r="23480" spans="1:3">
      <c r="A23480" s="569" t="s">
        <v>1498</v>
      </c>
      <c r="B23480" s="570">
        <v>529.27331718923051</v>
      </c>
      <c r="C23480" s="570">
        <v>854.43</v>
      </c>
    </row>
    <row r="23481" spans="1:3">
      <c r="A23481" s="569" t="s">
        <v>1498</v>
      </c>
      <c r="B23481" s="570">
        <v>579.64220517484659</v>
      </c>
      <c r="C23481" s="570">
        <v>862.02499999999998</v>
      </c>
    </row>
    <row r="23482" spans="1:3">
      <c r="A23482" s="569" t="s">
        <v>1498</v>
      </c>
      <c r="B23482" s="570">
        <v>641.23910605734841</v>
      </c>
      <c r="C23482" s="570">
        <v>877.21500000000003</v>
      </c>
    </row>
    <row r="23483" spans="1:3">
      <c r="A23483" s="569" t="s">
        <v>1498</v>
      </c>
      <c r="B23483" s="570">
        <v>695.20037867423969</v>
      </c>
      <c r="C23483" s="570">
        <v>858.22799999999995</v>
      </c>
    </row>
    <row r="23484" spans="1:3">
      <c r="A23484" s="569" t="s">
        <v>1498</v>
      </c>
      <c r="B23484" s="570">
        <v>709.38173146517988</v>
      </c>
      <c r="C23484" s="570">
        <v>831.64599999999996</v>
      </c>
    </row>
    <row r="23485" spans="1:3">
      <c r="A23485" s="569" t="s">
        <v>1498</v>
      </c>
      <c r="B23485" s="570">
        <v>738.61819196235854</v>
      </c>
      <c r="C23485" s="570">
        <v>831.64599999999996</v>
      </c>
    </row>
    <row r="23486" spans="1:3">
      <c r="A23486" s="569" t="s">
        <v>1498</v>
      </c>
      <c r="B23486" s="570">
        <v>776.87295003961981</v>
      </c>
      <c r="C23486" s="570">
        <v>831.64599999999996</v>
      </c>
    </row>
    <row r="23487" spans="1:3">
      <c r="A23487" s="569" t="s">
        <v>1498</v>
      </c>
      <c r="B23487" s="570">
        <v>833.77717123836396</v>
      </c>
      <c r="C23487" s="570">
        <v>858.22799999999995</v>
      </c>
    </row>
    <row r="23488" spans="1:3">
      <c r="A23488" s="569" t="s">
        <v>1498</v>
      </c>
      <c r="B23488" s="570">
        <v>885.87001112698908</v>
      </c>
      <c r="C23488" s="570">
        <v>846.83500000000004</v>
      </c>
    </row>
    <row r="23489" spans="1:3">
      <c r="A23489" s="569" t="s">
        <v>1498</v>
      </c>
      <c r="B23489" s="570">
        <v>1010.1596104924364</v>
      </c>
      <c r="C23489" s="570">
        <v>888.60799999999995</v>
      </c>
    </row>
    <row r="23490" spans="1:3">
      <c r="A23490" s="569" t="s">
        <v>1498</v>
      </c>
      <c r="B23490" s="570">
        <v>1041.2140025607837</v>
      </c>
      <c r="C23490" s="570">
        <v>881.01300000000003</v>
      </c>
    </row>
    <row r="23491" spans="1:3">
      <c r="A23491" s="569" t="s">
        <v>1498</v>
      </c>
      <c r="B23491" s="570">
        <v>1095.140903100284</v>
      </c>
      <c r="C23491" s="570">
        <v>827.84799999999996</v>
      </c>
    </row>
    <row r="23492" spans="1:3">
      <c r="A23492" s="569" t="s">
        <v>1498</v>
      </c>
      <c r="B23492" s="570">
        <v>1175.3846101535491</v>
      </c>
      <c r="C23492" s="570">
        <v>778.48099999999999</v>
      </c>
    </row>
    <row r="23493" spans="1:3">
      <c r="A23493" s="569" t="s">
        <v>1498</v>
      </c>
      <c r="B23493" s="570">
        <v>1261.4789269222899</v>
      </c>
      <c r="C23493" s="570">
        <v>812.65800000000002</v>
      </c>
    </row>
    <row r="23494" spans="1:3">
      <c r="A23494" s="569" t="s">
        <v>1498</v>
      </c>
      <c r="B23494" s="570">
        <v>1438.4341992261575</v>
      </c>
      <c r="C23494" s="570">
        <v>843.03800000000001</v>
      </c>
    </row>
    <row r="23495" spans="1:3">
      <c r="A23495" s="569" t="s">
        <v>1498</v>
      </c>
      <c r="B23495" s="570">
        <v>1543.8318628248207</v>
      </c>
      <c r="C23495" s="570">
        <v>824.05100000000004</v>
      </c>
    </row>
    <row r="23496" spans="1:3">
      <c r="A23496" s="569" t="s">
        <v>1498</v>
      </c>
      <c r="B23496" s="570">
        <v>1623.7905140833602</v>
      </c>
      <c r="C23496" s="570">
        <v>903.79700000000003</v>
      </c>
    </row>
    <row r="23497" spans="1:3">
      <c r="A23497" s="569" t="s">
        <v>1498</v>
      </c>
      <c r="B23497" s="570">
        <v>1690.7134204889685</v>
      </c>
      <c r="C23497" s="570">
        <v>903.79700000000003</v>
      </c>
    </row>
    <row r="23498" spans="1:3">
      <c r="A23498" s="569" t="s">
        <v>1498</v>
      </c>
      <c r="B23498" s="570">
        <v>1814.5544300881338</v>
      </c>
      <c r="C23498" s="570">
        <v>816.45600000000002</v>
      </c>
    </row>
    <row r="23499" spans="1:3">
      <c r="A23499" s="569" t="s">
        <v>1498</v>
      </c>
      <c r="B23499" s="570">
        <v>2048.3303501601636</v>
      </c>
      <c r="C23499" s="570">
        <v>816.45600000000002</v>
      </c>
    </row>
    <row r="23500" spans="1:3">
      <c r="A23500" s="569" t="s">
        <v>1498</v>
      </c>
      <c r="B23500" s="570">
        <v>2154.418154198007</v>
      </c>
      <c r="C23500" s="570">
        <v>854.43</v>
      </c>
    </row>
    <row r="23501" spans="1:3">
      <c r="A23501" s="569" t="s">
        <v>1498</v>
      </c>
      <c r="B23501" s="570">
        <v>2266.0004929258666</v>
      </c>
      <c r="C23501" s="570">
        <v>843.03800000000001</v>
      </c>
    </row>
    <row r="23502" spans="1:3">
      <c r="A23502" s="569" t="s">
        <v>1498</v>
      </c>
      <c r="B23502" s="570">
        <v>2407.5759700886847</v>
      </c>
      <c r="C23502" s="570">
        <v>854.43</v>
      </c>
    </row>
    <row r="23503" spans="1:3">
      <c r="A23503" s="569" t="s">
        <v>1498</v>
      </c>
      <c r="B23503" s="570">
        <v>2481.6469676237934</v>
      </c>
      <c r="C23503" s="570">
        <v>808.86099999999999</v>
      </c>
    </row>
    <row r="23504" spans="1:3">
      <c r="A23504" s="569" t="s">
        <v>1498</v>
      </c>
      <c r="B23504" s="570">
        <v>2663.4221059854181</v>
      </c>
      <c r="C23504" s="570">
        <v>865.82299999999998</v>
      </c>
    </row>
    <row r="23505" spans="1:3">
      <c r="A23505" s="569" t="s">
        <v>1498</v>
      </c>
      <c r="B23505" s="570">
        <v>2887.5532374109553</v>
      </c>
      <c r="C23505" s="570">
        <v>865.82299999999998</v>
      </c>
    </row>
    <row r="23506" spans="1:3">
      <c r="A23506" s="569" t="s">
        <v>1498</v>
      </c>
      <c r="B23506" s="570">
        <v>3037.1063512313608</v>
      </c>
      <c r="C23506" s="570">
        <v>854.43</v>
      </c>
    </row>
    <row r="23507" spans="1:3">
      <c r="A23507" s="569" t="s">
        <v>1498</v>
      </c>
      <c r="B23507" s="570">
        <v>3259.5676579427945</v>
      </c>
      <c r="C23507" s="570">
        <v>824.05100000000004</v>
      </c>
    </row>
    <row r="23508" spans="1:3">
      <c r="A23508" s="569" t="s">
        <v>1498</v>
      </c>
      <c r="B23508" s="570">
        <v>3393.9074877442945</v>
      </c>
      <c r="C23508" s="570">
        <v>835.44299999999998</v>
      </c>
    </row>
    <row r="23509" spans="1:3">
      <c r="A23509" s="569" t="s">
        <v>1498</v>
      </c>
      <c r="B23509" s="570">
        <v>3605.9524866416441</v>
      </c>
      <c r="C23509" s="570">
        <v>827.84799999999996</v>
      </c>
    </row>
    <row r="23510" spans="1:3">
      <c r="A23510" s="569" t="s">
        <v>1498</v>
      </c>
      <c r="B23510" s="570">
        <v>3870.080511592897</v>
      </c>
      <c r="C23510" s="570">
        <v>816.45600000000002</v>
      </c>
    </row>
    <row r="23511" spans="1:3">
      <c r="A23511" s="569" t="s">
        <v>1498</v>
      </c>
      <c r="B23511" s="570">
        <v>3989.1466293795393</v>
      </c>
      <c r="C23511" s="570">
        <v>850.63300000000004</v>
      </c>
    </row>
    <row r="23512" spans="1:3">
      <c r="A23512" s="569" t="s">
        <v>1498</v>
      </c>
      <c r="B23512" s="570">
        <v>4111.8759113722717</v>
      </c>
      <c r="C23512" s="570">
        <v>881.01300000000003</v>
      </c>
    </row>
    <row r="23513" spans="1:3">
      <c r="A23513" s="569" t="s">
        <v>1498</v>
      </c>
      <c r="B23513" s="570">
        <v>4324.7399687347342</v>
      </c>
      <c r="C23513" s="570">
        <v>846.83500000000004</v>
      </c>
    </row>
    <row r="23514" spans="1:3">
      <c r="A23514" s="569" t="s">
        <v>1498</v>
      </c>
      <c r="B23514" s="570">
        <v>4457.7940478350238</v>
      </c>
      <c r="C23514" s="570">
        <v>827.84799999999996</v>
      </c>
    </row>
    <row r="23515" spans="1:3">
      <c r="A23515" s="569" t="s">
        <v>1498</v>
      </c>
      <c r="B23515" s="570">
        <v>4641.6244592603543</v>
      </c>
      <c r="C23515" s="570">
        <v>824.05100000000004</v>
      </c>
    </row>
    <row r="23516" spans="1:3">
      <c r="A23516" s="569" t="s">
        <v>1498</v>
      </c>
      <c r="B23516" s="570">
        <v>4981.6131600354074</v>
      </c>
      <c r="C23516" s="570">
        <v>843.03800000000001</v>
      </c>
    </row>
    <row r="23517" spans="1:3">
      <c r="A23517" s="569" t="s">
        <v>1498</v>
      </c>
      <c r="B23517" s="570">
        <v>10841.515623535075</v>
      </c>
      <c r="C23517" s="570">
        <v>873.41800000000001</v>
      </c>
    </row>
    <row r="23518" spans="1:3">
      <c r="A23518" s="571" t="s">
        <v>1497</v>
      </c>
      <c r="B23518" s="572">
        <v>1.889365583386321</v>
      </c>
      <c r="C23518" s="572">
        <v>83.544300000000007</v>
      </c>
    </row>
    <row r="23519" spans="1:3">
      <c r="A23519" s="571" t="s">
        <v>1497</v>
      </c>
      <c r="B23519" s="572">
        <v>4.0296098551707269</v>
      </c>
      <c r="C23519" s="572">
        <v>136.709</v>
      </c>
    </row>
    <row r="23520" spans="1:3">
      <c r="A23520" s="571" t="s">
        <v>1497</v>
      </c>
      <c r="B23520" s="572">
        <v>8.0077222295040595</v>
      </c>
      <c r="C23520" s="572">
        <v>216.45599999999999</v>
      </c>
    </row>
    <row r="23521" spans="1:3">
      <c r="A23521" s="571" t="s">
        <v>1497</v>
      </c>
      <c r="B23521" s="572">
        <v>9.039408228527579</v>
      </c>
      <c r="C23521" s="572">
        <v>246.83500000000001</v>
      </c>
    </row>
    <row r="23522" spans="1:3">
      <c r="A23522" s="571" t="s">
        <v>1497</v>
      </c>
      <c r="B23522" s="572">
        <v>11.062671081101174</v>
      </c>
      <c r="C23522" s="572">
        <v>281.01299999999998</v>
      </c>
    </row>
    <row r="23523" spans="1:3">
      <c r="A23523" s="571" t="s">
        <v>1497</v>
      </c>
      <c r="B23523" s="572">
        <v>13.955326444281743</v>
      </c>
      <c r="C23523" s="572">
        <v>322.78500000000003</v>
      </c>
    </row>
    <row r="23524" spans="1:3">
      <c r="A23524" s="571" t="s">
        <v>1497</v>
      </c>
      <c r="B23524" s="572">
        <v>16.074593531727015</v>
      </c>
      <c r="C23524" s="572">
        <v>372.15199999999999</v>
      </c>
    </row>
    <row r="23525" spans="1:3">
      <c r="A23525" s="571" t="s">
        <v>1497</v>
      </c>
      <c r="B23525" s="572">
        <v>17.963460361916376</v>
      </c>
      <c r="C23525" s="572">
        <v>398.73399999999998</v>
      </c>
    </row>
    <row r="23526" spans="1:3">
      <c r="A23526" s="571" t="s">
        <v>1497</v>
      </c>
      <c r="B23526" s="572">
        <v>20.901622511126803</v>
      </c>
      <c r="C23526" s="572">
        <v>440.50599999999997</v>
      </c>
    </row>
    <row r="23527" spans="1:3">
      <c r="A23527" s="571" t="s">
        <v>1497</v>
      </c>
      <c r="B23527" s="572">
        <v>24.075759700886838</v>
      </c>
      <c r="C23527" s="572">
        <v>474.68400000000003</v>
      </c>
    </row>
    <row r="23528" spans="1:3">
      <c r="A23528" s="571" t="s">
        <v>1497</v>
      </c>
      <c r="B23528" s="572">
        <v>30.990601101066812</v>
      </c>
      <c r="C23528" s="572">
        <v>512.65800000000002</v>
      </c>
    </row>
    <row r="23529" spans="1:3">
      <c r="A23529" s="571" t="s">
        <v>1497</v>
      </c>
      <c r="B23529" s="572">
        <v>34.983237621557016</v>
      </c>
      <c r="C23529" s="572">
        <v>554.42999999999995</v>
      </c>
    </row>
    <row r="23530" spans="1:3">
      <c r="A23530" s="571" t="s">
        <v>1497</v>
      </c>
      <c r="B23530" s="572">
        <v>45.03083499016531</v>
      </c>
      <c r="C23530" s="572">
        <v>577.21500000000003</v>
      </c>
    </row>
    <row r="23531" spans="1:3">
      <c r="A23531" s="571" t="s">
        <v>1497</v>
      </c>
      <c r="B23531" s="572">
        <v>51.348764674791362</v>
      </c>
      <c r="C23531" s="572">
        <v>615.19000000000005</v>
      </c>
    </row>
    <row r="23532" spans="1:3">
      <c r="A23532" s="571" t="s">
        <v>1497</v>
      </c>
      <c r="B23532" s="572">
        <v>59.146629338920938</v>
      </c>
      <c r="C23532" s="572">
        <v>634.17700000000002</v>
      </c>
    </row>
    <row r="23533" spans="1:3">
      <c r="A23533" s="571" t="s">
        <v>1497</v>
      </c>
      <c r="B23533" s="572">
        <v>66.09673392820882</v>
      </c>
      <c r="C23533" s="572">
        <v>649.36699999999996</v>
      </c>
    </row>
    <row r="23534" spans="1:3">
      <c r="A23534" s="571" t="s">
        <v>1497</v>
      </c>
      <c r="B23534" s="572">
        <v>71.657227367100049</v>
      </c>
      <c r="C23534" s="572">
        <v>672.15200000000004</v>
      </c>
    </row>
    <row r="23535" spans="1:3">
      <c r="A23535" s="571" t="s">
        <v>1497</v>
      </c>
      <c r="B23535" s="572">
        <v>80.077406679871231</v>
      </c>
      <c r="C23535" s="572">
        <v>687.34199999999998</v>
      </c>
    </row>
    <row r="23536" spans="1:3">
      <c r="A23536" s="571" t="s">
        <v>1497</v>
      </c>
      <c r="B23536" s="572">
        <v>86.81604556119953</v>
      </c>
      <c r="C23536" s="572">
        <v>706.32899999999995</v>
      </c>
    </row>
    <row r="23537" spans="1:3">
      <c r="A23537" s="571" t="s">
        <v>1497</v>
      </c>
      <c r="B23537" s="572">
        <v>93.175128420195634</v>
      </c>
      <c r="C23537" s="572">
        <v>702.53200000000004</v>
      </c>
    </row>
    <row r="23538" spans="1:3">
      <c r="A23538" s="573" t="s">
        <v>1497</v>
      </c>
      <c r="B23538" s="574">
        <v>100</v>
      </c>
      <c r="C23538" s="574">
        <v>713.92399999999998</v>
      </c>
    </row>
    <row r="23539" spans="1:3">
      <c r="A23539" s="573" t="s">
        <v>1497</v>
      </c>
      <c r="B23539" s="574">
        <v>128.72117634537307</v>
      </c>
      <c r="C23539" s="574">
        <v>721.51900000000001</v>
      </c>
    </row>
    <row r="23540" spans="1:3">
      <c r="A23540" s="573" t="s">
        <v>1497</v>
      </c>
      <c r="B23540" s="574">
        <v>162.37905140833598</v>
      </c>
      <c r="C23540" s="574">
        <v>736.70899999999995</v>
      </c>
    </row>
    <row r="23541" spans="1:3">
      <c r="A23541" s="573" t="s">
        <v>1497</v>
      </c>
      <c r="B23541" s="574">
        <v>190.85344342315739</v>
      </c>
      <c r="C23541" s="574">
        <v>759.49400000000003</v>
      </c>
    </row>
    <row r="23542" spans="1:3">
      <c r="A23542" s="573" t="s">
        <v>1497</v>
      </c>
      <c r="B23542" s="574">
        <v>217.63062034824927</v>
      </c>
      <c r="C23542" s="574">
        <v>759.49400000000003</v>
      </c>
    </row>
    <row r="23543" spans="1:3">
      <c r="A23543" s="573" t="s">
        <v>1497</v>
      </c>
      <c r="B23543" s="574">
        <v>245.66879746993959</v>
      </c>
      <c r="C23543" s="574">
        <v>770.88599999999997</v>
      </c>
    </row>
    <row r="23544" spans="1:3">
      <c r="A23544" s="573" t="s">
        <v>1497</v>
      </c>
      <c r="B23544" s="574">
        <v>274.53644142234134</v>
      </c>
      <c r="C23544" s="574">
        <v>713.92399999999998</v>
      </c>
    </row>
    <row r="23545" spans="1:3">
      <c r="A23545" s="573" t="s">
        <v>1497</v>
      </c>
      <c r="B23545" s="574">
        <v>300.65608639320095</v>
      </c>
      <c r="C23545" s="574">
        <v>702.53200000000004</v>
      </c>
    </row>
    <row r="23546" spans="1:3">
      <c r="A23546" s="573" t="s">
        <v>1497</v>
      </c>
      <c r="B23546" s="574">
        <v>329.26077797524664</v>
      </c>
      <c r="C23546" s="574">
        <v>710.12699999999995</v>
      </c>
    </row>
    <row r="23547" spans="1:3">
      <c r="A23547" s="573" t="s">
        <v>1497</v>
      </c>
      <c r="B23547" s="574">
        <v>356.96858686359468</v>
      </c>
      <c r="C23547" s="574">
        <v>717.72199999999998</v>
      </c>
    </row>
    <row r="23548" spans="1:3">
      <c r="A23548" s="573" t="s">
        <v>1497</v>
      </c>
      <c r="B23548" s="574">
        <v>360.59524866416433</v>
      </c>
      <c r="C23548" s="574">
        <v>721.51900000000001</v>
      </c>
    </row>
    <row r="23549" spans="1:3">
      <c r="A23549" s="573" t="s">
        <v>1497</v>
      </c>
      <c r="B23549" s="574">
        <v>419.57538330772888</v>
      </c>
      <c r="C23549" s="574">
        <v>748.101</v>
      </c>
    </row>
    <row r="23550" spans="1:3">
      <c r="A23550" s="573" t="s">
        <v>1497</v>
      </c>
      <c r="B23550" s="574">
        <v>468.86735938764213</v>
      </c>
      <c r="C23550" s="574">
        <v>755.69600000000003</v>
      </c>
    </row>
    <row r="23551" spans="1:3">
      <c r="A23551" s="569" t="s">
        <v>1497</v>
      </c>
      <c r="B23551" s="570">
        <v>529.27331718923051</v>
      </c>
      <c r="C23551" s="570">
        <v>763.29100000000005</v>
      </c>
    </row>
    <row r="23552" spans="1:3">
      <c r="A23552" s="569" t="s">
        <v>1497</v>
      </c>
      <c r="B23552" s="570">
        <v>647.7389306956361</v>
      </c>
      <c r="C23552" s="570">
        <v>717.72199999999998</v>
      </c>
    </row>
    <row r="23553" spans="1:3">
      <c r="A23553" s="569" t="s">
        <v>1497</v>
      </c>
      <c r="B23553" s="570">
        <v>695.20037867423969</v>
      </c>
      <c r="C23553" s="570">
        <v>744.30399999999997</v>
      </c>
    </row>
    <row r="23554" spans="1:3">
      <c r="A23554" s="569" t="s">
        <v>1497</v>
      </c>
      <c r="B23554" s="570">
        <v>716.57227367100063</v>
      </c>
      <c r="C23554" s="570">
        <v>744.30399999999997</v>
      </c>
    </row>
    <row r="23555" spans="1:3">
      <c r="A23555" s="569" t="s">
        <v>1497</v>
      </c>
      <c r="B23555" s="570">
        <v>753.68522224505114</v>
      </c>
      <c r="C23555" s="570">
        <v>740.50599999999997</v>
      </c>
    </row>
    <row r="23556" spans="1:3">
      <c r="A23556" s="569" t="s">
        <v>1497</v>
      </c>
      <c r="B23556" s="570">
        <v>808.89099379195579</v>
      </c>
      <c r="C23556" s="570">
        <v>736.70899999999995</v>
      </c>
    </row>
    <row r="23557" spans="1:3">
      <c r="A23557" s="569" t="s">
        <v>1497</v>
      </c>
      <c r="B23557" s="570">
        <v>903.94082285275874</v>
      </c>
      <c r="C23557" s="570">
        <v>767.08900000000006</v>
      </c>
    </row>
    <row r="23558" spans="1:3">
      <c r="A23558" s="569" t="s">
        <v>1497</v>
      </c>
      <c r="B23558" s="570">
        <v>960.4173566054435</v>
      </c>
      <c r="C23558" s="570">
        <v>721.51900000000001</v>
      </c>
    </row>
    <row r="23559" spans="1:3">
      <c r="A23559" s="569" t="s">
        <v>1497</v>
      </c>
      <c r="B23559" s="570">
        <v>1095.140903100284</v>
      </c>
      <c r="C23559" s="570">
        <v>717.72199999999998</v>
      </c>
    </row>
    <row r="23560" spans="1:3">
      <c r="A23560" s="569" t="s">
        <v>1497</v>
      </c>
      <c r="B23560" s="570">
        <v>1140.3022992135482</v>
      </c>
      <c r="C23560" s="570">
        <v>763.29100000000005</v>
      </c>
    </row>
    <row r="23561" spans="1:3">
      <c r="A23561" s="569" t="s">
        <v>1497</v>
      </c>
      <c r="B23561" s="570">
        <v>1248.7916897680548</v>
      </c>
      <c r="C23561" s="570">
        <v>782.27800000000002</v>
      </c>
    </row>
    <row r="23562" spans="1:3">
      <c r="A23562" s="569" t="s">
        <v>1497</v>
      </c>
      <c r="B23562" s="570">
        <v>1313.469522646838</v>
      </c>
      <c r="C23562" s="570">
        <v>729.11400000000003</v>
      </c>
    </row>
    <row r="23563" spans="1:3">
      <c r="A23563" s="569" t="s">
        <v>1497</v>
      </c>
      <c r="B23563" s="570">
        <v>1438.4341992261575</v>
      </c>
      <c r="C23563" s="570">
        <v>767.08900000000006</v>
      </c>
    </row>
    <row r="23564" spans="1:3">
      <c r="A23564" s="569" t="s">
        <v>1497</v>
      </c>
      <c r="B23564" s="570">
        <v>1497.7523166211113</v>
      </c>
      <c r="C23564" s="570">
        <v>759.49400000000003</v>
      </c>
    </row>
    <row r="23565" spans="1:3">
      <c r="A23565" s="569" t="s">
        <v>1497</v>
      </c>
      <c r="B23565" s="570">
        <v>1575.3244007580765</v>
      </c>
      <c r="C23565" s="570">
        <v>770.88599999999997</v>
      </c>
    </row>
    <row r="23566" spans="1:3">
      <c r="A23566" s="569" t="s">
        <v>1497</v>
      </c>
      <c r="B23566" s="570">
        <v>1707.8904102954702</v>
      </c>
      <c r="C23566" s="570">
        <v>679.74699999999996</v>
      </c>
    </row>
    <row r="23567" spans="1:3">
      <c r="A23567" s="569" t="s">
        <v>1497</v>
      </c>
      <c r="B23567" s="570">
        <v>1814.5544300881338</v>
      </c>
      <c r="C23567" s="570">
        <v>668.35400000000004</v>
      </c>
    </row>
    <row r="23568" spans="1:3">
      <c r="A23568" s="569" t="s">
        <v>1497</v>
      </c>
      <c r="B23568" s="570">
        <v>1889.3829851665703</v>
      </c>
      <c r="C23568" s="570">
        <v>725.31600000000003</v>
      </c>
    </row>
    <row r="23569" spans="1:3">
      <c r="A23569" s="569" t="s">
        <v>1497</v>
      </c>
      <c r="B23569" s="570">
        <v>2154.418154198007</v>
      </c>
      <c r="C23569" s="570">
        <v>713.92399999999998</v>
      </c>
    </row>
    <row r="23570" spans="1:3">
      <c r="A23570" s="569" t="s">
        <v>1497</v>
      </c>
      <c r="B23570" s="570">
        <v>2243.2620019439019</v>
      </c>
      <c r="C23570" s="570">
        <v>713.92399999999998</v>
      </c>
    </row>
    <row r="23571" spans="1:3">
      <c r="A23571" s="569" t="s">
        <v>1497</v>
      </c>
      <c r="B23571" s="570">
        <v>2335.7158078365251</v>
      </c>
      <c r="C23571" s="570">
        <v>706.32899999999995</v>
      </c>
    </row>
    <row r="23572" spans="1:3">
      <c r="A23572" s="569" t="s">
        <v>1497</v>
      </c>
      <c r="B23572" s="570">
        <v>2532.2699422797491</v>
      </c>
      <c r="C23572" s="570">
        <v>725.31600000000003</v>
      </c>
    </row>
    <row r="23573" spans="1:3">
      <c r="A23573" s="569" t="s">
        <v>1497</v>
      </c>
      <c r="B23573" s="570">
        <v>2610.1772494564043</v>
      </c>
      <c r="C23573" s="570">
        <v>736.70899999999995</v>
      </c>
    </row>
    <row r="23574" spans="1:3">
      <c r="A23574" s="569" t="s">
        <v>1497</v>
      </c>
      <c r="B23574" s="570">
        <v>2745.3644142234143</v>
      </c>
      <c r="C23574" s="570">
        <v>713.92399999999998</v>
      </c>
    </row>
    <row r="23575" spans="1:3">
      <c r="A23575" s="569" t="s">
        <v>1497</v>
      </c>
      <c r="B23575" s="570">
        <v>3067.8915271577121</v>
      </c>
      <c r="C23575" s="570">
        <v>702.53200000000004</v>
      </c>
    </row>
    <row r="23576" spans="1:3">
      <c r="A23576" s="569" t="s">
        <v>1497</v>
      </c>
      <c r="B23576" s="570">
        <v>3226.7847814206439</v>
      </c>
      <c r="C23576" s="570">
        <v>721.51900000000001</v>
      </c>
    </row>
    <row r="23577" spans="1:3">
      <c r="A23577" s="569" t="s">
        <v>1497</v>
      </c>
      <c r="B23577" s="570">
        <v>3393.9074877442945</v>
      </c>
      <c r="C23577" s="570">
        <v>694.93700000000001</v>
      </c>
    </row>
    <row r="23578" spans="1:3">
      <c r="A23578" s="569" t="s">
        <v>1497</v>
      </c>
      <c r="B23578" s="570">
        <v>3605.9524866416441</v>
      </c>
      <c r="C23578" s="570">
        <v>691.13900000000001</v>
      </c>
    </row>
    <row r="23579" spans="1:3">
      <c r="A23579" s="569" t="s">
        <v>1497</v>
      </c>
      <c r="B23579" s="570">
        <v>3792.7131723594962</v>
      </c>
      <c r="C23579" s="570">
        <v>717.72199999999998</v>
      </c>
    </row>
    <row r="23580" spans="1:3">
      <c r="A23580" s="569" t="s">
        <v>1497</v>
      </c>
      <c r="B23580" s="570">
        <v>3989.1466293795393</v>
      </c>
      <c r="C23580" s="570">
        <v>717.72199999999998</v>
      </c>
    </row>
    <row r="23581" spans="1:3">
      <c r="A23581" s="569" t="s">
        <v>1497</v>
      </c>
      <c r="B23581" s="570">
        <v>4324.7399687347342</v>
      </c>
      <c r="C23581" s="570">
        <v>717.72199999999998</v>
      </c>
    </row>
    <row r="23582" spans="1:3">
      <c r="A23582" s="569" t="s">
        <v>1497</v>
      </c>
      <c r="B23582" s="570">
        <v>4503.0834990165304</v>
      </c>
      <c r="C23582" s="570">
        <v>687.34199999999998</v>
      </c>
    </row>
    <row r="23583" spans="1:3">
      <c r="A23583" s="569" t="s">
        <v>1497</v>
      </c>
      <c r="B23583" s="570">
        <v>4688.6735938764177</v>
      </c>
      <c r="C23583" s="570">
        <v>664.55700000000002</v>
      </c>
    </row>
    <row r="23584" spans="1:3">
      <c r="A23584" s="569" t="s">
        <v>1497</v>
      </c>
      <c r="B23584" s="570">
        <v>4931.5109298489479</v>
      </c>
      <c r="C23584" s="570">
        <v>668.35400000000004</v>
      </c>
    </row>
    <row r="23585" spans="1:3">
      <c r="A23585" s="569" t="s">
        <v>1497</v>
      </c>
      <c r="B23585" s="570">
        <v>4981.6131600354074</v>
      </c>
      <c r="C23585" s="570">
        <v>683.54399999999998</v>
      </c>
    </row>
    <row r="23586" spans="1:3">
      <c r="A23586" s="569" t="s">
        <v>1497</v>
      </c>
      <c r="B23586" s="570">
        <v>10732.477829171976</v>
      </c>
      <c r="C23586" s="570">
        <v>694.93700000000001</v>
      </c>
    </row>
    <row r="23587" spans="1:3">
      <c r="A23587" s="571" t="s">
        <v>1496</v>
      </c>
      <c r="B23587" s="572">
        <v>1.8086800000000001</v>
      </c>
      <c r="C23587" s="572">
        <v>71.444900000000004</v>
      </c>
    </row>
    <row r="23588" spans="1:3">
      <c r="A23588" s="571" t="s">
        <v>1496</v>
      </c>
      <c r="B23588" s="572">
        <v>3.9991099999999999</v>
      </c>
      <c r="C23588" s="572">
        <v>83.719899999999996</v>
      </c>
    </row>
    <row r="23589" spans="1:3">
      <c r="A23589" s="571" t="s">
        <v>1496</v>
      </c>
      <c r="B23589" s="572">
        <v>7.0183900000000001</v>
      </c>
      <c r="C23589" s="572">
        <v>132.38900000000001</v>
      </c>
    </row>
    <row r="23590" spans="1:3">
      <c r="A23590" s="571" t="s">
        <v>1496</v>
      </c>
      <c r="B23590" s="572">
        <v>9.0217100000000006</v>
      </c>
      <c r="C23590" s="572">
        <v>165.827</v>
      </c>
    </row>
    <row r="23591" spans="1:3">
      <c r="A23591" s="571" t="s">
        <v>1496</v>
      </c>
      <c r="B23591" s="572">
        <v>11.0288</v>
      </c>
      <c r="C23591" s="572">
        <v>193.185</v>
      </c>
    </row>
    <row r="23592" spans="1:3">
      <c r="A23592" s="571" t="s">
        <v>1496</v>
      </c>
      <c r="B23592" s="572">
        <v>13.0823</v>
      </c>
      <c r="C23592" s="572">
        <v>260.00599999999997</v>
      </c>
    </row>
    <row r="23593" spans="1:3">
      <c r="A23593" s="571" t="s">
        <v>1496</v>
      </c>
      <c r="B23593" s="572">
        <v>18.041399999999999</v>
      </c>
      <c r="C23593" s="572">
        <v>305.60000000000002</v>
      </c>
    </row>
    <row r="23594" spans="1:3">
      <c r="A23594" s="571" t="s">
        <v>1496</v>
      </c>
      <c r="B23594" s="572">
        <v>20.975000000000001</v>
      </c>
      <c r="C23594" s="572">
        <v>345.09399999999999</v>
      </c>
    </row>
    <row r="23595" spans="1:3">
      <c r="A23595" s="571" t="s">
        <v>1496</v>
      </c>
      <c r="B23595" s="572">
        <v>30.7227</v>
      </c>
      <c r="C23595" s="572">
        <v>427.13</v>
      </c>
    </row>
    <row r="23596" spans="1:3">
      <c r="A23596" s="571" t="s">
        <v>1496</v>
      </c>
      <c r="B23596" s="572">
        <v>38.319899999999997</v>
      </c>
      <c r="C23596" s="572">
        <v>478.779</v>
      </c>
    </row>
    <row r="23597" spans="1:3">
      <c r="A23597" s="571" t="s">
        <v>1496</v>
      </c>
      <c r="B23597" s="572">
        <v>50.257300000000001</v>
      </c>
      <c r="C23597" s="572">
        <v>484.89600000000002</v>
      </c>
    </row>
    <row r="23598" spans="1:3">
      <c r="A23598" s="571" t="s">
        <v>1496</v>
      </c>
      <c r="B23598" s="572">
        <v>60.8245</v>
      </c>
      <c r="C23598" s="572">
        <v>533.50400000000002</v>
      </c>
    </row>
    <row r="23599" spans="1:3">
      <c r="A23599" s="571" t="s">
        <v>1496</v>
      </c>
      <c r="B23599" s="572">
        <v>78.186099999999996</v>
      </c>
      <c r="C23599" s="572">
        <v>548.726</v>
      </c>
    </row>
    <row r="23600" spans="1:3">
      <c r="A23600" s="571" t="s">
        <v>1496</v>
      </c>
      <c r="B23600" s="572">
        <v>92.743700000000004</v>
      </c>
      <c r="C23600" s="572">
        <v>560.89800000000002</v>
      </c>
    </row>
    <row r="23601" spans="1:3">
      <c r="A23601" s="573" t="s">
        <v>1496</v>
      </c>
      <c r="B23601" s="574">
        <v>102.54300000000001</v>
      </c>
      <c r="C23601" s="574">
        <v>560.91499999999996</v>
      </c>
    </row>
    <row r="23602" spans="1:3">
      <c r="A23602" s="573" t="s">
        <v>1496</v>
      </c>
      <c r="B23602" s="574">
        <v>106.746</v>
      </c>
      <c r="C23602" s="574">
        <v>560.92200000000003</v>
      </c>
    </row>
    <row r="23603" spans="1:3">
      <c r="A23603" s="573" t="s">
        <v>1496</v>
      </c>
      <c r="B23603" s="574">
        <v>127.9</v>
      </c>
      <c r="C23603" s="574">
        <v>570.05999999999995</v>
      </c>
    </row>
    <row r="23604" spans="1:3">
      <c r="A23604" s="573" t="s">
        <v>1496</v>
      </c>
      <c r="B23604" s="574">
        <v>156.35499999999999</v>
      </c>
      <c r="C23604" s="574">
        <v>564.02099999999996</v>
      </c>
    </row>
    <row r="23605" spans="1:3">
      <c r="A23605" s="573" t="s">
        <v>1496</v>
      </c>
      <c r="B23605" s="574">
        <v>183.613</v>
      </c>
      <c r="C23605" s="574">
        <v>573.15499999999997</v>
      </c>
    </row>
    <row r="23606" spans="1:3">
      <c r="A23606" s="573" t="s">
        <v>1496</v>
      </c>
      <c r="B23606" s="574">
        <v>236.024</v>
      </c>
      <c r="C23606" s="574">
        <v>582.30499999999995</v>
      </c>
    </row>
    <row r="23607" spans="1:3">
      <c r="A23607" s="573" t="s">
        <v>1496</v>
      </c>
      <c r="B23607" s="574">
        <v>248.179</v>
      </c>
      <c r="C23607" s="574">
        <v>570.16899999999998</v>
      </c>
    </row>
    <row r="23608" spans="1:3">
      <c r="A23608" s="573" t="s">
        <v>1496</v>
      </c>
      <c r="B23608" s="574">
        <v>268.94400000000002</v>
      </c>
      <c r="C23608" s="574">
        <v>570.18200000000002</v>
      </c>
    </row>
    <row r="23609" spans="1:3">
      <c r="A23609" s="573" t="s">
        <v>1496</v>
      </c>
      <c r="B23609" s="574">
        <v>328.77800000000002</v>
      </c>
      <c r="C23609" s="574">
        <v>576.28700000000003</v>
      </c>
    </row>
    <row r="23610" spans="1:3">
      <c r="A23610" s="573" t="s">
        <v>1496</v>
      </c>
      <c r="B23610" s="574">
        <v>405.98099999999999</v>
      </c>
      <c r="C23610" s="574">
        <v>521.673</v>
      </c>
    </row>
    <row r="23611" spans="1:3">
      <c r="A23611" s="573" t="s">
        <v>1496</v>
      </c>
      <c r="B23611" s="574">
        <v>462.60700000000003</v>
      </c>
      <c r="C23611" s="574">
        <v>524.73099999999999</v>
      </c>
    </row>
    <row r="23612" spans="1:3">
      <c r="A23612" s="569" t="s">
        <v>1496</v>
      </c>
      <c r="B23612" s="570">
        <v>527.13199999999995</v>
      </c>
      <c r="C23612" s="570">
        <v>527.78800000000001</v>
      </c>
    </row>
    <row r="23613" spans="1:3">
      <c r="A23613" s="569" t="s">
        <v>1496</v>
      </c>
      <c r="B23613" s="570">
        <v>577.00300000000004</v>
      </c>
      <c r="C23613" s="570">
        <v>542.98299999999995</v>
      </c>
    </row>
    <row r="23614" spans="1:3">
      <c r="A23614" s="569" t="s">
        <v>1496</v>
      </c>
      <c r="B23614" s="570">
        <v>637.96699999999998</v>
      </c>
      <c r="C23614" s="570">
        <v>555.14400000000001</v>
      </c>
    </row>
    <row r="23615" spans="1:3">
      <c r="A23615" s="569" t="s">
        <v>1496</v>
      </c>
      <c r="B23615" s="570">
        <v>811.87199999999996</v>
      </c>
      <c r="C23615" s="570">
        <v>533.93100000000004</v>
      </c>
    </row>
    <row r="23616" spans="1:3">
      <c r="A23616" s="569" t="s">
        <v>1496</v>
      </c>
      <c r="B23616" s="570">
        <v>862.303</v>
      </c>
      <c r="C23616" s="570">
        <v>518.76099999999997</v>
      </c>
    </row>
    <row r="23617" spans="1:3">
      <c r="A23617" s="569" t="s">
        <v>1496</v>
      </c>
      <c r="B23617" s="570">
        <v>925.11199999999997</v>
      </c>
      <c r="C23617" s="570">
        <v>512.70100000000002</v>
      </c>
    </row>
    <row r="23618" spans="1:3">
      <c r="A23618" s="569" t="s">
        <v>1496</v>
      </c>
      <c r="B23618" s="570">
        <v>1012.63</v>
      </c>
      <c r="C23618" s="570">
        <v>558.25599999999997</v>
      </c>
    </row>
    <row r="23619" spans="1:3">
      <c r="A23619" s="569" t="s">
        <v>1496</v>
      </c>
      <c r="B23619" s="570">
        <v>1097.3599999999999</v>
      </c>
      <c r="C23619" s="570">
        <v>533.98099999999999</v>
      </c>
    </row>
    <row r="23620" spans="1:3">
      <c r="A23620" s="569" t="s">
        <v>1496</v>
      </c>
      <c r="B23620" s="570">
        <v>1275.79</v>
      </c>
      <c r="C23620" s="570">
        <v>479.35700000000003</v>
      </c>
    </row>
    <row r="23621" spans="1:3">
      <c r="A23621" s="569" t="s">
        <v>1496</v>
      </c>
      <c r="B23621" s="570">
        <v>1468.41</v>
      </c>
      <c r="C23621" s="570">
        <v>509.74099999999999</v>
      </c>
    </row>
    <row r="23622" spans="1:3">
      <c r="A23622" s="569" t="s">
        <v>1496</v>
      </c>
      <c r="B23622" s="570">
        <v>1777.16</v>
      </c>
      <c r="C23622" s="570">
        <v>494.59199999999998</v>
      </c>
    </row>
    <row r="23623" spans="1:3">
      <c r="A23623" s="569" t="s">
        <v>1496</v>
      </c>
      <c r="B23623" s="570">
        <v>2066.13</v>
      </c>
      <c r="C23623" s="570">
        <v>479.43599999999998</v>
      </c>
    </row>
    <row r="23624" spans="1:3">
      <c r="A23624" s="569" t="s">
        <v>1496</v>
      </c>
      <c r="B23624" s="570">
        <v>2450.83</v>
      </c>
      <c r="C23624" s="570">
        <v>521.96900000000005</v>
      </c>
    </row>
    <row r="23625" spans="1:3">
      <c r="A23625" s="569" t="s">
        <v>1496</v>
      </c>
      <c r="B23625" s="570">
        <v>2551.3000000000002</v>
      </c>
      <c r="C23625" s="570">
        <v>503.76</v>
      </c>
    </row>
    <row r="23626" spans="1:3">
      <c r="A23626" s="569" t="s">
        <v>1496</v>
      </c>
      <c r="B23626" s="570">
        <v>2709.78</v>
      </c>
      <c r="C23626" s="570">
        <v>518.95000000000005</v>
      </c>
    </row>
    <row r="23627" spans="1:3">
      <c r="A23627" s="569" t="s">
        <v>1496</v>
      </c>
      <c r="B23627" s="570">
        <v>2936.5</v>
      </c>
      <c r="C23627" s="570">
        <v>528.07100000000003</v>
      </c>
    </row>
    <row r="23628" spans="1:3">
      <c r="A23628" s="569" t="s">
        <v>1496</v>
      </c>
      <c r="B23628" s="570">
        <v>3118.91</v>
      </c>
      <c r="C23628" s="570">
        <v>503.79300000000001</v>
      </c>
    </row>
    <row r="23629" spans="1:3">
      <c r="A23629" s="569" t="s">
        <v>1496</v>
      </c>
      <c r="B23629" s="570">
        <v>3312.64</v>
      </c>
      <c r="C23629" s="570">
        <v>488.62200000000001</v>
      </c>
    </row>
    <row r="23630" spans="1:3">
      <c r="A23630" s="569" t="s">
        <v>1496</v>
      </c>
      <c r="B23630" s="570">
        <v>3483.25</v>
      </c>
      <c r="C23630" s="570">
        <v>497.73899999999998</v>
      </c>
    </row>
    <row r="23631" spans="1:3">
      <c r="A23631" s="569" t="s">
        <v>1496</v>
      </c>
      <c r="B23631" s="570">
        <v>3626.04</v>
      </c>
      <c r="C23631" s="570">
        <v>479.529</v>
      </c>
    </row>
    <row r="23632" spans="1:3">
      <c r="A23632" s="569" t="s">
        <v>1496</v>
      </c>
      <c r="B23632" s="570">
        <v>3851.28</v>
      </c>
      <c r="C23632" s="570">
        <v>485.61099999999999</v>
      </c>
    </row>
    <row r="23633" spans="1:3">
      <c r="A23633" s="569" t="s">
        <v>1496</v>
      </c>
      <c r="B23633" s="570">
        <v>4131.8</v>
      </c>
      <c r="C23633" s="570">
        <v>519.01900000000001</v>
      </c>
    </row>
    <row r="23634" spans="1:3">
      <c r="A23634" s="569" t="s">
        <v>1496</v>
      </c>
      <c r="B23634" s="570">
        <v>4173.51</v>
      </c>
      <c r="C23634" s="570">
        <v>512.94899999999996</v>
      </c>
    </row>
    <row r="23635" spans="1:3">
      <c r="A23635" s="569" t="s">
        <v>1496</v>
      </c>
      <c r="B23635" s="570">
        <v>4344.6000000000004</v>
      </c>
      <c r="C23635" s="570">
        <v>500.81099999999998</v>
      </c>
    </row>
    <row r="23636" spans="1:3">
      <c r="A23636" s="569" t="s">
        <v>1496</v>
      </c>
      <c r="B23636" s="570">
        <v>4568.3599999999997</v>
      </c>
      <c r="C23636" s="570">
        <v>485.63900000000001</v>
      </c>
    </row>
    <row r="23637" spans="1:3">
      <c r="A23637" s="569" t="s">
        <v>1496</v>
      </c>
      <c r="B23637" s="570">
        <v>5051.04</v>
      </c>
      <c r="C23637" s="570">
        <v>506.90800000000002</v>
      </c>
    </row>
    <row r="23638" spans="1:3">
      <c r="A23638" s="571" t="s">
        <v>1495</v>
      </c>
      <c r="B23638" s="572">
        <v>1.75499</v>
      </c>
      <c r="C23638" s="572">
        <v>56.259700000000002</v>
      </c>
    </row>
    <row r="23639" spans="1:3">
      <c r="A23639" s="571" t="s">
        <v>1495</v>
      </c>
      <c r="B23639" s="572">
        <v>3.0187400000000002</v>
      </c>
      <c r="C23639" s="572">
        <v>62.421199999999999</v>
      </c>
    </row>
    <row r="23640" spans="1:3">
      <c r="A23640" s="571" t="s">
        <v>1495</v>
      </c>
      <c r="B23640" s="572">
        <v>7.0183900000000001</v>
      </c>
      <c r="C23640" s="572">
        <v>98.992900000000006</v>
      </c>
    </row>
    <row r="23641" spans="1:3">
      <c r="A23641" s="571" t="s">
        <v>1495</v>
      </c>
      <c r="B23641" s="572">
        <v>8.9315499999999997</v>
      </c>
      <c r="C23641" s="572">
        <v>117.249</v>
      </c>
    </row>
    <row r="23642" spans="1:3">
      <c r="A23642" s="571" t="s">
        <v>1495</v>
      </c>
      <c r="B23642" s="572">
        <v>11.0288</v>
      </c>
      <c r="C23642" s="572">
        <v>141.572</v>
      </c>
    </row>
    <row r="23643" spans="1:3">
      <c r="A23643" s="571" t="s">
        <v>1495</v>
      </c>
      <c r="B23643" s="572">
        <v>15.057499999999999</v>
      </c>
      <c r="C23643" s="572">
        <v>199.30799999999999</v>
      </c>
    </row>
    <row r="23644" spans="1:3">
      <c r="A23644" s="571" t="s">
        <v>1495</v>
      </c>
      <c r="B23644" s="572">
        <v>18.041399999999999</v>
      </c>
      <c r="C23644" s="572">
        <v>238.80699999999999</v>
      </c>
    </row>
    <row r="23645" spans="1:3">
      <c r="A23645" s="571" t="s">
        <v>1495</v>
      </c>
      <c r="B23645" s="572">
        <v>21.186699999999998</v>
      </c>
      <c r="C23645" s="572">
        <v>266.15800000000002</v>
      </c>
    </row>
    <row r="23646" spans="1:3">
      <c r="A23646" s="571" t="s">
        <v>1495</v>
      </c>
      <c r="B23646" s="572">
        <v>23.900500000000001</v>
      </c>
      <c r="C23646" s="572">
        <v>290.46600000000001</v>
      </c>
    </row>
    <row r="23647" spans="1:3">
      <c r="A23647" s="571" t="s">
        <v>1495</v>
      </c>
      <c r="B23647" s="572">
        <v>31.032800000000002</v>
      </c>
      <c r="C23647" s="572">
        <v>360.33800000000002</v>
      </c>
    </row>
    <row r="23648" spans="1:3">
      <c r="A23648" s="571" t="s">
        <v>1495</v>
      </c>
      <c r="B23648" s="572">
        <v>38.319899999999997</v>
      </c>
      <c r="C23648" s="572">
        <v>418.05799999999999</v>
      </c>
    </row>
    <row r="23649" spans="1:3">
      <c r="A23649" s="571" t="s">
        <v>1495</v>
      </c>
      <c r="B23649" s="572">
        <v>50.257300000000001</v>
      </c>
      <c r="C23649" s="572">
        <v>490.96800000000002</v>
      </c>
    </row>
    <row r="23650" spans="1:3">
      <c r="A23650" s="571" t="s">
        <v>1495</v>
      </c>
      <c r="B23650" s="572">
        <v>63.957099999999997</v>
      </c>
      <c r="C23650" s="572">
        <v>521.36800000000005</v>
      </c>
    </row>
    <row r="23651" spans="1:3">
      <c r="A23651" s="571" t="s">
        <v>1495</v>
      </c>
      <c r="B23651" s="572">
        <v>78.186099999999996</v>
      </c>
      <c r="C23651" s="572">
        <v>548.726</v>
      </c>
    </row>
    <row r="23652" spans="1:3">
      <c r="A23652" s="571" t="s">
        <v>1495</v>
      </c>
      <c r="B23652" s="572">
        <v>86.447100000000006</v>
      </c>
      <c r="C23652" s="572">
        <v>566.95899999999995</v>
      </c>
    </row>
    <row r="23653" spans="1:3">
      <c r="A23653" s="573" t="s">
        <v>1495</v>
      </c>
      <c r="B23653" s="574">
        <v>100.503</v>
      </c>
      <c r="C23653" s="574">
        <v>579.12800000000004</v>
      </c>
    </row>
    <row r="23654" spans="1:3">
      <c r="A23654" s="573" t="s">
        <v>1495</v>
      </c>
      <c r="B23654" s="574">
        <v>114.52200000000001</v>
      </c>
      <c r="C23654" s="574">
        <v>579.149</v>
      </c>
    </row>
    <row r="23655" spans="1:3">
      <c r="A23655" s="573" t="s">
        <v>1495</v>
      </c>
      <c r="B23655" s="574">
        <v>129.191</v>
      </c>
      <c r="C23655" s="574">
        <v>591.31399999999996</v>
      </c>
    </row>
    <row r="23656" spans="1:3">
      <c r="A23656" s="573" t="s">
        <v>1495</v>
      </c>
      <c r="B23656" s="574">
        <v>141.41300000000001</v>
      </c>
      <c r="C23656" s="574">
        <v>600.43700000000001</v>
      </c>
    </row>
    <row r="23657" spans="1:3">
      <c r="A23657" s="573" t="s">
        <v>1495</v>
      </c>
      <c r="B23657" s="574">
        <v>172.875</v>
      </c>
      <c r="C23657" s="574">
        <v>612.61400000000003</v>
      </c>
    </row>
    <row r="23658" spans="1:3">
      <c r="A23658" s="573" t="s">
        <v>1495</v>
      </c>
      <c r="B23658" s="574">
        <v>196.98699999999999</v>
      </c>
      <c r="C23658" s="574">
        <v>612.63499999999999</v>
      </c>
    </row>
    <row r="23659" spans="1:3">
      <c r="A23659" s="573" t="s">
        <v>1495</v>
      </c>
      <c r="B23659" s="574">
        <v>215.624</v>
      </c>
      <c r="C23659" s="574">
        <v>609.61400000000003</v>
      </c>
    </row>
    <row r="23660" spans="1:3">
      <c r="A23660" s="573" t="s">
        <v>1495</v>
      </c>
      <c r="B23660" s="574">
        <v>226.72900000000001</v>
      </c>
      <c r="C23660" s="574">
        <v>603.54999999999995</v>
      </c>
    </row>
    <row r="23661" spans="1:3">
      <c r="A23661" s="573" t="s">
        <v>1495</v>
      </c>
      <c r="B23661" s="574">
        <v>245.69900000000001</v>
      </c>
      <c r="C23661" s="574">
        <v>606.6</v>
      </c>
    </row>
    <row r="23662" spans="1:3">
      <c r="A23662" s="573" t="s">
        <v>1495</v>
      </c>
      <c r="B23662" s="574">
        <v>277.17099999999999</v>
      </c>
      <c r="C23662" s="574">
        <v>600.548</v>
      </c>
    </row>
    <row r="23663" spans="1:3">
      <c r="A23663" s="573" t="s">
        <v>1495</v>
      </c>
      <c r="B23663" s="574">
        <v>303.39400000000001</v>
      </c>
      <c r="C23663" s="574">
        <v>624.851</v>
      </c>
    </row>
    <row r="23664" spans="1:3">
      <c r="A23664" s="573" t="s">
        <v>1495</v>
      </c>
      <c r="B23664" s="574">
        <v>332.09699999999998</v>
      </c>
      <c r="C23664" s="574">
        <v>621.83000000000004</v>
      </c>
    </row>
    <row r="23665" spans="1:3">
      <c r="A23665" s="573" t="s">
        <v>1495</v>
      </c>
      <c r="B23665" s="574">
        <v>359.88299999999998</v>
      </c>
      <c r="C23665" s="574">
        <v>576.30200000000002</v>
      </c>
    </row>
    <row r="23666" spans="1:3">
      <c r="A23666" s="573" t="s">
        <v>1495</v>
      </c>
      <c r="B23666" s="574">
        <v>367.185</v>
      </c>
      <c r="C23666" s="574">
        <v>561.125</v>
      </c>
    </row>
    <row r="23667" spans="1:3">
      <c r="A23667" s="573" t="s">
        <v>1495</v>
      </c>
      <c r="B23667" s="574">
        <v>389.99400000000003</v>
      </c>
      <c r="C23667" s="574">
        <v>555.06299999999999</v>
      </c>
    </row>
    <row r="23668" spans="1:3">
      <c r="A23668" s="573" t="s">
        <v>1495</v>
      </c>
      <c r="B23668" s="574">
        <v>418.4</v>
      </c>
      <c r="C23668" s="574">
        <v>542.92999999999995</v>
      </c>
    </row>
    <row r="23669" spans="1:3">
      <c r="A23669" s="573" t="s">
        <v>1495</v>
      </c>
      <c r="B23669" s="574">
        <v>444.39</v>
      </c>
      <c r="C23669" s="574">
        <v>552.048</v>
      </c>
    </row>
    <row r="23670" spans="1:3">
      <c r="A23670" s="569" t="s">
        <v>1495</v>
      </c>
      <c r="B23670" s="570">
        <v>501.31299999999999</v>
      </c>
      <c r="C23670" s="570">
        <v>588.50099999999998</v>
      </c>
    </row>
    <row r="23671" spans="1:3">
      <c r="A23671" s="569" t="s">
        <v>1495</v>
      </c>
      <c r="B23671" s="570">
        <v>559.87599999999998</v>
      </c>
      <c r="C23671" s="570">
        <v>582.447</v>
      </c>
    </row>
    <row r="23672" spans="1:3">
      <c r="A23672" s="569" t="s">
        <v>1495</v>
      </c>
      <c r="B23672" s="570">
        <v>619.03099999999995</v>
      </c>
      <c r="C23672" s="570">
        <v>585.5</v>
      </c>
    </row>
    <row r="23673" spans="1:3">
      <c r="A23673" s="569" t="s">
        <v>1495</v>
      </c>
      <c r="B23673" s="570">
        <v>670.82399999999996</v>
      </c>
      <c r="C23673" s="570">
        <v>558.18799999999999</v>
      </c>
    </row>
    <row r="23674" spans="1:3">
      <c r="A23674" s="569" t="s">
        <v>1495</v>
      </c>
      <c r="B23674" s="570">
        <v>734.28899999999999</v>
      </c>
      <c r="C23674" s="570">
        <v>536.95100000000002</v>
      </c>
    </row>
    <row r="23675" spans="1:3">
      <c r="A23675" s="569" t="s">
        <v>1495</v>
      </c>
      <c r="B23675" s="570">
        <v>795.726</v>
      </c>
      <c r="C23675" s="570">
        <v>558.21699999999998</v>
      </c>
    </row>
    <row r="23676" spans="1:3">
      <c r="A23676" s="569" t="s">
        <v>1495</v>
      </c>
      <c r="B23676" s="570">
        <v>845.154</v>
      </c>
      <c r="C23676" s="570">
        <v>555.19000000000005</v>
      </c>
    </row>
    <row r="23677" spans="1:3">
      <c r="A23677" s="569" t="s">
        <v>1495</v>
      </c>
      <c r="B23677" s="570">
        <v>906.71299999999997</v>
      </c>
      <c r="C23677" s="570">
        <v>543.05799999999999</v>
      </c>
    </row>
    <row r="23678" spans="1:3">
      <c r="A23678" s="569" t="s">
        <v>1495</v>
      </c>
      <c r="B23678" s="570">
        <v>992.495</v>
      </c>
      <c r="C23678" s="570">
        <v>588.61400000000003</v>
      </c>
    </row>
    <row r="23679" spans="1:3">
      <c r="A23679" s="569" t="s">
        <v>1495</v>
      </c>
      <c r="B23679" s="570">
        <v>1064.79</v>
      </c>
      <c r="C23679" s="570">
        <v>555.22900000000004</v>
      </c>
    </row>
    <row r="23680" spans="1:3">
      <c r="A23680" s="569" t="s">
        <v>1495</v>
      </c>
      <c r="B23680" s="570">
        <v>1097.3599999999999</v>
      </c>
      <c r="C23680" s="570">
        <v>473.26</v>
      </c>
    </row>
    <row r="23681" spans="1:3">
      <c r="A23681" s="569" t="s">
        <v>1495</v>
      </c>
      <c r="B23681" s="570">
        <v>1142.3399999999999</v>
      </c>
      <c r="C23681" s="570">
        <v>479.339</v>
      </c>
    </row>
    <row r="23682" spans="1:3">
      <c r="A23682" s="569" t="s">
        <v>1495</v>
      </c>
      <c r="B23682" s="570">
        <v>1250.42</v>
      </c>
      <c r="C23682" s="570">
        <v>500.60599999999999</v>
      </c>
    </row>
    <row r="23683" spans="1:3">
      <c r="A23683" s="569" t="s">
        <v>1495</v>
      </c>
      <c r="B23683" s="570">
        <v>1328.09</v>
      </c>
      <c r="C23683" s="570">
        <v>543.12099999999998</v>
      </c>
    </row>
    <row r="23684" spans="1:3">
      <c r="A23684" s="569" t="s">
        <v>1495</v>
      </c>
      <c r="B23684" s="570">
        <v>1410.59</v>
      </c>
      <c r="C23684" s="570">
        <v>552.23900000000003</v>
      </c>
    </row>
    <row r="23685" spans="1:3">
      <c r="A23685" s="569" t="s">
        <v>1495</v>
      </c>
      <c r="B23685" s="570">
        <v>1453.74</v>
      </c>
      <c r="C23685" s="570">
        <v>546.17200000000003</v>
      </c>
    </row>
    <row r="23686" spans="1:3">
      <c r="A23686" s="569" t="s">
        <v>1495</v>
      </c>
      <c r="B23686" s="570">
        <v>1607.34</v>
      </c>
      <c r="C23686" s="570">
        <v>567.44100000000003</v>
      </c>
    </row>
    <row r="23687" spans="1:3">
      <c r="A23687" s="569" t="s">
        <v>1495</v>
      </c>
      <c r="B23687" s="570">
        <v>1690.12</v>
      </c>
      <c r="C23687" s="570">
        <v>561.37699999999995</v>
      </c>
    </row>
    <row r="23688" spans="1:3">
      <c r="A23688" s="569" t="s">
        <v>1495</v>
      </c>
      <c r="B23688" s="570">
        <v>1759.4</v>
      </c>
      <c r="C23688" s="570">
        <v>515.84299999999996</v>
      </c>
    </row>
    <row r="23689" spans="1:3">
      <c r="A23689" s="569" t="s">
        <v>1495</v>
      </c>
      <c r="B23689" s="570">
        <v>1831.53</v>
      </c>
      <c r="C23689" s="570">
        <v>485.48899999999998</v>
      </c>
    </row>
    <row r="23690" spans="1:3">
      <c r="A23690" s="569" t="s">
        <v>1495</v>
      </c>
      <c r="B23690" s="570">
        <v>2108.06</v>
      </c>
      <c r="C23690" s="570">
        <v>524.98099999999999</v>
      </c>
    </row>
    <row r="23691" spans="1:3">
      <c r="A23691" s="569" t="s">
        <v>1495</v>
      </c>
      <c r="B23691" s="570">
        <v>2172.54</v>
      </c>
      <c r="C23691" s="570">
        <v>524.98599999999999</v>
      </c>
    </row>
    <row r="23692" spans="1:3">
      <c r="A23692" s="569" t="s">
        <v>1495</v>
      </c>
      <c r="B23692" s="570">
        <v>2307.4899999999998</v>
      </c>
      <c r="C23692" s="570">
        <v>512.851</v>
      </c>
    </row>
    <row r="23693" spans="1:3">
      <c r="A23693" s="569" t="s">
        <v>1495</v>
      </c>
      <c r="B23693" s="570">
        <v>2402.09</v>
      </c>
      <c r="C23693" s="570">
        <v>509.822</v>
      </c>
    </row>
    <row r="23694" spans="1:3">
      <c r="A23694" s="569" t="s">
        <v>1495</v>
      </c>
      <c r="B23694" s="570">
        <v>2577.0500000000002</v>
      </c>
      <c r="C23694" s="570">
        <v>512.86900000000003</v>
      </c>
    </row>
    <row r="23695" spans="1:3">
      <c r="A23695" s="569" t="s">
        <v>1495</v>
      </c>
      <c r="B23695" s="570">
        <v>2682.7</v>
      </c>
      <c r="C23695" s="570">
        <v>540.20100000000002</v>
      </c>
    </row>
    <row r="23696" spans="1:3">
      <c r="A23696" s="569" t="s">
        <v>1495</v>
      </c>
      <c r="B23696" s="570">
        <v>2936.5</v>
      </c>
      <c r="C23696" s="570">
        <v>503.78300000000002</v>
      </c>
    </row>
    <row r="23697" spans="1:3">
      <c r="A23697" s="569" t="s">
        <v>1495</v>
      </c>
      <c r="B23697" s="570">
        <v>3087.74</v>
      </c>
      <c r="C23697" s="570">
        <v>515.93499999999995</v>
      </c>
    </row>
    <row r="23698" spans="1:3">
      <c r="A23698" s="569" t="s">
        <v>1495</v>
      </c>
      <c r="B23698" s="570">
        <v>3279.54</v>
      </c>
      <c r="C23698" s="570">
        <v>503.80099999999999</v>
      </c>
    </row>
    <row r="23699" spans="1:3">
      <c r="A23699" s="569" t="s">
        <v>1495</v>
      </c>
      <c r="B23699" s="570">
        <v>3312.64</v>
      </c>
      <c r="C23699" s="570">
        <v>528.09100000000001</v>
      </c>
    </row>
    <row r="23700" spans="1:3">
      <c r="A23700" s="569" t="s">
        <v>1495</v>
      </c>
      <c r="B23700" s="570">
        <v>3626.04</v>
      </c>
      <c r="C23700" s="570">
        <v>515.96199999999999</v>
      </c>
    </row>
    <row r="23701" spans="1:3">
      <c r="A23701" s="569" t="s">
        <v>1495</v>
      </c>
      <c r="B23701" s="570">
        <v>3851.28</v>
      </c>
      <c r="C23701" s="570">
        <v>512.93600000000004</v>
      </c>
    </row>
    <row r="23702" spans="1:3">
      <c r="A23702" s="569" t="s">
        <v>1495</v>
      </c>
      <c r="B23702" s="570">
        <v>4131.8</v>
      </c>
      <c r="C23702" s="570">
        <v>561.524</v>
      </c>
    </row>
    <row r="23703" spans="1:3">
      <c r="A23703" s="569" t="s">
        <v>1495</v>
      </c>
      <c r="B23703" s="570">
        <v>4388.46</v>
      </c>
      <c r="C23703" s="570">
        <v>528.13699999999994</v>
      </c>
    </row>
    <row r="23704" spans="1:3">
      <c r="A23704" s="569" t="s">
        <v>1495</v>
      </c>
      <c r="B23704" s="570">
        <v>4568.3599999999997</v>
      </c>
      <c r="C23704" s="570">
        <v>509.928</v>
      </c>
    </row>
    <row r="23705" spans="1:3">
      <c r="A23705" s="569" t="s">
        <v>1495</v>
      </c>
      <c r="B23705" s="570">
        <v>4755.63</v>
      </c>
      <c r="C23705" s="570">
        <v>488.68200000000002</v>
      </c>
    </row>
    <row r="23706" spans="1:3">
      <c r="A23706" s="569" t="s">
        <v>1495</v>
      </c>
      <c r="B23706" s="570">
        <v>5051.04</v>
      </c>
      <c r="C23706" s="570">
        <v>516.01599999999996</v>
      </c>
    </row>
    <row r="23707" spans="1:3">
      <c r="A23707" s="569" t="s">
        <v>1495</v>
      </c>
      <c r="B23707" s="570">
        <v>10946.1</v>
      </c>
      <c r="C23707" s="570">
        <v>473.63900000000001</v>
      </c>
    </row>
    <row r="23708" spans="1:3">
      <c r="A23708" s="571" t="s">
        <v>1494</v>
      </c>
      <c r="B23708" s="572">
        <v>2.8998599999999999</v>
      </c>
      <c r="C23708" s="572">
        <v>38.126100000000001</v>
      </c>
    </row>
    <row r="23709" spans="1:3">
      <c r="A23709" s="571" t="s">
        <v>1494</v>
      </c>
      <c r="B23709" s="572">
        <v>3.9991099999999999</v>
      </c>
      <c r="C23709" s="572">
        <v>56.395400000000002</v>
      </c>
    </row>
    <row r="23710" spans="1:3">
      <c r="A23710" s="571" t="s">
        <v>1494</v>
      </c>
      <c r="B23710" s="572">
        <v>7.0183900000000001</v>
      </c>
      <c r="C23710" s="572">
        <v>74.704499999999996</v>
      </c>
    </row>
    <row r="23711" spans="1:3">
      <c r="A23711" s="571" t="s">
        <v>1494</v>
      </c>
      <c r="B23711" s="572">
        <v>8.9315499999999997</v>
      </c>
      <c r="C23711" s="572">
        <v>92.960499999999996</v>
      </c>
    </row>
    <row r="23712" spans="1:3">
      <c r="A23712" s="571" t="s">
        <v>1494</v>
      </c>
      <c r="B23712" s="572">
        <v>9.9749199999999991</v>
      </c>
      <c r="C23712" s="572">
        <v>92.978700000000003</v>
      </c>
    </row>
    <row r="23713" spans="1:3">
      <c r="A23713" s="571" t="s">
        <v>1494</v>
      </c>
      <c r="B23713" s="572">
        <v>15.992800000000001</v>
      </c>
      <c r="C23713" s="572">
        <v>129.489</v>
      </c>
    </row>
    <row r="23714" spans="1:3">
      <c r="A23714" s="571" t="s">
        <v>1494</v>
      </c>
      <c r="B23714" s="572">
        <v>20.975000000000001</v>
      </c>
      <c r="C23714" s="572">
        <v>165.96600000000001</v>
      </c>
    </row>
    <row r="23715" spans="1:3">
      <c r="A23715" s="571" t="s">
        <v>1494</v>
      </c>
      <c r="B23715" s="572">
        <v>31.032800000000002</v>
      </c>
      <c r="C23715" s="572">
        <v>235.86</v>
      </c>
    </row>
    <row r="23716" spans="1:3">
      <c r="A23716" s="571" t="s">
        <v>1494</v>
      </c>
      <c r="B23716" s="572">
        <v>37.936900000000001</v>
      </c>
      <c r="C23716" s="572">
        <v>290.54199999999997</v>
      </c>
    </row>
    <row r="23717" spans="1:3">
      <c r="A23717" s="571" t="s">
        <v>1494</v>
      </c>
      <c r="B23717" s="572">
        <v>49.755099999999999</v>
      </c>
      <c r="C23717" s="572">
        <v>372.56</v>
      </c>
    </row>
    <row r="23718" spans="1:3">
      <c r="A23718" s="571" t="s">
        <v>1494</v>
      </c>
      <c r="B23718" s="572">
        <v>63.957099999999997</v>
      </c>
      <c r="C23718" s="572">
        <v>436.35899999999998</v>
      </c>
    </row>
    <row r="23719" spans="1:3">
      <c r="A23719" s="571" t="s">
        <v>1494</v>
      </c>
      <c r="B23719" s="572">
        <v>77.404799999999994</v>
      </c>
      <c r="C23719" s="572">
        <v>469.78699999999998</v>
      </c>
    </row>
    <row r="23720" spans="1:3">
      <c r="A23720" s="571" t="s">
        <v>1494</v>
      </c>
      <c r="B23720" s="572">
        <v>92.743700000000004</v>
      </c>
      <c r="C23720" s="572">
        <v>497.14100000000002</v>
      </c>
    </row>
    <row r="23721" spans="1:3">
      <c r="A23721" s="573" t="s">
        <v>1494</v>
      </c>
      <c r="B23721" s="574">
        <v>100.503</v>
      </c>
      <c r="C23721" s="574">
        <v>524.47900000000004</v>
      </c>
    </row>
    <row r="23722" spans="1:3">
      <c r="A23722" s="573" t="s">
        <v>1494</v>
      </c>
      <c r="B23722" s="574">
        <v>127.9</v>
      </c>
      <c r="C23722" s="574">
        <v>524.51900000000001</v>
      </c>
    </row>
    <row r="23723" spans="1:3">
      <c r="A23723" s="573" t="s">
        <v>1494</v>
      </c>
      <c r="B23723" s="574">
        <v>154.792</v>
      </c>
      <c r="C23723" s="574">
        <v>548.83900000000006</v>
      </c>
    </row>
    <row r="23724" spans="1:3">
      <c r="A23724" s="573" t="s">
        <v>1494</v>
      </c>
      <c r="B23724" s="574">
        <v>183.613</v>
      </c>
      <c r="C23724" s="574">
        <v>564.04700000000003</v>
      </c>
    </row>
    <row r="23725" spans="1:3">
      <c r="A23725" s="573" t="s">
        <v>1494</v>
      </c>
      <c r="B23725" s="574">
        <v>219.999</v>
      </c>
      <c r="C23725" s="574">
        <v>567.11300000000006</v>
      </c>
    </row>
    <row r="23726" spans="1:3">
      <c r="A23726" s="573" t="s">
        <v>1494</v>
      </c>
      <c r="B23726" s="574">
        <v>233.66499999999999</v>
      </c>
      <c r="C23726" s="574">
        <v>558.01499999999999</v>
      </c>
    </row>
    <row r="23727" spans="1:3">
      <c r="A23727" s="573" t="s">
        <v>1494</v>
      </c>
      <c r="B23727" s="574">
        <v>253.215</v>
      </c>
      <c r="C23727" s="574">
        <v>554.99199999999996</v>
      </c>
    </row>
    <row r="23728" spans="1:3">
      <c r="A23728" s="573" t="s">
        <v>1494</v>
      </c>
      <c r="B23728" s="574">
        <v>282.79500000000002</v>
      </c>
      <c r="C23728" s="574">
        <v>567.154</v>
      </c>
    </row>
    <row r="23729" spans="1:3">
      <c r="A23729" s="573" t="s">
        <v>1494</v>
      </c>
      <c r="B23729" s="574">
        <v>309.55</v>
      </c>
      <c r="C23729" s="574">
        <v>573.24099999999999</v>
      </c>
    </row>
    <row r="23730" spans="1:3">
      <c r="A23730" s="573" t="s">
        <v>1494</v>
      </c>
      <c r="B23730" s="574">
        <v>335.44900000000001</v>
      </c>
      <c r="C23730" s="574">
        <v>567.18200000000002</v>
      </c>
    </row>
    <row r="23731" spans="1:3">
      <c r="A23731" s="573" t="s">
        <v>1494</v>
      </c>
      <c r="B23731" s="574">
        <v>367.185</v>
      </c>
      <c r="C23731" s="574">
        <v>533.80100000000004</v>
      </c>
    </row>
    <row r="23732" spans="1:3">
      <c r="A23732" s="573" t="s">
        <v>1494</v>
      </c>
      <c r="B23732" s="574">
        <v>393.93099999999998</v>
      </c>
      <c r="C23732" s="574">
        <v>500.416</v>
      </c>
    </row>
    <row r="23733" spans="1:3">
      <c r="A23733" s="573" t="s">
        <v>1494</v>
      </c>
      <c r="B23733" s="574">
        <v>418.4</v>
      </c>
      <c r="C23733" s="574">
        <v>485.245</v>
      </c>
    </row>
    <row r="23734" spans="1:3">
      <c r="A23734" s="573" t="s">
        <v>1494</v>
      </c>
      <c r="B23734" s="574">
        <v>448.87599999999998</v>
      </c>
      <c r="C23734" s="574">
        <v>500.43700000000001</v>
      </c>
    </row>
    <row r="23735" spans="1:3">
      <c r="A23735" s="569" t="s">
        <v>1494</v>
      </c>
      <c r="B23735" s="570">
        <v>511.48500000000001</v>
      </c>
      <c r="C23735" s="570">
        <v>542.96400000000006</v>
      </c>
    </row>
    <row r="23736" spans="1:3">
      <c r="A23736" s="569" t="s">
        <v>1494</v>
      </c>
      <c r="B23736" s="570">
        <v>565.52700000000004</v>
      </c>
      <c r="C23736" s="570">
        <v>527.79999999999995</v>
      </c>
    </row>
    <row r="23737" spans="1:3">
      <c r="A23737" s="569" t="s">
        <v>1494</v>
      </c>
      <c r="B23737" s="570">
        <v>625.279</v>
      </c>
      <c r="C23737" s="570">
        <v>536.92499999999995</v>
      </c>
    </row>
    <row r="23738" spans="1:3">
      <c r="A23738" s="569" t="s">
        <v>1494</v>
      </c>
      <c r="B23738" s="570">
        <v>677.596</v>
      </c>
      <c r="C23738" s="570">
        <v>515.68499999999995</v>
      </c>
    </row>
    <row r="23739" spans="1:3">
      <c r="A23739" s="569" t="s">
        <v>1494</v>
      </c>
      <c r="B23739" s="570">
        <v>726.95100000000002</v>
      </c>
      <c r="C23739" s="570">
        <v>488.37200000000001</v>
      </c>
    </row>
    <row r="23740" spans="1:3">
      <c r="A23740" s="569" t="s">
        <v>1494</v>
      </c>
      <c r="B23740" s="570">
        <v>741.70100000000002</v>
      </c>
      <c r="C23740" s="570">
        <v>485.34</v>
      </c>
    </row>
    <row r="23741" spans="1:3">
      <c r="A23741" s="569" t="s">
        <v>1494</v>
      </c>
      <c r="B23741" s="570">
        <v>795.726</v>
      </c>
      <c r="C23741" s="570">
        <v>509.64</v>
      </c>
    </row>
    <row r="23742" spans="1:3">
      <c r="A23742" s="569" t="s">
        <v>1494</v>
      </c>
      <c r="B23742" s="570">
        <v>845.154</v>
      </c>
      <c r="C23742" s="570">
        <v>500.54199999999997</v>
      </c>
    </row>
    <row r="23743" spans="1:3">
      <c r="A23743" s="569" t="s">
        <v>1494</v>
      </c>
      <c r="B23743" s="570">
        <v>906.71299999999997</v>
      </c>
      <c r="C23743" s="570">
        <v>488.40899999999999</v>
      </c>
    </row>
    <row r="23744" spans="1:3">
      <c r="A23744" s="569" t="s">
        <v>1494</v>
      </c>
      <c r="B23744" s="570">
        <v>1012.63</v>
      </c>
      <c r="C23744" s="570">
        <v>537.00400000000002</v>
      </c>
    </row>
    <row r="23745" spans="1:3">
      <c r="A23745" s="569" t="s">
        <v>1494</v>
      </c>
      <c r="B23745" s="570">
        <v>1064.79</v>
      </c>
      <c r="C23745" s="570">
        <v>500.58</v>
      </c>
    </row>
    <row r="23746" spans="1:3">
      <c r="A23746" s="569" t="s">
        <v>1494</v>
      </c>
      <c r="B23746" s="570">
        <v>1097.3599999999999</v>
      </c>
      <c r="C23746" s="570">
        <v>448.97199999999998</v>
      </c>
    </row>
    <row r="23747" spans="1:3">
      <c r="A23747" s="569" t="s">
        <v>1494</v>
      </c>
      <c r="B23747" s="570">
        <v>1153.8800000000001</v>
      </c>
      <c r="C23747" s="570">
        <v>424.69200000000001</v>
      </c>
    </row>
    <row r="23748" spans="1:3">
      <c r="A23748" s="569" t="s">
        <v>1494</v>
      </c>
      <c r="B23748" s="570">
        <v>1263.04</v>
      </c>
      <c r="C23748" s="570">
        <v>448.995</v>
      </c>
    </row>
    <row r="23749" spans="1:3">
      <c r="A23749" s="569" t="s">
        <v>1494</v>
      </c>
      <c r="B23749" s="570">
        <v>1328.09</v>
      </c>
      <c r="C23749" s="570">
        <v>497.58</v>
      </c>
    </row>
    <row r="23750" spans="1:3">
      <c r="A23750" s="569" t="s">
        <v>1494</v>
      </c>
      <c r="B23750" s="570">
        <v>1424.83</v>
      </c>
      <c r="C23750" s="570">
        <v>479.375</v>
      </c>
    </row>
    <row r="23751" spans="1:3">
      <c r="A23751" s="569" t="s">
        <v>1494</v>
      </c>
      <c r="B23751" s="570">
        <v>1468.41</v>
      </c>
      <c r="C23751" s="570">
        <v>485.452</v>
      </c>
    </row>
    <row r="23752" spans="1:3">
      <c r="A23752" s="569" t="s">
        <v>1494</v>
      </c>
      <c r="B23752" s="570">
        <v>1623.56</v>
      </c>
      <c r="C23752" s="570">
        <v>531.01</v>
      </c>
    </row>
    <row r="23753" spans="1:3">
      <c r="A23753" s="569" t="s">
        <v>1494</v>
      </c>
      <c r="B23753" s="570">
        <v>1690.12</v>
      </c>
      <c r="C23753" s="570">
        <v>521.90800000000002</v>
      </c>
    </row>
    <row r="23754" spans="1:3">
      <c r="A23754" s="569" t="s">
        <v>1494</v>
      </c>
      <c r="B23754" s="570">
        <v>1777.16</v>
      </c>
      <c r="C23754" s="570">
        <v>467.267</v>
      </c>
    </row>
    <row r="23755" spans="1:3">
      <c r="A23755" s="569" t="s">
        <v>1494</v>
      </c>
      <c r="B23755" s="570">
        <v>1831.53</v>
      </c>
      <c r="C23755" s="570">
        <v>427.80399999999997</v>
      </c>
    </row>
    <row r="23756" spans="1:3">
      <c r="A23756" s="569" t="s">
        <v>1494</v>
      </c>
      <c r="B23756" s="570">
        <v>2086.9899999999998</v>
      </c>
      <c r="C23756" s="570">
        <v>458.18599999999998</v>
      </c>
    </row>
    <row r="23757" spans="1:3">
      <c r="A23757" s="569" t="s">
        <v>1494</v>
      </c>
      <c r="B23757" s="570">
        <v>2194.4699999999998</v>
      </c>
      <c r="C23757" s="570">
        <v>461.23</v>
      </c>
    </row>
    <row r="23758" spans="1:3">
      <c r="A23758" s="569" t="s">
        <v>1494</v>
      </c>
      <c r="B23758" s="570">
        <v>2239</v>
      </c>
      <c r="C23758" s="570">
        <v>452.125</v>
      </c>
    </row>
    <row r="23759" spans="1:3">
      <c r="A23759" s="569" t="s">
        <v>1494</v>
      </c>
      <c r="B23759" s="570">
        <v>2402.09</v>
      </c>
      <c r="C23759" s="570">
        <v>470.35300000000001</v>
      </c>
    </row>
    <row r="23760" spans="1:3">
      <c r="A23760" s="569" t="s">
        <v>1494</v>
      </c>
      <c r="B23760" s="570">
        <v>2525.8000000000002</v>
      </c>
      <c r="C23760" s="570">
        <v>443.03699999999998</v>
      </c>
    </row>
    <row r="23761" spans="1:3">
      <c r="A23761" s="569" t="s">
        <v>1494</v>
      </c>
      <c r="B23761" s="570">
        <v>2709.78</v>
      </c>
      <c r="C23761" s="570">
        <v>467.33699999999999</v>
      </c>
    </row>
    <row r="23762" spans="1:3">
      <c r="A23762" s="569" t="s">
        <v>1494</v>
      </c>
      <c r="B23762" s="570">
        <v>2966.14</v>
      </c>
      <c r="C23762" s="570">
        <v>427.88299999999998</v>
      </c>
    </row>
    <row r="23763" spans="1:3">
      <c r="A23763" s="569" t="s">
        <v>1494</v>
      </c>
      <c r="B23763" s="570">
        <v>3087.74</v>
      </c>
      <c r="C23763" s="570">
        <v>452.178</v>
      </c>
    </row>
    <row r="23764" spans="1:3">
      <c r="A23764" s="569" t="s">
        <v>1494</v>
      </c>
      <c r="B23764" s="570">
        <v>3279.54</v>
      </c>
      <c r="C23764" s="570">
        <v>421.82799999999997</v>
      </c>
    </row>
    <row r="23765" spans="1:3">
      <c r="A23765" s="569" t="s">
        <v>1494</v>
      </c>
      <c r="B23765" s="570">
        <v>3448.44</v>
      </c>
      <c r="C23765" s="570">
        <v>446.12400000000002</v>
      </c>
    </row>
    <row r="23766" spans="1:3">
      <c r="A23766" s="569" t="s">
        <v>1494</v>
      </c>
      <c r="B23766" s="570">
        <v>3626.04</v>
      </c>
      <c r="C23766" s="570">
        <v>418.80799999999999</v>
      </c>
    </row>
    <row r="23767" spans="1:3">
      <c r="A23767" s="569" t="s">
        <v>1494</v>
      </c>
      <c r="B23767" s="570">
        <v>3812.79</v>
      </c>
      <c r="C23767" s="570">
        <v>418.81599999999997</v>
      </c>
    </row>
    <row r="23768" spans="1:3">
      <c r="A23768" s="569" t="s">
        <v>1494</v>
      </c>
      <c r="B23768" s="570">
        <v>4090.51</v>
      </c>
      <c r="C23768" s="570">
        <v>467.40499999999997</v>
      </c>
    </row>
    <row r="23769" spans="1:3">
      <c r="A23769" s="569" t="s">
        <v>1494</v>
      </c>
      <c r="B23769" s="570">
        <v>4388.46</v>
      </c>
      <c r="C23769" s="570">
        <v>427.94799999999998</v>
      </c>
    </row>
    <row r="23770" spans="1:3">
      <c r="A23770" s="569" t="s">
        <v>1494</v>
      </c>
      <c r="B23770" s="570">
        <v>4568.3599999999997</v>
      </c>
      <c r="C23770" s="570">
        <v>406.702</v>
      </c>
    </row>
    <row r="23771" spans="1:3">
      <c r="A23771" s="569" t="s">
        <v>1494</v>
      </c>
      <c r="B23771" s="570">
        <v>4755.63</v>
      </c>
      <c r="C23771" s="570">
        <v>400.637</v>
      </c>
    </row>
    <row r="23772" spans="1:3">
      <c r="A23772" s="569" t="s">
        <v>1494</v>
      </c>
      <c r="B23772" s="570">
        <v>5000.5600000000004</v>
      </c>
      <c r="C23772" s="570">
        <v>421.89699999999999</v>
      </c>
    </row>
    <row r="23773" spans="1:3">
      <c r="A23773" s="569" t="s">
        <v>1494</v>
      </c>
      <c r="B23773" s="570">
        <v>5153.53</v>
      </c>
      <c r="C23773" s="570">
        <v>406.72199999999998</v>
      </c>
    </row>
    <row r="23774" spans="1:3">
      <c r="A23774" s="569" t="s">
        <v>1494</v>
      </c>
      <c r="B23774" s="570">
        <v>11056.6</v>
      </c>
      <c r="C23774" s="570">
        <v>373.45100000000002</v>
      </c>
    </row>
    <row r="23775" spans="1:3">
      <c r="A23775" s="571" t="s">
        <v>1493</v>
      </c>
      <c r="B23775" s="572">
        <v>1.9997799999999999</v>
      </c>
      <c r="C23775" s="572">
        <v>22.884599999999999</v>
      </c>
    </row>
    <row r="23776" spans="1:3">
      <c r="A23776" s="571" t="s">
        <v>1493</v>
      </c>
      <c r="B23776" s="572">
        <v>3.9991099999999999</v>
      </c>
      <c r="C23776" s="572">
        <v>41.215200000000003</v>
      </c>
    </row>
    <row r="23777" spans="1:3">
      <c r="A23777" s="571" t="s">
        <v>1493</v>
      </c>
      <c r="B23777" s="572">
        <v>7.0892400000000002</v>
      </c>
      <c r="C23777" s="572">
        <v>65.597999999999999</v>
      </c>
    </row>
    <row r="23778" spans="1:3">
      <c r="A23778" s="571" t="s">
        <v>1493</v>
      </c>
      <c r="B23778" s="572">
        <v>9.0217100000000006</v>
      </c>
      <c r="C23778" s="572">
        <v>77.781899999999993</v>
      </c>
    </row>
    <row r="23779" spans="1:3">
      <c r="A23779" s="571" t="s">
        <v>1493</v>
      </c>
      <c r="B23779" s="572">
        <v>11.1402</v>
      </c>
      <c r="C23779" s="572">
        <v>89.960899999999995</v>
      </c>
    </row>
    <row r="23780" spans="1:3">
      <c r="A23780" s="571" t="s">
        <v>1493</v>
      </c>
      <c r="B23780" s="572">
        <v>14.0352</v>
      </c>
      <c r="C23780" s="572">
        <v>96.071100000000001</v>
      </c>
    </row>
    <row r="23781" spans="1:3">
      <c r="A23781" s="571" t="s">
        <v>1493</v>
      </c>
      <c r="B23781" s="572">
        <v>18.041399999999999</v>
      </c>
      <c r="C23781" s="572">
        <v>123.437</v>
      </c>
    </row>
    <row r="23782" spans="1:3">
      <c r="A23782" s="571" t="s">
        <v>1493</v>
      </c>
      <c r="B23782" s="572">
        <v>21.186699999999998</v>
      </c>
      <c r="C23782" s="572">
        <v>153.82400000000001</v>
      </c>
    </row>
    <row r="23783" spans="1:3">
      <c r="A23783" s="571" t="s">
        <v>1493</v>
      </c>
      <c r="B23783" s="572">
        <v>28.925899999999999</v>
      </c>
      <c r="C23783" s="572">
        <v>202.452</v>
      </c>
    </row>
    <row r="23784" spans="1:3">
      <c r="A23784" s="571" t="s">
        <v>1493</v>
      </c>
      <c r="B23784" s="572">
        <v>38.319899999999997</v>
      </c>
      <c r="C23784" s="572">
        <v>232.85900000000001</v>
      </c>
    </row>
    <row r="23785" spans="1:3">
      <c r="A23785" s="571" t="s">
        <v>1493</v>
      </c>
      <c r="B23785" s="572">
        <v>50.257300000000001</v>
      </c>
      <c r="C23785" s="572">
        <v>299.697</v>
      </c>
    </row>
    <row r="23786" spans="1:3">
      <c r="A23786" s="571" t="s">
        <v>1493</v>
      </c>
      <c r="B23786" s="572">
        <v>63.957099999999997</v>
      </c>
      <c r="C23786" s="572">
        <v>369.56599999999997</v>
      </c>
    </row>
    <row r="23787" spans="1:3">
      <c r="A23787" s="571" t="s">
        <v>1493</v>
      </c>
      <c r="B23787" s="572">
        <v>78.186099999999996</v>
      </c>
      <c r="C23787" s="572">
        <v>402.995</v>
      </c>
    </row>
    <row r="23788" spans="1:3">
      <c r="A23788" s="571" t="s">
        <v>1493</v>
      </c>
      <c r="B23788" s="572">
        <v>93.68</v>
      </c>
      <c r="C23788" s="572">
        <v>433.38600000000002</v>
      </c>
    </row>
    <row r="23789" spans="1:3">
      <c r="A23789" s="573" t="s">
        <v>1493</v>
      </c>
      <c r="B23789" s="574">
        <v>100.503</v>
      </c>
      <c r="C23789" s="574">
        <v>436.43299999999999</v>
      </c>
    </row>
    <row r="23790" spans="1:3">
      <c r="A23790" s="573" t="s">
        <v>1493</v>
      </c>
      <c r="B23790" s="574">
        <v>127.9</v>
      </c>
      <c r="C23790" s="574">
        <v>460.762</v>
      </c>
    </row>
    <row r="23791" spans="1:3">
      <c r="A23791" s="573" t="s">
        <v>1493</v>
      </c>
      <c r="B23791" s="574">
        <v>156.35499999999999</v>
      </c>
      <c r="C23791" s="574">
        <v>485.08300000000003</v>
      </c>
    </row>
    <row r="23792" spans="1:3">
      <c r="A23792" s="573" t="s">
        <v>1493</v>
      </c>
      <c r="B23792" s="574">
        <v>245.69900000000001</v>
      </c>
      <c r="C23792" s="574">
        <v>500.33800000000002</v>
      </c>
    </row>
    <row r="23793" spans="1:3">
      <c r="A23793" s="573" t="s">
        <v>1493</v>
      </c>
      <c r="B23793" s="574">
        <v>277.17099999999999</v>
      </c>
      <c r="C23793" s="574">
        <v>524.64599999999996</v>
      </c>
    </row>
    <row r="23794" spans="1:3">
      <c r="A23794" s="573" t="s">
        <v>1493</v>
      </c>
      <c r="B23794" s="574">
        <v>303.39400000000001</v>
      </c>
      <c r="C23794" s="574">
        <v>512.51700000000005</v>
      </c>
    </row>
    <row r="23795" spans="1:3">
      <c r="A23795" s="573" t="s">
        <v>1493</v>
      </c>
      <c r="B23795" s="574">
        <v>332.09699999999998</v>
      </c>
      <c r="C23795" s="574">
        <v>518.60400000000004</v>
      </c>
    </row>
    <row r="23796" spans="1:3">
      <c r="A23796" s="573" t="s">
        <v>1493</v>
      </c>
      <c r="B23796" s="574">
        <v>363.51600000000002</v>
      </c>
      <c r="C23796" s="574">
        <v>457.89800000000002</v>
      </c>
    </row>
    <row r="23797" spans="1:3">
      <c r="A23797" s="573" t="s">
        <v>1493</v>
      </c>
      <c r="B23797" s="574">
        <v>389.99400000000003</v>
      </c>
      <c r="C23797" s="574">
        <v>442.72899999999998</v>
      </c>
    </row>
    <row r="23798" spans="1:3">
      <c r="A23798" s="573" t="s">
        <v>1493</v>
      </c>
      <c r="B23798" s="574">
        <v>414.21899999999999</v>
      </c>
      <c r="C23798" s="574">
        <v>445.77499999999998</v>
      </c>
    </row>
    <row r="23799" spans="1:3">
      <c r="A23799" s="573" t="s">
        <v>1493</v>
      </c>
      <c r="B23799" s="574">
        <v>444.39</v>
      </c>
      <c r="C23799" s="574">
        <v>451.85899999999998</v>
      </c>
    </row>
    <row r="23800" spans="1:3">
      <c r="A23800" s="569" t="s">
        <v>1493</v>
      </c>
      <c r="B23800" s="570">
        <v>506.37400000000002</v>
      </c>
      <c r="C23800" s="570">
        <v>476.16899999999998</v>
      </c>
    </row>
    <row r="23801" spans="1:3">
      <c r="A23801" s="569" t="s">
        <v>1493</v>
      </c>
      <c r="B23801" s="570">
        <v>565.52700000000004</v>
      </c>
      <c r="C23801" s="570">
        <v>491.36700000000002</v>
      </c>
    </row>
    <row r="23802" spans="1:3">
      <c r="A23802" s="569" t="s">
        <v>1493</v>
      </c>
      <c r="B23802" s="570">
        <v>619.03099999999995</v>
      </c>
      <c r="C23802" s="570">
        <v>494.41800000000001</v>
      </c>
    </row>
    <row r="23803" spans="1:3">
      <c r="A23803" s="569" t="s">
        <v>1493</v>
      </c>
      <c r="B23803" s="570">
        <v>741.70100000000002</v>
      </c>
      <c r="C23803" s="570">
        <v>448.90699999999998</v>
      </c>
    </row>
    <row r="23804" spans="1:3">
      <c r="A23804" s="569" t="s">
        <v>1493</v>
      </c>
      <c r="B23804" s="570">
        <v>787.77300000000002</v>
      </c>
      <c r="C23804" s="570">
        <v>451.95299999999997</v>
      </c>
    </row>
    <row r="23805" spans="1:3">
      <c r="A23805" s="569" t="s">
        <v>1493</v>
      </c>
      <c r="B23805" s="570">
        <v>845.154</v>
      </c>
      <c r="C23805" s="570">
        <v>445.89299999999997</v>
      </c>
    </row>
    <row r="23806" spans="1:3">
      <c r="A23806" s="569" t="s">
        <v>1493</v>
      </c>
      <c r="B23806" s="570">
        <v>897.65200000000004</v>
      </c>
      <c r="C23806" s="570">
        <v>455.01100000000002</v>
      </c>
    </row>
    <row r="23807" spans="1:3">
      <c r="A23807" s="569" t="s">
        <v>1493</v>
      </c>
      <c r="B23807" s="570">
        <v>992.495</v>
      </c>
      <c r="C23807" s="570">
        <v>479.31599999999997</v>
      </c>
    </row>
    <row r="23808" spans="1:3">
      <c r="A23808" s="569" t="s">
        <v>1493</v>
      </c>
      <c r="B23808" s="570">
        <v>1054.1500000000001</v>
      </c>
      <c r="C23808" s="570">
        <v>448.96499999999997</v>
      </c>
    </row>
    <row r="23809" spans="1:3">
      <c r="A23809" s="569" t="s">
        <v>1493</v>
      </c>
      <c r="B23809" s="570">
        <v>1097.3599999999999</v>
      </c>
      <c r="C23809" s="570">
        <v>357.89</v>
      </c>
    </row>
    <row r="23810" spans="1:3">
      <c r="A23810" s="569" t="s">
        <v>1493</v>
      </c>
      <c r="B23810" s="570">
        <v>1177.29</v>
      </c>
      <c r="C23810" s="570">
        <v>385.226</v>
      </c>
    </row>
    <row r="23811" spans="1:3">
      <c r="A23811" s="569" t="s">
        <v>1493</v>
      </c>
      <c r="B23811" s="570">
        <v>1237.92</v>
      </c>
      <c r="C23811" s="570">
        <v>418.63099999999997</v>
      </c>
    </row>
    <row r="23812" spans="1:3">
      <c r="A23812" s="569" t="s">
        <v>1493</v>
      </c>
      <c r="B23812" s="570">
        <v>1341.5</v>
      </c>
      <c r="C23812" s="570">
        <v>436.86099999999999</v>
      </c>
    </row>
    <row r="23813" spans="1:3">
      <c r="A23813" s="569" t="s">
        <v>1493</v>
      </c>
      <c r="B23813" s="570">
        <v>1424.83</v>
      </c>
      <c r="C23813" s="570">
        <v>427.762</v>
      </c>
    </row>
    <row r="23814" spans="1:3">
      <c r="A23814" s="569" t="s">
        <v>1493</v>
      </c>
      <c r="B23814" s="570">
        <v>1468.41</v>
      </c>
      <c r="C23814" s="570">
        <v>452.05599999999998</v>
      </c>
    </row>
    <row r="23815" spans="1:3">
      <c r="A23815" s="569" t="s">
        <v>1493</v>
      </c>
      <c r="B23815" s="570">
        <v>1591.27</v>
      </c>
      <c r="C23815" s="570">
        <v>464.21300000000002</v>
      </c>
    </row>
    <row r="23816" spans="1:3">
      <c r="A23816" s="569" t="s">
        <v>1493</v>
      </c>
      <c r="B23816" s="570">
        <v>1673.23</v>
      </c>
      <c r="C23816" s="570">
        <v>467.25799999999998</v>
      </c>
    </row>
    <row r="23817" spans="1:3">
      <c r="A23817" s="569" t="s">
        <v>1493</v>
      </c>
      <c r="B23817" s="570">
        <v>1813.22</v>
      </c>
      <c r="C23817" s="570">
        <v>376.18900000000002</v>
      </c>
    </row>
    <row r="23818" spans="1:3">
      <c r="A23818" s="569" t="s">
        <v>1493</v>
      </c>
      <c r="B23818" s="570">
        <v>2086.9899999999998</v>
      </c>
      <c r="C23818" s="570">
        <v>403.53699999999998</v>
      </c>
    </row>
    <row r="23819" spans="1:3">
      <c r="A23819" s="569" t="s">
        <v>1493</v>
      </c>
      <c r="B23819" s="570">
        <v>2194.4699999999998</v>
      </c>
      <c r="C23819" s="570">
        <v>403.54500000000002</v>
      </c>
    </row>
    <row r="23820" spans="1:3">
      <c r="A23820" s="569" t="s">
        <v>1493</v>
      </c>
      <c r="B23820" s="570">
        <v>2330.79</v>
      </c>
      <c r="C23820" s="570">
        <v>400.51900000000001</v>
      </c>
    </row>
    <row r="23821" spans="1:3">
      <c r="A23821" s="569" t="s">
        <v>1493</v>
      </c>
      <c r="B23821" s="570">
        <v>2475.5700000000002</v>
      </c>
      <c r="C23821" s="570">
        <v>385.34899999999999</v>
      </c>
    </row>
    <row r="23822" spans="1:3">
      <c r="A23822" s="569" t="s">
        <v>1493</v>
      </c>
      <c r="B23822" s="570">
        <v>2551.3000000000002</v>
      </c>
      <c r="C23822" s="570">
        <v>397.49799999999999</v>
      </c>
    </row>
    <row r="23823" spans="1:3">
      <c r="A23823" s="569" t="s">
        <v>1493</v>
      </c>
      <c r="B23823" s="570">
        <v>2682.7</v>
      </c>
      <c r="C23823" s="570">
        <v>409.65</v>
      </c>
    </row>
    <row r="23824" spans="1:3">
      <c r="A23824" s="569" t="s">
        <v>1493</v>
      </c>
      <c r="B23824" s="570">
        <v>2936.5</v>
      </c>
      <c r="C23824" s="570">
        <v>373.233</v>
      </c>
    </row>
    <row r="23825" spans="1:3">
      <c r="A23825" s="569" t="s">
        <v>1493</v>
      </c>
      <c r="B23825" s="570">
        <v>3087.74</v>
      </c>
      <c r="C23825" s="570">
        <v>394.49299999999999</v>
      </c>
    </row>
    <row r="23826" spans="1:3">
      <c r="A23826" s="569" t="s">
        <v>1493</v>
      </c>
      <c r="B23826" s="570">
        <v>3279.54</v>
      </c>
      <c r="C23826" s="570">
        <v>379.32299999999998</v>
      </c>
    </row>
    <row r="23827" spans="1:3">
      <c r="A23827" s="569" t="s">
        <v>1493</v>
      </c>
      <c r="B23827" s="570">
        <v>3448.44</v>
      </c>
      <c r="C23827" s="570">
        <v>379.33100000000002</v>
      </c>
    </row>
    <row r="23828" spans="1:3">
      <c r="A23828" s="569" t="s">
        <v>1493</v>
      </c>
      <c r="B23828" s="570">
        <v>3626.04</v>
      </c>
      <c r="C23828" s="570">
        <v>358.08699999999999</v>
      </c>
    </row>
    <row r="23829" spans="1:3">
      <c r="A23829" s="569" t="s">
        <v>1493</v>
      </c>
      <c r="B23829" s="570">
        <v>3851.28</v>
      </c>
      <c r="C23829" s="570">
        <v>358.09699999999998</v>
      </c>
    </row>
    <row r="23830" spans="1:3">
      <c r="A23830" s="569" t="s">
        <v>1493</v>
      </c>
      <c r="B23830" s="570">
        <v>4131.8</v>
      </c>
      <c r="C23830" s="570">
        <v>403.649</v>
      </c>
    </row>
    <row r="23831" spans="1:3">
      <c r="A23831" s="569" t="s">
        <v>1493</v>
      </c>
      <c r="B23831" s="570">
        <v>4344.6000000000004</v>
      </c>
      <c r="C23831" s="570">
        <v>355.08100000000002</v>
      </c>
    </row>
    <row r="23832" spans="1:3">
      <c r="A23832" s="569" t="s">
        <v>1493</v>
      </c>
      <c r="B23832" s="570">
        <v>4522.7</v>
      </c>
      <c r="C23832" s="570">
        <v>361.16</v>
      </c>
    </row>
    <row r="23833" spans="1:3">
      <c r="A23833" s="569" t="s">
        <v>1493</v>
      </c>
      <c r="B23833" s="570">
        <v>4755.63</v>
      </c>
      <c r="C23833" s="570">
        <v>324.73500000000001</v>
      </c>
    </row>
    <row r="23834" spans="1:3">
      <c r="A23834" s="569" t="s">
        <v>1493</v>
      </c>
      <c r="B23834" s="570">
        <v>5000.5600000000004</v>
      </c>
      <c r="C23834" s="570">
        <v>339.92399999999998</v>
      </c>
    </row>
    <row r="23835" spans="1:3">
      <c r="A23835" s="569" t="s">
        <v>1493</v>
      </c>
      <c r="B23835" s="570">
        <v>5153.53</v>
      </c>
      <c r="C23835" s="570">
        <v>318.67599999999999</v>
      </c>
    </row>
    <row r="23836" spans="1:3">
      <c r="A23836" s="569" t="s">
        <v>1493</v>
      </c>
      <c r="B23836" s="570">
        <v>10836.7</v>
      </c>
      <c r="C23836" s="570">
        <v>279.33</v>
      </c>
    </row>
    <row r="23837" spans="1:3">
      <c r="A23837" s="571" t="s">
        <v>1492</v>
      </c>
      <c r="B23837" s="572">
        <v>1.89917</v>
      </c>
      <c r="C23837" s="572">
        <v>95.37</v>
      </c>
    </row>
    <row r="23838" spans="1:3">
      <c r="A23838" s="571" t="s">
        <v>1492</v>
      </c>
      <c r="B23838" s="572">
        <v>3.98706</v>
      </c>
      <c r="C23838" s="572">
        <v>178.108</v>
      </c>
    </row>
    <row r="23839" spans="1:3">
      <c r="A23839" s="571" t="s">
        <v>1492</v>
      </c>
      <c r="B23839" s="572">
        <v>7.0590900000000003</v>
      </c>
      <c r="C23839" s="572">
        <v>286.10399999999998</v>
      </c>
    </row>
    <row r="23840" spans="1:3">
      <c r="A23840" s="571" t="s">
        <v>1492</v>
      </c>
      <c r="B23840" s="572">
        <v>8.9786300000000008</v>
      </c>
      <c r="C23840" s="572">
        <v>350.92200000000003</v>
      </c>
    </row>
    <row r="23841" spans="1:3">
      <c r="A23841" s="571" t="s">
        <v>1492</v>
      </c>
      <c r="B23841" s="572">
        <v>10.0251</v>
      </c>
      <c r="C23841" s="572">
        <v>404.95400000000001</v>
      </c>
    </row>
    <row r="23842" spans="1:3">
      <c r="A23842" s="571" t="s">
        <v>1492</v>
      </c>
      <c r="B23842" s="572">
        <v>14.9689</v>
      </c>
      <c r="C23842" s="572">
        <v>516.58799999999997</v>
      </c>
    </row>
    <row r="23843" spans="1:3">
      <c r="A23843" s="571" t="s">
        <v>1492</v>
      </c>
      <c r="B23843" s="572">
        <v>17.9282</v>
      </c>
      <c r="C23843" s="572">
        <v>599.43499999999995</v>
      </c>
    </row>
    <row r="23844" spans="1:3">
      <c r="A23844" s="571" t="s">
        <v>1492</v>
      </c>
      <c r="B23844" s="572">
        <v>21.046399999999998</v>
      </c>
      <c r="C23844" s="572">
        <v>667.87199999999996</v>
      </c>
    </row>
    <row r="23845" spans="1:3">
      <c r="A23845" s="571" t="s">
        <v>1492</v>
      </c>
      <c r="B23845" s="572">
        <v>30.8017</v>
      </c>
      <c r="C23845" s="572">
        <v>808.33799999999997</v>
      </c>
    </row>
    <row r="23846" spans="1:3">
      <c r="A23846" s="571" t="s">
        <v>1492</v>
      </c>
      <c r="B23846" s="572">
        <v>38.017000000000003</v>
      </c>
      <c r="C23846" s="572">
        <v>873.16200000000003</v>
      </c>
    </row>
    <row r="23847" spans="1:3">
      <c r="A23847" s="571" t="s">
        <v>1492</v>
      </c>
      <c r="B23847" s="572">
        <v>49.8307</v>
      </c>
      <c r="C23847" s="572">
        <v>934.37</v>
      </c>
    </row>
    <row r="23848" spans="1:3">
      <c r="A23848" s="571" t="s">
        <v>1492</v>
      </c>
      <c r="B23848" s="572">
        <v>64.019300000000001</v>
      </c>
      <c r="C23848" s="572">
        <v>977.56500000000005</v>
      </c>
    </row>
    <row r="23849" spans="1:3">
      <c r="A23849" s="571" t="s">
        <v>1492</v>
      </c>
      <c r="B23849" s="572">
        <v>78.227999999999994</v>
      </c>
      <c r="C23849" s="572">
        <v>999.14700000000005</v>
      </c>
    </row>
    <row r="23850" spans="1:3">
      <c r="A23850" s="571" t="s">
        <v>1492</v>
      </c>
      <c r="B23850" s="572">
        <v>93.693299999999994</v>
      </c>
      <c r="C23850" s="572">
        <v>1027.94</v>
      </c>
    </row>
    <row r="23851" spans="1:3">
      <c r="A23851" s="573" t="s">
        <v>1492</v>
      </c>
      <c r="B23851" s="574">
        <v>100.502</v>
      </c>
      <c r="C23851" s="574">
        <v>1027.93</v>
      </c>
    </row>
    <row r="23852" spans="1:3">
      <c r="A23852" s="573" t="s">
        <v>1492</v>
      </c>
      <c r="B23852" s="574">
        <v>129.119</v>
      </c>
      <c r="C23852" s="574">
        <v>1056.71</v>
      </c>
    </row>
    <row r="23853" spans="1:3">
      <c r="A23853" s="573" t="s">
        <v>1492</v>
      </c>
      <c r="B23853" s="574">
        <v>217.43199999999999</v>
      </c>
      <c r="C23853" s="574">
        <v>1081.83</v>
      </c>
    </row>
    <row r="23854" spans="1:3">
      <c r="A23854" s="573" t="s">
        <v>1492</v>
      </c>
      <c r="B23854" s="574">
        <v>245.21899999999999</v>
      </c>
      <c r="C23854" s="574">
        <v>1107.03</v>
      </c>
    </row>
    <row r="23855" spans="1:3">
      <c r="A23855" s="573" t="s">
        <v>1492</v>
      </c>
      <c r="B23855" s="574">
        <v>273.79899999999998</v>
      </c>
      <c r="C23855" s="574">
        <v>1092.5999999999999</v>
      </c>
    </row>
    <row r="23856" spans="1:3">
      <c r="A23856" s="573" t="s">
        <v>1492</v>
      </c>
      <c r="B23856" s="574">
        <v>302.66199999999998</v>
      </c>
      <c r="C23856" s="574">
        <v>1099.78</v>
      </c>
    </row>
    <row r="23857" spans="1:3">
      <c r="A23857" s="573" t="s">
        <v>1492</v>
      </c>
      <c r="B23857" s="574">
        <v>327.928</v>
      </c>
      <c r="C23857" s="574">
        <v>1056.52</v>
      </c>
    </row>
    <row r="23858" spans="1:3">
      <c r="A23858" s="573" t="s">
        <v>1492</v>
      </c>
      <c r="B23858" s="574">
        <v>355.303</v>
      </c>
      <c r="C23858" s="574">
        <v>1049.3</v>
      </c>
    </row>
    <row r="23859" spans="1:3">
      <c r="A23859" s="573" t="s">
        <v>1492</v>
      </c>
      <c r="B23859" s="574">
        <v>362.49599999999998</v>
      </c>
      <c r="C23859" s="574">
        <v>1067.32</v>
      </c>
    </row>
    <row r="23860" spans="1:3">
      <c r="A23860" s="573" t="s">
        <v>1492</v>
      </c>
      <c r="B23860" s="574">
        <v>388.84</v>
      </c>
      <c r="C23860" s="574">
        <v>1063.7</v>
      </c>
    </row>
    <row r="23861" spans="1:3">
      <c r="A23861" s="573" t="s">
        <v>1492</v>
      </c>
      <c r="B23861" s="574">
        <v>408.822</v>
      </c>
      <c r="C23861" s="574">
        <v>1060.08</v>
      </c>
    </row>
    <row r="23862" spans="1:3">
      <c r="A23862" s="573" t="s">
        <v>1492</v>
      </c>
      <c r="B23862" s="574">
        <v>417.09899999999999</v>
      </c>
      <c r="C23862" s="574">
        <v>1085.31</v>
      </c>
    </row>
    <row r="23863" spans="1:3">
      <c r="A23863" s="569" t="s">
        <v>1492</v>
      </c>
      <c r="B23863" s="570">
        <v>535.86199999999997</v>
      </c>
      <c r="C23863" s="570">
        <v>1110.48</v>
      </c>
    </row>
    <row r="23864" spans="1:3">
      <c r="A23864" s="569" t="s">
        <v>1492</v>
      </c>
      <c r="B23864" s="570">
        <v>586.44399999999996</v>
      </c>
      <c r="C23864" s="570">
        <v>1117.67</v>
      </c>
    </row>
    <row r="23865" spans="1:3">
      <c r="A23865" s="569" t="s">
        <v>1492</v>
      </c>
      <c r="B23865" s="570">
        <v>654.79399999999998</v>
      </c>
      <c r="C23865" s="570">
        <v>1092.43</v>
      </c>
    </row>
    <row r="23866" spans="1:3">
      <c r="A23866" s="569" t="s">
        <v>1492</v>
      </c>
      <c r="B23866" s="570">
        <v>723.81899999999996</v>
      </c>
      <c r="C23866" s="570">
        <v>1103.22</v>
      </c>
    </row>
    <row r="23867" spans="1:3">
      <c r="A23867" s="569" t="s">
        <v>1492</v>
      </c>
      <c r="B23867" s="570">
        <v>745.91200000000003</v>
      </c>
      <c r="C23867" s="570">
        <v>1124.83</v>
      </c>
    </row>
    <row r="23868" spans="1:3">
      <c r="A23868" s="569" t="s">
        <v>1492</v>
      </c>
      <c r="B23868" s="570">
        <v>800.12099999999998</v>
      </c>
      <c r="C23868" s="570">
        <v>1124.82</v>
      </c>
    </row>
    <row r="23869" spans="1:3">
      <c r="A23869" s="569" t="s">
        <v>1492</v>
      </c>
      <c r="B23869" s="570">
        <v>866.91399999999999</v>
      </c>
      <c r="C23869" s="570">
        <v>1099.58</v>
      </c>
    </row>
    <row r="23870" spans="1:3">
      <c r="A23870" s="569" t="s">
        <v>1492</v>
      </c>
      <c r="B23870" s="570">
        <v>958.3</v>
      </c>
      <c r="C23870" s="570">
        <v>1164.42</v>
      </c>
    </row>
    <row r="23871" spans="1:3">
      <c r="A23871" s="569" t="s">
        <v>1492</v>
      </c>
      <c r="B23871" s="570">
        <v>1017.69</v>
      </c>
      <c r="C23871" s="570">
        <v>1131.98</v>
      </c>
    </row>
    <row r="23872" spans="1:3">
      <c r="A23872" s="569" t="s">
        <v>1492</v>
      </c>
      <c r="B23872" s="570">
        <v>1091.6500000000001</v>
      </c>
      <c r="C23872" s="570">
        <v>1103.1400000000001</v>
      </c>
    </row>
    <row r="23873" spans="1:3">
      <c r="A23873" s="569" t="s">
        <v>1492</v>
      </c>
      <c r="B23873" s="570">
        <v>1136.31</v>
      </c>
      <c r="C23873" s="570">
        <v>1103.1300000000001</v>
      </c>
    </row>
    <row r="23874" spans="1:3">
      <c r="A23874" s="569" t="s">
        <v>1492</v>
      </c>
      <c r="B23874" s="570">
        <v>1206.73</v>
      </c>
      <c r="C23874" s="570">
        <v>1121.1300000000001</v>
      </c>
    </row>
    <row r="23875" spans="1:3">
      <c r="A23875" s="569" t="s">
        <v>1492</v>
      </c>
      <c r="B23875" s="570">
        <v>1320.64</v>
      </c>
      <c r="C23875" s="570">
        <v>1164.3599999999999</v>
      </c>
    </row>
    <row r="23876" spans="1:3">
      <c r="A23876" s="569" t="s">
        <v>1492</v>
      </c>
      <c r="B23876" s="570">
        <v>1416.61</v>
      </c>
      <c r="C23876" s="570">
        <v>1185.97</v>
      </c>
    </row>
    <row r="23877" spans="1:3">
      <c r="A23877" s="569" t="s">
        <v>1492</v>
      </c>
      <c r="B23877" s="570">
        <v>1459.85</v>
      </c>
      <c r="C23877" s="570">
        <v>1146.32</v>
      </c>
    </row>
    <row r="23878" spans="1:3">
      <c r="A23878" s="569" t="s">
        <v>1492</v>
      </c>
      <c r="B23878" s="570">
        <v>1565.95</v>
      </c>
      <c r="C23878" s="570">
        <v>1211.17</v>
      </c>
    </row>
    <row r="23879" spans="1:3">
      <c r="A23879" s="569" t="s">
        <v>1492</v>
      </c>
      <c r="B23879" s="570">
        <v>1663</v>
      </c>
      <c r="C23879" s="570">
        <v>1218.3699999999999</v>
      </c>
    </row>
    <row r="23880" spans="1:3">
      <c r="A23880" s="569" t="s">
        <v>1492</v>
      </c>
      <c r="B23880" s="570">
        <v>1783.86</v>
      </c>
      <c r="C23880" s="570">
        <v>1153.49</v>
      </c>
    </row>
    <row r="23881" spans="1:3">
      <c r="A23881" s="569" t="s">
        <v>1492</v>
      </c>
      <c r="B23881" s="570">
        <v>1819.97</v>
      </c>
      <c r="C23881" s="570">
        <v>1167.9000000000001</v>
      </c>
    </row>
    <row r="23882" spans="1:3">
      <c r="A23882" s="569" t="s">
        <v>1492</v>
      </c>
      <c r="B23882" s="570">
        <v>2052.56</v>
      </c>
      <c r="C23882" s="570">
        <v>1218.33</v>
      </c>
    </row>
    <row r="23883" spans="1:3">
      <c r="A23883" s="569" t="s">
        <v>1492</v>
      </c>
      <c r="B23883" s="570">
        <v>2201.73</v>
      </c>
      <c r="C23883" s="570">
        <v>1203.9000000000001</v>
      </c>
    </row>
    <row r="23884" spans="1:3">
      <c r="A23884" s="569" t="s">
        <v>1492</v>
      </c>
      <c r="B23884" s="570">
        <v>2314.87</v>
      </c>
      <c r="C23884" s="570">
        <v>1225.51</v>
      </c>
    </row>
    <row r="23885" spans="1:3">
      <c r="A23885" s="569" t="s">
        <v>1492</v>
      </c>
      <c r="B23885" s="570">
        <v>2458.34</v>
      </c>
      <c r="C23885" s="570">
        <v>1232.71</v>
      </c>
    </row>
    <row r="23886" spans="1:3">
      <c r="A23886" s="569" t="s">
        <v>1492</v>
      </c>
      <c r="B23886" s="570">
        <v>2558.89</v>
      </c>
      <c r="C23886" s="570">
        <v>1239.9100000000001</v>
      </c>
    </row>
    <row r="23887" spans="1:3">
      <c r="A23887" s="569" t="s">
        <v>1492</v>
      </c>
      <c r="B23887" s="570">
        <v>2690.39</v>
      </c>
      <c r="C23887" s="570">
        <v>1243.5</v>
      </c>
    </row>
    <row r="23888" spans="1:3">
      <c r="A23888" s="569" t="s">
        <v>1492</v>
      </c>
      <c r="B23888" s="570">
        <v>2885.91</v>
      </c>
      <c r="C23888" s="570">
        <v>1232.68</v>
      </c>
    </row>
    <row r="23889" spans="1:3">
      <c r="A23889" s="569" t="s">
        <v>1492</v>
      </c>
      <c r="B23889" s="570">
        <v>3095.64</v>
      </c>
      <c r="C23889" s="570">
        <v>1239.8699999999999</v>
      </c>
    </row>
    <row r="23890" spans="1:3">
      <c r="A23890" s="569" t="s">
        <v>1492</v>
      </c>
      <c r="B23890" s="570">
        <v>3354.06</v>
      </c>
      <c r="C23890" s="570">
        <v>1239.8499999999999</v>
      </c>
    </row>
    <row r="23891" spans="1:3">
      <c r="A23891" s="569" t="s">
        <v>1492</v>
      </c>
      <c r="B23891" s="570">
        <v>3421.97</v>
      </c>
      <c r="C23891" s="570">
        <v>1225.44</v>
      </c>
    </row>
    <row r="23892" spans="1:3">
      <c r="A23892" s="569" t="s">
        <v>1492</v>
      </c>
      <c r="B23892" s="570">
        <v>3634.06</v>
      </c>
      <c r="C23892" s="570">
        <v>1211.01</v>
      </c>
    </row>
    <row r="23893" spans="1:3">
      <c r="A23893" s="569" t="s">
        <v>1492</v>
      </c>
      <c r="B23893" s="570">
        <v>3820.8</v>
      </c>
      <c r="C23893" s="570">
        <v>1247.04</v>
      </c>
    </row>
    <row r="23894" spans="1:3">
      <c r="A23894" s="569" t="s">
        <v>1492</v>
      </c>
      <c r="B23894" s="570">
        <v>4057.61</v>
      </c>
      <c r="C23894" s="570">
        <v>1261.44</v>
      </c>
    </row>
    <row r="23895" spans="1:3">
      <c r="A23895" s="569" t="s">
        <v>1492</v>
      </c>
      <c r="B23895" s="570">
        <v>4309.09</v>
      </c>
      <c r="C23895" s="570">
        <v>1232.5999999999999</v>
      </c>
    </row>
    <row r="23896" spans="1:3">
      <c r="A23896" s="569" t="s">
        <v>1492</v>
      </c>
      <c r="B23896" s="570">
        <v>4485.34</v>
      </c>
      <c r="C23896" s="570">
        <v>1239.8</v>
      </c>
    </row>
    <row r="23897" spans="1:3">
      <c r="A23897" s="569" t="s">
        <v>1492</v>
      </c>
      <c r="B23897" s="570">
        <v>4622.25</v>
      </c>
      <c r="C23897" s="570">
        <v>1225.3800000000001</v>
      </c>
    </row>
    <row r="23898" spans="1:3">
      <c r="A23898" s="569" t="s">
        <v>1492</v>
      </c>
      <c r="B23898" s="570">
        <v>4811.3100000000004</v>
      </c>
      <c r="C23898" s="570">
        <v>1236.18</v>
      </c>
    </row>
    <row r="23899" spans="1:3">
      <c r="A23899" s="569" t="s">
        <v>1492</v>
      </c>
      <c r="B23899" s="570">
        <v>5058.55</v>
      </c>
      <c r="C23899" s="570">
        <v>1239.77</v>
      </c>
    </row>
    <row r="23900" spans="1:3">
      <c r="A23900" s="569" t="s">
        <v>1492</v>
      </c>
      <c r="B23900" s="570">
        <v>5318.5</v>
      </c>
      <c r="C23900" s="570">
        <v>1239.76</v>
      </c>
    </row>
    <row r="23901" spans="1:3">
      <c r="A23901" s="569" t="s">
        <v>1492</v>
      </c>
      <c r="B23901" s="570">
        <v>5426.18</v>
      </c>
      <c r="C23901" s="570">
        <v>1279.4000000000001</v>
      </c>
    </row>
    <row r="23902" spans="1:3">
      <c r="A23902" s="569" t="s">
        <v>1492</v>
      </c>
      <c r="B23902" s="570">
        <v>6058.6</v>
      </c>
      <c r="C23902" s="570">
        <v>1268.57</v>
      </c>
    </row>
    <row r="23903" spans="1:3">
      <c r="A23903" s="569" t="s">
        <v>1492</v>
      </c>
      <c r="B23903" s="570">
        <v>6369.93</v>
      </c>
      <c r="C23903" s="570">
        <v>1254.1400000000001</v>
      </c>
    </row>
    <row r="23904" spans="1:3">
      <c r="A23904" s="569" t="s">
        <v>1492</v>
      </c>
      <c r="B23904" s="570">
        <v>6832.86</v>
      </c>
      <c r="C23904" s="570">
        <v>1243.32</v>
      </c>
    </row>
    <row r="23905" spans="1:3">
      <c r="A23905" s="569" t="s">
        <v>1492</v>
      </c>
      <c r="B23905" s="570">
        <v>7183.99</v>
      </c>
      <c r="C23905" s="570">
        <v>1250.52</v>
      </c>
    </row>
    <row r="23906" spans="1:3">
      <c r="A23906" s="569" t="s">
        <v>1492</v>
      </c>
      <c r="B23906" s="570">
        <v>7629.23</v>
      </c>
      <c r="C23906" s="570">
        <v>1272.1300000000001</v>
      </c>
    </row>
    <row r="23907" spans="1:3">
      <c r="A23907" s="569" t="s">
        <v>1492</v>
      </c>
      <c r="B23907" s="570">
        <v>7941.29</v>
      </c>
      <c r="C23907" s="570">
        <v>1232.48</v>
      </c>
    </row>
    <row r="23908" spans="1:3">
      <c r="A23908" s="569" t="s">
        <v>1492</v>
      </c>
      <c r="B23908" s="570">
        <v>8433.4699999999993</v>
      </c>
      <c r="C23908" s="570">
        <v>1221.6500000000001</v>
      </c>
    </row>
    <row r="23909" spans="1:3">
      <c r="A23909" s="569" t="s">
        <v>1492</v>
      </c>
      <c r="B23909" s="570">
        <v>10202.5</v>
      </c>
      <c r="C23909" s="570">
        <v>1254.05</v>
      </c>
    </row>
    <row r="23910" spans="1:3">
      <c r="A23910" s="569" t="s">
        <v>1492</v>
      </c>
      <c r="B23910" s="570">
        <v>11054.2</v>
      </c>
      <c r="C23910" s="570">
        <v>1250.43</v>
      </c>
    </row>
    <row r="23911" spans="1:3">
      <c r="A23911" s="571" t="s">
        <v>1491</v>
      </c>
      <c r="B23911" s="572">
        <v>1.9571400000000001</v>
      </c>
      <c r="C23911" s="572">
        <v>66.535300000000007</v>
      </c>
    </row>
    <row r="23912" spans="1:3">
      <c r="A23912" s="571" t="s">
        <v>1491</v>
      </c>
      <c r="B23912" s="572">
        <v>3.9472999999999998</v>
      </c>
      <c r="C23912" s="572">
        <v>113.245</v>
      </c>
    </row>
    <row r="23913" spans="1:3">
      <c r="A23913" s="571" t="s">
        <v>1491</v>
      </c>
      <c r="B23913" s="572">
        <v>6.9189999999999996</v>
      </c>
      <c r="C23913" s="572">
        <v>163.58600000000001</v>
      </c>
    </row>
    <row r="23914" spans="1:3">
      <c r="A23914" s="571" t="s">
        <v>1491</v>
      </c>
      <c r="B23914" s="572">
        <v>9.06907</v>
      </c>
      <c r="C23914" s="572">
        <v>206.77600000000001</v>
      </c>
    </row>
    <row r="23915" spans="1:3">
      <c r="A23915" s="571" t="s">
        <v>1491</v>
      </c>
      <c r="B23915" s="572">
        <v>10.971399999999999</v>
      </c>
      <c r="C23915" s="572">
        <v>249.982</v>
      </c>
    </row>
    <row r="23916" spans="1:3">
      <c r="A23916" s="571" t="s">
        <v>1491</v>
      </c>
      <c r="B23916" s="572">
        <v>15.1197</v>
      </c>
      <c r="C23916" s="572">
        <v>340.00900000000001</v>
      </c>
    </row>
    <row r="23917" spans="1:3">
      <c r="A23917" s="571" t="s">
        <v>1491</v>
      </c>
      <c r="B23917" s="572">
        <v>18.108799999999999</v>
      </c>
      <c r="C23917" s="572">
        <v>383.21699999999998</v>
      </c>
    </row>
    <row r="23918" spans="1:3">
      <c r="A23918" s="571" t="s">
        <v>1491</v>
      </c>
      <c r="B23918" s="572">
        <v>21.258400000000002</v>
      </c>
      <c r="C23918" s="572">
        <v>444.447</v>
      </c>
    </row>
    <row r="23919" spans="1:3">
      <c r="A23919" s="571" t="s">
        <v>1491</v>
      </c>
      <c r="B23919" s="572">
        <v>31.111899999999999</v>
      </c>
      <c r="C23919" s="572">
        <v>581.30899999999997</v>
      </c>
    </row>
    <row r="23920" spans="1:3">
      <c r="A23920" s="571" t="s">
        <v>1491</v>
      </c>
      <c r="B23920" s="572">
        <v>49.8307</v>
      </c>
      <c r="C23920" s="572">
        <v>696.53300000000002</v>
      </c>
    </row>
    <row r="23921" spans="1:3">
      <c r="A23921" s="571" t="s">
        <v>1491</v>
      </c>
      <c r="B23921" s="572">
        <v>64.664199999999994</v>
      </c>
      <c r="C23921" s="572">
        <v>728.91399999999999</v>
      </c>
    </row>
    <row r="23922" spans="1:3">
      <c r="A23922" s="571" t="s">
        <v>1491</v>
      </c>
      <c r="B23922" s="572">
        <v>80.615799999999993</v>
      </c>
      <c r="C23922" s="572">
        <v>757.7</v>
      </c>
    </row>
    <row r="23923" spans="1:3">
      <c r="A23923" s="571" t="s">
        <v>1491</v>
      </c>
      <c r="B23923" s="572">
        <v>92.758899999999997</v>
      </c>
      <c r="C23923" s="572">
        <v>782.89800000000002</v>
      </c>
    </row>
    <row r="23924" spans="1:3">
      <c r="A23924" s="573" t="s">
        <v>1491</v>
      </c>
      <c r="B23924" s="574">
        <v>100.502</v>
      </c>
      <c r="C23924" s="574">
        <v>793.69299999999998</v>
      </c>
    </row>
    <row r="23925" spans="1:3">
      <c r="A23925" s="573" t="s">
        <v>1491</v>
      </c>
      <c r="B23925" s="574">
        <v>120.371</v>
      </c>
      <c r="C23925" s="574">
        <v>818.88300000000004</v>
      </c>
    </row>
    <row r="23926" spans="1:3">
      <c r="A23926" s="573" t="s">
        <v>1491</v>
      </c>
      <c r="B23926" s="574">
        <v>198.678</v>
      </c>
      <c r="C23926" s="574">
        <v>829.59500000000003</v>
      </c>
    </row>
    <row r="23927" spans="1:3">
      <c r="A23927" s="573" t="s">
        <v>1491</v>
      </c>
      <c r="B23927" s="574">
        <v>226.32499999999999</v>
      </c>
      <c r="C23927" s="574">
        <v>797.13800000000003</v>
      </c>
    </row>
    <row r="23928" spans="1:3">
      <c r="A23928" s="573" t="s">
        <v>1491</v>
      </c>
      <c r="B23928" s="574">
        <v>255.249</v>
      </c>
      <c r="C23928" s="574">
        <v>797.11400000000003</v>
      </c>
    </row>
    <row r="23929" spans="1:3">
      <c r="A23929" s="573" t="s">
        <v>1491</v>
      </c>
      <c r="B23929" s="574">
        <v>282.15600000000001</v>
      </c>
      <c r="C23929" s="574">
        <v>807.90499999999997</v>
      </c>
    </row>
    <row r="23930" spans="1:3">
      <c r="A23930" s="573" t="s">
        <v>1491</v>
      </c>
      <c r="B23930" s="574">
        <v>315.04199999999997</v>
      </c>
      <c r="C23930" s="574">
        <v>757.43299999999999</v>
      </c>
    </row>
    <row r="23931" spans="1:3">
      <c r="A23931" s="573" t="s">
        <v>1491</v>
      </c>
      <c r="B23931" s="574">
        <v>334.56700000000001</v>
      </c>
      <c r="C23931" s="574">
        <v>739.40300000000002</v>
      </c>
    </row>
    <row r="23932" spans="1:3">
      <c r="A23932" s="573" t="s">
        <v>1491</v>
      </c>
      <c r="B23932" s="574">
        <v>362.49599999999998</v>
      </c>
      <c r="C23932" s="574">
        <v>739.38800000000003</v>
      </c>
    </row>
    <row r="23933" spans="1:3">
      <c r="A23933" s="573" t="s">
        <v>1491</v>
      </c>
      <c r="B23933" s="574">
        <v>396.71300000000002</v>
      </c>
      <c r="C23933" s="574">
        <v>764.59500000000003</v>
      </c>
    </row>
    <row r="23934" spans="1:3">
      <c r="A23934" s="573" t="s">
        <v>1491</v>
      </c>
      <c r="B23934" s="574">
        <v>404.745</v>
      </c>
      <c r="C23934" s="574">
        <v>789.81700000000001</v>
      </c>
    </row>
    <row r="23935" spans="1:3">
      <c r="A23935" s="569" t="s">
        <v>1491</v>
      </c>
      <c r="B23935" s="570">
        <v>514.80499999999995</v>
      </c>
      <c r="C23935" s="570">
        <v>843.82399999999996</v>
      </c>
    </row>
    <row r="23936" spans="1:3">
      <c r="A23936" s="569" t="s">
        <v>1491</v>
      </c>
      <c r="B23936" s="570">
        <v>580.596</v>
      </c>
      <c r="C23936" s="570">
        <v>847.404</v>
      </c>
    </row>
    <row r="23937" spans="1:3">
      <c r="A23937" s="569" t="s">
        <v>1491</v>
      </c>
      <c r="B23937" s="570">
        <v>709.45500000000004</v>
      </c>
      <c r="C23937" s="570">
        <v>818.53599999999994</v>
      </c>
    </row>
    <row r="23938" spans="1:3">
      <c r="A23938" s="569" t="s">
        <v>1491</v>
      </c>
      <c r="B23938" s="570">
        <v>745.91200000000003</v>
      </c>
      <c r="C23938" s="570">
        <v>843.75099999999998</v>
      </c>
    </row>
    <row r="23939" spans="1:3">
      <c r="A23939" s="569" t="s">
        <v>1491</v>
      </c>
      <c r="B23939" s="570">
        <v>800.12099999999998</v>
      </c>
      <c r="C23939" s="570">
        <v>840.13400000000001</v>
      </c>
    </row>
    <row r="23940" spans="1:3">
      <c r="A23940" s="569" t="s">
        <v>1491</v>
      </c>
      <c r="B23940" s="570">
        <v>866.91399999999999</v>
      </c>
      <c r="C23940" s="570">
        <v>858.13599999999997</v>
      </c>
    </row>
    <row r="23941" spans="1:3">
      <c r="A23941" s="569" t="s">
        <v>1491</v>
      </c>
      <c r="B23941" s="570">
        <v>958.3</v>
      </c>
      <c r="C23941" s="570">
        <v>872.53099999999995</v>
      </c>
    </row>
    <row r="23942" spans="1:3">
      <c r="A23942" s="569" t="s">
        <v>1491</v>
      </c>
      <c r="B23942" s="570">
        <v>997.49800000000005</v>
      </c>
      <c r="C23942" s="570">
        <v>843.69399999999996</v>
      </c>
    </row>
    <row r="23943" spans="1:3">
      <c r="A23943" s="569" t="s">
        <v>1491</v>
      </c>
      <c r="B23943" s="570">
        <v>1124.97</v>
      </c>
      <c r="C23943" s="570">
        <v>818.44500000000005</v>
      </c>
    </row>
    <row r="23944" spans="1:3">
      <c r="A23944" s="569" t="s">
        <v>1491</v>
      </c>
      <c r="B23944" s="570">
        <v>1206.73</v>
      </c>
      <c r="C23944" s="570">
        <v>843.65700000000004</v>
      </c>
    </row>
    <row r="23945" spans="1:3">
      <c r="A23945" s="569" t="s">
        <v>1491</v>
      </c>
      <c r="B23945" s="570">
        <v>1294.43</v>
      </c>
      <c r="C23945" s="570">
        <v>876.07600000000002</v>
      </c>
    </row>
    <row r="23946" spans="1:3">
      <c r="A23946" s="569" t="s">
        <v>1491</v>
      </c>
      <c r="B23946" s="570">
        <v>1374.65</v>
      </c>
      <c r="C23946" s="570">
        <v>890.47799999999995</v>
      </c>
    </row>
    <row r="23947" spans="1:3">
      <c r="A23947" s="569" t="s">
        <v>1491</v>
      </c>
      <c r="B23947" s="570">
        <v>1474.56</v>
      </c>
      <c r="C23947" s="570">
        <v>854.42899999999997</v>
      </c>
    </row>
    <row r="23948" spans="1:3">
      <c r="A23948" s="569" t="s">
        <v>1491</v>
      </c>
      <c r="B23948" s="570">
        <v>1550.33</v>
      </c>
      <c r="C23948" s="570">
        <v>919.28399999999999</v>
      </c>
    </row>
    <row r="23949" spans="1:3">
      <c r="A23949" s="569" t="s">
        <v>1491</v>
      </c>
      <c r="B23949" s="570">
        <v>1630</v>
      </c>
      <c r="C23949" s="570">
        <v>912.06700000000001</v>
      </c>
    </row>
    <row r="23950" spans="1:3">
      <c r="A23950" s="569" t="s">
        <v>1491</v>
      </c>
      <c r="B23950" s="570">
        <v>1783.86</v>
      </c>
      <c r="C23950" s="570">
        <v>847.18399999999997</v>
      </c>
    </row>
    <row r="23951" spans="1:3">
      <c r="A23951" s="569" t="s">
        <v>1491</v>
      </c>
      <c r="B23951" s="570">
        <v>2052.56</v>
      </c>
      <c r="C23951" s="570">
        <v>894.00300000000004</v>
      </c>
    </row>
    <row r="23952" spans="1:3">
      <c r="A23952" s="569" t="s">
        <v>1491</v>
      </c>
      <c r="B23952" s="570">
        <v>2179.77</v>
      </c>
      <c r="C23952" s="570">
        <v>890.38800000000003</v>
      </c>
    </row>
    <row r="23953" spans="1:3">
      <c r="A23953" s="569" t="s">
        <v>1491</v>
      </c>
      <c r="B23953" s="570">
        <v>2291.79</v>
      </c>
      <c r="C23953" s="570">
        <v>908.39599999999996</v>
      </c>
    </row>
    <row r="23954" spans="1:3">
      <c r="A23954" s="569" t="s">
        <v>1491</v>
      </c>
      <c r="B23954" s="570">
        <v>2458.34</v>
      </c>
      <c r="C23954" s="570">
        <v>897.572</v>
      </c>
    </row>
    <row r="23955" spans="1:3">
      <c r="A23955" s="569" t="s">
        <v>1491</v>
      </c>
      <c r="B23955" s="570">
        <v>2558.89</v>
      </c>
      <c r="C23955" s="570">
        <v>919.18600000000004</v>
      </c>
    </row>
    <row r="23956" spans="1:3">
      <c r="A23956" s="569" t="s">
        <v>1491</v>
      </c>
      <c r="B23956" s="570">
        <v>2690.39</v>
      </c>
      <c r="C23956" s="570">
        <v>929.98699999999997</v>
      </c>
    </row>
    <row r="23957" spans="1:3">
      <c r="A23957" s="569" t="s">
        <v>1491</v>
      </c>
      <c r="B23957" s="570">
        <v>2885.91</v>
      </c>
      <c r="C23957" s="570">
        <v>901.14400000000001</v>
      </c>
    </row>
    <row r="23958" spans="1:3">
      <c r="A23958" s="569" t="s">
        <v>1491</v>
      </c>
      <c r="B23958" s="570">
        <v>3003.95</v>
      </c>
      <c r="C23958" s="570">
        <v>919.154</v>
      </c>
    </row>
    <row r="23959" spans="1:3">
      <c r="A23959" s="569" t="s">
        <v>1491</v>
      </c>
      <c r="B23959" s="570">
        <v>3320.62</v>
      </c>
      <c r="C23959" s="570">
        <v>926.34199999999998</v>
      </c>
    </row>
    <row r="23960" spans="1:3">
      <c r="A23960" s="569" t="s">
        <v>1491</v>
      </c>
      <c r="B23960" s="570">
        <v>3670.66</v>
      </c>
      <c r="C23960" s="570">
        <v>908.30399999999997</v>
      </c>
    </row>
    <row r="23961" spans="1:3">
      <c r="A23961" s="569" t="s">
        <v>1491</v>
      </c>
      <c r="B23961" s="570">
        <v>3859.29</v>
      </c>
      <c r="C23961" s="570">
        <v>951.53800000000001</v>
      </c>
    </row>
    <row r="23962" spans="1:3">
      <c r="A23962" s="569" t="s">
        <v>1491</v>
      </c>
      <c r="B23962" s="570">
        <v>4057.61</v>
      </c>
      <c r="C23962" s="570">
        <v>969.54600000000005</v>
      </c>
    </row>
    <row r="23963" spans="1:3">
      <c r="A23963" s="569" t="s">
        <v>1491</v>
      </c>
      <c r="B23963" s="570">
        <v>4485.34</v>
      </c>
      <c r="C23963" s="570">
        <v>958.71500000000003</v>
      </c>
    </row>
    <row r="23964" spans="1:3">
      <c r="A23964" s="569" t="s">
        <v>1491</v>
      </c>
      <c r="B23964" s="570">
        <v>4576.1499999999996</v>
      </c>
      <c r="C23964" s="570">
        <v>955.10799999999995</v>
      </c>
    </row>
    <row r="23965" spans="1:3">
      <c r="A23965" s="569" t="s">
        <v>1491</v>
      </c>
      <c r="B23965" s="570">
        <v>4811.3100000000004</v>
      </c>
      <c r="C23965" s="570">
        <v>962.30499999999995</v>
      </c>
    </row>
    <row r="23966" spans="1:3">
      <c r="A23966" s="569" t="s">
        <v>1491</v>
      </c>
      <c r="B23966" s="570">
        <v>5058.55</v>
      </c>
      <c r="C23966" s="570">
        <v>969.50300000000004</v>
      </c>
    </row>
    <row r="23967" spans="1:3">
      <c r="A23967" s="569" t="s">
        <v>1491</v>
      </c>
      <c r="B23967" s="570">
        <v>5265.46</v>
      </c>
      <c r="C23967" s="570">
        <v>944.27</v>
      </c>
    </row>
    <row r="23968" spans="1:3">
      <c r="A23968" s="569" t="s">
        <v>1491</v>
      </c>
      <c r="B23968" s="570">
        <v>5879.15</v>
      </c>
      <c r="C23968" s="570">
        <v>947.85199999999998</v>
      </c>
    </row>
    <row r="23969" spans="1:3">
      <c r="A23969" s="569" t="s">
        <v>1491</v>
      </c>
      <c r="B23969" s="570">
        <v>6058.6</v>
      </c>
      <c r="C23969" s="570">
        <v>973.07100000000003</v>
      </c>
    </row>
    <row r="23970" spans="1:3">
      <c r="A23970" s="569" t="s">
        <v>1491</v>
      </c>
      <c r="B23970" s="570">
        <v>6498.9</v>
      </c>
      <c r="C23970" s="570">
        <v>947.83199999999999</v>
      </c>
    </row>
    <row r="23971" spans="1:3">
      <c r="A23971" s="569" t="s">
        <v>1491</v>
      </c>
      <c r="B23971" s="570">
        <v>6832.86</v>
      </c>
      <c r="C23971" s="570">
        <v>951.42600000000004</v>
      </c>
    </row>
    <row r="23972" spans="1:3">
      <c r="A23972" s="569" t="s">
        <v>1491</v>
      </c>
      <c r="B23972" s="570">
        <v>7256.35</v>
      </c>
      <c r="C23972" s="570">
        <v>951.41399999999999</v>
      </c>
    </row>
    <row r="23973" spans="1:3">
      <c r="A23973" s="569" t="s">
        <v>1491</v>
      </c>
      <c r="B23973" s="570">
        <v>7629.23</v>
      </c>
      <c r="C23973" s="570">
        <v>958.61099999999999</v>
      </c>
    </row>
    <row r="23974" spans="1:3">
      <c r="A23974" s="569" t="s">
        <v>1491</v>
      </c>
      <c r="B23974" s="570">
        <v>8604.2199999999993</v>
      </c>
      <c r="C23974" s="570">
        <v>918.94799999999998</v>
      </c>
    </row>
    <row r="23975" spans="1:3">
      <c r="A23975" s="569" t="s">
        <v>1491</v>
      </c>
      <c r="B23975" s="570">
        <v>10202.5</v>
      </c>
      <c r="C23975" s="570">
        <v>944.14</v>
      </c>
    </row>
    <row r="23976" spans="1:3">
      <c r="A23976" s="569" t="s">
        <v>1491</v>
      </c>
      <c r="B23976" s="570">
        <v>10834.8</v>
      </c>
      <c r="C23976" s="570">
        <v>958.54300000000001</v>
      </c>
    </row>
    <row r="23977" spans="1:3">
      <c r="A23977" s="571" t="s">
        <v>1490</v>
      </c>
      <c r="B23977" s="572">
        <v>2.01688</v>
      </c>
      <c r="C23977" s="572">
        <v>55.718600000000002</v>
      </c>
    </row>
    <row r="23978" spans="1:3">
      <c r="A23978" s="571" t="s">
        <v>1490</v>
      </c>
      <c r="B23978" s="572">
        <v>4.0272199999999998</v>
      </c>
      <c r="C23978" s="572">
        <v>88.015799999999999</v>
      </c>
    </row>
    <row r="23979" spans="1:3">
      <c r="A23979" s="571" t="s">
        <v>1490</v>
      </c>
      <c r="B23979" s="572">
        <v>6.9189999999999996</v>
      </c>
      <c r="C23979" s="572">
        <v>134.75700000000001</v>
      </c>
    </row>
    <row r="23980" spans="1:3">
      <c r="A23980" s="571" t="s">
        <v>1490</v>
      </c>
      <c r="B23980" s="572">
        <v>8.9786300000000008</v>
      </c>
      <c r="C23980" s="572">
        <v>174.345</v>
      </c>
    </row>
    <row r="23981" spans="1:3">
      <c r="A23981" s="571" t="s">
        <v>1490</v>
      </c>
      <c r="B23981" s="572">
        <v>11.081899999999999</v>
      </c>
      <c r="C23981" s="572">
        <v>210.34</v>
      </c>
    </row>
    <row r="23982" spans="1:3">
      <c r="A23982" s="571" t="s">
        <v>1490</v>
      </c>
      <c r="B23982" s="572">
        <v>15.1197</v>
      </c>
      <c r="C23982" s="572">
        <v>249.91900000000001</v>
      </c>
    </row>
    <row r="23983" spans="1:3">
      <c r="A23983" s="571" t="s">
        <v>1490</v>
      </c>
      <c r="B23983" s="572">
        <v>18.108799999999999</v>
      </c>
      <c r="C23983" s="572">
        <v>307.541</v>
      </c>
    </row>
    <row r="23984" spans="1:3">
      <c r="A23984" s="571" t="s">
        <v>1490</v>
      </c>
      <c r="B23984" s="572">
        <v>21.046399999999998</v>
      </c>
      <c r="C23984" s="572">
        <v>354.35899999999998</v>
      </c>
    </row>
    <row r="23985" spans="1:3">
      <c r="A23985" s="571" t="s">
        <v>1490</v>
      </c>
      <c r="B23985" s="572">
        <v>23.033000000000001</v>
      </c>
      <c r="C23985" s="572">
        <v>491.27800000000002</v>
      </c>
    </row>
    <row r="23986" spans="1:3">
      <c r="A23986" s="571" t="s">
        <v>1490</v>
      </c>
      <c r="B23986" s="572">
        <v>30.1904</v>
      </c>
      <c r="C23986" s="572">
        <v>556.09</v>
      </c>
    </row>
    <row r="23987" spans="1:3">
      <c r="A23987" s="571" t="s">
        <v>1490</v>
      </c>
      <c r="B23987" s="572">
        <v>42.0246</v>
      </c>
      <c r="C23987" s="572">
        <v>736.20600000000002</v>
      </c>
    </row>
    <row r="23988" spans="1:3">
      <c r="A23988" s="571" t="s">
        <v>1490</v>
      </c>
      <c r="B23988" s="572">
        <v>56.198900000000002</v>
      </c>
      <c r="C23988" s="572">
        <v>649.66200000000003</v>
      </c>
    </row>
    <row r="23989" spans="1:3">
      <c r="A23989" s="571" t="s">
        <v>1490</v>
      </c>
      <c r="B23989" s="572">
        <v>68.671899999999994</v>
      </c>
      <c r="C23989" s="572">
        <v>728.90200000000004</v>
      </c>
    </row>
    <row r="23990" spans="1:3">
      <c r="A23990" s="571" t="s">
        <v>1490</v>
      </c>
      <c r="B23990" s="572">
        <v>83.076400000000007</v>
      </c>
      <c r="C23990" s="572">
        <v>725.26099999999997</v>
      </c>
    </row>
    <row r="23991" spans="1:3">
      <c r="A23991" s="573" t="s">
        <v>1490</v>
      </c>
      <c r="B23991" s="574">
        <v>99.500100000000003</v>
      </c>
      <c r="C23991" s="574">
        <v>725.226</v>
      </c>
    </row>
    <row r="23992" spans="1:3">
      <c r="A23992" s="573" t="s">
        <v>1490</v>
      </c>
      <c r="B23992" s="574">
        <v>192.79400000000001</v>
      </c>
      <c r="C23992" s="574">
        <v>764.73599999999999</v>
      </c>
    </row>
    <row r="23993" spans="1:3">
      <c r="A23993" s="573" t="s">
        <v>1490</v>
      </c>
      <c r="B23993" s="574">
        <v>219.62200000000001</v>
      </c>
      <c r="C23993" s="574">
        <v>786.33299999999997</v>
      </c>
    </row>
    <row r="23994" spans="1:3">
      <c r="A23994" s="573" t="s">
        <v>1490</v>
      </c>
      <c r="B23994" s="574">
        <v>245.21899999999999</v>
      </c>
      <c r="C23994" s="574">
        <v>825.95100000000002</v>
      </c>
    </row>
    <row r="23995" spans="1:3">
      <c r="A23995" s="573" t="s">
        <v>1490</v>
      </c>
      <c r="B23995" s="574">
        <v>276.55700000000002</v>
      </c>
      <c r="C23995" s="574">
        <v>833.13400000000001</v>
      </c>
    </row>
    <row r="23996" spans="1:3">
      <c r="A23996" s="573" t="s">
        <v>1490</v>
      </c>
      <c r="B23996" s="574">
        <v>302.66199999999998</v>
      </c>
      <c r="C23996" s="574">
        <v>818.702</v>
      </c>
    </row>
    <row r="23997" spans="1:3">
      <c r="A23997" s="573" t="s">
        <v>1490</v>
      </c>
      <c r="B23997" s="574">
        <v>327.928</v>
      </c>
      <c r="C23997" s="574">
        <v>757.42499999999995</v>
      </c>
    </row>
    <row r="23998" spans="1:3">
      <c r="A23998" s="573" t="s">
        <v>1490</v>
      </c>
      <c r="B23998" s="574">
        <v>362.49599999999998</v>
      </c>
      <c r="C23998" s="574">
        <v>757.40599999999995</v>
      </c>
    </row>
    <row r="23999" spans="1:3">
      <c r="A23999" s="573" t="s">
        <v>1490</v>
      </c>
      <c r="B23999" s="574">
        <v>381.12400000000002</v>
      </c>
      <c r="C23999" s="574">
        <v>775.41399999999999</v>
      </c>
    </row>
    <row r="24000" spans="1:3">
      <c r="A24000" s="573" t="s">
        <v>1490</v>
      </c>
      <c r="B24000" s="574">
        <v>447.41199999999998</v>
      </c>
      <c r="C24000" s="574">
        <v>811.41899999999998</v>
      </c>
    </row>
    <row r="24001" spans="1:3">
      <c r="A24001" s="569" t="s">
        <v>1490</v>
      </c>
      <c r="B24001" s="570">
        <v>514.80499999999995</v>
      </c>
      <c r="C24001" s="570">
        <v>822.202</v>
      </c>
    </row>
    <row r="24002" spans="1:3">
      <c r="A24002" s="569" t="s">
        <v>1490</v>
      </c>
      <c r="B24002" s="570">
        <v>557.78099999999995</v>
      </c>
      <c r="C24002" s="570">
        <v>822.18600000000004</v>
      </c>
    </row>
    <row r="24003" spans="1:3">
      <c r="A24003" s="569" t="s">
        <v>1490</v>
      </c>
      <c r="B24003" s="570">
        <v>681.577</v>
      </c>
      <c r="C24003" s="570">
        <v>789.71500000000003</v>
      </c>
    </row>
    <row r="24004" spans="1:3">
      <c r="A24004" s="569" t="s">
        <v>1490</v>
      </c>
      <c r="B24004" s="570">
        <v>723.81899999999996</v>
      </c>
      <c r="C24004" s="570">
        <v>807.721</v>
      </c>
    </row>
    <row r="24005" spans="1:3">
      <c r="A24005" s="569" t="s">
        <v>1490</v>
      </c>
      <c r="B24005" s="570">
        <v>776.42200000000003</v>
      </c>
      <c r="C24005" s="570">
        <v>814.91399999999999</v>
      </c>
    </row>
    <row r="24006" spans="1:3">
      <c r="A24006" s="569" t="s">
        <v>1490</v>
      </c>
      <c r="B24006" s="570">
        <v>832.84799999999996</v>
      </c>
      <c r="C24006" s="570">
        <v>822.10799999999995</v>
      </c>
    </row>
    <row r="24007" spans="1:3">
      <c r="A24007" s="569" t="s">
        <v>1490</v>
      </c>
      <c r="B24007" s="570">
        <v>939.28300000000002</v>
      </c>
      <c r="C24007" s="570">
        <v>850.91300000000001</v>
      </c>
    </row>
    <row r="24008" spans="1:3">
      <c r="A24008" s="569" t="s">
        <v>1490</v>
      </c>
      <c r="B24008" s="570">
        <v>987.55</v>
      </c>
      <c r="C24008" s="570">
        <v>818.471</v>
      </c>
    </row>
    <row r="24009" spans="1:3">
      <c r="A24009" s="569" t="s">
        <v>1490</v>
      </c>
      <c r="B24009" s="570">
        <v>1091.6500000000001</v>
      </c>
      <c r="C24009" s="570">
        <v>771.60400000000004</v>
      </c>
    </row>
    <row r="24010" spans="1:3">
      <c r="A24010" s="569" t="s">
        <v>1490</v>
      </c>
      <c r="B24010" s="570">
        <v>1182.78</v>
      </c>
      <c r="C24010" s="570">
        <v>782.4</v>
      </c>
    </row>
    <row r="24011" spans="1:3">
      <c r="A24011" s="569" t="s">
        <v>1490</v>
      </c>
      <c r="B24011" s="570">
        <v>1281.52</v>
      </c>
      <c r="C24011" s="570">
        <v>836.43799999999999</v>
      </c>
    </row>
    <row r="24012" spans="1:3">
      <c r="A24012" s="569" t="s">
        <v>1490</v>
      </c>
      <c r="B24012" s="570">
        <v>1347.38</v>
      </c>
      <c r="C24012" s="570">
        <v>829.221</v>
      </c>
    </row>
    <row r="24013" spans="1:3">
      <c r="A24013" s="569" t="s">
        <v>1490</v>
      </c>
      <c r="B24013" s="570">
        <v>1474.56</v>
      </c>
      <c r="C24013" s="570">
        <v>796.77099999999996</v>
      </c>
    </row>
    <row r="24014" spans="1:3">
      <c r="A24014" s="569" t="s">
        <v>1490</v>
      </c>
      <c r="B24014" s="570">
        <v>1504.41</v>
      </c>
      <c r="C24014" s="570">
        <v>879.65</v>
      </c>
    </row>
    <row r="24015" spans="1:3">
      <c r="A24015" s="569" t="s">
        <v>1490</v>
      </c>
      <c r="B24015" s="570">
        <v>1613.74</v>
      </c>
      <c r="C24015" s="570">
        <v>868.82500000000005</v>
      </c>
    </row>
    <row r="24016" spans="1:3">
      <c r="A24016" s="569" t="s">
        <v>1490</v>
      </c>
      <c r="B24016" s="570">
        <v>1766.07</v>
      </c>
      <c r="C24016" s="570">
        <v>807.54600000000005</v>
      </c>
    </row>
    <row r="24017" spans="1:3">
      <c r="A24017" s="569" t="s">
        <v>1490</v>
      </c>
      <c r="B24017" s="570">
        <v>1838.31</v>
      </c>
      <c r="C24017" s="570">
        <v>785.91700000000003</v>
      </c>
    </row>
    <row r="24018" spans="1:3">
      <c r="A24018" s="569" t="s">
        <v>1490</v>
      </c>
      <c r="B24018" s="570">
        <v>2032.09</v>
      </c>
      <c r="C24018" s="570">
        <v>814.726</v>
      </c>
    </row>
    <row r="24019" spans="1:3">
      <c r="A24019" s="569" t="s">
        <v>1490</v>
      </c>
      <c r="B24019" s="570">
        <v>2158.04</v>
      </c>
      <c r="C24019" s="570">
        <v>847.14700000000005</v>
      </c>
    </row>
    <row r="24020" spans="1:3">
      <c r="A24020" s="569" t="s">
        <v>1490</v>
      </c>
      <c r="B24020" s="570">
        <v>2268.9299999999998</v>
      </c>
      <c r="C24020" s="570">
        <v>847.13699999999994</v>
      </c>
    </row>
    <row r="24021" spans="1:3">
      <c r="A24021" s="569" t="s">
        <v>1490</v>
      </c>
      <c r="B24021" s="570">
        <v>2409.56</v>
      </c>
      <c r="C24021" s="570">
        <v>843.52200000000005</v>
      </c>
    </row>
    <row r="24022" spans="1:3">
      <c r="A24022" s="569" t="s">
        <v>1490</v>
      </c>
      <c r="B24022" s="570">
        <v>2458.34</v>
      </c>
      <c r="C24022" s="570">
        <v>879.55399999999997</v>
      </c>
    </row>
    <row r="24023" spans="1:3">
      <c r="A24023" s="569" t="s">
        <v>1490</v>
      </c>
      <c r="B24023" s="570">
        <v>2558.89</v>
      </c>
      <c r="C24023" s="570">
        <v>890.35699999999997</v>
      </c>
    </row>
    <row r="24024" spans="1:3">
      <c r="A24024" s="569" t="s">
        <v>1490</v>
      </c>
      <c r="B24024" s="570">
        <v>2914.98</v>
      </c>
      <c r="C24024" s="570">
        <v>879.52</v>
      </c>
    </row>
    <row r="24025" spans="1:3">
      <c r="A24025" s="569" t="s">
        <v>1490</v>
      </c>
      <c r="B24025" s="570">
        <v>3064.77</v>
      </c>
      <c r="C24025" s="570">
        <v>868.7</v>
      </c>
    </row>
    <row r="24026" spans="1:3">
      <c r="A24026" s="569" t="s">
        <v>1490</v>
      </c>
      <c r="B24026" s="570">
        <v>3254.72</v>
      </c>
      <c r="C24026" s="570">
        <v>875.89499999999998</v>
      </c>
    </row>
    <row r="24027" spans="1:3">
      <c r="A24027" s="569" t="s">
        <v>1490</v>
      </c>
      <c r="B24027" s="570">
        <v>3456.44</v>
      </c>
      <c r="C24027" s="570">
        <v>901.10900000000004</v>
      </c>
    </row>
    <row r="24028" spans="1:3">
      <c r="A24028" s="569" t="s">
        <v>1490</v>
      </c>
      <c r="B24028" s="570">
        <v>3634.06</v>
      </c>
      <c r="C24028" s="570">
        <v>868.66600000000005</v>
      </c>
    </row>
    <row r="24029" spans="1:3">
      <c r="A24029" s="569" t="s">
        <v>1490</v>
      </c>
      <c r="B24029" s="570">
        <v>4098.4799999999996</v>
      </c>
      <c r="C24029" s="570">
        <v>915.49</v>
      </c>
    </row>
    <row r="24030" spans="1:3">
      <c r="A24030" s="569" t="s">
        <v>1490</v>
      </c>
      <c r="B24030" s="570">
        <v>4396.33</v>
      </c>
      <c r="C24030" s="570">
        <v>908.26900000000001</v>
      </c>
    </row>
    <row r="24031" spans="1:3">
      <c r="A24031" s="569" t="s">
        <v>1490</v>
      </c>
      <c r="B24031" s="570">
        <v>4668.8</v>
      </c>
      <c r="C24031" s="570">
        <v>901.05</v>
      </c>
    </row>
    <row r="24032" spans="1:3">
      <c r="A24032" s="569" t="s">
        <v>1490</v>
      </c>
      <c r="B24032" s="570">
        <v>5109.5</v>
      </c>
      <c r="C24032" s="570">
        <v>901.03200000000004</v>
      </c>
    </row>
    <row r="24033" spans="1:3">
      <c r="A24033" s="569" t="s">
        <v>1490</v>
      </c>
      <c r="B24033" s="570">
        <v>5426.18</v>
      </c>
      <c r="C24033" s="570">
        <v>901.02</v>
      </c>
    </row>
    <row r="24034" spans="1:3">
      <c r="A24034" s="569" t="s">
        <v>1490</v>
      </c>
      <c r="B24034" s="570">
        <v>5820.52</v>
      </c>
      <c r="C24034" s="570">
        <v>893.8</v>
      </c>
    </row>
    <row r="24035" spans="1:3">
      <c r="A24035" s="569" t="s">
        <v>1490</v>
      </c>
      <c r="B24035" s="570">
        <v>6119.62</v>
      </c>
      <c r="C24035" s="570">
        <v>929.82600000000002</v>
      </c>
    </row>
    <row r="24036" spans="1:3">
      <c r="A24036" s="569" t="s">
        <v>1490</v>
      </c>
      <c r="B24036" s="570">
        <v>6434.1</v>
      </c>
      <c r="C24036" s="570">
        <v>919.005</v>
      </c>
    </row>
    <row r="24037" spans="1:3">
      <c r="A24037" s="569" t="s">
        <v>1490</v>
      </c>
      <c r="B24037" s="570">
        <v>6764.73</v>
      </c>
      <c r="C24037" s="570">
        <v>897.37400000000002</v>
      </c>
    </row>
    <row r="24038" spans="1:3">
      <c r="A24038" s="569" t="s">
        <v>1490</v>
      </c>
      <c r="B24038" s="570">
        <v>7783.7</v>
      </c>
      <c r="C24038" s="570">
        <v>900.95</v>
      </c>
    </row>
    <row r="24039" spans="1:3">
      <c r="A24039" s="569" t="s">
        <v>1490</v>
      </c>
      <c r="B24039" s="570">
        <v>8266.11</v>
      </c>
      <c r="C24039" s="570">
        <v>875.71299999999997</v>
      </c>
    </row>
    <row r="24040" spans="1:3">
      <c r="A24040" s="569" t="s">
        <v>1490</v>
      </c>
      <c r="B24040" s="570">
        <v>10202.5</v>
      </c>
      <c r="C24040" s="570">
        <v>926.12199999999996</v>
      </c>
    </row>
    <row r="24041" spans="1:3">
      <c r="A24041" s="569" t="s">
        <v>1490</v>
      </c>
      <c r="B24041" s="570">
        <v>10834.8</v>
      </c>
      <c r="C24041" s="570">
        <v>933.31799999999998</v>
      </c>
    </row>
    <row r="24042" spans="1:3">
      <c r="A24042" s="571" t="s">
        <v>1489</v>
      </c>
      <c r="B24042" s="572">
        <v>1.9182999999999999</v>
      </c>
      <c r="C24042" s="572">
        <v>44.9176</v>
      </c>
    </row>
    <row r="24043" spans="1:3">
      <c r="A24043" s="571" t="s">
        <v>1489</v>
      </c>
      <c r="B24043" s="572">
        <v>3.98706</v>
      </c>
      <c r="C24043" s="572">
        <v>66.396100000000004</v>
      </c>
    </row>
    <row r="24044" spans="1:3">
      <c r="A24044" s="571" t="s">
        <v>1489</v>
      </c>
      <c r="B24044" s="572">
        <v>6.9189999999999996</v>
      </c>
      <c r="C24044" s="572">
        <v>87.909899999999993</v>
      </c>
    </row>
    <row r="24045" spans="1:3">
      <c r="A24045" s="571" t="s">
        <v>1489</v>
      </c>
      <c r="B24045" s="572">
        <v>9.1604100000000006</v>
      </c>
      <c r="C24045" s="572">
        <v>109.477</v>
      </c>
    </row>
    <row r="24046" spans="1:3">
      <c r="A24046" s="571" t="s">
        <v>1489</v>
      </c>
      <c r="B24046" s="572">
        <v>10.971399999999999</v>
      </c>
      <c r="C24046" s="572">
        <v>123.85599999999999</v>
      </c>
    </row>
    <row r="24047" spans="1:3">
      <c r="A24047" s="571" t="s">
        <v>1489</v>
      </c>
      <c r="B24047" s="572">
        <v>14.9689</v>
      </c>
      <c r="C24047" s="572">
        <v>152.624</v>
      </c>
    </row>
    <row r="24048" spans="1:3">
      <c r="A24048" s="571" t="s">
        <v>1489</v>
      </c>
      <c r="B24048" s="572">
        <v>18.108799999999999</v>
      </c>
      <c r="C24048" s="572">
        <v>181.41499999999999</v>
      </c>
    </row>
    <row r="24049" spans="1:3">
      <c r="A24049" s="571" t="s">
        <v>1489</v>
      </c>
      <c r="B24049" s="572">
        <v>21.9072</v>
      </c>
      <c r="C24049" s="572">
        <v>210.20699999999999</v>
      </c>
    </row>
    <row r="24050" spans="1:3">
      <c r="A24050" s="571" t="s">
        <v>1489</v>
      </c>
      <c r="B24050" s="572">
        <v>31.111899999999999</v>
      </c>
      <c r="C24050" s="572">
        <v>278.60700000000003</v>
      </c>
    </row>
    <row r="24051" spans="1:3">
      <c r="A24051" s="571" t="s">
        <v>1489</v>
      </c>
      <c r="B24051" s="572">
        <v>38.017000000000003</v>
      </c>
      <c r="C24051" s="572">
        <v>343.43200000000002</v>
      </c>
    </row>
    <row r="24052" spans="1:3">
      <c r="A24052" s="571" t="s">
        <v>1489</v>
      </c>
      <c r="B24052" s="572">
        <v>52.391399999999997</v>
      </c>
      <c r="C24052" s="572">
        <v>429.85599999999999</v>
      </c>
    </row>
    <row r="24053" spans="1:3">
      <c r="A24053" s="571" t="s">
        <v>1489</v>
      </c>
      <c r="B24053" s="572">
        <v>64.019300000000001</v>
      </c>
      <c r="C24053" s="572">
        <v>501.88900000000001</v>
      </c>
    </row>
    <row r="24054" spans="1:3">
      <c r="A24054" s="571" t="s">
        <v>1489</v>
      </c>
      <c r="B24054" s="572">
        <v>78.227999999999994</v>
      </c>
      <c r="C24054" s="572">
        <v>548.697</v>
      </c>
    </row>
    <row r="24055" spans="1:3">
      <c r="A24055" s="571" t="s">
        <v>1489</v>
      </c>
      <c r="B24055" s="572">
        <v>93.693299999999994</v>
      </c>
      <c r="C24055" s="572">
        <v>566.67899999999997</v>
      </c>
    </row>
    <row r="24056" spans="1:3">
      <c r="A24056" s="573" t="s">
        <v>1489</v>
      </c>
      <c r="B24056" s="574">
        <v>100.502</v>
      </c>
      <c r="C24056" s="574">
        <v>595.495</v>
      </c>
    </row>
    <row r="24057" spans="1:3">
      <c r="A24057" s="573" t="s">
        <v>1489</v>
      </c>
      <c r="B24057" s="574">
        <v>104.613</v>
      </c>
      <c r="C24057" s="574">
        <v>645.93700000000001</v>
      </c>
    </row>
    <row r="24058" spans="1:3">
      <c r="A24058" s="573" t="s">
        <v>1489</v>
      </c>
      <c r="B24058" s="574">
        <v>144.16800000000001</v>
      </c>
      <c r="C24058" s="574">
        <v>613.44200000000001</v>
      </c>
    </row>
    <row r="24059" spans="1:3">
      <c r="A24059" s="573" t="s">
        <v>1489</v>
      </c>
      <c r="B24059" s="574">
        <v>176.16499999999999</v>
      </c>
      <c r="C24059" s="574">
        <v>642.23199999999997</v>
      </c>
    </row>
    <row r="24060" spans="1:3">
      <c r="A24060" s="573" t="s">
        <v>1489</v>
      </c>
      <c r="B24060" s="574">
        <v>206.80500000000001</v>
      </c>
      <c r="C24060" s="574">
        <v>663.822</v>
      </c>
    </row>
    <row r="24061" spans="1:3">
      <c r="A24061" s="573" t="s">
        <v>1489</v>
      </c>
      <c r="B24061" s="574">
        <v>230.90799999999999</v>
      </c>
      <c r="C24061" s="574">
        <v>663.8</v>
      </c>
    </row>
    <row r="24062" spans="1:3">
      <c r="A24062" s="573" t="s">
        <v>1489</v>
      </c>
      <c r="B24062" s="574">
        <v>260.41699999999997</v>
      </c>
      <c r="C24062" s="574">
        <v>670.98400000000004</v>
      </c>
    </row>
    <row r="24063" spans="1:3">
      <c r="A24063" s="573" t="s">
        <v>1489</v>
      </c>
      <c r="B24063" s="574">
        <v>290.76799999999997</v>
      </c>
      <c r="C24063" s="574">
        <v>602.49400000000003</v>
      </c>
    </row>
    <row r="24064" spans="1:3">
      <c r="A24064" s="573" t="s">
        <v>1489</v>
      </c>
      <c r="B24064" s="574">
        <v>315.04199999999997</v>
      </c>
      <c r="C24064" s="574">
        <v>595.27099999999996</v>
      </c>
    </row>
    <row r="24065" spans="1:3">
      <c r="A24065" s="573" t="s">
        <v>1489</v>
      </c>
      <c r="B24065" s="574">
        <v>348.25200000000001</v>
      </c>
      <c r="C24065" s="574">
        <v>591.64800000000002</v>
      </c>
    </row>
    <row r="24066" spans="1:3">
      <c r="A24066" s="573" t="s">
        <v>1489</v>
      </c>
      <c r="B24066" s="574">
        <v>362.49599999999998</v>
      </c>
      <c r="C24066" s="574">
        <v>591.64</v>
      </c>
    </row>
    <row r="24067" spans="1:3">
      <c r="A24067" s="573" t="s">
        <v>1489</v>
      </c>
      <c r="B24067" s="574">
        <v>377.32299999999998</v>
      </c>
      <c r="C24067" s="574">
        <v>616.85699999999997</v>
      </c>
    </row>
    <row r="24068" spans="1:3">
      <c r="A24068" s="573" t="s">
        <v>1489</v>
      </c>
      <c r="B24068" s="574">
        <v>434.16</v>
      </c>
      <c r="C24068" s="574">
        <v>645.65899999999999</v>
      </c>
    </row>
    <row r="24069" spans="1:3">
      <c r="A24069" s="573" t="s">
        <v>1489</v>
      </c>
      <c r="B24069" s="574">
        <v>461.06799999999998</v>
      </c>
      <c r="C24069" s="574">
        <v>771.77300000000002</v>
      </c>
    </row>
    <row r="24070" spans="1:3">
      <c r="A24070" s="569" t="s">
        <v>1489</v>
      </c>
      <c r="B24070" s="570">
        <v>552.21900000000005</v>
      </c>
      <c r="C24070" s="570">
        <v>660.02599999999995</v>
      </c>
    </row>
    <row r="24071" spans="1:3">
      <c r="A24071" s="569" t="s">
        <v>1489</v>
      </c>
      <c r="B24071" s="570">
        <v>668.05100000000004</v>
      </c>
      <c r="C24071" s="570">
        <v>605.93499999999995</v>
      </c>
    </row>
    <row r="24072" spans="1:3">
      <c r="A24072" s="569" t="s">
        <v>1489</v>
      </c>
      <c r="B24072" s="570">
        <v>723.81899999999996</v>
      </c>
      <c r="C24072" s="570">
        <v>631.14400000000001</v>
      </c>
    </row>
    <row r="24073" spans="1:3">
      <c r="A24073" s="569" t="s">
        <v>1489</v>
      </c>
      <c r="B24073" s="570">
        <v>761.01400000000001</v>
      </c>
      <c r="C24073" s="570">
        <v>631.13499999999999</v>
      </c>
    </row>
    <row r="24074" spans="1:3">
      <c r="A24074" s="569" t="s">
        <v>1489</v>
      </c>
      <c r="B24074" s="570">
        <v>920.64300000000003</v>
      </c>
      <c r="C24074" s="570">
        <v>645.51199999999994</v>
      </c>
    </row>
    <row r="24075" spans="1:3">
      <c r="A24075" s="569" t="s">
        <v>1489</v>
      </c>
      <c r="B24075" s="570">
        <v>987.55</v>
      </c>
      <c r="C24075" s="570">
        <v>623.87599999999998</v>
      </c>
    </row>
    <row r="24076" spans="1:3">
      <c r="A24076" s="569" t="s">
        <v>1489</v>
      </c>
      <c r="B24076" s="570">
        <v>1069.99</v>
      </c>
      <c r="C24076" s="570">
        <v>577.01400000000001</v>
      </c>
    </row>
    <row r="24077" spans="1:3">
      <c r="A24077" s="569" t="s">
        <v>1489</v>
      </c>
      <c r="B24077" s="570">
        <v>1182.78</v>
      </c>
      <c r="C24077" s="570">
        <v>576.99400000000003</v>
      </c>
    </row>
    <row r="24078" spans="1:3">
      <c r="A24078" s="569" t="s">
        <v>1489</v>
      </c>
      <c r="B24078" s="570">
        <v>1268.74</v>
      </c>
      <c r="C24078" s="570">
        <v>649.053</v>
      </c>
    </row>
    <row r="24079" spans="1:3">
      <c r="A24079" s="569" t="s">
        <v>1489</v>
      </c>
      <c r="B24079" s="570">
        <v>1333.94</v>
      </c>
      <c r="C24079" s="570">
        <v>634.62800000000004</v>
      </c>
    </row>
    <row r="24080" spans="1:3">
      <c r="A24080" s="569" t="s">
        <v>1489</v>
      </c>
      <c r="B24080" s="570">
        <v>1474.56</v>
      </c>
      <c r="C24080" s="570">
        <v>656.23</v>
      </c>
    </row>
    <row r="24081" spans="1:3">
      <c r="A24081" s="569" t="s">
        <v>1489</v>
      </c>
      <c r="B24081" s="570">
        <v>1550.33</v>
      </c>
      <c r="C24081" s="570">
        <v>681.44600000000003</v>
      </c>
    </row>
    <row r="24082" spans="1:3">
      <c r="A24082" s="569" t="s">
        <v>1489</v>
      </c>
      <c r="B24082" s="570">
        <v>1630</v>
      </c>
      <c r="C24082" s="570">
        <v>677.83199999999999</v>
      </c>
    </row>
    <row r="24083" spans="1:3">
      <c r="A24083" s="569" t="s">
        <v>1489</v>
      </c>
      <c r="B24083" s="570">
        <v>1748.46</v>
      </c>
      <c r="C24083" s="570">
        <v>580.52099999999996</v>
      </c>
    </row>
    <row r="24084" spans="1:3">
      <c r="A24084" s="569" t="s">
        <v>1489</v>
      </c>
      <c r="B24084" s="570">
        <v>1819.97</v>
      </c>
      <c r="C24084" s="570">
        <v>587.721</v>
      </c>
    </row>
    <row r="24085" spans="1:3">
      <c r="A24085" s="569" t="s">
        <v>1489</v>
      </c>
      <c r="B24085" s="570">
        <v>2032.09</v>
      </c>
      <c r="C24085" s="570">
        <v>605.71699999999998</v>
      </c>
    </row>
    <row r="24086" spans="1:3">
      <c r="A24086" s="569" t="s">
        <v>1489</v>
      </c>
      <c r="B24086" s="570">
        <v>2179.77</v>
      </c>
      <c r="C24086" s="570">
        <v>641.73900000000003</v>
      </c>
    </row>
    <row r="24087" spans="1:3">
      <c r="A24087" s="569" t="s">
        <v>1489</v>
      </c>
      <c r="B24087" s="570">
        <v>2314.87</v>
      </c>
      <c r="C24087" s="570">
        <v>634.52</v>
      </c>
    </row>
    <row r="24088" spans="1:3">
      <c r="A24088" s="569" t="s">
        <v>1489</v>
      </c>
      <c r="B24088" s="570">
        <v>2409.56</v>
      </c>
      <c r="C24088" s="570">
        <v>623.702</v>
      </c>
    </row>
    <row r="24089" spans="1:3">
      <c r="A24089" s="569" t="s">
        <v>1489</v>
      </c>
      <c r="B24089" s="570">
        <v>2533.38</v>
      </c>
      <c r="C24089" s="570">
        <v>663.33199999999999</v>
      </c>
    </row>
    <row r="24090" spans="1:3">
      <c r="A24090" s="569" t="s">
        <v>1489</v>
      </c>
      <c r="B24090" s="570">
        <v>2663.56</v>
      </c>
      <c r="C24090" s="570">
        <v>659.71799999999996</v>
      </c>
    </row>
    <row r="24091" spans="1:3">
      <c r="A24091" s="569" t="s">
        <v>1489</v>
      </c>
      <c r="B24091" s="570">
        <v>2974</v>
      </c>
      <c r="C24091" s="570">
        <v>659.697</v>
      </c>
    </row>
    <row r="24092" spans="1:3">
      <c r="A24092" s="569" t="s">
        <v>1489</v>
      </c>
      <c r="B24092" s="570">
        <v>3158.32</v>
      </c>
      <c r="C24092" s="570">
        <v>641.66700000000003</v>
      </c>
    </row>
    <row r="24093" spans="1:3">
      <c r="A24093" s="569" t="s">
        <v>1489</v>
      </c>
      <c r="B24093" s="570">
        <v>3320.62</v>
      </c>
      <c r="C24093" s="570">
        <v>641.65700000000004</v>
      </c>
    </row>
    <row r="24094" spans="1:3">
      <c r="A24094" s="569" t="s">
        <v>1489</v>
      </c>
      <c r="B24094" s="570">
        <v>3670.66</v>
      </c>
      <c r="C24094" s="570">
        <v>634.42999999999995</v>
      </c>
    </row>
    <row r="24095" spans="1:3">
      <c r="A24095" s="569" t="s">
        <v>1489</v>
      </c>
      <c r="B24095" s="570">
        <v>3820.8</v>
      </c>
      <c r="C24095" s="570">
        <v>666.85500000000002</v>
      </c>
    </row>
    <row r="24096" spans="1:3">
      <c r="A24096" s="569" t="s">
        <v>1489</v>
      </c>
      <c r="B24096" s="570">
        <v>4057.61</v>
      </c>
      <c r="C24096" s="570">
        <v>692.06799999999998</v>
      </c>
    </row>
    <row r="24097" spans="1:3">
      <c r="A24097" s="569" t="s">
        <v>1489</v>
      </c>
      <c r="B24097" s="570">
        <v>4396.33</v>
      </c>
      <c r="C24097" s="570">
        <v>652.41300000000001</v>
      </c>
    </row>
    <row r="24098" spans="1:3">
      <c r="A24098" s="569" t="s">
        <v>1489</v>
      </c>
      <c r="B24098" s="570">
        <v>4715.83</v>
      </c>
      <c r="C24098" s="570">
        <v>637.98500000000001</v>
      </c>
    </row>
    <row r="24099" spans="1:3">
      <c r="A24099" s="569" t="s">
        <v>1489</v>
      </c>
      <c r="B24099" s="570">
        <v>4958.17</v>
      </c>
      <c r="C24099" s="570">
        <v>659.59699999999998</v>
      </c>
    </row>
    <row r="24100" spans="1:3">
      <c r="A24100" s="569" t="s">
        <v>1489</v>
      </c>
      <c r="B24100" s="570">
        <v>5318.5</v>
      </c>
      <c r="C24100" s="570">
        <v>655.97900000000004</v>
      </c>
    </row>
    <row r="24101" spans="1:3">
      <c r="A24101" s="569" t="s">
        <v>1489</v>
      </c>
      <c r="B24101" s="570">
        <v>5879.15</v>
      </c>
      <c r="C24101" s="570">
        <v>623.52700000000004</v>
      </c>
    </row>
    <row r="24102" spans="1:3">
      <c r="A24102" s="569" t="s">
        <v>1489</v>
      </c>
      <c r="B24102" s="570">
        <v>5998.18</v>
      </c>
      <c r="C24102" s="570">
        <v>673.97400000000005</v>
      </c>
    </row>
    <row r="24103" spans="1:3">
      <c r="A24103" s="569" t="s">
        <v>1489</v>
      </c>
      <c r="B24103" s="570">
        <v>6498.9</v>
      </c>
      <c r="C24103" s="570">
        <v>652.33699999999999</v>
      </c>
    </row>
    <row r="24104" spans="1:3">
      <c r="A24104" s="569" t="s">
        <v>1489</v>
      </c>
      <c r="B24104" s="570">
        <v>6971.21</v>
      </c>
      <c r="C24104" s="570">
        <v>634.30499999999995</v>
      </c>
    </row>
    <row r="24105" spans="1:3">
      <c r="A24105" s="569" t="s">
        <v>1489</v>
      </c>
      <c r="B24105" s="570">
        <v>7256.35</v>
      </c>
      <c r="C24105" s="570">
        <v>655.91899999999998</v>
      </c>
    </row>
    <row r="24106" spans="1:3">
      <c r="A24106" s="569" t="s">
        <v>1489</v>
      </c>
      <c r="B24106" s="570">
        <v>7629.23</v>
      </c>
      <c r="C24106" s="570">
        <v>681.13400000000001</v>
      </c>
    </row>
    <row r="24107" spans="1:3">
      <c r="A24107" s="569" t="s">
        <v>1489</v>
      </c>
      <c r="B24107" s="570">
        <v>7941.29</v>
      </c>
      <c r="C24107" s="570">
        <v>645.09</v>
      </c>
    </row>
    <row r="24108" spans="1:3">
      <c r="A24108" s="569" t="s">
        <v>1489</v>
      </c>
      <c r="B24108" s="570">
        <v>8349.3799999999992</v>
      </c>
      <c r="C24108" s="570">
        <v>623.45899999999995</v>
      </c>
    </row>
    <row r="24109" spans="1:3">
      <c r="A24109" s="569" t="s">
        <v>1489</v>
      </c>
      <c r="B24109" s="570">
        <v>10202.5</v>
      </c>
      <c r="C24109" s="570">
        <v>659.45600000000002</v>
      </c>
    </row>
    <row r="24110" spans="1:3">
      <c r="A24110" s="569" t="s">
        <v>1489</v>
      </c>
      <c r="B24110" s="570">
        <v>10834.8</v>
      </c>
      <c r="C24110" s="570">
        <v>666.65099999999995</v>
      </c>
    </row>
    <row r="24111" spans="1:3">
      <c r="A24111" s="571" t="s">
        <v>1488</v>
      </c>
      <c r="B24111" s="572">
        <v>1.18428</v>
      </c>
      <c r="C24111" s="572">
        <v>11.4656</v>
      </c>
    </row>
    <row r="24112" spans="1:3">
      <c r="A24112" s="571" t="s">
        <v>1488</v>
      </c>
      <c r="B24112" s="572">
        <v>1.9826699999999999</v>
      </c>
      <c r="C24112" s="572">
        <v>7.2450799999999997</v>
      </c>
    </row>
    <row r="24113" spans="1:3">
      <c r="A24113" s="571" t="s">
        <v>1488</v>
      </c>
      <c r="B24113" s="572">
        <v>3.1239400000000002</v>
      </c>
      <c r="C24113" s="572">
        <v>17.901800000000001</v>
      </c>
    </row>
    <row r="24114" spans="1:3">
      <c r="A24114" s="571" t="s">
        <v>1488</v>
      </c>
      <c r="B24114" s="572">
        <v>7.2987099999999998</v>
      </c>
      <c r="C24114" s="572">
        <v>25.783200000000001</v>
      </c>
    </row>
    <row r="24115" spans="1:3">
      <c r="A24115" s="571" t="s">
        <v>1488</v>
      </c>
      <c r="B24115" s="572">
        <v>10.084099999999999</v>
      </c>
      <c r="C24115" s="572">
        <v>25.712499999999999</v>
      </c>
    </row>
    <row r="24116" spans="1:3">
      <c r="A24116" s="571" t="s">
        <v>1488</v>
      </c>
      <c r="B24116" s="572">
        <v>15.414400000000001</v>
      </c>
      <c r="C24116" s="572">
        <v>36.375799999999998</v>
      </c>
    </row>
    <row r="24117" spans="1:3">
      <c r="A24117" s="571" t="s">
        <v>1488</v>
      </c>
      <c r="B24117" s="572">
        <v>16.712599999999998</v>
      </c>
      <c r="C24117" s="572">
        <v>44.425400000000003</v>
      </c>
    </row>
    <row r="24118" spans="1:3">
      <c r="A24118" s="571" t="s">
        <v>1488</v>
      </c>
      <c r="B24118" s="572">
        <v>20.246500000000001</v>
      </c>
      <c r="C24118" s="572">
        <v>25.559799999999999</v>
      </c>
    </row>
    <row r="24119" spans="1:3">
      <c r="A24119" s="571" t="s">
        <v>1488</v>
      </c>
      <c r="B24119" s="572">
        <v>30.6343</v>
      </c>
      <c r="C24119" s="572">
        <v>20.091000000000001</v>
      </c>
    </row>
    <row r="24120" spans="1:3">
      <c r="A24120" s="571" t="s">
        <v>1488</v>
      </c>
      <c r="B24120" s="572">
        <v>38.2654</v>
      </c>
      <c r="C24120" s="572">
        <v>49.622100000000003</v>
      </c>
    </row>
    <row r="24121" spans="1:3">
      <c r="A24121" s="571" t="s">
        <v>1488</v>
      </c>
      <c r="B24121" s="572">
        <v>50.2669</v>
      </c>
      <c r="C24121" s="572">
        <v>57.629600000000003</v>
      </c>
    </row>
    <row r="24122" spans="1:3">
      <c r="A24122" s="571" t="s">
        <v>1488</v>
      </c>
      <c r="B24122" s="572">
        <v>64.703000000000003</v>
      </c>
      <c r="C24122" s="572">
        <v>44.128900000000002</v>
      </c>
    </row>
    <row r="24123" spans="1:3">
      <c r="A24123" s="571" t="s">
        <v>1488</v>
      </c>
      <c r="B24123" s="572">
        <v>79.186800000000005</v>
      </c>
      <c r="C24123" s="572">
        <v>38.706600000000002</v>
      </c>
    </row>
    <row r="24124" spans="1:3">
      <c r="A24124" s="573" t="s">
        <v>1488</v>
      </c>
      <c r="B24124" s="574">
        <v>100.919</v>
      </c>
      <c r="C24124" s="574">
        <v>49.409799999999997</v>
      </c>
    </row>
    <row r="24125" spans="1:3">
      <c r="A24125" s="573" t="s">
        <v>1488</v>
      </c>
      <c r="B24125" s="574">
        <v>240.59399999999999</v>
      </c>
      <c r="C24125" s="574">
        <v>54.597700000000003</v>
      </c>
    </row>
    <row r="24126" spans="1:3">
      <c r="A24126" s="573" t="s">
        <v>1488</v>
      </c>
      <c r="B24126" s="574">
        <v>253.05</v>
      </c>
      <c r="C24126" s="574">
        <v>49.208500000000001</v>
      </c>
    </row>
    <row r="24127" spans="1:3">
      <c r="A24127" s="569" t="s">
        <v>1488</v>
      </c>
      <c r="B24127" s="570">
        <v>545.37699999999995</v>
      </c>
      <c r="C24127" s="570">
        <v>73.242000000000004</v>
      </c>
    </row>
    <row r="24128" spans="1:3">
      <c r="A24128" s="569" t="s">
        <v>1488</v>
      </c>
      <c r="B24128" s="570">
        <v>913.00099999999998</v>
      </c>
      <c r="C24128" s="570">
        <v>83.885499999999993</v>
      </c>
    </row>
    <row r="24129" spans="1:3">
      <c r="A24129" s="569" t="s">
        <v>1488</v>
      </c>
      <c r="B24129" s="570">
        <v>1367.8</v>
      </c>
      <c r="C24129" s="570">
        <v>107.999</v>
      </c>
    </row>
    <row r="24130" spans="1:3">
      <c r="A24130" s="569" t="s">
        <v>1488</v>
      </c>
      <c r="B24130" s="570">
        <v>1498.42</v>
      </c>
      <c r="C24130" s="570">
        <v>153.69300000000001</v>
      </c>
    </row>
    <row r="24131" spans="1:3">
      <c r="A24131" s="569" t="s">
        <v>1488</v>
      </c>
      <c r="B24131" s="570">
        <v>2091.09</v>
      </c>
      <c r="C24131" s="570">
        <v>140.17500000000001</v>
      </c>
    </row>
    <row r="24132" spans="1:3">
      <c r="A24132" s="569" t="s">
        <v>1488</v>
      </c>
      <c r="B24132" s="570">
        <v>2559.88</v>
      </c>
      <c r="C24132" s="570">
        <v>177.77699999999999</v>
      </c>
    </row>
    <row r="24133" spans="1:3">
      <c r="A24133" s="569" t="s">
        <v>1488</v>
      </c>
      <c r="B24133" s="570">
        <v>2720.3</v>
      </c>
      <c r="C24133" s="570">
        <v>204.655</v>
      </c>
    </row>
    <row r="24134" spans="1:3">
      <c r="A24134" s="569" t="s">
        <v>1488</v>
      </c>
      <c r="B24134" s="570">
        <v>3009.56</v>
      </c>
      <c r="C24134" s="570">
        <v>210.011</v>
      </c>
    </row>
    <row r="24135" spans="1:3">
      <c r="A24135" s="569" t="s">
        <v>1488</v>
      </c>
      <c r="B24135" s="570">
        <v>3501.72</v>
      </c>
      <c r="C24135" s="570">
        <v>199.221</v>
      </c>
    </row>
    <row r="24136" spans="1:3">
      <c r="A24136" s="569" t="s">
        <v>1488</v>
      </c>
      <c r="B24136" s="570">
        <v>3796.78</v>
      </c>
      <c r="C24136" s="570">
        <v>212.649</v>
      </c>
    </row>
    <row r="24137" spans="1:3">
      <c r="A24137" s="569" t="s">
        <v>1488</v>
      </c>
      <c r="B24137" s="570">
        <v>4373.41</v>
      </c>
      <c r="C24137" s="570">
        <v>207.24</v>
      </c>
    </row>
    <row r="24138" spans="1:3">
      <c r="A24138" s="569" t="s">
        <v>1488</v>
      </c>
      <c r="B24138" s="570">
        <v>4552.8999999999996</v>
      </c>
      <c r="C24138" s="570">
        <v>177.65100000000001</v>
      </c>
    </row>
    <row r="24139" spans="1:3">
      <c r="A24139" s="569" t="s">
        <v>1488</v>
      </c>
      <c r="B24139" s="570">
        <v>4742.33</v>
      </c>
      <c r="C24139" s="570">
        <v>234.113</v>
      </c>
    </row>
    <row r="24140" spans="1:3">
      <c r="A24140" s="569" t="s">
        <v>1488</v>
      </c>
      <c r="B24140" s="570">
        <v>5088.7700000000004</v>
      </c>
      <c r="C24140" s="570">
        <v>201.82900000000001</v>
      </c>
    </row>
    <row r="24141" spans="1:3">
      <c r="A24141" s="569" t="s">
        <v>1488</v>
      </c>
      <c r="B24141" s="570">
        <v>5744.2</v>
      </c>
      <c r="C24141" s="570">
        <v>191.04599999999999</v>
      </c>
    </row>
    <row r="24142" spans="1:3">
      <c r="A24142" s="569" t="s">
        <v>1488</v>
      </c>
      <c r="B24142" s="570">
        <v>6104.48</v>
      </c>
      <c r="C24142" s="570">
        <v>225.99</v>
      </c>
    </row>
    <row r="24143" spans="1:3">
      <c r="A24143" s="569" t="s">
        <v>1488</v>
      </c>
      <c r="B24143" s="570">
        <v>6823.67</v>
      </c>
      <c r="C24143" s="570">
        <v>266.30200000000002</v>
      </c>
    </row>
    <row r="24144" spans="1:3">
      <c r="A24144" s="569" t="s">
        <v>1488</v>
      </c>
      <c r="B24144" s="570">
        <v>8020.97</v>
      </c>
      <c r="C24144" s="570">
        <v>271.64499999999998</v>
      </c>
    </row>
    <row r="24145" spans="1:3">
      <c r="A24145" s="569" t="s">
        <v>1488</v>
      </c>
      <c r="B24145" s="570">
        <v>10223.5</v>
      </c>
      <c r="C24145" s="570">
        <v>301.17200000000003</v>
      </c>
    </row>
    <row r="24146" spans="1:3">
      <c r="A24146" s="569" t="s">
        <v>1488</v>
      </c>
      <c r="B24146" s="570">
        <v>10752.2</v>
      </c>
      <c r="C24146" s="570">
        <v>287.71499999999997</v>
      </c>
    </row>
    <row r="24147" spans="1:3">
      <c r="A24147" s="569" t="s">
        <v>1488</v>
      </c>
      <c r="B24147" s="570">
        <v>11193.9</v>
      </c>
      <c r="C24147" s="570">
        <v>263.505</v>
      </c>
    </row>
    <row r="24148" spans="1:3">
      <c r="A24148" s="571" t="s">
        <v>1487</v>
      </c>
      <c r="B24148" s="572">
        <v>1.0389900000000001</v>
      </c>
      <c r="C24148" s="572">
        <v>58.478999999999999</v>
      </c>
    </row>
    <row r="24149" spans="1:3">
      <c r="A24149" s="571" t="s">
        <v>1487</v>
      </c>
      <c r="B24149" s="572">
        <v>2.0033099999999999</v>
      </c>
      <c r="C24149" s="572">
        <v>47.579000000000001</v>
      </c>
    </row>
    <row r="24150" spans="1:3">
      <c r="A24150" s="571" t="s">
        <v>1487</v>
      </c>
      <c r="B24150" s="572">
        <v>5.0233600000000003</v>
      </c>
      <c r="C24150" s="572">
        <v>52.755800000000001</v>
      </c>
    </row>
    <row r="24151" spans="1:3">
      <c r="A24151" s="571" t="s">
        <v>1487</v>
      </c>
      <c r="B24151" s="572">
        <v>6.0250899999999996</v>
      </c>
      <c r="C24151" s="572">
        <v>52.716000000000001</v>
      </c>
    </row>
    <row r="24152" spans="1:3">
      <c r="A24152" s="571" t="s">
        <v>1487</v>
      </c>
      <c r="B24152" s="572">
        <v>7.0826399999999996</v>
      </c>
      <c r="C24152" s="572">
        <v>66.126000000000005</v>
      </c>
    </row>
    <row r="24153" spans="1:3">
      <c r="A24153" s="571" t="s">
        <v>1487</v>
      </c>
      <c r="B24153" s="572">
        <v>8.1580399999999997</v>
      </c>
      <c r="C24153" s="572">
        <v>55.338700000000003</v>
      </c>
    </row>
    <row r="24154" spans="1:3">
      <c r="A24154" s="571" t="s">
        <v>1487</v>
      </c>
      <c r="B24154" s="572">
        <v>9.3029100000000007</v>
      </c>
      <c r="C24154" s="572">
        <v>55.309899999999999</v>
      </c>
    </row>
    <row r="24155" spans="1:3">
      <c r="A24155" s="571" t="s">
        <v>1487</v>
      </c>
      <c r="B24155" s="572">
        <v>11.976800000000001</v>
      </c>
      <c r="C24155" s="572">
        <v>71.389099999999999</v>
      </c>
    </row>
    <row r="24156" spans="1:3">
      <c r="A24156" s="571" t="s">
        <v>1487</v>
      </c>
      <c r="B24156" s="572">
        <v>14.077400000000001</v>
      </c>
      <c r="C24156" s="572">
        <v>65.975499999999997</v>
      </c>
    </row>
    <row r="24157" spans="1:3">
      <c r="A24157" s="571" t="s">
        <v>1487</v>
      </c>
      <c r="B24157" s="572">
        <v>16.3809</v>
      </c>
      <c r="C24157" s="572">
        <v>68.631399999999999</v>
      </c>
    </row>
    <row r="24158" spans="1:3">
      <c r="A24158" s="571" t="s">
        <v>1487</v>
      </c>
      <c r="B24158" s="572">
        <v>21.956199999999999</v>
      </c>
      <c r="C24158" s="572">
        <v>65.878200000000007</v>
      </c>
    </row>
    <row r="24159" spans="1:3">
      <c r="A24159" s="571" t="s">
        <v>1487</v>
      </c>
      <c r="B24159" s="572">
        <v>30.028199999999998</v>
      </c>
      <c r="C24159" s="572">
        <v>55.0533</v>
      </c>
    </row>
    <row r="24160" spans="1:3">
      <c r="A24160" s="571" t="s">
        <v>1487</v>
      </c>
      <c r="B24160" s="572">
        <v>34.947699999999998</v>
      </c>
      <c r="C24160" s="572">
        <v>84.6</v>
      </c>
    </row>
    <row r="24161" spans="1:3">
      <c r="A24161" s="571" t="s">
        <v>1487</v>
      </c>
      <c r="B24161" s="572">
        <v>47.320300000000003</v>
      </c>
      <c r="C24161" s="572">
        <v>89.911699999999996</v>
      </c>
    </row>
    <row r="24162" spans="1:3">
      <c r="A24162" s="571" t="s">
        <v>1487</v>
      </c>
      <c r="B24162" s="572">
        <v>62.1586</v>
      </c>
      <c r="C24162" s="572">
        <v>89.852000000000004</v>
      </c>
    </row>
    <row r="24163" spans="1:3">
      <c r="A24163" s="571" t="s">
        <v>1487</v>
      </c>
      <c r="B24163" s="572">
        <v>78.402900000000002</v>
      </c>
      <c r="C24163" s="572">
        <v>62.910400000000003</v>
      </c>
    </row>
    <row r="24164" spans="1:3">
      <c r="A24164" s="571" t="s">
        <v>1487</v>
      </c>
      <c r="B24164" s="572">
        <v>92.161299999999997</v>
      </c>
      <c r="C24164" s="572">
        <v>70.9422</v>
      </c>
    </row>
    <row r="24165" spans="1:3">
      <c r="A24165" s="573" t="s">
        <v>1487</v>
      </c>
      <c r="B24165" s="574">
        <v>99.930400000000006</v>
      </c>
      <c r="C24165" s="574">
        <v>89.748099999999994</v>
      </c>
    </row>
    <row r="24166" spans="1:3">
      <c r="A24166" s="573" t="s">
        <v>1487</v>
      </c>
      <c r="B24166" s="574">
        <v>128.625</v>
      </c>
      <c r="C24166" s="574">
        <v>70.869200000000006</v>
      </c>
    </row>
    <row r="24167" spans="1:3">
      <c r="A24167" s="573" t="s">
        <v>1487</v>
      </c>
      <c r="B24167" s="574">
        <v>181.34399999999999</v>
      </c>
      <c r="C24167" s="574">
        <v>76.172200000000004</v>
      </c>
    </row>
    <row r="24168" spans="1:3">
      <c r="A24168" s="573" t="s">
        <v>1487</v>
      </c>
      <c r="B24168" s="574">
        <v>215.30600000000001</v>
      </c>
      <c r="C24168" s="574">
        <v>65.378299999999996</v>
      </c>
    </row>
    <row r="24169" spans="1:3">
      <c r="A24169" s="573" t="s">
        <v>1487</v>
      </c>
      <c r="B24169" s="574">
        <v>245.529</v>
      </c>
      <c r="C24169" s="574">
        <v>70.727699999999999</v>
      </c>
    </row>
    <row r="24170" spans="1:3">
      <c r="A24170" s="573" t="s">
        <v>1487</v>
      </c>
      <c r="B24170" s="574">
        <v>294.54599999999999</v>
      </c>
      <c r="C24170" s="574">
        <v>100.268</v>
      </c>
    </row>
    <row r="24171" spans="1:3">
      <c r="A24171" s="573" t="s">
        <v>1487</v>
      </c>
      <c r="B24171" s="574">
        <v>346.23399999999998</v>
      </c>
      <c r="C24171" s="574">
        <v>108.29900000000001</v>
      </c>
    </row>
    <row r="24172" spans="1:3">
      <c r="A24172" s="573" t="s">
        <v>1487</v>
      </c>
      <c r="B24172" s="574">
        <v>367.86900000000003</v>
      </c>
      <c r="C24172" s="574">
        <v>108.286</v>
      </c>
    </row>
    <row r="24173" spans="1:3">
      <c r="A24173" s="573" t="s">
        <v>1487</v>
      </c>
      <c r="B24173" s="574">
        <v>493.084</v>
      </c>
      <c r="C24173" s="574">
        <v>108.22199999999999</v>
      </c>
    </row>
    <row r="24174" spans="1:3">
      <c r="A24174" s="569" t="s">
        <v>1487</v>
      </c>
      <c r="B24174" s="570">
        <v>551.03599999999994</v>
      </c>
      <c r="C24174" s="570">
        <v>108.19799999999999</v>
      </c>
    </row>
    <row r="24175" spans="1:3">
      <c r="A24175" s="569" t="s">
        <v>1487</v>
      </c>
      <c r="B24175" s="570">
        <v>609.60900000000004</v>
      </c>
      <c r="C24175" s="570">
        <v>108.176</v>
      </c>
    </row>
    <row r="24176" spans="1:3">
      <c r="A24176" s="569" t="s">
        <v>1487</v>
      </c>
      <c r="B24176" s="570">
        <v>647.678</v>
      </c>
      <c r="C24176" s="570">
        <v>102.78400000000001</v>
      </c>
    </row>
    <row r="24177" spans="1:3">
      <c r="A24177" s="569" t="s">
        <v>1487</v>
      </c>
      <c r="B24177" s="570">
        <v>753.77300000000002</v>
      </c>
      <c r="C24177" s="570">
        <v>129.642</v>
      </c>
    </row>
    <row r="24178" spans="1:3">
      <c r="A24178" s="569" t="s">
        <v>1487</v>
      </c>
      <c r="B24178" s="570">
        <v>922.45899999999995</v>
      </c>
      <c r="C24178" s="570">
        <v>116.152</v>
      </c>
    </row>
    <row r="24179" spans="1:3">
      <c r="A24179" s="569" t="s">
        <v>1487</v>
      </c>
      <c r="B24179" s="570">
        <v>1140.6099999999999</v>
      </c>
      <c r="C24179" s="570">
        <v>137.61799999999999</v>
      </c>
    </row>
    <row r="24180" spans="1:3">
      <c r="A24180" s="569" t="s">
        <v>1487</v>
      </c>
      <c r="B24180" s="570">
        <v>2028.57</v>
      </c>
      <c r="C24180" s="570">
        <v>132.114</v>
      </c>
    </row>
    <row r="24181" spans="1:3">
      <c r="A24181" s="569" t="s">
        <v>1487</v>
      </c>
      <c r="B24181" s="570">
        <v>2611.8200000000002</v>
      </c>
      <c r="C24181" s="570">
        <v>158.94900000000001</v>
      </c>
    </row>
    <row r="24182" spans="1:3">
      <c r="A24182" s="569" t="s">
        <v>1487</v>
      </c>
      <c r="B24182" s="570">
        <v>3295.27</v>
      </c>
      <c r="C24182" s="570">
        <v>175.03299999999999</v>
      </c>
    </row>
    <row r="24183" spans="1:3">
      <c r="A24183" s="569" t="s">
        <v>1487</v>
      </c>
      <c r="B24183" s="570">
        <v>4115.8599999999997</v>
      </c>
      <c r="C24183" s="570">
        <v>193.80799999999999</v>
      </c>
    </row>
    <row r="24184" spans="1:3">
      <c r="A24184" s="569" t="s">
        <v>1487</v>
      </c>
      <c r="B24184" s="570">
        <v>6165.51</v>
      </c>
      <c r="C24184" s="570">
        <v>201.78700000000001</v>
      </c>
    </row>
    <row r="24185" spans="1:3">
      <c r="A24185" s="569" t="s">
        <v>1487</v>
      </c>
      <c r="B24185" s="570">
        <v>6684.12</v>
      </c>
      <c r="C24185" s="570">
        <v>193.702</v>
      </c>
    </row>
    <row r="24186" spans="1:3">
      <c r="A24186" s="569" t="s">
        <v>1487</v>
      </c>
      <c r="B24186" s="570">
        <v>11191.6</v>
      </c>
      <c r="C24186" s="570">
        <v>231.23599999999999</v>
      </c>
    </row>
    <row r="24187" spans="1:3">
      <c r="A24187" s="571" t="s">
        <v>1486</v>
      </c>
      <c r="B24187" s="572">
        <v>1.96248</v>
      </c>
      <c r="C24187" s="572">
        <v>14.2653</v>
      </c>
    </row>
    <row r="24188" spans="1:3">
      <c r="A24188" s="571" t="s">
        <v>1486</v>
      </c>
      <c r="B24188" s="572">
        <v>2.76688</v>
      </c>
      <c r="C24188" s="572">
        <v>6.2732700000000001</v>
      </c>
    </row>
    <row r="24189" spans="1:3">
      <c r="A24189" s="571" t="s">
        <v>1486</v>
      </c>
      <c r="B24189" s="572">
        <v>3.8227099999999998</v>
      </c>
      <c r="C24189" s="572">
        <v>9.0331299999999999</v>
      </c>
    </row>
    <row r="24190" spans="1:3">
      <c r="A24190" s="571" t="s">
        <v>1486</v>
      </c>
      <c r="B24190" s="572">
        <v>7.0796299999999999</v>
      </c>
      <c r="C24190" s="572">
        <v>1.1008500000000001</v>
      </c>
    </row>
    <row r="24191" spans="1:3">
      <c r="A24191" s="571" t="s">
        <v>1486</v>
      </c>
      <c r="B24191" s="572">
        <v>8.4067699999999999</v>
      </c>
      <c r="C24191" s="572">
        <v>12.306900000000001</v>
      </c>
    </row>
    <row r="24192" spans="1:3">
      <c r="A24192" s="571" t="s">
        <v>1486</v>
      </c>
      <c r="B24192" s="572">
        <v>10.185600000000001</v>
      </c>
      <c r="C24192" s="572">
        <v>12.264900000000001</v>
      </c>
    </row>
    <row r="24193" spans="1:3">
      <c r="A24193" s="571" t="s">
        <v>1486</v>
      </c>
      <c r="B24193" s="572">
        <v>11.615600000000001</v>
      </c>
      <c r="C24193" s="572">
        <v>20.3033</v>
      </c>
    </row>
    <row r="24194" spans="1:3">
      <c r="A24194" s="571" t="s">
        <v>1486</v>
      </c>
      <c r="B24194" s="572">
        <v>15.410399999999999</v>
      </c>
      <c r="C24194" s="572">
        <v>3.9602400000000002</v>
      </c>
    </row>
    <row r="24195" spans="1:3">
      <c r="A24195" s="571" t="s">
        <v>1486</v>
      </c>
      <c r="B24195" s="572">
        <v>18.484100000000002</v>
      </c>
      <c r="C24195" s="572">
        <v>1.37808</v>
      </c>
    </row>
    <row r="24196" spans="1:3">
      <c r="A24196" s="571" t="s">
        <v>1486</v>
      </c>
      <c r="B24196" s="572">
        <v>21.291</v>
      </c>
      <c r="C24196" s="572">
        <v>6.7201000000000004</v>
      </c>
    </row>
    <row r="24197" spans="1:3">
      <c r="A24197" s="571" t="s">
        <v>1486</v>
      </c>
      <c r="B24197" s="572">
        <v>31.897500000000001</v>
      </c>
      <c r="C24197" s="572">
        <v>20.082100000000001</v>
      </c>
    </row>
    <row r="24198" spans="1:3">
      <c r="A24198" s="571" t="s">
        <v>1486</v>
      </c>
      <c r="B24198" s="572">
        <v>37.875700000000002</v>
      </c>
      <c r="C24198" s="572">
        <v>28.111799999999999</v>
      </c>
    </row>
    <row r="24199" spans="1:3">
      <c r="A24199" s="571" t="s">
        <v>1486</v>
      </c>
      <c r="B24199" s="572">
        <v>51.800400000000003</v>
      </c>
      <c r="C24199" s="572">
        <v>17.286899999999999</v>
      </c>
    </row>
    <row r="24200" spans="1:3">
      <c r="A24200" s="571" t="s">
        <v>1486</v>
      </c>
      <c r="B24200" s="572">
        <v>65.345500000000001</v>
      </c>
      <c r="C24200" s="572">
        <v>9.1687999999999992</v>
      </c>
    </row>
    <row r="24201" spans="1:3">
      <c r="A24201" s="571" t="s">
        <v>1486</v>
      </c>
      <c r="B24201" s="572">
        <v>81.606700000000004</v>
      </c>
      <c r="C24201" s="572">
        <v>6.4310600000000004</v>
      </c>
    </row>
    <row r="24202" spans="1:3">
      <c r="A24202" s="573" t="s">
        <v>1486</v>
      </c>
      <c r="B24202" s="574">
        <v>100.89700000000001</v>
      </c>
      <c r="C24202" s="574">
        <v>14.4518</v>
      </c>
    </row>
    <row r="24203" spans="1:3">
      <c r="A24203" s="573" t="s">
        <v>1486</v>
      </c>
      <c r="B24203" s="574">
        <v>128.58600000000001</v>
      </c>
      <c r="C24203" s="574">
        <v>22.466000000000001</v>
      </c>
    </row>
    <row r="24204" spans="1:3">
      <c r="A24204" s="573" t="s">
        <v>1486</v>
      </c>
      <c r="B24204" s="574">
        <v>154.233</v>
      </c>
      <c r="C24204" s="574">
        <v>27.804300000000001</v>
      </c>
    </row>
    <row r="24205" spans="1:3">
      <c r="A24205" s="573" t="s">
        <v>1486</v>
      </c>
      <c r="B24205" s="574">
        <v>184.982</v>
      </c>
      <c r="C24205" s="574">
        <v>22.386299999999999</v>
      </c>
    </row>
    <row r="24206" spans="1:3">
      <c r="A24206" s="573" t="s">
        <v>1486</v>
      </c>
      <c r="B24206" s="574">
        <v>210.94200000000001</v>
      </c>
      <c r="C24206" s="574">
        <v>22.357600000000001</v>
      </c>
    </row>
    <row r="24207" spans="1:3">
      <c r="A24207" s="573" t="s">
        <v>1486</v>
      </c>
      <c r="B24207" s="574">
        <v>250.447</v>
      </c>
      <c r="C24207" s="574">
        <v>11.563700000000001</v>
      </c>
    </row>
    <row r="24208" spans="1:3">
      <c r="A24208" s="573" t="s">
        <v>1486</v>
      </c>
      <c r="B24208" s="574">
        <v>279.94799999999998</v>
      </c>
      <c r="C24208" s="574">
        <v>49.186300000000003</v>
      </c>
    </row>
    <row r="24209" spans="1:3">
      <c r="A24209" s="573" t="s">
        <v>1486</v>
      </c>
      <c r="B24209" s="574">
        <v>316.03699999999998</v>
      </c>
      <c r="C24209" s="574">
        <v>54.5379</v>
      </c>
    </row>
    <row r="24210" spans="1:3">
      <c r="A24210" s="573" t="s">
        <v>1486</v>
      </c>
      <c r="B24210" s="574">
        <v>353.18099999999998</v>
      </c>
      <c r="C24210" s="574">
        <v>54.513599999999997</v>
      </c>
    </row>
    <row r="24211" spans="1:3">
      <c r="A24211" s="573" t="s">
        <v>1486</v>
      </c>
      <c r="B24211" s="574">
        <v>394.62299999999999</v>
      </c>
      <c r="C24211" s="574">
        <v>27.598600000000001</v>
      </c>
    </row>
    <row r="24212" spans="1:3">
      <c r="A24212" s="573" t="s">
        <v>1486</v>
      </c>
      <c r="B24212" s="574">
        <v>441.03199999999998</v>
      </c>
      <c r="C24212" s="574">
        <v>38.330500000000001</v>
      </c>
    </row>
    <row r="24213" spans="1:3">
      <c r="A24213" s="573" t="s">
        <v>1486</v>
      </c>
      <c r="B24213" s="574">
        <v>483.07400000000001</v>
      </c>
      <c r="C24213" s="574">
        <v>59.8232</v>
      </c>
    </row>
    <row r="24214" spans="1:3">
      <c r="A24214" s="569" t="s">
        <v>1486</v>
      </c>
      <c r="B24214" s="570">
        <v>539.84</v>
      </c>
      <c r="C24214" s="570">
        <v>57.1098</v>
      </c>
    </row>
    <row r="24215" spans="1:3">
      <c r="A24215" s="569" t="s">
        <v>1486</v>
      </c>
      <c r="B24215" s="570">
        <v>603.24599999999998</v>
      </c>
      <c r="C24215" s="570">
        <v>46.3292</v>
      </c>
    </row>
    <row r="24216" spans="1:3">
      <c r="A24216" s="569" t="s">
        <v>1486</v>
      </c>
      <c r="B24216" s="570">
        <v>640.97299999999996</v>
      </c>
      <c r="C24216" s="570">
        <v>54.383099999999999</v>
      </c>
    </row>
    <row r="24217" spans="1:3">
      <c r="A24217" s="569" t="s">
        <v>1486</v>
      </c>
      <c r="B24217" s="570">
        <v>730.97400000000005</v>
      </c>
      <c r="C24217" s="570">
        <v>65.110600000000005</v>
      </c>
    </row>
    <row r="24218" spans="1:3">
      <c r="A24218" s="569" t="s">
        <v>1486</v>
      </c>
      <c r="B24218" s="570">
        <v>768.73900000000003</v>
      </c>
      <c r="C24218" s="570">
        <v>43.587000000000003</v>
      </c>
    </row>
    <row r="24219" spans="1:3">
      <c r="A24219" s="569" t="s">
        <v>1486</v>
      </c>
      <c r="B24219" s="570">
        <v>808.64700000000005</v>
      </c>
      <c r="C24219" s="570">
        <v>59.7104</v>
      </c>
    </row>
    <row r="24220" spans="1:3">
      <c r="A24220" s="569" t="s">
        <v>1486</v>
      </c>
      <c r="B24220" s="570">
        <v>867.82500000000005</v>
      </c>
      <c r="C24220" s="570">
        <v>46.249499999999998</v>
      </c>
    </row>
    <row r="24221" spans="1:3">
      <c r="A24221" s="569" t="s">
        <v>1486</v>
      </c>
      <c r="B24221" s="570">
        <v>950.37400000000002</v>
      </c>
      <c r="C24221" s="570">
        <v>38.162399999999998</v>
      </c>
    </row>
    <row r="24222" spans="1:3">
      <c r="A24222" s="569" t="s">
        <v>1486</v>
      </c>
      <c r="B24222" s="570">
        <v>999.79600000000005</v>
      </c>
      <c r="C24222" s="570">
        <v>67.731099999999998</v>
      </c>
    </row>
    <row r="24223" spans="1:3">
      <c r="A24223" s="569" t="s">
        <v>1486</v>
      </c>
      <c r="B24223" s="570">
        <v>1083.8900000000001</v>
      </c>
      <c r="C24223" s="570">
        <v>59.6462</v>
      </c>
    </row>
    <row r="24224" spans="1:3">
      <c r="A24224" s="569" t="s">
        <v>1486</v>
      </c>
      <c r="B24224" s="570">
        <v>1235.94</v>
      </c>
      <c r="C24224" s="570">
        <v>51.5503</v>
      </c>
    </row>
    <row r="24225" spans="1:3">
      <c r="A24225" s="569" t="s">
        <v>1486</v>
      </c>
      <c r="B24225" s="570">
        <v>1353.67</v>
      </c>
      <c r="C24225" s="570">
        <v>62.2866</v>
      </c>
    </row>
    <row r="24226" spans="1:3">
      <c r="A24226" s="569" t="s">
        <v>1486</v>
      </c>
      <c r="B24226" s="570">
        <v>1528.51</v>
      </c>
      <c r="C24226" s="570">
        <v>102.596</v>
      </c>
    </row>
    <row r="24227" spans="1:3">
      <c r="A24227" s="569" t="s">
        <v>1486</v>
      </c>
      <c r="B24227" s="570">
        <v>1657.05</v>
      </c>
      <c r="C24227" s="570">
        <v>91.822199999999995</v>
      </c>
    </row>
    <row r="24228" spans="1:3">
      <c r="A24228" s="569" t="s">
        <v>1486</v>
      </c>
      <c r="B24228" s="570">
        <v>2637.84</v>
      </c>
      <c r="C24228" s="570">
        <v>129.36699999999999</v>
      </c>
    </row>
    <row r="24229" spans="1:3">
      <c r="A24229" s="569" t="s">
        <v>1486</v>
      </c>
      <c r="B24229" s="570">
        <v>2947.66</v>
      </c>
      <c r="C24229" s="570">
        <v>118.587</v>
      </c>
    </row>
    <row r="24230" spans="1:3">
      <c r="A24230" s="569" t="s">
        <v>1486</v>
      </c>
      <c r="B24230" s="570">
        <v>3430.05</v>
      </c>
      <c r="C24230" s="570">
        <v>123.932</v>
      </c>
    </row>
    <row r="24231" spans="1:3">
      <c r="A24231" s="569" t="s">
        <v>1486</v>
      </c>
      <c r="B24231" s="570">
        <v>3718.44</v>
      </c>
      <c r="C24231" s="570">
        <v>110.46899999999999</v>
      </c>
    </row>
    <row r="24232" spans="1:3">
      <c r="A24232" s="569" t="s">
        <v>1486</v>
      </c>
      <c r="B24232" s="570">
        <v>4505.38</v>
      </c>
      <c r="C24232" s="570">
        <v>115.80500000000001</v>
      </c>
    </row>
    <row r="24233" spans="1:3">
      <c r="A24233" s="569" t="s">
        <v>1486</v>
      </c>
      <c r="B24233" s="570">
        <v>6417.13</v>
      </c>
      <c r="C24233" s="570">
        <v>137.24</v>
      </c>
    </row>
    <row r="24234" spans="1:3">
      <c r="A24234" s="569" t="s">
        <v>1486</v>
      </c>
      <c r="B24234" s="570">
        <v>7856.81</v>
      </c>
      <c r="C24234" s="570">
        <v>196.35499999999999</v>
      </c>
    </row>
    <row r="24235" spans="1:3">
      <c r="A24235" s="569" t="s">
        <v>1486</v>
      </c>
      <c r="B24235" s="570">
        <v>8432.2199999999993</v>
      </c>
      <c r="C24235" s="570">
        <v>190.96199999999999</v>
      </c>
    </row>
    <row r="24236" spans="1:3">
      <c r="A24236" s="569" t="s">
        <v>1486</v>
      </c>
      <c r="B24236" s="570">
        <v>10637.3</v>
      </c>
      <c r="C24236" s="570">
        <v>185.53299999999999</v>
      </c>
    </row>
    <row r="24237" spans="1:3">
      <c r="A24237" s="571" t="s">
        <v>1485</v>
      </c>
      <c r="B24237" s="572">
        <v>1.9826999999999999</v>
      </c>
      <c r="C24237" s="572">
        <v>9.9341600000000003</v>
      </c>
    </row>
    <row r="24238" spans="1:3">
      <c r="A24238" s="571" t="s">
        <v>1485</v>
      </c>
      <c r="B24238" s="572">
        <v>5.1252800000000001</v>
      </c>
      <c r="C24238" s="572">
        <v>33.927900000000001</v>
      </c>
    </row>
    <row r="24239" spans="1:3">
      <c r="A24239" s="571" t="s">
        <v>1485</v>
      </c>
      <c r="B24239" s="572">
        <v>6.0244799999999996</v>
      </c>
      <c r="C24239" s="572">
        <v>36.581600000000002</v>
      </c>
    </row>
    <row r="24240" spans="1:3">
      <c r="A24240" s="571" t="s">
        <v>1485</v>
      </c>
      <c r="B24240" s="572">
        <v>13.114100000000001</v>
      </c>
      <c r="C24240" s="572">
        <v>39.100299999999997</v>
      </c>
    </row>
    <row r="24241" spans="1:3">
      <c r="A24241" s="571" t="s">
        <v>1485</v>
      </c>
      <c r="B24241" s="572">
        <v>15.415699999999999</v>
      </c>
      <c r="C24241" s="572">
        <v>49.821199999999997</v>
      </c>
    </row>
    <row r="24242" spans="1:3">
      <c r="A24242" s="571" t="s">
        <v>1485</v>
      </c>
      <c r="B24242" s="572">
        <v>19.0596</v>
      </c>
      <c r="C24242" s="572">
        <v>57.841999999999999</v>
      </c>
    </row>
    <row r="24243" spans="1:3">
      <c r="A24243" s="571" t="s">
        <v>1485</v>
      </c>
      <c r="B24243" s="572">
        <v>21.7333</v>
      </c>
      <c r="C24243" s="572">
        <v>49.746000000000002</v>
      </c>
    </row>
    <row r="24244" spans="1:3">
      <c r="A24244" s="571" t="s">
        <v>1485</v>
      </c>
      <c r="B24244" s="572">
        <v>97.901799999999994</v>
      </c>
      <c r="C24244" s="572">
        <v>41.349200000000003</v>
      </c>
    </row>
    <row r="24245" spans="1:3">
      <c r="A24245" s="573" t="s">
        <v>1485</v>
      </c>
      <c r="B24245" s="574">
        <v>258.25799999999998</v>
      </c>
      <c r="C24245" s="574">
        <v>76.094800000000006</v>
      </c>
    </row>
    <row r="24246" spans="1:3">
      <c r="A24246" s="573" t="s">
        <v>1485</v>
      </c>
      <c r="B24246" s="574">
        <v>419.46600000000001</v>
      </c>
      <c r="C24246" s="574">
        <v>97.501199999999997</v>
      </c>
    </row>
    <row r="24247" spans="1:3">
      <c r="A24247" s="573" t="s">
        <v>1485</v>
      </c>
      <c r="B24247" s="574">
        <v>454.78</v>
      </c>
      <c r="C24247" s="574">
        <v>100.173</v>
      </c>
    </row>
    <row r="24248" spans="1:3">
      <c r="A24248" s="569" t="s">
        <v>1485</v>
      </c>
      <c r="B24248" s="570">
        <v>702.27700000000004</v>
      </c>
      <c r="C24248" s="570">
        <v>121.59</v>
      </c>
    </row>
    <row r="24249" spans="1:3">
      <c r="A24249" s="569" t="s">
        <v>1485</v>
      </c>
      <c r="B24249" s="570">
        <v>1062.52</v>
      </c>
      <c r="C24249" s="570">
        <v>105.36499999999999</v>
      </c>
    </row>
    <row r="24250" spans="1:3">
      <c r="A24250" s="569" t="s">
        <v>1485</v>
      </c>
      <c r="B24250" s="570">
        <v>1287.3900000000001</v>
      </c>
      <c r="C24250" s="570">
        <v>110.70099999999999</v>
      </c>
    </row>
    <row r="24251" spans="1:3">
      <c r="A24251" s="569" t="s">
        <v>1485</v>
      </c>
      <c r="B24251" s="570">
        <v>1834.12</v>
      </c>
      <c r="C24251" s="570">
        <v>172.47200000000001</v>
      </c>
    </row>
    <row r="24252" spans="1:3">
      <c r="A24252" s="569" t="s">
        <v>1485</v>
      </c>
      <c r="B24252" s="570">
        <v>2091.41</v>
      </c>
      <c r="C24252" s="570">
        <v>164.376</v>
      </c>
    </row>
    <row r="24253" spans="1:3">
      <c r="A24253" s="569" t="s">
        <v>1485</v>
      </c>
      <c r="B24253" s="570">
        <v>2457.46</v>
      </c>
      <c r="C24253" s="570">
        <v>110.559</v>
      </c>
    </row>
    <row r="24254" spans="1:3">
      <c r="A24254" s="569" t="s">
        <v>1485</v>
      </c>
      <c r="B24254" s="570">
        <v>3362.58</v>
      </c>
      <c r="C24254" s="570">
        <v>177.71799999999999</v>
      </c>
    </row>
    <row r="24255" spans="1:3">
      <c r="A24255" s="569" t="s">
        <v>1485</v>
      </c>
      <c r="B24255" s="570">
        <v>3952.46</v>
      </c>
      <c r="C24255" s="570">
        <v>177.68199999999999</v>
      </c>
    </row>
    <row r="24256" spans="1:3">
      <c r="A24256" s="569" t="s">
        <v>1485</v>
      </c>
      <c r="B24256" s="570">
        <v>4116.07</v>
      </c>
      <c r="C24256" s="570">
        <v>201.875</v>
      </c>
    </row>
    <row r="24257" spans="1:3">
      <c r="A24257" s="569" t="s">
        <v>1485</v>
      </c>
      <c r="B24257" s="570">
        <v>5979.84</v>
      </c>
      <c r="C24257" s="570">
        <v>158.768</v>
      </c>
    </row>
    <row r="24258" spans="1:3">
      <c r="A24258" s="569" t="s">
        <v>1485</v>
      </c>
      <c r="B24258" s="570">
        <v>7321.05</v>
      </c>
      <c r="C24258" s="570">
        <v>209.816</v>
      </c>
    </row>
    <row r="24259" spans="1:3">
      <c r="A24259" s="569" t="s">
        <v>1485</v>
      </c>
      <c r="B24259" s="570">
        <v>8350.02</v>
      </c>
      <c r="C24259" s="570">
        <v>239.36699999999999</v>
      </c>
    </row>
    <row r="24260" spans="1:3">
      <c r="A24260" s="569" t="s">
        <v>1485</v>
      </c>
      <c r="B24260" s="570">
        <v>10322.9</v>
      </c>
      <c r="C24260" s="570">
        <v>233.94300000000001</v>
      </c>
    </row>
    <row r="24261" spans="1:3">
      <c r="A24261" s="569" t="s">
        <v>1485</v>
      </c>
      <c r="B24261" s="570">
        <v>10855.9</v>
      </c>
      <c r="C24261" s="570">
        <v>207.041</v>
      </c>
    </row>
    <row r="24262" spans="1:3">
      <c r="A24262" s="571" t="s">
        <v>1484</v>
      </c>
      <c r="B24262" s="572">
        <v>1.9827399999999999</v>
      </c>
      <c r="C24262" s="572">
        <v>12.623200000000001</v>
      </c>
    </row>
    <row r="24263" spans="1:3">
      <c r="A24263" s="571" t="s">
        <v>1484</v>
      </c>
      <c r="B24263" s="572">
        <v>5.22926</v>
      </c>
      <c r="C24263" s="572">
        <v>15.0999</v>
      </c>
    </row>
    <row r="24264" spans="1:3">
      <c r="A24264" s="571" t="s">
        <v>1484</v>
      </c>
      <c r="B24264" s="572">
        <v>6.2720399999999996</v>
      </c>
      <c r="C24264" s="572">
        <v>15.0601</v>
      </c>
    </row>
    <row r="24265" spans="1:3">
      <c r="A24265" s="571" t="s">
        <v>1484</v>
      </c>
      <c r="B24265" s="572">
        <v>8.0749499999999994</v>
      </c>
      <c r="C24265" s="572">
        <v>33.828299999999999</v>
      </c>
    </row>
    <row r="24266" spans="1:3">
      <c r="A24266" s="571" t="s">
        <v>1484</v>
      </c>
      <c r="B24266" s="572">
        <v>8.9325299999999999</v>
      </c>
      <c r="C24266" s="572">
        <v>20.360900000000001</v>
      </c>
    </row>
    <row r="24267" spans="1:3">
      <c r="A24267" s="571" t="s">
        <v>1484</v>
      </c>
      <c r="B24267" s="572">
        <v>11.973000000000001</v>
      </c>
      <c r="C24267" s="572">
        <v>20.296700000000001</v>
      </c>
    </row>
    <row r="24268" spans="1:3">
      <c r="A24268" s="571" t="s">
        <v>1484</v>
      </c>
      <c r="B24268" s="572">
        <v>12.979900000000001</v>
      </c>
      <c r="C24268" s="572">
        <v>9.5227199999999996</v>
      </c>
    </row>
    <row r="24269" spans="1:3">
      <c r="A24269" s="571" t="s">
        <v>1484</v>
      </c>
      <c r="B24269" s="572">
        <v>16.541799999999999</v>
      </c>
      <c r="C24269" s="572">
        <v>17.536799999999999</v>
      </c>
    </row>
    <row r="24270" spans="1:3">
      <c r="A24270" s="571" t="s">
        <v>1484</v>
      </c>
      <c r="B24270" s="572">
        <v>18.6721</v>
      </c>
      <c r="C24270" s="572">
        <v>4.06494</v>
      </c>
    </row>
    <row r="24271" spans="1:3">
      <c r="A24271" s="571" t="s">
        <v>1484</v>
      </c>
      <c r="B24271" s="572">
        <v>21.292100000000001</v>
      </c>
      <c r="C24271" s="572">
        <v>1.3471200000000001</v>
      </c>
    </row>
    <row r="24272" spans="1:3">
      <c r="A24272" s="571" t="s">
        <v>1484</v>
      </c>
      <c r="B24272" s="572">
        <v>29.424099999999999</v>
      </c>
      <c r="C24272" s="572">
        <v>36.234299999999998</v>
      </c>
    </row>
    <row r="24273" spans="1:3">
      <c r="A24273" s="571" t="s">
        <v>1484</v>
      </c>
      <c r="B24273" s="572">
        <v>36.3795</v>
      </c>
      <c r="C24273" s="572">
        <v>44.255000000000003</v>
      </c>
    </row>
    <row r="24274" spans="1:3">
      <c r="A24274" s="571" t="s">
        <v>1484</v>
      </c>
      <c r="B24274" s="572">
        <v>47.782899999999998</v>
      </c>
      <c r="C24274" s="572">
        <v>30.7499</v>
      </c>
    </row>
    <row r="24275" spans="1:3">
      <c r="A24275" s="571" t="s">
        <v>1484</v>
      </c>
      <c r="B24275" s="572">
        <v>63.408900000000003</v>
      </c>
      <c r="C24275" s="572">
        <v>44.133400000000002</v>
      </c>
    </row>
    <row r="24276" spans="1:3">
      <c r="A24276" s="571" t="s">
        <v>1484</v>
      </c>
      <c r="B24276" s="572">
        <v>76.819100000000006</v>
      </c>
      <c r="C24276" s="572">
        <v>30.646000000000001</v>
      </c>
    </row>
    <row r="24277" spans="1:3">
      <c r="A24277" s="571" t="s">
        <v>1484</v>
      </c>
      <c r="B24277" s="572">
        <v>91.216399999999993</v>
      </c>
      <c r="C24277" s="572">
        <v>38.675600000000003</v>
      </c>
    </row>
    <row r="24278" spans="1:3">
      <c r="A24278" s="573" t="s">
        <v>1484</v>
      </c>
      <c r="B24278" s="574">
        <v>117.43300000000001</v>
      </c>
      <c r="C24278" s="574">
        <v>52.0657</v>
      </c>
    </row>
    <row r="24279" spans="1:3">
      <c r="A24279" s="573" t="s">
        <v>1484</v>
      </c>
      <c r="B24279" s="574">
        <v>129.90899999999999</v>
      </c>
      <c r="C24279" s="574">
        <v>43.976300000000002</v>
      </c>
    </row>
    <row r="24280" spans="1:3">
      <c r="A24280" s="573" t="s">
        <v>1484</v>
      </c>
      <c r="B24280" s="574">
        <v>154.256</v>
      </c>
      <c r="C24280" s="574">
        <v>52.005899999999997</v>
      </c>
    </row>
    <row r="24281" spans="1:3">
      <c r="A24281" s="573" t="s">
        <v>1484</v>
      </c>
      <c r="B24281" s="574">
        <v>183.142</v>
      </c>
      <c r="C24281" s="574">
        <v>38.523000000000003</v>
      </c>
    </row>
    <row r="24282" spans="1:3">
      <c r="A24282" s="573" t="s">
        <v>1484</v>
      </c>
      <c r="B24282" s="574">
        <v>210.964</v>
      </c>
      <c r="C24282" s="574">
        <v>38.491999999999997</v>
      </c>
    </row>
    <row r="24283" spans="1:3">
      <c r="A24283" s="573" t="s">
        <v>1484</v>
      </c>
      <c r="B24283" s="574">
        <v>243.00399999999999</v>
      </c>
      <c r="C24283" s="574">
        <v>33.082900000000002</v>
      </c>
    </row>
    <row r="24284" spans="1:3">
      <c r="A24284" s="573" t="s">
        <v>1484</v>
      </c>
      <c r="B24284" s="574">
        <v>288.601</v>
      </c>
      <c r="C24284" s="574">
        <v>70.692300000000003</v>
      </c>
    </row>
    <row r="24285" spans="1:3">
      <c r="A24285" s="573" t="s">
        <v>1484</v>
      </c>
      <c r="B24285" s="574">
        <v>316.07499999999999</v>
      </c>
      <c r="C24285" s="574">
        <v>73.361500000000007</v>
      </c>
    </row>
    <row r="24286" spans="1:3">
      <c r="A24286" s="573" t="s">
        <v>1484</v>
      </c>
      <c r="B24286" s="574">
        <v>332.483</v>
      </c>
      <c r="C24286" s="574">
        <v>89.484800000000007</v>
      </c>
    </row>
    <row r="24287" spans="1:3">
      <c r="A24287" s="573" t="s">
        <v>1484</v>
      </c>
      <c r="B24287" s="574">
        <v>367.79399999999998</v>
      </c>
      <c r="C24287" s="574">
        <v>76.017300000000006</v>
      </c>
    </row>
    <row r="24288" spans="1:3">
      <c r="A24288" s="573" t="s">
        <v>1484</v>
      </c>
      <c r="B24288" s="574">
        <v>398.69</v>
      </c>
      <c r="C24288" s="574">
        <v>51.798000000000002</v>
      </c>
    </row>
    <row r="24289" spans="1:3">
      <c r="A24289" s="573" t="s">
        <v>1484</v>
      </c>
      <c r="B24289" s="574">
        <v>415.17899999999997</v>
      </c>
      <c r="C24289" s="574">
        <v>70.612700000000004</v>
      </c>
    </row>
    <row r="24290" spans="1:3">
      <c r="A24290" s="573" t="s">
        <v>1484</v>
      </c>
      <c r="B24290" s="574">
        <v>441.07</v>
      </c>
      <c r="C24290" s="574">
        <v>51.7759</v>
      </c>
    </row>
    <row r="24291" spans="1:3">
      <c r="A24291" s="573" t="s">
        <v>1484</v>
      </c>
      <c r="B24291" s="574">
        <v>483.13200000000001</v>
      </c>
      <c r="C24291" s="574">
        <v>78.646699999999996</v>
      </c>
    </row>
    <row r="24292" spans="1:3">
      <c r="A24292" s="569" t="s">
        <v>1484</v>
      </c>
      <c r="B24292" s="570">
        <v>529.07000000000005</v>
      </c>
      <c r="C24292" s="570">
        <v>65.181399999999996</v>
      </c>
    </row>
    <row r="24293" spans="1:3">
      <c r="A24293" s="569" t="s">
        <v>1484</v>
      </c>
      <c r="B24293" s="570">
        <v>591.30100000000004</v>
      </c>
      <c r="C24293" s="570">
        <v>78.602400000000003</v>
      </c>
    </row>
    <row r="24294" spans="1:3">
      <c r="A24294" s="569" t="s">
        <v>1484</v>
      </c>
      <c r="B24294" s="570">
        <v>641.07100000000003</v>
      </c>
      <c r="C24294" s="570">
        <v>78.584800000000001</v>
      </c>
    </row>
    <row r="24295" spans="1:3">
      <c r="A24295" s="569" t="s">
        <v>1484</v>
      </c>
      <c r="B24295" s="570">
        <v>695.077</v>
      </c>
      <c r="C24295" s="570">
        <v>89.323300000000003</v>
      </c>
    </row>
    <row r="24296" spans="1:3">
      <c r="A24296" s="569" t="s">
        <v>1484</v>
      </c>
      <c r="B24296" s="570">
        <v>761.19299999999998</v>
      </c>
      <c r="C24296" s="570">
        <v>81.236199999999997</v>
      </c>
    </row>
    <row r="24297" spans="1:3">
      <c r="A24297" s="569" t="s">
        <v>1484</v>
      </c>
      <c r="B24297" s="570">
        <v>833.62800000000004</v>
      </c>
      <c r="C24297" s="570">
        <v>78.527199999999993</v>
      </c>
    </row>
    <row r="24298" spans="1:3">
      <c r="A24298" s="569" t="s">
        <v>1484</v>
      </c>
      <c r="B24298" s="570">
        <v>931.524</v>
      </c>
      <c r="C24298" s="570">
        <v>65.057500000000005</v>
      </c>
    </row>
    <row r="24299" spans="1:3">
      <c r="A24299" s="569" t="s">
        <v>1484</v>
      </c>
      <c r="B24299" s="570">
        <v>1010.1</v>
      </c>
      <c r="C24299" s="570">
        <v>91.930599999999998</v>
      </c>
    </row>
    <row r="24300" spans="1:3">
      <c r="A24300" s="569" t="s">
        <v>1484</v>
      </c>
      <c r="B24300" s="570">
        <v>1084.08</v>
      </c>
      <c r="C24300" s="570">
        <v>86.536900000000003</v>
      </c>
    </row>
    <row r="24301" spans="1:3">
      <c r="A24301" s="569" t="s">
        <v>1484</v>
      </c>
      <c r="B24301" s="570">
        <v>1163.6500000000001</v>
      </c>
      <c r="C24301" s="570">
        <v>105.345</v>
      </c>
    </row>
    <row r="24302" spans="1:3">
      <c r="A24302" s="569" t="s">
        <v>1484</v>
      </c>
      <c r="B24302" s="570">
        <v>1211.4100000000001</v>
      </c>
      <c r="C24302" s="570">
        <v>75.756299999999996</v>
      </c>
    </row>
    <row r="24303" spans="1:3">
      <c r="A24303" s="569" t="s">
        <v>1484</v>
      </c>
      <c r="B24303" s="570">
        <v>1300.0999999999999</v>
      </c>
      <c r="C24303" s="570">
        <v>67.673599999999993</v>
      </c>
    </row>
    <row r="24304" spans="1:3">
      <c r="A24304" s="569" t="s">
        <v>1484</v>
      </c>
      <c r="B24304" s="570">
        <v>1367.55</v>
      </c>
      <c r="C24304" s="570">
        <v>78.418899999999994</v>
      </c>
    </row>
    <row r="24305" spans="1:3">
      <c r="A24305" s="569" t="s">
        <v>1484</v>
      </c>
      <c r="B24305" s="570">
        <v>1453.52</v>
      </c>
      <c r="C24305" s="570">
        <v>134.876</v>
      </c>
    </row>
    <row r="24306" spans="1:3">
      <c r="A24306" s="569" t="s">
        <v>1484</v>
      </c>
      <c r="B24306" s="570">
        <v>1607.86</v>
      </c>
      <c r="C24306" s="570">
        <v>118.72</v>
      </c>
    </row>
    <row r="24307" spans="1:3">
      <c r="A24307" s="569" t="s">
        <v>1484</v>
      </c>
      <c r="B24307" s="570">
        <v>1725.5</v>
      </c>
      <c r="C24307" s="570">
        <v>102.57</v>
      </c>
    </row>
    <row r="24308" spans="1:3">
      <c r="A24308" s="569" t="s">
        <v>1484</v>
      </c>
      <c r="B24308" s="570">
        <v>1815.26</v>
      </c>
      <c r="C24308" s="570">
        <v>134.827</v>
      </c>
    </row>
    <row r="24309" spans="1:3">
      <c r="A24309" s="569" t="s">
        <v>1484</v>
      </c>
      <c r="B24309" s="570">
        <v>1967.58</v>
      </c>
      <c r="C24309" s="570">
        <v>97.162700000000001</v>
      </c>
    </row>
    <row r="24310" spans="1:3">
      <c r="A24310" s="569" t="s">
        <v>1484</v>
      </c>
      <c r="B24310" s="570">
        <v>2133.48</v>
      </c>
      <c r="C24310" s="570">
        <v>118.658</v>
      </c>
    </row>
    <row r="24311" spans="1:3">
      <c r="A24311" s="569" t="s">
        <v>1484</v>
      </c>
      <c r="B24311" s="570">
        <v>2336.66</v>
      </c>
      <c r="C24311" s="570">
        <v>126.705</v>
      </c>
    </row>
    <row r="24312" spans="1:3">
      <c r="A24312" s="569" t="s">
        <v>1484</v>
      </c>
      <c r="B24312" s="570">
        <v>2432.1</v>
      </c>
      <c r="C24312" s="570">
        <v>67.536500000000004</v>
      </c>
    </row>
    <row r="24313" spans="1:3">
      <c r="A24313" s="569" t="s">
        <v>1484</v>
      </c>
      <c r="B24313" s="570">
        <v>2611.11</v>
      </c>
      <c r="C24313" s="570">
        <v>115.92400000000001</v>
      </c>
    </row>
    <row r="24314" spans="1:3">
      <c r="A24314" s="569" t="s">
        <v>1484</v>
      </c>
      <c r="B24314" s="570">
        <v>2691.17</v>
      </c>
      <c r="C24314" s="570">
        <v>99.783199999999994</v>
      </c>
    </row>
    <row r="24315" spans="1:3">
      <c r="A24315" s="569" t="s">
        <v>1484</v>
      </c>
      <c r="B24315" s="570">
        <v>2888.27</v>
      </c>
      <c r="C24315" s="570">
        <v>94.389600000000002</v>
      </c>
    </row>
    <row r="24316" spans="1:3">
      <c r="A24316" s="569" t="s">
        <v>1484</v>
      </c>
      <c r="B24316" s="570">
        <v>3100.21</v>
      </c>
      <c r="C24316" s="570">
        <v>110.509</v>
      </c>
    </row>
    <row r="24317" spans="1:3">
      <c r="A24317" s="569" t="s">
        <v>1484</v>
      </c>
      <c r="B24317" s="570">
        <v>3361.61</v>
      </c>
      <c r="C24317" s="570">
        <v>132.00299999999999</v>
      </c>
    </row>
    <row r="24318" spans="1:3">
      <c r="A24318" s="569" t="s">
        <v>1484</v>
      </c>
      <c r="B24318" s="570">
        <v>3500.53</v>
      </c>
      <c r="C24318" s="570">
        <v>145.44</v>
      </c>
    </row>
    <row r="24319" spans="1:3">
      <c r="A24319" s="569" t="s">
        <v>1484</v>
      </c>
      <c r="B24319" s="570">
        <v>3644.44</v>
      </c>
      <c r="C24319" s="570">
        <v>126.608</v>
      </c>
    </row>
    <row r="24320" spans="1:3">
      <c r="A24320" s="569" t="s">
        <v>1484</v>
      </c>
      <c r="B24320" s="570">
        <v>3872.49</v>
      </c>
      <c r="C24320" s="570">
        <v>140.04</v>
      </c>
    </row>
    <row r="24321" spans="1:3">
      <c r="A24321" s="569" t="s">
        <v>1484</v>
      </c>
      <c r="B24321" s="570">
        <v>4031.62</v>
      </c>
      <c r="C24321" s="570">
        <v>118.518</v>
      </c>
    </row>
    <row r="24322" spans="1:3">
      <c r="A24322" s="569" t="s">
        <v>1484</v>
      </c>
      <c r="B24322" s="570">
        <v>4197.3</v>
      </c>
      <c r="C24322" s="570">
        <v>96.996799999999993</v>
      </c>
    </row>
    <row r="24323" spans="1:3">
      <c r="A24323" s="569" t="s">
        <v>1484</v>
      </c>
      <c r="B24323" s="570">
        <v>4461.2299999999996</v>
      </c>
      <c r="C24323" s="570">
        <v>156.143</v>
      </c>
    </row>
    <row r="24324" spans="1:3">
      <c r="A24324" s="569" t="s">
        <v>1484</v>
      </c>
      <c r="B24324" s="570">
        <v>4505.46</v>
      </c>
      <c r="C24324" s="570">
        <v>118.494</v>
      </c>
    </row>
    <row r="24325" spans="1:3">
      <c r="A24325" s="569" t="s">
        <v>1484</v>
      </c>
      <c r="B24325" s="570">
        <v>4692.75</v>
      </c>
      <c r="C24325" s="570">
        <v>169.577</v>
      </c>
    </row>
    <row r="24326" spans="1:3">
      <c r="A24326" s="569" t="s">
        <v>1484</v>
      </c>
      <c r="B24326" s="570">
        <v>4984.2</v>
      </c>
      <c r="C24326" s="570">
        <v>113.09399999999999</v>
      </c>
    </row>
    <row r="24327" spans="1:3">
      <c r="A24327" s="569" t="s">
        <v>1484</v>
      </c>
      <c r="B24327" s="570">
        <v>5241.7</v>
      </c>
      <c r="C24327" s="570">
        <v>91.57</v>
      </c>
    </row>
    <row r="24328" spans="1:3">
      <c r="A24328" s="569" t="s">
        <v>1484</v>
      </c>
      <c r="B24328" s="570">
        <v>5459.33</v>
      </c>
      <c r="C24328" s="570">
        <v>134.58600000000001</v>
      </c>
    </row>
    <row r="24329" spans="1:3">
      <c r="A24329" s="569" t="s">
        <v>1484</v>
      </c>
      <c r="B24329" s="570">
        <v>5741.47</v>
      </c>
      <c r="C24329" s="570">
        <v>115.752</v>
      </c>
    </row>
    <row r="24330" spans="1:3">
      <c r="A24330" s="569" t="s">
        <v>1484</v>
      </c>
      <c r="B24330" s="570">
        <v>6162.06</v>
      </c>
      <c r="C24330" s="570">
        <v>113.047</v>
      </c>
    </row>
    <row r="24331" spans="1:3">
      <c r="A24331" s="569" t="s">
        <v>1484</v>
      </c>
      <c r="B24331" s="570">
        <v>6547.77</v>
      </c>
      <c r="C24331" s="570">
        <v>129.16800000000001</v>
      </c>
    </row>
    <row r="24332" spans="1:3">
      <c r="A24332" s="569" t="s">
        <v>1484</v>
      </c>
      <c r="B24332" s="570">
        <v>6750.38</v>
      </c>
      <c r="C24332" s="570">
        <v>156.05199999999999</v>
      </c>
    </row>
    <row r="24333" spans="1:3">
      <c r="A24333" s="569" t="s">
        <v>1484</v>
      </c>
      <c r="B24333" s="570">
        <v>7393.62</v>
      </c>
      <c r="C24333" s="570">
        <v>172.167</v>
      </c>
    </row>
    <row r="24334" spans="1:3">
      <c r="A24334" s="569" t="s">
        <v>1484</v>
      </c>
      <c r="B24334" s="570">
        <v>7697.19</v>
      </c>
      <c r="C24334" s="570">
        <v>145.267</v>
      </c>
    </row>
    <row r="24335" spans="1:3">
      <c r="A24335" s="569" t="s">
        <v>1484</v>
      </c>
      <c r="B24335" s="570">
        <v>8345.48</v>
      </c>
      <c r="C24335" s="570">
        <v>153.31700000000001</v>
      </c>
    </row>
    <row r="24336" spans="1:3">
      <c r="A24336" s="569" t="s">
        <v>1484</v>
      </c>
      <c r="B24336" s="570">
        <v>10425.4</v>
      </c>
      <c r="C24336" s="570">
        <v>198.982</v>
      </c>
    </row>
    <row r="24337" spans="1:3">
      <c r="A24337" s="569" t="s">
        <v>1484</v>
      </c>
      <c r="B24337" s="570">
        <v>10963.3</v>
      </c>
      <c r="C24337" s="570">
        <v>166.703</v>
      </c>
    </row>
    <row r="24338" spans="1:3">
      <c r="A24338" s="569" t="s">
        <v>1484</v>
      </c>
      <c r="B24338" s="570">
        <v>11073.9</v>
      </c>
      <c r="C24338" s="570">
        <v>155.94399999999999</v>
      </c>
    </row>
    <row r="24339" spans="1:3">
      <c r="A24339" s="571" t="s">
        <v>1483</v>
      </c>
      <c r="B24339" s="572">
        <v>1.9672520203555242</v>
      </c>
      <c r="C24339" s="572">
        <v>11.3924</v>
      </c>
    </row>
    <row r="24340" spans="1:3">
      <c r="A24340" s="571" t="s">
        <v>1483</v>
      </c>
      <c r="B24340" s="572">
        <v>2.9168359229810279</v>
      </c>
      <c r="C24340" s="572">
        <v>26.5823</v>
      </c>
    </row>
    <row r="24341" spans="1:3">
      <c r="A24341" s="571" t="s">
        <v>1483</v>
      </c>
      <c r="B24341" s="572">
        <v>5.0321548870961434</v>
      </c>
      <c r="C24341" s="572">
        <v>3.7974700000000001</v>
      </c>
    </row>
    <row r="24342" spans="1:3">
      <c r="A24342" s="571" t="s">
        <v>1483</v>
      </c>
      <c r="B24342" s="572">
        <v>7.0224879069659814</v>
      </c>
      <c r="C24342" s="572">
        <v>0</v>
      </c>
    </row>
    <row r="24343" spans="1:3">
      <c r="A24343" s="571" t="s">
        <v>1483</v>
      </c>
      <c r="B24343" s="572">
        <v>10.95140903100283</v>
      </c>
      <c r="C24343" s="572">
        <v>0</v>
      </c>
    </row>
    <row r="24344" spans="1:3">
      <c r="A24344" s="571" t="s">
        <v>1483</v>
      </c>
      <c r="B24344" s="572">
        <v>12.872117634537311</v>
      </c>
      <c r="C24344" s="572">
        <v>11.3924</v>
      </c>
    </row>
    <row r="24345" spans="1:3">
      <c r="A24345" s="571" t="s">
        <v>1483</v>
      </c>
      <c r="B24345" s="572">
        <v>14.9775231662111</v>
      </c>
      <c r="C24345" s="572">
        <v>7.5949400000000002</v>
      </c>
    </row>
    <row r="24346" spans="1:3">
      <c r="A24346" s="571" t="s">
        <v>1483</v>
      </c>
      <c r="B24346" s="572">
        <v>17.963460361916376</v>
      </c>
      <c r="C24346" s="572">
        <v>3.7974700000000001</v>
      </c>
    </row>
    <row r="24347" spans="1:3">
      <c r="A24347" s="571" t="s">
        <v>1483</v>
      </c>
      <c r="B24347" s="572">
        <v>21.113488692859423</v>
      </c>
      <c r="C24347" s="572">
        <v>15.1899</v>
      </c>
    </row>
    <row r="24348" spans="1:3">
      <c r="A24348" s="571" t="s">
        <v>1483</v>
      </c>
      <c r="B24348" s="572">
        <v>28.585118702214992</v>
      </c>
      <c r="C24348" s="572">
        <v>37.974699999999999</v>
      </c>
    </row>
    <row r="24349" spans="1:3">
      <c r="A24349" s="571" t="s">
        <v>1483</v>
      </c>
      <c r="B24349" s="572">
        <v>37.927131723594997</v>
      </c>
      <c r="C24349" s="572">
        <v>34.177199999999999</v>
      </c>
    </row>
    <row r="24350" spans="1:3">
      <c r="A24350" s="571" t="s">
        <v>1483</v>
      </c>
      <c r="B24350" s="572">
        <v>47.843175785404178</v>
      </c>
      <c r="C24350" s="572">
        <v>34.177199999999999</v>
      </c>
    </row>
    <row r="24351" spans="1:3">
      <c r="A24351" s="571" t="s">
        <v>1483</v>
      </c>
      <c r="B24351" s="572">
        <v>50.832328021667472</v>
      </c>
      <c r="C24351" s="572">
        <v>34.177199999999999</v>
      </c>
    </row>
    <row r="24352" spans="1:3">
      <c r="A24352" s="571" t="s">
        <v>1483</v>
      </c>
      <c r="B24352" s="572">
        <v>62.842000234634114</v>
      </c>
      <c r="C24352" s="572">
        <v>18.987300000000001</v>
      </c>
    </row>
    <row r="24353" spans="1:3">
      <c r="A24353" s="571" t="s">
        <v>1483</v>
      </c>
      <c r="B24353" s="572">
        <v>78.476567661413171</v>
      </c>
      <c r="C24353" s="572">
        <v>26.5823</v>
      </c>
    </row>
    <row r="24354" spans="1:3">
      <c r="A24354" s="571" t="s">
        <v>1483</v>
      </c>
      <c r="B24354" s="572">
        <v>91.312450952115455</v>
      </c>
      <c r="C24354" s="572">
        <v>41.772199999999998</v>
      </c>
    </row>
    <row r="24355" spans="1:3">
      <c r="A24355" s="573" t="s">
        <v>1483</v>
      </c>
      <c r="B24355" s="574">
        <v>100</v>
      </c>
      <c r="C24355" s="574">
        <v>41.772199999999998</v>
      </c>
    </row>
    <row r="24356" spans="1:3">
      <c r="A24356" s="573" t="s">
        <v>1483</v>
      </c>
      <c r="B24356" s="574">
        <v>127.42657200739166</v>
      </c>
      <c r="C24356" s="574">
        <v>30.3797</v>
      </c>
    </row>
    <row r="24357" spans="1:3">
      <c r="A24357" s="573" t="s">
        <v>1483</v>
      </c>
      <c r="B24357" s="574">
        <v>155.94806844337521</v>
      </c>
      <c r="C24357" s="574">
        <v>15.1899</v>
      </c>
    </row>
    <row r="24358" spans="1:3">
      <c r="A24358" s="573" t="s">
        <v>1483</v>
      </c>
      <c r="B24358" s="574">
        <v>181.45544300881335</v>
      </c>
      <c r="C24358" s="574">
        <v>49.367100000000001</v>
      </c>
    </row>
    <row r="24359" spans="1:3">
      <c r="A24359" s="573" t="s">
        <v>1483</v>
      </c>
      <c r="B24359" s="574">
        <v>209.01622511126826</v>
      </c>
      <c r="C24359" s="574">
        <v>49.367100000000001</v>
      </c>
    </row>
    <row r="24360" spans="1:3">
      <c r="A24360" s="573" t="s">
        <v>1483</v>
      </c>
      <c r="B24360" s="574">
        <v>245.66879746993959</v>
      </c>
      <c r="C24360" s="574">
        <v>41.772199999999998</v>
      </c>
    </row>
    <row r="24361" spans="1:3">
      <c r="A24361" s="573" t="s">
        <v>1483</v>
      </c>
      <c r="B24361" s="574">
        <v>309.90601101066807</v>
      </c>
      <c r="C24361" s="574">
        <v>60.759500000000003</v>
      </c>
    </row>
    <row r="24362" spans="1:3">
      <c r="A24362" s="573" t="s">
        <v>1483</v>
      </c>
      <c r="B24362" s="574">
        <v>390.93990221650466</v>
      </c>
      <c r="C24362" s="574">
        <v>60.759500000000003</v>
      </c>
    </row>
    <row r="24363" spans="1:3">
      <c r="A24363" s="573" t="s">
        <v>1483</v>
      </c>
      <c r="B24363" s="574">
        <v>419.57538330772888</v>
      </c>
      <c r="C24363" s="574">
        <v>83.544300000000007</v>
      </c>
    </row>
    <row r="24364" spans="1:3">
      <c r="A24364" s="573" t="s">
        <v>1483</v>
      </c>
      <c r="B24364" s="574">
        <v>445.77940478350274</v>
      </c>
      <c r="C24364" s="574">
        <v>75.949399999999997</v>
      </c>
    </row>
    <row r="24365" spans="1:3">
      <c r="A24365" s="569" t="s">
        <v>1483</v>
      </c>
      <c r="B24365" s="570">
        <v>562.34132519034927</v>
      </c>
      <c r="C24365" s="570">
        <v>53.1646</v>
      </c>
    </row>
    <row r="24366" spans="1:3">
      <c r="A24366" s="569" t="s">
        <v>1483</v>
      </c>
      <c r="B24366" s="570">
        <v>641.23910605734841</v>
      </c>
      <c r="C24366" s="570">
        <v>68.354399999999998</v>
      </c>
    </row>
    <row r="24367" spans="1:3">
      <c r="A24367" s="569" t="s">
        <v>1483</v>
      </c>
      <c r="B24367" s="570">
        <v>753.68522224505114</v>
      </c>
      <c r="C24367" s="570">
        <v>79.746799999999993</v>
      </c>
    </row>
    <row r="24368" spans="1:3">
      <c r="A24368" s="569" t="s">
        <v>1483</v>
      </c>
      <c r="B24368" s="570">
        <v>922.38026003409846</v>
      </c>
      <c r="C24368" s="570">
        <v>72.151899999999998</v>
      </c>
    </row>
    <row r="24369" spans="1:3">
      <c r="A24369" s="569" t="s">
        <v>1483</v>
      </c>
      <c r="B24369" s="570">
        <v>1010.1596104924364</v>
      </c>
      <c r="C24369" s="570">
        <v>87.341800000000006</v>
      </c>
    </row>
    <row r="24370" spans="1:3">
      <c r="A24370" s="569" t="s">
        <v>1483</v>
      </c>
      <c r="B24370" s="570">
        <v>1084.1515623535063</v>
      </c>
      <c r="C24370" s="570">
        <v>98.734200000000001</v>
      </c>
    </row>
    <row r="24371" spans="1:3">
      <c r="A24371" s="569" t="s">
        <v>1483</v>
      </c>
      <c r="B24371" s="570">
        <v>1340.2629123689844</v>
      </c>
      <c r="C24371" s="570">
        <v>91.139200000000002</v>
      </c>
    </row>
    <row r="24372" spans="1:3">
      <c r="A24372" s="569" t="s">
        <v>1483</v>
      </c>
      <c r="B24372" s="570">
        <v>1575.3244007580765</v>
      </c>
      <c r="C24372" s="570">
        <v>113.92400000000001</v>
      </c>
    </row>
    <row r="24373" spans="1:3">
      <c r="A24373" s="569" t="s">
        <v>1483</v>
      </c>
      <c r="B24373" s="570">
        <v>1707.8904102954702</v>
      </c>
      <c r="C24373" s="570">
        <v>121.51900000000001</v>
      </c>
    </row>
    <row r="24374" spans="1:3">
      <c r="A24374" s="569" t="s">
        <v>1483</v>
      </c>
      <c r="B24374" s="570">
        <v>2069.1405886776251</v>
      </c>
      <c r="C24374" s="570">
        <v>148.101</v>
      </c>
    </row>
    <row r="24375" spans="1:3">
      <c r="A24375" s="569" t="s">
        <v>1483</v>
      </c>
      <c r="B24375" s="570">
        <v>2583.9255721023997</v>
      </c>
      <c r="C24375" s="570">
        <v>148.101</v>
      </c>
    </row>
    <row r="24376" spans="1:3">
      <c r="A24376" s="569" t="s">
        <v>1483</v>
      </c>
      <c r="B24376" s="570">
        <v>3226.7847814206439</v>
      </c>
      <c r="C24376" s="570">
        <v>148.101</v>
      </c>
    </row>
    <row r="24377" spans="1:3">
      <c r="A24377" s="569" t="s">
        <v>1483</v>
      </c>
      <c r="B24377" s="570">
        <v>3870.080511592897</v>
      </c>
      <c r="C24377" s="570">
        <v>174.684</v>
      </c>
    </row>
    <row r="24378" spans="1:3">
      <c r="A24378" s="569" t="s">
        <v>1483</v>
      </c>
      <c r="B24378" s="570">
        <v>5186.9253775699372</v>
      </c>
      <c r="C24378" s="570">
        <v>220.25299999999999</v>
      </c>
    </row>
    <row r="24379" spans="1:3">
      <c r="A24379" s="569" t="s">
        <v>1483</v>
      </c>
      <c r="B24379" s="570">
        <v>10732.477829171976</v>
      </c>
      <c r="C24379" s="570">
        <v>300</v>
      </c>
    </row>
    <row r="24380" spans="1:3">
      <c r="A24380" s="571" t="s">
        <v>1482</v>
      </c>
      <c r="B24380" s="572">
        <v>1.8703806463272927</v>
      </c>
      <c r="C24380" s="572">
        <v>11.3924</v>
      </c>
    </row>
    <row r="24381" spans="1:3">
      <c r="A24381" s="571" t="s">
        <v>1482</v>
      </c>
      <c r="B24381" s="572">
        <v>4.7362977855751405</v>
      </c>
      <c r="C24381" s="572">
        <v>37.974699999999999</v>
      </c>
    </row>
    <row r="24382" spans="1:3">
      <c r="A24382" s="571" t="s">
        <v>1482</v>
      </c>
      <c r="B24382" s="572">
        <v>4.9815902189118235</v>
      </c>
      <c r="C24382" s="572">
        <v>34.177199999999999</v>
      </c>
    </row>
    <row r="24383" spans="1:3">
      <c r="A24383" s="571" t="s">
        <v>1482</v>
      </c>
      <c r="B24383" s="572">
        <v>7.0224879069659814</v>
      </c>
      <c r="C24383" s="572">
        <v>37.974699999999999</v>
      </c>
    </row>
    <row r="24384" spans="1:3">
      <c r="A24384" s="571" t="s">
        <v>1482</v>
      </c>
      <c r="B24384" s="572">
        <v>9.039408228527579</v>
      </c>
      <c r="C24384" s="572">
        <v>30.3797</v>
      </c>
    </row>
    <row r="24385" spans="1:3">
      <c r="A24385" s="571" t="s">
        <v>1482</v>
      </c>
      <c r="B24385" s="572">
        <v>13.00289333591703</v>
      </c>
      <c r="C24385" s="572">
        <v>26.5823</v>
      </c>
    </row>
    <row r="24386" spans="1:3">
      <c r="A24386" s="571" t="s">
        <v>1482</v>
      </c>
      <c r="B24386" s="572">
        <v>19.085344342315743</v>
      </c>
      <c r="C24386" s="572">
        <v>34.177199999999999</v>
      </c>
    </row>
    <row r="24387" spans="1:3">
      <c r="A24387" s="571" t="s">
        <v>1482</v>
      </c>
      <c r="B24387" s="572">
        <v>28.875532374109564</v>
      </c>
      <c r="C24387" s="572">
        <v>64.557000000000002</v>
      </c>
    </row>
    <row r="24388" spans="1:3">
      <c r="A24388" s="571" t="s">
        <v>1482</v>
      </c>
      <c r="B24388" s="572">
        <v>36.05952486641641</v>
      </c>
      <c r="C24388" s="572">
        <v>75.949399999999997</v>
      </c>
    </row>
    <row r="24389" spans="1:3">
      <c r="A24389" s="571" t="s">
        <v>1482</v>
      </c>
      <c r="B24389" s="572">
        <v>47.843175785404178</v>
      </c>
      <c r="C24389" s="572">
        <v>60.759500000000003</v>
      </c>
    </row>
    <row r="24390" spans="1:3">
      <c r="A24390" s="571" t="s">
        <v>1482</v>
      </c>
      <c r="B24390" s="572">
        <v>76.134237053696623</v>
      </c>
      <c r="C24390" s="572">
        <v>64.557000000000002</v>
      </c>
    </row>
    <row r="24391" spans="1:3">
      <c r="A24391" s="573" t="s">
        <v>1482</v>
      </c>
      <c r="B24391" s="574">
        <v>126.14789269222896</v>
      </c>
      <c r="C24391" s="574">
        <v>56.962000000000003</v>
      </c>
    </row>
    <row r="24392" spans="1:3">
      <c r="A24392" s="573" t="s">
        <v>1482</v>
      </c>
      <c r="B24392" s="574">
        <v>181.45544300881335</v>
      </c>
      <c r="C24392" s="574">
        <v>72.151899999999998</v>
      </c>
    </row>
    <row r="24393" spans="1:3">
      <c r="A24393" s="573" t="s">
        <v>1482</v>
      </c>
      <c r="B24393" s="574">
        <v>206.91405886776249</v>
      </c>
      <c r="C24393" s="574">
        <v>68.354399999999998</v>
      </c>
    </row>
    <row r="24394" spans="1:3">
      <c r="A24394" s="573" t="s">
        <v>1482</v>
      </c>
      <c r="B24394" s="574">
        <v>238.3361941104566</v>
      </c>
      <c r="C24394" s="574">
        <v>64.557000000000002</v>
      </c>
    </row>
    <row r="24395" spans="1:3">
      <c r="A24395" s="573" t="s">
        <v>1482</v>
      </c>
      <c r="B24395" s="574">
        <v>360.59524866416433</v>
      </c>
      <c r="C24395" s="574">
        <v>113.92400000000001</v>
      </c>
    </row>
    <row r="24396" spans="1:3">
      <c r="A24396" s="569" t="s">
        <v>1482</v>
      </c>
      <c r="B24396" s="570">
        <v>716.57227367100063</v>
      </c>
      <c r="C24396" s="570">
        <v>136.709</v>
      </c>
    </row>
    <row r="24397" spans="1:3">
      <c r="A24397" s="569" t="s">
        <v>1482</v>
      </c>
      <c r="B24397" s="570">
        <v>1010.1596104924364</v>
      </c>
      <c r="C24397" s="570">
        <v>129.114</v>
      </c>
    </row>
    <row r="24398" spans="1:3">
      <c r="A24398" s="569" t="s">
        <v>1482</v>
      </c>
      <c r="B24398" s="570">
        <v>1175.3846101535491</v>
      </c>
      <c r="C24398" s="570">
        <v>129.114</v>
      </c>
    </row>
    <row r="24399" spans="1:3">
      <c r="A24399" s="569" t="s">
        <v>1482</v>
      </c>
      <c r="B24399" s="570">
        <v>1778.2794100389244</v>
      </c>
      <c r="C24399" s="570">
        <v>208.86099999999999</v>
      </c>
    </row>
    <row r="24400" spans="1:3">
      <c r="A24400" s="569" t="s">
        <v>1482</v>
      </c>
      <c r="B24400" s="570">
        <v>2007.3818818820023</v>
      </c>
      <c r="C24400" s="570">
        <v>212.65799999999999</v>
      </c>
    </row>
    <row r="24401" spans="1:3">
      <c r="A24401" s="569" t="s">
        <v>1482</v>
      </c>
      <c r="B24401" s="570">
        <v>2243.2620019439019</v>
      </c>
      <c r="C24401" s="570">
        <v>205.06299999999999</v>
      </c>
    </row>
    <row r="24402" spans="1:3">
      <c r="A24402" s="569" t="s">
        <v>1482</v>
      </c>
      <c r="B24402" s="570">
        <v>2557.9379191797002</v>
      </c>
      <c r="C24402" s="570">
        <v>216.45599999999999</v>
      </c>
    </row>
    <row r="24403" spans="1:3">
      <c r="A24403" s="569" t="s">
        <v>1482</v>
      </c>
      <c r="B24403" s="570">
        <v>2690.4194872479006</v>
      </c>
      <c r="C24403" s="570">
        <v>186.07599999999999</v>
      </c>
    </row>
    <row r="24404" spans="1:3">
      <c r="A24404" s="569" t="s">
        <v>1482</v>
      </c>
      <c r="B24404" s="570">
        <v>2858.5118702215004</v>
      </c>
      <c r="C24404" s="570">
        <v>189.87299999999999</v>
      </c>
    </row>
    <row r="24405" spans="1:3">
      <c r="A24405" s="569" t="s">
        <v>1482</v>
      </c>
      <c r="B24405" s="570">
        <v>3037.1063512313608</v>
      </c>
      <c r="C24405" s="570">
        <v>201.26599999999999</v>
      </c>
    </row>
    <row r="24406" spans="1:3">
      <c r="A24406" s="569" t="s">
        <v>1482</v>
      </c>
      <c r="B24406" s="570">
        <v>3259.5676579427945</v>
      </c>
      <c r="C24406" s="570">
        <v>231.64599999999999</v>
      </c>
    </row>
    <row r="24407" spans="1:3">
      <c r="A24407" s="569" t="s">
        <v>1482</v>
      </c>
      <c r="B24407" s="570">
        <v>3393.9074877442945</v>
      </c>
      <c r="C24407" s="570">
        <v>243.03800000000001</v>
      </c>
    </row>
    <row r="24408" spans="1:3">
      <c r="A24408" s="569" t="s">
        <v>1482</v>
      </c>
      <c r="B24408" s="570">
        <v>3831.1574442243777</v>
      </c>
      <c r="C24408" s="570">
        <v>265.82299999999998</v>
      </c>
    </row>
    <row r="24409" spans="1:3">
      <c r="A24409" s="569" t="s">
        <v>1482</v>
      </c>
      <c r="B24409" s="570">
        <v>4281.3427757131913</v>
      </c>
      <c r="C24409" s="570">
        <v>250.63300000000001</v>
      </c>
    </row>
    <row r="24410" spans="1:3">
      <c r="A24410" s="569" t="s">
        <v>1482</v>
      </c>
      <c r="B24410" s="570">
        <v>10841.515623535075</v>
      </c>
      <c r="C24410" s="570">
        <v>334.17700000000002</v>
      </c>
    </row>
    <row r="24411" spans="1:3">
      <c r="A24411" s="571" t="s">
        <v>1481</v>
      </c>
      <c r="B24411" s="572">
        <v>1.832981155105549</v>
      </c>
      <c r="C24411" s="572">
        <v>15.1899</v>
      </c>
    </row>
    <row r="24412" spans="1:3">
      <c r="A24412" s="571" t="s">
        <v>1481</v>
      </c>
      <c r="B24412" s="572">
        <v>3.98911907342602</v>
      </c>
      <c r="C24412" s="572">
        <v>7.5949400000000002</v>
      </c>
    </row>
    <row r="24413" spans="1:3">
      <c r="A24413" s="571" t="s">
        <v>1481</v>
      </c>
      <c r="B24413" s="572">
        <v>7.0224879069659814</v>
      </c>
      <c r="C24413" s="572">
        <v>3.7974700000000001</v>
      </c>
    </row>
    <row r="24414" spans="1:3">
      <c r="A24414" s="571" t="s">
        <v>1481</v>
      </c>
      <c r="B24414" s="572">
        <v>8.9485774238498141</v>
      </c>
      <c r="C24414" s="572">
        <v>3.7974700000000001</v>
      </c>
    </row>
    <row r="24415" spans="1:3">
      <c r="A24415" s="571" t="s">
        <v>1481</v>
      </c>
      <c r="B24415" s="572">
        <v>10.841515623535063</v>
      </c>
      <c r="C24415" s="572">
        <v>15.1899</v>
      </c>
    </row>
    <row r="24416" spans="1:3">
      <c r="A24416" s="571" t="s">
        <v>1481</v>
      </c>
      <c r="B24416" s="572">
        <v>14.9775231662111</v>
      </c>
      <c r="C24416" s="572">
        <v>30.3797</v>
      </c>
    </row>
    <row r="24417" spans="1:3">
      <c r="A24417" s="571" t="s">
        <v>1481</v>
      </c>
      <c r="B24417" s="572">
        <v>19.085344342315743</v>
      </c>
      <c r="C24417" s="572">
        <v>41.772199999999998</v>
      </c>
    </row>
    <row r="24418" spans="1:3">
      <c r="A24418" s="571" t="s">
        <v>1481</v>
      </c>
      <c r="B24418" s="572">
        <v>30.990601101066812</v>
      </c>
      <c r="C24418" s="572">
        <v>68.354399999999998</v>
      </c>
    </row>
    <row r="24419" spans="1:3">
      <c r="A24419" s="571" t="s">
        <v>1481</v>
      </c>
      <c r="B24419" s="572">
        <v>39.490260627574393</v>
      </c>
      <c r="C24419" s="572">
        <v>64.557000000000002</v>
      </c>
    </row>
    <row r="24420" spans="1:3">
      <c r="A24420" s="571" t="s">
        <v>1481</v>
      </c>
      <c r="B24420" s="572">
        <v>49.315109298489453</v>
      </c>
      <c r="C24420" s="572">
        <v>60.759500000000003</v>
      </c>
    </row>
    <row r="24421" spans="1:3">
      <c r="A24421" s="571" t="s">
        <v>1481</v>
      </c>
      <c r="B24421" s="572">
        <v>76.134237053696623</v>
      </c>
      <c r="C24421" s="572">
        <v>60.759500000000003</v>
      </c>
    </row>
    <row r="24422" spans="1:3">
      <c r="A24422" s="573" t="s">
        <v>1481</v>
      </c>
      <c r="B24422" s="574">
        <v>100</v>
      </c>
      <c r="C24422" s="574">
        <v>68.354399999999998</v>
      </c>
    </row>
    <row r="24423" spans="1:3">
      <c r="A24423" s="573" t="s">
        <v>1481</v>
      </c>
      <c r="B24423" s="574">
        <v>128.72117634537307</v>
      </c>
      <c r="C24423" s="574">
        <v>41.772199999999998</v>
      </c>
    </row>
    <row r="24424" spans="1:3">
      <c r="A24424" s="573" t="s">
        <v>1481</v>
      </c>
      <c r="B24424" s="574">
        <v>143.84341992261571</v>
      </c>
      <c r="C24424" s="574">
        <v>45.569600000000001</v>
      </c>
    </row>
    <row r="24425" spans="1:3">
      <c r="A24425" s="573" t="s">
        <v>1481</v>
      </c>
      <c r="B24425" s="574">
        <v>154.38318628248203</v>
      </c>
      <c r="C24425" s="574">
        <v>53.1646</v>
      </c>
    </row>
    <row r="24426" spans="1:3">
      <c r="A24426" s="573" t="s">
        <v>1481</v>
      </c>
      <c r="B24426" s="574">
        <v>183.29895963151543</v>
      </c>
      <c r="C24426" s="574">
        <v>56.962000000000003</v>
      </c>
    </row>
    <row r="24427" spans="1:3">
      <c r="A24427" s="573" t="s">
        <v>1481</v>
      </c>
      <c r="B24427" s="574">
        <v>209.01622511126826</v>
      </c>
      <c r="C24427" s="574">
        <v>60.759500000000003</v>
      </c>
    </row>
    <row r="24428" spans="1:3">
      <c r="A24428" s="573" t="s">
        <v>1481</v>
      </c>
      <c r="B24428" s="574">
        <v>233.57158078365245</v>
      </c>
      <c r="C24428" s="574">
        <v>64.557000000000002</v>
      </c>
    </row>
    <row r="24429" spans="1:3">
      <c r="A24429" s="573" t="s">
        <v>1481</v>
      </c>
      <c r="B24429" s="574">
        <v>332.60593922991183</v>
      </c>
      <c r="C24429" s="574">
        <v>113.92400000000001</v>
      </c>
    </row>
    <row r="24430" spans="1:3">
      <c r="A24430" s="573" t="s">
        <v>1481</v>
      </c>
      <c r="B24430" s="574">
        <v>371.68924947942855</v>
      </c>
      <c r="C24430" s="574">
        <v>106.32899999999999</v>
      </c>
    </row>
    <row r="24431" spans="1:3">
      <c r="A24431" s="573" t="s">
        <v>1481</v>
      </c>
      <c r="B24431" s="574">
        <v>419.57538330772888</v>
      </c>
      <c r="C24431" s="574">
        <v>106.32899999999999</v>
      </c>
    </row>
    <row r="24432" spans="1:3">
      <c r="A24432" s="573" t="s">
        <v>1481</v>
      </c>
      <c r="B24432" s="574">
        <v>473.63086913163744</v>
      </c>
      <c r="C24432" s="574">
        <v>102.532</v>
      </c>
    </row>
    <row r="24433" spans="1:3">
      <c r="A24433" s="569" t="s">
        <v>1481</v>
      </c>
      <c r="B24433" s="570">
        <v>529.27331718923051</v>
      </c>
      <c r="C24433" s="570">
        <v>56.962000000000003</v>
      </c>
    </row>
    <row r="24434" spans="1:3">
      <c r="A24434" s="569" t="s">
        <v>1481</v>
      </c>
      <c r="B24434" s="570">
        <v>585.51766200677844</v>
      </c>
      <c r="C24434" s="570">
        <v>106.32899999999999</v>
      </c>
    </row>
    <row r="24435" spans="1:3">
      <c r="A24435" s="569" t="s">
        <v>1481</v>
      </c>
      <c r="B24435" s="570">
        <v>702.24717371086365</v>
      </c>
      <c r="C24435" s="570">
        <v>125.316</v>
      </c>
    </row>
    <row r="24436" spans="1:3">
      <c r="A24436" s="569" t="s">
        <v>1481</v>
      </c>
      <c r="B24436" s="570">
        <v>761.34237053696643</v>
      </c>
      <c r="C24436" s="570">
        <v>98.734200000000001</v>
      </c>
    </row>
    <row r="24437" spans="1:3">
      <c r="A24437" s="569" t="s">
        <v>1481</v>
      </c>
      <c r="B24437" s="570">
        <v>894.84950047854522</v>
      </c>
      <c r="C24437" s="570">
        <v>79.746799999999993</v>
      </c>
    </row>
    <row r="24438" spans="1:3">
      <c r="A24438" s="569" t="s">
        <v>1481</v>
      </c>
      <c r="B24438" s="570">
        <v>1020.3989428457804</v>
      </c>
      <c r="C24438" s="570">
        <v>94.936700000000002</v>
      </c>
    </row>
    <row r="24439" spans="1:3">
      <c r="A24439" s="569" t="s">
        <v>1481</v>
      </c>
      <c r="B24439" s="570">
        <v>1199.3612136378783</v>
      </c>
      <c r="C24439" s="570">
        <v>102.532</v>
      </c>
    </row>
    <row r="24440" spans="1:3">
      <c r="A24440" s="569" t="s">
        <v>1481</v>
      </c>
      <c r="B24440" s="570">
        <v>1326.8138613906165</v>
      </c>
      <c r="C24440" s="570">
        <v>102.532</v>
      </c>
    </row>
    <row r="24441" spans="1:3">
      <c r="A24441" s="569" t="s">
        <v>1481</v>
      </c>
      <c r="B24441" s="570">
        <v>1453.0481304092939</v>
      </c>
      <c r="C24441" s="570">
        <v>186.07599999999999</v>
      </c>
    </row>
    <row r="24442" spans="1:3">
      <c r="A24442" s="569" t="s">
        <v>1481</v>
      </c>
      <c r="B24442" s="570">
        <v>1640.2498246449852</v>
      </c>
      <c r="C24442" s="570">
        <v>121.51900000000001</v>
      </c>
    </row>
    <row r="24443" spans="1:3">
      <c r="A24443" s="569" t="s">
        <v>1481</v>
      </c>
      <c r="B24443" s="570">
        <v>2007.3818818820023</v>
      </c>
      <c r="C24443" s="570">
        <v>136.709</v>
      </c>
    </row>
    <row r="24444" spans="1:3">
      <c r="A24444" s="569" t="s">
        <v>1481</v>
      </c>
      <c r="B24444" s="570">
        <v>2407.5759700886847</v>
      </c>
      <c r="C24444" s="570">
        <v>113.92400000000001</v>
      </c>
    </row>
    <row r="24445" spans="1:3">
      <c r="A24445" s="569" t="s">
        <v>1481</v>
      </c>
      <c r="B24445" s="570">
        <v>2887.5532374109553</v>
      </c>
      <c r="C24445" s="570">
        <v>140.506</v>
      </c>
    </row>
    <row r="24446" spans="1:3">
      <c r="A24446" s="569" t="s">
        <v>1481</v>
      </c>
      <c r="B24446" s="570">
        <v>4111.8759113722717</v>
      </c>
      <c r="C24446" s="570">
        <v>129.114</v>
      </c>
    </row>
    <row r="24447" spans="1:3">
      <c r="A24447" s="569" t="s">
        <v>1481</v>
      </c>
      <c r="B24447" s="570">
        <v>5083.232802166749</v>
      </c>
      <c r="C24447" s="570">
        <v>151.899</v>
      </c>
    </row>
    <row r="24448" spans="1:3">
      <c r="A24448" s="569" t="s">
        <v>1481</v>
      </c>
      <c r="B24448" s="570">
        <v>10951.409031002844</v>
      </c>
      <c r="C24448" s="570">
        <v>254.43</v>
      </c>
    </row>
    <row r="24449" spans="1:3">
      <c r="A24449" s="571" t="s">
        <v>1480</v>
      </c>
      <c r="B24449" s="572">
        <v>1.947484455986771</v>
      </c>
      <c r="C24449" s="572">
        <v>15.1899</v>
      </c>
    </row>
    <row r="24450" spans="1:3">
      <c r="A24450" s="571" t="s">
        <v>1480</v>
      </c>
      <c r="B24450" s="572">
        <v>2.8875266421852714</v>
      </c>
      <c r="C24450" s="572">
        <v>26.5823</v>
      </c>
    </row>
    <row r="24451" spans="1:3">
      <c r="A24451" s="571" t="s">
        <v>1480</v>
      </c>
      <c r="B24451" s="572">
        <v>5.0832328021667443</v>
      </c>
      <c r="C24451" s="572">
        <v>7.5949400000000002</v>
      </c>
    </row>
    <row r="24452" spans="1:3">
      <c r="A24452" s="571" t="s">
        <v>1480</v>
      </c>
      <c r="B24452" s="572">
        <v>6.9519237493017005</v>
      </c>
      <c r="C24452" s="572">
        <v>18.987300000000001</v>
      </c>
    </row>
    <row r="24453" spans="1:3">
      <c r="A24453" s="571" t="s">
        <v>1480</v>
      </c>
      <c r="B24453" s="572">
        <v>11.062671081101174</v>
      </c>
      <c r="C24453" s="572">
        <v>11.3924</v>
      </c>
    </row>
    <row r="24454" spans="1:3">
      <c r="A24454" s="571" t="s">
        <v>1480</v>
      </c>
      <c r="B24454" s="572">
        <v>21.113488692859423</v>
      </c>
      <c r="C24454" s="572">
        <v>18.987300000000001</v>
      </c>
    </row>
    <row r="24455" spans="1:3">
      <c r="A24455" s="571" t="s">
        <v>1480</v>
      </c>
      <c r="B24455" s="572">
        <v>28.875532374109564</v>
      </c>
      <c r="C24455" s="572">
        <v>41.772199999999998</v>
      </c>
    </row>
    <row r="24456" spans="1:3">
      <c r="A24456" s="571" t="s">
        <v>1480</v>
      </c>
      <c r="B24456" s="572">
        <v>47.843175785404178</v>
      </c>
      <c r="C24456" s="572">
        <v>41.772199999999998</v>
      </c>
    </row>
    <row r="24457" spans="1:3">
      <c r="A24457" s="571" t="s">
        <v>1480</v>
      </c>
      <c r="B24457" s="572">
        <v>62.209971158913881</v>
      </c>
      <c r="C24457" s="572">
        <v>30.3797</v>
      </c>
    </row>
    <row r="24458" spans="1:3">
      <c r="A24458" s="571" t="s">
        <v>1480</v>
      </c>
      <c r="B24458" s="572">
        <v>76.905960401733594</v>
      </c>
      <c r="C24458" s="572">
        <v>34.177199999999999</v>
      </c>
    </row>
    <row r="24459" spans="1:3">
      <c r="A24459" s="571" t="s">
        <v>1480</v>
      </c>
      <c r="B24459" s="572">
        <v>90.394082285275857</v>
      </c>
      <c r="C24459" s="572">
        <v>53.1646</v>
      </c>
    </row>
    <row r="24460" spans="1:3">
      <c r="A24460" s="573" t="s">
        <v>1480</v>
      </c>
      <c r="B24460" s="574">
        <v>126.14789269222896</v>
      </c>
      <c r="C24460" s="574">
        <v>34.177199999999999</v>
      </c>
    </row>
    <row r="24461" spans="1:3">
      <c r="A24461" s="573" t="s">
        <v>1480</v>
      </c>
      <c r="B24461" s="574">
        <v>154.38318628248203</v>
      </c>
      <c r="C24461" s="574">
        <v>45.569600000000001</v>
      </c>
    </row>
    <row r="24462" spans="1:3">
      <c r="A24462" s="573" t="s">
        <v>1480</v>
      </c>
      <c r="B24462" s="574">
        <v>181.45544300881335</v>
      </c>
      <c r="C24462" s="574">
        <v>72.151899999999998</v>
      </c>
    </row>
    <row r="24463" spans="1:3">
      <c r="A24463" s="573" t="s">
        <v>1480</v>
      </c>
      <c r="B24463" s="574">
        <v>206.91405886776249</v>
      </c>
      <c r="C24463" s="574">
        <v>68.354399999999998</v>
      </c>
    </row>
    <row r="24464" spans="1:3">
      <c r="A24464" s="573" t="s">
        <v>1480</v>
      </c>
      <c r="B24464" s="574">
        <v>240.75759700886843</v>
      </c>
      <c r="C24464" s="574">
        <v>75.949399999999997</v>
      </c>
    </row>
    <row r="24465" spans="1:3">
      <c r="A24465" s="573" t="s">
        <v>1480</v>
      </c>
      <c r="B24465" s="574">
        <v>274.53644142234134</v>
      </c>
      <c r="C24465" s="574">
        <v>87.341800000000006</v>
      </c>
    </row>
    <row r="24466" spans="1:3">
      <c r="A24466" s="573" t="s">
        <v>1480</v>
      </c>
      <c r="B24466" s="574">
        <v>332.60593922991183</v>
      </c>
      <c r="C24466" s="574">
        <v>98.734200000000001</v>
      </c>
    </row>
    <row r="24467" spans="1:3">
      <c r="A24467" s="573" t="s">
        <v>1480</v>
      </c>
      <c r="B24467" s="574">
        <v>402.95820197081184</v>
      </c>
      <c r="C24467" s="574">
        <v>94.936700000000002</v>
      </c>
    </row>
    <row r="24468" spans="1:3">
      <c r="A24468" s="573" t="s">
        <v>1480</v>
      </c>
      <c r="B24468" s="574">
        <v>498.16131600354015</v>
      </c>
      <c r="C24468" s="574">
        <v>98.734200000000001</v>
      </c>
    </row>
    <row r="24469" spans="1:3">
      <c r="A24469" s="569" t="s">
        <v>1480</v>
      </c>
      <c r="B24469" s="570">
        <v>579.64220517484659</v>
      </c>
      <c r="C24469" s="570">
        <v>98.734200000000001</v>
      </c>
    </row>
    <row r="24470" spans="1:3">
      <c r="A24470" s="569" t="s">
        <v>1480</v>
      </c>
      <c r="B24470" s="570">
        <v>850.78534410056977</v>
      </c>
      <c r="C24470" s="570">
        <v>94.936700000000002</v>
      </c>
    </row>
    <row r="24471" spans="1:3">
      <c r="A24471" s="569" t="s">
        <v>1480</v>
      </c>
      <c r="B24471" s="570">
        <v>1051.7923312660714</v>
      </c>
      <c r="C24471" s="570">
        <v>117.72199999999999</v>
      </c>
    </row>
    <row r="24472" spans="1:3">
      <c r="A24472" s="569" t="s">
        <v>1480</v>
      </c>
      <c r="B24472" s="570">
        <v>1673.7091870707156</v>
      </c>
      <c r="C24472" s="570">
        <v>159.494</v>
      </c>
    </row>
    <row r="24473" spans="1:3">
      <c r="A24473" s="569" t="s">
        <v>1480</v>
      </c>
      <c r="B24473" s="570">
        <v>2027.7760999114962</v>
      </c>
      <c r="C24473" s="570">
        <v>182.27799999999999</v>
      </c>
    </row>
    <row r="24474" spans="1:3">
      <c r="A24474" s="569" t="s">
        <v>1480</v>
      </c>
      <c r="B24474" s="570">
        <v>2266.0004929258666</v>
      </c>
      <c r="C24474" s="570">
        <v>186.07599999999999</v>
      </c>
    </row>
    <row r="24475" spans="1:3">
      <c r="A24475" s="569" t="s">
        <v>1480</v>
      </c>
      <c r="B24475" s="570">
        <v>2506.8018122851995</v>
      </c>
      <c r="C24475" s="570">
        <v>193.67099999999999</v>
      </c>
    </row>
    <row r="24476" spans="1:3">
      <c r="A24476" s="569" t="s">
        <v>1480</v>
      </c>
      <c r="B24476" s="570">
        <v>3292.6077797524667</v>
      </c>
      <c r="C24476" s="570">
        <v>197.46799999999999</v>
      </c>
    </row>
    <row r="24477" spans="1:3">
      <c r="A24477" s="569" t="s">
        <v>1480</v>
      </c>
      <c r="B24477" s="570">
        <v>4457.7940478350238</v>
      </c>
      <c r="C24477" s="570">
        <v>224.05099999999999</v>
      </c>
    </row>
    <row r="24478" spans="1:3">
      <c r="A24478" s="569" t="s">
        <v>1480</v>
      </c>
      <c r="B24478" s="570">
        <v>5134.876467479141</v>
      </c>
      <c r="C24478" s="570">
        <v>216.45599999999999</v>
      </c>
    </row>
    <row r="24479" spans="1:3">
      <c r="A24479" s="569" t="s">
        <v>1480</v>
      </c>
      <c r="B24479" s="570">
        <v>10624.781316706678</v>
      </c>
      <c r="C24479" s="570">
        <v>318.98700000000002</v>
      </c>
    </row>
    <row r="24480" spans="1:3">
      <c r="A24480" s="571" t="s">
        <v>1479</v>
      </c>
      <c r="B24480" s="572">
        <v>1.9085432233776873</v>
      </c>
      <c r="C24480" s="572">
        <v>37.974699999999999</v>
      </c>
    </row>
    <row r="24481" spans="1:3">
      <c r="A24481" s="571" t="s">
        <v>1479</v>
      </c>
      <c r="B24481" s="572">
        <v>4.0296098551707269</v>
      </c>
      <c r="C24481" s="572">
        <v>30.3797</v>
      </c>
    </row>
    <row r="24482" spans="1:3">
      <c r="A24482" s="571" t="s">
        <v>1479</v>
      </c>
      <c r="B24482" s="572">
        <v>8.0890030654728431</v>
      </c>
      <c r="C24482" s="572">
        <v>3.7974700000000001</v>
      </c>
    </row>
    <row r="24483" spans="1:3">
      <c r="A24483" s="571" t="s">
        <v>1479</v>
      </c>
      <c r="B24483" s="572">
        <v>9.039408228527579</v>
      </c>
      <c r="C24483" s="572">
        <v>18.987300000000001</v>
      </c>
    </row>
    <row r="24484" spans="1:3">
      <c r="A24484" s="571" t="s">
        <v>1479</v>
      </c>
      <c r="B24484" s="572">
        <v>10.841515623535063</v>
      </c>
      <c r="C24484" s="572">
        <v>45.569600000000001</v>
      </c>
    </row>
    <row r="24485" spans="1:3">
      <c r="A24485" s="571" t="s">
        <v>1479</v>
      </c>
      <c r="B24485" s="572">
        <v>13.955326444281743</v>
      </c>
      <c r="C24485" s="572">
        <v>34.177199999999999</v>
      </c>
    </row>
    <row r="24486" spans="1:3">
      <c r="A24486" s="571" t="s">
        <v>1479</v>
      </c>
      <c r="B24486" s="572">
        <v>16.074593531727015</v>
      </c>
      <c r="C24486" s="572">
        <v>41.772199999999998</v>
      </c>
    </row>
    <row r="24487" spans="1:3">
      <c r="A24487" s="571" t="s">
        <v>1479</v>
      </c>
      <c r="B24487" s="572">
        <v>17.963460361916376</v>
      </c>
      <c r="C24487" s="572">
        <v>45.569600000000001</v>
      </c>
    </row>
    <row r="24488" spans="1:3">
      <c r="A24488" s="571" t="s">
        <v>1479</v>
      </c>
      <c r="B24488" s="572">
        <v>21.113488692859423</v>
      </c>
      <c r="C24488" s="572">
        <v>68.354399999999998</v>
      </c>
    </row>
    <row r="24489" spans="1:3">
      <c r="A24489" s="571" t="s">
        <v>1479</v>
      </c>
      <c r="B24489" s="572">
        <v>24.075759700886838</v>
      </c>
      <c r="C24489" s="572">
        <v>30.3797</v>
      </c>
    </row>
    <row r="24490" spans="1:3">
      <c r="A24490" s="571" t="s">
        <v>1479</v>
      </c>
      <c r="B24490" s="572">
        <v>30.990601101066812</v>
      </c>
      <c r="C24490" s="572">
        <v>22.784800000000001</v>
      </c>
    </row>
    <row r="24491" spans="1:3">
      <c r="A24491" s="571" t="s">
        <v>1479</v>
      </c>
      <c r="B24491" s="572">
        <v>34.983237621557016</v>
      </c>
      <c r="C24491" s="572">
        <v>49.367100000000001</v>
      </c>
    </row>
    <row r="24492" spans="1:3">
      <c r="A24492" s="571" t="s">
        <v>1479</v>
      </c>
      <c r="B24492" s="572">
        <v>45.03083499016531</v>
      </c>
      <c r="C24492" s="572">
        <v>49.367100000000001</v>
      </c>
    </row>
    <row r="24493" spans="1:3">
      <c r="A24493" s="571" t="s">
        <v>1479</v>
      </c>
      <c r="B24493" s="572">
        <v>51.869253775699349</v>
      </c>
      <c r="C24493" s="572">
        <v>56.962000000000003</v>
      </c>
    </row>
    <row r="24494" spans="1:3">
      <c r="A24494" s="571" t="s">
        <v>1479</v>
      </c>
      <c r="B24494" s="572">
        <v>58.551766200677832</v>
      </c>
      <c r="C24494" s="572">
        <v>56.962000000000003</v>
      </c>
    </row>
    <row r="24495" spans="1:3">
      <c r="A24495" s="571" t="s">
        <v>1479</v>
      </c>
      <c r="B24495" s="572">
        <v>66.09673392820882</v>
      </c>
      <c r="C24495" s="572">
        <v>49.367100000000001</v>
      </c>
    </row>
    <row r="24496" spans="1:3">
      <c r="A24496" s="571" t="s">
        <v>1479</v>
      </c>
      <c r="B24496" s="572">
        <v>73.120642698283405</v>
      </c>
      <c r="C24496" s="572">
        <v>60.759500000000003</v>
      </c>
    </row>
    <row r="24497" spans="1:3">
      <c r="A24497" s="571" t="s">
        <v>1479</v>
      </c>
      <c r="B24497" s="572">
        <v>79.272033694590874</v>
      </c>
      <c r="C24497" s="572">
        <v>56.962000000000003</v>
      </c>
    </row>
    <row r="24498" spans="1:3">
      <c r="A24498" s="571" t="s">
        <v>1479</v>
      </c>
      <c r="B24498" s="572">
        <v>86.81604556119953</v>
      </c>
      <c r="C24498" s="572">
        <v>64.557000000000002</v>
      </c>
    </row>
    <row r="24499" spans="1:3">
      <c r="A24499" s="571" t="s">
        <v>1479</v>
      </c>
      <c r="B24499" s="572">
        <v>94.119584224060844</v>
      </c>
      <c r="C24499" s="572">
        <v>68.354399999999998</v>
      </c>
    </row>
    <row r="24500" spans="1:3">
      <c r="A24500" s="573" t="s">
        <v>1479</v>
      </c>
      <c r="B24500" s="574">
        <v>100</v>
      </c>
      <c r="C24500" s="574">
        <v>53.1646</v>
      </c>
    </row>
    <row r="24501" spans="1:3">
      <c r="A24501" s="573" t="s">
        <v>1479</v>
      </c>
      <c r="B24501" s="574">
        <v>127.42657200739166</v>
      </c>
      <c r="C24501" s="574">
        <v>94.936700000000002</v>
      </c>
    </row>
    <row r="24502" spans="1:3">
      <c r="A24502" s="573" t="s">
        <v>1479</v>
      </c>
      <c r="B24502" s="574">
        <v>162.37905140833598</v>
      </c>
      <c r="C24502" s="574">
        <v>102.532</v>
      </c>
    </row>
    <row r="24503" spans="1:3">
      <c r="A24503" s="573" t="s">
        <v>1479</v>
      </c>
      <c r="B24503" s="574">
        <v>190.85344342315739</v>
      </c>
      <c r="C24503" s="574">
        <v>102.532</v>
      </c>
    </row>
    <row r="24504" spans="1:3">
      <c r="A24504" s="573" t="s">
        <v>1479</v>
      </c>
      <c r="B24504" s="574">
        <v>215.44181541980066</v>
      </c>
      <c r="C24504" s="574">
        <v>102.532</v>
      </c>
    </row>
    <row r="24505" spans="1:3">
      <c r="A24505" s="573" t="s">
        <v>1479</v>
      </c>
      <c r="B24505" s="574">
        <v>248.16469676237929</v>
      </c>
      <c r="C24505" s="574">
        <v>94.936700000000002</v>
      </c>
    </row>
    <row r="24506" spans="1:3">
      <c r="A24506" s="573" t="s">
        <v>1479</v>
      </c>
      <c r="B24506" s="574">
        <v>271.77531012996002</v>
      </c>
      <c r="C24506" s="574">
        <v>110.127</v>
      </c>
    </row>
    <row r="24507" spans="1:3">
      <c r="A24507" s="573" t="s">
        <v>1479</v>
      </c>
      <c r="B24507" s="574">
        <v>300.65608639320095</v>
      </c>
      <c r="C24507" s="574">
        <v>110.127</v>
      </c>
    </row>
    <row r="24508" spans="1:3">
      <c r="A24508" s="573" t="s">
        <v>1479</v>
      </c>
      <c r="B24508" s="574">
        <v>329.26077797524664</v>
      </c>
      <c r="C24508" s="574">
        <v>98.734200000000001</v>
      </c>
    </row>
    <row r="24509" spans="1:3">
      <c r="A24509" s="573" t="s">
        <v>1479</v>
      </c>
      <c r="B24509" s="574">
        <v>364.25036866476358</v>
      </c>
      <c r="C24509" s="574">
        <v>98.734200000000001</v>
      </c>
    </row>
    <row r="24510" spans="1:3">
      <c r="A24510" s="573" t="s">
        <v>1479</v>
      </c>
      <c r="B24510" s="574">
        <v>415.35553287781221</v>
      </c>
      <c r="C24510" s="574">
        <v>94.936700000000002</v>
      </c>
    </row>
    <row r="24511" spans="1:3">
      <c r="A24511" s="573" t="s">
        <v>1479</v>
      </c>
      <c r="B24511" s="574">
        <v>473.63086913163744</v>
      </c>
      <c r="C24511" s="574">
        <v>106.32899999999999</v>
      </c>
    </row>
    <row r="24512" spans="1:3">
      <c r="A24512" s="569" t="s">
        <v>1479</v>
      </c>
      <c r="B24512" s="570">
        <v>534.65052793591292</v>
      </c>
      <c r="C24512" s="570">
        <v>125.316</v>
      </c>
    </row>
    <row r="24513" spans="1:3">
      <c r="A24513" s="569" t="s">
        <v>1479</v>
      </c>
      <c r="B24513" s="570">
        <v>641.23910605734841</v>
      </c>
      <c r="C24513" s="570">
        <v>113.92400000000001</v>
      </c>
    </row>
    <row r="24514" spans="1:3">
      <c r="A24514" s="569" t="s">
        <v>1479</v>
      </c>
      <c r="B24514" s="570">
        <v>688.2084488958543</v>
      </c>
      <c r="C24514" s="570">
        <v>113.92400000000001</v>
      </c>
    </row>
    <row r="24515" spans="1:3">
      <c r="A24515" s="569" t="s">
        <v>1479</v>
      </c>
      <c r="B24515" s="570">
        <v>731.20642698283484</v>
      </c>
      <c r="C24515" s="570">
        <v>102.532</v>
      </c>
    </row>
    <row r="24516" spans="1:3">
      <c r="A24516" s="569" t="s">
        <v>1479</v>
      </c>
      <c r="B24516" s="570">
        <v>746.1222650953232</v>
      </c>
      <c r="C24516" s="570">
        <v>117.72199999999999</v>
      </c>
    </row>
    <row r="24517" spans="1:3">
      <c r="A24517" s="569" t="s">
        <v>1479</v>
      </c>
      <c r="B24517" s="570">
        <v>800.77406679871251</v>
      </c>
      <c r="C24517" s="570">
        <v>102.532</v>
      </c>
    </row>
    <row r="24518" spans="1:3">
      <c r="A24518" s="569" t="s">
        <v>1479</v>
      </c>
      <c r="B24518" s="570">
        <v>894.84950047854522</v>
      </c>
      <c r="C24518" s="570">
        <v>113.92400000000001</v>
      </c>
    </row>
    <row r="24519" spans="1:3">
      <c r="A24519" s="569" t="s">
        <v>1479</v>
      </c>
      <c r="B24519" s="570">
        <v>960.4173566054435</v>
      </c>
      <c r="C24519" s="570">
        <v>159.494</v>
      </c>
    </row>
    <row r="24520" spans="1:3">
      <c r="A24520" s="569" t="s">
        <v>1479</v>
      </c>
      <c r="B24520" s="570">
        <v>1084.1515623535063</v>
      </c>
      <c r="C24520" s="570">
        <v>151.899</v>
      </c>
    </row>
    <row r="24521" spans="1:3">
      <c r="A24521" s="569" t="s">
        <v>1479</v>
      </c>
      <c r="B24521" s="570">
        <v>1151.8608035366778</v>
      </c>
      <c r="C24521" s="570">
        <v>144.304</v>
      </c>
    </row>
    <row r="24522" spans="1:3">
      <c r="A24522" s="569" t="s">
        <v>1479</v>
      </c>
      <c r="B24522" s="570">
        <v>1248.7916897680548</v>
      </c>
      <c r="C24522" s="570">
        <v>140.506</v>
      </c>
    </row>
    <row r="24523" spans="1:3">
      <c r="A24523" s="569" t="s">
        <v>1479</v>
      </c>
      <c r="B24523" s="570">
        <v>1313.469522646838</v>
      </c>
      <c r="C24523" s="570">
        <v>193.67099999999999</v>
      </c>
    </row>
    <row r="24524" spans="1:3">
      <c r="A24524" s="569" t="s">
        <v>1479</v>
      </c>
      <c r="B24524" s="570">
        <v>1438.4341992261575</v>
      </c>
      <c r="C24524" s="570">
        <v>151.899</v>
      </c>
    </row>
    <row r="24525" spans="1:3">
      <c r="A24525" s="569" t="s">
        <v>1479</v>
      </c>
      <c r="B24525" s="570">
        <v>1528.304880524998</v>
      </c>
      <c r="C24525" s="570">
        <v>151.899</v>
      </c>
    </row>
    <row r="24526" spans="1:3">
      <c r="A24526" s="569" t="s">
        <v>1479</v>
      </c>
      <c r="B24526" s="570">
        <v>1559.4806844337525</v>
      </c>
      <c r="C24526" s="570">
        <v>182.27799999999999</v>
      </c>
    </row>
    <row r="24527" spans="1:3">
      <c r="A24527" s="569" t="s">
        <v>1479</v>
      </c>
      <c r="B24527" s="570">
        <v>1656.9141239736643</v>
      </c>
      <c r="C24527" s="570">
        <v>170.886</v>
      </c>
    </row>
    <row r="24528" spans="1:3">
      <c r="A24528" s="569" t="s">
        <v>1479</v>
      </c>
      <c r="B24528" s="570">
        <v>1796.3460361916384</v>
      </c>
      <c r="C24528" s="570">
        <v>178.48099999999999</v>
      </c>
    </row>
    <row r="24529" spans="1:3">
      <c r="A24529" s="569" t="s">
        <v>1479</v>
      </c>
      <c r="B24529" s="570">
        <v>1870.3806463272931</v>
      </c>
      <c r="C24529" s="570">
        <v>151.899</v>
      </c>
    </row>
    <row r="24530" spans="1:3">
      <c r="A24530" s="569" t="s">
        <v>1479</v>
      </c>
      <c r="B24530" s="570">
        <v>2132.7993514115333</v>
      </c>
      <c r="C24530" s="570">
        <v>151.899</v>
      </c>
    </row>
    <row r="24531" spans="1:3">
      <c r="A24531" s="569" t="s">
        <v>1479</v>
      </c>
      <c r="B24531" s="570">
        <v>2312.2777490193594</v>
      </c>
      <c r="C24531" s="570">
        <v>148.101</v>
      </c>
    </row>
    <row r="24532" spans="1:3">
      <c r="A24532" s="569" t="s">
        <v>1479</v>
      </c>
      <c r="B24532" s="570">
        <v>2636.6349221654632</v>
      </c>
      <c r="C24532" s="570">
        <v>155.696</v>
      </c>
    </row>
    <row r="24533" spans="1:3">
      <c r="A24533" s="569" t="s">
        <v>1479</v>
      </c>
      <c r="B24533" s="570">
        <v>2858.5118702215004</v>
      </c>
      <c r="C24533" s="570">
        <v>174.684</v>
      </c>
    </row>
    <row r="24534" spans="1:3">
      <c r="A24534" s="569" t="s">
        <v>1479</v>
      </c>
      <c r="B24534" s="570">
        <v>3226.7847814206439</v>
      </c>
      <c r="C24534" s="570">
        <v>174.684</v>
      </c>
    </row>
    <row r="24535" spans="1:3">
      <c r="A24535" s="569" t="s">
        <v>1479</v>
      </c>
      <c r="B24535" s="570">
        <v>3605.9524866416441</v>
      </c>
      <c r="C24535" s="570">
        <v>155.696</v>
      </c>
    </row>
    <row r="24536" spans="1:3">
      <c r="A24536" s="569" t="s">
        <v>1479</v>
      </c>
      <c r="B24536" s="570">
        <v>3831.1574442243777</v>
      </c>
      <c r="C24536" s="570">
        <v>144.304</v>
      </c>
    </row>
    <row r="24537" spans="1:3">
      <c r="A24537" s="569" t="s">
        <v>1479</v>
      </c>
      <c r="B24537" s="570">
        <v>4029.582019708123</v>
      </c>
      <c r="C24537" s="570">
        <v>132.911</v>
      </c>
    </row>
    <row r="24538" spans="1:3">
      <c r="A24538" s="569" t="s">
        <v>1479</v>
      </c>
      <c r="B24538" s="570">
        <v>4324.7399687347342</v>
      </c>
      <c r="C24538" s="570">
        <v>186.07599999999999</v>
      </c>
    </row>
    <row r="24539" spans="1:3">
      <c r="A24539" s="569" t="s">
        <v>1479</v>
      </c>
      <c r="B24539" s="570">
        <v>4548.7283338350717</v>
      </c>
      <c r="C24539" s="570">
        <v>201.26599999999999</v>
      </c>
    </row>
    <row r="24540" spans="1:3">
      <c r="A24540" s="569" t="s">
        <v>1479</v>
      </c>
      <c r="B24540" s="570">
        <v>4784.3175785404155</v>
      </c>
      <c r="C24540" s="570">
        <v>197.46799999999999</v>
      </c>
    </row>
    <row r="24541" spans="1:3">
      <c r="A24541" s="569" t="s">
        <v>1479</v>
      </c>
      <c r="B24541" s="570">
        <v>4931.5109298489479</v>
      </c>
      <c r="C24541" s="570">
        <v>170.886</v>
      </c>
    </row>
    <row r="24542" spans="1:3">
      <c r="A24542" s="569" t="s">
        <v>1479</v>
      </c>
      <c r="B24542" s="570">
        <v>10517.923312660725</v>
      </c>
      <c r="C24542" s="570">
        <v>212.65799999999999</v>
      </c>
    </row>
    <row r="24543" spans="1:3">
      <c r="A24543" s="569" t="s">
        <v>1479</v>
      </c>
      <c r="B24543" s="570">
        <v>10841.515623535075</v>
      </c>
      <c r="C24543" s="570">
        <v>246.83500000000001</v>
      </c>
    </row>
    <row r="24544" spans="1:3">
      <c r="A24544" s="571" t="s">
        <v>1478</v>
      </c>
      <c r="B24544" s="572">
        <v>1.0100899999999999</v>
      </c>
      <c r="C24544" s="572">
        <v>4.5524199999999997</v>
      </c>
    </row>
    <row r="24545" spans="1:3">
      <c r="A24545" s="571" t="s">
        <v>1478</v>
      </c>
      <c r="B24545" s="572">
        <v>1.9997799999999999</v>
      </c>
      <c r="C24545" s="572">
        <v>28.728300000000001</v>
      </c>
    </row>
    <row r="24546" spans="1:3">
      <c r="A24546" s="571" t="s">
        <v>1478</v>
      </c>
      <c r="B24546" s="572">
        <v>3.9991099999999999</v>
      </c>
      <c r="C24546" s="572">
        <v>4.3256300000000003</v>
      </c>
    </row>
    <row r="24547" spans="1:3">
      <c r="A24547" s="571" t="s">
        <v>1478</v>
      </c>
      <c r="B24547" s="572">
        <v>7.0183900000000001</v>
      </c>
      <c r="C24547" s="572">
        <v>19.4132</v>
      </c>
    </row>
    <row r="24548" spans="1:3">
      <c r="A24548" s="571" t="s">
        <v>1478</v>
      </c>
      <c r="B24548" s="572">
        <v>11.0288</v>
      </c>
      <c r="C24548" s="572">
        <v>10.230499999999999</v>
      </c>
    </row>
    <row r="24549" spans="1:3">
      <c r="A24549" s="571" t="s">
        <v>1478</v>
      </c>
      <c r="B24549" s="572">
        <v>21.186699999999998</v>
      </c>
      <c r="C24549" s="572">
        <v>28.339300000000001</v>
      </c>
    </row>
    <row r="24550" spans="1:3">
      <c r="A24550" s="571" t="s">
        <v>1478</v>
      </c>
      <c r="B24550" s="572">
        <v>31.032800000000002</v>
      </c>
      <c r="C24550" s="572">
        <v>37.384500000000003</v>
      </c>
    </row>
    <row r="24551" spans="1:3">
      <c r="A24551" s="571" t="s">
        <v>1478</v>
      </c>
      <c r="B24551" s="572">
        <v>63.317900000000002</v>
      </c>
      <c r="C24551" s="572">
        <v>46.375100000000003</v>
      </c>
    </row>
    <row r="24552" spans="1:3">
      <c r="A24552" s="571" t="s">
        <v>1478</v>
      </c>
      <c r="B24552" s="572">
        <v>78.975399999999993</v>
      </c>
      <c r="C24552" s="572">
        <v>46.338700000000003</v>
      </c>
    </row>
    <row r="24553" spans="1:3">
      <c r="A24553" s="573" t="s">
        <v>1478</v>
      </c>
      <c r="B24553" s="574">
        <v>106.746</v>
      </c>
      <c r="C24553" s="574">
        <v>43.253</v>
      </c>
    </row>
    <row r="24554" spans="1:3">
      <c r="A24554" s="573" t="s">
        <v>1478</v>
      </c>
      <c r="B24554" s="574">
        <v>129.191</v>
      </c>
      <c r="C24554" s="574">
        <v>52.329700000000003</v>
      </c>
    </row>
    <row r="24555" spans="1:3">
      <c r="A24555" s="573" t="s">
        <v>1478</v>
      </c>
      <c r="B24555" s="574">
        <v>236.024</v>
      </c>
      <c r="C24555" s="574">
        <v>73.482699999999994</v>
      </c>
    </row>
    <row r="24556" spans="1:3">
      <c r="A24556" s="573" t="s">
        <v>1478</v>
      </c>
      <c r="B24556" s="574">
        <v>322.24</v>
      </c>
      <c r="C24556" s="574">
        <v>128.08000000000001</v>
      </c>
    </row>
    <row r="24557" spans="1:3">
      <c r="A24557" s="569" t="s">
        <v>1478</v>
      </c>
      <c r="B24557" s="570">
        <v>521.86400000000003</v>
      </c>
      <c r="C24557" s="570">
        <v>140.14500000000001</v>
      </c>
    </row>
    <row r="24558" spans="1:3">
      <c r="A24558" s="569" t="s">
        <v>1478</v>
      </c>
      <c r="B24558" s="570">
        <v>577.00300000000004</v>
      </c>
      <c r="C24558" s="570">
        <v>173.52500000000001</v>
      </c>
    </row>
    <row r="24559" spans="1:3">
      <c r="A24559" s="569" t="s">
        <v>1478</v>
      </c>
      <c r="B24559" s="570">
        <v>734.28899999999999</v>
      </c>
      <c r="C24559" s="570">
        <v>191.702</v>
      </c>
    </row>
    <row r="24560" spans="1:3">
      <c r="A24560" s="569" t="s">
        <v>1478</v>
      </c>
      <c r="B24560" s="570">
        <v>1075.54</v>
      </c>
      <c r="C24560" s="570">
        <v>197.71100000000001</v>
      </c>
    </row>
    <row r="24561" spans="1:3">
      <c r="A24561" s="569" t="s">
        <v>1478</v>
      </c>
      <c r="B24561" s="570">
        <v>1368.72</v>
      </c>
      <c r="C24561" s="570">
        <v>228.03200000000001</v>
      </c>
    </row>
    <row r="24562" spans="1:3">
      <c r="A24562" s="569" t="s">
        <v>1478</v>
      </c>
      <c r="B24562" s="570">
        <v>2025.04</v>
      </c>
      <c r="C24562" s="570">
        <v>319.04899999999998</v>
      </c>
    </row>
    <row r="24563" spans="1:3">
      <c r="A24563" s="569" t="s">
        <v>1478</v>
      </c>
      <c r="B24563" s="570">
        <v>2737.13</v>
      </c>
      <c r="C24563" s="570">
        <v>300.78300000000002</v>
      </c>
    </row>
    <row r="24564" spans="1:3">
      <c r="A24564" s="569" t="s">
        <v>1478</v>
      </c>
      <c r="B24564" s="570">
        <v>2907.15</v>
      </c>
      <c r="C24564" s="570">
        <v>318.98899999999998</v>
      </c>
    </row>
    <row r="24565" spans="1:3">
      <c r="A24565" s="569" t="s">
        <v>1478</v>
      </c>
      <c r="B24565" s="570">
        <v>3118.91</v>
      </c>
      <c r="C24565" s="570">
        <v>343.26600000000002</v>
      </c>
    </row>
    <row r="24566" spans="1:3">
      <c r="A24566" s="569" t="s">
        <v>1478</v>
      </c>
      <c r="B24566" s="570">
        <v>3483.25</v>
      </c>
      <c r="C24566" s="570">
        <v>416.113</v>
      </c>
    </row>
    <row r="24567" spans="1:3">
      <c r="A24567" s="569" t="s">
        <v>1478</v>
      </c>
      <c r="B24567" s="570">
        <v>5051.04</v>
      </c>
      <c r="C24567" s="570">
        <v>422.12400000000002</v>
      </c>
    </row>
    <row r="24568" spans="1:3">
      <c r="A24568" s="569" t="s">
        <v>1478</v>
      </c>
      <c r="B24568" s="570">
        <v>10946.1</v>
      </c>
      <c r="C24568" s="570">
        <v>616.30399999999997</v>
      </c>
    </row>
    <row r="24569" spans="1:3">
      <c r="A24569" s="571" t="s">
        <v>1477</v>
      </c>
      <c r="B24569" s="572">
        <v>3.04921</v>
      </c>
      <c r="C24569" s="572">
        <v>43.838999999999999</v>
      </c>
    </row>
    <row r="24570" spans="1:3">
      <c r="A24570" s="571" t="s">
        <v>1477</v>
      </c>
      <c r="B24570" s="572">
        <v>7.0183900000000001</v>
      </c>
      <c r="C24570" s="572">
        <v>43.701599999999999</v>
      </c>
    </row>
    <row r="24571" spans="1:3">
      <c r="A24571" s="571" t="s">
        <v>1477</v>
      </c>
      <c r="B24571" s="572">
        <v>8.9315499999999997</v>
      </c>
      <c r="C24571" s="572">
        <v>40.625799999999998</v>
      </c>
    </row>
    <row r="24572" spans="1:3">
      <c r="A24572" s="571" t="s">
        <v>1477</v>
      </c>
      <c r="B24572" s="572">
        <v>10.177300000000001</v>
      </c>
      <c r="C24572" s="572">
        <v>22.388000000000002</v>
      </c>
    </row>
    <row r="24573" spans="1:3">
      <c r="A24573" s="571" t="s">
        <v>1477</v>
      </c>
      <c r="B24573" s="572">
        <v>11.0288</v>
      </c>
      <c r="C24573" s="572">
        <v>40.591099999999997</v>
      </c>
    </row>
    <row r="24574" spans="1:3">
      <c r="A24574" s="571" t="s">
        <v>1477</v>
      </c>
      <c r="B24574" s="572">
        <v>15.057499999999999</v>
      </c>
      <c r="C24574" s="572">
        <v>22.323399999999999</v>
      </c>
    </row>
    <row r="24575" spans="1:3">
      <c r="A24575" s="571" t="s">
        <v>1477</v>
      </c>
      <c r="B24575" s="572">
        <v>18.223500000000001</v>
      </c>
      <c r="C24575" s="572">
        <v>43.544400000000003</v>
      </c>
    </row>
    <row r="24576" spans="1:3">
      <c r="A24576" s="571" t="s">
        <v>1477</v>
      </c>
      <c r="B24576" s="572">
        <v>20.975000000000001</v>
      </c>
      <c r="C24576" s="572">
        <v>55.665399999999998</v>
      </c>
    </row>
    <row r="24577" spans="1:3">
      <c r="A24577" s="571" t="s">
        <v>1477</v>
      </c>
      <c r="B24577" s="572">
        <v>23.900500000000001</v>
      </c>
      <c r="C24577" s="572">
        <v>43.499699999999997</v>
      </c>
    </row>
    <row r="24578" spans="1:3">
      <c r="A24578" s="571" t="s">
        <v>1477</v>
      </c>
      <c r="B24578" s="572">
        <v>31.3461</v>
      </c>
      <c r="C24578" s="572">
        <v>73.8155</v>
      </c>
    </row>
    <row r="24579" spans="1:3">
      <c r="A24579" s="571" t="s">
        <v>1477</v>
      </c>
      <c r="B24579" s="572">
        <v>38.319899999999997</v>
      </c>
      <c r="C24579" s="572">
        <v>55.566099999999999</v>
      </c>
    </row>
    <row r="24580" spans="1:3">
      <c r="A24580" s="571" t="s">
        <v>1477</v>
      </c>
      <c r="B24580" s="572">
        <v>50.257300000000001</v>
      </c>
      <c r="C24580" s="572">
        <v>76.773700000000005</v>
      </c>
    </row>
    <row r="24581" spans="1:3">
      <c r="A24581" s="571" t="s">
        <v>1477</v>
      </c>
      <c r="B24581" s="572">
        <v>63.957099999999997</v>
      </c>
      <c r="C24581" s="572">
        <v>73.697999999999993</v>
      </c>
    </row>
    <row r="24582" spans="1:3">
      <c r="A24582" s="571" t="s">
        <v>1477</v>
      </c>
      <c r="B24582" s="572">
        <v>77.404799999999994</v>
      </c>
      <c r="C24582" s="572">
        <v>76.702600000000004</v>
      </c>
    </row>
    <row r="24583" spans="1:3">
      <c r="A24583" s="571" t="s">
        <v>1477</v>
      </c>
      <c r="B24583" s="572">
        <v>84.727800000000002</v>
      </c>
      <c r="C24583" s="572">
        <v>76.687700000000007</v>
      </c>
    </row>
    <row r="24584" spans="1:3">
      <c r="A24584" s="573" t="s">
        <v>1477</v>
      </c>
      <c r="B24584" s="574">
        <v>113.377</v>
      </c>
      <c r="C24584" s="574">
        <v>82.711799999999997</v>
      </c>
    </row>
    <row r="24585" spans="1:3">
      <c r="A24585" s="573" t="s">
        <v>1477</v>
      </c>
      <c r="B24585" s="574">
        <v>127.9</v>
      </c>
      <c r="C24585" s="574">
        <v>91.8</v>
      </c>
    </row>
    <row r="24586" spans="1:3">
      <c r="A24586" s="573" t="s">
        <v>1477</v>
      </c>
      <c r="B24586" s="574">
        <v>140</v>
      </c>
      <c r="C24586" s="574">
        <v>103.929</v>
      </c>
    </row>
    <row r="24587" spans="1:3">
      <c r="A24587" s="573" t="s">
        <v>1477</v>
      </c>
      <c r="B24587" s="574">
        <v>154.792</v>
      </c>
      <c r="C24587" s="574">
        <v>100.877</v>
      </c>
    </row>
    <row r="24588" spans="1:3">
      <c r="A24588" s="573" t="s">
        <v>1477</v>
      </c>
      <c r="B24588" s="574">
        <v>169.43700000000001</v>
      </c>
      <c r="C24588" s="574">
        <v>97.825800000000001</v>
      </c>
    </row>
    <row r="24589" spans="1:3">
      <c r="A24589" s="573" t="s">
        <v>1477</v>
      </c>
      <c r="B24589" s="574">
        <v>183.613</v>
      </c>
      <c r="C24589" s="574">
        <v>100.849</v>
      </c>
    </row>
    <row r="24590" spans="1:3">
      <c r="A24590" s="573" t="s">
        <v>1477</v>
      </c>
      <c r="B24590" s="574">
        <v>213.46899999999999</v>
      </c>
      <c r="C24590" s="574">
        <v>112.968</v>
      </c>
    </row>
    <row r="24591" spans="1:3">
      <c r="A24591" s="573" t="s">
        <v>1477</v>
      </c>
      <c r="B24591" s="574">
        <v>222.22</v>
      </c>
      <c r="C24591" s="574">
        <v>140.286</v>
      </c>
    </row>
    <row r="24592" spans="1:3">
      <c r="A24592" s="573" t="s">
        <v>1477</v>
      </c>
      <c r="B24592" s="574">
        <v>248.179</v>
      </c>
      <c r="C24592" s="574">
        <v>146.34</v>
      </c>
    </row>
    <row r="24593" spans="1:3">
      <c r="A24593" s="573" t="s">
        <v>1477</v>
      </c>
      <c r="B24593" s="574">
        <v>274.40100000000001</v>
      </c>
      <c r="C24593" s="574">
        <v>149.35900000000001</v>
      </c>
    </row>
    <row r="24594" spans="1:3">
      <c r="A24594" s="573" t="s">
        <v>1477</v>
      </c>
      <c r="B24594" s="574">
        <v>303.39400000000001</v>
      </c>
      <c r="C24594" s="574">
        <v>161.48699999999999</v>
      </c>
    </row>
    <row r="24595" spans="1:3">
      <c r="A24595" s="573" t="s">
        <v>1477</v>
      </c>
      <c r="B24595" s="574">
        <v>332.09699999999998</v>
      </c>
      <c r="C24595" s="574">
        <v>155.4</v>
      </c>
    </row>
    <row r="24596" spans="1:3">
      <c r="A24596" s="573" t="s">
        <v>1477</v>
      </c>
      <c r="B24596" s="574">
        <v>359.88299999999998</v>
      </c>
      <c r="C24596" s="574">
        <v>158.423</v>
      </c>
    </row>
    <row r="24597" spans="1:3">
      <c r="A24597" s="573" t="s">
        <v>1477</v>
      </c>
      <c r="B24597" s="574">
        <v>386.096</v>
      </c>
      <c r="C24597" s="574">
        <v>164.483</v>
      </c>
    </row>
    <row r="24598" spans="1:3">
      <c r="A24598" s="573" t="s">
        <v>1477</v>
      </c>
      <c r="B24598" s="574">
        <v>444.39</v>
      </c>
      <c r="C24598" s="574">
        <v>176.60400000000001</v>
      </c>
    </row>
    <row r="24599" spans="1:3">
      <c r="A24599" s="569" t="s">
        <v>1477</v>
      </c>
      <c r="B24599" s="570">
        <v>506.37400000000002</v>
      </c>
      <c r="C24599" s="570">
        <v>173.547</v>
      </c>
    </row>
    <row r="24600" spans="1:3">
      <c r="A24600" s="569" t="s">
        <v>1477</v>
      </c>
      <c r="B24600" s="570">
        <v>565.52700000000004</v>
      </c>
      <c r="C24600" s="570">
        <v>203.88900000000001</v>
      </c>
    </row>
    <row r="24601" spans="1:3">
      <c r="A24601" s="569" t="s">
        <v>1477</v>
      </c>
      <c r="B24601" s="570">
        <v>619.03099999999995</v>
      </c>
      <c r="C24601" s="570">
        <v>203.874</v>
      </c>
    </row>
    <row r="24602" spans="1:3">
      <c r="A24602" s="569" t="s">
        <v>1477</v>
      </c>
      <c r="B24602" s="570">
        <v>670.82399999999996</v>
      </c>
      <c r="C24602" s="570">
        <v>212.96899999999999</v>
      </c>
    </row>
    <row r="24603" spans="1:3">
      <c r="A24603" s="569" t="s">
        <v>1477</v>
      </c>
      <c r="B24603" s="570">
        <v>726.95100000000002</v>
      </c>
      <c r="C24603" s="570">
        <v>215.99199999999999</v>
      </c>
    </row>
    <row r="24604" spans="1:3">
      <c r="A24604" s="569" t="s">
        <v>1477</v>
      </c>
      <c r="B24604" s="570">
        <v>845.154</v>
      </c>
      <c r="C24604" s="570">
        <v>215.96700000000001</v>
      </c>
    </row>
    <row r="24605" spans="1:3">
      <c r="A24605" s="569" t="s">
        <v>1477</v>
      </c>
      <c r="B24605" s="570">
        <v>915.86599999999999</v>
      </c>
      <c r="C24605" s="570">
        <v>212.91800000000001</v>
      </c>
    </row>
    <row r="24606" spans="1:3">
      <c r="A24606" s="569" t="s">
        <v>1477</v>
      </c>
      <c r="B24606" s="570">
        <v>1002.51</v>
      </c>
      <c r="C24606" s="570">
        <v>215.93899999999999</v>
      </c>
    </row>
    <row r="24607" spans="1:3">
      <c r="A24607" s="569" t="s">
        <v>1477</v>
      </c>
      <c r="B24607" s="570">
        <v>1012.63</v>
      </c>
      <c r="C24607" s="570">
        <v>261.47800000000001</v>
      </c>
    </row>
    <row r="24608" spans="1:3">
      <c r="A24608" s="569" t="s">
        <v>1477</v>
      </c>
      <c r="B24608" s="570">
        <v>1108.44</v>
      </c>
      <c r="C24608" s="570">
        <v>282.71499999999997</v>
      </c>
    </row>
    <row r="24609" spans="1:3">
      <c r="A24609" s="569" t="s">
        <v>1477</v>
      </c>
      <c r="B24609" s="570">
        <v>1189.17</v>
      </c>
      <c r="C24609" s="570">
        <v>282.70400000000001</v>
      </c>
    </row>
    <row r="24610" spans="1:3">
      <c r="A24610" s="569" t="s">
        <v>1477</v>
      </c>
      <c r="B24610" s="570">
        <v>1275.79</v>
      </c>
      <c r="C24610" s="570">
        <v>261.44</v>
      </c>
    </row>
    <row r="24611" spans="1:3">
      <c r="A24611" s="569" t="s">
        <v>1477</v>
      </c>
      <c r="B24611" s="570">
        <v>1639.95</v>
      </c>
      <c r="C24611" s="570">
        <v>306.93900000000002</v>
      </c>
    </row>
    <row r="24612" spans="1:3">
      <c r="A24612" s="569" t="s">
        <v>1477</v>
      </c>
      <c r="B24612" s="570">
        <v>1777.16</v>
      </c>
      <c r="C24612" s="570">
        <v>328.178</v>
      </c>
    </row>
    <row r="24613" spans="1:3">
      <c r="A24613" s="569" t="s">
        <v>1477</v>
      </c>
      <c r="B24613" s="570">
        <v>1868.69</v>
      </c>
      <c r="C24613" s="570">
        <v>322.09800000000001</v>
      </c>
    </row>
    <row r="24614" spans="1:3">
      <c r="A24614" s="569" t="s">
        <v>1477</v>
      </c>
      <c r="B24614" s="570">
        <v>2066.13</v>
      </c>
      <c r="C24614" s="570">
        <v>340.298</v>
      </c>
    </row>
    <row r="24615" spans="1:3">
      <c r="A24615" s="569" t="s">
        <v>1477</v>
      </c>
      <c r="B24615" s="570">
        <v>2284.4299999999998</v>
      </c>
      <c r="C24615" s="570">
        <v>340.28100000000001</v>
      </c>
    </row>
    <row r="24616" spans="1:3">
      <c r="A24616" s="569" t="s">
        <v>1477</v>
      </c>
      <c r="B24616" s="570">
        <v>2936.5</v>
      </c>
      <c r="C24616" s="570">
        <v>364.52800000000002</v>
      </c>
    </row>
    <row r="24617" spans="1:3">
      <c r="A24617" s="569" t="s">
        <v>1477</v>
      </c>
      <c r="B24617" s="570">
        <v>3026.33</v>
      </c>
      <c r="C24617" s="570">
        <v>388.81200000000001</v>
      </c>
    </row>
    <row r="24618" spans="1:3">
      <c r="A24618" s="569" t="s">
        <v>1477</v>
      </c>
      <c r="B24618" s="570">
        <v>5153.53</v>
      </c>
      <c r="C24618" s="570">
        <v>397.83199999999999</v>
      </c>
    </row>
    <row r="24619" spans="1:3">
      <c r="A24619" s="569" t="s">
        <v>1477</v>
      </c>
      <c r="B24619" s="570">
        <v>10836.7</v>
      </c>
      <c r="C24619" s="570">
        <v>573.80100000000004</v>
      </c>
    </row>
    <row r="24620" spans="1:3">
      <c r="A24620" s="571" t="s">
        <v>1476</v>
      </c>
      <c r="B24620" s="572">
        <v>2.9885700000000002</v>
      </c>
      <c r="C24620" s="572">
        <v>1.6984699999999999</v>
      </c>
    </row>
    <row r="24621" spans="1:3">
      <c r="A24621" s="571" t="s">
        <v>1476</v>
      </c>
      <c r="B24621" s="572">
        <v>3.9991099999999999</v>
      </c>
      <c r="C24621" s="572">
        <v>10.3977</v>
      </c>
    </row>
    <row r="24622" spans="1:3">
      <c r="A24622" s="571" t="s">
        <v>1476</v>
      </c>
      <c r="B24622" s="572">
        <v>7.0183900000000001</v>
      </c>
      <c r="C24622" s="572">
        <v>4.2329299999999996</v>
      </c>
    </row>
    <row r="24623" spans="1:3">
      <c r="A24623" s="571" t="s">
        <v>1476</v>
      </c>
      <c r="B24623" s="572">
        <v>8.8422900000000002</v>
      </c>
      <c r="C24623" s="572">
        <v>7.2309099999999997</v>
      </c>
    </row>
    <row r="24624" spans="1:3">
      <c r="A24624" s="571" t="s">
        <v>1476</v>
      </c>
      <c r="B24624" s="572">
        <v>9.9749199999999991</v>
      </c>
      <c r="C24624" s="572">
        <v>22.391300000000001</v>
      </c>
    </row>
    <row r="24625" spans="1:3">
      <c r="A24625" s="571" t="s">
        <v>1476</v>
      </c>
      <c r="B24625" s="572">
        <v>20.975000000000001</v>
      </c>
      <c r="C24625" s="572">
        <v>7.0885400000000001</v>
      </c>
    </row>
    <row r="24626" spans="1:3">
      <c r="A24626" s="571" t="s">
        <v>1476</v>
      </c>
      <c r="B24626" s="572">
        <v>30.7227</v>
      </c>
      <c r="C24626" s="572">
        <v>10.0617</v>
      </c>
    </row>
    <row r="24627" spans="1:3">
      <c r="A24627" s="571" t="s">
        <v>1476</v>
      </c>
      <c r="B24627" s="572">
        <v>37.936900000000001</v>
      </c>
      <c r="C24627" s="572">
        <v>28.243200000000002</v>
      </c>
    </row>
    <row r="24628" spans="1:3">
      <c r="A24628" s="571" t="s">
        <v>1476</v>
      </c>
      <c r="B24628" s="572">
        <v>50.257300000000001</v>
      </c>
      <c r="C24628" s="572">
        <v>25.160799999999998</v>
      </c>
    </row>
    <row r="24629" spans="1:3">
      <c r="A24629" s="571" t="s">
        <v>1476</v>
      </c>
      <c r="B24629" s="572">
        <v>64.602699999999999</v>
      </c>
      <c r="C24629" s="572">
        <v>28.1555</v>
      </c>
    </row>
    <row r="24630" spans="1:3">
      <c r="A24630" s="571" t="s">
        <v>1476</v>
      </c>
      <c r="B24630" s="572">
        <v>78.186099999999996</v>
      </c>
      <c r="C24630" s="572">
        <v>37.232199999999999</v>
      </c>
    </row>
    <row r="24631" spans="1:3">
      <c r="A24631" s="571" t="s">
        <v>1476</v>
      </c>
      <c r="B24631" s="572">
        <v>92.743700000000004</v>
      </c>
      <c r="C24631" s="572">
        <v>34.167999999999999</v>
      </c>
    </row>
    <row r="24632" spans="1:3">
      <c r="A24632" s="573" t="s">
        <v>1476</v>
      </c>
      <c r="B24632" s="574">
        <v>101.518</v>
      </c>
      <c r="C24632" s="574">
        <v>31.117100000000001</v>
      </c>
    </row>
    <row r="24633" spans="1:3">
      <c r="A24633" s="573" t="s">
        <v>1476</v>
      </c>
      <c r="B24633" s="574">
        <v>127.9</v>
      </c>
      <c r="C24633" s="574">
        <v>28.042899999999999</v>
      </c>
    </row>
    <row r="24634" spans="1:3">
      <c r="A24634" s="573" t="s">
        <v>1476</v>
      </c>
      <c r="B24634" s="574">
        <v>154.792</v>
      </c>
      <c r="C24634" s="574">
        <v>58.372</v>
      </c>
    </row>
    <row r="24635" spans="1:3">
      <c r="A24635" s="573" t="s">
        <v>1476</v>
      </c>
      <c r="B24635" s="574">
        <v>181.77799999999999</v>
      </c>
      <c r="C24635" s="574">
        <v>67.453699999999998</v>
      </c>
    </row>
    <row r="24636" spans="1:3">
      <c r="A24636" s="573" t="s">
        <v>1476</v>
      </c>
      <c r="B24636" s="574">
        <v>217.80099999999999</v>
      </c>
      <c r="C24636" s="574">
        <v>73.495999999999995</v>
      </c>
    </row>
    <row r="24637" spans="1:3">
      <c r="A24637" s="573" t="s">
        <v>1476</v>
      </c>
      <c r="B24637" s="574">
        <v>233.66499999999999</v>
      </c>
      <c r="C24637" s="574">
        <v>97.772800000000004</v>
      </c>
    </row>
    <row r="24638" spans="1:3">
      <c r="A24638" s="573" t="s">
        <v>1476</v>
      </c>
      <c r="B24638" s="574">
        <v>253.215</v>
      </c>
      <c r="C24638" s="574">
        <v>103.83199999999999</v>
      </c>
    </row>
    <row r="24639" spans="1:3">
      <c r="A24639" s="573" t="s">
        <v>1476</v>
      </c>
      <c r="B24639" s="574">
        <v>279.96899999999999</v>
      </c>
      <c r="C24639" s="574">
        <v>103.815</v>
      </c>
    </row>
    <row r="24640" spans="1:3">
      <c r="A24640" s="573" t="s">
        <v>1476</v>
      </c>
      <c r="B24640" s="574">
        <v>332.09699999999998</v>
      </c>
      <c r="C24640" s="574">
        <v>118.967</v>
      </c>
    </row>
    <row r="24641" spans="1:3">
      <c r="A24641" s="573" t="s">
        <v>1476</v>
      </c>
      <c r="B24641" s="574">
        <v>367.185</v>
      </c>
      <c r="C24641" s="574">
        <v>118.95099999999999</v>
      </c>
    </row>
    <row r="24642" spans="1:3">
      <c r="A24642" s="573" t="s">
        <v>1476</v>
      </c>
      <c r="B24642" s="574">
        <v>389.99400000000003</v>
      </c>
      <c r="C24642" s="574">
        <v>131.08500000000001</v>
      </c>
    </row>
    <row r="24643" spans="1:3">
      <c r="A24643" s="573" t="s">
        <v>1476</v>
      </c>
      <c r="B24643" s="574">
        <v>426.89</v>
      </c>
      <c r="C24643" s="574">
        <v>134.10599999999999</v>
      </c>
    </row>
    <row r="24644" spans="1:3">
      <c r="A24644" s="573" t="s">
        <v>1476</v>
      </c>
      <c r="B24644" s="574">
        <v>453.40699999999998</v>
      </c>
      <c r="C24644" s="574">
        <v>143.20400000000001</v>
      </c>
    </row>
    <row r="24645" spans="1:3">
      <c r="A24645" s="569" t="s">
        <v>1476</v>
      </c>
      <c r="B24645" s="570">
        <v>511.48500000000001</v>
      </c>
      <c r="C24645" s="570">
        <v>128.00399999999999</v>
      </c>
    </row>
    <row r="24646" spans="1:3">
      <c r="A24646" s="569" t="s">
        <v>1476</v>
      </c>
      <c r="B24646" s="570">
        <v>565.52700000000004</v>
      </c>
      <c r="C24646" s="570">
        <v>164.42</v>
      </c>
    </row>
    <row r="24647" spans="1:3">
      <c r="A24647" s="569" t="s">
        <v>1476</v>
      </c>
      <c r="B24647" s="570">
        <v>625.279</v>
      </c>
      <c r="C24647" s="570">
        <v>161.36799999999999</v>
      </c>
    </row>
    <row r="24648" spans="1:3">
      <c r="A24648" s="569" t="s">
        <v>1476</v>
      </c>
      <c r="B24648" s="570">
        <v>670.82399999999996</v>
      </c>
      <c r="C24648" s="570">
        <v>173.5</v>
      </c>
    </row>
    <row r="24649" spans="1:3">
      <c r="A24649" s="569" t="s">
        <v>1476</v>
      </c>
      <c r="B24649" s="570">
        <v>726.95100000000002</v>
      </c>
      <c r="C24649" s="570">
        <v>167.41499999999999</v>
      </c>
    </row>
    <row r="24650" spans="1:3">
      <c r="A24650" s="569" t="s">
        <v>1476</v>
      </c>
      <c r="B24650" s="570">
        <v>787.77300000000002</v>
      </c>
      <c r="C24650" s="570">
        <v>170.43799999999999</v>
      </c>
    </row>
    <row r="24651" spans="1:3">
      <c r="A24651" s="569" t="s">
        <v>1476</v>
      </c>
      <c r="B24651" s="570">
        <v>845.154</v>
      </c>
      <c r="C24651" s="570">
        <v>191.679</v>
      </c>
    </row>
    <row r="24652" spans="1:3">
      <c r="A24652" s="569" t="s">
        <v>1476</v>
      </c>
      <c r="B24652" s="570">
        <v>915.86599999999999</v>
      </c>
      <c r="C24652" s="570">
        <v>179.52099999999999</v>
      </c>
    </row>
    <row r="24653" spans="1:3">
      <c r="A24653" s="569" t="s">
        <v>1476</v>
      </c>
      <c r="B24653" s="570">
        <v>1012.63</v>
      </c>
      <c r="C24653" s="570">
        <v>179.505</v>
      </c>
    </row>
    <row r="24654" spans="1:3">
      <c r="A24654" s="569" t="s">
        <v>1476</v>
      </c>
      <c r="B24654" s="570">
        <v>1165.52</v>
      </c>
      <c r="C24654" s="570">
        <v>225.02199999999999</v>
      </c>
    </row>
    <row r="24655" spans="1:3">
      <c r="A24655" s="569" t="s">
        <v>1476</v>
      </c>
      <c r="B24655" s="570">
        <v>1328.09</v>
      </c>
      <c r="C24655" s="570">
        <v>206.78399999999999</v>
      </c>
    </row>
    <row r="24656" spans="1:3">
      <c r="A24656" s="569" t="s">
        <v>1476</v>
      </c>
      <c r="B24656" s="570">
        <v>1424.83</v>
      </c>
      <c r="C24656" s="570">
        <v>276.60199999999998</v>
      </c>
    </row>
    <row r="24657" spans="1:3">
      <c r="A24657" s="569" t="s">
        <v>1476</v>
      </c>
      <c r="B24657" s="570">
        <v>1544.04</v>
      </c>
      <c r="C24657" s="570">
        <v>240.15600000000001</v>
      </c>
    </row>
    <row r="24658" spans="1:3">
      <c r="A24658" s="569" t="s">
        <v>1476</v>
      </c>
      <c r="B24658" s="570">
        <v>1639.95</v>
      </c>
      <c r="C24658" s="570">
        <v>240.14599999999999</v>
      </c>
    </row>
    <row r="24659" spans="1:3">
      <c r="A24659" s="569" t="s">
        <v>1476</v>
      </c>
      <c r="B24659" s="570">
        <v>1831.53</v>
      </c>
      <c r="C24659" s="570">
        <v>285.66899999999998</v>
      </c>
    </row>
    <row r="24660" spans="1:3">
      <c r="A24660" s="569" t="s">
        <v>1476</v>
      </c>
      <c r="B24660" s="570">
        <v>2066.13</v>
      </c>
      <c r="C24660" s="570">
        <v>297.79300000000001</v>
      </c>
    </row>
    <row r="24661" spans="1:3">
      <c r="A24661" s="569" t="s">
        <v>1476</v>
      </c>
      <c r="B24661" s="570">
        <v>2284.4299999999998</v>
      </c>
      <c r="C24661" s="570">
        <v>297.77699999999999</v>
      </c>
    </row>
    <row r="24662" spans="1:3">
      <c r="A24662" s="569" t="s">
        <v>1476</v>
      </c>
      <c r="B24662" s="570">
        <v>2450.83</v>
      </c>
      <c r="C24662" s="570">
        <v>279.54899999999998</v>
      </c>
    </row>
    <row r="24663" spans="1:3">
      <c r="A24663" s="569" t="s">
        <v>1476</v>
      </c>
      <c r="B24663" s="570">
        <v>2737.13</v>
      </c>
      <c r="C24663" s="570">
        <v>267.38600000000002</v>
      </c>
    </row>
    <row r="24664" spans="1:3">
      <c r="A24664" s="569" t="s">
        <v>1476</v>
      </c>
      <c r="B24664" s="570">
        <v>3312.64</v>
      </c>
      <c r="C24664" s="570">
        <v>367.54500000000002</v>
      </c>
    </row>
    <row r="24665" spans="1:3">
      <c r="A24665" s="569" t="s">
        <v>1476</v>
      </c>
      <c r="B24665" s="570">
        <v>3812.79</v>
      </c>
      <c r="C24665" s="570">
        <v>397.88200000000001</v>
      </c>
    </row>
    <row r="24666" spans="1:3">
      <c r="A24666" s="569" t="s">
        <v>1476</v>
      </c>
      <c r="B24666" s="570">
        <v>4344.6000000000004</v>
      </c>
      <c r="C24666" s="570">
        <v>340.17500000000001</v>
      </c>
    </row>
    <row r="24667" spans="1:3">
      <c r="A24667" s="569" t="s">
        <v>1476</v>
      </c>
      <c r="B24667" s="570">
        <v>4568.3599999999997</v>
      </c>
      <c r="C24667" s="570">
        <v>355.34699999999998</v>
      </c>
    </row>
    <row r="24668" spans="1:3">
      <c r="A24668" s="569" t="s">
        <v>1476</v>
      </c>
      <c r="B24668" s="570">
        <v>5102.03</v>
      </c>
      <c r="C24668" s="570">
        <v>358.36500000000001</v>
      </c>
    </row>
    <row r="24669" spans="1:3">
      <c r="A24669" s="569" t="s">
        <v>1476</v>
      </c>
      <c r="B24669" s="570">
        <v>10946.1</v>
      </c>
      <c r="C24669" s="570">
        <v>525.22199999999998</v>
      </c>
    </row>
    <row r="24670" spans="1:3">
      <c r="A24670" s="571" t="s">
        <v>1475</v>
      </c>
      <c r="B24670" s="572">
        <v>0.99000600000000005</v>
      </c>
      <c r="C24670" s="572">
        <v>1.5196799999999999</v>
      </c>
    </row>
    <row r="24671" spans="1:3">
      <c r="A24671" s="571" t="s">
        <v>1475</v>
      </c>
      <c r="B24671" s="572">
        <v>2.0199600000000002</v>
      </c>
      <c r="C24671" s="572">
        <v>1.40215</v>
      </c>
    </row>
    <row r="24672" spans="1:3">
      <c r="A24672" s="571" t="s">
        <v>1475</v>
      </c>
      <c r="B24672" s="572">
        <v>3.9991099999999999</v>
      </c>
      <c r="C24672" s="572">
        <v>13.4338</v>
      </c>
    </row>
    <row r="24673" spans="1:3">
      <c r="A24673" s="571" t="s">
        <v>1475</v>
      </c>
      <c r="B24673" s="572">
        <v>11.0288</v>
      </c>
      <c r="C24673" s="572">
        <v>10.230499999999999</v>
      </c>
    </row>
    <row r="24674" spans="1:3">
      <c r="A24674" s="571" t="s">
        <v>1475</v>
      </c>
      <c r="B24674" s="572">
        <v>13.895</v>
      </c>
      <c r="C24674" s="572">
        <v>4.1203599999999998</v>
      </c>
    </row>
    <row r="24675" spans="1:3">
      <c r="A24675" s="571" t="s">
        <v>1475</v>
      </c>
      <c r="B24675" s="572">
        <v>18.041399999999999</v>
      </c>
      <c r="C24675" s="572">
        <v>10.1494</v>
      </c>
    </row>
    <row r="24676" spans="1:3">
      <c r="A24676" s="571" t="s">
        <v>1475</v>
      </c>
      <c r="B24676" s="572">
        <v>28.636800000000001</v>
      </c>
      <c r="C24676" s="572">
        <v>28.2896</v>
      </c>
    </row>
    <row r="24677" spans="1:3">
      <c r="A24677" s="571" t="s">
        <v>1475</v>
      </c>
      <c r="B24677" s="572">
        <v>49.755099999999999</v>
      </c>
      <c r="C24677" s="572">
        <v>40.342799999999997</v>
      </c>
    </row>
    <row r="24678" spans="1:3">
      <c r="A24678" s="571" t="s">
        <v>1475</v>
      </c>
      <c r="B24678" s="572">
        <v>92.743700000000004</v>
      </c>
      <c r="C24678" s="572">
        <v>64.528499999999994</v>
      </c>
    </row>
    <row r="24679" spans="1:3">
      <c r="A24679" s="573" t="s">
        <v>1475</v>
      </c>
      <c r="B24679" s="574">
        <v>127.9</v>
      </c>
      <c r="C24679" s="574">
        <v>76.619799999999998</v>
      </c>
    </row>
    <row r="24680" spans="1:3">
      <c r="A24680" s="573" t="s">
        <v>1475</v>
      </c>
      <c r="B24680" s="574">
        <v>156.35499999999999</v>
      </c>
      <c r="C24680" s="574">
        <v>82.658799999999999</v>
      </c>
    </row>
    <row r="24681" spans="1:3">
      <c r="A24681" s="573" t="s">
        <v>1475</v>
      </c>
      <c r="B24681" s="574">
        <v>248.179</v>
      </c>
      <c r="C24681" s="574">
        <v>128.12299999999999</v>
      </c>
    </row>
    <row r="24682" spans="1:3">
      <c r="A24682" s="573" t="s">
        <v>1475</v>
      </c>
      <c r="B24682" s="574">
        <v>277.17099999999999</v>
      </c>
      <c r="C24682" s="574">
        <v>122.033</v>
      </c>
    </row>
    <row r="24683" spans="1:3">
      <c r="A24683" s="573" t="s">
        <v>1475</v>
      </c>
      <c r="B24683" s="574">
        <v>300.36200000000002</v>
      </c>
      <c r="C24683" s="574">
        <v>128.09200000000001</v>
      </c>
    </row>
    <row r="24684" spans="1:3">
      <c r="A24684" s="573" t="s">
        <v>1475</v>
      </c>
      <c r="B24684" s="574">
        <v>359.88299999999998</v>
      </c>
      <c r="C24684" s="574">
        <v>137.16999999999999</v>
      </c>
    </row>
    <row r="24685" spans="1:3">
      <c r="A24685" s="573" t="s">
        <v>1475</v>
      </c>
      <c r="B24685" s="574">
        <v>410.07900000000001</v>
      </c>
      <c r="C24685" s="574">
        <v>152.32900000000001</v>
      </c>
    </row>
    <row r="24686" spans="1:3">
      <c r="A24686" s="569" t="s">
        <v>1475</v>
      </c>
      <c r="B24686" s="570">
        <v>726.95100000000002</v>
      </c>
      <c r="C24686" s="570">
        <v>191.703</v>
      </c>
    </row>
    <row r="24687" spans="1:3">
      <c r="A24687" s="569" t="s">
        <v>1475</v>
      </c>
      <c r="B24687" s="570">
        <v>1086.3900000000001</v>
      </c>
      <c r="C24687" s="570">
        <v>252.358</v>
      </c>
    </row>
    <row r="24688" spans="1:3">
      <c r="A24688" s="569" t="s">
        <v>1475</v>
      </c>
      <c r="B24688" s="570">
        <v>1355.04</v>
      </c>
      <c r="C24688" s="570">
        <v>255.358</v>
      </c>
    </row>
    <row r="24689" spans="1:3">
      <c r="A24689" s="569" t="s">
        <v>1475</v>
      </c>
      <c r="B24689" s="570">
        <v>1410.59</v>
      </c>
      <c r="C24689" s="570">
        <v>303.928</v>
      </c>
    </row>
    <row r="24690" spans="1:3">
      <c r="A24690" s="569" t="s">
        <v>1475</v>
      </c>
      <c r="B24690" s="570">
        <v>2907.15</v>
      </c>
      <c r="C24690" s="570">
        <v>346.31400000000002</v>
      </c>
    </row>
    <row r="24691" spans="1:3">
      <c r="A24691" s="569" t="s">
        <v>1475</v>
      </c>
      <c r="B24691" s="570">
        <v>4009.16</v>
      </c>
      <c r="C24691" s="570">
        <v>346.26100000000002</v>
      </c>
    </row>
    <row r="24692" spans="1:3">
      <c r="A24692" s="569" t="s">
        <v>1475</v>
      </c>
      <c r="B24692" s="570">
        <v>4522.7</v>
      </c>
      <c r="C24692" s="570">
        <v>409.99799999999999</v>
      </c>
    </row>
    <row r="24693" spans="1:3">
      <c r="A24693" s="571" t="s">
        <v>1474</v>
      </c>
      <c r="B24693" s="572">
        <v>1.8245400000000001</v>
      </c>
      <c r="C24693" s="572">
        <v>26.909400000000002</v>
      </c>
    </row>
    <row r="24694" spans="1:3">
      <c r="A24694" s="571" t="s">
        <v>1474</v>
      </c>
      <c r="B24694" s="572">
        <v>3.98706</v>
      </c>
      <c r="C24694" s="572">
        <v>37.567300000000003</v>
      </c>
    </row>
    <row r="24695" spans="1:3">
      <c r="A24695" s="571" t="s">
        <v>1474</v>
      </c>
      <c r="B24695" s="572">
        <v>7.0590900000000003</v>
      </c>
      <c r="C24695" s="572">
        <v>19.4375</v>
      </c>
    </row>
    <row r="24696" spans="1:3">
      <c r="A24696" s="571" t="s">
        <v>1474</v>
      </c>
      <c r="B24696" s="572">
        <v>8.9786300000000008</v>
      </c>
      <c r="C24696" s="572">
        <v>22.994</v>
      </c>
    </row>
    <row r="24697" spans="1:3">
      <c r="A24697" s="571" t="s">
        <v>1474</v>
      </c>
      <c r="B24697" s="572">
        <v>10.0251</v>
      </c>
      <c r="C24697" s="572">
        <v>22.9725</v>
      </c>
    </row>
    <row r="24698" spans="1:3">
      <c r="A24698" s="571" t="s">
        <v>1474</v>
      </c>
      <c r="B24698" s="572">
        <v>15.1197</v>
      </c>
      <c r="C24698" s="572">
        <v>1.2704800000000001</v>
      </c>
    </row>
    <row r="24699" spans="1:3">
      <c r="A24699" s="571" t="s">
        <v>1474</v>
      </c>
      <c r="B24699" s="572">
        <v>18.108799999999999</v>
      </c>
      <c r="C24699" s="572">
        <v>19.2532</v>
      </c>
    </row>
    <row r="24700" spans="1:3">
      <c r="A24700" s="571" t="s">
        <v>1474</v>
      </c>
      <c r="B24700" s="572">
        <v>21.046399999999998</v>
      </c>
      <c r="C24700" s="572">
        <v>15.620200000000001</v>
      </c>
    </row>
    <row r="24701" spans="1:3">
      <c r="A24701" s="571" t="s">
        <v>1474</v>
      </c>
      <c r="B24701" s="572">
        <v>31.111899999999999</v>
      </c>
      <c r="C24701" s="572">
        <v>2.4742899999999999</v>
      </c>
    </row>
    <row r="24702" spans="1:3">
      <c r="A24702" s="571" t="s">
        <v>1474</v>
      </c>
      <c r="B24702" s="572">
        <v>38.4</v>
      </c>
      <c r="C24702" s="572">
        <v>9.7226700000000008</v>
      </c>
    </row>
    <row r="24703" spans="1:3">
      <c r="A24703" s="571" t="s">
        <v>1474</v>
      </c>
      <c r="B24703" s="572">
        <v>50.332700000000003</v>
      </c>
      <c r="C24703" s="572">
        <v>11.846</v>
      </c>
    </row>
    <row r="24704" spans="1:3">
      <c r="A24704" s="571" t="s">
        <v>1474</v>
      </c>
      <c r="B24704" s="572">
        <v>64.019300000000001</v>
      </c>
      <c r="C24704" s="572">
        <v>13.426299999999999</v>
      </c>
    </row>
    <row r="24705" spans="1:3">
      <c r="A24705" s="571" t="s">
        <v>1474</v>
      </c>
      <c r="B24705" s="572">
        <v>78.227999999999994</v>
      </c>
      <c r="C24705" s="572">
        <v>2.6546699999999999</v>
      </c>
    </row>
    <row r="24706" spans="1:3">
      <c r="A24706" s="571" t="s">
        <v>1474</v>
      </c>
      <c r="B24706" s="572">
        <v>94.637</v>
      </c>
      <c r="C24706" s="572">
        <v>24.313500000000001</v>
      </c>
    </row>
    <row r="24707" spans="1:3">
      <c r="A24707" s="573" t="s">
        <v>1474</v>
      </c>
      <c r="B24707" s="574">
        <v>187.083</v>
      </c>
      <c r="C24707" s="574">
        <v>31.6541</v>
      </c>
    </row>
    <row r="24708" spans="1:3">
      <c r="A24708" s="573" t="s">
        <v>1474</v>
      </c>
      <c r="B24708" s="574">
        <v>221.834</v>
      </c>
      <c r="C24708" s="574">
        <v>67.723399999999998</v>
      </c>
    </row>
    <row r="24709" spans="1:3">
      <c r="A24709" s="573" t="s">
        <v>1474</v>
      </c>
      <c r="B24709" s="574">
        <v>245.21899999999999</v>
      </c>
      <c r="C24709" s="574">
        <v>56.932200000000002</v>
      </c>
    </row>
    <row r="24710" spans="1:3">
      <c r="A24710" s="573" t="s">
        <v>1474</v>
      </c>
      <c r="B24710" s="574">
        <v>305.70999999999998</v>
      </c>
      <c r="C24710" s="574">
        <v>60.579000000000001</v>
      </c>
    </row>
    <row r="24711" spans="1:3">
      <c r="A24711" s="573" t="s">
        <v>1474</v>
      </c>
      <c r="B24711" s="574">
        <v>362.49599999999998</v>
      </c>
      <c r="C24711" s="574">
        <v>64.215900000000005</v>
      </c>
    </row>
    <row r="24712" spans="1:3">
      <c r="A24712" s="573" t="s">
        <v>1474</v>
      </c>
      <c r="B24712" s="574">
        <v>417.09899999999999</v>
      </c>
      <c r="C24712" s="574">
        <v>82.261399999999995</v>
      </c>
    </row>
    <row r="24713" spans="1:3">
      <c r="A24713" s="573" t="s">
        <v>1474</v>
      </c>
      <c r="B24713" s="574">
        <v>479.92700000000002</v>
      </c>
      <c r="C24713" s="574">
        <v>67.874399999999994</v>
      </c>
    </row>
    <row r="24714" spans="1:3">
      <c r="A24714" s="569" t="s">
        <v>1474</v>
      </c>
      <c r="B24714" s="570">
        <v>525.22799999999995</v>
      </c>
      <c r="C24714" s="570">
        <v>89.5137</v>
      </c>
    </row>
    <row r="24715" spans="1:3">
      <c r="A24715" s="569" t="s">
        <v>1474</v>
      </c>
      <c r="B24715" s="570">
        <v>586.44399999999996</v>
      </c>
      <c r="C24715" s="570">
        <v>85.931600000000003</v>
      </c>
    </row>
    <row r="24716" spans="1:3">
      <c r="A24716" s="569" t="s">
        <v>1474</v>
      </c>
      <c r="B24716" s="570">
        <v>702.38</v>
      </c>
      <c r="C24716" s="570">
        <v>85.966899999999995</v>
      </c>
    </row>
    <row r="24717" spans="1:3">
      <c r="A24717" s="569" t="s">
        <v>1474</v>
      </c>
      <c r="B24717" s="570">
        <v>866.91399999999999</v>
      </c>
      <c r="C24717" s="570">
        <v>75.197299999999998</v>
      </c>
    </row>
    <row r="24718" spans="1:3">
      <c r="A24718" s="569" t="s">
        <v>1474</v>
      </c>
      <c r="B24718" s="570">
        <v>987.55</v>
      </c>
      <c r="C24718" s="570">
        <v>93.240799999999993</v>
      </c>
    </row>
    <row r="24719" spans="1:3">
      <c r="A24719" s="569" t="s">
        <v>1474</v>
      </c>
      <c r="B24719" s="570">
        <v>1091.6500000000001</v>
      </c>
      <c r="C24719" s="570">
        <v>118.486</v>
      </c>
    </row>
    <row r="24720" spans="1:3">
      <c r="A24720" s="569" t="s">
        <v>1474</v>
      </c>
      <c r="B24720" s="570">
        <v>1307.47</v>
      </c>
      <c r="C24720" s="570">
        <v>129.33199999999999</v>
      </c>
    </row>
    <row r="24721" spans="1:3">
      <c r="A24721" s="569" t="s">
        <v>1474</v>
      </c>
      <c r="B24721" s="570">
        <v>1459.85</v>
      </c>
      <c r="C24721" s="570">
        <v>154.57900000000001</v>
      </c>
    </row>
    <row r="24722" spans="1:3">
      <c r="A24722" s="569" t="s">
        <v>1474</v>
      </c>
      <c r="B24722" s="570">
        <v>1646.42</v>
      </c>
      <c r="C24722" s="570">
        <v>150.99799999999999</v>
      </c>
    </row>
    <row r="24723" spans="1:3">
      <c r="A24723" s="569" t="s">
        <v>1474</v>
      </c>
      <c r="B24723" s="570">
        <v>1801.83</v>
      </c>
      <c r="C24723" s="570">
        <v>161.827</v>
      </c>
    </row>
    <row r="24724" spans="1:3">
      <c r="A24724" s="569" t="s">
        <v>1474</v>
      </c>
      <c r="B24724" s="570">
        <v>2314.87</v>
      </c>
      <c r="C24724" s="570">
        <v>154.66900000000001</v>
      </c>
    </row>
    <row r="24725" spans="1:3">
      <c r="A24725" s="569" t="s">
        <v>1474</v>
      </c>
      <c r="B24725" s="570">
        <v>2558.89</v>
      </c>
      <c r="C24725" s="570">
        <v>136.66999999999999</v>
      </c>
    </row>
    <row r="24726" spans="1:3">
      <c r="A24726" s="569" t="s">
        <v>1474</v>
      </c>
      <c r="B24726" s="570">
        <v>5318.5</v>
      </c>
      <c r="C24726" s="570">
        <v>201.678</v>
      </c>
    </row>
    <row r="24727" spans="1:3">
      <c r="A24727" s="569" t="s">
        <v>1474</v>
      </c>
      <c r="B24727" s="570">
        <v>10834.8</v>
      </c>
      <c r="C24727" s="570">
        <v>313.529</v>
      </c>
    </row>
    <row r="24728" spans="1:3">
      <c r="A24728" s="571" t="s">
        <v>1473</v>
      </c>
      <c r="B24728" s="572">
        <v>4.0677899999999996</v>
      </c>
      <c r="C24728" s="572">
        <v>9.2834900000000005</v>
      </c>
    </row>
    <row r="24729" spans="1:3">
      <c r="A24729" s="571" t="s">
        <v>1473</v>
      </c>
      <c r="B24729" s="572">
        <v>9.06907</v>
      </c>
      <c r="C24729" s="572">
        <v>5.8367399999999998</v>
      </c>
    </row>
    <row r="24730" spans="1:3">
      <c r="A24730" s="571" t="s">
        <v>1473</v>
      </c>
      <c r="B24730" s="572">
        <v>10.971399999999999</v>
      </c>
      <c r="C24730" s="572">
        <v>5.87399</v>
      </c>
    </row>
    <row r="24731" spans="1:3">
      <c r="A24731" s="571" t="s">
        <v>1473</v>
      </c>
      <c r="B24731" s="572">
        <v>21.258400000000002</v>
      </c>
      <c r="C24731" s="572">
        <v>1.2038199999999999</v>
      </c>
    </row>
    <row r="24732" spans="1:3">
      <c r="A24732" s="571" t="s">
        <v>1473</v>
      </c>
      <c r="B24732" s="572">
        <v>50.839599999999997</v>
      </c>
      <c r="C24732" s="572">
        <v>16.9848</v>
      </c>
    </row>
    <row r="24733" spans="1:3">
      <c r="A24733" s="571" t="s">
        <v>1473</v>
      </c>
      <c r="B24733" s="572">
        <v>64.664199999999994</v>
      </c>
      <c r="C24733" s="572">
        <v>38.653500000000001</v>
      </c>
    </row>
    <row r="24734" spans="1:3">
      <c r="A24734" s="571" t="s">
        <v>1473</v>
      </c>
      <c r="B24734" s="572">
        <v>80.615799999999993</v>
      </c>
      <c r="C24734" s="572">
        <v>49.507399999999997</v>
      </c>
    </row>
    <row r="24735" spans="1:3">
      <c r="A24735" s="573" t="s">
        <v>1473</v>
      </c>
      <c r="B24735" s="574">
        <v>129.119</v>
      </c>
      <c r="C24735" s="574">
        <v>56.806800000000003</v>
      </c>
    </row>
    <row r="24736" spans="1:3">
      <c r="A24736" s="573" t="s">
        <v>1473</v>
      </c>
      <c r="B24736" s="574">
        <v>210.99199999999999</v>
      </c>
      <c r="C24736" s="574">
        <v>89.335300000000004</v>
      </c>
    </row>
    <row r="24737" spans="1:3">
      <c r="A24737" s="573" t="s">
        <v>1473</v>
      </c>
      <c r="B24737" s="574">
        <v>268.36599999999999</v>
      </c>
      <c r="C24737" s="574">
        <v>85.778700000000001</v>
      </c>
    </row>
    <row r="24738" spans="1:3">
      <c r="A24738" s="573" t="s">
        <v>1473</v>
      </c>
      <c r="B24738" s="574">
        <v>296.65600000000001</v>
      </c>
      <c r="C24738" s="574">
        <v>96.609099999999998</v>
      </c>
    </row>
    <row r="24739" spans="1:3">
      <c r="A24739" s="569" t="s">
        <v>1473</v>
      </c>
      <c r="B24739" s="570">
        <v>569.07399999999996</v>
      </c>
      <c r="C24739" s="570">
        <v>114.755</v>
      </c>
    </row>
    <row r="24740" spans="1:3">
      <c r="A24740" s="569" t="s">
        <v>1473</v>
      </c>
      <c r="B24740" s="570">
        <v>745.91200000000003</v>
      </c>
      <c r="C24740" s="570">
        <v>89.582300000000004</v>
      </c>
    </row>
    <row r="24741" spans="1:3">
      <c r="A24741" s="569" t="s">
        <v>1473</v>
      </c>
      <c r="B24741" s="570">
        <v>958.3</v>
      </c>
      <c r="C24741" s="570">
        <v>122.06399999999999</v>
      </c>
    </row>
    <row r="24742" spans="1:3">
      <c r="A24742" s="569" t="s">
        <v>1473</v>
      </c>
      <c r="B24742" s="570">
        <v>1206.73</v>
      </c>
      <c r="C24742" s="570">
        <v>176.16300000000001</v>
      </c>
    </row>
    <row r="24743" spans="1:3">
      <c r="A24743" s="569" t="s">
        <v>1473</v>
      </c>
      <c r="B24743" s="570">
        <v>4763.33</v>
      </c>
      <c r="C24743" s="570">
        <v>212.46799999999999</v>
      </c>
    </row>
    <row r="24744" spans="1:3">
      <c r="A24744" s="569" t="s">
        <v>1473</v>
      </c>
      <c r="B24744" s="570">
        <v>7256.35</v>
      </c>
      <c r="C24744" s="570">
        <v>180.11699999999999</v>
      </c>
    </row>
    <row r="24745" spans="1:3">
      <c r="A24745" s="569" t="s">
        <v>1473</v>
      </c>
      <c r="B24745" s="570">
        <v>10305.200000000001</v>
      </c>
      <c r="C24745" s="570">
        <v>331.53699999999998</v>
      </c>
    </row>
    <row r="24746" spans="1:3">
      <c r="A24746" s="571" t="s">
        <v>1472</v>
      </c>
      <c r="B24746" s="572">
        <v>2.01688</v>
      </c>
      <c r="C24746" s="572">
        <v>12.7499</v>
      </c>
    </row>
    <row r="24747" spans="1:3">
      <c r="A24747" s="571" t="s">
        <v>1472</v>
      </c>
      <c r="B24747" s="572">
        <v>3.98706</v>
      </c>
      <c r="C24747" s="572">
        <v>20.090399999999999</v>
      </c>
    </row>
    <row r="24748" spans="1:3">
      <c r="A24748" s="571" t="s">
        <v>1472</v>
      </c>
      <c r="B24748" s="572">
        <v>6.9886900000000001</v>
      </c>
      <c r="C24748" s="572">
        <v>16.596599999999999</v>
      </c>
    </row>
    <row r="24749" spans="1:3">
      <c r="A24749" s="571" t="s">
        <v>1472</v>
      </c>
      <c r="B24749" s="572">
        <v>8.9786300000000008</v>
      </c>
      <c r="C24749" s="572">
        <v>20.249199999999998</v>
      </c>
    </row>
    <row r="24750" spans="1:3">
      <c r="A24750" s="571" t="s">
        <v>1472</v>
      </c>
      <c r="B24750" s="572">
        <v>10.971399999999999</v>
      </c>
      <c r="C24750" s="572">
        <v>31.0992</v>
      </c>
    </row>
    <row r="24751" spans="1:3">
      <c r="A24751" s="571" t="s">
        <v>1472</v>
      </c>
      <c r="B24751" s="572">
        <v>15.1197</v>
      </c>
      <c r="C24751" s="572">
        <v>20.351099999999999</v>
      </c>
    </row>
    <row r="24752" spans="1:3">
      <c r="A24752" s="571" t="s">
        <v>1472</v>
      </c>
      <c r="B24752" s="572">
        <v>18.108799999999999</v>
      </c>
      <c r="C24752" s="572">
        <v>20.386399999999998</v>
      </c>
    </row>
    <row r="24753" spans="1:3">
      <c r="A24753" s="571" t="s">
        <v>1472</v>
      </c>
      <c r="B24753" s="572">
        <v>21.046399999999998</v>
      </c>
      <c r="C24753" s="572">
        <v>27.623100000000001</v>
      </c>
    </row>
    <row r="24754" spans="1:3">
      <c r="A24754" s="571" t="s">
        <v>1472</v>
      </c>
      <c r="B24754" s="572">
        <v>31.111899999999999</v>
      </c>
      <c r="C24754" s="572">
        <v>27.6995</v>
      </c>
    </row>
    <row r="24755" spans="1:3">
      <c r="A24755" s="571" t="s">
        <v>1472</v>
      </c>
      <c r="B24755" s="572">
        <v>38.4</v>
      </c>
      <c r="C24755" s="572">
        <v>42.155099999999997</v>
      </c>
    </row>
    <row r="24756" spans="1:3">
      <c r="A24756" s="571" t="s">
        <v>1472</v>
      </c>
      <c r="B24756" s="572">
        <v>50.332700000000003</v>
      </c>
      <c r="C24756" s="572">
        <v>45.811599999999999</v>
      </c>
    </row>
    <row r="24757" spans="1:3">
      <c r="A24757" s="571" t="s">
        <v>1472</v>
      </c>
      <c r="B24757" s="572">
        <v>66.637900000000002</v>
      </c>
      <c r="C24757" s="572">
        <v>53.073700000000002</v>
      </c>
    </row>
    <row r="24758" spans="1:3">
      <c r="A24758" s="571" t="s">
        <v>1472</v>
      </c>
      <c r="B24758" s="572">
        <v>77.447900000000004</v>
      </c>
      <c r="C24758" s="572">
        <v>67.517600000000002</v>
      </c>
    </row>
    <row r="24759" spans="1:3">
      <c r="A24759" s="571" t="s">
        <v>1472</v>
      </c>
      <c r="B24759" s="572">
        <v>91.8339</v>
      </c>
      <c r="C24759" s="572">
        <v>56.740099999999998</v>
      </c>
    </row>
    <row r="24760" spans="1:3">
      <c r="A24760" s="573" t="s">
        <v>1472</v>
      </c>
      <c r="B24760" s="574">
        <v>100.502</v>
      </c>
      <c r="C24760" s="574">
        <v>63.9649</v>
      </c>
    </row>
    <row r="24761" spans="1:3">
      <c r="A24761" s="573" t="s">
        <v>1472</v>
      </c>
      <c r="B24761" s="574">
        <v>192.79400000000001</v>
      </c>
      <c r="C24761" s="574">
        <v>107.336</v>
      </c>
    </row>
    <row r="24762" spans="1:3">
      <c r="A24762" s="573" t="s">
        <v>1472</v>
      </c>
      <c r="B24762" s="574">
        <v>217.43199999999999</v>
      </c>
      <c r="C24762" s="574">
        <v>92.944699999999997</v>
      </c>
    </row>
    <row r="24763" spans="1:3">
      <c r="A24763" s="573" t="s">
        <v>1472</v>
      </c>
      <c r="B24763" s="574">
        <v>252.70400000000001</v>
      </c>
      <c r="C24763" s="574">
        <v>103.785</v>
      </c>
    </row>
    <row r="24764" spans="1:3">
      <c r="A24764" s="573" t="s">
        <v>1472</v>
      </c>
      <c r="B24764" s="574">
        <v>318.21499999999997</v>
      </c>
      <c r="C24764" s="574">
        <v>111.03700000000001</v>
      </c>
    </row>
    <row r="24765" spans="1:3">
      <c r="A24765" s="573" t="s">
        <v>1472</v>
      </c>
      <c r="B24765" s="574">
        <v>384.96300000000002</v>
      </c>
      <c r="C24765" s="574">
        <v>107.471</v>
      </c>
    </row>
    <row r="24766" spans="1:3">
      <c r="A24766" s="573" t="s">
        <v>1472</v>
      </c>
      <c r="B24766" s="574">
        <v>456.47</v>
      </c>
      <c r="C24766" s="574">
        <v>100.297</v>
      </c>
    </row>
    <row r="24767" spans="1:3">
      <c r="A24767" s="569" t="s">
        <v>1472</v>
      </c>
      <c r="B24767" s="570">
        <v>514.80499999999995</v>
      </c>
      <c r="C24767" s="570">
        <v>111.131</v>
      </c>
    </row>
    <row r="24768" spans="1:3">
      <c r="A24768" s="569" t="s">
        <v>1472</v>
      </c>
      <c r="B24768" s="570">
        <v>674.78</v>
      </c>
      <c r="C24768" s="570">
        <v>107.581</v>
      </c>
    </row>
    <row r="24769" spans="1:3">
      <c r="A24769" s="569" t="s">
        <v>1472</v>
      </c>
      <c r="B24769" s="570">
        <v>841.23699999999997</v>
      </c>
      <c r="C24769" s="570">
        <v>100.417</v>
      </c>
    </row>
    <row r="24770" spans="1:3">
      <c r="A24770" s="569" t="s">
        <v>1472</v>
      </c>
      <c r="B24770" s="570">
        <v>1048.76</v>
      </c>
      <c r="C24770" s="570">
        <v>147.30699999999999</v>
      </c>
    </row>
    <row r="24771" spans="1:3">
      <c r="A24771" s="569" t="s">
        <v>1472</v>
      </c>
      <c r="B24771" s="570">
        <v>1218.8900000000001</v>
      </c>
      <c r="C24771" s="570">
        <v>125.714</v>
      </c>
    </row>
    <row r="24772" spans="1:3">
      <c r="A24772" s="569" t="s">
        <v>1472</v>
      </c>
      <c r="B24772" s="570">
        <v>1360.95</v>
      </c>
      <c r="C24772" s="570">
        <v>183.39400000000001</v>
      </c>
    </row>
    <row r="24773" spans="1:3">
      <c r="A24773" s="569" t="s">
        <v>1472</v>
      </c>
      <c r="B24773" s="570">
        <v>1801.83</v>
      </c>
      <c r="C24773" s="570">
        <v>158.22300000000001</v>
      </c>
    </row>
    <row r="24774" spans="1:3">
      <c r="A24774" s="569" t="s">
        <v>1472</v>
      </c>
      <c r="B24774" s="570">
        <v>1856.82</v>
      </c>
      <c r="C24774" s="570">
        <v>219.49</v>
      </c>
    </row>
    <row r="24775" spans="1:3">
      <c r="A24775" s="569" t="s">
        <v>1472</v>
      </c>
      <c r="B24775" s="570">
        <v>2052.56</v>
      </c>
      <c r="C24775" s="570">
        <v>201.49199999999999</v>
      </c>
    </row>
    <row r="24776" spans="1:3">
      <c r="A24776" s="569" t="s">
        <v>1472</v>
      </c>
      <c r="B24776" s="570">
        <v>2158.04</v>
      </c>
      <c r="C24776" s="570">
        <v>169.06899999999999</v>
      </c>
    </row>
    <row r="24777" spans="1:3">
      <c r="A24777" s="569" t="s">
        <v>1472</v>
      </c>
      <c r="B24777" s="570">
        <v>2885.91</v>
      </c>
      <c r="C24777" s="570">
        <v>169.126</v>
      </c>
    </row>
    <row r="24778" spans="1:3">
      <c r="A24778" s="569" t="s">
        <v>1472</v>
      </c>
      <c r="B24778" s="570">
        <v>2974</v>
      </c>
      <c r="C24778" s="570">
        <v>215.97900000000001</v>
      </c>
    </row>
    <row r="24779" spans="1:3">
      <c r="A24779" s="569" t="s">
        <v>1472</v>
      </c>
      <c r="B24779" s="570">
        <v>3320.62</v>
      </c>
      <c r="C24779" s="570">
        <v>212.39699999999999</v>
      </c>
    </row>
    <row r="24780" spans="1:3">
      <c r="A24780" s="569" t="s">
        <v>1472</v>
      </c>
      <c r="B24780" s="570">
        <v>3456.44</v>
      </c>
      <c r="C24780" s="570">
        <v>158.351</v>
      </c>
    </row>
    <row r="24781" spans="1:3">
      <c r="A24781" s="569" t="s">
        <v>1472</v>
      </c>
      <c r="B24781" s="570">
        <v>3707.63</v>
      </c>
      <c r="C24781" s="570">
        <v>201.608</v>
      </c>
    </row>
    <row r="24782" spans="1:3">
      <c r="A24782" s="569" t="s">
        <v>1472</v>
      </c>
      <c r="B24782" s="570">
        <v>3898.16</v>
      </c>
      <c r="C24782" s="570">
        <v>183.59899999999999</v>
      </c>
    </row>
    <row r="24783" spans="1:3">
      <c r="A24783" s="569" t="s">
        <v>1472</v>
      </c>
      <c r="B24783" s="570">
        <v>4181.46</v>
      </c>
      <c r="C24783" s="570">
        <v>180.01</v>
      </c>
    </row>
    <row r="24784" spans="1:3">
      <c r="A24784" s="569" t="s">
        <v>1472</v>
      </c>
      <c r="B24784" s="570">
        <v>4440.6099999999997</v>
      </c>
      <c r="C24784" s="570">
        <v>230.47200000000001</v>
      </c>
    </row>
    <row r="24785" spans="1:3">
      <c r="A24785" s="569" t="s">
        <v>1472</v>
      </c>
      <c r="B24785" s="570">
        <v>4811.3100000000004</v>
      </c>
      <c r="C24785" s="570">
        <v>262.92</v>
      </c>
    </row>
    <row r="24786" spans="1:3">
      <c r="A24786" s="569" t="s">
        <v>1472</v>
      </c>
      <c r="B24786" s="570">
        <v>5426.18</v>
      </c>
      <c r="C24786" s="570">
        <v>216.09700000000001</v>
      </c>
    </row>
    <row r="24787" spans="1:3">
      <c r="A24787" s="569" t="s">
        <v>1472</v>
      </c>
      <c r="B24787" s="570">
        <v>5938.37</v>
      </c>
      <c r="C24787" s="570">
        <v>226.92500000000001</v>
      </c>
    </row>
    <row r="24788" spans="1:3">
      <c r="A24788" s="569" t="s">
        <v>1472</v>
      </c>
      <c r="B24788" s="570">
        <v>6498.9</v>
      </c>
      <c r="C24788" s="570">
        <v>219.73599999999999</v>
      </c>
    </row>
    <row r="24789" spans="1:3">
      <c r="A24789" s="569" t="s">
        <v>1472</v>
      </c>
      <c r="B24789" s="570">
        <v>6901.69</v>
      </c>
      <c r="C24789" s="570">
        <v>244.97300000000001</v>
      </c>
    </row>
    <row r="24790" spans="1:3">
      <c r="A24790" s="569" t="s">
        <v>1472</v>
      </c>
      <c r="B24790" s="570">
        <v>7112.35</v>
      </c>
      <c r="C24790" s="570">
        <v>273.80700000000002</v>
      </c>
    </row>
    <row r="24791" spans="1:3">
      <c r="A24791" s="569" t="s">
        <v>1472</v>
      </c>
      <c r="B24791" s="570">
        <v>7629.23</v>
      </c>
      <c r="C24791" s="570">
        <v>259.40699999999998</v>
      </c>
    </row>
    <row r="24792" spans="1:3">
      <c r="A24792" s="569" t="s">
        <v>1472</v>
      </c>
      <c r="B24792" s="570">
        <v>8349.3799999999992</v>
      </c>
      <c r="C24792" s="570">
        <v>273.839</v>
      </c>
    </row>
    <row r="24793" spans="1:3">
      <c r="A24793" s="569" t="s">
        <v>1472</v>
      </c>
      <c r="B24793" s="570">
        <v>10100.700000000001</v>
      </c>
      <c r="C24793" s="570">
        <v>317.11900000000003</v>
      </c>
    </row>
    <row r="24794" spans="1:3">
      <c r="A24794" s="569" t="s">
        <v>1472</v>
      </c>
      <c r="B24794" s="570">
        <v>11054.2</v>
      </c>
      <c r="C24794" s="570">
        <v>284.70400000000001</v>
      </c>
    </row>
    <row r="24795" spans="1:3">
      <c r="A24795" s="571" t="s">
        <v>1470</v>
      </c>
      <c r="B24795" s="572">
        <v>1.16222</v>
      </c>
      <c r="C24795" s="572">
        <v>1.7723899999999999</v>
      </c>
    </row>
    <row r="24796" spans="1:3">
      <c r="A24796" s="571" t="s">
        <v>1470</v>
      </c>
      <c r="B24796" s="572">
        <v>1.8802300000000001</v>
      </c>
      <c r="C24796" s="572">
        <v>5.5289200000000003</v>
      </c>
    </row>
    <row r="24797" spans="1:3">
      <c r="A24797" s="571" t="s">
        <v>1470</v>
      </c>
      <c r="B24797" s="572">
        <v>3.98706</v>
      </c>
      <c r="C24797" s="572">
        <v>12.342000000000001</v>
      </c>
    </row>
    <row r="24798" spans="1:3">
      <c r="A24798" s="571" t="s">
        <v>1470</v>
      </c>
      <c r="B24798" s="572">
        <v>9.1604100000000006</v>
      </c>
      <c r="C24798" s="572">
        <v>5.8387000000000002</v>
      </c>
    </row>
    <row r="24799" spans="1:3">
      <c r="A24799" s="571" t="s">
        <v>1470</v>
      </c>
      <c r="B24799" s="572">
        <v>17.749400000000001</v>
      </c>
      <c r="C24799" s="572">
        <v>34.796900000000001</v>
      </c>
    </row>
    <row r="24800" spans="1:3">
      <c r="A24800" s="571" t="s">
        <v>1470</v>
      </c>
      <c r="B24800" s="572">
        <v>22.3508</v>
      </c>
      <c r="C24800" s="572">
        <v>27.634799999999998</v>
      </c>
    </row>
    <row r="24801" spans="1:3">
      <c r="A24801" s="571" t="s">
        <v>1470</v>
      </c>
      <c r="B24801" s="572">
        <v>31.4253</v>
      </c>
      <c r="C24801" s="572">
        <v>38.512300000000003</v>
      </c>
    </row>
    <row r="24802" spans="1:3">
      <c r="A24802" s="571" t="s">
        <v>1470</v>
      </c>
      <c r="B24802" s="572">
        <v>38.017000000000003</v>
      </c>
      <c r="C24802" s="572">
        <v>56.567599999999999</v>
      </c>
    </row>
    <row r="24803" spans="1:3">
      <c r="A24803" s="571" t="s">
        <v>1470</v>
      </c>
      <c r="B24803" s="572">
        <v>52.9191</v>
      </c>
      <c r="C24803" s="572">
        <v>45.821399999999997</v>
      </c>
    </row>
    <row r="24804" spans="1:3">
      <c r="A24804" s="571" t="s">
        <v>1470</v>
      </c>
      <c r="B24804" s="572">
        <v>63.380899999999997</v>
      </c>
      <c r="C24804" s="572">
        <v>49.460299999999997</v>
      </c>
    </row>
    <row r="24805" spans="1:3">
      <c r="A24805" s="571" t="s">
        <v>1470</v>
      </c>
      <c r="B24805" s="572">
        <v>92.758899999999997</v>
      </c>
      <c r="C24805" s="572">
        <v>71.156499999999994</v>
      </c>
    </row>
    <row r="24806" spans="1:3">
      <c r="A24806" s="573" t="s">
        <v>1470</v>
      </c>
      <c r="B24806" s="574">
        <v>142.72999999999999</v>
      </c>
      <c r="C24806" s="574">
        <v>100.07</v>
      </c>
    </row>
    <row r="24807" spans="1:3">
      <c r="A24807" s="573" t="s">
        <v>1470</v>
      </c>
      <c r="B24807" s="574">
        <v>176.16499999999999</v>
      </c>
      <c r="C24807" s="574">
        <v>107.318</v>
      </c>
    </row>
    <row r="24808" spans="1:3">
      <c r="A24808" s="573" t="s">
        <v>1470</v>
      </c>
      <c r="B24808" s="574">
        <v>204.74199999999999</v>
      </c>
      <c r="C24808" s="574">
        <v>110.95099999999999</v>
      </c>
    </row>
    <row r="24809" spans="1:3">
      <c r="A24809" s="573" t="s">
        <v>1470</v>
      </c>
      <c r="B24809" s="574">
        <v>235.583</v>
      </c>
      <c r="C24809" s="574">
        <v>114.58199999999999</v>
      </c>
    </row>
    <row r="24810" spans="1:3">
      <c r="A24810" s="573" t="s">
        <v>1470</v>
      </c>
      <c r="B24810" s="574">
        <v>265.68900000000002</v>
      </c>
      <c r="C24810" s="574">
        <v>107.398</v>
      </c>
    </row>
    <row r="24811" spans="1:3">
      <c r="A24811" s="573" t="s">
        <v>1470</v>
      </c>
      <c r="B24811" s="574">
        <v>287.86900000000003</v>
      </c>
      <c r="C24811" s="574">
        <v>118.22499999999999</v>
      </c>
    </row>
    <row r="24812" spans="1:3">
      <c r="A24812" s="573" t="s">
        <v>1470</v>
      </c>
      <c r="B24812" s="574">
        <v>318.21499999999997</v>
      </c>
      <c r="C24812" s="574">
        <v>121.848</v>
      </c>
    </row>
    <row r="24813" spans="1:3">
      <c r="A24813" s="573" t="s">
        <v>1470</v>
      </c>
      <c r="B24813" s="574">
        <v>344.779</v>
      </c>
      <c r="C24813" s="574">
        <v>118.26</v>
      </c>
    </row>
    <row r="24814" spans="1:3">
      <c r="A24814" s="573" t="s">
        <v>1470</v>
      </c>
      <c r="B24814" s="574">
        <v>434.16</v>
      </c>
      <c r="C24814" s="574">
        <v>111.098</v>
      </c>
    </row>
    <row r="24815" spans="1:3">
      <c r="A24815" s="573" t="s">
        <v>1470</v>
      </c>
      <c r="B24815" s="574">
        <v>470.40300000000002</v>
      </c>
      <c r="C24815" s="574">
        <v>125.52800000000001</v>
      </c>
    </row>
    <row r="24816" spans="1:3">
      <c r="A24816" s="569" t="s">
        <v>1470</v>
      </c>
      <c r="B24816" s="570">
        <v>552.21900000000005</v>
      </c>
      <c r="C24816" s="570">
        <v>139.97399999999999</v>
      </c>
    </row>
    <row r="24817" spans="1:3">
      <c r="A24817" s="569" t="s">
        <v>1470</v>
      </c>
      <c r="B24817" s="570">
        <v>674.78</v>
      </c>
      <c r="C24817" s="570">
        <v>143.61699999999999</v>
      </c>
    </row>
    <row r="24818" spans="1:3">
      <c r="A24818" s="569" t="s">
        <v>1470</v>
      </c>
      <c r="B24818" s="570">
        <v>731.11</v>
      </c>
      <c r="C24818" s="570">
        <v>154.44300000000001</v>
      </c>
    </row>
    <row r="24819" spans="1:3">
      <c r="A24819" s="569" t="s">
        <v>1470</v>
      </c>
      <c r="B24819" s="570">
        <v>768.68</v>
      </c>
      <c r="C24819" s="570">
        <v>140.03899999999999</v>
      </c>
    </row>
    <row r="24820" spans="1:3">
      <c r="A24820" s="569" t="s">
        <v>1470</v>
      </c>
      <c r="B24820" s="570">
        <v>987.55</v>
      </c>
      <c r="C24820" s="570">
        <v>186.934</v>
      </c>
    </row>
    <row r="24821" spans="1:3">
      <c r="A24821" s="569" t="s">
        <v>1470</v>
      </c>
      <c r="B24821" s="570">
        <v>1170.99</v>
      </c>
      <c r="C24821" s="570">
        <v>176.15700000000001</v>
      </c>
    </row>
    <row r="24822" spans="1:3">
      <c r="A24822" s="569" t="s">
        <v>1470</v>
      </c>
      <c r="B24822" s="570">
        <v>1281.52</v>
      </c>
      <c r="C24822" s="570">
        <v>168.96700000000001</v>
      </c>
    </row>
    <row r="24823" spans="1:3">
      <c r="A24823" s="569" t="s">
        <v>1470</v>
      </c>
      <c r="B24823" s="570">
        <v>1347.38</v>
      </c>
      <c r="C24823" s="570">
        <v>212.22</v>
      </c>
    </row>
    <row r="24824" spans="1:3">
      <c r="A24824" s="569" t="s">
        <v>1470</v>
      </c>
      <c r="B24824" s="570">
        <v>1597.65</v>
      </c>
      <c r="C24824" s="570">
        <v>212.25399999999999</v>
      </c>
    </row>
    <row r="24825" spans="1:3">
      <c r="A24825" s="569" t="s">
        <v>1470</v>
      </c>
      <c r="B24825" s="570">
        <v>1713.76</v>
      </c>
      <c r="C24825" s="570">
        <v>205.06</v>
      </c>
    </row>
    <row r="24826" spans="1:3">
      <c r="A24826" s="569" t="s">
        <v>1470</v>
      </c>
      <c r="B24826" s="570">
        <v>2052.56</v>
      </c>
      <c r="C24826" s="570">
        <v>226.71700000000001</v>
      </c>
    </row>
    <row r="24827" spans="1:3">
      <c r="A24827" s="569" t="s">
        <v>1470</v>
      </c>
      <c r="B24827" s="570">
        <v>2223.91</v>
      </c>
      <c r="C24827" s="570">
        <v>215.922</v>
      </c>
    </row>
    <row r="24828" spans="1:3">
      <c r="A24828" s="569" t="s">
        <v>1470</v>
      </c>
      <c r="B24828" s="570">
        <v>2409.56</v>
      </c>
      <c r="C24828" s="570">
        <v>205.12700000000001</v>
      </c>
    </row>
    <row r="24829" spans="1:3">
      <c r="A24829" s="569" t="s">
        <v>1470</v>
      </c>
      <c r="B24829" s="570">
        <v>2914.98</v>
      </c>
      <c r="C24829" s="570">
        <v>226.786</v>
      </c>
    </row>
    <row r="24830" spans="1:3">
      <c r="A24830" s="569" t="s">
        <v>1470</v>
      </c>
      <c r="B24830" s="570">
        <v>3158.32</v>
      </c>
      <c r="C24830" s="570">
        <v>230.405</v>
      </c>
    </row>
    <row r="24831" spans="1:3">
      <c r="A24831" s="569" t="s">
        <v>1470</v>
      </c>
      <c r="B24831" s="570">
        <v>3287.5</v>
      </c>
      <c r="C24831" s="570">
        <v>234.017</v>
      </c>
    </row>
    <row r="24832" spans="1:3">
      <c r="A24832" s="569" t="s">
        <v>1470</v>
      </c>
      <c r="B24832" s="570">
        <v>3597.82</v>
      </c>
      <c r="C24832" s="570">
        <v>216.01599999999999</v>
      </c>
    </row>
    <row r="24833" spans="1:3">
      <c r="A24833" s="569" t="s">
        <v>1470</v>
      </c>
      <c r="B24833" s="570">
        <v>4958.17</v>
      </c>
      <c r="C24833" s="570">
        <v>270.13299999999998</v>
      </c>
    </row>
    <row r="24834" spans="1:3">
      <c r="A24834" s="569" t="s">
        <v>1470</v>
      </c>
      <c r="B24834" s="570">
        <v>5265.46</v>
      </c>
      <c r="C24834" s="570">
        <v>255.73</v>
      </c>
    </row>
    <row r="24835" spans="1:3">
      <c r="A24835" s="569" t="s">
        <v>1470</v>
      </c>
      <c r="B24835" s="570">
        <v>5938.37</v>
      </c>
      <c r="C24835" s="570">
        <v>266.565</v>
      </c>
    </row>
    <row r="24836" spans="1:3">
      <c r="A24836" s="569" t="s">
        <v>1470</v>
      </c>
      <c r="B24836" s="570">
        <v>7329.44</v>
      </c>
      <c r="C24836" s="570">
        <v>288.22800000000001</v>
      </c>
    </row>
    <row r="24837" spans="1:3">
      <c r="A24837" s="569" t="s">
        <v>1470</v>
      </c>
      <c r="B24837" s="570">
        <v>11391.6</v>
      </c>
      <c r="C24837" s="570">
        <v>313.53899999999999</v>
      </c>
    </row>
    <row r="24838" spans="1:3">
      <c r="A24838" s="571" t="s">
        <v>1469</v>
      </c>
      <c r="B24838" s="572">
        <v>0</v>
      </c>
      <c r="C24838" s="572">
        <v>0</v>
      </c>
    </row>
    <row r="24839" spans="1:3">
      <c r="A24839" s="571" t="s">
        <v>1469</v>
      </c>
      <c r="B24839" s="572">
        <v>4.2</v>
      </c>
      <c r="C24839" s="572">
        <v>9</v>
      </c>
    </row>
    <row r="24840" spans="1:3">
      <c r="A24840" s="571" t="s">
        <v>1469</v>
      </c>
      <c r="B24840" s="572">
        <v>41.7</v>
      </c>
      <c r="C24840" s="572">
        <v>90</v>
      </c>
    </row>
    <row r="24841" spans="1:3">
      <c r="A24841" s="571" t="s">
        <v>1469</v>
      </c>
      <c r="B24841" s="572">
        <v>45.8</v>
      </c>
      <c r="C24841" s="572">
        <v>90</v>
      </c>
    </row>
    <row r="24842" spans="1:3">
      <c r="A24842" s="571" t="s">
        <v>1469</v>
      </c>
      <c r="B24842" s="572">
        <v>54.2</v>
      </c>
      <c r="C24842" s="572">
        <v>90</v>
      </c>
    </row>
    <row r="24843" spans="1:3">
      <c r="A24843" s="571" t="s">
        <v>1469</v>
      </c>
      <c r="B24843" s="572">
        <v>54.2</v>
      </c>
      <c r="C24843" s="572">
        <v>90</v>
      </c>
    </row>
    <row r="24844" spans="1:3">
      <c r="A24844" s="571" t="s">
        <v>1468</v>
      </c>
      <c r="B24844" s="572">
        <v>0</v>
      </c>
      <c r="C24844" s="572">
        <v>0</v>
      </c>
    </row>
    <row r="24845" spans="1:3">
      <c r="A24845" s="571" t="s">
        <v>1468</v>
      </c>
      <c r="B24845" s="572">
        <v>0.1</v>
      </c>
      <c r="C24845" s="572">
        <v>10</v>
      </c>
    </row>
    <row r="24846" spans="1:3">
      <c r="A24846" s="571" t="s">
        <v>1468</v>
      </c>
      <c r="B24846" s="572">
        <v>0.4</v>
      </c>
      <c r="C24846" s="572">
        <v>0</v>
      </c>
    </row>
    <row r="24847" spans="1:3">
      <c r="A24847" s="571" t="s">
        <v>1468</v>
      </c>
      <c r="B24847" s="572">
        <v>1</v>
      </c>
      <c r="C24847" s="572">
        <v>0</v>
      </c>
    </row>
    <row r="24848" spans="1:3">
      <c r="A24848" s="571" t="s">
        <v>1468</v>
      </c>
      <c r="B24848" s="572">
        <v>2.1</v>
      </c>
      <c r="C24848" s="572">
        <v>10</v>
      </c>
    </row>
    <row r="24849" spans="1:3">
      <c r="A24849" s="571" t="s">
        <v>1468</v>
      </c>
      <c r="B24849" s="572">
        <v>3</v>
      </c>
      <c r="C24849" s="572">
        <v>17</v>
      </c>
    </row>
    <row r="24850" spans="1:3">
      <c r="A24850" s="571" t="s">
        <v>1468</v>
      </c>
      <c r="B24850" s="572">
        <v>4.2</v>
      </c>
      <c r="C24850" s="572">
        <v>20</v>
      </c>
    </row>
    <row r="24851" spans="1:3">
      <c r="A24851" s="571" t="s">
        <v>1468</v>
      </c>
      <c r="B24851" s="572">
        <v>7.5</v>
      </c>
      <c r="C24851" s="572">
        <v>32</v>
      </c>
    </row>
    <row r="24852" spans="1:3">
      <c r="A24852" s="571" t="s">
        <v>1468</v>
      </c>
      <c r="B24852" s="572">
        <v>13.5</v>
      </c>
      <c r="C24852" s="572">
        <v>55</v>
      </c>
    </row>
    <row r="24853" spans="1:3">
      <c r="A24853" s="571" t="s">
        <v>1468</v>
      </c>
      <c r="B24853" s="572">
        <v>19.2</v>
      </c>
      <c r="C24853" s="572">
        <v>85</v>
      </c>
    </row>
    <row r="24854" spans="1:3">
      <c r="A24854" s="571" t="s">
        <v>1468</v>
      </c>
      <c r="B24854" s="572">
        <v>27.1</v>
      </c>
      <c r="C24854" s="572">
        <v>120</v>
      </c>
    </row>
    <row r="24855" spans="1:3">
      <c r="A24855" s="571" t="s">
        <v>1468</v>
      </c>
      <c r="B24855" s="572">
        <v>41.7</v>
      </c>
      <c r="C24855" s="572">
        <v>135</v>
      </c>
    </row>
    <row r="24856" spans="1:3">
      <c r="A24856" s="571" t="s">
        <v>1468</v>
      </c>
      <c r="B24856" s="572">
        <v>45.8</v>
      </c>
      <c r="C24856" s="572">
        <v>160</v>
      </c>
    </row>
    <row r="24857" spans="1:3">
      <c r="A24857" s="571" t="s">
        <v>1468</v>
      </c>
      <c r="B24857" s="572">
        <v>58.3</v>
      </c>
      <c r="C24857" s="572">
        <v>190</v>
      </c>
    </row>
    <row r="24858" spans="1:3">
      <c r="A24858" s="571" t="s">
        <v>1468</v>
      </c>
      <c r="B24858" s="572">
        <v>75</v>
      </c>
      <c r="C24858" s="572">
        <v>223</v>
      </c>
    </row>
    <row r="24859" spans="1:3">
      <c r="A24859" s="571" t="s">
        <v>1468</v>
      </c>
      <c r="B24859" s="572">
        <v>83.3</v>
      </c>
      <c r="C24859" s="572">
        <v>255</v>
      </c>
    </row>
    <row r="24860" spans="1:3">
      <c r="A24860" s="573" t="s">
        <v>1468</v>
      </c>
      <c r="B24860" s="574">
        <v>104.2</v>
      </c>
      <c r="C24860" s="574">
        <v>270</v>
      </c>
    </row>
    <row r="24861" spans="1:3">
      <c r="A24861" s="573" t="s">
        <v>1468</v>
      </c>
      <c r="B24861" s="574">
        <v>112.5</v>
      </c>
      <c r="C24861" s="574">
        <v>310</v>
      </c>
    </row>
    <row r="24862" spans="1:3">
      <c r="A24862" s="573" t="s">
        <v>1468</v>
      </c>
      <c r="B24862" s="574">
        <v>125</v>
      </c>
      <c r="C24862" s="574">
        <v>340</v>
      </c>
    </row>
    <row r="24863" spans="1:3">
      <c r="A24863" s="573" t="s">
        <v>1468</v>
      </c>
      <c r="B24863" s="574">
        <v>166.7</v>
      </c>
      <c r="C24863" s="574">
        <v>390</v>
      </c>
    </row>
    <row r="24864" spans="1:3">
      <c r="A24864" s="573" t="s">
        <v>1468</v>
      </c>
      <c r="B24864" s="574">
        <v>166.7</v>
      </c>
      <c r="C24864" s="574">
        <v>390</v>
      </c>
    </row>
    <row r="24865" spans="1:3">
      <c r="A24865" s="571" t="s">
        <v>1467</v>
      </c>
      <c r="B24865" s="572">
        <v>0</v>
      </c>
      <c r="C24865" s="572">
        <v>0</v>
      </c>
    </row>
    <row r="24866" spans="1:3">
      <c r="A24866" s="571" t="s">
        <v>1467</v>
      </c>
      <c r="B24866" s="572">
        <v>0.2</v>
      </c>
      <c r="C24866" s="572">
        <v>35.5</v>
      </c>
    </row>
    <row r="24867" spans="1:3">
      <c r="A24867" s="571" t="s">
        <v>1467</v>
      </c>
      <c r="B24867" s="572">
        <v>0.4</v>
      </c>
      <c r="C24867" s="572">
        <v>68.900000000000006</v>
      </c>
    </row>
    <row r="24868" spans="1:3">
      <c r="A24868" s="571" t="s">
        <v>1467</v>
      </c>
      <c r="B24868" s="572">
        <v>1</v>
      </c>
      <c r="C24868" s="572">
        <v>73.3</v>
      </c>
    </row>
    <row r="24869" spans="1:3">
      <c r="A24869" s="571" t="s">
        <v>1467</v>
      </c>
      <c r="B24869" s="572">
        <v>2.1</v>
      </c>
      <c r="C24869" s="572">
        <v>247.4</v>
      </c>
    </row>
    <row r="24870" spans="1:3">
      <c r="A24870" s="571" t="s">
        <v>1467</v>
      </c>
      <c r="B24870" s="572">
        <v>2.6</v>
      </c>
      <c r="C24870" s="572">
        <v>260.2</v>
      </c>
    </row>
    <row r="24871" spans="1:3">
      <c r="A24871" s="571" t="s">
        <v>1467</v>
      </c>
      <c r="B24871" s="572">
        <v>4.2</v>
      </c>
      <c r="C24871" s="572">
        <v>275.2</v>
      </c>
    </row>
    <row r="24872" spans="1:3">
      <c r="A24872" s="571" t="s">
        <v>1467</v>
      </c>
      <c r="B24872" s="572">
        <v>8.3000000000000007</v>
      </c>
      <c r="C24872" s="572">
        <v>268.3</v>
      </c>
    </row>
    <row r="24873" spans="1:3">
      <c r="A24873" s="571" t="s">
        <v>1467</v>
      </c>
      <c r="B24873" s="572">
        <v>14.2</v>
      </c>
      <c r="C24873" s="572">
        <v>263.3</v>
      </c>
    </row>
    <row r="24874" spans="1:3">
      <c r="A24874" s="571" t="s">
        <v>1467</v>
      </c>
      <c r="B24874" s="572">
        <v>22.5</v>
      </c>
      <c r="C24874" s="572">
        <v>247</v>
      </c>
    </row>
    <row r="24875" spans="1:3">
      <c r="A24875" s="571" t="s">
        <v>1467</v>
      </c>
      <c r="B24875" s="572">
        <v>29.2</v>
      </c>
      <c r="C24875" s="572">
        <v>262.39999999999998</v>
      </c>
    </row>
    <row r="24876" spans="1:3">
      <c r="A24876" s="571" t="s">
        <v>1467</v>
      </c>
      <c r="B24876" s="572">
        <v>34.6</v>
      </c>
      <c r="C24876" s="572">
        <v>238.9</v>
      </c>
    </row>
    <row r="24877" spans="1:3">
      <c r="A24877" s="571" t="s">
        <v>1467</v>
      </c>
      <c r="B24877" s="572">
        <v>41.7</v>
      </c>
      <c r="C24877" s="572">
        <v>266.8</v>
      </c>
    </row>
    <row r="24878" spans="1:3">
      <c r="A24878" s="571" t="s">
        <v>1467</v>
      </c>
      <c r="B24878" s="572">
        <v>58.3</v>
      </c>
      <c r="C24878" s="572">
        <v>276.7</v>
      </c>
    </row>
    <row r="24879" spans="1:3">
      <c r="A24879" s="571" t="s">
        <v>1467</v>
      </c>
      <c r="B24879" s="572">
        <v>70.8</v>
      </c>
      <c r="C24879" s="572">
        <v>261.5</v>
      </c>
    </row>
    <row r="24880" spans="1:3">
      <c r="A24880" s="571" t="s">
        <v>1467</v>
      </c>
      <c r="B24880" s="572">
        <v>79.2</v>
      </c>
      <c r="C24880" s="572">
        <v>253.3</v>
      </c>
    </row>
    <row r="24881" spans="1:3">
      <c r="A24881" s="571" t="s">
        <v>1467</v>
      </c>
      <c r="B24881" s="572">
        <v>83.3</v>
      </c>
      <c r="C24881" s="572">
        <v>249.2</v>
      </c>
    </row>
    <row r="24882" spans="1:3">
      <c r="A24882" s="573" t="s">
        <v>1467</v>
      </c>
      <c r="B24882" s="574">
        <v>112.5</v>
      </c>
      <c r="C24882" s="574">
        <v>237</v>
      </c>
    </row>
    <row r="24883" spans="1:3">
      <c r="A24883" s="573" t="s">
        <v>1467</v>
      </c>
      <c r="B24883" s="574">
        <v>145.80000000000001</v>
      </c>
      <c r="C24883" s="574">
        <v>237</v>
      </c>
    </row>
    <row r="24884" spans="1:3">
      <c r="A24884" s="573" t="s">
        <v>1467</v>
      </c>
      <c r="B24884" s="574">
        <v>166.7</v>
      </c>
      <c r="C24884" s="574">
        <v>237</v>
      </c>
    </row>
    <row r="24885" spans="1:3">
      <c r="A24885" s="573" t="s">
        <v>1467</v>
      </c>
      <c r="B24885" s="574">
        <v>166.7</v>
      </c>
      <c r="C24885" s="574">
        <v>237</v>
      </c>
    </row>
    <row r="24886" spans="1:3">
      <c r="A24886" s="571" t="s">
        <v>1466</v>
      </c>
      <c r="B24886" s="572">
        <v>0</v>
      </c>
      <c r="C24886" s="572">
        <v>0</v>
      </c>
    </row>
    <row r="24887" spans="1:3">
      <c r="A24887" s="571" t="s">
        <v>1466</v>
      </c>
      <c r="B24887" s="572">
        <v>0.1</v>
      </c>
      <c r="C24887" s="572">
        <v>82.7</v>
      </c>
    </row>
    <row r="24888" spans="1:3">
      <c r="A24888" s="571" t="s">
        <v>1466</v>
      </c>
      <c r="B24888" s="572">
        <v>0.3</v>
      </c>
      <c r="C24888" s="572">
        <v>99.9</v>
      </c>
    </row>
    <row r="24889" spans="1:3">
      <c r="A24889" s="571" t="s">
        <v>1466</v>
      </c>
      <c r="B24889" s="572">
        <v>0.4</v>
      </c>
      <c r="C24889" s="572">
        <v>116.7</v>
      </c>
    </row>
    <row r="24890" spans="1:3">
      <c r="A24890" s="571" t="s">
        <v>1466</v>
      </c>
      <c r="B24890" s="572">
        <v>0.4</v>
      </c>
      <c r="C24890" s="572">
        <v>119.7</v>
      </c>
    </row>
    <row r="24891" spans="1:3">
      <c r="A24891" s="571" t="s">
        <v>1466</v>
      </c>
      <c r="B24891" s="572">
        <v>1</v>
      </c>
      <c r="C24891" s="572">
        <v>78.7</v>
      </c>
    </row>
    <row r="24892" spans="1:3">
      <c r="A24892" s="571" t="s">
        <v>1466</v>
      </c>
      <c r="B24892" s="572">
        <v>2.1</v>
      </c>
      <c r="C24892" s="572">
        <v>14.5</v>
      </c>
    </row>
    <row r="24893" spans="1:3">
      <c r="A24893" s="571" t="s">
        <v>1466</v>
      </c>
      <c r="B24893" s="572">
        <v>3</v>
      </c>
      <c r="C24893" s="572">
        <v>20.7</v>
      </c>
    </row>
    <row r="24894" spans="1:3">
      <c r="A24894" s="571" t="s">
        <v>1466</v>
      </c>
      <c r="B24894" s="572">
        <v>4.2</v>
      </c>
      <c r="C24894" s="572">
        <v>61.6</v>
      </c>
    </row>
    <row r="24895" spans="1:3">
      <c r="A24895" s="571" t="s">
        <v>1466</v>
      </c>
      <c r="B24895" s="572">
        <v>6.3</v>
      </c>
      <c r="C24895" s="572">
        <v>115.6</v>
      </c>
    </row>
    <row r="24896" spans="1:3">
      <c r="A24896" s="571" t="s">
        <v>1466</v>
      </c>
      <c r="B24896" s="572">
        <v>7</v>
      </c>
      <c r="C24896" s="572">
        <v>141.6</v>
      </c>
    </row>
    <row r="24897" spans="1:3">
      <c r="A24897" s="571" t="s">
        <v>1466</v>
      </c>
      <c r="B24897" s="572">
        <v>13.4</v>
      </c>
      <c r="C24897" s="572">
        <v>261.60000000000002</v>
      </c>
    </row>
    <row r="24898" spans="1:3">
      <c r="A24898" s="571" t="s">
        <v>1466</v>
      </c>
      <c r="B24898" s="572">
        <v>20.8</v>
      </c>
      <c r="C24898" s="572">
        <v>338.6</v>
      </c>
    </row>
    <row r="24899" spans="1:3">
      <c r="A24899" s="571" t="s">
        <v>1466</v>
      </c>
      <c r="B24899" s="572">
        <v>30</v>
      </c>
      <c r="C24899" s="572">
        <v>377.6</v>
      </c>
    </row>
    <row r="24900" spans="1:3">
      <c r="A24900" s="571" t="s">
        <v>1466</v>
      </c>
      <c r="B24900" s="572">
        <v>50</v>
      </c>
      <c r="C24900" s="572">
        <v>410.6</v>
      </c>
    </row>
    <row r="24901" spans="1:3">
      <c r="A24901" s="571" t="s">
        <v>1466</v>
      </c>
      <c r="B24901" s="572">
        <v>58.3</v>
      </c>
      <c r="C24901" s="572">
        <v>424.6</v>
      </c>
    </row>
    <row r="24902" spans="1:3">
      <c r="A24902" s="571" t="s">
        <v>1466</v>
      </c>
      <c r="B24902" s="572">
        <v>62.5</v>
      </c>
      <c r="C24902" s="572">
        <v>418.7</v>
      </c>
    </row>
    <row r="24903" spans="1:3">
      <c r="A24903" s="571" t="s">
        <v>1466</v>
      </c>
      <c r="B24903" s="572">
        <v>70.8</v>
      </c>
      <c r="C24903" s="572">
        <v>424.6</v>
      </c>
    </row>
    <row r="24904" spans="1:3">
      <c r="A24904" s="571" t="s">
        <v>1466</v>
      </c>
      <c r="B24904" s="572">
        <v>79.2</v>
      </c>
      <c r="C24904" s="572">
        <v>427.1</v>
      </c>
    </row>
    <row r="24905" spans="1:3">
      <c r="A24905" s="571" t="s">
        <v>1466</v>
      </c>
      <c r="B24905" s="572">
        <v>87.5</v>
      </c>
      <c r="C24905" s="572">
        <v>429.6</v>
      </c>
    </row>
    <row r="24906" spans="1:3">
      <c r="A24906" s="573" t="s">
        <v>1466</v>
      </c>
      <c r="B24906" s="574">
        <v>104.2</v>
      </c>
      <c r="C24906" s="574">
        <v>438.6</v>
      </c>
    </row>
    <row r="24907" spans="1:3">
      <c r="A24907" s="573" t="s">
        <v>1466</v>
      </c>
      <c r="B24907" s="574">
        <v>116.7</v>
      </c>
      <c r="C24907" s="574">
        <v>462.6</v>
      </c>
    </row>
    <row r="24908" spans="1:3">
      <c r="A24908" s="573" t="s">
        <v>1466</v>
      </c>
      <c r="B24908" s="574">
        <v>129.19999999999999</v>
      </c>
      <c r="C24908" s="574">
        <v>481.6</v>
      </c>
    </row>
    <row r="24909" spans="1:3">
      <c r="A24909" s="573" t="s">
        <v>1466</v>
      </c>
      <c r="B24909" s="574">
        <v>129.19999999999999</v>
      </c>
      <c r="C24909" s="574">
        <v>481.6</v>
      </c>
    </row>
    <row r="24910" spans="1:3">
      <c r="A24910" s="571" t="s">
        <v>1465</v>
      </c>
      <c r="B24910" s="572">
        <v>0</v>
      </c>
      <c r="C24910" s="572">
        <v>0</v>
      </c>
    </row>
    <row r="24911" spans="1:3">
      <c r="A24911" s="571" t="s">
        <v>1465</v>
      </c>
      <c r="B24911" s="572">
        <v>0.2</v>
      </c>
      <c r="C24911" s="572">
        <v>104.6</v>
      </c>
    </row>
    <row r="24912" spans="1:3">
      <c r="A24912" s="571" t="s">
        <v>1465</v>
      </c>
      <c r="B24912" s="572">
        <v>0.4</v>
      </c>
      <c r="C24912" s="572">
        <v>201.3</v>
      </c>
    </row>
    <row r="24913" spans="1:3">
      <c r="A24913" s="571" t="s">
        <v>1465</v>
      </c>
      <c r="B24913" s="572">
        <v>1</v>
      </c>
      <c r="C24913" s="572">
        <v>285.3</v>
      </c>
    </row>
    <row r="24914" spans="1:3">
      <c r="A24914" s="571" t="s">
        <v>1465</v>
      </c>
      <c r="B24914" s="572">
        <v>2.1</v>
      </c>
      <c r="C24914" s="572">
        <v>391.8</v>
      </c>
    </row>
    <row r="24915" spans="1:3">
      <c r="A24915" s="571" t="s">
        <v>1465</v>
      </c>
      <c r="B24915" s="572">
        <v>3</v>
      </c>
      <c r="C24915" s="572">
        <v>364.3</v>
      </c>
    </row>
    <row r="24916" spans="1:3">
      <c r="A24916" s="571" t="s">
        <v>1465</v>
      </c>
      <c r="B24916" s="572">
        <v>4.2</v>
      </c>
      <c r="C24916" s="572">
        <v>367.4</v>
      </c>
    </row>
    <row r="24917" spans="1:3">
      <c r="A24917" s="571" t="s">
        <v>1465</v>
      </c>
      <c r="B24917" s="572">
        <v>6.9</v>
      </c>
      <c r="C24917" s="572">
        <v>383.3</v>
      </c>
    </row>
    <row r="24918" spans="1:3">
      <c r="A24918" s="571" t="s">
        <v>1465</v>
      </c>
      <c r="B24918" s="572">
        <v>12.5</v>
      </c>
      <c r="C24918" s="572">
        <v>401.9</v>
      </c>
    </row>
    <row r="24919" spans="1:3">
      <c r="A24919" s="571" t="s">
        <v>1465</v>
      </c>
      <c r="B24919" s="572">
        <v>20.8</v>
      </c>
      <c r="C24919" s="572">
        <v>459.2</v>
      </c>
    </row>
    <row r="24920" spans="1:3">
      <c r="A24920" s="571" t="s">
        <v>1465</v>
      </c>
      <c r="B24920" s="572">
        <v>29.2</v>
      </c>
      <c r="C24920" s="572">
        <v>520.5</v>
      </c>
    </row>
    <row r="24921" spans="1:3">
      <c r="A24921" s="571" t="s">
        <v>1465</v>
      </c>
      <c r="B24921" s="572">
        <v>33.299999999999997</v>
      </c>
      <c r="C24921" s="572">
        <v>475.9</v>
      </c>
    </row>
    <row r="24922" spans="1:3">
      <c r="A24922" s="571" t="s">
        <v>1465</v>
      </c>
      <c r="B24922" s="572">
        <v>41.7</v>
      </c>
      <c r="C24922" s="572">
        <v>452.8</v>
      </c>
    </row>
    <row r="24923" spans="1:3">
      <c r="A24923" s="571" t="s">
        <v>1465</v>
      </c>
      <c r="B24923" s="572">
        <v>43.8</v>
      </c>
      <c r="C24923" s="572">
        <v>437</v>
      </c>
    </row>
    <row r="24924" spans="1:3">
      <c r="A24924" s="571" t="s">
        <v>1465</v>
      </c>
      <c r="B24924" s="572">
        <v>50</v>
      </c>
      <c r="C24924" s="572">
        <v>445.5</v>
      </c>
    </row>
    <row r="24925" spans="1:3">
      <c r="A24925" s="571" t="s">
        <v>1465</v>
      </c>
      <c r="B24925" s="572">
        <v>62.5</v>
      </c>
      <c r="C24925" s="572">
        <v>441.9</v>
      </c>
    </row>
    <row r="24926" spans="1:3">
      <c r="A24926" s="571" t="s">
        <v>1465</v>
      </c>
      <c r="B24926" s="572">
        <v>79.2</v>
      </c>
      <c r="C24926" s="572">
        <v>423.3</v>
      </c>
    </row>
    <row r="24927" spans="1:3">
      <c r="A24927" s="571" t="s">
        <v>1465</v>
      </c>
      <c r="B24927" s="572">
        <v>83.3</v>
      </c>
      <c r="C24927" s="572">
        <v>434.8</v>
      </c>
    </row>
    <row r="24928" spans="1:3">
      <c r="A24928" s="571" t="s">
        <v>1465</v>
      </c>
      <c r="B24928" s="572">
        <v>83.3</v>
      </c>
      <c r="C24928" s="572">
        <v>434.8</v>
      </c>
    </row>
    <row r="24929" spans="1:3">
      <c r="A24929" s="571" t="s">
        <v>1464</v>
      </c>
      <c r="B24929" s="572">
        <v>0</v>
      </c>
      <c r="C24929" s="572">
        <v>0</v>
      </c>
    </row>
    <row r="24930" spans="1:3">
      <c r="A24930" s="571" t="s">
        <v>1464</v>
      </c>
      <c r="B24930" s="572">
        <v>0.2</v>
      </c>
      <c r="C24930" s="572">
        <v>75.8</v>
      </c>
    </row>
    <row r="24931" spans="1:3">
      <c r="A24931" s="571" t="s">
        <v>1464</v>
      </c>
      <c r="B24931" s="572">
        <v>0.4</v>
      </c>
      <c r="C24931" s="572">
        <v>90.9</v>
      </c>
    </row>
    <row r="24932" spans="1:3">
      <c r="A24932" s="571" t="s">
        <v>1464</v>
      </c>
      <c r="B24932" s="572">
        <v>1</v>
      </c>
      <c r="C24932" s="572">
        <v>91.1</v>
      </c>
    </row>
    <row r="24933" spans="1:3">
      <c r="A24933" s="571" t="s">
        <v>1464</v>
      </c>
      <c r="B24933" s="572">
        <v>2.1</v>
      </c>
      <c r="C24933" s="572">
        <v>2.2000000000000002</v>
      </c>
    </row>
    <row r="24934" spans="1:3">
      <c r="A24934" s="571" t="s">
        <v>1464</v>
      </c>
      <c r="B24934" s="572">
        <v>3</v>
      </c>
      <c r="C24934" s="572">
        <v>115.6</v>
      </c>
    </row>
    <row r="24935" spans="1:3">
      <c r="A24935" s="571" t="s">
        <v>1464</v>
      </c>
      <c r="B24935" s="572">
        <v>4.2</v>
      </c>
      <c r="C24935" s="572">
        <v>200.6</v>
      </c>
    </row>
    <row r="24936" spans="1:3">
      <c r="A24936" s="571" t="s">
        <v>1464</v>
      </c>
      <c r="B24936" s="572">
        <v>6.3</v>
      </c>
      <c r="C24936" s="572">
        <v>313.89999999999998</v>
      </c>
    </row>
    <row r="24937" spans="1:3">
      <c r="A24937" s="571" t="s">
        <v>1464</v>
      </c>
      <c r="B24937" s="572">
        <v>7.5</v>
      </c>
      <c r="C24937" s="572">
        <v>340</v>
      </c>
    </row>
    <row r="24938" spans="1:3">
      <c r="A24938" s="571" t="s">
        <v>1464</v>
      </c>
      <c r="B24938" s="572">
        <v>15</v>
      </c>
      <c r="C24938" s="572">
        <v>389.3</v>
      </c>
    </row>
    <row r="24939" spans="1:3">
      <c r="A24939" s="571" t="s">
        <v>1464</v>
      </c>
      <c r="B24939" s="572">
        <v>20.8</v>
      </c>
      <c r="C24939" s="572">
        <v>394</v>
      </c>
    </row>
    <row r="24940" spans="1:3">
      <c r="A24940" s="571" t="s">
        <v>1464</v>
      </c>
      <c r="B24940" s="572">
        <v>29.2</v>
      </c>
      <c r="C24940" s="572">
        <v>355.6</v>
      </c>
    </row>
    <row r="24941" spans="1:3">
      <c r="A24941" s="571" t="s">
        <v>1464</v>
      </c>
      <c r="B24941" s="572">
        <v>37.5</v>
      </c>
      <c r="C24941" s="572">
        <v>364.8</v>
      </c>
    </row>
    <row r="24942" spans="1:3">
      <c r="A24942" s="571" t="s">
        <v>1464</v>
      </c>
      <c r="B24942" s="572">
        <v>41.7</v>
      </c>
      <c r="C24942" s="572">
        <v>373.8</v>
      </c>
    </row>
    <row r="24943" spans="1:3">
      <c r="A24943" s="571" t="s">
        <v>1464</v>
      </c>
      <c r="B24943" s="572">
        <v>50</v>
      </c>
      <c r="C24943" s="572">
        <v>379</v>
      </c>
    </row>
    <row r="24944" spans="1:3">
      <c r="A24944" s="571" t="s">
        <v>1464</v>
      </c>
      <c r="B24944" s="572">
        <v>62.5</v>
      </c>
      <c r="C24944" s="572">
        <v>362</v>
      </c>
    </row>
    <row r="24945" spans="1:3">
      <c r="A24945" s="571" t="s">
        <v>1464</v>
      </c>
      <c r="B24945" s="572">
        <v>75</v>
      </c>
      <c r="C24945" s="572">
        <v>377.2</v>
      </c>
    </row>
    <row r="24946" spans="1:3">
      <c r="A24946" s="571" t="s">
        <v>1464</v>
      </c>
      <c r="B24946" s="572">
        <v>95.8</v>
      </c>
      <c r="C24946" s="572">
        <v>382.5</v>
      </c>
    </row>
    <row r="24947" spans="1:3">
      <c r="A24947" s="573" t="s">
        <v>1464</v>
      </c>
      <c r="B24947" s="574">
        <v>112.5</v>
      </c>
      <c r="C24947" s="574">
        <v>369</v>
      </c>
    </row>
    <row r="24948" spans="1:3">
      <c r="A24948" s="573" t="s">
        <v>1464</v>
      </c>
      <c r="B24948" s="574">
        <v>125</v>
      </c>
      <c r="C24948" s="574">
        <v>386.2</v>
      </c>
    </row>
    <row r="24949" spans="1:3">
      <c r="A24949" s="573" t="s">
        <v>1464</v>
      </c>
      <c r="B24949" s="574">
        <v>166.7</v>
      </c>
      <c r="C24949" s="574">
        <v>367.2</v>
      </c>
    </row>
    <row r="24950" spans="1:3">
      <c r="A24950" s="573" t="s">
        <v>1464</v>
      </c>
      <c r="B24950" s="574">
        <v>166.7</v>
      </c>
      <c r="C24950" s="574">
        <v>367.2</v>
      </c>
    </row>
    <row r="24951" spans="1:3">
      <c r="A24951" s="571" t="s">
        <v>1463</v>
      </c>
      <c r="B24951" s="572">
        <v>0</v>
      </c>
      <c r="C24951" s="572">
        <v>0</v>
      </c>
    </row>
    <row r="24952" spans="1:3">
      <c r="A24952" s="571" t="s">
        <v>1463</v>
      </c>
      <c r="B24952" s="572">
        <v>0.2</v>
      </c>
      <c r="C24952" s="572">
        <v>151.69999999999999</v>
      </c>
    </row>
    <row r="24953" spans="1:3">
      <c r="A24953" s="571" t="s">
        <v>1463</v>
      </c>
      <c r="B24953" s="572">
        <v>0.4</v>
      </c>
      <c r="C24953" s="572">
        <v>290.2</v>
      </c>
    </row>
    <row r="24954" spans="1:3">
      <c r="A24954" s="571" t="s">
        <v>1463</v>
      </c>
      <c r="B24954" s="572">
        <v>1</v>
      </c>
      <c r="C24954" s="572">
        <v>296.8</v>
      </c>
    </row>
    <row r="24955" spans="1:3">
      <c r="A24955" s="571" t="s">
        <v>1463</v>
      </c>
      <c r="B24955" s="572">
        <v>2</v>
      </c>
      <c r="C24955" s="572">
        <v>487.7</v>
      </c>
    </row>
    <row r="24956" spans="1:3">
      <c r="A24956" s="571" t="s">
        <v>1463</v>
      </c>
      <c r="B24956" s="572">
        <v>3.3</v>
      </c>
      <c r="C24956" s="572">
        <v>498.9</v>
      </c>
    </row>
    <row r="24957" spans="1:3">
      <c r="A24957" s="571" t="s">
        <v>1463</v>
      </c>
      <c r="B24957" s="572">
        <v>4.2</v>
      </c>
      <c r="C24957" s="572">
        <v>502</v>
      </c>
    </row>
    <row r="24958" spans="1:3">
      <c r="A24958" s="571" t="s">
        <v>1463</v>
      </c>
      <c r="B24958" s="572">
        <v>5</v>
      </c>
      <c r="C24958" s="572">
        <v>490.8</v>
      </c>
    </row>
    <row r="24959" spans="1:3">
      <c r="A24959" s="571" t="s">
        <v>1463</v>
      </c>
      <c r="B24959" s="572">
        <v>6.7</v>
      </c>
      <c r="C24959" s="572">
        <v>528.9</v>
      </c>
    </row>
    <row r="24960" spans="1:3">
      <c r="A24960" s="571" t="s">
        <v>1463</v>
      </c>
      <c r="B24960" s="572">
        <v>13.3</v>
      </c>
      <c r="C24960" s="572">
        <v>551.5</v>
      </c>
    </row>
    <row r="24961" spans="1:3">
      <c r="A24961" s="571" t="s">
        <v>1463</v>
      </c>
      <c r="B24961" s="572">
        <v>20.8</v>
      </c>
      <c r="C24961" s="572">
        <v>545.79999999999995</v>
      </c>
    </row>
    <row r="24962" spans="1:3">
      <c r="A24962" s="571" t="s">
        <v>1463</v>
      </c>
      <c r="B24962" s="572">
        <v>50</v>
      </c>
      <c r="C24962" s="572">
        <v>621.9</v>
      </c>
    </row>
    <row r="24963" spans="1:3">
      <c r="A24963" s="571" t="s">
        <v>1463</v>
      </c>
      <c r="B24963" s="572">
        <v>87.5</v>
      </c>
      <c r="C24963" s="572">
        <v>621.9</v>
      </c>
    </row>
    <row r="24964" spans="1:3">
      <c r="A24964" s="571" t="s">
        <v>1463</v>
      </c>
      <c r="B24964" s="572">
        <v>87.5</v>
      </c>
      <c r="C24964" s="572">
        <v>621.9</v>
      </c>
    </row>
    <row r="24965" spans="1:3">
      <c r="A24965" s="571" t="s">
        <v>1462</v>
      </c>
      <c r="B24965" s="572">
        <v>0</v>
      </c>
      <c r="C24965" s="572">
        <v>0</v>
      </c>
    </row>
    <row r="24966" spans="1:3">
      <c r="A24966" s="571" t="s">
        <v>1462</v>
      </c>
      <c r="B24966" s="572">
        <v>0.2</v>
      </c>
      <c r="C24966" s="572">
        <v>99.5</v>
      </c>
    </row>
    <row r="24967" spans="1:3">
      <c r="A24967" s="571" t="s">
        <v>1462</v>
      </c>
      <c r="B24967" s="572">
        <v>0.4</v>
      </c>
      <c r="C24967" s="572">
        <v>107.5</v>
      </c>
    </row>
    <row r="24968" spans="1:3">
      <c r="A24968" s="571" t="s">
        <v>1462</v>
      </c>
      <c r="B24968" s="572">
        <v>1</v>
      </c>
      <c r="C24968" s="572">
        <v>66.599999999999994</v>
      </c>
    </row>
    <row r="24969" spans="1:3">
      <c r="A24969" s="571" t="s">
        <v>1462</v>
      </c>
      <c r="B24969" s="572">
        <v>2.1</v>
      </c>
      <c r="C24969" s="572">
        <v>135</v>
      </c>
    </row>
    <row r="24970" spans="1:3">
      <c r="A24970" s="571" t="s">
        <v>1462</v>
      </c>
      <c r="B24970" s="572">
        <v>3</v>
      </c>
      <c r="C24970" s="572">
        <v>264.89999999999998</v>
      </c>
    </row>
    <row r="24971" spans="1:3">
      <c r="A24971" s="571" t="s">
        <v>1462</v>
      </c>
      <c r="B24971" s="572">
        <v>4.2</v>
      </c>
      <c r="C24971" s="572">
        <v>309.2</v>
      </c>
    </row>
    <row r="24972" spans="1:3">
      <c r="A24972" s="571" t="s">
        <v>1462</v>
      </c>
      <c r="B24972" s="572">
        <v>6.7</v>
      </c>
      <c r="C24972" s="572">
        <v>347.4</v>
      </c>
    </row>
    <row r="24973" spans="1:3">
      <c r="A24973" s="571" t="s">
        <v>1462</v>
      </c>
      <c r="B24973" s="572">
        <v>14.6</v>
      </c>
      <c r="C24973" s="572">
        <v>377.4</v>
      </c>
    </row>
    <row r="24974" spans="1:3">
      <c r="A24974" s="571" t="s">
        <v>1462</v>
      </c>
      <c r="B24974" s="572">
        <v>20.8</v>
      </c>
      <c r="C24974" s="572">
        <v>377.4</v>
      </c>
    </row>
    <row r="24975" spans="1:3">
      <c r="A24975" s="571" t="s">
        <v>1462</v>
      </c>
      <c r="B24975" s="572">
        <v>29.2</v>
      </c>
      <c r="C24975" s="572">
        <v>376.7</v>
      </c>
    </row>
    <row r="24976" spans="1:3">
      <c r="A24976" s="571" t="s">
        <v>1462</v>
      </c>
      <c r="B24976" s="572">
        <v>35.4</v>
      </c>
      <c r="C24976" s="572">
        <v>380.3</v>
      </c>
    </row>
    <row r="24977" spans="1:3">
      <c r="A24977" s="571" t="s">
        <v>1462</v>
      </c>
      <c r="B24977" s="572">
        <v>41.7</v>
      </c>
      <c r="C24977" s="572">
        <v>390.3</v>
      </c>
    </row>
    <row r="24978" spans="1:3">
      <c r="A24978" s="571" t="s">
        <v>1462</v>
      </c>
      <c r="B24978" s="572">
        <v>62.5</v>
      </c>
      <c r="C24978" s="572">
        <v>392.7</v>
      </c>
    </row>
    <row r="24979" spans="1:3">
      <c r="A24979" s="571" t="s">
        <v>1462</v>
      </c>
      <c r="B24979" s="572">
        <v>79.2</v>
      </c>
      <c r="C24979" s="572">
        <v>398.3</v>
      </c>
    </row>
    <row r="24980" spans="1:3">
      <c r="A24980" s="571" t="s">
        <v>1462</v>
      </c>
      <c r="B24980" s="572">
        <v>87.5</v>
      </c>
      <c r="C24980" s="572">
        <v>424</v>
      </c>
    </row>
    <row r="24981" spans="1:3">
      <c r="A24981" s="573" t="s">
        <v>1462</v>
      </c>
      <c r="B24981" s="574">
        <v>108.3</v>
      </c>
      <c r="C24981" s="574">
        <v>436.3</v>
      </c>
    </row>
    <row r="24982" spans="1:3">
      <c r="A24982" s="573" t="s">
        <v>1462</v>
      </c>
      <c r="B24982" s="574">
        <v>108.3</v>
      </c>
      <c r="C24982" s="574">
        <v>436.3</v>
      </c>
    </row>
    <row r="24983" spans="1:3">
      <c r="A24983" s="571" t="s">
        <v>1461</v>
      </c>
      <c r="B24983" s="572">
        <v>0</v>
      </c>
      <c r="C24983" s="572">
        <v>0</v>
      </c>
    </row>
    <row r="24984" spans="1:3">
      <c r="A24984" s="571" t="s">
        <v>1461</v>
      </c>
      <c r="B24984" s="572">
        <v>0.2</v>
      </c>
      <c r="C24984" s="572">
        <v>86.2</v>
      </c>
    </row>
    <row r="24985" spans="1:3">
      <c r="A24985" s="571" t="s">
        <v>1461</v>
      </c>
      <c r="B24985" s="572">
        <v>0.3</v>
      </c>
      <c r="C24985" s="572">
        <v>80.8</v>
      </c>
    </row>
    <row r="24986" spans="1:3">
      <c r="A24986" s="571" t="s">
        <v>1461</v>
      </c>
      <c r="B24986" s="572">
        <v>0.4</v>
      </c>
      <c r="C24986" s="572">
        <v>92.9</v>
      </c>
    </row>
    <row r="24987" spans="1:3">
      <c r="A24987" s="571" t="s">
        <v>1461</v>
      </c>
      <c r="B24987" s="572">
        <v>1</v>
      </c>
      <c r="C24987" s="572">
        <v>88.6</v>
      </c>
    </row>
    <row r="24988" spans="1:3">
      <c r="A24988" s="571" t="s">
        <v>1461</v>
      </c>
      <c r="B24988" s="572">
        <v>1.4</v>
      </c>
      <c r="C24988" s="572">
        <v>1.9</v>
      </c>
    </row>
    <row r="24989" spans="1:3">
      <c r="A24989" s="571" t="s">
        <v>1461</v>
      </c>
      <c r="B24989" s="572">
        <v>2.1</v>
      </c>
      <c r="C24989" s="572">
        <v>38.1</v>
      </c>
    </row>
    <row r="24990" spans="1:3">
      <c r="A24990" s="571" t="s">
        <v>1461</v>
      </c>
      <c r="B24990" s="572">
        <v>4.4000000000000004</v>
      </c>
      <c r="C24990" s="572">
        <v>48.1</v>
      </c>
    </row>
    <row r="24991" spans="1:3">
      <c r="A24991" s="571" t="s">
        <v>1461</v>
      </c>
      <c r="B24991" s="572">
        <v>10</v>
      </c>
      <c r="C24991" s="572">
        <v>74.3</v>
      </c>
    </row>
    <row r="24992" spans="1:3">
      <c r="A24992" s="571" t="s">
        <v>1461</v>
      </c>
      <c r="B24992" s="572">
        <v>20.8</v>
      </c>
      <c r="C24992" s="572">
        <v>94.3</v>
      </c>
    </row>
    <row r="24993" spans="1:3">
      <c r="A24993" s="571" t="s">
        <v>1461</v>
      </c>
      <c r="B24993" s="572">
        <v>37.5</v>
      </c>
      <c r="C24993" s="572">
        <v>86.2</v>
      </c>
    </row>
    <row r="24994" spans="1:3">
      <c r="A24994" s="571" t="s">
        <v>1461</v>
      </c>
      <c r="B24994" s="572">
        <v>41.7</v>
      </c>
      <c r="C24994" s="572">
        <v>66.2</v>
      </c>
    </row>
    <row r="24995" spans="1:3">
      <c r="A24995" s="571" t="s">
        <v>1461</v>
      </c>
      <c r="B24995" s="572">
        <v>87.1</v>
      </c>
      <c r="C24995" s="572">
        <v>96.2</v>
      </c>
    </row>
    <row r="24996" spans="1:3">
      <c r="A24996" s="573" t="s">
        <v>1461</v>
      </c>
      <c r="B24996" s="574">
        <v>151</v>
      </c>
      <c r="C24996" s="574">
        <v>86.2</v>
      </c>
    </row>
    <row r="24997" spans="1:3">
      <c r="A24997" s="573" t="s">
        <v>1461</v>
      </c>
      <c r="B24997" s="574">
        <v>184</v>
      </c>
      <c r="C24997" s="574">
        <v>56.2</v>
      </c>
    </row>
    <row r="24998" spans="1:3">
      <c r="A24998" s="573" t="s">
        <v>1461</v>
      </c>
      <c r="B24998" s="574">
        <v>184</v>
      </c>
      <c r="C24998" s="574">
        <v>56.2</v>
      </c>
    </row>
    <row r="24999" spans="1:3">
      <c r="A24999" s="571" t="s">
        <v>1460</v>
      </c>
      <c r="B24999" s="572">
        <v>0</v>
      </c>
      <c r="C24999" s="572">
        <v>0</v>
      </c>
    </row>
    <row r="25000" spans="1:3">
      <c r="A25000" s="571" t="s">
        <v>1460</v>
      </c>
      <c r="B25000" s="572">
        <v>0.4</v>
      </c>
      <c r="C25000" s="572">
        <v>10</v>
      </c>
    </row>
    <row r="25001" spans="1:3">
      <c r="A25001" s="571" t="s">
        <v>1460</v>
      </c>
      <c r="B25001" s="572">
        <v>2.1</v>
      </c>
      <c r="C25001" s="572">
        <v>0</v>
      </c>
    </row>
    <row r="25002" spans="1:3">
      <c r="A25002" s="571" t="s">
        <v>1460</v>
      </c>
      <c r="B25002" s="572">
        <v>3.1</v>
      </c>
      <c r="C25002" s="572">
        <v>10</v>
      </c>
    </row>
    <row r="25003" spans="1:3">
      <c r="A25003" s="571" t="s">
        <v>1460</v>
      </c>
      <c r="B25003" s="572">
        <v>4.2</v>
      </c>
      <c r="C25003" s="572">
        <v>10</v>
      </c>
    </row>
    <row r="25004" spans="1:3">
      <c r="A25004" s="571" t="s">
        <v>1460</v>
      </c>
      <c r="B25004" s="572">
        <v>6.6</v>
      </c>
      <c r="C25004" s="572">
        <v>40</v>
      </c>
    </row>
    <row r="25005" spans="1:3">
      <c r="A25005" s="571" t="s">
        <v>1460</v>
      </c>
      <c r="B25005" s="572">
        <v>10.199999999999999</v>
      </c>
      <c r="C25005" s="572">
        <v>40</v>
      </c>
    </row>
    <row r="25006" spans="1:3">
      <c r="A25006" s="571" t="s">
        <v>1460</v>
      </c>
      <c r="B25006" s="572">
        <v>14.3</v>
      </c>
      <c r="C25006" s="572">
        <v>20</v>
      </c>
    </row>
    <row r="25007" spans="1:3">
      <c r="A25007" s="571" t="s">
        <v>1460</v>
      </c>
      <c r="B25007" s="572">
        <v>20.8</v>
      </c>
      <c r="C25007" s="572">
        <v>60</v>
      </c>
    </row>
    <row r="25008" spans="1:3">
      <c r="A25008" s="571" t="s">
        <v>1460</v>
      </c>
      <c r="B25008" s="572">
        <v>37.5</v>
      </c>
      <c r="C25008" s="572">
        <v>60</v>
      </c>
    </row>
    <row r="25009" spans="1:3">
      <c r="A25009" s="571" t="s">
        <v>1460</v>
      </c>
      <c r="B25009" s="572">
        <v>41.7</v>
      </c>
      <c r="C25009" s="572">
        <v>100</v>
      </c>
    </row>
    <row r="25010" spans="1:3">
      <c r="A25010" s="571" t="s">
        <v>1460</v>
      </c>
      <c r="B25010" s="572">
        <v>83.3</v>
      </c>
      <c r="C25010" s="572">
        <v>140</v>
      </c>
    </row>
    <row r="25011" spans="1:3">
      <c r="A25011" s="573" t="s">
        <v>1460</v>
      </c>
      <c r="B25011" s="574">
        <v>180.5</v>
      </c>
      <c r="C25011" s="574">
        <v>170</v>
      </c>
    </row>
    <row r="25012" spans="1:3">
      <c r="A25012" s="573" t="s">
        <v>1460</v>
      </c>
      <c r="B25012" s="574">
        <v>354.2</v>
      </c>
      <c r="C25012" s="574">
        <v>260</v>
      </c>
    </row>
    <row r="25013" spans="1:3">
      <c r="A25013" s="573" t="s">
        <v>1460</v>
      </c>
      <c r="B25013" s="574">
        <v>354.2</v>
      </c>
      <c r="C25013" s="574">
        <v>260</v>
      </c>
    </row>
    <row r="25014" spans="1:3">
      <c r="A25014" s="571" t="s">
        <v>1459</v>
      </c>
      <c r="B25014" s="572">
        <v>0</v>
      </c>
      <c r="C25014" s="572">
        <v>0</v>
      </c>
    </row>
    <row r="25015" spans="1:3">
      <c r="A25015" s="571" t="s">
        <v>1459</v>
      </c>
      <c r="B25015" s="572">
        <v>0.2</v>
      </c>
      <c r="C25015" s="572">
        <v>107.3</v>
      </c>
    </row>
    <row r="25016" spans="1:3">
      <c r="A25016" s="571" t="s">
        <v>1459</v>
      </c>
      <c r="B25016" s="572">
        <v>0.3</v>
      </c>
      <c r="C25016" s="572">
        <v>123</v>
      </c>
    </row>
    <row r="25017" spans="1:3">
      <c r="A25017" s="571" t="s">
        <v>1459</v>
      </c>
      <c r="B25017" s="572">
        <v>0.4</v>
      </c>
      <c r="C25017" s="572">
        <v>231.3</v>
      </c>
    </row>
    <row r="25018" spans="1:3">
      <c r="A25018" s="571" t="s">
        <v>1459</v>
      </c>
      <c r="B25018" s="572">
        <v>1.1000000000000001</v>
      </c>
      <c r="C25018" s="572">
        <v>364.3</v>
      </c>
    </row>
    <row r="25019" spans="1:3">
      <c r="A25019" s="571" t="s">
        <v>1459</v>
      </c>
      <c r="B25019" s="572">
        <v>1.3</v>
      </c>
      <c r="C25019" s="572">
        <v>397.1</v>
      </c>
    </row>
    <row r="25020" spans="1:3">
      <c r="A25020" s="571" t="s">
        <v>1459</v>
      </c>
      <c r="B25020" s="572">
        <v>2.2000000000000002</v>
      </c>
      <c r="C25020" s="572">
        <v>397.1</v>
      </c>
    </row>
    <row r="25021" spans="1:3">
      <c r="A25021" s="571" t="s">
        <v>1459</v>
      </c>
      <c r="B25021" s="572">
        <v>3</v>
      </c>
      <c r="C25021" s="572">
        <v>461.9</v>
      </c>
    </row>
    <row r="25022" spans="1:3">
      <c r="A25022" s="571" t="s">
        <v>1459</v>
      </c>
      <c r="B25022" s="572">
        <v>6.4</v>
      </c>
      <c r="C25022" s="572">
        <v>405.9</v>
      </c>
    </row>
    <row r="25023" spans="1:3">
      <c r="A25023" s="571" t="s">
        <v>1459</v>
      </c>
      <c r="B25023" s="572">
        <v>7.5</v>
      </c>
      <c r="C25023" s="572">
        <v>387.1</v>
      </c>
    </row>
    <row r="25024" spans="1:3">
      <c r="A25024" s="571" t="s">
        <v>1459</v>
      </c>
      <c r="B25024" s="572">
        <v>9.1</v>
      </c>
      <c r="C25024" s="572">
        <v>381.9</v>
      </c>
    </row>
    <row r="25025" spans="1:3">
      <c r="A25025" s="571" t="s">
        <v>1459</v>
      </c>
      <c r="B25025" s="572">
        <v>13.3</v>
      </c>
      <c r="C25025" s="572">
        <v>401.9</v>
      </c>
    </row>
    <row r="25026" spans="1:3">
      <c r="A25026" s="571" t="s">
        <v>1459</v>
      </c>
      <c r="B25026" s="572">
        <v>20.100000000000001</v>
      </c>
      <c r="C25026" s="572">
        <v>410.8</v>
      </c>
    </row>
    <row r="25027" spans="1:3">
      <c r="A25027" s="571" t="s">
        <v>1459</v>
      </c>
      <c r="B25027" s="572">
        <v>29.2</v>
      </c>
      <c r="C25027" s="572">
        <v>430.8</v>
      </c>
    </row>
    <row r="25028" spans="1:3">
      <c r="A25028" s="571" t="s">
        <v>1459</v>
      </c>
      <c r="B25028" s="572">
        <v>29.2</v>
      </c>
      <c r="C25028" s="572">
        <v>430.8</v>
      </c>
    </row>
    <row r="25029" spans="1:3">
      <c r="A25029" s="571" t="s">
        <v>1458</v>
      </c>
      <c r="B25029" s="572">
        <v>0</v>
      </c>
      <c r="C25029" s="572">
        <v>0</v>
      </c>
    </row>
    <row r="25030" spans="1:3">
      <c r="A25030" s="571" t="s">
        <v>1458</v>
      </c>
      <c r="B25030" s="572">
        <v>0.2</v>
      </c>
      <c r="C25030" s="572">
        <v>33</v>
      </c>
    </row>
    <row r="25031" spans="1:3">
      <c r="A25031" s="571" t="s">
        <v>1458</v>
      </c>
      <c r="B25031" s="572">
        <v>0.3</v>
      </c>
      <c r="C25031" s="572">
        <v>0.3</v>
      </c>
    </row>
    <row r="25032" spans="1:3">
      <c r="A25032" s="571" t="s">
        <v>1458</v>
      </c>
      <c r="B25032" s="572">
        <v>0.4</v>
      </c>
      <c r="C25032" s="572">
        <v>7.9</v>
      </c>
    </row>
    <row r="25033" spans="1:3">
      <c r="A25033" s="571" t="s">
        <v>1458</v>
      </c>
      <c r="B25033" s="572">
        <v>1</v>
      </c>
      <c r="C25033" s="572">
        <v>23.7</v>
      </c>
    </row>
    <row r="25034" spans="1:3">
      <c r="A25034" s="571" t="s">
        <v>1458</v>
      </c>
      <c r="B25034" s="572">
        <v>1.4</v>
      </c>
      <c r="C25034" s="572">
        <v>11.4</v>
      </c>
    </row>
    <row r="25035" spans="1:3">
      <c r="A25035" s="571" t="s">
        <v>1458</v>
      </c>
      <c r="B25035" s="572">
        <v>2.1</v>
      </c>
      <c r="C25035" s="572">
        <v>14.7</v>
      </c>
    </row>
    <row r="25036" spans="1:3">
      <c r="A25036" s="571" t="s">
        <v>1458</v>
      </c>
      <c r="B25036" s="572">
        <v>2.7</v>
      </c>
      <c r="C25036" s="572">
        <v>28.6</v>
      </c>
    </row>
    <row r="25037" spans="1:3">
      <c r="A25037" s="571" t="s">
        <v>1458</v>
      </c>
      <c r="B25037" s="572">
        <v>4.0999999999999996</v>
      </c>
      <c r="C25037" s="572">
        <v>80.5</v>
      </c>
    </row>
    <row r="25038" spans="1:3">
      <c r="A25038" s="571" t="s">
        <v>1458</v>
      </c>
      <c r="B25038" s="572">
        <v>9.9</v>
      </c>
      <c r="C25038" s="572">
        <v>176.7</v>
      </c>
    </row>
    <row r="25039" spans="1:3">
      <c r="A25039" s="571" t="s">
        <v>1458</v>
      </c>
      <c r="B25039" s="572">
        <v>20.8</v>
      </c>
      <c r="C25039" s="572">
        <v>256.7</v>
      </c>
    </row>
    <row r="25040" spans="1:3">
      <c r="A25040" s="571" t="s">
        <v>1458</v>
      </c>
      <c r="B25040" s="572">
        <v>27.1</v>
      </c>
      <c r="C25040" s="572">
        <v>316.7</v>
      </c>
    </row>
    <row r="25041" spans="1:3">
      <c r="A25041" s="571" t="s">
        <v>1458</v>
      </c>
      <c r="B25041" s="572">
        <v>41</v>
      </c>
      <c r="C25041" s="572">
        <v>396.7</v>
      </c>
    </row>
    <row r="25042" spans="1:3">
      <c r="A25042" s="571" t="s">
        <v>1458</v>
      </c>
      <c r="B25042" s="572">
        <v>87.1</v>
      </c>
      <c r="C25042" s="572">
        <v>436.7</v>
      </c>
    </row>
    <row r="25043" spans="1:3">
      <c r="A25043" s="573" t="s">
        <v>1458</v>
      </c>
      <c r="B25043" s="574">
        <v>125</v>
      </c>
      <c r="C25043" s="574">
        <v>436.7</v>
      </c>
    </row>
    <row r="25044" spans="1:3">
      <c r="A25044" s="573" t="s">
        <v>1458</v>
      </c>
      <c r="B25044" s="574">
        <v>170.2</v>
      </c>
      <c r="C25044" s="574">
        <v>436.7</v>
      </c>
    </row>
    <row r="25045" spans="1:3">
      <c r="A25045" s="573" t="s">
        <v>1458</v>
      </c>
      <c r="B25045" s="574">
        <v>170.2</v>
      </c>
      <c r="C25045" s="574">
        <v>436.7</v>
      </c>
    </row>
    <row r="25046" spans="1:3">
      <c r="A25046" s="571" t="s">
        <v>1457</v>
      </c>
      <c r="B25046" s="572">
        <v>0</v>
      </c>
      <c r="C25046" s="572">
        <v>0</v>
      </c>
    </row>
    <row r="25047" spans="1:3">
      <c r="A25047" s="571" t="s">
        <v>1457</v>
      </c>
      <c r="B25047" s="572">
        <v>0.2</v>
      </c>
      <c r="C25047" s="572">
        <v>8.1999999999999993</v>
      </c>
    </row>
    <row r="25048" spans="1:3">
      <c r="A25048" s="571" t="s">
        <v>1457</v>
      </c>
      <c r="B25048" s="572">
        <v>0.3</v>
      </c>
      <c r="C25048" s="572">
        <v>36.700000000000003</v>
      </c>
    </row>
    <row r="25049" spans="1:3">
      <c r="A25049" s="571" t="s">
        <v>1457</v>
      </c>
      <c r="B25049" s="572">
        <v>0.4</v>
      </c>
      <c r="C25049" s="572">
        <v>86.4</v>
      </c>
    </row>
    <row r="25050" spans="1:3">
      <c r="A25050" s="571" t="s">
        <v>1457</v>
      </c>
      <c r="B25050" s="572">
        <v>1</v>
      </c>
      <c r="C25050" s="572">
        <v>131.30000000000001</v>
      </c>
    </row>
    <row r="25051" spans="1:3">
      <c r="A25051" s="571" t="s">
        <v>1457</v>
      </c>
      <c r="B25051" s="572">
        <v>1.4</v>
      </c>
      <c r="C25051" s="572">
        <v>263</v>
      </c>
    </row>
    <row r="25052" spans="1:3">
      <c r="A25052" s="571" t="s">
        <v>1457</v>
      </c>
      <c r="B25052" s="572">
        <v>2.1</v>
      </c>
      <c r="C25052" s="572">
        <v>391.6</v>
      </c>
    </row>
    <row r="25053" spans="1:3">
      <c r="A25053" s="571" t="s">
        <v>1457</v>
      </c>
      <c r="B25053" s="572">
        <v>3.2</v>
      </c>
      <c r="C25053" s="572">
        <v>468.4</v>
      </c>
    </row>
    <row r="25054" spans="1:3">
      <c r="A25054" s="571" t="s">
        <v>1457</v>
      </c>
      <c r="B25054" s="572">
        <v>4.2</v>
      </c>
      <c r="C25054" s="572">
        <v>486.2</v>
      </c>
    </row>
    <row r="25055" spans="1:3">
      <c r="A25055" s="571" t="s">
        <v>1457</v>
      </c>
      <c r="B25055" s="572">
        <v>10.4</v>
      </c>
      <c r="C25055" s="572">
        <v>497.6</v>
      </c>
    </row>
    <row r="25056" spans="1:3">
      <c r="A25056" s="571" t="s">
        <v>1457</v>
      </c>
      <c r="B25056" s="572">
        <v>21.7</v>
      </c>
      <c r="C25056" s="572">
        <v>506.2</v>
      </c>
    </row>
    <row r="25057" spans="1:3">
      <c r="A25057" s="571" t="s">
        <v>1457</v>
      </c>
      <c r="B25057" s="572">
        <v>28.1</v>
      </c>
      <c r="C25057" s="572">
        <v>506.2</v>
      </c>
    </row>
    <row r="25058" spans="1:3">
      <c r="A25058" s="571" t="s">
        <v>1457</v>
      </c>
      <c r="B25058" s="572">
        <v>61.4</v>
      </c>
      <c r="C25058" s="572">
        <v>506.2</v>
      </c>
    </row>
    <row r="25059" spans="1:3">
      <c r="A25059" s="571" t="s">
        <v>1457</v>
      </c>
      <c r="B25059" s="572">
        <v>83.3</v>
      </c>
      <c r="C25059" s="572">
        <v>514.9</v>
      </c>
    </row>
    <row r="25060" spans="1:3">
      <c r="A25060" s="571" t="s">
        <v>1457</v>
      </c>
      <c r="B25060" s="572">
        <v>90.9</v>
      </c>
      <c r="C25060" s="572">
        <v>506.2</v>
      </c>
    </row>
    <row r="25061" spans="1:3">
      <c r="A25061" s="571" t="s">
        <v>1457</v>
      </c>
      <c r="B25061" s="572">
        <v>90.9</v>
      </c>
      <c r="C25061" s="572">
        <v>506.2</v>
      </c>
    </row>
    <row r="25062" spans="1:3">
      <c r="A25062" s="571" t="s">
        <v>1456</v>
      </c>
      <c r="B25062" s="572">
        <v>0</v>
      </c>
      <c r="C25062" s="572">
        <v>0</v>
      </c>
    </row>
    <row r="25063" spans="1:3">
      <c r="A25063" s="571" t="s">
        <v>1456</v>
      </c>
      <c r="B25063" s="572">
        <v>13</v>
      </c>
      <c r="C25063" s="572">
        <v>111</v>
      </c>
    </row>
    <row r="25064" spans="1:3">
      <c r="A25064" s="571" t="s">
        <v>1456</v>
      </c>
      <c r="B25064" s="572">
        <v>14</v>
      </c>
      <c r="C25064" s="572">
        <v>114.7</v>
      </c>
    </row>
    <row r="25065" spans="1:3">
      <c r="A25065" s="571" t="s">
        <v>1456</v>
      </c>
      <c r="B25065" s="572">
        <v>16</v>
      </c>
      <c r="C25065" s="572">
        <v>109</v>
      </c>
    </row>
    <row r="25066" spans="1:3">
      <c r="A25066" s="571" t="s">
        <v>1456</v>
      </c>
      <c r="B25066" s="572">
        <v>20</v>
      </c>
      <c r="C25066" s="572">
        <v>150.5</v>
      </c>
    </row>
    <row r="25067" spans="1:3">
      <c r="A25067" s="571" t="s">
        <v>1456</v>
      </c>
      <c r="B25067" s="572">
        <v>26</v>
      </c>
      <c r="C25067" s="572">
        <v>185</v>
      </c>
    </row>
    <row r="25068" spans="1:3">
      <c r="A25068" s="571" t="s">
        <v>1456</v>
      </c>
      <c r="B25068" s="572">
        <v>34</v>
      </c>
      <c r="C25068" s="572">
        <v>198</v>
      </c>
    </row>
    <row r="25069" spans="1:3">
      <c r="A25069" s="571" t="s">
        <v>1456</v>
      </c>
      <c r="B25069" s="572">
        <v>41</v>
      </c>
      <c r="C25069" s="572">
        <v>232.5</v>
      </c>
    </row>
    <row r="25070" spans="1:3">
      <c r="A25070" s="571" t="s">
        <v>1456</v>
      </c>
      <c r="B25070" s="572">
        <v>48</v>
      </c>
      <c r="C25070" s="572">
        <v>237</v>
      </c>
    </row>
    <row r="25071" spans="1:3">
      <c r="A25071" s="571" t="s">
        <v>1456</v>
      </c>
      <c r="B25071" s="572">
        <v>50</v>
      </c>
      <c r="C25071" s="572">
        <v>247</v>
      </c>
    </row>
    <row r="25072" spans="1:3">
      <c r="A25072" s="571" t="s">
        <v>1456</v>
      </c>
      <c r="B25072" s="572">
        <v>55</v>
      </c>
      <c r="C25072" s="572">
        <v>244</v>
      </c>
    </row>
    <row r="25073" spans="1:3">
      <c r="A25073" s="571" t="s">
        <v>1456</v>
      </c>
      <c r="B25073" s="572">
        <v>62</v>
      </c>
      <c r="C25073" s="572">
        <v>265.7</v>
      </c>
    </row>
    <row r="25074" spans="1:3">
      <c r="A25074" s="571" t="s">
        <v>1456</v>
      </c>
      <c r="B25074" s="572">
        <v>69</v>
      </c>
      <c r="C25074" s="572">
        <v>282</v>
      </c>
    </row>
    <row r="25075" spans="1:3">
      <c r="A25075" s="571" t="s">
        <v>1456</v>
      </c>
      <c r="B25075" s="572">
        <v>83</v>
      </c>
      <c r="C25075" s="572">
        <v>306</v>
      </c>
    </row>
    <row r="25076" spans="1:3">
      <c r="A25076" s="571" t="s">
        <v>1456</v>
      </c>
      <c r="B25076" s="572">
        <v>90</v>
      </c>
      <c r="C25076" s="572">
        <v>306</v>
      </c>
    </row>
    <row r="25077" spans="1:3">
      <c r="A25077" s="571" t="s">
        <v>1456</v>
      </c>
      <c r="B25077" s="572">
        <v>96</v>
      </c>
      <c r="C25077" s="572">
        <v>325</v>
      </c>
    </row>
    <row r="25078" spans="1:3">
      <c r="A25078" s="573" t="s">
        <v>1456</v>
      </c>
      <c r="B25078" s="574">
        <v>104</v>
      </c>
      <c r="C25078" s="574">
        <v>327</v>
      </c>
    </row>
    <row r="25079" spans="1:3">
      <c r="A25079" s="573" t="s">
        <v>1456</v>
      </c>
      <c r="B25079" s="574">
        <v>174</v>
      </c>
      <c r="C25079" s="574">
        <v>403</v>
      </c>
    </row>
    <row r="25080" spans="1:3">
      <c r="A25080" s="573" t="s">
        <v>1456</v>
      </c>
      <c r="B25080" s="574">
        <v>271</v>
      </c>
      <c r="C25080" s="574">
        <v>457</v>
      </c>
    </row>
    <row r="25081" spans="1:3">
      <c r="A25081" s="569" t="s">
        <v>1456</v>
      </c>
      <c r="B25081" s="570">
        <v>935</v>
      </c>
      <c r="C25081" s="570">
        <v>560.70000000000005</v>
      </c>
    </row>
    <row r="25082" spans="1:3">
      <c r="A25082" s="569" t="s">
        <v>1456</v>
      </c>
      <c r="B25082" s="570">
        <v>1672</v>
      </c>
      <c r="C25082" s="570">
        <v>568</v>
      </c>
    </row>
    <row r="25083" spans="1:3">
      <c r="A25083" s="569" t="s">
        <v>1456</v>
      </c>
      <c r="B25083" s="570">
        <v>1672</v>
      </c>
      <c r="C25083" s="570">
        <v>568</v>
      </c>
    </row>
    <row r="25084" spans="1:3">
      <c r="A25084" s="571" t="s">
        <v>1455</v>
      </c>
      <c r="B25084" s="572">
        <v>0</v>
      </c>
      <c r="C25084" s="572">
        <v>0</v>
      </c>
    </row>
    <row r="25085" spans="1:3">
      <c r="A25085" s="571" t="s">
        <v>1455</v>
      </c>
      <c r="B25085" s="572">
        <v>2</v>
      </c>
      <c r="C25085" s="572">
        <v>77</v>
      </c>
    </row>
    <row r="25086" spans="1:3">
      <c r="A25086" s="571" t="s">
        <v>1455</v>
      </c>
      <c r="B25086" s="572">
        <v>3</v>
      </c>
      <c r="C25086" s="572">
        <v>100</v>
      </c>
    </row>
    <row r="25087" spans="1:3">
      <c r="A25087" s="571" t="s">
        <v>1455</v>
      </c>
      <c r="B25087" s="572">
        <v>4</v>
      </c>
      <c r="C25087" s="572">
        <v>121</v>
      </c>
    </row>
    <row r="25088" spans="1:3">
      <c r="A25088" s="571" t="s">
        <v>1455</v>
      </c>
      <c r="B25088" s="572">
        <v>7</v>
      </c>
      <c r="C25088" s="572">
        <v>178</v>
      </c>
    </row>
    <row r="25089" spans="1:3">
      <c r="A25089" s="571" t="s">
        <v>1455</v>
      </c>
      <c r="B25089" s="572">
        <v>8</v>
      </c>
      <c r="C25089" s="572">
        <v>205</v>
      </c>
    </row>
    <row r="25090" spans="1:3">
      <c r="A25090" s="571" t="s">
        <v>1455</v>
      </c>
      <c r="B25090" s="572">
        <v>14</v>
      </c>
      <c r="C25090" s="572">
        <v>280</v>
      </c>
    </row>
    <row r="25091" spans="1:3">
      <c r="A25091" s="571" t="s">
        <v>1455</v>
      </c>
      <c r="B25091" s="572">
        <v>24</v>
      </c>
      <c r="C25091" s="572">
        <v>390</v>
      </c>
    </row>
    <row r="25092" spans="1:3">
      <c r="A25092" s="571" t="s">
        <v>1455</v>
      </c>
      <c r="B25092" s="572">
        <v>25</v>
      </c>
      <c r="C25092" s="572">
        <v>400</v>
      </c>
    </row>
    <row r="25093" spans="1:3">
      <c r="A25093" s="571" t="s">
        <v>1455</v>
      </c>
      <c r="B25093" s="572">
        <v>29</v>
      </c>
      <c r="C25093" s="572">
        <v>436</v>
      </c>
    </row>
    <row r="25094" spans="1:3">
      <c r="A25094" s="571" t="s">
        <v>1455</v>
      </c>
      <c r="B25094" s="572">
        <v>35</v>
      </c>
      <c r="C25094" s="572">
        <v>453</v>
      </c>
    </row>
    <row r="25095" spans="1:3">
      <c r="A25095" s="571" t="s">
        <v>1455</v>
      </c>
      <c r="B25095" s="572">
        <v>42</v>
      </c>
      <c r="C25095" s="572">
        <v>513</v>
      </c>
    </row>
    <row r="25096" spans="1:3">
      <c r="A25096" s="571" t="s">
        <v>1455</v>
      </c>
      <c r="B25096" s="572">
        <v>49</v>
      </c>
      <c r="C25096" s="572">
        <v>502</v>
      </c>
    </row>
    <row r="25097" spans="1:3">
      <c r="A25097" s="571" t="s">
        <v>1455</v>
      </c>
      <c r="B25097" s="572">
        <v>57</v>
      </c>
      <c r="C25097" s="572">
        <v>511</v>
      </c>
    </row>
    <row r="25098" spans="1:3">
      <c r="A25098" s="571" t="s">
        <v>1455</v>
      </c>
      <c r="B25098" s="572">
        <v>64</v>
      </c>
      <c r="C25098" s="572">
        <v>525</v>
      </c>
    </row>
    <row r="25099" spans="1:3">
      <c r="A25099" s="571" t="s">
        <v>1455</v>
      </c>
      <c r="B25099" s="572">
        <v>73</v>
      </c>
      <c r="C25099" s="572">
        <v>548</v>
      </c>
    </row>
    <row r="25100" spans="1:3">
      <c r="A25100" s="571" t="s">
        <v>1455</v>
      </c>
      <c r="B25100" s="572">
        <v>95</v>
      </c>
      <c r="C25100" s="572">
        <v>568</v>
      </c>
    </row>
    <row r="25101" spans="1:3">
      <c r="A25101" s="573" t="s">
        <v>1455</v>
      </c>
      <c r="B25101" s="574">
        <v>115</v>
      </c>
      <c r="C25101" s="574">
        <v>598</v>
      </c>
    </row>
    <row r="25102" spans="1:3">
      <c r="A25102" s="573" t="s">
        <v>1455</v>
      </c>
      <c r="B25102" s="574">
        <v>135</v>
      </c>
      <c r="C25102" s="574">
        <v>577</v>
      </c>
    </row>
    <row r="25103" spans="1:3">
      <c r="A25103" s="573" t="s">
        <v>1455</v>
      </c>
      <c r="B25103" s="574">
        <v>157</v>
      </c>
      <c r="C25103" s="574">
        <v>583</v>
      </c>
    </row>
    <row r="25104" spans="1:3">
      <c r="A25104" s="573" t="s">
        <v>1455</v>
      </c>
      <c r="B25104" s="574">
        <v>183</v>
      </c>
      <c r="C25104" s="574">
        <v>590</v>
      </c>
    </row>
    <row r="25105" spans="1:3">
      <c r="A25105" s="573" t="s">
        <v>1455</v>
      </c>
      <c r="B25105" s="574">
        <v>205</v>
      </c>
      <c r="C25105" s="574">
        <v>581</v>
      </c>
    </row>
    <row r="25106" spans="1:3">
      <c r="A25106" s="573" t="s">
        <v>1455</v>
      </c>
      <c r="B25106" s="574">
        <v>218</v>
      </c>
      <c r="C25106" s="574">
        <v>573</v>
      </c>
    </row>
    <row r="25107" spans="1:3">
      <c r="A25107" s="573" t="s">
        <v>1455</v>
      </c>
      <c r="B25107" s="574">
        <v>245</v>
      </c>
      <c r="C25107" s="574">
        <v>610</v>
      </c>
    </row>
    <row r="25108" spans="1:3">
      <c r="A25108" s="573" t="s">
        <v>1455</v>
      </c>
      <c r="B25108" s="574">
        <v>338</v>
      </c>
      <c r="C25108" s="574">
        <v>595</v>
      </c>
    </row>
    <row r="25109" spans="1:3">
      <c r="A25109" s="573" t="s">
        <v>1455</v>
      </c>
      <c r="B25109" s="574">
        <v>438</v>
      </c>
      <c r="C25109" s="574">
        <v>620</v>
      </c>
    </row>
    <row r="25110" spans="1:3">
      <c r="A25110" s="569" t="s">
        <v>1455</v>
      </c>
      <c r="B25110" s="570">
        <v>543</v>
      </c>
      <c r="C25110" s="570">
        <v>623</v>
      </c>
    </row>
    <row r="25111" spans="1:3">
      <c r="A25111" s="569" t="s">
        <v>1455</v>
      </c>
      <c r="B25111" s="570">
        <v>743</v>
      </c>
      <c r="C25111" s="570">
        <v>656</v>
      </c>
    </row>
    <row r="25112" spans="1:3">
      <c r="A25112" s="569" t="s">
        <v>1455</v>
      </c>
      <c r="B25112" s="570">
        <v>920</v>
      </c>
      <c r="C25112" s="570">
        <v>651</v>
      </c>
    </row>
    <row r="25113" spans="1:3">
      <c r="A25113" s="569" t="s">
        <v>1455</v>
      </c>
      <c r="B25113" s="570">
        <v>1122</v>
      </c>
      <c r="C25113" s="570">
        <v>675</v>
      </c>
    </row>
    <row r="25114" spans="1:3">
      <c r="A25114" s="569" t="s">
        <v>1455</v>
      </c>
      <c r="B25114" s="570">
        <v>1331</v>
      </c>
      <c r="C25114" s="570">
        <v>665</v>
      </c>
    </row>
    <row r="25115" spans="1:3">
      <c r="A25115" s="569" t="s">
        <v>1455</v>
      </c>
      <c r="B25115" s="570">
        <v>1473</v>
      </c>
      <c r="C25115" s="570">
        <v>682</v>
      </c>
    </row>
    <row r="25116" spans="1:3">
      <c r="A25116" s="569" t="s">
        <v>1455</v>
      </c>
      <c r="B25116" s="570">
        <v>3823</v>
      </c>
      <c r="C25116" s="570">
        <v>719</v>
      </c>
    </row>
    <row r="25117" spans="1:3">
      <c r="A25117" s="569" t="s">
        <v>1455</v>
      </c>
      <c r="B25117" s="570">
        <v>4321</v>
      </c>
      <c r="C25117" s="570">
        <v>758</v>
      </c>
    </row>
    <row r="25118" spans="1:3">
      <c r="A25118" s="569" t="s">
        <v>1455</v>
      </c>
      <c r="B25118" s="570">
        <v>5169</v>
      </c>
      <c r="C25118" s="570">
        <v>725</v>
      </c>
    </row>
    <row r="25119" spans="1:3">
      <c r="A25119" s="569" t="s">
        <v>1455</v>
      </c>
      <c r="B25119" s="570">
        <v>6342</v>
      </c>
      <c r="C25119" s="570">
        <v>733</v>
      </c>
    </row>
    <row r="25120" spans="1:3">
      <c r="A25120" s="569" t="s">
        <v>1455</v>
      </c>
      <c r="B25120" s="570">
        <v>6342</v>
      </c>
      <c r="C25120" s="570">
        <v>733</v>
      </c>
    </row>
    <row r="25121" spans="1:3">
      <c r="A25121" s="571" t="s">
        <v>1454</v>
      </c>
      <c r="B25121" s="572">
        <v>0</v>
      </c>
      <c r="C25121" s="572">
        <v>0</v>
      </c>
    </row>
    <row r="25122" spans="1:3">
      <c r="A25122" s="571" t="s">
        <v>1454</v>
      </c>
      <c r="B25122" s="572">
        <v>1</v>
      </c>
      <c r="C25122" s="572">
        <v>44</v>
      </c>
    </row>
    <row r="25123" spans="1:3">
      <c r="A25123" s="571" t="s">
        <v>1454</v>
      </c>
      <c r="B25123" s="572">
        <v>2</v>
      </c>
      <c r="C25123" s="572">
        <v>70</v>
      </c>
    </row>
    <row r="25124" spans="1:3">
      <c r="A25124" s="571" t="s">
        <v>1454</v>
      </c>
      <c r="B25124" s="572">
        <v>3</v>
      </c>
      <c r="C25124" s="572">
        <v>95</v>
      </c>
    </row>
    <row r="25125" spans="1:3">
      <c r="A25125" s="571" t="s">
        <v>1454</v>
      </c>
      <c r="B25125" s="572">
        <v>6</v>
      </c>
      <c r="C25125" s="572">
        <v>154</v>
      </c>
    </row>
    <row r="25126" spans="1:3">
      <c r="A25126" s="571" t="s">
        <v>1454</v>
      </c>
      <c r="B25126" s="572">
        <v>10</v>
      </c>
      <c r="C25126" s="572">
        <v>202</v>
      </c>
    </row>
    <row r="25127" spans="1:3">
      <c r="A25127" s="571" t="s">
        <v>1454</v>
      </c>
      <c r="B25127" s="572">
        <v>21</v>
      </c>
      <c r="C25127" s="572">
        <v>309</v>
      </c>
    </row>
    <row r="25128" spans="1:3">
      <c r="A25128" s="571" t="s">
        <v>1454</v>
      </c>
      <c r="B25128" s="572">
        <v>28</v>
      </c>
      <c r="C25128" s="572">
        <v>359</v>
      </c>
    </row>
    <row r="25129" spans="1:3">
      <c r="A25129" s="571" t="s">
        <v>1454</v>
      </c>
      <c r="B25129" s="572">
        <v>35</v>
      </c>
      <c r="C25129" s="572">
        <v>405</v>
      </c>
    </row>
    <row r="25130" spans="1:3">
      <c r="A25130" s="571" t="s">
        <v>1454</v>
      </c>
      <c r="B25130" s="572">
        <v>42</v>
      </c>
      <c r="C25130" s="572">
        <v>437</v>
      </c>
    </row>
    <row r="25131" spans="1:3">
      <c r="A25131" s="571" t="s">
        <v>1454</v>
      </c>
      <c r="B25131" s="572">
        <v>49</v>
      </c>
      <c r="C25131" s="572">
        <v>463</v>
      </c>
    </row>
    <row r="25132" spans="1:3">
      <c r="A25132" s="571" t="s">
        <v>1454</v>
      </c>
      <c r="B25132" s="572">
        <v>62</v>
      </c>
      <c r="C25132" s="572">
        <v>504</v>
      </c>
    </row>
    <row r="25133" spans="1:3">
      <c r="A25133" s="571" t="s">
        <v>1454</v>
      </c>
      <c r="B25133" s="572">
        <v>76</v>
      </c>
      <c r="C25133" s="572">
        <v>545</v>
      </c>
    </row>
    <row r="25134" spans="1:3">
      <c r="A25134" s="573" t="s">
        <v>1454</v>
      </c>
      <c r="B25134" s="574">
        <v>128</v>
      </c>
      <c r="C25134" s="574">
        <v>603</v>
      </c>
    </row>
    <row r="25135" spans="1:3">
      <c r="A25135" s="573" t="s">
        <v>1454</v>
      </c>
      <c r="B25135" s="574">
        <v>164</v>
      </c>
      <c r="C25135" s="574">
        <v>625</v>
      </c>
    </row>
    <row r="25136" spans="1:3">
      <c r="A25136" s="573" t="s">
        <v>1454</v>
      </c>
      <c r="B25136" s="574">
        <v>190</v>
      </c>
      <c r="C25136" s="574">
        <v>650</v>
      </c>
    </row>
    <row r="25137" spans="1:3">
      <c r="A25137" s="573" t="s">
        <v>1454</v>
      </c>
      <c r="B25137" s="574">
        <v>227</v>
      </c>
      <c r="C25137" s="574">
        <v>667</v>
      </c>
    </row>
    <row r="25138" spans="1:3">
      <c r="A25138" s="573" t="s">
        <v>1454</v>
      </c>
      <c r="B25138" s="574">
        <v>329</v>
      </c>
      <c r="C25138" s="574">
        <v>663</v>
      </c>
    </row>
    <row r="25139" spans="1:3">
      <c r="A25139" s="573" t="s">
        <v>1454</v>
      </c>
      <c r="B25139" s="574">
        <v>377</v>
      </c>
      <c r="C25139" s="574">
        <v>692</v>
      </c>
    </row>
    <row r="25140" spans="1:3">
      <c r="A25140" s="573" t="s">
        <v>1454</v>
      </c>
      <c r="B25140" s="574">
        <v>441</v>
      </c>
      <c r="C25140" s="574">
        <v>705</v>
      </c>
    </row>
    <row r="25141" spans="1:3">
      <c r="A25141" s="573" t="s">
        <v>1454</v>
      </c>
      <c r="B25141" s="574">
        <v>478</v>
      </c>
      <c r="C25141" s="574">
        <v>753</v>
      </c>
    </row>
    <row r="25142" spans="1:3">
      <c r="A25142" s="569" t="s">
        <v>1454</v>
      </c>
      <c r="B25142" s="570">
        <v>521</v>
      </c>
      <c r="C25142" s="570">
        <v>741</v>
      </c>
    </row>
    <row r="25143" spans="1:3">
      <c r="A25143" s="569" t="s">
        <v>1454</v>
      </c>
      <c r="B25143" s="570">
        <v>542</v>
      </c>
      <c r="C25143" s="570">
        <v>732</v>
      </c>
    </row>
    <row r="25144" spans="1:3">
      <c r="A25144" s="569" t="s">
        <v>1454</v>
      </c>
      <c r="B25144" s="570">
        <v>552</v>
      </c>
      <c r="C25144" s="570">
        <v>741</v>
      </c>
    </row>
    <row r="25145" spans="1:3">
      <c r="A25145" s="569" t="s">
        <v>1454</v>
      </c>
      <c r="B25145" s="570">
        <v>563</v>
      </c>
      <c r="C25145" s="570">
        <v>748</v>
      </c>
    </row>
    <row r="25146" spans="1:3">
      <c r="A25146" s="569" t="s">
        <v>1454</v>
      </c>
      <c r="B25146" s="570">
        <v>653</v>
      </c>
      <c r="C25146" s="570">
        <v>720</v>
      </c>
    </row>
    <row r="25147" spans="1:3">
      <c r="A25147" s="569" t="s">
        <v>1454</v>
      </c>
      <c r="B25147" s="570">
        <v>667</v>
      </c>
      <c r="C25147" s="570">
        <v>712</v>
      </c>
    </row>
    <row r="25148" spans="1:3">
      <c r="A25148" s="569" t="s">
        <v>1454</v>
      </c>
      <c r="B25148" s="570">
        <v>694</v>
      </c>
      <c r="C25148" s="570">
        <v>725</v>
      </c>
    </row>
    <row r="25149" spans="1:3">
      <c r="A25149" s="569" t="s">
        <v>1454</v>
      </c>
      <c r="B25149" s="570">
        <v>785</v>
      </c>
      <c r="C25149" s="570">
        <v>717</v>
      </c>
    </row>
    <row r="25150" spans="1:3">
      <c r="A25150" s="569" t="s">
        <v>1454</v>
      </c>
      <c r="B25150" s="570">
        <v>990</v>
      </c>
      <c r="C25150" s="570">
        <v>747</v>
      </c>
    </row>
    <row r="25151" spans="1:3">
      <c r="A25151" s="569" t="s">
        <v>1454</v>
      </c>
      <c r="B25151" s="570">
        <v>1190</v>
      </c>
      <c r="C25151" s="570">
        <v>770</v>
      </c>
    </row>
    <row r="25152" spans="1:3">
      <c r="A25152" s="569" t="s">
        <v>1454</v>
      </c>
      <c r="B25152" s="570">
        <v>1569</v>
      </c>
      <c r="C25152" s="570">
        <v>799</v>
      </c>
    </row>
    <row r="25153" spans="1:3">
      <c r="A25153" s="569" t="s">
        <v>1454</v>
      </c>
      <c r="B25153" s="570">
        <v>1778</v>
      </c>
      <c r="C25153" s="570">
        <v>777</v>
      </c>
    </row>
    <row r="25154" spans="1:3">
      <c r="A25154" s="569" t="s">
        <v>1454</v>
      </c>
      <c r="B25154" s="570">
        <v>1920</v>
      </c>
      <c r="C25154" s="570">
        <v>788</v>
      </c>
    </row>
    <row r="25155" spans="1:3">
      <c r="A25155" s="569" t="s">
        <v>1454</v>
      </c>
      <c r="B25155" s="570">
        <v>4270</v>
      </c>
      <c r="C25155" s="570">
        <v>800</v>
      </c>
    </row>
    <row r="25156" spans="1:3">
      <c r="A25156" s="569" t="s">
        <v>1454</v>
      </c>
      <c r="B25156" s="570">
        <v>4768</v>
      </c>
      <c r="C25156" s="570">
        <v>832</v>
      </c>
    </row>
    <row r="25157" spans="1:3">
      <c r="A25157" s="569" t="s">
        <v>1454</v>
      </c>
      <c r="B25157" s="570">
        <v>5616</v>
      </c>
      <c r="C25157" s="570">
        <v>785</v>
      </c>
    </row>
    <row r="25158" spans="1:3">
      <c r="A25158" s="569" t="s">
        <v>1454</v>
      </c>
      <c r="B25158" s="570">
        <v>6789</v>
      </c>
      <c r="C25158" s="570">
        <v>772</v>
      </c>
    </row>
    <row r="25159" spans="1:3">
      <c r="A25159" s="569" t="s">
        <v>1454</v>
      </c>
      <c r="B25159" s="570">
        <v>6789</v>
      </c>
      <c r="C25159" s="570">
        <v>772</v>
      </c>
    </row>
    <row r="25160" spans="1:3">
      <c r="A25160" s="571" t="s">
        <v>1453</v>
      </c>
      <c r="B25160" s="572">
        <v>0</v>
      </c>
      <c r="C25160" s="572">
        <v>0</v>
      </c>
    </row>
    <row r="25161" spans="1:3">
      <c r="A25161" s="571" t="s">
        <v>1453</v>
      </c>
      <c r="B25161" s="572">
        <v>1</v>
      </c>
      <c r="C25161" s="572">
        <v>53</v>
      </c>
    </row>
    <row r="25162" spans="1:3">
      <c r="A25162" s="571" t="s">
        <v>1453</v>
      </c>
      <c r="B25162" s="572">
        <v>3</v>
      </c>
      <c r="C25162" s="572">
        <v>94</v>
      </c>
    </row>
    <row r="25163" spans="1:3">
      <c r="A25163" s="571" t="s">
        <v>1453</v>
      </c>
      <c r="B25163" s="572">
        <v>6</v>
      </c>
      <c r="C25163" s="572">
        <v>160</v>
      </c>
    </row>
    <row r="25164" spans="1:3">
      <c r="A25164" s="571" t="s">
        <v>1453</v>
      </c>
      <c r="B25164" s="572">
        <v>7</v>
      </c>
      <c r="C25164" s="572">
        <v>176</v>
      </c>
    </row>
    <row r="25165" spans="1:3">
      <c r="A25165" s="571" t="s">
        <v>1453</v>
      </c>
      <c r="B25165" s="572">
        <v>9</v>
      </c>
      <c r="C25165" s="572">
        <v>208</v>
      </c>
    </row>
    <row r="25166" spans="1:3">
      <c r="A25166" s="571" t="s">
        <v>1453</v>
      </c>
      <c r="B25166" s="572">
        <v>13</v>
      </c>
      <c r="C25166" s="572">
        <v>265</v>
      </c>
    </row>
    <row r="25167" spans="1:3">
      <c r="A25167" s="571" t="s">
        <v>1453</v>
      </c>
      <c r="B25167" s="572">
        <v>20</v>
      </c>
      <c r="C25167" s="572">
        <v>350</v>
      </c>
    </row>
    <row r="25168" spans="1:3">
      <c r="A25168" s="571" t="s">
        <v>1453</v>
      </c>
      <c r="B25168" s="572">
        <v>34</v>
      </c>
      <c r="C25168" s="572">
        <v>443</v>
      </c>
    </row>
    <row r="25169" spans="1:3">
      <c r="A25169" s="571" t="s">
        <v>1453</v>
      </c>
      <c r="B25169" s="572">
        <v>55</v>
      </c>
      <c r="C25169" s="572">
        <v>522</v>
      </c>
    </row>
    <row r="25170" spans="1:3">
      <c r="A25170" s="571" t="s">
        <v>1453</v>
      </c>
      <c r="B25170" s="572">
        <v>76</v>
      </c>
      <c r="C25170" s="572">
        <v>557</v>
      </c>
    </row>
    <row r="25171" spans="1:3">
      <c r="A25171" s="573" t="s">
        <v>1453</v>
      </c>
      <c r="B25171" s="574">
        <v>104</v>
      </c>
      <c r="C25171" s="574">
        <v>595</v>
      </c>
    </row>
    <row r="25172" spans="1:3">
      <c r="A25172" s="573" t="s">
        <v>1453</v>
      </c>
      <c r="B25172" s="574">
        <v>132</v>
      </c>
      <c r="C25172" s="574">
        <v>615</v>
      </c>
    </row>
    <row r="25173" spans="1:3">
      <c r="A25173" s="573" t="s">
        <v>1453</v>
      </c>
      <c r="B25173" s="574">
        <v>174</v>
      </c>
      <c r="C25173" s="574">
        <v>622</v>
      </c>
    </row>
    <row r="25174" spans="1:3">
      <c r="A25174" s="573" t="s">
        <v>1453</v>
      </c>
      <c r="B25174" s="574">
        <v>204</v>
      </c>
      <c r="C25174" s="574">
        <v>642</v>
      </c>
    </row>
    <row r="25175" spans="1:3">
      <c r="A25175" s="573" t="s">
        <v>1453</v>
      </c>
      <c r="B25175" s="574">
        <v>244</v>
      </c>
      <c r="C25175" s="574">
        <v>652</v>
      </c>
    </row>
    <row r="25176" spans="1:3">
      <c r="A25176" s="573" t="s">
        <v>1453</v>
      </c>
      <c r="B25176" s="574">
        <v>295</v>
      </c>
      <c r="C25176" s="574">
        <v>660</v>
      </c>
    </row>
    <row r="25177" spans="1:3">
      <c r="A25177" s="573" t="s">
        <v>1453</v>
      </c>
      <c r="B25177" s="574">
        <v>384</v>
      </c>
      <c r="C25177" s="574">
        <v>695</v>
      </c>
    </row>
    <row r="25178" spans="1:3">
      <c r="A25178" s="569" t="s">
        <v>1453</v>
      </c>
      <c r="B25178" s="570">
        <v>514</v>
      </c>
      <c r="C25178" s="570">
        <v>700</v>
      </c>
    </row>
    <row r="25179" spans="1:3">
      <c r="A25179" s="569" t="s">
        <v>1453</v>
      </c>
      <c r="B25179" s="570">
        <v>687</v>
      </c>
      <c r="C25179" s="570">
        <v>714</v>
      </c>
    </row>
    <row r="25180" spans="1:3">
      <c r="A25180" s="569" t="s">
        <v>1453</v>
      </c>
      <c r="B25180" s="570">
        <v>1935</v>
      </c>
      <c r="C25180" s="570">
        <v>732</v>
      </c>
    </row>
    <row r="25181" spans="1:3">
      <c r="A25181" s="569" t="s">
        <v>1453</v>
      </c>
      <c r="B25181" s="570">
        <v>3492</v>
      </c>
      <c r="C25181" s="570">
        <v>740</v>
      </c>
    </row>
    <row r="25182" spans="1:3">
      <c r="A25182" s="569" t="s">
        <v>1453</v>
      </c>
      <c r="B25182" s="570">
        <v>3492</v>
      </c>
      <c r="C25182" s="570">
        <v>740</v>
      </c>
    </row>
    <row r="25183" spans="1:3">
      <c r="A25183" s="571" t="s">
        <v>1452</v>
      </c>
      <c r="B25183" s="572">
        <v>0</v>
      </c>
      <c r="C25183" s="572">
        <v>0</v>
      </c>
    </row>
    <row r="25184" spans="1:3">
      <c r="A25184" s="571" t="s">
        <v>1452</v>
      </c>
      <c r="B25184" s="572">
        <v>1</v>
      </c>
      <c r="C25184" s="572">
        <v>47</v>
      </c>
    </row>
    <row r="25185" spans="1:3">
      <c r="A25185" s="571" t="s">
        <v>1452</v>
      </c>
      <c r="B25185" s="572">
        <v>3</v>
      </c>
      <c r="C25185" s="572">
        <v>77</v>
      </c>
    </row>
    <row r="25186" spans="1:3">
      <c r="A25186" s="571" t="s">
        <v>1452</v>
      </c>
      <c r="B25186" s="572">
        <v>6</v>
      </c>
      <c r="C25186" s="572">
        <v>125</v>
      </c>
    </row>
    <row r="25187" spans="1:3">
      <c r="A25187" s="571" t="s">
        <v>1452</v>
      </c>
      <c r="B25187" s="572">
        <v>7</v>
      </c>
      <c r="C25187" s="572">
        <v>135</v>
      </c>
    </row>
    <row r="25188" spans="1:3">
      <c r="A25188" s="571" t="s">
        <v>1452</v>
      </c>
      <c r="B25188" s="572">
        <v>9</v>
      </c>
      <c r="C25188" s="572">
        <v>160</v>
      </c>
    </row>
    <row r="25189" spans="1:3">
      <c r="A25189" s="571" t="s">
        <v>1452</v>
      </c>
      <c r="B25189" s="572">
        <v>13</v>
      </c>
      <c r="C25189" s="572">
        <v>202</v>
      </c>
    </row>
    <row r="25190" spans="1:3">
      <c r="A25190" s="571" t="s">
        <v>1452</v>
      </c>
      <c r="B25190" s="572">
        <v>20</v>
      </c>
      <c r="C25190" s="572">
        <v>260</v>
      </c>
    </row>
    <row r="25191" spans="1:3">
      <c r="A25191" s="571" t="s">
        <v>1452</v>
      </c>
      <c r="B25191" s="572">
        <v>34</v>
      </c>
      <c r="C25191" s="572">
        <v>372</v>
      </c>
    </row>
    <row r="25192" spans="1:3">
      <c r="A25192" s="571" t="s">
        <v>1452</v>
      </c>
      <c r="B25192" s="572">
        <v>55</v>
      </c>
      <c r="C25192" s="572">
        <v>452</v>
      </c>
    </row>
    <row r="25193" spans="1:3">
      <c r="A25193" s="571" t="s">
        <v>1452</v>
      </c>
      <c r="B25193" s="572">
        <v>76</v>
      </c>
      <c r="C25193" s="572">
        <v>515</v>
      </c>
    </row>
    <row r="25194" spans="1:3">
      <c r="A25194" s="573" t="s">
        <v>1452</v>
      </c>
      <c r="B25194" s="574">
        <v>104</v>
      </c>
      <c r="C25194" s="574">
        <v>560</v>
      </c>
    </row>
    <row r="25195" spans="1:3">
      <c r="A25195" s="573" t="s">
        <v>1452</v>
      </c>
      <c r="B25195" s="574">
        <v>132</v>
      </c>
      <c r="C25195" s="574">
        <v>589</v>
      </c>
    </row>
    <row r="25196" spans="1:3">
      <c r="A25196" s="573" t="s">
        <v>1452</v>
      </c>
      <c r="B25196" s="574">
        <v>174</v>
      </c>
      <c r="C25196" s="574">
        <v>610</v>
      </c>
    </row>
    <row r="25197" spans="1:3">
      <c r="A25197" s="573" t="s">
        <v>1452</v>
      </c>
      <c r="B25197" s="574">
        <v>204</v>
      </c>
      <c r="C25197" s="574">
        <v>628</v>
      </c>
    </row>
    <row r="25198" spans="1:3">
      <c r="A25198" s="573" t="s">
        <v>1452</v>
      </c>
      <c r="B25198" s="574">
        <v>244</v>
      </c>
      <c r="C25198" s="574">
        <v>650</v>
      </c>
    </row>
    <row r="25199" spans="1:3">
      <c r="A25199" s="573" t="s">
        <v>1452</v>
      </c>
      <c r="B25199" s="574">
        <v>295</v>
      </c>
      <c r="C25199" s="574">
        <v>664</v>
      </c>
    </row>
    <row r="25200" spans="1:3">
      <c r="A25200" s="573" t="s">
        <v>1452</v>
      </c>
      <c r="B25200" s="574">
        <v>384</v>
      </c>
      <c r="C25200" s="574">
        <v>682</v>
      </c>
    </row>
    <row r="25201" spans="1:3">
      <c r="A25201" s="569" t="s">
        <v>1452</v>
      </c>
      <c r="B25201" s="570">
        <v>514</v>
      </c>
      <c r="C25201" s="570">
        <v>702</v>
      </c>
    </row>
    <row r="25202" spans="1:3">
      <c r="A25202" s="569" t="s">
        <v>1452</v>
      </c>
      <c r="B25202" s="570">
        <v>687</v>
      </c>
      <c r="C25202" s="570">
        <v>716</v>
      </c>
    </row>
    <row r="25203" spans="1:3">
      <c r="A25203" s="569" t="s">
        <v>1452</v>
      </c>
      <c r="B25203" s="570">
        <v>1935</v>
      </c>
      <c r="C25203" s="570">
        <v>735</v>
      </c>
    </row>
    <row r="25204" spans="1:3">
      <c r="A25204" s="569" t="s">
        <v>1452</v>
      </c>
      <c r="B25204" s="570">
        <v>3492</v>
      </c>
      <c r="C25204" s="570">
        <v>719</v>
      </c>
    </row>
    <row r="25205" spans="1:3">
      <c r="A25205" s="569" t="s">
        <v>1452</v>
      </c>
      <c r="B25205" s="570">
        <v>3492</v>
      </c>
      <c r="C25205" s="570">
        <v>719</v>
      </c>
    </row>
    <row r="25206" spans="1:3">
      <c r="A25206" s="571" t="s">
        <v>1451</v>
      </c>
      <c r="B25206" s="572">
        <v>0</v>
      </c>
      <c r="C25206" s="572">
        <v>0</v>
      </c>
    </row>
    <row r="25207" spans="1:3">
      <c r="A25207" s="571" t="s">
        <v>1451</v>
      </c>
      <c r="B25207" s="572">
        <v>1</v>
      </c>
      <c r="C25207" s="572">
        <v>46</v>
      </c>
    </row>
    <row r="25208" spans="1:3">
      <c r="A25208" s="571" t="s">
        <v>1451</v>
      </c>
      <c r="B25208" s="572">
        <v>3</v>
      </c>
      <c r="C25208" s="572">
        <v>64</v>
      </c>
    </row>
    <row r="25209" spans="1:3">
      <c r="A25209" s="571" t="s">
        <v>1451</v>
      </c>
      <c r="B25209" s="572">
        <v>6</v>
      </c>
      <c r="C25209" s="572">
        <v>99</v>
      </c>
    </row>
    <row r="25210" spans="1:3">
      <c r="A25210" s="571" t="s">
        <v>1451</v>
      </c>
      <c r="B25210" s="572">
        <v>7</v>
      </c>
      <c r="C25210" s="572">
        <v>105</v>
      </c>
    </row>
    <row r="25211" spans="1:3">
      <c r="A25211" s="571" t="s">
        <v>1451</v>
      </c>
      <c r="B25211" s="572">
        <v>9</v>
      </c>
      <c r="C25211" s="572">
        <v>121</v>
      </c>
    </row>
    <row r="25212" spans="1:3">
      <c r="A25212" s="571" t="s">
        <v>1451</v>
      </c>
      <c r="B25212" s="572">
        <v>13</v>
      </c>
      <c r="C25212" s="572">
        <v>151</v>
      </c>
    </row>
    <row r="25213" spans="1:3">
      <c r="A25213" s="571" t="s">
        <v>1451</v>
      </c>
      <c r="B25213" s="572">
        <v>20</v>
      </c>
      <c r="C25213" s="572">
        <v>200</v>
      </c>
    </row>
    <row r="25214" spans="1:3">
      <c r="A25214" s="571" t="s">
        <v>1451</v>
      </c>
      <c r="B25214" s="572">
        <v>34</v>
      </c>
      <c r="C25214" s="572">
        <v>282</v>
      </c>
    </row>
    <row r="25215" spans="1:3">
      <c r="A25215" s="571" t="s">
        <v>1451</v>
      </c>
      <c r="B25215" s="572">
        <v>55</v>
      </c>
      <c r="C25215" s="572">
        <v>368</v>
      </c>
    </row>
    <row r="25216" spans="1:3">
      <c r="A25216" s="571" t="s">
        <v>1451</v>
      </c>
      <c r="B25216" s="572">
        <v>76</v>
      </c>
      <c r="C25216" s="572">
        <v>423</v>
      </c>
    </row>
    <row r="25217" spans="1:3">
      <c r="A25217" s="573" t="s">
        <v>1451</v>
      </c>
      <c r="B25217" s="574">
        <v>104</v>
      </c>
      <c r="C25217" s="574">
        <v>481</v>
      </c>
    </row>
    <row r="25218" spans="1:3">
      <c r="A25218" s="573" t="s">
        <v>1451</v>
      </c>
      <c r="B25218" s="574">
        <v>132</v>
      </c>
      <c r="C25218" s="574">
        <v>521</v>
      </c>
    </row>
    <row r="25219" spans="1:3">
      <c r="A25219" s="573" t="s">
        <v>1451</v>
      </c>
      <c r="B25219" s="574">
        <v>174</v>
      </c>
      <c r="C25219" s="574">
        <v>544</v>
      </c>
    </row>
    <row r="25220" spans="1:3">
      <c r="A25220" s="573" t="s">
        <v>1451</v>
      </c>
      <c r="B25220" s="574">
        <v>204</v>
      </c>
      <c r="C25220" s="574">
        <v>575</v>
      </c>
    </row>
    <row r="25221" spans="1:3">
      <c r="A25221" s="573" t="s">
        <v>1451</v>
      </c>
      <c r="B25221" s="574">
        <v>244</v>
      </c>
      <c r="C25221" s="574">
        <v>589</v>
      </c>
    </row>
    <row r="25222" spans="1:3">
      <c r="A25222" s="573" t="s">
        <v>1451</v>
      </c>
      <c r="B25222" s="574">
        <v>295</v>
      </c>
      <c r="C25222" s="574">
        <v>600</v>
      </c>
    </row>
    <row r="25223" spans="1:3">
      <c r="A25223" s="573" t="s">
        <v>1451</v>
      </c>
      <c r="B25223" s="574">
        <v>384</v>
      </c>
      <c r="C25223" s="574">
        <v>628</v>
      </c>
    </row>
    <row r="25224" spans="1:3">
      <c r="A25224" s="569" t="s">
        <v>1451</v>
      </c>
      <c r="B25224" s="570">
        <v>514</v>
      </c>
      <c r="C25224" s="570">
        <v>649</v>
      </c>
    </row>
    <row r="25225" spans="1:3">
      <c r="A25225" s="569" t="s">
        <v>1451</v>
      </c>
      <c r="B25225" s="570">
        <v>687</v>
      </c>
      <c r="C25225" s="570">
        <v>669</v>
      </c>
    </row>
    <row r="25226" spans="1:3">
      <c r="A25226" s="569" t="s">
        <v>1451</v>
      </c>
      <c r="B25226" s="570">
        <v>1935</v>
      </c>
      <c r="C25226" s="570">
        <v>697</v>
      </c>
    </row>
    <row r="25227" spans="1:3">
      <c r="A25227" s="569" t="s">
        <v>1451</v>
      </c>
      <c r="B25227" s="570">
        <v>3492</v>
      </c>
      <c r="C25227" s="570">
        <v>686</v>
      </c>
    </row>
    <row r="25228" spans="1:3">
      <c r="A25228" s="569" t="s">
        <v>1451</v>
      </c>
      <c r="B25228" s="570">
        <v>3492</v>
      </c>
      <c r="C25228" s="570">
        <v>686</v>
      </c>
    </row>
    <row r="25229" spans="1:3">
      <c r="A25229" s="571" t="s">
        <v>1450</v>
      </c>
      <c r="B25229" s="572">
        <v>0</v>
      </c>
      <c r="C25229" s="572">
        <v>0</v>
      </c>
    </row>
    <row r="25230" spans="1:3">
      <c r="A25230" s="571" t="s">
        <v>1450</v>
      </c>
      <c r="B25230" s="572">
        <v>1</v>
      </c>
      <c r="C25230" s="572">
        <v>24</v>
      </c>
    </row>
    <row r="25231" spans="1:3">
      <c r="A25231" s="571" t="s">
        <v>1450</v>
      </c>
      <c r="B25231" s="572">
        <v>3</v>
      </c>
      <c r="C25231" s="572">
        <v>28</v>
      </c>
    </row>
    <row r="25232" spans="1:3">
      <c r="A25232" s="571" t="s">
        <v>1450</v>
      </c>
      <c r="B25232" s="572">
        <v>6</v>
      </c>
      <c r="C25232" s="572">
        <v>32</v>
      </c>
    </row>
    <row r="25233" spans="1:3">
      <c r="A25233" s="571" t="s">
        <v>1450</v>
      </c>
      <c r="B25233" s="572">
        <v>7</v>
      </c>
      <c r="C25233" s="572">
        <v>40</v>
      </c>
    </row>
    <row r="25234" spans="1:3">
      <c r="A25234" s="571" t="s">
        <v>1450</v>
      </c>
      <c r="B25234" s="572">
        <v>9</v>
      </c>
      <c r="C25234" s="572">
        <v>51</v>
      </c>
    </row>
    <row r="25235" spans="1:3">
      <c r="A25235" s="571" t="s">
        <v>1450</v>
      </c>
      <c r="B25235" s="572">
        <v>13</v>
      </c>
      <c r="C25235" s="572">
        <v>75</v>
      </c>
    </row>
    <row r="25236" spans="1:3">
      <c r="A25236" s="571" t="s">
        <v>1450</v>
      </c>
      <c r="B25236" s="572">
        <v>20</v>
      </c>
      <c r="C25236" s="572">
        <v>97</v>
      </c>
    </row>
    <row r="25237" spans="1:3">
      <c r="A25237" s="571" t="s">
        <v>1450</v>
      </c>
      <c r="B25237" s="572">
        <v>34</v>
      </c>
      <c r="C25237" s="572">
        <v>165</v>
      </c>
    </row>
    <row r="25238" spans="1:3">
      <c r="A25238" s="571" t="s">
        <v>1450</v>
      </c>
      <c r="B25238" s="572">
        <v>55</v>
      </c>
      <c r="C25238" s="572">
        <v>220</v>
      </c>
    </row>
    <row r="25239" spans="1:3">
      <c r="A25239" s="571" t="s">
        <v>1450</v>
      </c>
      <c r="B25239" s="572">
        <v>76</v>
      </c>
      <c r="C25239" s="572">
        <v>278</v>
      </c>
    </row>
    <row r="25240" spans="1:3">
      <c r="A25240" s="573" t="s">
        <v>1450</v>
      </c>
      <c r="B25240" s="574">
        <v>104</v>
      </c>
      <c r="C25240" s="574">
        <v>317</v>
      </c>
    </row>
    <row r="25241" spans="1:3">
      <c r="A25241" s="573" t="s">
        <v>1450</v>
      </c>
      <c r="B25241" s="574">
        <v>132</v>
      </c>
      <c r="C25241" s="574">
        <v>342</v>
      </c>
    </row>
    <row r="25242" spans="1:3">
      <c r="A25242" s="573" t="s">
        <v>1450</v>
      </c>
      <c r="B25242" s="574">
        <v>174</v>
      </c>
      <c r="C25242" s="574">
        <v>399</v>
      </c>
    </row>
    <row r="25243" spans="1:3">
      <c r="A25243" s="573" t="s">
        <v>1450</v>
      </c>
      <c r="B25243" s="574">
        <v>204</v>
      </c>
      <c r="C25243" s="574">
        <v>432</v>
      </c>
    </row>
    <row r="25244" spans="1:3">
      <c r="A25244" s="573" t="s">
        <v>1450</v>
      </c>
      <c r="B25244" s="574">
        <v>244</v>
      </c>
      <c r="C25244" s="574">
        <v>460</v>
      </c>
    </row>
    <row r="25245" spans="1:3">
      <c r="A25245" s="573" t="s">
        <v>1450</v>
      </c>
      <c r="B25245" s="574">
        <v>295</v>
      </c>
      <c r="C25245" s="574">
        <v>479</v>
      </c>
    </row>
    <row r="25246" spans="1:3">
      <c r="A25246" s="573" t="s">
        <v>1450</v>
      </c>
      <c r="B25246" s="574">
        <v>384</v>
      </c>
      <c r="C25246" s="574">
        <v>519</v>
      </c>
    </row>
    <row r="25247" spans="1:3">
      <c r="A25247" s="569" t="s">
        <v>1450</v>
      </c>
      <c r="B25247" s="570">
        <v>514</v>
      </c>
      <c r="C25247" s="570">
        <v>538</v>
      </c>
    </row>
    <row r="25248" spans="1:3">
      <c r="A25248" s="569" t="s">
        <v>1450</v>
      </c>
      <c r="B25248" s="570">
        <v>687</v>
      </c>
      <c r="C25248" s="570">
        <v>567</v>
      </c>
    </row>
    <row r="25249" spans="1:3">
      <c r="A25249" s="569" t="s">
        <v>1450</v>
      </c>
      <c r="B25249" s="570">
        <v>1935</v>
      </c>
      <c r="C25249" s="570">
        <v>602</v>
      </c>
    </row>
    <row r="25250" spans="1:3">
      <c r="A25250" s="569" t="s">
        <v>1450</v>
      </c>
      <c r="B25250" s="570">
        <v>3492</v>
      </c>
      <c r="C25250" s="570">
        <v>596</v>
      </c>
    </row>
    <row r="25251" spans="1:3">
      <c r="A25251" s="569" t="s">
        <v>1450</v>
      </c>
      <c r="B25251" s="570">
        <v>3492</v>
      </c>
      <c r="C25251" s="570">
        <v>596</v>
      </c>
    </row>
    <row r="25252" spans="1:3">
      <c r="A25252" s="571" t="s">
        <v>1449</v>
      </c>
      <c r="B25252" s="572">
        <v>0</v>
      </c>
      <c r="C25252" s="572">
        <v>0</v>
      </c>
    </row>
    <row r="25253" spans="1:3">
      <c r="A25253" s="571" t="s">
        <v>1449</v>
      </c>
      <c r="B25253" s="572">
        <v>1</v>
      </c>
      <c r="C25253" s="572">
        <v>16</v>
      </c>
    </row>
    <row r="25254" spans="1:3">
      <c r="A25254" s="571" t="s">
        <v>1449</v>
      </c>
      <c r="B25254" s="572">
        <v>3</v>
      </c>
      <c r="C25254" s="572">
        <v>11</v>
      </c>
    </row>
    <row r="25255" spans="1:3">
      <c r="A25255" s="571" t="s">
        <v>1449</v>
      </c>
      <c r="B25255" s="572">
        <v>6</v>
      </c>
      <c r="C25255" s="572">
        <v>23</v>
      </c>
    </row>
    <row r="25256" spans="1:3">
      <c r="A25256" s="571" t="s">
        <v>1449</v>
      </c>
      <c r="B25256" s="572">
        <v>7</v>
      </c>
      <c r="C25256" s="572">
        <v>28</v>
      </c>
    </row>
    <row r="25257" spans="1:3">
      <c r="A25257" s="571" t="s">
        <v>1449</v>
      </c>
      <c r="B25257" s="572">
        <v>9</v>
      </c>
      <c r="C25257" s="572">
        <v>38</v>
      </c>
    </row>
    <row r="25258" spans="1:3">
      <c r="A25258" s="571" t="s">
        <v>1449</v>
      </c>
      <c r="B25258" s="572">
        <v>13</v>
      </c>
      <c r="C25258" s="572">
        <v>48</v>
      </c>
    </row>
    <row r="25259" spans="1:3">
      <c r="A25259" s="571" t="s">
        <v>1449</v>
      </c>
      <c r="B25259" s="572">
        <v>20</v>
      </c>
      <c r="C25259" s="572">
        <v>74</v>
      </c>
    </row>
    <row r="25260" spans="1:3">
      <c r="A25260" s="571" t="s">
        <v>1449</v>
      </c>
      <c r="B25260" s="572">
        <v>34</v>
      </c>
      <c r="C25260" s="572">
        <v>95</v>
      </c>
    </row>
    <row r="25261" spans="1:3">
      <c r="A25261" s="571" t="s">
        <v>1449</v>
      </c>
      <c r="B25261" s="572">
        <v>55</v>
      </c>
      <c r="C25261" s="572">
        <v>148</v>
      </c>
    </row>
    <row r="25262" spans="1:3">
      <c r="A25262" s="571" t="s">
        <v>1449</v>
      </c>
      <c r="B25262" s="572">
        <v>76</v>
      </c>
      <c r="C25262" s="572">
        <v>192</v>
      </c>
    </row>
    <row r="25263" spans="1:3">
      <c r="A25263" s="573" t="s">
        <v>1449</v>
      </c>
      <c r="B25263" s="574">
        <v>104</v>
      </c>
      <c r="C25263" s="574">
        <v>235</v>
      </c>
    </row>
    <row r="25264" spans="1:3">
      <c r="A25264" s="573" t="s">
        <v>1449</v>
      </c>
      <c r="B25264" s="574">
        <v>132</v>
      </c>
      <c r="C25264" s="574">
        <v>269</v>
      </c>
    </row>
    <row r="25265" spans="1:3">
      <c r="A25265" s="573" t="s">
        <v>1449</v>
      </c>
      <c r="B25265" s="574">
        <v>174</v>
      </c>
      <c r="C25265" s="574">
        <v>325</v>
      </c>
    </row>
    <row r="25266" spans="1:3">
      <c r="A25266" s="573" t="s">
        <v>1449</v>
      </c>
      <c r="B25266" s="574">
        <v>204</v>
      </c>
      <c r="C25266" s="574">
        <v>338</v>
      </c>
    </row>
    <row r="25267" spans="1:3">
      <c r="A25267" s="573" t="s">
        <v>1449</v>
      </c>
      <c r="B25267" s="574">
        <v>244</v>
      </c>
      <c r="C25267" s="574">
        <v>377</v>
      </c>
    </row>
    <row r="25268" spans="1:3">
      <c r="A25268" s="573" t="s">
        <v>1449</v>
      </c>
      <c r="B25268" s="574">
        <v>295</v>
      </c>
      <c r="C25268" s="574">
        <v>402</v>
      </c>
    </row>
    <row r="25269" spans="1:3">
      <c r="A25269" s="573" t="s">
        <v>1449</v>
      </c>
      <c r="B25269" s="574">
        <v>384</v>
      </c>
      <c r="C25269" s="574">
        <v>455</v>
      </c>
    </row>
    <row r="25270" spans="1:3">
      <c r="A25270" s="569" t="s">
        <v>1449</v>
      </c>
      <c r="B25270" s="570">
        <v>514</v>
      </c>
      <c r="C25270" s="570">
        <v>485</v>
      </c>
    </row>
    <row r="25271" spans="1:3">
      <c r="A25271" s="569" t="s">
        <v>1449</v>
      </c>
      <c r="B25271" s="570">
        <v>687</v>
      </c>
      <c r="C25271" s="570">
        <v>529</v>
      </c>
    </row>
    <row r="25272" spans="1:3">
      <c r="A25272" s="569" t="s">
        <v>1449</v>
      </c>
      <c r="B25272" s="570">
        <v>1935</v>
      </c>
      <c r="C25272" s="570">
        <v>594</v>
      </c>
    </row>
    <row r="25273" spans="1:3">
      <c r="A25273" s="569" t="s">
        <v>1449</v>
      </c>
      <c r="B25273" s="570">
        <v>3492</v>
      </c>
      <c r="C25273" s="570">
        <v>585</v>
      </c>
    </row>
    <row r="25274" spans="1:3">
      <c r="A25274" s="569" t="s">
        <v>1449</v>
      </c>
      <c r="B25274" s="570">
        <v>3492</v>
      </c>
      <c r="C25274" s="570">
        <v>585</v>
      </c>
    </row>
    <row r="25275" spans="1:3">
      <c r="A25275" s="571" t="s">
        <v>1447</v>
      </c>
      <c r="B25275" s="572">
        <v>0</v>
      </c>
      <c r="C25275" s="572">
        <v>0</v>
      </c>
    </row>
    <row r="25276" spans="1:3">
      <c r="A25276" s="571" t="s">
        <v>1447</v>
      </c>
      <c r="B25276" s="572">
        <v>1</v>
      </c>
      <c r="C25276" s="572">
        <v>0</v>
      </c>
    </row>
    <row r="25277" spans="1:3">
      <c r="A25277" s="571" t="s">
        <v>1447</v>
      </c>
      <c r="B25277" s="572">
        <v>3</v>
      </c>
      <c r="C25277" s="572">
        <v>0</v>
      </c>
    </row>
    <row r="25278" spans="1:3">
      <c r="A25278" s="571" t="s">
        <v>1447</v>
      </c>
      <c r="B25278" s="572">
        <v>6</v>
      </c>
      <c r="C25278" s="572">
        <v>3</v>
      </c>
    </row>
    <row r="25279" spans="1:3">
      <c r="A25279" s="571" t="s">
        <v>1447</v>
      </c>
      <c r="B25279" s="572">
        <v>7</v>
      </c>
      <c r="C25279" s="572">
        <v>2</v>
      </c>
    </row>
    <row r="25280" spans="1:3">
      <c r="A25280" s="571" t="s">
        <v>1447</v>
      </c>
      <c r="B25280" s="572">
        <v>9</v>
      </c>
      <c r="C25280" s="572">
        <v>2</v>
      </c>
    </row>
    <row r="25281" spans="1:3">
      <c r="A25281" s="571" t="s">
        <v>1447</v>
      </c>
      <c r="B25281" s="572">
        <v>13</v>
      </c>
      <c r="C25281" s="572">
        <v>5</v>
      </c>
    </row>
    <row r="25282" spans="1:3">
      <c r="A25282" s="571" t="s">
        <v>1447</v>
      </c>
      <c r="B25282" s="572">
        <v>20</v>
      </c>
      <c r="C25282" s="572">
        <v>9</v>
      </c>
    </row>
    <row r="25283" spans="1:3">
      <c r="A25283" s="571" t="s">
        <v>1447</v>
      </c>
      <c r="B25283" s="572">
        <v>34</v>
      </c>
      <c r="C25283" s="572">
        <v>14</v>
      </c>
    </row>
    <row r="25284" spans="1:3">
      <c r="A25284" s="571" t="s">
        <v>1447</v>
      </c>
      <c r="B25284" s="572">
        <v>55</v>
      </c>
      <c r="C25284" s="572">
        <v>11</v>
      </c>
    </row>
    <row r="25285" spans="1:3">
      <c r="A25285" s="571" t="s">
        <v>1447</v>
      </c>
      <c r="B25285" s="572">
        <v>76</v>
      </c>
      <c r="C25285" s="572">
        <v>16</v>
      </c>
    </row>
    <row r="25286" spans="1:3">
      <c r="A25286" s="573" t="s">
        <v>1447</v>
      </c>
      <c r="B25286" s="574">
        <v>104</v>
      </c>
      <c r="C25286" s="574">
        <v>14</v>
      </c>
    </row>
    <row r="25287" spans="1:3">
      <c r="A25287" s="573" t="s">
        <v>1447</v>
      </c>
      <c r="B25287" s="574">
        <v>132</v>
      </c>
      <c r="C25287" s="574">
        <v>12</v>
      </c>
    </row>
    <row r="25288" spans="1:3">
      <c r="A25288" s="573" t="s">
        <v>1447</v>
      </c>
      <c r="B25288" s="574">
        <v>174</v>
      </c>
      <c r="C25288" s="574">
        <v>19</v>
      </c>
    </row>
    <row r="25289" spans="1:3">
      <c r="A25289" s="573" t="s">
        <v>1447</v>
      </c>
      <c r="B25289" s="574">
        <v>204</v>
      </c>
      <c r="C25289" s="574">
        <v>19</v>
      </c>
    </row>
    <row r="25290" spans="1:3">
      <c r="A25290" s="573" t="s">
        <v>1447</v>
      </c>
      <c r="B25290" s="574">
        <v>244</v>
      </c>
      <c r="C25290" s="574">
        <v>26</v>
      </c>
    </row>
    <row r="25291" spans="1:3">
      <c r="A25291" s="573" t="s">
        <v>1447</v>
      </c>
      <c r="B25291" s="574">
        <v>295</v>
      </c>
      <c r="C25291" s="574">
        <v>26</v>
      </c>
    </row>
    <row r="25292" spans="1:3">
      <c r="A25292" s="573" t="s">
        <v>1447</v>
      </c>
      <c r="B25292" s="574">
        <v>384</v>
      </c>
      <c r="C25292" s="574">
        <v>24</v>
      </c>
    </row>
    <row r="25293" spans="1:3">
      <c r="A25293" s="573" t="s">
        <v>1447</v>
      </c>
      <c r="B25293" s="574">
        <v>384</v>
      </c>
      <c r="C25293" s="574">
        <v>24</v>
      </c>
    </row>
    <row r="25294" spans="1:3">
      <c r="A25294" s="571" t="s">
        <v>1446</v>
      </c>
      <c r="B25294" s="572">
        <v>0</v>
      </c>
      <c r="C25294" s="572">
        <v>0</v>
      </c>
    </row>
    <row r="25295" spans="1:3">
      <c r="A25295" s="571" t="s">
        <v>1446</v>
      </c>
      <c r="B25295" s="572">
        <v>4.2</v>
      </c>
      <c r="C25295" s="572">
        <v>100</v>
      </c>
    </row>
    <row r="25296" spans="1:3">
      <c r="A25296" s="571" t="s">
        <v>1446</v>
      </c>
      <c r="B25296" s="572">
        <v>7.1</v>
      </c>
      <c r="C25296" s="572">
        <v>150</v>
      </c>
    </row>
    <row r="25297" spans="1:3">
      <c r="A25297" s="571" t="s">
        <v>1446</v>
      </c>
      <c r="B25297" s="572">
        <v>15.4</v>
      </c>
      <c r="C25297" s="572">
        <v>200</v>
      </c>
    </row>
    <row r="25298" spans="1:3">
      <c r="A25298" s="571" t="s">
        <v>1446</v>
      </c>
      <c r="B25298" s="572">
        <v>23</v>
      </c>
      <c r="C25298" s="572">
        <v>225</v>
      </c>
    </row>
    <row r="25299" spans="1:3">
      <c r="A25299" s="571" t="s">
        <v>1446</v>
      </c>
      <c r="B25299" s="572">
        <v>28</v>
      </c>
      <c r="C25299" s="572">
        <v>235</v>
      </c>
    </row>
    <row r="25300" spans="1:3">
      <c r="A25300" s="571" t="s">
        <v>1446</v>
      </c>
      <c r="B25300" s="572">
        <v>57</v>
      </c>
      <c r="C25300" s="572">
        <v>290</v>
      </c>
    </row>
    <row r="25301" spans="1:3">
      <c r="A25301" s="571" t="s">
        <v>1446</v>
      </c>
      <c r="B25301" s="572">
        <v>71</v>
      </c>
      <c r="C25301" s="572">
        <v>290</v>
      </c>
    </row>
    <row r="25302" spans="1:3">
      <c r="A25302" s="573" t="s">
        <v>1446</v>
      </c>
      <c r="B25302" s="574">
        <v>100</v>
      </c>
      <c r="C25302" s="574">
        <v>300</v>
      </c>
    </row>
    <row r="25303" spans="1:3">
      <c r="A25303" s="573" t="s">
        <v>1446</v>
      </c>
      <c r="B25303" s="574">
        <v>134</v>
      </c>
      <c r="C25303" s="574">
        <v>305</v>
      </c>
    </row>
    <row r="25304" spans="1:3">
      <c r="A25304" s="573" t="s">
        <v>1446</v>
      </c>
      <c r="B25304" s="574">
        <v>168</v>
      </c>
      <c r="C25304" s="574">
        <v>310</v>
      </c>
    </row>
    <row r="25305" spans="1:3">
      <c r="A25305" s="573" t="s">
        <v>1446</v>
      </c>
      <c r="B25305" s="574">
        <v>195</v>
      </c>
      <c r="C25305" s="574">
        <v>320</v>
      </c>
    </row>
    <row r="25306" spans="1:3">
      <c r="A25306" s="573" t="s">
        <v>1446</v>
      </c>
      <c r="B25306" s="574">
        <v>225</v>
      </c>
      <c r="C25306" s="574">
        <v>315</v>
      </c>
    </row>
    <row r="25307" spans="1:3">
      <c r="A25307" s="573" t="s">
        <v>1446</v>
      </c>
      <c r="B25307" s="574">
        <v>254</v>
      </c>
      <c r="C25307" s="574">
        <v>315</v>
      </c>
    </row>
    <row r="25308" spans="1:3">
      <c r="A25308" s="573" t="s">
        <v>1446</v>
      </c>
      <c r="B25308" s="574">
        <v>300</v>
      </c>
      <c r="C25308" s="574">
        <v>320</v>
      </c>
    </row>
    <row r="25309" spans="1:3">
      <c r="A25309" s="573" t="s">
        <v>1446</v>
      </c>
      <c r="B25309" s="574">
        <v>316</v>
      </c>
      <c r="C25309" s="574">
        <v>310</v>
      </c>
    </row>
    <row r="25310" spans="1:3">
      <c r="A25310" s="573" t="s">
        <v>1446</v>
      </c>
      <c r="B25310" s="574">
        <v>350</v>
      </c>
      <c r="C25310" s="574">
        <v>305</v>
      </c>
    </row>
    <row r="25311" spans="1:3">
      <c r="A25311" s="573" t="s">
        <v>1446</v>
      </c>
      <c r="B25311" s="574">
        <v>367</v>
      </c>
      <c r="C25311" s="574">
        <v>295</v>
      </c>
    </row>
    <row r="25312" spans="1:3">
      <c r="A25312" s="573" t="s">
        <v>1446</v>
      </c>
      <c r="B25312" s="574">
        <v>367</v>
      </c>
      <c r="C25312" s="574">
        <v>295</v>
      </c>
    </row>
    <row r="25313" spans="1:3">
      <c r="A25313" s="571" t="s">
        <v>1445</v>
      </c>
      <c r="B25313" s="572">
        <v>0</v>
      </c>
      <c r="C25313" s="572">
        <v>0</v>
      </c>
    </row>
    <row r="25314" spans="1:3">
      <c r="A25314" s="571" t="s">
        <v>1445</v>
      </c>
      <c r="B25314" s="572">
        <v>4.2</v>
      </c>
      <c r="C25314" s="572">
        <v>125</v>
      </c>
    </row>
    <row r="25315" spans="1:3">
      <c r="A25315" s="571" t="s">
        <v>1445</v>
      </c>
      <c r="B25315" s="572">
        <v>7.1</v>
      </c>
      <c r="C25315" s="572">
        <v>170</v>
      </c>
    </row>
    <row r="25316" spans="1:3">
      <c r="A25316" s="571" t="s">
        <v>1445</v>
      </c>
      <c r="B25316" s="572">
        <v>15.4</v>
      </c>
      <c r="C25316" s="572">
        <v>245</v>
      </c>
    </row>
    <row r="25317" spans="1:3">
      <c r="A25317" s="571" t="s">
        <v>1445</v>
      </c>
      <c r="B25317" s="572">
        <v>23</v>
      </c>
      <c r="C25317" s="572">
        <v>275</v>
      </c>
    </row>
    <row r="25318" spans="1:3">
      <c r="A25318" s="571" t="s">
        <v>1445</v>
      </c>
      <c r="B25318" s="572">
        <v>28</v>
      </c>
      <c r="C25318" s="572">
        <v>270</v>
      </c>
    </row>
    <row r="25319" spans="1:3">
      <c r="A25319" s="571" t="s">
        <v>1445</v>
      </c>
      <c r="B25319" s="572">
        <v>57</v>
      </c>
      <c r="C25319" s="572">
        <v>345</v>
      </c>
    </row>
    <row r="25320" spans="1:3">
      <c r="A25320" s="571" t="s">
        <v>1445</v>
      </c>
      <c r="B25320" s="572">
        <v>71</v>
      </c>
      <c r="C25320" s="572">
        <v>350</v>
      </c>
    </row>
    <row r="25321" spans="1:3">
      <c r="A25321" s="573" t="s">
        <v>1445</v>
      </c>
      <c r="B25321" s="574">
        <v>100</v>
      </c>
      <c r="C25321" s="574">
        <v>370</v>
      </c>
    </row>
    <row r="25322" spans="1:3">
      <c r="A25322" s="573" t="s">
        <v>1445</v>
      </c>
      <c r="B25322" s="574">
        <v>134</v>
      </c>
      <c r="C25322" s="574">
        <v>380</v>
      </c>
    </row>
    <row r="25323" spans="1:3">
      <c r="A25323" s="573" t="s">
        <v>1445</v>
      </c>
      <c r="B25323" s="574">
        <v>168</v>
      </c>
      <c r="C25323" s="574">
        <v>395</v>
      </c>
    </row>
    <row r="25324" spans="1:3">
      <c r="A25324" s="573" t="s">
        <v>1445</v>
      </c>
      <c r="B25324" s="574">
        <v>195</v>
      </c>
      <c r="C25324" s="574">
        <v>405</v>
      </c>
    </row>
    <row r="25325" spans="1:3">
      <c r="A25325" s="573" t="s">
        <v>1445</v>
      </c>
      <c r="B25325" s="574">
        <v>225</v>
      </c>
      <c r="C25325" s="574">
        <v>392</v>
      </c>
    </row>
    <row r="25326" spans="1:3">
      <c r="A25326" s="573" t="s">
        <v>1445</v>
      </c>
      <c r="B25326" s="574">
        <v>254</v>
      </c>
      <c r="C25326" s="574">
        <v>360</v>
      </c>
    </row>
    <row r="25327" spans="1:3">
      <c r="A25327" s="573" t="s">
        <v>1445</v>
      </c>
      <c r="B25327" s="574">
        <v>300</v>
      </c>
      <c r="C25327" s="574">
        <v>375</v>
      </c>
    </row>
    <row r="25328" spans="1:3">
      <c r="A25328" s="573" t="s">
        <v>1445</v>
      </c>
      <c r="B25328" s="574">
        <v>316</v>
      </c>
      <c r="C25328" s="574">
        <v>350</v>
      </c>
    </row>
    <row r="25329" spans="1:3">
      <c r="A25329" s="573" t="s">
        <v>1445</v>
      </c>
      <c r="B25329" s="574">
        <v>350</v>
      </c>
      <c r="C25329" s="574">
        <v>345</v>
      </c>
    </row>
    <row r="25330" spans="1:3">
      <c r="A25330" s="573" t="s">
        <v>1445</v>
      </c>
      <c r="B25330" s="574">
        <v>367</v>
      </c>
      <c r="C25330" s="574">
        <v>355</v>
      </c>
    </row>
    <row r="25331" spans="1:3">
      <c r="A25331" s="573" t="s">
        <v>1445</v>
      </c>
      <c r="B25331" s="574">
        <v>367</v>
      </c>
      <c r="C25331" s="574">
        <v>355</v>
      </c>
    </row>
    <row r="25332" spans="1:3">
      <c r="A25332" s="571" t="s">
        <v>1444</v>
      </c>
      <c r="B25332" s="572">
        <v>0</v>
      </c>
      <c r="C25332" s="572">
        <v>0</v>
      </c>
    </row>
    <row r="25333" spans="1:3">
      <c r="A25333" s="571" t="s">
        <v>1444</v>
      </c>
      <c r="B25333" s="572">
        <v>7</v>
      </c>
      <c r="C25333" s="572">
        <v>85</v>
      </c>
    </row>
    <row r="25334" spans="1:3">
      <c r="A25334" s="571" t="s">
        <v>1444</v>
      </c>
      <c r="B25334" s="572">
        <v>14</v>
      </c>
      <c r="C25334" s="572">
        <v>135</v>
      </c>
    </row>
    <row r="25335" spans="1:3">
      <c r="A25335" s="571" t="s">
        <v>1444</v>
      </c>
      <c r="B25335" s="572">
        <v>20</v>
      </c>
      <c r="C25335" s="572">
        <v>180</v>
      </c>
    </row>
    <row r="25336" spans="1:3">
      <c r="A25336" s="571" t="s">
        <v>1444</v>
      </c>
      <c r="B25336" s="572">
        <v>28</v>
      </c>
      <c r="C25336" s="572">
        <v>190</v>
      </c>
    </row>
    <row r="25337" spans="1:3">
      <c r="A25337" s="571" t="s">
        <v>1444</v>
      </c>
      <c r="B25337" s="572">
        <v>65</v>
      </c>
      <c r="C25337" s="572">
        <v>238</v>
      </c>
    </row>
    <row r="25338" spans="1:3">
      <c r="A25338" s="571" t="s">
        <v>1444</v>
      </c>
      <c r="B25338" s="572">
        <v>97</v>
      </c>
      <c r="C25338" s="572">
        <v>248</v>
      </c>
    </row>
    <row r="25339" spans="1:3">
      <c r="A25339" s="573" t="s">
        <v>1444</v>
      </c>
      <c r="B25339" s="574">
        <v>132</v>
      </c>
      <c r="C25339" s="574">
        <v>245</v>
      </c>
    </row>
    <row r="25340" spans="1:3">
      <c r="A25340" s="573" t="s">
        <v>1444</v>
      </c>
      <c r="B25340" s="574">
        <v>160</v>
      </c>
      <c r="C25340" s="574">
        <v>255</v>
      </c>
    </row>
    <row r="25341" spans="1:3">
      <c r="A25341" s="573" t="s">
        <v>1444</v>
      </c>
      <c r="B25341" s="574">
        <v>188</v>
      </c>
      <c r="C25341" s="574">
        <v>225</v>
      </c>
    </row>
    <row r="25342" spans="1:3">
      <c r="A25342" s="573" t="s">
        <v>1444</v>
      </c>
      <c r="B25342" s="574">
        <v>220</v>
      </c>
      <c r="C25342" s="574">
        <v>222</v>
      </c>
    </row>
    <row r="25343" spans="1:3">
      <c r="A25343" s="573" t="s">
        <v>1444</v>
      </c>
      <c r="B25343" s="574">
        <v>250</v>
      </c>
      <c r="C25343" s="574">
        <v>235</v>
      </c>
    </row>
    <row r="25344" spans="1:3">
      <c r="A25344" s="573" t="s">
        <v>1444</v>
      </c>
      <c r="B25344" s="574">
        <v>280</v>
      </c>
      <c r="C25344" s="574">
        <v>215</v>
      </c>
    </row>
    <row r="25345" spans="1:3">
      <c r="A25345" s="573" t="s">
        <v>1444</v>
      </c>
      <c r="B25345" s="574">
        <v>313</v>
      </c>
      <c r="C25345" s="574">
        <v>215</v>
      </c>
    </row>
    <row r="25346" spans="1:3">
      <c r="A25346" s="573" t="s">
        <v>1444</v>
      </c>
      <c r="B25346" s="574">
        <v>370</v>
      </c>
      <c r="C25346" s="574">
        <v>220</v>
      </c>
    </row>
    <row r="25347" spans="1:3">
      <c r="A25347" s="573" t="s">
        <v>1444</v>
      </c>
      <c r="B25347" s="574">
        <v>370</v>
      </c>
      <c r="C25347" s="574">
        <v>220</v>
      </c>
    </row>
    <row r="25348" spans="1:3">
      <c r="A25348" s="571" t="s">
        <v>1443</v>
      </c>
      <c r="B25348" s="572">
        <v>0</v>
      </c>
      <c r="C25348" s="572">
        <v>0</v>
      </c>
    </row>
    <row r="25349" spans="1:3">
      <c r="A25349" s="571" t="s">
        <v>1443</v>
      </c>
      <c r="B25349" s="572">
        <v>7</v>
      </c>
      <c r="C25349" s="572">
        <v>130</v>
      </c>
    </row>
    <row r="25350" spans="1:3">
      <c r="A25350" s="571" t="s">
        <v>1443</v>
      </c>
      <c r="B25350" s="572">
        <v>14</v>
      </c>
      <c r="C25350" s="572">
        <v>160</v>
      </c>
    </row>
    <row r="25351" spans="1:3">
      <c r="A25351" s="571" t="s">
        <v>1443</v>
      </c>
      <c r="B25351" s="572">
        <v>20</v>
      </c>
      <c r="C25351" s="572">
        <v>200</v>
      </c>
    </row>
    <row r="25352" spans="1:3">
      <c r="A25352" s="571" t="s">
        <v>1443</v>
      </c>
      <c r="B25352" s="572">
        <v>28</v>
      </c>
      <c r="C25352" s="572">
        <v>225</v>
      </c>
    </row>
    <row r="25353" spans="1:3">
      <c r="A25353" s="571" t="s">
        <v>1443</v>
      </c>
      <c r="B25353" s="572">
        <v>65</v>
      </c>
      <c r="C25353" s="572">
        <v>260</v>
      </c>
    </row>
    <row r="25354" spans="1:3">
      <c r="A25354" s="571" t="s">
        <v>1443</v>
      </c>
      <c r="B25354" s="572">
        <v>97</v>
      </c>
      <c r="C25354" s="572">
        <v>285</v>
      </c>
    </row>
    <row r="25355" spans="1:3">
      <c r="A25355" s="573" t="s">
        <v>1443</v>
      </c>
      <c r="B25355" s="574">
        <v>132</v>
      </c>
      <c r="C25355" s="574">
        <v>280</v>
      </c>
    </row>
    <row r="25356" spans="1:3">
      <c r="A25356" s="573" t="s">
        <v>1443</v>
      </c>
      <c r="B25356" s="574">
        <v>160</v>
      </c>
      <c r="C25356" s="574">
        <v>292</v>
      </c>
    </row>
    <row r="25357" spans="1:3">
      <c r="A25357" s="573" t="s">
        <v>1443</v>
      </c>
      <c r="B25357" s="574">
        <v>188</v>
      </c>
      <c r="C25357" s="574">
        <v>275</v>
      </c>
    </row>
    <row r="25358" spans="1:3">
      <c r="A25358" s="573" t="s">
        <v>1443</v>
      </c>
      <c r="B25358" s="574">
        <v>220</v>
      </c>
      <c r="C25358" s="574">
        <v>247</v>
      </c>
    </row>
    <row r="25359" spans="1:3">
      <c r="A25359" s="573" t="s">
        <v>1443</v>
      </c>
      <c r="B25359" s="574">
        <v>250</v>
      </c>
      <c r="C25359" s="574">
        <v>250</v>
      </c>
    </row>
    <row r="25360" spans="1:3">
      <c r="A25360" s="573" t="s">
        <v>1443</v>
      </c>
      <c r="B25360" s="574">
        <v>280</v>
      </c>
      <c r="C25360" s="574">
        <v>215</v>
      </c>
    </row>
    <row r="25361" spans="1:3">
      <c r="A25361" s="573" t="s">
        <v>1443</v>
      </c>
      <c r="B25361" s="574">
        <v>313</v>
      </c>
      <c r="C25361" s="574">
        <v>242</v>
      </c>
    </row>
    <row r="25362" spans="1:3">
      <c r="A25362" s="573" t="s">
        <v>1443</v>
      </c>
      <c r="B25362" s="574">
        <v>370</v>
      </c>
      <c r="C25362" s="574">
        <v>268</v>
      </c>
    </row>
    <row r="25363" spans="1:3">
      <c r="A25363" s="573" t="s">
        <v>1443</v>
      </c>
      <c r="B25363" s="574">
        <v>370</v>
      </c>
      <c r="C25363" s="574">
        <v>268</v>
      </c>
    </row>
    <row r="25364" spans="1:3">
      <c r="A25364" s="571" t="s">
        <v>1442</v>
      </c>
      <c r="B25364" s="572">
        <v>0</v>
      </c>
      <c r="C25364" s="572">
        <v>0</v>
      </c>
    </row>
    <row r="25365" spans="1:3">
      <c r="A25365" s="571" t="s">
        <v>1442</v>
      </c>
      <c r="B25365" s="572">
        <v>7</v>
      </c>
      <c r="C25365" s="572">
        <v>70</v>
      </c>
    </row>
    <row r="25366" spans="1:3">
      <c r="A25366" s="571" t="s">
        <v>1442</v>
      </c>
      <c r="B25366" s="572">
        <v>14</v>
      </c>
      <c r="C25366" s="572">
        <v>145</v>
      </c>
    </row>
    <row r="25367" spans="1:3">
      <c r="A25367" s="571" t="s">
        <v>1442</v>
      </c>
      <c r="B25367" s="572">
        <v>20</v>
      </c>
      <c r="C25367" s="572">
        <v>190</v>
      </c>
    </row>
    <row r="25368" spans="1:3">
      <c r="A25368" s="571" t="s">
        <v>1442</v>
      </c>
      <c r="B25368" s="572">
        <v>28</v>
      </c>
      <c r="C25368" s="572">
        <v>250</v>
      </c>
    </row>
    <row r="25369" spans="1:3">
      <c r="A25369" s="571" t="s">
        <v>1442</v>
      </c>
      <c r="B25369" s="572">
        <v>65</v>
      </c>
      <c r="C25369" s="572">
        <v>282</v>
      </c>
    </row>
    <row r="25370" spans="1:3">
      <c r="A25370" s="571" t="s">
        <v>1442</v>
      </c>
      <c r="B25370" s="572">
        <v>90</v>
      </c>
      <c r="C25370" s="572">
        <v>310</v>
      </c>
    </row>
    <row r="25371" spans="1:3">
      <c r="A25371" s="573" t="s">
        <v>1442</v>
      </c>
      <c r="B25371" s="574">
        <v>125</v>
      </c>
      <c r="C25371" s="574">
        <v>310</v>
      </c>
    </row>
    <row r="25372" spans="1:3">
      <c r="A25372" s="573" t="s">
        <v>1442</v>
      </c>
      <c r="B25372" s="574">
        <v>153</v>
      </c>
      <c r="C25372" s="574">
        <v>330</v>
      </c>
    </row>
    <row r="25373" spans="1:3">
      <c r="A25373" s="573" t="s">
        <v>1442</v>
      </c>
      <c r="B25373" s="574">
        <v>182</v>
      </c>
      <c r="C25373" s="574">
        <v>342</v>
      </c>
    </row>
    <row r="25374" spans="1:3">
      <c r="A25374" s="573" t="s">
        <v>1442</v>
      </c>
      <c r="B25374" s="574">
        <v>212</v>
      </c>
      <c r="C25374" s="574">
        <v>329</v>
      </c>
    </row>
    <row r="25375" spans="1:3">
      <c r="A25375" s="573" t="s">
        <v>1442</v>
      </c>
      <c r="B25375" s="574">
        <v>245</v>
      </c>
      <c r="C25375" s="574">
        <v>340</v>
      </c>
    </row>
    <row r="25376" spans="1:3">
      <c r="A25376" s="573" t="s">
        <v>1442</v>
      </c>
      <c r="B25376" s="574">
        <v>275</v>
      </c>
      <c r="C25376" s="574">
        <v>320</v>
      </c>
    </row>
    <row r="25377" spans="1:3">
      <c r="A25377" s="573" t="s">
        <v>1442</v>
      </c>
      <c r="B25377" s="574">
        <v>307</v>
      </c>
      <c r="C25377" s="574">
        <v>325</v>
      </c>
    </row>
    <row r="25378" spans="1:3">
      <c r="A25378" s="573" t="s">
        <v>1442</v>
      </c>
      <c r="B25378" s="574">
        <v>370</v>
      </c>
      <c r="C25378" s="574">
        <v>340</v>
      </c>
    </row>
    <row r="25379" spans="1:3">
      <c r="A25379" s="573" t="s">
        <v>1442</v>
      </c>
      <c r="B25379" s="574">
        <v>370</v>
      </c>
      <c r="C25379" s="574">
        <v>340</v>
      </c>
    </row>
    <row r="25380" spans="1:3">
      <c r="A25380" s="571" t="s">
        <v>1441</v>
      </c>
      <c r="B25380" s="572">
        <v>0</v>
      </c>
      <c r="C25380" s="572">
        <v>0</v>
      </c>
    </row>
    <row r="25381" spans="1:3">
      <c r="A25381" s="571" t="s">
        <v>1441</v>
      </c>
      <c r="B25381" s="572">
        <v>7</v>
      </c>
      <c r="C25381" s="572">
        <v>100</v>
      </c>
    </row>
    <row r="25382" spans="1:3">
      <c r="A25382" s="571" t="s">
        <v>1441</v>
      </c>
      <c r="B25382" s="572">
        <v>14</v>
      </c>
      <c r="C25382" s="572">
        <v>180</v>
      </c>
    </row>
    <row r="25383" spans="1:3">
      <c r="A25383" s="571" t="s">
        <v>1441</v>
      </c>
      <c r="B25383" s="572">
        <v>20</v>
      </c>
      <c r="C25383" s="572">
        <v>220</v>
      </c>
    </row>
    <row r="25384" spans="1:3">
      <c r="A25384" s="571" t="s">
        <v>1441</v>
      </c>
      <c r="B25384" s="572">
        <v>28</v>
      </c>
      <c r="C25384" s="572">
        <v>285</v>
      </c>
    </row>
    <row r="25385" spans="1:3">
      <c r="A25385" s="571" t="s">
        <v>1441</v>
      </c>
      <c r="B25385" s="572">
        <v>65</v>
      </c>
      <c r="C25385" s="572">
        <v>342</v>
      </c>
    </row>
    <row r="25386" spans="1:3">
      <c r="A25386" s="571" t="s">
        <v>1441</v>
      </c>
      <c r="B25386" s="572">
        <v>90</v>
      </c>
      <c r="C25386" s="572">
        <v>375</v>
      </c>
    </row>
    <row r="25387" spans="1:3">
      <c r="A25387" s="573" t="s">
        <v>1441</v>
      </c>
      <c r="B25387" s="574">
        <v>125</v>
      </c>
      <c r="C25387" s="574">
        <v>390</v>
      </c>
    </row>
    <row r="25388" spans="1:3">
      <c r="A25388" s="573" t="s">
        <v>1441</v>
      </c>
      <c r="B25388" s="574">
        <v>153</v>
      </c>
      <c r="C25388" s="574">
        <v>430</v>
      </c>
    </row>
    <row r="25389" spans="1:3">
      <c r="A25389" s="573" t="s">
        <v>1441</v>
      </c>
      <c r="B25389" s="574">
        <v>182</v>
      </c>
      <c r="C25389" s="574">
        <v>420</v>
      </c>
    </row>
    <row r="25390" spans="1:3">
      <c r="A25390" s="573" t="s">
        <v>1441</v>
      </c>
      <c r="B25390" s="574">
        <v>212</v>
      </c>
      <c r="C25390" s="574">
        <v>380</v>
      </c>
    </row>
    <row r="25391" spans="1:3">
      <c r="A25391" s="573" t="s">
        <v>1441</v>
      </c>
      <c r="B25391" s="574">
        <v>245</v>
      </c>
      <c r="C25391" s="574">
        <v>383</v>
      </c>
    </row>
    <row r="25392" spans="1:3">
      <c r="A25392" s="573" t="s">
        <v>1441</v>
      </c>
      <c r="B25392" s="574">
        <v>275</v>
      </c>
      <c r="C25392" s="574">
        <v>355</v>
      </c>
    </row>
    <row r="25393" spans="1:3">
      <c r="A25393" s="573" t="s">
        <v>1441</v>
      </c>
      <c r="B25393" s="574">
        <v>307</v>
      </c>
      <c r="C25393" s="574">
        <v>420</v>
      </c>
    </row>
    <row r="25394" spans="1:3">
      <c r="A25394" s="573" t="s">
        <v>1441</v>
      </c>
      <c r="B25394" s="574">
        <v>370</v>
      </c>
      <c r="C25394" s="574">
        <v>430</v>
      </c>
    </row>
    <row r="25395" spans="1:3">
      <c r="A25395" s="573" t="s">
        <v>1441</v>
      </c>
      <c r="B25395" s="574">
        <v>370</v>
      </c>
      <c r="C25395" s="574">
        <v>430</v>
      </c>
    </row>
    <row r="25396" spans="1:3">
      <c r="A25396" s="571" t="s">
        <v>1440</v>
      </c>
      <c r="B25396" s="572">
        <v>0</v>
      </c>
      <c r="C25396" s="572">
        <v>0</v>
      </c>
    </row>
    <row r="25397" spans="1:3">
      <c r="A25397" s="571" t="s">
        <v>1440</v>
      </c>
      <c r="B25397" s="572">
        <v>7</v>
      </c>
      <c r="C25397" s="572">
        <v>90</v>
      </c>
    </row>
    <row r="25398" spans="1:3">
      <c r="A25398" s="571" t="s">
        <v>1440</v>
      </c>
      <c r="B25398" s="572">
        <v>14</v>
      </c>
      <c r="C25398" s="572">
        <v>180</v>
      </c>
    </row>
    <row r="25399" spans="1:3">
      <c r="A25399" s="571" t="s">
        <v>1440</v>
      </c>
      <c r="B25399" s="572">
        <v>20</v>
      </c>
      <c r="C25399" s="572">
        <v>205</v>
      </c>
    </row>
    <row r="25400" spans="1:3">
      <c r="A25400" s="571" t="s">
        <v>1440</v>
      </c>
      <c r="B25400" s="572">
        <v>28</v>
      </c>
      <c r="C25400" s="572">
        <v>237</v>
      </c>
    </row>
    <row r="25401" spans="1:3">
      <c r="A25401" s="571" t="s">
        <v>1440</v>
      </c>
      <c r="B25401" s="572">
        <v>44</v>
      </c>
      <c r="C25401" s="572">
        <v>280</v>
      </c>
    </row>
    <row r="25402" spans="1:3">
      <c r="A25402" s="571" t="s">
        <v>1440</v>
      </c>
      <c r="B25402" s="572">
        <v>80</v>
      </c>
      <c r="C25402" s="572">
        <v>375</v>
      </c>
    </row>
    <row r="25403" spans="1:3">
      <c r="A25403" s="573" t="s">
        <v>1440</v>
      </c>
      <c r="B25403" s="574">
        <v>105</v>
      </c>
      <c r="C25403" s="574">
        <v>385</v>
      </c>
    </row>
    <row r="25404" spans="1:3">
      <c r="A25404" s="573" t="s">
        <v>1440</v>
      </c>
      <c r="B25404" s="574">
        <v>139</v>
      </c>
      <c r="C25404" s="574">
        <v>390</v>
      </c>
    </row>
    <row r="25405" spans="1:3">
      <c r="A25405" s="573" t="s">
        <v>1440</v>
      </c>
      <c r="B25405" s="574">
        <v>166</v>
      </c>
      <c r="C25405" s="574">
        <v>400</v>
      </c>
    </row>
    <row r="25406" spans="1:3">
      <c r="A25406" s="573" t="s">
        <v>1440</v>
      </c>
      <c r="B25406" s="574">
        <v>195</v>
      </c>
      <c r="C25406" s="574">
        <v>380</v>
      </c>
    </row>
    <row r="25407" spans="1:3">
      <c r="A25407" s="573" t="s">
        <v>1440</v>
      </c>
      <c r="B25407" s="574">
        <v>225</v>
      </c>
      <c r="C25407" s="574">
        <v>385</v>
      </c>
    </row>
    <row r="25408" spans="1:3">
      <c r="A25408" s="573" t="s">
        <v>1440</v>
      </c>
      <c r="B25408" s="574">
        <v>258</v>
      </c>
      <c r="C25408" s="574">
        <v>400</v>
      </c>
    </row>
    <row r="25409" spans="1:3">
      <c r="A25409" s="573" t="s">
        <v>1440</v>
      </c>
      <c r="B25409" s="574">
        <v>288</v>
      </c>
      <c r="C25409" s="574">
        <v>380</v>
      </c>
    </row>
    <row r="25410" spans="1:3">
      <c r="A25410" s="573" t="s">
        <v>1440</v>
      </c>
      <c r="B25410" s="574">
        <v>320</v>
      </c>
      <c r="C25410" s="574">
        <v>380</v>
      </c>
    </row>
    <row r="25411" spans="1:3">
      <c r="A25411" s="573" t="s">
        <v>1440</v>
      </c>
      <c r="B25411" s="574">
        <v>360</v>
      </c>
      <c r="C25411" s="574">
        <v>388</v>
      </c>
    </row>
    <row r="25412" spans="1:3">
      <c r="A25412" s="573" t="s">
        <v>1440</v>
      </c>
      <c r="B25412" s="574">
        <v>360</v>
      </c>
      <c r="C25412" s="574">
        <v>388</v>
      </c>
    </row>
    <row r="25413" spans="1:3">
      <c r="A25413" s="571" t="s">
        <v>1438</v>
      </c>
      <c r="B25413" s="572">
        <v>0</v>
      </c>
      <c r="C25413" s="572">
        <v>0</v>
      </c>
    </row>
    <row r="25414" spans="1:3">
      <c r="A25414" s="571" t="s">
        <v>1438</v>
      </c>
      <c r="B25414" s="572">
        <v>7</v>
      </c>
      <c r="C25414" s="572">
        <v>112</v>
      </c>
    </row>
    <row r="25415" spans="1:3">
      <c r="A25415" s="571" t="s">
        <v>1438</v>
      </c>
      <c r="B25415" s="572">
        <v>14</v>
      </c>
      <c r="C25415" s="572">
        <v>195</v>
      </c>
    </row>
    <row r="25416" spans="1:3">
      <c r="A25416" s="571" t="s">
        <v>1438</v>
      </c>
      <c r="B25416" s="572">
        <v>20</v>
      </c>
      <c r="C25416" s="572">
        <v>230</v>
      </c>
    </row>
    <row r="25417" spans="1:3">
      <c r="A25417" s="571" t="s">
        <v>1438</v>
      </c>
      <c r="B25417" s="572">
        <v>28</v>
      </c>
      <c r="C25417" s="572">
        <v>270</v>
      </c>
    </row>
    <row r="25418" spans="1:3">
      <c r="A25418" s="571" t="s">
        <v>1438</v>
      </c>
      <c r="B25418" s="572">
        <v>44</v>
      </c>
      <c r="C25418" s="572">
        <v>325</v>
      </c>
    </row>
    <row r="25419" spans="1:3">
      <c r="A25419" s="571" t="s">
        <v>1438</v>
      </c>
      <c r="B25419" s="572">
        <v>80</v>
      </c>
      <c r="C25419" s="572">
        <v>355</v>
      </c>
    </row>
    <row r="25420" spans="1:3">
      <c r="A25420" s="573" t="s">
        <v>1438</v>
      </c>
      <c r="B25420" s="574">
        <v>105</v>
      </c>
      <c r="C25420" s="574">
        <v>385</v>
      </c>
    </row>
    <row r="25421" spans="1:3">
      <c r="A25421" s="573" t="s">
        <v>1438</v>
      </c>
      <c r="B25421" s="574">
        <v>139</v>
      </c>
      <c r="C25421" s="574">
        <v>435</v>
      </c>
    </row>
    <row r="25422" spans="1:3">
      <c r="A25422" s="573" t="s">
        <v>1438</v>
      </c>
      <c r="B25422" s="574">
        <v>166</v>
      </c>
      <c r="C25422" s="574">
        <v>470</v>
      </c>
    </row>
    <row r="25423" spans="1:3">
      <c r="A25423" s="573" t="s">
        <v>1438</v>
      </c>
      <c r="B25423" s="574">
        <v>195</v>
      </c>
      <c r="C25423" s="574">
        <v>462</v>
      </c>
    </row>
    <row r="25424" spans="1:3">
      <c r="A25424" s="573" t="s">
        <v>1438</v>
      </c>
      <c r="B25424" s="574">
        <v>225</v>
      </c>
      <c r="C25424" s="574">
        <v>450</v>
      </c>
    </row>
    <row r="25425" spans="1:3">
      <c r="A25425" s="573" t="s">
        <v>1438</v>
      </c>
      <c r="B25425" s="574">
        <v>258</v>
      </c>
      <c r="C25425" s="574">
        <v>465</v>
      </c>
    </row>
    <row r="25426" spans="1:3">
      <c r="A25426" s="573" t="s">
        <v>1438</v>
      </c>
      <c r="B25426" s="574">
        <v>288</v>
      </c>
      <c r="C25426" s="574">
        <v>445</v>
      </c>
    </row>
    <row r="25427" spans="1:3">
      <c r="A25427" s="573" t="s">
        <v>1438</v>
      </c>
      <c r="B25427" s="574">
        <v>320</v>
      </c>
      <c r="C25427" s="574">
        <v>465</v>
      </c>
    </row>
    <row r="25428" spans="1:3">
      <c r="A25428" s="573" t="s">
        <v>1438</v>
      </c>
      <c r="B25428" s="574">
        <v>360</v>
      </c>
      <c r="C25428" s="574">
        <v>485</v>
      </c>
    </row>
    <row r="25429" spans="1:3">
      <c r="A25429" s="573" t="s">
        <v>1438</v>
      </c>
      <c r="B25429" s="574">
        <v>360</v>
      </c>
      <c r="C25429" s="574">
        <v>485</v>
      </c>
    </row>
    <row r="25430" spans="1:3">
      <c r="A25430" s="571" t="s">
        <v>1437</v>
      </c>
      <c r="B25430" s="572">
        <v>0</v>
      </c>
      <c r="C25430" s="572">
        <v>0</v>
      </c>
    </row>
    <row r="25431" spans="1:3">
      <c r="A25431" s="571" t="s">
        <v>1437</v>
      </c>
      <c r="B25431" s="572">
        <v>1</v>
      </c>
      <c r="C25431" s="572">
        <v>15</v>
      </c>
    </row>
    <row r="25432" spans="1:3">
      <c r="A25432" s="571" t="s">
        <v>1437</v>
      </c>
      <c r="B25432" s="572">
        <v>4</v>
      </c>
      <c r="C25432" s="572">
        <v>45</v>
      </c>
    </row>
    <row r="25433" spans="1:3">
      <c r="A25433" s="571" t="s">
        <v>1437</v>
      </c>
      <c r="B25433" s="572">
        <v>10.4</v>
      </c>
      <c r="C25433" s="572">
        <v>72</v>
      </c>
    </row>
    <row r="25434" spans="1:3">
      <c r="A25434" s="571" t="s">
        <v>1437</v>
      </c>
      <c r="B25434" s="572">
        <v>20.8</v>
      </c>
      <c r="C25434" s="572">
        <v>95</v>
      </c>
    </row>
    <row r="25435" spans="1:3">
      <c r="A25435" s="571" t="s">
        <v>1437</v>
      </c>
      <c r="B25435" s="572">
        <v>31.3</v>
      </c>
      <c r="C25435" s="572">
        <v>112</v>
      </c>
    </row>
    <row r="25436" spans="1:3">
      <c r="A25436" s="571" t="s">
        <v>1437</v>
      </c>
      <c r="B25436" s="572">
        <v>41.7</v>
      </c>
      <c r="C25436" s="572">
        <v>122</v>
      </c>
    </row>
    <row r="25437" spans="1:3">
      <c r="A25437" s="571" t="s">
        <v>1437</v>
      </c>
      <c r="B25437" s="572">
        <v>60</v>
      </c>
      <c r="C25437" s="572">
        <v>144</v>
      </c>
    </row>
    <row r="25438" spans="1:3">
      <c r="A25438" s="571" t="s">
        <v>1437</v>
      </c>
      <c r="B25438" s="572">
        <v>60</v>
      </c>
      <c r="C25438" s="572">
        <v>144</v>
      </c>
    </row>
    <row r="25439" spans="1:3">
      <c r="A25439" s="571" t="s">
        <v>1436</v>
      </c>
      <c r="B25439" s="572">
        <v>0</v>
      </c>
      <c r="C25439" s="572">
        <v>0</v>
      </c>
    </row>
    <row r="25440" spans="1:3">
      <c r="A25440" s="571" t="s">
        <v>1436</v>
      </c>
      <c r="B25440" s="572">
        <v>1</v>
      </c>
      <c r="C25440" s="572">
        <v>22.5</v>
      </c>
    </row>
    <row r="25441" spans="1:3">
      <c r="A25441" s="571" t="s">
        <v>1436</v>
      </c>
      <c r="B25441" s="572">
        <v>4</v>
      </c>
      <c r="C25441" s="572">
        <v>50</v>
      </c>
    </row>
    <row r="25442" spans="1:3">
      <c r="A25442" s="571" t="s">
        <v>1436</v>
      </c>
      <c r="B25442" s="572">
        <v>10.4</v>
      </c>
      <c r="C25442" s="572">
        <v>78</v>
      </c>
    </row>
    <row r="25443" spans="1:3">
      <c r="A25443" s="571" t="s">
        <v>1436</v>
      </c>
      <c r="B25443" s="572">
        <v>20.8</v>
      </c>
      <c r="C25443" s="572">
        <v>100</v>
      </c>
    </row>
    <row r="25444" spans="1:3">
      <c r="A25444" s="571" t="s">
        <v>1436</v>
      </c>
      <c r="B25444" s="572">
        <v>31.3</v>
      </c>
      <c r="C25444" s="572">
        <v>116</v>
      </c>
    </row>
    <row r="25445" spans="1:3">
      <c r="A25445" s="571" t="s">
        <v>1436</v>
      </c>
      <c r="B25445" s="572">
        <v>41.7</v>
      </c>
      <c r="C25445" s="572">
        <v>124</v>
      </c>
    </row>
    <row r="25446" spans="1:3">
      <c r="A25446" s="571" t="s">
        <v>1436</v>
      </c>
      <c r="B25446" s="572">
        <v>60</v>
      </c>
      <c r="C25446" s="572">
        <v>134</v>
      </c>
    </row>
    <row r="25447" spans="1:3">
      <c r="A25447" s="571" t="s">
        <v>1436</v>
      </c>
      <c r="B25447" s="572">
        <v>60</v>
      </c>
      <c r="C25447" s="572">
        <v>134</v>
      </c>
    </row>
    <row r="25448" spans="1:3">
      <c r="A25448" s="571" t="s">
        <v>1435</v>
      </c>
      <c r="B25448" s="572">
        <v>0</v>
      </c>
      <c r="C25448" s="572">
        <v>0</v>
      </c>
    </row>
    <row r="25449" spans="1:3">
      <c r="A25449" s="571" t="s">
        <v>1435</v>
      </c>
      <c r="B25449" s="572">
        <v>1</v>
      </c>
      <c r="C25449" s="572">
        <v>90</v>
      </c>
    </row>
    <row r="25450" spans="1:3">
      <c r="A25450" s="571" t="s">
        <v>1435</v>
      </c>
      <c r="B25450" s="572">
        <v>4</v>
      </c>
      <c r="C25450" s="572">
        <v>157.5</v>
      </c>
    </row>
    <row r="25451" spans="1:3">
      <c r="A25451" s="571" t="s">
        <v>1435</v>
      </c>
      <c r="B25451" s="572">
        <v>10.4</v>
      </c>
      <c r="C25451" s="572">
        <v>210</v>
      </c>
    </row>
    <row r="25452" spans="1:3">
      <c r="A25452" s="571" t="s">
        <v>1435</v>
      </c>
      <c r="B25452" s="572">
        <v>20.8</v>
      </c>
      <c r="C25452" s="572">
        <v>240</v>
      </c>
    </row>
    <row r="25453" spans="1:3">
      <c r="A25453" s="571" t="s">
        <v>1435</v>
      </c>
      <c r="B25453" s="572">
        <v>31.3</v>
      </c>
      <c r="C25453" s="572">
        <v>249</v>
      </c>
    </row>
    <row r="25454" spans="1:3">
      <c r="A25454" s="571" t="s">
        <v>1435</v>
      </c>
      <c r="B25454" s="572">
        <v>41.7</v>
      </c>
      <c r="C25454" s="572">
        <v>252</v>
      </c>
    </row>
    <row r="25455" spans="1:3">
      <c r="A25455" s="571" t="s">
        <v>1435</v>
      </c>
      <c r="B25455" s="572">
        <v>60</v>
      </c>
      <c r="C25455" s="572">
        <v>255</v>
      </c>
    </row>
    <row r="25456" spans="1:3">
      <c r="A25456" s="571" t="s">
        <v>1435</v>
      </c>
      <c r="B25456" s="572">
        <v>60</v>
      </c>
      <c r="C25456" s="572">
        <v>255</v>
      </c>
    </row>
    <row r="25457" spans="1:3">
      <c r="A25457" s="571" t="s">
        <v>1434</v>
      </c>
      <c r="B25457" s="572">
        <v>0</v>
      </c>
      <c r="C25457" s="572">
        <v>0</v>
      </c>
    </row>
    <row r="25458" spans="1:3">
      <c r="A25458" s="571" t="s">
        <v>1434</v>
      </c>
      <c r="B25458" s="572">
        <v>1</v>
      </c>
      <c r="C25458" s="572">
        <v>215</v>
      </c>
    </row>
    <row r="25459" spans="1:3">
      <c r="A25459" s="571" t="s">
        <v>1434</v>
      </c>
      <c r="B25459" s="572">
        <v>4</v>
      </c>
      <c r="C25459" s="572">
        <v>302</v>
      </c>
    </row>
    <row r="25460" spans="1:3">
      <c r="A25460" s="571" t="s">
        <v>1434</v>
      </c>
      <c r="B25460" s="572">
        <v>10.4</v>
      </c>
      <c r="C25460" s="572">
        <v>317.5</v>
      </c>
    </row>
    <row r="25461" spans="1:3">
      <c r="A25461" s="571" t="s">
        <v>1434</v>
      </c>
      <c r="B25461" s="572">
        <v>20.8</v>
      </c>
      <c r="C25461" s="572">
        <v>324</v>
      </c>
    </row>
    <row r="25462" spans="1:3">
      <c r="A25462" s="571" t="s">
        <v>1434</v>
      </c>
      <c r="B25462" s="572">
        <v>31.3</v>
      </c>
      <c r="C25462" s="572">
        <v>330</v>
      </c>
    </row>
    <row r="25463" spans="1:3">
      <c r="A25463" s="571" t="s">
        <v>1434</v>
      </c>
      <c r="B25463" s="572">
        <v>41.7</v>
      </c>
      <c r="C25463" s="572">
        <v>340</v>
      </c>
    </row>
    <row r="25464" spans="1:3">
      <c r="A25464" s="571" t="s">
        <v>1434</v>
      </c>
      <c r="B25464" s="572">
        <v>60</v>
      </c>
      <c r="C25464" s="572">
        <v>341</v>
      </c>
    </row>
    <row r="25465" spans="1:3">
      <c r="A25465" s="571" t="s">
        <v>1434</v>
      </c>
      <c r="B25465" s="572">
        <v>60</v>
      </c>
      <c r="C25465" s="572">
        <v>341</v>
      </c>
    </row>
    <row r="25466" spans="1:3">
      <c r="A25466" s="571" t="s">
        <v>1433</v>
      </c>
      <c r="B25466" s="572">
        <v>0</v>
      </c>
      <c r="C25466" s="572">
        <v>0</v>
      </c>
    </row>
    <row r="25467" spans="1:3">
      <c r="A25467" s="571" t="s">
        <v>1433</v>
      </c>
      <c r="B25467" s="572">
        <v>1</v>
      </c>
      <c r="C25467" s="572">
        <v>10</v>
      </c>
    </row>
    <row r="25468" spans="1:3">
      <c r="A25468" s="571" t="s">
        <v>1433</v>
      </c>
      <c r="B25468" s="572">
        <v>4</v>
      </c>
      <c r="C25468" s="572">
        <v>22</v>
      </c>
    </row>
    <row r="25469" spans="1:3">
      <c r="A25469" s="571" t="s">
        <v>1433</v>
      </c>
      <c r="B25469" s="572">
        <v>10.4</v>
      </c>
      <c r="C25469" s="572">
        <v>30</v>
      </c>
    </row>
    <row r="25470" spans="1:3">
      <c r="A25470" s="571" t="s">
        <v>1433</v>
      </c>
      <c r="B25470" s="572">
        <v>20.8</v>
      </c>
      <c r="C25470" s="572">
        <v>36</v>
      </c>
    </row>
    <row r="25471" spans="1:3">
      <c r="A25471" s="571" t="s">
        <v>1433</v>
      </c>
      <c r="B25471" s="572">
        <v>31.3</v>
      </c>
      <c r="C25471" s="572">
        <v>41</v>
      </c>
    </row>
    <row r="25472" spans="1:3">
      <c r="A25472" s="571" t="s">
        <v>1433</v>
      </c>
      <c r="B25472" s="572">
        <v>41.7</v>
      </c>
      <c r="C25472" s="572">
        <v>42</v>
      </c>
    </row>
    <row r="25473" spans="1:3">
      <c r="A25473" s="571" t="s">
        <v>1433</v>
      </c>
      <c r="B25473" s="572">
        <v>60</v>
      </c>
      <c r="C25473" s="572">
        <v>50</v>
      </c>
    </row>
    <row r="25474" spans="1:3">
      <c r="A25474" s="571" t="s">
        <v>1433</v>
      </c>
      <c r="B25474" s="572">
        <v>60</v>
      </c>
      <c r="C25474" s="572">
        <v>50</v>
      </c>
    </row>
    <row r="25475" spans="1:3">
      <c r="A25475" s="571" t="s">
        <v>1432</v>
      </c>
      <c r="B25475" s="572">
        <v>0</v>
      </c>
      <c r="C25475" s="572">
        <v>0</v>
      </c>
    </row>
    <row r="25476" spans="1:3">
      <c r="A25476" s="571" t="s">
        <v>1432</v>
      </c>
      <c r="B25476" s="572">
        <v>1</v>
      </c>
      <c r="C25476" s="572">
        <v>7.5</v>
      </c>
    </row>
    <row r="25477" spans="1:3">
      <c r="A25477" s="571" t="s">
        <v>1432</v>
      </c>
      <c r="B25477" s="572">
        <v>4</v>
      </c>
      <c r="C25477" s="572">
        <v>13</v>
      </c>
    </row>
    <row r="25478" spans="1:3">
      <c r="A25478" s="571" t="s">
        <v>1432</v>
      </c>
      <c r="B25478" s="572">
        <v>10.4</v>
      </c>
      <c r="C25478" s="572">
        <v>25</v>
      </c>
    </row>
    <row r="25479" spans="1:3">
      <c r="A25479" s="571" t="s">
        <v>1432</v>
      </c>
      <c r="B25479" s="572">
        <v>20.8</v>
      </c>
      <c r="C25479" s="572">
        <v>32.5</v>
      </c>
    </row>
    <row r="25480" spans="1:3">
      <c r="A25480" s="571" t="s">
        <v>1432</v>
      </c>
      <c r="B25480" s="572">
        <v>31.3</v>
      </c>
      <c r="C25480" s="572">
        <v>39</v>
      </c>
    </row>
    <row r="25481" spans="1:3">
      <c r="A25481" s="571" t="s">
        <v>1432</v>
      </c>
      <c r="B25481" s="572">
        <v>41.7</v>
      </c>
      <c r="C25481" s="572">
        <v>47</v>
      </c>
    </row>
    <row r="25482" spans="1:3">
      <c r="A25482" s="571" t="s">
        <v>1432</v>
      </c>
      <c r="B25482" s="572">
        <v>60</v>
      </c>
      <c r="C25482" s="572">
        <v>52</v>
      </c>
    </row>
    <row r="25483" spans="1:3">
      <c r="A25483" s="571" t="s">
        <v>1432</v>
      </c>
      <c r="B25483" s="572">
        <v>60</v>
      </c>
      <c r="C25483" s="572">
        <v>52</v>
      </c>
    </row>
    <row r="25484" spans="1:3">
      <c r="A25484" s="571" t="s">
        <v>1431</v>
      </c>
      <c r="B25484" s="572">
        <v>0</v>
      </c>
      <c r="C25484" s="572">
        <v>0</v>
      </c>
    </row>
    <row r="25485" spans="1:3">
      <c r="A25485" s="571" t="s">
        <v>1431</v>
      </c>
      <c r="B25485" s="572">
        <v>1</v>
      </c>
      <c r="C25485" s="572">
        <v>35</v>
      </c>
    </row>
    <row r="25486" spans="1:3">
      <c r="A25486" s="571" t="s">
        <v>1431</v>
      </c>
      <c r="B25486" s="572">
        <v>4</v>
      </c>
      <c r="C25486" s="572">
        <v>62.5</v>
      </c>
    </row>
    <row r="25487" spans="1:3">
      <c r="A25487" s="571" t="s">
        <v>1431</v>
      </c>
      <c r="B25487" s="572">
        <v>10.4</v>
      </c>
      <c r="C25487" s="572">
        <v>88</v>
      </c>
    </row>
    <row r="25488" spans="1:3">
      <c r="A25488" s="571" t="s">
        <v>1431</v>
      </c>
      <c r="B25488" s="572">
        <v>20.8</v>
      </c>
      <c r="C25488" s="572">
        <v>110</v>
      </c>
    </row>
    <row r="25489" spans="1:3">
      <c r="A25489" s="571" t="s">
        <v>1431</v>
      </c>
      <c r="B25489" s="572">
        <v>31.3</v>
      </c>
      <c r="C25489" s="572">
        <v>127</v>
      </c>
    </row>
    <row r="25490" spans="1:3">
      <c r="A25490" s="571" t="s">
        <v>1431</v>
      </c>
      <c r="B25490" s="572">
        <v>41.7</v>
      </c>
      <c r="C25490" s="572">
        <v>136</v>
      </c>
    </row>
    <row r="25491" spans="1:3">
      <c r="A25491" s="571" t="s">
        <v>1431</v>
      </c>
      <c r="B25491" s="572">
        <v>60</v>
      </c>
      <c r="C25491" s="572">
        <v>149</v>
      </c>
    </row>
    <row r="25492" spans="1:3">
      <c r="A25492" s="571" t="s">
        <v>1431</v>
      </c>
      <c r="B25492" s="572">
        <v>60</v>
      </c>
      <c r="C25492" s="572">
        <v>149</v>
      </c>
    </row>
    <row r="25493" spans="1:3">
      <c r="A25493" s="571" t="s">
        <v>1430</v>
      </c>
      <c r="B25493" s="572">
        <v>0</v>
      </c>
      <c r="C25493" s="572">
        <v>0</v>
      </c>
    </row>
    <row r="25494" spans="1:3">
      <c r="A25494" s="571" t="s">
        <v>1430</v>
      </c>
      <c r="B25494" s="572">
        <v>1</v>
      </c>
      <c r="C25494" s="572">
        <v>93</v>
      </c>
    </row>
    <row r="25495" spans="1:3">
      <c r="A25495" s="571" t="s">
        <v>1430</v>
      </c>
      <c r="B25495" s="572">
        <v>4</v>
      </c>
      <c r="C25495" s="572">
        <v>148</v>
      </c>
    </row>
    <row r="25496" spans="1:3">
      <c r="A25496" s="571" t="s">
        <v>1430</v>
      </c>
      <c r="B25496" s="572">
        <v>10.4</v>
      </c>
      <c r="C25496" s="572">
        <v>183</v>
      </c>
    </row>
    <row r="25497" spans="1:3">
      <c r="A25497" s="571" t="s">
        <v>1430</v>
      </c>
      <c r="B25497" s="572">
        <v>20.8</v>
      </c>
      <c r="C25497" s="572">
        <v>230</v>
      </c>
    </row>
    <row r="25498" spans="1:3">
      <c r="A25498" s="571" t="s">
        <v>1430</v>
      </c>
      <c r="B25498" s="572">
        <v>31.3</v>
      </c>
      <c r="C25498" s="572">
        <v>243</v>
      </c>
    </row>
    <row r="25499" spans="1:3">
      <c r="A25499" s="571" t="s">
        <v>1430</v>
      </c>
      <c r="B25499" s="572">
        <v>41.7</v>
      </c>
      <c r="C25499" s="572">
        <v>257</v>
      </c>
    </row>
    <row r="25500" spans="1:3">
      <c r="A25500" s="571" t="s">
        <v>1430</v>
      </c>
      <c r="B25500" s="572">
        <v>60</v>
      </c>
      <c r="C25500" s="572">
        <v>260</v>
      </c>
    </row>
    <row r="25501" spans="1:3">
      <c r="A25501" s="571" t="s">
        <v>1430</v>
      </c>
      <c r="B25501" s="572">
        <v>60</v>
      </c>
      <c r="C25501" s="572">
        <v>260</v>
      </c>
    </row>
    <row r="25502" spans="1:3">
      <c r="A25502" s="571" t="s">
        <v>1429</v>
      </c>
      <c r="B25502" s="572">
        <v>0</v>
      </c>
      <c r="C25502" s="572">
        <v>0</v>
      </c>
    </row>
    <row r="25503" spans="1:3">
      <c r="A25503" s="571" t="s">
        <v>1429</v>
      </c>
      <c r="B25503" s="572">
        <v>0.4</v>
      </c>
      <c r="C25503" s="572">
        <v>1.7</v>
      </c>
    </row>
    <row r="25504" spans="1:3">
      <c r="A25504" s="571" t="s">
        <v>1429</v>
      </c>
      <c r="B25504" s="572">
        <v>0.5</v>
      </c>
      <c r="C25504" s="572">
        <v>28.7</v>
      </c>
    </row>
    <row r="25505" spans="1:3">
      <c r="A25505" s="571" t="s">
        <v>1429</v>
      </c>
      <c r="B25505" s="572">
        <v>0.6</v>
      </c>
      <c r="C25505" s="572">
        <v>50.1</v>
      </c>
    </row>
    <row r="25506" spans="1:3">
      <c r="A25506" s="571" t="s">
        <v>1429</v>
      </c>
      <c r="B25506" s="572">
        <v>0.7</v>
      </c>
      <c r="C25506" s="572">
        <v>69.400000000000006</v>
      </c>
    </row>
    <row r="25507" spans="1:3">
      <c r="A25507" s="571" t="s">
        <v>1429</v>
      </c>
      <c r="B25507" s="572">
        <v>0.8</v>
      </c>
      <c r="C25507" s="572">
        <v>112</v>
      </c>
    </row>
    <row r="25508" spans="1:3">
      <c r="A25508" s="571" t="s">
        <v>1429</v>
      </c>
      <c r="B25508" s="572">
        <v>1.1000000000000001</v>
      </c>
      <c r="C25508" s="572">
        <v>102</v>
      </c>
    </row>
    <row r="25509" spans="1:3">
      <c r="A25509" s="571" t="s">
        <v>1429</v>
      </c>
      <c r="B25509" s="572">
        <v>1.3</v>
      </c>
      <c r="C25509" s="572">
        <v>136</v>
      </c>
    </row>
    <row r="25510" spans="1:3">
      <c r="A25510" s="571" t="s">
        <v>1429</v>
      </c>
      <c r="B25510" s="572">
        <v>1.4</v>
      </c>
      <c r="C25510" s="572">
        <v>126</v>
      </c>
    </row>
    <row r="25511" spans="1:3">
      <c r="A25511" s="571" t="s">
        <v>1429</v>
      </c>
      <c r="B25511" s="572">
        <v>2.5</v>
      </c>
      <c r="C25511" s="572">
        <v>169</v>
      </c>
    </row>
    <row r="25512" spans="1:3">
      <c r="A25512" s="571" t="s">
        <v>1429</v>
      </c>
      <c r="B25512" s="572">
        <v>4</v>
      </c>
      <c r="C25512" s="572">
        <v>184</v>
      </c>
    </row>
    <row r="25513" spans="1:3">
      <c r="A25513" s="571" t="s">
        <v>1429</v>
      </c>
      <c r="B25513" s="572">
        <v>4.5999999999999996</v>
      </c>
      <c r="C25513" s="572">
        <v>193</v>
      </c>
    </row>
    <row r="25514" spans="1:3">
      <c r="A25514" s="571" t="s">
        <v>1429</v>
      </c>
      <c r="B25514" s="572">
        <v>5.9</v>
      </c>
      <c r="C25514" s="572">
        <v>222</v>
      </c>
    </row>
    <row r="25515" spans="1:3">
      <c r="A25515" s="571" t="s">
        <v>1429</v>
      </c>
      <c r="B25515" s="572">
        <v>7.1</v>
      </c>
      <c r="C25515" s="572">
        <v>229</v>
      </c>
    </row>
    <row r="25516" spans="1:3">
      <c r="A25516" s="571" t="s">
        <v>1429</v>
      </c>
      <c r="B25516" s="572">
        <v>8.1999999999999993</v>
      </c>
      <c r="C25516" s="572">
        <v>253</v>
      </c>
    </row>
    <row r="25517" spans="1:3">
      <c r="A25517" s="571" t="s">
        <v>1429</v>
      </c>
      <c r="B25517" s="572">
        <v>9.4</v>
      </c>
      <c r="C25517" s="572">
        <v>266</v>
      </c>
    </row>
    <row r="25518" spans="1:3">
      <c r="A25518" s="571" t="s">
        <v>1429</v>
      </c>
      <c r="B25518" s="572">
        <v>9.8000000000000007</v>
      </c>
      <c r="C25518" s="572">
        <v>272</v>
      </c>
    </row>
    <row r="25519" spans="1:3">
      <c r="A25519" s="571" t="s">
        <v>1429</v>
      </c>
      <c r="B25519" s="572">
        <v>13.5</v>
      </c>
      <c r="C25519" s="572">
        <v>303</v>
      </c>
    </row>
    <row r="25520" spans="1:3">
      <c r="A25520" s="571" t="s">
        <v>1429</v>
      </c>
      <c r="B25520" s="572">
        <v>16.5</v>
      </c>
      <c r="C25520" s="572">
        <v>318</v>
      </c>
    </row>
    <row r="25521" spans="1:3">
      <c r="A25521" s="571" t="s">
        <v>1429</v>
      </c>
      <c r="B25521" s="572">
        <v>20.9</v>
      </c>
      <c r="C25521" s="572">
        <v>325</v>
      </c>
    </row>
    <row r="25522" spans="1:3">
      <c r="A25522" s="571" t="s">
        <v>1429</v>
      </c>
      <c r="B25522" s="572">
        <v>24.1</v>
      </c>
      <c r="C25522" s="572">
        <v>334</v>
      </c>
    </row>
    <row r="25523" spans="1:3">
      <c r="A25523" s="571" t="s">
        <v>1429</v>
      </c>
      <c r="B25523" s="572">
        <v>28.2</v>
      </c>
      <c r="C25523" s="572">
        <v>345</v>
      </c>
    </row>
    <row r="25524" spans="1:3">
      <c r="A25524" s="571" t="s">
        <v>1429</v>
      </c>
      <c r="B25524" s="572">
        <v>30.1</v>
      </c>
      <c r="C25524" s="572">
        <v>348</v>
      </c>
    </row>
    <row r="25525" spans="1:3">
      <c r="A25525" s="571" t="s">
        <v>1429</v>
      </c>
      <c r="B25525" s="572">
        <v>32.200000000000003</v>
      </c>
      <c r="C25525" s="572">
        <v>351</v>
      </c>
    </row>
    <row r="25526" spans="1:3">
      <c r="A25526" s="571" t="s">
        <v>1429</v>
      </c>
      <c r="B25526" s="572">
        <v>37.799999999999997</v>
      </c>
      <c r="C25526" s="572">
        <v>361</v>
      </c>
    </row>
    <row r="25527" spans="1:3">
      <c r="A25527" s="571" t="s">
        <v>1429</v>
      </c>
      <c r="B25527" s="572">
        <v>43.5</v>
      </c>
      <c r="C25527" s="572">
        <v>370</v>
      </c>
    </row>
    <row r="25528" spans="1:3">
      <c r="A25528" s="571" t="s">
        <v>1429</v>
      </c>
      <c r="B25528" s="572">
        <v>46.1</v>
      </c>
      <c r="C25528" s="572">
        <v>373</v>
      </c>
    </row>
    <row r="25529" spans="1:3">
      <c r="A25529" s="571" t="s">
        <v>1429</v>
      </c>
      <c r="B25529" s="572">
        <v>50.6</v>
      </c>
      <c r="C25529" s="572">
        <v>378</v>
      </c>
    </row>
    <row r="25530" spans="1:3">
      <c r="A25530" s="571" t="s">
        <v>1429</v>
      </c>
      <c r="B25530" s="572">
        <v>57.1</v>
      </c>
      <c r="C25530" s="572">
        <v>382</v>
      </c>
    </row>
    <row r="25531" spans="1:3">
      <c r="A25531" s="571" t="s">
        <v>1429</v>
      </c>
      <c r="B25531" s="572">
        <v>64.599999999999994</v>
      </c>
      <c r="C25531" s="572">
        <v>384</v>
      </c>
    </row>
    <row r="25532" spans="1:3">
      <c r="A25532" s="571" t="s">
        <v>1429</v>
      </c>
      <c r="B25532" s="572">
        <v>70.400000000000006</v>
      </c>
      <c r="C25532" s="572">
        <v>392</v>
      </c>
    </row>
    <row r="25533" spans="1:3">
      <c r="A25533" s="571" t="s">
        <v>1429</v>
      </c>
      <c r="B25533" s="572">
        <v>73.400000000000006</v>
      </c>
      <c r="C25533" s="572">
        <v>393</v>
      </c>
    </row>
    <row r="25534" spans="1:3">
      <c r="A25534" s="571" t="s">
        <v>1429</v>
      </c>
      <c r="B25534" s="572">
        <v>84.4</v>
      </c>
      <c r="C25534" s="572">
        <v>405</v>
      </c>
    </row>
    <row r="25535" spans="1:3">
      <c r="A25535" s="571" t="s">
        <v>1429</v>
      </c>
      <c r="B25535" s="572">
        <v>99.3</v>
      </c>
      <c r="C25535" s="572">
        <v>407</v>
      </c>
    </row>
    <row r="25536" spans="1:3">
      <c r="A25536" s="573" t="s">
        <v>1429</v>
      </c>
      <c r="B25536" s="574">
        <v>104</v>
      </c>
      <c r="C25536" s="574">
        <v>408</v>
      </c>
    </row>
    <row r="25537" spans="1:3">
      <c r="A25537" s="573" t="s">
        <v>1429</v>
      </c>
      <c r="B25537" s="574">
        <v>113</v>
      </c>
      <c r="C25537" s="574">
        <v>408</v>
      </c>
    </row>
    <row r="25538" spans="1:3">
      <c r="A25538" s="573" t="s">
        <v>1429</v>
      </c>
      <c r="B25538" s="574">
        <v>119</v>
      </c>
      <c r="C25538" s="574">
        <v>408</v>
      </c>
    </row>
    <row r="25539" spans="1:3">
      <c r="A25539" s="573" t="s">
        <v>1429</v>
      </c>
      <c r="B25539" s="574">
        <v>132</v>
      </c>
      <c r="C25539" s="574">
        <v>422</v>
      </c>
    </row>
    <row r="25540" spans="1:3">
      <c r="A25540" s="573" t="s">
        <v>1429</v>
      </c>
      <c r="B25540" s="574">
        <v>146</v>
      </c>
      <c r="C25540" s="574">
        <v>425</v>
      </c>
    </row>
    <row r="25541" spans="1:3">
      <c r="A25541" s="573" t="s">
        <v>1429</v>
      </c>
      <c r="B25541" s="574">
        <v>155</v>
      </c>
      <c r="C25541" s="574">
        <v>425</v>
      </c>
    </row>
    <row r="25542" spans="1:3">
      <c r="A25542" s="573" t="s">
        <v>1429</v>
      </c>
      <c r="B25542" s="574">
        <v>173</v>
      </c>
      <c r="C25542" s="574">
        <v>436</v>
      </c>
    </row>
    <row r="25543" spans="1:3">
      <c r="A25543" s="573" t="s">
        <v>1429</v>
      </c>
      <c r="B25543" s="574">
        <v>173</v>
      </c>
      <c r="C25543" s="574">
        <v>436</v>
      </c>
    </row>
    <row r="25544" spans="1:3">
      <c r="A25544" s="571" t="s">
        <v>1428</v>
      </c>
      <c r="B25544" s="572">
        <v>0</v>
      </c>
      <c r="C25544" s="572">
        <v>0</v>
      </c>
    </row>
    <row r="25545" spans="1:3">
      <c r="A25545" s="571" t="s">
        <v>1428</v>
      </c>
      <c r="B25545" s="572">
        <v>1.6</v>
      </c>
      <c r="C25545" s="572">
        <v>23.1</v>
      </c>
    </row>
    <row r="25546" spans="1:3">
      <c r="A25546" s="571" t="s">
        <v>1428</v>
      </c>
      <c r="B25546" s="572">
        <v>2</v>
      </c>
      <c r="C25546" s="572">
        <v>39.1</v>
      </c>
    </row>
    <row r="25547" spans="1:3">
      <c r="A25547" s="571" t="s">
        <v>1428</v>
      </c>
      <c r="B25547" s="572">
        <v>2.1</v>
      </c>
      <c r="C25547" s="572">
        <v>76.900000000000006</v>
      </c>
    </row>
    <row r="25548" spans="1:3">
      <c r="A25548" s="571" t="s">
        <v>1428</v>
      </c>
      <c r="B25548" s="572">
        <v>2.2000000000000002</v>
      </c>
      <c r="C25548" s="572">
        <v>53.6</v>
      </c>
    </row>
    <row r="25549" spans="1:3">
      <c r="A25549" s="571" t="s">
        <v>1428</v>
      </c>
      <c r="B25549" s="572">
        <v>2.2999999999999998</v>
      </c>
      <c r="C25549" s="572">
        <v>89.3</v>
      </c>
    </row>
    <row r="25550" spans="1:3">
      <c r="A25550" s="571" t="s">
        <v>1428</v>
      </c>
      <c r="B25550" s="572">
        <v>2.6</v>
      </c>
      <c r="C25550" s="572">
        <v>102</v>
      </c>
    </row>
    <row r="25551" spans="1:3">
      <c r="A25551" s="571" t="s">
        <v>1428</v>
      </c>
      <c r="B25551" s="572">
        <v>3.1</v>
      </c>
      <c r="C25551" s="572">
        <v>115</v>
      </c>
    </row>
    <row r="25552" spans="1:3">
      <c r="A25552" s="571" t="s">
        <v>1428</v>
      </c>
      <c r="B25552" s="572">
        <v>3.3</v>
      </c>
      <c r="C25552" s="572">
        <v>128</v>
      </c>
    </row>
    <row r="25553" spans="1:3">
      <c r="A25553" s="571" t="s">
        <v>1428</v>
      </c>
      <c r="B25553" s="572">
        <v>3.6</v>
      </c>
      <c r="C25553" s="572">
        <v>139</v>
      </c>
    </row>
    <row r="25554" spans="1:3">
      <c r="A25554" s="571" t="s">
        <v>1428</v>
      </c>
      <c r="B25554" s="572">
        <v>4.0999999999999996</v>
      </c>
      <c r="C25554" s="572">
        <v>153</v>
      </c>
    </row>
    <row r="25555" spans="1:3">
      <c r="A25555" s="571" t="s">
        <v>1428</v>
      </c>
      <c r="B25555" s="572">
        <v>4.5</v>
      </c>
      <c r="C25555" s="572">
        <v>185</v>
      </c>
    </row>
    <row r="25556" spans="1:3">
      <c r="A25556" s="571" t="s">
        <v>1428</v>
      </c>
      <c r="B25556" s="572">
        <v>7.1</v>
      </c>
      <c r="C25556" s="572">
        <v>209</v>
      </c>
    </row>
    <row r="25557" spans="1:3">
      <c r="A25557" s="571" t="s">
        <v>1428</v>
      </c>
      <c r="B25557" s="572">
        <v>10</v>
      </c>
      <c r="C25557" s="572">
        <v>237</v>
      </c>
    </row>
    <row r="25558" spans="1:3">
      <c r="A25558" s="571" t="s">
        <v>1428</v>
      </c>
      <c r="B25558" s="572">
        <v>13.3</v>
      </c>
      <c r="C25558" s="572">
        <v>250</v>
      </c>
    </row>
    <row r="25559" spans="1:3">
      <c r="A25559" s="571" t="s">
        <v>1428</v>
      </c>
      <c r="B25559" s="572">
        <v>16.600000000000001</v>
      </c>
      <c r="C25559" s="572">
        <v>261</v>
      </c>
    </row>
    <row r="25560" spans="1:3">
      <c r="A25560" s="571" t="s">
        <v>1428</v>
      </c>
      <c r="B25560" s="572">
        <v>20.3</v>
      </c>
      <c r="C25560" s="572">
        <v>269</v>
      </c>
    </row>
    <row r="25561" spans="1:3">
      <c r="A25561" s="571" t="s">
        <v>1428</v>
      </c>
      <c r="B25561" s="572">
        <v>36.799999999999997</v>
      </c>
      <c r="C25561" s="572">
        <v>285</v>
      </c>
    </row>
    <row r="25562" spans="1:3">
      <c r="A25562" s="571" t="s">
        <v>1428</v>
      </c>
      <c r="B25562" s="572">
        <v>49.9</v>
      </c>
      <c r="C25562" s="572">
        <v>288</v>
      </c>
    </row>
    <row r="25563" spans="1:3">
      <c r="A25563" s="571" t="s">
        <v>1428</v>
      </c>
      <c r="B25563" s="572">
        <v>56.8</v>
      </c>
      <c r="C25563" s="572">
        <v>291</v>
      </c>
    </row>
    <row r="25564" spans="1:3">
      <c r="A25564" s="571" t="s">
        <v>1428</v>
      </c>
      <c r="B25564" s="572">
        <v>64.3</v>
      </c>
      <c r="C25564" s="572">
        <v>294</v>
      </c>
    </row>
    <row r="25565" spans="1:3">
      <c r="A25565" s="571" t="s">
        <v>1428</v>
      </c>
      <c r="B25565" s="572">
        <v>69.8</v>
      </c>
      <c r="C25565" s="572">
        <v>295</v>
      </c>
    </row>
    <row r="25566" spans="1:3">
      <c r="A25566" s="571" t="s">
        <v>1428</v>
      </c>
      <c r="B25566" s="572">
        <v>73</v>
      </c>
      <c r="C25566" s="572">
        <v>298</v>
      </c>
    </row>
    <row r="25567" spans="1:3">
      <c r="A25567" s="571" t="s">
        <v>1428</v>
      </c>
      <c r="B25567" s="572">
        <v>98.2</v>
      </c>
      <c r="C25567" s="572">
        <v>297</v>
      </c>
    </row>
    <row r="25568" spans="1:3">
      <c r="A25568" s="573" t="s">
        <v>1428</v>
      </c>
      <c r="B25568" s="574">
        <v>103</v>
      </c>
      <c r="C25568" s="574">
        <v>295</v>
      </c>
    </row>
    <row r="25569" spans="1:3">
      <c r="A25569" s="573" t="s">
        <v>1428</v>
      </c>
      <c r="B25569" s="574">
        <v>107</v>
      </c>
      <c r="C25569" s="574">
        <v>296</v>
      </c>
    </row>
    <row r="25570" spans="1:3">
      <c r="A25570" s="573" t="s">
        <v>1428</v>
      </c>
      <c r="B25570" s="574">
        <v>112</v>
      </c>
      <c r="C25570" s="574">
        <v>297</v>
      </c>
    </row>
    <row r="25571" spans="1:3">
      <c r="A25571" s="573" t="s">
        <v>1428</v>
      </c>
      <c r="B25571" s="574">
        <v>119</v>
      </c>
      <c r="C25571" s="574">
        <v>299</v>
      </c>
    </row>
    <row r="25572" spans="1:3">
      <c r="A25572" s="573" t="s">
        <v>1428</v>
      </c>
      <c r="B25572" s="574">
        <v>174</v>
      </c>
      <c r="C25572" s="574">
        <v>295</v>
      </c>
    </row>
    <row r="25573" spans="1:3">
      <c r="A25573" s="573" t="s">
        <v>1428</v>
      </c>
      <c r="B25573" s="574">
        <v>174</v>
      </c>
      <c r="C25573" s="574">
        <v>295</v>
      </c>
    </row>
    <row r="25574" spans="1:3">
      <c r="A25574" s="571" t="s">
        <v>1427</v>
      </c>
      <c r="B25574" s="572">
        <v>0</v>
      </c>
      <c r="C25574" s="572">
        <v>0</v>
      </c>
    </row>
    <row r="25575" spans="1:3">
      <c r="A25575" s="571" t="s">
        <v>1427</v>
      </c>
      <c r="B25575" s="572">
        <v>1.3</v>
      </c>
      <c r="C25575" s="572">
        <v>39.299999999999997</v>
      </c>
    </row>
    <row r="25576" spans="1:3">
      <c r="A25576" s="571" t="s">
        <v>1427</v>
      </c>
      <c r="B25576" s="572">
        <v>1.5</v>
      </c>
      <c r="C25576" s="572">
        <v>23</v>
      </c>
    </row>
    <row r="25577" spans="1:3">
      <c r="A25577" s="571" t="s">
        <v>1427</v>
      </c>
      <c r="B25577" s="572">
        <v>1.6</v>
      </c>
      <c r="C25577" s="572">
        <v>52.4</v>
      </c>
    </row>
    <row r="25578" spans="1:3">
      <c r="A25578" s="571" t="s">
        <v>1427</v>
      </c>
      <c r="B25578" s="572">
        <v>1.8</v>
      </c>
      <c r="C25578" s="572">
        <v>68.7</v>
      </c>
    </row>
    <row r="25579" spans="1:3">
      <c r="A25579" s="571" t="s">
        <v>1427</v>
      </c>
      <c r="B25579" s="572">
        <v>2.2999999999999998</v>
      </c>
      <c r="C25579" s="572">
        <v>96.5</v>
      </c>
    </row>
    <row r="25580" spans="1:3">
      <c r="A25580" s="571" t="s">
        <v>1427</v>
      </c>
      <c r="B25580" s="572">
        <v>2.8</v>
      </c>
      <c r="C25580" s="572">
        <v>110</v>
      </c>
    </row>
    <row r="25581" spans="1:3">
      <c r="A25581" s="571" t="s">
        <v>1427</v>
      </c>
      <c r="B25581" s="572">
        <v>3</v>
      </c>
      <c r="C25581" s="572">
        <v>123</v>
      </c>
    </row>
    <row r="25582" spans="1:3">
      <c r="A25582" s="571" t="s">
        <v>1427</v>
      </c>
      <c r="B25582" s="572">
        <v>3.5</v>
      </c>
      <c r="C25582" s="572">
        <v>138</v>
      </c>
    </row>
    <row r="25583" spans="1:3">
      <c r="A25583" s="571" t="s">
        <v>1427</v>
      </c>
      <c r="B25583" s="572">
        <v>3.9</v>
      </c>
      <c r="C25583" s="572">
        <v>150</v>
      </c>
    </row>
    <row r="25584" spans="1:3">
      <c r="A25584" s="571" t="s">
        <v>1427</v>
      </c>
      <c r="B25584" s="572">
        <v>4.5</v>
      </c>
      <c r="C25584" s="572">
        <v>169</v>
      </c>
    </row>
    <row r="25585" spans="1:3">
      <c r="A25585" s="571" t="s">
        <v>1427</v>
      </c>
      <c r="B25585" s="572">
        <v>7</v>
      </c>
      <c r="C25585" s="572">
        <v>198</v>
      </c>
    </row>
    <row r="25586" spans="1:3">
      <c r="A25586" s="571" t="s">
        <v>1427</v>
      </c>
      <c r="B25586" s="572">
        <v>7.7</v>
      </c>
      <c r="C25586" s="572">
        <v>210</v>
      </c>
    </row>
    <row r="25587" spans="1:3">
      <c r="A25587" s="571" t="s">
        <v>1427</v>
      </c>
      <c r="B25587" s="572">
        <v>8.1999999999999993</v>
      </c>
      <c r="C25587" s="572">
        <v>219</v>
      </c>
    </row>
    <row r="25588" spans="1:3">
      <c r="A25588" s="571" t="s">
        <v>1427</v>
      </c>
      <c r="B25588" s="572">
        <v>8.5</v>
      </c>
      <c r="C25588" s="572">
        <v>234</v>
      </c>
    </row>
    <row r="25589" spans="1:3">
      <c r="A25589" s="571" t="s">
        <v>1427</v>
      </c>
      <c r="B25589" s="572">
        <v>8.6999999999999993</v>
      </c>
      <c r="C25589" s="572">
        <v>225</v>
      </c>
    </row>
    <row r="25590" spans="1:3">
      <c r="A25590" s="571" t="s">
        <v>1427</v>
      </c>
      <c r="B25590" s="572">
        <v>9.6999999999999993</v>
      </c>
      <c r="C25590" s="572">
        <v>242</v>
      </c>
    </row>
    <row r="25591" spans="1:3">
      <c r="A25591" s="571" t="s">
        <v>1427</v>
      </c>
      <c r="B25591" s="572">
        <v>10.6</v>
      </c>
      <c r="C25591" s="572">
        <v>250</v>
      </c>
    </row>
    <row r="25592" spans="1:3">
      <c r="A25592" s="571" t="s">
        <v>1427</v>
      </c>
      <c r="B25592" s="572">
        <v>11.9</v>
      </c>
      <c r="C25592" s="572">
        <v>257</v>
      </c>
    </row>
    <row r="25593" spans="1:3">
      <c r="A25593" s="571" t="s">
        <v>1427</v>
      </c>
      <c r="B25593" s="572">
        <v>14.9</v>
      </c>
      <c r="C25593" s="572">
        <v>279</v>
      </c>
    </row>
    <row r="25594" spans="1:3">
      <c r="A25594" s="571" t="s">
        <v>1427</v>
      </c>
      <c r="B25594" s="572">
        <v>15</v>
      </c>
      <c r="C25594" s="572">
        <v>291</v>
      </c>
    </row>
    <row r="25595" spans="1:3">
      <c r="A25595" s="571" t="s">
        <v>1427</v>
      </c>
      <c r="B25595" s="572">
        <v>17.8</v>
      </c>
      <c r="C25595" s="572">
        <v>295</v>
      </c>
    </row>
    <row r="25596" spans="1:3">
      <c r="A25596" s="571" t="s">
        <v>1427</v>
      </c>
      <c r="B25596" s="572">
        <v>20</v>
      </c>
      <c r="C25596" s="572">
        <v>303</v>
      </c>
    </row>
    <row r="25597" spans="1:3">
      <c r="A25597" s="571" t="s">
        <v>1427</v>
      </c>
      <c r="B25597" s="572">
        <v>22.1</v>
      </c>
      <c r="C25597" s="572">
        <v>309</v>
      </c>
    </row>
    <row r="25598" spans="1:3">
      <c r="A25598" s="571" t="s">
        <v>1427</v>
      </c>
      <c r="B25598" s="572">
        <v>23.8</v>
      </c>
      <c r="C25598" s="572">
        <v>312</v>
      </c>
    </row>
    <row r="25599" spans="1:3">
      <c r="A25599" s="571" t="s">
        <v>1427</v>
      </c>
      <c r="B25599" s="572">
        <v>25.3</v>
      </c>
      <c r="C25599" s="572">
        <v>313</v>
      </c>
    </row>
    <row r="25600" spans="1:3">
      <c r="A25600" s="571" t="s">
        <v>1427</v>
      </c>
      <c r="B25600" s="572">
        <v>28.8</v>
      </c>
      <c r="C25600" s="572">
        <v>320</v>
      </c>
    </row>
    <row r="25601" spans="1:3">
      <c r="A25601" s="571" t="s">
        <v>1427</v>
      </c>
      <c r="B25601" s="572">
        <v>30.5</v>
      </c>
      <c r="C25601" s="572">
        <v>325</v>
      </c>
    </row>
    <row r="25602" spans="1:3">
      <c r="A25602" s="571" t="s">
        <v>1427</v>
      </c>
      <c r="B25602" s="572">
        <v>32.700000000000003</v>
      </c>
      <c r="C25602" s="572">
        <v>327</v>
      </c>
    </row>
    <row r="25603" spans="1:3">
      <c r="A25603" s="571" t="s">
        <v>1427</v>
      </c>
      <c r="B25603" s="572">
        <v>35.299999999999997</v>
      </c>
      <c r="C25603" s="572">
        <v>330</v>
      </c>
    </row>
    <row r="25604" spans="1:3">
      <c r="A25604" s="571" t="s">
        <v>1427</v>
      </c>
      <c r="B25604" s="572">
        <v>37.299999999999997</v>
      </c>
      <c r="C25604" s="572">
        <v>335</v>
      </c>
    </row>
    <row r="25605" spans="1:3">
      <c r="A25605" s="571" t="s">
        <v>1427</v>
      </c>
      <c r="B25605" s="572">
        <v>39.200000000000003</v>
      </c>
      <c r="C25605" s="572">
        <v>339</v>
      </c>
    </row>
    <row r="25606" spans="1:3">
      <c r="A25606" s="571" t="s">
        <v>1427</v>
      </c>
      <c r="B25606" s="572">
        <v>42.4</v>
      </c>
      <c r="C25606" s="572">
        <v>343</v>
      </c>
    </row>
    <row r="25607" spans="1:3">
      <c r="A25607" s="571" t="s">
        <v>1427</v>
      </c>
      <c r="B25607" s="572">
        <v>45.8</v>
      </c>
      <c r="C25607" s="572">
        <v>345</v>
      </c>
    </row>
    <row r="25608" spans="1:3">
      <c r="A25608" s="571" t="s">
        <v>1427</v>
      </c>
      <c r="B25608" s="572">
        <v>49.6</v>
      </c>
      <c r="C25608" s="572">
        <v>351</v>
      </c>
    </row>
    <row r="25609" spans="1:3">
      <c r="A25609" s="571" t="s">
        <v>1427</v>
      </c>
      <c r="B25609" s="572">
        <v>52.4</v>
      </c>
      <c r="C25609" s="572">
        <v>352</v>
      </c>
    </row>
    <row r="25610" spans="1:3">
      <c r="A25610" s="571" t="s">
        <v>1427</v>
      </c>
      <c r="B25610" s="572">
        <v>55.9</v>
      </c>
      <c r="C25610" s="572">
        <v>353</v>
      </c>
    </row>
    <row r="25611" spans="1:3">
      <c r="A25611" s="571" t="s">
        <v>1427</v>
      </c>
      <c r="B25611" s="572">
        <v>57.9</v>
      </c>
      <c r="C25611" s="572">
        <v>355</v>
      </c>
    </row>
    <row r="25612" spans="1:3">
      <c r="A25612" s="571" t="s">
        <v>1427</v>
      </c>
      <c r="B25612" s="572">
        <v>59.2</v>
      </c>
      <c r="C25612" s="572">
        <v>358</v>
      </c>
    </row>
    <row r="25613" spans="1:3">
      <c r="A25613" s="571" t="s">
        <v>1427</v>
      </c>
      <c r="B25613" s="572">
        <v>60.7</v>
      </c>
      <c r="C25613" s="572">
        <v>361</v>
      </c>
    </row>
    <row r="25614" spans="1:3">
      <c r="A25614" s="571" t="s">
        <v>1427</v>
      </c>
      <c r="B25614" s="572">
        <v>66</v>
      </c>
      <c r="C25614" s="572">
        <v>363</v>
      </c>
    </row>
    <row r="25615" spans="1:3">
      <c r="A25615" s="571" t="s">
        <v>1427</v>
      </c>
      <c r="B25615" s="572">
        <v>71.3</v>
      </c>
      <c r="C25615" s="572">
        <v>367</v>
      </c>
    </row>
    <row r="25616" spans="1:3">
      <c r="A25616" s="571" t="s">
        <v>1427</v>
      </c>
      <c r="B25616" s="572">
        <v>73.599999999999994</v>
      </c>
      <c r="C25616" s="572">
        <v>368</v>
      </c>
    </row>
    <row r="25617" spans="1:3">
      <c r="A25617" s="571" t="s">
        <v>1427</v>
      </c>
      <c r="B25617" s="572">
        <v>78.3</v>
      </c>
      <c r="C25617" s="572">
        <v>373</v>
      </c>
    </row>
    <row r="25618" spans="1:3">
      <c r="A25618" s="571" t="s">
        <v>1427</v>
      </c>
      <c r="B25618" s="572">
        <v>85</v>
      </c>
      <c r="C25618" s="572">
        <v>376</v>
      </c>
    </row>
    <row r="25619" spans="1:3">
      <c r="A25619" s="571" t="s">
        <v>1427</v>
      </c>
      <c r="B25619" s="572">
        <v>92.5</v>
      </c>
      <c r="C25619" s="572">
        <v>380</v>
      </c>
    </row>
    <row r="25620" spans="1:3">
      <c r="A25620" s="571" t="s">
        <v>1427</v>
      </c>
      <c r="B25620" s="572">
        <v>98.2</v>
      </c>
      <c r="C25620" s="572">
        <v>381</v>
      </c>
    </row>
    <row r="25621" spans="1:3">
      <c r="A25621" s="573" t="s">
        <v>1427</v>
      </c>
      <c r="B25621" s="574">
        <v>101</v>
      </c>
      <c r="C25621" s="574">
        <v>382</v>
      </c>
    </row>
    <row r="25622" spans="1:3">
      <c r="A25622" s="573" t="s">
        <v>1427</v>
      </c>
      <c r="B25622" s="574">
        <v>112</v>
      </c>
      <c r="C25622" s="574">
        <v>389</v>
      </c>
    </row>
    <row r="25623" spans="1:3">
      <c r="A25623" s="573" t="s">
        <v>1427</v>
      </c>
      <c r="B25623" s="574">
        <v>128</v>
      </c>
      <c r="C25623" s="574">
        <v>394</v>
      </c>
    </row>
    <row r="25624" spans="1:3">
      <c r="A25624" s="573" t="s">
        <v>1427</v>
      </c>
      <c r="B25624" s="574">
        <v>133</v>
      </c>
      <c r="C25624" s="574">
        <v>398</v>
      </c>
    </row>
    <row r="25625" spans="1:3">
      <c r="A25625" s="573" t="s">
        <v>1427</v>
      </c>
      <c r="B25625" s="574">
        <v>141</v>
      </c>
      <c r="C25625" s="574">
        <v>400</v>
      </c>
    </row>
    <row r="25626" spans="1:3">
      <c r="A25626" s="573" t="s">
        <v>1427</v>
      </c>
      <c r="B25626" s="574">
        <v>147</v>
      </c>
      <c r="C25626" s="574">
        <v>402</v>
      </c>
    </row>
    <row r="25627" spans="1:3">
      <c r="A25627" s="573" t="s">
        <v>1427</v>
      </c>
      <c r="B25627" s="574">
        <v>160</v>
      </c>
      <c r="C25627" s="574">
        <v>409</v>
      </c>
    </row>
    <row r="25628" spans="1:3">
      <c r="A25628" s="573" t="s">
        <v>1427</v>
      </c>
      <c r="B25628" s="574">
        <v>173</v>
      </c>
      <c r="C25628" s="574">
        <v>413</v>
      </c>
    </row>
    <row r="25629" spans="1:3">
      <c r="A25629" s="573" t="s">
        <v>1427</v>
      </c>
      <c r="B25629" s="574">
        <v>183</v>
      </c>
      <c r="C25629" s="574">
        <v>416</v>
      </c>
    </row>
    <row r="25630" spans="1:3">
      <c r="A25630" s="573" t="s">
        <v>1427</v>
      </c>
      <c r="B25630" s="574">
        <v>202</v>
      </c>
      <c r="C25630" s="574">
        <v>421</v>
      </c>
    </row>
    <row r="25631" spans="1:3">
      <c r="A25631" s="573" t="s">
        <v>1427</v>
      </c>
      <c r="B25631" s="574">
        <v>202</v>
      </c>
      <c r="C25631" s="574">
        <v>421</v>
      </c>
    </row>
    <row r="25632" spans="1:3">
      <c r="A25632" s="571" t="s">
        <v>1426</v>
      </c>
      <c r="B25632" s="572">
        <v>0</v>
      </c>
      <c r="C25632" s="572">
        <v>0</v>
      </c>
    </row>
    <row r="25633" spans="1:3">
      <c r="A25633" s="571" t="s">
        <v>1426</v>
      </c>
      <c r="B25633" s="572">
        <v>2.4</v>
      </c>
      <c r="C25633" s="572">
        <v>12.6</v>
      </c>
    </row>
    <row r="25634" spans="1:3">
      <c r="A25634" s="571" t="s">
        <v>1426</v>
      </c>
      <c r="B25634" s="572">
        <v>2.9</v>
      </c>
      <c r="C25634" s="572">
        <v>31.2</v>
      </c>
    </row>
    <row r="25635" spans="1:3">
      <c r="A25635" s="571" t="s">
        <v>1426</v>
      </c>
      <c r="B25635" s="572">
        <v>3.5</v>
      </c>
      <c r="C25635" s="572">
        <v>68.900000000000006</v>
      </c>
    </row>
    <row r="25636" spans="1:3">
      <c r="A25636" s="571" t="s">
        <v>1426</v>
      </c>
      <c r="B25636" s="572">
        <v>3.7</v>
      </c>
      <c r="C25636" s="572">
        <v>49.9</v>
      </c>
    </row>
    <row r="25637" spans="1:3">
      <c r="A25637" s="571" t="s">
        <v>1426</v>
      </c>
      <c r="B25637" s="572">
        <v>5</v>
      </c>
      <c r="C25637" s="572">
        <v>87.7</v>
      </c>
    </row>
    <row r="25638" spans="1:3">
      <c r="A25638" s="571" t="s">
        <v>1426</v>
      </c>
      <c r="B25638" s="572">
        <v>6.1</v>
      </c>
      <c r="C25638" s="572">
        <v>97.6</v>
      </c>
    </row>
    <row r="25639" spans="1:3">
      <c r="A25639" s="571" t="s">
        <v>1426</v>
      </c>
      <c r="B25639" s="572">
        <v>7.2</v>
      </c>
      <c r="C25639" s="572">
        <v>112</v>
      </c>
    </row>
    <row r="25640" spans="1:3">
      <c r="A25640" s="571" t="s">
        <v>1426</v>
      </c>
      <c r="B25640" s="572">
        <v>10.3</v>
      </c>
      <c r="C25640" s="572">
        <v>135</v>
      </c>
    </row>
    <row r="25641" spans="1:3">
      <c r="A25641" s="571" t="s">
        <v>1426</v>
      </c>
      <c r="B25641" s="572">
        <v>14.7</v>
      </c>
      <c r="C25641" s="572">
        <v>154</v>
      </c>
    </row>
    <row r="25642" spans="1:3">
      <c r="A25642" s="571" t="s">
        <v>1426</v>
      </c>
      <c r="B25642" s="572">
        <v>19.8</v>
      </c>
      <c r="C25642" s="572">
        <v>166</v>
      </c>
    </row>
    <row r="25643" spans="1:3">
      <c r="A25643" s="571" t="s">
        <v>1426</v>
      </c>
      <c r="B25643" s="572">
        <v>22.7</v>
      </c>
      <c r="C25643" s="572">
        <v>170</v>
      </c>
    </row>
    <row r="25644" spans="1:3">
      <c r="A25644" s="571" t="s">
        <v>1426</v>
      </c>
      <c r="B25644" s="572">
        <v>31.1</v>
      </c>
      <c r="C25644" s="572">
        <v>180</v>
      </c>
    </row>
    <row r="25645" spans="1:3">
      <c r="A25645" s="571" t="s">
        <v>1426</v>
      </c>
      <c r="B25645" s="572">
        <v>34.5</v>
      </c>
      <c r="C25645" s="572">
        <v>180</v>
      </c>
    </row>
    <row r="25646" spans="1:3">
      <c r="A25646" s="571" t="s">
        <v>1426</v>
      </c>
      <c r="B25646" s="572">
        <v>41.7</v>
      </c>
      <c r="C25646" s="572">
        <v>184</v>
      </c>
    </row>
    <row r="25647" spans="1:3">
      <c r="A25647" s="571" t="s">
        <v>1426</v>
      </c>
      <c r="B25647" s="572">
        <v>56.2</v>
      </c>
      <c r="C25647" s="572">
        <v>190</v>
      </c>
    </row>
    <row r="25648" spans="1:3">
      <c r="A25648" s="571" t="s">
        <v>1426</v>
      </c>
      <c r="B25648" s="572">
        <v>58.5</v>
      </c>
      <c r="C25648" s="572">
        <v>191</v>
      </c>
    </row>
    <row r="25649" spans="1:3">
      <c r="A25649" s="571" t="s">
        <v>1426</v>
      </c>
      <c r="B25649" s="572">
        <v>65.5</v>
      </c>
      <c r="C25649" s="572">
        <v>196</v>
      </c>
    </row>
    <row r="25650" spans="1:3">
      <c r="A25650" s="571" t="s">
        <v>1426</v>
      </c>
      <c r="B25650" s="572">
        <v>72.099999999999994</v>
      </c>
      <c r="C25650" s="572">
        <v>197</v>
      </c>
    </row>
    <row r="25651" spans="1:3">
      <c r="A25651" s="571" t="s">
        <v>1426</v>
      </c>
      <c r="B25651" s="572">
        <v>85.1</v>
      </c>
      <c r="C25651" s="572">
        <v>197</v>
      </c>
    </row>
    <row r="25652" spans="1:3">
      <c r="A25652" s="571" t="s">
        <v>1426</v>
      </c>
      <c r="B25652" s="572">
        <v>92.2</v>
      </c>
      <c r="C25652" s="572">
        <v>199</v>
      </c>
    </row>
    <row r="25653" spans="1:3">
      <c r="A25653" s="573" t="s">
        <v>1426</v>
      </c>
      <c r="B25653" s="574">
        <v>101</v>
      </c>
      <c r="C25653" s="574">
        <v>200</v>
      </c>
    </row>
    <row r="25654" spans="1:3">
      <c r="A25654" s="573" t="s">
        <v>1426</v>
      </c>
      <c r="B25654" s="574">
        <v>101</v>
      </c>
      <c r="C25654" s="574">
        <v>200</v>
      </c>
    </row>
    <row r="25655" spans="1:3">
      <c r="A25655" s="573" t="s">
        <v>1426</v>
      </c>
      <c r="B25655" s="574">
        <v>127</v>
      </c>
      <c r="C25655" s="574">
        <v>201</v>
      </c>
    </row>
    <row r="25656" spans="1:3">
      <c r="A25656" s="573" t="s">
        <v>1426</v>
      </c>
      <c r="B25656" s="574">
        <v>141</v>
      </c>
      <c r="C25656" s="574">
        <v>202</v>
      </c>
    </row>
    <row r="25657" spans="1:3">
      <c r="A25657" s="573" t="s">
        <v>1426</v>
      </c>
      <c r="B25657" s="574">
        <v>146</v>
      </c>
      <c r="C25657" s="574">
        <v>203</v>
      </c>
    </row>
    <row r="25658" spans="1:3">
      <c r="A25658" s="573" t="s">
        <v>1426</v>
      </c>
      <c r="B25658" s="574">
        <v>159</v>
      </c>
      <c r="C25658" s="574">
        <v>203</v>
      </c>
    </row>
    <row r="25659" spans="1:3">
      <c r="A25659" s="573" t="s">
        <v>1426</v>
      </c>
      <c r="B25659" s="574">
        <v>173</v>
      </c>
      <c r="C25659" s="574">
        <v>204</v>
      </c>
    </row>
    <row r="25660" spans="1:3">
      <c r="A25660" s="573" t="s">
        <v>1426</v>
      </c>
      <c r="B25660" s="574">
        <v>182</v>
      </c>
      <c r="C25660" s="574">
        <v>204</v>
      </c>
    </row>
    <row r="25661" spans="1:3">
      <c r="A25661" s="573" t="s">
        <v>1426</v>
      </c>
      <c r="B25661" s="574">
        <v>201</v>
      </c>
      <c r="C25661" s="574">
        <v>205</v>
      </c>
    </row>
    <row r="25662" spans="1:3">
      <c r="A25662" s="573" t="s">
        <v>1426</v>
      </c>
      <c r="B25662" s="574">
        <v>201</v>
      </c>
      <c r="C25662" s="574">
        <v>205</v>
      </c>
    </row>
    <row r="25663" spans="1:3">
      <c r="A25663" s="571" t="s">
        <v>1425</v>
      </c>
      <c r="B25663" s="572">
        <v>0</v>
      </c>
      <c r="C25663" s="572">
        <v>0</v>
      </c>
    </row>
    <row r="25664" spans="1:3">
      <c r="A25664" s="571" t="s">
        <v>1425</v>
      </c>
      <c r="B25664" s="572">
        <v>1.5</v>
      </c>
      <c r="C25664" s="572">
        <v>14.8</v>
      </c>
    </row>
    <row r="25665" spans="1:3">
      <c r="A25665" s="571" t="s">
        <v>1425</v>
      </c>
      <c r="B25665" s="572">
        <v>1.6</v>
      </c>
      <c r="C25665" s="572">
        <v>63.9</v>
      </c>
    </row>
    <row r="25666" spans="1:3">
      <c r="A25666" s="571" t="s">
        <v>1425</v>
      </c>
      <c r="B25666" s="572">
        <v>2</v>
      </c>
      <c r="C25666" s="572">
        <v>81.8</v>
      </c>
    </row>
    <row r="25667" spans="1:3">
      <c r="A25667" s="571" t="s">
        <v>1425</v>
      </c>
      <c r="B25667" s="572">
        <v>2.7</v>
      </c>
      <c r="C25667" s="572">
        <v>95.1</v>
      </c>
    </row>
    <row r="25668" spans="1:3">
      <c r="A25668" s="571" t="s">
        <v>1425</v>
      </c>
      <c r="B25668" s="572">
        <v>3.7</v>
      </c>
      <c r="C25668" s="572">
        <v>123</v>
      </c>
    </row>
    <row r="25669" spans="1:3">
      <c r="A25669" s="571" t="s">
        <v>1425</v>
      </c>
      <c r="B25669" s="572">
        <v>5.0999999999999996</v>
      </c>
      <c r="C25669" s="572">
        <v>162</v>
      </c>
    </row>
    <row r="25670" spans="1:3">
      <c r="A25670" s="571" t="s">
        <v>1425</v>
      </c>
      <c r="B25670" s="572">
        <v>7.1</v>
      </c>
      <c r="C25670" s="572">
        <v>178</v>
      </c>
    </row>
    <row r="25671" spans="1:3">
      <c r="A25671" s="571" t="s">
        <v>1425</v>
      </c>
      <c r="B25671" s="572">
        <v>7.7</v>
      </c>
      <c r="C25671" s="572">
        <v>193</v>
      </c>
    </row>
    <row r="25672" spans="1:3">
      <c r="A25672" s="571" t="s">
        <v>1425</v>
      </c>
      <c r="B25672" s="572">
        <v>8.5</v>
      </c>
      <c r="C25672" s="572">
        <v>211</v>
      </c>
    </row>
    <row r="25673" spans="1:3">
      <c r="A25673" s="571" t="s">
        <v>1425</v>
      </c>
      <c r="B25673" s="572">
        <v>9.1999999999999993</v>
      </c>
      <c r="C25673" s="572">
        <v>222</v>
      </c>
    </row>
    <row r="25674" spans="1:3">
      <c r="A25674" s="571" t="s">
        <v>1425</v>
      </c>
      <c r="B25674" s="572">
        <v>9.6</v>
      </c>
      <c r="C25674" s="572">
        <v>225</v>
      </c>
    </row>
    <row r="25675" spans="1:3">
      <c r="A25675" s="571" t="s">
        <v>1425</v>
      </c>
      <c r="B25675" s="572">
        <v>10.9</v>
      </c>
      <c r="C25675" s="572">
        <v>237</v>
      </c>
    </row>
    <row r="25676" spans="1:3">
      <c r="A25676" s="571" t="s">
        <v>1425</v>
      </c>
      <c r="B25676" s="572">
        <v>13</v>
      </c>
      <c r="C25676" s="572">
        <v>250</v>
      </c>
    </row>
    <row r="25677" spans="1:3">
      <c r="A25677" s="571" t="s">
        <v>1425</v>
      </c>
      <c r="B25677" s="572">
        <v>14.9</v>
      </c>
      <c r="C25677" s="572">
        <v>256</v>
      </c>
    </row>
    <row r="25678" spans="1:3">
      <c r="A25678" s="571" t="s">
        <v>1425</v>
      </c>
      <c r="B25678" s="572">
        <v>16.2</v>
      </c>
      <c r="C25678" s="572">
        <v>266</v>
      </c>
    </row>
    <row r="25679" spans="1:3">
      <c r="A25679" s="571" t="s">
        <v>1425</v>
      </c>
      <c r="B25679" s="572">
        <v>17</v>
      </c>
      <c r="C25679" s="572">
        <v>277</v>
      </c>
    </row>
    <row r="25680" spans="1:3">
      <c r="A25680" s="571" t="s">
        <v>1425</v>
      </c>
      <c r="B25680" s="572">
        <v>20.2</v>
      </c>
      <c r="C25680" s="572">
        <v>284</v>
      </c>
    </row>
    <row r="25681" spans="1:3">
      <c r="A25681" s="571" t="s">
        <v>1425</v>
      </c>
      <c r="B25681" s="572">
        <v>22.7</v>
      </c>
      <c r="C25681" s="572">
        <v>292</v>
      </c>
    </row>
    <row r="25682" spans="1:3">
      <c r="A25682" s="571" t="s">
        <v>1425</v>
      </c>
      <c r="B25682" s="572">
        <v>23.7</v>
      </c>
      <c r="C25682" s="572">
        <v>302</v>
      </c>
    </row>
    <row r="25683" spans="1:3">
      <c r="A25683" s="571" t="s">
        <v>1425</v>
      </c>
      <c r="B25683" s="572">
        <v>27.1</v>
      </c>
      <c r="C25683" s="572">
        <v>317</v>
      </c>
    </row>
    <row r="25684" spans="1:3">
      <c r="A25684" s="571" t="s">
        <v>1425</v>
      </c>
      <c r="B25684" s="572">
        <v>30.1</v>
      </c>
      <c r="C25684" s="572">
        <v>325</v>
      </c>
    </row>
    <row r="25685" spans="1:3">
      <c r="A25685" s="571" t="s">
        <v>1425</v>
      </c>
      <c r="B25685" s="572">
        <v>34</v>
      </c>
      <c r="C25685" s="572">
        <v>331</v>
      </c>
    </row>
    <row r="25686" spans="1:3">
      <c r="A25686" s="571" t="s">
        <v>1425</v>
      </c>
      <c r="B25686" s="572">
        <v>37.700000000000003</v>
      </c>
      <c r="C25686" s="572">
        <v>344</v>
      </c>
    </row>
    <row r="25687" spans="1:3">
      <c r="A25687" s="571" t="s">
        <v>1425</v>
      </c>
      <c r="B25687" s="572">
        <v>41</v>
      </c>
      <c r="C25687" s="572">
        <v>350</v>
      </c>
    </row>
    <row r="25688" spans="1:3">
      <c r="A25688" s="571" t="s">
        <v>1425</v>
      </c>
      <c r="B25688" s="572">
        <v>43.8</v>
      </c>
      <c r="C25688" s="572">
        <v>354</v>
      </c>
    </row>
    <row r="25689" spans="1:3">
      <c r="A25689" s="571" t="s">
        <v>1425</v>
      </c>
      <c r="B25689" s="572">
        <v>48</v>
      </c>
      <c r="C25689" s="572">
        <v>357</v>
      </c>
    </row>
    <row r="25690" spans="1:3">
      <c r="A25690" s="571" t="s">
        <v>1425</v>
      </c>
      <c r="B25690" s="572">
        <v>50.1</v>
      </c>
      <c r="C25690" s="572">
        <v>369</v>
      </c>
    </row>
    <row r="25691" spans="1:3">
      <c r="A25691" s="571" t="s">
        <v>1425</v>
      </c>
      <c r="B25691" s="572">
        <v>51.9</v>
      </c>
      <c r="C25691" s="572">
        <v>371</v>
      </c>
    </row>
    <row r="25692" spans="1:3">
      <c r="A25692" s="571" t="s">
        <v>1425</v>
      </c>
      <c r="B25692" s="572">
        <v>57.3</v>
      </c>
      <c r="C25692" s="572">
        <v>376</v>
      </c>
    </row>
    <row r="25693" spans="1:3">
      <c r="A25693" s="571" t="s">
        <v>1425</v>
      </c>
      <c r="B25693" s="572">
        <v>62.7</v>
      </c>
      <c r="C25693" s="572">
        <v>381</v>
      </c>
    </row>
    <row r="25694" spans="1:3">
      <c r="A25694" s="571" t="s">
        <v>1425</v>
      </c>
      <c r="B25694" s="572">
        <v>65</v>
      </c>
      <c r="C25694" s="572">
        <v>385</v>
      </c>
    </row>
    <row r="25695" spans="1:3">
      <c r="A25695" s="571" t="s">
        <v>1425</v>
      </c>
      <c r="B25695" s="572">
        <v>69.5</v>
      </c>
      <c r="C25695" s="572">
        <v>394</v>
      </c>
    </row>
    <row r="25696" spans="1:3">
      <c r="A25696" s="571" t="s">
        <v>1425</v>
      </c>
      <c r="B25696" s="572">
        <v>76.8</v>
      </c>
      <c r="C25696" s="572">
        <v>398</v>
      </c>
    </row>
    <row r="25697" spans="1:3">
      <c r="A25697" s="571" t="s">
        <v>1425</v>
      </c>
      <c r="B25697" s="572">
        <v>83.8</v>
      </c>
      <c r="C25697" s="572">
        <v>404</v>
      </c>
    </row>
    <row r="25698" spans="1:3">
      <c r="A25698" s="571" t="s">
        <v>1425</v>
      </c>
      <c r="B25698" s="572">
        <v>89.7</v>
      </c>
      <c r="C25698" s="572">
        <v>410</v>
      </c>
    </row>
    <row r="25699" spans="1:3">
      <c r="A25699" s="571" t="s">
        <v>1425</v>
      </c>
      <c r="B25699" s="572">
        <v>93</v>
      </c>
      <c r="C25699" s="572">
        <v>411</v>
      </c>
    </row>
    <row r="25700" spans="1:3">
      <c r="A25700" s="573" t="s">
        <v>1425</v>
      </c>
      <c r="B25700" s="574">
        <v>103</v>
      </c>
      <c r="C25700" s="574">
        <v>420</v>
      </c>
    </row>
    <row r="25701" spans="1:3">
      <c r="A25701" s="573" t="s">
        <v>1425</v>
      </c>
      <c r="B25701" s="574">
        <v>119</v>
      </c>
      <c r="C25701" s="574">
        <v>435</v>
      </c>
    </row>
    <row r="25702" spans="1:3">
      <c r="A25702" s="573" t="s">
        <v>1425</v>
      </c>
      <c r="B25702" s="574">
        <v>124</v>
      </c>
      <c r="C25702" s="574">
        <v>433</v>
      </c>
    </row>
    <row r="25703" spans="1:3">
      <c r="A25703" s="573" t="s">
        <v>1425</v>
      </c>
      <c r="B25703" s="574">
        <v>133</v>
      </c>
      <c r="C25703" s="574">
        <v>435</v>
      </c>
    </row>
    <row r="25704" spans="1:3">
      <c r="A25704" s="573" t="s">
        <v>1425</v>
      </c>
      <c r="B25704" s="574">
        <v>138</v>
      </c>
      <c r="C25704" s="574">
        <v>435</v>
      </c>
    </row>
    <row r="25705" spans="1:3">
      <c r="A25705" s="573" t="s">
        <v>1425</v>
      </c>
      <c r="B25705" s="574">
        <v>151</v>
      </c>
      <c r="C25705" s="574">
        <v>443</v>
      </c>
    </row>
    <row r="25706" spans="1:3">
      <c r="A25706" s="573" t="s">
        <v>1425</v>
      </c>
      <c r="B25706" s="574">
        <v>165</v>
      </c>
      <c r="C25706" s="574">
        <v>458</v>
      </c>
    </row>
    <row r="25707" spans="1:3">
      <c r="A25707" s="573" t="s">
        <v>1425</v>
      </c>
      <c r="B25707" s="574">
        <v>174</v>
      </c>
      <c r="C25707" s="574">
        <v>461</v>
      </c>
    </row>
    <row r="25708" spans="1:3">
      <c r="A25708" s="573" t="s">
        <v>1425</v>
      </c>
      <c r="B25708" s="574">
        <v>193</v>
      </c>
      <c r="C25708" s="574">
        <v>473</v>
      </c>
    </row>
    <row r="25709" spans="1:3">
      <c r="A25709" s="573" t="s">
        <v>1425</v>
      </c>
      <c r="B25709" s="574">
        <v>193</v>
      </c>
      <c r="C25709" s="574">
        <v>473</v>
      </c>
    </row>
    <row r="25710" spans="1:3">
      <c r="A25710" s="571" t="s">
        <v>1424</v>
      </c>
      <c r="B25710" s="572">
        <v>0</v>
      </c>
      <c r="C25710" s="572">
        <v>0</v>
      </c>
    </row>
    <row r="25711" spans="1:3">
      <c r="A25711" s="571" t="s">
        <v>1424</v>
      </c>
      <c r="B25711" s="572">
        <v>1.6</v>
      </c>
      <c r="C25711" s="572">
        <v>16.3</v>
      </c>
    </row>
    <row r="25712" spans="1:3">
      <c r="A25712" s="571" t="s">
        <v>1424</v>
      </c>
      <c r="B25712" s="572">
        <v>2.7</v>
      </c>
      <c r="C25712" s="572">
        <v>46.5</v>
      </c>
    </row>
    <row r="25713" spans="1:3">
      <c r="A25713" s="571" t="s">
        <v>1424</v>
      </c>
      <c r="B25713" s="572">
        <v>3.2</v>
      </c>
      <c r="C25713" s="572">
        <v>54.1</v>
      </c>
    </row>
    <row r="25714" spans="1:3">
      <c r="A25714" s="571" t="s">
        <v>1424</v>
      </c>
      <c r="B25714" s="572">
        <v>3.7</v>
      </c>
      <c r="C25714" s="572">
        <v>68.900000000000006</v>
      </c>
    </row>
    <row r="25715" spans="1:3">
      <c r="A25715" s="571" t="s">
        <v>1424</v>
      </c>
      <c r="B25715" s="572">
        <v>13.8</v>
      </c>
      <c r="C25715" s="572">
        <v>116</v>
      </c>
    </row>
    <row r="25716" spans="1:3">
      <c r="A25716" s="571" t="s">
        <v>1424</v>
      </c>
      <c r="B25716" s="572">
        <v>20.2</v>
      </c>
      <c r="C25716" s="572">
        <v>127</v>
      </c>
    </row>
    <row r="25717" spans="1:3">
      <c r="A25717" s="571" t="s">
        <v>1424</v>
      </c>
      <c r="B25717" s="572">
        <v>48</v>
      </c>
      <c r="C25717" s="572">
        <v>142</v>
      </c>
    </row>
    <row r="25718" spans="1:3">
      <c r="A25718" s="571" t="s">
        <v>1424</v>
      </c>
      <c r="B25718" s="572">
        <v>48</v>
      </c>
      <c r="C25718" s="572">
        <v>142</v>
      </c>
    </row>
    <row r="25719" spans="1:3">
      <c r="A25719" s="571" t="s">
        <v>1424</v>
      </c>
      <c r="B25719" s="572">
        <v>56.9</v>
      </c>
      <c r="C25719" s="572">
        <v>146</v>
      </c>
    </row>
    <row r="25720" spans="1:3">
      <c r="A25720" s="571" t="s">
        <v>1424</v>
      </c>
      <c r="B25720" s="572">
        <v>62.9</v>
      </c>
      <c r="C25720" s="572">
        <v>146</v>
      </c>
    </row>
    <row r="25721" spans="1:3">
      <c r="A25721" s="571" t="s">
        <v>1424</v>
      </c>
      <c r="B25721" s="572">
        <v>83.3</v>
      </c>
      <c r="C25721" s="572">
        <v>149</v>
      </c>
    </row>
    <row r="25722" spans="1:3">
      <c r="A25722" s="571" t="s">
        <v>1424</v>
      </c>
      <c r="B25722" s="572">
        <v>89.3</v>
      </c>
      <c r="C25722" s="572">
        <v>152</v>
      </c>
    </row>
    <row r="25723" spans="1:3">
      <c r="A25723" s="573" t="s">
        <v>1424</v>
      </c>
      <c r="B25723" s="574">
        <v>118</v>
      </c>
      <c r="C25723" s="574">
        <v>158</v>
      </c>
    </row>
    <row r="25724" spans="1:3">
      <c r="A25724" s="573" t="s">
        <v>1424</v>
      </c>
      <c r="B25724" s="574">
        <v>152</v>
      </c>
      <c r="C25724" s="574">
        <v>157</v>
      </c>
    </row>
    <row r="25725" spans="1:3">
      <c r="A25725" s="573" t="s">
        <v>1424</v>
      </c>
      <c r="B25725" s="574">
        <v>174</v>
      </c>
      <c r="C25725" s="574">
        <v>158</v>
      </c>
    </row>
    <row r="25726" spans="1:3">
      <c r="A25726" s="573" t="s">
        <v>1424</v>
      </c>
      <c r="B25726" s="574">
        <v>192</v>
      </c>
      <c r="C25726" s="574">
        <v>157</v>
      </c>
    </row>
    <row r="25727" spans="1:3">
      <c r="A25727" s="573" t="s">
        <v>1424</v>
      </c>
      <c r="B25727" s="574">
        <v>192</v>
      </c>
      <c r="C25727" s="574">
        <v>157</v>
      </c>
    </row>
    <row r="25728" spans="1:3">
      <c r="A25728" s="571" t="s">
        <v>1423</v>
      </c>
      <c r="B25728" s="572">
        <v>0</v>
      </c>
      <c r="C25728" s="572">
        <v>0</v>
      </c>
    </row>
    <row r="25729" spans="1:3">
      <c r="A25729" s="571" t="s">
        <v>1423</v>
      </c>
      <c r="B25729" s="572">
        <v>0.3</v>
      </c>
      <c r="C25729" s="572">
        <v>4.7</v>
      </c>
    </row>
    <row r="25730" spans="1:3">
      <c r="A25730" s="571" t="s">
        <v>1423</v>
      </c>
      <c r="B25730" s="572">
        <v>0.7</v>
      </c>
      <c r="C25730" s="572">
        <v>31</v>
      </c>
    </row>
    <row r="25731" spans="1:3">
      <c r="A25731" s="571" t="s">
        <v>1423</v>
      </c>
      <c r="B25731" s="572">
        <v>1</v>
      </c>
      <c r="C25731" s="572">
        <v>18.399999999999999</v>
      </c>
    </row>
    <row r="25732" spans="1:3">
      <c r="A25732" s="571" t="s">
        <v>1423</v>
      </c>
      <c r="B25732" s="572">
        <v>2.4</v>
      </c>
      <c r="C25732" s="572">
        <v>42.2</v>
      </c>
    </row>
    <row r="25733" spans="1:3">
      <c r="A25733" s="571" t="s">
        <v>1423</v>
      </c>
      <c r="B25733" s="572">
        <v>2.5</v>
      </c>
      <c r="C25733" s="572">
        <v>49.4</v>
      </c>
    </row>
    <row r="25734" spans="1:3">
      <c r="A25734" s="571" t="s">
        <v>1423</v>
      </c>
      <c r="B25734" s="572">
        <v>3.7</v>
      </c>
      <c r="C25734" s="572">
        <v>70.400000000000006</v>
      </c>
    </row>
    <row r="25735" spans="1:3">
      <c r="A25735" s="571" t="s">
        <v>1423</v>
      </c>
      <c r="B25735" s="572">
        <v>5.3</v>
      </c>
      <c r="C25735" s="572">
        <v>87.1</v>
      </c>
    </row>
    <row r="25736" spans="1:3">
      <c r="A25736" s="571" t="s">
        <v>1423</v>
      </c>
      <c r="B25736" s="572">
        <v>6.4</v>
      </c>
      <c r="C25736" s="572">
        <v>99.1</v>
      </c>
    </row>
    <row r="25737" spans="1:3">
      <c r="A25737" s="571" t="s">
        <v>1423</v>
      </c>
      <c r="B25737" s="572">
        <v>7.7</v>
      </c>
      <c r="C25737" s="572">
        <v>108</v>
      </c>
    </row>
    <row r="25738" spans="1:3">
      <c r="A25738" s="571" t="s">
        <v>1423</v>
      </c>
      <c r="B25738" s="572">
        <v>8.4</v>
      </c>
      <c r="C25738" s="572">
        <v>119</v>
      </c>
    </row>
    <row r="25739" spans="1:3">
      <c r="A25739" s="571" t="s">
        <v>1423</v>
      </c>
      <c r="B25739" s="572">
        <v>9.1999999999999993</v>
      </c>
      <c r="C25739" s="572">
        <v>128</v>
      </c>
    </row>
    <row r="25740" spans="1:3">
      <c r="A25740" s="571" t="s">
        <v>1423</v>
      </c>
      <c r="B25740" s="572">
        <v>10.3</v>
      </c>
      <c r="C25740" s="572">
        <v>134</v>
      </c>
    </row>
    <row r="25741" spans="1:3">
      <c r="A25741" s="571" t="s">
        <v>1423</v>
      </c>
      <c r="B25741" s="572">
        <v>11.5</v>
      </c>
      <c r="C25741" s="572">
        <v>144</v>
      </c>
    </row>
    <row r="25742" spans="1:3">
      <c r="A25742" s="571" t="s">
        <v>1423</v>
      </c>
      <c r="B25742" s="572">
        <v>13.8</v>
      </c>
      <c r="C25742" s="572">
        <v>156</v>
      </c>
    </row>
    <row r="25743" spans="1:3">
      <c r="A25743" s="571" t="s">
        <v>1423</v>
      </c>
      <c r="B25743" s="572">
        <v>15.8</v>
      </c>
      <c r="C25743" s="572">
        <v>164</v>
      </c>
    </row>
    <row r="25744" spans="1:3">
      <c r="A25744" s="571" t="s">
        <v>1423</v>
      </c>
      <c r="B25744" s="572">
        <v>17.899999999999999</v>
      </c>
      <c r="C25744" s="572">
        <v>178</v>
      </c>
    </row>
    <row r="25745" spans="1:3">
      <c r="A25745" s="571" t="s">
        <v>1423</v>
      </c>
      <c r="B25745" s="572">
        <v>21</v>
      </c>
      <c r="C25745" s="572">
        <v>190</v>
      </c>
    </row>
    <row r="25746" spans="1:3">
      <c r="A25746" s="571" t="s">
        <v>1423</v>
      </c>
      <c r="B25746" s="572">
        <v>23.7</v>
      </c>
      <c r="C25746" s="572">
        <v>200</v>
      </c>
    </row>
    <row r="25747" spans="1:3">
      <c r="A25747" s="571" t="s">
        <v>1423</v>
      </c>
      <c r="B25747" s="572">
        <v>25.2</v>
      </c>
      <c r="C25747" s="572">
        <v>207</v>
      </c>
    </row>
    <row r="25748" spans="1:3">
      <c r="A25748" s="571" t="s">
        <v>1423</v>
      </c>
      <c r="B25748" s="572">
        <v>28.2</v>
      </c>
      <c r="C25748" s="572">
        <v>217</v>
      </c>
    </row>
    <row r="25749" spans="1:3">
      <c r="A25749" s="571" t="s">
        <v>1423</v>
      </c>
      <c r="B25749" s="572">
        <v>30.6</v>
      </c>
      <c r="C25749" s="572">
        <v>222</v>
      </c>
    </row>
    <row r="25750" spans="1:3">
      <c r="A25750" s="571" t="s">
        <v>1423</v>
      </c>
      <c r="B25750" s="572">
        <v>32.1</v>
      </c>
      <c r="C25750" s="572">
        <v>229</v>
      </c>
    </row>
    <row r="25751" spans="1:3">
      <c r="A25751" s="571" t="s">
        <v>1423</v>
      </c>
      <c r="B25751" s="572">
        <v>35.5</v>
      </c>
      <c r="C25751" s="572">
        <v>238</v>
      </c>
    </row>
    <row r="25752" spans="1:3">
      <c r="A25752" s="571" t="s">
        <v>1423</v>
      </c>
      <c r="B25752" s="572">
        <v>38.5</v>
      </c>
      <c r="C25752" s="572">
        <v>243</v>
      </c>
    </row>
    <row r="25753" spans="1:3">
      <c r="A25753" s="571" t="s">
        <v>1423</v>
      </c>
      <c r="B25753" s="572">
        <v>43.3</v>
      </c>
      <c r="C25753" s="572">
        <v>253</v>
      </c>
    </row>
    <row r="25754" spans="1:3">
      <c r="A25754" s="571" t="s">
        <v>1423</v>
      </c>
      <c r="B25754" s="572">
        <v>46.6</v>
      </c>
      <c r="C25754" s="572">
        <v>257</v>
      </c>
    </row>
    <row r="25755" spans="1:3">
      <c r="A25755" s="571" t="s">
        <v>1423</v>
      </c>
      <c r="B25755" s="572">
        <v>50.7</v>
      </c>
      <c r="C25755" s="572">
        <v>265</v>
      </c>
    </row>
    <row r="25756" spans="1:3">
      <c r="A25756" s="571" t="s">
        <v>1423</v>
      </c>
      <c r="B25756" s="572">
        <v>53</v>
      </c>
      <c r="C25756" s="572">
        <v>272</v>
      </c>
    </row>
    <row r="25757" spans="1:3">
      <c r="A25757" s="571" t="s">
        <v>1423</v>
      </c>
      <c r="B25757" s="572">
        <v>54.6</v>
      </c>
      <c r="C25757" s="572">
        <v>275</v>
      </c>
    </row>
    <row r="25758" spans="1:3">
      <c r="A25758" s="571" t="s">
        <v>1423</v>
      </c>
      <c r="B25758" s="572">
        <v>60</v>
      </c>
      <c r="C25758" s="572">
        <v>284</v>
      </c>
    </row>
    <row r="25759" spans="1:3">
      <c r="A25759" s="571" t="s">
        <v>1423</v>
      </c>
      <c r="B25759" s="572">
        <v>66.099999999999994</v>
      </c>
      <c r="C25759" s="572">
        <v>298</v>
      </c>
    </row>
    <row r="25760" spans="1:3">
      <c r="A25760" s="571" t="s">
        <v>1423</v>
      </c>
      <c r="B25760" s="572">
        <v>67.599999999999994</v>
      </c>
      <c r="C25760" s="572">
        <v>301</v>
      </c>
    </row>
    <row r="25761" spans="1:3">
      <c r="A25761" s="571" t="s">
        <v>1423</v>
      </c>
      <c r="B25761" s="572">
        <v>72.599999999999994</v>
      </c>
      <c r="C25761" s="572">
        <v>308</v>
      </c>
    </row>
    <row r="25762" spans="1:3">
      <c r="A25762" s="571" t="s">
        <v>1423</v>
      </c>
      <c r="B25762" s="572">
        <v>79.900000000000006</v>
      </c>
      <c r="C25762" s="572">
        <v>315</v>
      </c>
    </row>
    <row r="25763" spans="1:3">
      <c r="A25763" s="571" t="s">
        <v>1423</v>
      </c>
      <c r="B25763" s="572">
        <v>86.7</v>
      </c>
      <c r="C25763" s="572">
        <v>321</v>
      </c>
    </row>
    <row r="25764" spans="1:3">
      <c r="A25764" s="571" t="s">
        <v>1423</v>
      </c>
      <c r="B25764" s="572">
        <v>92.6</v>
      </c>
      <c r="C25764" s="572">
        <v>327</v>
      </c>
    </row>
    <row r="25765" spans="1:3">
      <c r="A25765" s="571" t="s">
        <v>1423</v>
      </c>
      <c r="B25765" s="572">
        <v>95.7</v>
      </c>
      <c r="C25765" s="572">
        <v>337</v>
      </c>
    </row>
    <row r="25766" spans="1:3">
      <c r="A25766" s="573" t="s">
        <v>1423</v>
      </c>
      <c r="B25766" s="574">
        <v>104</v>
      </c>
      <c r="C25766" s="574">
        <v>348</v>
      </c>
    </row>
    <row r="25767" spans="1:3">
      <c r="A25767" s="573" t="s">
        <v>1423</v>
      </c>
      <c r="B25767" s="574">
        <v>118</v>
      </c>
      <c r="C25767" s="574">
        <v>360</v>
      </c>
    </row>
    <row r="25768" spans="1:3">
      <c r="A25768" s="573" t="s">
        <v>1423</v>
      </c>
      <c r="B25768" s="574">
        <v>122</v>
      </c>
      <c r="C25768" s="574">
        <v>365</v>
      </c>
    </row>
    <row r="25769" spans="1:3">
      <c r="A25769" s="573" t="s">
        <v>1423</v>
      </c>
      <c r="B25769" s="574">
        <v>131</v>
      </c>
      <c r="C25769" s="574">
        <v>371</v>
      </c>
    </row>
    <row r="25770" spans="1:3">
      <c r="A25770" s="573" t="s">
        <v>1423</v>
      </c>
      <c r="B25770" s="574">
        <v>137</v>
      </c>
      <c r="C25770" s="574">
        <v>377</v>
      </c>
    </row>
    <row r="25771" spans="1:3">
      <c r="A25771" s="573" t="s">
        <v>1423</v>
      </c>
      <c r="B25771" s="574">
        <v>150</v>
      </c>
      <c r="C25771" s="574">
        <v>386</v>
      </c>
    </row>
    <row r="25772" spans="1:3">
      <c r="A25772" s="573" t="s">
        <v>1423</v>
      </c>
      <c r="B25772" s="574">
        <v>164</v>
      </c>
      <c r="C25772" s="574">
        <v>399</v>
      </c>
    </row>
    <row r="25773" spans="1:3">
      <c r="A25773" s="573" t="s">
        <v>1423</v>
      </c>
      <c r="B25773" s="574">
        <v>173</v>
      </c>
      <c r="C25773" s="574">
        <v>402</v>
      </c>
    </row>
    <row r="25774" spans="1:3">
      <c r="A25774" s="573" t="s">
        <v>1423</v>
      </c>
      <c r="B25774" s="574">
        <v>192</v>
      </c>
      <c r="C25774" s="574">
        <v>412</v>
      </c>
    </row>
    <row r="25775" spans="1:3">
      <c r="A25775" s="573" t="s">
        <v>1423</v>
      </c>
      <c r="B25775" s="574">
        <v>192</v>
      </c>
      <c r="C25775" s="574">
        <v>412</v>
      </c>
    </row>
    <row r="25776" spans="1:3">
      <c r="A25776" s="571" t="s">
        <v>1422</v>
      </c>
      <c r="B25776" s="572">
        <v>0</v>
      </c>
      <c r="C25776" s="572">
        <v>0</v>
      </c>
    </row>
    <row r="25777" spans="1:3">
      <c r="A25777" s="571" t="s">
        <v>1422</v>
      </c>
      <c r="B25777" s="572">
        <v>2.1</v>
      </c>
      <c r="C25777" s="572">
        <v>10.7</v>
      </c>
    </row>
    <row r="25778" spans="1:3">
      <c r="A25778" s="571" t="s">
        <v>1422</v>
      </c>
      <c r="B25778" s="572">
        <v>2.9</v>
      </c>
      <c r="C25778" s="572">
        <v>20.8</v>
      </c>
    </row>
    <row r="25779" spans="1:3">
      <c r="A25779" s="571" t="s">
        <v>1422</v>
      </c>
      <c r="B25779" s="572">
        <v>3.9</v>
      </c>
      <c r="C25779" s="572">
        <v>58.9</v>
      </c>
    </row>
    <row r="25780" spans="1:3">
      <c r="A25780" s="571" t="s">
        <v>1422</v>
      </c>
      <c r="B25780" s="572">
        <v>5.4</v>
      </c>
      <c r="C25780" s="572">
        <v>83.1</v>
      </c>
    </row>
    <row r="25781" spans="1:3">
      <c r="A25781" s="571" t="s">
        <v>1422</v>
      </c>
      <c r="B25781" s="572">
        <v>8.1</v>
      </c>
      <c r="C25781" s="572">
        <v>99</v>
      </c>
    </row>
    <row r="25782" spans="1:3">
      <c r="A25782" s="571" t="s">
        <v>1422</v>
      </c>
      <c r="B25782" s="572">
        <v>9.6</v>
      </c>
      <c r="C25782" s="572">
        <v>108</v>
      </c>
    </row>
    <row r="25783" spans="1:3">
      <c r="A25783" s="571" t="s">
        <v>1422</v>
      </c>
      <c r="B25783" s="572">
        <v>12.9</v>
      </c>
      <c r="C25783" s="572">
        <v>113</v>
      </c>
    </row>
    <row r="25784" spans="1:3">
      <c r="A25784" s="571" t="s">
        <v>1422</v>
      </c>
      <c r="B25784" s="572">
        <v>14.9</v>
      </c>
      <c r="C25784" s="572">
        <v>112</v>
      </c>
    </row>
    <row r="25785" spans="1:3">
      <c r="A25785" s="571" t="s">
        <v>1422</v>
      </c>
      <c r="B25785" s="572">
        <v>16.8</v>
      </c>
      <c r="C25785" s="572">
        <v>120</v>
      </c>
    </row>
    <row r="25786" spans="1:3">
      <c r="A25786" s="571" t="s">
        <v>1422</v>
      </c>
      <c r="B25786" s="572">
        <v>18</v>
      </c>
      <c r="C25786" s="572">
        <v>124</v>
      </c>
    </row>
    <row r="25787" spans="1:3">
      <c r="A25787" s="571" t="s">
        <v>1422</v>
      </c>
      <c r="B25787" s="572">
        <v>21</v>
      </c>
      <c r="C25787" s="572">
        <v>130</v>
      </c>
    </row>
    <row r="25788" spans="1:3">
      <c r="A25788" s="571" t="s">
        <v>1422</v>
      </c>
      <c r="B25788" s="572">
        <v>24.7</v>
      </c>
      <c r="C25788" s="572">
        <v>131</v>
      </c>
    </row>
    <row r="25789" spans="1:3">
      <c r="A25789" s="571" t="s">
        <v>1422</v>
      </c>
      <c r="B25789" s="572">
        <v>26.2</v>
      </c>
      <c r="C25789" s="572">
        <v>130</v>
      </c>
    </row>
    <row r="25790" spans="1:3">
      <c r="A25790" s="571" t="s">
        <v>1422</v>
      </c>
      <c r="B25790" s="572">
        <v>28.5</v>
      </c>
      <c r="C25790" s="572">
        <v>136</v>
      </c>
    </row>
    <row r="25791" spans="1:3">
      <c r="A25791" s="571" t="s">
        <v>1422</v>
      </c>
      <c r="B25791" s="572">
        <v>30.8</v>
      </c>
      <c r="C25791" s="572">
        <v>132</v>
      </c>
    </row>
    <row r="25792" spans="1:3">
      <c r="A25792" s="571" t="s">
        <v>1422</v>
      </c>
      <c r="B25792" s="572">
        <v>35.1</v>
      </c>
      <c r="C25792" s="572">
        <v>137</v>
      </c>
    </row>
    <row r="25793" spans="1:3">
      <c r="A25793" s="571" t="s">
        <v>1422</v>
      </c>
      <c r="B25793" s="572">
        <v>36.700000000000003</v>
      </c>
      <c r="C25793" s="572">
        <v>134</v>
      </c>
    </row>
    <row r="25794" spans="1:3">
      <c r="A25794" s="571" t="s">
        <v>1422</v>
      </c>
      <c r="B25794" s="572">
        <v>39.200000000000003</v>
      </c>
      <c r="C25794" s="572">
        <v>137</v>
      </c>
    </row>
    <row r="25795" spans="1:3">
      <c r="A25795" s="571" t="s">
        <v>1422</v>
      </c>
      <c r="B25795" s="572">
        <v>43.1</v>
      </c>
      <c r="C25795" s="572">
        <v>138</v>
      </c>
    </row>
    <row r="25796" spans="1:3">
      <c r="A25796" s="571" t="s">
        <v>1422</v>
      </c>
      <c r="B25796" s="572">
        <v>50.9</v>
      </c>
      <c r="C25796" s="572">
        <v>143</v>
      </c>
    </row>
    <row r="25797" spans="1:3">
      <c r="A25797" s="571" t="s">
        <v>1422</v>
      </c>
      <c r="B25797" s="572">
        <v>59.6</v>
      </c>
      <c r="C25797" s="572">
        <v>142</v>
      </c>
    </row>
    <row r="25798" spans="1:3">
      <c r="A25798" s="571" t="s">
        <v>1422</v>
      </c>
      <c r="B25798" s="572">
        <v>65.3</v>
      </c>
      <c r="C25798" s="572">
        <v>141</v>
      </c>
    </row>
    <row r="25799" spans="1:3">
      <c r="A25799" s="571" t="s">
        <v>1422</v>
      </c>
      <c r="B25799" s="572">
        <v>72.099999999999994</v>
      </c>
      <c r="C25799" s="572">
        <v>142</v>
      </c>
    </row>
    <row r="25800" spans="1:3">
      <c r="A25800" s="571" t="s">
        <v>1422</v>
      </c>
      <c r="B25800" s="572">
        <v>79.8</v>
      </c>
      <c r="C25800" s="572">
        <v>145</v>
      </c>
    </row>
    <row r="25801" spans="1:3">
      <c r="A25801" s="571" t="s">
        <v>1422</v>
      </c>
      <c r="B25801" s="572">
        <v>91.9</v>
      </c>
      <c r="C25801" s="572">
        <v>147</v>
      </c>
    </row>
    <row r="25802" spans="1:3">
      <c r="A25802" s="573" t="s">
        <v>1422</v>
      </c>
      <c r="B25802" s="574">
        <v>118</v>
      </c>
      <c r="C25802" s="574">
        <v>145</v>
      </c>
    </row>
    <row r="25803" spans="1:3">
      <c r="A25803" s="573" t="s">
        <v>1422</v>
      </c>
      <c r="B25803" s="574">
        <v>150</v>
      </c>
      <c r="C25803" s="574">
        <v>148</v>
      </c>
    </row>
    <row r="25804" spans="1:3">
      <c r="A25804" s="573" t="s">
        <v>1422</v>
      </c>
      <c r="B25804" s="574">
        <v>173</v>
      </c>
      <c r="C25804" s="574">
        <v>150</v>
      </c>
    </row>
    <row r="25805" spans="1:3">
      <c r="A25805" s="573" t="s">
        <v>1422</v>
      </c>
      <c r="B25805" s="574">
        <v>192</v>
      </c>
      <c r="C25805" s="574">
        <v>147</v>
      </c>
    </row>
    <row r="25806" spans="1:3">
      <c r="A25806" s="573" t="s">
        <v>1422</v>
      </c>
      <c r="B25806" s="574">
        <v>192</v>
      </c>
      <c r="C25806" s="574">
        <v>147</v>
      </c>
    </row>
    <row r="25807" spans="1:3">
      <c r="A25807" s="571" t="s">
        <v>1421</v>
      </c>
      <c r="B25807" s="572">
        <v>0</v>
      </c>
      <c r="C25807" s="572">
        <v>0</v>
      </c>
    </row>
    <row r="25808" spans="1:3">
      <c r="A25808" s="571" t="s">
        <v>1421</v>
      </c>
      <c r="B25808" s="572">
        <v>1.2</v>
      </c>
      <c r="C25808" s="572">
        <v>41.7</v>
      </c>
    </row>
    <row r="25809" spans="1:3">
      <c r="A25809" s="571" t="s">
        <v>1421</v>
      </c>
      <c r="B25809" s="572">
        <v>1.5</v>
      </c>
      <c r="C25809" s="572">
        <v>16</v>
      </c>
    </row>
    <row r="25810" spans="1:3">
      <c r="A25810" s="571" t="s">
        <v>1421</v>
      </c>
      <c r="B25810" s="572">
        <v>1.7</v>
      </c>
      <c r="C25810" s="572">
        <v>30.1</v>
      </c>
    </row>
    <row r="25811" spans="1:3">
      <c r="A25811" s="571" t="s">
        <v>1421</v>
      </c>
      <c r="B25811" s="572">
        <v>2.4</v>
      </c>
      <c r="C25811" s="572">
        <v>52.6</v>
      </c>
    </row>
    <row r="25812" spans="1:3">
      <c r="A25812" s="571" t="s">
        <v>1421</v>
      </c>
      <c r="B25812" s="572">
        <v>3</v>
      </c>
      <c r="C25812" s="572">
        <v>68.2</v>
      </c>
    </row>
    <row r="25813" spans="1:3">
      <c r="A25813" s="571" t="s">
        <v>1421</v>
      </c>
      <c r="B25813" s="572">
        <v>4.4000000000000004</v>
      </c>
      <c r="C25813" s="572">
        <v>106</v>
      </c>
    </row>
    <row r="25814" spans="1:3">
      <c r="A25814" s="571" t="s">
        <v>1421</v>
      </c>
      <c r="B25814" s="572">
        <v>6.1</v>
      </c>
      <c r="C25814" s="572">
        <v>147</v>
      </c>
    </row>
    <row r="25815" spans="1:3">
      <c r="A25815" s="571" t="s">
        <v>1421</v>
      </c>
      <c r="B25815" s="572">
        <v>7.8</v>
      </c>
      <c r="C25815" s="572">
        <v>161</v>
      </c>
    </row>
    <row r="25816" spans="1:3">
      <c r="A25816" s="571" t="s">
        <v>1421</v>
      </c>
      <c r="B25816" s="572">
        <v>8.6999999999999993</v>
      </c>
      <c r="C25816" s="572">
        <v>181</v>
      </c>
    </row>
    <row r="25817" spans="1:3">
      <c r="A25817" s="571" t="s">
        <v>1421</v>
      </c>
      <c r="B25817" s="572">
        <v>10.3</v>
      </c>
      <c r="C25817" s="572">
        <v>195</v>
      </c>
    </row>
    <row r="25818" spans="1:3">
      <c r="A25818" s="571" t="s">
        <v>1421</v>
      </c>
      <c r="B25818" s="572">
        <v>11.4</v>
      </c>
      <c r="C25818" s="572">
        <v>209</v>
      </c>
    </row>
    <row r="25819" spans="1:3">
      <c r="A25819" s="571" t="s">
        <v>1421</v>
      </c>
      <c r="B25819" s="572">
        <v>13.2</v>
      </c>
      <c r="C25819" s="572">
        <v>220</v>
      </c>
    </row>
    <row r="25820" spans="1:3">
      <c r="A25820" s="571" t="s">
        <v>1421</v>
      </c>
      <c r="B25820" s="572">
        <v>15.5</v>
      </c>
      <c r="C25820" s="572">
        <v>239</v>
      </c>
    </row>
    <row r="25821" spans="1:3">
      <c r="A25821" s="571" t="s">
        <v>1421</v>
      </c>
      <c r="B25821" s="572">
        <v>17.100000000000001</v>
      </c>
      <c r="C25821" s="572">
        <v>238</v>
      </c>
    </row>
    <row r="25822" spans="1:3">
      <c r="A25822" s="571" t="s">
        <v>1421</v>
      </c>
      <c r="B25822" s="572">
        <v>18.8</v>
      </c>
      <c r="C25822" s="572">
        <v>248</v>
      </c>
    </row>
    <row r="25823" spans="1:3">
      <c r="A25823" s="571" t="s">
        <v>1421</v>
      </c>
      <c r="B25823" s="572">
        <v>22.7</v>
      </c>
      <c r="C25823" s="572">
        <v>267</v>
      </c>
    </row>
    <row r="25824" spans="1:3">
      <c r="A25824" s="571" t="s">
        <v>1421</v>
      </c>
      <c r="B25824" s="572">
        <v>25.2</v>
      </c>
      <c r="C25824" s="572">
        <v>285</v>
      </c>
    </row>
    <row r="25825" spans="1:3">
      <c r="A25825" s="571" t="s">
        <v>1421</v>
      </c>
      <c r="B25825" s="572">
        <v>26.6</v>
      </c>
      <c r="C25825" s="572">
        <v>293</v>
      </c>
    </row>
    <row r="25826" spans="1:3">
      <c r="A25826" s="571" t="s">
        <v>1421</v>
      </c>
      <c r="B25826" s="572">
        <v>30.1</v>
      </c>
      <c r="C25826" s="572">
        <v>303</v>
      </c>
    </row>
    <row r="25827" spans="1:3">
      <c r="A25827" s="571" t="s">
        <v>1421</v>
      </c>
      <c r="B25827" s="572">
        <v>31.7</v>
      </c>
      <c r="C25827" s="572">
        <v>318</v>
      </c>
    </row>
    <row r="25828" spans="1:3">
      <c r="A25828" s="571" t="s">
        <v>1421</v>
      </c>
      <c r="B25828" s="572">
        <v>33.6</v>
      </c>
      <c r="C25828" s="572">
        <v>329</v>
      </c>
    </row>
    <row r="25829" spans="1:3">
      <c r="A25829" s="571" t="s">
        <v>1421</v>
      </c>
      <c r="B25829" s="572">
        <v>38.1</v>
      </c>
      <c r="C25829" s="572">
        <v>337</v>
      </c>
    </row>
    <row r="25830" spans="1:3">
      <c r="A25830" s="571" t="s">
        <v>1421</v>
      </c>
      <c r="B25830" s="572">
        <v>41.2</v>
      </c>
      <c r="C25830" s="572">
        <v>348</v>
      </c>
    </row>
    <row r="25831" spans="1:3">
      <c r="A25831" s="571" t="s">
        <v>1421</v>
      </c>
      <c r="B25831" s="572">
        <v>44.6</v>
      </c>
      <c r="C25831" s="572">
        <v>358</v>
      </c>
    </row>
    <row r="25832" spans="1:3">
      <c r="A25832" s="571" t="s">
        <v>1421</v>
      </c>
      <c r="B25832" s="572">
        <v>48.2</v>
      </c>
      <c r="C25832" s="572">
        <v>368</v>
      </c>
    </row>
    <row r="25833" spans="1:3">
      <c r="A25833" s="571" t="s">
        <v>1421</v>
      </c>
      <c r="B25833" s="572">
        <v>52.3</v>
      </c>
      <c r="C25833" s="572">
        <v>376</v>
      </c>
    </row>
    <row r="25834" spans="1:3">
      <c r="A25834" s="571" t="s">
        <v>1421</v>
      </c>
      <c r="B25834" s="572">
        <v>55.3</v>
      </c>
      <c r="C25834" s="572">
        <v>382</v>
      </c>
    </row>
    <row r="25835" spans="1:3">
      <c r="A25835" s="571" t="s">
        <v>1421</v>
      </c>
      <c r="B25835" s="572">
        <v>58</v>
      </c>
      <c r="C25835" s="572">
        <v>388</v>
      </c>
    </row>
    <row r="25836" spans="1:3">
      <c r="A25836" s="571" t="s">
        <v>1421</v>
      </c>
      <c r="B25836" s="572">
        <v>62.1</v>
      </c>
      <c r="C25836" s="572">
        <v>402</v>
      </c>
    </row>
    <row r="25837" spans="1:3">
      <c r="A25837" s="571" t="s">
        <v>1421</v>
      </c>
      <c r="B25837" s="572">
        <v>67.599999999999994</v>
      </c>
      <c r="C25837" s="572">
        <v>409</v>
      </c>
    </row>
    <row r="25838" spans="1:3">
      <c r="A25838" s="571" t="s">
        <v>1421</v>
      </c>
      <c r="B25838" s="572">
        <v>70.599999999999994</v>
      </c>
      <c r="C25838" s="572">
        <v>417</v>
      </c>
    </row>
    <row r="25839" spans="1:3">
      <c r="A25839" s="571" t="s">
        <v>1421</v>
      </c>
      <c r="B25839" s="572">
        <v>75.2</v>
      </c>
      <c r="C25839" s="572">
        <v>421</v>
      </c>
    </row>
    <row r="25840" spans="1:3">
      <c r="A25840" s="571" t="s">
        <v>1421</v>
      </c>
      <c r="B25840" s="572">
        <v>82.4</v>
      </c>
      <c r="C25840" s="572">
        <v>429</v>
      </c>
    </row>
    <row r="25841" spans="1:3">
      <c r="A25841" s="571" t="s">
        <v>1421</v>
      </c>
      <c r="B25841" s="572">
        <v>89.5</v>
      </c>
      <c r="C25841" s="572">
        <v>439</v>
      </c>
    </row>
    <row r="25842" spans="1:3">
      <c r="A25842" s="571" t="s">
        <v>1421</v>
      </c>
      <c r="B25842" s="572">
        <v>95.1</v>
      </c>
      <c r="C25842" s="572">
        <v>446</v>
      </c>
    </row>
    <row r="25843" spans="1:3">
      <c r="A25843" s="571" t="s">
        <v>1421</v>
      </c>
      <c r="B25843" s="572">
        <v>97.8</v>
      </c>
      <c r="C25843" s="572">
        <v>449</v>
      </c>
    </row>
    <row r="25844" spans="1:3">
      <c r="A25844" s="573" t="s">
        <v>1421</v>
      </c>
      <c r="B25844" s="574">
        <v>106</v>
      </c>
      <c r="C25844" s="574">
        <v>472</v>
      </c>
    </row>
    <row r="25845" spans="1:3">
      <c r="A25845" s="573" t="s">
        <v>1421</v>
      </c>
      <c r="B25845" s="574">
        <v>121</v>
      </c>
      <c r="C25845" s="574">
        <v>482</v>
      </c>
    </row>
    <row r="25846" spans="1:3">
      <c r="A25846" s="573" t="s">
        <v>1421</v>
      </c>
      <c r="B25846" s="574">
        <v>126</v>
      </c>
      <c r="C25846" s="574">
        <v>487</v>
      </c>
    </row>
    <row r="25847" spans="1:3">
      <c r="A25847" s="573" t="s">
        <v>1421</v>
      </c>
      <c r="B25847" s="574">
        <v>135</v>
      </c>
      <c r="C25847" s="574">
        <v>494</v>
      </c>
    </row>
    <row r="25848" spans="1:3">
      <c r="A25848" s="573" t="s">
        <v>1421</v>
      </c>
      <c r="B25848" s="574">
        <v>141</v>
      </c>
      <c r="C25848" s="574">
        <v>497</v>
      </c>
    </row>
    <row r="25849" spans="1:3">
      <c r="A25849" s="573" t="s">
        <v>1421</v>
      </c>
      <c r="B25849" s="574">
        <v>153</v>
      </c>
      <c r="C25849" s="574">
        <v>512</v>
      </c>
    </row>
    <row r="25850" spans="1:3">
      <c r="A25850" s="573" t="s">
        <v>1421</v>
      </c>
      <c r="B25850" s="574">
        <v>168</v>
      </c>
      <c r="C25850" s="574">
        <v>535</v>
      </c>
    </row>
    <row r="25851" spans="1:3">
      <c r="A25851" s="573" t="s">
        <v>1421</v>
      </c>
      <c r="B25851" s="574">
        <v>178</v>
      </c>
      <c r="C25851" s="574">
        <v>532</v>
      </c>
    </row>
    <row r="25852" spans="1:3">
      <c r="A25852" s="573" t="s">
        <v>1421</v>
      </c>
      <c r="B25852" s="574">
        <v>195</v>
      </c>
      <c r="C25852" s="574">
        <v>534</v>
      </c>
    </row>
    <row r="25853" spans="1:3">
      <c r="A25853" s="573" t="s">
        <v>1421</v>
      </c>
      <c r="B25853" s="574">
        <v>195</v>
      </c>
      <c r="C25853" s="574">
        <v>534</v>
      </c>
    </row>
    <row r="25854" spans="1:3">
      <c r="A25854" s="571" t="s">
        <v>1420</v>
      </c>
      <c r="B25854" s="572">
        <v>0</v>
      </c>
      <c r="C25854" s="572">
        <v>0</v>
      </c>
    </row>
    <row r="25855" spans="1:3">
      <c r="A25855" s="571" t="s">
        <v>1420</v>
      </c>
      <c r="B25855" s="572">
        <v>1.8</v>
      </c>
      <c r="C25855" s="572">
        <v>16.7</v>
      </c>
    </row>
    <row r="25856" spans="1:3">
      <c r="A25856" s="571" t="s">
        <v>1420</v>
      </c>
      <c r="B25856" s="572">
        <v>2</v>
      </c>
      <c r="C25856" s="572">
        <v>45.3</v>
      </c>
    </row>
    <row r="25857" spans="1:3">
      <c r="A25857" s="571" t="s">
        <v>1420</v>
      </c>
      <c r="B25857" s="572">
        <v>2.2000000000000002</v>
      </c>
      <c r="C25857" s="572">
        <v>27.6</v>
      </c>
    </row>
    <row r="25858" spans="1:3">
      <c r="A25858" s="571" t="s">
        <v>1420</v>
      </c>
      <c r="B25858" s="572">
        <v>3.1</v>
      </c>
      <c r="C25858" s="572">
        <v>54.9</v>
      </c>
    </row>
    <row r="25859" spans="1:3">
      <c r="A25859" s="571" t="s">
        <v>1420</v>
      </c>
      <c r="B25859" s="572">
        <v>4</v>
      </c>
      <c r="C25859" s="572">
        <v>72.2</v>
      </c>
    </row>
    <row r="25860" spans="1:3">
      <c r="A25860" s="571" t="s">
        <v>1420</v>
      </c>
      <c r="B25860" s="572">
        <v>5.3</v>
      </c>
      <c r="C25860" s="572">
        <v>81.8</v>
      </c>
    </row>
    <row r="25861" spans="1:3">
      <c r="A25861" s="571" t="s">
        <v>1420</v>
      </c>
      <c r="B25861" s="572">
        <v>7.9</v>
      </c>
      <c r="C25861" s="572">
        <v>107</v>
      </c>
    </row>
    <row r="25862" spans="1:3">
      <c r="A25862" s="571" t="s">
        <v>1420</v>
      </c>
      <c r="B25862" s="572">
        <v>9.5</v>
      </c>
      <c r="C25862" s="572">
        <v>117</v>
      </c>
    </row>
    <row r="25863" spans="1:3">
      <c r="A25863" s="571" t="s">
        <v>1420</v>
      </c>
      <c r="B25863" s="572">
        <v>11.5</v>
      </c>
      <c r="C25863" s="572">
        <v>124</v>
      </c>
    </row>
    <row r="25864" spans="1:3">
      <c r="A25864" s="571" t="s">
        <v>1420</v>
      </c>
      <c r="B25864" s="572">
        <v>13.7</v>
      </c>
      <c r="C25864" s="572">
        <v>128</v>
      </c>
    </row>
    <row r="25865" spans="1:3">
      <c r="A25865" s="571" t="s">
        <v>1420</v>
      </c>
      <c r="B25865" s="572">
        <v>15.3</v>
      </c>
      <c r="C25865" s="572">
        <v>124</v>
      </c>
    </row>
    <row r="25866" spans="1:3">
      <c r="A25866" s="571" t="s">
        <v>1420</v>
      </c>
      <c r="B25866" s="572">
        <v>17.3</v>
      </c>
      <c r="C25866" s="572">
        <v>119</v>
      </c>
    </row>
    <row r="25867" spans="1:3">
      <c r="A25867" s="571" t="s">
        <v>1420</v>
      </c>
      <c r="B25867" s="572">
        <v>18.600000000000001</v>
      </c>
      <c r="C25867" s="572">
        <v>128</v>
      </c>
    </row>
    <row r="25868" spans="1:3">
      <c r="A25868" s="571" t="s">
        <v>1420</v>
      </c>
      <c r="B25868" s="572">
        <v>22.1</v>
      </c>
      <c r="C25868" s="572">
        <v>123</v>
      </c>
    </row>
    <row r="25869" spans="1:3">
      <c r="A25869" s="571" t="s">
        <v>1420</v>
      </c>
      <c r="B25869" s="572">
        <v>30.6</v>
      </c>
      <c r="C25869" s="572">
        <v>123</v>
      </c>
    </row>
    <row r="25870" spans="1:3">
      <c r="A25870" s="571" t="s">
        <v>1420</v>
      </c>
      <c r="B25870" s="572">
        <v>53.8</v>
      </c>
      <c r="C25870" s="572">
        <v>122</v>
      </c>
    </row>
    <row r="25871" spans="1:3">
      <c r="A25871" s="571" t="s">
        <v>1420</v>
      </c>
      <c r="B25871" s="572">
        <v>66.599999999999994</v>
      </c>
      <c r="C25871" s="572">
        <v>125</v>
      </c>
    </row>
    <row r="25872" spans="1:3">
      <c r="A25872" s="571" t="s">
        <v>1420</v>
      </c>
      <c r="B25872" s="572">
        <v>93.8</v>
      </c>
      <c r="C25872" s="572">
        <v>121</v>
      </c>
    </row>
    <row r="25873" spans="1:3">
      <c r="A25873" s="571" t="s">
        <v>1420</v>
      </c>
      <c r="B25873" s="572">
        <v>96</v>
      </c>
      <c r="C25873" s="572">
        <v>123</v>
      </c>
    </row>
    <row r="25874" spans="1:3">
      <c r="A25874" s="573" t="s">
        <v>1420</v>
      </c>
      <c r="B25874" s="574">
        <v>119</v>
      </c>
      <c r="C25874" s="574">
        <v>124</v>
      </c>
    </row>
    <row r="25875" spans="1:3">
      <c r="A25875" s="573" t="s">
        <v>1420</v>
      </c>
      <c r="B25875" s="574">
        <v>152</v>
      </c>
      <c r="C25875" s="574">
        <v>121</v>
      </c>
    </row>
    <row r="25876" spans="1:3">
      <c r="A25876" s="573" t="s">
        <v>1420</v>
      </c>
      <c r="B25876" s="574">
        <v>175</v>
      </c>
      <c r="C25876" s="574">
        <v>118</v>
      </c>
    </row>
    <row r="25877" spans="1:3">
      <c r="A25877" s="573" t="s">
        <v>1420</v>
      </c>
      <c r="B25877" s="574">
        <v>193</v>
      </c>
      <c r="C25877" s="574">
        <v>113</v>
      </c>
    </row>
    <row r="25878" spans="1:3">
      <c r="A25878" s="573" t="s">
        <v>1420</v>
      </c>
      <c r="B25878" s="574">
        <v>193</v>
      </c>
      <c r="C25878" s="574">
        <v>113</v>
      </c>
    </row>
    <row r="25879" spans="1:3">
      <c r="A25879" s="571" t="s">
        <v>1419</v>
      </c>
      <c r="B25879" s="572">
        <v>0</v>
      </c>
      <c r="C25879" s="572">
        <v>0</v>
      </c>
    </row>
    <row r="25880" spans="1:3">
      <c r="A25880" s="571" t="s">
        <v>1419</v>
      </c>
      <c r="B25880" s="572">
        <v>0.2</v>
      </c>
      <c r="C25880" s="572">
        <v>35</v>
      </c>
    </row>
    <row r="25881" spans="1:3">
      <c r="A25881" s="571" t="s">
        <v>1419</v>
      </c>
      <c r="B25881" s="572">
        <v>1</v>
      </c>
      <c r="C25881" s="572">
        <v>61</v>
      </c>
    </row>
    <row r="25882" spans="1:3">
      <c r="A25882" s="571" t="s">
        <v>1419</v>
      </c>
      <c r="B25882" s="572">
        <v>2</v>
      </c>
      <c r="C25882" s="572">
        <v>92</v>
      </c>
    </row>
    <row r="25883" spans="1:3">
      <c r="A25883" s="571" t="s">
        <v>1419</v>
      </c>
      <c r="B25883" s="572">
        <v>3</v>
      </c>
      <c r="C25883" s="572">
        <v>115</v>
      </c>
    </row>
    <row r="25884" spans="1:3">
      <c r="A25884" s="571" t="s">
        <v>1419</v>
      </c>
      <c r="B25884" s="572">
        <v>6</v>
      </c>
      <c r="C25884" s="572">
        <v>162</v>
      </c>
    </row>
    <row r="25885" spans="1:3">
      <c r="A25885" s="571" t="s">
        <v>1419</v>
      </c>
      <c r="B25885" s="572">
        <v>8</v>
      </c>
      <c r="C25885" s="572">
        <v>187</v>
      </c>
    </row>
    <row r="25886" spans="1:3">
      <c r="A25886" s="571" t="s">
        <v>1419</v>
      </c>
      <c r="B25886" s="572">
        <v>14</v>
      </c>
      <c r="C25886" s="572">
        <v>245</v>
      </c>
    </row>
    <row r="25887" spans="1:3">
      <c r="A25887" s="571" t="s">
        <v>1419</v>
      </c>
      <c r="B25887" s="572">
        <v>21</v>
      </c>
      <c r="C25887" s="572">
        <v>282</v>
      </c>
    </row>
    <row r="25888" spans="1:3">
      <c r="A25888" s="571" t="s">
        <v>1419</v>
      </c>
      <c r="B25888" s="572">
        <v>34</v>
      </c>
      <c r="C25888" s="572">
        <v>351</v>
      </c>
    </row>
    <row r="25889" spans="1:3">
      <c r="A25889" s="571" t="s">
        <v>1419</v>
      </c>
      <c r="B25889" s="572">
        <v>52</v>
      </c>
      <c r="C25889" s="572">
        <v>427</v>
      </c>
    </row>
    <row r="25890" spans="1:3">
      <c r="A25890" s="571" t="s">
        <v>1419</v>
      </c>
      <c r="B25890" s="572">
        <v>91</v>
      </c>
      <c r="C25890" s="572">
        <v>485</v>
      </c>
    </row>
    <row r="25891" spans="1:3">
      <c r="A25891" s="573" t="s">
        <v>1419</v>
      </c>
      <c r="B25891" s="574">
        <v>169</v>
      </c>
      <c r="C25891" s="574">
        <v>541</v>
      </c>
    </row>
    <row r="25892" spans="1:3">
      <c r="A25892" s="573" t="s">
        <v>1419</v>
      </c>
      <c r="B25892" s="574">
        <v>258</v>
      </c>
      <c r="C25892" s="574">
        <v>629</v>
      </c>
    </row>
    <row r="25893" spans="1:3">
      <c r="A25893" s="573" t="s">
        <v>1419</v>
      </c>
      <c r="B25893" s="574">
        <v>412</v>
      </c>
      <c r="C25893" s="574">
        <v>676</v>
      </c>
    </row>
    <row r="25894" spans="1:3">
      <c r="A25894" s="569" t="s">
        <v>1419</v>
      </c>
      <c r="B25894" s="570">
        <v>554</v>
      </c>
      <c r="C25894" s="570">
        <v>702</v>
      </c>
    </row>
    <row r="25895" spans="1:3">
      <c r="A25895" s="569" t="s">
        <v>1419</v>
      </c>
      <c r="B25895" s="570">
        <v>1105</v>
      </c>
      <c r="C25895" s="570">
        <v>720</v>
      </c>
    </row>
    <row r="25896" spans="1:3">
      <c r="A25896" s="569" t="s">
        <v>1419</v>
      </c>
      <c r="B25896" s="570">
        <v>1105</v>
      </c>
      <c r="C25896" s="570">
        <v>720</v>
      </c>
    </row>
    <row r="25897" spans="1:3">
      <c r="A25897" s="571" t="s">
        <v>1417</v>
      </c>
      <c r="B25897" s="572">
        <v>0</v>
      </c>
      <c r="C25897" s="572">
        <v>0</v>
      </c>
    </row>
    <row r="25898" spans="1:3">
      <c r="A25898" s="571" t="s">
        <v>1417</v>
      </c>
      <c r="B25898" s="572">
        <v>0.2</v>
      </c>
      <c r="C25898" s="572">
        <v>26</v>
      </c>
    </row>
    <row r="25899" spans="1:3">
      <c r="A25899" s="571" t="s">
        <v>1417</v>
      </c>
      <c r="B25899" s="572">
        <v>1</v>
      </c>
      <c r="C25899" s="572">
        <v>44</v>
      </c>
    </row>
    <row r="25900" spans="1:3">
      <c r="A25900" s="571" t="s">
        <v>1417</v>
      </c>
      <c r="B25900" s="572">
        <v>2</v>
      </c>
      <c r="C25900" s="572">
        <v>59</v>
      </c>
    </row>
    <row r="25901" spans="1:3">
      <c r="A25901" s="571" t="s">
        <v>1417</v>
      </c>
      <c r="B25901" s="572">
        <v>3</v>
      </c>
      <c r="C25901" s="572">
        <v>72</v>
      </c>
    </row>
    <row r="25902" spans="1:3">
      <c r="A25902" s="571" t="s">
        <v>1417</v>
      </c>
      <c r="B25902" s="572">
        <v>6</v>
      </c>
      <c r="C25902" s="572">
        <v>102</v>
      </c>
    </row>
    <row r="25903" spans="1:3">
      <c r="A25903" s="571" t="s">
        <v>1417</v>
      </c>
      <c r="B25903" s="572">
        <v>8</v>
      </c>
      <c r="C25903" s="572">
        <v>119</v>
      </c>
    </row>
    <row r="25904" spans="1:3">
      <c r="A25904" s="571" t="s">
        <v>1417</v>
      </c>
      <c r="B25904" s="572">
        <v>14</v>
      </c>
      <c r="C25904" s="572">
        <v>161</v>
      </c>
    </row>
    <row r="25905" spans="1:3">
      <c r="A25905" s="571" t="s">
        <v>1417</v>
      </c>
      <c r="B25905" s="572">
        <v>21</v>
      </c>
      <c r="C25905" s="572">
        <v>186</v>
      </c>
    </row>
    <row r="25906" spans="1:3">
      <c r="A25906" s="571" t="s">
        <v>1417</v>
      </c>
      <c r="B25906" s="572">
        <v>34</v>
      </c>
      <c r="C25906" s="572">
        <v>237</v>
      </c>
    </row>
    <row r="25907" spans="1:3">
      <c r="A25907" s="571" t="s">
        <v>1417</v>
      </c>
      <c r="B25907" s="572">
        <v>52</v>
      </c>
      <c r="C25907" s="572">
        <v>293</v>
      </c>
    </row>
    <row r="25908" spans="1:3">
      <c r="A25908" s="571" t="s">
        <v>1417</v>
      </c>
      <c r="B25908" s="572">
        <v>91</v>
      </c>
      <c r="C25908" s="572">
        <v>366</v>
      </c>
    </row>
    <row r="25909" spans="1:3">
      <c r="A25909" s="573" t="s">
        <v>1417</v>
      </c>
      <c r="B25909" s="574">
        <v>169</v>
      </c>
      <c r="C25909" s="574">
        <v>443</v>
      </c>
    </row>
    <row r="25910" spans="1:3">
      <c r="A25910" s="573" t="s">
        <v>1417</v>
      </c>
      <c r="B25910" s="574">
        <v>258</v>
      </c>
      <c r="C25910" s="574">
        <v>533</v>
      </c>
    </row>
    <row r="25911" spans="1:3">
      <c r="A25911" s="573" t="s">
        <v>1417</v>
      </c>
      <c r="B25911" s="574">
        <v>412</v>
      </c>
      <c r="C25911" s="574">
        <v>607</v>
      </c>
    </row>
    <row r="25912" spans="1:3">
      <c r="A25912" s="569" t="s">
        <v>1417</v>
      </c>
      <c r="B25912" s="570">
        <v>554</v>
      </c>
      <c r="C25912" s="570">
        <v>652</v>
      </c>
    </row>
    <row r="25913" spans="1:3">
      <c r="A25913" s="569" t="s">
        <v>1417</v>
      </c>
      <c r="B25913" s="570">
        <v>1105</v>
      </c>
      <c r="C25913" s="570">
        <v>663</v>
      </c>
    </row>
    <row r="25914" spans="1:3">
      <c r="A25914" s="569" t="s">
        <v>1417</v>
      </c>
      <c r="B25914" s="570">
        <v>1105</v>
      </c>
      <c r="C25914" s="570">
        <v>663</v>
      </c>
    </row>
    <row r="25915" spans="1:3">
      <c r="A25915" s="571" t="s">
        <v>1415</v>
      </c>
      <c r="B25915" s="572">
        <v>0.1</v>
      </c>
      <c r="C25915" s="572">
        <v>0</v>
      </c>
    </row>
    <row r="25916" spans="1:3">
      <c r="A25916" s="571" t="s">
        <v>1415</v>
      </c>
      <c r="B25916" s="572">
        <v>0.2</v>
      </c>
      <c r="C25916" s="572">
        <v>23</v>
      </c>
    </row>
    <row r="25917" spans="1:3">
      <c r="A25917" s="571" t="s">
        <v>1415</v>
      </c>
      <c r="B25917" s="572">
        <v>0.9</v>
      </c>
      <c r="C25917" s="572">
        <v>30</v>
      </c>
    </row>
    <row r="25918" spans="1:3">
      <c r="A25918" s="571" t="s">
        <v>1415</v>
      </c>
      <c r="B25918" s="572">
        <v>2</v>
      </c>
      <c r="C25918" s="572">
        <v>39</v>
      </c>
    </row>
    <row r="25919" spans="1:3">
      <c r="A25919" s="571" t="s">
        <v>1415</v>
      </c>
      <c r="B25919" s="572">
        <v>3</v>
      </c>
      <c r="C25919" s="572">
        <v>42</v>
      </c>
    </row>
    <row r="25920" spans="1:3">
      <c r="A25920" s="571" t="s">
        <v>1415</v>
      </c>
      <c r="B25920" s="572">
        <v>6</v>
      </c>
      <c r="C25920" s="572">
        <v>56</v>
      </c>
    </row>
    <row r="25921" spans="1:3">
      <c r="A25921" s="571" t="s">
        <v>1415</v>
      </c>
      <c r="B25921" s="572">
        <v>8</v>
      </c>
      <c r="C25921" s="572">
        <v>63</v>
      </c>
    </row>
    <row r="25922" spans="1:3">
      <c r="A25922" s="571" t="s">
        <v>1415</v>
      </c>
      <c r="B25922" s="572">
        <v>14</v>
      </c>
      <c r="C25922" s="572">
        <v>82</v>
      </c>
    </row>
    <row r="25923" spans="1:3">
      <c r="A25923" s="571" t="s">
        <v>1415</v>
      </c>
      <c r="B25923" s="572">
        <v>21</v>
      </c>
      <c r="C25923" s="572">
        <v>105</v>
      </c>
    </row>
    <row r="25924" spans="1:3">
      <c r="A25924" s="571" t="s">
        <v>1415</v>
      </c>
      <c r="B25924" s="572">
        <v>34</v>
      </c>
      <c r="C25924" s="572">
        <v>129</v>
      </c>
    </row>
    <row r="25925" spans="1:3">
      <c r="A25925" s="571" t="s">
        <v>1415</v>
      </c>
      <c r="B25925" s="572">
        <v>52</v>
      </c>
      <c r="C25925" s="572">
        <v>156</v>
      </c>
    </row>
    <row r="25926" spans="1:3">
      <c r="A25926" s="571" t="s">
        <v>1415</v>
      </c>
      <c r="B25926" s="572">
        <v>91</v>
      </c>
      <c r="C25926" s="572">
        <v>197</v>
      </c>
    </row>
    <row r="25927" spans="1:3">
      <c r="A25927" s="573" t="s">
        <v>1415</v>
      </c>
      <c r="B25927" s="574">
        <v>169</v>
      </c>
      <c r="C25927" s="574">
        <v>274</v>
      </c>
    </row>
    <row r="25928" spans="1:3">
      <c r="A25928" s="573" t="s">
        <v>1415</v>
      </c>
      <c r="B25928" s="574">
        <v>258</v>
      </c>
      <c r="C25928" s="574">
        <v>340</v>
      </c>
    </row>
    <row r="25929" spans="1:3">
      <c r="A25929" s="573" t="s">
        <v>1415</v>
      </c>
      <c r="B25929" s="574">
        <v>412</v>
      </c>
      <c r="C25929" s="574">
        <v>412</v>
      </c>
    </row>
    <row r="25930" spans="1:3">
      <c r="A25930" s="569" t="s">
        <v>1415</v>
      </c>
      <c r="B25930" s="570">
        <v>554</v>
      </c>
      <c r="C25930" s="570">
        <v>465</v>
      </c>
    </row>
    <row r="25931" spans="1:3">
      <c r="A25931" s="569" t="s">
        <v>1415</v>
      </c>
      <c r="B25931" s="570">
        <v>1105</v>
      </c>
      <c r="C25931" s="570">
        <v>535</v>
      </c>
    </row>
    <row r="25932" spans="1:3">
      <c r="A25932" s="569" t="s">
        <v>1415</v>
      </c>
      <c r="B25932" s="570">
        <v>1105</v>
      </c>
      <c r="C25932" s="570">
        <v>535</v>
      </c>
    </row>
    <row r="25933" spans="1:3">
      <c r="A25933" s="571" t="s">
        <v>1413</v>
      </c>
      <c r="B25933" s="572">
        <v>0</v>
      </c>
      <c r="C25933" s="572">
        <v>0</v>
      </c>
    </row>
    <row r="25934" spans="1:3">
      <c r="A25934" s="571" t="s">
        <v>1413</v>
      </c>
      <c r="B25934" s="572">
        <v>1</v>
      </c>
      <c r="C25934" s="572">
        <v>47</v>
      </c>
    </row>
    <row r="25935" spans="1:3">
      <c r="A25935" s="571" t="s">
        <v>1413</v>
      </c>
      <c r="B25935" s="572">
        <v>2</v>
      </c>
      <c r="C25935" s="572">
        <v>87</v>
      </c>
    </row>
    <row r="25936" spans="1:3">
      <c r="A25936" s="571" t="s">
        <v>1413</v>
      </c>
      <c r="B25936" s="572">
        <v>3</v>
      </c>
      <c r="C25936" s="572">
        <v>117</v>
      </c>
    </row>
    <row r="25937" spans="1:3">
      <c r="A25937" s="571" t="s">
        <v>1413</v>
      </c>
      <c r="B25937" s="572">
        <v>4</v>
      </c>
      <c r="C25937" s="572">
        <v>137</v>
      </c>
    </row>
    <row r="25938" spans="1:3">
      <c r="A25938" s="571" t="s">
        <v>1413</v>
      </c>
      <c r="B25938" s="572">
        <v>5</v>
      </c>
      <c r="C25938" s="572">
        <v>140</v>
      </c>
    </row>
    <row r="25939" spans="1:3">
      <c r="A25939" s="571" t="s">
        <v>1413</v>
      </c>
      <c r="B25939" s="572">
        <v>6</v>
      </c>
      <c r="C25939" s="572">
        <v>177</v>
      </c>
    </row>
    <row r="25940" spans="1:3">
      <c r="A25940" s="571" t="s">
        <v>1413</v>
      </c>
      <c r="B25940" s="572">
        <v>7</v>
      </c>
      <c r="C25940" s="572">
        <v>193</v>
      </c>
    </row>
    <row r="25941" spans="1:3">
      <c r="A25941" s="571" t="s">
        <v>1413</v>
      </c>
      <c r="B25941" s="572">
        <v>14</v>
      </c>
      <c r="C25941" s="572">
        <v>337</v>
      </c>
    </row>
    <row r="25942" spans="1:3">
      <c r="A25942" s="571" t="s">
        <v>1413</v>
      </c>
      <c r="B25942" s="572">
        <v>21</v>
      </c>
      <c r="C25942" s="572">
        <v>360</v>
      </c>
    </row>
    <row r="25943" spans="1:3">
      <c r="A25943" s="571" t="s">
        <v>1413</v>
      </c>
      <c r="B25943" s="572">
        <v>28</v>
      </c>
      <c r="C25943" s="572">
        <v>400</v>
      </c>
    </row>
    <row r="25944" spans="1:3">
      <c r="A25944" s="571" t="s">
        <v>1413</v>
      </c>
      <c r="B25944" s="572">
        <v>42</v>
      </c>
      <c r="C25944" s="572">
        <v>463</v>
      </c>
    </row>
    <row r="25945" spans="1:3">
      <c r="A25945" s="571" t="s">
        <v>1413</v>
      </c>
      <c r="B25945" s="572">
        <v>59</v>
      </c>
      <c r="C25945" s="572">
        <v>513</v>
      </c>
    </row>
    <row r="25946" spans="1:3">
      <c r="A25946" s="571" t="s">
        <v>1413</v>
      </c>
      <c r="B25946" s="572">
        <v>90</v>
      </c>
      <c r="C25946" s="572">
        <v>573</v>
      </c>
    </row>
    <row r="25947" spans="1:3">
      <c r="A25947" s="573" t="s">
        <v>1413</v>
      </c>
      <c r="B25947" s="574">
        <v>121</v>
      </c>
      <c r="C25947" s="574">
        <v>587</v>
      </c>
    </row>
    <row r="25948" spans="1:3">
      <c r="A25948" s="573" t="s">
        <v>1413</v>
      </c>
      <c r="B25948" s="574">
        <v>152</v>
      </c>
      <c r="C25948" s="574">
        <v>593</v>
      </c>
    </row>
    <row r="25949" spans="1:3">
      <c r="A25949" s="573" t="s">
        <v>1413</v>
      </c>
      <c r="B25949" s="574">
        <v>183</v>
      </c>
      <c r="C25949" s="574">
        <v>623</v>
      </c>
    </row>
    <row r="25950" spans="1:3">
      <c r="A25950" s="573" t="s">
        <v>1413</v>
      </c>
      <c r="B25950" s="574">
        <v>214</v>
      </c>
      <c r="C25950" s="574">
        <v>637</v>
      </c>
    </row>
    <row r="25951" spans="1:3">
      <c r="A25951" s="573" t="s">
        <v>1413</v>
      </c>
      <c r="B25951" s="574">
        <v>245</v>
      </c>
      <c r="C25951" s="574">
        <v>653</v>
      </c>
    </row>
    <row r="25952" spans="1:3">
      <c r="A25952" s="573" t="s">
        <v>1413</v>
      </c>
      <c r="B25952" s="574">
        <v>276</v>
      </c>
      <c r="C25952" s="574">
        <v>687</v>
      </c>
    </row>
    <row r="25953" spans="1:3">
      <c r="A25953" s="573" t="s">
        <v>1413</v>
      </c>
      <c r="B25953" s="574">
        <v>307</v>
      </c>
      <c r="C25953" s="574">
        <v>673</v>
      </c>
    </row>
    <row r="25954" spans="1:3">
      <c r="A25954" s="573" t="s">
        <v>1413</v>
      </c>
      <c r="B25954" s="574">
        <v>338</v>
      </c>
      <c r="C25954" s="574">
        <v>687</v>
      </c>
    </row>
    <row r="25955" spans="1:3">
      <c r="A25955" s="573" t="s">
        <v>1413</v>
      </c>
      <c r="B25955" s="574">
        <v>369</v>
      </c>
      <c r="C25955" s="574">
        <v>690</v>
      </c>
    </row>
    <row r="25956" spans="1:3">
      <c r="A25956" s="573" t="s">
        <v>1413</v>
      </c>
      <c r="B25956" s="574">
        <v>400</v>
      </c>
      <c r="C25956" s="574">
        <v>703</v>
      </c>
    </row>
    <row r="25957" spans="1:3">
      <c r="A25957" s="573" t="s">
        <v>1413</v>
      </c>
      <c r="B25957" s="574">
        <v>431</v>
      </c>
      <c r="C25957" s="574">
        <v>693</v>
      </c>
    </row>
    <row r="25958" spans="1:3">
      <c r="A25958" s="573" t="s">
        <v>1413</v>
      </c>
      <c r="B25958" s="574">
        <v>462</v>
      </c>
      <c r="C25958" s="574">
        <v>687</v>
      </c>
    </row>
    <row r="25959" spans="1:3">
      <c r="A25959" s="573" t="s">
        <v>1413</v>
      </c>
      <c r="B25959" s="574">
        <v>493</v>
      </c>
      <c r="C25959" s="574">
        <v>693</v>
      </c>
    </row>
    <row r="25960" spans="1:3">
      <c r="A25960" s="569" t="s">
        <v>1413</v>
      </c>
      <c r="B25960" s="570">
        <v>524</v>
      </c>
      <c r="C25960" s="570">
        <v>693</v>
      </c>
    </row>
    <row r="25961" spans="1:3">
      <c r="A25961" s="569" t="s">
        <v>1413</v>
      </c>
      <c r="B25961" s="570">
        <v>555</v>
      </c>
      <c r="C25961" s="570">
        <v>697</v>
      </c>
    </row>
    <row r="25962" spans="1:3">
      <c r="A25962" s="569" t="s">
        <v>1413</v>
      </c>
      <c r="B25962" s="570">
        <v>586</v>
      </c>
      <c r="C25962" s="570">
        <v>697</v>
      </c>
    </row>
    <row r="25963" spans="1:3">
      <c r="A25963" s="569" t="s">
        <v>1413</v>
      </c>
      <c r="B25963" s="570">
        <v>617</v>
      </c>
      <c r="C25963" s="570">
        <v>697</v>
      </c>
    </row>
    <row r="25964" spans="1:3">
      <c r="A25964" s="569" t="s">
        <v>1413</v>
      </c>
      <c r="B25964" s="570">
        <v>617</v>
      </c>
      <c r="C25964" s="570">
        <v>697</v>
      </c>
    </row>
    <row r="25965" spans="1:3">
      <c r="A25965" s="571" t="s">
        <v>1412</v>
      </c>
      <c r="B25965" s="572">
        <v>0</v>
      </c>
      <c r="C25965" s="572">
        <v>0</v>
      </c>
    </row>
    <row r="25966" spans="1:3">
      <c r="A25966" s="571" t="s">
        <v>1412</v>
      </c>
      <c r="B25966" s="572">
        <v>1</v>
      </c>
      <c r="C25966" s="572">
        <v>30</v>
      </c>
    </row>
    <row r="25967" spans="1:3">
      <c r="A25967" s="571" t="s">
        <v>1412</v>
      </c>
      <c r="B25967" s="572">
        <v>2</v>
      </c>
      <c r="C25967" s="572">
        <v>53</v>
      </c>
    </row>
    <row r="25968" spans="1:3">
      <c r="A25968" s="571" t="s">
        <v>1412</v>
      </c>
      <c r="B25968" s="572">
        <v>3</v>
      </c>
      <c r="C25968" s="572">
        <v>77</v>
      </c>
    </row>
    <row r="25969" spans="1:3">
      <c r="A25969" s="571" t="s">
        <v>1412</v>
      </c>
      <c r="B25969" s="572">
        <v>4</v>
      </c>
      <c r="C25969" s="572">
        <v>77</v>
      </c>
    </row>
    <row r="25970" spans="1:3">
      <c r="A25970" s="571" t="s">
        <v>1412</v>
      </c>
      <c r="B25970" s="572">
        <v>5</v>
      </c>
      <c r="C25970" s="572">
        <v>100</v>
      </c>
    </row>
    <row r="25971" spans="1:3">
      <c r="A25971" s="571" t="s">
        <v>1412</v>
      </c>
      <c r="B25971" s="572">
        <v>6</v>
      </c>
      <c r="C25971" s="572">
        <v>107</v>
      </c>
    </row>
    <row r="25972" spans="1:3">
      <c r="A25972" s="571" t="s">
        <v>1412</v>
      </c>
      <c r="B25972" s="572">
        <v>7</v>
      </c>
      <c r="C25972" s="572">
        <v>123</v>
      </c>
    </row>
    <row r="25973" spans="1:3">
      <c r="A25973" s="571" t="s">
        <v>1412</v>
      </c>
      <c r="B25973" s="572">
        <v>14</v>
      </c>
      <c r="C25973" s="572">
        <v>220</v>
      </c>
    </row>
    <row r="25974" spans="1:3">
      <c r="A25974" s="571" t="s">
        <v>1412</v>
      </c>
      <c r="B25974" s="572">
        <v>21</v>
      </c>
      <c r="C25974" s="572">
        <v>267</v>
      </c>
    </row>
    <row r="25975" spans="1:3">
      <c r="A25975" s="571" t="s">
        <v>1412</v>
      </c>
      <c r="B25975" s="572">
        <v>28</v>
      </c>
      <c r="C25975" s="572">
        <v>287</v>
      </c>
    </row>
    <row r="25976" spans="1:3">
      <c r="A25976" s="571" t="s">
        <v>1412</v>
      </c>
      <c r="B25976" s="572">
        <v>42</v>
      </c>
      <c r="C25976" s="572">
        <v>340</v>
      </c>
    </row>
    <row r="25977" spans="1:3">
      <c r="A25977" s="571" t="s">
        <v>1412</v>
      </c>
      <c r="B25977" s="572">
        <v>59</v>
      </c>
      <c r="C25977" s="572">
        <v>393</v>
      </c>
    </row>
    <row r="25978" spans="1:3">
      <c r="A25978" s="571" t="s">
        <v>1412</v>
      </c>
      <c r="B25978" s="572">
        <v>90</v>
      </c>
      <c r="C25978" s="572">
        <v>447</v>
      </c>
    </row>
    <row r="25979" spans="1:3">
      <c r="A25979" s="573" t="s">
        <v>1412</v>
      </c>
      <c r="B25979" s="574">
        <v>121</v>
      </c>
      <c r="C25979" s="574">
        <v>477</v>
      </c>
    </row>
    <row r="25980" spans="1:3">
      <c r="A25980" s="573" t="s">
        <v>1412</v>
      </c>
      <c r="B25980" s="574">
        <v>152</v>
      </c>
      <c r="C25980" s="574">
        <v>497</v>
      </c>
    </row>
    <row r="25981" spans="1:3">
      <c r="A25981" s="573" t="s">
        <v>1412</v>
      </c>
      <c r="B25981" s="574">
        <v>183</v>
      </c>
      <c r="C25981" s="574">
        <v>503</v>
      </c>
    </row>
    <row r="25982" spans="1:3">
      <c r="A25982" s="573" t="s">
        <v>1412</v>
      </c>
      <c r="B25982" s="574">
        <v>214</v>
      </c>
      <c r="C25982" s="574">
        <v>517</v>
      </c>
    </row>
    <row r="25983" spans="1:3">
      <c r="A25983" s="573" t="s">
        <v>1412</v>
      </c>
      <c r="B25983" s="574">
        <v>245</v>
      </c>
      <c r="C25983" s="574">
        <v>537</v>
      </c>
    </row>
    <row r="25984" spans="1:3">
      <c r="A25984" s="573" t="s">
        <v>1412</v>
      </c>
      <c r="B25984" s="574">
        <v>276</v>
      </c>
      <c r="C25984" s="574">
        <v>573</v>
      </c>
    </row>
    <row r="25985" spans="1:3">
      <c r="A25985" s="573" t="s">
        <v>1412</v>
      </c>
      <c r="B25985" s="574">
        <v>307</v>
      </c>
      <c r="C25985" s="574">
        <v>573</v>
      </c>
    </row>
    <row r="25986" spans="1:3">
      <c r="A25986" s="573" t="s">
        <v>1412</v>
      </c>
      <c r="B25986" s="574">
        <v>338</v>
      </c>
      <c r="C25986" s="574">
        <v>573</v>
      </c>
    </row>
    <row r="25987" spans="1:3">
      <c r="A25987" s="573" t="s">
        <v>1412</v>
      </c>
      <c r="B25987" s="574">
        <v>369</v>
      </c>
      <c r="C25987" s="574">
        <v>577</v>
      </c>
    </row>
    <row r="25988" spans="1:3">
      <c r="A25988" s="573" t="s">
        <v>1412</v>
      </c>
      <c r="B25988" s="574">
        <v>400</v>
      </c>
      <c r="C25988" s="574">
        <v>593</v>
      </c>
    </row>
    <row r="25989" spans="1:3">
      <c r="A25989" s="573" t="s">
        <v>1412</v>
      </c>
      <c r="B25989" s="574">
        <v>431</v>
      </c>
      <c r="C25989" s="574">
        <v>587</v>
      </c>
    </row>
    <row r="25990" spans="1:3">
      <c r="A25990" s="573" t="s">
        <v>1412</v>
      </c>
      <c r="B25990" s="574">
        <v>462</v>
      </c>
      <c r="C25990" s="574">
        <v>580</v>
      </c>
    </row>
    <row r="25991" spans="1:3">
      <c r="A25991" s="573" t="s">
        <v>1412</v>
      </c>
      <c r="B25991" s="574">
        <v>493</v>
      </c>
      <c r="C25991" s="574">
        <v>590</v>
      </c>
    </row>
    <row r="25992" spans="1:3">
      <c r="A25992" s="569" t="s">
        <v>1412</v>
      </c>
      <c r="B25992" s="570">
        <v>524</v>
      </c>
      <c r="C25992" s="570">
        <v>590</v>
      </c>
    </row>
    <row r="25993" spans="1:3">
      <c r="A25993" s="569" t="s">
        <v>1412</v>
      </c>
      <c r="B25993" s="570">
        <v>555</v>
      </c>
      <c r="C25993" s="570">
        <v>590</v>
      </c>
    </row>
    <row r="25994" spans="1:3">
      <c r="A25994" s="569" t="s">
        <v>1412</v>
      </c>
      <c r="B25994" s="570">
        <v>586</v>
      </c>
      <c r="C25994" s="570">
        <v>593</v>
      </c>
    </row>
    <row r="25995" spans="1:3">
      <c r="A25995" s="569" t="s">
        <v>1412</v>
      </c>
      <c r="B25995" s="570">
        <v>617</v>
      </c>
      <c r="C25995" s="570">
        <v>590</v>
      </c>
    </row>
    <row r="25996" spans="1:3">
      <c r="A25996" s="569" t="s">
        <v>1412</v>
      </c>
      <c r="B25996" s="570">
        <v>617</v>
      </c>
      <c r="C25996" s="570">
        <v>590</v>
      </c>
    </row>
    <row r="25997" spans="1:3">
      <c r="A25997" s="571" t="s">
        <v>1411</v>
      </c>
      <c r="B25997" s="572">
        <v>0</v>
      </c>
      <c r="C25997" s="572">
        <v>0</v>
      </c>
    </row>
    <row r="25998" spans="1:3">
      <c r="A25998" s="571" t="s">
        <v>1411</v>
      </c>
      <c r="B25998" s="572">
        <v>1</v>
      </c>
      <c r="C25998" s="572">
        <v>30</v>
      </c>
    </row>
    <row r="25999" spans="1:3">
      <c r="A25999" s="571" t="s">
        <v>1411</v>
      </c>
      <c r="B25999" s="572">
        <v>2</v>
      </c>
      <c r="C25999" s="572">
        <v>60</v>
      </c>
    </row>
    <row r="26000" spans="1:3">
      <c r="A26000" s="571" t="s">
        <v>1411</v>
      </c>
      <c r="B26000" s="572">
        <v>3</v>
      </c>
      <c r="C26000" s="572">
        <v>60</v>
      </c>
    </row>
    <row r="26001" spans="1:3">
      <c r="A26001" s="571" t="s">
        <v>1411</v>
      </c>
      <c r="B26001" s="572">
        <v>4</v>
      </c>
      <c r="C26001" s="572">
        <v>77</v>
      </c>
    </row>
    <row r="26002" spans="1:3">
      <c r="A26002" s="571" t="s">
        <v>1411</v>
      </c>
      <c r="B26002" s="572">
        <v>5</v>
      </c>
      <c r="C26002" s="572">
        <v>80</v>
      </c>
    </row>
    <row r="26003" spans="1:3">
      <c r="A26003" s="571" t="s">
        <v>1411</v>
      </c>
      <c r="B26003" s="572">
        <v>6</v>
      </c>
      <c r="C26003" s="572">
        <v>90</v>
      </c>
    </row>
    <row r="26004" spans="1:3">
      <c r="A26004" s="571" t="s">
        <v>1411</v>
      </c>
      <c r="B26004" s="572">
        <v>7</v>
      </c>
      <c r="C26004" s="572">
        <v>100</v>
      </c>
    </row>
    <row r="26005" spans="1:3">
      <c r="A26005" s="571" t="s">
        <v>1411</v>
      </c>
      <c r="B26005" s="572">
        <v>14</v>
      </c>
      <c r="C26005" s="572">
        <v>177</v>
      </c>
    </row>
    <row r="26006" spans="1:3">
      <c r="A26006" s="571" t="s">
        <v>1411</v>
      </c>
      <c r="B26006" s="572">
        <v>21</v>
      </c>
      <c r="C26006" s="572">
        <v>197</v>
      </c>
    </row>
    <row r="26007" spans="1:3">
      <c r="A26007" s="571" t="s">
        <v>1411</v>
      </c>
      <c r="B26007" s="572">
        <v>28</v>
      </c>
      <c r="C26007" s="572">
        <v>240</v>
      </c>
    </row>
    <row r="26008" spans="1:3">
      <c r="A26008" s="571" t="s">
        <v>1411</v>
      </c>
      <c r="B26008" s="572">
        <v>42</v>
      </c>
      <c r="C26008" s="572">
        <v>280</v>
      </c>
    </row>
    <row r="26009" spans="1:3">
      <c r="A26009" s="571" t="s">
        <v>1411</v>
      </c>
      <c r="B26009" s="572">
        <v>59</v>
      </c>
      <c r="C26009" s="572">
        <v>327</v>
      </c>
    </row>
    <row r="26010" spans="1:3">
      <c r="A26010" s="571" t="s">
        <v>1411</v>
      </c>
      <c r="B26010" s="572">
        <v>90</v>
      </c>
      <c r="C26010" s="572">
        <v>383</v>
      </c>
    </row>
    <row r="26011" spans="1:3">
      <c r="A26011" s="573" t="s">
        <v>1411</v>
      </c>
      <c r="B26011" s="574">
        <v>121</v>
      </c>
      <c r="C26011" s="574">
        <v>397</v>
      </c>
    </row>
    <row r="26012" spans="1:3">
      <c r="A26012" s="573" t="s">
        <v>1411</v>
      </c>
      <c r="B26012" s="574">
        <v>152</v>
      </c>
      <c r="C26012" s="574">
        <v>430</v>
      </c>
    </row>
    <row r="26013" spans="1:3">
      <c r="A26013" s="573" t="s">
        <v>1411</v>
      </c>
      <c r="B26013" s="574">
        <v>183</v>
      </c>
      <c r="C26013" s="574">
        <v>440</v>
      </c>
    </row>
    <row r="26014" spans="1:3">
      <c r="A26014" s="573" t="s">
        <v>1411</v>
      </c>
      <c r="B26014" s="574">
        <v>214</v>
      </c>
      <c r="C26014" s="574">
        <v>460</v>
      </c>
    </row>
    <row r="26015" spans="1:3">
      <c r="A26015" s="573" t="s">
        <v>1411</v>
      </c>
      <c r="B26015" s="574">
        <v>245</v>
      </c>
      <c r="C26015" s="574">
        <v>477</v>
      </c>
    </row>
    <row r="26016" spans="1:3">
      <c r="A26016" s="573" t="s">
        <v>1411</v>
      </c>
      <c r="B26016" s="574">
        <v>276</v>
      </c>
      <c r="C26016" s="574">
        <v>510</v>
      </c>
    </row>
    <row r="26017" spans="1:3">
      <c r="A26017" s="573" t="s">
        <v>1411</v>
      </c>
      <c r="B26017" s="574">
        <v>307</v>
      </c>
      <c r="C26017" s="574">
        <v>503</v>
      </c>
    </row>
    <row r="26018" spans="1:3">
      <c r="A26018" s="573" t="s">
        <v>1411</v>
      </c>
      <c r="B26018" s="574">
        <v>338</v>
      </c>
      <c r="C26018" s="574">
        <v>517</v>
      </c>
    </row>
    <row r="26019" spans="1:3">
      <c r="A26019" s="573" t="s">
        <v>1411</v>
      </c>
      <c r="B26019" s="574">
        <v>369</v>
      </c>
      <c r="C26019" s="574">
        <v>520</v>
      </c>
    </row>
    <row r="26020" spans="1:3">
      <c r="A26020" s="573" t="s">
        <v>1411</v>
      </c>
      <c r="B26020" s="574">
        <v>400</v>
      </c>
      <c r="C26020" s="574">
        <v>530</v>
      </c>
    </row>
    <row r="26021" spans="1:3">
      <c r="A26021" s="573" t="s">
        <v>1411</v>
      </c>
      <c r="B26021" s="574">
        <v>431</v>
      </c>
      <c r="C26021" s="574">
        <v>527</v>
      </c>
    </row>
    <row r="26022" spans="1:3">
      <c r="A26022" s="573" t="s">
        <v>1411</v>
      </c>
      <c r="B26022" s="574">
        <v>462</v>
      </c>
      <c r="C26022" s="574">
        <v>527</v>
      </c>
    </row>
    <row r="26023" spans="1:3">
      <c r="A26023" s="573" t="s">
        <v>1411</v>
      </c>
      <c r="B26023" s="574">
        <v>493</v>
      </c>
      <c r="C26023" s="574">
        <v>537</v>
      </c>
    </row>
    <row r="26024" spans="1:3">
      <c r="A26024" s="569" t="s">
        <v>1411</v>
      </c>
      <c r="B26024" s="570">
        <v>524</v>
      </c>
      <c r="C26024" s="570">
        <v>537</v>
      </c>
    </row>
    <row r="26025" spans="1:3">
      <c r="A26025" s="569" t="s">
        <v>1411</v>
      </c>
      <c r="B26025" s="570">
        <v>555</v>
      </c>
      <c r="C26025" s="570">
        <v>543</v>
      </c>
    </row>
    <row r="26026" spans="1:3">
      <c r="A26026" s="569" t="s">
        <v>1411</v>
      </c>
      <c r="B26026" s="570">
        <v>586</v>
      </c>
      <c r="C26026" s="570">
        <v>543</v>
      </c>
    </row>
    <row r="26027" spans="1:3">
      <c r="A26027" s="569" t="s">
        <v>1411</v>
      </c>
      <c r="B26027" s="570">
        <v>617</v>
      </c>
      <c r="C26027" s="570">
        <v>543</v>
      </c>
    </row>
    <row r="26028" spans="1:3">
      <c r="A26028" s="569" t="s">
        <v>1411</v>
      </c>
      <c r="B26028" s="570">
        <v>617</v>
      </c>
      <c r="C26028" s="570">
        <v>543</v>
      </c>
    </row>
    <row r="26029" spans="1:3">
      <c r="A26029" s="571" t="s">
        <v>1410</v>
      </c>
      <c r="B26029" s="572">
        <v>0</v>
      </c>
      <c r="C26029" s="572">
        <v>0</v>
      </c>
    </row>
    <row r="26030" spans="1:3">
      <c r="A26030" s="571" t="s">
        <v>1410</v>
      </c>
      <c r="B26030" s="572">
        <v>1</v>
      </c>
      <c r="C26030" s="572">
        <v>30</v>
      </c>
    </row>
    <row r="26031" spans="1:3">
      <c r="A26031" s="571" t="s">
        <v>1410</v>
      </c>
      <c r="B26031" s="572">
        <v>2</v>
      </c>
      <c r="C26031" s="572">
        <v>30</v>
      </c>
    </row>
    <row r="26032" spans="1:3">
      <c r="A26032" s="571" t="s">
        <v>1410</v>
      </c>
      <c r="B26032" s="572">
        <v>3</v>
      </c>
      <c r="C26032" s="572">
        <v>43</v>
      </c>
    </row>
    <row r="26033" spans="1:3">
      <c r="A26033" s="571" t="s">
        <v>1410</v>
      </c>
      <c r="B26033" s="572">
        <v>4</v>
      </c>
      <c r="C26033" s="572">
        <v>53</v>
      </c>
    </row>
    <row r="26034" spans="1:3">
      <c r="A26034" s="571" t="s">
        <v>1410</v>
      </c>
      <c r="B26034" s="572">
        <v>5</v>
      </c>
      <c r="C26034" s="572">
        <v>63</v>
      </c>
    </row>
    <row r="26035" spans="1:3">
      <c r="A26035" s="571" t="s">
        <v>1410</v>
      </c>
      <c r="B26035" s="572">
        <v>6</v>
      </c>
      <c r="C26035" s="572">
        <v>77</v>
      </c>
    </row>
    <row r="26036" spans="1:3">
      <c r="A26036" s="571" t="s">
        <v>1410</v>
      </c>
      <c r="B26036" s="572">
        <v>7</v>
      </c>
      <c r="C26036" s="572">
        <v>87</v>
      </c>
    </row>
    <row r="26037" spans="1:3">
      <c r="A26037" s="571" t="s">
        <v>1410</v>
      </c>
      <c r="B26037" s="572">
        <v>14</v>
      </c>
      <c r="C26037" s="572">
        <v>140</v>
      </c>
    </row>
    <row r="26038" spans="1:3">
      <c r="A26038" s="571" t="s">
        <v>1410</v>
      </c>
      <c r="B26038" s="572">
        <v>21</v>
      </c>
      <c r="C26038" s="572">
        <v>167</v>
      </c>
    </row>
    <row r="26039" spans="1:3">
      <c r="A26039" s="571" t="s">
        <v>1410</v>
      </c>
      <c r="B26039" s="572">
        <v>28</v>
      </c>
      <c r="C26039" s="572">
        <v>203</v>
      </c>
    </row>
    <row r="26040" spans="1:3">
      <c r="A26040" s="571" t="s">
        <v>1410</v>
      </c>
      <c r="B26040" s="572">
        <v>42</v>
      </c>
      <c r="C26040" s="572">
        <v>247</v>
      </c>
    </row>
    <row r="26041" spans="1:3">
      <c r="A26041" s="571" t="s">
        <v>1410</v>
      </c>
      <c r="B26041" s="572">
        <v>59</v>
      </c>
      <c r="C26041" s="572">
        <v>283</v>
      </c>
    </row>
    <row r="26042" spans="1:3">
      <c r="A26042" s="571" t="s">
        <v>1410</v>
      </c>
      <c r="B26042" s="572">
        <v>90</v>
      </c>
      <c r="C26042" s="572">
        <v>320</v>
      </c>
    </row>
    <row r="26043" spans="1:3">
      <c r="A26043" s="573" t="s">
        <v>1410</v>
      </c>
      <c r="B26043" s="574">
        <v>121</v>
      </c>
      <c r="C26043" s="574">
        <v>337</v>
      </c>
    </row>
    <row r="26044" spans="1:3">
      <c r="A26044" s="573" t="s">
        <v>1410</v>
      </c>
      <c r="B26044" s="574">
        <v>152</v>
      </c>
      <c r="C26044" s="574">
        <v>373</v>
      </c>
    </row>
    <row r="26045" spans="1:3">
      <c r="A26045" s="573" t="s">
        <v>1410</v>
      </c>
      <c r="B26045" s="574">
        <v>183</v>
      </c>
      <c r="C26045" s="574">
        <v>377</v>
      </c>
    </row>
    <row r="26046" spans="1:3">
      <c r="A26046" s="573" t="s">
        <v>1410</v>
      </c>
      <c r="B26046" s="574">
        <v>214</v>
      </c>
      <c r="C26046" s="574">
        <v>390</v>
      </c>
    </row>
    <row r="26047" spans="1:3">
      <c r="A26047" s="573" t="s">
        <v>1410</v>
      </c>
      <c r="B26047" s="574">
        <v>245</v>
      </c>
      <c r="C26047" s="574">
        <v>417</v>
      </c>
    </row>
    <row r="26048" spans="1:3">
      <c r="A26048" s="573" t="s">
        <v>1410</v>
      </c>
      <c r="B26048" s="574">
        <v>276</v>
      </c>
      <c r="C26048" s="574">
        <v>440</v>
      </c>
    </row>
    <row r="26049" spans="1:3">
      <c r="A26049" s="573" t="s">
        <v>1410</v>
      </c>
      <c r="B26049" s="574">
        <v>307</v>
      </c>
      <c r="C26049" s="574">
        <v>443</v>
      </c>
    </row>
    <row r="26050" spans="1:3">
      <c r="A26050" s="573" t="s">
        <v>1410</v>
      </c>
      <c r="B26050" s="574">
        <v>338</v>
      </c>
      <c r="C26050" s="574">
        <v>453</v>
      </c>
    </row>
    <row r="26051" spans="1:3">
      <c r="A26051" s="573" t="s">
        <v>1410</v>
      </c>
      <c r="B26051" s="574">
        <v>369</v>
      </c>
      <c r="C26051" s="574">
        <v>453</v>
      </c>
    </row>
    <row r="26052" spans="1:3">
      <c r="A26052" s="573" t="s">
        <v>1410</v>
      </c>
      <c r="B26052" s="574">
        <v>400</v>
      </c>
      <c r="C26052" s="574">
        <v>473</v>
      </c>
    </row>
    <row r="26053" spans="1:3">
      <c r="A26053" s="573" t="s">
        <v>1410</v>
      </c>
      <c r="B26053" s="574">
        <v>431</v>
      </c>
      <c r="C26053" s="574">
        <v>463</v>
      </c>
    </row>
    <row r="26054" spans="1:3">
      <c r="A26054" s="573" t="s">
        <v>1410</v>
      </c>
      <c r="B26054" s="574">
        <v>462</v>
      </c>
      <c r="C26054" s="574">
        <v>470</v>
      </c>
    </row>
    <row r="26055" spans="1:3">
      <c r="A26055" s="573" t="s">
        <v>1410</v>
      </c>
      <c r="B26055" s="574">
        <v>493</v>
      </c>
      <c r="C26055" s="574">
        <v>483</v>
      </c>
    </row>
    <row r="26056" spans="1:3">
      <c r="A26056" s="569" t="s">
        <v>1410</v>
      </c>
      <c r="B26056" s="570">
        <v>524</v>
      </c>
      <c r="C26056" s="570">
        <v>483</v>
      </c>
    </row>
    <row r="26057" spans="1:3">
      <c r="A26057" s="569" t="s">
        <v>1410</v>
      </c>
      <c r="B26057" s="570">
        <v>555</v>
      </c>
      <c r="C26057" s="570">
        <v>490</v>
      </c>
    </row>
    <row r="26058" spans="1:3">
      <c r="A26058" s="569" t="s">
        <v>1410</v>
      </c>
      <c r="B26058" s="570">
        <v>586</v>
      </c>
      <c r="C26058" s="570">
        <v>490</v>
      </c>
    </row>
    <row r="26059" spans="1:3">
      <c r="A26059" s="569" t="s">
        <v>1410</v>
      </c>
      <c r="B26059" s="570">
        <v>617</v>
      </c>
      <c r="C26059" s="570">
        <v>490</v>
      </c>
    </row>
    <row r="26060" spans="1:3">
      <c r="A26060" s="569" t="s">
        <v>1410</v>
      </c>
      <c r="B26060" s="570">
        <v>617</v>
      </c>
      <c r="C26060" s="570">
        <v>490</v>
      </c>
    </row>
    <row r="26061" spans="1:3">
      <c r="A26061" s="571" t="s">
        <v>1409</v>
      </c>
      <c r="B26061" s="572">
        <v>0</v>
      </c>
      <c r="C26061" s="572">
        <v>0</v>
      </c>
    </row>
    <row r="26062" spans="1:3">
      <c r="A26062" s="571" t="s">
        <v>1409</v>
      </c>
      <c r="B26062" s="572">
        <v>1</v>
      </c>
      <c r="C26062" s="572">
        <v>10</v>
      </c>
    </row>
    <row r="26063" spans="1:3">
      <c r="A26063" s="571" t="s">
        <v>1409</v>
      </c>
      <c r="B26063" s="572">
        <v>2</v>
      </c>
      <c r="C26063" s="572">
        <v>47</v>
      </c>
    </row>
    <row r="26064" spans="1:3">
      <c r="A26064" s="571" t="s">
        <v>1409</v>
      </c>
      <c r="B26064" s="572">
        <v>3</v>
      </c>
      <c r="C26064" s="572">
        <v>60</v>
      </c>
    </row>
    <row r="26065" spans="1:3">
      <c r="A26065" s="571" t="s">
        <v>1409</v>
      </c>
      <c r="B26065" s="572">
        <v>4</v>
      </c>
      <c r="C26065" s="572">
        <v>73</v>
      </c>
    </row>
    <row r="26066" spans="1:3">
      <c r="A26066" s="571" t="s">
        <v>1409</v>
      </c>
      <c r="B26066" s="572">
        <v>5</v>
      </c>
      <c r="C26066" s="572">
        <v>90</v>
      </c>
    </row>
    <row r="26067" spans="1:3">
      <c r="A26067" s="571" t="s">
        <v>1409</v>
      </c>
      <c r="B26067" s="572">
        <v>6</v>
      </c>
      <c r="C26067" s="572">
        <v>107</v>
      </c>
    </row>
    <row r="26068" spans="1:3">
      <c r="A26068" s="571" t="s">
        <v>1409</v>
      </c>
      <c r="B26068" s="572">
        <v>7</v>
      </c>
      <c r="C26068" s="572">
        <v>137</v>
      </c>
    </row>
    <row r="26069" spans="1:3">
      <c r="A26069" s="571" t="s">
        <v>1409</v>
      </c>
      <c r="B26069" s="572">
        <v>14</v>
      </c>
      <c r="C26069" s="572">
        <v>183</v>
      </c>
    </row>
    <row r="26070" spans="1:3">
      <c r="A26070" s="571" t="s">
        <v>1409</v>
      </c>
      <c r="B26070" s="572">
        <v>21</v>
      </c>
      <c r="C26070" s="572">
        <v>203</v>
      </c>
    </row>
    <row r="26071" spans="1:3">
      <c r="A26071" s="571" t="s">
        <v>1409</v>
      </c>
      <c r="B26071" s="572">
        <v>28</v>
      </c>
      <c r="C26071" s="572">
        <v>233</v>
      </c>
    </row>
    <row r="26072" spans="1:3">
      <c r="A26072" s="571" t="s">
        <v>1409</v>
      </c>
      <c r="B26072" s="572">
        <v>42</v>
      </c>
      <c r="C26072" s="572">
        <v>277</v>
      </c>
    </row>
    <row r="26073" spans="1:3">
      <c r="A26073" s="571" t="s">
        <v>1409</v>
      </c>
      <c r="B26073" s="572">
        <v>59</v>
      </c>
      <c r="C26073" s="572">
        <v>323</v>
      </c>
    </row>
    <row r="26074" spans="1:3">
      <c r="A26074" s="571" t="s">
        <v>1409</v>
      </c>
      <c r="B26074" s="572">
        <v>90</v>
      </c>
      <c r="C26074" s="572">
        <v>340</v>
      </c>
    </row>
    <row r="26075" spans="1:3">
      <c r="A26075" s="573" t="s">
        <v>1409</v>
      </c>
      <c r="B26075" s="574">
        <v>121</v>
      </c>
      <c r="C26075" s="574">
        <v>363</v>
      </c>
    </row>
    <row r="26076" spans="1:3">
      <c r="A26076" s="573" t="s">
        <v>1409</v>
      </c>
      <c r="B26076" s="574">
        <v>152</v>
      </c>
      <c r="C26076" s="574">
        <v>377</v>
      </c>
    </row>
    <row r="26077" spans="1:3">
      <c r="A26077" s="573" t="s">
        <v>1409</v>
      </c>
      <c r="B26077" s="574">
        <v>183</v>
      </c>
      <c r="C26077" s="574">
        <v>397</v>
      </c>
    </row>
    <row r="26078" spans="1:3">
      <c r="A26078" s="573" t="s">
        <v>1409</v>
      </c>
      <c r="B26078" s="574">
        <v>214</v>
      </c>
      <c r="C26078" s="574">
        <v>417</v>
      </c>
    </row>
    <row r="26079" spans="1:3">
      <c r="A26079" s="573" t="s">
        <v>1409</v>
      </c>
      <c r="B26079" s="574">
        <v>245</v>
      </c>
      <c r="C26079" s="574">
        <v>433</v>
      </c>
    </row>
    <row r="26080" spans="1:3">
      <c r="A26080" s="573" t="s">
        <v>1409</v>
      </c>
      <c r="B26080" s="574">
        <v>276</v>
      </c>
      <c r="C26080" s="574">
        <v>463</v>
      </c>
    </row>
    <row r="26081" spans="1:3">
      <c r="A26081" s="573" t="s">
        <v>1409</v>
      </c>
      <c r="B26081" s="574">
        <v>307</v>
      </c>
      <c r="C26081" s="574">
        <v>457</v>
      </c>
    </row>
    <row r="26082" spans="1:3">
      <c r="A26082" s="573" t="s">
        <v>1409</v>
      </c>
      <c r="B26082" s="574">
        <v>338</v>
      </c>
      <c r="C26082" s="574">
        <v>463</v>
      </c>
    </row>
    <row r="26083" spans="1:3">
      <c r="A26083" s="573" t="s">
        <v>1409</v>
      </c>
      <c r="B26083" s="574">
        <v>369</v>
      </c>
      <c r="C26083" s="574">
        <v>467</v>
      </c>
    </row>
    <row r="26084" spans="1:3">
      <c r="A26084" s="573" t="s">
        <v>1409</v>
      </c>
      <c r="B26084" s="574">
        <v>400</v>
      </c>
      <c r="C26084" s="574">
        <v>483</v>
      </c>
    </row>
    <row r="26085" spans="1:3">
      <c r="A26085" s="573" t="s">
        <v>1409</v>
      </c>
      <c r="B26085" s="574">
        <v>431</v>
      </c>
      <c r="C26085" s="574">
        <v>477</v>
      </c>
    </row>
    <row r="26086" spans="1:3">
      <c r="A26086" s="573" t="s">
        <v>1409</v>
      </c>
      <c r="B26086" s="574">
        <v>462</v>
      </c>
      <c r="C26086" s="574">
        <v>477</v>
      </c>
    </row>
    <row r="26087" spans="1:3">
      <c r="A26087" s="573" t="s">
        <v>1409</v>
      </c>
      <c r="B26087" s="574">
        <v>493</v>
      </c>
      <c r="C26087" s="574">
        <v>487</v>
      </c>
    </row>
    <row r="26088" spans="1:3">
      <c r="A26088" s="569" t="s">
        <v>1409</v>
      </c>
      <c r="B26088" s="570">
        <v>524</v>
      </c>
      <c r="C26088" s="570">
        <v>487</v>
      </c>
    </row>
    <row r="26089" spans="1:3">
      <c r="A26089" s="569" t="s">
        <v>1409</v>
      </c>
      <c r="B26089" s="570">
        <v>555</v>
      </c>
      <c r="C26089" s="570">
        <v>493</v>
      </c>
    </row>
    <row r="26090" spans="1:3">
      <c r="A26090" s="569" t="s">
        <v>1409</v>
      </c>
      <c r="B26090" s="570">
        <v>586</v>
      </c>
      <c r="C26090" s="570">
        <v>493</v>
      </c>
    </row>
    <row r="26091" spans="1:3">
      <c r="A26091" s="569" t="s">
        <v>1409</v>
      </c>
      <c r="B26091" s="570">
        <v>617</v>
      </c>
      <c r="C26091" s="570">
        <v>493</v>
      </c>
    </row>
    <row r="26092" spans="1:3">
      <c r="A26092" s="569" t="s">
        <v>1409</v>
      </c>
      <c r="B26092" s="570">
        <v>617</v>
      </c>
      <c r="C26092" s="570">
        <v>493</v>
      </c>
    </row>
    <row r="26093" spans="1:3">
      <c r="A26093" s="571" t="s">
        <v>1407</v>
      </c>
      <c r="B26093" s="572">
        <v>0</v>
      </c>
      <c r="C26093" s="572">
        <v>0</v>
      </c>
    </row>
    <row r="26094" spans="1:3">
      <c r="A26094" s="571" t="s">
        <v>1407</v>
      </c>
      <c r="B26094" s="572">
        <v>1</v>
      </c>
      <c r="C26094" s="572">
        <v>13</v>
      </c>
    </row>
    <row r="26095" spans="1:3">
      <c r="A26095" s="571" t="s">
        <v>1407</v>
      </c>
      <c r="B26095" s="572">
        <v>2</v>
      </c>
      <c r="C26095" s="572">
        <v>37</v>
      </c>
    </row>
    <row r="26096" spans="1:3">
      <c r="A26096" s="571" t="s">
        <v>1407</v>
      </c>
      <c r="B26096" s="572">
        <v>3</v>
      </c>
      <c r="C26096" s="572">
        <v>42</v>
      </c>
    </row>
    <row r="26097" spans="1:3">
      <c r="A26097" s="571" t="s">
        <v>1407</v>
      </c>
      <c r="B26097" s="572">
        <v>4</v>
      </c>
      <c r="C26097" s="572">
        <v>73</v>
      </c>
    </row>
    <row r="26098" spans="1:3">
      <c r="A26098" s="571" t="s">
        <v>1407</v>
      </c>
      <c r="B26098" s="572">
        <v>5</v>
      </c>
      <c r="C26098" s="572">
        <v>90</v>
      </c>
    </row>
    <row r="26099" spans="1:3">
      <c r="A26099" s="571" t="s">
        <v>1407</v>
      </c>
      <c r="B26099" s="572">
        <v>6</v>
      </c>
      <c r="C26099" s="572">
        <v>107</v>
      </c>
    </row>
    <row r="26100" spans="1:3">
      <c r="A26100" s="571" t="s">
        <v>1407</v>
      </c>
      <c r="B26100" s="572">
        <v>7</v>
      </c>
      <c r="C26100" s="572">
        <v>137</v>
      </c>
    </row>
    <row r="26101" spans="1:3">
      <c r="A26101" s="571" t="s">
        <v>1407</v>
      </c>
      <c r="B26101" s="572">
        <v>14</v>
      </c>
      <c r="C26101" s="572">
        <v>163</v>
      </c>
    </row>
    <row r="26102" spans="1:3">
      <c r="A26102" s="571" t="s">
        <v>1407</v>
      </c>
      <c r="B26102" s="572">
        <v>21</v>
      </c>
      <c r="C26102" s="572">
        <v>203</v>
      </c>
    </row>
    <row r="26103" spans="1:3">
      <c r="A26103" s="571" t="s">
        <v>1407</v>
      </c>
      <c r="B26103" s="572">
        <v>28</v>
      </c>
      <c r="C26103" s="572">
        <v>235</v>
      </c>
    </row>
    <row r="26104" spans="1:3">
      <c r="A26104" s="571" t="s">
        <v>1407</v>
      </c>
      <c r="B26104" s="572">
        <v>42</v>
      </c>
      <c r="C26104" s="572">
        <v>300</v>
      </c>
    </row>
    <row r="26105" spans="1:3">
      <c r="A26105" s="571" t="s">
        <v>1407</v>
      </c>
      <c r="B26105" s="572">
        <v>59</v>
      </c>
      <c r="C26105" s="572">
        <v>338</v>
      </c>
    </row>
    <row r="26106" spans="1:3">
      <c r="A26106" s="571" t="s">
        <v>1407</v>
      </c>
      <c r="B26106" s="572">
        <v>90</v>
      </c>
      <c r="C26106" s="572">
        <v>383</v>
      </c>
    </row>
    <row r="26107" spans="1:3">
      <c r="A26107" s="573" t="s">
        <v>1407</v>
      </c>
      <c r="B26107" s="574">
        <v>121</v>
      </c>
      <c r="C26107" s="574">
        <v>423</v>
      </c>
    </row>
    <row r="26108" spans="1:3">
      <c r="A26108" s="573" t="s">
        <v>1407</v>
      </c>
      <c r="B26108" s="574">
        <v>152</v>
      </c>
      <c r="C26108" s="574">
        <v>450</v>
      </c>
    </row>
    <row r="26109" spans="1:3">
      <c r="A26109" s="573" t="s">
        <v>1407</v>
      </c>
      <c r="B26109" s="574">
        <v>183</v>
      </c>
      <c r="C26109" s="574">
        <v>472</v>
      </c>
    </row>
    <row r="26110" spans="1:3">
      <c r="A26110" s="573" t="s">
        <v>1407</v>
      </c>
      <c r="B26110" s="574">
        <v>214</v>
      </c>
      <c r="C26110" s="574">
        <v>483</v>
      </c>
    </row>
    <row r="26111" spans="1:3">
      <c r="A26111" s="573" t="s">
        <v>1407</v>
      </c>
      <c r="B26111" s="574">
        <v>245</v>
      </c>
      <c r="C26111" s="574">
        <v>512</v>
      </c>
    </row>
    <row r="26112" spans="1:3">
      <c r="A26112" s="573" t="s">
        <v>1407</v>
      </c>
      <c r="B26112" s="574">
        <v>276</v>
      </c>
      <c r="C26112" s="574">
        <v>510</v>
      </c>
    </row>
    <row r="26113" spans="1:3">
      <c r="A26113" s="573" t="s">
        <v>1407</v>
      </c>
      <c r="B26113" s="574">
        <v>307</v>
      </c>
      <c r="C26113" s="574">
        <v>538</v>
      </c>
    </row>
    <row r="26114" spans="1:3">
      <c r="A26114" s="573" t="s">
        <v>1407</v>
      </c>
      <c r="B26114" s="574">
        <v>338</v>
      </c>
      <c r="C26114" s="574">
        <v>540</v>
      </c>
    </row>
    <row r="26115" spans="1:3">
      <c r="A26115" s="573" t="s">
        <v>1407</v>
      </c>
      <c r="B26115" s="574">
        <v>369</v>
      </c>
      <c r="C26115" s="574">
        <v>538</v>
      </c>
    </row>
    <row r="26116" spans="1:3">
      <c r="A26116" s="573" t="s">
        <v>1407</v>
      </c>
      <c r="B26116" s="574">
        <v>400</v>
      </c>
      <c r="C26116" s="574">
        <v>563</v>
      </c>
    </row>
    <row r="26117" spans="1:3">
      <c r="A26117" s="573" t="s">
        <v>1407</v>
      </c>
      <c r="B26117" s="574">
        <v>431</v>
      </c>
      <c r="C26117" s="574">
        <v>565</v>
      </c>
    </row>
    <row r="26118" spans="1:3">
      <c r="A26118" s="573" t="s">
        <v>1407</v>
      </c>
      <c r="B26118" s="574">
        <v>462</v>
      </c>
      <c r="C26118" s="574">
        <v>577</v>
      </c>
    </row>
    <row r="26119" spans="1:3">
      <c r="A26119" s="573" t="s">
        <v>1407</v>
      </c>
      <c r="B26119" s="574">
        <v>493</v>
      </c>
      <c r="C26119" s="574">
        <v>590</v>
      </c>
    </row>
    <row r="26120" spans="1:3">
      <c r="A26120" s="569" t="s">
        <v>1407</v>
      </c>
      <c r="B26120" s="570">
        <v>524</v>
      </c>
      <c r="C26120" s="570">
        <v>598</v>
      </c>
    </row>
    <row r="26121" spans="1:3">
      <c r="A26121" s="569" t="s">
        <v>1407</v>
      </c>
      <c r="B26121" s="570">
        <v>555</v>
      </c>
      <c r="C26121" s="570">
        <v>633</v>
      </c>
    </row>
    <row r="26122" spans="1:3">
      <c r="A26122" s="569" t="s">
        <v>1407</v>
      </c>
      <c r="B26122" s="570">
        <v>586</v>
      </c>
      <c r="C26122" s="570">
        <v>643</v>
      </c>
    </row>
    <row r="26123" spans="1:3">
      <c r="A26123" s="569" t="s">
        <v>1407</v>
      </c>
      <c r="B26123" s="570">
        <v>617</v>
      </c>
      <c r="C26123" s="570">
        <v>647</v>
      </c>
    </row>
    <row r="26124" spans="1:3">
      <c r="A26124" s="569" t="s">
        <v>1407</v>
      </c>
      <c r="B26124" s="570">
        <v>617</v>
      </c>
      <c r="C26124" s="570">
        <v>647</v>
      </c>
    </row>
    <row r="26125" spans="1:3">
      <c r="A26125" s="571" t="s">
        <v>1406</v>
      </c>
      <c r="B26125" s="572">
        <v>0</v>
      </c>
      <c r="C26125" s="572">
        <v>0</v>
      </c>
    </row>
    <row r="26126" spans="1:3">
      <c r="A26126" s="571" t="s">
        <v>1406</v>
      </c>
      <c r="B26126" s="572">
        <v>1</v>
      </c>
      <c r="C26126" s="572">
        <v>33</v>
      </c>
    </row>
    <row r="26127" spans="1:3">
      <c r="A26127" s="571" t="s">
        <v>1406</v>
      </c>
      <c r="B26127" s="572">
        <v>2</v>
      </c>
      <c r="C26127" s="572">
        <v>42</v>
      </c>
    </row>
    <row r="26128" spans="1:3">
      <c r="A26128" s="571" t="s">
        <v>1406</v>
      </c>
      <c r="B26128" s="572">
        <v>3</v>
      </c>
      <c r="C26128" s="572">
        <v>45</v>
      </c>
    </row>
    <row r="26129" spans="1:3">
      <c r="A26129" s="571" t="s">
        <v>1406</v>
      </c>
      <c r="B26129" s="572">
        <v>4</v>
      </c>
      <c r="C26129" s="572">
        <v>53</v>
      </c>
    </row>
    <row r="26130" spans="1:3">
      <c r="A26130" s="571" t="s">
        <v>1406</v>
      </c>
      <c r="B26130" s="572">
        <v>5</v>
      </c>
      <c r="C26130" s="572">
        <v>52</v>
      </c>
    </row>
    <row r="26131" spans="1:3">
      <c r="A26131" s="571" t="s">
        <v>1406</v>
      </c>
      <c r="B26131" s="572">
        <v>6</v>
      </c>
      <c r="C26131" s="572">
        <v>53</v>
      </c>
    </row>
    <row r="26132" spans="1:3">
      <c r="A26132" s="571" t="s">
        <v>1406</v>
      </c>
      <c r="B26132" s="572">
        <v>7</v>
      </c>
      <c r="C26132" s="572">
        <v>55</v>
      </c>
    </row>
    <row r="26133" spans="1:3">
      <c r="A26133" s="571" t="s">
        <v>1406</v>
      </c>
      <c r="B26133" s="572">
        <v>14</v>
      </c>
      <c r="C26133" s="572">
        <v>120</v>
      </c>
    </row>
    <row r="26134" spans="1:3">
      <c r="A26134" s="571" t="s">
        <v>1406</v>
      </c>
      <c r="B26134" s="572">
        <v>21</v>
      </c>
      <c r="C26134" s="572">
        <v>152</v>
      </c>
    </row>
    <row r="26135" spans="1:3">
      <c r="A26135" s="571" t="s">
        <v>1406</v>
      </c>
      <c r="B26135" s="572">
        <v>28</v>
      </c>
      <c r="C26135" s="572">
        <v>158</v>
      </c>
    </row>
    <row r="26136" spans="1:3">
      <c r="A26136" s="571" t="s">
        <v>1406</v>
      </c>
      <c r="B26136" s="572">
        <v>42</v>
      </c>
      <c r="C26136" s="572">
        <v>193</v>
      </c>
    </row>
    <row r="26137" spans="1:3">
      <c r="A26137" s="571" t="s">
        <v>1406</v>
      </c>
      <c r="B26137" s="572">
        <v>59</v>
      </c>
      <c r="C26137" s="572">
        <v>218</v>
      </c>
    </row>
    <row r="26138" spans="1:3">
      <c r="A26138" s="571" t="s">
        <v>1406</v>
      </c>
      <c r="B26138" s="572">
        <v>90</v>
      </c>
      <c r="C26138" s="572">
        <v>257</v>
      </c>
    </row>
    <row r="26139" spans="1:3">
      <c r="A26139" s="573" t="s">
        <v>1406</v>
      </c>
      <c r="B26139" s="574">
        <v>121</v>
      </c>
      <c r="C26139" s="574">
        <v>295</v>
      </c>
    </row>
    <row r="26140" spans="1:3">
      <c r="A26140" s="573" t="s">
        <v>1406</v>
      </c>
      <c r="B26140" s="574">
        <v>152</v>
      </c>
      <c r="C26140" s="574">
        <v>322</v>
      </c>
    </row>
    <row r="26141" spans="1:3">
      <c r="A26141" s="573" t="s">
        <v>1406</v>
      </c>
      <c r="B26141" s="574">
        <v>183</v>
      </c>
      <c r="C26141" s="574">
        <v>357</v>
      </c>
    </row>
    <row r="26142" spans="1:3">
      <c r="A26142" s="573" t="s">
        <v>1406</v>
      </c>
      <c r="B26142" s="574">
        <v>214</v>
      </c>
      <c r="C26142" s="574">
        <v>358</v>
      </c>
    </row>
    <row r="26143" spans="1:3">
      <c r="A26143" s="573" t="s">
        <v>1406</v>
      </c>
      <c r="B26143" s="574">
        <v>245</v>
      </c>
      <c r="C26143" s="574">
        <v>380</v>
      </c>
    </row>
    <row r="26144" spans="1:3">
      <c r="A26144" s="573" t="s">
        <v>1406</v>
      </c>
      <c r="B26144" s="574">
        <v>276</v>
      </c>
      <c r="C26144" s="574">
        <v>382</v>
      </c>
    </row>
    <row r="26145" spans="1:3">
      <c r="A26145" s="573" t="s">
        <v>1406</v>
      </c>
      <c r="B26145" s="574">
        <v>307</v>
      </c>
      <c r="C26145" s="574">
        <v>407</v>
      </c>
    </row>
    <row r="26146" spans="1:3">
      <c r="A26146" s="573" t="s">
        <v>1406</v>
      </c>
      <c r="B26146" s="574">
        <v>338</v>
      </c>
      <c r="C26146" s="574">
        <v>407</v>
      </c>
    </row>
    <row r="26147" spans="1:3">
      <c r="A26147" s="573" t="s">
        <v>1406</v>
      </c>
      <c r="B26147" s="574">
        <v>369</v>
      </c>
      <c r="C26147" s="574">
        <v>408</v>
      </c>
    </row>
    <row r="26148" spans="1:3">
      <c r="A26148" s="573" t="s">
        <v>1406</v>
      </c>
      <c r="B26148" s="574">
        <v>400</v>
      </c>
      <c r="C26148" s="574">
        <v>430</v>
      </c>
    </row>
    <row r="26149" spans="1:3">
      <c r="A26149" s="573" t="s">
        <v>1406</v>
      </c>
      <c r="B26149" s="574">
        <v>431</v>
      </c>
      <c r="C26149" s="574">
        <v>433</v>
      </c>
    </row>
    <row r="26150" spans="1:3">
      <c r="A26150" s="573" t="s">
        <v>1406</v>
      </c>
      <c r="B26150" s="574">
        <v>462</v>
      </c>
      <c r="C26150" s="574">
        <v>457</v>
      </c>
    </row>
    <row r="26151" spans="1:3">
      <c r="A26151" s="573" t="s">
        <v>1406</v>
      </c>
      <c r="B26151" s="574">
        <v>493</v>
      </c>
      <c r="C26151" s="574">
        <v>470</v>
      </c>
    </row>
    <row r="26152" spans="1:3">
      <c r="A26152" s="569" t="s">
        <v>1406</v>
      </c>
      <c r="B26152" s="570">
        <v>524</v>
      </c>
      <c r="C26152" s="570">
        <v>470</v>
      </c>
    </row>
    <row r="26153" spans="1:3">
      <c r="A26153" s="569" t="s">
        <v>1406</v>
      </c>
      <c r="B26153" s="570">
        <v>555</v>
      </c>
      <c r="C26153" s="570">
        <v>503</v>
      </c>
    </row>
    <row r="26154" spans="1:3">
      <c r="A26154" s="569" t="s">
        <v>1406</v>
      </c>
      <c r="B26154" s="570">
        <v>586</v>
      </c>
      <c r="C26154" s="570">
        <v>507</v>
      </c>
    </row>
    <row r="26155" spans="1:3">
      <c r="A26155" s="569" t="s">
        <v>1406</v>
      </c>
      <c r="B26155" s="570">
        <v>617</v>
      </c>
      <c r="C26155" s="570">
        <v>508</v>
      </c>
    </row>
    <row r="26156" spans="1:3">
      <c r="A26156" s="569" t="s">
        <v>1406</v>
      </c>
      <c r="B26156" s="570">
        <v>617</v>
      </c>
      <c r="C26156" s="570">
        <v>508</v>
      </c>
    </row>
    <row r="26157" spans="1:3">
      <c r="A26157" s="571" t="s">
        <v>1405</v>
      </c>
      <c r="B26157" s="572">
        <v>0</v>
      </c>
      <c r="C26157" s="572">
        <v>0</v>
      </c>
    </row>
    <row r="26158" spans="1:3">
      <c r="A26158" s="571" t="s">
        <v>1405</v>
      </c>
      <c r="B26158" s="572">
        <v>1</v>
      </c>
      <c r="C26158" s="572">
        <v>20</v>
      </c>
    </row>
    <row r="26159" spans="1:3">
      <c r="A26159" s="571" t="s">
        <v>1405</v>
      </c>
      <c r="B26159" s="572">
        <v>2</v>
      </c>
      <c r="C26159" s="572">
        <v>33</v>
      </c>
    </row>
    <row r="26160" spans="1:3">
      <c r="A26160" s="571" t="s">
        <v>1405</v>
      </c>
      <c r="B26160" s="572">
        <v>3</v>
      </c>
      <c r="C26160" s="572">
        <v>47</v>
      </c>
    </row>
    <row r="26161" spans="1:3">
      <c r="A26161" s="571" t="s">
        <v>1405</v>
      </c>
      <c r="B26161" s="572">
        <v>4</v>
      </c>
      <c r="C26161" s="572">
        <v>62</v>
      </c>
    </row>
    <row r="26162" spans="1:3">
      <c r="A26162" s="571" t="s">
        <v>1405</v>
      </c>
      <c r="B26162" s="572">
        <v>5</v>
      </c>
      <c r="C26162" s="572">
        <v>65</v>
      </c>
    </row>
    <row r="26163" spans="1:3">
      <c r="A26163" s="571" t="s">
        <v>1405</v>
      </c>
      <c r="B26163" s="572">
        <v>6</v>
      </c>
      <c r="C26163" s="572">
        <v>70</v>
      </c>
    </row>
    <row r="26164" spans="1:3">
      <c r="A26164" s="571" t="s">
        <v>1405</v>
      </c>
      <c r="B26164" s="572">
        <v>7</v>
      </c>
      <c r="C26164" s="572">
        <v>77</v>
      </c>
    </row>
    <row r="26165" spans="1:3">
      <c r="A26165" s="571" t="s">
        <v>1405</v>
      </c>
      <c r="B26165" s="572">
        <v>14</v>
      </c>
      <c r="C26165" s="572">
        <v>118</v>
      </c>
    </row>
    <row r="26166" spans="1:3">
      <c r="A26166" s="571" t="s">
        <v>1405</v>
      </c>
      <c r="B26166" s="572">
        <v>21</v>
      </c>
      <c r="C26166" s="572">
        <v>148</v>
      </c>
    </row>
    <row r="26167" spans="1:3">
      <c r="A26167" s="571" t="s">
        <v>1405</v>
      </c>
      <c r="B26167" s="572">
        <v>28</v>
      </c>
      <c r="C26167" s="572">
        <v>155</v>
      </c>
    </row>
    <row r="26168" spans="1:3">
      <c r="A26168" s="571" t="s">
        <v>1405</v>
      </c>
      <c r="B26168" s="572">
        <v>42</v>
      </c>
      <c r="C26168" s="572">
        <v>172</v>
      </c>
    </row>
    <row r="26169" spans="1:3">
      <c r="A26169" s="571" t="s">
        <v>1405</v>
      </c>
      <c r="B26169" s="572">
        <v>59</v>
      </c>
      <c r="C26169" s="572">
        <v>195</v>
      </c>
    </row>
    <row r="26170" spans="1:3">
      <c r="A26170" s="571" t="s">
        <v>1405</v>
      </c>
      <c r="B26170" s="572">
        <v>90</v>
      </c>
      <c r="C26170" s="572">
        <v>212</v>
      </c>
    </row>
    <row r="26171" spans="1:3">
      <c r="A26171" s="573" t="s">
        <v>1405</v>
      </c>
      <c r="B26171" s="574">
        <v>121</v>
      </c>
      <c r="C26171" s="574">
        <v>272</v>
      </c>
    </row>
    <row r="26172" spans="1:3">
      <c r="A26172" s="573" t="s">
        <v>1405</v>
      </c>
      <c r="B26172" s="574">
        <v>152</v>
      </c>
      <c r="C26172" s="574">
        <v>292</v>
      </c>
    </row>
    <row r="26173" spans="1:3">
      <c r="A26173" s="573" t="s">
        <v>1405</v>
      </c>
      <c r="B26173" s="574">
        <v>183</v>
      </c>
      <c r="C26173" s="574">
        <v>328</v>
      </c>
    </row>
    <row r="26174" spans="1:3">
      <c r="A26174" s="573" t="s">
        <v>1405</v>
      </c>
      <c r="B26174" s="574">
        <v>214</v>
      </c>
      <c r="C26174" s="574">
        <v>342</v>
      </c>
    </row>
    <row r="26175" spans="1:3">
      <c r="A26175" s="573" t="s">
        <v>1405</v>
      </c>
      <c r="B26175" s="574">
        <v>245</v>
      </c>
      <c r="C26175" s="574">
        <v>370</v>
      </c>
    </row>
    <row r="26176" spans="1:3">
      <c r="A26176" s="573" t="s">
        <v>1405</v>
      </c>
      <c r="B26176" s="574">
        <v>276</v>
      </c>
      <c r="C26176" s="574">
        <v>392</v>
      </c>
    </row>
    <row r="26177" spans="1:3">
      <c r="A26177" s="573" t="s">
        <v>1405</v>
      </c>
      <c r="B26177" s="574">
        <v>307</v>
      </c>
      <c r="C26177" s="574">
        <v>410</v>
      </c>
    </row>
    <row r="26178" spans="1:3">
      <c r="A26178" s="573" t="s">
        <v>1405</v>
      </c>
      <c r="B26178" s="574">
        <v>338</v>
      </c>
      <c r="C26178" s="574">
        <v>432</v>
      </c>
    </row>
    <row r="26179" spans="1:3">
      <c r="A26179" s="573" t="s">
        <v>1405</v>
      </c>
      <c r="B26179" s="574">
        <v>369</v>
      </c>
      <c r="C26179" s="574">
        <v>440</v>
      </c>
    </row>
    <row r="26180" spans="1:3">
      <c r="A26180" s="573" t="s">
        <v>1405</v>
      </c>
      <c r="B26180" s="574">
        <v>400</v>
      </c>
      <c r="C26180" s="574">
        <v>460</v>
      </c>
    </row>
    <row r="26181" spans="1:3">
      <c r="A26181" s="573" t="s">
        <v>1405</v>
      </c>
      <c r="B26181" s="574">
        <v>431</v>
      </c>
      <c r="C26181" s="574">
        <v>462</v>
      </c>
    </row>
    <row r="26182" spans="1:3">
      <c r="A26182" s="573" t="s">
        <v>1405</v>
      </c>
      <c r="B26182" s="574">
        <v>462</v>
      </c>
      <c r="C26182" s="574">
        <v>487</v>
      </c>
    </row>
    <row r="26183" spans="1:3">
      <c r="A26183" s="573" t="s">
        <v>1405</v>
      </c>
      <c r="B26183" s="574">
        <v>493</v>
      </c>
      <c r="C26183" s="574">
        <v>502</v>
      </c>
    </row>
    <row r="26184" spans="1:3">
      <c r="A26184" s="569" t="s">
        <v>1405</v>
      </c>
      <c r="B26184" s="570">
        <v>524</v>
      </c>
      <c r="C26184" s="570">
        <v>513</v>
      </c>
    </row>
    <row r="26185" spans="1:3">
      <c r="A26185" s="569" t="s">
        <v>1405</v>
      </c>
      <c r="B26185" s="570">
        <v>555</v>
      </c>
      <c r="C26185" s="570">
        <v>530</v>
      </c>
    </row>
    <row r="26186" spans="1:3">
      <c r="A26186" s="569" t="s">
        <v>1405</v>
      </c>
      <c r="B26186" s="570">
        <v>586</v>
      </c>
      <c r="C26186" s="570">
        <v>542</v>
      </c>
    </row>
    <row r="26187" spans="1:3">
      <c r="A26187" s="569" t="s">
        <v>1405</v>
      </c>
      <c r="B26187" s="570">
        <v>617</v>
      </c>
      <c r="C26187" s="570">
        <v>543</v>
      </c>
    </row>
    <row r="26188" spans="1:3">
      <c r="A26188" s="569" t="s">
        <v>1405</v>
      </c>
      <c r="B26188" s="570">
        <v>617</v>
      </c>
      <c r="C26188" s="570">
        <v>543</v>
      </c>
    </row>
    <row r="26189" spans="1:3">
      <c r="A26189" s="571" t="s">
        <v>1404</v>
      </c>
      <c r="B26189" s="572">
        <v>0</v>
      </c>
      <c r="C26189" s="572">
        <v>0</v>
      </c>
    </row>
    <row r="26190" spans="1:3">
      <c r="A26190" s="571" t="s">
        <v>1404</v>
      </c>
      <c r="B26190" s="572">
        <v>1</v>
      </c>
      <c r="C26190" s="572">
        <v>7</v>
      </c>
    </row>
    <row r="26191" spans="1:3">
      <c r="A26191" s="571" t="s">
        <v>1404</v>
      </c>
      <c r="B26191" s="572">
        <v>2</v>
      </c>
      <c r="C26191" s="572">
        <v>25</v>
      </c>
    </row>
    <row r="26192" spans="1:3">
      <c r="A26192" s="571" t="s">
        <v>1404</v>
      </c>
      <c r="B26192" s="572">
        <v>3</v>
      </c>
      <c r="C26192" s="572">
        <v>35</v>
      </c>
    </row>
    <row r="26193" spans="1:3">
      <c r="A26193" s="571" t="s">
        <v>1404</v>
      </c>
      <c r="B26193" s="572">
        <v>4</v>
      </c>
      <c r="C26193" s="572">
        <v>47</v>
      </c>
    </row>
    <row r="26194" spans="1:3">
      <c r="A26194" s="571" t="s">
        <v>1404</v>
      </c>
      <c r="B26194" s="572">
        <v>5</v>
      </c>
      <c r="C26194" s="572">
        <v>52</v>
      </c>
    </row>
    <row r="26195" spans="1:3">
      <c r="A26195" s="571" t="s">
        <v>1404</v>
      </c>
      <c r="B26195" s="572">
        <v>6</v>
      </c>
      <c r="C26195" s="572">
        <v>62</v>
      </c>
    </row>
    <row r="26196" spans="1:3">
      <c r="A26196" s="571" t="s">
        <v>1404</v>
      </c>
      <c r="B26196" s="572">
        <v>7</v>
      </c>
      <c r="C26196" s="572">
        <v>68</v>
      </c>
    </row>
    <row r="26197" spans="1:3">
      <c r="A26197" s="571" t="s">
        <v>1404</v>
      </c>
      <c r="B26197" s="572">
        <v>14</v>
      </c>
      <c r="C26197" s="572">
        <v>115</v>
      </c>
    </row>
    <row r="26198" spans="1:3">
      <c r="A26198" s="571" t="s">
        <v>1404</v>
      </c>
      <c r="B26198" s="572">
        <v>21</v>
      </c>
      <c r="C26198" s="572">
        <v>140</v>
      </c>
    </row>
    <row r="26199" spans="1:3">
      <c r="A26199" s="571" t="s">
        <v>1404</v>
      </c>
      <c r="B26199" s="572">
        <v>28</v>
      </c>
      <c r="C26199" s="572">
        <v>142</v>
      </c>
    </row>
    <row r="26200" spans="1:3">
      <c r="A26200" s="571" t="s">
        <v>1404</v>
      </c>
      <c r="B26200" s="572">
        <v>42</v>
      </c>
      <c r="C26200" s="572">
        <v>168</v>
      </c>
    </row>
    <row r="26201" spans="1:3">
      <c r="A26201" s="571" t="s">
        <v>1404</v>
      </c>
      <c r="B26201" s="572">
        <v>59</v>
      </c>
      <c r="C26201" s="572">
        <v>195</v>
      </c>
    </row>
    <row r="26202" spans="1:3">
      <c r="A26202" s="571" t="s">
        <v>1404</v>
      </c>
      <c r="B26202" s="572">
        <v>90</v>
      </c>
      <c r="C26202" s="572">
        <v>232</v>
      </c>
    </row>
    <row r="26203" spans="1:3">
      <c r="A26203" s="573" t="s">
        <v>1404</v>
      </c>
      <c r="B26203" s="574">
        <v>121</v>
      </c>
      <c r="C26203" s="574">
        <v>248</v>
      </c>
    </row>
    <row r="26204" spans="1:3">
      <c r="A26204" s="573" t="s">
        <v>1404</v>
      </c>
      <c r="B26204" s="574">
        <v>152</v>
      </c>
      <c r="C26204" s="574">
        <v>257</v>
      </c>
    </row>
    <row r="26205" spans="1:3">
      <c r="A26205" s="573" t="s">
        <v>1404</v>
      </c>
      <c r="B26205" s="574">
        <v>183</v>
      </c>
      <c r="C26205" s="574">
        <v>278</v>
      </c>
    </row>
    <row r="26206" spans="1:3">
      <c r="A26206" s="573" t="s">
        <v>1404</v>
      </c>
      <c r="B26206" s="574">
        <v>214</v>
      </c>
      <c r="C26206" s="574">
        <v>287</v>
      </c>
    </row>
    <row r="26207" spans="1:3">
      <c r="A26207" s="573" t="s">
        <v>1404</v>
      </c>
      <c r="B26207" s="574">
        <v>245</v>
      </c>
      <c r="C26207" s="574">
        <v>297</v>
      </c>
    </row>
    <row r="26208" spans="1:3">
      <c r="A26208" s="573" t="s">
        <v>1404</v>
      </c>
      <c r="B26208" s="574">
        <v>276</v>
      </c>
      <c r="C26208" s="574">
        <v>307</v>
      </c>
    </row>
    <row r="26209" spans="1:3">
      <c r="A26209" s="573" t="s">
        <v>1404</v>
      </c>
      <c r="B26209" s="574">
        <v>307</v>
      </c>
      <c r="C26209" s="574">
        <v>315</v>
      </c>
    </row>
    <row r="26210" spans="1:3">
      <c r="A26210" s="573" t="s">
        <v>1404</v>
      </c>
      <c r="B26210" s="574">
        <v>338</v>
      </c>
      <c r="C26210" s="574">
        <v>318</v>
      </c>
    </row>
    <row r="26211" spans="1:3">
      <c r="A26211" s="573" t="s">
        <v>1404</v>
      </c>
      <c r="B26211" s="574">
        <v>369</v>
      </c>
      <c r="C26211" s="574">
        <v>325</v>
      </c>
    </row>
    <row r="26212" spans="1:3">
      <c r="A26212" s="573" t="s">
        <v>1404</v>
      </c>
      <c r="B26212" s="574">
        <v>400</v>
      </c>
      <c r="C26212" s="574">
        <v>335</v>
      </c>
    </row>
    <row r="26213" spans="1:3">
      <c r="A26213" s="573" t="s">
        <v>1404</v>
      </c>
      <c r="B26213" s="574">
        <v>431</v>
      </c>
      <c r="C26213" s="574">
        <v>335</v>
      </c>
    </row>
    <row r="26214" spans="1:3">
      <c r="A26214" s="573" t="s">
        <v>1404</v>
      </c>
      <c r="B26214" s="574">
        <v>462</v>
      </c>
      <c r="C26214" s="574">
        <v>358</v>
      </c>
    </row>
    <row r="26215" spans="1:3">
      <c r="A26215" s="573" t="s">
        <v>1404</v>
      </c>
      <c r="B26215" s="574">
        <v>493</v>
      </c>
      <c r="C26215" s="574">
        <v>367</v>
      </c>
    </row>
    <row r="26216" spans="1:3">
      <c r="A26216" s="569" t="s">
        <v>1404</v>
      </c>
      <c r="B26216" s="570">
        <v>524</v>
      </c>
      <c r="C26216" s="570">
        <v>387</v>
      </c>
    </row>
    <row r="26217" spans="1:3">
      <c r="A26217" s="569" t="s">
        <v>1404</v>
      </c>
      <c r="B26217" s="570">
        <v>555</v>
      </c>
      <c r="C26217" s="570">
        <v>412</v>
      </c>
    </row>
    <row r="26218" spans="1:3">
      <c r="A26218" s="569" t="s">
        <v>1404</v>
      </c>
      <c r="B26218" s="570">
        <v>586</v>
      </c>
      <c r="C26218" s="570">
        <v>412</v>
      </c>
    </row>
    <row r="26219" spans="1:3">
      <c r="A26219" s="569" t="s">
        <v>1404</v>
      </c>
      <c r="B26219" s="570">
        <v>617</v>
      </c>
      <c r="C26219" s="570">
        <v>415</v>
      </c>
    </row>
    <row r="26220" spans="1:3">
      <c r="A26220" s="569" t="s">
        <v>1404</v>
      </c>
      <c r="B26220" s="570">
        <v>617</v>
      </c>
      <c r="C26220" s="570">
        <v>415</v>
      </c>
    </row>
    <row r="26221" spans="1:3">
      <c r="A26221" s="571" t="s">
        <v>1403</v>
      </c>
      <c r="B26221" s="572">
        <v>0</v>
      </c>
      <c r="C26221" s="572">
        <v>0</v>
      </c>
    </row>
    <row r="26222" spans="1:3">
      <c r="A26222" s="571" t="s">
        <v>1403</v>
      </c>
      <c r="B26222" s="572">
        <v>1</v>
      </c>
      <c r="C26222" s="572">
        <v>18</v>
      </c>
    </row>
    <row r="26223" spans="1:3">
      <c r="A26223" s="571" t="s">
        <v>1403</v>
      </c>
      <c r="B26223" s="572">
        <v>2</v>
      </c>
      <c r="C26223" s="572">
        <v>27</v>
      </c>
    </row>
    <row r="26224" spans="1:3">
      <c r="A26224" s="571" t="s">
        <v>1403</v>
      </c>
      <c r="B26224" s="572">
        <v>3</v>
      </c>
      <c r="C26224" s="572">
        <v>52</v>
      </c>
    </row>
    <row r="26225" spans="1:3">
      <c r="A26225" s="571" t="s">
        <v>1403</v>
      </c>
      <c r="B26225" s="572">
        <v>4</v>
      </c>
      <c r="C26225" s="572">
        <v>58</v>
      </c>
    </row>
    <row r="26226" spans="1:3">
      <c r="A26226" s="571" t="s">
        <v>1403</v>
      </c>
      <c r="B26226" s="572">
        <v>5</v>
      </c>
      <c r="C26226" s="572">
        <v>67</v>
      </c>
    </row>
    <row r="26227" spans="1:3">
      <c r="A26227" s="571" t="s">
        <v>1403</v>
      </c>
      <c r="B26227" s="572">
        <v>6</v>
      </c>
      <c r="C26227" s="572">
        <v>70</v>
      </c>
    </row>
    <row r="26228" spans="1:3">
      <c r="A26228" s="571" t="s">
        <v>1403</v>
      </c>
      <c r="B26228" s="572">
        <v>7</v>
      </c>
      <c r="C26228" s="572">
        <v>83</v>
      </c>
    </row>
    <row r="26229" spans="1:3">
      <c r="A26229" s="571" t="s">
        <v>1403</v>
      </c>
      <c r="B26229" s="572">
        <v>14</v>
      </c>
      <c r="C26229" s="572">
        <v>125</v>
      </c>
    </row>
    <row r="26230" spans="1:3">
      <c r="A26230" s="571" t="s">
        <v>1403</v>
      </c>
      <c r="B26230" s="572">
        <v>21</v>
      </c>
      <c r="C26230" s="572">
        <v>163</v>
      </c>
    </row>
    <row r="26231" spans="1:3">
      <c r="A26231" s="571" t="s">
        <v>1403</v>
      </c>
      <c r="B26231" s="572">
        <v>28</v>
      </c>
      <c r="C26231" s="572">
        <v>163</v>
      </c>
    </row>
    <row r="26232" spans="1:3">
      <c r="A26232" s="571" t="s">
        <v>1403</v>
      </c>
      <c r="B26232" s="572">
        <v>42</v>
      </c>
      <c r="C26232" s="572">
        <v>180</v>
      </c>
    </row>
    <row r="26233" spans="1:3">
      <c r="A26233" s="571" t="s">
        <v>1403</v>
      </c>
      <c r="B26233" s="572">
        <v>59</v>
      </c>
      <c r="C26233" s="572">
        <v>218</v>
      </c>
    </row>
    <row r="26234" spans="1:3">
      <c r="A26234" s="571" t="s">
        <v>1403</v>
      </c>
      <c r="B26234" s="572">
        <v>90</v>
      </c>
      <c r="C26234" s="572">
        <v>243</v>
      </c>
    </row>
    <row r="26235" spans="1:3">
      <c r="A26235" s="573" t="s">
        <v>1403</v>
      </c>
      <c r="B26235" s="574">
        <v>121</v>
      </c>
      <c r="C26235" s="574">
        <v>267</v>
      </c>
    </row>
    <row r="26236" spans="1:3">
      <c r="A26236" s="573" t="s">
        <v>1403</v>
      </c>
      <c r="B26236" s="574">
        <v>152</v>
      </c>
      <c r="C26236" s="574">
        <v>302</v>
      </c>
    </row>
    <row r="26237" spans="1:3">
      <c r="A26237" s="573" t="s">
        <v>1403</v>
      </c>
      <c r="B26237" s="574">
        <v>183</v>
      </c>
      <c r="C26237" s="574">
        <v>307</v>
      </c>
    </row>
    <row r="26238" spans="1:3">
      <c r="A26238" s="573" t="s">
        <v>1403</v>
      </c>
      <c r="B26238" s="574">
        <v>214</v>
      </c>
      <c r="C26238" s="574">
        <v>312</v>
      </c>
    </row>
    <row r="26239" spans="1:3">
      <c r="A26239" s="573" t="s">
        <v>1403</v>
      </c>
      <c r="B26239" s="574">
        <v>245</v>
      </c>
      <c r="C26239" s="574">
        <v>345</v>
      </c>
    </row>
    <row r="26240" spans="1:3">
      <c r="A26240" s="573" t="s">
        <v>1403</v>
      </c>
      <c r="B26240" s="574">
        <v>276</v>
      </c>
      <c r="C26240" s="574">
        <v>357</v>
      </c>
    </row>
    <row r="26241" spans="1:3">
      <c r="A26241" s="573" t="s">
        <v>1403</v>
      </c>
      <c r="B26241" s="574">
        <v>307</v>
      </c>
      <c r="C26241" s="574">
        <v>365</v>
      </c>
    </row>
    <row r="26242" spans="1:3">
      <c r="A26242" s="573" t="s">
        <v>1403</v>
      </c>
      <c r="B26242" s="574">
        <v>338</v>
      </c>
      <c r="C26242" s="574">
        <v>370</v>
      </c>
    </row>
    <row r="26243" spans="1:3">
      <c r="A26243" s="573" t="s">
        <v>1403</v>
      </c>
      <c r="B26243" s="574">
        <v>369</v>
      </c>
      <c r="C26243" s="574">
        <v>382</v>
      </c>
    </row>
    <row r="26244" spans="1:3">
      <c r="A26244" s="573" t="s">
        <v>1403</v>
      </c>
      <c r="B26244" s="574">
        <v>400</v>
      </c>
      <c r="C26244" s="574">
        <v>388</v>
      </c>
    </row>
    <row r="26245" spans="1:3">
      <c r="A26245" s="573" t="s">
        <v>1403</v>
      </c>
      <c r="B26245" s="574">
        <v>431</v>
      </c>
      <c r="C26245" s="574">
        <v>388</v>
      </c>
    </row>
    <row r="26246" spans="1:3">
      <c r="A26246" s="573" t="s">
        <v>1403</v>
      </c>
      <c r="B26246" s="574">
        <v>462</v>
      </c>
      <c r="C26246" s="574">
        <v>413</v>
      </c>
    </row>
    <row r="26247" spans="1:3">
      <c r="A26247" s="573" t="s">
        <v>1403</v>
      </c>
      <c r="B26247" s="574">
        <v>493</v>
      </c>
      <c r="C26247" s="574">
        <v>415</v>
      </c>
    </row>
    <row r="26248" spans="1:3">
      <c r="A26248" s="569" t="s">
        <v>1403</v>
      </c>
      <c r="B26248" s="570">
        <v>524</v>
      </c>
      <c r="C26248" s="570">
        <v>430</v>
      </c>
    </row>
    <row r="26249" spans="1:3">
      <c r="A26249" s="569" t="s">
        <v>1403</v>
      </c>
      <c r="B26249" s="570">
        <v>555</v>
      </c>
      <c r="C26249" s="570">
        <v>452</v>
      </c>
    </row>
    <row r="26250" spans="1:3">
      <c r="A26250" s="569" t="s">
        <v>1403</v>
      </c>
      <c r="B26250" s="570">
        <v>586</v>
      </c>
      <c r="C26250" s="570">
        <v>455</v>
      </c>
    </row>
    <row r="26251" spans="1:3">
      <c r="A26251" s="569" t="s">
        <v>1403</v>
      </c>
      <c r="B26251" s="570">
        <v>617</v>
      </c>
      <c r="C26251" s="570">
        <v>463</v>
      </c>
    </row>
    <row r="26252" spans="1:3">
      <c r="A26252" s="569" t="s">
        <v>1403</v>
      </c>
      <c r="B26252" s="570">
        <v>617</v>
      </c>
      <c r="C26252" s="570">
        <v>463</v>
      </c>
    </row>
    <row r="26253" spans="1:3">
      <c r="A26253" s="571" t="s">
        <v>1402</v>
      </c>
      <c r="B26253" s="572">
        <v>0</v>
      </c>
      <c r="C26253" s="572">
        <v>0</v>
      </c>
    </row>
    <row r="26254" spans="1:3">
      <c r="A26254" s="571" t="s">
        <v>1402</v>
      </c>
      <c r="B26254" s="572">
        <v>0.8</v>
      </c>
      <c r="C26254" s="572">
        <v>39</v>
      </c>
    </row>
    <row r="26255" spans="1:3">
      <c r="A26255" s="571" t="s">
        <v>1402</v>
      </c>
      <c r="B26255" s="572">
        <v>1</v>
      </c>
      <c r="C26255" s="572">
        <v>45</v>
      </c>
    </row>
    <row r="26256" spans="1:3">
      <c r="A26256" s="571" t="s">
        <v>1402</v>
      </c>
      <c r="B26256" s="572">
        <v>1.5</v>
      </c>
      <c r="C26256" s="572">
        <v>64</v>
      </c>
    </row>
    <row r="26257" spans="1:3">
      <c r="A26257" s="571" t="s">
        <v>1402</v>
      </c>
      <c r="B26257" s="572">
        <v>5</v>
      </c>
      <c r="C26257" s="572">
        <v>110</v>
      </c>
    </row>
    <row r="26258" spans="1:3">
      <c r="A26258" s="571" t="s">
        <v>1402</v>
      </c>
      <c r="B26258" s="572">
        <v>6</v>
      </c>
      <c r="C26258" s="572">
        <v>120</v>
      </c>
    </row>
    <row r="26259" spans="1:3">
      <c r="A26259" s="571" t="s">
        <v>1402</v>
      </c>
      <c r="B26259" s="572">
        <v>10</v>
      </c>
      <c r="C26259" s="572">
        <v>144</v>
      </c>
    </row>
    <row r="26260" spans="1:3">
      <c r="A26260" s="571" t="s">
        <v>1402</v>
      </c>
      <c r="B26260" s="572">
        <v>12.5</v>
      </c>
      <c r="C26260" s="572">
        <v>161</v>
      </c>
    </row>
    <row r="26261" spans="1:3">
      <c r="A26261" s="571" t="s">
        <v>1402</v>
      </c>
      <c r="B26261" s="572">
        <v>15</v>
      </c>
      <c r="C26261" s="572">
        <v>176</v>
      </c>
    </row>
    <row r="26262" spans="1:3">
      <c r="A26262" s="571" t="s">
        <v>1402</v>
      </c>
      <c r="B26262" s="572">
        <v>20</v>
      </c>
      <c r="C26262" s="572">
        <v>192</v>
      </c>
    </row>
    <row r="26263" spans="1:3">
      <c r="A26263" s="571" t="s">
        <v>1402</v>
      </c>
      <c r="B26263" s="572">
        <v>30</v>
      </c>
      <c r="C26263" s="572">
        <v>215</v>
      </c>
    </row>
    <row r="26264" spans="1:3">
      <c r="A26264" s="571" t="s">
        <v>1402</v>
      </c>
      <c r="B26264" s="572">
        <v>40</v>
      </c>
      <c r="C26264" s="572">
        <v>232</v>
      </c>
    </row>
    <row r="26265" spans="1:3">
      <c r="A26265" s="571" t="s">
        <v>1402</v>
      </c>
      <c r="B26265" s="572">
        <v>45</v>
      </c>
      <c r="C26265" s="572">
        <v>236</v>
      </c>
    </row>
    <row r="26266" spans="1:3">
      <c r="A26266" s="571" t="s">
        <v>1402</v>
      </c>
      <c r="B26266" s="572">
        <v>55</v>
      </c>
      <c r="C26266" s="572">
        <v>240</v>
      </c>
    </row>
    <row r="26267" spans="1:3">
      <c r="A26267" s="571" t="s">
        <v>1402</v>
      </c>
      <c r="B26267" s="572">
        <v>60</v>
      </c>
      <c r="C26267" s="572">
        <v>254</v>
      </c>
    </row>
    <row r="26268" spans="1:3">
      <c r="A26268" s="573" t="s">
        <v>1402</v>
      </c>
      <c r="B26268" s="574">
        <v>100</v>
      </c>
      <c r="C26268" s="574">
        <v>260</v>
      </c>
    </row>
    <row r="26269" spans="1:3">
      <c r="A26269" s="573" t="s">
        <v>1402</v>
      </c>
      <c r="B26269" s="574">
        <v>150</v>
      </c>
      <c r="C26269" s="574">
        <v>271</v>
      </c>
    </row>
    <row r="26270" spans="1:3">
      <c r="A26270" s="573" t="s">
        <v>1402</v>
      </c>
      <c r="B26270" s="574">
        <v>150</v>
      </c>
      <c r="C26270" s="574">
        <v>271</v>
      </c>
    </row>
    <row r="26271" spans="1:3">
      <c r="A26271" s="571" t="s">
        <v>1401</v>
      </c>
      <c r="B26271" s="572">
        <v>0</v>
      </c>
      <c r="C26271" s="572">
        <v>0</v>
      </c>
    </row>
    <row r="26272" spans="1:3">
      <c r="A26272" s="571" t="s">
        <v>1401</v>
      </c>
      <c r="B26272" s="572">
        <v>2.5</v>
      </c>
      <c r="C26272" s="572">
        <v>40</v>
      </c>
    </row>
    <row r="26273" spans="1:3">
      <c r="A26273" s="571" t="s">
        <v>1401</v>
      </c>
      <c r="B26273" s="572">
        <v>3.5</v>
      </c>
      <c r="C26273" s="572">
        <v>55</v>
      </c>
    </row>
    <row r="26274" spans="1:3">
      <c r="A26274" s="571" t="s">
        <v>1401</v>
      </c>
      <c r="B26274" s="572">
        <v>5</v>
      </c>
      <c r="C26274" s="572">
        <v>72.5</v>
      </c>
    </row>
    <row r="26275" spans="1:3">
      <c r="A26275" s="571" t="s">
        <v>1401</v>
      </c>
      <c r="B26275" s="572">
        <v>6</v>
      </c>
      <c r="C26275" s="572">
        <v>85</v>
      </c>
    </row>
    <row r="26276" spans="1:3">
      <c r="A26276" s="571" t="s">
        <v>1401</v>
      </c>
      <c r="B26276" s="572">
        <v>10</v>
      </c>
      <c r="C26276" s="572">
        <v>117.5</v>
      </c>
    </row>
    <row r="26277" spans="1:3">
      <c r="A26277" s="571" t="s">
        <v>1401</v>
      </c>
      <c r="B26277" s="572">
        <v>12.5</v>
      </c>
      <c r="C26277" s="572">
        <v>132.5</v>
      </c>
    </row>
    <row r="26278" spans="1:3">
      <c r="A26278" s="571" t="s">
        <v>1401</v>
      </c>
      <c r="B26278" s="572">
        <v>15</v>
      </c>
      <c r="C26278" s="572">
        <v>188</v>
      </c>
    </row>
    <row r="26279" spans="1:3">
      <c r="A26279" s="571" t="s">
        <v>1401</v>
      </c>
      <c r="B26279" s="572">
        <v>25</v>
      </c>
      <c r="C26279" s="572">
        <v>230</v>
      </c>
    </row>
    <row r="26280" spans="1:3">
      <c r="A26280" s="571" t="s">
        <v>1401</v>
      </c>
      <c r="B26280" s="572">
        <v>30</v>
      </c>
      <c r="C26280" s="572">
        <v>245</v>
      </c>
    </row>
    <row r="26281" spans="1:3">
      <c r="A26281" s="571" t="s">
        <v>1401</v>
      </c>
      <c r="B26281" s="572">
        <v>40</v>
      </c>
      <c r="C26281" s="572">
        <v>275</v>
      </c>
    </row>
    <row r="26282" spans="1:3">
      <c r="A26282" s="571" t="s">
        <v>1401</v>
      </c>
      <c r="B26282" s="572">
        <v>45</v>
      </c>
      <c r="C26282" s="572">
        <v>293</v>
      </c>
    </row>
    <row r="26283" spans="1:3">
      <c r="A26283" s="571" t="s">
        <v>1401</v>
      </c>
      <c r="B26283" s="572">
        <v>60</v>
      </c>
      <c r="C26283" s="572">
        <v>325</v>
      </c>
    </row>
    <row r="26284" spans="1:3">
      <c r="A26284" s="571" t="s">
        <v>1401</v>
      </c>
      <c r="B26284" s="572">
        <v>75</v>
      </c>
      <c r="C26284" s="572">
        <v>347</v>
      </c>
    </row>
    <row r="26285" spans="1:3">
      <c r="A26285" s="571" t="s">
        <v>1401</v>
      </c>
      <c r="B26285" s="572">
        <v>80</v>
      </c>
      <c r="C26285" s="572">
        <v>370</v>
      </c>
    </row>
    <row r="26286" spans="1:3">
      <c r="A26286" s="573" t="s">
        <v>1401</v>
      </c>
      <c r="B26286" s="574">
        <v>100</v>
      </c>
      <c r="C26286" s="574">
        <v>382</v>
      </c>
    </row>
    <row r="26287" spans="1:3">
      <c r="A26287" s="573" t="s">
        <v>1401</v>
      </c>
      <c r="B26287" s="574">
        <v>150</v>
      </c>
      <c r="C26287" s="574">
        <v>430</v>
      </c>
    </row>
    <row r="26288" spans="1:3">
      <c r="A26288" s="573" t="s">
        <v>1401</v>
      </c>
      <c r="B26288" s="574">
        <v>150</v>
      </c>
      <c r="C26288" s="574">
        <v>430</v>
      </c>
    </row>
    <row r="26289" spans="1:3">
      <c r="A26289" s="571" t="s">
        <v>1400</v>
      </c>
      <c r="B26289" s="572">
        <v>0</v>
      </c>
      <c r="C26289" s="572">
        <v>0</v>
      </c>
    </row>
    <row r="26290" spans="1:3">
      <c r="A26290" s="571" t="s">
        <v>1400</v>
      </c>
      <c r="B26290" s="572">
        <v>0.2</v>
      </c>
      <c r="C26290" s="572">
        <v>5</v>
      </c>
    </row>
    <row r="26291" spans="1:3">
      <c r="A26291" s="571" t="s">
        <v>1400</v>
      </c>
      <c r="B26291" s="572">
        <v>1</v>
      </c>
      <c r="C26291" s="572">
        <v>6</v>
      </c>
    </row>
    <row r="26292" spans="1:3">
      <c r="A26292" s="571" t="s">
        <v>1400</v>
      </c>
      <c r="B26292" s="572">
        <v>3</v>
      </c>
      <c r="C26292" s="572">
        <v>2</v>
      </c>
    </row>
    <row r="26293" spans="1:3">
      <c r="A26293" s="571" t="s">
        <v>1400</v>
      </c>
      <c r="B26293" s="572">
        <v>7</v>
      </c>
      <c r="C26293" s="572">
        <v>4</v>
      </c>
    </row>
    <row r="26294" spans="1:3">
      <c r="A26294" s="571" t="s">
        <v>1400</v>
      </c>
      <c r="B26294" s="572">
        <v>10</v>
      </c>
      <c r="C26294" s="572">
        <v>10</v>
      </c>
    </row>
    <row r="26295" spans="1:3">
      <c r="A26295" s="571" t="s">
        <v>1400</v>
      </c>
      <c r="B26295" s="572">
        <v>15</v>
      </c>
      <c r="C26295" s="572">
        <v>9</v>
      </c>
    </row>
    <row r="26296" spans="1:3">
      <c r="A26296" s="571" t="s">
        <v>1400</v>
      </c>
      <c r="B26296" s="572">
        <v>20</v>
      </c>
      <c r="C26296" s="572">
        <v>14</v>
      </c>
    </row>
    <row r="26297" spans="1:3">
      <c r="A26297" s="571" t="s">
        <v>1400</v>
      </c>
      <c r="B26297" s="572">
        <v>25</v>
      </c>
      <c r="C26297" s="572">
        <v>24</v>
      </c>
    </row>
    <row r="26298" spans="1:3">
      <c r="A26298" s="571" t="s">
        <v>1400</v>
      </c>
      <c r="B26298" s="572">
        <v>30</v>
      </c>
      <c r="C26298" s="572">
        <v>25</v>
      </c>
    </row>
    <row r="26299" spans="1:3">
      <c r="A26299" s="571" t="s">
        <v>1400</v>
      </c>
      <c r="B26299" s="572">
        <v>50</v>
      </c>
      <c r="C26299" s="572">
        <v>37</v>
      </c>
    </row>
    <row r="26300" spans="1:3">
      <c r="A26300" s="571" t="s">
        <v>1400</v>
      </c>
      <c r="B26300" s="572">
        <v>60</v>
      </c>
      <c r="C26300" s="572">
        <v>42</v>
      </c>
    </row>
    <row r="26301" spans="1:3">
      <c r="A26301" s="571" t="s">
        <v>1400</v>
      </c>
      <c r="B26301" s="572">
        <v>75</v>
      </c>
      <c r="C26301" s="572">
        <v>39</v>
      </c>
    </row>
    <row r="26302" spans="1:3">
      <c r="A26302" s="573" t="s">
        <v>1400</v>
      </c>
      <c r="B26302" s="574">
        <v>100</v>
      </c>
      <c r="C26302" s="574">
        <v>45</v>
      </c>
    </row>
    <row r="26303" spans="1:3">
      <c r="A26303" s="573" t="s">
        <v>1400</v>
      </c>
      <c r="B26303" s="574">
        <v>120</v>
      </c>
      <c r="C26303" s="574">
        <v>52</v>
      </c>
    </row>
    <row r="26304" spans="1:3">
      <c r="A26304" s="573" t="s">
        <v>1400</v>
      </c>
      <c r="B26304" s="574">
        <v>150</v>
      </c>
      <c r="C26304" s="574">
        <v>59</v>
      </c>
    </row>
    <row r="26305" spans="1:3">
      <c r="A26305" s="573" t="s">
        <v>1400</v>
      </c>
      <c r="B26305" s="574">
        <v>200</v>
      </c>
      <c r="C26305" s="574">
        <v>66</v>
      </c>
    </row>
    <row r="26306" spans="1:3">
      <c r="A26306" s="573" t="s">
        <v>1400</v>
      </c>
      <c r="B26306" s="574">
        <v>240</v>
      </c>
      <c r="C26306" s="574">
        <v>68</v>
      </c>
    </row>
    <row r="26307" spans="1:3">
      <c r="A26307" s="573" t="s">
        <v>1400</v>
      </c>
      <c r="B26307" s="574">
        <v>240</v>
      </c>
      <c r="C26307" s="574">
        <v>68</v>
      </c>
    </row>
    <row r="26308" spans="1:3">
      <c r="A26308" s="571" t="s">
        <v>1399</v>
      </c>
      <c r="B26308" s="572">
        <v>0</v>
      </c>
      <c r="C26308" s="572">
        <v>0</v>
      </c>
    </row>
    <row r="26309" spans="1:3">
      <c r="A26309" s="571" t="s">
        <v>1399</v>
      </c>
      <c r="B26309" s="572">
        <v>0.2</v>
      </c>
      <c r="C26309" s="572">
        <v>12</v>
      </c>
    </row>
    <row r="26310" spans="1:3">
      <c r="A26310" s="571" t="s">
        <v>1399</v>
      </c>
      <c r="B26310" s="572">
        <v>1</v>
      </c>
      <c r="C26310" s="572">
        <v>17</v>
      </c>
    </row>
    <row r="26311" spans="1:3">
      <c r="A26311" s="571" t="s">
        <v>1399</v>
      </c>
      <c r="B26311" s="572">
        <v>3</v>
      </c>
      <c r="C26311" s="572">
        <v>29</v>
      </c>
    </row>
    <row r="26312" spans="1:3">
      <c r="A26312" s="571" t="s">
        <v>1399</v>
      </c>
      <c r="B26312" s="572">
        <v>7</v>
      </c>
      <c r="C26312" s="572">
        <v>44</v>
      </c>
    </row>
    <row r="26313" spans="1:3">
      <c r="A26313" s="571" t="s">
        <v>1399</v>
      </c>
      <c r="B26313" s="572">
        <v>10</v>
      </c>
      <c r="C26313" s="572">
        <v>43.5</v>
      </c>
    </row>
    <row r="26314" spans="1:3">
      <c r="A26314" s="571" t="s">
        <v>1399</v>
      </c>
      <c r="B26314" s="572">
        <v>15</v>
      </c>
      <c r="C26314" s="572">
        <v>45</v>
      </c>
    </row>
    <row r="26315" spans="1:3">
      <c r="A26315" s="571" t="s">
        <v>1399</v>
      </c>
      <c r="B26315" s="572">
        <v>20</v>
      </c>
      <c r="C26315" s="572">
        <v>49.5</v>
      </c>
    </row>
    <row r="26316" spans="1:3">
      <c r="A26316" s="571" t="s">
        <v>1399</v>
      </c>
      <c r="B26316" s="572">
        <v>25</v>
      </c>
      <c r="C26316" s="572">
        <v>58</v>
      </c>
    </row>
    <row r="26317" spans="1:3">
      <c r="A26317" s="571" t="s">
        <v>1399</v>
      </c>
      <c r="B26317" s="572">
        <v>30</v>
      </c>
      <c r="C26317" s="572">
        <v>61</v>
      </c>
    </row>
    <row r="26318" spans="1:3">
      <c r="A26318" s="571" t="s">
        <v>1399</v>
      </c>
      <c r="B26318" s="572">
        <v>50</v>
      </c>
      <c r="C26318" s="572">
        <v>81</v>
      </c>
    </row>
    <row r="26319" spans="1:3">
      <c r="A26319" s="571" t="s">
        <v>1399</v>
      </c>
      <c r="B26319" s="572">
        <v>60</v>
      </c>
      <c r="C26319" s="572">
        <v>80</v>
      </c>
    </row>
    <row r="26320" spans="1:3">
      <c r="A26320" s="571" t="s">
        <v>1399</v>
      </c>
      <c r="B26320" s="572">
        <v>75</v>
      </c>
      <c r="C26320" s="572">
        <v>85</v>
      </c>
    </row>
    <row r="26321" spans="1:3">
      <c r="A26321" s="573" t="s">
        <v>1399</v>
      </c>
      <c r="B26321" s="574">
        <v>100</v>
      </c>
      <c r="C26321" s="574">
        <v>96</v>
      </c>
    </row>
    <row r="26322" spans="1:3">
      <c r="A26322" s="573" t="s">
        <v>1399</v>
      </c>
      <c r="B26322" s="574">
        <v>120</v>
      </c>
      <c r="C26322" s="574">
        <v>110</v>
      </c>
    </row>
    <row r="26323" spans="1:3">
      <c r="A26323" s="573" t="s">
        <v>1399</v>
      </c>
      <c r="B26323" s="574">
        <v>150</v>
      </c>
      <c r="C26323" s="574">
        <v>127</v>
      </c>
    </row>
    <row r="26324" spans="1:3">
      <c r="A26324" s="573" t="s">
        <v>1399</v>
      </c>
      <c r="B26324" s="574">
        <v>200</v>
      </c>
      <c r="C26324" s="574">
        <v>138</v>
      </c>
    </row>
    <row r="26325" spans="1:3">
      <c r="A26325" s="573" t="s">
        <v>1399</v>
      </c>
      <c r="B26325" s="574">
        <v>240</v>
      </c>
      <c r="C26325" s="574">
        <v>145</v>
      </c>
    </row>
    <row r="26326" spans="1:3">
      <c r="A26326" s="573" t="s">
        <v>1399</v>
      </c>
      <c r="B26326" s="574">
        <v>240</v>
      </c>
      <c r="C26326" s="574">
        <v>145</v>
      </c>
    </row>
    <row r="26327" spans="1:3">
      <c r="A26327" s="571" t="s">
        <v>1398</v>
      </c>
      <c r="B26327" s="572">
        <v>0</v>
      </c>
      <c r="C26327" s="572">
        <v>0</v>
      </c>
    </row>
    <row r="26328" spans="1:3">
      <c r="A26328" s="571" t="s">
        <v>1398</v>
      </c>
      <c r="B26328" s="572">
        <v>0.2</v>
      </c>
      <c r="C26328" s="572">
        <v>6</v>
      </c>
    </row>
    <row r="26329" spans="1:3">
      <c r="A26329" s="571" t="s">
        <v>1398</v>
      </c>
      <c r="B26329" s="572">
        <v>1</v>
      </c>
      <c r="C26329" s="572">
        <v>2</v>
      </c>
    </row>
    <row r="26330" spans="1:3">
      <c r="A26330" s="571" t="s">
        <v>1398</v>
      </c>
      <c r="B26330" s="572">
        <v>3</v>
      </c>
      <c r="C26330" s="572">
        <v>15</v>
      </c>
    </row>
    <row r="26331" spans="1:3">
      <c r="A26331" s="571" t="s">
        <v>1398</v>
      </c>
      <c r="B26331" s="572">
        <v>7</v>
      </c>
      <c r="C26331" s="572">
        <v>25</v>
      </c>
    </row>
    <row r="26332" spans="1:3">
      <c r="A26332" s="571" t="s">
        <v>1398</v>
      </c>
      <c r="B26332" s="572">
        <v>10</v>
      </c>
      <c r="C26332" s="572">
        <v>36</v>
      </c>
    </row>
    <row r="26333" spans="1:3">
      <c r="A26333" s="571" t="s">
        <v>1398</v>
      </c>
      <c r="B26333" s="572">
        <v>15</v>
      </c>
      <c r="C26333" s="572">
        <v>48</v>
      </c>
    </row>
    <row r="26334" spans="1:3">
      <c r="A26334" s="571" t="s">
        <v>1398</v>
      </c>
      <c r="B26334" s="572">
        <v>20</v>
      </c>
      <c r="C26334" s="572">
        <v>59</v>
      </c>
    </row>
    <row r="26335" spans="1:3">
      <c r="A26335" s="571" t="s">
        <v>1398</v>
      </c>
      <c r="B26335" s="572">
        <v>25</v>
      </c>
      <c r="C26335" s="572">
        <v>73</v>
      </c>
    </row>
    <row r="26336" spans="1:3">
      <c r="A26336" s="571" t="s">
        <v>1398</v>
      </c>
      <c r="B26336" s="572">
        <v>30</v>
      </c>
      <c r="C26336" s="572">
        <v>78</v>
      </c>
    </row>
    <row r="26337" spans="1:3">
      <c r="A26337" s="571" t="s">
        <v>1398</v>
      </c>
      <c r="B26337" s="572">
        <v>50</v>
      </c>
      <c r="C26337" s="572">
        <v>98</v>
      </c>
    </row>
    <row r="26338" spans="1:3">
      <c r="A26338" s="571" t="s">
        <v>1398</v>
      </c>
      <c r="B26338" s="572">
        <v>60</v>
      </c>
      <c r="C26338" s="572">
        <v>101</v>
      </c>
    </row>
    <row r="26339" spans="1:3">
      <c r="A26339" s="571" t="s">
        <v>1398</v>
      </c>
      <c r="B26339" s="572">
        <v>75</v>
      </c>
      <c r="C26339" s="572">
        <v>111</v>
      </c>
    </row>
    <row r="26340" spans="1:3">
      <c r="A26340" s="573" t="s">
        <v>1398</v>
      </c>
      <c r="B26340" s="574">
        <v>100</v>
      </c>
      <c r="C26340" s="574">
        <v>118</v>
      </c>
    </row>
    <row r="26341" spans="1:3">
      <c r="A26341" s="573" t="s">
        <v>1398</v>
      </c>
      <c r="B26341" s="574">
        <v>120</v>
      </c>
      <c r="C26341" s="574">
        <v>126</v>
      </c>
    </row>
    <row r="26342" spans="1:3">
      <c r="A26342" s="573" t="s">
        <v>1398</v>
      </c>
      <c r="B26342" s="574">
        <v>150</v>
      </c>
      <c r="C26342" s="574">
        <v>154</v>
      </c>
    </row>
    <row r="26343" spans="1:3">
      <c r="A26343" s="573" t="s">
        <v>1398</v>
      </c>
      <c r="B26343" s="574">
        <v>200</v>
      </c>
      <c r="C26343" s="574">
        <v>132</v>
      </c>
    </row>
    <row r="26344" spans="1:3">
      <c r="A26344" s="573" t="s">
        <v>1398</v>
      </c>
      <c r="B26344" s="574">
        <v>240</v>
      </c>
      <c r="C26344" s="574">
        <v>150</v>
      </c>
    </row>
    <row r="26345" spans="1:3">
      <c r="A26345" s="573" t="s">
        <v>1398</v>
      </c>
      <c r="B26345" s="574">
        <v>240</v>
      </c>
      <c r="C26345" s="574">
        <v>150</v>
      </c>
    </row>
    <row r="26346" spans="1:3">
      <c r="A26346" s="571" t="s">
        <v>1397</v>
      </c>
      <c r="B26346" s="572">
        <v>0</v>
      </c>
      <c r="C26346" s="572">
        <v>0</v>
      </c>
    </row>
    <row r="26347" spans="1:3">
      <c r="A26347" s="571" t="s">
        <v>1397</v>
      </c>
      <c r="B26347" s="572">
        <v>0.2</v>
      </c>
      <c r="C26347" s="572">
        <v>12</v>
      </c>
    </row>
    <row r="26348" spans="1:3">
      <c r="A26348" s="571" t="s">
        <v>1397</v>
      </c>
      <c r="B26348" s="572">
        <v>1</v>
      </c>
      <c r="C26348" s="572">
        <v>20</v>
      </c>
    </row>
    <row r="26349" spans="1:3">
      <c r="A26349" s="571" t="s">
        <v>1397</v>
      </c>
      <c r="B26349" s="572">
        <v>3</v>
      </c>
      <c r="C26349" s="572">
        <v>32</v>
      </c>
    </row>
    <row r="26350" spans="1:3">
      <c r="A26350" s="571" t="s">
        <v>1397</v>
      </c>
      <c r="B26350" s="572">
        <v>7</v>
      </c>
      <c r="C26350" s="572">
        <v>49</v>
      </c>
    </row>
    <row r="26351" spans="1:3">
      <c r="A26351" s="571" t="s">
        <v>1397</v>
      </c>
      <c r="B26351" s="572">
        <v>10</v>
      </c>
      <c r="C26351" s="572">
        <v>64</v>
      </c>
    </row>
    <row r="26352" spans="1:3">
      <c r="A26352" s="571" t="s">
        <v>1397</v>
      </c>
      <c r="B26352" s="572">
        <v>15</v>
      </c>
      <c r="C26352" s="572">
        <v>77</v>
      </c>
    </row>
    <row r="26353" spans="1:3">
      <c r="A26353" s="571" t="s">
        <v>1397</v>
      </c>
      <c r="B26353" s="572">
        <v>20</v>
      </c>
      <c r="C26353" s="572">
        <v>96</v>
      </c>
    </row>
    <row r="26354" spans="1:3">
      <c r="A26354" s="571" t="s">
        <v>1397</v>
      </c>
      <c r="B26354" s="572">
        <v>25</v>
      </c>
      <c r="C26354" s="572">
        <v>110</v>
      </c>
    </row>
    <row r="26355" spans="1:3">
      <c r="A26355" s="571" t="s">
        <v>1397</v>
      </c>
      <c r="B26355" s="572">
        <v>30</v>
      </c>
      <c r="C26355" s="572">
        <v>122</v>
      </c>
    </row>
    <row r="26356" spans="1:3">
      <c r="A26356" s="571" t="s">
        <v>1397</v>
      </c>
      <c r="B26356" s="572">
        <v>50</v>
      </c>
      <c r="C26356" s="572">
        <v>163</v>
      </c>
    </row>
    <row r="26357" spans="1:3">
      <c r="A26357" s="571" t="s">
        <v>1397</v>
      </c>
      <c r="B26357" s="572">
        <v>60</v>
      </c>
      <c r="C26357" s="572">
        <v>185</v>
      </c>
    </row>
    <row r="26358" spans="1:3">
      <c r="A26358" s="571" t="s">
        <v>1397</v>
      </c>
      <c r="B26358" s="572">
        <v>75</v>
      </c>
      <c r="C26358" s="572">
        <v>200</v>
      </c>
    </row>
    <row r="26359" spans="1:3">
      <c r="A26359" s="573" t="s">
        <v>1397</v>
      </c>
      <c r="B26359" s="574">
        <v>100</v>
      </c>
      <c r="C26359" s="574">
        <v>224</v>
      </c>
    </row>
    <row r="26360" spans="1:3">
      <c r="A26360" s="573" t="s">
        <v>1397</v>
      </c>
      <c r="B26360" s="574">
        <v>120</v>
      </c>
      <c r="C26360" s="574">
        <v>252</v>
      </c>
    </row>
    <row r="26361" spans="1:3">
      <c r="A26361" s="573" t="s">
        <v>1397</v>
      </c>
      <c r="B26361" s="574">
        <v>150</v>
      </c>
      <c r="C26361" s="574">
        <v>268</v>
      </c>
    </row>
    <row r="26362" spans="1:3">
      <c r="A26362" s="573" t="s">
        <v>1397</v>
      </c>
      <c r="B26362" s="574">
        <v>200</v>
      </c>
      <c r="C26362" s="574">
        <v>293</v>
      </c>
    </row>
    <row r="26363" spans="1:3">
      <c r="A26363" s="573" t="s">
        <v>1397</v>
      </c>
      <c r="B26363" s="574">
        <v>240</v>
      </c>
      <c r="C26363" s="574">
        <v>310</v>
      </c>
    </row>
    <row r="26364" spans="1:3">
      <c r="A26364" s="573" t="s">
        <v>1397</v>
      </c>
      <c r="B26364" s="574">
        <v>240</v>
      </c>
      <c r="C26364" s="574">
        <v>310</v>
      </c>
    </row>
    <row r="26365" spans="1:3">
      <c r="A26365" s="571" t="s">
        <v>1395</v>
      </c>
      <c r="B26365" s="572">
        <v>0</v>
      </c>
      <c r="C26365" s="572">
        <v>0</v>
      </c>
    </row>
    <row r="26366" spans="1:3">
      <c r="A26366" s="571" t="s">
        <v>1395</v>
      </c>
      <c r="B26366" s="572">
        <v>7</v>
      </c>
      <c r="C26366" s="572">
        <v>170</v>
      </c>
    </row>
    <row r="26367" spans="1:3">
      <c r="A26367" s="571" t="s">
        <v>1395</v>
      </c>
      <c r="B26367" s="572">
        <v>28</v>
      </c>
      <c r="C26367" s="572">
        <v>360</v>
      </c>
    </row>
    <row r="26368" spans="1:3">
      <c r="A26368" s="571" t="s">
        <v>1395</v>
      </c>
      <c r="B26368" s="572">
        <v>90</v>
      </c>
      <c r="C26368" s="572">
        <v>522</v>
      </c>
    </row>
    <row r="26369" spans="1:3">
      <c r="A26369" s="573" t="s">
        <v>1395</v>
      </c>
      <c r="B26369" s="574">
        <v>180</v>
      </c>
      <c r="C26369" s="574">
        <v>582</v>
      </c>
    </row>
    <row r="26370" spans="1:3">
      <c r="A26370" s="573" t="s">
        <v>1395</v>
      </c>
      <c r="B26370" s="574">
        <v>360</v>
      </c>
      <c r="C26370" s="574">
        <v>623</v>
      </c>
    </row>
    <row r="26371" spans="1:3">
      <c r="A26371" s="573" t="s">
        <v>1395</v>
      </c>
      <c r="B26371" s="574">
        <v>360</v>
      </c>
      <c r="C26371" s="574">
        <v>623</v>
      </c>
    </row>
    <row r="26372" spans="1:3">
      <c r="A26372" s="571" t="s">
        <v>1394</v>
      </c>
      <c r="B26372" s="572">
        <v>0</v>
      </c>
      <c r="C26372" s="572">
        <v>0</v>
      </c>
    </row>
    <row r="26373" spans="1:3">
      <c r="A26373" s="571" t="s">
        <v>1394</v>
      </c>
      <c r="B26373" s="572">
        <v>7</v>
      </c>
      <c r="C26373" s="572">
        <v>195</v>
      </c>
    </row>
    <row r="26374" spans="1:3">
      <c r="A26374" s="571" t="s">
        <v>1394</v>
      </c>
      <c r="B26374" s="572">
        <v>28</v>
      </c>
      <c r="C26374" s="572">
        <v>355</v>
      </c>
    </row>
    <row r="26375" spans="1:3">
      <c r="A26375" s="571" t="s">
        <v>1394</v>
      </c>
      <c r="B26375" s="572">
        <v>90</v>
      </c>
      <c r="C26375" s="572">
        <v>458</v>
      </c>
    </row>
    <row r="26376" spans="1:3">
      <c r="A26376" s="573" t="s">
        <v>1394</v>
      </c>
      <c r="B26376" s="574">
        <v>180</v>
      </c>
      <c r="C26376" s="574">
        <v>500</v>
      </c>
    </row>
    <row r="26377" spans="1:3">
      <c r="A26377" s="573" t="s">
        <v>1394</v>
      </c>
      <c r="B26377" s="574">
        <v>360</v>
      </c>
      <c r="C26377" s="574">
        <v>538</v>
      </c>
    </row>
    <row r="26378" spans="1:3">
      <c r="A26378" s="573" t="s">
        <v>1394</v>
      </c>
      <c r="B26378" s="574">
        <v>360</v>
      </c>
      <c r="C26378" s="574">
        <v>538</v>
      </c>
    </row>
    <row r="26379" spans="1:3">
      <c r="A26379" s="571" t="s">
        <v>1393</v>
      </c>
      <c r="B26379" s="572">
        <v>0</v>
      </c>
      <c r="C26379" s="572">
        <v>0</v>
      </c>
    </row>
    <row r="26380" spans="1:3">
      <c r="A26380" s="571" t="s">
        <v>1393</v>
      </c>
      <c r="B26380" s="572">
        <v>7</v>
      </c>
      <c r="C26380" s="572">
        <v>232</v>
      </c>
    </row>
    <row r="26381" spans="1:3">
      <c r="A26381" s="571" t="s">
        <v>1393</v>
      </c>
      <c r="B26381" s="572">
        <v>28</v>
      </c>
      <c r="C26381" s="572">
        <v>392</v>
      </c>
    </row>
    <row r="26382" spans="1:3">
      <c r="A26382" s="571" t="s">
        <v>1393</v>
      </c>
      <c r="B26382" s="572">
        <v>90</v>
      </c>
      <c r="C26382" s="572">
        <v>480</v>
      </c>
    </row>
    <row r="26383" spans="1:3">
      <c r="A26383" s="573" t="s">
        <v>1393</v>
      </c>
      <c r="B26383" s="574">
        <v>180</v>
      </c>
      <c r="C26383" s="574">
        <v>505</v>
      </c>
    </row>
    <row r="26384" spans="1:3">
      <c r="A26384" s="573" t="s">
        <v>1393</v>
      </c>
      <c r="B26384" s="574">
        <v>360</v>
      </c>
      <c r="C26384" s="574">
        <v>550</v>
      </c>
    </row>
    <row r="26385" spans="1:3">
      <c r="A26385" s="573" t="s">
        <v>1393</v>
      </c>
      <c r="B26385" s="574">
        <v>360</v>
      </c>
      <c r="C26385" s="574">
        <v>550</v>
      </c>
    </row>
    <row r="26386" spans="1:3">
      <c r="A26386" s="571" t="s">
        <v>1392</v>
      </c>
      <c r="B26386" s="572">
        <v>0</v>
      </c>
      <c r="C26386" s="572">
        <v>0</v>
      </c>
    </row>
    <row r="26387" spans="1:3">
      <c r="A26387" s="571" t="s">
        <v>1392</v>
      </c>
      <c r="B26387" s="572">
        <v>7</v>
      </c>
      <c r="C26387" s="572">
        <v>85</v>
      </c>
    </row>
    <row r="26388" spans="1:3">
      <c r="A26388" s="571" t="s">
        <v>1392</v>
      </c>
      <c r="B26388" s="572">
        <v>28</v>
      </c>
      <c r="C26388" s="572">
        <v>200</v>
      </c>
    </row>
    <row r="26389" spans="1:3">
      <c r="A26389" s="571" t="s">
        <v>1392</v>
      </c>
      <c r="B26389" s="572">
        <v>90</v>
      </c>
      <c r="C26389" s="572">
        <v>322</v>
      </c>
    </row>
    <row r="26390" spans="1:3">
      <c r="A26390" s="573" t="s">
        <v>1392</v>
      </c>
      <c r="B26390" s="574">
        <v>180</v>
      </c>
      <c r="C26390" s="574">
        <v>395</v>
      </c>
    </row>
    <row r="26391" spans="1:3">
      <c r="A26391" s="573" t="s">
        <v>1392</v>
      </c>
      <c r="B26391" s="574">
        <v>360</v>
      </c>
      <c r="C26391" s="574">
        <v>432</v>
      </c>
    </row>
    <row r="26392" spans="1:3">
      <c r="A26392" s="573" t="s">
        <v>1392</v>
      </c>
      <c r="B26392" s="574">
        <v>360</v>
      </c>
      <c r="C26392" s="574">
        <v>432</v>
      </c>
    </row>
    <row r="26393" spans="1:3">
      <c r="A26393" s="571" t="s">
        <v>1391</v>
      </c>
      <c r="B26393" s="572">
        <v>0</v>
      </c>
      <c r="C26393" s="572">
        <v>0</v>
      </c>
    </row>
    <row r="26394" spans="1:3">
      <c r="A26394" s="571" t="s">
        <v>1391</v>
      </c>
      <c r="B26394" s="572">
        <v>7</v>
      </c>
      <c r="C26394" s="572">
        <v>120</v>
      </c>
    </row>
    <row r="26395" spans="1:3">
      <c r="A26395" s="571" t="s">
        <v>1391</v>
      </c>
      <c r="B26395" s="572">
        <v>28</v>
      </c>
      <c r="C26395" s="572">
        <v>200</v>
      </c>
    </row>
    <row r="26396" spans="1:3">
      <c r="A26396" s="571" t="s">
        <v>1391</v>
      </c>
      <c r="B26396" s="572">
        <v>90</v>
      </c>
      <c r="C26396" s="572">
        <v>290</v>
      </c>
    </row>
    <row r="26397" spans="1:3">
      <c r="A26397" s="573" t="s">
        <v>1391</v>
      </c>
      <c r="B26397" s="574">
        <v>180</v>
      </c>
      <c r="C26397" s="574">
        <v>330</v>
      </c>
    </row>
    <row r="26398" spans="1:3">
      <c r="A26398" s="573" t="s">
        <v>1391</v>
      </c>
      <c r="B26398" s="574">
        <v>360</v>
      </c>
      <c r="C26398" s="574">
        <v>390</v>
      </c>
    </row>
    <row r="26399" spans="1:3">
      <c r="A26399" s="573" t="s">
        <v>1391</v>
      </c>
      <c r="B26399" s="574">
        <v>360</v>
      </c>
      <c r="C26399" s="574">
        <v>390</v>
      </c>
    </row>
    <row r="26400" spans="1:3">
      <c r="A26400" s="571" t="s">
        <v>1390</v>
      </c>
      <c r="B26400" s="572">
        <v>0</v>
      </c>
      <c r="C26400" s="572">
        <v>0</v>
      </c>
    </row>
    <row r="26401" spans="1:3">
      <c r="A26401" s="571" t="s">
        <v>1390</v>
      </c>
      <c r="B26401" s="572">
        <v>7</v>
      </c>
      <c r="C26401" s="572">
        <v>95</v>
      </c>
    </row>
    <row r="26402" spans="1:3">
      <c r="A26402" s="571" t="s">
        <v>1390</v>
      </c>
      <c r="B26402" s="572">
        <v>28</v>
      </c>
      <c r="C26402" s="572">
        <v>195</v>
      </c>
    </row>
    <row r="26403" spans="1:3">
      <c r="A26403" s="571" t="s">
        <v>1390</v>
      </c>
      <c r="B26403" s="572">
        <v>90</v>
      </c>
      <c r="C26403" s="572">
        <v>270</v>
      </c>
    </row>
    <row r="26404" spans="1:3">
      <c r="A26404" s="573" t="s">
        <v>1390</v>
      </c>
      <c r="B26404" s="574">
        <v>180</v>
      </c>
      <c r="C26404" s="574">
        <v>292</v>
      </c>
    </row>
    <row r="26405" spans="1:3">
      <c r="A26405" s="573" t="s">
        <v>1390</v>
      </c>
      <c r="B26405" s="574">
        <v>360</v>
      </c>
      <c r="C26405" s="574">
        <v>355</v>
      </c>
    </row>
    <row r="26406" spans="1:3">
      <c r="A26406" s="573" t="s">
        <v>1390</v>
      </c>
      <c r="B26406" s="574">
        <v>360</v>
      </c>
      <c r="C26406" s="574">
        <v>355</v>
      </c>
    </row>
    <row r="26407" spans="1:3">
      <c r="A26407" s="571" t="s">
        <v>1389</v>
      </c>
      <c r="B26407" s="572">
        <v>0</v>
      </c>
      <c r="C26407" s="572">
        <v>0</v>
      </c>
    </row>
    <row r="26408" spans="1:3">
      <c r="A26408" s="571" t="s">
        <v>1389</v>
      </c>
      <c r="B26408" s="572">
        <v>3</v>
      </c>
      <c r="C26408" s="572">
        <v>44</v>
      </c>
    </row>
    <row r="26409" spans="1:3">
      <c r="A26409" s="571" t="s">
        <v>1389</v>
      </c>
      <c r="B26409" s="572">
        <v>7</v>
      </c>
      <c r="C26409" s="572">
        <v>79</v>
      </c>
    </row>
    <row r="26410" spans="1:3">
      <c r="A26410" s="571" t="s">
        <v>1389</v>
      </c>
      <c r="B26410" s="572">
        <v>14</v>
      </c>
      <c r="C26410" s="572">
        <v>105</v>
      </c>
    </row>
    <row r="26411" spans="1:3">
      <c r="A26411" s="571" t="s">
        <v>1389</v>
      </c>
      <c r="B26411" s="572">
        <v>28</v>
      </c>
      <c r="C26411" s="572">
        <v>168</v>
      </c>
    </row>
    <row r="26412" spans="1:3">
      <c r="A26412" s="571" t="s">
        <v>1389</v>
      </c>
      <c r="B26412" s="572">
        <v>56</v>
      </c>
      <c r="C26412" s="572">
        <v>233</v>
      </c>
    </row>
    <row r="26413" spans="1:3">
      <c r="A26413" s="573" t="s">
        <v>1389</v>
      </c>
      <c r="B26413" s="574">
        <v>112</v>
      </c>
      <c r="C26413" s="574">
        <v>280</v>
      </c>
    </row>
    <row r="26414" spans="1:3">
      <c r="A26414" s="573" t="s">
        <v>1389</v>
      </c>
      <c r="B26414" s="574">
        <v>224</v>
      </c>
      <c r="C26414" s="574">
        <v>327</v>
      </c>
    </row>
    <row r="26415" spans="1:3">
      <c r="A26415" s="573" t="s">
        <v>1389</v>
      </c>
      <c r="B26415" s="574">
        <v>448</v>
      </c>
      <c r="C26415" s="574">
        <v>376</v>
      </c>
    </row>
    <row r="26416" spans="1:3">
      <c r="A26416" s="573" t="s">
        <v>1389</v>
      </c>
      <c r="B26416" s="574">
        <v>448</v>
      </c>
      <c r="C26416" s="574">
        <v>376</v>
      </c>
    </row>
    <row r="26417" spans="1:3">
      <c r="A26417" s="571" t="s">
        <v>1387</v>
      </c>
      <c r="B26417" s="572">
        <v>0</v>
      </c>
      <c r="C26417" s="572">
        <v>0</v>
      </c>
    </row>
    <row r="26418" spans="1:3">
      <c r="A26418" s="571" t="s">
        <v>1387</v>
      </c>
      <c r="B26418" s="572">
        <v>3</v>
      </c>
      <c r="C26418" s="572">
        <v>21</v>
      </c>
    </row>
    <row r="26419" spans="1:3">
      <c r="A26419" s="571" t="s">
        <v>1387</v>
      </c>
      <c r="B26419" s="572">
        <v>7</v>
      </c>
      <c r="C26419" s="572">
        <v>45</v>
      </c>
    </row>
    <row r="26420" spans="1:3">
      <c r="A26420" s="571" t="s">
        <v>1387</v>
      </c>
      <c r="B26420" s="572">
        <v>14</v>
      </c>
      <c r="C26420" s="572">
        <v>45</v>
      </c>
    </row>
    <row r="26421" spans="1:3">
      <c r="A26421" s="571" t="s">
        <v>1387</v>
      </c>
      <c r="B26421" s="572">
        <v>28</v>
      </c>
      <c r="C26421" s="572">
        <v>138</v>
      </c>
    </row>
    <row r="26422" spans="1:3">
      <c r="A26422" s="571" t="s">
        <v>1387</v>
      </c>
      <c r="B26422" s="572">
        <v>56</v>
      </c>
      <c r="C26422" s="572">
        <v>206</v>
      </c>
    </row>
    <row r="26423" spans="1:3">
      <c r="A26423" s="573" t="s">
        <v>1387</v>
      </c>
      <c r="B26423" s="574">
        <v>112</v>
      </c>
      <c r="C26423" s="574">
        <v>264</v>
      </c>
    </row>
    <row r="26424" spans="1:3">
      <c r="A26424" s="573" t="s">
        <v>1387</v>
      </c>
      <c r="B26424" s="574">
        <v>224</v>
      </c>
      <c r="C26424" s="574">
        <v>329</v>
      </c>
    </row>
    <row r="26425" spans="1:3">
      <c r="A26425" s="573" t="s">
        <v>1387</v>
      </c>
      <c r="B26425" s="574">
        <v>448</v>
      </c>
      <c r="C26425" s="574">
        <v>391</v>
      </c>
    </row>
    <row r="26426" spans="1:3">
      <c r="A26426" s="573" t="s">
        <v>1387</v>
      </c>
      <c r="B26426" s="574">
        <v>448</v>
      </c>
      <c r="C26426" s="574">
        <v>391</v>
      </c>
    </row>
    <row r="26427" spans="1:3">
      <c r="A26427" s="571" t="s">
        <v>1386</v>
      </c>
      <c r="B26427" s="572">
        <v>0</v>
      </c>
      <c r="C26427" s="572">
        <v>0</v>
      </c>
    </row>
    <row r="26428" spans="1:3">
      <c r="A26428" s="571" t="s">
        <v>1386</v>
      </c>
      <c r="B26428" s="572">
        <v>4</v>
      </c>
      <c r="C26428" s="572">
        <v>46</v>
      </c>
    </row>
    <row r="26429" spans="1:3">
      <c r="A26429" s="571" t="s">
        <v>1386</v>
      </c>
      <c r="B26429" s="572">
        <v>7</v>
      </c>
      <c r="C26429" s="572">
        <v>81</v>
      </c>
    </row>
    <row r="26430" spans="1:3">
      <c r="A26430" s="571" t="s">
        <v>1386</v>
      </c>
      <c r="B26430" s="572">
        <v>14</v>
      </c>
      <c r="C26430" s="572">
        <v>107</v>
      </c>
    </row>
    <row r="26431" spans="1:3">
      <c r="A26431" s="571" t="s">
        <v>1386</v>
      </c>
      <c r="B26431" s="572">
        <v>28</v>
      </c>
      <c r="C26431" s="572">
        <v>154</v>
      </c>
    </row>
    <row r="26432" spans="1:3">
      <c r="A26432" s="571" t="s">
        <v>1386</v>
      </c>
      <c r="B26432" s="572">
        <v>56</v>
      </c>
      <c r="C26432" s="572">
        <v>253</v>
      </c>
    </row>
    <row r="26433" spans="1:3">
      <c r="A26433" s="573" t="s">
        <v>1386</v>
      </c>
      <c r="B26433" s="574">
        <v>112</v>
      </c>
      <c r="C26433" s="574">
        <v>285</v>
      </c>
    </row>
    <row r="26434" spans="1:3">
      <c r="A26434" s="573" t="s">
        <v>1386</v>
      </c>
      <c r="B26434" s="574">
        <v>224</v>
      </c>
      <c r="C26434" s="574">
        <v>366</v>
      </c>
    </row>
    <row r="26435" spans="1:3">
      <c r="A26435" s="573" t="s">
        <v>1386</v>
      </c>
      <c r="B26435" s="574">
        <v>448</v>
      </c>
      <c r="C26435" s="574">
        <v>430</v>
      </c>
    </row>
    <row r="26436" spans="1:3">
      <c r="A26436" s="573" t="s">
        <v>1386</v>
      </c>
      <c r="B26436" s="574">
        <v>448</v>
      </c>
      <c r="C26436" s="574">
        <v>430</v>
      </c>
    </row>
    <row r="26437" spans="1:3">
      <c r="A26437" s="571" t="s">
        <v>1385</v>
      </c>
      <c r="B26437" s="572">
        <v>0</v>
      </c>
      <c r="C26437" s="572">
        <v>0</v>
      </c>
    </row>
    <row r="26438" spans="1:3">
      <c r="A26438" s="571" t="s">
        <v>1385</v>
      </c>
      <c r="B26438" s="572">
        <v>4</v>
      </c>
      <c r="C26438" s="572">
        <v>49</v>
      </c>
    </row>
    <row r="26439" spans="1:3">
      <c r="A26439" s="571" t="s">
        <v>1385</v>
      </c>
      <c r="B26439" s="572">
        <v>7</v>
      </c>
      <c r="C26439" s="572">
        <v>56</v>
      </c>
    </row>
    <row r="26440" spans="1:3">
      <c r="A26440" s="571" t="s">
        <v>1385</v>
      </c>
      <c r="B26440" s="572">
        <v>14</v>
      </c>
      <c r="C26440" s="572">
        <v>110</v>
      </c>
    </row>
    <row r="26441" spans="1:3">
      <c r="A26441" s="571" t="s">
        <v>1385</v>
      </c>
      <c r="B26441" s="572">
        <v>28</v>
      </c>
      <c r="C26441" s="572">
        <v>171</v>
      </c>
    </row>
    <row r="26442" spans="1:3">
      <c r="A26442" s="571" t="s">
        <v>1385</v>
      </c>
      <c r="B26442" s="572">
        <v>56</v>
      </c>
      <c r="C26442" s="572">
        <v>245</v>
      </c>
    </row>
    <row r="26443" spans="1:3">
      <c r="A26443" s="573" t="s">
        <v>1385</v>
      </c>
      <c r="B26443" s="574">
        <v>112</v>
      </c>
      <c r="C26443" s="574">
        <v>312</v>
      </c>
    </row>
    <row r="26444" spans="1:3">
      <c r="A26444" s="573" t="s">
        <v>1385</v>
      </c>
      <c r="B26444" s="574">
        <v>224</v>
      </c>
      <c r="C26444" s="574">
        <v>395</v>
      </c>
    </row>
    <row r="26445" spans="1:3">
      <c r="A26445" s="573" t="s">
        <v>1385</v>
      </c>
      <c r="B26445" s="574">
        <v>448</v>
      </c>
      <c r="C26445" s="574">
        <v>445</v>
      </c>
    </row>
    <row r="26446" spans="1:3">
      <c r="A26446" s="573" t="s">
        <v>1385</v>
      </c>
      <c r="B26446" s="574">
        <v>448</v>
      </c>
      <c r="C26446" s="574">
        <v>445</v>
      </c>
    </row>
    <row r="26447" spans="1:3">
      <c r="A26447" s="571" t="s">
        <v>1383</v>
      </c>
      <c r="B26447" s="572">
        <v>0</v>
      </c>
      <c r="C26447" s="572">
        <v>0</v>
      </c>
    </row>
    <row r="26448" spans="1:3">
      <c r="A26448" s="571" t="s">
        <v>1383</v>
      </c>
      <c r="B26448" s="572">
        <v>2</v>
      </c>
      <c r="C26448" s="572">
        <v>35</v>
      </c>
    </row>
    <row r="26449" spans="1:3">
      <c r="A26449" s="571" t="s">
        <v>1383</v>
      </c>
      <c r="B26449" s="572">
        <v>7</v>
      </c>
      <c r="C26449" s="572">
        <v>56</v>
      </c>
    </row>
    <row r="26450" spans="1:3">
      <c r="A26450" s="571" t="s">
        <v>1383</v>
      </c>
      <c r="B26450" s="572">
        <v>14</v>
      </c>
      <c r="C26450" s="572">
        <v>100</v>
      </c>
    </row>
    <row r="26451" spans="1:3">
      <c r="A26451" s="571" t="s">
        <v>1383</v>
      </c>
      <c r="B26451" s="572">
        <v>28</v>
      </c>
      <c r="C26451" s="572">
        <v>175</v>
      </c>
    </row>
    <row r="26452" spans="1:3">
      <c r="A26452" s="571" t="s">
        <v>1383</v>
      </c>
      <c r="B26452" s="572">
        <v>56</v>
      </c>
      <c r="C26452" s="572">
        <v>231</v>
      </c>
    </row>
    <row r="26453" spans="1:3">
      <c r="A26453" s="573" t="s">
        <v>1383</v>
      </c>
      <c r="B26453" s="574">
        <v>112</v>
      </c>
      <c r="C26453" s="574">
        <v>292</v>
      </c>
    </row>
    <row r="26454" spans="1:3">
      <c r="A26454" s="573" t="s">
        <v>1383</v>
      </c>
      <c r="B26454" s="574">
        <v>224</v>
      </c>
      <c r="C26454" s="574">
        <v>360</v>
      </c>
    </row>
    <row r="26455" spans="1:3">
      <c r="A26455" s="573" t="s">
        <v>1383</v>
      </c>
      <c r="B26455" s="574">
        <v>448</v>
      </c>
      <c r="C26455" s="574">
        <v>454</v>
      </c>
    </row>
    <row r="26456" spans="1:3">
      <c r="A26456" s="573" t="s">
        <v>1383</v>
      </c>
      <c r="B26456" s="574">
        <v>448</v>
      </c>
      <c r="C26456" s="574">
        <v>454</v>
      </c>
    </row>
    <row r="26457" spans="1:3">
      <c r="A26457" s="571" t="s">
        <v>1382</v>
      </c>
      <c r="B26457" s="572">
        <v>0</v>
      </c>
      <c r="C26457" s="572">
        <v>0</v>
      </c>
    </row>
    <row r="26458" spans="1:3">
      <c r="A26458" s="571" t="s">
        <v>1382</v>
      </c>
      <c r="B26458" s="572">
        <v>0.7</v>
      </c>
      <c r="C26458" s="572">
        <v>24</v>
      </c>
    </row>
    <row r="26459" spans="1:3">
      <c r="A26459" s="571" t="s">
        <v>1382</v>
      </c>
      <c r="B26459" s="572">
        <v>5</v>
      </c>
      <c r="C26459" s="572">
        <v>147</v>
      </c>
    </row>
    <row r="26460" spans="1:3">
      <c r="A26460" s="571" t="s">
        <v>1382</v>
      </c>
      <c r="B26460" s="572">
        <v>13</v>
      </c>
      <c r="C26460" s="572">
        <v>170</v>
      </c>
    </row>
    <row r="26461" spans="1:3">
      <c r="A26461" s="571" t="s">
        <v>1382</v>
      </c>
      <c r="B26461" s="572">
        <v>19</v>
      </c>
      <c r="C26461" s="572">
        <v>206</v>
      </c>
    </row>
    <row r="26462" spans="1:3">
      <c r="A26462" s="571" t="s">
        <v>1382</v>
      </c>
      <c r="B26462" s="572">
        <v>28</v>
      </c>
      <c r="C26462" s="572">
        <v>231</v>
      </c>
    </row>
    <row r="26463" spans="1:3">
      <c r="A26463" s="571" t="s">
        <v>1382</v>
      </c>
      <c r="B26463" s="572">
        <v>67</v>
      </c>
      <c r="C26463" s="572">
        <v>335</v>
      </c>
    </row>
    <row r="26464" spans="1:3">
      <c r="A26464" s="573" t="s">
        <v>1382</v>
      </c>
      <c r="B26464" s="574">
        <v>100</v>
      </c>
      <c r="C26464" s="574">
        <v>365</v>
      </c>
    </row>
    <row r="26465" spans="1:3">
      <c r="A26465" s="573" t="s">
        <v>1382</v>
      </c>
      <c r="B26465" s="574">
        <v>119</v>
      </c>
      <c r="C26465" s="574">
        <v>394</v>
      </c>
    </row>
    <row r="26466" spans="1:3">
      <c r="A26466" s="573" t="s">
        <v>1382</v>
      </c>
      <c r="B26466" s="574">
        <v>150</v>
      </c>
      <c r="C26466" s="574">
        <v>422</v>
      </c>
    </row>
    <row r="26467" spans="1:3">
      <c r="A26467" s="573" t="s">
        <v>1382</v>
      </c>
      <c r="B26467" s="574">
        <v>229</v>
      </c>
      <c r="C26467" s="574">
        <v>467</v>
      </c>
    </row>
    <row r="26468" spans="1:3">
      <c r="A26468" s="573" t="s">
        <v>1382</v>
      </c>
      <c r="B26468" s="574">
        <v>229</v>
      </c>
      <c r="C26468" s="574">
        <v>467</v>
      </c>
    </row>
    <row r="26469" spans="1:3">
      <c r="A26469" s="571" t="s">
        <v>1380</v>
      </c>
      <c r="B26469" s="572">
        <v>0</v>
      </c>
      <c r="C26469" s="572">
        <v>0</v>
      </c>
    </row>
    <row r="26470" spans="1:3">
      <c r="A26470" s="571" t="s">
        <v>1380</v>
      </c>
      <c r="B26470" s="572">
        <v>0.7</v>
      </c>
      <c r="C26470" s="572">
        <v>34.9</v>
      </c>
    </row>
    <row r="26471" spans="1:3">
      <c r="A26471" s="571" t="s">
        <v>1380</v>
      </c>
      <c r="B26471" s="572">
        <v>5</v>
      </c>
      <c r="C26471" s="572">
        <v>120</v>
      </c>
    </row>
    <row r="26472" spans="1:3">
      <c r="A26472" s="571" t="s">
        <v>1380</v>
      </c>
      <c r="B26472" s="572">
        <v>13</v>
      </c>
      <c r="C26472" s="572">
        <v>147</v>
      </c>
    </row>
    <row r="26473" spans="1:3">
      <c r="A26473" s="571" t="s">
        <v>1380</v>
      </c>
      <c r="B26473" s="572">
        <v>19</v>
      </c>
      <c r="C26473" s="572">
        <v>165</v>
      </c>
    </row>
    <row r="26474" spans="1:3">
      <c r="A26474" s="571" t="s">
        <v>1380</v>
      </c>
      <c r="B26474" s="572">
        <v>28</v>
      </c>
      <c r="C26474" s="572">
        <v>186</v>
      </c>
    </row>
    <row r="26475" spans="1:3">
      <c r="A26475" s="571" t="s">
        <v>1380</v>
      </c>
      <c r="B26475" s="572">
        <v>67</v>
      </c>
      <c r="C26475" s="572">
        <v>267</v>
      </c>
    </row>
    <row r="26476" spans="1:3">
      <c r="A26476" s="573" t="s">
        <v>1380</v>
      </c>
      <c r="B26476" s="574">
        <v>100</v>
      </c>
      <c r="C26476" s="574">
        <v>308</v>
      </c>
    </row>
    <row r="26477" spans="1:3">
      <c r="A26477" s="573" t="s">
        <v>1380</v>
      </c>
      <c r="B26477" s="574">
        <v>119</v>
      </c>
      <c r="C26477" s="574">
        <v>329</v>
      </c>
    </row>
    <row r="26478" spans="1:3">
      <c r="A26478" s="573" t="s">
        <v>1380</v>
      </c>
      <c r="B26478" s="574">
        <v>150</v>
      </c>
      <c r="C26478" s="574">
        <v>355</v>
      </c>
    </row>
    <row r="26479" spans="1:3">
      <c r="A26479" s="573" t="s">
        <v>1380</v>
      </c>
      <c r="B26479" s="574">
        <v>229</v>
      </c>
      <c r="C26479" s="574">
        <v>393</v>
      </c>
    </row>
    <row r="26480" spans="1:3">
      <c r="A26480" s="573" t="s">
        <v>1380</v>
      </c>
      <c r="B26480" s="574">
        <v>229</v>
      </c>
      <c r="C26480" s="574">
        <v>393</v>
      </c>
    </row>
    <row r="26481" spans="1:3">
      <c r="A26481" s="571" t="s">
        <v>1379</v>
      </c>
      <c r="B26481" s="572">
        <v>0</v>
      </c>
      <c r="C26481" s="572">
        <v>0</v>
      </c>
    </row>
    <row r="26482" spans="1:3">
      <c r="A26482" s="571" t="s">
        <v>1379</v>
      </c>
      <c r="B26482" s="572">
        <v>1</v>
      </c>
      <c r="C26482" s="572">
        <v>13.3</v>
      </c>
    </row>
    <row r="26483" spans="1:3">
      <c r="A26483" s="571" t="s">
        <v>1379</v>
      </c>
      <c r="B26483" s="572">
        <v>3</v>
      </c>
      <c r="C26483" s="572">
        <v>16.7</v>
      </c>
    </row>
    <row r="26484" spans="1:3">
      <c r="A26484" s="571" t="s">
        <v>1379</v>
      </c>
      <c r="B26484" s="572">
        <v>7</v>
      </c>
      <c r="C26484" s="572">
        <v>33.299999999999997</v>
      </c>
    </row>
    <row r="26485" spans="1:3">
      <c r="A26485" s="571" t="s">
        <v>1379</v>
      </c>
      <c r="B26485" s="572">
        <v>13</v>
      </c>
      <c r="C26485" s="572">
        <v>48.3</v>
      </c>
    </row>
    <row r="26486" spans="1:3">
      <c r="A26486" s="571" t="s">
        <v>1379</v>
      </c>
      <c r="B26486" s="572">
        <v>17</v>
      </c>
      <c r="C26486" s="572">
        <v>45</v>
      </c>
    </row>
    <row r="26487" spans="1:3">
      <c r="A26487" s="571" t="s">
        <v>1379</v>
      </c>
      <c r="B26487" s="572">
        <v>22</v>
      </c>
      <c r="C26487" s="572">
        <v>60</v>
      </c>
    </row>
    <row r="26488" spans="1:3">
      <c r="A26488" s="571" t="s">
        <v>1379</v>
      </c>
      <c r="B26488" s="572">
        <v>23</v>
      </c>
      <c r="C26488" s="572">
        <v>60</v>
      </c>
    </row>
    <row r="26489" spans="1:3">
      <c r="A26489" s="571" t="s">
        <v>1379</v>
      </c>
      <c r="B26489" s="572">
        <v>27</v>
      </c>
      <c r="C26489" s="572">
        <v>60</v>
      </c>
    </row>
    <row r="26490" spans="1:3">
      <c r="A26490" s="571" t="s">
        <v>1379</v>
      </c>
      <c r="B26490" s="572">
        <v>31</v>
      </c>
      <c r="C26490" s="572">
        <v>86.7</v>
      </c>
    </row>
    <row r="26491" spans="1:3">
      <c r="A26491" s="571" t="s">
        <v>1379</v>
      </c>
      <c r="B26491" s="572">
        <v>37</v>
      </c>
      <c r="C26491" s="572">
        <v>108.3</v>
      </c>
    </row>
    <row r="26492" spans="1:3">
      <c r="A26492" s="571" t="s">
        <v>1379</v>
      </c>
      <c r="B26492" s="572">
        <v>38</v>
      </c>
      <c r="C26492" s="572">
        <v>108.3</v>
      </c>
    </row>
    <row r="26493" spans="1:3">
      <c r="A26493" s="571" t="s">
        <v>1379</v>
      </c>
      <c r="B26493" s="572">
        <v>62</v>
      </c>
      <c r="C26493" s="572">
        <v>111.7</v>
      </c>
    </row>
    <row r="26494" spans="1:3">
      <c r="A26494" s="571" t="s">
        <v>1379</v>
      </c>
      <c r="B26494" s="572">
        <v>83</v>
      </c>
      <c r="C26494" s="572">
        <v>103.3</v>
      </c>
    </row>
    <row r="26495" spans="1:3">
      <c r="A26495" s="573" t="s">
        <v>1379</v>
      </c>
      <c r="B26495" s="574">
        <v>111</v>
      </c>
      <c r="C26495" s="574">
        <v>105</v>
      </c>
    </row>
    <row r="26496" spans="1:3">
      <c r="A26496" s="573" t="s">
        <v>1379</v>
      </c>
      <c r="B26496" s="574">
        <v>139</v>
      </c>
      <c r="C26496" s="574">
        <v>106.7</v>
      </c>
    </row>
    <row r="26497" spans="1:3">
      <c r="A26497" s="573" t="s">
        <v>1379</v>
      </c>
      <c r="B26497" s="574">
        <v>174</v>
      </c>
      <c r="C26497" s="574">
        <v>146.69999999999999</v>
      </c>
    </row>
    <row r="26498" spans="1:3">
      <c r="A26498" s="573" t="s">
        <v>1379</v>
      </c>
      <c r="B26498" s="574">
        <v>191</v>
      </c>
      <c r="C26498" s="574">
        <v>146.69999999999999</v>
      </c>
    </row>
    <row r="26499" spans="1:3">
      <c r="A26499" s="573" t="s">
        <v>1379</v>
      </c>
      <c r="B26499" s="574">
        <v>239</v>
      </c>
      <c r="C26499" s="574">
        <v>163.30000000000001</v>
      </c>
    </row>
    <row r="26500" spans="1:3">
      <c r="A26500" s="573" t="s">
        <v>1379</v>
      </c>
      <c r="B26500" s="574">
        <v>265</v>
      </c>
      <c r="C26500" s="574">
        <v>155</v>
      </c>
    </row>
    <row r="26501" spans="1:3">
      <c r="A26501" s="573" t="s">
        <v>1379</v>
      </c>
      <c r="B26501" s="574">
        <v>290</v>
      </c>
      <c r="C26501" s="574">
        <v>175</v>
      </c>
    </row>
    <row r="26502" spans="1:3">
      <c r="A26502" s="573" t="s">
        <v>1379</v>
      </c>
      <c r="B26502" s="574">
        <v>296</v>
      </c>
      <c r="C26502" s="574">
        <v>172</v>
      </c>
    </row>
    <row r="26503" spans="1:3">
      <c r="A26503" s="573" t="s">
        <v>1379</v>
      </c>
      <c r="B26503" s="574">
        <v>314</v>
      </c>
      <c r="C26503" s="574">
        <v>150</v>
      </c>
    </row>
    <row r="26504" spans="1:3">
      <c r="A26504" s="573" t="s">
        <v>1379</v>
      </c>
      <c r="B26504" s="574">
        <v>324</v>
      </c>
      <c r="C26504" s="574">
        <v>162</v>
      </c>
    </row>
    <row r="26505" spans="1:3">
      <c r="A26505" s="573" t="s">
        <v>1379</v>
      </c>
      <c r="B26505" s="574">
        <v>380</v>
      </c>
      <c r="C26505" s="574">
        <v>163</v>
      </c>
    </row>
    <row r="26506" spans="1:3">
      <c r="A26506" s="573" t="s">
        <v>1379</v>
      </c>
      <c r="B26506" s="574">
        <v>409</v>
      </c>
      <c r="C26506" s="574">
        <v>187</v>
      </c>
    </row>
    <row r="26507" spans="1:3">
      <c r="A26507" s="573" t="s">
        <v>1379</v>
      </c>
      <c r="B26507" s="574">
        <v>409</v>
      </c>
      <c r="C26507" s="574">
        <v>187</v>
      </c>
    </row>
    <row r="26508" spans="1:3">
      <c r="A26508" s="571" t="s">
        <v>1378</v>
      </c>
      <c r="B26508" s="572">
        <v>0</v>
      </c>
      <c r="C26508" s="572">
        <v>0</v>
      </c>
    </row>
    <row r="26509" spans="1:3">
      <c r="A26509" s="571" t="s">
        <v>1378</v>
      </c>
      <c r="B26509" s="572">
        <v>2</v>
      </c>
      <c r="C26509" s="572">
        <v>8.3000000000000007</v>
      </c>
    </row>
    <row r="26510" spans="1:3">
      <c r="A26510" s="571" t="s">
        <v>1378</v>
      </c>
      <c r="B26510" s="572">
        <v>8</v>
      </c>
      <c r="C26510" s="572">
        <v>23.3</v>
      </c>
    </row>
    <row r="26511" spans="1:3">
      <c r="A26511" s="571" t="s">
        <v>1378</v>
      </c>
      <c r="B26511" s="572">
        <v>9</v>
      </c>
      <c r="C26511" s="572">
        <v>31.7</v>
      </c>
    </row>
    <row r="26512" spans="1:3">
      <c r="A26512" s="571" t="s">
        <v>1378</v>
      </c>
      <c r="B26512" s="572">
        <v>9</v>
      </c>
      <c r="C26512" s="572">
        <v>36.700000000000003</v>
      </c>
    </row>
    <row r="26513" spans="1:3">
      <c r="A26513" s="571" t="s">
        <v>1378</v>
      </c>
      <c r="B26513" s="572">
        <v>20</v>
      </c>
      <c r="C26513" s="572">
        <v>63.3</v>
      </c>
    </row>
    <row r="26514" spans="1:3">
      <c r="A26514" s="571" t="s">
        <v>1378</v>
      </c>
      <c r="B26514" s="572">
        <v>26</v>
      </c>
      <c r="C26514" s="572">
        <v>95</v>
      </c>
    </row>
    <row r="26515" spans="1:3">
      <c r="A26515" s="571" t="s">
        <v>1378</v>
      </c>
      <c r="B26515" s="572">
        <v>30</v>
      </c>
      <c r="C26515" s="572">
        <v>90</v>
      </c>
    </row>
    <row r="26516" spans="1:3">
      <c r="A26516" s="571" t="s">
        <v>1378</v>
      </c>
      <c r="B26516" s="572">
        <v>33</v>
      </c>
      <c r="C26516" s="572">
        <v>86.7</v>
      </c>
    </row>
    <row r="26517" spans="1:3">
      <c r="A26517" s="571" t="s">
        <v>1378</v>
      </c>
      <c r="B26517" s="572">
        <v>35</v>
      </c>
      <c r="C26517" s="572">
        <v>111.7</v>
      </c>
    </row>
    <row r="26518" spans="1:3">
      <c r="A26518" s="571" t="s">
        <v>1378</v>
      </c>
      <c r="B26518" s="572">
        <v>54</v>
      </c>
      <c r="C26518" s="572">
        <v>105</v>
      </c>
    </row>
    <row r="26519" spans="1:3">
      <c r="A26519" s="571" t="s">
        <v>1378</v>
      </c>
      <c r="B26519" s="572">
        <v>82</v>
      </c>
      <c r="C26519" s="572">
        <v>116.7</v>
      </c>
    </row>
    <row r="26520" spans="1:3">
      <c r="A26520" s="573" t="s">
        <v>1378</v>
      </c>
      <c r="B26520" s="574">
        <v>105</v>
      </c>
      <c r="C26520" s="574">
        <v>116.7</v>
      </c>
    </row>
    <row r="26521" spans="1:3">
      <c r="A26521" s="573" t="s">
        <v>1378</v>
      </c>
      <c r="B26521" s="574">
        <v>110</v>
      </c>
      <c r="C26521" s="574">
        <v>113.3</v>
      </c>
    </row>
    <row r="26522" spans="1:3">
      <c r="A26522" s="573" t="s">
        <v>1378</v>
      </c>
      <c r="B26522" s="574">
        <v>145</v>
      </c>
      <c r="C26522" s="574">
        <v>145</v>
      </c>
    </row>
    <row r="26523" spans="1:3">
      <c r="A26523" s="573" t="s">
        <v>1378</v>
      </c>
      <c r="B26523" s="574">
        <v>162</v>
      </c>
      <c r="C26523" s="574">
        <v>178.3</v>
      </c>
    </row>
    <row r="26524" spans="1:3">
      <c r="A26524" s="573" t="s">
        <v>1378</v>
      </c>
      <c r="B26524" s="574">
        <v>210</v>
      </c>
      <c r="C26524" s="574">
        <v>188.3</v>
      </c>
    </row>
    <row r="26525" spans="1:3">
      <c r="A26525" s="573" t="s">
        <v>1378</v>
      </c>
      <c r="B26525" s="574">
        <v>236</v>
      </c>
      <c r="C26525" s="574">
        <v>158.30000000000001</v>
      </c>
    </row>
    <row r="26526" spans="1:3">
      <c r="A26526" s="573" t="s">
        <v>1378</v>
      </c>
      <c r="B26526" s="574">
        <v>236</v>
      </c>
      <c r="C26526" s="574">
        <v>158.30000000000001</v>
      </c>
    </row>
    <row r="26527" spans="1:3">
      <c r="A26527" s="571" t="s">
        <v>1377</v>
      </c>
      <c r="B26527" s="572">
        <v>0</v>
      </c>
      <c r="C26527" s="572">
        <v>0</v>
      </c>
    </row>
    <row r="26528" spans="1:3">
      <c r="A26528" s="571" t="s">
        <v>1377</v>
      </c>
      <c r="B26528" s="572">
        <v>1</v>
      </c>
      <c r="C26528" s="572">
        <v>46.7</v>
      </c>
    </row>
    <row r="26529" spans="1:3">
      <c r="A26529" s="571" t="s">
        <v>1377</v>
      </c>
      <c r="B26529" s="572">
        <v>3</v>
      </c>
      <c r="C26529" s="572">
        <v>70</v>
      </c>
    </row>
    <row r="26530" spans="1:3">
      <c r="A26530" s="571" t="s">
        <v>1377</v>
      </c>
      <c r="B26530" s="572">
        <v>7</v>
      </c>
      <c r="C26530" s="572">
        <v>138.30000000000001</v>
      </c>
    </row>
    <row r="26531" spans="1:3">
      <c r="A26531" s="571" t="s">
        <v>1377</v>
      </c>
      <c r="B26531" s="572">
        <v>13</v>
      </c>
      <c r="C26531" s="572">
        <v>213.3</v>
      </c>
    </row>
    <row r="26532" spans="1:3">
      <c r="A26532" s="571" t="s">
        <v>1377</v>
      </c>
      <c r="B26532" s="572">
        <v>17</v>
      </c>
      <c r="C26532" s="572">
        <v>215</v>
      </c>
    </row>
    <row r="26533" spans="1:3">
      <c r="A26533" s="571" t="s">
        <v>1377</v>
      </c>
      <c r="B26533" s="572">
        <v>22</v>
      </c>
      <c r="C26533" s="572">
        <v>248.3</v>
      </c>
    </row>
    <row r="26534" spans="1:3">
      <c r="A26534" s="571" t="s">
        <v>1377</v>
      </c>
      <c r="B26534" s="572">
        <v>29</v>
      </c>
      <c r="C26534" s="572">
        <v>293.3</v>
      </c>
    </row>
    <row r="26535" spans="1:3">
      <c r="A26535" s="571" t="s">
        <v>1377</v>
      </c>
      <c r="B26535" s="572">
        <v>31</v>
      </c>
      <c r="C26535" s="572">
        <v>291.7</v>
      </c>
    </row>
    <row r="26536" spans="1:3">
      <c r="A26536" s="571" t="s">
        <v>1377</v>
      </c>
      <c r="B26536" s="572">
        <v>37</v>
      </c>
      <c r="C26536" s="572">
        <v>318.3</v>
      </c>
    </row>
    <row r="26537" spans="1:3">
      <c r="A26537" s="571" t="s">
        <v>1377</v>
      </c>
      <c r="B26537" s="572">
        <v>38</v>
      </c>
      <c r="C26537" s="572">
        <v>311.7</v>
      </c>
    </row>
    <row r="26538" spans="1:3">
      <c r="A26538" s="571" t="s">
        <v>1377</v>
      </c>
      <c r="B26538" s="572">
        <v>38</v>
      </c>
      <c r="C26538" s="572">
        <v>313.3</v>
      </c>
    </row>
    <row r="26539" spans="1:3">
      <c r="A26539" s="571" t="s">
        <v>1377</v>
      </c>
      <c r="B26539" s="572">
        <v>44</v>
      </c>
      <c r="C26539" s="572">
        <v>330</v>
      </c>
    </row>
    <row r="26540" spans="1:3">
      <c r="A26540" s="571" t="s">
        <v>1377</v>
      </c>
      <c r="B26540" s="572">
        <v>49</v>
      </c>
      <c r="C26540" s="572">
        <v>318.3</v>
      </c>
    </row>
    <row r="26541" spans="1:3">
      <c r="A26541" s="571" t="s">
        <v>1377</v>
      </c>
      <c r="B26541" s="572">
        <v>55</v>
      </c>
      <c r="C26541" s="572">
        <v>341.7</v>
      </c>
    </row>
    <row r="26542" spans="1:3">
      <c r="A26542" s="571" t="s">
        <v>1377</v>
      </c>
      <c r="B26542" s="572">
        <v>59</v>
      </c>
      <c r="C26542" s="572">
        <v>343.3</v>
      </c>
    </row>
    <row r="26543" spans="1:3">
      <c r="A26543" s="571" t="s">
        <v>1377</v>
      </c>
      <c r="B26543" s="572">
        <v>62</v>
      </c>
      <c r="C26543" s="572">
        <v>318.3</v>
      </c>
    </row>
    <row r="26544" spans="1:3">
      <c r="A26544" s="571" t="s">
        <v>1377</v>
      </c>
      <c r="B26544" s="572">
        <v>64</v>
      </c>
      <c r="C26544" s="572">
        <v>346.7</v>
      </c>
    </row>
    <row r="26545" spans="1:3">
      <c r="A26545" s="571" t="s">
        <v>1377</v>
      </c>
      <c r="B26545" s="572">
        <v>83</v>
      </c>
      <c r="C26545" s="572">
        <v>370</v>
      </c>
    </row>
    <row r="26546" spans="1:3">
      <c r="A26546" s="573" t="s">
        <v>1377</v>
      </c>
      <c r="B26546" s="574">
        <v>111</v>
      </c>
      <c r="C26546" s="574">
        <v>355</v>
      </c>
    </row>
    <row r="26547" spans="1:3">
      <c r="A26547" s="573" t="s">
        <v>1377</v>
      </c>
      <c r="B26547" s="574">
        <v>134</v>
      </c>
      <c r="C26547" s="574">
        <v>366.7</v>
      </c>
    </row>
    <row r="26548" spans="1:3">
      <c r="A26548" s="573" t="s">
        <v>1377</v>
      </c>
      <c r="B26548" s="574">
        <v>139</v>
      </c>
      <c r="C26548" s="574">
        <v>356.7</v>
      </c>
    </row>
    <row r="26549" spans="1:3">
      <c r="A26549" s="573" t="s">
        <v>1377</v>
      </c>
      <c r="B26549" s="574">
        <v>174</v>
      </c>
      <c r="C26549" s="574">
        <v>398.3</v>
      </c>
    </row>
    <row r="26550" spans="1:3">
      <c r="A26550" s="573" t="s">
        <v>1377</v>
      </c>
      <c r="B26550" s="574">
        <v>191</v>
      </c>
      <c r="C26550" s="574">
        <v>416.7</v>
      </c>
    </row>
    <row r="26551" spans="1:3">
      <c r="A26551" s="573" t="s">
        <v>1377</v>
      </c>
      <c r="B26551" s="574">
        <v>239</v>
      </c>
      <c r="C26551" s="574">
        <v>406.7</v>
      </c>
    </row>
    <row r="26552" spans="1:3">
      <c r="A26552" s="573" t="s">
        <v>1377</v>
      </c>
      <c r="B26552" s="574">
        <v>265</v>
      </c>
      <c r="C26552" s="574">
        <v>408.3</v>
      </c>
    </row>
    <row r="26553" spans="1:3">
      <c r="A26553" s="573" t="s">
        <v>1377</v>
      </c>
      <c r="B26553" s="574">
        <v>290</v>
      </c>
      <c r="C26553" s="574">
        <v>428</v>
      </c>
    </row>
    <row r="26554" spans="1:3">
      <c r="A26554" s="573" t="s">
        <v>1377</v>
      </c>
      <c r="B26554" s="574">
        <v>296</v>
      </c>
      <c r="C26554" s="574">
        <v>422</v>
      </c>
    </row>
    <row r="26555" spans="1:3">
      <c r="A26555" s="573" t="s">
        <v>1377</v>
      </c>
      <c r="B26555" s="574">
        <v>314</v>
      </c>
      <c r="C26555" s="574">
        <v>420</v>
      </c>
    </row>
    <row r="26556" spans="1:3">
      <c r="A26556" s="573" t="s">
        <v>1377</v>
      </c>
      <c r="B26556" s="574">
        <v>380</v>
      </c>
      <c r="C26556" s="574">
        <v>408</v>
      </c>
    </row>
    <row r="26557" spans="1:3">
      <c r="A26557" s="573" t="s">
        <v>1377</v>
      </c>
      <c r="B26557" s="574">
        <v>409</v>
      </c>
      <c r="C26557" s="574">
        <v>425</v>
      </c>
    </row>
    <row r="26558" spans="1:3">
      <c r="A26558" s="573" t="s">
        <v>1377</v>
      </c>
      <c r="B26558" s="574">
        <v>409</v>
      </c>
      <c r="C26558" s="574">
        <v>425</v>
      </c>
    </row>
    <row r="26559" spans="1:3">
      <c r="A26559" s="571" t="s">
        <v>1376</v>
      </c>
      <c r="B26559" s="572">
        <v>0</v>
      </c>
      <c r="C26559" s="572">
        <v>0</v>
      </c>
    </row>
    <row r="26560" spans="1:3">
      <c r="A26560" s="571" t="s">
        <v>1376</v>
      </c>
      <c r="B26560" s="572">
        <v>3</v>
      </c>
      <c r="C26560" s="572">
        <v>73.3</v>
      </c>
    </row>
    <row r="26561" spans="1:3">
      <c r="A26561" s="571" t="s">
        <v>1376</v>
      </c>
      <c r="B26561" s="572">
        <v>6</v>
      </c>
      <c r="C26561" s="572">
        <v>75</v>
      </c>
    </row>
    <row r="26562" spans="1:3">
      <c r="A26562" s="571" t="s">
        <v>1376</v>
      </c>
      <c r="B26562" s="572">
        <v>9</v>
      </c>
      <c r="C26562" s="572">
        <v>68.3</v>
      </c>
    </row>
    <row r="26563" spans="1:3">
      <c r="A26563" s="571" t="s">
        <v>1376</v>
      </c>
      <c r="B26563" s="572">
        <v>13</v>
      </c>
      <c r="C26563" s="572">
        <v>68.3</v>
      </c>
    </row>
    <row r="26564" spans="1:3">
      <c r="A26564" s="571" t="s">
        <v>1376</v>
      </c>
      <c r="B26564" s="572">
        <v>28</v>
      </c>
      <c r="C26564" s="572">
        <v>48.3</v>
      </c>
    </row>
    <row r="26565" spans="1:3">
      <c r="A26565" s="571" t="s">
        <v>1376</v>
      </c>
      <c r="B26565" s="572">
        <v>35</v>
      </c>
      <c r="C26565" s="572">
        <v>30</v>
      </c>
    </row>
    <row r="26566" spans="1:3">
      <c r="A26566" s="571" t="s">
        <v>1376</v>
      </c>
      <c r="B26566" s="572">
        <v>48</v>
      </c>
      <c r="C26566" s="572">
        <v>41.7</v>
      </c>
    </row>
    <row r="26567" spans="1:3">
      <c r="A26567" s="571" t="s">
        <v>1376</v>
      </c>
      <c r="B26567" s="572">
        <v>58</v>
      </c>
      <c r="C26567" s="572">
        <v>35</v>
      </c>
    </row>
    <row r="26568" spans="1:3">
      <c r="A26568" s="571" t="s">
        <v>1376</v>
      </c>
      <c r="B26568" s="572">
        <v>97</v>
      </c>
      <c r="C26568" s="572">
        <v>86.7</v>
      </c>
    </row>
    <row r="26569" spans="1:3">
      <c r="A26569" s="573" t="s">
        <v>1376</v>
      </c>
      <c r="B26569" s="574">
        <v>120</v>
      </c>
      <c r="C26569" s="574">
        <v>71.7</v>
      </c>
    </row>
    <row r="26570" spans="1:3">
      <c r="A26570" s="573" t="s">
        <v>1376</v>
      </c>
      <c r="B26570" s="574">
        <v>174</v>
      </c>
      <c r="C26570" s="574">
        <v>122</v>
      </c>
    </row>
    <row r="26571" spans="1:3">
      <c r="A26571" s="573" t="s">
        <v>1376</v>
      </c>
      <c r="B26571" s="574">
        <v>254</v>
      </c>
      <c r="C26571" s="574">
        <v>122</v>
      </c>
    </row>
    <row r="26572" spans="1:3">
      <c r="A26572" s="573" t="s">
        <v>1376</v>
      </c>
      <c r="B26572" s="574">
        <v>266</v>
      </c>
      <c r="C26572" s="574">
        <v>135</v>
      </c>
    </row>
    <row r="26573" spans="1:3">
      <c r="A26573" s="573" t="s">
        <v>1376</v>
      </c>
      <c r="B26573" s="574">
        <v>295</v>
      </c>
      <c r="C26573" s="574">
        <v>132</v>
      </c>
    </row>
    <row r="26574" spans="1:3">
      <c r="A26574" s="573" t="s">
        <v>1376</v>
      </c>
      <c r="B26574" s="574">
        <v>295</v>
      </c>
      <c r="C26574" s="574">
        <v>132</v>
      </c>
    </row>
    <row r="26575" spans="1:3">
      <c r="A26575" s="571" t="s">
        <v>1375</v>
      </c>
      <c r="B26575" s="572">
        <v>0</v>
      </c>
      <c r="C26575" s="572">
        <v>0</v>
      </c>
    </row>
    <row r="26576" spans="1:3">
      <c r="A26576" s="571" t="s">
        <v>1375</v>
      </c>
      <c r="B26576" s="572">
        <v>3</v>
      </c>
      <c r="C26576" s="572">
        <v>28.3</v>
      </c>
    </row>
    <row r="26577" spans="1:3">
      <c r="A26577" s="571" t="s">
        <v>1375</v>
      </c>
      <c r="B26577" s="572">
        <v>8</v>
      </c>
      <c r="C26577" s="572">
        <v>31.7</v>
      </c>
    </row>
    <row r="26578" spans="1:3">
      <c r="A26578" s="571" t="s">
        <v>1375</v>
      </c>
      <c r="B26578" s="572">
        <v>23</v>
      </c>
      <c r="C26578" s="572">
        <v>56.7</v>
      </c>
    </row>
    <row r="26579" spans="1:3">
      <c r="A26579" s="571" t="s">
        <v>1375</v>
      </c>
      <c r="B26579" s="572">
        <v>24</v>
      </c>
      <c r="C26579" s="572">
        <v>73.3</v>
      </c>
    </row>
    <row r="26580" spans="1:3">
      <c r="A26580" s="571" t="s">
        <v>1375</v>
      </c>
      <c r="B26580" s="572">
        <v>27</v>
      </c>
      <c r="C26580" s="572">
        <v>56.7</v>
      </c>
    </row>
    <row r="26581" spans="1:3">
      <c r="A26581" s="571" t="s">
        <v>1375</v>
      </c>
      <c r="B26581" s="572">
        <v>29</v>
      </c>
      <c r="C26581" s="572">
        <v>68.3</v>
      </c>
    </row>
    <row r="26582" spans="1:3">
      <c r="A26582" s="571" t="s">
        <v>1375</v>
      </c>
      <c r="B26582" s="572">
        <v>31</v>
      </c>
      <c r="C26582" s="572">
        <v>81.7</v>
      </c>
    </row>
    <row r="26583" spans="1:3">
      <c r="A26583" s="571" t="s">
        <v>1375</v>
      </c>
      <c r="B26583" s="572">
        <v>35</v>
      </c>
      <c r="C26583" s="572">
        <v>98.3</v>
      </c>
    </row>
    <row r="26584" spans="1:3">
      <c r="A26584" s="571" t="s">
        <v>1375</v>
      </c>
      <c r="B26584" s="572">
        <v>45</v>
      </c>
      <c r="C26584" s="572">
        <v>73.3</v>
      </c>
    </row>
    <row r="26585" spans="1:3">
      <c r="A26585" s="571" t="s">
        <v>1375</v>
      </c>
      <c r="B26585" s="572">
        <v>48</v>
      </c>
      <c r="C26585" s="572">
        <v>68.3</v>
      </c>
    </row>
    <row r="26586" spans="1:3">
      <c r="A26586" s="571" t="s">
        <v>1375</v>
      </c>
      <c r="B26586" s="572">
        <v>50</v>
      </c>
      <c r="C26586" s="572">
        <v>80</v>
      </c>
    </row>
    <row r="26587" spans="1:3">
      <c r="A26587" s="571" t="s">
        <v>1375</v>
      </c>
      <c r="B26587" s="572">
        <v>69</v>
      </c>
      <c r="C26587" s="572">
        <v>78.3</v>
      </c>
    </row>
    <row r="26588" spans="1:3">
      <c r="A26588" s="571" t="s">
        <v>1375</v>
      </c>
      <c r="B26588" s="572">
        <v>97</v>
      </c>
      <c r="C26588" s="572">
        <v>88.3</v>
      </c>
    </row>
    <row r="26589" spans="1:3">
      <c r="A26589" s="573" t="s">
        <v>1375</v>
      </c>
      <c r="B26589" s="574">
        <v>120</v>
      </c>
      <c r="C26589" s="574">
        <v>73.3</v>
      </c>
    </row>
    <row r="26590" spans="1:3">
      <c r="A26590" s="573" t="s">
        <v>1375</v>
      </c>
      <c r="B26590" s="574">
        <v>125</v>
      </c>
      <c r="C26590" s="574">
        <v>91.7</v>
      </c>
    </row>
    <row r="26591" spans="1:3">
      <c r="A26591" s="573" t="s">
        <v>1375</v>
      </c>
      <c r="B26591" s="574">
        <v>160</v>
      </c>
      <c r="C26591" s="574">
        <v>106.7</v>
      </c>
    </row>
    <row r="26592" spans="1:3">
      <c r="A26592" s="573" t="s">
        <v>1375</v>
      </c>
      <c r="B26592" s="574">
        <v>177</v>
      </c>
      <c r="C26592" s="574">
        <v>106.7</v>
      </c>
    </row>
    <row r="26593" spans="1:3">
      <c r="A26593" s="573" t="s">
        <v>1375</v>
      </c>
      <c r="B26593" s="574">
        <v>251</v>
      </c>
      <c r="C26593" s="574">
        <v>125</v>
      </c>
    </row>
    <row r="26594" spans="1:3">
      <c r="A26594" s="573" t="s">
        <v>1375</v>
      </c>
      <c r="B26594" s="574">
        <v>265</v>
      </c>
      <c r="C26594" s="574">
        <v>123.3</v>
      </c>
    </row>
    <row r="26595" spans="1:3">
      <c r="A26595" s="573" t="s">
        <v>1375</v>
      </c>
      <c r="B26595" s="574">
        <v>276</v>
      </c>
      <c r="C26595" s="574">
        <v>112</v>
      </c>
    </row>
    <row r="26596" spans="1:3">
      <c r="A26596" s="573" t="s">
        <v>1375</v>
      </c>
      <c r="B26596" s="574">
        <v>282</v>
      </c>
      <c r="C26596" s="574">
        <v>115</v>
      </c>
    </row>
    <row r="26597" spans="1:3">
      <c r="A26597" s="573" t="s">
        <v>1375</v>
      </c>
      <c r="B26597" s="574">
        <v>300</v>
      </c>
      <c r="C26597" s="574">
        <v>113</v>
      </c>
    </row>
    <row r="26598" spans="1:3">
      <c r="A26598" s="573" t="s">
        <v>1375</v>
      </c>
      <c r="B26598" s="574">
        <v>372</v>
      </c>
      <c r="C26598" s="574">
        <v>125</v>
      </c>
    </row>
    <row r="26599" spans="1:3">
      <c r="A26599" s="573" t="s">
        <v>1375</v>
      </c>
      <c r="B26599" s="574">
        <v>409</v>
      </c>
      <c r="C26599" s="574">
        <v>138</v>
      </c>
    </row>
    <row r="26600" spans="1:3">
      <c r="A26600" s="573" t="s">
        <v>1375</v>
      </c>
      <c r="B26600" s="574">
        <v>409</v>
      </c>
      <c r="C26600" s="574">
        <v>138</v>
      </c>
    </row>
    <row r="26601" spans="1:3">
      <c r="A26601" s="571" t="s">
        <v>1374</v>
      </c>
      <c r="B26601" s="572">
        <v>0</v>
      </c>
      <c r="C26601" s="572">
        <v>0</v>
      </c>
    </row>
    <row r="26602" spans="1:3">
      <c r="A26602" s="571" t="s">
        <v>1374</v>
      </c>
      <c r="B26602" s="572">
        <v>2</v>
      </c>
      <c r="C26602" s="572">
        <v>8.3000000000000007</v>
      </c>
    </row>
    <row r="26603" spans="1:3">
      <c r="A26603" s="571" t="s">
        <v>1374</v>
      </c>
      <c r="B26603" s="572">
        <v>3</v>
      </c>
      <c r="C26603" s="572">
        <v>45</v>
      </c>
    </row>
    <row r="26604" spans="1:3">
      <c r="A26604" s="571" t="s">
        <v>1374</v>
      </c>
      <c r="B26604" s="572">
        <v>4</v>
      </c>
      <c r="C26604" s="572">
        <v>70</v>
      </c>
    </row>
    <row r="26605" spans="1:3">
      <c r="A26605" s="571" t="s">
        <v>1374</v>
      </c>
      <c r="B26605" s="572">
        <v>8</v>
      </c>
      <c r="C26605" s="572">
        <v>51.7</v>
      </c>
    </row>
    <row r="26606" spans="1:3">
      <c r="A26606" s="571" t="s">
        <v>1374</v>
      </c>
      <c r="B26606" s="572">
        <v>8</v>
      </c>
      <c r="C26606" s="572">
        <v>48.3</v>
      </c>
    </row>
    <row r="26607" spans="1:3">
      <c r="A26607" s="571" t="s">
        <v>1374</v>
      </c>
      <c r="B26607" s="572">
        <v>14</v>
      </c>
      <c r="C26607" s="572">
        <v>55</v>
      </c>
    </row>
    <row r="26608" spans="1:3">
      <c r="A26608" s="571" t="s">
        <v>1374</v>
      </c>
      <c r="B26608" s="572">
        <v>18</v>
      </c>
      <c r="C26608" s="572">
        <v>80</v>
      </c>
    </row>
    <row r="26609" spans="1:3">
      <c r="A26609" s="571" t="s">
        <v>1374</v>
      </c>
      <c r="B26609" s="572">
        <v>21</v>
      </c>
      <c r="C26609" s="572">
        <v>98.3</v>
      </c>
    </row>
    <row r="26610" spans="1:3">
      <c r="A26610" s="571" t="s">
        <v>1374</v>
      </c>
      <c r="B26610" s="572">
        <v>23</v>
      </c>
      <c r="C26610" s="572">
        <v>103.3</v>
      </c>
    </row>
    <row r="26611" spans="1:3">
      <c r="A26611" s="571" t="s">
        <v>1374</v>
      </c>
      <c r="B26611" s="572">
        <v>42</v>
      </c>
      <c r="C26611" s="572">
        <v>110</v>
      </c>
    </row>
    <row r="26612" spans="1:3">
      <c r="A26612" s="571" t="s">
        <v>1374</v>
      </c>
      <c r="B26612" s="572">
        <v>58</v>
      </c>
      <c r="C26612" s="572">
        <v>103.3</v>
      </c>
    </row>
    <row r="26613" spans="1:3">
      <c r="A26613" s="571" t="s">
        <v>1374</v>
      </c>
      <c r="B26613" s="572">
        <v>70</v>
      </c>
      <c r="C26613" s="572">
        <v>145</v>
      </c>
    </row>
    <row r="26614" spans="1:3">
      <c r="A26614" s="571" t="s">
        <v>1374</v>
      </c>
      <c r="B26614" s="572">
        <v>93</v>
      </c>
      <c r="C26614" s="572">
        <v>153.30000000000001</v>
      </c>
    </row>
    <row r="26615" spans="1:3">
      <c r="A26615" s="571" t="s">
        <v>1374</v>
      </c>
      <c r="B26615" s="572">
        <v>98</v>
      </c>
      <c r="C26615" s="572">
        <v>153.30000000000001</v>
      </c>
    </row>
    <row r="26616" spans="1:3">
      <c r="A26616" s="573" t="s">
        <v>1374</v>
      </c>
      <c r="B26616" s="574">
        <v>133</v>
      </c>
      <c r="C26616" s="574">
        <v>153.30000000000001</v>
      </c>
    </row>
    <row r="26617" spans="1:3">
      <c r="A26617" s="573" t="s">
        <v>1374</v>
      </c>
      <c r="B26617" s="574">
        <v>150</v>
      </c>
      <c r="C26617" s="574">
        <v>156.69999999999999</v>
      </c>
    </row>
    <row r="26618" spans="1:3">
      <c r="A26618" s="573" t="s">
        <v>1374</v>
      </c>
      <c r="B26618" s="574">
        <v>224</v>
      </c>
      <c r="C26618" s="574">
        <v>193.3</v>
      </c>
    </row>
    <row r="26619" spans="1:3">
      <c r="A26619" s="573" t="s">
        <v>1374</v>
      </c>
      <c r="B26619" s="574">
        <v>238</v>
      </c>
      <c r="C26619" s="574">
        <v>203.3</v>
      </c>
    </row>
    <row r="26620" spans="1:3">
      <c r="A26620" s="573" t="s">
        <v>1374</v>
      </c>
      <c r="B26620" s="574">
        <v>238</v>
      </c>
      <c r="C26620" s="574">
        <v>203.3</v>
      </c>
    </row>
    <row r="26621" spans="1:3">
      <c r="A26621" s="571" t="s">
        <v>1373</v>
      </c>
      <c r="B26621" s="572">
        <v>0</v>
      </c>
      <c r="C26621" s="572">
        <v>0</v>
      </c>
    </row>
    <row r="26622" spans="1:3">
      <c r="A26622" s="571" t="s">
        <v>1373</v>
      </c>
      <c r="B26622" s="572">
        <v>3</v>
      </c>
      <c r="C26622" s="572">
        <v>115</v>
      </c>
    </row>
    <row r="26623" spans="1:3">
      <c r="A26623" s="571" t="s">
        <v>1373</v>
      </c>
      <c r="B26623" s="572">
        <v>8</v>
      </c>
      <c r="C26623" s="572">
        <v>121.7</v>
      </c>
    </row>
    <row r="26624" spans="1:3">
      <c r="A26624" s="571" t="s">
        <v>1373</v>
      </c>
      <c r="B26624" s="572">
        <v>9</v>
      </c>
      <c r="C26624" s="572">
        <v>145</v>
      </c>
    </row>
    <row r="26625" spans="1:3">
      <c r="A26625" s="571" t="s">
        <v>1373</v>
      </c>
      <c r="B26625" s="572">
        <v>13</v>
      </c>
      <c r="C26625" s="572">
        <v>183.3</v>
      </c>
    </row>
    <row r="26626" spans="1:3">
      <c r="A26626" s="571" t="s">
        <v>1373</v>
      </c>
      <c r="B26626" s="572">
        <v>17</v>
      </c>
      <c r="C26626" s="572">
        <v>246.7</v>
      </c>
    </row>
    <row r="26627" spans="1:3">
      <c r="A26627" s="571" t="s">
        <v>1373</v>
      </c>
      <c r="B26627" s="572">
        <v>23</v>
      </c>
      <c r="C26627" s="572">
        <v>272.5</v>
      </c>
    </row>
    <row r="26628" spans="1:3">
      <c r="A26628" s="571" t="s">
        <v>1373</v>
      </c>
      <c r="B26628" s="572">
        <v>24</v>
      </c>
      <c r="C26628" s="572">
        <v>275.8</v>
      </c>
    </row>
    <row r="26629" spans="1:3">
      <c r="A26629" s="571" t="s">
        <v>1373</v>
      </c>
      <c r="B26629" s="572">
        <v>27</v>
      </c>
      <c r="C26629" s="572">
        <v>274.2</v>
      </c>
    </row>
    <row r="26630" spans="1:3">
      <c r="A26630" s="571" t="s">
        <v>1373</v>
      </c>
      <c r="B26630" s="572">
        <v>29</v>
      </c>
      <c r="C26630" s="572">
        <v>287.5</v>
      </c>
    </row>
    <row r="26631" spans="1:3">
      <c r="A26631" s="571" t="s">
        <v>1373</v>
      </c>
      <c r="B26631" s="572">
        <v>31</v>
      </c>
      <c r="C26631" s="572">
        <v>302.5</v>
      </c>
    </row>
    <row r="26632" spans="1:3">
      <c r="A26632" s="571" t="s">
        <v>1373</v>
      </c>
      <c r="B26632" s="572">
        <v>35</v>
      </c>
      <c r="C26632" s="572">
        <v>320.8</v>
      </c>
    </row>
    <row r="26633" spans="1:3">
      <c r="A26633" s="571" t="s">
        <v>1373</v>
      </c>
      <c r="B26633" s="572">
        <v>41</v>
      </c>
      <c r="C26633" s="572">
        <v>277.5</v>
      </c>
    </row>
    <row r="26634" spans="1:3">
      <c r="A26634" s="571" t="s">
        <v>1373</v>
      </c>
      <c r="B26634" s="572">
        <v>45</v>
      </c>
      <c r="C26634" s="572">
        <v>284.2</v>
      </c>
    </row>
    <row r="26635" spans="1:3">
      <c r="A26635" s="571" t="s">
        <v>1373</v>
      </c>
      <c r="B26635" s="572">
        <v>48</v>
      </c>
      <c r="C26635" s="572">
        <v>322.5</v>
      </c>
    </row>
    <row r="26636" spans="1:3">
      <c r="A26636" s="571" t="s">
        <v>1373</v>
      </c>
      <c r="B26636" s="572">
        <v>50</v>
      </c>
      <c r="C26636" s="572">
        <v>340.8</v>
      </c>
    </row>
    <row r="26637" spans="1:3">
      <c r="A26637" s="571" t="s">
        <v>1373</v>
      </c>
      <c r="B26637" s="572">
        <v>69</v>
      </c>
      <c r="C26637" s="572">
        <v>362.5</v>
      </c>
    </row>
    <row r="26638" spans="1:3">
      <c r="A26638" s="571" t="s">
        <v>1373</v>
      </c>
      <c r="B26638" s="572">
        <v>97</v>
      </c>
      <c r="C26638" s="572">
        <v>364.2</v>
      </c>
    </row>
    <row r="26639" spans="1:3">
      <c r="A26639" s="573" t="s">
        <v>1373</v>
      </c>
      <c r="B26639" s="574">
        <v>120</v>
      </c>
      <c r="C26639" s="574">
        <v>360.8</v>
      </c>
    </row>
    <row r="26640" spans="1:3">
      <c r="A26640" s="573" t="s">
        <v>1373</v>
      </c>
      <c r="B26640" s="574">
        <v>125</v>
      </c>
      <c r="C26640" s="574">
        <v>364.2</v>
      </c>
    </row>
    <row r="26641" spans="1:3">
      <c r="A26641" s="573" t="s">
        <v>1373</v>
      </c>
      <c r="B26641" s="574">
        <v>160</v>
      </c>
      <c r="C26641" s="574">
        <v>384.2</v>
      </c>
    </row>
    <row r="26642" spans="1:3">
      <c r="A26642" s="573" t="s">
        <v>1373</v>
      </c>
      <c r="B26642" s="574">
        <v>177</v>
      </c>
      <c r="C26642" s="574">
        <v>385.8</v>
      </c>
    </row>
    <row r="26643" spans="1:3">
      <c r="A26643" s="573" t="s">
        <v>1373</v>
      </c>
      <c r="B26643" s="574">
        <v>251</v>
      </c>
      <c r="C26643" s="574">
        <v>424.2</v>
      </c>
    </row>
    <row r="26644" spans="1:3">
      <c r="A26644" s="573" t="s">
        <v>1373</v>
      </c>
      <c r="B26644" s="574">
        <v>265</v>
      </c>
      <c r="C26644" s="574">
        <v>424.2</v>
      </c>
    </row>
    <row r="26645" spans="1:3">
      <c r="A26645" s="573" t="s">
        <v>1373</v>
      </c>
      <c r="B26645" s="574">
        <v>276</v>
      </c>
      <c r="C26645" s="574">
        <v>413</v>
      </c>
    </row>
    <row r="26646" spans="1:3">
      <c r="A26646" s="573" t="s">
        <v>1373</v>
      </c>
      <c r="B26646" s="574">
        <v>282</v>
      </c>
      <c r="C26646" s="574">
        <v>420</v>
      </c>
    </row>
    <row r="26647" spans="1:3">
      <c r="A26647" s="573" t="s">
        <v>1373</v>
      </c>
      <c r="B26647" s="574">
        <v>300</v>
      </c>
      <c r="C26647" s="574">
        <v>413</v>
      </c>
    </row>
    <row r="26648" spans="1:3">
      <c r="A26648" s="573" t="s">
        <v>1373</v>
      </c>
      <c r="B26648" s="574">
        <v>372</v>
      </c>
      <c r="C26648" s="574">
        <v>420</v>
      </c>
    </row>
    <row r="26649" spans="1:3">
      <c r="A26649" s="573" t="s">
        <v>1373</v>
      </c>
      <c r="B26649" s="574">
        <v>409</v>
      </c>
      <c r="C26649" s="574">
        <v>415</v>
      </c>
    </row>
    <row r="26650" spans="1:3">
      <c r="A26650" s="573" t="s">
        <v>1373</v>
      </c>
      <c r="B26650" s="574">
        <v>409</v>
      </c>
      <c r="C26650" s="574">
        <v>415</v>
      </c>
    </row>
    <row r="26651" spans="1:3">
      <c r="A26651" s="571" t="s">
        <v>1372</v>
      </c>
      <c r="B26651" s="572">
        <v>0</v>
      </c>
      <c r="C26651" s="572">
        <v>0</v>
      </c>
    </row>
    <row r="26652" spans="1:3">
      <c r="A26652" s="571" t="s">
        <v>1372</v>
      </c>
      <c r="B26652" s="572">
        <v>1</v>
      </c>
      <c r="C26652" s="572">
        <v>1.7</v>
      </c>
    </row>
    <row r="26653" spans="1:3">
      <c r="A26653" s="571" t="s">
        <v>1372</v>
      </c>
      <c r="B26653" s="572">
        <v>3</v>
      </c>
      <c r="C26653" s="572">
        <v>20</v>
      </c>
    </row>
    <row r="26654" spans="1:3">
      <c r="A26654" s="571" t="s">
        <v>1372</v>
      </c>
      <c r="B26654" s="572">
        <v>9</v>
      </c>
      <c r="C26654" s="572">
        <v>65</v>
      </c>
    </row>
    <row r="26655" spans="1:3">
      <c r="A26655" s="571" t="s">
        <v>1372</v>
      </c>
      <c r="B26655" s="572">
        <v>10</v>
      </c>
      <c r="C26655" s="572">
        <v>60</v>
      </c>
    </row>
    <row r="26656" spans="1:3">
      <c r="A26656" s="571" t="s">
        <v>1372</v>
      </c>
      <c r="B26656" s="572">
        <v>13</v>
      </c>
      <c r="C26656" s="572">
        <v>75</v>
      </c>
    </row>
    <row r="26657" spans="1:3">
      <c r="A26657" s="571" t="s">
        <v>1372</v>
      </c>
      <c r="B26657" s="572">
        <v>27</v>
      </c>
      <c r="C26657" s="572">
        <v>123.3</v>
      </c>
    </row>
    <row r="26658" spans="1:3">
      <c r="A26658" s="571" t="s">
        <v>1372</v>
      </c>
      <c r="B26658" s="572">
        <v>29</v>
      </c>
      <c r="C26658" s="572">
        <v>123.3</v>
      </c>
    </row>
    <row r="26659" spans="1:3">
      <c r="A26659" s="571" t="s">
        <v>1372</v>
      </c>
      <c r="B26659" s="572">
        <v>31</v>
      </c>
      <c r="C26659" s="572">
        <v>135</v>
      </c>
    </row>
    <row r="26660" spans="1:3">
      <c r="A26660" s="571" t="s">
        <v>1372</v>
      </c>
      <c r="B26660" s="572">
        <v>34</v>
      </c>
      <c r="C26660" s="572">
        <v>116.7</v>
      </c>
    </row>
    <row r="26661" spans="1:3">
      <c r="A26661" s="571" t="s">
        <v>1372</v>
      </c>
      <c r="B26661" s="572">
        <v>36</v>
      </c>
      <c r="C26661" s="572">
        <v>136.69999999999999</v>
      </c>
    </row>
    <row r="26662" spans="1:3">
      <c r="A26662" s="571" t="s">
        <v>1372</v>
      </c>
      <c r="B26662" s="572">
        <v>41</v>
      </c>
      <c r="C26662" s="572">
        <v>143.30000000000001</v>
      </c>
    </row>
    <row r="26663" spans="1:3">
      <c r="A26663" s="571" t="s">
        <v>1372</v>
      </c>
      <c r="B26663" s="572">
        <v>48</v>
      </c>
      <c r="C26663" s="572">
        <v>116.7</v>
      </c>
    </row>
    <row r="26664" spans="1:3">
      <c r="A26664" s="571" t="s">
        <v>1372</v>
      </c>
      <c r="B26664" s="572">
        <v>71</v>
      </c>
      <c r="C26664" s="572">
        <v>103.3</v>
      </c>
    </row>
    <row r="26665" spans="1:3">
      <c r="A26665" s="571" t="s">
        <v>1372</v>
      </c>
      <c r="B26665" s="572">
        <v>83</v>
      </c>
      <c r="C26665" s="572">
        <v>108.3</v>
      </c>
    </row>
    <row r="26666" spans="1:3">
      <c r="A26666" s="573" t="s">
        <v>1372</v>
      </c>
      <c r="B26666" s="574">
        <v>106</v>
      </c>
      <c r="C26666" s="574">
        <v>118.3</v>
      </c>
    </row>
    <row r="26667" spans="1:3">
      <c r="A26667" s="573" t="s">
        <v>1372</v>
      </c>
      <c r="B26667" s="574">
        <v>111</v>
      </c>
      <c r="C26667" s="574">
        <v>103.3</v>
      </c>
    </row>
    <row r="26668" spans="1:3">
      <c r="A26668" s="573" t="s">
        <v>1372</v>
      </c>
      <c r="B26668" s="574">
        <v>129</v>
      </c>
      <c r="C26668" s="574">
        <v>130</v>
      </c>
    </row>
    <row r="26669" spans="1:3">
      <c r="A26669" s="573" t="s">
        <v>1372</v>
      </c>
      <c r="B26669" s="574">
        <v>146</v>
      </c>
      <c r="C26669" s="574">
        <v>113.3</v>
      </c>
    </row>
    <row r="26670" spans="1:3">
      <c r="A26670" s="573" t="s">
        <v>1372</v>
      </c>
      <c r="B26670" s="574">
        <v>163</v>
      </c>
      <c r="C26670" s="574">
        <v>123.3</v>
      </c>
    </row>
    <row r="26671" spans="1:3">
      <c r="A26671" s="573" t="s">
        <v>1372</v>
      </c>
      <c r="B26671" s="574">
        <v>237</v>
      </c>
      <c r="C26671" s="574">
        <v>141.69999999999999</v>
      </c>
    </row>
    <row r="26672" spans="1:3">
      <c r="A26672" s="573" t="s">
        <v>1372</v>
      </c>
      <c r="B26672" s="574">
        <v>262</v>
      </c>
      <c r="C26672" s="574">
        <v>147</v>
      </c>
    </row>
    <row r="26673" spans="1:3">
      <c r="A26673" s="573" t="s">
        <v>1372</v>
      </c>
      <c r="B26673" s="574">
        <v>268</v>
      </c>
      <c r="C26673" s="574">
        <v>153</v>
      </c>
    </row>
    <row r="26674" spans="1:3">
      <c r="A26674" s="573" t="s">
        <v>1372</v>
      </c>
      <c r="B26674" s="574">
        <v>286</v>
      </c>
      <c r="C26674" s="574">
        <v>137</v>
      </c>
    </row>
    <row r="26675" spans="1:3">
      <c r="A26675" s="573" t="s">
        <v>1372</v>
      </c>
      <c r="B26675" s="574">
        <v>358</v>
      </c>
      <c r="C26675" s="574">
        <v>127</v>
      </c>
    </row>
    <row r="26676" spans="1:3">
      <c r="A26676" s="573" t="s">
        <v>1372</v>
      </c>
      <c r="B26676" s="574">
        <v>395</v>
      </c>
      <c r="C26676" s="574">
        <v>148</v>
      </c>
    </row>
    <row r="26677" spans="1:3">
      <c r="A26677" s="573" t="s">
        <v>1372</v>
      </c>
      <c r="B26677" s="574">
        <v>395</v>
      </c>
      <c r="C26677" s="574">
        <v>148</v>
      </c>
    </row>
    <row r="26678" spans="1:3">
      <c r="A26678" s="571" t="s">
        <v>1371</v>
      </c>
      <c r="B26678" s="572">
        <v>0</v>
      </c>
      <c r="C26678" s="572">
        <v>0</v>
      </c>
    </row>
    <row r="26679" spans="1:3">
      <c r="A26679" s="571" t="s">
        <v>1371</v>
      </c>
      <c r="B26679" s="572">
        <v>1</v>
      </c>
      <c r="C26679" s="572">
        <v>51.7</v>
      </c>
    </row>
    <row r="26680" spans="1:3">
      <c r="A26680" s="571" t="s">
        <v>1371</v>
      </c>
      <c r="B26680" s="572">
        <v>3</v>
      </c>
      <c r="C26680" s="572">
        <v>50</v>
      </c>
    </row>
    <row r="26681" spans="1:3">
      <c r="A26681" s="571" t="s">
        <v>1371</v>
      </c>
      <c r="B26681" s="572">
        <v>6</v>
      </c>
      <c r="C26681" s="572">
        <v>45</v>
      </c>
    </row>
    <row r="26682" spans="1:3">
      <c r="A26682" s="571" t="s">
        <v>1371</v>
      </c>
      <c r="B26682" s="572">
        <v>8</v>
      </c>
      <c r="C26682" s="572">
        <v>63.3</v>
      </c>
    </row>
    <row r="26683" spans="1:3">
      <c r="A26683" s="571" t="s">
        <v>1371</v>
      </c>
      <c r="B26683" s="572">
        <v>13</v>
      </c>
      <c r="C26683" s="572">
        <v>95</v>
      </c>
    </row>
    <row r="26684" spans="1:3">
      <c r="A26684" s="571" t="s">
        <v>1371</v>
      </c>
      <c r="B26684" s="572">
        <v>20</v>
      </c>
      <c r="C26684" s="572">
        <v>53.3</v>
      </c>
    </row>
    <row r="26685" spans="1:3">
      <c r="A26685" s="571" t="s">
        <v>1371</v>
      </c>
      <c r="B26685" s="572">
        <v>43</v>
      </c>
      <c r="C26685" s="572">
        <v>55</v>
      </c>
    </row>
    <row r="26686" spans="1:3">
      <c r="A26686" s="571" t="s">
        <v>1371</v>
      </c>
      <c r="B26686" s="572">
        <v>55</v>
      </c>
      <c r="C26686" s="572">
        <v>81.7</v>
      </c>
    </row>
    <row r="26687" spans="1:3">
      <c r="A26687" s="571" t="s">
        <v>1371</v>
      </c>
      <c r="B26687" s="572">
        <v>78</v>
      </c>
      <c r="C26687" s="572">
        <v>83.3</v>
      </c>
    </row>
    <row r="26688" spans="1:3">
      <c r="A26688" s="571" t="s">
        <v>1371</v>
      </c>
      <c r="B26688" s="572">
        <v>83</v>
      </c>
      <c r="C26688" s="572">
        <v>85</v>
      </c>
    </row>
    <row r="26689" spans="1:3">
      <c r="A26689" s="573" t="s">
        <v>1371</v>
      </c>
      <c r="B26689" s="574">
        <v>101</v>
      </c>
      <c r="C26689" s="574">
        <v>108.3</v>
      </c>
    </row>
    <row r="26690" spans="1:3">
      <c r="A26690" s="573" t="s">
        <v>1371</v>
      </c>
      <c r="B26690" s="574">
        <v>118</v>
      </c>
      <c r="C26690" s="574">
        <v>105</v>
      </c>
    </row>
    <row r="26691" spans="1:3">
      <c r="A26691" s="573" t="s">
        <v>1371</v>
      </c>
      <c r="B26691" s="574">
        <v>135</v>
      </c>
      <c r="C26691" s="574">
        <v>105</v>
      </c>
    </row>
    <row r="26692" spans="1:3">
      <c r="A26692" s="573" t="s">
        <v>1371</v>
      </c>
      <c r="B26692" s="574">
        <v>209</v>
      </c>
      <c r="C26692" s="574">
        <v>128.30000000000001</v>
      </c>
    </row>
    <row r="26693" spans="1:3">
      <c r="A26693" s="573" t="s">
        <v>1371</v>
      </c>
      <c r="B26693" s="574">
        <v>209</v>
      </c>
      <c r="C26693" s="574">
        <v>128.30000000000001</v>
      </c>
    </row>
    <row r="26694" spans="1:3">
      <c r="A26694" s="571" t="s">
        <v>1370</v>
      </c>
      <c r="B26694" s="572">
        <v>0</v>
      </c>
      <c r="C26694" s="572">
        <v>0</v>
      </c>
    </row>
    <row r="26695" spans="1:3">
      <c r="A26695" s="571" t="s">
        <v>1370</v>
      </c>
      <c r="B26695" s="572">
        <v>1</v>
      </c>
      <c r="C26695" s="572">
        <v>13.3</v>
      </c>
    </row>
    <row r="26696" spans="1:3">
      <c r="A26696" s="571" t="s">
        <v>1370</v>
      </c>
      <c r="B26696" s="572">
        <v>3</v>
      </c>
      <c r="C26696" s="572">
        <v>76.7</v>
      </c>
    </row>
    <row r="26697" spans="1:3">
      <c r="A26697" s="571" t="s">
        <v>1370</v>
      </c>
      <c r="B26697" s="572">
        <v>9</v>
      </c>
      <c r="C26697" s="572">
        <v>160</v>
      </c>
    </row>
    <row r="26698" spans="1:3">
      <c r="A26698" s="571" t="s">
        <v>1370</v>
      </c>
      <c r="B26698" s="572">
        <v>10</v>
      </c>
      <c r="C26698" s="572">
        <v>160</v>
      </c>
    </row>
    <row r="26699" spans="1:3">
      <c r="A26699" s="571" t="s">
        <v>1370</v>
      </c>
      <c r="B26699" s="572">
        <v>13</v>
      </c>
      <c r="C26699" s="572">
        <v>183.3</v>
      </c>
    </row>
    <row r="26700" spans="1:3">
      <c r="A26700" s="571" t="s">
        <v>1370</v>
      </c>
      <c r="B26700" s="572">
        <v>21</v>
      </c>
      <c r="C26700" s="572">
        <v>215</v>
      </c>
    </row>
    <row r="26701" spans="1:3">
      <c r="A26701" s="571" t="s">
        <v>1370</v>
      </c>
      <c r="B26701" s="572">
        <v>27</v>
      </c>
      <c r="C26701" s="572">
        <v>228.3</v>
      </c>
    </row>
    <row r="26702" spans="1:3">
      <c r="A26702" s="571" t="s">
        <v>1370</v>
      </c>
      <c r="B26702" s="572">
        <v>28</v>
      </c>
      <c r="C26702" s="572">
        <v>240</v>
      </c>
    </row>
    <row r="26703" spans="1:3">
      <c r="A26703" s="571" t="s">
        <v>1370</v>
      </c>
      <c r="B26703" s="572">
        <v>29</v>
      </c>
      <c r="C26703" s="572">
        <v>228.3</v>
      </c>
    </row>
    <row r="26704" spans="1:3">
      <c r="A26704" s="571" t="s">
        <v>1370</v>
      </c>
      <c r="B26704" s="572">
        <v>31</v>
      </c>
      <c r="C26704" s="572">
        <v>231.7</v>
      </c>
    </row>
    <row r="26705" spans="1:3">
      <c r="A26705" s="571" t="s">
        <v>1370</v>
      </c>
      <c r="B26705" s="572">
        <v>34</v>
      </c>
      <c r="C26705" s="572">
        <v>241.7</v>
      </c>
    </row>
    <row r="26706" spans="1:3">
      <c r="A26706" s="571" t="s">
        <v>1370</v>
      </c>
      <c r="B26706" s="572">
        <v>36</v>
      </c>
      <c r="C26706" s="572">
        <v>258.3</v>
      </c>
    </row>
    <row r="26707" spans="1:3">
      <c r="A26707" s="571" t="s">
        <v>1370</v>
      </c>
      <c r="B26707" s="572">
        <v>41</v>
      </c>
      <c r="C26707" s="572">
        <v>270</v>
      </c>
    </row>
    <row r="26708" spans="1:3">
      <c r="A26708" s="571" t="s">
        <v>1370</v>
      </c>
      <c r="B26708" s="572">
        <v>48</v>
      </c>
      <c r="C26708" s="572">
        <v>250</v>
      </c>
    </row>
    <row r="26709" spans="1:3">
      <c r="A26709" s="571" t="s">
        <v>1370</v>
      </c>
      <c r="B26709" s="572">
        <v>71</v>
      </c>
      <c r="C26709" s="572">
        <v>233.3</v>
      </c>
    </row>
    <row r="26710" spans="1:3">
      <c r="A26710" s="571" t="s">
        <v>1370</v>
      </c>
      <c r="B26710" s="572">
        <v>83</v>
      </c>
      <c r="C26710" s="572">
        <v>266.7</v>
      </c>
    </row>
    <row r="26711" spans="1:3">
      <c r="A26711" s="573" t="s">
        <v>1370</v>
      </c>
      <c r="B26711" s="574">
        <v>106</v>
      </c>
      <c r="C26711" s="574">
        <v>261.7</v>
      </c>
    </row>
    <row r="26712" spans="1:3">
      <c r="A26712" s="573" t="s">
        <v>1370</v>
      </c>
      <c r="B26712" s="574">
        <v>111</v>
      </c>
      <c r="C26712" s="574">
        <v>266.7</v>
      </c>
    </row>
    <row r="26713" spans="1:3">
      <c r="A26713" s="573" t="s">
        <v>1370</v>
      </c>
      <c r="B26713" s="574">
        <v>129</v>
      </c>
      <c r="C26713" s="574">
        <v>268.3</v>
      </c>
    </row>
    <row r="26714" spans="1:3">
      <c r="A26714" s="573" t="s">
        <v>1370</v>
      </c>
      <c r="B26714" s="574">
        <v>146</v>
      </c>
      <c r="C26714" s="574">
        <v>268.3</v>
      </c>
    </row>
    <row r="26715" spans="1:3">
      <c r="A26715" s="573" t="s">
        <v>1370</v>
      </c>
      <c r="B26715" s="574">
        <v>163</v>
      </c>
      <c r="C26715" s="574">
        <v>265</v>
      </c>
    </row>
    <row r="26716" spans="1:3">
      <c r="A26716" s="573" t="s">
        <v>1370</v>
      </c>
      <c r="B26716" s="574">
        <v>237</v>
      </c>
      <c r="C26716" s="574">
        <v>276.7</v>
      </c>
    </row>
    <row r="26717" spans="1:3">
      <c r="A26717" s="573" t="s">
        <v>1370</v>
      </c>
      <c r="B26717" s="574">
        <v>262</v>
      </c>
      <c r="C26717" s="574">
        <v>273</v>
      </c>
    </row>
    <row r="26718" spans="1:3">
      <c r="A26718" s="573" t="s">
        <v>1370</v>
      </c>
      <c r="B26718" s="574">
        <v>268</v>
      </c>
      <c r="C26718" s="574">
        <v>290</v>
      </c>
    </row>
    <row r="26719" spans="1:3">
      <c r="A26719" s="573" t="s">
        <v>1370</v>
      </c>
      <c r="B26719" s="574">
        <v>286</v>
      </c>
      <c r="C26719" s="574">
        <v>287</v>
      </c>
    </row>
    <row r="26720" spans="1:3">
      <c r="A26720" s="573" t="s">
        <v>1370</v>
      </c>
      <c r="B26720" s="574">
        <v>358</v>
      </c>
      <c r="C26720" s="574">
        <v>265</v>
      </c>
    </row>
    <row r="26721" spans="1:3">
      <c r="A26721" s="573" t="s">
        <v>1370</v>
      </c>
      <c r="B26721" s="574">
        <v>358</v>
      </c>
      <c r="C26721" s="574">
        <v>265</v>
      </c>
    </row>
    <row r="26722" spans="1:3">
      <c r="A26722" s="571" t="s">
        <v>1369</v>
      </c>
      <c r="B26722" s="572">
        <v>0</v>
      </c>
      <c r="C26722" s="572">
        <v>0</v>
      </c>
    </row>
    <row r="26723" spans="1:3">
      <c r="A26723" s="571" t="s">
        <v>1369</v>
      </c>
      <c r="B26723" s="572">
        <v>1</v>
      </c>
      <c r="C26723" s="572">
        <v>28.3</v>
      </c>
    </row>
    <row r="26724" spans="1:3">
      <c r="A26724" s="571" t="s">
        <v>1369</v>
      </c>
      <c r="B26724" s="572">
        <v>4</v>
      </c>
      <c r="C26724" s="572">
        <v>58.3</v>
      </c>
    </row>
    <row r="26725" spans="1:3">
      <c r="A26725" s="571" t="s">
        <v>1369</v>
      </c>
      <c r="B26725" s="572">
        <v>10</v>
      </c>
      <c r="C26725" s="572">
        <v>115</v>
      </c>
    </row>
    <row r="26726" spans="1:3">
      <c r="A26726" s="571" t="s">
        <v>1369</v>
      </c>
      <c r="B26726" s="572">
        <v>14</v>
      </c>
      <c r="C26726" s="572">
        <v>128.30000000000001</v>
      </c>
    </row>
    <row r="26727" spans="1:3">
      <c r="A26727" s="571" t="s">
        <v>1369</v>
      </c>
      <c r="B26727" s="572">
        <v>19</v>
      </c>
      <c r="C26727" s="572">
        <v>135</v>
      </c>
    </row>
    <row r="26728" spans="1:3">
      <c r="A26728" s="571" t="s">
        <v>1369</v>
      </c>
      <c r="B26728" s="572">
        <v>28</v>
      </c>
      <c r="C26728" s="572">
        <v>163.30000000000001</v>
      </c>
    </row>
    <row r="26729" spans="1:3">
      <c r="A26729" s="571" t="s">
        <v>1369</v>
      </c>
      <c r="B26729" s="572">
        <v>34</v>
      </c>
      <c r="C26729" s="572">
        <v>178.3</v>
      </c>
    </row>
    <row r="26730" spans="1:3">
      <c r="A26730" s="571" t="s">
        <v>1369</v>
      </c>
      <c r="B26730" s="572">
        <v>35</v>
      </c>
      <c r="C26730" s="572">
        <v>180</v>
      </c>
    </row>
    <row r="26731" spans="1:3">
      <c r="A26731" s="571" t="s">
        <v>1369</v>
      </c>
      <c r="B26731" s="572">
        <v>38</v>
      </c>
      <c r="C26731" s="572">
        <v>181.7</v>
      </c>
    </row>
    <row r="26732" spans="1:3">
      <c r="A26732" s="571" t="s">
        <v>1369</v>
      </c>
      <c r="B26732" s="572">
        <v>41</v>
      </c>
      <c r="C26732" s="572">
        <v>181.7</v>
      </c>
    </row>
    <row r="26733" spans="1:3">
      <c r="A26733" s="571" t="s">
        <v>1369</v>
      </c>
      <c r="B26733" s="572">
        <v>46</v>
      </c>
      <c r="C26733" s="572">
        <v>200</v>
      </c>
    </row>
    <row r="26734" spans="1:3">
      <c r="A26734" s="571" t="s">
        <v>1369</v>
      </c>
      <c r="B26734" s="572">
        <v>52</v>
      </c>
      <c r="C26734" s="572">
        <v>203.3</v>
      </c>
    </row>
    <row r="26735" spans="1:3">
      <c r="A26735" s="571" t="s">
        <v>1369</v>
      </c>
      <c r="B26735" s="572">
        <v>56</v>
      </c>
      <c r="C26735" s="572">
        <v>203.3</v>
      </c>
    </row>
    <row r="26736" spans="1:3">
      <c r="A26736" s="571" t="s">
        <v>1369</v>
      </c>
      <c r="B26736" s="572">
        <v>59</v>
      </c>
      <c r="C26736" s="572">
        <v>201.7</v>
      </c>
    </row>
    <row r="26737" spans="1:3">
      <c r="A26737" s="571" t="s">
        <v>1369</v>
      </c>
      <c r="B26737" s="572">
        <v>61</v>
      </c>
      <c r="C26737" s="572">
        <v>208.3</v>
      </c>
    </row>
    <row r="26738" spans="1:3">
      <c r="A26738" s="571" t="s">
        <v>1369</v>
      </c>
      <c r="B26738" s="572">
        <v>80</v>
      </c>
      <c r="C26738" s="572">
        <v>195</v>
      </c>
    </row>
    <row r="26739" spans="1:3">
      <c r="A26739" s="573" t="s">
        <v>1369</v>
      </c>
      <c r="B26739" s="574">
        <v>131</v>
      </c>
      <c r="C26739" s="574">
        <v>200</v>
      </c>
    </row>
    <row r="26740" spans="1:3">
      <c r="A26740" s="573" t="s">
        <v>1369</v>
      </c>
      <c r="B26740" s="574">
        <v>136</v>
      </c>
      <c r="C26740" s="574">
        <v>200</v>
      </c>
    </row>
    <row r="26741" spans="1:3">
      <c r="A26741" s="573" t="s">
        <v>1369</v>
      </c>
      <c r="B26741" s="574">
        <v>171</v>
      </c>
      <c r="C26741" s="574">
        <v>205</v>
      </c>
    </row>
    <row r="26742" spans="1:3">
      <c r="A26742" s="573" t="s">
        <v>1369</v>
      </c>
      <c r="B26742" s="574">
        <v>214</v>
      </c>
      <c r="C26742" s="574">
        <v>185</v>
      </c>
    </row>
    <row r="26743" spans="1:3">
      <c r="A26743" s="573" t="s">
        <v>1369</v>
      </c>
      <c r="B26743" s="574">
        <v>236</v>
      </c>
      <c r="C26743" s="574">
        <v>200</v>
      </c>
    </row>
    <row r="26744" spans="1:3">
      <c r="A26744" s="573" t="s">
        <v>1369</v>
      </c>
      <c r="B26744" s="574">
        <v>262</v>
      </c>
      <c r="C26744" s="574">
        <v>196.7</v>
      </c>
    </row>
    <row r="26745" spans="1:3">
      <c r="A26745" s="573" t="s">
        <v>1369</v>
      </c>
      <c r="B26745" s="574">
        <v>287</v>
      </c>
      <c r="C26745" s="574">
        <v>208</v>
      </c>
    </row>
    <row r="26746" spans="1:3">
      <c r="A26746" s="573" t="s">
        <v>1369</v>
      </c>
      <c r="B26746" s="574">
        <v>298</v>
      </c>
      <c r="C26746" s="574">
        <v>207</v>
      </c>
    </row>
    <row r="26747" spans="1:3">
      <c r="A26747" s="573" t="s">
        <v>1369</v>
      </c>
      <c r="B26747" s="574">
        <v>406</v>
      </c>
      <c r="C26747" s="574">
        <v>238</v>
      </c>
    </row>
    <row r="26748" spans="1:3">
      <c r="A26748" s="569" t="s">
        <v>1369</v>
      </c>
      <c r="B26748" s="570">
        <v>508</v>
      </c>
      <c r="C26748" s="570">
        <v>243</v>
      </c>
    </row>
    <row r="26749" spans="1:3">
      <c r="A26749" s="569" t="s">
        <v>1369</v>
      </c>
      <c r="B26749" s="570">
        <v>508</v>
      </c>
      <c r="C26749" s="570">
        <v>243</v>
      </c>
    </row>
    <row r="26750" spans="1:3">
      <c r="A26750" s="571" t="s">
        <v>1368</v>
      </c>
      <c r="B26750" s="572">
        <v>0</v>
      </c>
      <c r="C26750" s="572">
        <v>0</v>
      </c>
    </row>
    <row r="26751" spans="1:3">
      <c r="A26751" s="571" t="s">
        <v>1368</v>
      </c>
      <c r="B26751" s="572">
        <v>7</v>
      </c>
      <c r="C26751" s="572">
        <v>44</v>
      </c>
    </row>
    <row r="26752" spans="1:3">
      <c r="A26752" s="571" t="s">
        <v>1368</v>
      </c>
      <c r="B26752" s="572">
        <v>8</v>
      </c>
      <c r="C26752" s="572">
        <v>35</v>
      </c>
    </row>
    <row r="26753" spans="1:3">
      <c r="A26753" s="571" t="s">
        <v>1368</v>
      </c>
      <c r="B26753" s="572">
        <v>11</v>
      </c>
      <c r="C26753" s="572">
        <v>32</v>
      </c>
    </row>
    <row r="26754" spans="1:3">
      <c r="A26754" s="571" t="s">
        <v>1368</v>
      </c>
      <c r="B26754" s="572">
        <v>14</v>
      </c>
      <c r="C26754" s="572">
        <v>44</v>
      </c>
    </row>
    <row r="26755" spans="1:3">
      <c r="A26755" s="571" t="s">
        <v>1368</v>
      </c>
      <c r="B26755" s="572">
        <v>19</v>
      </c>
      <c r="C26755" s="572">
        <v>50</v>
      </c>
    </row>
    <row r="26756" spans="1:3">
      <c r="A26756" s="571" t="s">
        <v>1368</v>
      </c>
      <c r="B26756" s="572">
        <v>25</v>
      </c>
      <c r="C26756" s="572">
        <v>60</v>
      </c>
    </row>
    <row r="26757" spans="1:3">
      <c r="A26757" s="571" t="s">
        <v>1368</v>
      </c>
      <c r="B26757" s="572">
        <v>29</v>
      </c>
      <c r="C26757" s="572">
        <v>65</v>
      </c>
    </row>
    <row r="26758" spans="1:3">
      <c r="A26758" s="571" t="s">
        <v>1368</v>
      </c>
      <c r="B26758" s="572">
        <v>32</v>
      </c>
      <c r="C26758" s="572">
        <v>70</v>
      </c>
    </row>
    <row r="26759" spans="1:3">
      <c r="A26759" s="571" t="s">
        <v>1368</v>
      </c>
      <c r="B26759" s="572">
        <v>34</v>
      </c>
      <c r="C26759" s="572">
        <v>90</v>
      </c>
    </row>
    <row r="26760" spans="1:3">
      <c r="A26760" s="571" t="s">
        <v>1368</v>
      </c>
      <c r="B26760" s="572">
        <v>53</v>
      </c>
      <c r="C26760" s="572">
        <v>90</v>
      </c>
    </row>
    <row r="26761" spans="1:3">
      <c r="A26761" s="571" t="s">
        <v>1368</v>
      </c>
      <c r="B26761" s="572">
        <v>81</v>
      </c>
      <c r="C26761" s="572">
        <v>74</v>
      </c>
    </row>
    <row r="26762" spans="1:3">
      <c r="A26762" s="573" t="s">
        <v>1368</v>
      </c>
      <c r="B26762" s="574">
        <v>109</v>
      </c>
      <c r="C26762" s="574">
        <v>62</v>
      </c>
    </row>
    <row r="26763" spans="1:3">
      <c r="A26763" s="573" t="s">
        <v>1368</v>
      </c>
      <c r="B26763" s="574">
        <v>144</v>
      </c>
      <c r="C26763" s="574">
        <v>79</v>
      </c>
    </row>
    <row r="26764" spans="1:3">
      <c r="A26764" s="573" t="s">
        <v>1368</v>
      </c>
      <c r="B26764" s="574">
        <v>187</v>
      </c>
      <c r="C26764" s="574">
        <v>90</v>
      </c>
    </row>
    <row r="26765" spans="1:3">
      <c r="A26765" s="573" t="s">
        <v>1368</v>
      </c>
      <c r="B26765" s="574">
        <v>209</v>
      </c>
      <c r="C26765" s="574">
        <v>79</v>
      </c>
    </row>
    <row r="26766" spans="1:3">
      <c r="A26766" s="573" t="s">
        <v>1368</v>
      </c>
      <c r="B26766" s="574">
        <v>235</v>
      </c>
      <c r="C26766" s="574">
        <v>90</v>
      </c>
    </row>
    <row r="26767" spans="1:3">
      <c r="A26767" s="573" t="s">
        <v>1368</v>
      </c>
      <c r="B26767" s="574">
        <v>260.5</v>
      </c>
      <c r="C26767" s="574">
        <v>102</v>
      </c>
    </row>
    <row r="26768" spans="1:3">
      <c r="A26768" s="573" t="s">
        <v>1368</v>
      </c>
      <c r="B26768" s="574">
        <v>350.5</v>
      </c>
      <c r="C26768" s="574">
        <v>92</v>
      </c>
    </row>
    <row r="26769" spans="1:3">
      <c r="A26769" s="573" t="s">
        <v>1368</v>
      </c>
      <c r="B26769" s="574">
        <v>350.5</v>
      </c>
      <c r="C26769" s="574">
        <v>92</v>
      </c>
    </row>
    <row r="26770" spans="1:3">
      <c r="A26770" s="571" t="s">
        <v>1367</v>
      </c>
      <c r="B26770" s="572">
        <v>0</v>
      </c>
      <c r="C26770" s="572">
        <v>0</v>
      </c>
    </row>
    <row r="26771" spans="1:3">
      <c r="A26771" s="571" t="s">
        <v>1367</v>
      </c>
      <c r="B26771" s="572">
        <v>1</v>
      </c>
      <c r="C26771" s="572">
        <v>51.7</v>
      </c>
    </row>
    <row r="26772" spans="1:3">
      <c r="A26772" s="571" t="s">
        <v>1367</v>
      </c>
      <c r="B26772" s="572">
        <v>6</v>
      </c>
      <c r="C26772" s="572">
        <v>228.3</v>
      </c>
    </row>
    <row r="26773" spans="1:3">
      <c r="A26773" s="571" t="s">
        <v>1367</v>
      </c>
      <c r="B26773" s="572">
        <v>10</v>
      </c>
      <c r="C26773" s="572">
        <v>260</v>
      </c>
    </row>
    <row r="26774" spans="1:3">
      <c r="A26774" s="571" t="s">
        <v>1367</v>
      </c>
      <c r="B26774" s="572">
        <v>15</v>
      </c>
      <c r="C26774" s="572">
        <v>278.3</v>
      </c>
    </row>
    <row r="26775" spans="1:3">
      <c r="A26775" s="571" t="s">
        <v>1367</v>
      </c>
      <c r="B26775" s="572">
        <v>20</v>
      </c>
      <c r="C26775" s="572">
        <v>301.7</v>
      </c>
    </row>
    <row r="26776" spans="1:3">
      <c r="A26776" s="571" t="s">
        <v>1367</v>
      </c>
      <c r="B26776" s="572">
        <v>24</v>
      </c>
      <c r="C26776" s="572">
        <v>318.3</v>
      </c>
    </row>
    <row r="26777" spans="1:3">
      <c r="A26777" s="571" t="s">
        <v>1367</v>
      </c>
      <c r="B26777" s="572">
        <v>30</v>
      </c>
      <c r="C26777" s="572">
        <v>335</v>
      </c>
    </row>
    <row r="26778" spans="1:3">
      <c r="A26778" s="571" t="s">
        <v>1367</v>
      </c>
      <c r="B26778" s="572">
        <v>31</v>
      </c>
      <c r="C26778" s="572">
        <v>336.7</v>
      </c>
    </row>
    <row r="26779" spans="1:3">
      <c r="A26779" s="571" t="s">
        <v>1367</v>
      </c>
      <c r="B26779" s="572">
        <v>34</v>
      </c>
      <c r="C26779" s="572">
        <v>346.7</v>
      </c>
    </row>
    <row r="26780" spans="1:3">
      <c r="A26780" s="571" t="s">
        <v>1367</v>
      </c>
      <c r="B26780" s="572">
        <v>37</v>
      </c>
      <c r="C26780" s="572">
        <v>348.3</v>
      </c>
    </row>
    <row r="26781" spans="1:3">
      <c r="A26781" s="571" t="s">
        <v>1367</v>
      </c>
      <c r="B26781" s="572">
        <v>42</v>
      </c>
      <c r="C26781" s="572">
        <v>338.3</v>
      </c>
    </row>
    <row r="26782" spans="1:3">
      <c r="A26782" s="571" t="s">
        <v>1367</v>
      </c>
      <c r="B26782" s="572">
        <v>48</v>
      </c>
      <c r="C26782" s="572">
        <v>361.7</v>
      </c>
    </row>
    <row r="26783" spans="1:3">
      <c r="A26783" s="571" t="s">
        <v>1367</v>
      </c>
      <c r="B26783" s="572">
        <v>52</v>
      </c>
      <c r="C26783" s="572">
        <v>363.3</v>
      </c>
    </row>
    <row r="26784" spans="1:3">
      <c r="A26784" s="571" t="s">
        <v>1367</v>
      </c>
      <c r="B26784" s="572">
        <v>55</v>
      </c>
      <c r="C26784" s="572">
        <v>341.7</v>
      </c>
    </row>
    <row r="26785" spans="1:3">
      <c r="A26785" s="571" t="s">
        <v>1367</v>
      </c>
      <c r="B26785" s="572">
        <v>76</v>
      </c>
      <c r="C26785" s="572">
        <v>343.3</v>
      </c>
    </row>
    <row r="26786" spans="1:3">
      <c r="A26786" s="573" t="s">
        <v>1367</v>
      </c>
      <c r="B26786" s="574">
        <v>104</v>
      </c>
      <c r="C26786" s="574">
        <v>348.3</v>
      </c>
    </row>
    <row r="26787" spans="1:3">
      <c r="A26787" s="573" t="s">
        <v>1367</v>
      </c>
      <c r="B26787" s="574">
        <v>127</v>
      </c>
      <c r="C26787" s="574">
        <v>348.3</v>
      </c>
    </row>
    <row r="26788" spans="1:3">
      <c r="A26788" s="573" t="s">
        <v>1367</v>
      </c>
      <c r="B26788" s="574">
        <v>132</v>
      </c>
      <c r="C26788" s="574">
        <v>348.3</v>
      </c>
    </row>
    <row r="26789" spans="1:3">
      <c r="A26789" s="573" t="s">
        <v>1367</v>
      </c>
      <c r="B26789" s="574">
        <v>167</v>
      </c>
      <c r="C26789" s="574">
        <v>365</v>
      </c>
    </row>
    <row r="26790" spans="1:3">
      <c r="A26790" s="573" t="s">
        <v>1367</v>
      </c>
      <c r="B26790" s="574">
        <v>184</v>
      </c>
      <c r="C26790" s="574">
        <v>380</v>
      </c>
    </row>
    <row r="26791" spans="1:3">
      <c r="A26791" s="573" t="s">
        <v>1367</v>
      </c>
      <c r="B26791" s="574">
        <v>210</v>
      </c>
      <c r="C26791" s="574">
        <v>360</v>
      </c>
    </row>
    <row r="26792" spans="1:3">
      <c r="A26792" s="573" t="s">
        <v>1367</v>
      </c>
      <c r="B26792" s="574">
        <v>232</v>
      </c>
      <c r="C26792" s="574">
        <v>376.7</v>
      </c>
    </row>
    <row r="26793" spans="1:3">
      <c r="A26793" s="573" t="s">
        <v>1367</v>
      </c>
      <c r="B26793" s="574">
        <v>258</v>
      </c>
      <c r="C26793" s="574">
        <v>361.7</v>
      </c>
    </row>
    <row r="26794" spans="1:3">
      <c r="A26794" s="573" t="s">
        <v>1367</v>
      </c>
      <c r="B26794" s="574">
        <v>283</v>
      </c>
      <c r="C26794" s="574">
        <v>380</v>
      </c>
    </row>
    <row r="26795" spans="1:3">
      <c r="A26795" s="573" t="s">
        <v>1367</v>
      </c>
      <c r="B26795" s="574">
        <v>294</v>
      </c>
      <c r="C26795" s="574">
        <v>363</v>
      </c>
    </row>
    <row r="26796" spans="1:3">
      <c r="A26796" s="573" t="s">
        <v>1367</v>
      </c>
      <c r="B26796" s="574">
        <v>379</v>
      </c>
      <c r="C26796" s="574">
        <v>372</v>
      </c>
    </row>
    <row r="26797" spans="1:3">
      <c r="A26797" s="573" t="s">
        <v>1367</v>
      </c>
      <c r="B26797" s="574">
        <v>379</v>
      </c>
      <c r="C26797" s="574">
        <v>372</v>
      </c>
    </row>
    <row r="26798" spans="1:3">
      <c r="A26798" s="571" t="s">
        <v>1366</v>
      </c>
      <c r="B26798" s="572">
        <v>0</v>
      </c>
      <c r="C26798" s="572">
        <v>0</v>
      </c>
    </row>
    <row r="26799" spans="1:3">
      <c r="A26799" s="571" t="s">
        <v>1366</v>
      </c>
      <c r="B26799" s="572">
        <v>1</v>
      </c>
      <c r="C26799" s="572">
        <v>13.3</v>
      </c>
    </row>
    <row r="26800" spans="1:3">
      <c r="A26800" s="571" t="s">
        <v>1366</v>
      </c>
      <c r="B26800" s="572">
        <v>10</v>
      </c>
      <c r="C26800" s="572">
        <v>121.7</v>
      </c>
    </row>
    <row r="26801" spans="1:3">
      <c r="A26801" s="571" t="s">
        <v>1366</v>
      </c>
      <c r="B26801" s="572">
        <v>13</v>
      </c>
      <c r="C26801" s="572">
        <v>123.3</v>
      </c>
    </row>
    <row r="26802" spans="1:3">
      <c r="A26802" s="571" t="s">
        <v>1366</v>
      </c>
      <c r="B26802" s="572">
        <v>28</v>
      </c>
      <c r="C26802" s="572">
        <v>178.3</v>
      </c>
    </row>
    <row r="26803" spans="1:3">
      <c r="A26803" s="571" t="s">
        <v>1366</v>
      </c>
      <c r="B26803" s="572">
        <v>29</v>
      </c>
      <c r="C26803" s="572">
        <v>181.7</v>
      </c>
    </row>
    <row r="26804" spans="1:3">
      <c r="A26804" s="571" t="s">
        <v>1366</v>
      </c>
      <c r="B26804" s="572">
        <v>36</v>
      </c>
      <c r="C26804" s="572">
        <v>178.3</v>
      </c>
    </row>
    <row r="26805" spans="1:3">
      <c r="A26805" s="571" t="s">
        <v>1366</v>
      </c>
      <c r="B26805" s="572">
        <v>38</v>
      </c>
      <c r="C26805" s="572">
        <v>181.7</v>
      </c>
    </row>
    <row r="26806" spans="1:3">
      <c r="A26806" s="571" t="s">
        <v>1366</v>
      </c>
      <c r="B26806" s="572">
        <v>41</v>
      </c>
      <c r="C26806" s="572">
        <v>181.7</v>
      </c>
    </row>
    <row r="26807" spans="1:3">
      <c r="A26807" s="571" t="s">
        <v>1366</v>
      </c>
      <c r="B26807" s="572">
        <v>52</v>
      </c>
      <c r="C26807" s="572">
        <v>195</v>
      </c>
    </row>
    <row r="26808" spans="1:3">
      <c r="A26808" s="571" t="s">
        <v>1366</v>
      </c>
      <c r="B26808" s="572">
        <v>93</v>
      </c>
      <c r="C26808" s="572">
        <v>218.3</v>
      </c>
    </row>
    <row r="26809" spans="1:3">
      <c r="A26809" s="573" t="s">
        <v>1366</v>
      </c>
      <c r="B26809" s="574">
        <v>167</v>
      </c>
      <c r="C26809" s="574">
        <v>238.3</v>
      </c>
    </row>
    <row r="26810" spans="1:3">
      <c r="A26810" s="573" t="s">
        <v>1366</v>
      </c>
      <c r="B26810" s="574">
        <v>198</v>
      </c>
      <c r="C26810" s="574">
        <v>218</v>
      </c>
    </row>
    <row r="26811" spans="1:3">
      <c r="A26811" s="573" t="s">
        <v>1366</v>
      </c>
      <c r="B26811" s="574">
        <v>289</v>
      </c>
      <c r="C26811" s="574">
        <v>227</v>
      </c>
    </row>
    <row r="26812" spans="1:3">
      <c r="A26812" s="573" t="s">
        <v>1366</v>
      </c>
      <c r="B26812" s="574">
        <v>325</v>
      </c>
      <c r="C26812" s="574">
        <v>245</v>
      </c>
    </row>
    <row r="26813" spans="1:3">
      <c r="A26813" s="573" t="s">
        <v>1366</v>
      </c>
      <c r="B26813" s="574">
        <v>325</v>
      </c>
      <c r="C26813" s="574">
        <v>245</v>
      </c>
    </row>
    <row r="26814" spans="1:3">
      <c r="A26814" s="571" t="s">
        <v>1365</v>
      </c>
      <c r="B26814" s="572">
        <v>0</v>
      </c>
      <c r="C26814" s="572">
        <v>0</v>
      </c>
    </row>
    <row r="26815" spans="1:3">
      <c r="A26815" s="571" t="s">
        <v>1365</v>
      </c>
      <c r="B26815" s="572">
        <v>3</v>
      </c>
      <c r="C26815" s="572">
        <v>85</v>
      </c>
    </row>
    <row r="26816" spans="1:3">
      <c r="A26816" s="571" t="s">
        <v>1365</v>
      </c>
      <c r="B26816" s="572">
        <v>6</v>
      </c>
      <c r="C26816" s="572">
        <v>73.3</v>
      </c>
    </row>
    <row r="26817" spans="1:3">
      <c r="A26817" s="571" t="s">
        <v>1365</v>
      </c>
      <c r="B26817" s="572">
        <v>9</v>
      </c>
      <c r="C26817" s="572">
        <v>73.3</v>
      </c>
    </row>
    <row r="26818" spans="1:3">
      <c r="A26818" s="571" t="s">
        <v>1365</v>
      </c>
      <c r="B26818" s="572">
        <v>13</v>
      </c>
      <c r="C26818" s="572">
        <v>80</v>
      </c>
    </row>
    <row r="26819" spans="1:3">
      <c r="A26819" s="571" t="s">
        <v>1365</v>
      </c>
      <c r="B26819" s="572">
        <v>28</v>
      </c>
      <c r="C26819" s="572">
        <v>48.3</v>
      </c>
    </row>
    <row r="26820" spans="1:3">
      <c r="A26820" s="571" t="s">
        <v>1365</v>
      </c>
      <c r="B26820" s="572">
        <v>35</v>
      </c>
      <c r="C26820" s="572">
        <v>23.3</v>
      </c>
    </row>
    <row r="26821" spans="1:3">
      <c r="A26821" s="571" t="s">
        <v>1365</v>
      </c>
      <c r="B26821" s="572">
        <v>48</v>
      </c>
      <c r="C26821" s="572">
        <v>41.7</v>
      </c>
    </row>
    <row r="26822" spans="1:3">
      <c r="A26822" s="571" t="s">
        <v>1365</v>
      </c>
      <c r="B26822" s="572">
        <v>58</v>
      </c>
      <c r="C26822" s="572">
        <v>33.299999999999997</v>
      </c>
    </row>
    <row r="26823" spans="1:3">
      <c r="A26823" s="571" t="s">
        <v>1365</v>
      </c>
      <c r="B26823" s="572">
        <v>97</v>
      </c>
      <c r="C26823" s="572">
        <v>76.7</v>
      </c>
    </row>
    <row r="26824" spans="1:3">
      <c r="A26824" s="573" t="s">
        <v>1365</v>
      </c>
      <c r="B26824" s="574">
        <v>120</v>
      </c>
      <c r="C26824" s="574">
        <v>35</v>
      </c>
    </row>
    <row r="26825" spans="1:3">
      <c r="A26825" s="573" t="s">
        <v>1365</v>
      </c>
      <c r="B26825" s="574">
        <v>174</v>
      </c>
      <c r="C26825" s="574">
        <v>9</v>
      </c>
    </row>
    <row r="26826" spans="1:3">
      <c r="A26826" s="573" t="s">
        <v>1365</v>
      </c>
      <c r="B26826" s="574">
        <v>244</v>
      </c>
      <c r="C26826" s="574">
        <v>82</v>
      </c>
    </row>
    <row r="26827" spans="1:3">
      <c r="A26827" s="573" t="s">
        <v>1365</v>
      </c>
      <c r="B26827" s="574">
        <v>260</v>
      </c>
      <c r="C26827" s="574">
        <v>93</v>
      </c>
    </row>
    <row r="26828" spans="1:3">
      <c r="A26828" s="573" t="s">
        <v>1365</v>
      </c>
      <c r="B26828" s="574">
        <v>295</v>
      </c>
      <c r="C26828" s="574">
        <v>73</v>
      </c>
    </row>
    <row r="26829" spans="1:3">
      <c r="A26829" s="573" t="s">
        <v>1365</v>
      </c>
      <c r="B26829" s="574">
        <v>295</v>
      </c>
      <c r="C26829" s="574">
        <v>73</v>
      </c>
    </row>
    <row r="26830" spans="1:3">
      <c r="A26830" s="571" t="s">
        <v>1364</v>
      </c>
      <c r="B26830" s="572">
        <v>0</v>
      </c>
      <c r="C26830" s="572">
        <v>0</v>
      </c>
    </row>
    <row r="26831" spans="1:3">
      <c r="A26831" s="571" t="s">
        <v>1364</v>
      </c>
      <c r="B26831" s="572">
        <v>3</v>
      </c>
      <c r="C26831" s="572">
        <v>0</v>
      </c>
    </row>
    <row r="26832" spans="1:3">
      <c r="A26832" s="571" t="s">
        <v>1364</v>
      </c>
      <c r="B26832" s="572">
        <v>10</v>
      </c>
      <c r="C26832" s="572">
        <v>3.3</v>
      </c>
    </row>
    <row r="26833" spans="1:3">
      <c r="A26833" s="571" t="s">
        <v>1364</v>
      </c>
      <c r="B26833" s="572">
        <v>24</v>
      </c>
      <c r="C26833" s="572">
        <v>13.3</v>
      </c>
    </row>
    <row r="26834" spans="1:3">
      <c r="A26834" s="571" t="s">
        <v>1364</v>
      </c>
      <c r="B26834" s="572">
        <v>31</v>
      </c>
      <c r="C26834" s="572">
        <v>20</v>
      </c>
    </row>
    <row r="26835" spans="1:3">
      <c r="A26835" s="571" t="s">
        <v>1364</v>
      </c>
      <c r="B26835" s="572">
        <v>42</v>
      </c>
      <c r="C26835" s="572">
        <v>33.299999999999997</v>
      </c>
    </row>
    <row r="26836" spans="1:3">
      <c r="A26836" s="571" t="s">
        <v>1364</v>
      </c>
      <c r="B26836" s="572">
        <v>45</v>
      </c>
      <c r="C26836" s="572">
        <v>23.3</v>
      </c>
    </row>
    <row r="26837" spans="1:3">
      <c r="A26837" s="571" t="s">
        <v>1364</v>
      </c>
      <c r="B26837" s="572">
        <v>66</v>
      </c>
      <c r="C26837" s="572">
        <v>51.7</v>
      </c>
    </row>
    <row r="26838" spans="1:3">
      <c r="A26838" s="571" t="s">
        <v>1364</v>
      </c>
      <c r="B26838" s="572">
        <v>73</v>
      </c>
      <c r="C26838" s="572">
        <v>43.3</v>
      </c>
    </row>
    <row r="26839" spans="1:3">
      <c r="A26839" s="571" t="s">
        <v>1364</v>
      </c>
      <c r="B26839" s="572">
        <v>91</v>
      </c>
      <c r="C26839" s="572">
        <v>55</v>
      </c>
    </row>
    <row r="26840" spans="1:3">
      <c r="A26840" s="573" t="s">
        <v>1364</v>
      </c>
      <c r="B26840" s="574">
        <v>108</v>
      </c>
      <c r="C26840" s="574">
        <v>63.3</v>
      </c>
    </row>
    <row r="26841" spans="1:3">
      <c r="A26841" s="573" t="s">
        <v>1364</v>
      </c>
      <c r="B26841" s="574">
        <v>151</v>
      </c>
      <c r="C26841" s="574">
        <v>70</v>
      </c>
    </row>
    <row r="26842" spans="1:3">
      <c r="A26842" s="573" t="s">
        <v>1364</v>
      </c>
      <c r="B26842" s="574">
        <v>199</v>
      </c>
      <c r="C26842" s="574">
        <v>90</v>
      </c>
    </row>
    <row r="26843" spans="1:3">
      <c r="A26843" s="573" t="s">
        <v>1364</v>
      </c>
      <c r="B26843" s="574">
        <v>235</v>
      </c>
      <c r="C26843" s="574">
        <v>110</v>
      </c>
    </row>
    <row r="26844" spans="1:3">
      <c r="A26844" s="573" t="s">
        <v>1364</v>
      </c>
      <c r="B26844" s="574">
        <v>262</v>
      </c>
      <c r="C26844" s="574">
        <v>110</v>
      </c>
    </row>
    <row r="26845" spans="1:3">
      <c r="A26845" s="573" t="s">
        <v>1364</v>
      </c>
      <c r="B26845" s="574">
        <v>271</v>
      </c>
      <c r="C26845" s="574">
        <v>106.7</v>
      </c>
    </row>
    <row r="26846" spans="1:3">
      <c r="A26846" s="573" t="s">
        <v>1364</v>
      </c>
      <c r="B26846" s="574">
        <v>278</v>
      </c>
      <c r="C26846" s="574">
        <v>143.30000000000001</v>
      </c>
    </row>
    <row r="26847" spans="1:3">
      <c r="A26847" s="573" t="s">
        <v>1364</v>
      </c>
      <c r="B26847" s="574">
        <v>297</v>
      </c>
      <c r="C26847" s="574">
        <v>161.69999999999999</v>
      </c>
    </row>
    <row r="26848" spans="1:3">
      <c r="A26848" s="573" t="s">
        <v>1364</v>
      </c>
      <c r="B26848" s="574">
        <v>320</v>
      </c>
      <c r="C26848" s="574">
        <v>136.69999999999999</v>
      </c>
    </row>
    <row r="26849" spans="1:3">
      <c r="A26849" s="573" t="s">
        <v>1364</v>
      </c>
      <c r="B26849" s="574">
        <v>357</v>
      </c>
      <c r="C26849" s="574">
        <v>148</v>
      </c>
    </row>
    <row r="26850" spans="1:3">
      <c r="A26850" s="573" t="s">
        <v>1364</v>
      </c>
      <c r="B26850" s="574">
        <v>357</v>
      </c>
      <c r="C26850" s="574">
        <v>148</v>
      </c>
    </row>
    <row r="26851" spans="1:3">
      <c r="A26851" s="571" t="s">
        <v>1363</v>
      </c>
      <c r="B26851" s="572">
        <v>0</v>
      </c>
      <c r="C26851" s="572">
        <v>0</v>
      </c>
    </row>
    <row r="26852" spans="1:3">
      <c r="A26852" s="571" t="s">
        <v>1363</v>
      </c>
      <c r="B26852" s="572">
        <v>11</v>
      </c>
      <c r="C26852" s="572">
        <v>13.3</v>
      </c>
    </row>
    <row r="26853" spans="1:3">
      <c r="A26853" s="571" t="s">
        <v>1363</v>
      </c>
      <c r="B26853" s="572">
        <v>14</v>
      </c>
      <c r="C26853" s="572">
        <v>3.3</v>
      </c>
    </row>
    <row r="26854" spans="1:3">
      <c r="A26854" s="571" t="s">
        <v>1363</v>
      </c>
      <c r="B26854" s="572">
        <v>35</v>
      </c>
      <c r="C26854" s="572">
        <v>31.7</v>
      </c>
    </row>
    <row r="26855" spans="1:3">
      <c r="A26855" s="571" t="s">
        <v>1363</v>
      </c>
      <c r="B26855" s="572">
        <v>42</v>
      </c>
      <c r="C26855" s="572">
        <v>23.3</v>
      </c>
    </row>
    <row r="26856" spans="1:3">
      <c r="A26856" s="571" t="s">
        <v>1363</v>
      </c>
      <c r="B26856" s="572">
        <v>60</v>
      </c>
      <c r="C26856" s="572">
        <v>35</v>
      </c>
    </row>
    <row r="26857" spans="1:3">
      <c r="A26857" s="571" t="s">
        <v>1363</v>
      </c>
      <c r="B26857" s="572">
        <v>77</v>
      </c>
      <c r="C26857" s="572">
        <v>43.3</v>
      </c>
    </row>
    <row r="26858" spans="1:3">
      <c r="A26858" s="573" t="s">
        <v>1363</v>
      </c>
      <c r="B26858" s="574">
        <v>120</v>
      </c>
      <c r="C26858" s="574">
        <v>50</v>
      </c>
    </row>
    <row r="26859" spans="1:3">
      <c r="A26859" s="573" t="s">
        <v>1363</v>
      </c>
      <c r="B26859" s="574">
        <v>168</v>
      </c>
      <c r="C26859" s="574">
        <v>70</v>
      </c>
    </row>
    <row r="26860" spans="1:3">
      <c r="A26860" s="573" t="s">
        <v>1363</v>
      </c>
      <c r="B26860" s="574">
        <v>204</v>
      </c>
      <c r="C26860" s="574">
        <v>90</v>
      </c>
    </row>
    <row r="26861" spans="1:3">
      <c r="A26861" s="573" t="s">
        <v>1363</v>
      </c>
      <c r="B26861" s="574">
        <v>231</v>
      </c>
      <c r="C26861" s="574">
        <v>90</v>
      </c>
    </row>
    <row r="26862" spans="1:3">
      <c r="A26862" s="573" t="s">
        <v>1363</v>
      </c>
      <c r="B26862" s="574">
        <v>240</v>
      </c>
      <c r="C26862" s="574">
        <v>86.7</v>
      </c>
    </row>
    <row r="26863" spans="1:3">
      <c r="A26863" s="573" t="s">
        <v>1363</v>
      </c>
      <c r="B26863" s="574">
        <v>247</v>
      </c>
      <c r="C26863" s="574">
        <v>123.3</v>
      </c>
    </row>
    <row r="26864" spans="1:3">
      <c r="A26864" s="573" t="s">
        <v>1363</v>
      </c>
      <c r="B26864" s="574">
        <v>266</v>
      </c>
      <c r="C26864" s="574">
        <v>141.69999999999999</v>
      </c>
    </row>
    <row r="26865" spans="1:3">
      <c r="A26865" s="573" t="s">
        <v>1363</v>
      </c>
      <c r="B26865" s="574">
        <v>289</v>
      </c>
      <c r="C26865" s="574">
        <v>116.7</v>
      </c>
    </row>
    <row r="26866" spans="1:3">
      <c r="A26866" s="573" t="s">
        <v>1363</v>
      </c>
      <c r="B26866" s="574">
        <v>326</v>
      </c>
      <c r="C26866" s="574">
        <v>128</v>
      </c>
    </row>
    <row r="26867" spans="1:3">
      <c r="A26867" s="573" t="s">
        <v>1363</v>
      </c>
      <c r="B26867" s="574">
        <v>326</v>
      </c>
      <c r="C26867" s="574">
        <v>128</v>
      </c>
    </row>
    <row r="26868" spans="1:3">
      <c r="A26868" s="571" t="s">
        <v>1362</v>
      </c>
      <c r="B26868" s="572">
        <v>0</v>
      </c>
      <c r="C26868" s="572">
        <v>0</v>
      </c>
    </row>
    <row r="26869" spans="1:3">
      <c r="A26869" s="571" t="s">
        <v>1362</v>
      </c>
      <c r="B26869" s="572">
        <v>3</v>
      </c>
      <c r="C26869" s="572">
        <v>71.7</v>
      </c>
    </row>
    <row r="26870" spans="1:3">
      <c r="A26870" s="571" t="s">
        <v>1362</v>
      </c>
      <c r="B26870" s="572">
        <v>10</v>
      </c>
      <c r="C26870" s="572">
        <v>115</v>
      </c>
    </row>
    <row r="26871" spans="1:3">
      <c r="A26871" s="571" t="s">
        <v>1362</v>
      </c>
      <c r="B26871" s="572">
        <v>24</v>
      </c>
      <c r="C26871" s="572">
        <v>206.7</v>
      </c>
    </row>
    <row r="26872" spans="1:3">
      <c r="A26872" s="571" t="s">
        <v>1362</v>
      </c>
      <c r="B26872" s="572">
        <v>31</v>
      </c>
      <c r="C26872" s="572">
        <v>209</v>
      </c>
    </row>
    <row r="26873" spans="1:3">
      <c r="A26873" s="571" t="s">
        <v>1362</v>
      </c>
      <c r="B26873" s="572">
        <v>33</v>
      </c>
      <c r="C26873" s="572">
        <v>210</v>
      </c>
    </row>
    <row r="26874" spans="1:3">
      <c r="A26874" s="571" t="s">
        <v>1362</v>
      </c>
      <c r="B26874" s="572">
        <v>42</v>
      </c>
      <c r="C26874" s="572">
        <v>258.3</v>
      </c>
    </row>
    <row r="26875" spans="1:3">
      <c r="A26875" s="571" t="s">
        <v>1362</v>
      </c>
      <c r="B26875" s="572">
        <v>45</v>
      </c>
      <c r="C26875" s="572">
        <v>261.7</v>
      </c>
    </row>
    <row r="26876" spans="1:3">
      <c r="A26876" s="571" t="s">
        <v>1362</v>
      </c>
      <c r="B26876" s="572">
        <v>66</v>
      </c>
      <c r="C26876" s="572">
        <v>305</v>
      </c>
    </row>
    <row r="26877" spans="1:3">
      <c r="A26877" s="571" t="s">
        <v>1362</v>
      </c>
      <c r="B26877" s="572">
        <v>73</v>
      </c>
      <c r="C26877" s="572">
        <v>320</v>
      </c>
    </row>
    <row r="26878" spans="1:3">
      <c r="A26878" s="571" t="s">
        <v>1362</v>
      </c>
      <c r="B26878" s="572">
        <v>91</v>
      </c>
      <c r="C26878" s="572">
        <v>353.3</v>
      </c>
    </row>
    <row r="26879" spans="1:3">
      <c r="A26879" s="573" t="s">
        <v>1362</v>
      </c>
      <c r="B26879" s="574">
        <v>108</v>
      </c>
      <c r="C26879" s="574">
        <v>363.3</v>
      </c>
    </row>
    <row r="26880" spans="1:3">
      <c r="A26880" s="573" t="s">
        <v>1362</v>
      </c>
      <c r="B26880" s="574">
        <v>151</v>
      </c>
      <c r="C26880" s="574">
        <v>350</v>
      </c>
    </row>
    <row r="26881" spans="1:3">
      <c r="A26881" s="573" t="s">
        <v>1362</v>
      </c>
      <c r="B26881" s="574">
        <v>199</v>
      </c>
      <c r="C26881" s="574">
        <v>408.3</v>
      </c>
    </row>
    <row r="26882" spans="1:3">
      <c r="A26882" s="573" t="s">
        <v>1362</v>
      </c>
      <c r="B26882" s="574">
        <v>235</v>
      </c>
      <c r="C26882" s="574">
        <v>415</v>
      </c>
    </row>
    <row r="26883" spans="1:3">
      <c r="A26883" s="573" t="s">
        <v>1362</v>
      </c>
      <c r="B26883" s="574">
        <v>262</v>
      </c>
      <c r="C26883" s="574">
        <v>416.7</v>
      </c>
    </row>
    <row r="26884" spans="1:3">
      <c r="A26884" s="573" t="s">
        <v>1362</v>
      </c>
      <c r="B26884" s="574">
        <v>308</v>
      </c>
      <c r="C26884" s="574">
        <v>456.7</v>
      </c>
    </row>
    <row r="26885" spans="1:3">
      <c r="A26885" s="573" t="s">
        <v>1362</v>
      </c>
      <c r="B26885" s="574">
        <v>320</v>
      </c>
      <c r="C26885" s="574">
        <v>426.7</v>
      </c>
    </row>
    <row r="26886" spans="1:3">
      <c r="A26886" s="573" t="s">
        <v>1362</v>
      </c>
      <c r="B26886" s="574">
        <v>374</v>
      </c>
      <c r="C26886" s="574">
        <v>465</v>
      </c>
    </row>
    <row r="26887" spans="1:3">
      <c r="A26887" s="573" t="s">
        <v>1362</v>
      </c>
      <c r="B26887" s="574">
        <v>374</v>
      </c>
      <c r="C26887" s="574">
        <v>465</v>
      </c>
    </row>
    <row r="26888" spans="1:3">
      <c r="A26888" s="571" t="s">
        <v>1361</v>
      </c>
      <c r="B26888" s="572">
        <v>0</v>
      </c>
      <c r="C26888" s="572">
        <v>0</v>
      </c>
    </row>
    <row r="26889" spans="1:3">
      <c r="A26889" s="571" t="s">
        <v>1361</v>
      </c>
      <c r="B26889" s="572">
        <v>6</v>
      </c>
      <c r="C26889" s="572">
        <v>8</v>
      </c>
    </row>
    <row r="26890" spans="1:3">
      <c r="A26890" s="571" t="s">
        <v>1361</v>
      </c>
      <c r="B26890" s="572">
        <v>13</v>
      </c>
      <c r="C26890" s="572">
        <v>12</v>
      </c>
    </row>
    <row r="26891" spans="1:3">
      <c r="A26891" s="571" t="s">
        <v>1361</v>
      </c>
      <c r="B26891" s="572">
        <v>27</v>
      </c>
      <c r="C26891" s="572">
        <v>35</v>
      </c>
    </row>
    <row r="26892" spans="1:3">
      <c r="A26892" s="571" t="s">
        <v>1361</v>
      </c>
      <c r="B26892" s="572">
        <v>29</v>
      </c>
      <c r="C26892" s="572">
        <v>35</v>
      </c>
    </row>
    <row r="26893" spans="1:3">
      <c r="A26893" s="571" t="s">
        <v>1361</v>
      </c>
      <c r="B26893" s="572">
        <v>36</v>
      </c>
      <c r="C26893" s="572">
        <v>35</v>
      </c>
    </row>
    <row r="26894" spans="1:3">
      <c r="A26894" s="571" t="s">
        <v>1361</v>
      </c>
      <c r="B26894" s="572">
        <v>48</v>
      </c>
      <c r="C26894" s="572">
        <v>57</v>
      </c>
    </row>
    <row r="26895" spans="1:3">
      <c r="A26895" s="571" t="s">
        <v>1361</v>
      </c>
      <c r="B26895" s="572">
        <v>69</v>
      </c>
      <c r="C26895" s="572">
        <v>70</v>
      </c>
    </row>
    <row r="26896" spans="1:3">
      <c r="A26896" s="571" t="s">
        <v>1361</v>
      </c>
      <c r="B26896" s="572">
        <v>76</v>
      </c>
      <c r="C26896" s="572">
        <v>83</v>
      </c>
    </row>
    <row r="26897" spans="1:3">
      <c r="A26897" s="573" t="s">
        <v>1361</v>
      </c>
      <c r="B26897" s="574">
        <v>111</v>
      </c>
      <c r="C26897" s="574">
        <v>112</v>
      </c>
    </row>
    <row r="26898" spans="1:3">
      <c r="A26898" s="573" t="s">
        <v>1361</v>
      </c>
      <c r="B26898" s="574">
        <v>128</v>
      </c>
      <c r="C26898" s="574">
        <v>122</v>
      </c>
    </row>
    <row r="26899" spans="1:3">
      <c r="A26899" s="573" t="s">
        <v>1361</v>
      </c>
      <c r="B26899" s="574">
        <v>202</v>
      </c>
      <c r="C26899" s="574">
        <v>150</v>
      </c>
    </row>
    <row r="26900" spans="1:3">
      <c r="A26900" s="573" t="s">
        <v>1361</v>
      </c>
      <c r="B26900" s="574">
        <v>238</v>
      </c>
      <c r="C26900" s="574">
        <v>165</v>
      </c>
    </row>
    <row r="26901" spans="1:3">
      <c r="A26901" s="573" t="s">
        <v>1361</v>
      </c>
      <c r="B26901" s="574">
        <v>265</v>
      </c>
      <c r="C26901" s="574">
        <v>177</v>
      </c>
    </row>
    <row r="26902" spans="1:3">
      <c r="A26902" s="573" t="s">
        <v>1361</v>
      </c>
      <c r="B26902" s="574">
        <v>274</v>
      </c>
      <c r="C26902" s="574">
        <v>177</v>
      </c>
    </row>
    <row r="26903" spans="1:3">
      <c r="A26903" s="573" t="s">
        <v>1361</v>
      </c>
      <c r="B26903" s="574">
        <v>281</v>
      </c>
      <c r="C26903" s="574">
        <v>177</v>
      </c>
    </row>
    <row r="26904" spans="1:3">
      <c r="A26904" s="573" t="s">
        <v>1361</v>
      </c>
      <c r="B26904" s="574">
        <v>323</v>
      </c>
      <c r="C26904" s="574">
        <v>187</v>
      </c>
    </row>
    <row r="26905" spans="1:3">
      <c r="A26905" s="573" t="s">
        <v>1361</v>
      </c>
      <c r="B26905" s="574">
        <v>360</v>
      </c>
      <c r="C26905" s="574">
        <v>197</v>
      </c>
    </row>
    <row r="26906" spans="1:3">
      <c r="A26906" s="573" t="s">
        <v>1361</v>
      </c>
      <c r="B26906" s="574">
        <v>360</v>
      </c>
      <c r="C26906" s="574">
        <v>197</v>
      </c>
    </row>
    <row r="26907" spans="1:3">
      <c r="A26907" s="571" t="s">
        <v>1360</v>
      </c>
      <c r="B26907" s="572">
        <v>0</v>
      </c>
      <c r="C26907" s="572">
        <v>0</v>
      </c>
    </row>
    <row r="26908" spans="1:3">
      <c r="A26908" s="571" t="s">
        <v>1360</v>
      </c>
      <c r="B26908" s="572">
        <v>7</v>
      </c>
      <c r="C26908" s="572">
        <v>92.5</v>
      </c>
    </row>
    <row r="26909" spans="1:3">
      <c r="A26909" s="571" t="s">
        <v>1360</v>
      </c>
      <c r="B26909" s="572">
        <v>19</v>
      </c>
      <c r="C26909" s="572">
        <v>152.5</v>
      </c>
    </row>
    <row r="26910" spans="1:3">
      <c r="A26910" s="571" t="s">
        <v>1360</v>
      </c>
      <c r="B26910" s="572">
        <v>40</v>
      </c>
      <c r="C26910" s="572">
        <v>205.8</v>
      </c>
    </row>
    <row r="26911" spans="1:3">
      <c r="A26911" s="571" t="s">
        <v>1360</v>
      </c>
      <c r="B26911" s="572">
        <v>47</v>
      </c>
      <c r="C26911" s="572">
        <v>229.2</v>
      </c>
    </row>
    <row r="26912" spans="1:3">
      <c r="A26912" s="571" t="s">
        <v>1360</v>
      </c>
      <c r="B26912" s="572">
        <v>82</v>
      </c>
      <c r="C26912" s="572">
        <v>269.2</v>
      </c>
    </row>
    <row r="26913" spans="1:3">
      <c r="A26913" s="571" t="s">
        <v>1360</v>
      </c>
      <c r="B26913" s="572">
        <v>99</v>
      </c>
      <c r="C26913" s="572">
        <v>265.8</v>
      </c>
    </row>
    <row r="26914" spans="1:3">
      <c r="A26914" s="573" t="s">
        <v>1360</v>
      </c>
      <c r="B26914" s="574">
        <v>173</v>
      </c>
      <c r="C26914" s="574">
        <v>307.5</v>
      </c>
    </row>
    <row r="26915" spans="1:3">
      <c r="A26915" s="573" t="s">
        <v>1360</v>
      </c>
      <c r="B26915" s="574">
        <v>209</v>
      </c>
      <c r="C26915" s="574">
        <v>332.5</v>
      </c>
    </row>
    <row r="26916" spans="1:3">
      <c r="A26916" s="573" t="s">
        <v>1360</v>
      </c>
      <c r="B26916" s="574">
        <v>236</v>
      </c>
      <c r="C26916" s="574">
        <v>310.8</v>
      </c>
    </row>
    <row r="26917" spans="1:3">
      <c r="A26917" s="573" t="s">
        <v>1360</v>
      </c>
      <c r="B26917" s="574">
        <v>294</v>
      </c>
      <c r="C26917" s="574">
        <v>332.5</v>
      </c>
    </row>
    <row r="26918" spans="1:3">
      <c r="A26918" s="573" t="s">
        <v>1360</v>
      </c>
      <c r="B26918" s="574">
        <v>294</v>
      </c>
      <c r="C26918" s="574">
        <v>332.5</v>
      </c>
    </row>
    <row r="26919" spans="1:3">
      <c r="A26919" s="571" t="s">
        <v>1359</v>
      </c>
      <c r="B26919" s="572">
        <v>0</v>
      </c>
      <c r="C26919" s="572">
        <v>0</v>
      </c>
    </row>
    <row r="26920" spans="1:3">
      <c r="A26920" s="571" t="s">
        <v>1359</v>
      </c>
      <c r="B26920" s="572">
        <v>6</v>
      </c>
      <c r="C26920" s="572">
        <v>165</v>
      </c>
    </row>
    <row r="26921" spans="1:3">
      <c r="A26921" s="571" t="s">
        <v>1359</v>
      </c>
      <c r="B26921" s="572">
        <v>13</v>
      </c>
      <c r="C26921" s="572">
        <v>225</v>
      </c>
    </row>
    <row r="26922" spans="1:3">
      <c r="A26922" s="571" t="s">
        <v>1359</v>
      </c>
      <c r="B26922" s="572">
        <v>27</v>
      </c>
      <c r="C26922" s="572">
        <v>321.7</v>
      </c>
    </row>
    <row r="26923" spans="1:3">
      <c r="A26923" s="571" t="s">
        <v>1359</v>
      </c>
      <c r="B26923" s="572">
        <v>29</v>
      </c>
      <c r="C26923" s="572">
        <v>326</v>
      </c>
    </row>
    <row r="26924" spans="1:3">
      <c r="A26924" s="571" t="s">
        <v>1359</v>
      </c>
      <c r="B26924" s="572">
        <v>36</v>
      </c>
      <c r="C26924" s="572">
        <v>336.7</v>
      </c>
    </row>
    <row r="26925" spans="1:3">
      <c r="A26925" s="571" t="s">
        <v>1359</v>
      </c>
      <c r="B26925" s="572">
        <v>48</v>
      </c>
      <c r="C26925" s="572">
        <v>370</v>
      </c>
    </row>
    <row r="26926" spans="1:3">
      <c r="A26926" s="571" t="s">
        <v>1359</v>
      </c>
      <c r="B26926" s="572">
        <v>69</v>
      </c>
      <c r="C26926" s="572">
        <v>400</v>
      </c>
    </row>
    <row r="26927" spans="1:3">
      <c r="A26927" s="571" t="s">
        <v>1359</v>
      </c>
      <c r="B26927" s="572">
        <v>76</v>
      </c>
      <c r="C26927" s="572">
        <v>400</v>
      </c>
    </row>
    <row r="26928" spans="1:3">
      <c r="A26928" s="573" t="s">
        <v>1359</v>
      </c>
      <c r="B26928" s="574">
        <v>111</v>
      </c>
      <c r="C26928" s="574">
        <v>438.3</v>
      </c>
    </row>
    <row r="26929" spans="1:3">
      <c r="A26929" s="573" t="s">
        <v>1359</v>
      </c>
      <c r="B26929" s="574">
        <v>128</v>
      </c>
      <c r="C26929" s="574">
        <v>438.3</v>
      </c>
    </row>
    <row r="26930" spans="1:3">
      <c r="A26930" s="573" t="s">
        <v>1359</v>
      </c>
      <c r="B26930" s="574">
        <v>202</v>
      </c>
      <c r="C26930" s="574">
        <v>466.7</v>
      </c>
    </row>
    <row r="26931" spans="1:3">
      <c r="A26931" s="573" t="s">
        <v>1359</v>
      </c>
      <c r="B26931" s="574">
        <v>238</v>
      </c>
      <c r="C26931" s="574">
        <v>486.7</v>
      </c>
    </row>
    <row r="26932" spans="1:3">
      <c r="A26932" s="573" t="s">
        <v>1359</v>
      </c>
      <c r="B26932" s="574">
        <v>265</v>
      </c>
      <c r="C26932" s="574">
        <v>468.3</v>
      </c>
    </row>
    <row r="26933" spans="1:3">
      <c r="A26933" s="573" t="s">
        <v>1359</v>
      </c>
      <c r="B26933" s="574">
        <v>323</v>
      </c>
      <c r="C26933" s="574">
        <v>476.7</v>
      </c>
    </row>
    <row r="26934" spans="1:3">
      <c r="A26934" s="573" t="s">
        <v>1359</v>
      </c>
      <c r="B26934" s="574">
        <v>377</v>
      </c>
      <c r="C26934" s="574">
        <v>523</v>
      </c>
    </row>
    <row r="26935" spans="1:3">
      <c r="A26935" s="573" t="s">
        <v>1359</v>
      </c>
      <c r="B26935" s="574">
        <v>377</v>
      </c>
      <c r="C26935" s="574">
        <v>523</v>
      </c>
    </row>
    <row r="26936" spans="1:3">
      <c r="A26936" s="571" t="s">
        <v>1358</v>
      </c>
      <c r="B26936" s="572">
        <v>0</v>
      </c>
      <c r="C26936" s="572">
        <v>0</v>
      </c>
    </row>
    <row r="26937" spans="1:3">
      <c r="A26937" s="571" t="s">
        <v>1358</v>
      </c>
      <c r="B26937" s="572">
        <v>1</v>
      </c>
      <c r="C26937" s="572">
        <v>30</v>
      </c>
    </row>
    <row r="26938" spans="1:3">
      <c r="A26938" s="571" t="s">
        <v>1358</v>
      </c>
      <c r="B26938" s="572">
        <v>15</v>
      </c>
      <c r="C26938" s="572">
        <v>196.7</v>
      </c>
    </row>
    <row r="26939" spans="1:3">
      <c r="A26939" s="571" t="s">
        <v>1358</v>
      </c>
      <c r="B26939" s="572">
        <v>18</v>
      </c>
      <c r="C26939" s="572">
        <v>201.7</v>
      </c>
    </row>
    <row r="26940" spans="1:3">
      <c r="A26940" s="571" t="s">
        <v>1358</v>
      </c>
      <c r="B26940" s="572">
        <v>27</v>
      </c>
      <c r="C26940" s="572">
        <v>223</v>
      </c>
    </row>
    <row r="26941" spans="1:3">
      <c r="A26941" s="571" t="s">
        <v>1358</v>
      </c>
      <c r="B26941" s="572">
        <v>34</v>
      </c>
      <c r="C26941" s="572">
        <v>248.3</v>
      </c>
    </row>
    <row r="26942" spans="1:3">
      <c r="A26942" s="571" t="s">
        <v>1358</v>
      </c>
      <c r="B26942" s="572">
        <v>41</v>
      </c>
      <c r="C26942" s="572">
        <v>251.7</v>
      </c>
    </row>
    <row r="26943" spans="1:3">
      <c r="A26943" s="571" t="s">
        <v>1358</v>
      </c>
      <c r="B26943" s="572">
        <v>46</v>
      </c>
      <c r="C26943" s="572">
        <v>260</v>
      </c>
    </row>
    <row r="26944" spans="1:3">
      <c r="A26944" s="571" t="s">
        <v>1358</v>
      </c>
      <c r="B26944" s="572">
        <v>98</v>
      </c>
      <c r="C26944" s="572">
        <v>316.7</v>
      </c>
    </row>
    <row r="26945" spans="1:3">
      <c r="A26945" s="573" t="s">
        <v>1358</v>
      </c>
      <c r="B26945" s="574">
        <v>172</v>
      </c>
      <c r="C26945" s="574">
        <v>343.3</v>
      </c>
    </row>
    <row r="26946" spans="1:3">
      <c r="A26946" s="573" t="s">
        <v>1358</v>
      </c>
      <c r="B26946" s="574">
        <v>208</v>
      </c>
      <c r="C26946" s="574">
        <v>350</v>
      </c>
    </row>
    <row r="26947" spans="1:3">
      <c r="A26947" s="573" t="s">
        <v>1358</v>
      </c>
      <c r="B26947" s="574">
        <v>221</v>
      </c>
      <c r="C26947" s="574">
        <v>338.3</v>
      </c>
    </row>
    <row r="26948" spans="1:3">
      <c r="A26948" s="573" t="s">
        <v>1358</v>
      </c>
      <c r="B26948" s="574">
        <v>287</v>
      </c>
      <c r="C26948" s="574">
        <v>403.3</v>
      </c>
    </row>
    <row r="26949" spans="1:3">
      <c r="A26949" s="573" t="s">
        <v>1358</v>
      </c>
      <c r="B26949" s="574">
        <v>300</v>
      </c>
      <c r="C26949" s="574">
        <v>390</v>
      </c>
    </row>
    <row r="26950" spans="1:3">
      <c r="A26950" s="573" t="s">
        <v>1358</v>
      </c>
      <c r="B26950" s="574">
        <v>418</v>
      </c>
      <c r="C26950" s="574">
        <v>425</v>
      </c>
    </row>
    <row r="26951" spans="1:3">
      <c r="A26951" s="573" t="s">
        <v>1358</v>
      </c>
      <c r="B26951" s="574">
        <v>418</v>
      </c>
      <c r="C26951" s="574">
        <v>425</v>
      </c>
    </row>
    <row r="26952" spans="1:3">
      <c r="A26952" s="571" t="s">
        <v>1357</v>
      </c>
      <c r="B26952" s="572">
        <v>0</v>
      </c>
      <c r="C26952" s="572">
        <v>0</v>
      </c>
    </row>
    <row r="26953" spans="1:3">
      <c r="A26953" s="571" t="s">
        <v>1357</v>
      </c>
      <c r="B26953" s="572">
        <v>1</v>
      </c>
      <c r="C26953" s="572">
        <v>45</v>
      </c>
    </row>
    <row r="26954" spans="1:3">
      <c r="A26954" s="571" t="s">
        <v>1357</v>
      </c>
      <c r="B26954" s="572">
        <v>2</v>
      </c>
      <c r="C26954" s="572">
        <v>66.7</v>
      </c>
    </row>
    <row r="26955" spans="1:3">
      <c r="A26955" s="571" t="s">
        <v>1357</v>
      </c>
      <c r="B26955" s="572">
        <v>8</v>
      </c>
      <c r="C26955" s="572">
        <v>95</v>
      </c>
    </row>
    <row r="26956" spans="1:3">
      <c r="A26956" s="571" t="s">
        <v>1357</v>
      </c>
      <c r="B26956" s="572">
        <v>9</v>
      </c>
      <c r="C26956" s="572">
        <v>105</v>
      </c>
    </row>
    <row r="26957" spans="1:3">
      <c r="A26957" s="571" t="s">
        <v>1357</v>
      </c>
      <c r="B26957" s="572">
        <v>14</v>
      </c>
      <c r="C26957" s="572">
        <v>110</v>
      </c>
    </row>
    <row r="26958" spans="1:3">
      <c r="A26958" s="571" t="s">
        <v>1357</v>
      </c>
      <c r="B26958" s="572">
        <v>38</v>
      </c>
      <c r="C26958" s="572">
        <v>121.7</v>
      </c>
    </row>
    <row r="26959" spans="1:3">
      <c r="A26959" s="573" t="s">
        <v>1357</v>
      </c>
      <c r="B26959" s="574">
        <v>181</v>
      </c>
      <c r="C26959" s="574">
        <v>167</v>
      </c>
    </row>
    <row r="26960" spans="1:3">
      <c r="A26960" s="573" t="s">
        <v>1357</v>
      </c>
      <c r="B26960" s="574">
        <v>189</v>
      </c>
      <c r="C26960" s="574">
        <v>160</v>
      </c>
    </row>
    <row r="26961" spans="1:3">
      <c r="A26961" s="573" t="s">
        <v>1357</v>
      </c>
      <c r="B26961" s="574">
        <v>225</v>
      </c>
      <c r="C26961" s="574">
        <v>162</v>
      </c>
    </row>
    <row r="26962" spans="1:3">
      <c r="A26962" s="573" t="s">
        <v>1357</v>
      </c>
      <c r="B26962" s="574">
        <v>225</v>
      </c>
      <c r="C26962" s="574">
        <v>162</v>
      </c>
    </row>
    <row r="26963" spans="1:3">
      <c r="A26963" s="571" t="s">
        <v>1356</v>
      </c>
      <c r="B26963" s="572">
        <v>0</v>
      </c>
      <c r="C26963" s="572">
        <v>0</v>
      </c>
    </row>
    <row r="26964" spans="1:3">
      <c r="A26964" s="571" t="s">
        <v>1356</v>
      </c>
      <c r="B26964" s="572">
        <v>1</v>
      </c>
      <c r="C26964" s="572">
        <v>51.7</v>
      </c>
    </row>
    <row r="26965" spans="1:3">
      <c r="A26965" s="571" t="s">
        <v>1356</v>
      </c>
      <c r="B26965" s="572">
        <v>2</v>
      </c>
      <c r="C26965" s="572">
        <v>90</v>
      </c>
    </row>
    <row r="26966" spans="1:3">
      <c r="A26966" s="571" t="s">
        <v>1356</v>
      </c>
      <c r="B26966" s="572">
        <v>8</v>
      </c>
      <c r="C26966" s="572">
        <v>130</v>
      </c>
    </row>
    <row r="26967" spans="1:3">
      <c r="A26967" s="571" t="s">
        <v>1356</v>
      </c>
      <c r="B26967" s="572">
        <v>9</v>
      </c>
      <c r="C26967" s="572">
        <v>146.69999999999999</v>
      </c>
    </row>
    <row r="26968" spans="1:3">
      <c r="A26968" s="571" t="s">
        <v>1356</v>
      </c>
      <c r="B26968" s="572">
        <v>14</v>
      </c>
      <c r="C26968" s="572">
        <v>165</v>
      </c>
    </row>
    <row r="26969" spans="1:3">
      <c r="A26969" s="571" t="s">
        <v>1356</v>
      </c>
      <c r="B26969" s="572">
        <v>38</v>
      </c>
      <c r="C26969" s="572">
        <v>211.7</v>
      </c>
    </row>
    <row r="26970" spans="1:3">
      <c r="A26970" s="573" t="s">
        <v>1356</v>
      </c>
      <c r="B26970" s="574">
        <v>105</v>
      </c>
      <c r="C26970" s="574">
        <v>240</v>
      </c>
    </row>
    <row r="26971" spans="1:3">
      <c r="A26971" s="573" t="s">
        <v>1356</v>
      </c>
      <c r="B26971" s="574">
        <v>181</v>
      </c>
      <c r="C26971" s="574">
        <v>242</v>
      </c>
    </row>
    <row r="26972" spans="1:3">
      <c r="A26972" s="573" t="s">
        <v>1356</v>
      </c>
      <c r="B26972" s="574">
        <v>189</v>
      </c>
      <c r="C26972" s="574">
        <v>230</v>
      </c>
    </row>
    <row r="26973" spans="1:3">
      <c r="A26973" s="573" t="s">
        <v>1356</v>
      </c>
      <c r="B26973" s="574">
        <v>225</v>
      </c>
      <c r="C26973" s="574">
        <v>245</v>
      </c>
    </row>
    <row r="26974" spans="1:3">
      <c r="A26974" s="573" t="s">
        <v>1356</v>
      </c>
      <c r="B26974" s="574">
        <v>225</v>
      </c>
      <c r="C26974" s="574">
        <v>245</v>
      </c>
    </row>
    <row r="26975" spans="1:3">
      <c r="A26975" s="571" t="s">
        <v>1355</v>
      </c>
      <c r="B26975" s="572">
        <v>0</v>
      </c>
      <c r="C26975" s="572">
        <v>0</v>
      </c>
    </row>
    <row r="26976" spans="1:3">
      <c r="A26976" s="571" t="s">
        <v>1355</v>
      </c>
      <c r="B26976" s="572">
        <v>1</v>
      </c>
      <c r="C26976" s="572">
        <v>8.3000000000000007</v>
      </c>
    </row>
    <row r="26977" spans="1:3">
      <c r="A26977" s="571" t="s">
        <v>1355</v>
      </c>
      <c r="B26977" s="572">
        <v>2</v>
      </c>
      <c r="C26977" s="572">
        <v>15</v>
      </c>
    </row>
    <row r="26978" spans="1:3">
      <c r="A26978" s="571" t="s">
        <v>1355</v>
      </c>
      <c r="B26978" s="572">
        <v>14</v>
      </c>
      <c r="C26978" s="572">
        <v>5</v>
      </c>
    </row>
    <row r="26979" spans="1:3">
      <c r="A26979" s="571" t="s">
        <v>1355</v>
      </c>
      <c r="B26979" s="572">
        <v>25</v>
      </c>
      <c r="C26979" s="572">
        <v>26.7</v>
      </c>
    </row>
    <row r="26980" spans="1:3">
      <c r="A26980" s="571" t="s">
        <v>1355</v>
      </c>
      <c r="B26980" s="572">
        <v>92</v>
      </c>
      <c r="C26980" s="572">
        <v>65</v>
      </c>
    </row>
    <row r="26981" spans="1:3">
      <c r="A26981" s="573" t="s">
        <v>1355</v>
      </c>
      <c r="B26981" s="574">
        <v>169</v>
      </c>
      <c r="C26981" s="574">
        <v>75</v>
      </c>
    </row>
    <row r="26982" spans="1:3">
      <c r="A26982" s="573" t="s">
        <v>1355</v>
      </c>
      <c r="B26982" s="574">
        <v>172</v>
      </c>
      <c r="C26982" s="574">
        <v>90</v>
      </c>
    </row>
    <row r="26983" spans="1:3">
      <c r="A26983" s="573" t="s">
        <v>1355</v>
      </c>
      <c r="B26983" s="574">
        <v>176</v>
      </c>
      <c r="C26983" s="574">
        <v>82</v>
      </c>
    </row>
    <row r="26984" spans="1:3">
      <c r="A26984" s="573" t="s">
        <v>1355</v>
      </c>
      <c r="B26984" s="574">
        <v>212</v>
      </c>
      <c r="C26984" s="574">
        <v>85</v>
      </c>
    </row>
    <row r="26985" spans="1:3">
      <c r="A26985" s="573" t="s">
        <v>1355</v>
      </c>
      <c r="B26985" s="574">
        <v>212</v>
      </c>
      <c r="C26985" s="574">
        <v>85</v>
      </c>
    </row>
    <row r="26986" spans="1:3">
      <c r="A26986" s="571" t="s">
        <v>1354</v>
      </c>
      <c r="B26986" s="572">
        <v>0</v>
      </c>
      <c r="C26986" s="572">
        <v>0</v>
      </c>
    </row>
    <row r="26987" spans="1:3">
      <c r="A26987" s="571" t="s">
        <v>1354</v>
      </c>
      <c r="B26987" s="572">
        <v>13</v>
      </c>
      <c r="C26987" s="572">
        <v>10</v>
      </c>
    </row>
    <row r="26988" spans="1:3">
      <c r="A26988" s="571" t="s">
        <v>1354</v>
      </c>
      <c r="B26988" s="572">
        <v>26</v>
      </c>
      <c r="C26988" s="572">
        <v>29</v>
      </c>
    </row>
    <row r="26989" spans="1:3">
      <c r="A26989" s="571" t="s">
        <v>1354</v>
      </c>
      <c r="B26989" s="572">
        <v>29</v>
      </c>
      <c r="C26989" s="572">
        <v>31.7</v>
      </c>
    </row>
    <row r="26990" spans="1:3">
      <c r="A26990" s="571" t="s">
        <v>1354</v>
      </c>
      <c r="B26990" s="572">
        <v>41</v>
      </c>
      <c r="C26990" s="572">
        <v>43.3</v>
      </c>
    </row>
    <row r="26991" spans="1:3">
      <c r="A26991" s="571" t="s">
        <v>1354</v>
      </c>
      <c r="B26991" s="572">
        <v>70</v>
      </c>
      <c r="C26991" s="572">
        <v>55</v>
      </c>
    </row>
    <row r="26992" spans="1:3">
      <c r="A26992" s="573" t="s">
        <v>1354</v>
      </c>
      <c r="B26992" s="574">
        <v>144</v>
      </c>
      <c r="C26992" s="574">
        <v>66.7</v>
      </c>
    </row>
    <row r="26993" spans="1:3">
      <c r="A26993" s="573" t="s">
        <v>1354</v>
      </c>
      <c r="B26993" s="574">
        <v>180</v>
      </c>
      <c r="C26993" s="574">
        <v>66.7</v>
      </c>
    </row>
    <row r="26994" spans="1:3">
      <c r="A26994" s="573" t="s">
        <v>1354</v>
      </c>
      <c r="B26994" s="574">
        <v>265</v>
      </c>
      <c r="C26994" s="574">
        <v>103.3</v>
      </c>
    </row>
    <row r="26995" spans="1:3">
      <c r="A26995" s="573" t="s">
        <v>1354</v>
      </c>
      <c r="B26995" s="574">
        <v>302</v>
      </c>
      <c r="C26995" s="574">
        <v>115</v>
      </c>
    </row>
    <row r="26996" spans="1:3">
      <c r="A26996" s="573" t="s">
        <v>1354</v>
      </c>
      <c r="B26996" s="574">
        <v>390</v>
      </c>
      <c r="C26996" s="574">
        <v>163</v>
      </c>
    </row>
    <row r="26997" spans="1:3">
      <c r="A26997" s="573" t="s">
        <v>1354</v>
      </c>
      <c r="B26997" s="574">
        <v>390</v>
      </c>
      <c r="C26997" s="574">
        <v>163</v>
      </c>
    </row>
    <row r="26998" spans="1:3">
      <c r="A26998" s="571" t="s">
        <v>1353</v>
      </c>
      <c r="B26998" s="572">
        <v>0</v>
      </c>
      <c r="C26998" s="572">
        <v>0</v>
      </c>
    </row>
    <row r="26999" spans="1:3">
      <c r="A26999" s="571" t="s">
        <v>1353</v>
      </c>
      <c r="B26999" s="572">
        <v>13</v>
      </c>
      <c r="C26999" s="572">
        <v>63.3</v>
      </c>
    </row>
    <row r="27000" spans="1:3">
      <c r="A27000" s="571" t="s">
        <v>1353</v>
      </c>
      <c r="B27000" s="572">
        <v>26</v>
      </c>
      <c r="C27000" s="572">
        <v>80</v>
      </c>
    </row>
    <row r="27001" spans="1:3">
      <c r="A27001" s="571" t="s">
        <v>1353</v>
      </c>
      <c r="B27001" s="572">
        <v>29</v>
      </c>
      <c r="C27001" s="572">
        <v>83.3</v>
      </c>
    </row>
    <row r="27002" spans="1:3">
      <c r="A27002" s="571" t="s">
        <v>1353</v>
      </c>
      <c r="B27002" s="572">
        <v>41</v>
      </c>
      <c r="C27002" s="572">
        <v>106.7</v>
      </c>
    </row>
    <row r="27003" spans="1:3">
      <c r="A27003" s="571" t="s">
        <v>1353</v>
      </c>
      <c r="B27003" s="572">
        <v>70</v>
      </c>
      <c r="C27003" s="572">
        <v>113.3</v>
      </c>
    </row>
    <row r="27004" spans="1:3">
      <c r="A27004" s="573" t="s">
        <v>1353</v>
      </c>
      <c r="B27004" s="574">
        <v>144</v>
      </c>
      <c r="C27004" s="574">
        <v>111.7</v>
      </c>
    </row>
    <row r="27005" spans="1:3">
      <c r="A27005" s="573" t="s">
        <v>1353</v>
      </c>
      <c r="B27005" s="574">
        <v>180</v>
      </c>
      <c r="C27005" s="574">
        <v>121.7</v>
      </c>
    </row>
    <row r="27006" spans="1:3">
      <c r="A27006" s="573" t="s">
        <v>1353</v>
      </c>
      <c r="B27006" s="574">
        <v>265</v>
      </c>
      <c r="C27006" s="574">
        <v>130</v>
      </c>
    </row>
    <row r="27007" spans="1:3">
      <c r="A27007" s="573" t="s">
        <v>1353</v>
      </c>
      <c r="B27007" s="574">
        <v>302</v>
      </c>
      <c r="C27007" s="574">
        <v>153</v>
      </c>
    </row>
    <row r="27008" spans="1:3">
      <c r="A27008" s="573" t="s">
        <v>1353</v>
      </c>
      <c r="B27008" s="574">
        <v>390</v>
      </c>
      <c r="C27008" s="574">
        <v>195</v>
      </c>
    </row>
    <row r="27009" spans="1:3">
      <c r="A27009" s="573" t="s">
        <v>1353</v>
      </c>
      <c r="B27009" s="574">
        <v>390</v>
      </c>
      <c r="C27009" s="574">
        <v>195</v>
      </c>
    </row>
    <row r="27010" spans="1:3">
      <c r="A27010" s="571" t="s">
        <v>1352</v>
      </c>
      <c r="B27010" s="572">
        <v>0</v>
      </c>
      <c r="C27010" s="572">
        <v>0</v>
      </c>
    </row>
    <row r="27011" spans="1:3">
      <c r="A27011" s="571" t="s">
        <v>1352</v>
      </c>
      <c r="B27011" s="572">
        <v>1</v>
      </c>
      <c r="C27011" s="572">
        <v>28.3</v>
      </c>
    </row>
    <row r="27012" spans="1:3">
      <c r="A27012" s="571" t="s">
        <v>1352</v>
      </c>
      <c r="B27012" s="572">
        <v>2</v>
      </c>
      <c r="C27012" s="572">
        <v>40</v>
      </c>
    </row>
    <row r="27013" spans="1:3">
      <c r="A27013" s="571" t="s">
        <v>1352</v>
      </c>
      <c r="B27013" s="572">
        <v>7</v>
      </c>
      <c r="C27013" s="572">
        <v>65</v>
      </c>
    </row>
    <row r="27014" spans="1:3">
      <c r="A27014" s="571" t="s">
        <v>1352</v>
      </c>
      <c r="B27014" s="572">
        <v>8</v>
      </c>
      <c r="C27014" s="572">
        <v>65</v>
      </c>
    </row>
    <row r="27015" spans="1:3">
      <c r="A27015" s="571" t="s">
        <v>1352</v>
      </c>
      <c r="B27015" s="572">
        <v>14</v>
      </c>
      <c r="C27015" s="572">
        <v>91.7</v>
      </c>
    </row>
    <row r="27016" spans="1:3">
      <c r="A27016" s="571" t="s">
        <v>1352</v>
      </c>
      <c r="B27016" s="572">
        <v>27</v>
      </c>
      <c r="C27016" s="572">
        <v>91.7</v>
      </c>
    </row>
    <row r="27017" spans="1:3">
      <c r="A27017" s="571" t="s">
        <v>1352</v>
      </c>
      <c r="B27017" s="572">
        <v>28</v>
      </c>
      <c r="C27017" s="572">
        <v>92</v>
      </c>
    </row>
    <row r="27018" spans="1:3">
      <c r="A27018" s="571" t="s">
        <v>1352</v>
      </c>
      <c r="B27018" s="572">
        <v>69</v>
      </c>
      <c r="C27018" s="572">
        <v>110</v>
      </c>
    </row>
    <row r="27019" spans="1:3">
      <c r="A27019" s="573" t="s">
        <v>1352</v>
      </c>
      <c r="B27019" s="574">
        <v>117</v>
      </c>
      <c r="C27019" s="574">
        <v>131.69999999999999</v>
      </c>
    </row>
    <row r="27020" spans="1:3">
      <c r="A27020" s="573" t="s">
        <v>1352</v>
      </c>
      <c r="B27020" s="574">
        <v>153</v>
      </c>
      <c r="C27020" s="574">
        <v>141.69999999999999</v>
      </c>
    </row>
    <row r="27021" spans="1:3">
      <c r="A27021" s="573" t="s">
        <v>1352</v>
      </c>
      <c r="B27021" s="574">
        <v>238</v>
      </c>
      <c r="C27021" s="574">
        <v>180</v>
      </c>
    </row>
    <row r="27022" spans="1:3">
      <c r="A27022" s="573" t="s">
        <v>1352</v>
      </c>
      <c r="B27022" s="574">
        <v>363</v>
      </c>
      <c r="C27022" s="574">
        <v>217</v>
      </c>
    </row>
    <row r="27023" spans="1:3">
      <c r="A27023" s="573" t="s">
        <v>1352</v>
      </c>
      <c r="B27023" s="574">
        <v>363</v>
      </c>
      <c r="C27023" s="574">
        <v>217</v>
      </c>
    </row>
    <row r="27024" spans="1:3">
      <c r="A27024" s="571" t="s">
        <v>1351</v>
      </c>
      <c r="B27024" s="572">
        <v>0</v>
      </c>
      <c r="C27024" s="572">
        <v>0</v>
      </c>
    </row>
    <row r="27025" spans="1:3">
      <c r="A27025" s="571" t="s">
        <v>1351</v>
      </c>
      <c r="B27025" s="572">
        <v>3</v>
      </c>
      <c r="C27025" s="572">
        <v>6.7</v>
      </c>
    </row>
    <row r="27026" spans="1:3">
      <c r="A27026" s="571" t="s">
        <v>1351</v>
      </c>
      <c r="B27026" s="572">
        <v>6</v>
      </c>
      <c r="C27026" s="572">
        <v>36.700000000000003</v>
      </c>
    </row>
    <row r="27027" spans="1:3">
      <c r="A27027" s="571" t="s">
        <v>1351</v>
      </c>
      <c r="B27027" s="572">
        <v>8</v>
      </c>
      <c r="C27027" s="572">
        <v>83.3</v>
      </c>
    </row>
    <row r="27028" spans="1:3">
      <c r="A27028" s="571" t="s">
        <v>1351</v>
      </c>
      <c r="B27028" s="572">
        <v>13</v>
      </c>
      <c r="C27028" s="572">
        <v>78.3</v>
      </c>
    </row>
    <row r="27029" spans="1:3">
      <c r="A27029" s="571" t="s">
        <v>1351</v>
      </c>
      <c r="B27029" s="572">
        <v>20</v>
      </c>
      <c r="C27029" s="572">
        <v>73.3</v>
      </c>
    </row>
    <row r="27030" spans="1:3">
      <c r="A27030" s="571" t="s">
        <v>1351</v>
      </c>
      <c r="B27030" s="572">
        <v>28</v>
      </c>
      <c r="C27030" s="572">
        <v>106.7</v>
      </c>
    </row>
    <row r="27031" spans="1:3">
      <c r="A27031" s="571" t="s">
        <v>1351</v>
      </c>
      <c r="B27031" s="572">
        <v>34</v>
      </c>
      <c r="C27031" s="572">
        <v>103.3</v>
      </c>
    </row>
    <row r="27032" spans="1:3">
      <c r="A27032" s="571" t="s">
        <v>1351</v>
      </c>
      <c r="B27032" s="572">
        <v>43</v>
      </c>
      <c r="C27032" s="572">
        <v>120</v>
      </c>
    </row>
    <row r="27033" spans="1:3">
      <c r="A27033" s="571" t="s">
        <v>1351</v>
      </c>
      <c r="B27033" s="572">
        <v>55</v>
      </c>
      <c r="C27033" s="572">
        <v>138.30000000000001</v>
      </c>
    </row>
    <row r="27034" spans="1:3">
      <c r="A27034" s="571" t="s">
        <v>1351</v>
      </c>
      <c r="B27034" s="572">
        <v>78</v>
      </c>
      <c r="C27034" s="572">
        <v>136.69999999999999</v>
      </c>
    </row>
    <row r="27035" spans="1:3">
      <c r="A27035" s="571" t="s">
        <v>1351</v>
      </c>
      <c r="B27035" s="572">
        <v>83</v>
      </c>
      <c r="C27035" s="572">
        <v>135</v>
      </c>
    </row>
    <row r="27036" spans="1:3">
      <c r="A27036" s="573" t="s">
        <v>1351</v>
      </c>
      <c r="B27036" s="574">
        <v>118</v>
      </c>
      <c r="C27036" s="574">
        <v>161.69999999999999</v>
      </c>
    </row>
    <row r="27037" spans="1:3">
      <c r="A27037" s="573" t="s">
        <v>1351</v>
      </c>
      <c r="B27037" s="574">
        <v>161</v>
      </c>
      <c r="C27037" s="574">
        <v>153.30000000000001</v>
      </c>
    </row>
    <row r="27038" spans="1:3">
      <c r="A27038" s="573" t="s">
        <v>1351</v>
      </c>
      <c r="B27038" s="574">
        <v>209</v>
      </c>
      <c r="C27038" s="574">
        <v>165</v>
      </c>
    </row>
    <row r="27039" spans="1:3">
      <c r="A27039" s="573" t="s">
        <v>1351</v>
      </c>
      <c r="B27039" s="574">
        <v>245</v>
      </c>
      <c r="C27039" s="574">
        <v>166.7</v>
      </c>
    </row>
    <row r="27040" spans="1:3">
      <c r="A27040" s="573" t="s">
        <v>1351</v>
      </c>
      <c r="B27040" s="574">
        <v>272</v>
      </c>
      <c r="C27040" s="574">
        <v>171.7</v>
      </c>
    </row>
    <row r="27041" spans="1:3">
      <c r="A27041" s="573" t="s">
        <v>1351</v>
      </c>
      <c r="B27041" s="574">
        <v>281</v>
      </c>
      <c r="C27041" s="574">
        <v>170</v>
      </c>
    </row>
    <row r="27042" spans="1:3">
      <c r="A27042" s="573" t="s">
        <v>1351</v>
      </c>
      <c r="B27042" s="574">
        <v>288</v>
      </c>
      <c r="C27042" s="574">
        <v>171.7</v>
      </c>
    </row>
    <row r="27043" spans="1:3">
      <c r="A27043" s="573" t="s">
        <v>1351</v>
      </c>
      <c r="B27043" s="574">
        <v>330</v>
      </c>
      <c r="C27043" s="574">
        <v>158.30000000000001</v>
      </c>
    </row>
    <row r="27044" spans="1:3">
      <c r="A27044" s="573" t="s">
        <v>1351</v>
      </c>
      <c r="B27044" s="574">
        <v>367</v>
      </c>
      <c r="C27044" s="574">
        <v>188</v>
      </c>
    </row>
    <row r="27045" spans="1:3">
      <c r="A27045" s="573" t="s">
        <v>1351</v>
      </c>
      <c r="B27045" s="574">
        <v>367</v>
      </c>
      <c r="C27045" s="574">
        <v>188</v>
      </c>
    </row>
    <row r="27046" spans="1:3">
      <c r="A27046" s="571" t="s">
        <v>1350</v>
      </c>
      <c r="B27046" s="572">
        <v>0</v>
      </c>
      <c r="C27046" s="572">
        <v>0</v>
      </c>
    </row>
    <row r="27047" spans="1:3">
      <c r="A27047" s="571" t="s">
        <v>1350</v>
      </c>
      <c r="B27047" s="572">
        <v>2</v>
      </c>
      <c r="C27047" s="572">
        <v>40</v>
      </c>
    </row>
    <row r="27048" spans="1:3">
      <c r="A27048" s="571" t="s">
        <v>1350</v>
      </c>
      <c r="B27048" s="572">
        <v>3</v>
      </c>
      <c r="C27048" s="572">
        <v>36.6</v>
      </c>
    </row>
    <row r="27049" spans="1:3">
      <c r="A27049" s="571" t="s">
        <v>1350</v>
      </c>
      <c r="B27049" s="572">
        <v>6</v>
      </c>
      <c r="C27049" s="572">
        <v>36.6</v>
      </c>
    </row>
    <row r="27050" spans="1:3">
      <c r="A27050" s="571" t="s">
        <v>1350</v>
      </c>
      <c r="B27050" s="572">
        <v>15</v>
      </c>
      <c r="C27050" s="572">
        <v>41.6</v>
      </c>
    </row>
    <row r="27051" spans="1:3">
      <c r="A27051" s="571" t="s">
        <v>1350</v>
      </c>
      <c r="B27051" s="572">
        <v>27</v>
      </c>
      <c r="C27051" s="572">
        <v>56.6</v>
      </c>
    </row>
    <row r="27052" spans="1:3">
      <c r="A27052" s="571" t="s">
        <v>1350</v>
      </c>
      <c r="B27052" s="572">
        <v>50</v>
      </c>
      <c r="C27052" s="572">
        <v>66.599999999999994</v>
      </c>
    </row>
    <row r="27053" spans="1:3">
      <c r="A27053" s="571" t="s">
        <v>1350</v>
      </c>
      <c r="B27053" s="572">
        <v>55</v>
      </c>
      <c r="C27053" s="572">
        <v>75</v>
      </c>
    </row>
    <row r="27054" spans="1:3">
      <c r="A27054" s="571" t="s">
        <v>1350</v>
      </c>
      <c r="B27054" s="572">
        <v>90</v>
      </c>
      <c r="C27054" s="572">
        <v>90</v>
      </c>
    </row>
    <row r="27055" spans="1:3">
      <c r="A27055" s="573" t="s">
        <v>1350</v>
      </c>
      <c r="B27055" s="574">
        <v>133</v>
      </c>
      <c r="C27055" s="574">
        <v>103.3</v>
      </c>
    </row>
    <row r="27056" spans="1:3">
      <c r="A27056" s="573" t="s">
        <v>1350</v>
      </c>
      <c r="B27056" s="574">
        <v>181</v>
      </c>
      <c r="C27056" s="574">
        <v>106.6</v>
      </c>
    </row>
    <row r="27057" spans="1:3">
      <c r="A27057" s="573" t="s">
        <v>1350</v>
      </c>
      <c r="B27057" s="574">
        <v>217</v>
      </c>
      <c r="C27057" s="574">
        <v>133.30000000000001</v>
      </c>
    </row>
    <row r="27058" spans="1:3">
      <c r="A27058" s="573" t="s">
        <v>1350</v>
      </c>
      <c r="B27058" s="574">
        <v>244</v>
      </c>
      <c r="C27058" s="574">
        <v>121.6</v>
      </c>
    </row>
    <row r="27059" spans="1:3">
      <c r="A27059" s="573" t="s">
        <v>1350</v>
      </c>
      <c r="B27059" s="574">
        <v>302</v>
      </c>
      <c r="C27059" s="574">
        <v>118.3</v>
      </c>
    </row>
    <row r="27060" spans="1:3">
      <c r="A27060" s="573" t="s">
        <v>1350</v>
      </c>
      <c r="B27060" s="574">
        <v>302</v>
      </c>
      <c r="C27060" s="574">
        <v>118.3</v>
      </c>
    </row>
    <row r="27061" spans="1:3">
      <c r="A27061" s="571" t="s">
        <v>1349</v>
      </c>
      <c r="B27061" s="572">
        <v>0</v>
      </c>
      <c r="C27061" s="572">
        <v>0</v>
      </c>
    </row>
    <row r="27062" spans="1:3">
      <c r="A27062" s="571" t="s">
        <v>1349</v>
      </c>
      <c r="B27062" s="572">
        <v>3</v>
      </c>
      <c r="C27062" s="572">
        <v>45</v>
      </c>
    </row>
    <row r="27063" spans="1:3">
      <c r="A27063" s="571" t="s">
        <v>1349</v>
      </c>
      <c r="B27063" s="572">
        <v>6</v>
      </c>
      <c r="C27063" s="572">
        <v>78.3</v>
      </c>
    </row>
    <row r="27064" spans="1:3">
      <c r="A27064" s="571" t="s">
        <v>1349</v>
      </c>
      <c r="B27064" s="572">
        <v>8</v>
      </c>
      <c r="C27064" s="572">
        <v>113.3</v>
      </c>
    </row>
    <row r="27065" spans="1:3">
      <c r="A27065" s="571" t="s">
        <v>1349</v>
      </c>
      <c r="B27065" s="572">
        <v>13</v>
      </c>
      <c r="C27065" s="572">
        <v>168.3</v>
      </c>
    </row>
    <row r="27066" spans="1:3">
      <c r="A27066" s="571" t="s">
        <v>1349</v>
      </c>
      <c r="B27066" s="572">
        <v>20</v>
      </c>
      <c r="C27066" s="572">
        <v>155</v>
      </c>
    </row>
    <row r="27067" spans="1:3">
      <c r="A27067" s="571" t="s">
        <v>1349</v>
      </c>
      <c r="B27067" s="572">
        <v>28</v>
      </c>
      <c r="C27067" s="572">
        <v>191.7</v>
      </c>
    </row>
    <row r="27068" spans="1:3">
      <c r="A27068" s="571" t="s">
        <v>1349</v>
      </c>
      <c r="B27068" s="572">
        <v>34</v>
      </c>
      <c r="C27068" s="572">
        <v>195</v>
      </c>
    </row>
    <row r="27069" spans="1:3">
      <c r="A27069" s="571" t="s">
        <v>1349</v>
      </c>
      <c r="B27069" s="572">
        <v>43</v>
      </c>
      <c r="C27069" s="572">
        <v>203.3</v>
      </c>
    </row>
    <row r="27070" spans="1:3">
      <c r="A27070" s="571" t="s">
        <v>1349</v>
      </c>
      <c r="B27070" s="572">
        <v>55</v>
      </c>
      <c r="C27070" s="572">
        <v>210</v>
      </c>
    </row>
    <row r="27071" spans="1:3">
      <c r="A27071" s="571" t="s">
        <v>1349</v>
      </c>
      <c r="B27071" s="572">
        <v>78</v>
      </c>
      <c r="C27071" s="572">
        <v>228.3</v>
      </c>
    </row>
    <row r="27072" spans="1:3">
      <c r="A27072" s="571" t="s">
        <v>1349</v>
      </c>
      <c r="B27072" s="572">
        <v>83</v>
      </c>
      <c r="C27072" s="572">
        <v>228.3</v>
      </c>
    </row>
    <row r="27073" spans="1:3">
      <c r="A27073" s="573" t="s">
        <v>1349</v>
      </c>
      <c r="B27073" s="574">
        <v>118</v>
      </c>
      <c r="C27073" s="574">
        <v>238.3</v>
      </c>
    </row>
    <row r="27074" spans="1:3">
      <c r="A27074" s="573" t="s">
        <v>1349</v>
      </c>
      <c r="B27074" s="574">
        <v>161</v>
      </c>
      <c r="C27074" s="574">
        <v>243.3</v>
      </c>
    </row>
    <row r="27075" spans="1:3">
      <c r="A27075" s="573" t="s">
        <v>1349</v>
      </c>
      <c r="B27075" s="574">
        <v>209</v>
      </c>
      <c r="C27075" s="574">
        <v>258.3</v>
      </c>
    </row>
    <row r="27076" spans="1:3">
      <c r="A27076" s="573" t="s">
        <v>1349</v>
      </c>
      <c r="B27076" s="574">
        <v>245</v>
      </c>
      <c r="C27076" s="574">
        <v>265</v>
      </c>
    </row>
    <row r="27077" spans="1:3">
      <c r="A27077" s="573" t="s">
        <v>1349</v>
      </c>
      <c r="B27077" s="574">
        <v>272</v>
      </c>
      <c r="C27077" s="574">
        <v>251.7</v>
      </c>
    </row>
    <row r="27078" spans="1:3">
      <c r="A27078" s="573" t="s">
        <v>1349</v>
      </c>
      <c r="B27078" s="574">
        <v>330</v>
      </c>
      <c r="C27078" s="574">
        <v>256.7</v>
      </c>
    </row>
    <row r="27079" spans="1:3">
      <c r="A27079" s="573" t="s">
        <v>1349</v>
      </c>
      <c r="B27079" s="574">
        <v>384</v>
      </c>
      <c r="C27079" s="574">
        <v>257</v>
      </c>
    </row>
    <row r="27080" spans="1:3">
      <c r="A27080" s="573" t="s">
        <v>1349</v>
      </c>
      <c r="B27080" s="574">
        <v>384</v>
      </c>
      <c r="C27080" s="574">
        <v>257</v>
      </c>
    </row>
    <row r="27081" spans="1:3">
      <c r="A27081" s="571" t="s">
        <v>1348</v>
      </c>
      <c r="B27081" s="572">
        <v>0</v>
      </c>
      <c r="C27081" s="572">
        <v>0</v>
      </c>
    </row>
    <row r="27082" spans="1:3">
      <c r="A27082" s="571" t="s">
        <v>1348</v>
      </c>
      <c r="B27082" s="572">
        <v>1</v>
      </c>
      <c r="C27082" s="572">
        <v>35</v>
      </c>
    </row>
    <row r="27083" spans="1:3">
      <c r="A27083" s="571" t="s">
        <v>1348</v>
      </c>
      <c r="B27083" s="572">
        <v>8</v>
      </c>
      <c r="C27083" s="572">
        <v>35</v>
      </c>
    </row>
    <row r="27084" spans="1:3">
      <c r="A27084" s="571" t="s">
        <v>1348</v>
      </c>
      <c r="B27084" s="572">
        <v>13</v>
      </c>
      <c r="C27084" s="572">
        <v>51.7</v>
      </c>
    </row>
    <row r="27085" spans="1:3">
      <c r="A27085" s="571" t="s">
        <v>1348</v>
      </c>
      <c r="B27085" s="572">
        <v>24</v>
      </c>
      <c r="C27085" s="572">
        <v>68.400000000000006</v>
      </c>
    </row>
    <row r="27086" spans="1:3">
      <c r="A27086" s="571" t="s">
        <v>1348</v>
      </c>
      <c r="B27086" s="572">
        <v>65</v>
      </c>
      <c r="C27086" s="572">
        <v>103.4</v>
      </c>
    </row>
    <row r="27087" spans="1:3">
      <c r="A27087" s="573" t="s">
        <v>1348</v>
      </c>
      <c r="B27087" s="574">
        <v>139</v>
      </c>
      <c r="C27087" s="574">
        <v>131.69999999999999</v>
      </c>
    </row>
    <row r="27088" spans="1:3">
      <c r="A27088" s="573" t="s">
        <v>1348</v>
      </c>
      <c r="B27088" s="574">
        <v>139</v>
      </c>
      <c r="C27088" s="574">
        <v>131.69999999999999</v>
      </c>
    </row>
    <row r="27089" spans="1:3">
      <c r="A27089" s="571" t="s">
        <v>1347</v>
      </c>
      <c r="B27089" s="572">
        <v>0</v>
      </c>
      <c r="C27089" s="572">
        <v>0</v>
      </c>
    </row>
    <row r="27090" spans="1:3">
      <c r="A27090" s="571" t="s">
        <v>1347</v>
      </c>
      <c r="B27090" s="572">
        <v>1</v>
      </c>
      <c r="C27090" s="572">
        <v>30</v>
      </c>
    </row>
    <row r="27091" spans="1:3">
      <c r="A27091" s="571" t="s">
        <v>1347</v>
      </c>
      <c r="B27091" s="572">
        <v>10</v>
      </c>
      <c r="C27091" s="572">
        <v>161.69999999999999</v>
      </c>
    </row>
    <row r="27092" spans="1:3">
      <c r="A27092" s="571" t="s">
        <v>1347</v>
      </c>
      <c r="B27092" s="572">
        <v>13</v>
      </c>
      <c r="C27092" s="572">
        <v>176.7</v>
      </c>
    </row>
    <row r="27093" spans="1:3">
      <c r="A27093" s="571" t="s">
        <v>1347</v>
      </c>
      <c r="B27093" s="572">
        <v>28</v>
      </c>
      <c r="C27093" s="572">
        <v>235</v>
      </c>
    </row>
    <row r="27094" spans="1:3">
      <c r="A27094" s="571" t="s">
        <v>1347</v>
      </c>
      <c r="B27094" s="572">
        <v>29</v>
      </c>
      <c r="C27094" s="572">
        <v>238.3</v>
      </c>
    </row>
    <row r="27095" spans="1:3">
      <c r="A27095" s="571" t="s">
        <v>1347</v>
      </c>
      <c r="B27095" s="572">
        <v>36</v>
      </c>
      <c r="C27095" s="572">
        <v>243.3</v>
      </c>
    </row>
    <row r="27096" spans="1:3">
      <c r="A27096" s="571" t="s">
        <v>1347</v>
      </c>
      <c r="B27096" s="572">
        <v>52</v>
      </c>
      <c r="C27096" s="572">
        <v>255</v>
      </c>
    </row>
    <row r="27097" spans="1:3">
      <c r="A27097" s="571" t="s">
        <v>1347</v>
      </c>
      <c r="B27097" s="572">
        <v>93</v>
      </c>
      <c r="C27097" s="572">
        <v>273.3</v>
      </c>
    </row>
    <row r="27098" spans="1:3">
      <c r="A27098" s="573" t="s">
        <v>1347</v>
      </c>
      <c r="B27098" s="574">
        <v>167</v>
      </c>
      <c r="C27098" s="574">
        <v>295</v>
      </c>
    </row>
    <row r="27099" spans="1:3">
      <c r="A27099" s="573" t="s">
        <v>1347</v>
      </c>
      <c r="B27099" s="574">
        <v>265</v>
      </c>
      <c r="C27099" s="574">
        <v>297</v>
      </c>
    </row>
    <row r="27100" spans="1:3">
      <c r="A27100" s="573" t="s">
        <v>1347</v>
      </c>
      <c r="B27100" s="574">
        <v>289</v>
      </c>
      <c r="C27100" s="574">
        <v>295</v>
      </c>
    </row>
    <row r="27101" spans="1:3">
      <c r="A27101" s="573" t="s">
        <v>1347</v>
      </c>
      <c r="B27101" s="574">
        <v>325</v>
      </c>
      <c r="C27101" s="574">
        <v>300</v>
      </c>
    </row>
    <row r="27102" spans="1:3">
      <c r="A27102" s="573" t="s">
        <v>1347</v>
      </c>
      <c r="B27102" s="574">
        <v>325</v>
      </c>
      <c r="C27102" s="574">
        <v>300</v>
      </c>
    </row>
    <row r="27103" spans="1:3">
      <c r="A27103" s="571" t="s">
        <v>1346</v>
      </c>
      <c r="B27103" s="572">
        <v>0</v>
      </c>
      <c r="C27103" s="572">
        <v>0</v>
      </c>
    </row>
    <row r="27104" spans="1:3">
      <c r="A27104" s="571" t="s">
        <v>1346</v>
      </c>
      <c r="B27104" s="572">
        <v>8</v>
      </c>
      <c r="C27104" s="572">
        <v>100</v>
      </c>
    </row>
    <row r="27105" spans="1:3">
      <c r="A27105" s="571" t="s">
        <v>1346</v>
      </c>
      <c r="B27105" s="572">
        <v>11</v>
      </c>
      <c r="C27105" s="572">
        <v>133.30000000000001</v>
      </c>
    </row>
    <row r="27106" spans="1:3">
      <c r="A27106" s="571" t="s">
        <v>1346</v>
      </c>
      <c r="B27106" s="572">
        <v>28</v>
      </c>
      <c r="C27106" s="572">
        <v>147</v>
      </c>
    </row>
    <row r="27107" spans="1:3">
      <c r="A27107" s="571" t="s">
        <v>1346</v>
      </c>
      <c r="B27107" s="572">
        <v>34</v>
      </c>
      <c r="C27107" s="572">
        <v>153.30000000000001</v>
      </c>
    </row>
    <row r="27108" spans="1:3">
      <c r="A27108" s="571" t="s">
        <v>1346</v>
      </c>
      <c r="B27108" s="572">
        <v>39</v>
      </c>
      <c r="C27108" s="572">
        <v>165</v>
      </c>
    </row>
    <row r="27109" spans="1:3">
      <c r="A27109" s="571" t="s">
        <v>1346</v>
      </c>
      <c r="B27109" s="572">
        <v>50</v>
      </c>
      <c r="C27109" s="572">
        <v>176.7</v>
      </c>
    </row>
    <row r="27110" spans="1:3">
      <c r="A27110" s="571" t="s">
        <v>1346</v>
      </c>
      <c r="B27110" s="572">
        <v>91</v>
      </c>
      <c r="C27110" s="572">
        <v>201.7</v>
      </c>
    </row>
    <row r="27111" spans="1:3">
      <c r="A27111" s="573" t="s">
        <v>1346</v>
      </c>
      <c r="B27111" s="574">
        <v>117</v>
      </c>
      <c r="C27111" s="574">
        <v>200</v>
      </c>
    </row>
    <row r="27112" spans="1:3">
      <c r="A27112" s="573" t="s">
        <v>1346</v>
      </c>
      <c r="B27112" s="574">
        <v>165</v>
      </c>
      <c r="C27112" s="574">
        <v>208.3</v>
      </c>
    </row>
    <row r="27113" spans="1:3">
      <c r="A27113" s="573" t="s">
        <v>1346</v>
      </c>
      <c r="B27113" s="574">
        <v>201</v>
      </c>
      <c r="C27113" s="574">
        <v>223.3</v>
      </c>
    </row>
    <row r="27114" spans="1:3">
      <c r="A27114" s="573" t="s">
        <v>1346</v>
      </c>
      <c r="B27114" s="574">
        <v>286</v>
      </c>
      <c r="C27114" s="574">
        <v>221.7</v>
      </c>
    </row>
    <row r="27115" spans="1:3">
      <c r="A27115" s="573" t="s">
        <v>1346</v>
      </c>
      <c r="B27115" s="574">
        <v>309</v>
      </c>
      <c r="C27115" s="574">
        <v>262</v>
      </c>
    </row>
    <row r="27116" spans="1:3">
      <c r="A27116" s="573" t="s">
        <v>1346</v>
      </c>
      <c r="B27116" s="574">
        <v>323</v>
      </c>
      <c r="C27116" s="574">
        <v>240</v>
      </c>
    </row>
    <row r="27117" spans="1:3">
      <c r="A27117" s="573" t="s">
        <v>1346</v>
      </c>
      <c r="B27117" s="574">
        <v>411</v>
      </c>
      <c r="C27117" s="574">
        <v>277</v>
      </c>
    </row>
    <row r="27118" spans="1:3">
      <c r="A27118" s="573" t="s">
        <v>1346</v>
      </c>
      <c r="B27118" s="574">
        <v>411</v>
      </c>
      <c r="C27118" s="574">
        <v>277</v>
      </c>
    </row>
    <row r="27119" spans="1:3">
      <c r="A27119" s="571" t="s">
        <v>1345</v>
      </c>
      <c r="B27119" s="572">
        <v>0</v>
      </c>
      <c r="C27119" s="572">
        <v>0</v>
      </c>
    </row>
    <row r="27120" spans="1:3">
      <c r="A27120" s="571" t="s">
        <v>1345</v>
      </c>
      <c r="B27120" s="572">
        <v>1</v>
      </c>
      <c r="C27120" s="572">
        <v>21.7</v>
      </c>
    </row>
    <row r="27121" spans="1:3">
      <c r="A27121" s="571" t="s">
        <v>1345</v>
      </c>
      <c r="B27121" s="572">
        <v>2</v>
      </c>
      <c r="C27121" s="572">
        <v>16.7</v>
      </c>
    </row>
    <row r="27122" spans="1:3">
      <c r="A27122" s="571" t="s">
        <v>1345</v>
      </c>
      <c r="B27122" s="572">
        <v>14</v>
      </c>
      <c r="C27122" s="572">
        <v>3.3</v>
      </c>
    </row>
    <row r="27123" spans="1:3">
      <c r="A27123" s="571" t="s">
        <v>1345</v>
      </c>
      <c r="B27123" s="572">
        <v>25</v>
      </c>
      <c r="C27123" s="572">
        <v>11.7</v>
      </c>
    </row>
    <row r="27124" spans="1:3">
      <c r="A27124" s="571" t="s">
        <v>1345</v>
      </c>
      <c r="B27124" s="572">
        <v>92</v>
      </c>
      <c r="C27124" s="572">
        <v>17</v>
      </c>
    </row>
    <row r="27125" spans="1:3">
      <c r="A27125" s="573" t="s">
        <v>1345</v>
      </c>
      <c r="B27125" s="574">
        <v>169</v>
      </c>
      <c r="C27125" s="574">
        <v>15</v>
      </c>
    </row>
    <row r="27126" spans="1:3">
      <c r="A27126" s="573" t="s">
        <v>1345</v>
      </c>
      <c r="B27126" s="574">
        <v>176</v>
      </c>
      <c r="C27126" s="574">
        <v>20</v>
      </c>
    </row>
    <row r="27127" spans="1:3">
      <c r="A27127" s="573" t="s">
        <v>1345</v>
      </c>
      <c r="B27127" s="574">
        <v>212</v>
      </c>
      <c r="C27127" s="574">
        <v>17</v>
      </c>
    </row>
    <row r="27128" spans="1:3">
      <c r="A27128" s="573" t="s">
        <v>1345</v>
      </c>
      <c r="B27128" s="574">
        <v>212</v>
      </c>
      <c r="C27128" s="574">
        <v>17</v>
      </c>
    </row>
    <row r="27129" spans="1:3">
      <c r="A27129" s="571" t="s">
        <v>1344</v>
      </c>
      <c r="B27129" s="572">
        <v>0</v>
      </c>
      <c r="C27129" s="572">
        <v>0</v>
      </c>
    </row>
    <row r="27130" spans="1:3">
      <c r="A27130" s="571" t="s">
        <v>1344</v>
      </c>
      <c r="B27130" s="572">
        <v>8</v>
      </c>
      <c r="C27130" s="572">
        <v>130</v>
      </c>
    </row>
    <row r="27131" spans="1:3">
      <c r="A27131" s="571" t="s">
        <v>1344</v>
      </c>
      <c r="B27131" s="572">
        <v>11</v>
      </c>
      <c r="C27131" s="572">
        <v>131.69999999999999</v>
      </c>
    </row>
    <row r="27132" spans="1:3">
      <c r="A27132" s="571" t="s">
        <v>1344</v>
      </c>
      <c r="B27132" s="572">
        <v>28</v>
      </c>
      <c r="C27132" s="572">
        <v>156</v>
      </c>
    </row>
    <row r="27133" spans="1:3">
      <c r="A27133" s="571" t="s">
        <v>1344</v>
      </c>
      <c r="B27133" s="572">
        <v>34</v>
      </c>
      <c r="C27133" s="572">
        <v>163.30000000000001</v>
      </c>
    </row>
    <row r="27134" spans="1:3">
      <c r="A27134" s="571" t="s">
        <v>1344</v>
      </c>
      <c r="B27134" s="572">
        <v>39</v>
      </c>
      <c r="C27134" s="572">
        <v>183.3</v>
      </c>
    </row>
    <row r="27135" spans="1:3">
      <c r="A27135" s="571" t="s">
        <v>1344</v>
      </c>
      <c r="B27135" s="572">
        <v>50</v>
      </c>
      <c r="C27135" s="572">
        <v>183.3</v>
      </c>
    </row>
    <row r="27136" spans="1:3">
      <c r="A27136" s="571" t="s">
        <v>1344</v>
      </c>
      <c r="B27136" s="572">
        <v>62</v>
      </c>
      <c r="C27136" s="572">
        <v>208.3</v>
      </c>
    </row>
    <row r="27137" spans="1:3">
      <c r="A27137" s="571" t="s">
        <v>1344</v>
      </c>
      <c r="B27137" s="572">
        <v>91</v>
      </c>
      <c r="C27137" s="572">
        <v>228.3</v>
      </c>
    </row>
    <row r="27138" spans="1:3">
      <c r="A27138" s="573" t="s">
        <v>1344</v>
      </c>
      <c r="B27138" s="574">
        <v>165</v>
      </c>
      <c r="C27138" s="574">
        <v>258.3</v>
      </c>
    </row>
    <row r="27139" spans="1:3">
      <c r="A27139" s="573" t="s">
        <v>1344</v>
      </c>
      <c r="B27139" s="574">
        <v>201</v>
      </c>
      <c r="C27139" s="574">
        <v>280</v>
      </c>
    </row>
    <row r="27140" spans="1:3">
      <c r="A27140" s="573" t="s">
        <v>1344</v>
      </c>
      <c r="B27140" s="574">
        <v>286</v>
      </c>
      <c r="C27140" s="574">
        <v>308.3</v>
      </c>
    </row>
    <row r="27141" spans="1:3">
      <c r="A27141" s="573" t="s">
        <v>1344</v>
      </c>
      <c r="B27141" s="574">
        <v>309</v>
      </c>
      <c r="C27141" s="574">
        <v>357</v>
      </c>
    </row>
    <row r="27142" spans="1:3">
      <c r="A27142" s="573" t="s">
        <v>1344</v>
      </c>
      <c r="B27142" s="574">
        <v>323</v>
      </c>
      <c r="C27142" s="574">
        <v>332</v>
      </c>
    </row>
    <row r="27143" spans="1:3">
      <c r="A27143" s="573" t="s">
        <v>1344</v>
      </c>
      <c r="B27143" s="574">
        <v>411</v>
      </c>
      <c r="C27143" s="574">
        <v>383</v>
      </c>
    </row>
    <row r="27144" spans="1:3">
      <c r="A27144" s="573" t="s">
        <v>1344</v>
      </c>
      <c r="B27144" s="574">
        <v>411</v>
      </c>
      <c r="C27144" s="574">
        <v>383</v>
      </c>
    </row>
    <row r="27145" spans="1:3">
      <c r="A27145" s="571" t="s">
        <v>1343</v>
      </c>
      <c r="B27145" s="572">
        <v>0</v>
      </c>
      <c r="C27145" s="572">
        <v>0</v>
      </c>
    </row>
    <row r="27146" spans="1:3">
      <c r="A27146" s="571" t="s">
        <v>1343</v>
      </c>
      <c r="B27146" s="572">
        <v>2</v>
      </c>
      <c r="C27146" s="572">
        <v>45</v>
      </c>
    </row>
    <row r="27147" spans="1:3">
      <c r="A27147" s="571" t="s">
        <v>1343</v>
      </c>
      <c r="B27147" s="572">
        <v>3</v>
      </c>
      <c r="C27147" s="572">
        <v>45</v>
      </c>
    </row>
    <row r="27148" spans="1:3">
      <c r="A27148" s="571" t="s">
        <v>1343</v>
      </c>
      <c r="B27148" s="572">
        <v>17</v>
      </c>
      <c r="C27148" s="572">
        <v>140</v>
      </c>
    </row>
    <row r="27149" spans="1:3">
      <c r="A27149" s="571" t="s">
        <v>1343</v>
      </c>
      <c r="B27149" s="572">
        <v>20</v>
      </c>
      <c r="C27149" s="572">
        <v>145</v>
      </c>
    </row>
    <row r="27150" spans="1:3">
      <c r="A27150" s="571" t="s">
        <v>1343</v>
      </c>
      <c r="B27150" s="572">
        <v>29</v>
      </c>
      <c r="C27150" s="572">
        <v>165</v>
      </c>
    </row>
    <row r="27151" spans="1:3">
      <c r="A27151" s="571" t="s">
        <v>1343</v>
      </c>
      <c r="B27151" s="572">
        <v>36</v>
      </c>
      <c r="C27151" s="572">
        <v>180</v>
      </c>
    </row>
    <row r="27152" spans="1:3">
      <c r="A27152" s="571" t="s">
        <v>1343</v>
      </c>
      <c r="B27152" s="572">
        <v>43</v>
      </c>
      <c r="C27152" s="572">
        <v>191.7</v>
      </c>
    </row>
    <row r="27153" spans="1:3">
      <c r="A27153" s="571" t="s">
        <v>1343</v>
      </c>
      <c r="B27153" s="572">
        <v>48</v>
      </c>
      <c r="C27153" s="572">
        <v>196.7</v>
      </c>
    </row>
    <row r="27154" spans="1:3">
      <c r="A27154" s="571" t="s">
        <v>1343</v>
      </c>
      <c r="B27154" s="572">
        <v>59</v>
      </c>
      <c r="C27154" s="572">
        <v>216.7</v>
      </c>
    </row>
    <row r="27155" spans="1:3">
      <c r="A27155" s="573" t="s">
        <v>1343</v>
      </c>
      <c r="B27155" s="574">
        <v>100</v>
      </c>
      <c r="C27155" s="574">
        <v>241.7</v>
      </c>
    </row>
    <row r="27156" spans="1:3">
      <c r="A27156" s="573" t="s">
        <v>1343</v>
      </c>
      <c r="B27156" s="574">
        <v>126</v>
      </c>
      <c r="C27156" s="574">
        <v>245</v>
      </c>
    </row>
    <row r="27157" spans="1:3">
      <c r="A27157" s="573" t="s">
        <v>1343</v>
      </c>
      <c r="B27157" s="574">
        <v>174</v>
      </c>
      <c r="C27157" s="574">
        <v>270</v>
      </c>
    </row>
    <row r="27158" spans="1:3">
      <c r="A27158" s="573" t="s">
        <v>1343</v>
      </c>
      <c r="B27158" s="574">
        <v>210</v>
      </c>
      <c r="C27158" s="574">
        <v>280</v>
      </c>
    </row>
    <row r="27159" spans="1:3">
      <c r="A27159" s="573" t="s">
        <v>1343</v>
      </c>
      <c r="B27159" s="574">
        <v>223</v>
      </c>
      <c r="C27159" s="574">
        <v>270</v>
      </c>
    </row>
    <row r="27160" spans="1:3">
      <c r="A27160" s="573" t="s">
        <v>1343</v>
      </c>
      <c r="B27160" s="574">
        <v>289</v>
      </c>
      <c r="C27160" s="574">
        <v>331.7</v>
      </c>
    </row>
    <row r="27161" spans="1:3">
      <c r="A27161" s="573" t="s">
        <v>1343</v>
      </c>
      <c r="B27161" s="574">
        <v>332</v>
      </c>
      <c r="C27161" s="574">
        <v>308</v>
      </c>
    </row>
    <row r="27162" spans="1:3">
      <c r="A27162" s="573" t="s">
        <v>1343</v>
      </c>
      <c r="B27162" s="574">
        <v>420</v>
      </c>
      <c r="C27162" s="574">
        <v>363</v>
      </c>
    </row>
    <row r="27163" spans="1:3">
      <c r="A27163" s="573" t="s">
        <v>1343</v>
      </c>
      <c r="B27163" s="574">
        <v>420</v>
      </c>
      <c r="C27163" s="574">
        <v>363</v>
      </c>
    </row>
    <row r="27164" spans="1:3">
      <c r="A27164" s="571" t="s">
        <v>1342</v>
      </c>
      <c r="B27164" s="572">
        <v>0</v>
      </c>
      <c r="C27164" s="572">
        <v>0</v>
      </c>
    </row>
    <row r="27165" spans="1:3">
      <c r="A27165" s="571" t="s">
        <v>1342</v>
      </c>
      <c r="B27165" s="572">
        <v>2</v>
      </c>
      <c r="C27165" s="572">
        <v>35</v>
      </c>
    </row>
    <row r="27166" spans="1:3">
      <c r="A27166" s="571" t="s">
        <v>1342</v>
      </c>
      <c r="B27166" s="572">
        <v>5</v>
      </c>
      <c r="C27166" s="572">
        <v>37</v>
      </c>
    </row>
    <row r="27167" spans="1:3">
      <c r="A27167" s="571" t="s">
        <v>1342</v>
      </c>
      <c r="B27167" s="572">
        <v>8</v>
      </c>
      <c r="C27167" s="572">
        <v>38</v>
      </c>
    </row>
    <row r="27168" spans="1:3">
      <c r="A27168" s="571" t="s">
        <v>1342</v>
      </c>
      <c r="B27168" s="572">
        <v>27</v>
      </c>
      <c r="C27168" s="572">
        <v>50</v>
      </c>
    </row>
    <row r="27169" spans="1:3">
      <c r="A27169" s="571" t="s">
        <v>1342</v>
      </c>
      <c r="B27169" s="572">
        <v>69</v>
      </c>
      <c r="C27169" s="572">
        <v>107</v>
      </c>
    </row>
    <row r="27170" spans="1:3">
      <c r="A27170" s="573" t="s">
        <v>1342</v>
      </c>
      <c r="B27170" s="574">
        <v>145</v>
      </c>
      <c r="C27170" s="574">
        <v>132</v>
      </c>
    </row>
    <row r="27171" spans="1:3">
      <c r="A27171" s="573" t="s">
        <v>1342</v>
      </c>
      <c r="B27171" s="574">
        <v>153</v>
      </c>
      <c r="C27171" s="574">
        <v>130</v>
      </c>
    </row>
    <row r="27172" spans="1:3">
      <c r="A27172" s="573" t="s">
        <v>1342</v>
      </c>
      <c r="B27172" s="574">
        <v>189</v>
      </c>
      <c r="C27172" s="574">
        <v>132</v>
      </c>
    </row>
    <row r="27173" spans="1:3">
      <c r="A27173" s="573" t="s">
        <v>1342</v>
      </c>
      <c r="B27173" s="574">
        <v>189</v>
      </c>
      <c r="C27173" s="574">
        <v>132</v>
      </c>
    </row>
    <row r="27174" spans="1:3">
      <c r="A27174" s="571" t="s">
        <v>1341</v>
      </c>
      <c r="B27174" s="572">
        <v>0</v>
      </c>
      <c r="C27174" s="572">
        <v>0</v>
      </c>
    </row>
    <row r="27175" spans="1:3">
      <c r="A27175" s="571" t="s">
        <v>1341</v>
      </c>
      <c r="B27175" s="572">
        <v>1</v>
      </c>
      <c r="C27175" s="572">
        <v>70</v>
      </c>
    </row>
    <row r="27176" spans="1:3">
      <c r="A27176" s="571" t="s">
        <v>1341</v>
      </c>
      <c r="B27176" s="572">
        <v>2</v>
      </c>
      <c r="C27176" s="572">
        <v>73.3</v>
      </c>
    </row>
    <row r="27177" spans="1:3">
      <c r="A27177" s="571" t="s">
        <v>1341</v>
      </c>
      <c r="B27177" s="572">
        <v>7</v>
      </c>
      <c r="C27177" s="572">
        <v>130</v>
      </c>
    </row>
    <row r="27178" spans="1:3">
      <c r="A27178" s="571" t="s">
        <v>1341</v>
      </c>
      <c r="B27178" s="572">
        <v>20</v>
      </c>
      <c r="C27178" s="572">
        <v>136.69999999999999</v>
      </c>
    </row>
    <row r="27179" spans="1:3">
      <c r="A27179" s="571" t="s">
        <v>1341</v>
      </c>
      <c r="B27179" s="572">
        <v>28</v>
      </c>
      <c r="C27179" s="572">
        <v>145</v>
      </c>
    </row>
    <row r="27180" spans="1:3">
      <c r="A27180" s="571" t="s">
        <v>1341</v>
      </c>
      <c r="B27180" s="572">
        <v>31</v>
      </c>
      <c r="C27180" s="572">
        <v>158.30000000000001</v>
      </c>
    </row>
    <row r="27181" spans="1:3">
      <c r="A27181" s="571" t="s">
        <v>1341</v>
      </c>
      <c r="B27181" s="572">
        <v>98</v>
      </c>
      <c r="C27181" s="572">
        <v>185</v>
      </c>
    </row>
    <row r="27182" spans="1:3">
      <c r="A27182" s="573" t="s">
        <v>1341</v>
      </c>
      <c r="B27182" s="574">
        <v>174</v>
      </c>
      <c r="C27182" s="574">
        <v>203</v>
      </c>
    </row>
    <row r="27183" spans="1:3">
      <c r="A27183" s="573" t="s">
        <v>1341</v>
      </c>
      <c r="B27183" s="574">
        <v>182</v>
      </c>
      <c r="C27183" s="574">
        <v>202</v>
      </c>
    </row>
    <row r="27184" spans="1:3">
      <c r="A27184" s="573" t="s">
        <v>1341</v>
      </c>
      <c r="B27184" s="574">
        <v>218</v>
      </c>
      <c r="C27184" s="574">
        <v>207</v>
      </c>
    </row>
    <row r="27185" spans="1:3">
      <c r="A27185" s="573" t="s">
        <v>1341</v>
      </c>
      <c r="B27185" s="574">
        <v>218</v>
      </c>
      <c r="C27185" s="574">
        <v>207</v>
      </c>
    </row>
    <row r="27186" spans="1:3">
      <c r="A27186" s="571" t="s">
        <v>1340</v>
      </c>
      <c r="B27186" s="572">
        <v>0</v>
      </c>
      <c r="C27186" s="572">
        <v>0</v>
      </c>
    </row>
    <row r="27187" spans="1:3">
      <c r="A27187" s="571" t="s">
        <v>1340</v>
      </c>
      <c r="B27187" s="572">
        <v>28</v>
      </c>
      <c r="C27187" s="572">
        <v>150</v>
      </c>
    </row>
    <row r="27188" spans="1:3">
      <c r="A27188" s="571" t="s">
        <v>1340</v>
      </c>
      <c r="B27188" s="572">
        <v>31</v>
      </c>
      <c r="C27188" s="572">
        <v>178.3</v>
      </c>
    </row>
    <row r="27189" spans="1:3">
      <c r="A27189" s="571" t="s">
        <v>1340</v>
      </c>
      <c r="B27189" s="572">
        <v>34</v>
      </c>
      <c r="C27189" s="572">
        <v>201.7</v>
      </c>
    </row>
    <row r="27190" spans="1:3">
      <c r="A27190" s="571" t="s">
        <v>1340</v>
      </c>
      <c r="B27190" s="572">
        <v>43</v>
      </c>
      <c r="C27190" s="572">
        <v>220</v>
      </c>
    </row>
    <row r="27191" spans="1:3">
      <c r="A27191" s="571" t="s">
        <v>1340</v>
      </c>
      <c r="B27191" s="572">
        <v>98</v>
      </c>
      <c r="C27191" s="572">
        <v>387</v>
      </c>
    </row>
    <row r="27192" spans="1:3">
      <c r="A27192" s="573" t="s">
        <v>1340</v>
      </c>
      <c r="B27192" s="574">
        <v>174</v>
      </c>
      <c r="C27192" s="574">
        <v>428</v>
      </c>
    </row>
    <row r="27193" spans="1:3">
      <c r="A27193" s="573" t="s">
        <v>1340</v>
      </c>
      <c r="B27193" s="574">
        <v>182</v>
      </c>
      <c r="C27193" s="574">
        <v>435</v>
      </c>
    </row>
    <row r="27194" spans="1:3">
      <c r="A27194" s="573" t="s">
        <v>1340</v>
      </c>
      <c r="B27194" s="574">
        <v>218</v>
      </c>
      <c r="C27194" s="574">
        <v>445</v>
      </c>
    </row>
    <row r="27195" spans="1:3">
      <c r="A27195" s="573" t="s">
        <v>1340</v>
      </c>
      <c r="B27195" s="574">
        <v>218</v>
      </c>
      <c r="C27195" s="574">
        <v>445</v>
      </c>
    </row>
    <row r="27196" spans="1:3">
      <c r="A27196" s="571" t="s">
        <v>1339</v>
      </c>
      <c r="B27196" s="572">
        <v>0</v>
      </c>
      <c r="C27196" s="572">
        <v>0</v>
      </c>
    </row>
    <row r="27197" spans="1:3">
      <c r="A27197" s="571" t="s">
        <v>1339</v>
      </c>
      <c r="B27197" s="572">
        <v>12.5</v>
      </c>
      <c r="C27197" s="572">
        <v>170</v>
      </c>
    </row>
    <row r="27198" spans="1:3">
      <c r="A27198" s="571" t="s">
        <v>1339</v>
      </c>
      <c r="B27198" s="572">
        <v>25</v>
      </c>
      <c r="C27198" s="572">
        <v>211</v>
      </c>
    </row>
    <row r="27199" spans="1:3">
      <c r="A27199" s="571" t="s">
        <v>1339</v>
      </c>
      <c r="B27199" s="572">
        <v>50</v>
      </c>
      <c r="C27199" s="572">
        <v>233</v>
      </c>
    </row>
    <row r="27200" spans="1:3">
      <c r="A27200" s="571" t="s">
        <v>1339</v>
      </c>
      <c r="B27200" s="572">
        <v>75</v>
      </c>
      <c r="C27200" s="572">
        <v>253</v>
      </c>
    </row>
    <row r="27201" spans="1:3">
      <c r="A27201" s="573" t="s">
        <v>1339</v>
      </c>
      <c r="B27201" s="574">
        <v>100</v>
      </c>
      <c r="C27201" s="574">
        <v>255</v>
      </c>
    </row>
    <row r="27202" spans="1:3">
      <c r="A27202" s="573" t="s">
        <v>1339</v>
      </c>
      <c r="B27202" s="574">
        <v>120</v>
      </c>
      <c r="C27202" s="574">
        <v>285</v>
      </c>
    </row>
    <row r="27203" spans="1:3">
      <c r="A27203" s="573" t="s">
        <v>1339</v>
      </c>
      <c r="B27203" s="574">
        <v>140</v>
      </c>
      <c r="C27203" s="574">
        <v>300</v>
      </c>
    </row>
    <row r="27204" spans="1:3">
      <c r="A27204" s="573" t="s">
        <v>1339</v>
      </c>
      <c r="B27204" s="574">
        <v>160</v>
      </c>
      <c r="C27204" s="574">
        <v>312</v>
      </c>
    </row>
    <row r="27205" spans="1:3">
      <c r="A27205" s="573" t="s">
        <v>1339</v>
      </c>
      <c r="B27205" s="574">
        <v>180</v>
      </c>
      <c r="C27205" s="574">
        <v>317</v>
      </c>
    </row>
    <row r="27206" spans="1:3">
      <c r="A27206" s="573" t="s">
        <v>1339</v>
      </c>
      <c r="B27206" s="574">
        <v>210</v>
      </c>
      <c r="C27206" s="574">
        <v>335</v>
      </c>
    </row>
    <row r="27207" spans="1:3">
      <c r="A27207" s="573" t="s">
        <v>1339</v>
      </c>
      <c r="B27207" s="574">
        <v>235</v>
      </c>
      <c r="C27207" s="574">
        <v>332</v>
      </c>
    </row>
    <row r="27208" spans="1:3">
      <c r="A27208" s="573" t="s">
        <v>1339</v>
      </c>
      <c r="B27208" s="574">
        <v>265</v>
      </c>
      <c r="C27208" s="574">
        <v>333</v>
      </c>
    </row>
    <row r="27209" spans="1:3">
      <c r="A27209" s="573" t="s">
        <v>1339</v>
      </c>
      <c r="B27209" s="574">
        <v>300</v>
      </c>
      <c r="C27209" s="574">
        <v>347</v>
      </c>
    </row>
    <row r="27210" spans="1:3">
      <c r="A27210" s="573" t="s">
        <v>1339</v>
      </c>
      <c r="B27210" s="574">
        <v>325</v>
      </c>
      <c r="C27210" s="574">
        <v>352</v>
      </c>
    </row>
    <row r="27211" spans="1:3">
      <c r="A27211" s="573" t="s">
        <v>1339</v>
      </c>
      <c r="B27211" s="574">
        <v>350</v>
      </c>
      <c r="C27211" s="574">
        <v>358</v>
      </c>
    </row>
    <row r="27212" spans="1:3">
      <c r="A27212" s="573" t="s">
        <v>1339</v>
      </c>
      <c r="B27212" s="574">
        <v>390</v>
      </c>
      <c r="C27212" s="574">
        <v>362</v>
      </c>
    </row>
    <row r="27213" spans="1:3">
      <c r="A27213" s="573" t="s">
        <v>1339</v>
      </c>
      <c r="B27213" s="574">
        <v>450</v>
      </c>
      <c r="C27213" s="574">
        <v>374</v>
      </c>
    </row>
    <row r="27214" spans="1:3">
      <c r="A27214" s="569" t="s">
        <v>1339</v>
      </c>
      <c r="B27214" s="570">
        <v>500</v>
      </c>
      <c r="C27214" s="570">
        <v>380</v>
      </c>
    </row>
    <row r="27215" spans="1:3">
      <c r="A27215" s="569" t="s">
        <v>1339</v>
      </c>
      <c r="B27215" s="570">
        <v>575</v>
      </c>
      <c r="C27215" s="570">
        <v>390</v>
      </c>
    </row>
    <row r="27216" spans="1:3">
      <c r="A27216" s="569" t="s">
        <v>1339</v>
      </c>
      <c r="B27216" s="570">
        <v>700</v>
      </c>
      <c r="C27216" s="570">
        <v>422</v>
      </c>
    </row>
    <row r="27217" spans="1:3">
      <c r="A27217" s="569" t="s">
        <v>1339</v>
      </c>
      <c r="B27217" s="570">
        <v>825</v>
      </c>
      <c r="C27217" s="570">
        <v>428</v>
      </c>
    </row>
    <row r="27218" spans="1:3">
      <c r="A27218" s="569" t="s">
        <v>1339</v>
      </c>
      <c r="B27218" s="570">
        <v>940</v>
      </c>
      <c r="C27218" s="570">
        <v>427</v>
      </c>
    </row>
    <row r="27219" spans="1:3">
      <c r="A27219" s="569" t="s">
        <v>1339</v>
      </c>
      <c r="B27219" s="570">
        <v>1300</v>
      </c>
      <c r="C27219" s="570">
        <v>432</v>
      </c>
    </row>
    <row r="27220" spans="1:3">
      <c r="A27220" s="569" t="s">
        <v>1339</v>
      </c>
      <c r="B27220" s="570">
        <v>1380</v>
      </c>
      <c r="C27220" s="570">
        <v>435</v>
      </c>
    </row>
    <row r="27221" spans="1:3">
      <c r="A27221" s="569" t="s">
        <v>1339</v>
      </c>
      <c r="B27221" s="570">
        <v>1380</v>
      </c>
      <c r="C27221" s="570">
        <v>435</v>
      </c>
    </row>
    <row r="27222" spans="1:3">
      <c r="A27222" s="571" t="s">
        <v>1337</v>
      </c>
      <c r="B27222" s="572">
        <v>0</v>
      </c>
      <c r="C27222" s="572">
        <v>0</v>
      </c>
    </row>
    <row r="27223" spans="1:3">
      <c r="A27223" s="571" t="s">
        <v>1337</v>
      </c>
      <c r="B27223" s="572">
        <v>0.1</v>
      </c>
      <c r="C27223" s="572">
        <v>28.1</v>
      </c>
    </row>
    <row r="27224" spans="1:3">
      <c r="A27224" s="571" t="s">
        <v>1337</v>
      </c>
      <c r="B27224" s="572">
        <v>0.5</v>
      </c>
      <c r="C27224" s="572">
        <v>36.9</v>
      </c>
    </row>
    <row r="27225" spans="1:3">
      <c r="A27225" s="571" t="s">
        <v>1337</v>
      </c>
      <c r="B27225" s="572">
        <v>0.9</v>
      </c>
      <c r="C27225" s="572">
        <v>53.2</v>
      </c>
    </row>
    <row r="27226" spans="1:3">
      <c r="A27226" s="571" t="s">
        <v>1337</v>
      </c>
      <c r="B27226" s="572">
        <v>1.8</v>
      </c>
      <c r="C27226" s="572">
        <v>69.599999999999994</v>
      </c>
    </row>
    <row r="27227" spans="1:3">
      <c r="A27227" s="571" t="s">
        <v>1337</v>
      </c>
      <c r="B27227" s="572">
        <v>2.2000000000000002</v>
      </c>
      <c r="C27227" s="572">
        <v>79.7</v>
      </c>
    </row>
    <row r="27228" spans="1:3">
      <c r="A27228" s="571" t="s">
        <v>1337</v>
      </c>
      <c r="B27228" s="572">
        <v>3.9</v>
      </c>
      <c r="C27228" s="572">
        <v>117</v>
      </c>
    </row>
    <row r="27229" spans="1:3">
      <c r="A27229" s="571" t="s">
        <v>1337</v>
      </c>
      <c r="B27229" s="572">
        <v>6.1</v>
      </c>
      <c r="C27229" s="572">
        <v>153</v>
      </c>
    </row>
    <row r="27230" spans="1:3">
      <c r="A27230" s="571" t="s">
        <v>1337</v>
      </c>
      <c r="B27230" s="572">
        <v>7.9</v>
      </c>
      <c r="C27230" s="572">
        <v>175</v>
      </c>
    </row>
    <row r="27231" spans="1:3">
      <c r="A27231" s="571" t="s">
        <v>1337</v>
      </c>
      <c r="B27231" s="572">
        <v>9.5</v>
      </c>
      <c r="C27231" s="572">
        <v>200</v>
      </c>
    </row>
    <row r="27232" spans="1:3">
      <c r="A27232" s="571" t="s">
        <v>1337</v>
      </c>
      <c r="B27232" s="572">
        <v>11.4</v>
      </c>
      <c r="C27232" s="572">
        <v>222</v>
      </c>
    </row>
    <row r="27233" spans="1:3">
      <c r="A27233" s="571" t="s">
        <v>1337</v>
      </c>
      <c r="B27233" s="572">
        <v>13.2</v>
      </c>
      <c r="C27233" s="572">
        <v>241</v>
      </c>
    </row>
    <row r="27234" spans="1:3">
      <c r="A27234" s="571" t="s">
        <v>1337</v>
      </c>
      <c r="B27234" s="572">
        <v>16.2</v>
      </c>
      <c r="C27234" s="572">
        <v>271</v>
      </c>
    </row>
    <row r="27235" spans="1:3">
      <c r="A27235" s="571" t="s">
        <v>1337</v>
      </c>
      <c r="B27235" s="572">
        <v>20</v>
      </c>
      <c r="C27235" s="572">
        <v>295</v>
      </c>
    </row>
    <row r="27236" spans="1:3">
      <c r="A27236" s="571" t="s">
        <v>1337</v>
      </c>
      <c r="B27236" s="572">
        <v>26.9</v>
      </c>
      <c r="C27236" s="572">
        <v>323</v>
      </c>
    </row>
    <row r="27237" spans="1:3">
      <c r="A27237" s="571" t="s">
        <v>1337</v>
      </c>
      <c r="B27237" s="572">
        <v>33.1</v>
      </c>
      <c r="C27237" s="572">
        <v>349</v>
      </c>
    </row>
    <row r="27238" spans="1:3">
      <c r="A27238" s="571" t="s">
        <v>1337</v>
      </c>
      <c r="B27238" s="572">
        <v>42.7</v>
      </c>
      <c r="C27238" s="572">
        <v>372</v>
      </c>
    </row>
    <row r="27239" spans="1:3">
      <c r="A27239" s="571" t="s">
        <v>1337</v>
      </c>
      <c r="B27239" s="572">
        <v>51.3</v>
      </c>
      <c r="C27239" s="572">
        <v>388</v>
      </c>
    </row>
    <row r="27240" spans="1:3">
      <c r="A27240" s="571" t="s">
        <v>1337</v>
      </c>
      <c r="B27240" s="572">
        <v>61.7</v>
      </c>
      <c r="C27240" s="572">
        <v>411</v>
      </c>
    </row>
    <row r="27241" spans="1:3">
      <c r="A27241" s="571" t="s">
        <v>1337</v>
      </c>
      <c r="B27241" s="572">
        <v>78.8</v>
      </c>
      <c r="C27241" s="572">
        <v>443</v>
      </c>
    </row>
    <row r="27242" spans="1:3">
      <c r="A27242" s="571" t="s">
        <v>1337</v>
      </c>
      <c r="B27242" s="572">
        <v>93.3</v>
      </c>
      <c r="C27242" s="572">
        <v>468</v>
      </c>
    </row>
    <row r="27243" spans="1:3">
      <c r="A27243" s="573" t="s">
        <v>1337</v>
      </c>
      <c r="B27243" s="574">
        <v>126.9</v>
      </c>
      <c r="C27243" s="574">
        <v>485</v>
      </c>
    </row>
    <row r="27244" spans="1:3">
      <c r="A27244" s="573" t="s">
        <v>1337</v>
      </c>
      <c r="B27244" s="574">
        <v>156.1</v>
      </c>
      <c r="C27244" s="574">
        <v>497</v>
      </c>
    </row>
    <row r="27245" spans="1:3">
      <c r="A27245" s="569" t="s">
        <v>1337</v>
      </c>
      <c r="B27245" s="570">
        <v>691.9</v>
      </c>
      <c r="C27245" s="570">
        <v>555</v>
      </c>
    </row>
    <row r="27246" spans="1:3">
      <c r="A27246" s="569" t="s">
        <v>1337</v>
      </c>
      <c r="B27246" s="570">
        <v>691.9</v>
      </c>
      <c r="C27246" s="570">
        <v>555</v>
      </c>
    </row>
    <row r="27247" spans="1:3">
      <c r="A27247" s="571" t="s">
        <v>1336</v>
      </c>
      <c r="B27247" s="572">
        <v>0</v>
      </c>
      <c r="C27247" s="572">
        <v>0</v>
      </c>
    </row>
    <row r="27248" spans="1:3">
      <c r="A27248" s="571" t="s">
        <v>1336</v>
      </c>
      <c r="B27248" s="572">
        <v>1</v>
      </c>
      <c r="C27248" s="572">
        <v>68.900000000000006</v>
      </c>
    </row>
    <row r="27249" spans="1:3">
      <c r="A27249" s="571" t="s">
        <v>1336</v>
      </c>
      <c r="B27249" s="572">
        <v>2.9</v>
      </c>
      <c r="C27249" s="572">
        <v>183</v>
      </c>
    </row>
    <row r="27250" spans="1:3">
      <c r="A27250" s="571" t="s">
        <v>1336</v>
      </c>
      <c r="B27250" s="572">
        <v>6.8</v>
      </c>
      <c r="C27250" s="572">
        <v>261</v>
      </c>
    </row>
    <row r="27251" spans="1:3">
      <c r="A27251" s="571" t="s">
        <v>1336</v>
      </c>
      <c r="B27251" s="572">
        <v>13.2</v>
      </c>
      <c r="C27251" s="572">
        <v>343</v>
      </c>
    </row>
    <row r="27252" spans="1:3">
      <c r="A27252" s="571" t="s">
        <v>1336</v>
      </c>
      <c r="B27252" s="572">
        <v>19.100000000000001</v>
      </c>
      <c r="C27252" s="572">
        <v>380</v>
      </c>
    </row>
    <row r="27253" spans="1:3">
      <c r="A27253" s="571" t="s">
        <v>1336</v>
      </c>
      <c r="B27253" s="572">
        <v>25.7</v>
      </c>
      <c r="C27253" s="572">
        <v>432</v>
      </c>
    </row>
    <row r="27254" spans="1:3">
      <c r="A27254" s="571" t="s">
        <v>1336</v>
      </c>
      <c r="B27254" s="572">
        <v>38.9</v>
      </c>
      <c r="C27254" s="572">
        <v>492</v>
      </c>
    </row>
    <row r="27255" spans="1:3">
      <c r="A27255" s="571" t="s">
        <v>1336</v>
      </c>
      <c r="B27255" s="572">
        <v>60.3</v>
      </c>
      <c r="C27255" s="572">
        <v>516</v>
      </c>
    </row>
    <row r="27256" spans="1:3">
      <c r="A27256" s="571" t="s">
        <v>1336</v>
      </c>
      <c r="B27256" s="572">
        <v>87.1</v>
      </c>
      <c r="C27256" s="572">
        <v>586</v>
      </c>
    </row>
    <row r="27257" spans="1:3">
      <c r="A27257" s="573" t="s">
        <v>1336</v>
      </c>
      <c r="B27257" s="574">
        <v>426.6</v>
      </c>
      <c r="C27257" s="574">
        <v>663</v>
      </c>
    </row>
    <row r="27258" spans="1:3">
      <c r="A27258" s="573" t="s">
        <v>1336</v>
      </c>
      <c r="B27258" s="574">
        <v>426.6</v>
      </c>
      <c r="C27258" s="574">
        <v>663</v>
      </c>
    </row>
    <row r="27259" spans="1:3">
      <c r="A27259" s="571" t="s">
        <v>1335</v>
      </c>
      <c r="B27259" s="572">
        <v>0</v>
      </c>
      <c r="C27259" s="572">
        <v>0</v>
      </c>
    </row>
    <row r="27260" spans="1:3">
      <c r="A27260" s="571" t="s">
        <v>1335</v>
      </c>
      <c r="B27260" s="572">
        <v>3.9</v>
      </c>
      <c r="C27260" s="572">
        <v>239</v>
      </c>
    </row>
    <row r="27261" spans="1:3">
      <c r="A27261" s="571" t="s">
        <v>1335</v>
      </c>
      <c r="B27261" s="572">
        <v>10.7</v>
      </c>
      <c r="C27261" s="572">
        <v>379</v>
      </c>
    </row>
    <row r="27262" spans="1:3">
      <c r="A27262" s="571" t="s">
        <v>1335</v>
      </c>
      <c r="B27262" s="572">
        <v>13.2</v>
      </c>
      <c r="C27262" s="572">
        <v>412</v>
      </c>
    </row>
    <row r="27263" spans="1:3">
      <c r="A27263" s="571" t="s">
        <v>1335</v>
      </c>
      <c r="B27263" s="572">
        <v>22.4</v>
      </c>
      <c r="C27263" s="572">
        <v>522</v>
      </c>
    </row>
    <row r="27264" spans="1:3">
      <c r="A27264" s="571" t="s">
        <v>1335</v>
      </c>
      <c r="B27264" s="572">
        <v>36.299999999999997</v>
      </c>
      <c r="C27264" s="572">
        <v>578</v>
      </c>
    </row>
    <row r="27265" spans="1:3">
      <c r="A27265" s="571" t="s">
        <v>1335</v>
      </c>
      <c r="B27265" s="572">
        <v>56.2</v>
      </c>
      <c r="C27265" s="572">
        <v>612</v>
      </c>
    </row>
    <row r="27266" spans="1:3">
      <c r="A27266" s="573" t="s">
        <v>1335</v>
      </c>
      <c r="B27266" s="574">
        <v>125.9</v>
      </c>
      <c r="C27266" s="574">
        <v>661</v>
      </c>
    </row>
    <row r="27267" spans="1:3">
      <c r="A27267" s="573" t="s">
        <v>1335</v>
      </c>
      <c r="B27267" s="574">
        <v>162.19999999999999</v>
      </c>
      <c r="C27267" s="574">
        <v>686</v>
      </c>
    </row>
    <row r="27268" spans="1:3">
      <c r="A27268" s="573" t="s">
        <v>1335</v>
      </c>
      <c r="B27268" s="574">
        <v>426.6</v>
      </c>
      <c r="C27268" s="574">
        <v>778</v>
      </c>
    </row>
    <row r="27269" spans="1:3">
      <c r="A27269" s="573" t="s">
        <v>1335</v>
      </c>
      <c r="B27269" s="574">
        <v>426.6</v>
      </c>
      <c r="C27269" s="574">
        <v>778</v>
      </c>
    </row>
    <row r="27270" spans="1:3">
      <c r="A27270" s="571" t="s">
        <v>1334</v>
      </c>
      <c r="B27270" s="572">
        <v>0</v>
      </c>
      <c r="C27270" s="572">
        <v>0</v>
      </c>
    </row>
    <row r="27271" spans="1:3">
      <c r="A27271" s="571" t="s">
        <v>1334</v>
      </c>
      <c r="B27271" s="572">
        <v>3</v>
      </c>
      <c r="C27271" s="572">
        <v>211</v>
      </c>
    </row>
    <row r="27272" spans="1:3">
      <c r="A27272" s="571" t="s">
        <v>1334</v>
      </c>
      <c r="B27272" s="572">
        <v>10.7</v>
      </c>
      <c r="C27272" s="572">
        <v>309</v>
      </c>
    </row>
    <row r="27273" spans="1:3">
      <c r="A27273" s="571" t="s">
        <v>1334</v>
      </c>
      <c r="B27273" s="572">
        <v>23.4</v>
      </c>
      <c r="C27273" s="572">
        <v>355</v>
      </c>
    </row>
    <row r="27274" spans="1:3">
      <c r="A27274" s="571" t="s">
        <v>1334</v>
      </c>
      <c r="B27274" s="572">
        <v>37.200000000000003</v>
      </c>
      <c r="C27274" s="572">
        <v>393</v>
      </c>
    </row>
    <row r="27275" spans="1:3">
      <c r="A27275" s="571" t="s">
        <v>1334</v>
      </c>
      <c r="B27275" s="572">
        <v>50.1</v>
      </c>
      <c r="C27275" s="572">
        <v>429</v>
      </c>
    </row>
    <row r="27276" spans="1:3">
      <c r="A27276" s="573" t="s">
        <v>1334</v>
      </c>
      <c r="B27276" s="574">
        <v>100</v>
      </c>
      <c r="C27276" s="574">
        <v>448</v>
      </c>
    </row>
    <row r="27277" spans="1:3">
      <c r="A27277" s="573" t="s">
        <v>1334</v>
      </c>
      <c r="B27277" s="574">
        <v>407.4</v>
      </c>
      <c r="C27277" s="574">
        <v>590</v>
      </c>
    </row>
    <row r="27278" spans="1:3">
      <c r="A27278" s="573" t="s">
        <v>1334</v>
      </c>
      <c r="B27278" s="574">
        <v>407.4</v>
      </c>
      <c r="C27278" s="574">
        <v>590</v>
      </c>
    </row>
    <row r="27279" spans="1:3">
      <c r="A27279" s="571" t="s">
        <v>1333</v>
      </c>
      <c r="B27279" s="572">
        <v>0</v>
      </c>
      <c r="C27279" s="572">
        <v>0</v>
      </c>
    </row>
    <row r="27280" spans="1:3">
      <c r="A27280" s="571" t="s">
        <v>1333</v>
      </c>
      <c r="B27280" s="572">
        <v>0.9</v>
      </c>
      <c r="C27280" s="572">
        <v>27.6</v>
      </c>
    </row>
    <row r="27281" spans="1:3">
      <c r="A27281" s="571" t="s">
        <v>1333</v>
      </c>
      <c r="B27281" s="572">
        <v>7</v>
      </c>
      <c r="C27281" s="572">
        <v>177</v>
      </c>
    </row>
    <row r="27282" spans="1:3">
      <c r="A27282" s="571" t="s">
        <v>1333</v>
      </c>
      <c r="B27282" s="572">
        <v>10.3</v>
      </c>
      <c r="C27282" s="572">
        <v>202</v>
      </c>
    </row>
    <row r="27283" spans="1:3">
      <c r="A27283" s="571" t="s">
        <v>1333</v>
      </c>
      <c r="B27283" s="572">
        <v>15.2</v>
      </c>
      <c r="C27283" s="572">
        <v>258</v>
      </c>
    </row>
    <row r="27284" spans="1:3">
      <c r="A27284" s="571" t="s">
        <v>1333</v>
      </c>
      <c r="B27284" s="572">
        <v>21.6</v>
      </c>
      <c r="C27284" s="572">
        <v>308</v>
      </c>
    </row>
    <row r="27285" spans="1:3">
      <c r="A27285" s="571" t="s">
        <v>1333</v>
      </c>
      <c r="B27285" s="572">
        <v>28.5</v>
      </c>
      <c r="C27285" s="572">
        <v>336</v>
      </c>
    </row>
    <row r="27286" spans="1:3">
      <c r="A27286" s="571" t="s">
        <v>1333</v>
      </c>
      <c r="B27286" s="572">
        <v>43.2</v>
      </c>
      <c r="C27286" s="572">
        <v>355</v>
      </c>
    </row>
    <row r="27287" spans="1:3">
      <c r="A27287" s="571" t="s">
        <v>1333</v>
      </c>
      <c r="B27287" s="572">
        <v>58.4</v>
      </c>
      <c r="C27287" s="572">
        <v>364</v>
      </c>
    </row>
    <row r="27288" spans="1:3">
      <c r="A27288" s="571" t="s">
        <v>1333</v>
      </c>
      <c r="B27288" s="572">
        <v>70.400000000000006</v>
      </c>
      <c r="C27288" s="572">
        <v>392</v>
      </c>
    </row>
    <row r="27289" spans="1:3">
      <c r="A27289" s="573" t="s">
        <v>1333</v>
      </c>
      <c r="B27289" s="574">
        <v>101</v>
      </c>
      <c r="C27289" s="574">
        <v>393</v>
      </c>
    </row>
    <row r="27290" spans="1:3">
      <c r="A27290" s="573" t="s">
        <v>1333</v>
      </c>
      <c r="B27290" s="574">
        <v>101</v>
      </c>
      <c r="C27290" s="574">
        <v>393</v>
      </c>
    </row>
    <row r="27291" spans="1:3">
      <c r="A27291" s="571" t="s">
        <v>1332</v>
      </c>
      <c r="B27291" s="572">
        <v>0</v>
      </c>
      <c r="C27291" s="572">
        <v>0</v>
      </c>
    </row>
    <row r="27292" spans="1:3">
      <c r="A27292" s="571" t="s">
        <v>1332</v>
      </c>
      <c r="B27292" s="572">
        <v>0.9</v>
      </c>
      <c r="C27292" s="572">
        <v>13.8</v>
      </c>
    </row>
    <row r="27293" spans="1:3">
      <c r="A27293" s="571" t="s">
        <v>1332</v>
      </c>
      <c r="B27293" s="572">
        <v>6.9</v>
      </c>
      <c r="C27293" s="572">
        <v>124</v>
      </c>
    </row>
    <row r="27294" spans="1:3">
      <c r="A27294" s="571" t="s">
        <v>1332</v>
      </c>
      <c r="B27294" s="572">
        <v>10.3</v>
      </c>
      <c r="C27294" s="572">
        <v>141</v>
      </c>
    </row>
    <row r="27295" spans="1:3">
      <c r="A27295" s="571" t="s">
        <v>1332</v>
      </c>
      <c r="B27295" s="572">
        <v>15.2</v>
      </c>
      <c r="C27295" s="572">
        <v>184</v>
      </c>
    </row>
    <row r="27296" spans="1:3">
      <c r="A27296" s="571" t="s">
        <v>1332</v>
      </c>
      <c r="B27296" s="572">
        <v>21.5</v>
      </c>
      <c r="C27296" s="572">
        <v>228</v>
      </c>
    </row>
    <row r="27297" spans="1:3">
      <c r="A27297" s="571" t="s">
        <v>1332</v>
      </c>
      <c r="B27297" s="572">
        <v>28.4</v>
      </c>
      <c r="C27297" s="572">
        <v>260</v>
      </c>
    </row>
    <row r="27298" spans="1:3">
      <c r="A27298" s="571" t="s">
        <v>1332</v>
      </c>
      <c r="B27298" s="572">
        <v>43.2</v>
      </c>
      <c r="C27298" s="572">
        <v>294</v>
      </c>
    </row>
    <row r="27299" spans="1:3">
      <c r="A27299" s="571" t="s">
        <v>1332</v>
      </c>
      <c r="B27299" s="572">
        <v>58.3</v>
      </c>
      <c r="C27299" s="572">
        <v>307</v>
      </c>
    </row>
    <row r="27300" spans="1:3">
      <c r="A27300" s="571" t="s">
        <v>1332</v>
      </c>
      <c r="B27300" s="572">
        <v>70.3</v>
      </c>
      <c r="C27300" s="572">
        <v>337</v>
      </c>
    </row>
    <row r="27301" spans="1:3">
      <c r="A27301" s="573" t="s">
        <v>1332</v>
      </c>
      <c r="B27301" s="574">
        <v>100</v>
      </c>
      <c r="C27301" s="574">
        <v>350</v>
      </c>
    </row>
    <row r="27302" spans="1:3">
      <c r="A27302" s="573" t="s">
        <v>1332</v>
      </c>
      <c r="B27302" s="574">
        <v>100</v>
      </c>
      <c r="C27302" s="574">
        <v>350</v>
      </c>
    </row>
    <row r="27303" spans="1:3">
      <c r="A27303" s="571" t="s">
        <v>1331</v>
      </c>
      <c r="B27303" s="572">
        <v>0</v>
      </c>
      <c r="C27303" s="572">
        <v>0</v>
      </c>
    </row>
    <row r="27304" spans="1:3">
      <c r="A27304" s="571" t="s">
        <v>1331</v>
      </c>
      <c r="B27304" s="572">
        <v>0.9</v>
      </c>
      <c r="C27304" s="572">
        <v>8.1999999999999993</v>
      </c>
    </row>
    <row r="27305" spans="1:3">
      <c r="A27305" s="571" t="s">
        <v>1331</v>
      </c>
      <c r="B27305" s="572">
        <v>6.9</v>
      </c>
      <c r="C27305" s="572">
        <v>99</v>
      </c>
    </row>
    <row r="27306" spans="1:3">
      <c r="A27306" s="571" t="s">
        <v>1331</v>
      </c>
      <c r="B27306" s="572">
        <v>10.3</v>
      </c>
      <c r="C27306" s="572">
        <v>119</v>
      </c>
    </row>
    <row r="27307" spans="1:3">
      <c r="A27307" s="571" t="s">
        <v>1331</v>
      </c>
      <c r="B27307" s="572">
        <v>15.2</v>
      </c>
      <c r="C27307" s="572">
        <v>146</v>
      </c>
    </row>
    <row r="27308" spans="1:3">
      <c r="A27308" s="571" t="s">
        <v>1331</v>
      </c>
      <c r="B27308" s="572">
        <v>21.5</v>
      </c>
      <c r="C27308" s="572">
        <v>187</v>
      </c>
    </row>
    <row r="27309" spans="1:3">
      <c r="A27309" s="571" t="s">
        <v>1331</v>
      </c>
      <c r="B27309" s="572">
        <v>28.4</v>
      </c>
      <c r="C27309" s="572">
        <v>224</v>
      </c>
    </row>
    <row r="27310" spans="1:3">
      <c r="A27310" s="571" t="s">
        <v>1331</v>
      </c>
      <c r="B27310" s="572">
        <v>43.2</v>
      </c>
      <c r="C27310" s="572">
        <v>249</v>
      </c>
    </row>
    <row r="27311" spans="1:3">
      <c r="A27311" s="571" t="s">
        <v>1331</v>
      </c>
      <c r="B27311" s="572">
        <v>58.3</v>
      </c>
      <c r="C27311" s="572">
        <v>276</v>
      </c>
    </row>
    <row r="27312" spans="1:3">
      <c r="A27312" s="571" t="s">
        <v>1331</v>
      </c>
      <c r="B27312" s="572">
        <v>70.3</v>
      </c>
      <c r="C27312" s="572">
        <v>273</v>
      </c>
    </row>
    <row r="27313" spans="1:3">
      <c r="A27313" s="573" t="s">
        <v>1331</v>
      </c>
      <c r="B27313" s="574">
        <v>100</v>
      </c>
      <c r="C27313" s="574">
        <v>283</v>
      </c>
    </row>
    <row r="27314" spans="1:3">
      <c r="A27314" s="573" t="s">
        <v>1331</v>
      </c>
      <c r="B27314" s="574">
        <v>100</v>
      </c>
      <c r="C27314" s="574">
        <v>283</v>
      </c>
    </row>
    <row r="27315" spans="1:3">
      <c r="A27315" s="571" t="s">
        <v>1330</v>
      </c>
      <c r="B27315" s="572">
        <v>0</v>
      </c>
      <c r="C27315" s="572">
        <v>0</v>
      </c>
    </row>
    <row r="27316" spans="1:3">
      <c r="A27316" s="571" t="s">
        <v>1330</v>
      </c>
      <c r="B27316" s="572">
        <v>4</v>
      </c>
      <c r="C27316" s="572">
        <v>107</v>
      </c>
    </row>
    <row r="27317" spans="1:3">
      <c r="A27317" s="571" t="s">
        <v>1330</v>
      </c>
      <c r="B27317" s="572">
        <v>11.2</v>
      </c>
      <c r="C27317" s="572">
        <v>254</v>
      </c>
    </row>
    <row r="27318" spans="1:3">
      <c r="A27318" s="571" t="s">
        <v>1330</v>
      </c>
      <c r="B27318" s="572">
        <v>25.1</v>
      </c>
      <c r="C27318" s="572">
        <v>320</v>
      </c>
    </row>
    <row r="27319" spans="1:3">
      <c r="A27319" s="571" t="s">
        <v>1330</v>
      </c>
      <c r="B27319" s="572">
        <v>38.9</v>
      </c>
      <c r="C27319" s="572">
        <v>348</v>
      </c>
    </row>
    <row r="27320" spans="1:3">
      <c r="A27320" s="571" t="s">
        <v>1330</v>
      </c>
      <c r="B27320" s="572">
        <v>52.5</v>
      </c>
      <c r="C27320" s="572">
        <v>434</v>
      </c>
    </row>
    <row r="27321" spans="1:3">
      <c r="A27321" s="573" t="s">
        <v>1330</v>
      </c>
      <c r="B27321" s="574">
        <v>120.2</v>
      </c>
      <c r="C27321" s="574">
        <v>453</v>
      </c>
    </row>
    <row r="27322" spans="1:3">
      <c r="A27322" s="573" t="s">
        <v>1330</v>
      </c>
      <c r="B27322" s="574">
        <v>446.7</v>
      </c>
      <c r="C27322" s="574">
        <v>547</v>
      </c>
    </row>
    <row r="27323" spans="1:3">
      <c r="A27323" s="573" t="s">
        <v>1330</v>
      </c>
      <c r="B27323" s="574">
        <v>446.7</v>
      </c>
      <c r="C27323" s="574">
        <v>547</v>
      </c>
    </row>
    <row r="27324" spans="1:3">
      <c r="A27324" s="571" t="s">
        <v>1329</v>
      </c>
      <c r="B27324" s="572">
        <v>0</v>
      </c>
      <c r="C27324" s="572">
        <v>0</v>
      </c>
    </row>
    <row r="27325" spans="1:3">
      <c r="A27325" s="571" t="s">
        <v>1329</v>
      </c>
      <c r="B27325" s="572">
        <v>4</v>
      </c>
      <c r="C27325" s="572">
        <v>266</v>
      </c>
    </row>
    <row r="27326" spans="1:3">
      <c r="A27326" s="571" t="s">
        <v>1329</v>
      </c>
      <c r="B27326" s="572">
        <v>6.1</v>
      </c>
      <c r="C27326" s="572">
        <v>302</v>
      </c>
    </row>
    <row r="27327" spans="1:3">
      <c r="A27327" s="571" t="s">
        <v>1329</v>
      </c>
      <c r="B27327" s="572">
        <v>11.2</v>
      </c>
      <c r="C27327" s="572">
        <v>362</v>
      </c>
    </row>
    <row r="27328" spans="1:3">
      <c r="A27328" s="571" t="s">
        <v>1329</v>
      </c>
      <c r="B27328" s="572">
        <v>25.1</v>
      </c>
      <c r="C27328" s="572">
        <v>483</v>
      </c>
    </row>
    <row r="27329" spans="1:3">
      <c r="A27329" s="571" t="s">
        <v>1329</v>
      </c>
      <c r="B27329" s="572">
        <v>38.9</v>
      </c>
      <c r="C27329" s="572">
        <v>507</v>
      </c>
    </row>
    <row r="27330" spans="1:3">
      <c r="A27330" s="571" t="s">
        <v>1329</v>
      </c>
      <c r="B27330" s="572">
        <v>60.3</v>
      </c>
      <c r="C27330" s="572">
        <v>567</v>
      </c>
    </row>
    <row r="27331" spans="1:3">
      <c r="A27331" s="571" t="s">
        <v>1329</v>
      </c>
      <c r="B27331" s="572">
        <v>97.7</v>
      </c>
      <c r="C27331" s="572">
        <v>618</v>
      </c>
    </row>
    <row r="27332" spans="1:3">
      <c r="A27332" s="573" t="s">
        <v>1329</v>
      </c>
      <c r="B27332" s="574">
        <v>446.7</v>
      </c>
      <c r="C27332" s="574">
        <v>699</v>
      </c>
    </row>
    <row r="27333" spans="1:3">
      <c r="A27333" s="573" t="s">
        <v>1329</v>
      </c>
      <c r="B27333" s="574">
        <v>446.7</v>
      </c>
      <c r="C27333" s="574">
        <v>699</v>
      </c>
    </row>
    <row r="27334" spans="1:3">
      <c r="A27334" s="571" t="s">
        <v>1328</v>
      </c>
      <c r="B27334" s="572">
        <v>0</v>
      </c>
      <c r="C27334" s="572">
        <v>0</v>
      </c>
    </row>
    <row r="27335" spans="1:3">
      <c r="A27335" s="571" t="s">
        <v>1328</v>
      </c>
      <c r="B27335" s="572">
        <v>1</v>
      </c>
      <c r="C27335" s="572">
        <v>29.3</v>
      </c>
    </row>
    <row r="27336" spans="1:3">
      <c r="A27336" s="571" t="s">
        <v>1328</v>
      </c>
      <c r="B27336" s="572">
        <v>6.9</v>
      </c>
      <c r="C27336" s="572">
        <v>107</v>
      </c>
    </row>
    <row r="27337" spans="1:3">
      <c r="A27337" s="571" t="s">
        <v>1328</v>
      </c>
      <c r="B27337" s="572">
        <v>10.3</v>
      </c>
      <c r="C27337" s="572">
        <v>129</v>
      </c>
    </row>
    <row r="27338" spans="1:3">
      <c r="A27338" s="571" t="s">
        <v>1328</v>
      </c>
      <c r="B27338" s="572">
        <v>15.2</v>
      </c>
      <c r="C27338" s="572">
        <v>154</v>
      </c>
    </row>
    <row r="27339" spans="1:3">
      <c r="A27339" s="571" t="s">
        <v>1328</v>
      </c>
      <c r="B27339" s="572">
        <v>21</v>
      </c>
      <c r="C27339" s="572">
        <v>189</v>
      </c>
    </row>
    <row r="27340" spans="1:3">
      <c r="A27340" s="571" t="s">
        <v>1328</v>
      </c>
      <c r="B27340" s="572">
        <v>28.2</v>
      </c>
      <c r="C27340" s="572">
        <v>207</v>
      </c>
    </row>
    <row r="27341" spans="1:3">
      <c r="A27341" s="571" t="s">
        <v>1328</v>
      </c>
      <c r="B27341" s="572">
        <v>42.8</v>
      </c>
      <c r="C27341" s="572">
        <v>216</v>
      </c>
    </row>
    <row r="27342" spans="1:3">
      <c r="A27342" s="571" t="s">
        <v>1328</v>
      </c>
      <c r="B27342" s="572">
        <v>58</v>
      </c>
      <c r="C27342" s="572">
        <v>226</v>
      </c>
    </row>
    <row r="27343" spans="1:3">
      <c r="A27343" s="571" t="s">
        <v>1328</v>
      </c>
      <c r="B27343" s="572">
        <v>70.099999999999994</v>
      </c>
      <c r="C27343" s="572">
        <v>243</v>
      </c>
    </row>
    <row r="27344" spans="1:3">
      <c r="A27344" s="573" t="s">
        <v>1328</v>
      </c>
      <c r="B27344" s="574">
        <v>100</v>
      </c>
      <c r="C27344" s="574">
        <v>249</v>
      </c>
    </row>
    <row r="27345" spans="1:3">
      <c r="A27345" s="573" t="s">
        <v>1328</v>
      </c>
      <c r="B27345" s="574">
        <v>100</v>
      </c>
      <c r="C27345" s="574">
        <v>249</v>
      </c>
    </row>
    <row r="27346" spans="1:3">
      <c r="A27346" s="571" t="s">
        <v>1327</v>
      </c>
      <c r="B27346" s="572">
        <v>0</v>
      </c>
      <c r="C27346" s="572">
        <v>0</v>
      </c>
    </row>
    <row r="27347" spans="1:3">
      <c r="A27347" s="571" t="s">
        <v>1327</v>
      </c>
      <c r="B27347" s="572">
        <v>1.1000000000000001</v>
      </c>
      <c r="C27347" s="572">
        <v>7.9</v>
      </c>
    </row>
    <row r="27348" spans="1:3">
      <c r="A27348" s="571" t="s">
        <v>1327</v>
      </c>
      <c r="B27348" s="572">
        <v>7</v>
      </c>
      <c r="C27348" s="572">
        <v>138</v>
      </c>
    </row>
    <row r="27349" spans="1:3">
      <c r="A27349" s="571" t="s">
        <v>1327</v>
      </c>
      <c r="B27349" s="572">
        <v>10.4</v>
      </c>
      <c r="C27349" s="572">
        <v>149</v>
      </c>
    </row>
    <row r="27350" spans="1:3">
      <c r="A27350" s="571" t="s">
        <v>1327</v>
      </c>
      <c r="B27350" s="572">
        <v>15.2</v>
      </c>
      <c r="C27350" s="572">
        <v>164</v>
      </c>
    </row>
    <row r="27351" spans="1:3">
      <c r="A27351" s="571" t="s">
        <v>1327</v>
      </c>
      <c r="B27351" s="572">
        <v>21</v>
      </c>
      <c r="C27351" s="572">
        <v>204</v>
      </c>
    </row>
    <row r="27352" spans="1:3">
      <c r="A27352" s="571" t="s">
        <v>1327</v>
      </c>
      <c r="B27352" s="572">
        <v>28.1</v>
      </c>
      <c r="C27352" s="572">
        <v>234</v>
      </c>
    </row>
    <row r="27353" spans="1:3">
      <c r="A27353" s="571" t="s">
        <v>1327</v>
      </c>
      <c r="B27353" s="572">
        <v>42.7</v>
      </c>
      <c r="C27353" s="572">
        <v>231</v>
      </c>
    </row>
    <row r="27354" spans="1:3">
      <c r="A27354" s="571" t="s">
        <v>1327</v>
      </c>
      <c r="B27354" s="572">
        <v>57.9</v>
      </c>
      <c r="C27354" s="572">
        <v>237</v>
      </c>
    </row>
    <row r="27355" spans="1:3">
      <c r="A27355" s="571" t="s">
        <v>1327</v>
      </c>
      <c r="B27355" s="572">
        <v>70.099999999999994</v>
      </c>
      <c r="C27355" s="572">
        <v>247</v>
      </c>
    </row>
    <row r="27356" spans="1:3">
      <c r="A27356" s="573" t="s">
        <v>1327</v>
      </c>
      <c r="B27356" s="574">
        <v>100</v>
      </c>
      <c r="C27356" s="574">
        <v>245</v>
      </c>
    </row>
    <row r="27357" spans="1:3">
      <c r="A27357" s="573" t="s">
        <v>1327</v>
      </c>
      <c r="B27357" s="574">
        <v>100</v>
      </c>
      <c r="C27357" s="574">
        <v>245</v>
      </c>
    </row>
    <row r="27358" spans="1:3">
      <c r="A27358" s="571" t="s">
        <v>1326</v>
      </c>
      <c r="B27358" s="572">
        <v>0</v>
      </c>
      <c r="C27358" s="572">
        <v>0</v>
      </c>
    </row>
    <row r="27359" spans="1:3">
      <c r="A27359" s="571" t="s">
        <v>1326</v>
      </c>
      <c r="B27359" s="572">
        <v>1</v>
      </c>
      <c r="C27359" s="572">
        <v>1</v>
      </c>
    </row>
    <row r="27360" spans="1:3">
      <c r="A27360" s="571" t="s">
        <v>1326</v>
      </c>
      <c r="B27360" s="572">
        <v>4.9000000000000004</v>
      </c>
      <c r="C27360" s="572">
        <v>4.9000000000000004</v>
      </c>
    </row>
    <row r="27361" spans="1:3">
      <c r="A27361" s="571" t="s">
        <v>1326</v>
      </c>
      <c r="B27361" s="572">
        <v>7</v>
      </c>
      <c r="C27361" s="572">
        <v>7</v>
      </c>
    </row>
    <row r="27362" spans="1:3">
      <c r="A27362" s="571" t="s">
        <v>1326</v>
      </c>
      <c r="B27362" s="572">
        <v>11.2</v>
      </c>
      <c r="C27362" s="572">
        <v>11.2</v>
      </c>
    </row>
    <row r="27363" spans="1:3">
      <c r="A27363" s="571" t="s">
        <v>1326</v>
      </c>
      <c r="B27363" s="572">
        <v>15.1</v>
      </c>
      <c r="C27363" s="572">
        <v>15.1</v>
      </c>
    </row>
    <row r="27364" spans="1:3">
      <c r="A27364" s="571" t="s">
        <v>1326</v>
      </c>
      <c r="B27364" s="572">
        <v>20.7</v>
      </c>
      <c r="C27364" s="572">
        <v>20.7</v>
      </c>
    </row>
    <row r="27365" spans="1:3">
      <c r="A27365" s="571" t="s">
        <v>1326</v>
      </c>
      <c r="B27365" s="572">
        <v>28.7</v>
      </c>
      <c r="C27365" s="572">
        <v>28.7</v>
      </c>
    </row>
    <row r="27366" spans="1:3">
      <c r="A27366" s="571" t="s">
        <v>1326</v>
      </c>
      <c r="B27366" s="572">
        <v>41.9</v>
      </c>
      <c r="C27366" s="572">
        <v>41.9</v>
      </c>
    </row>
    <row r="27367" spans="1:3">
      <c r="A27367" s="571" t="s">
        <v>1326</v>
      </c>
      <c r="B27367" s="572">
        <v>54.7</v>
      </c>
      <c r="C27367" s="572">
        <v>54.7</v>
      </c>
    </row>
    <row r="27368" spans="1:3">
      <c r="A27368" s="571" t="s">
        <v>1326</v>
      </c>
      <c r="B27368" s="572">
        <v>54.7</v>
      </c>
      <c r="C27368" s="572">
        <v>54.7</v>
      </c>
    </row>
    <row r="27369" spans="1:3">
      <c r="A27369" s="571" t="s">
        <v>1325</v>
      </c>
      <c r="B27369" s="572">
        <v>0</v>
      </c>
      <c r="C27369" s="572">
        <v>0</v>
      </c>
    </row>
    <row r="27370" spans="1:3">
      <c r="A27370" s="571" t="s">
        <v>1325</v>
      </c>
      <c r="B27370" s="572">
        <v>1.1000000000000001</v>
      </c>
      <c r="C27370" s="572">
        <v>1.1000000000000001</v>
      </c>
    </row>
    <row r="27371" spans="1:3">
      <c r="A27371" s="571" t="s">
        <v>1325</v>
      </c>
      <c r="B27371" s="572">
        <v>4.9000000000000004</v>
      </c>
      <c r="C27371" s="572">
        <v>4.9000000000000004</v>
      </c>
    </row>
    <row r="27372" spans="1:3">
      <c r="A27372" s="571" t="s">
        <v>1325</v>
      </c>
      <c r="B27372" s="572">
        <v>7</v>
      </c>
      <c r="C27372" s="572">
        <v>7</v>
      </c>
    </row>
    <row r="27373" spans="1:3">
      <c r="A27373" s="571" t="s">
        <v>1325</v>
      </c>
      <c r="B27373" s="572">
        <v>11.2</v>
      </c>
      <c r="C27373" s="572">
        <v>11.2</v>
      </c>
    </row>
    <row r="27374" spans="1:3">
      <c r="A27374" s="571" t="s">
        <v>1325</v>
      </c>
      <c r="B27374" s="572">
        <v>15.1</v>
      </c>
      <c r="C27374" s="572">
        <v>15.1</v>
      </c>
    </row>
    <row r="27375" spans="1:3">
      <c r="A27375" s="571" t="s">
        <v>1325</v>
      </c>
      <c r="B27375" s="572">
        <v>20.7</v>
      </c>
      <c r="C27375" s="572">
        <v>20.7</v>
      </c>
    </row>
    <row r="27376" spans="1:3">
      <c r="A27376" s="571" t="s">
        <v>1325</v>
      </c>
      <c r="B27376" s="572">
        <v>28.6</v>
      </c>
      <c r="C27376" s="572">
        <v>28.6</v>
      </c>
    </row>
    <row r="27377" spans="1:3">
      <c r="A27377" s="571" t="s">
        <v>1325</v>
      </c>
      <c r="B27377" s="572">
        <v>41.9</v>
      </c>
      <c r="C27377" s="572">
        <v>41.9</v>
      </c>
    </row>
    <row r="27378" spans="1:3">
      <c r="A27378" s="571" t="s">
        <v>1325</v>
      </c>
      <c r="B27378" s="572">
        <v>54.6</v>
      </c>
      <c r="C27378" s="572">
        <v>54.6</v>
      </c>
    </row>
    <row r="27379" spans="1:3">
      <c r="A27379" s="571" t="s">
        <v>1325</v>
      </c>
      <c r="B27379" s="572">
        <v>54.6</v>
      </c>
      <c r="C27379" s="572">
        <v>54.6</v>
      </c>
    </row>
    <row r="27380" spans="1:3">
      <c r="A27380" s="571" t="s">
        <v>1324</v>
      </c>
      <c r="B27380" s="572">
        <v>0</v>
      </c>
      <c r="C27380" s="572">
        <v>0</v>
      </c>
    </row>
    <row r="27381" spans="1:3">
      <c r="A27381" s="571" t="s">
        <v>1324</v>
      </c>
      <c r="B27381" s="572">
        <v>1</v>
      </c>
      <c r="C27381" s="572">
        <v>1</v>
      </c>
    </row>
    <row r="27382" spans="1:3">
      <c r="A27382" s="571" t="s">
        <v>1324</v>
      </c>
      <c r="B27382" s="572">
        <v>4.9000000000000004</v>
      </c>
      <c r="C27382" s="572">
        <v>4.9000000000000004</v>
      </c>
    </row>
    <row r="27383" spans="1:3">
      <c r="A27383" s="571" t="s">
        <v>1324</v>
      </c>
      <c r="B27383" s="572">
        <v>7.1</v>
      </c>
      <c r="C27383" s="572">
        <v>7.1</v>
      </c>
    </row>
    <row r="27384" spans="1:3">
      <c r="A27384" s="571" t="s">
        <v>1324</v>
      </c>
      <c r="B27384" s="572">
        <v>11.1</v>
      </c>
      <c r="C27384" s="572">
        <v>11.1</v>
      </c>
    </row>
    <row r="27385" spans="1:3">
      <c r="A27385" s="571" t="s">
        <v>1324</v>
      </c>
      <c r="B27385" s="572">
        <v>15.1</v>
      </c>
      <c r="C27385" s="572">
        <v>15.1</v>
      </c>
    </row>
    <row r="27386" spans="1:3">
      <c r="A27386" s="571" t="s">
        <v>1324</v>
      </c>
      <c r="B27386" s="572">
        <v>20.7</v>
      </c>
      <c r="C27386" s="572">
        <v>20.7</v>
      </c>
    </row>
    <row r="27387" spans="1:3">
      <c r="A27387" s="571" t="s">
        <v>1324</v>
      </c>
      <c r="B27387" s="572">
        <v>28.7</v>
      </c>
      <c r="C27387" s="572">
        <v>28.7</v>
      </c>
    </row>
    <row r="27388" spans="1:3">
      <c r="A27388" s="571" t="s">
        <v>1324</v>
      </c>
      <c r="B27388" s="572">
        <v>41.9</v>
      </c>
      <c r="C27388" s="572">
        <v>41.9</v>
      </c>
    </row>
    <row r="27389" spans="1:3">
      <c r="A27389" s="571" t="s">
        <v>1324</v>
      </c>
      <c r="B27389" s="572">
        <v>54.8</v>
      </c>
      <c r="C27389" s="572">
        <v>54.8</v>
      </c>
    </row>
    <row r="27390" spans="1:3">
      <c r="A27390" s="571" t="s">
        <v>1324</v>
      </c>
      <c r="B27390" s="572">
        <v>54.8</v>
      </c>
      <c r="C27390" s="572">
        <v>54.8</v>
      </c>
    </row>
    <row r="27391" spans="1:3">
      <c r="A27391" s="571" t="s">
        <v>1323</v>
      </c>
      <c r="B27391" s="572">
        <v>0</v>
      </c>
      <c r="C27391" s="572">
        <v>0</v>
      </c>
    </row>
    <row r="27392" spans="1:3">
      <c r="A27392" s="571" t="s">
        <v>1323</v>
      </c>
      <c r="B27392" s="572">
        <v>1.1000000000000001</v>
      </c>
      <c r="C27392" s="572">
        <v>1.1000000000000001</v>
      </c>
    </row>
    <row r="27393" spans="1:3">
      <c r="A27393" s="571" t="s">
        <v>1323</v>
      </c>
      <c r="B27393" s="572">
        <v>5</v>
      </c>
      <c r="C27393" s="572">
        <v>5</v>
      </c>
    </row>
    <row r="27394" spans="1:3">
      <c r="A27394" s="571" t="s">
        <v>1323</v>
      </c>
      <c r="B27394" s="572">
        <v>7.2</v>
      </c>
      <c r="C27394" s="572">
        <v>7.2</v>
      </c>
    </row>
    <row r="27395" spans="1:3">
      <c r="A27395" s="571" t="s">
        <v>1323</v>
      </c>
      <c r="B27395" s="572">
        <v>11.3</v>
      </c>
      <c r="C27395" s="572">
        <v>11.3</v>
      </c>
    </row>
    <row r="27396" spans="1:3">
      <c r="A27396" s="571" t="s">
        <v>1323</v>
      </c>
      <c r="B27396" s="572">
        <v>15.2</v>
      </c>
      <c r="C27396" s="572">
        <v>15.2</v>
      </c>
    </row>
    <row r="27397" spans="1:3">
      <c r="A27397" s="571" t="s">
        <v>1323</v>
      </c>
      <c r="B27397" s="572">
        <v>21.2</v>
      </c>
      <c r="C27397" s="572">
        <v>21.2</v>
      </c>
    </row>
    <row r="27398" spans="1:3">
      <c r="A27398" s="571" t="s">
        <v>1323</v>
      </c>
      <c r="B27398" s="572">
        <v>29.3</v>
      </c>
      <c r="C27398" s="572">
        <v>29.3</v>
      </c>
    </row>
    <row r="27399" spans="1:3">
      <c r="A27399" s="571" t="s">
        <v>1323</v>
      </c>
      <c r="B27399" s="572">
        <v>42.2</v>
      </c>
      <c r="C27399" s="572">
        <v>42.2</v>
      </c>
    </row>
    <row r="27400" spans="1:3">
      <c r="A27400" s="571" t="s">
        <v>1323</v>
      </c>
      <c r="B27400" s="572">
        <v>55.2</v>
      </c>
      <c r="C27400" s="572">
        <v>55.2</v>
      </c>
    </row>
    <row r="27401" spans="1:3">
      <c r="A27401" s="571" t="s">
        <v>1323</v>
      </c>
      <c r="B27401" s="572">
        <v>55.2</v>
      </c>
      <c r="C27401" s="572">
        <v>55.2</v>
      </c>
    </row>
    <row r="27402" spans="1:3">
      <c r="A27402" s="571" t="s">
        <v>1321</v>
      </c>
      <c r="B27402" s="572">
        <v>0</v>
      </c>
      <c r="C27402" s="572">
        <v>0</v>
      </c>
    </row>
    <row r="27403" spans="1:3">
      <c r="A27403" s="571" t="s">
        <v>1321</v>
      </c>
      <c r="B27403" s="572">
        <v>1</v>
      </c>
      <c r="C27403" s="572">
        <v>1</v>
      </c>
    </row>
    <row r="27404" spans="1:3">
      <c r="A27404" s="571" t="s">
        <v>1321</v>
      </c>
      <c r="B27404" s="572">
        <v>5</v>
      </c>
      <c r="C27404" s="572">
        <v>5</v>
      </c>
    </row>
    <row r="27405" spans="1:3">
      <c r="A27405" s="571" t="s">
        <v>1321</v>
      </c>
      <c r="B27405" s="572">
        <v>7.2</v>
      </c>
      <c r="C27405" s="572">
        <v>7.2</v>
      </c>
    </row>
    <row r="27406" spans="1:3">
      <c r="A27406" s="571" t="s">
        <v>1321</v>
      </c>
      <c r="B27406" s="572">
        <v>11.3</v>
      </c>
      <c r="C27406" s="572">
        <v>11.3</v>
      </c>
    </row>
    <row r="27407" spans="1:3">
      <c r="A27407" s="571" t="s">
        <v>1321</v>
      </c>
      <c r="B27407" s="572">
        <v>15.2</v>
      </c>
      <c r="C27407" s="572">
        <v>15.2</v>
      </c>
    </row>
    <row r="27408" spans="1:3">
      <c r="A27408" s="571" t="s">
        <v>1321</v>
      </c>
      <c r="B27408" s="572">
        <v>21.1</v>
      </c>
      <c r="C27408" s="572">
        <v>21.1</v>
      </c>
    </row>
    <row r="27409" spans="1:3">
      <c r="A27409" s="571" t="s">
        <v>1321</v>
      </c>
      <c r="B27409" s="572">
        <v>29.3</v>
      </c>
      <c r="C27409" s="572">
        <v>29.3</v>
      </c>
    </row>
    <row r="27410" spans="1:3">
      <c r="A27410" s="571" t="s">
        <v>1321</v>
      </c>
      <c r="B27410" s="572">
        <v>42.2</v>
      </c>
      <c r="C27410" s="572">
        <v>42.2</v>
      </c>
    </row>
    <row r="27411" spans="1:3">
      <c r="A27411" s="571" t="s">
        <v>1321</v>
      </c>
      <c r="B27411" s="572">
        <v>55.2</v>
      </c>
      <c r="C27411" s="572">
        <v>55.2</v>
      </c>
    </row>
    <row r="27412" spans="1:3">
      <c r="A27412" s="571" t="s">
        <v>1321</v>
      </c>
      <c r="B27412" s="572">
        <v>55.2</v>
      </c>
      <c r="C27412" s="572">
        <v>55.2</v>
      </c>
    </row>
    <row r="27413" spans="1:3">
      <c r="A27413" s="571" t="s">
        <v>1319</v>
      </c>
      <c r="B27413" s="572">
        <v>0</v>
      </c>
      <c r="C27413" s="572">
        <v>0</v>
      </c>
    </row>
    <row r="27414" spans="1:3">
      <c r="A27414" s="571" t="s">
        <v>1319</v>
      </c>
      <c r="B27414" s="572">
        <v>3</v>
      </c>
      <c r="C27414" s="572">
        <v>29.2</v>
      </c>
    </row>
    <row r="27415" spans="1:3">
      <c r="A27415" s="571" t="s">
        <v>1319</v>
      </c>
      <c r="B27415" s="572">
        <v>5</v>
      </c>
      <c r="C27415" s="572">
        <v>39.4</v>
      </c>
    </row>
    <row r="27416" spans="1:3">
      <c r="A27416" s="571" t="s">
        <v>1319</v>
      </c>
      <c r="B27416" s="572">
        <v>7</v>
      </c>
      <c r="C27416" s="572">
        <v>48.8</v>
      </c>
    </row>
    <row r="27417" spans="1:3">
      <c r="A27417" s="571" t="s">
        <v>1319</v>
      </c>
      <c r="B27417" s="572">
        <v>10</v>
      </c>
      <c r="C27417" s="572">
        <v>54.2</v>
      </c>
    </row>
    <row r="27418" spans="1:3">
      <c r="A27418" s="571" t="s">
        <v>1319</v>
      </c>
      <c r="B27418" s="572">
        <v>30</v>
      </c>
      <c r="C27418" s="572">
        <v>122</v>
      </c>
    </row>
    <row r="27419" spans="1:3">
      <c r="A27419" s="571" t="s">
        <v>1319</v>
      </c>
      <c r="B27419" s="572">
        <v>50</v>
      </c>
      <c r="C27419" s="572">
        <v>156.4</v>
      </c>
    </row>
    <row r="27420" spans="1:3">
      <c r="A27420" s="571" t="s">
        <v>1319</v>
      </c>
      <c r="B27420" s="572">
        <v>70</v>
      </c>
      <c r="C27420" s="572">
        <v>175.4</v>
      </c>
    </row>
    <row r="27421" spans="1:3">
      <c r="A27421" s="573" t="s">
        <v>1319</v>
      </c>
      <c r="B27421" s="574">
        <v>100</v>
      </c>
      <c r="C27421" s="574">
        <v>193.2</v>
      </c>
    </row>
    <row r="27422" spans="1:3">
      <c r="A27422" s="573" t="s">
        <v>1319</v>
      </c>
      <c r="B27422" s="574">
        <v>150</v>
      </c>
      <c r="C27422" s="574">
        <v>221.2</v>
      </c>
    </row>
    <row r="27423" spans="1:3">
      <c r="A27423" s="573" t="s">
        <v>1319</v>
      </c>
      <c r="B27423" s="574">
        <v>216</v>
      </c>
      <c r="C27423" s="574">
        <v>233.9</v>
      </c>
    </row>
    <row r="27424" spans="1:3">
      <c r="A27424" s="573" t="s">
        <v>1319</v>
      </c>
      <c r="B27424" s="574">
        <v>216</v>
      </c>
      <c r="C27424" s="574">
        <v>233.9</v>
      </c>
    </row>
    <row r="27425" spans="1:3">
      <c r="A27425" s="571" t="s">
        <v>1318</v>
      </c>
      <c r="B27425" s="572">
        <v>0</v>
      </c>
      <c r="C27425" s="572">
        <v>0</v>
      </c>
    </row>
    <row r="27426" spans="1:3">
      <c r="A27426" s="571" t="s">
        <v>1318</v>
      </c>
      <c r="B27426" s="572">
        <v>1</v>
      </c>
      <c r="C27426" s="572">
        <v>115</v>
      </c>
    </row>
    <row r="27427" spans="1:3">
      <c r="A27427" s="571" t="s">
        <v>1318</v>
      </c>
      <c r="B27427" s="572">
        <v>3</v>
      </c>
      <c r="C27427" s="572">
        <v>189</v>
      </c>
    </row>
    <row r="27428" spans="1:3">
      <c r="A27428" s="571" t="s">
        <v>1318</v>
      </c>
      <c r="B27428" s="572">
        <v>5</v>
      </c>
      <c r="C27428" s="572">
        <v>236.7</v>
      </c>
    </row>
    <row r="27429" spans="1:3">
      <c r="A27429" s="571" t="s">
        <v>1318</v>
      </c>
      <c r="B27429" s="572">
        <v>7</v>
      </c>
      <c r="C27429" s="572">
        <v>258.3</v>
      </c>
    </row>
    <row r="27430" spans="1:3">
      <c r="A27430" s="571" t="s">
        <v>1318</v>
      </c>
      <c r="B27430" s="572">
        <v>10</v>
      </c>
      <c r="C27430" s="572">
        <v>284</v>
      </c>
    </row>
    <row r="27431" spans="1:3">
      <c r="A27431" s="571" t="s">
        <v>1318</v>
      </c>
      <c r="B27431" s="572">
        <v>20</v>
      </c>
      <c r="C27431" s="572">
        <v>312.39999999999998</v>
      </c>
    </row>
    <row r="27432" spans="1:3">
      <c r="A27432" s="571" t="s">
        <v>1318</v>
      </c>
      <c r="B27432" s="572">
        <v>30</v>
      </c>
      <c r="C27432" s="572">
        <v>338.1</v>
      </c>
    </row>
    <row r="27433" spans="1:3">
      <c r="A27433" s="571" t="s">
        <v>1318</v>
      </c>
      <c r="B27433" s="572">
        <v>50</v>
      </c>
      <c r="C27433" s="572">
        <v>365.2</v>
      </c>
    </row>
    <row r="27434" spans="1:3">
      <c r="A27434" s="571" t="s">
        <v>1318</v>
      </c>
      <c r="B27434" s="572">
        <v>70</v>
      </c>
      <c r="C27434" s="572">
        <v>388.8</v>
      </c>
    </row>
    <row r="27435" spans="1:3">
      <c r="A27435" s="571" t="s">
        <v>1318</v>
      </c>
      <c r="B27435" s="572">
        <v>90</v>
      </c>
      <c r="C27435" s="572">
        <v>405.7</v>
      </c>
    </row>
    <row r="27436" spans="1:3">
      <c r="A27436" s="571" t="s">
        <v>1318</v>
      </c>
      <c r="B27436" s="572">
        <v>90</v>
      </c>
      <c r="C27436" s="572">
        <v>405.7</v>
      </c>
    </row>
    <row r="27437" spans="1:3">
      <c r="A27437" s="571" t="s">
        <v>1317</v>
      </c>
      <c r="B27437" s="572">
        <v>0</v>
      </c>
      <c r="C27437" s="572">
        <v>0</v>
      </c>
    </row>
    <row r="27438" spans="1:3">
      <c r="A27438" s="571" t="s">
        <v>1317</v>
      </c>
      <c r="B27438" s="572">
        <v>3</v>
      </c>
      <c r="C27438" s="572">
        <v>29.2</v>
      </c>
    </row>
    <row r="27439" spans="1:3">
      <c r="A27439" s="571" t="s">
        <v>1317</v>
      </c>
      <c r="B27439" s="572">
        <v>5</v>
      </c>
      <c r="C27439" s="572">
        <v>54.2</v>
      </c>
    </row>
    <row r="27440" spans="1:3">
      <c r="A27440" s="571" t="s">
        <v>1317</v>
      </c>
      <c r="B27440" s="572">
        <v>7</v>
      </c>
      <c r="C27440" s="572">
        <v>81.3</v>
      </c>
    </row>
    <row r="27441" spans="1:3">
      <c r="A27441" s="571" t="s">
        <v>1317</v>
      </c>
      <c r="B27441" s="572">
        <v>10</v>
      </c>
      <c r="C27441" s="572">
        <v>97.1</v>
      </c>
    </row>
    <row r="27442" spans="1:3">
      <c r="A27442" s="571" t="s">
        <v>1317</v>
      </c>
      <c r="B27442" s="572">
        <v>30</v>
      </c>
      <c r="C27442" s="572">
        <v>151.30000000000001</v>
      </c>
    </row>
    <row r="27443" spans="1:3">
      <c r="A27443" s="571" t="s">
        <v>1317</v>
      </c>
      <c r="B27443" s="572">
        <v>50</v>
      </c>
      <c r="C27443" s="572">
        <v>181.3</v>
      </c>
    </row>
    <row r="27444" spans="1:3">
      <c r="A27444" s="571" t="s">
        <v>1317</v>
      </c>
      <c r="B27444" s="572">
        <v>70</v>
      </c>
      <c r="C27444" s="572">
        <v>200.8</v>
      </c>
    </row>
    <row r="27445" spans="1:3">
      <c r="A27445" s="573" t="s">
        <v>1317</v>
      </c>
      <c r="B27445" s="574">
        <v>100</v>
      </c>
      <c r="C27445" s="574">
        <v>219.2</v>
      </c>
    </row>
    <row r="27446" spans="1:3">
      <c r="A27446" s="573" t="s">
        <v>1317</v>
      </c>
      <c r="B27446" s="574">
        <v>150</v>
      </c>
      <c r="C27446" s="574">
        <v>244.1</v>
      </c>
    </row>
    <row r="27447" spans="1:3">
      <c r="A27447" s="573" t="s">
        <v>1317</v>
      </c>
      <c r="B27447" s="574">
        <v>209.2</v>
      </c>
      <c r="C27447" s="574">
        <v>264.89999999999998</v>
      </c>
    </row>
    <row r="27448" spans="1:3">
      <c r="A27448" s="573" t="s">
        <v>1317</v>
      </c>
      <c r="B27448" s="574">
        <v>209.2</v>
      </c>
      <c r="C27448" s="574">
        <v>264.89999999999998</v>
      </c>
    </row>
    <row r="27449" spans="1:3">
      <c r="A27449" s="571" t="s">
        <v>1316</v>
      </c>
      <c r="B27449" s="572">
        <v>0</v>
      </c>
      <c r="C27449" s="572">
        <v>0</v>
      </c>
    </row>
    <row r="27450" spans="1:3">
      <c r="A27450" s="571" t="s">
        <v>1316</v>
      </c>
      <c r="B27450" s="572">
        <v>3</v>
      </c>
      <c r="C27450" s="572">
        <v>41.9</v>
      </c>
    </row>
    <row r="27451" spans="1:3">
      <c r="A27451" s="571" t="s">
        <v>1316</v>
      </c>
      <c r="B27451" s="572">
        <v>5</v>
      </c>
      <c r="C27451" s="572">
        <v>55.9</v>
      </c>
    </row>
    <row r="27452" spans="1:3">
      <c r="A27452" s="571" t="s">
        <v>1316</v>
      </c>
      <c r="B27452" s="572">
        <v>7</v>
      </c>
      <c r="C27452" s="572">
        <v>68.599999999999994</v>
      </c>
    </row>
    <row r="27453" spans="1:3">
      <c r="A27453" s="571" t="s">
        <v>1316</v>
      </c>
      <c r="B27453" s="572">
        <v>10</v>
      </c>
      <c r="C27453" s="572">
        <v>81.400000000000006</v>
      </c>
    </row>
    <row r="27454" spans="1:3">
      <c r="A27454" s="571" t="s">
        <v>1316</v>
      </c>
      <c r="B27454" s="572">
        <v>30</v>
      </c>
      <c r="C27454" s="572">
        <v>131.69999999999999</v>
      </c>
    </row>
    <row r="27455" spans="1:3">
      <c r="A27455" s="571" t="s">
        <v>1316</v>
      </c>
      <c r="B27455" s="572">
        <v>50</v>
      </c>
      <c r="C27455" s="572">
        <v>161.4</v>
      </c>
    </row>
    <row r="27456" spans="1:3">
      <c r="A27456" s="571" t="s">
        <v>1316</v>
      </c>
      <c r="B27456" s="572">
        <v>70</v>
      </c>
      <c r="C27456" s="572">
        <v>180.5</v>
      </c>
    </row>
    <row r="27457" spans="1:3">
      <c r="A27457" s="573" t="s">
        <v>1316</v>
      </c>
      <c r="B27457" s="574">
        <v>100</v>
      </c>
      <c r="C27457" s="574">
        <v>202.1</v>
      </c>
    </row>
    <row r="27458" spans="1:3">
      <c r="A27458" s="573" t="s">
        <v>1316</v>
      </c>
      <c r="B27458" s="574">
        <v>150</v>
      </c>
      <c r="C27458" s="574">
        <v>223.7</v>
      </c>
    </row>
    <row r="27459" spans="1:3">
      <c r="A27459" s="573" t="s">
        <v>1316</v>
      </c>
      <c r="B27459" s="574">
        <v>202.4</v>
      </c>
      <c r="C27459" s="574">
        <v>246.6</v>
      </c>
    </row>
    <row r="27460" spans="1:3">
      <c r="A27460" s="573" t="s">
        <v>1316</v>
      </c>
      <c r="B27460" s="574">
        <v>202.4</v>
      </c>
      <c r="C27460" s="574">
        <v>246.6</v>
      </c>
    </row>
    <row r="27461" spans="1:3">
      <c r="A27461" s="571" t="s">
        <v>1315</v>
      </c>
      <c r="B27461" s="572">
        <v>0</v>
      </c>
      <c r="C27461" s="572">
        <v>0</v>
      </c>
    </row>
    <row r="27462" spans="1:3">
      <c r="A27462" s="571" t="s">
        <v>1315</v>
      </c>
      <c r="B27462" s="572">
        <v>1</v>
      </c>
      <c r="C27462" s="572">
        <v>122</v>
      </c>
    </row>
    <row r="27463" spans="1:3">
      <c r="A27463" s="571" t="s">
        <v>1315</v>
      </c>
      <c r="B27463" s="572">
        <v>3</v>
      </c>
      <c r="C27463" s="572">
        <v>189.8</v>
      </c>
    </row>
    <row r="27464" spans="1:3">
      <c r="A27464" s="571" t="s">
        <v>1315</v>
      </c>
      <c r="B27464" s="572">
        <v>5</v>
      </c>
      <c r="C27464" s="572">
        <v>237.3</v>
      </c>
    </row>
    <row r="27465" spans="1:3">
      <c r="A27465" s="571" t="s">
        <v>1315</v>
      </c>
      <c r="B27465" s="572">
        <v>7</v>
      </c>
      <c r="C27465" s="572">
        <v>259</v>
      </c>
    </row>
    <row r="27466" spans="1:3">
      <c r="A27466" s="571" t="s">
        <v>1315</v>
      </c>
      <c r="B27466" s="572">
        <v>10</v>
      </c>
      <c r="C27466" s="572">
        <v>279.3</v>
      </c>
    </row>
    <row r="27467" spans="1:3">
      <c r="A27467" s="571" t="s">
        <v>1315</v>
      </c>
      <c r="B27467" s="572">
        <v>20</v>
      </c>
      <c r="C27467" s="572">
        <v>309.8</v>
      </c>
    </row>
    <row r="27468" spans="1:3">
      <c r="A27468" s="571" t="s">
        <v>1315</v>
      </c>
      <c r="B27468" s="572">
        <v>30</v>
      </c>
      <c r="C27468" s="572">
        <v>332.2</v>
      </c>
    </row>
    <row r="27469" spans="1:3">
      <c r="A27469" s="571" t="s">
        <v>1315</v>
      </c>
      <c r="B27469" s="572">
        <v>50</v>
      </c>
      <c r="C27469" s="572">
        <v>359.3</v>
      </c>
    </row>
    <row r="27470" spans="1:3">
      <c r="A27470" s="571" t="s">
        <v>1315</v>
      </c>
      <c r="B27470" s="572">
        <v>70</v>
      </c>
      <c r="C27470" s="572">
        <v>383</v>
      </c>
    </row>
    <row r="27471" spans="1:3">
      <c r="A27471" s="571" t="s">
        <v>1315</v>
      </c>
      <c r="B27471" s="572">
        <v>90</v>
      </c>
      <c r="C27471" s="572">
        <v>391.9</v>
      </c>
    </row>
    <row r="27472" spans="1:3">
      <c r="A27472" s="571" t="s">
        <v>1315</v>
      </c>
      <c r="B27472" s="572">
        <v>90</v>
      </c>
      <c r="C27472" s="572">
        <v>391.9</v>
      </c>
    </row>
    <row r="27473" spans="1:3">
      <c r="A27473" s="571" t="s">
        <v>1313</v>
      </c>
      <c r="B27473" s="572">
        <v>0</v>
      </c>
      <c r="C27473" s="572">
        <v>0</v>
      </c>
    </row>
    <row r="27474" spans="1:3">
      <c r="A27474" s="571" t="s">
        <v>1313</v>
      </c>
      <c r="B27474" s="572">
        <v>1</v>
      </c>
      <c r="C27474" s="572">
        <v>91.9</v>
      </c>
    </row>
    <row r="27475" spans="1:3">
      <c r="A27475" s="571" t="s">
        <v>1313</v>
      </c>
      <c r="B27475" s="572">
        <v>3</v>
      </c>
      <c r="C27475" s="572">
        <v>153.19999999999999</v>
      </c>
    </row>
    <row r="27476" spans="1:3">
      <c r="A27476" s="571" t="s">
        <v>1313</v>
      </c>
      <c r="B27476" s="572">
        <v>5</v>
      </c>
      <c r="C27476" s="572">
        <v>194</v>
      </c>
    </row>
    <row r="27477" spans="1:3">
      <c r="A27477" s="571" t="s">
        <v>1313</v>
      </c>
      <c r="B27477" s="572">
        <v>7</v>
      </c>
      <c r="C27477" s="572">
        <v>217.9</v>
      </c>
    </row>
    <row r="27478" spans="1:3">
      <c r="A27478" s="571" t="s">
        <v>1313</v>
      </c>
      <c r="B27478" s="572">
        <v>10</v>
      </c>
      <c r="C27478" s="572">
        <v>241.7</v>
      </c>
    </row>
    <row r="27479" spans="1:3">
      <c r="A27479" s="571" t="s">
        <v>1313</v>
      </c>
      <c r="B27479" s="572">
        <v>20</v>
      </c>
      <c r="C27479" s="572">
        <v>272.3</v>
      </c>
    </row>
    <row r="27480" spans="1:3">
      <c r="A27480" s="571" t="s">
        <v>1313</v>
      </c>
      <c r="B27480" s="572">
        <v>30</v>
      </c>
      <c r="C27480" s="572">
        <v>292.8</v>
      </c>
    </row>
    <row r="27481" spans="1:3">
      <c r="A27481" s="571" t="s">
        <v>1313</v>
      </c>
      <c r="B27481" s="572">
        <v>50</v>
      </c>
      <c r="C27481" s="572">
        <v>309.8</v>
      </c>
    </row>
    <row r="27482" spans="1:3">
      <c r="A27482" s="571" t="s">
        <v>1313</v>
      </c>
      <c r="B27482" s="572">
        <v>70</v>
      </c>
      <c r="C27482" s="572">
        <v>330.2</v>
      </c>
    </row>
    <row r="27483" spans="1:3">
      <c r="A27483" s="571" t="s">
        <v>1313</v>
      </c>
      <c r="B27483" s="572">
        <v>90</v>
      </c>
      <c r="C27483" s="572">
        <v>340.4</v>
      </c>
    </row>
    <row r="27484" spans="1:3">
      <c r="A27484" s="571" t="s">
        <v>1313</v>
      </c>
      <c r="B27484" s="572">
        <v>90</v>
      </c>
      <c r="C27484" s="572">
        <v>340.4</v>
      </c>
    </row>
    <row r="27485" spans="1:3">
      <c r="A27485" s="571" t="s">
        <v>1312</v>
      </c>
      <c r="B27485" s="572">
        <v>0</v>
      </c>
      <c r="C27485" s="572">
        <v>0</v>
      </c>
    </row>
    <row r="27486" spans="1:3">
      <c r="A27486" s="571" t="s">
        <v>1312</v>
      </c>
      <c r="B27486" s="572">
        <v>4</v>
      </c>
      <c r="C27486" s="572">
        <v>92</v>
      </c>
    </row>
    <row r="27487" spans="1:3">
      <c r="A27487" s="571" t="s">
        <v>1312</v>
      </c>
      <c r="B27487" s="572">
        <v>11</v>
      </c>
      <c r="C27487" s="572">
        <v>154</v>
      </c>
    </row>
    <row r="27488" spans="1:3">
      <c r="A27488" s="571" t="s">
        <v>1312</v>
      </c>
      <c r="B27488" s="572">
        <v>25</v>
      </c>
      <c r="C27488" s="572">
        <v>255</v>
      </c>
    </row>
    <row r="27489" spans="1:3">
      <c r="A27489" s="571" t="s">
        <v>1312</v>
      </c>
      <c r="B27489" s="572">
        <v>53</v>
      </c>
      <c r="C27489" s="572">
        <v>317</v>
      </c>
    </row>
    <row r="27490" spans="1:3">
      <c r="A27490" s="571" t="s">
        <v>1312</v>
      </c>
      <c r="B27490" s="572">
        <v>81</v>
      </c>
      <c r="C27490" s="572">
        <v>360</v>
      </c>
    </row>
    <row r="27491" spans="1:3">
      <c r="A27491" s="573" t="s">
        <v>1312</v>
      </c>
      <c r="B27491" s="574">
        <v>116</v>
      </c>
      <c r="C27491" s="574">
        <v>403</v>
      </c>
    </row>
    <row r="27492" spans="1:3">
      <c r="A27492" s="573" t="s">
        <v>1312</v>
      </c>
      <c r="B27492" s="574">
        <v>179</v>
      </c>
      <c r="C27492" s="574">
        <v>411</v>
      </c>
    </row>
    <row r="27493" spans="1:3">
      <c r="A27493" s="573" t="s">
        <v>1312</v>
      </c>
      <c r="B27493" s="574">
        <v>235</v>
      </c>
      <c r="C27493" s="574">
        <v>435</v>
      </c>
    </row>
    <row r="27494" spans="1:3">
      <c r="A27494" s="573" t="s">
        <v>1312</v>
      </c>
      <c r="B27494" s="574">
        <v>298</v>
      </c>
      <c r="C27494" s="574">
        <v>456</v>
      </c>
    </row>
    <row r="27495" spans="1:3">
      <c r="A27495" s="573" t="s">
        <v>1312</v>
      </c>
      <c r="B27495" s="574">
        <v>362</v>
      </c>
      <c r="C27495" s="574">
        <v>461</v>
      </c>
    </row>
    <row r="27496" spans="1:3">
      <c r="A27496" s="573" t="s">
        <v>1312</v>
      </c>
      <c r="B27496" s="574">
        <v>362</v>
      </c>
      <c r="C27496" s="574">
        <v>461</v>
      </c>
    </row>
    <row r="27497" spans="1:3">
      <c r="A27497" s="571" t="s">
        <v>1311</v>
      </c>
      <c r="B27497" s="572">
        <v>0</v>
      </c>
      <c r="C27497" s="572">
        <v>0</v>
      </c>
    </row>
    <row r="27498" spans="1:3">
      <c r="A27498" s="571" t="s">
        <v>1311</v>
      </c>
      <c r="B27498" s="572">
        <v>4</v>
      </c>
      <c r="C27498" s="572">
        <v>121.6</v>
      </c>
    </row>
    <row r="27499" spans="1:3">
      <c r="A27499" s="571" t="s">
        <v>1311</v>
      </c>
      <c r="B27499" s="572">
        <v>11</v>
      </c>
      <c r="C27499" s="572">
        <v>204.8</v>
      </c>
    </row>
    <row r="27500" spans="1:3">
      <c r="A27500" s="571" t="s">
        <v>1311</v>
      </c>
      <c r="B27500" s="572">
        <v>25</v>
      </c>
      <c r="C27500" s="572">
        <v>301.60000000000002</v>
      </c>
    </row>
    <row r="27501" spans="1:3">
      <c r="A27501" s="571" t="s">
        <v>1311</v>
      </c>
      <c r="B27501" s="572">
        <v>53</v>
      </c>
      <c r="C27501" s="572">
        <v>382.7</v>
      </c>
    </row>
    <row r="27502" spans="1:3">
      <c r="A27502" s="571" t="s">
        <v>1311</v>
      </c>
      <c r="B27502" s="572">
        <v>81</v>
      </c>
      <c r="C27502" s="572">
        <v>435.5</v>
      </c>
    </row>
    <row r="27503" spans="1:3">
      <c r="A27503" s="573" t="s">
        <v>1311</v>
      </c>
      <c r="B27503" s="574">
        <v>116</v>
      </c>
      <c r="C27503" s="574">
        <v>467.8</v>
      </c>
    </row>
    <row r="27504" spans="1:3">
      <c r="A27504" s="573" t="s">
        <v>1311</v>
      </c>
      <c r="B27504" s="574">
        <v>179</v>
      </c>
      <c r="C27504" s="574">
        <v>500.5</v>
      </c>
    </row>
    <row r="27505" spans="1:3">
      <c r="A27505" s="573" t="s">
        <v>1311</v>
      </c>
      <c r="B27505" s="574">
        <v>235</v>
      </c>
      <c r="C27505" s="574">
        <v>519.9</v>
      </c>
    </row>
    <row r="27506" spans="1:3">
      <c r="A27506" s="573" t="s">
        <v>1311</v>
      </c>
      <c r="B27506" s="574">
        <v>298</v>
      </c>
      <c r="C27506" s="574">
        <v>541.70000000000005</v>
      </c>
    </row>
    <row r="27507" spans="1:3">
      <c r="A27507" s="573" t="s">
        <v>1311</v>
      </c>
      <c r="B27507" s="574">
        <v>362</v>
      </c>
      <c r="C27507" s="574">
        <v>559.4</v>
      </c>
    </row>
    <row r="27508" spans="1:3">
      <c r="A27508" s="573" t="s">
        <v>1311</v>
      </c>
      <c r="B27508" s="574">
        <v>362</v>
      </c>
      <c r="C27508" s="574">
        <v>559.4</v>
      </c>
    </row>
    <row r="27509" spans="1:3">
      <c r="A27509" s="571" t="s">
        <v>1310</v>
      </c>
      <c r="B27509" s="572">
        <v>0</v>
      </c>
      <c r="C27509" s="572">
        <v>0</v>
      </c>
    </row>
    <row r="27510" spans="1:3">
      <c r="A27510" s="571" t="s">
        <v>1310</v>
      </c>
      <c r="B27510" s="572">
        <v>4</v>
      </c>
      <c r="C27510" s="572">
        <v>101</v>
      </c>
    </row>
    <row r="27511" spans="1:3">
      <c r="A27511" s="571" t="s">
        <v>1310</v>
      </c>
      <c r="B27511" s="572">
        <v>11</v>
      </c>
      <c r="C27511" s="572">
        <v>222</v>
      </c>
    </row>
    <row r="27512" spans="1:3">
      <c r="A27512" s="571" t="s">
        <v>1310</v>
      </c>
      <c r="B27512" s="572">
        <v>25</v>
      </c>
      <c r="C27512" s="572">
        <v>362</v>
      </c>
    </row>
    <row r="27513" spans="1:3">
      <c r="A27513" s="571" t="s">
        <v>1310</v>
      </c>
      <c r="B27513" s="572">
        <v>53</v>
      </c>
      <c r="C27513" s="572">
        <v>447</v>
      </c>
    </row>
    <row r="27514" spans="1:3">
      <c r="A27514" s="571" t="s">
        <v>1310</v>
      </c>
      <c r="B27514" s="572">
        <v>81</v>
      </c>
      <c r="C27514" s="572">
        <v>490</v>
      </c>
    </row>
    <row r="27515" spans="1:3">
      <c r="A27515" s="573" t="s">
        <v>1310</v>
      </c>
      <c r="B27515" s="574">
        <v>116</v>
      </c>
      <c r="C27515" s="574">
        <v>501</v>
      </c>
    </row>
    <row r="27516" spans="1:3">
      <c r="A27516" s="573" t="s">
        <v>1310</v>
      </c>
      <c r="B27516" s="574">
        <v>179</v>
      </c>
      <c r="C27516" s="574">
        <v>531</v>
      </c>
    </row>
    <row r="27517" spans="1:3">
      <c r="A27517" s="573" t="s">
        <v>1310</v>
      </c>
      <c r="B27517" s="574">
        <v>235</v>
      </c>
      <c r="C27517" s="574">
        <v>561</v>
      </c>
    </row>
    <row r="27518" spans="1:3">
      <c r="A27518" s="573" t="s">
        <v>1310</v>
      </c>
      <c r="B27518" s="574">
        <v>298</v>
      </c>
      <c r="C27518" s="574">
        <v>552</v>
      </c>
    </row>
    <row r="27519" spans="1:3">
      <c r="A27519" s="573" t="s">
        <v>1310</v>
      </c>
      <c r="B27519" s="574">
        <v>362</v>
      </c>
      <c r="C27519" s="574">
        <v>569</v>
      </c>
    </row>
    <row r="27520" spans="1:3">
      <c r="A27520" s="573" t="s">
        <v>1310</v>
      </c>
      <c r="B27520" s="574">
        <v>362</v>
      </c>
      <c r="C27520" s="574">
        <v>569</v>
      </c>
    </row>
    <row r="27521" spans="1:3">
      <c r="A27521" s="571" t="s">
        <v>1309</v>
      </c>
      <c r="B27521" s="572">
        <v>0</v>
      </c>
      <c r="C27521" s="572">
        <v>0</v>
      </c>
    </row>
    <row r="27522" spans="1:3">
      <c r="A27522" s="571" t="s">
        <v>1309</v>
      </c>
      <c r="B27522" s="572">
        <v>4</v>
      </c>
      <c r="C27522" s="572">
        <v>120</v>
      </c>
    </row>
    <row r="27523" spans="1:3">
      <c r="A27523" s="571" t="s">
        <v>1309</v>
      </c>
      <c r="B27523" s="572">
        <v>11</v>
      </c>
      <c r="C27523" s="572">
        <v>184</v>
      </c>
    </row>
    <row r="27524" spans="1:3">
      <c r="A27524" s="571" t="s">
        <v>1309</v>
      </c>
      <c r="B27524" s="572">
        <v>25</v>
      </c>
      <c r="C27524" s="572">
        <v>366</v>
      </c>
    </row>
    <row r="27525" spans="1:3">
      <c r="A27525" s="571" t="s">
        <v>1309</v>
      </c>
      <c r="B27525" s="572">
        <v>53</v>
      </c>
      <c r="C27525" s="572">
        <v>448</v>
      </c>
    </row>
    <row r="27526" spans="1:3">
      <c r="A27526" s="571" t="s">
        <v>1301</v>
      </c>
      <c r="B27526" s="572">
        <v>25</v>
      </c>
      <c r="C27526" s="572">
        <v>57</v>
      </c>
    </row>
    <row r="27527" spans="1:3">
      <c r="A27527" s="571" t="s">
        <v>1301</v>
      </c>
      <c r="B27527" s="572">
        <v>53</v>
      </c>
      <c r="C27527" s="572">
        <v>65</v>
      </c>
    </row>
    <row r="27528" spans="1:3">
      <c r="A27528" s="571" t="s">
        <v>1301</v>
      </c>
      <c r="B27528" s="572">
        <v>81</v>
      </c>
      <c r="C27528" s="572">
        <v>66</v>
      </c>
    </row>
    <row r="27529" spans="1:3">
      <c r="A27529" s="573" t="s">
        <v>1301</v>
      </c>
      <c r="B27529" s="574">
        <v>116</v>
      </c>
      <c r="C27529" s="574">
        <v>64</v>
      </c>
    </row>
    <row r="27530" spans="1:3">
      <c r="A27530" s="573" t="s">
        <v>1301</v>
      </c>
      <c r="B27530" s="574">
        <v>179</v>
      </c>
      <c r="C27530" s="574">
        <v>60</v>
      </c>
    </row>
    <row r="27531" spans="1:3">
      <c r="A27531" s="573" t="s">
        <v>1301</v>
      </c>
      <c r="B27531" s="574">
        <v>235</v>
      </c>
      <c r="C27531" s="574">
        <v>65</v>
      </c>
    </row>
    <row r="27532" spans="1:3">
      <c r="A27532" s="573" t="s">
        <v>1301</v>
      </c>
      <c r="B27532" s="574">
        <v>298</v>
      </c>
      <c r="C27532" s="574">
        <v>66</v>
      </c>
    </row>
    <row r="27533" spans="1:3">
      <c r="A27533" s="573" t="s">
        <v>1301</v>
      </c>
      <c r="B27533" s="574">
        <v>362</v>
      </c>
      <c r="C27533" s="574">
        <v>64</v>
      </c>
    </row>
    <row r="27534" spans="1:3">
      <c r="A27534" s="573" t="s">
        <v>1301</v>
      </c>
      <c r="B27534" s="574">
        <v>362</v>
      </c>
      <c r="C27534" s="574">
        <v>64</v>
      </c>
    </row>
    <row r="27535" spans="1:3">
      <c r="A27535" s="571" t="s">
        <v>1300</v>
      </c>
      <c r="B27535" s="572">
        <v>0</v>
      </c>
      <c r="C27535" s="572">
        <v>0</v>
      </c>
    </row>
    <row r="27536" spans="1:3">
      <c r="A27536" s="571" t="s">
        <v>1300</v>
      </c>
      <c r="B27536" s="572">
        <v>4</v>
      </c>
      <c r="C27536" s="572">
        <v>28</v>
      </c>
    </row>
    <row r="27537" spans="1:3">
      <c r="A27537" s="571" t="s">
        <v>1300</v>
      </c>
      <c r="B27537" s="572">
        <v>11</v>
      </c>
      <c r="C27537" s="572">
        <v>60</v>
      </c>
    </row>
    <row r="27538" spans="1:3">
      <c r="A27538" s="571" t="s">
        <v>1300</v>
      </c>
      <c r="B27538" s="572">
        <v>25</v>
      </c>
      <c r="C27538" s="572">
        <v>64</v>
      </c>
    </row>
    <row r="27539" spans="1:3">
      <c r="A27539" s="571" t="s">
        <v>1300</v>
      </c>
      <c r="B27539" s="572">
        <v>53</v>
      </c>
      <c r="C27539" s="572">
        <v>65</v>
      </c>
    </row>
    <row r="27540" spans="1:3">
      <c r="A27540" s="571" t="s">
        <v>1300</v>
      </c>
      <c r="B27540" s="572">
        <v>81</v>
      </c>
      <c r="C27540" s="572">
        <v>60</v>
      </c>
    </row>
    <row r="27541" spans="1:3">
      <c r="A27541" s="573" t="s">
        <v>1300</v>
      </c>
      <c r="B27541" s="574">
        <v>116</v>
      </c>
      <c r="C27541" s="574">
        <v>58</v>
      </c>
    </row>
    <row r="27542" spans="1:3">
      <c r="A27542" s="573" t="s">
        <v>1300</v>
      </c>
      <c r="B27542" s="574">
        <v>179</v>
      </c>
      <c r="C27542" s="574">
        <v>58</v>
      </c>
    </row>
    <row r="27543" spans="1:3">
      <c r="A27543" s="573" t="s">
        <v>1300</v>
      </c>
      <c r="B27543" s="574">
        <v>235</v>
      </c>
      <c r="C27543" s="574">
        <v>62</v>
      </c>
    </row>
    <row r="27544" spans="1:3">
      <c r="A27544" s="573" t="s">
        <v>1300</v>
      </c>
      <c r="B27544" s="574">
        <v>298</v>
      </c>
      <c r="C27544" s="574">
        <v>64</v>
      </c>
    </row>
    <row r="27545" spans="1:3">
      <c r="A27545" s="573" t="s">
        <v>1300</v>
      </c>
      <c r="B27545" s="574">
        <v>362</v>
      </c>
      <c r="C27545" s="574">
        <v>94</v>
      </c>
    </row>
    <row r="27546" spans="1:3">
      <c r="A27546" s="573" t="s">
        <v>1300</v>
      </c>
      <c r="B27546" s="574">
        <v>362</v>
      </c>
      <c r="C27546" s="574">
        <v>94</v>
      </c>
    </row>
    <row r="27547" spans="1:3">
      <c r="A27547" s="571" t="s">
        <v>1299</v>
      </c>
      <c r="B27547" s="572">
        <v>0</v>
      </c>
      <c r="C27547" s="572">
        <v>0</v>
      </c>
    </row>
    <row r="27548" spans="1:3">
      <c r="A27548" s="571" t="s">
        <v>1299</v>
      </c>
      <c r="B27548" s="572">
        <v>4</v>
      </c>
      <c r="C27548" s="572">
        <v>19</v>
      </c>
    </row>
    <row r="27549" spans="1:3">
      <c r="A27549" s="571" t="s">
        <v>1299</v>
      </c>
      <c r="B27549" s="572">
        <v>11</v>
      </c>
      <c r="C27549" s="572">
        <v>24</v>
      </c>
    </row>
    <row r="27550" spans="1:3">
      <c r="A27550" s="571" t="s">
        <v>1299</v>
      </c>
      <c r="B27550" s="572">
        <v>25</v>
      </c>
      <c r="C27550" s="572">
        <v>44</v>
      </c>
    </row>
    <row r="27551" spans="1:3">
      <c r="A27551" s="571" t="s">
        <v>1299</v>
      </c>
      <c r="B27551" s="572">
        <v>53</v>
      </c>
      <c r="C27551" s="572">
        <v>47</v>
      </c>
    </row>
    <row r="27552" spans="1:3">
      <c r="A27552" s="571" t="s">
        <v>1299</v>
      </c>
      <c r="B27552" s="572">
        <v>81</v>
      </c>
      <c r="C27552" s="572">
        <v>79</v>
      </c>
    </row>
    <row r="27553" spans="1:3">
      <c r="A27553" s="573" t="s">
        <v>1299</v>
      </c>
      <c r="B27553" s="574">
        <v>116</v>
      </c>
      <c r="C27553" s="574">
        <v>79</v>
      </c>
    </row>
    <row r="27554" spans="1:3">
      <c r="A27554" s="573" t="s">
        <v>1299</v>
      </c>
      <c r="B27554" s="574">
        <v>179</v>
      </c>
      <c r="C27554" s="574">
        <v>79</v>
      </c>
    </row>
    <row r="27555" spans="1:3">
      <c r="A27555" s="573" t="s">
        <v>1299</v>
      </c>
      <c r="B27555" s="574">
        <v>235</v>
      </c>
      <c r="C27555" s="574">
        <v>81</v>
      </c>
    </row>
    <row r="27556" spans="1:3">
      <c r="A27556" s="573" t="s">
        <v>1299</v>
      </c>
      <c r="B27556" s="574">
        <v>298</v>
      </c>
      <c r="C27556" s="574">
        <v>89</v>
      </c>
    </row>
    <row r="27557" spans="1:3">
      <c r="A27557" s="573" t="s">
        <v>1299</v>
      </c>
      <c r="B27557" s="574">
        <v>362</v>
      </c>
      <c r="C27557" s="574">
        <v>89</v>
      </c>
    </row>
    <row r="27558" spans="1:3">
      <c r="A27558" s="573" t="s">
        <v>1299</v>
      </c>
      <c r="B27558" s="574">
        <v>362</v>
      </c>
      <c r="C27558" s="574">
        <v>89</v>
      </c>
    </row>
    <row r="27559" spans="1:3">
      <c r="A27559" s="571" t="s">
        <v>1298</v>
      </c>
      <c r="B27559" s="572">
        <v>0</v>
      </c>
      <c r="C27559" s="572">
        <v>0</v>
      </c>
    </row>
    <row r="27560" spans="1:3">
      <c r="A27560" s="571" t="s">
        <v>1298</v>
      </c>
      <c r="B27560" s="572">
        <v>4</v>
      </c>
      <c r="C27560" s="572">
        <v>66</v>
      </c>
    </row>
    <row r="27561" spans="1:3">
      <c r="A27561" s="571" t="s">
        <v>1298</v>
      </c>
      <c r="B27561" s="572">
        <v>11</v>
      </c>
      <c r="C27561" s="572">
        <v>73</v>
      </c>
    </row>
    <row r="27562" spans="1:3">
      <c r="A27562" s="571" t="s">
        <v>1298</v>
      </c>
      <c r="B27562" s="572">
        <v>25</v>
      </c>
      <c r="C27562" s="572">
        <v>77</v>
      </c>
    </row>
    <row r="27563" spans="1:3">
      <c r="A27563" s="571" t="s">
        <v>1298</v>
      </c>
      <c r="B27563" s="572">
        <v>53</v>
      </c>
      <c r="C27563" s="572">
        <v>83</v>
      </c>
    </row>
    <row r="27564" spans="1:3">
      <c r="A27564" s="571" t="s">
        <v>1298</v>
      </c>
      <c r="B27564" s="572">
        <v>81</v>
      </c>
      <c r="C27564" s="572">
        <v>86</v>
      </c>
    </row>
    <row r="27565" spans="1:3">
      <c r="A27565" s="573" t="s">
        <v>1298</v>
      </c>
      <c r="B27565" s="574">
        <v>116</v>
      </c>
      <c r="C27565" s="574">
        <v>87</v>
      </c>
    </row>
    <row r="27566" spans="1:3">
      <c r="A27566" s="573" t="s">
        <v>1298</v>
      </c>
      <c r="B27566" s="574">
        <v>179</v>
      </c>
      <c r="C27566" s="574">
        <v>82</v>
      </c>
    </row>
    <row r="27567" spans="1:3">
      <c r="A27567" s="573" t="s">
        <v>1298</v>
      </c>
      <c r="B27567" s="574">
        <v>235</v>
      </c>
      <c r="C27567" s="574">
        <v>77</v>
      </c>
    </row>
    <row r="27568" spans="1:3">
      <c r="A27568" s="573" t="s">
        <v>1298</v>
      </c>
      <c r="B27568" s="574">
        <v>298</v>
      </c>
      <c r="C27568" s="574">
        <v>79</v>
      </c>
    </row>
    <row r="27569" spans="1:3">
      <c r="A27569" s="573" t="s">
        <v>1298</v>
      </c>
      <c r="B27569" s="574">
        <v>362</v>
      </c>
      <c r="C27569" s="574">
        <v>78</v>
      </c>
    </row>
    <row r="27570" spans="1:3">
      <c r="A27570" s="573" t="s">
        <v>1298</v>
      </c>
      <c r="B27570" s="574">
        <v>362</v>
      </c>
      <c r="C27570" s="574">
        <v>78</v>
      </c>
    </row>
    <row r="27571" spans="1:3">
      <c r="A27571" s="571" t="s">
        <v>1297</v>
      </c>
      <c r="B27571" s="572">
        <v>0</v>
      </c>
      <c r="C27571" s="572">
        <v>0</v>
      </c>
    </row>
    <row r="27572" spans="1:3">
      <c r="A27572" s="571" t="s">
        <v>1297</v>
      </c>
      <c r="B27572" s="572">
        <v>4</v>
      </c>
      <c r="C27572" s="572">
        <v>46</v>
      </c>
    </row>
    <row r="27573" spans="1:3">
      <c r="A27573" s="571" t="s">
        <v>1297</v>
      </c>
      <c r="B27573" s="572">
        <v>11</v>
      </c>
      <c r="C27573" s="572">
        <v>53.5</v>
      </c>
    </row>
    <row r="27574" spans="1:3">
      <c r="A27574" s="571" t="s">
        <v>1297</v>
      </c>
      <c r="B27574" s="572">
        <v>25</v>
      </c>
      <c r="C27574" s="572">
        <v>61</v>
      </c>
    </row>
    <row r="27575" spans="1:3">
      <c r="A27575" s="571" t="s">
        <v>1297</v>
      </c>
      <c r="B27575" s="572">
        <v>53</v>
      </c>
      <c r="C27575" s="572">
        <v>69</v>
      </c>
    </row>
    <row r="27576" spans="1:3">
      <c r="A27576" s="571" t="s">
        <v>1297</v>
      </c>
      <c r="B27576" s="572">
        <v>81</v>
      </c>
      <c r="C27576" s="572">
        <v>79.5</v>
      </c>
    </row>
    <row r="27577" spans="1:3">
      <c r="A27577" s="573" t="s">
        <v>1297</v>
      </c>
      <c r="B27577" s="574">
        <v>116</v>
      </c>
      <c r="C27577" s="574">
        <v>85</v>
      </c>
    </row>
    <row r="27578" spans="1:3">
      <c r="A27578" s="573" t="s">
        <v>1297</v>
      </c>
      <c r="B27578" s="574">
        <v>179</v>
      </c>
      <c r="C27578" s="574">
        <v>92</v>
      </c>
    </row>
    <row r="27579" spans="1:3">
      <c r="A27579" s="573" t="s">
        <v>1297</v>
      </c>
      <c r="B27579" s="574">
        <v>235</v>
      </c>
      <c r="C27579" s="574">
        <v>109</v>
      </c>
    </row>
    <row r="27580" spans="1:3">
      <c r="A27580" s="573" t="s">
        <v>1297</v>
      </c>
      <c r="B27580" s="574">
        <v>298</v>
      </c>
      <c r="C27580" s="574">
        <v>117</v>
      </c>
    </row>
    <row r="27581" spans="1:3">
      <c r="A27581" s="573" t="s">
        <v>1297</v>
      </c>
      <c r="B27581" s="574">
        <v>362</v>
      </c>
      <c r="C27581" s="574">
        <v>125.5</v>
      </c>
    </row>
    <row r="27582" spans="1:3">
      <c r="A27582" s="573" t="s">
        <v>1297</v>
      </c>
      <c r="B27582" s="574">
        <v>362</v>
      </c>
      <c r="C27582" s="574">
        <v>125.5</v>
      </c>
    </row>
    <row r="27583" spans="1:3">
      <c r="A27583" s="571" t="s">
        <v>1296</v>
      </c>
      <c r="B27583" s="572">
        <v>0</v>
      </c>
      <c r="C27583" s="572">
        <v>0</v>
      </c>
    </row>
    <row r="27584" spans="1:3">
      <c r="A27584" s="571" t="s">
        <v>1296</v>
      </c>
      <c r="B27584" s="572">
        <v>4</v>
      </c>
      <c r="C27584" s="572">
        <v>75</v>
      </c>
    </row>
    <row r="27585" spans="1:3">
      <c r="A27585" s="571" t="s">
        <v>1296</v>
      </c>
      <c r="B27585" s="572">
        <v>11</v>
      </c>
      <c r="C27585" s="572">
        <v>90</v>
      </c>
    </row>
    <row r="27586" spans="1:3">
      <c r="A27586" s="571" t="s">
        <v>1296</v>
      </c>
      <c r="B27586" s="572">
        <v>25</v>
      </c>
      <c r="C27586" s="572">
        <v>161</v>
      </c>
    </row>
    <row r="27587" spans="1:3">
      <c r="A27587" s="571" t="s">
        <v>1296</v>
      </c>
      <c r="B27587" s="572">
        <v>53</v>
      </c>
      <c r="C27587" s="572">
        <v>157</v>
      </c>
    </row>
    <row r="27588" spans="1:3">
      <c r="A27588" s="571" t="s">
        <v>1296</v>
      </c>
      <c r="B27588" s="572">
        <v>81</v>
      </c>
      <c r="C27588" s="572">
        <v>157</v>
      </c>
    </row>
    <row r="27589" spans="1:3">
      <c r="A27589" s="573" t="s">
        <v>1296</v>
      </c>
      <c r="B27589" s="574">
        <v>116</v>
      </c>
      <c r="C27589" s="574">
        <v>176</v>
      </c>
    </row>
    <row r="27590" spans="1:3">
      <c r="A27590" s="573" t="s">
        <v>1296</v>
      </c>
      <c r="B27590" s="574">
        <v>179</v>
      </c>
      <c r="C27590" s="574">
        <v>182</v>
      </c>
    </row>
    <row r="27591" spans="1:3">
      <c r="A27591" s="573" t="s">
        <v>1296</v>
      </c>
      <c r="B27591" s="574">
        <v>235</v>
      </c>
      <c r="C27591" s="574">
        <v>195</v>
      </c>
    </row>
    <row r="27592" spans="1:3">
      <c r="A27592" s="573" t="s">
        <v>1296</v>
      </c>
      <c r="B27592" s="574">
        <v>298</v>
      </c>
      <c r="C27592" s="574">
        <v>255</v>
      </c>
    </row>
    <row r="27593" spans="1:3">
      <c r="A27593" s="573" t="s">
        <v>1296</v>
      </c>
      <c r="B27593" s="574">
        <v>362</v>
      </c>
      <c r="C27593" s="574">
        <v>250</v>
      </c>
    </row>
    <row r="27594" spans="1:3">
      <c r="A27594" s="573" t="s">
        <v>1296</v>
      </c>
      <c r="B27594" s="574">
        <v>362</v>
      </c>
      <c r="C27594" s="574">
        <v>250</v>
      </c>
    </row>
    <row r="27595" spans="1:3">
      <c r="A27595" s="571" t="s">
        <v>1295</v>
      </c>
      <c r="B27595" s="572">
        <v>0</v>
      </c>
      <c r="C27595" s="572">
        <v>0</v>
      </c>
    </row>
    <row r="27596" spans="1:3">
      <c r="A27596" s="571" t="s">
        <v>1295</v>
      </c>
      <c r="B27596" s="572">
        <v>4</v>
      </c>
      <c r="C27596" s="572">
        <v>92</v>
      </c>
    </row>
    <row r="27597" spans="1:3">
      <c r="A27597" s="571" t="s">
        <v>1295</v>
      </c>
      <c r="B27597" s="572">
        <v>11</v>
      </c>
      <c r="C27597" s="572">
        <v>96</v>
      </c>
    </row>
    <row r="27598" spans="1:3">
      <c r="A27598" s="571" t="s">
        <v>1295</v>
      </c>
      <c r="B27598" s="572">
        <v>25</v>
      </c>
      <c r="C27598" s="572">
        <v>99</v>
      </c>
    </row>
    <row r="27599" spans="1:3">
      <c r="A27599" s="571" t="s">
        <v>1295</v>
      </c>
      <c r="B27599" s="572">
        <v>53</v>
      </c>
      <c r="C27599" s="572">
        <v>122</v>
      </c>
    </row>
    <row r="27600" spans="1:3">
      <c r="A27600" s="571" t="s">
        <v>1295</v>
      </c>
      <c r="B27600" s="572">
        <v>81</v>
      </c>
      <c r="C27600" s="572">
        <v>146</v>
      </c>
    </row>
    <row r="27601" spans="1:3">
      <c r="A27601" s="573" t="s">
        <v>1295</v>
      </c>
      <c r="B27601" s="574">
        <v>116</v>
      </c>
      <c r="C27601" s="574">
        <v>161</v>
      </c>
    </row>
    <row r="27602" spans="1:3">
      <c r="A27602" s="573" t="s">
        <v>1295</v>
      </c>
      <c r="B27602" s="574">
        <v>179</v>
      </c>
      <c r="C27602" s="574">
        <v>193</v>
      </c>
    </row>
    <row r="27603" spans="1:3">
      <c r="A27603" s="573" t="s">
        <v>1295</v>
      </c>
      <c r="B27603" s="574">
        <v>235</v>
      </c>
      <c r="C27603" s="574">
        <v>201</v>
      </c>
    </row>
    <row r="27604" spans="1:3">
      <c r="A27604" s="573" t="s">
        <v>1295</v>
      </c>
      <c r="B27604" s="574">
        <v>298</v>
      </c>
      <c r="C27604" s="574">
        <v>210</v>
      </c>
    </row>
    <row r="27605" spans="1:3">
      <c r="A27605" s="573" t="s">
        <v>1295</v>
      </c>
      <c r="B27605" s="574">
        <v>362</v>
      </c>
      <c r="C27605" s="574">
        <v>227</v>
      </c>
    </row>
    <row r="27606" spans="1:3">
      <c r="A27606" s="573" t="s">
        <v>1295</v>
      </c>
      <c r="B27606" s="574">
        <v>362</v>
      </c>
      <c r="C27606" s="574">
        <v>227</v>
      </c>
    </row>
    <row r="27607" spans="1:3">
      <c r="A27607" s="571" t="s">
        <v>1294</v>
      </c>
      <c r="B27607" s="572">
        <v>0</v>
      </c>
      <c r="C27607" s="572">
        <v>0</v>
      </c>
    </row>
    <row r="27608" spans="1:3">
      <c r="A27608" s="571" t="s">
        <v>1294</v>
      </c>
      <c r="B27608" s="572">
        <v>2</v>
      </c>
      <c r="C27608" s="572">
        <v>38</v>
      </c>
    </row>
    <row r="27609" spans="1:3">
      <c r="A27609" s="571" t="s">
        <v>1294</v>
      </c>
      <c r="B27609" s="572">
        <v>6</v>
      </c>
      <c r="C27609" s="572">
        <v>51</v>
      </c>
    </row>
    <row r="27610" spans="1:3">
      <c r="A27610" s="571" t="s">
        <v>1294</v>
      </c>
      <c r="B27610" s="572">
        <v>13</v>
      </c>
      <c r="C27610" s="572">
        <v>48</v>
      </c>
    </row>
    <row r="27611" spans="1:3">
      <c r="A27611" s="571" t="s">
        <v>1294</v>
      </c>
      <c r="B27611" s="572">
        <v>27</v>
      </c>
      <c r="C27611" s="572">
        <v>60</v>
      </c>
    </row>
    <row r="27612" spans="1:3">
      <c r="A27612" s="571" t="s">
        <v>1294</v>
      </c>
      <c r="B27612" s="572">
        <v>55</v>
      </c>
      <c r="C27612" s="572">
        <v>62</v>
      </c>
    </row>
    <row r="27613" spans="1:3">
      <c r="A27613" s="571" t="s">
        <v>1294</v>
      </c>
      <c r="B27613" s="572">
        <v>83</v>
      </c>
      <c r="C27613" s="572">
        <v>61</v>
      </c>
    </row>
    <row r="27614" spans="1:3">
      <c r="A27614" s="573" t="s">
        <v>1294</v>
      </c>
      <c r="B27614" s="574">
        <v>118</v>
      </c>
      <c r="C27614" s="574">
        <v>61</v>
      </c>
    </row>
    <row r="27615" spans="1:3">
      <c r="A27615" s="573" t="s">
        <v>1294</v>
      </c>
      <c r="B27615" s="574">
        <v>181</v>
      </c>
      <c r="C27615" s="574">
        <v>61</v>
      </c>
    </row>
    <row r="27616" spans="1:3">
      <c r="A27616" s="573" t="s">
        <v>1294</v>
      </c>
      <c r="B27616" s="574">
        <v>237</v>
      </c>
      <c r="C27616" s="574">
        <v>65</v>
      </c>
    </row>
    <row r="27617" spans="1:3">
      <c r="A27617" s="573" t="s">
        <v>1294</v>
      </c>
      <c r="B27617" s="574">
        <v>300</v>
      </c>
      <c r="C27617" s="574">
        <v>68</v>
      </c>
    </row>
    <row r="27618" spans="1:3">
      <c r="A27618" s="573" t="s">
        <v>1294</v>
      </c>
      <c r="B27618" s="574">
        <v>364</v>
      </c>
      <c r="C27618" s="574">
        <v>88</v>
      </c>
    </row>
    <row r="27619" spans="1:3">
      <c r="A27619" s="573" t="s">
        <v>1294</v>
      </c>
      <c r="B27619" s="574">
        <v>364</v>
      </c>
      <c r="C27619" s="574">
        <v>88</v>
      </c>
    </row>
    <row r="27620" spans="1:3">
      <c r="A27620" s="571" t="s">
        <v>1293</v>
      </c>
      <c r="B27620" s="572">
        <v>0</v>
      </c>
      <c r="C27620" s="572">
        <v>0</v>
      </c>
    </row>
    <row r="27621" spans="1:3">
      <c r="A27621" s="571" t="s">
        <v>1293</v>
      </c>
      <c r="B27621" s="572">
        <v>2</v>
      </c>
      <c r="C27621" s="572">
        <v>62.1</v>
      </c>
    </row>
    <row r="27622" spans="1:3">
      <c r="A27622" s="571" t="s">
        <v>1293</v>
      </c>
      <c r="B27622" s="572">
        <v>6</v>
      </c>
      <c r="C27622" s="572">
        <v>73.400000000000006</v>
      </c>
    </row>
    <row r="27623" spans="1:3">
      <c r="A27623" s="571" t="s">
        <v>1293</v>
      </c>
      <c r="B27623" s="572">
        <v>13</v>
      </c>
      <c r="C27623" s="572">
        <v>83.5</v>
      </c>
    </row>
    <row r="27624" spans="1:3">
      <c r="A27624" s="571" t="s">
        <v>1293</v>
      </c>
      <c r="B27624" s="572">
        <v>27</v>
      </c>
      <c r="C27624" s="572">
        <v>103.2</v>
      </c>
    </row>
    <row r="27625" spans="1:3">
      <c r="A27625" s="571" t="s">
        <v>1293</v>
      </c>
      <c r="B27625" s="572">
        <v>55</v>
      </c>
      <c r="C27625" s="572">
        <v>127.7</v>
      </c>
    </row>
    <row r="27626" spans="1:3">
      <c r="A27626" s="571" t="s">
        <v>1293</v>
      </c>
      <c r="B27626" s="572">
        <v>83</v>
      </c>
      <c r="C27626" s="572">
        <v>138.9</v>
      </c>
    </row>
    <row r="27627" spans="1:3">
      <c r="A27627" s="573" t="s">
        <v>1293</v>
      </c>
      <c r="B27627" s="574">
        <v>118</v>
      </c>
      <c r="C27627" s="574">
        <v>144.1</v>
      </c>
    </row>
    <row r="27628" spans="1:3">
      <c r="A27628" s="573" t="s">
        <v>1293</v>
      </c>
      <c r="B27628" s="574">
        <v>181</v>
      </c>
      <c r="C27628" s="574">
        <v>156.30000000000001</v>
      </c>
    </row>
    <row r="27629" spans="1:3">
      <c r="A27629" s="573" t="s">
        <v>1293</v>
      </c>
      <c r="B27629" s="574">
        <v>237</v>
      </c>
      <c r="C27629" s="574">
        <v>158.80000000000001</v>
      </c>
    </row>
    <row r="27630" spans="1:3">
      <c r="A27630" s="573" t="s">
        <v>1293</v>
      </c>
      <c r="B27630" s="574">
        <v>300</v>
      </c>
      <c r="C27630" s="574">
        <v>164.4</v>
      </c>
    </row>
    <row r="27631" spans="1:3">
      <c r="A27631" s="573" t="s">
        <v>1293</v>
      </c>
      <c r="B27631" s="574">
        <v>364</v>
      </c>
      <c r="C27631" s="574">
        <v>175</v>
      </c>
    </row>
    <row r="27632" spans="1:3">
      <c r="A27632" s="573" t="s">
        <v>1293</v>
      </c>
      <c r="B27632" s="574">
        <v>364</v>
      </c>
      <c r="C27632" s="574">
        <v>175</v>
      </c>
    </row>
    <row r="27633" spans="1:3">
      <c r="A27633" s="571" t="s">
        <v>1292</v>
      </c>
      <c r="B27633" s="572">
        <v>0</v>
      </c>
      <c r="C27633" s="572">
        <v>0</v>
      </c>
    </row>
    <row r="27634" spans="1:3">
      <c r="A27634" s="571" t="s">
        <v>1292</v>
      </c>
      <c r="B27634" s="572">
        <v>2</v>
      </c>
      <c r="C27634" s="572">
        <v>24</v>
      </c>
    </row>
    <row r="27635" spans="1:3">
      <c r="A27635" s="571" t="s">
        <v>1292</v>
      </c>
      <c r="B27635" s="572">
        <v>6</v>
      </c>
      <c r="C27635" s="572">
        <v>34</v>
      </c>
    </row>
    <row r="27636" spans="1:3">
      <c r="A27636" s="571" t="s">
        <v>1292</v>
      </c>
      <c r="B27636" s="572">
        <v>13</v>
      </c>
      <c r="C27636" s="572">
        <v>69</v>
      </c>
    </row>
    <row r="27637" spans="1:3">
      <c r="A27637" s="571" t="s">
        <v>1292</v>
      </c>
      <c r="B27637" s="572">
        <v>27</v>
      </c>
      <c r="C27637" s="572">
        <v>141</v>
      </c>
    </row>
    <row r="27638" spans="1:3">
      <c r="A27638" s="571" t="s">
        <v>1292</v>
      </c>
      <c r="B27638" s="572">
        <v>55</v>
      </c>
      <c r="C27638" s="572">
        <v>154</v>
      </c>
    </row>
    <row r="27639" spans="1:3">
      <c r="A27639" s="571" t="s">
        <v>1292</v>
      </c>
      <c r="B27639" s="572">
        <v>83</v>
      </c>
      <c r="C27639" s="572">
        <v>156</v>
      </c>
    </row>
    <row r="27640" spans="1:3">
      <c r="A27640" s="573" t="s">
        <v>1292</v>
      </c>
      <c r="B27640" s="574">
        <v>118</v>
      </c>
      <c r="C27640" s="574">
        <v>180</v>
      </c>
    </row>
    <row r="27641" spans="1:3">
      <c r="A27641" s="573" t="s">
        <v>1292</v>
      </c>
      <c r="B27641" s="574">
        <v>181</v>
      </c>
      <c r="C27641" s="574">
        <v>174</v>
      </c>
    </row>
    <row r="27642" spans="1:3">
      <c r="A27642" s="573" t="s">
        <v>1292</v>
      </c>
      <c r="B27642" s="574">
        <v>237</v>
      </c>
      <c r="C27642" s="574">
        <v>180</v>
      </c>
    </row>
    <row r="27643" spans="1:3">
      <c r="A27643" s="573" t="s">
        <v>1292</v>
      </c>
      <c r="B27643" s="574">
        <v>300</v>
      </c>
      <c r="C27643" s="574">
        <v>182</v>
      </c>
    </row>
    <row r="27644" spans="1:3">
      <c r="A27644" s="573" t="s">
        <v>1292</v>
      </c>
      <c r="B27644" s="574">
        <v>364</v>
      </c>
      <c r="C27644" s="574">
        <v>176</v>
      </c>
    </row>
    <row r="27645" spans="1:3">
      <c r="A27645" s="573" t="s">
        <v>1292</v>
      </c>
      <c r="B27645" s="574">
        <v>364</v>
      </c>
      <c r="C27645" s="574">
        <v>176</v>
      </c>
    </row>
    <row r="27646" spans="1:3">
      <c r="A27646" s="571" t="s">
        <v>1291</v>
      </c>
      <c r="B27646" s="572">
        <v>0</v>
      </c>
      <c r="C27646" s="572">
        <v>0</v>
      </c>
    </row>
    <row r="27647" spans="1:3">
      <c r="A27647" s="571" t="s">
        <v>1291</v>
      </c>
      <c r="B27647" s="572">
        <v>2</v>
      </c>
      <c r="C27647" s="572">
        <v>26</v>
      </c>
    </row>
    <row r="27648" spans="1:3">
      <c r="A27648" s="571" t="s">
        <v>1291</v>
      </c>
      <c r="B27648" s="572">
        <v>6</v>
      </c>
      <c r="C27648" s="572">
        <v>24</v>
      </c>
    </row>
    <row r="27649" spans="1:3">
      <c r="A27649" s="571" t="s">
        <v>1291</v>
      </c>
      <c r="B27649" s="572">
        <v>13</v>
      </c>
      <c r="C27649" s="572">
        <v>30</v>
      </c>
    </row>
    <row r="27650" spans="1:3">
      <c r="A27650" s="571" t="s">
        <v>1291</v>
      </c>
      <c r="B27650" s="572">
        <v>27</v>
      </c>
      <c r="C27650" s="572">
        <v>56</v>
      </c>
    </row>
    <row r="27651" spans="1:3">
      <c r="A27651" s="571" t="s">
        <v>1291</v>
      </c>
      <c r="B27651" s="572">
        <v>55</v>
      </c>
      <c r="C27651" s="572">
        <v>77</v>
      </c>
    </row>
    <row r="27652" spans="1:3">
      <c r="A27652" s="571" t="s">
        <v>1291</v>
      </c>
      <c r="B27652" s="572">
        <v>83</v>
      </c>
      <c r="C27652" s="572">
        <v>86</v>
      </c>
    </row>
    <row r="27653" spans="1:3">
      <c r="A27653" s="573" t="s">
        <v>1291</v>
      </c>
      <c r="B27653" s="574">
        <v>118</v>
      </c>
      <c r="C27653" s="574">
        <v>113</v>
      </c>
    </row>
    <row r="27654" spans="1:3">
      <c r="A27654" s="573" t="s">
        <v>1291</v>
      </c>
      <c r="B27654" s="574">
        <v>181</v>
      </c>
      <c r="C27654" s="574">
        <v>124</v>
      </c>
    </row>
    <row r="27655" spans="1:3">
      <c r="A27655" s="573" t="s">
        <v>1291</v>
      </c>
      <c r="B27655" s="574">
        <v>237</v>
      </c>
      <c r="C27655" s="574">
        <v>126</v>
      </c>
    </row>
    <row r="27656" spans="1:3">
      <c r="A27656" s="573" t="s">
        <v>1291</v>
      </c>
      <c r="B27656" s="574">
        <v>300</v>
      </c>
      <c r="C27656" s="574">
        <v>125</v>
      </c>
    </row>
    <row r="27657" spans="1:3">
      <c r="A27657" s="573" t="s">
        <v>1291</v>
      </c>
      <c r="B27657" s="574">
        <v>364</v>
      </c>
      <c r="C27657" s="574">
        <v>124</v>
      </c>
    </row>
    <row r="27658" spans="1:3">
      <c r="A27658" s="573" t="s">
        <v>1291</v>
      </c>
      <c r="B27658" s="574">
        <v>364</v>
      </c>
      <c r="C27658" s="574">
        <v>124</v>
      </c>
    </row>
    <row r="27659" spans="1:3">
      <c r="A27659" s="571" t="s">
        <v>1290</v>
      </c>
      <c r="B27659" s="572">
        <v>0</v>
      </c>
      <c r="C27659" s="572">
        <v>0</v>
      </c>
    </row>
    <row r="27660" spans="1:3">
      <c r="A27660" s="571" t="s">
        <v>1290</v>
      </c>
      <c r="B27660" s="572">
        <v>2</v>
      </c>
      <c r="C27660" s="572">
        <v>56</v>
      </c>
    </row>
    <row r="27661" spans="1:3">
      <c r="A27661" s="571" t="s">
        <v>1290</v>
      </c>
      <c r="B27661" s="572">
        <v>6</v>
      </c>
      <c r="C27661" s="572">
        <v>84</v>
      </c>
    </row>
    <row r="27662" spans="1:3">
      <c r="A27662" s="571" t="s">
        <v>1290</v>
      </c>
      <c r="B27662" s="572">
        <v>13</v>
      </c>
      <c r="C27662" s="572">
        <v>120</v>
      </c>
    </row>
    <row r="27663" spans="1:3">
      <c r="A27663" s="571" t="s">
        <v>1290</v>
      </c>
      <c r="B27663" s="572">
        <v>27</v>
      </c>
      <c r="C27663" s="572">
        <v>120</v>
      </c>
    </row>
    <row r="27664" spans="1:3">
      <c r="A27664" s="571" t="s">
        <v>1290</v>
      </c>
      <c r="B27664" s="572">
        <v>55</v>
      </c>
      <c r="C27664" s="572">
        <v>121</v>
      </c>
    </row>
    <row r="27665" spans="1:3">
      <c r="A27665" s="571" t="s">
        <v>1290</v>
      </c>
      <c r="B27665" s="572">
        <v>83</v>
      </c>
      <c r="C27665" s="572">
        <v>122</v>
      </c>
    </row>
    <row r="27666" spans="1:3">
      <c r="A27666" s="573" t="s">
        <v>1290</v>
      </c>
      <c r="B27666" s="574">
        <v>118</v>
      </c>
      <c r="C27666" s="574">
        <v>123</v>
      </c>
    </row>
    <row r="27667" spans="1:3">
      <c r="A27667" s="573" t="s">
        <v>1290</v>
      </c>
      <c r="B27667" s="574">
        <v>181</v>
      </c>
      <c r="C27667" s="574">
        <v>133</v>
      </c>
    </row>
    <row r="27668" spans="1:3">
      <c r="A27668" s="573" t="s">
        <v>1290</v>
      </c>
      <c r="B27668" s="574">
        <v>237</v>
      </c>
      <c r="C27668" s="574">
        <v>124</v>
      </c>
    </row>
    <row r="27669" spans="1:3">
      <c r="A27669" s="573" t="s">
        <v>1290</v>
      </c>
      <c r="B27669" s="574">
        <v>300</v>
      </c>
      <c r="C27669" s="574">
        <v>133</v>
      </c>
    </row>
    <row r="27670" spans="1:3">
      <c r="A27670" s="573" t="s">
        <v>1290</v>
      </c>
      <c r="B27670" s="574">
        <v>364</v>
      </c>
      <c r="C27670" s="574">
        <v>148</v>
      </c>
    </row>
    <row r="27671" spans="1:3">
      <c r="A27671" s="573" t="s">
        <v>1290</v>
      </c>
      <c r="B27671" s="574">
        <v>364</v>
      </c>
      <c r="C27671" s="574">
        <v>148</v>
      </c>
    </row>
    <row r="27672" spans="1:3">
      <c r="A27672" s="571" t="s">
        <v>1289</v>
      </c>
      <c r="B27672" s="572">
        <v>0</v>
      </c>
      <c r="C27672" s="572">
        <v>0</v>
      </c>
    </row>
    <row r="27673" spans="1:3">
      <c r="A27673" s="571" t="s">
        <v>1289</v>
      </c>
      <c r="B27673" s="572">
        <v>2</v>
      </c>
      <c r="C27673" s="572">
        <v>8</v>
      </c>
    </row>
    <row r="27674" spans="1:3">
      <c r="A27674" s="571" t="s">
        <v>1289</v>
      </c>
      <c r="B27674" s="572">
        <v>6</v>
      </c>
      <c r="C27674" s="572">
        <v>30</v>
      </c>
    </row>
    <row r="27675" spans="1:3">
      <c r="A27675" s="571" t="s">
        <v>1289</v>
      </c>
      <c r="B27675" s="572">
        <v>13</v>
      </c>
      <c r="C27675" s="572">
        <v>38</v>
      </c>
    </row>
    <row r="27676" spans="1:3">
      <c r="A27676" s="571" t="s">
        <v>1289</v>
      </c>
      <c r="B27676" s="572">
        <v>27</v>
      </c>
      <c r="C27676" s="572">
        <v>49</v>
      </c>
    </row>
    <row r="27677" spans="1:3">
      <c r="A27677" s="571" t="s">
        <v>1289</v>
      </c>
      <c r="B27677" s="572">
        <v>55</v>
      </c>
      <c r="C27677" s="572">
        <v>71</v>
      </c>
    </row>
    <row r="27678" spans="1:3">
      <c r="A27678" s="571" t="s">
        <v>1289</v>
      </c>
      <c r="B27678" s="572">
        <v>83</v>
      </c>
      <c r="C27678" s="572">
        <v>90</v>
      </c>
    </row>
    <row r="27679" spans="1:3">
      <c r="A27679" s="573" t="s">
        <v>1289</v>
      </c>
      <c r="B27679" s="574">
        <v>118</v>
      </c>
      <c r="C27679" s="574">
        <v>109</v>
      </c>
    </row>
    <row r="27680" spans="1:3">
      <c r="A27680" s="573" t="s">
        <v>1289</v>
      </c>
      <c r="B27680" s="574">
        <v>181</v>
      </c>
      <c r="C27680" s="574">
        <v>111</v>
      </c>
    </row>
    <row r="27681" spans="1:3">
      <c r="A27681" s="573" t="s">
        <v>1289</v>
      </c>
      <c r="B27681" s="574">
        <v>237</v>
      </c>
      <c r="C27681" s="574">
        <v>120</v>
      </c>
    </row>
    <row r="27682" spans="1:3">
      <c r="A27682" s="573" t="s">
        <v>1289</v>
      </c>
      <c r="B27682" s="574">
        <v>300</v>
      </c>
      <c r="C27682" s="574">
        <v>124</v>
      </c>
    </row>
    <row r="27683" spans="1:3">
      <c r="A27683" s="573" t="s">
        <v>1289</v>
      </c>
      <c r="B27683" s="574">
        <v>364</v>
      </c>
      <c r="C27683" s="574">
        <v>128</v>
      </c>
    </row>
    <row r="27684" spans="1:3">
      <c r="A27684" s="573" t="s">
        <v>1289</v>
      </c>
      <c r="B27684" s="574">
        <v>364</v>
      </c>
      <c r="C27684" s="574">
        <v>128</v>
      </c>
    </row>
    <row r="27685" spans="1:3">
      <c r="A27685" s="571" t="s">
        <v>1288</v>
      </c>
      <c r="B27685" s="572">
        <v>0</v>
      </c>
      <c r="C27685" s="572">
        <v>0</v>
      </c>
    </row>
    <row r="27686" spans="1:3">
      <c r="A27686" s="571" t="s">
        <v>1288</v>
      </c>
      <c r="B27686" s="572">
        <v>2</v>
      </c>
      <c r="C27686" s="572">
        <v>71.5</v>
      </c>
    </row>
    <row r="27687" spans="1:3">
      <c r="A27687" s="571" t="s">
        <v>1288</v>
      </c>
      <c r="B27687" s="572">
        <v>6</v>
      </c>
      <c r="C27687" s="572">
        <v>91</v>
      </c>
    </row>
    <row r="27688" spans="1:3">
      <c r="A27688" s="571" t="s">
        <v>1288</v>
      </c>
      <c r="B27688" s="572">
        <v>13</v>
      </c>
      <c r="C27688" s="572">
        <v>105</v>
      </c>
    </row>
    <row r="27689" spans="1:3">
      <c r="A27689" s="571" t="s">
        <v>1288</v>
      </c>
      <c r="B27689" s="572">
        <v>27</v>
      </c>
      <c r="C27689" s="572">
        <v>109.5</v>
      </c>
    </row>
    <row r="27690" spans="1:3">
      <c r="A27690" s="571" t="s">
        <v>1288</v>
      </c>
      <c r="B27690" s="572">
        <v>55</v>
      </c>
      <c r="C27690" s="572">
        <v>147.5</v>
      </c>
    </row>
    <row r="27691" spans="1:3">
      <c r="A27691" s="571" t="s">
        <v>1288</v>
      </c>
      <c r="B27691" s="572">
        <v>83</v>
      </c>
      <c r="C27691" s="572">
        <v>155</v>
      </c>
    </row>
    <row r="27692" spans="1:3">
      <c r="A27692" s="573" t="s">
        <v>1288</v>
      </c>
      <c r="B27692" s="574">
        <v>118</v>
      </c>
      <c r="C27692" s="574">
        <v>147.5</v>
      </c>
    </row>
    <row r="27693" spans="1:3">
      <c r="A27693" s="573" t="s">
        <v>1288</v>
      </c>
      <c r="B27693" s="574">
        <v>181</v>
      </c>
      <c r="C27693" s="574">
        <v>158</v>
      </c>
    </row>
    <row r="27694" spans="1:3">
      <c r="A27694" s="573" t="s">
        <v>1288</v>
      </c>
      <c r="B27694" s="574">
        <v>237</v>
      </c>
      <c r="C27694" s="574">
        <v>160.5</v>
      </c>
    </row>
    <row r="27695" spans="1:3">
      <c r="A27695" s="573" t="s">
        <v>1288</v>
      </c>
      <c r="B27695" s="574">
        <v>300</v>
      </c>
      <c r="C27695" s="574">
        <v>169.5</v>
      </c>
    </row>
    <row r="27696" spans="1:3">
      <c r="A27696" s="573" t="s">
        <v>1288</v>
      </c>
      <c r="B27696" s="574">
        <v>364</v>
      </c>
      <c r="C27696" s="574">
        <v>175.5</v>
      </c>
    </row>
    <row r="27697" spans="1:3">
      <c r="A27697" s="573" t="s">
        <v>1288</v>
      </c>
      <c r="B27697" s="574">
        <v>364</v>
      </c>
      <c r="C27697" s="574">
        <v>175.5</v>
      </c>
    </row>
    <row r="27698" spans="1:3">
      <c r="A27698" s="571" t="s">
        <v>1287</v>
      </c>
      <c r="B27698" s="572">
        <v>0</v>
      </c>
      <c r="C27698" s="572">
        <v>0</v>
      </c>
    </row>
    <row r="27699" spans="1:3">
      <c r="A27699" s="571" t="s">
        <v>1287</v>
      </c>
      <c r="B27699" s="572">
        <v>2</v>
      </c>
      <c r="C27699" s="572">
        <v>19</v>
      </c>
    </row>
    <row r="27700" spans="1:3">
      <c r="A27700" s="571" t="s">
        <v>1287</v>
      </c>
      <c r="B27700" s="572">
        <v>6</v>
      </c>
      <c r="C27700" s="572">
        <v>30</v>
      </c>
    </row>
    <row r="27701" spans="1:3">
      <c r="A27701" s="571" t="s">
        <v>1287</v>
      </c>
      <c r="B27701" s="572">
        <v>13</v>
      </c>
      <c r="C27701" s="572">
        <v>66</v>
      </c>
    </row>
    <row r="27702" spans="1:3">
      <c r="A27702" s="571" t="s">
        <v>1287</v>
      </c>
      <c r="B27702" s="572">
        <v>27</v>
      </c>
      <c r="C27702" s="572">
        <v>62</v>
      </c>
    </row>
    <row r="27703" spans="1:3">
      <c r="A27703" s="571" t="s">
        <v>1287</v>
      </c>
      <c r="B27703" s="572">
        <v>55</v>
      </c>
      <c r="C27703" s="572">
        <v>68</v>
      </c>
    </row>
    <row r="27704" spans="1:3">
      <c r="A27704" s="571" t="s">
        <v>1287</v>
      </c>
      <c r="B27704" s="572">
        <v>83</v>
      </c>
      <c r="C27704" s="572">
        <v>66</v>
      </c>
    </row>
    <row r="27705" spans="1:3">
      <c r="A27705" s="573" t="s">
        <v>1287</v>
      </c>
      <c r="B27705" s="574">
        <v>118</v>
      </c>
      <c r="C27705" s="574">
        <v>68</v>
      </c>
    </row>
    <row r="27706" spans="1:3">
      <c r="A27706" s="573" t="s">
        <v>1287</v>
      </c>
      <c r="B27706" s="574">
        <v>181</v>
      </c>
      <c r="C27706" s="574">
        <v>64</v>
      </c>
    </row>
    <row r="27707" spans="1:3">
      <c r="A27707" s="573" t="s">
        <v>1287</v>
      </c>
      <c r="B27707" s="574">
        <v>237</v>
      </c>
      <c r="C27707" s="574">
        <v>66</v>
      </c>
    </row>
    <row r="27708" spans="1:3">
      <c r="A27708" s="573" t="s">
        <v>1287</v>
      </c>
      <c r="B27708" s="574">
        <v>300</v>
      </c>
      <c r="C27708" s="574">
        <v>67</v>
      </c>
    </row>
    <row r="27709" spans="1:3">
      <c r="A27709" s="573" t="s">
        <v>1287</v>
      </c>
      <c r="B27709" s="574">
        <v>364</v>
      </c>
      <c r="C27709" s="574">
        <v>68</v>
      </c>
    </row>
    <row r="27710" spans="1:3">
      <c r="A27710" s="573" t="s">
        <v>1287</v>
      </c>
      <c r="B27710" s="574">
        <v>364</v>
      </c>
      <c r="C27710" s="574">
        <v>68</v>
      </c>
    </row>
    <row r="27711" spans="1:3">
      <c r="A27711" s="571" t="s">
        <v>1286</v>
      </c>
      <c r="B27711" s="572">
        <v>0</v>
      </c>
      <c r="C27711" s="572">
        <v>0</v>
      </c>
    </row>
    <row r="27712" spans="1:3">
      <c r="A27712" s="571" t="s">
        <v>1286</v>
      </c>
      <c r="B27712" s="572">
        <v>2</v>
      </c>
      <c r="C27712" s="572">
        <v>13</v>
      </c>
    </row>
    <row r="27713" spans="1:3">
      <c r="A27713" s="571" t="s">
        <v>1286</v>
      </c>
      <c r="B27713" s="572">
        <v>6</v>
      </c>
      <c r="C27713" s="572">
        <v>26</v>
      </c>
    </row>
    <row r="27714" spans="1:3">
      <c r="A27714" s="571" t="s">
        <v>1286</v>
      </c>
      <c r="B27714" s="572">
        <v>13</v>
      </c>
      <c r="C27714" s="572">
        <v>69</v>
      </c>
    </row>
    <row r="27715" spans="1:3">
      <c r="A27715" s="571" t="s">
        <v>1286</v>
      </c>
      <c r="B27715" s="572">
        <v>27</v>
      </c>
      <c r="C27715" s="572">
        <v>70</v>
      </c>
    </row>
    <row r="27716" spans="1:3">
      <c r="A27716" s="571" t="s">
        <v>1286</v>
      </c>
      <c r="B27716" s="572">
        <v>55</v>
      </c>
      <c r="C27716" s="572">
        <v>69</v>
      </c>
    </row>
    <row r="27717" spans="1:3">
      <c r="A27717" s="571" t="s">
        <v>1286</v>
      </c>
      <c r="B27717" s="572">
        <v>83</v>
      </c>
      <c r="C27717" s="572">
        <v>73</v>
      </c>
    </row>
    <row r="27718" spans="1:3">
      <c r="A27718" s="573" t="s">
        <v>1286</v>
      </c>
      <c r="B27718" s="574">
        <v>118</v>
      </c>
      <c r="C27718" s="574">
        <v>77</v>
      </c>
    </row>
    <row r="27719" spans="1:3">
      <c r="A27719" s="573" t="s">
        <v>1286</v>
      </c>
      <c r="B27719" s="574">
        <v>181</v>
      </c>
      <c r="C27719" s="574">
        <v>78</v>
      </c>
    </row>
    <row r="27720" spans="1:3">
      <c r="A27720" s="573" t="s">
        <v>1286</v>
      </c>
      <c r="B27720" s="574">
        <v>237</v>
      </c>
      <c r="C27720" s="574">
        <v>79</v>
      </c>
    </row>
    <row r="27721" spans="1:3">
      <c r="A27721" s="573" t="s">
        <v>1286</v>
      </c>
      <c r="B27721" s="574">
        <v>300</v>
      </c>
      <c r="C27721" s="574">
        <v>81</v>
      </c>
    </row>
    <row r="27722" spans="1:3">
      <c r="A27722" s="573" t="s">
        <v>1286</v>
      </c>
      <c r="B27722" s="574">
        <v>364</v>
      </c>
      <c r="C27722" s="574">
        <v>84</v>
      </c>
    </row>
    <row r="27723" spans="1:3">
      <c r="A27723" s="573" t="s">
        <v>1286</v>
      </c>
      <c r="B27723" s="574">
        <v>364</v>
      </c>
      <c r="C27723" s="574">
        <v>84</v>
      </c>
    </row>
    <row r="27724" spans="1:3">
      <c r="A27724" s="571" t="s">
        <v>1284</v>
      </c>
      <c r="B27724" s="572">
        <v>0</v>
      </c>
      <c r="C27724" s="572">
        <v>0</v>
      </c>
    </row>
    <row r="27725" spans="1:3">
      <c r="A27725" s="571" t="s">
        <v>1284</v>
      </c>
      <c r="B27725" s="572">
        <v>0.2</v>
      </c>
      <c r="C27725" s="572">
        <v>30</v>
      </c>
    </row>
    <row r="27726" spans="1:3">
      <c r="A27726" s="571" t="s">
        <v>1284</v>
      </c>
      <c r="B27726" s="572">
        <v>1</v>
      </c>
      <c r="C27726" s="572">
        <v>5</v>
      </c>
    </row>
    <row r="27727" spans="1:3">
      <c r="A27727" s="571" t="s">
        <v>1284</v>
      </c>
      <c r="B27727" s="572">
        <v>2.1</v>
      </c>
      <c r="C27727" s="572">
        <v>20</v>
      </c>
    </row>
    <row r="27728" spans="1:3">
      <c r="A27728" s="571" t="s">
        <v>1284</v>
      </c>
      <c r="B27728" s="572">
        <v>3.9</v>
      </c>
      <c r="C27728" s="572">
        <v>45</v>
      </c>
    </row>
    <row r="27729" spans="1:3">
      <c r="A27729" s="571" t="s">
        <v>1284</v>
      </c>
      <c r="B27729" s="572">
        <v>7.1</v>
      </c>
      <c r="C27729" s="572">
        <v>70</v>
      </c>
    </row>
    <row r="27730" spans="1:3">
      <c r="A27730" s="571" t="s">
        <v>1284</v>
      </c>
      <c r="B27730" s="572">
        <v>10.199999999999999</v>
      </c>
      <c r="C27730" s="572">
        <v>100</v>
      </c>
    </row>
    <row r="27731" spans="1:3">
      <c r="A27731" s="571" t="s">
        <v>1284</v>
      </c>
      <c r="B27731" s="572">
        <v>13.9</v>
      </c>
      <c r="C27731" s="572">
        <v>110</v>
      </c>
    </row>
    <row r="27732" spans="1:3">
      <c r="A27732" s="571" t="s">
        <v>1284</v>
      </c>
      <c r="B27732" s="572">
        <v>21.1</v>
      </c>
      <c r="C27732" s="572">
        <v>135</v>
      </c>
    </row>
    <row r="27733" spans="1:3">
      <c r="A27733" s="571" t="s">
        <v>1284</v>
      </c>
      <c r="B27733" s="572">
        <v>27.9</v>
      </c>
      <c r="C27733" s="572">
        <v>145</v>
      </c>
    </row>
    <row r="27734" spans="1:3">
      <c r="A27734" s="571" t="s">
        <v>1284</v>
      </c>
      <c r="B27734" s="572">
        <v>56.1</v>
      </c>
      <c r="C27734" s="572">
        <v>165</v>
      </c>
    </row>
    <row r="27735" spans="1:3">
      <c r="A27735" s="571" t="s">
        <v>1284</v>
      </c>
      <c r="B27735" s="572">
        <v>91.1</v>
      </c>
      <c r="C27735" s="572">
        <v>150</v>
      </c>
    </row>
    <row r="27736" spans="1:3">
      <c r="A27736" s="573" t="s">
        <v>1284</v>
      </c>
      <c r="B27736" s="574">
        <v>119.1</v>
      </c>
      <c r="C27736" s="574">
        <v>130</v>
      </c>
    </row>
    <row r="27737" spans="1:3">
      <c r="A27737" s="573" t="s">
        <v>1284</v>
      </c>
      <c r="B27737" s="574">
        <v>153</v>
      </c>
      <c r="C27737" s="574">
        <v>130</v>
      </c>
    </row>
    <row r="27738" spans="1:3">
      <c r="A27738" s="573" t="s">
        <v>1284</v>
      </c>
      <c r="B27738" s="574">
        <v>242.3</v>
      </c>
      <c r="C27738" s="574">
        <v>135</v>
      </c>
    </row>
    <row r="27739" spans="1:3">
      <c r="A27739" s="569" t="s">
        <v>1284</v>
      </c>
      <c r="B27739" s="570">
        <v>558.5</v>
      </c>
      <c r="C27739" s="570">
        <v>190</v>
      </c>
    </row>
    <row r="27740" spans="1:3">
      <c r="A27740" s="569" t="s">
        <v>1284</v>
      </c>
      <c r="B27740" s="570">
        <v>568.29999999999995</v>
      </c>
      <c r="C27740" s="570">
        <v>190</v>
      </c>
    </row>
    <row r="27741" spans="1:3">
      <c r="A27741" s="569" t="s">
        <v>1284</v>
      </c>
      <c r="B27741" s="570">
        <v>745.3</v>
      </c>
      <c r="C27741" s="570">
        <v>195</v>
      </c>
    </row>
    <row r="27742" spans="1:3">
      <c r="A27742" s="569" t="s">
        <v>1284</v>
      </c>
      <c r="B27742" s="570">
        <v>745.3</v>
      </c>
      <c r="C27742" s="570">
        <v>195</v>
      </c>
    </row>
    <row r="27743" spans="1:3">
      <c r="A27743" s="571" t="s">
        <v>1283</v>
      </c>
      <c r="B27743" s="572">
        <v>0</v>
      </c>
      <c r="C27743" s="572">
        <v>0</v>
      </c>
    </row>
    <row r="27744" spans="1:3">
      <c r="A27744" s="571" t="s">
        <v>1283</v>
      </c>
      <c r="B27744" s="572">
        <v>0.2</v>
      </c>
      <c r="C27744" s="572">
        <v>5</v>
      </c>
    </row>
    <row r="27745" spans="1:3">
      <c r="A27745" s="571" t="s">
        <v>1283</v>
      </c>
      <c r="B27745" s="572">
        <v>1</v>
      </c>
      <c r="C27745" s="572">
        <v>60</v>
      </c>
    </row>
    <row r="27746" spans="1:3">
      <c r="A27746" s="571" t="s">
        <v>1283</v>
      </c>
      <c r="B27746" s="572">
        <v>2.1</v>
      </c>
      <c r="C27746" s="572">
        <v>125</v>
      </c>
    </row>
    <row r="27747" spans="1:3">
      <c r="A27747" s="571" t="s">
        <v>1283</v>
      </c>
      <c r="B27747" s="572">
        <v>3.9</v>
      </c>
      <c r="C27747" s="572">
        <v>215</v>
      </c>
    </row>
    <row r="27748" spans="1:3">
      <c r="A27748" s="571" t="s">
        <v>1283</v>
      </c>
      <c r="B27748" s="572">
        <v>7.1</v>
      </c>
      <c r="C27748" s="572">
        <v>295</v>
      </c>
    </row>
    <row r="27749" spans="1:3">
      <c r="A27749" s="571" t="s">
        <v>1283</v>
      </c>
      <c r="B27749" s="572">
        <v>10.199999999999999</v>
      </c>
      <c r="C27749" s="572">
        <v>355</v>
      </c>
    </row>
    <row r="27750" spans="1:3">
      <c r="A27750" s="571" t="s">
        <v>1283</v>
      </c>
      <c r="B27750" s="572">
        <v>13.9</v>
      </c>
      <c r="C27750" s="572">
        <v>380</v>
      </c>
    </row>
    <row r="27751" spans="1:3">
      <c r="A27751" s="571" t="s">
        <v>1283</v>
      </c>
      <c r="B27751" s="572">
        <v>21.1</v>
      </c>
      <c r="C27751" s="572">
        <v>440</v>
      </c>
    </row>
    <row r="27752" spans="1:3">
      <c r="A27752" s="571" t="s">
        <v>1283</v>
      </c>
      <c r="B27752" s="572">
        <v>27.9</v>
      </c>
      <c r="C27752" s="572">
        <v>460</v>
      </c>
    </row>
    <row r="27753" spans="1:3">
      <c r="A27753" s="571" t="s">
        <v>1283</v>
      </c>
      <c r="B27753" s="572">
        <v>56.1</v>
      </c>
      <c r="C27753" s="572">
        <v>525</v>
      </c>
    </row>
    <row r="27754" spans="1:3">
      <c r="A27754" s="571" t="s">
        <v>1283</v>
      </c>
      <c r="B27754" s="572">
        <v>91.1</v>
      </c>
      <c r="C27754" s="572">
        <v>560</v>
      </c>
    </row>
    <row r="27755" spans="1:3">
      <c r="A27755" s="573" t="s">
        <v>1283</v>
      </c>
      <c r="B27755" s="574">
        <v>119.1</v>
      </c>
      <c r="C27755" s="574">
        <v>580</v>
      </c>
    </row>
    <row r="27756" spans="1:3">
      <c r="A27756" s="573" t="s">
        <v>1283</v>
      </c>
      <c r="B27756" s="574">
        <v>153</v>
      </c>
      <c r="C27756" s="574">
        <v>605</v>
      </c>
    </row>
    <row r="27757" spans="1:3">
      <c r="A27757" s="573" t="s">
        <v>1283</v>
      </c>
      <c r="B27757" s="574">
        <v>242.3</v>
      </c>
      <c r="C27757" s="574">
        <v>640</v>
      </c>
    </row>
    <row r="27758" spans="1:3">
      <c r="A27758" s="569" t="s">
        <v>1283</v>
      </c>
      <c r="B27758" s="570">
        <v>559.5</v>
      </c>
      <c r="C27758" s="570">
        <v>700</v>
      </c>
    </row>
    <row r="27759" spans="1:3">
      <c r="A27759" s="569" t="s">
        <v>1283</v>
      </c>
      <c r="B27759" s="570">
        <v>568.29999999999995</v>
      </c>
      <c r="C27759" s="570">
        <v>740</v>
      </c>
    </row>
    <row r="27760" spans="1:3">
      <c r="A27760" s="569" t="s">
        <v>1283</v>
      </c>
      <c r="B27760" s="570">
        <v>745.3</v>
      </c>
      <c r="C27760" s="570">
        <v>710</v>
      </c>
    </row>
    <row r="27761" spans="1:3">
      <c r="A27761" s="569" t="s">
        <v>1283</v>
      </c>
      <c r="B27761" s="570">
        <v>745.3</v>
      </c>
      <c r="C27761" s="570">
        <v>710</v>
      </c>
    </row>
    <row r="27762" spans="1:3">
      <c r="A27762" s="571" t="s">
        <v>1282</v>
      </c>
      <c r="B27762" s="572">
        <v>0</v>
      </c>
      <c r="C27762" s="572">
        <v>25</v>
      </c>
    </row>
    <row r="27763" spans="1:3">
      <c r="A27763" s="571" t="s">
        <v>1282</v>
      </c>
      <c r="B27763" s="572">
        <v>0.2</v>
      </c>
      <c r="C27763" s="572">
        <v>20</v>
      </c>
    </row>
    <row r="27764" spans="1:3">
      <c r="A27764" s="571" t="s">
        <v>1282</v>
      </c>
      <c r="B27764" s="572">
        <v>1</v>
      </c>
      <c r="C27764" s="572">
        <v>10</v>
      </c>
    </row>
    <row r="27765" spans="1:3">
      <c r="A27765" s="571" t="s">
        <v>1282</v>
      </c>
      <c r="B27765" s="572">
        <v>2.1</v>
      </c>
      <c r="C27765" s="572">
        <v>5</v>
      </c>
    </row>
    <row r="27766" spans="1:3">
      <c r="A27766" s="571" t="s">
        <v>1282</v>
      </c>
      <c r="B27766" s="572">
        <v>3.9</v>
      </c>
      <c r="C27766" s="572">
        <v>0</v>
      </c>
    </row>
    <row r="27767" spans="1:3">
      <c r="A27767" s="571" t="s">
        <v>1282</v>
      </c>
      <c r="B27767" s="572">
        <v>7.1</v>
      </c>
      <c r="C27767" s="572">
        <v>5</v>
      </c>
    </row>
    <row r="27768" spans="1:3">
      <c r="A27768" s="571" t="s">
        <v>1282</v>
      </c>
      <c r="B27768" s="572">
        <v>13.9</v>
      </c>
      <c r="C27768" s="572">
        <v>10</v>
      </c>
    </row>
    <row r="27769" spans="1:3">
      <c r="A27769" s="571" t="s">
        <v>1282</v>
      </c>
      <c r="B27769" s="572">
        <v>27.9</v>
      </c>
      <c r="C27769" s="572">
        <v>10</v>
      </c>
    </row>
    <row r="27770" spans="1:3">
      <c r="A27770" s="571" t="s">
        <v>1282</v>
      </c>
      <c r="B27770" s="572">
        <v>56.1</v>
      </c>
      <c r="C27770" s="572">
        <v>10</v>
      </c>
    </row>
    <row r="27771" spans="1:3">
      <c r="A27771" s="571" t="s">
        <v>1282</v>
      </c>
      <c r="B27771" s="572">
        <v>93.1</v>
      </c>
      <c r="C27771" s="572">
        <v>15</v>
      </c>
    </row>
    <row r="27772" spans="1:3">
      <c r="A27772" s="573" t="s">
        <v>1282</v>
      </c>
      <c r="B27772" s="574">
        <v>119.1</v>
      </c>
      <c r="C27772" s="574">
        <v>15</v>
      </c>
    </row>
    <row r="27773" spans="1:3">
      <c r="A27773" s="573" t="s">
        <v>1282</v>
      </c>
      <c r="B27773" s="574">
        <v>150.5</v>
      </c>
      <c r="C27773" s="574">
        <v>30</v>
      </c>
    </row>
    <row r="27774" spans="1:3">
      <c r="A27774" s="573" t="s">
        <v>1282</v>
      </c>
      <c r="B27774" s="574">
        <v>242.3</v>
      </c>
      <c r="C27774" s="574">
        <v>85</v>
      </c>
    </row>
    <row r="27775" spans="1:3">
      <c r="A27775" s="569" t="s">
        <v>1282</v>
      </c>
      <c r="B27775" s="570">
        <v>558.5</v>
      </c>
      <c r="C27775" s="570">
        <v>135</v>
      </c>
    </row>
    <row r="27776" spans="1:3">
      <c r="A27776" s="569" t="s">
        <v>1282</v>
      </c>
      <c r="B27776" s="570">
        <v>745.3</v>
      </c>
      <c r="C27776" s="570">
        <v>140</v>
      </c>
    </row>
    <row r="27777" spans="1:3">
      <c r="A27777" s="569" t="s">
        <v>1282</v>
      </c>
      <c r="B27777" s="570">
        <v>745.3</v>
      </c>
      <c r="C27777" s="570">
        <v>140</v>
      </c>
    </row>
    <row r="27778" spans="1:3">
      <c r="A27778" s="571" t="s">
        <v>1281</v>
      </c>
      <c r="B27778" s="572">
        <v>0</v>
      </c>
      <c r="C27778" s="572">
        <v>0</v>
      </c>
    </row>
    <row r="27779" spans="1:3">
      <c r="A27779" s="571" t="s">
        <v>1281</v>
      </c>
      <c r="B27779" s="572">
        <v>0.2</v>
      </c>
      <c r="C27779" s="572">
        <v>10</v>
      </c>
    </row>
    <row r="27780" spans="1:3">
      <c r="A27780" s="571" t="s">
        <v>1281</v>
      </c>
      <c r="B27780" s="572">
        <v>1</v>
      </c>
      <c r="C27780" s="572">
        <v>20</v>
      </c>
    </row>
    <row r="27781" spans="1:3">
      <c r="A27781" s="571" t="s">
        <v>1281</v>
      </c>
      <c r="B27781" s="572">
        <v>2</v>
      </c>
      <c r="C27781" s="572">
        <v>35</v>
      </c>
    </row>
    <row r="27782" spans="1:3">
      <c r="A27782" s="571" t="s">
        <v>1281</v>
      </c>
      <c r="B27782" s="572">
        <v>4</v>
      </c>
      <c r="C27782" s="572">
        <v>75</v>
      </c>
    </row>
    <row r="27783" spans="1:3">
      <c r="A27783" s="571" t="s">
        <v>1281</v>
      </c>
      <c r="B27783" s="572">
        <v>7.3</v>
      </c>
      <c r="C27783" s="572">
        <v>100</v>
      </c>
    </row>
    <row r="27784" spans="1:3">
      <c r="A27784" s="571" t="s">
        <v>1281</v>
      </c>
      <c r="B27784" s="572">
        <v>9.9</v>
      </c>
      <c r="C27784" s="572">
        <v>125</v>
      </c>
    </row>
    <row r="27785" spans="1:3">
      <c r="A27785" s="571" t="s">
        <v>1281</v>
      </c>
      <c r="B27785" s="572">
        <v>14.1</v>
      </c>
      <c r="C27785" s="572">
        <v>150</v>
      </c>
    </row>
    <row r="27786" spans="1:3">
      <c r="A27786" s="571" t="s">
        <v>1281</v>
      </c>
      <c r="B27786" s="572">
        <v>21</v>
      </c>
      <c r="C27786" s="572">
        <v>165</v>
      </c>
    </row>
    <row r="27787" spans="1:3">
      <c r="A27787" s="571" t="s">
        <v>1281</v>
      </c>
      <c r="B27787" s="572">
        <v>31.2</v>
      </c>
      <c r="C27787" s="572">
        <v>180</v>
      </c>
    </row>
    <row r="27788" spans="1:3">
      <c r="A27788" s="571" t="s">
        <v>1281</v>
      </c>
      <c r="B27788" s="572">
        <v>56.2</v>
      </c>
      <c r="C27788" s="572">
        <v>205</v>
      </c>
    </row>
    <row r="27789" spans="1:3">
      <c r="A27789" s="571" t="s">
        <v>1281</v>
      </c>
      <c r="B27789" s="572">
        <v>90.9</v>
      </c>
      <c r="C27789" s="572">
        <v>185</v>
      </c>
    </row>
    <row r="27790" spans="1:3">
      <c r="A27790" s="573" t="s">
        <v>1281</v>
      </c>
      <c r="B27790" s="574">
        <v>117.1</v>
      </c>
      <c r="C27790" s="574">
        <v>170</v>
      </c>
    </row>
    <row r="27791" spans="1:3">
      <c r="A27791" s="573" t="s">
        <v>1281</v>
      </c>
      <c r="B27791" s="574">
        <v>151.1</v>
      </c>
      <c r="C27791" s="574">
        <v>175</v>
      </c>
    </row>
    <row r="27792" spans="1:3">
      <c r="A27792" s="573" t="s">
        <v>1281</v>
      </c>
      <c r="B27792" s="574">
        <v>240.3</v>
      </c>
      <c r="C27792" s="574">
        <v>190</v>
      </c>
    </row>
    <row r="27793" spans="1:3">
      <c r="A27793" s="569" t="s">
        <v>1281</v>
      </c>
      <c r="B27793" s="570">
        <v>556.5</v>
      </c>
      <c r="C27793" s="570">
        <v>245</v>
      </c>
    </row>
    <row r="27794" spans="1:3">
      <c r="A27794" s="569" t="s">
        <v>1281</v>
      </c>
      <c r="B27794" s="570">
        <v>568.29999999999995</v>
      </c>
      <c r="C27794" s="570">
        <v>260</v>
      </c>
    </row>
    <row r="27795" spans="1:3">
      <c r="A27795" s="569" t="s">
        <v>1281</v>
      </c>
      <c r="B27795" s="570">
        <v>745.3</v>
      </c>
      <c r="C27795" s="570">
        <v>260</v>
      </c>
    </row>
    <row r="27796" spans="1:3">
      <c r="A27796" s="569" t="s">
        <v>1281</v>
      </c>
      <c r="B27796" s="570">
        <v>745.3</v>
      </c>
      <c r="C27796" s="570">
        <v>260</v>
      </c>
    </row>
    <row r="27797" spans="1:3">
      <c r="A27797" s="571" t="s">
        <v>1280</v>
      </c>
      <c r="B27797" s="572">
        <v>0</v>
      </c>
      <c r="C27797" s="572">
        <v>0</v>
      </c>
    </row>
    <row r="27798" spans="1:3">
      <c r="A27798" s="571" t="s">
        <v>1280</v>
      </c>
      <c r="B27798" s="572">
        <v>0.2</v>
      </c>
      <c r="C27798" s="572">
        <v>15</v>
      </c>
    </row>
    <row r="27799" spans="1:3">
      <c r="A27799" s="571" t="s">
        <v>1280</v>
      </c>
      <c r="B27799" s="572">
        <v>1</v>
      </c>
      <c r="C27799" s="572">
        <v>105</v>
      </c>
    </row>
    <row r="27800" spans="1:3">
      <c r="A27800" s="571" t="s">
        <v>1280</v>
      </c>
      <c r="B27800" s="572">
        <v>2</v>
      </c>
      <c r="C27800" s="572">
        <v>165</v>
      </c>
    </row>
    <row r="27801" spans="1:3">
      <c r="A27801" s="571" t="s">
        <v>1280</v>
      </c>
      <c r="B27801" s="572">
        <v>4</v>
      </c>
      <c r="C27801" s="572">
        <v>255</v>
      </c>
    </row>
    <row r="27802" spans="1:3">
      <c r="A27802" s="571" t="s">
        <v>1280</v>
      </c>
      <c r="B27802" s="572">
        <v>7.3</v>
      </c>
      <c r="C27802" s="572">
        <v>325</v>
      </c>
    </row>
    <row r="27803" spans="1:3">
      <c r="A27803" s="571" t="s">
        <v>1280</v>
      </c>
      <c r="B27803" s="572">
        <v>9.9</v>
      </c>
      <c r="C27803" s="572">
        <v>365</v>
      </c>
    </row>
    <row r="27804" spans="1:3">
      <c r="A27804" s="571" t="s">
        <v>1280</v>
      </c>
      <c r="B27804" s="572">
        <v>14.1</v>
      </c>
      <c r="C27804" s="572">
        <v>415</v>
      </c>
    </row>
    <row r="27805" spans="1:3">
      <c r="A27805" s="571" t="s">
        <v>1280</v>
      </c>
      <c r="B27805" s="572">
        <v>21</v>
      </c>
      <c r="C27805" s="572">
        <v>440</v>
      </c>
    </row>
    <row r="27806" spans="1:3">
      <c r="A27806" s="571" t="s">
        <v>1280</v>
      </c>
      <c r="B27806" s="572">
        <v>31.2</v>
      </c>
      <c r="C27806" s="572">
        <v>465</v>
      </c>
    </row>
    <row r="27807" spans="1:3">
      <c r="A27807" s="571" t="s">
        <v>1280</v>
      </c>
      <c r="B27807" s="572">
        <v>56.2</v>
      </c>
      <c r="C27807" s="572">
        <v>520</v>
      </c>
    </row>
    <row r="27808" spans="1:3">
      <c r="A27808" s="571" t="s">
        <v>1280</v>
      </c>
      <c r="B27808" s="572">
        <v>90.9</v>
      </c>
      <c r="C27808" s="572">
        <v>550</v>
      </c>
    </row>
    <row r="27809" spans="1:3">
      <c r="A27809" s="573" t="s">
        <v>1280</v>
      </c>
      <c r="B27809" s="574">
        <v>117.1</v>
      </c>
      <c r="C27809" s="574">
        <v>560</v>
      </c>
    </row>
    <row r="27810" spans="1:3">
      <c r="A27810" s="573" t="s">
        <v>1280</v>
      </c>
      <c r="B27810" s="574">
        <v>151.1</v>
      </c>
      <c r="C27810" s="574">
        <v>595</v>
      </c>
    </row>
    <row r="27811" spans="1:3">
      <c r="A27811" s="573" t="s">
        <v>1280</v>
      </c>
      <c r="B27811" s="574">
        <v>240.3</v>
      </c>
      <c r="C27811" s="574">
        <v>635</v>
      </c>
    </row>
    <row r="27812" spans="1:3">
      <c r="A27812" s="569" t="s">
        <v>1280</v>
      </c>
      <c r="B27812" s="570">
        <v>556.5</v>
      </c>
      <c r="C27812" s="570">
        <v>690</v>
      </c>
    </row>
    <row r="27813" spans="1:3">
      <c r="A27813" s="569" t="s">
        <v>1280</v>
      </c>
      <c r="B27813" s="570">
        <v>568.29999999999995</v>
      </c>
      <c r="C27813" s="570">
        <v>730</v>
      </c>
    </row>
    <row r="27814" spans="1:3">
      <c r="A27814" s="569" t="s">
        <v>1280</v>
      </c>
      <c r="B27814" s="570">
        <v>745.3</v>
      </c>
      <c r="C27814" s="570">
        <v>700</v>
      </c>
    </row>
    <row r="27815" spans="1:3">
      <c r="A27815" s="569" t="s">
        <v>1280</v>
      </c>
      <c r="B27815" s="570">
        <v>745.3</v>
      </c>
      <c r="C27815" s="570">
        <v>700</v>
      </c>
    </row>
    <row r="27816" spans="1:3">
      <c r="A27816" s="571" t="s">
        <v>1279</v>
      </c>
      <c r="B27816" s="572">
        <v>0</v>
      </c>
      <c r="C27816" s="572">
        <v>0</v>
      </c>
    </row>
    <row r="27817" spans="1:3">
      <c r="A27817" s="571" t="s">
        <v>1279</v>
      </c>
      <c r="B27817" s="572">
        <v>0.2</v>
      </c>
      <c r="C27817" s="572">
        <v>10</v>
      </c>
    </row>
    <row r="27818" spans="1:3">
      <c r="A27818" s="571" t="s">
        <v>1279</v>
      </c>
      <c r="B27818" s="572">
        <v>1.1000000000000001</v>
      </c>
      <c r="C27818" s="572">
        <v>15</v>
      </c>
    </row>
    <row r="27819" spans="1:3">
      <c r="A27819" s="571" t="s">
        <v>1279</v>
      </c>
      <c r="B27819" s="572">
        <v>2.2000000000000002</v>
      </c>
      <c r="C27819" s="572">
        <v>20</v>
      </c>
    </row>
    <row r="27820" spans="1:3">
      <c r="A27820" s="571" t="s">
        <v>1279</v>
      </c>
      <c r="B27820" s="572">
        <v>4.2</v>
      </c>
      <c r="C27820" s="572">
        <v>40</v>
      </c>
    </row>
    <row r="27821" spans="1:3">
      <c r="A27821" s="571" t="s">
        <v>1279</v>
      </c>
      <c r="B27821" s="572">
        <v>7</v>
      </c>
      <c r="C27821" s="572">
        <v>60</v>
      </c>
    </row>
    <row r="27822" spans="1:3">
      <c r="A27822" s="571" t="s">
        <v>1279</v>
      </c>
      <c r="B27822" s="572">
        <v>10.199999999999999</v>
      </c>
      <c r="C27822" s="572">
        <v>85</v>
      </c>
    </row>
    <row r="27823" spans="1:3">
      <c r="A27823" s="571" t="s">
        <v>1279</v>
      </c>
      <c r="B27823" s="572">
        <v>14.1</v>
      </c>
      <c r="C27823" s="572">
        <v>95</v>
      </c>
    </row>
    <row r="27824" spans="1:3">
      <c r="A27824" s="571" t="s">
        <v>1279</v>
      </c>
      <c r="B27824" s="572">
        <v>21.1</v>
      </c>
      <c r="C27824" s="572">
        <v>115</v>
      </c>
    </row>
    <row r="27825" spans="1:3">
      <c r="A27825" s="571" t="s">
        <v>1279</v>
      </c>
      <c r="B27825" s="572">
        <v>28.1</v>
      </c>
      <c r="C27825" s="572">
        <v>125</v>
      </c>
    </row>
    <row r="27826" spans="1:3">
      <c r="A27826" s="571" t="s">
        <v>1279</v>
      </c>
      <c r="B27826" s="572">
        <v>57.1</v>
      </c>
      <c r="C27826" s="572">
        <v>165</v>
      </c>
    </row>
    <row r="27827" spans="1:3">
      <c r="A27827" s="571" t="s">
        <v>1279</v>
      </c>
      <c r="B27827" s="572">
        <v>92.3</v>
      </c>
      <c r="C27827" s="572">
        <v>160</v>
      </c>
    </row>
    <row r="27828" spans="1:3">
      <c r="A27828" s="573" t="s">
        <v>1279</v>
      </c>
      <c r="B27828" s="574">
        <v>113.1</v>
      </c>
      <c r="C27828" s="574">
        <v>145</v>
      </c>
    </row>
    <row r="27829" spans="1:3">
      <c r="A27829" s="573" t="s">
        <v>1279</v>
      </c>
      <c r="B27829" s="574">
        <v>147.1</v>
      </c>
      <c r="C27829" s="574">
        <v>160</v>
      </c>
    </row>
    <row r="27830" spans="1:3">
      <c r="A27830" s="573" t="s">
        <v>1279</v>
      </c>
      <c r="B27830" s="574">
        <v>236.3</v>
      </c>
      <c r="C27830" s="574">
        <v>190</v>
      </c>
    </row>
    <row r="27831" spans="1:3">
      <c r="A27831" s="569" t="s">
        <v>1279</v>
      </c>
      <c r="B27831" s="570">
        <v>552.5</v>
      </c>
      <c r="C27831" s="570">
        <v>245</v>
      </c>
    </row>
    <row r="27832" spans="1:3">
      <c r="A27832" s="569" t="s">
        <v>1279</v>
      </c>
      <c r="B27832" s="570">
        <v>568.29999999999995</v>
      </c>
      <c r="C27832" s="570">
        <v>260</v>
      </c>
    </row>
    <row r="27833" spans="1:3">
      <c r="A27833" s="569" t="s">
        <v>1279</v>
      </c>
      <c r="B27833" s="570">
        <v>745.3</v>
      </c>
      <c r="C27833" s="570">
        <v>270</v>
      </c>
    </row>
    <row r="27834" spans="1:3">
      <c r="A27834" s="569" t="s">
        <v>1279</v>
      </c>
      <c r="B27834" s="570">
        <v>745.3</v>
      </c>
      <c r="C27834" s="570">
        <v>270</v>
      </c>
    </row>
    <row r="27835" spans="1:3">
      <c r="A27835" s="571" t="s">
        <v>1277</v>
      </c>
      <c r="B27835" s="572">
        <v>0</v>
      </c>
      <c r="C27835" s="572">
        <v>0</v>
      </c>
    </row>
    <row r="27836" spans="1:3">
      <c r="A27836" s="571" t="s">
        <v>1277</v>
      </c>
      <c r="B27836" s="572">
        <v>0.2</v>
      </c>
      <c r="C27836" s="572">
        <v>5</v>
      </c>
    </row>
    <row r="27837" spans="1:3">
      <c r="A27837" s="571" t="s">
        <v>1277</v>
      </c>
      <c r="B27837" s="572">
        <v>1.1000000000000001</v>
      </c>
      <c r="C27837" s="572">
        <v>70</v>
      </c>
    </row>
    <row r="27838" spans="1:3">
      <c r="A27838" s="571" t="s">
        <v>1277</v>
      </c>
      <c r="B27838" s="572">
        <v>2.2999999999999998</v>
      </c>
      <c r="C27838" s="572">
        <v>120</v>
      </c>
    </row>
    <row r="27839" spans="1:3">
      <c r="A27839" s="571" t="s">
        <v>1277</v>
      </c>
      <c r="B27839" s="572">
        <v>4.2</v>
      </c>
      <c r="C27839" s="572">
        <v>175</v>
      </c>
    </row>
    <row r="27840" spans="1:3">
      <c r="A27840" s="571" t="s">
        <v>1277</v>
      </c>
      <c r="B27840" s="572">
        <v>7</v>
      </c>
      <c r="C27840" s="572">
        <v>220</v>
      </c>
    </row>
    <row r="27841" spans="1:3">
      <c r="A27841" s="571" t="s">
        <v>1277</v>
      </c>
      <c r="B27841" s="572">
        <v>10.199999999999999</v>
      </c>
      <c r="C27841" s="572">
        <v>275</v>
      </c>
    </row>
    <row r="27842" spans="1:3">
      <c r="A27842" s="571" t="s">
        <v>1277</v>
      </c>
      <c r="B27842" s="572">
        <v>14.1</v>
      </c>
      <c r="C27842" s="572">
        <v>310</v>
      </c>
    </row>
    <row r="27843" spans="1:3">
      <c r="A27843" s="571" t="s">
        <v>1277</v>
      </c>
      <c r="B27843" s="572">
        <v>21.1</v>
      </c>
      <c r="C27843" s="572">
        <v>350</v>
      </c>
    </row>
    <row r="27844" spans="1:3">
      <c r="A27844" s="571" t="s">
        <v>1277</v>
      </c>
      <c r="B27844" s="572">
        <v>28.1</v>
      </c>
      <c r="C27844" s="572">
        <v>370</v>
      </c>
    </row>
    <row r="27845" spans="1:3">
      <c r="A27845" s="571" t="s">
        <v>1277</v>
      </c>
      <c r="B27845" s="572">
        <v>57.1</v>
      </c>
      <c r="C27845" s="572">
        <v>435</v>
      </c>
    </row>
    <row r="27846" spans="1:3">
      <c r="A27846" s="571" t="s">
        <v>1277</v>
      </c>
      <c r="B27846" s="572">
        <v>92.3</v>
      </c>
      <c r="C27846" s="572">
        <v>455</v>
      </c>
    </row>
    <row r="27847" spans="1:3">
      <c r="A27847" s="573" t="s">
        <v>1277</v>
      </c>
      <c r="B27847" s="574">
        <v>113.1</v>
      </c>
      <c r="C27847" s="574">
        <v>485</v>
      </c>
    </row>
    <row r="27848" spans="1:3">
      <c r="A27848" s="573" t="s">
        <v>1277</v>
      </c>
      <c r="B27848" s="574">
        <v>147.1</v>
      </c>
      <c r="C27848" s="574">
        <v>520</v>
      </c>
    </row>
    <row r="27849" spans="1:3">
      <c r="A27849" s="573" t="s">
        <v>1277</v>
      </c>
      <c r="B27849" s="574">
        <v>236.4</v>
      </c>
      <c r="C27849" s="574">
        <v>560</v>
      </c>
    </row>
    <row r="27850" spans="1:3">
      <c r="A27850" s="569" t="s">
        <v>1277</v>
      </c>
      <c r="B27850" s="570">
        <v>552.5</v>
      </c>
      <c r="C27850" s="570">
        <v>635</v>
      </c>
    </row>
    <row r="27851" spans="1:3">
      <c r="A27851" s="569" t="s">
        <v>1277</v>
      </c>
      <c r="B27851" s="570">
        <v>568.29999999999995</v>
      </c>
      <c r="C27851" s="570">
        <v>675</v>
      </c>
    </row>
    <row r="27852" spans="1:3">
      <c r="A27852" s="569" t="s">
        <v>1277</v>
      </c>
      <c r="B27852" s="570">
        <v>745.3</v>
      </c>
      <c r="C27852" s="570">
        <v>645</v>
      </c>
    </row>
    <row r="27853" spans="1:3">
      <c r="A27853" s="569" t="s">
        <v>1277</v>
      </c>
      <c r="B27853" s="570">
        <v>745.3</v>
      </c>
      <c r="C27853" s="570">
        <v>645</v>
      </c>
    </row>
    <row r="27854" spans="1:3">
      <c r="A27854" s="571" t="s">
        <v>1276</v>
      </c>
      <c r="B27854" s="572">
        <v>2</v>
      </c>
      <c r="C27854" s="572">
        <v>25</v>
      </c>
    </row>
    <row r="27855" spans="1:3">
      <c r="A27855" s="571" t="s">
        <v>1276</v>
      </c>
      <c r="B27855" s="572">
        <v>4</v>
      </c>
      <c r="C27855" s="572">
        <v>48</v>
      </c>
    </row>
    <row r="27856" spans="1:3">
      <c r="A27856" s="571" t="s">
        <v>1276</v>
      </c>
      <c r="B27856" s="572">
        <v>6</v>
      </c>
      <c r="C27856" s="572">
        <v>65</v>
      </c>
    </row>
    <row r="27857" spans="1:3">
      <c r="A27857" s="571" t="s">
        <v>1276</v>
      </c>
      <c r="B27857" s="572">
        <v>10</v>
      </c>
      <c r="C27857" s="572">
        <v>92</v>
      </c>
    </row>
    <row r="27858" spans="1:3">
      <c r="A27858" s="571" t="s">
        <v>1276</v>
      </c>
      <c r="B27858" s="572">
        <v>14</v>
      </c>
      <c r="C27858" s="572">
        <v>113</v>
      </c>
    </row>
    <row r="27859" spans="1:3">
      <c r="A27859" s="571" t="s">
        <v>1276</v>
      </c>
      <c r="B27859" s="572">
        <v>20</v>
      </c>
      <c r="C27859" s="572">
        <v>138</v>
      </c>
    </row>
    <row r="27860" spans="1:3">
      <c r="A27860" s="571" t="s">
        <v>1276</v>
      </c>
      <c r="B27860" s="572">
        <v>27</v>
      </c>
      <c r="C27860" s="572">
        <v>163</v>
      </c>
    </row>
    <row r="27861" spans="1:3">
      <c r="A27861" s="571" t="s">
        <v>1276</v>
      </c>
      <c r="B27861" s="572">
        <v>34</v>
      </c>
      <c r="C27861" s="572">
        <v>183</v>
      </c>
    </row>
    <row r="27862" spans="1:3">
      <c r="A27862" s="571" t="s">
        <v>1276</v>
      </c>
      <c r="B27862" s="572">
        <v>42</v>
      </c>
      <c r="C27862" s="572">
        <v>204</v>
      </c>
    </row>
    <row r="27863" spans="1:3">
      <c r="A27863" s="571" t="s">
        <v>1276</v>
      </c>
      <c r="B27863" s="572">
        <v>55</v>
      </c>
      <c r="C27863" s="572">
        <v>233</v>
      </c>
    </row>
    <row r="27864" spans="1:3">
      <c r="A27864" s="571" t="s">
        <v>1276</v>
      </c>
      <c r="B27864" s="572">
        <v>69</v>
      </c>
      <c r="C27864" s="572">
        <v>259</v>
      </c>
    </row>
    <row r="27865" spans="1:3">
      <c r="A27865" s="571" t="s">
        <v>1276</v>
      </c>
      <c r="B27865" s="572">
        <v>89</v>
      </c>
      <c r="C27865" s="572">
        <v>288</v>
      </c>
    </row>
    <row r="27866" spans="1:3">
      <c r="A27866" s="573" t="s">
        <v>1276</v>
      </c>
      <c r="B27866" s="574">
        <v>119</v>
      </c>
      <c r="C27866" s="574">
        <v>324</v>
      </c>
    </row>
    <row r="27867" spans="1:3">
      <c r="A27867" s="573" t="s">
        <v>1276</v>
      </c>
      <c r="B27867" s="574">
        <v>144</v>
      </c>
      <c r="C27867" s="574">
        <v>347</v>
      </c>
    </row>
    <row r="27868" spans="1:3">
      <c r="A27868" s="573" t="s">
        <v>1276</v>
      </c>
      <c r="B27868" s="574">
        <v>179</v>
      </c>
      <c r="C27868" s="574">
        <v>367</v>
      </c>
    </row>
    <row r="27869" spans="1:3">
      <c r="A27869" s="573" t="s">
        <v>1276</v>
      </c>
      <c r="B27869" s="574">
        <v>269</v>
      </c>
      <c r="C27869" s="574">
        <v>414</v>
      </c>
    </row>
    <row r="27870" spans="1:3">
      <c r="A27870" s="573" t="s">
        <v>1276</v>
      </c>
      <c r="B27870" s="574">
        <v>365</v>
      </c>
      <c r="C27870" s="574">
        <v>443</v>
      </c>
    </row>
    <row r="27871" spans="1:3">
      <c r="A27871" s="569" t="s">
        <v>1276</v>
      </c>
      <c r="B27871" s="570">
        <v>500</v>
      </c>
      <c r="C27871" s="570">
        <v>472</v>
      </c>
    </row>
    <row r="27872" spans="1:3">
      <c r="A27872" s="569" t="s">
        <v>1276</v>
      </c>
      <c r="B27872" s="570">
        <v>730</v>
      </c>
      <c r="C27872" s="570">
        <v>498</v>
      </c>
    </row>
    <row r="27873" spans="1:3">
      <c r="A27873" s="569" t="s">
        <v>1276</v>
      </c>
      <c r="B27873" s="570">
        <v>730</v>
      </c>
      <c r="C27873" s="570">
        <v>498</v>
      </c>
    </row>
    <row r="27874" spans="1:3">
      <c r="A27874" s="571" t="s">
        <v>1275</v>
      </c>
      <c r="B27874" s="572">
        <v>2</v>
      </c>
      <c r="C27874" s="572">
        <v>20</v>
      </c>
    </row>
    <row r="27875" spans="1:3">
      <c r="A27875" s="571" t="s">
        <v>1275</v>
      </c>
      <c r="B27875" s="572">
        <v>4</v>
      </c>
      <c r="C27875" s="572">
        <v>40</v>
      </c>
    </row>
    <row r="27876" spans="1:3">
      <c r="A27876" s="571" t="s">
        <v>1275</v>
      </c>
      <c r="B27876" s="572">
        <v>8</v>
      </c>
      <c r="C27876" s="572">
        <v>68</v>
      </c>
    </row>
    <row r="27877" spans="1:3">
      <c r="A27877" s="571" t="s">
        <v>1275</v>
      </c>
      <c r="B27877" s="572">
        <v>12</v>
      </c>
      <c r="C27877" s="572">
        <v>93</v>
      </c>
    </row>
    <row r="27878" spans="1:3">
      <c r="A27878" s="571" t="s">
        <v>1275</v>
      </c>
      <c r="B27878" s="572">
        <v>18</v>
      </c>
      <c r="C27878" s="572">
        <v>123</v>
      </c>
    </row>
    <row r="27879" spans="1:3">
      <c r="A27879" s="571" t="s">
        <v>1275</v>
      </c>
      <c r="B27879" s="572">
        <v>32</v>
      </c>
      <c r="C27879" s="572">
        <v>183</v>
      </c>
    </row>
    <row r="27880" spans="1:3">
      <c r="A27880" s="571" t="s">
        <v>1275</v>
      </c>
      <c r="B27880" s="572">
        <v>40</v>
      </c>
      <c r="C27880" s="572">
        <v>208</v>
      </c>
    </row>
    <row r="27881" spans="1:3">
      <c r="A27881" s="571" t="s">
        <v>1275</v>
      </c>
      <c r="B27881" s="572">
        <v>53</v>
      </c>
      <c r="C27881" s="572">
        <v>235</v>
      </c>
    </row>
    <row r="27882" spans="1:3">
      <c r="A27882" s="571" t="s">
        <v>1275</v>
      </c>
      <c r="B27882" s="572">
        <v>67</v>
      </c>
      <c r="C27882" s="572">
        <v>265</v>
      </c>
    </row>
    <row r="27883" spans="1:3">
      <c r="A27883" s="571" t="s">
        <v>1275</v>
      </c>
      <c r="B27883" s="572">
        <v>87</v>
      </c>
      <c r="C27883" s="572">
        <v>293</v>
      </c>
    </row>
    <row r="27884" spans="1:3">
      <c r="A27884" s="573" t="s">
        <v>1275</v>
      </c>
      <c r="B27884" s="574">
        <v>117</v>
      </c>
      <c r="C27884" s="574">
        <v>328</v>
      </c>
    </row>
    <row r="27885" spans="1:3">
      <c r="A27885" s="573" t="s">
        <v>1275</v>
      </c>
      <c r="B27885" s="574">
        <v>177</v>
      </c>
      <c r="C27885" s="574">
        <v>373</v>
      </c>
    </row>
    <row r="27886" spans="1:3">
      <c r="A27886" s="573" t="s">
        <v>1275</v>
      </c>
      <c r="B27886" s="574">
        <v>267</v>
      </c>
      <c r="C27886" s="574">
        <v>420</v>
      </c>
    </row>
    <row r="27887" spans="1:3">
      <c r="A27887" s="573" t="s">
        <v>1275</v>
      </c>
      <c r="B27887" s="574">
        <v>362</v>
      </c>
      <c r="C27887" s="574">
        <v>450</v>
      </c>
    </row>
    <row r="27888" spans="1:3">
      <c r="A27888" s="573" t="s">
        <v>1275</v>
      </c>
      <c r="B27888" s="574">
        <v>497</v>
      </c>
      <c r="C27888" s="574">
        <v>486</v>
      </c>
    </row>
    <row r="27889" spans="1:3">
      <c r="A27889" s="569" t="s">
        <v>1275</v>
      </c>
      <c r="B27889" s="570">
        <v>727</v>
      </c>
      <c r="C27889" s="570">
        <v>519</v>
      </c>
    </row>
    <row r="27890" spans="1:3">
      <c r="A27890" s="569" t="s">
        <v>1275</v>
      </c>
      <c r="B27890" s="570">
        <v>1092</v>
      </c>
      <c r="C27890" s="570">
        <v>553</v>
      </c>
    </row>
    <row r="27891" spans="1:3">
      <c r="A27891" s="569" t="s">
        <v>1275</v>
      </c>
      <c r="B27891" s="570">
        <v>1457</v>
      </c>
      <c r="C27891" s="570">
        <v>570</v>
      </c>
    </row>
    <row r="27892" spans="1:3">
      <c r="A27892" s="569" t="s">
        <v>1275</v>
      </c>
      <c r="B27892" s="570">
        <v>1822</v>
      </c>
      <c r="C27892" s="570">
        <v>583</v>
      </c>
    </row>
    <row r="27893" spans="1:3">
      <c r="A27893" s="569" t="s">
        <v>1275</v>
      </c>
      <c r="B27893" s="570">
        <v>1822</v>
      </c>
      <c r="C27893" s="570">
        <v>583</v>
      </c>
    </row>
    <row r="27894" spans="1:3">
      <c r="A27894" s="571" t="s">
        <v>1274</v>
      </c>
      <c r="B27894" s="572">
        <v>4</v>
      </c>
      <c r="C27894" s="572">
        <v>53</v>
      </c>
    </row>
    <row r="27895" spans="1:3">
      <c r="A27895" s="571" t="s">
        <v>1274</v>
      </c>
      <c r="B27895" s="572">
        <v>8</v>
      </c>
      <c r="C27895" s="572">
        <v>90</v>
      </c>
    </row>
    <row r="27896" spans="1:3">
      <c r="A27896" s="571" t="s">
        <v>1274</v>
      </c>
      <c r="B27896" s="572">
        <v>14</v>
      </c>
      <c r="C27896" s="572">
        <v>125</v>
      </c>
    </row>
    <row r="27897" spans="1:3">
      <c r="A27897" s="571" t="s">
        <v>1274</v>
      </c>
      <c r="B27897" s="572">
        <v>21</v>
      </c>
      <c r="C27897" s="572">
        <v>159</v>
      </c>
    </row>
    <row r="27898" spans="1:3">
      <c r="A27898" s="571" t="s">
        <v>1274</v>
      </c>
      <c r="B27898" s="572">
        <v>28</v>
      </c>
      <c r="C27898" s="572">
        <v>183</v>
      </c>
    </row>
    <row r="27899" spans="1:3">
      <c r="A27899" s="571" t="s">
        <v>1274</v>
      </c>
      <c r="B27899" s="572">
        <v>36</v>
      </c>
      <c r="C27899" s="572">
        <v>208</v>
      </c>
    </row>
    <row r="27900" spans="1:3">
      <c r="A27900" s="571" t="s">
        <v>1274</v>
      </c>
      <c r="B27900" s="572">
        <v>49</v>
      </c>
      <c r="C27900" s="572">
        <v>233</v>
      </c>
    </row>
    <row r="27901" spans="1:3">
      <c r="A27901" s="571" t="s">
        <v>1274</v>
      </c>
      <c r="B27901" s="572">
        <v>63</v>
      </c>
      <c r="C27901" s="572">
        <v>250</v>
      </c>
    </row>
    <row r="27902" spans="1:3">
      <c r="A27902" s="571" t="s">
        <v>1274</v>
      </c>
      <c r="B27902" s="572">
        <v>83</v>
      </c>
      <c r="C27902" s="572">
        <v>290</v>
      </c>
    </row>
    <row r="27903" spans="1:3">
      <c r="A27903" s="571" t="s">
        <v>1274</v>
      </c>
      <c r="B27903" s="572">
        <v>97</v>
      </c>
      <c r="C27903" s="572">
        <v>308</v>
      </c>
    </row>
    <row r="27904" spans="1:3">
      <c r="A27904" s="573" t="s">
        <v>1274</v>
      </c>
      <c r="B27904" s="574">
        <v>113</v>
      </c>
      <c r="C27904" s="574">
        <v>325</v>
      </c>
    </row>
    <row r="27905" spans="1:3">
      <c r="A27905" s="573" t="s">
        <v>1274</v>
      </c>
      <c r="B27905" s="574">
        <v>138</v>
      </c>
      <c r="C27905" s="574">
        <v>347</v>
      </c>
    </row>
    <row r="27906" spans="1:3">
      <c r="A27906" s="573" t="s">
        <v>1274</v>
      </c>
      <c r="B27906" s="574">
        <v>173</v>
      </c>
      <c r="C27906" s="574">
        <v>369</v>
      </c>
    </row>
    <row r="27907" spans="1:3">
      <c r="A27907" s="573" t="s">
        <v>1274</v>
      </c>
      <c r="B27907" s="574">
        <v>203</v>
      </c>
      <c r="C27907" s="574">
        <v>388</v>
      </c>
    </row>
    <row r="27908" spans="1:3">
      <c r="A27908" s="573" t="s">
        <v>1274</v>
      </c>
      <c r="B27908" s="574">
        <v>263</v>
      </c>
      <c r="C27908" s="574">
        <v>415</v>
      </c>
    </row>
    <row r="27909" spans="1:3">
      <c r="A27909" s="573" t="s">
        <v>1274</v>
      </c>
      <c r="B27909" s="574">
        <v>358</v>
      </c>
      <c r="C27909" s="574">
        <v>442</v>
      </c>
    </row>
    <row r="27910" spans="1:3">
      <c r="A27910" s="573" t="s">
        <v>1274</v>
      </c>
      <c r="B27910" s="574">
        <v>493</v>
      </c>
      <c r="C27910" s="574">
        <v>475</v>
      </c>
    </row>
    <row r="27911" spans="1:3">
      <c r="A27911" s="569" t="s">
        <v>1274</v>
      </c>
      <c r="B27911" s="570">
        <v>723</v>
      </c>
      <c r="C27911" s="570">
        <v>510</v>
      </c>
    </row>
    <row r="27912" spans="1:3">
      <c r="A27912" s="569" t="s">
        <v>1274</v>
      </c>
      <c r="B27912" s="570">
        <v>1088</v>
      </c>
      <c r="C27912" s="570">
        <v>545</v>
      </c>
    </row>
    <row r="27913" spans="1:3">
      <c r="A27913" s="569" t="s">
        <v>1274</v>
      </c>
      <c r="B27913" s="570">
        <v>1088</v>
      </c>
      <c r="C27913" s="570">
        <v>545</v>
      </c>
    </row>
    <row r="27914" spans="1:3">
      <c r="A27914" s="571" t="s">
        <v>1273</v>
      </c>
      <c r="B27914" s="572">
        <v>7</v>
      </c>
      <c r="C27914" s="572">
        <v>105</v>
      </c>
    </row>
    <row r="27915" spans="1:3">
      <c r="A27915" s="571" t="s">
        <v>1273</v>
      </c>
      <c r="B27915" s="572">
        <v>15</v>
      </c>
      <c r="C27915" s="572">
        <v>152</v>
      </c>
    </row>
    <row r="27916" spans="1:3">
      <c r="A27916" s="571" t="s">
        <v>1273</v>
      </c>
      <c r="B27916" s="572">
        <v>28</v>
      </c>
      <c r="C27916" s="572">
        <v>195</v>
      </c>
    </row>
    <row r="27917" spans="1:3">
      <c r="A27917" s="571" t="s">
        <v>1273</v>
      </c>
      <c r="B27917" s="572">
        <v>42</v>
      </c>
      <c r="C27917" s="572">
        <v>229</v>
      </c>
    </row>
    <row r="27918" spans="1:3">
      <c r="A27918" s="571" t="s">
        <v>1273</v>
      </c>
      <c r="B27918" s="572">
        <v>62</v>
      </c>
      <c r="C27918" s="572">
        <v>262</v>
      </c>
    </row>
    <row r="27919" spans="1:3">
      <c r="A27919" s="571" t="s">
        <v>1273</v>
      </c>
      <c r="B27919" s="572">
        <v>76</v>
      </c>
      <c r="C27919" s="572">
        <v>286</v>
      </c>
    </row>
    <row r="27920" spans="1:3">
      <c r="A27920" s="571" t="s">
        <v>1273</v>
      </c>
      <c r="B27920" s="572">
        <v>92</v>
      </c>
      <c r="C27920" s="572">
        <v>308</v>
      </c>
    </row>
    <row r="27921" spans="1:3">
      <c r="A27921" s="573" t="s">
        <v>1273</v>
      </c>
      <c r="B27921" s="574">
        <v>117</v>
      </c>
      <c r="C27921" s="574">
        <v>332</v>
      </c>
    </row>
    <row r="27922" spans="1:3">
      <c r="A27922" s="573" t="s">
        <v>1273</v>
      </c>
      <c r="B27922" s="574">
        <v>152</v>
      </c>
      <c r="C27922" s="574">
        <v>358</v>
      </c>
    </row>
    <row r="27923" spans="1:3">
      <c r="A27923" s="573" t="s">
        <v>1273</v>
      </c>
      <c r="B27923" s="574">
        <v>182</v>
      </c>
      <c r="C27923" s="574">
        <v>378</v>
      </c>
    </row>
    <row r="27924" spans="1:3">
      <c r="A27924" s="573" t="s">
        <v>1273</v>
      </c>
      <c r="B27924" s="574">
        <v>242</v>
      </c>
      <c r="C27924" s="574">
        <v>408</v>
      </c>
    </row>
    <row r="27925" spans="1:3">
      <c r="A27925" s="573" t="s">
        <v>1273</v>
      </c>
      <c r="B27925" s="574">
        <v>337</v>
      </c>
      <c r="C27925" s="574">
        <v>442</v>
      </c>
    </row>
    <row r="27926" spans="1:3">
      <c r="A27926" s="573" t="s">
        <v>1273</v>
      </c>
      <c r="B27926" s="574">
        <v>472</v>
      </c>
      <c r="C27926" s="574">
        <v>470</v>
      </c>
    </row>
    <row r="27927" spans="1:3">
      <c r="A27927" s="569" t="s">
        <v>1273</v>
      </c>
      <c r="B27927" s="570">
        <v>702</v>
      </c>
      <c r="C27927" s="570">
        <v>504</v>
      </c>
    </row>
    <row r="27928" spans="1:3">
      <c r="A27928" s="569" t="s">
        <v>1273</v>
      </c>
      <c r="B27928" s="570">
        <v>1067</v>
      </c>
      <c r="C27928" s="570">
        <v>540</v>
      </c>
    </row>
    <row r="27929" spans="1:3">
      <c r="A27929" s="569" t="s">
        <v>1273</v>
      </c>
      <c r="B27929" s="570">
        <v>1067</v>
      </c>
      <c r="C27929" s="570">
        <v>540</v>
      </c>
    </row>
    <row r="27930" spans="1:3">
      <c r="A27930" s="571" t="s">
        <v>1272</v>
      </c>
      <c r="B27930" s="572">
        <v>5</v>
      </c>
      <c r="C27930" s="572">
        <v>68</v>
      </c>
    </row>
    <row r="27931" spans="1:3">
      <c r="A27931" s="571" t="s">
        <v>1272</v>
      </c>
      <c r="B27931" s="572">
        <v>14</v>
      </c>
      <c r="C27931" s="572">
        <v>119</v>
      </c>
    </row>
    <row r="27932" spans="1:3">
      <c r="A27932" s="571" t="s">
        <v>1272</v>
      </c>
      <c r="B27932" s="572">
        <v>22</v>
      </c>
      <c r="C27932" s="572">
        <v>148</v>
      </c>
    </row>
    <row r="27933" spans="1:3">
      <c r="A27933" s="571" t="s">
        <v>1272</v>
      </c>
      <c r="B27933" s="572">
        <v>30</v>
      </c>
      <c r="C27933" s="572">
        <v>170</v>
      </c>
    </row>
    <row r="27934" spans="1:3">
      <c r="A27934" s="571" t="s">
        <v>1272</v>
      </c>
      <c r="B27934" s="572">
        <v>43</v>
      </c>
      <c r="C27934" s="572">
        <v>195</v>
      </c>
    </row>
    <row r="27935" spans="1:3">
      <c r="A27935" s="571" t="s">
        <v>1272</v>
      </c>
      <c r="B27935" s="572">
        <v>55</v>
      </c>
      <c r="C27935" s="572">
        <v>217</v>
      </c>
    </row>
    <row r="27936" spans="1:3">
      <c r="A27936" s="571" t="s">
        <v>1272</v>
      </c>
      <c r="B27936" s="572">
        <v>90</v>
      </c>
      <c r="C27936" s="572">
        <v>257</v>
      </c>
    </row>
    <row r="27937" spans="1:3">
      <c r="A27937" s="573" t="s">
        <v>1272</v>
      </c>
      <c r="B27937" s="574">
        <v>120</v>
      </c>
      <c r="C27937" s="574">
        <v>285</v>
      </c>
    </row>
    <row r="27938" spans="1:3">
      <c r="A27938" s="573" t="s">
        <v>1272</v>
      </c>
      <c r="B27938" s="574">
        <v>180</v>
      </c>
      <c r="C27938" s="574">
        <v>322</v>
      </c>
    </row>
    <row r="27939" spans="1:3">
      <c r="A27939" s="573" t="s">
        <v>1272</v>
      </c>
      <c r="B27939" s="574">
        <v>275</v>
      </c>
      <c r="C27939" s="574">
        <v>357</v>
      </c>
    </row>
    <row r="27940" spans="1:3">
      <c r="A27940" s="573" t="s">
        <v>1272</v>
      </c>
      <c r="B27940" s="574">
        <v>410</v>
      </c>
      <c r="C27940" s="574">
        <v>394</v>
      </c>
    </row>
    <row r="27941" spans="1:3">
      <c r="A27941" s="569" t="s">
        <v>1272</v>
      </c>
      <c r="B27941" s="570">
        <v>640</v>
      </c>
      <c r="C27941" s="570">
        <v>428</v>
      </c>
    </row>
    <row r="27942" spans="1:3">
      <c r="A27942" s="569" t="s">
        <v>1272</v>
      </c>
      <c r="B27942" s="570">
        <v>1005</v>
      </c>
      <c r="C27942" s="570">
        <v>453</v>
      </c>
    </row>
    <row r="27943" spans="1:3">
      <c r="A27943" s="569" t="s">
        <v>1272</v>
      </c>
      <c r="B27943" s="570">
        <v>1370</v>
      </c>
      <c r="C27943" s="570">
        <v>470</v>
      </c>
    </row>
    <row r="27944" spans="1:3">
      <c r="A27944" s="569" t="s">
        <v>1272</v>
      </c>
      <c r="B27944" s="570">
        <v>1735</v>
      </c>
      <c r="C27944" s="570">
        <v>478</v>
      </c>
    </row>
    <row r="27945" spans="1:3">
      <c r="A27945" s="569" t="s">
        <v>1272</v>
      </c>
      <c r="B27945" s="570">
        <v>1735</v>
      </c>
      <c r="C27945" s="570">
        <v>478</v>
      </c>
    </row>
    <row r="27946" spans="1:3">
      <c r="A27946" s="571" t="s">
        <v>1271</v>
      </c>
      <c r="B27946" s="572">
        <v>2</v>
      </c>
      <c r="C27946" s="572">
        <v>48</v>
      </c>
    </row>
    <row r="27947" spans="1:3">
      <c r="A27947" s="571" t="s">
        <v>1271</v>
      </c>
      <c r="B27947" s="572">
        <v>2</v>
      </c>
      <c r="C27947" s="572">
        <v>48</v>
      </c>
    </row>
    <row r="27948" spans="1:3">
      <c r="A27948" s="571" t="s">
        <v>1271</v>
      </c>
      <c r="B27948" s="572">
        <v>6</v>
      </c>
      <c r="C27948" s="572">
        <v>98</v>
      </c>
    </row>
    <row r="27949" spans="1:3">
      <c r="A27949" s="571" t="s">
        <v>1271</v>
      </c>
      <c r="B27949" s="572">
        <v>6</v>
      </c>
      <c r="C27949" s="572">
        <v>98</v>
      </c>
    </row>
    <row r="27950" spans="1:3">
      <c r="A27950" s="571" t="s">
        <v>1271</v>
      </c>
      <c r="B27950" s="572">
        <v>10</v>
      </c>
      <c r="C27950" s="572">
        <v>136</v>
      </c>
    </row>
    <row r="27951" spans="1:3">
      <c r="A27951" s="571" t="s">
        <v>1271</v>
      </c>
      <c r="B27951" s="572">
        <v>10</v>
      </c>
      <c r="C27951" s="572">
        <v>136</v>
      </c>
    </row>
    <row r="27952" spans="1:3">
      <c r="A27952" s="571" t="s">
        <v>1271</v>
      </c>
      <c r="B27952" s="572">
        <v>17</v>
      </c>
      <c r="C27952" s="572">
        <v>180</v>
      </c>
    </row>
    <row r="27953" spans="1:3">
      <c r="A27953" s="571" t="s">
        <v>1271</v>
      </c>
      <c r="B27953" s="572">
        <v>17</v>
      </c>
      <c r="C27953" s="572">
        <v>180</v>
      </c>
    </row>
    <row r="27954" spans="1:3">
      <c r="A27954" s="571" t="s">
        <v>1271</v>
      </c>
      <c r="B27954" s="572">
        <v>27</v>
      </c>
      <c r="C27954" s="572">
        <v>222</v>
      </c>
    </row>
    <row r="27955" spans="1:3">
      <c r="A27955" s="571" t="s">
        <v>1271</v>
      </c>
      <c r="B27955" s="572">
        <v>27</v>
      </c>
      <c r="C27955" s="572">
        <v>222</v>
      </c>
    </row>
    <row r="27956" spans="1:3">
      <c r="A27956" s="571" t="s">
        <v>1271</v>
      </c>
      <c r="B27956" s="572">
        <v>55</v>
      </c>
      <c r="C27956" s="572">
        <v>300</v>
      </c>
    </row>
    <row r="27957" spans="1:3">
      <c r="A27957" s="571" t="s">
        <v>1271</v>
      </c>
      <c r="B27957" s="572">
        <v>55</v>
      </c>
      <c r="C27957" s="572">
        <v>300</v>
      </c>
    </row>
    <row r="27958" spans="1:3">
      <c r="A27958" s="571" t="s">
        <v>1271</v>
      </c>
      <c r="B27958" s="572">
        <v>89</v>
      </c>
      <c r="C27958" s="572">
        <v>348</v>
      </c>
    </row>
    <row r="27959" spans="1:3">
      <c r="A27959" s="571" t="s">
        <v>1271</v>
      </c>
      <c r="B27959" s="572">
        <v>89</v>
      </c>
      <c r="C27959" s="572">
        <v>348</v>
      </c>
    </row>
    <row r="27960" spans="1:3">
      <c r="A27960" s="573" t="s">
        <v>1271</v>
      </c>
      <c r="B27960" s="574">
        <v>179</v>
      </c>
      <c r="C27960" s="574">
        <v>430</v>
      </c>
    </row>
    <row r="27961" spans="1:3">
      <c r="A27961" s="573" t="s">
        <v>1271</v>
      </c>
      <c r="B27961" s="574">
        <v>179</v>
      </c>
      <c r="C27961" s="574">
        <v>430</v>
      </c>
    </row>
    <row r="27962" spans="1:3">
      <c r="A27962" s="573" t="s">
        <v>1271</v>
      </c>
      <c r="B27962" s="574">
        <v>365</v>
      </c>
      <c r="C27962" s="574">
        <v>410</v>
      </c>
    </row>
    <row r="27963" spans="1:3">
      <c r="A27963" s="573" t="s">
        <v>1271</v>
      </c>
      <c r="B27963" s="574">
        <v>365</v>
      </c>
      <c r="C27963" s="574">
        <v>410</v>
      </c>
    </row>
    <row r="27964" spans="1:3">
      <c r="A27964" s="569" t="s">
        <v>1271</v>
      </c>
      <c r="B27964" s="570">
        <v>730</v>
      </c>
      <c r="C27964" s="570">
        <v>573</v>
      </c>
    </row>
    <row r="27965" spans="1:3">
      <c r="A27965" s="569" t="s">
        <v>1271</v>
      </c>
      <c r="B27965" s="570">
        <v>730</v>
      </c>
      <c r="C27965" s="570">
        <v>573</v>
      </c>
    </row>
    <row r="27966" spans="1:3">
      <c r="A27966" s="569" t="s">
        <v>1271</v>
      </c>
      <c r="B27966" s="570">
        <v>1095</v>
      </c>
      <c r="C27966" s="570">
        <v>598</v>
      </c>
    </row>
    <row r="27967" spans="1:3">
      <c r="A27967" s="569" t="s">
        <v>1271</v>
      </c>
      <c r="B27967" s="570">
        <v>1095</v>
      </c>
      <c r="C27967" s="570">
        <v>598</v>
      </c>
    </row>
    <row r="27968" spans="1:3">
      <c r="A27968" s="569" t="s">
        <v>1271</v>
      </c>
      <c r="B27968" s="570">
        <v>1825</v>
      </c>
      <c r="C27968" s="570">
        <v>605</v>
      </c>
    </row>
    <row r="27969" spans="1:3">
      <c r="A27969" s="569" t="s">
        <v>1271</v>
      </c>
      <c r="B27969" s="570">
        <v>1825</v>
      </c>
      <c r="C27969" s="570">
        <v>605</v>
      </c>
    </row>
    <row r="27970" spans="1:3">
      <c r="A27970" s="569" t="s">
        <v>1271</v>
      </c>
      <c r="B27970" s="570">
        <v>1825</v>
      </c>
      <c r="C27970" s="570">
        <v>605</v>
      </c>
    </row>
    <row r="27971" spans="1:3">
      <c r="A27971" s="569" t="s">
        <v>1271</v>
      </c>
      <c r="B27971" s="570">
        <v>1825</v>
      </c>
      <c r="C27971" s="570">
        <v>605</v>
      </c>
    </row>
    <row r="27972" spans="1:3">
      <c r="A27972" s="571" t="s">
        <v>1269</v>
      </c>
      <c r="B27972" s="572">
        <v>1</v>
      </c>
      <c r="C27972" s="572">
        <v>61</v>
      </c>
    </row>
    <row r="27973" spans="1:3">
      <c r="A27973" s="571" t="s">
        <v>1269</v>
      </c>
      <c r="B27973" s="572">
        <v>3</v>
      </c>
      <c r="C27973" s="572">
        <v>115</v>
      </c>
    </row>
    <row r="27974" spans="1:3">
      <c r="A27974" s="571" t="s">
        <v>1269</v>
      </c>
      <c r="B27974" s="572">
        <v>6</v>
      </c>
      <c r="C27974" s="572">
        <v>162</v>
      </c>
    </row>
    <row r="27975" spans="1:3">
      <c r="A27975" s="571" t="s">
        <v>1269</v>
      </c>
      <c r="B27975" s="572">
        <v>14</v>
      </c>
      <c r="C27975" s="572">
        <v>245</v>
      </c>
    </row>
    <row r="27976" spans="1:3">
      <c r="A27976" s="571" t="s">
        <v>1269</v>
      </c>
      <c r="B27976" s="572">
        <v>34</v>
      </c>
      <c r="C27976" s="572">
        <v>351</v>
      </c>
    </row>
    <row r="27977" spans="1:3">
      <c r="A27977" s="571" t="s">
        <v>1269</v>
      </c>
      <c r="B27977" s="572">
        <v>52</v>
      </c>
      <c r="C27977" s="572">
        <v>427</v>
      </c>
    </row>
    <row r="27978" spans="1:3">
      <c r="A27978" s="571" t="s">
        <v>1269</v>
      </c>
      <c r="B27978" s="572">
        <v>91</v>
      </c>
      <c r="C27978" s="572">
        <v>485</v>
      </c>
    </row>
    <row r="27979" spans="1:3">
      <c r="A27979" s="573" t="s">
        <v>1269</v>
      </c>
      <c r="B27979" s="574">
        <v>169</v>
      </c>
      <c r="C27979" s="574">
        <v>541</v>
      </c>
    </row>
    <row r="27980" spans="1:3">
      <c r="A27980" s="573" t="s">
        <v>1269</v>
      </c>
      <c r="B27980" s="574">
        <v>258</v>
      </c>
      <c r="C27980" s="574">
        <v>629</v>
      </c>
    </row>
    <row r="27981" spans="1:3">
      <c r="A27981" s="569" t="s">
        <v>1269</v>
      </c>
      <c r="B27981" s="570">
        <v>554</v>
      </c>
      <c r="C27981" s="570">
        <v>702</v>
      </c>
    </row>
    <row r="27982" spans="1:3">
      <c r="A27982" s="569" t="s">
        <v>1269</v>
      </c>
      <c r="B27982" s="570">
        <v>1105</v>
      </c>
      <c r="C27982" s="570">
        <v>716</v>
      </c>
    </row>
    <row r="27983" spans="1:3">
      <c r="A27983" s="569" t="s">
        <v>1269</v>
      </c>
      <c r="B27983" s="570">
        <v>1399</v>
      </c>
      <c r="C27983" s="570">
        <v>718.9</v>
      </c>
    </row>
    <row r="27984" spans="1:3">
      <c r="A27984" s="569" t="s">
        <v>1269</v>
      </c>
      <c r="B27984" s="570">
        <v>1553</v>
      </c>
      <c r="C27984" s="570">
        <v>723</v>
      </c>
    </row>
    <row r="27985" spans="1:3">
      <c r="A27985" s="571" t="s">
        <v>1268</v>
      </c>
      <c r="B27985" s="572">
        <v>0.94</v>
      </c>
      <c r="C27985" s="572">
        <v>44</v>
      </c>
    </row>
    <row r="27986" spans="1:3">
      <c r="A27986" s="571" t="s">
        <v>1268</v>
      </c>
      <c r="B27986" s="572">
        <v>3</v>
      </c>
      <c r="C27986" s="572">
        <v>72</v>
      </c>
    </row>
    <row r="27987" spans="1:3">
      <c r="A27987" s="571" t="s">
        <v>1268</v>
      </c>
      <c r="B27987" s="572">
        <v>6</v>
      </c>
      <c r="C27987" s="572">
        <v>102</v>
      </c>
    </row>
    <row r="27988" spans="1:3">
      <c r="A27988" s="571" t="s">
        <v>1268</v>
      </c>
      <c r="B27988" s="572">
        <v>14</v>
      </c>
      <c r="C27988" s="572">
        <v>161</v>
      </c>
    </row>
    <row r="27989" spans="1:3">
      <c r="A27989" s="571" t="s">
        <v>1268</v>
      </c>
      <c r="B27989" s="572">
        <v>34</v>
      </c>
      <c r="C27989" s="572">
        <v>237</v>
      </c>
    </row>
    <row r="27990" spans="1:3">
      <c r="A27990" s="571" t="s">
        <v>1268</v>
      </c>
      <c r="B27990" s="572">
        <v>52</v>
      </c>
      <c r="C27990" s="572">
        <v>293</v>
      </c>
    </row>
    <row r="27991" spans="1:3">
      <c r="A27991" s="571" t="s">
        <v>1268</v>
      </c>
      <c r="B27991" s="572">
        <v>91</v>
      </c>
      <c r="C27991" s="572">
        <v>366</v>
      </c>
    </row>
    <row r="27992" spans="1:3">
      <c r="A27992" s="573" t="s">
        <v>1268</v>
      </c>
      <c r="B27992" s="574">
        <v>169</v>
      </c>
      <c r="C27992" s="574">
        <v>443</v>
      </c>
    </row>
    <row r="27993" spans="1:3">
      <c r="A27993" s="573" t="s">
        <v>1268</v>
      </c>
      <c r="B27993" s="574">
        <v>258</v>
      </c>
      <c r="C27993" s="574">
        <v>533</v>
      </c>
    </row>
    <row r="27994" spans="1:3">
      <c r="A27994" s="569" t="s">
        <v>1268</v>
      </c>
      <c r="B27994" s="570">
        <v>554</v>
      </c>
      <c r="C27994" s="570">
        <v>652</v>
      </c>
    </row>
    <row r="27995" spans="1:3">
      <c r="A27995" s="569" t="s">
        <v>1268</v>
      </c>
      <c r="B27995" s="570">
        <v>1105</v>
      </c>
      <c r="C27995" s="570">
        <v>663</v>
      </c>
    </row>
    <row r="27996" spans="1:3">
      <c r="A27996" s="569" t="s">
        <v>1268</v>
      </c>
      <c r="B27996" s="570">
        <v>1399</v>
      </c>
      <c r="C27996" s="570">
        <v>681.7</v>
      </c>
    </row>
    <row r="27997" spans="1:3">
      <c r="A27997" s="569" t="s">
        <v>1268</v>
      </c>
      <c r="B27997" s="570">
        <v>1553</v>
      </c>
      <c r="C27997" s="570">
        <v>688</v>
      </c>
    </row>
    <row r="27998" spans="1:3">
      <c r="A27998" s="571" t="s">
        <v>1267</v>
      </c>
      <c r="B27998" s="572">
        <v>0.89</v>
      </c>
      <c r="C27998" s="572">
        <v>30</v>
      </c>
    </row>
    <row r="27999" spans="1:3">
      <c r="A27999" s="571" t="s">
        <v>1267</v>
      </c>
      <c r="B27999" s="572">
        <v>3</v>
      </c>
      <c r="C27999" s="572">
        <v>42</v>
      </c>
    </row>
    <row r="28000" spans="1:3">
      <c r="A28000" s="571" t="s">
        <v>1267</v>
      </c>
      <c r="B28000" s="572">
        <v>6</v>
      </c>
      <c r="C28000" s="572">
        <v>56</v>
      </c>
    </row>
    <row r="28001" spans="1:3">
      <c r="A28001" s="571" t="s">
        <v>1267</v>
      </c>
      <c r="B28001" s="572">
        <v>14</v>
      </c>
      <c r="C28001" s="572">
        <v>82</v>
      </c>
    </row>
    <row r="28002" spans="1:3">
      <c r="A28002" s="571" t="s">
        <v>1267</v>
      </c>
      <c r="B28002" s="572">
        <v>34</v>
      </c>
      <c r="C28002" s="572">
        <v>129</v>
      </c>
    </row>
    <row r="28003" spans="1:3">
      <c r="A28003" s="571" t="s">
        <v>1267</v>
      </c>
      <c r="B28003" s="572">
        <v>52</v>
      </c>
      <c r="C28003" s="572">
        <v>156</v>
      </c>
    </row>
    <row r="28004" spans="1:3">
      <c r="A28004" s="571" t="s">
        <v>1267</v>
      </c>
      <c r="B28004" s="572">
        <v>91</v>
      </c>
      <c r="C28004" s="572">
        <v>197</v>
      </c>
    </row>
    <row r="28005" spans="1:3">
      <c r="A28005" s="573" t="s">
        <v>1267</v>
      </c>
      <c r="B28005" s="574">
        <v>169</v>
      </c>
      <c r="C28005" s="574">
        <v>274</v>
      </c>
    </row>
    <row r="28006" spans="1:3">
      <c r="A28006" s="573" t="s">
        <v>1267</v>
      </c>
      <c r="B28006" s="574">
        <v>258</v>
      </c>
      <c r="C28006" s="574">
        <v>340</v>
      </c>
    </row>
    <row r="28007" spans="1:3">
      <c r="A28007" s="569" t="s">
        <v>1267</v>
      </c>
      <c r="B28007" s="570">
        <v>554</v>
      </c>
      <c r="C28007" s="570">
        <v>465</v>
      </c>
    </row>
    <row r="28008" spans="1:3">
      <c r="A28008" s="569" t="s">
        <v>1267</v>
      </c>
      <c r="B28008" s="570">
        <v>1105</v>
      </c>
      <c r="C28008" s="570">
        <v>535</v>
      </c>
    </row>
    <row r="28009" spans="1:3">
      <c r="A28009" s="571" t="s">
        <v>3730</v>
      </c>
      <c r="B28009" s="572">
        <v>0.1</v>
      </c>
      <c r="C28009" s="572">
        <v>0</v>
      </c>
    </row>
    <row r="28010" spans="1:3">
      <c r="A28010" s="571" t="s">
        <v>3730</v>
      </c>
      <c r="B28010" s="572">
        <v>0.5</v>
      </c>
      <c r="C28010" s="572">
        <v>28</v>
      </c>
    </row>
    <row r="28011" spans="1:3">
      <c r="A28011" s="571" t="s">
        <v>3730</v>
      </c>
      <c r="B28011" s="572">
        <v>1.1000000000000001</v>
      </c>
      <c r="C28011" s="572">
        <v>48</v>
      </c>
    </row>
    <row r="28012" spans="1:3">
      <c r="A28012" s="571" t="s">
        <v>3730</v>
      </c>
      <c r="B28012" s="572">
        <v>2.1</v>
      </c>
      <c r="C28012" s="572">
        <v>76</v>
      </c>
    </row>
    <row r="28013" spans="1:3">
      <c r="A28013" s="571" t="s">
        <v>3730</v>
      </c>
      <c r="B28013" s="572">
        <v>3.2</v>
      </c>
      <c r="C28013" s="572">
        <v>96</v>
      </c>
    </row>
    <row r="28014" spans="1:3">
      <c r="A28014" s="571" t="s">
        <v>3730</v>
      </c>
      <c r="B28014" s="572">
        <v>4.0999999999999996</v>
      </c>
      <c r="C28014" s="572">
        <v>110</v>
      </c>
    </row>
    <row r="28015" spans="1:3">
      <c r="A28015" s="571" t="s">
        <v>3730</v>
      </c>
      <c r="B28015" s="572">
        <v>5.2</v>
      </c>
      <c r="C28015" s="572">
        <v>127</v>
      </c>
    </row>
    <row r="28016" spans="1:3">
      <c r="A28016" s="571" t="s">
        <v>3730</v>
      </c>
      <c r="B28016" s="572">
        <v>8.1</v>
      </c>
      <c r="C28016" s="572">
        <v>160</v>
      </c>
    </row>
    <row r="28017" spans="1:3">
      <c r="A28017" s="571" t="s">
        <v>3730</v>
      </c>
      <c r="B28017" s="572">
        <v>11.1</v>
      </c>
      <c r="C28017" s="572">
        <v>184</v>
      </c>
    </row>
    <row r="28018" spans="1:3">
      <c r="A28018" s="571" t="s">
        <v>3730</v>
      </c>
      <c r="B28018" s="572">
        <v>13.1</v>
      </c>
      <c r="C28018" s="572">
        <v>197</v>
      </c>
    </row>
    <row r="28019" spans="1:3">
      <c r="A28019" s="571" t="s">
        <v>3730</v>
      </c>
      <c r="B28019" s="572">
        <v>18.2</v>
      </c>
      <c r="C28019" s="572">
        <v>220</v>
      </c>
    </row>
    <row r="28020" spans="1:3">
      <c r="A28020" s="571" t="s">
        <v>3730</v>
      </c>
      <c r="B28020" s="572">
        <v>21.2</v>
      </c>
      <c r="C28020" s="572">
        <v>233</v>
      </c>
    </row>
    <row r="28021" spans="1:3">
      <c r="A28021" s="571" t="s">
        <v>3730</v>
      </c>
      <c r="B28021" s="572">
        <v>25.1</v>
      </c>
      <c r="C28021" s="572">
        <v>243</v>
      </c>
    </row>
    <row r="28022" spans="1:3">
      <c r="A28022" s="571" t="s">
        <v>3730</v>
      </c>
      <c r="B28022" s="572">
        <v>28.1</v>
      </c>
      <c r="C28022" s="572">
        <v>254</v>
      </c>
    </row>
    <row r="28023" spans="1:3">
      <c r="A28023" s="571" t="s">
        <v>3730</v>
      </c>
      <c r="B28023" s="572">
        <v>35.200000000000003</v>
      </c>
      <c r="C28023" s="572">
        <v>271</v>
      </c>
    </row>
    <row r="28024" spans="1:3">
      <c r="A28024" s="571" t="s">
        <v>3730</v>
      </c>
      <c r="B28024" s="572">
        <v>40.200000000000003</v>
      </c>
      <c r="C28024" s="572">
        <v>280</v>
      </c>
    </row>
    <row r="28025" spans="1:3">
      <c r="A28025" s="571" t="s">
        <v>3730</v>
      </c>
      <c r="B28025" s="572">
        <v>46.2</v>
      </c>
      <c r="C28025" s="572">
        <v>291</v>
      </c>
    </row>
    <row r="28026" spans="1:3">
      <c r="A28026" s="571" t="s">
        <v>3730</v>
      </c>
      <c r="B28026" s="572">
        <v>53.2</v>
      </c>
      <c r="C28026" s="572">
        <v>301</v>
      </c>
    </row>
    <row r="28027" spans="1:3">
      <c r="A28027" s="571" t="s">
        <v>3730</v>
      </c>
      <c r="B28027" s="572">
        <v>57.1</v>
      </c>
      <c r="C28027" s="572">
        <v>311</v>
      </c>
    </row>
    <row r="28028" spans="1:3">
      <c r="A28028" s="571" t="s">
        <v>3730</v>
      </c>
      <c r="B28028" s="572">
        <v>61.2</v>
      </c>
      <c r="C28028" s="572">
        <v>316</v>
      </c>
    </row>
    <row r="28029" spans="1:3">
      <c r="A28029" s="571" t="s">
        <v>3730</v>
      </c>
      <c r="B28029" s="572">
        <v>64.099999999999994</v>
      </c>
      <c r="C28029" s="572">
        <v>319</v>
      </c>
    </row>
    <row r="28030" spans="1:3">
      <c r="A28030" s="571" t="s">
        <v>3730</v>
      </c>
      <c r="B28030" s="572">
        <v>71.2</v>
      </c>
      <c r="C28030" s="572">
        <v>325</v>
      </c>
    </row>
    <row r="28031" spans="1:3">
      <c r="A28031" s="571" t="s">
        <v>3730</v>
      </c>
      <c r="B28031" s="572">
        <v>75.3</v>
      </c>
      <c r="C28031" s="572">
        <v>330</v>
      </c>
    </row>
    <row r="28032" spans="1:3">
      <c r="A28032" s="571" t="s">
        <v>3730</v>
      </c>
      <c r="B28032" s="572">
        <v>85</v>
      </c>
      <c r="C28032" s="572">
        <v>341</v>
      </c>
    </row>
    <row r="28033" spans="1:3">
      <c r="A28033" s="571" t="s">
        <v>3730</v>
      </c>
      <c r="B28033" s="572">
        <v>92.1</v>
      </c>
      <c r="C28033" s="572">
        <v>347</v>
      </c>
    </row>
    <row r="28034" spans="1:3">
      <c r="A28034" s="571" t="s">
        <v>3730</v>
      </c>
      <c r="B28034" s="572">
        <v>97.1</v>
      </c>
      <c r="C28034" s="572">
        <v>353</v>
      </c>
    </row>
    <row r="28035" spans="1:3">
      <c r="A28035" s="573" t="s">
        <v>3730</v>
      </c>
      <c r="B28035" s="574">
        <v>111.3</v>
      </c>
      <c r="C28035" s="574">
        <v>363</v>
      </c>
    </row>
    <row r="28036" spans="1:3">
      <c r="A28036" s="573" t="s">
        <v>3730</v>
      </c>
      <c r="B28036" s="574">
        <v>125.3</v>
      </c>
      <c r="C28036" s="574">
        <v>372</v>
      </c>
    </row>
    <row r="28037" spans="1:3">
      <c r="A28037" s="573" t="s">
        <v>3730</v>
      </c>
      <c r="B28037" s="574">
        <v>153.19999999999999</v>
      </c>
      <c r="C28037" s="574">
        <v>388</v>
      </c>
    </row>
    <row r="28038" spans="1:3">
      <c r="A28038" s="573" t="s">
        <v>3730</v>
      </c>
      <c r="B28038" s="574">
        <v>183</v>
      </c>
      <c r="C28038" s="574">
        <v>405</v>
      </c>
    </row>
    <row r="28039" spans="1:3">
      <c r="A28039" s="573" t="s">
        <v>3730</v>
      </c>
      <c r="B28039" s="574">
        <v>195.1</v>
      </c>
      <c r="C28039" s="574">
        <v>412</v>
      </c>
    </row>
    <row r="28040" spans="1:3">
      <c r="A28040" s="573" t="s">
        <v>3730</v>
      </c>
      <c r="B28040" s="574">
        <v>216.9</v>
      </c>
      <c r="C28040" s="574">
        <v>427</v>
      </c>
    </row>
    <row r="28041" spans="1:3">
      <c r="A28041" s="573" t="s">
        <v>3730</v>
      </c>
      <c r="B28041" s="574">
        <v>232.1</v>
      </c>
      <c r="C28041" s="574">
        <v>436</v>
      </c>
    </row>
    <row r="28042" spans="1:3">
      <c r="A28042" s="573" t="s">
        <v>3730</v>
      </c>
      <c r="B28042" s="574">
        <v>245</v>
      </c>
      <c r="C28042" s="574">
        <v>444</v>
      </c>
    </row>
    <row r="28043" spans="1:3">
      <c r="A28043" s="573" t="s">
        <v>3730</v>
      </c>
      <c r="B28043" s="574">
        <v>258.2</v>
      </c>
      <c r="C28043" s="574">
        <v>448</v>
      </c>
    </row>
    <row r="28044" spans="1:3">
      <c r="A28044" s="573" t="s">
        <v>3730</v>
      </c>
      <c r="B28044" s="574">
        <v>271.3</v>
      </c>
      <c r="C28044" s="574">
        <v>457</v>
      </c>
    </row>
    <row r="28045" spans="1:3">
      <c r="A28045" s="573" t="s">
        <v>3730</v>
      </c>
      <c r="B28045" s="574">
        <v>288.2</v>
      </c>
      <c r="C28045" s="574">
        <v>468</v>
      </c>
    </row>
    <row r="28046" spans="1:3">
      <c r="A28046" s="573" t="s">
        <v>3730</v>
      </c>
      <c r="B28046" s="574">
        <v>300.2</v>
      </c>
      <c r="C28046" s="574">
        <v>467</v>
      </c>
    </row>
    <row r="28047" spans="1:3">
      <c r="A28047" s="573" t="s">
        <v>3730</v>
      </c>
      <c r="B28047" s="574">
        <v>334.2</v>
      </c>
      <c r="C28047" s="574">
        <v>476</v>
      </c>
    </row>
    <row r="28048" spans="1:3">
      <c r="A28048" s="573" t="s">
        <v>3730</v>
      </c>
      <c r="B28048" s="574">
        <v>344.1</v>
      </c>
      <c r="C28048" s="574">
        <v>480</v>
      </c>
    </row>
    <row r="28049" spans="1:3">
      <c r="A28049" s="573" t="s">
        <v>3730</v>
      </c>
      <c r="B28049" s="574">
        <v>358.1</v>
      </c>
      <c r="C28049" s="574">
        <v>484</v>
      </c>
    </row>
    <row r="28050" spans="1:3">
      <c r="A28050" s="573" t="s">
        <v>3730</v>
      </c>
      <c r="B28050" s="574">
        <v>376.1</v>
      </c>
      <c r="C28050" s="574">
        <v>492</v>
      </c>
    </row>
    <row r="28051" spans="1:3">
      <c r="A28051" s="573" t="s">
        <v>3730</v>
      </c>
      <c r="B28051" s="574">
        <v>387.1</v>
      </c>
      <c r="C28051" s="574">
        <v>491</v>
      </c>
    </row>
    <row r="28052" spans="1:3">
      <c r="A28052" s="573" t="s">
        <v>3730</v>
      </c>
      <c r="B28052" s="574">
        <v>407.1</v>
      </c>
      <c r="C28052" s="574">
        <v>492</v>
      </c>
    </row>
    <row r="28053" spans="1:3">
      <c r="A28053" s="573" t="s">
        <v>3730</v>
      </c>
      <c r="B28053" s="574">
        <v>421.1</v>
      </c>
      <c r="C28053" s="574">
        <v>493</v>
      </c>
    </row>
    <row r="28054" spans="1:3">
      <c r="A28054" s="573" t="s">
        <v>3730</v>
      </c>
      <c r="B28054" s="574">
        <v>438.9</v>
      </c>
      <c r="C28054" s="574">
        <v>491</v>
      </c>
    </row>
    <row r="28055" spans="1:3">
      <c r="A28055" s="573" t="s">
        <v>3730</v>
      </c>
      <c r="B28055" s="574">
        <v>467.3</v>
      </c>
      <c r="C28055" s="574">
        <v>494</v>
      </c>
    </row>
    <row r="28056" spans="1:3">
      <c r="A28056" s="573" t="s">
        <v>3730</v>
      </c>
      <c r="B28056" s="574">
        <v>481.2</v>
      </c>
      <c r="C28056" s="574">
        <v>492</v>
      </c>
    </row>
    <row r="28057" spans="1:3">
      <c r="A28057" s="569" t="s">
        <v>3730</v>
      </c>
      <c r="B28057" s="570">
        <v>504.2</v>
      </c>
      <c r="C28057" s="570">
        <v>488</v>
      </c>
    </row>
    <row r="28058" spans="1:3">
      <c r="A28058" s="571" t="s">
        <v>1205</v>
      </c>
      <c r="B28058" s="572">
        <v>0</v>
      </c>
      <c r="C28058" s="572">
        <v>0</v>
      </c>
    </row>
    <row r="28059" spans="1:3">
      <c r="A28059" s="571" t="s">
        <v>1205</v>
      </c>
      <c r="B28059" s="572">
        <v>0</v>
      </c>
      <c r="C28059" s="572">
        <v>0</v>
      </c>
    </row>
    <row r="28060" spans="1:3">
      <c r="A28060" s="571" t="s">
        <v>1205</v>
      </c>
      <c r="B28060" s="572">
        <v>0.30000000000000071</v>
      </c>
      <c r="C28060" s="572">
        <v>0</v>
      </c>
    </row>
    <row r="28061" spans="1:3">
      <c r="A28061" s="571" t="s">
        <v>1205</v>
      </c>
      <c r="B28061" s="572">
        <v>0.87000000000000099</v>
      </c>
      <c r="C28061" s="572">
        <v>100.94500000000001</v>
      </c>
    </row>
    <row r="28062" spans="1:3">
      <c r="A28062" s="571" t="s">
        <v>1205</v>
      </c>
      <c r="B28062" s="572">
        <v>2</v>
      </c>
      <c r="C28062" s="572">
        <v>144.29000000000002</v>
      </c>
    </row>
    <row r="28063" spans="1:3">
      <c r="A28063" s="571" t="s">
        <v>1205</v>
      </c>
      <c r="B28063" s="572">
        <v>5.3599999999999994</v>
      </c>
      <c r="C28063" s="572">
        <v>204.8</v>
      </c>
    </row>
    <row r="28064" spans="1:3">
      <c r="A28064" s="571" t="s">
        <v>1205</v>
      </c>
      <c r="B28064" s="572">
        <v>11.86</v>
      </c>
      <c r="C28064" s="572">
        <v>291.5</v>
      </c>
    </row>
    <row r="28065" spans="1:3">
      <c r="A28065" s="571" t="s">
        <v>1205</v>
      </c>
      <c r="B28065" s="572">
        <v>13.079999999999998</v>
      </c>
      <c r="C28065" s="572">
        <v>303.39999999999998</v>
      </c>
    </row>
    <row r="28066" spans="1:3">
      <c r="A28066" s="571" t="s">
        <v>1205</v>
      </c>
      <c r="B28066" s="572">
        <v>21.85</v>
      </c>
      <c r="C28066" s="572">
        <v>368.9</v>
      </c>
    </row>
    <row r="28067" spans="1:3">
      <c r="A28067" s="571" t="s">
        <v>1205</v>
      </c>
      <c r="B28067" s="572">
        <v>29.07</v>
      </c>
      <c r="C28067" s="572">
        <v>402.9</v>
      </c>
    </row>
    <row r="28068" spans="1:3">
      <c r="A28068" s="571" t="s">
        <v>1205</v>
      </c>
      <c r="B28068" s="572">
        <v>31.85</v>
      </c>
      <c r="C28068" s="572">
        <v>412.70000000000005</v>
      </c>
    </row>
    <row r="28069" spans="1:3">
      <c r="A28069" s="571" t="s">
        <v>1205</v>
      </c>
      <c r="B28069" s="572">
        <v>41.849999999999994</v>
      </c>
      <c r="C28069" s="572">
        <v>447.70000000000005</v>
      </c>
    </row>
    <row r="28070" spans="1:3">
      <c r="A28070" s="571" t="s">
        <v>1205</v>
      </c>
      <c r="B28070" s="572">
        <v>51.66</v>
      </c>
      <c r="C28070" s="572">
        <v>469.4</v>
      </c>
    </row>
    <row r="28071" spans="1:3">
      <c r="A28071" s="571" t="s">
        <v>1205</v>
      </c>
      <c r="B28071" s="572">
        <v>61.95</v>
      </c>
      <c r="C28071" s="572">
        <v>486.1</v>
      </c>
    </row>
    <row r="28072" spans="1:3">
      <c r="A28072" s="571" t="s">
        <v>1205</v>
      </c>
      <c r="B28072" s="572">
        <v>71.650000000000006</v>
      </c>
      <c r="C28072" s="572">
        <v>501.4</v>
      </c>
    </row>
    <row r="28073" spans="1:3">
      <c r="A28073" s="571" t="s">
        <v>1205</v>
      </c>
      <c r="B28073" s="572">
        <v>81.7</v>
      </c>
      <c r="C28073" s="572">
        <v>515.20000000000005</v>
      </c>
    </row>
    <row r="28074" spans="1:3">
      <c r="A28074" s="571" t="s">
        <v>1205</v>
      </c>
      <c r="B28074" s="572">
        <v>91.8</v>
      </c>
      <c r="C28074" s="572">
        <v>524.1</v>
      </c>
    </row>
    <row r="28075" spans="1:3">
      <c r="A28075" s="573" t="s">
        <v>1205</v>
      </c>
      <c r="B28075" s="574">
        <v>102</v>
      </c>
      <c r="C28075" s="574">
        <v>523.1</v>
      </c>
    </row>
    <row r="28076" spans="1:3">
      <c r="A28076" s="571" t="s">
        <v>1204</v>
      </c>
      <c r="B28076" s="572">
        <v>0</v>
      </c>
      <c r="C28076" s="572">
        <v>0</v>
      </c>
    </row>
    <row r="28077" spans="1:3">
      <c r="A28077" s="571" t="s">
        <v>1204</v>
      </c>
      <c r="B28077" s="572">
        <v>0</v>
      </c>
      <c r="C28077" s="572">
        <v>0</v>
      </c>
    </row>
    <row r="28078" spans="1:3">
      <c r="A28078" s="571" t="s">
        <v>1204</v>
      </c>
      <c r="B28078" s="572">
        <v>0</v>
      </c>
      <c r="C28078" s="572">
        <v>0</v>
      </c>
    </row>
    <row r="28079" spans="1:3">
      <c r="A28079" s="571" t="s">
        <v>1204</v>
      </c>
      <c r="B28079" s="572">
        <v>0.25</v>
      </c>
      <c r="C28079" s="572">
        <v>0</v>
      </c>
    </row>
    <row r="28080" spans="1:3">
      <c r="A28080" s="571" t="s">
        <v>1204</v>
      </c>
      <c r="B28080" s="572">
        <v>0.30000000000000071</v>
      </c>
      <c r="C28080" s="572">
        <v>117.723</v>
      </c>
    </row>
    <row r="28081" spans="1:3">
      <c r="A28081" s="571" t="s">
        <v>1204</v>
      </c>
      <c r="B28081" s="572">
        <v>2.0399999999999991</v>
      </c>
      <c r="C28081" s="572">
        <v>202.45</v>
      </c>
    </row>
    <row r="28082" spans="1:3">
      <c r="A28082" s="571" t="s">
        <v>1204</v>
      </c>
      <c r="B28082" s="572">
        <v>2.3599999999999994</v>
      </c>
      <c r="C28082" s="572">
        <v>220.10000000000002</v>
      </c>
    </row>
    <row r="28083" spans="1:3">
      <c r="A28083" s="571" t="s">
        <v>1204</v>
      </c>
      <c r="B28083" s="572">
        <v>7.7999999999999972</v>
      </c>
      <c r="C28083" s="572">
        <v>318.7</v>
      </c>
    </row>
    <row r="28084" spans="1:3">
      <c r="A28084" s="571" t="s">
        <v>1204</v>
      </c>
      <c r="B28084" s="572">
        <v>11.950000000000003</v>
      </c>
      <c r="C28084" s="572">
        <v>361</v>
      </c>
    </row>
    <row r="28085" spans="1:3">
      <c r="A28085" s="571" t="s">
        <v>1204</v>
      </c>
      <c r="B28085" s="572">
        <v>21.9</v>
      </c>
      <c r="C28085" s="572">
        <v>423.09999999999997</v>
      </c>
    </row>
    <row r="28086" spans="1:3">
      <c r="A28086" s="571" t="s">
        <v>1204</v>
      </c>
      <c r="B28086" s="572">
        <v>31.85</v>
      </c>
      <c r="C28086" s="572">
        <v>460</v>
      </c>
    </row>
    <row r="28087" spans="1:3">
      <c r="A28087" s="571" t="s">
        <v>1204</v>
      </c>
      <c r="B28087" s="572">
        <v>41.849999999999994</v>
      </c>
      <c r="C28087" s="572">
        <v>488.59999999999997</v>
      </c>
    </row>
    <row r="28088" spans="1:3">
      <c r="A28088" s="571" t="s">
        <v>1204</v>
      </c>
      <c r="B28088" s="572">
        <v>51.66</v>
      </c>
      <c r="C28088" s="572">
        <v>504.9</v>
      </c>
    </row>
    <row r="28089" spans="1:3">
      <c r="A28089" s="571" t="s">
        <v>1204</v>
      </c>
      <c r="B28089" s="572">
        <v>61.7</v>
      </c>
      <c r="C28089" s="572">
        <v>523.1</v>
      </c>
    </row>
    <row r="28090" spans="1:3">
      <c r="A28090" s="571" t="s">
        <v>1204</v>
      </c>
      <c r="B28090" s="572">
        <v>71.650000000000006</v>
      </c>
      <c r="C28090" s="572">
        <v>535.4</v>
      </c>
    </row>
    <row r="28091" spans="1:3">
      <c r="A28091" s="571" t="s">
        <v>1204</v>
      </c>
      <c r="B28091" s="572">
        <v>81.7</v>
      </c>
      <c r="C28091" s="572">
        <v>548.70000000000005</v>
      </c>
    </row>
    <row r="28092" spans="1:3">
      <c r="A28092" s="571" t="s">
        <v>1204</v>
      </c>
      <c r="B28092" s="572">
        <v>91.8</v>
      </c>
      <c r="C28092" s="572">
        <v>556.1</v>
      </c>
    </row>
    <row r="28093" spans="1:3">
      <c r="A28093" s="573" t="s">
        <v>1204</v>
      </c>
      <c r="B28093" s="574">
        <v>102</v>
      </c>
      <c r="C28093" s="574">
        <v>554.6</v>
      </c>
    </row>
    <row r="28094" spans="1:3">
      <c r="A28094" s="571" t="s">
        <v>1203</v>
      </c>
      <c r="B28094" s="572">
        <v>0</v>
      </c>
      <c r="C28094" s="572">
        <v>0</v>
      </c>
    </row>
    <row r="28095" spans="1:3">
      <c r="A28095" s="571" t="s">
        <v>1203</v>
      </c>
      <c r="B28095" s="572">
        <v>0</v>
      </c>
      <c r="C28095" s="572">
        <v>0</v>
      </c>
    </row>
    <row r="28096" spans="1:3">
      <c r="A28096" s="571" t="s">
        <v>1203</v>
      </c>
      <c r="B28096" s="572">
        <v>0.25</v>
      </c>
      <c r="C28096" s="572">
        <v>0</v>
      </c>
    </row>
    <row r="28097" spans="1:3">
      <c r="A28097" s="571" t="s">
        <v>1203</v>
      </c>
      <c r="B28097" s="572">
        <v>1.8399999999999999</v>
      </c>
      <c r="C28097" s="572">
        <v>83.25200000000001</v>
      </c>
    </row>
    <row r="28098" spans="1:3">
      <c r="A28098" s="571" t="s">
        <v>1203</v>
      </c>
      <c r="B28098" s="572">
        <v>5.9600000000000009</v>
      </c>
      <c r="C28098" s="572">
        <v>187.10000000000002</v>
      </c>
    </row>
    <row r="28099" spans="1:3">
      <c r="A28099" s="571" t="s">
        <v>1203</v>
      </c>
      <c r="B28099" s="572">
        <v>11.86</v>
      </c>
      <c r="C28099" s="572">
        <v>263.5</v>
      </c>
    </row>
    <row r="28100" spans="1:3">
      <c r="A28100" s="571" t="s">
        <v>1203</v>
      </c>
      <c r="B28100" s="572">
        <v>21.9</v>
      </c>
      <c r="C28100" s="572">
        <v>337.9</v>
      </c>
    </row>
    <row r="28101" spans="1:3">
      <c r="A28101" s="571" t="s">
        <v>1203</v>
      </c>
      <c r="B28101" s="572">
        <v>31.85</v>
      </c>
      <c r="C28101" s="572">
        <v>385.2</v>
      </c>
    </row>
    <row r="28102" spans="1:3">
      <c r="A28102" s="571" t="s">
        <v>1203</v>
      </c>
      <c r="B28102" s="572">
        <v>41.900000000000006</v>
      </c>
      <c r="C28102" s="572">
        <v>433.5</v>
      </c>
    </row>
    <row r="28103" spans="1:3">
      <c r="A28103" s="571" t="s">
        <v>1203</v>
      </c>
      <c r="B28103" s="572">
        <v>51.61</v>
      </c>
      <c r="C28103" s="572">
        <v>471.4</v>
      </c>
    </row>
    <row r="28104" spans="1:3">
      <c r="A28104" s="571" t="s">
        <v>1203</v>
      </c>
      <c r="B28104" s="572">
        <v>61.900000000000006</v>
      </c>
      <c r="C28104" s="572">
        <v>504.9</v>
      </c>
    </row>
    <row r="28105" spans="1:3">
      <c r="A28105" s="571" t="s">
        <v>1203</v>
      </c>
      <c r="B28105" s="572">
        <v>71.7</v>
      </c>
      <c r="C28105" s="572">
        <v>527</v>
      </c>
    </row>
    <row r="28106" spans="1:3">
      <c r="A28106" s="571" t="s">
        <v>1203</v>
      </c>
      <c r="B28106" s="572">
        <v>81.7</v>
      </c>
      <c r="C28106" s="572">
        <v>541.30000000000007</v>
      </c>
    </row>
    <row r="28107" spans="1:3">
      <c r="A28107" s="571" t="s">
        <v>1203</v>
      </c>
      <c r="B28107" s="572">
        <v>91.7</v>
      </c>
      <c r="C28107" s="572">
        <v>548.70000000000005</v>
      </c>
    </row>
    <row r="28108" spans="1:3">
      <c r="A28108" s="573" t="s">
        <v>1203</v>
      </c>
      <c r="B28108" s="574">
        <v>102.1</v>
      </c>
      <c r="C28108" s="574">
        <v>548.20000000000005</v>
      </c>
    </row>
    <row r="28109" spans="1:3">
      <c r="A28109" s="571" t="s">
        <v>1202</v>
      </c>
      <c r="B28109" s="572">
        <v>3.0179999999999998</v>
      </c>
      <c r="C28109" s="572">
        <v>0</v>
      </c>
    </row>
    <row r="28110" spans="1:3">
      <c r="A28110" s="571" t="s">
        <v>1202</v>
      </c>
      <c r="B28110" s="572">
        <v>3.49</v>
      </c>
      <c r="C28110" s="572">
        <v>22.48</v>
      </c>
    </row>
    <row r="28111" spans="1:3">
      <c r="A28111" s="571" t="s">
        <v>1202</v>
      </c>
      <c r="B28111" s="572">
        <v>5.3769999999999998</v>
      </c>
      <c r="C28111" s="572">
        <v>40.67</v>
      </c>
    </row>
    <row r="28112" spans="1:3">
      <c r="A28112" s="571" t="s">
        <v>1202</v>
      </c>
      <c r="B28112" s="572">
        <v>19.899999999999999</v>
      </c>
      <c r="C28112" s="572">
        <v>43.06</v>
      </c>
    </row>
    <row r="28113" spans="1:3">
      <c r="A28113" s="571" t="s">
        <v>1202</v>
      </c>
      <c r="B28113" s="572">
        <v>23.59</v>
      </c>
      <c r="C28113" s="572">
        <v>42.1</v>
      </c>
    </row>
    <row r="28114" spans="1:3">
      <c r="A28114" s="571" t="s">
        <v>1202</v>
      </c>
      <c r="B28114" s="572">
        <v>28.05</v>
      </c>
      <c r="C28114" s="572">
        <v>32.53</v>
      </c>
    </row>
    <row r="28115" spans="1:3">
      <c r="A28115" s="571" t="s">
        <v>1202</v>
      </c>
      <c r="B28115" s="572">
        <v>30.58</v>
      </c>
      <c r="C28115" s="572">
        <v>6.6980000000000004</v>
      </c>
    </row>
    <row r="28116" spans="1:3">
      <c r="A28116" s="571" t="s">
        <v>1202</v>
      </c>
      <c r="B28116" s="572">
        <v>32.229999999999997</v>
      </c>
      <c r="C28116" s="572">
        <v>25.35</v>
      </c>
    </row>
    <row r="28117" spans="1:3">
      <c r="A28117" s="571" t="s">
        <v>1202</v>
      </c>
      <c r="B28117" s="572">
        <v>35.14</v>
      </c>
      <c r="C28117" s="572">
        <v>50.71</v>
      </c>
    </row>
    <row r="28118" spans="1:3">
      <c r="A28118" s="571" t="s">
        <v>1202</v>
      </c>
      <c r="B28118" s="572">
        <v>40.1</v>
      </c>
      <c r="C28118" s="572">
        <v>71.290000000000006</v>
      </c>
    </row>
    <row r="28119" spans="1:3">
      <c r="A28119" s="571" t="s">
        <v>1202</v>
      </c>
      <c r="B28119" s="572">
        <v>44.56</v>
      </c>
      <c r="C28119" s="572">
        <v>85.64</v>
      </c>
    </row>
    <row r="28120" spans="1:3">
      <c r="A28120" s="571" t="s">
        <v>1202</v>
      </c>
      <c r="B28120" s="572">
        <v>52.18</v>
      </c>
      <c r="C28120" s="572">
        <v>105.7</v>
      </c>
    </row>
    <row r="28121" spans="1:3">
      <c r="A28121" s="571" t="s">
        <v>1202</v>
      </c>
      <c r="B28121" s="572">
        <v>60.38</v>
      </c>
      <c r="C28121" s="572">
        <v>126.7</v>
      </c>
    </row>
    <row r="28122" spans="1:3">
      <c r="A28122" s="571" t="s">
        <v>1202</v>
      </c>
      <c r="B28122" s="572">
        <v>80.38</v>
      </c>
      <c r="C28122" s="572">
        <v>177.9</v>
      </c>
    </row>
    <row r="28123" spans="1:3">
      <c r="A28123" s="573" t="s">
        <v>1202</v>
      </c>
      <c r="B28123" s="574">
        <v>100.2</v>
      </c>
      <c r="C28123" s="574">
        <v>224.8</v>
      </c>
    </row>
    <row r="28124" spans="1:3">
      <c r="A28124" s="573" t="s">
        <v>1202</v>
      </c>
      <c r="B28124" s="574">
        <v>120.5</v>
      </c>
      <c r="C28124" s="574">
        <v>261.7</v>
      </c>
    </row>
    <row r="28125" spans="1:3">
      <c r="A28125" s="573" t="s">
        <v>1202</v>
      </c>
      <c r="B28125" s="574">
        <v>140.30000000000001</v>
      </c>
      <c r="C28125" s="574">
        <v>292.8</v>
      </c>
    </row>
    <row r="28126" spans="1:3">
      <c r="A28126" s="573" t="s">
        <v>1202</v>
      </c>
      <c r="B28126" s="574">
        <v>160.5</v>
      </c>
      <c r="C28126" s="574">
        <v>308.10000000000002</v>
      </c>
    </row>
    <row r="28127" spans="1:3">
      <c r="A28127" s="573" t="s">
        <v>1202</v>
      </c>
      <c r="B28127" s="574">
        <v>180.5</v>
      </c>
      <c r="C28127" s="574">
        <v>316.2</v>
      </c>
    </row>
    <row r="28128" spans="1:3">
      <c r="A28128" s="573" t="s">
        <v>1202</v>
      </c>
      <c r="B28128" s="574">
        <v>200.6</v>
      </c>
      <c r="C28128" s="574">
        <v>314.8</v>
      </c>
    </row>
    <row r="28129" spans="1:3">
      <c r="A28129" s="571" t="s">
        <v>1201</v>
      </c>
      <c r="B28129" s="572">
        <v>2.641</v>
      </c>
      <c r="C28129" s="572">
        <v>1.4350000000000001</v>
      </c>
    </row>
    <row r="28130" spans="1:3">
      <c r="A28130" s="571" t="s">
        <v>1201</v>
      </c>
      <c r="B28130" s="572">
        <v>19.899999999999999</v>
      </c>
      <c r="C28130" s="572">
        <v>1.4350000000000001</v>
      </c>
    </row>
    <row r="28131" spans="1:3">
      <c r="A28131" s="571" t="s">
        <v>1201</v>
      </c>
      <c r="B28131" s="572">
        <v>28.05</v>
      </c>
      <c r="C28131" s="572">
        <v>3.3490000000000002</v>
      </c>
    </row>
    <row r="28132" spans="1:3">
      <c r="A28132" s="571" t="s">
        <v>1201</v>
      </c>
      <c r="B28132" s="572">
        <v>29.32</v>
      </c>
      <c r="C28132" s="572">
        <v>22.96</v>
      </c>
    </row>
    <row r="28133" spans="1:3">
      <c r="A28133" s="571" t="s">
        <v>1201</v>
      </c>
      <c r="B28133" s="572">
        <v>40.200000000000003</v>
      </c>
      <c r="C28133" s="572">
        <v>94.25</v>
      </c>
    </row>
    <row r="28134" spans="1:3">
      <c r="A28134" s="571" t="s">
        <v>1201</v>
      </c>
      <c r="B28134" s="572">
        <v>43.14</v>
      </c>
      <c r="C28134" s="572">
        <v>104.7</v>
      </c>
    </row>
    <row r="28135" spans="1:3">
      <c r="A28135" s="571" t="s">
        <v>1201</v>
      </c>
      <c r="B28135" s="572">
        <v>60.77</v>
      </c>
      <c r="C28135" s="572">
        <v>163.6</v>
      </c>
    </row>
    <row r="28136" spans="1:3">
      <c r="A28136" s="571" t="s">
        <v>1201</v>
      </c>
      <c r="B28136" s="572">
        <v>73.59</v>
      </c>
      <c r="C28136" s="572">
        <v>201.9</v>
      </c>
    </row>
    <row r="28137" spans="1:3">
      <c r="A28137" s="571" t="s">
        <v>1201</v>
      </c>
      <c r="B28137" s="572">
        <v>80.38</v>
      </c>
      <c r="C28137" s="572">
        <v>220.5</v>
      </c>
    </row>
    <row r="28138" spans="1:3">
      <c r="A28138" s="573" t="s">
        <v>1201</v>
      </c>
      <c r="B28138" s="574">
        <v>100.3</v>
      </c>
      <c r="C28138" s="574">
        <v>267.39999999999998</v>
      </c>
    </row>
    <row r="28139" spans="1:3">
      <c r="A28139" s="573" t="s">
        <v>1201</v>
      </c>
      <c r="B28139" s="574">
        <v>118.1</v>
      </c>
      <c r="C28139" s="574">
        <v>300.39999999999998</v>
      </c>
    </row>
    <row r="28140" spans="1:3">
      <c r="A28140" s="573" t="s">
        <v>1201</v>
      </c>
      <c r="B28140" s="574">
        <v>120.6</v>
      </c>
      <c r="C28140" s="574">
        <v>304.7</v>
      </c>
    </row>
    <row r="28141" spans="1:3">
      <c r="A28141" s="573" t="s">
        <v>1201</v>
      </c>
      <c r="B28141" s="574">
        <v>140.4</v>
      </c>
      <c r="C28141" s="574">
        <v>329.6</v>
      </c>
    </row>
    <row r="28142" spans="1:3">
      <c r="A28142" s="573" t="s">
        <v>1201</v>
      </c>
      <c r="B28142" s="574">
        <v>160.6</v>
      </c>
      <c r="C28142" s="574">
        <v>340.6</v>
      </c>
    </row>
    <row r="28143" spans="1:3">
      <c r="A28143" s="573" t="s">
        <v>1201</v>
      </c>
      <c r="B28143" s="574">
        <v>180.5</v>
      </c>
      <c r="C28143" s="574">
        <v>347.8</v>
      </c>
    </row>
    <row r="28144" spans="1:3">
      <c r="A28144" s="573" t="s">
        <v>1201</v>
      </c>
      <c r="B28144" s="574">
        <v>200.5</v>
      </c>
      <c r="C28144" s="574">
        <v>352.1</v>
      </c>
    </row>
    <row r="28145" spans="1:3">
      <c r="A28145" s="571" t="s">
        <v>1200</v>
      </c>
      <c r="B28145" s="572">
        <v>3.113</v>
      </c>
      <c r="C28145" s="572">
        <v>1.4350000000000001</v>
      </c>
    </row>
    <row r="28146" spans="1:3">
      <c r="A28146" s="571" t="s">
        <v>1200</v>
      </c>
      <c r="B28146" s="572">
        <v>3.9620000000000002</v>
      </c>
      <c r="C28146" s="572">
        <v>42.1</v>
      </c>
    </row>
    <row r="28147" spans="1:3">
      <c r="A28147" s="571" t="s">
        <v>1200</v>
      </c>
      <c r="B28147" s="572">
        <v>10.75</v>
      </c>
      <c r="C28147" s="572">
        <v>48.32</v>
      </c>
    </row>
    <row r="28148" spans="1:3">
      <c r="A28148" s="571" t="s">
        <v>1200</v>
      </c>
      <c r="B28148" s="572">
        <v>27.76</v>
      </c>
      <c r="C28148" s="572">
        <v>44.97</v>
      </c>
    </row>
    <row r="28149" spans="1:3">
      <c r="A28149" s="571" t="s">
        <v>1200</v>
      </c>
      <c r="B28149" s="572">
        <v>31.84</v>
      </c>
      <c r="C28149" s="572">
        <v>7.1769999999999996</v>
      </c>
    </row>
    <row r="28150" spans="1:3">
      <c r="A28150" s="571" t="s">
        <v>1200</v>
      </c>
      <c r="B28150" s="572">
        <v>40.200000000000003</v>
      </c>
      <c r="C28150" s="572">
        <v>81.34</v>
      </c>
    </row>
    <row r="28151" spans="1:3">
      <c r="A28151" s="571" t="s">
        <v>1200</v>
      </c>
      <c r="B28151" s="572">
        <v>44.56</v>
      </c>
      <c r="C28151" s="572">
        <v>105.2</v>
      </c>
    </row>
    <row r="28152" spans="1:3">
      <c r="A28152" s="571" t="s">
        <v>1200</v>
      </c>
      <c r="B28152" s="572">
        <v>60.87</v>
      </c>
      <c r="C28152" s="572">
        <v>187.5</v>
      </c>
    </row>
    <row r="28153" spans="1:3">
      <c r="A28153" s="571" t="s">
        <v>1200</v>
      </c>
      <c r="B28153" s="572">
        <v>65.14</v>
      </c>
      <c r="C28153" s="572">
        <v>201.9</v>
      </c>
    </row>
    <row r="28154" spans="1:3">
      <c r="A28154" s="571" t="s">
        <v>1200</v>
      </c>
      <c r="B28154" s="572">
        <v>80.47</v>
      </c>
      <c r="C28154" s="572">
        <v>240.6</v>
      </c>
    </row>
    <row r="28155" spans="1:3">
      <c r="A28155" s="573" t="s">
        <v>1200</v>
      </c>
      <c r="B28155" s="574">
        <v>100.3</v>
      </c>
      <c r="C28155" s="574">
        <v>280.3</v>
      </c>
    </row>
    <row r="28156" spans="1:3">
      <c r="A28156" s="573" t="s">
        <v>1200</v>
      </c>
      <c r="B28156" s="574">
        <v>120.4</v>
      </c>
      <c r="C28156" s="574">
        <v>309.5</v>
      </c>
    </row>
    <row r="28157" spans="1:3">
      <c r="A28157" s="573" t="s">
        <v>1200</v>
      </c>
      <c r="B28157" s="574">
        <v>140.30000000000001</v>
      </c>
      <c r="C28157" s="574">
        <v>326.3</v>
      </c>
    </row>
    <row r="28158" spans="1:3">
      <c r="A28158" s="573" t="s">
        <v>1200</v>
      </c>
      <c r="B28158" s="574">
        <v>160.6</v>
      </c>
      <c r="C28158" s="574">
        <v>329.6</v>
      </c>
    </row>
    <row r="28159" spans="1:3">
      <c r="A28159" s="573" t="s">
        <v>1200</v>
      </c>
      <c r="B28159" s="574">
        <v>180.5</v>
      </c>
      <c r="C28159" s="574">
        <v>328.7</v>
      </c>
    </row>
    <row r="28160" spans="1:3">
      <c r="A28160" s="573" t="s">
        <v>1200</v>
      </c>
      <c r="B28160" s="574">
        <v>200.8</v>
      </c>
      <c r="C28160" s="574">
        <v>326.7</v>
      </c>
    </row>
    <row r="28161" spans="1:3">
      <c r="A28161" s="571" t="s">
        <v>1199</v>
      </c>
      <c r="B28161" s="572">
        <v>2.9239999999999999</v>
      </c>
      <c r="C28161" s="572">
        <v>0.95689999999999997</v>
      </c>
    </row>
    <row r="28162" spans="1:3">
      <c r="A28162" s="571" t="s">
        <v>1199</v>
      </c>
      <c r="B28162" s="572">
        <v>7.2640000000000002</v>
      </c>
      <c r="C28162" s="572">
        <v>8.6120000000000001</v>
      </c>
    </row>
    <row r="28163" spans="1:3">
      <c r="A28163" s="571" t="s">
        <v>1199</v>
      </c>
      <c r="B28163" s="572">
        <v>20</v>
      </c>
      <c r="C28163" s="572">
        <v>7.1769999999999996</v>
      </c>
    </row>
    <row r="28164" spans="1:3">
      <c r="A28164" s="571" t="s">
        <v>1199</v>
      </c>
      <c r="B28164" s="572">
        <v>28.15</v>
      </c>
      <c r="C28164" s="572">
        <v>0.95689999999999997</v>
      </c>
    </row>
    <row r="28165" spans="1:3">
      <c r="A28165" s="571" t="s">
        <v>1199</v>
      </c>
      <c r="B28165" s="572">
        <v>28.73</v>
      </c>
      <c r="C28165" s="572">
        <v>6.6980000000000004</v>
      </c>
    </row>
    <row r="28166" spans="1:3">
      <c r="A28166" s="571" t="s">
        <v>1199</v>
      </c>
      <c r="B28166" s="572">
        <v>34.659999999999997</v>
      </c>
      <c r="C28166" s="572">
        <v>106.2</v>
      </c>
    </row>
    <row r="28167" spans="1:3">
      <c r="A28167" s="571" t="s">
        <v>1199</v>
      </c>
      <c r="B28167" s="572">
        <v>40.1</v>
      </c>
      <c r="C28167" s="572">
        <v>154</v>
      </c>
    </row>
    <row r="28168" spans="1:3">
      <c r="A28168" s="571" t="s">
        <v>1199</v>
      </c>
      <c r="B28168" s="572">
        <v>48.22</v>
      </c>
      <c r="C28168" s="572">
        <v>201.9</v>
      </c>
    </row>
    <row r="28169" spans="1:3">
      <c r="A28169" s="571" t="s">
        <v>1199</v>
      </c>
      <c r="B28169" s="572">
        <v>60.68</v>
      </c>
      <c r="C28169" s="572">
        <v>246.8</v>
      </c>
    </row>
    <row r="28170" spans="1:3">
      <c r="A28170" s="571" t="s">
        <v>1199</v>
      </c>
      <c r="B28170" s="572">
        <v>80.569999999999993</v>
      </c>
      <c r="C28170" s="572">
        <v>281.8</v>
      </c>
    </row>
    <row r="28171" spans="1:3">
      <c r="A28171" s="573" t="s">
        <v>1199</v>
      </c>
      <c r="B28171" s="574">
        <v>100.4</v>
      </c>
      <c r="C28171" s="574">
        <v>308.60000000000002</v>
      </c>
    </row>
    <row r="28172" spans="1:3">
      <c r="A28172" s="573" t="s">
        <v>1199</v>
      </c>
      <c r="B28172" s="574">
        <v>120.6</v>
      </c>
      <c r="C28172" s="574">
        <v>326.3</v>
      </c>
    </row>
    <row r="28173" spans="1:3">
      <c r="A28173" s="573" t="s">
        <v>1199</v>
      </c>
      <c r="B28173" s="574">
        <v>140.19999999999999</v>
      </c>
      <c r="C28173" s="574">
        <v>338.2</v>
      </c>
    </row>
    <row r="28174" spans="1:3">
      <c r="A28174" s="573" t="s">
        <v>1199</v>
      </c>
      <c r="B28174" s="574">
        <v>160.69999999999999</v>
      </c>
      <c r="C28174" s="574">
        <v>344.5</v>
      </c>
    </row>
    <row r="28175" spans="1:3">
      <c r="A28175" s="573" t="s">
        <v>1199</v>
      </c>
      <c r="B28175" s="574">
        <v>180.5</v>
      </c>
      <c r="C28175" s="574">
        <v>350.2</v>
      </c>
    </row>
    <row r="28176" spans="1:3">
      <c r="A28176" s="573" t="s">
        <v>1199</v>
      </c>
      <c r="B28176" s="574">
        <v>200.4</v>
      </c>
      <c r="C28176" s="574">
        <v>355.9</v>
      </c>
    </row>
    <row r="28177" spans="1:3">
      <c r="A28177" s="571" t="s">
        <v>1266</v>
      </c>
      <c r="B28177" s="572">
        <v>4</v>
      </c>
      <c r="C28177" s="572">
        <v>244</v>
      </c>
    </row>
    <row r="28178" spans="1:3">
      <c r="A28178" s="571" t="s">
        <v>1266</v>
      </c>
      <c r="B28178" s="572">
        <v>7</v>
      </c>
      <c r="C28178" s="572">
        <v>305</v>
      </c>
    </row>
    <row r="28179" spans="1:3">
      <c r="A28179" s="571" t="s">
        <v>1266</v>
      </c>
      <c r="B28179" s="572">
        <v>14</v>
      </c>
      <c r="C28179" s="572">
        <v>397</v>
      </c>
    </row>
    <row r="28180" spans="1:3">
      <c r="A28180" s="571" t="s">
        <v>1266</v>
      </c>
      <c r="B28180" s="572">
        <v>28</v>
      </c>
      <c r="C28180" s="572">
        <v>597</v>
      </c>
    </row>
    <row r="28181" spans="1:3">
      <c r="A28181" s="571" t="s">
        <v>1266</v>
      </c>
      <c r="B28181" s="572">
        <v>56</v>
      </c>
      <c r="C28181" s="572">
        <v>905</v>
      </c>
    </row>
    <row r="28182" spans="1:3">
      <c r="A28182" s="571" t="s">
        <v>1266</v>
      </c>
      <c r="B28182" s="572">
        <v>90</v>
      </c>
      <c r="C28182" s="572">
        <v>1192</v>
      </c>
    </row>
    <row r="28183" spans="1:3">
      <c r="A28183" s="573" t="s">
        <v>1266</v>
      </c>
      <c r="B28183" s="574">
        <v>180</v>
      </c>
      <c r="C28183" s="574">
        <v>1500</v>
      </c>
    </row>
    <row r="28184" spans="1:3">
      <c r="A28184" s="573" t="s">
        <v>1266</v>
      </c>
      <c r="B28184" s="574">
        <v>270</v>
      </c>
      <c r="C28184" s="574">
        <v>1668</v>
      </c>
    </row>
    <row r="28185" spans="1:3">
      <c r="A28185" s="573" t="s">
        <v>1266</v>
      </c>
      <c r="B28185" s="574">
        <v>365</v>
      </c>
      <c r="C28185" s="574">
        <v>1730</v>
      </c>
    </row>
    <row r="28186" spans="1:3">
      <c r="A28186" s="569" t="s">
        <v>1266</v>
      </c>
      <c r="B28186" s="570">
        <v>547</v>
      </c>
      <c r="C28186" s="570">
        <v>1747</v>
      </c>
    </row>
    <row r="28187" spans="1:3">
      <c r="A28187" s="571" t="s">
        <v>1265</v>
      </c>
      <c r="B28187" s="572">
        <v>4</v>
      </c>
      <c r="C28187" s="572">
        <v>179</v>
      </c>
    </row>
    <row r="28188" spans="1:3">
      <c r="A28188" s="571" t="s">
        <v>1265</v>
      </c>
      <c r="B28188" s="572">
        <v>7</v>
      </c>
      <c r="C28188" s="572">
        <v>262</v>
      </c>
    </row>
    <row r="28189" spans="1:3">
      <c r="A28189" s="571" t="s">
        <v>1265</v>
      </c>
      <c r="B28189" s="572">
        <v>14</v>
      </c>
      <c r="C28189" s="572">
        <v>430</v>
      </c>
    </row>
    <row r="28190" spans="1:3">
      <c r="A28190" s="571" t="s">
        <v>1265</v>
      </c>
      <c r="B28190" s="572">
        <v>28</v>
      </c>
      <c r="C28190" s="572">
        <v>759</v>
      </c>
    </row>
    <row r="28191" spans="1:3">
      <c r="A28191" s="571" t="s">
        <v>1265</v>
      </c>
      <c r="B28191" s="572">
        <v>56</v>
      </c>
      <c r="C28191" s="572">
        <v>1160</v>
      </c>
    </row>
    <row r="28192" spans="1:3">
      <c r="A28192" s="571" t="s">
        <v>1265</v>
      </c>
      <c r="B28192" s="572">
        <v>90</v>
      </c>
      <c r="C28192" s="572">
        <v>1437</v>
      </c>
    </row>
    <row r="28193" spans="1:3">
      <c r="A28193" s="573" t="s">
        <v>1265</v>
      </c>
      <c r="B28193" s="574">
        <v>180</v>
      </c>
      <c r="C28193" s="574">
        <v>1688</v>
      </c>
    </row>
    <row r="28194" spans="1:3">
      <c r="A28194" s="573" t="s">
        <v>1265</v>
      </c>
      <c r="B28194" s="574">
        <v>270</v>
      </c>
      <c r="C28194" s="574">
        <v>1793</v>
      </c>
    </row>
    <row r="28195" spans="1:3">
      <c r="A28195" s="573" t="s">
        <v>1265</v>
      </c>
      <c r="B28195" s="574">
        <v>365</v>
      </c>
      <c r="C28195" s="574">
        <v>1840</v>
      </c>
    </row>
    <row r="28196" spans="1:3">
      <c r="A28196" s="569" t="s">
        <v>1265</v>
      </c>
      <c r="B28196" s="570">
        <v>547</v>
      </c>
      <c r="C28196" s="570">
        <v>1880</v>
      </c>
    </row>
    <row r="28197" spans="1:3">
      <c r="A28197" s="571" t="s">
        <v>1264</v>
      </c>
      <c r="B28197" s="572">
        <v>4</v>
      </c>
      <c r="C28197" s="572">
        <v>135</v>
      </c>
    </row>
    <row r="28198" spans="1:3">
      <c r="A28198" s="571" t="s">
        <v>1264</v>
      </c>
      <c r="B28198" s="572">
        <v>7</v>
      </c>
      <c r="C28198" s="572">
        <v>253</v>
      </c>
    </row>
    <row r="28199" spans="1:3">
      <c r="A28199" s="571" t="s">
        <v>1264</v>
      </c>
      <c r="B28199" s="572">
        <v>14</v>
      </c>
      <c r="C28199" s="572">
        <v>533</v>
      </c>
    </row>
    <row r="28200" spans="1:3">
      <c r="A28200" s="571" t="s">
        <v>1264</v>
      </c>
      <c r="B28200" s="572">
        <v>28</v>
      </c>
      <c r="C28200" s="572">
        <v>947</v>
      </c>
    </row>
    <row r="28201" spans="1:3">
      <c r="A28201" s="571" t="s">
        <v>1264</v>
      </c>
      <c r="B28201" s="572">
        <v>56</v>
      </c>
      <c r="C28201" s="572">
        <v>1280</v>
      </c>
    </row>
    <row r="28202" spans="1:3">
      <c r="A28202" s="571" t="s">
        <v>1264</v>
      </c>
      <c r="B28202" s="572">
        <v>90</v>
      </c>
      <c r="C28202" s="572">
        <v>1491</v>
      </c>
    </row>
    <row r="28203" spans="1:3">
      <c r="A28203" s="573" t="s">
        <v>1264</v>
      </c>
      <c r="B28203" s="574">
        <v>180</v>
      </c>
      <c r="C28203" s="574">
        <v>1751</v>
      </c>
    </row>
    <row r="28204" spans="1:3">
      <c r="A28204" s="573" t="s">
        <v>1264</v>
      </c>
      <c r="B28204" s="574">
        <v>270</v>
      </c>
      <c r="C28204" s="574">
        <v>1842</v>
      </c>
    </row>
    <row r="28205" spans="1:3">
      <c r="A28205" s="573" t="s">
        <v>1264</v>
      </c>
      <c r="B28205" s="574">
        <v>365</v>
      </c>
      <c r="C28205" s="574">
        <v>1880</v>
      </c>
    </row>
    <row r="28206" spans="1:3">
      <c r="A28206" s="569" t="s">
        <v>1264</v>
      </c>
      <c r="B28206" s="570">
        <v>547</v>
      </c>
      <c r="C28206" s="570">
        <v>1903</v>
      </c>
    </row>
    <row r="28207" spans="1:3">
      <c r="A28207" s="571" t="s">
        <v>1263</v>
      </c>
      <c r="B28207" s="572">
        <v>4</v>
      </c>
      <c r="C28207" s="572">
        <v>179</v>
      </c>
    </row>
    <row r="28208" spans="1:3">
      <c r="A28208" s="571" t="s">
        <v>1263</v>
      </c>
      <c r="B28208" s="572">
        <v>7</v>
      </c>
      <c r="C28208" s="572">
        <v>234</v>
      </c>
    </row>
    <row r="28209" spans="1:3">
      <c r="A28209" s="571" t="s">
        <v>1263</v>
      </c>
      <c r="B28209" s="572">
        <v>14</v>
      </c>
      <c r="C28209" s="572">
        <v>282</v>
      </c>
    </row>
    <row r="28210" spans="1:3">
      <c r="A28210" s="571" t="s">
        <v>1263</v>
      </c>
      <c r="B28210" s="572">
        <v>28</v>
      </c>
      <c r="C28210" s="572">
        <v>432</v>
      </c>
    </row>
    <row r="28211" spans="1:3">
      <c r="A28211" s="571" t="s">
        <v>1263</v>
      </c>
      <c r="B28211" s="572">
        <v>56</v>
      </c>
      <c r="C28211" s="572">
        <v>665</v>
      </c>
    </row>
    <row r="28212" spans="1:3">
      <c r="A28212" s="571" t="s">
        <v>1263</v>
      </c>
      <c r="B28212" s="572">
        <v>90</v>
      </c>
      <c r="C28212" s="572">
        <v>871</v>
      </c>
    </row>
    <row r="28213" spans="1:3">
      <c r="A28213" s="573" t="s">
        <v>1263</v>
      </c>
      <c r="B28213" s="574">
        <v>180</v>
      </c>
      <c r="C28213" s="574">
        <v>1017</v>
      </c>
    </row>
    <row r="28214" spans="1:3">
      <c r="A28214" s="573" t="s">
        <v>1263</v>
      </c>
      <c r="B28214" s="574">
        <v>270</v>
      </c>
      <c r="C28214" s="574">
        <v>1121</v>
      </c>
    </row>
    <row r="28215" spans="1:3">
      <c r="A28215" s="573" t="s">
        <v>1263</v>
      </c>
      <c r="B28215" s="574">
        <v>365</v>
      </c>
      <c r="C28215" s="574">
        <v>1150</v>
      </c>
    </row>
    <row r="28216" spans="1:3">
      <c r="A28216" s="569" t="s">
        <v>1263</v>
      </c>
      <c r="B28216" s="570">
        <v>547</v>
      </c>
      <c r="C28216" s="570">
        <v>1176</v>
      </c>
    </row>
    <row r="28217" spans="1:3">
      <c r="A28217" s="571" t="s">
        <v>1262</v>
      </c>
      <c r="B28217" s="572">
        <v>4</v>
      </c>
      <c r="C28217" s="572">
        <v>112</v>
      </c>
    </row>
    <row r="28218" spans="1:3">
      <c r="A28218" s="571" t="s">
        <v>1262</v>
      </c>
      <c r="B28218" s="572">
        <v>7</v>
      </c>
      <c r="C28218" s="572">
        <v>204</v>
      </c>
    </row>
    <row r="28219" spans="1:3">
      <c r="A28219" s="571" t="s">
        <v>1262</v>
      </c>
      <c r="B28219" s="572">
        <v>14</v>
      </c>
      <c r="C28219" s="572">
        <v>312</v>
      </c>
    </row>
    <row r="28220" spans="1:3">
      <c r="A28220" s="571" t="s">
        <v>1262</v>
      </c>
      <c r="B28220" s="572">
        <v>28</v>
      </c>
      <c r="C28220" s="572">
        <v>494</v>
      </c>
    </row>
    <row r="28221" spans="1:3">
      <c r="A28221" s="571" t="s">
        <v>1262</v>
      </c>
      <c r="B28221" s="572">
        <v>56</v>
      </c>
      <c r="C28221" s="572">
        <v>770</v>
      </c>
    </row>
    <row r="28222" spans="1:3">
      <c r="A28222" s="571" t="s">
        <v>1262</v>
      </c>
      <c r="B28222" s="572">
        <v>90</v>
      </c>
      <c r="C28222" s="572">
        <v>947</v>
      </c>
    </row>
    <row r="28223" spans="1:3">
      <c r="A28223" s="573" t="s">
        <v>1262</v>
      </c>
      <c r="B28223" s="574">
        <v>180</v>
      </c>
      <c r="C28223" s="574">
        <v>1108</v>
      </c>
    </row>
    <row r="28224" spans="1:3">
      <c r="A28224" s="573" t="s">
        <v>1262</v>
      </c>
      <c r="B28224" s="574">
        <v>270</v>
      </c>
      <c r="C28224" s="574">
        <v>1177</v>
      </c>
    </row>
    <row r="28225" spans="1:3">
      <c r="A28225" s="573" t="s">
        <v>1262</v>
      </c>
      <c r="B28225" s="574">
        <v>365</v>
      </c>
      <c r="C28225" s="574">
        <v>1210</v>
      </c>
    </row>
    <row r="28226" spans="1:3">
      <c r="A28226" s="569" t="s">
        <v>1262</v>
      </c>
      <c r="B28226" s="570">
        <v>547</v>
      </c>
      <c r="C28226" s="570">
        <v>1229</v>
      </c>
    </row>
    <row r="28227" spans="1:3">
      <c r="A28227" s="571" t="s">
        <v>1261</v>
      </c>
      <c r="B28227" s="572">
        <v>4</v>
      </c>
      <c r="C28227" s="572">
        <v>82</v>
      </c>
    </row>
    <row r="28228" spans="1:3">
      <c r="A28228" s="571" t="s">
        <v>1261</v>
      </c>
      <c r="B28228" s="572">
        <v>7</v>
      </c>
      <c r="C28228" s="572">
        <v>178</v>
      </c>
    </row>
    <row r="28229" spans="1:3">
      <c r="A28229" s="571" t="s">
        <v>1261</v>
      </c>
      <c r="B28229" s="572">
        <v>14</v>
      </c>
      <c r="C28229" s="572">
        <v>329</v>
      </c>
    </row>
    <row r="28230" spans="1:3">
      <c r="A28230" s="571" t="s">
        <v>1261</v>
      </c>
      <c r="B28230" s="572">
        <v>28</v>
      </c>
      <c r="C28230" s="572">
        <v>527</v>
      </c>
    </row>
    <row r="28231" spans="1:3">
      <c r="A28231" s="571" t="s">
        <v>1261</v>
      </c>
      <c r="B28231" s="572">
        <v>56</v>
      </c>
      <c r="C28231" s="572">
        <v>795</v>
      </c>
    </row>
    <row r="28232" spans="1:3">
      <c r="A28232" s="571" t="s">
        <v>1261</v>
      </c>
      <c r="B28232" s="572">
        <v>90</v>
      </c>
      <c r="C28232" s="572">
        <v>956</v>
      </c>
    </row>
    <row r="28233" spans="1:3">
      <c r="A28233" s="573" t="s">
        <v>1261</v>
      </c>
      <c r="B28233" s="574">
        <v>180</v>
      </c>
      <c r="C28233" s="574">
        <v>1108</v>
      </c>
    </row>
    <row r="28234" spans="1:3">
      <c r="A28234" s="573" t="s">
        <v>1261</v>
      </c>
      <c r="B28234" s="574">
        <v>270</v>
      </c>
      <c r="C28234" s="574">
        <v>1177</v>
      </c>
    </row>
    <row r="28235" spans="1:3">
      <c r="A28235" s="573" t="s">
        <v>1261</v>
      </c>
      <c r="B28235" s="574">
        <v>365</v>
      </c>
      <c r="C28235" s="574">
        <v>1210</v>
      </c>
    </row>
    <row r="28236" spans="1:3">
      <c r="A28236" s="569" t="s">
        <v>1261</v>
      </c>
      <c r="B28236" s="570">
        <v>547</v>
      </c>
      <c r="C28236" s="570">
        <v>1229</v>
      </c>
    </row>
    <row r="28237" spans="1:3">
      <c r="A28237" s="571" t="s">
        <v>1260</v>
      </c>
      <c r="B28237" s="572">
        <v>4</v>
      </c>
      <c r="C28237" s="572">
        <v>155</v>
      </c>
    </row>
    <row r="28238" spans="1:3">
      <c r="A28238" s="571" t="s">
        <v>1260</v>
      </c>
      <c r="B28238" s="572">
        <v>7</v>
      </c>
      <c r="C28238" s="572">
        <v>206</v>
      </c>
    </row>
    <row r="28239" spans="1:3">
      <c r="A28239" s="571" t="s">
        <v>1260</v>
      </c>
      <c r="B28239" s="572">
        <v>14</v>
      </c>
      <c r="C28239" s="572">
        <v>245</v>
      </c>
    </row>
    <row r="28240" spans="1:3">
      <c r="A28240" s="571" t="s">
        <v>1260</v>
      </c>
      <c r="B28240" s="572">
        <v>28</v>
      </c>
      <c r="C28240" s="572">
        <v>344</v>
      </c>
    </row>
    <row r="28241" spans="1:3">
      <c r="A28241" s="571" t="s">
        <v>1260</v>
      </c>
      <c r="B28241" s="572">
        <v>56</v>
      </c>
      <c r="C28241" s="572">
        <v>482</v>
      </c>
    </row>
    <row r="28242" spans="1:3">
      <c r="A28242" s="571" t="s">
        <v>1260</v>
      </c>
      <c r="B28242" s="572">
        <v>90</v>
      </c>
      <c r="C28242" s="572">
        <v>650</v>
      </c>
    </row>
    <row r="28243" spans="1:3">
      <c r="A28243" s="573" t="s">
        <v>1260</v>
      </c>
      <c r="B28243" s="574">
        <v>180</v>
      </c>
      <c r="C28243" s="574">
        <v>772</v>
      </c>
    </row>
    <row r="28244" spans="1:3">
      <c r="A28244" s="573" t="s">
        <v>1260</v>
      </c>
      <c r="B28244" s="574">
        <v>270</v>
      </c>
      <c r="C28244" s="574">
        <v>815</v>
      </c>
    </row>
    <row r="28245" spans="1:3">
      <c r="A28245" s="573" t="s">
        <v>1260</v>
      </c>
      <c r="B28245" s="574">
        <v>365</v>
      </c>
      <c r="C28245" s="574">
        <v>860</v>
      </c>
    </row>
    <row r="28246" spans="1:3">
      <c r="A28246" s="569" t="s">
        <v>1260</v>
      </c>
      <c r="B28246" s="570">
        <v>547</v>
      </c>
      <c r="C28246" s="570">
        <v>888</v>
      </c>
    </row>
    <row r="28247" spans="1:3">
      <c r="A28247" s="571" t="s">
        <v>1259</v>
      </c>
      <c r="B28247" s="572">
        <v>4</v>
      </c>
      <c r="C28247" s="572">
        <v>100</v>
      </c>
    </row>
    <row r="28248" spans="1:3">
      <c r="A28248" s="571" t="s">
        <v>1259</v>
      </c>
      <c r="B28248" s="572">
        <v>7</v>
      </c>
      <c r="C28248" s="572">
        <v>171</v>
      </c>
    </row>
    <row r="28249" spans="1:3">
      <c r="A28249" s="571" t="s">
        <v>1259</v>
      </c>
      <c r="B28249" s="572">
        <v>14</v>
      </c>
      <c r="C28249" s="572">
        <v>235</v>
      </c>
    </row>
    <row r="28250" spans="1:3">
      <c r="A28250" s="571" t="s">
        <v>1259</v>
      </c>
      <c r="B28250" s="572">
        <v>28</v>
      </c>
      <c r="C28250" s="572">
        <v>391</v>
      </c>
    </row>
    <row r="28251" spans="1:3">
      <c r="A28251" s="571" t="s">
        <v>1259</v>
      </c>
      <c r="B28251" s="572">
        <v>56</v>
      </c>
      <c r="C28251" s="572">
        <v>573</v>
      </c>
    </row>
    <row r="28252" spans="1:3">
      <c r="A28252" s="571" t="s">
        <v>1259</v>
      </c>
      <c r="B28252" s="572">
        <v>90</v>
      </c>
      <c r="C28252" s="572">
        <v>712</v>
      </c>
    </row>
    <row r="28253" spans="1:3">
      <c r="A28253" s="573" t="s">
        <v>1259</v>
      </c>
      <c r="B28253" s="574">
        <v>180</v>
      </c>
      <c r="C28253" s="574">
        <v>837</v>
      </c>
    </row>
    <row r="28254" spans="1:3">
      <c r="A28254" s="573" t="s">
        <v>1259</v>
      </c>
      <c r="B28254" s="574">
        <v>270</v>
      </c>
      <c r="C28254" s="574">
        <v>885</v>
      </c>
    </row>
    <row r="28255" spans="1:3">
      <c r="A28255" s="573" t="s">
        <v>1259</v>
      </c>
      <c r="B28255" s="574">
        <v>365</v>
      </c>
      <c r="C28255" s="574">
        <v>930</v>
      </c>
    </row>
    <row r="28256" spans="1:3">
      <c r="A28256" s="569" t="s">
        <v>1259</v>
      </c>
      <c r="B28256" s="570">
        <v>547</v>
      </c>
      <c r="C28256" s="570">
        <v>956</v>
      </c>
    </row>
    <row r="28257" spans="1:3">
      <c r="A28257" s="571" t="s">
        <v>1258</v>
      </c>
      <c r="B28257" s="572">
        <v>4</v>
      </c>
      <c r="C28257" s="572">
        <v>79</v>
      </c>
    </row>
    <row r="28258" spans="1:3">
      <c r="A28258" s="571" t="s">
        <v>1258</v>
      </c>
      <c r="B28258" s="572">
        <v>7</v>
      </c>
      <c r="C28258" s="572">
        <v>141</v>
      </c>
    </row>
    <row r="28259" spans="1:3">
      <c r="A28259" s="571" t="s">
        <v>1258</v>
      </c>
      <c r="B28259" s="572">
        <v>14</v>
      </c>
      <c r="C28259" s="572">
        <v>250</v>
      </c>
    </row>
    <row r="28260" spans="1:3">
      <c r="A28260" s="571" t="s">
        <v>1258</v>
      </c>
      <c r="B28260" s="572">
        <v>28</v>
      </c>
      <c r="C28260" s="572">
        <v>417</v>
      </c>
    </row>
    <row r="28261" spans="1:3">
      <c r="A28261" s="571" t="s">
        <v>1258</v>
      </c>
      <c r="B28261" s="572">
        <v>56</v>
      </c>
      <c r="C28261" s="572">
        <v>600</v>
      </c>
    </row>
    <row r="28262" spans="1:3">
      <c r="A28262" s="571" t="s">
        <v>1258</v>
      </c>
      <c r="B28262" s="572">
        <v>90</v>
      </c>
      <c r="C28262" s="572">
        <v>744</v>
      </c>
    </row>
    <row r="28263" spans="1:3">
      <c r="A28263" s="573" t="s">
        <v>1258</v>
      </c>
      <c r="B28263" s="574">
        <v>180</v>
      </c>
      <c r="C28263" s="574">
        <v>843</v>
      </c>
    </row>
    <row r="28264" spans="1:3">
      <c r="A28264" s="573" t="s">
        <v>1258</v>
      </c>
      <c r="B28264" s="574">
        <v>270</v>
      </c>
      <c r="C28264" s="574">
        <v>877</v>
      </c>
    </row>
    <row r="28265" spans="1:3">
      <c r="A28265" s="573" t="s">
        <v>1258</v>
      </c>
      <c r="B28265" s="574">
        <v>365</v>
      </c>
      <c r="C28265" s="574">
        <v>940</v>
      </c>
    </row>
    <row r="28266" spans="1:3">
      <c r="A28266" s="569" t="s">
        <v>1258</v>
      </c>
      <c r="B28266" s="570">
        <v>547</v>
      </c>
      <c r="C28266" s="570">
        <v>994</v>
      </c>
    </row>
    <row r="28267" spans="1:3">
      <c r="A28267" s="571" t="s">
        <v>1257</v>
      </c>
      <c r="B28267" s="572">
        <v>4</v>
      </c>
      <c r="C28267" s="572">
        <v>130</v>
      </c>
    </row>
    <row r="28268" spans="1:3">
      <c r="A28268" s="571" t="s">
        <v>1257</v>
      </c>
      <c r="B28268" s="572">
        <v>7</v>
      </c>
      <c r="C28268" s="572">
        <v>179</v>
      </c>
    </row>
    <row r="28269" spans="1:3">
      <c r="A28269" s="571" t="s">
        <v>1257</v>
      </c>
      <c r="B28269" s="572">
        <v>14</v>
      </c>
      <c r="C28269" s="572">
        <v>232</v>
      </c>
    </row>
    <row r="28270" spans="1:3">
      <c r="A28270" s="571" t="s">
        <v>1257</v>
      </c>
      <c r="B28270" s="572">
        <v>28</v>
      </c>
      <c r="C28270" s="572">
        <v>321</v>
      </c>
    </row>
    <row r="28271" spans="1:3">
      <c r="A28271" s="571" t="s">
        <v>1257</v>
      </c>
      <c r="B28271" s="572">
        <v>56</v>
      </c>
      <c r="C28271" s="572">
        <v>391</v>
      </c>
    </row>
    <row r="28272" spans="1:3">
      <c r="A28272" s="571" t="s">
        <v>1257</v>
      </c>
      <c r="B28272" s="572">
        <v>90</v>
      </c>
      <c r="C28272" s="572">
        <v>571</v>
      </c>
    </row>
    <row r="28273" spans="1:3">
      <c r="A28273" s="573" t="s">
        <v>1257</v>
      </c>
      <c r="B28273" s="574">
        <v>180</v>
      </c>
      <c r="C28273" s="574">
        <v>673</v>
      </c>
    </row>
    <row r="28274" spans="1:3">
      <c r="A28274" s="573" t="s">
        <v>1257</v>
      </c>
      <c r="B28274" s="574">
        <v>270</v>
      </c>
      <c r="C28274" s="574">
        <v>700</v>
      </c>
    </row>
    <row r="28275" spans="1:3">
      <c r="A28275" s="573" t="s">
        <v>1257</v>
      </c>
      <c r="B28275" s="574">
        <v>365</v>
      </c>
      <c r="C28275" s="574">
        <v>720</v>
      </c>
    </row>
    <row r="28276" spans="1:3">
      <c r="A28276" s="569" t="s">
        <v>1257</v>
      </c>
      <c r="B28276" s="570">
        <v>547</v>
      </c>
      <c r="C28276" s="570">
        <v>753</v>
      </c>
    </row>
    <row r="28277" spans="1:3">
      <c r="A28277" s="571" t="s">
        <v>1256</v>
      </c>
      <c r="B28277" s="572">
        <v>4</v>
      </c>
      <c r="C28277" s="572">
        <v>100</v>
      </c>
    </row>
    <row r="28278" spans="1:3">
      <c r="A28278" s="571" t="s">
        <v>1256</v>
      </c>
      <c r="B28278" s="572">
        <v>7</v>
      </c>
      <c r="C28278" s="572">
        <v>141</v>
      </c>
    </row>
    <row r="28279" spans="1:3">
      <c r="A28279" s="571" t="s">
        <v>1256</v>
      </c>
      <c r="B28279" s="572">
        <v>14</v>
      </c>
      <c r="C28279" s="572">
        <v>224</v>
      </c>
    </row>
    <row r="28280" spans="1:3">
      <c r="A28280" s="571" t="s">
        <v>1256</v>
      </c>
      <c r="B28280" s="572">
        <v>28</v>
      </c>
      <c r="C28280" s="572">
        <v>358</v>
      </c>
    </row>
    <row r="28281" spans="1:3">
      <c r="A28281" s="571" t="s">
        <v>1256</v>
      </c>
      <c r="B28281" s="572">
        <v>56</v>
      </c>
      <c r="C28281" s="572">
        <v>474</v>
      </c>
    </row>
    <row r="28282" spans="1:3">
      <c r="A28282" s="571" t="s">
        <v>1256</v>
      </c>
      <c r="B28282" s="572">
        <v>90</v>
      </c>
      <c r="C28282" s="572">
        <v>608</v>
      </c>
    </row>
    <row r="28283" spans="1:3">
      <c r="A28283" s="573" t="s">
        <v>1256</v>
      </c>
      <c r="B28283" s="574">
        <v>180</v>
      </c>
      <c r="C28283" s="574">
        <v>777</v>
      </c>
    </row>
    <row r="28284" spans="1:3">
      <c r="A28284" s="573" t="s">
        <v>1256</v>
      </c>
      <c r="B28284" s="574">
        <v>270</v>
      </c>
      <c r="C28284" s="574">
        <v>797</v>
      </c>
    </row>
    <row r="28285" spans="1:3">
      <c r="A28285" s="573" t="s">
        <v>1256</v>
      </c>
      <c r="B28285" s="574">
        <v>365</v>
      </c>
      <c r="C28285" s="574">
        <v>820</v>
      </c>
    </row>
    <row r="28286" spans="1:3">
      <c r="A28286" s="569" t="s">
        <v>1256</v>
      </c>
      <c r="B28286" s="570">
        <v>547</v>
      </c>
      <c r="C28286" s="570">
        <v>831</v>
      </c>
    </row>
    <row r="28287" spans="1:3">
      <c r="A28287" s="571" t="s">
        <v>1255</v>
      </c>
      <c r="B28287" s="572">
        <v>4</v>
      </c>
      <c r="C28287" s="572">
        <v>159</v>
      </c>
    </row>
    <row r="28288" spans="1:3">
      <c r="A28288" s="571" t="s">
        <v>1255</v>
      </c>
      <c r="B28288" s="572">
        <v>7</v>
      </c>
      <c r="C28288" s="572">
        <v>223</v>
      </c>
    </row>
    <row r="28289" spans="1:3">
      <c r="A28289" s="571" t="s">
        <v>1255</v>
      </c>
      <c r="B28289" s="572">
        <v>14</v>
      </c>
      <c r="C28289" s="572">
        <v>388</v>
      </c>
    </row>
    <row r="28290" spans="1:3">
      <c r="A28290" s="571" t="s">
        <v>1255</v>
      </c>
      <c r="B28290" s="572">
        <v>28</v>
      </c>
      <c r="C28290" s="572">
        <v>653</v>
      </c>
    </row>
    <row r="28291" spans="1:3">
      <c r="A28291" s="571" t="s">
        <v>1255</v>
      </c>
      <c r="B28291" s="572">
        <v>56</v>
      </c>
      <c r="C28291" s="572">
        <v>829</v>
      </c>
    </row>
    <row r="28292" spans="1:3">
      <c r="A28292" s="571" t="s">
        <v>1255</v>
      </c>
      <c r="B28292" s="572">
        <v>90</v>
      </c>
      <c r="C28292" s="572">
        <v>1112</v>
      </c>
    </row>
    <row r="28293" spans="1:3">
      <c r="A28293" s="573" t="s">
        <v>1255</v>
      </c>
      <c r="B28293" s="574">
        <v>180</v>
      </c>
      <c r="C28293" s="574">
        <v>1350</v>
      </c>
    </row>
    <row r="28294" spans="1:3">
      <c r="A28294" s="573" t="s">
        <v>1255</v>
      </c>
      <c r="B28294" s="574">
        <v>270</v>
      </c>
      <c r="C28294" s="574">
        <v>1369</v>
      </c>
    </row>
    <row r="28295" spans="1:3">
      <c r="A28295" s="573" t="s">
        <v>1255</v>
      </c>
      <c r="B28295" s="574">
        <v>365</v>
      </c>
      <c r="C28295" s="574">
        <v>1390</v>
      </c>
    </row>
    <row r="28296" spans="1:3">
      <c r="A28296" s="569" t="s">
        <v>1255</v>
      </c>
      <c r="B28296" s="570">
        <v>547</v>
      </c>
      <c r="C28296" s="570">
        <v>1402</v>
      </c>
    </row>
    <row r="28297" spans="1:3">
      <c r="A28297" s="571" t="s">
        <v>1254</v>
      </c>
      <c r="B28297" s="572">
        <v>4</v>
      </c>
      <c r="C28297" s="572">
        <v>118</v>
      </c>
    </row>
    <row r="28298" spans="1:3">
      <c r="A28298" s="571" t="s">
        <v>1254</v>
      </c>
      <c r="B28298" s="572">
        <v>7</v>
      </c>
      <c r="C28298" s="572">
        <v>191</v>
      </c>
    </row>
    <row r="28299" spans="1:3">
      <c r="A28299" s="571" t="s">
        <v>1254</v>
      </c>
      <c r="B28299" s="572">
        <v>14</v>
      </c>
      <c r="C28299" s="572">
        <v>409</v>
      </c>
    </row>
    <row r="28300" spans="1:3">
      <c r="A28300" s="571" t="s">
        <v>1254</v>
      </c>
      <c r="B28300" s="572">
        <v>28</v>
      </c>
      <c r="C28300" s="572">
        <v>721</v>
      </c>
    </row>
    <row r="28301" spans="1:3">
      <c r="A28301" s="571" t="s">
        <v>1254</v>
      </c>
      <c r="B28301" s="572">
        <v>56</v>
      </c>
      <c r="C28301" s="572">
        <v>927</v>
      </c>
    </row>
    <row r="28302" spans="1:3">
      <c r="A28302" s="571" t="s">
        <v>1254</v>
      </c>
      <c r="B28302" s="572">
        <v>90</v>
      </c>
      <c r="C28302" s="572">
        <v>1121</v>
      </c>
    </row>
    <row r="28303" spans="1:3">
      <c r="A28303" s="573" t="s">
        <v>1254</v>
      </c>
      <c r="B28303" s="574">
        <v>180</v>
      </c>
      <c r="C28303" s="574">
        <v>1288</v>
      </c>
    </row>
    <row r="28304" spans="1:3">
      <c r="A28304" s="573" t="s">
        <v>1254</v>
      </c>
      <c r="B28304" s="574">
        <v>270</v>
      </c>
      <c r="C28304" s="574">
        <v>1311</v>
      </c>
    </row>
    <row r="28305" spans="1:3">
      <c r="A28305" s="573" t="s">
        <v>1254</v>
      </c>
      <c r="B28305" s="574">
        <v>365</v>
      </c>
      <c r="C28305" s="574">
        <v>1320</v>
      </c>
    </row>
    <row r="28306" spans="1:3">
      <c r="A28306" s="569" t="s">
        <v>1254</v>
      </c>
      <c r="B28306" s="570">
        <v>547</v>
      </c>
      <c r="C28306" s="570">
        <v>1338</v>
      </c>
    </row>
    <row r="28307" spans="1:3">
      <c r="A28307" s="571" t="s">
        <v>1253</v>
      </c>
      <c r="B28307" s="572">
        <v>4</v>
      </c>
      <c r="C28307" s="572">
        <v>97</v>
      </c>
    </row>
    <row r="28308" spans="1:3">
      <c r="A28308" s="571" t="s">
        <v>1253</v>
      </c>
      <c r="B28308" s="572">
        <v>7</v>
      </c>
      <c r="C28308" s="572">
        <v>174</v>
      </c>
    </row>
    <row r="28309" spans="1:3">
      <c r="A28309" s="571" t="s">
        <v>1253</v>
      </c>
      <c r="B28309" s="572">
        <v>14</v>
      </c>
      <c r="C28309" s="572">
        <v>453</v>
      </c>
    </row>
    <row r="28310" spans="1:3">
      <c r="A28310" s="571" t="s">
        <v>1253</v>
      </c>
      <c r="B28310" s="572">
        <v>28</v>
      </c>
      <c r="C28310" s="572">
        <v>812</v>
      </c>
    </row>
    <row r="28311" spans="1:3">
      <c r="A28311" s="571" t="s">
        <v>1253</v>
      </c>
      <c r="B28311" s="572">
        <v>56</v>
      </c>
      <c r="C28311" s="572">
        <v>988</v>
      </c>
    </row>
    <row r="28312" spans="1:3">
      <c r="A28312" s="571" t="s">
        <v>1253</v>
      </c>
      <c r="B28312" s="572">
        <v>90</v>
      </c>
      <c r="C28312" s="572">
        <v>1147</v>
      </c>
    </row>
    <row r="28313" spans="1:3">
      <c r="A28313" s="573" t="s">
        <v>1253</v>
      </c>
      <c r="B28313" s="574">
        <v>180</v>
      </c>
      <c r="C28313" s="574">
        <v>1243</v>
      </c>
    </row>
    <row r="28314" spans="1:3">
      <c r="A28314" s="573" t="s">
        <v>1253</v>
      </c>
      <c r="B28314" s="574">
        <v>270</v>
      </c>
      <c r="C28314" s="574">
        <v>1260</v>
      </c>
    </row>
    <row r="28315" spans="1:3">
      <c r="A28315" s="573" t="s">
        <v>1253</v>
      </c>
      <c r="B28315" s="574">
        <v>365</v>
      </c>
      <c r="C28315" s="574">
        <v>1274</v>
      </c>
    </row>
    <row r="28316" spans="1:3">
      <c r="A28316" s="569" t="s">
        <v>1253</v>
      </c>
      <c r="B28316" s="570">
        <v>547</v>
      </c>
      <c r="C28316" s="570">
        <v>1281</v>
      </c>
    </row>
    <row r="28317" spans="1:3">
      <c r="A28317" s="571" t="s">
        <v>1252</v>
      </c>
      <c r="B28317" s="572">
        <v>4</v>
      </c>
      <c r="C28317" s="572">
        <v>121</v>
      </c>
    </row>
    <row r="28318" spans="1:3">
      <c r="A28318" s="571" t="s">
        <v>1252</v>
      </c>
      <c r="B28318" s="572">
        <v>7</v>
      </c>
      <c r="C28318" s="572">
        <v>176</v>
      </c>
    </row>
    <row r="28319" spans="1:3">
      <c r="A28319" s="571" t="s">
        <v>1252</v>
      </c>
      <c r="B28319" s="572">
        <v>14</v>
      </c>
      <c r="C28319" s="572">
        <v>289</v>
      </c>
    </row>
    <row r="28320" spans="1:3">
      <c r="A28320" s="571" t="s">
        <v>1252</v>
      </c>
      <c r="B28320" s="572">
        <v>28</v>
      </c>
      <c r="C28320" s="572">
        <v>440</v>
      </c>
    </row>
    <row r="28321" spans="1:3">
      <c r="A28321" s="571" t="s">
        <v>1252</v>
      </c>
      <c r="B28321" s="572">
        <v>56</v>
      </c>
      <c r="C28321" s="572">
        <v>638</v>
      </c>
    </row>
    <row r="28322" spans="1:3">
      <c r="A28322" s="571" t="s">
        <v>1252</v>
      </c>
      <c r="B28322" s="572">
        <v>90</v>
      </c>
      <c r="C28322" s="572">
        <v>750</v>
      </c>
    </row>
    <row r="28323" spans="1:3">
      <c r="A28323" s="573" t="s">
        <v>1252</v>
      </c>
      <c r="B28323" s="574">
        <v>180</v>
      </c>
      <c r="C28323" s="574">
        <v>900</v>
      </c>
    </row>
    <row r="28324" spans="1:3">
      <c r="A28324" s="573" t="s">
        <v>1252</v>
      </c>
      <c r="B28324" s="574">
        <v>270</v>
      </c>
      <c r="C28324" s="574">
        <v>929</v>
      </c>
    </row>
    <row r="28325" spans="1:3">
      <c r="A28325" s="573" t="s">
        <v>1252</v>
      </c>
      <c r="B28325" s="574">
        <v>365</v>
      </c>
      <c r="C28325" s="574">
        <v>941</v>
      </c>
    </row>
    <row r="28326" spans="1:3">
      <c r="A28326" s="569" t="s">
        <v>1252</v>
      </c>
      <c r="B28326" s="570">
        <v>547</v>
      </c>
      <c r="C28326" s="570">
        <v>960</v>
      </c>
    </row>
    <row r="28327" spans="1:3">
      <c r="A28327" s="571" t="s">
        <v>1251</v>
      </c>
      <c r="B28327" s="572">
        <v>4</v>
      </c>
      <c r="C28327" s="572">
        <v>69</v>
      </c>
    </row>
    <row r="28328" spans="1:3">
      <c r="A28328" s="571" t="s">
        <v>1251</v>
      </c>
      <c r="B28328" s="572">
        <v>7</v>
      </c>
      <c r="C28328" s="572">
        <v>150</v>
      </c>
    </row>
    <row r="28329" spans="1:3">
      <c r="A28329" s="571" t="s">
        <v>1251</v>
      </c>
      <c r="B28329" s="572">
        <v>14</v>
      </c>
      <c r="C28329" s="572">
        <v>297</v>
      </c>
    </row>
    <row r="28330" spans="1:3">
      <c r="A28330" s="571" t="s">
        <v>1251</v>
      </c>
      <c r="B28330" s="572">
        <v>28</v>
      </c>
      <c r="C28330" s="572">
        <v>459</v>
      </c>
    </row>
    <row r="28331" spans="1:3">
      <c r="A28331" s="571" t="s">
        <v>1251</v>
      </c>
      <c r="B28331" s="572">
        <v>56</v>
      </c>
      <c r="C28331" s="572">
        <v>559</v>
      </c>
    </row>
    <row r="28332" spans="1:3">
      <c r="A28332" s="571" t="s">
        <v>1251</v>
      </c>
      <c r="B28332" s="572">
        <v>90</v>
      </c>
      <c r="C28332" s="572">
        <v>692</v>
      </c>
    </row>
    <row r="28333" spans="1:3">
      <c r="A28333" s="573" t="s">
        <v>1251</v>
      </c>
      <c r="B28333" s="574">
        <v>180</v>
      </c>
      <c r="C28333" s="574">
        <v>809</v>
      </c>
    </row>
    <row r="28334" spans="1:3">
      <c r="A28334" s="573" t="s">
        <v>1251</v>
      </c>
      <c r="B28334" s="574">
        <v>270</v>
      </c>
      <c r="C28334" s="574">
        <v>830</v>
      </c>
    </row>
    <row r="28335" spans="1:3">
      <c r="A28335" s="573" t="s">
        <v>1251</v>
      </c>
      <c r="B28335" s="574">
        <v>365</v>
      </c>
      <c r="C28335" s="574">
        <v>841</v>
      </c>
    </row>
    <row r="28336" spans="1:3">
      <c r="A28336" s="569" t="s">
        <v>1251</v>
      </c>
      <c r="B28336" s="570">
        <v>547</v>
      </c>
      <c r="C28336" s="570">
        <v>852</v>
      </c>
    </row>
    <row r="28337" spans="1:3">
      <c r="A28337" s="571" t="s">
        <v>1250</v>
      </c>
      <c r="B28337" s="572">
        <v>4</v>
      </c>
      <c r="C28337" s="572">
        <v>50</v>
      </c>
    </row>
    <row r="28338" spans="1:3">
      <c r="A28338" s="571" t="s">
        <v>1250</v>
      </c>
      <c r="B28338" s="572">
        <v>7</v>
      </c>
      <c r="C28338" s="572">
        <v>138</v>
      </c>
    </row>
    <row r="28339" spans="1:3">
      <c r="A28339" s="571" t="s">
        <v>1250</v>
      </c>
      <c r="B28339" s="572">
        <v>14</v>
      </c>
      <c r="C28339" s="572">
        <v>320</v>
      </c>
    </row>
    <row r="28340" spans="1:3">
      <c r="A28340" s="571" t="s">
        <v>1250</v>
      </c>
      <c r="B28340" s="572">
        <v>28</v>
      </c>
      <c r="C28340" s="572">
        <v>518</v>
      </c>
    </row>
    <row r="28341" spans="1:3">
      <c r="A28341" s="571" t="s">
        <v>1250</v>
      </c>
      <c r="B28341" s="572">
        <v>56</v>
      </c>
      <c r="C28341" s="572">
        <v>644</v>
      </c>
    </row>
    <row r="28342" spans="1:3">
      <c r="A28342" s="571" t="s">
        <v>1250</v>
      </c>
      <c r="B28342" s="572">
        <v>90</v>
      </c>
      <c r="C28342" s="572">
        <v>715</v>
      </c>
    </row>
    <row r="28343" spans="1:3">
      <c r="A28343" s="573" t="s">
        <v>1250</v>
      </c>
      <c r="B28343" s="574">
        <v>180</v>
      </c>
      <c r="C28343" s="574">
        <v>800</v>
      </c>
    </row>
    <row r="28344" spans="1:3">
      <c r="A28344" s="573" t="s">
        <v>1250</v>
      </c>
      <c r="B28344" s="574">
        <v>270</v>
      </c>
      <c r="C28344" s="574">
        <v>805</v>
      </c>
    </row>
    <row r="28345" spans="1:3">
      <c r="A28345" s="573" t="s">
        <v>1250</v>
      </c>
      <c r="B28345" s="574">
        <v>365</v>
      </c>
      <c r="C28345" s="574">
        <v>805</v>
      </c>
    </row>
    <row r="28346" spans="1:3">
      <c r="A28346" s="569" t="s">
        <v>1250</v>
      </c>
      <c r="B28346" s="570">
        <v>547</v>
      </c>
      <c r="C28346" s="570">
        <v>815</v>
      </c>
    </row>
    <row r="28347" spans="1:3">
      <c r="A28347" s="571" t="s">
        <v>1249</v>
      </c>
      <c r="B28347" s="572">
        <v>4</v>
      </c>
      <c r="C28347" s="572">
        <v>112</v>
      </c>
    </row>
    <row r="28348" spans="1:3">
      <c r="A28348" s="571" t="s">
        <v>1249</v>
      </c>
      <c r="B28348" s="572">
        <v>7</v>
      </c>
      <c r="C28348" s="572">
        <v>156</v>
      </c>
    </row>
    <row r="28349" spans="1:3">
      <c r="A28349" s="571" t="s">
        <v>1249</v>
      </c>
      <c r="B28349" s="572">
        <v>14</v>
      </c>
      <c r="C28349" s="572">
        <v>235</v>
      </c>
    </row>
    <row r="28350" spans="1:3">
      <c r="A28350" s="571" t="s">
        <v>1249</v>
      </c>
      <c r="B28350" s="572">
        <v>28</v>
      </c>
      <c r="C28350" s="572">
        <v>362</v>
      </c>
    </row>
    <row r="28351" spans="1:3">
      <c r="A28351" s="571" t="s">
        <v>1249</v>
      </c>
      <c r="B28351" s="572">
        <v>56</v>
      </c>
      <c r="C28351" s="572">
        <v>447</v>
      </c>
    </row>
    <row r="28352" spans="1:3">
      <c r="A28352" s="571" t="s">
        <v>1249</v>
      </c>
      <c r="B28352" s="572">
        <v>90</v>
      </c>
      <c r="C28352" s="572">
        <v>538</v>
      </c>
    </row>
    <row r="28353" spans="1:3">
      <c r="A28353" s="573" t="s">
        <v>1249</v>
      </c>
      <c r="B28353" s="574">
        <v>180</v>
      </c>
      <c r="C28353" s="574">
        <v>659</v>
      </c>
    </row>
    <row r="28354" spans="1:3">
      <c r="A28354" s="573" t="s">
        <v>1249</v>
      </c>
      <c r="B28354" s="574">
        <v>270</v>
      </c>
      <c r="C28354" s="574">
        <v>680</v>
      </c>
    </row>
    <row r="28355" spans="1:3">
      <c r="A28355" s="573" t="s">
        <v>1249</v>
      </c>
      <c r="B28355" s="574">
        <v>365</v>
      </c>
      <c r="C28355" s="574">
        <v>701</v>
      </c>
    </row>
    <row r="28356" spans="1:3">
      <c r="A28356" s="569" t="s">
        <v>1249</v>
      </c>
      <c r="B28356" s="570">
        <v>547</v>
      </c>
      <c r="C28356" s="570">
        <v>720</v>
      </c>
    </row>
    <row r="28357" spans="1:3">
      <c r="A28357" s="571" t="s">
        <v>1248</v>
      </c>
      <c r="B28357" s="572">
        <v>4</v>
      </c>
      <c r="C28357" s="572">
        <v>50</v>
      </c>
    </row>
    <row r="28358" spans="1:3">
      <c r="A28358" s="571" t="s">
        <v>1248</v>
      </c>
      <c r="B28358" s="572">
        <v>7</v>
      </c>
      <c r="C28358" s="572">
        <v>137</v>
      </c>
    </row>
    <row r="28359" spans="1:3">
      <c r="A28359" s="571" t="s">
        <v>1248</v>
      </c>
      <c r="B28359" s="572">
        <v>14</v>
      </c>
      <c r="C28359" s="572">
        <v>250</v>
      </c>
    </row>
    <row r="28360" spans="1:3">
      <c r="A28360" s="571" t="s">
        <v>1248</v>
      </c>
      <c r="B28360" s="572">
        <v>28</v>
      </c>
      <c r="C28360" s="572">
        <v>385</v>
      </c>
    </row>
    <row r="28361" spans="1:3">
      <c r="A28361" s="571" t="s">
        <v>1248</v>
      </c>
      <c r="B28361" s="572">
        <v>56</v>
      </c>
      <c r="C28361" s="572">
        <v>521</v>
      </c>
    </row>
    <row r="28362" spans="1:3">
      <c r="A28362" s="571" t="s">
        <v>1248</v>
      </c>
      <c r="B28362" s="572">
        <v>90</v>
      </c>
      <c r="C28362" s="572">
        <v>557</v>
      </c>
    </row>
    <row r="28363" spans="1:3">
      <c r="A28363" s="573" t="s">
        <v>1248</v>
      </c>
      <c r="B28363" s="574">
        <v>180</v>
      </c>
      <c r="C28363" s="574">
        <v>576</v>
      </c>
    </row>
    <row r="28364" spans="1:3">
      <c r="A28364" s="573" t="s">
        <v>1248</v>
      </c>
      <c r="B28364" s="574">
        <v>270</v>
      </c>
      <c r="C28364" s="574">
        <v>630</v>
      </c>
    </row>
    <row r="28365" spans="1:3">
      <c r="A28365" s="573" t="s">
        <v>1248</v>
      </c>
      <c r="B28365" s="574">
        <v>365</v>
      </c>
      <c r="C28365" s="574">
        <v>649</v>
      </c>
    </row>
    <row r="28366" spans="1:3">
      <c r="A28366" s="569" t="s">
        <v>1248</v>
      </c>
      <c r="B28366" s="570">
        <v>547</v>
      </c>
      <c r="C28366" s="570">
        <v>680</v>
      </c>
    </row>
    <row r="28367" spans="1:3">
      <c r="A28367" s="571" t="s">
        <v>1247</v>
      </c>
      <c r="B28367" s="572">
        <v>4</v>
      </c>
      <c r="C28367" s="572">
        <v>40</v>
      </c>
    </row>
    <row r="28368" spans="1:3">
      <c r="A28368" s="571" t="s">
        <v>1247</v>
      </c>
      <c r="B28368" s="572">
        <v>7</v>
      </c>
      <c r="C28368" s="572">
        <v>120</v>
      </c>
    </row>
    <row r="28369" spans="1:3">
      <c r="A28369" s="571" t="s">
        <v>1247</v>
      </c>
      <c r="B28369" s="572">
        <v>14</v>
      </c>
      <c r="C28369" s="572">
        <v>265</v>
      </c>
    </row>
    <row r="28370" spans="1:3">
      <c r="A28370" s="571" t="s">
        <v>1247</v>
      </c>
      <c r="B28370" s="572">
        <v>28</v>
      </c>
      <c r="C28370" s="572">
        <v>421</v>
      </c>
    </row>
    <row r="28371" spans="1:3">
      <c r="A28371" s="571" t="s">
        <v>1247</v>
      </c>
      <c r="B28371" s="572">
        <v>56</v>
      </c>
      <c r="C28371" s="572">
        <v>550</v>
      </c>
    </row>
    <row r="28372" spans="1:3">
      <c r="A28372" s="571" t="s">
        <v>1247</v>
      </c>
      <c r="B28372" s="572">
        <v>90</v>
      </c>
      <c r="C28372" s="572">
        <v>559</v>
      </c>
    </row>
    <row r="28373" spans="1:3">
      <c r="A28373" s="573" t="s">
        <v>1247</v>
      </c>
      <c r="B28373" s="574">
        <v>180</v>
      </c>
      <c r="C28373" s="574">
        <v>615</v>
      </c>
    </row>
    <row r="28374" spans="1:3">
      <c r="A28374" s="573" t="s">
        <v>1247</v>
      </c>
      <c r="B28374" s="574">
        <v>270</v>
      </c>
      <c r="C28374" s="574">
        <v>620</v>
      </c>
    </row>
    <row r="28375" spans="1:3">
      <c r="A28375" s="573" t="s">
        <v>1247</v>
      </c>
      <c r="B28375" s="574">
        <v>365</v>
      </c>
      <c r="C28375" s="574">
        <v>625</v>
      </c>
    </row>
    <row r="28376" spans="1:3">
      <c r="A28376" s="569" t="s">
        <v>1247</v>
      </c>
      <c r="B28376" s="570">
        <v>547</v>
      </c>
      <c r="C28376" s="570">
        <v>665</v>
      </c>
    </row>
    <row r="28377" spans="1:3">
      <c r="A28377" s="571" t="s">
        <v>1246</v>
      </c>
      <c r="B28377" s="572">
        <v>4</v>
      </c>
      <c r="C28377" s="572">
        <v>109</v>
      </c>
    </row>
    <row r="28378" spans="1:3">
      <c r="A28378" s="571" t="s">
        <v>1246</v>
      </c>
      <c r="B28378" s="572">
        <v>7</v>
      </c>
      <c r="C28378" s="572">
        <v>150</v>
      </c>
    </row>
    <row r="28379" spans="1:3">
      <c r="A28379" s="571" t="s">
        <v>1246</v>
      </c>
      <c r="B28379" s="572">
        <v>14</v>
      </c>
      <c r="C28379" s="572">
        <v>226</v>
      </c>
    </row>
    <row r="28380" spans="1:3">
      <c r="A28380" s="571" t="s">
        <v>1246</v>
      </c>
      <c r="B28380" s="572">
        <v>28</v>
      </c>
      <c r="C28380" s="572">
        <v>300</v>
      </c>
    </row>
    <row r="28381" spans="1:3">
      <c r="A28381" s="571" t="s">
        <v>1246</v>
      </c>
      <c r="B28381" s="572">
        <v>56</v>
      </c>
      <c r="C28381" s="572">
        <v>394</v>
      </c>
    </row>
    <row r="28382" spans="1:3">
      <c r="A28382" s="571" t="s">
        <v>1246</v>
      </c>
      <c r="B28382" s="572">
        <v>90</v>
      </c>
      <c r="C28382" s="572">
        <v>483</v>
      </c>
    </row>
    <row r="28383" spans="1:3">
      <c r="A28383" s="573" t="s">
        <v>1246</v>
      </c>
      <c r="B28383" s="574">
        <v>180</v>
      </c>
      <c r="C28383" s="574">
        <v>512</v>
      </c>
    </row>
    <row r="28384" spans="1:3">
      <c r="A28384" s="573" t="s">
        <v>1246</v>
      </c>
      <c r="B28384" s="574">
        <v>270</v>
      </c>
      <c r="C28384" s="574">
        <v>540</v>
      </c>
    </row>
    <row r="28385" spans="1:3">
      <c r="A28385" s="573" t="s">
        <v>1246</v>
      </c>
      <c r="B28385" s="574">
        <v>365</v>
      </c>
      <c r="C28385" s="574">
        <v>569</v>
      </c>
    </row>
    <row r="28386" spans="1:3">
      <c r="A28386" s="569" t="s">
        <v>1246</v>
      </c>
      <c r="B28386" s="570">
        <v>547</v>
      </c>
      <c r="C28386" s="570">
        <v>602</v>
      </c>
    </row>
    <row r="28387" spans="1:3">
      <c r="A28387" s="571" t="s">
        <v>1245</v>
      </c>
      <c r="B28387" s="572">
        <v>4</v>
      </c>
      <c r="C28387" s="572">
        <v>50</v>
      </c>
    </row>
    <row r="28388" spans="1:3">
      <c r="A28388" s="571" t="s">
        <v>1245</v>
      </c>
      <c r="B28388" s="572">
        <v>7</v>
      </c>
      <c r="C28388" s="572">
        <v>129</v>
      </c>
    </row>
    <row r="28389" spans="1:3">
      <c r="A28389" s="571" t="s">
        <v>1245</v>
      </c>
      <c r="B28389" s="572">
        <v>14</v>
      </c>
      <c r="C28389" s="572">
        <v>217</v>
      </c>
    </row>
    <row r="28390" spans="1:3">
      <c r="A28390" s="571" t="s">
        <v>1245</v>
      </c>
      <c r="B28390" s="572">
        <v>28</v>
      </c>
      <c r="C28390" s="572">
        <v>330</v>
      </c>
    </row>
    <row r="28391" spans="1:3">
      <c r="A28391" s="571" t="s">
        <v>1245</v>
      </c>
      <c r="B28391" s="572">
        <v>56</v>
      </c>
      <c r="C28391" s="572">
        <v>438</v>
      </c>
    </row>
    <row r="28392" spans="1:3">
      <c r="A28392" s="571" t="s">
        <v>1245</v>
      </c>
      <c r="B28392" s="572">
        <v>90</v>
      </c>
      <c r="C28392" s="572">
        <v>500</v>
      </c>
    </row>
    <row r="28393" spans="1:3">
      <c r="A28393" s="573" t="s">
        <v>1245</v>
      </c>
      <c r="B28393" s="574">
        <v>180</v>
      </c>
      <c r="C28393" s="574">
        <v>529</v>
      </c>
    </row>
    <row r="28394" spans="1:3">
      <c r="A28394" s="573" t="s">
        <v>1245</v>
      </c>
      <c r="B28394" s="574">
        <v>270</v>
      </c>
      <c r="C28394" s="574">
        <v>540</v>
      </c>
    </row>
    <row r="28395" spans="1:3">
      <c r="A28395" s="573" t="s">
        <v>1245</v>
      </c>
      <c r="B28395" s="574">
        <v>365</v>
      </c>
      <c r="C28395" s="574">
        <v>561</v>
      </c>
    </row>
    <row r="28396" spans="1:3">
      <c r="A28396" s="569" t="s">
        <v>1245</v>
      </c>
      <c r="B28396" s="570">
        <v>547</v>
      </c>
      <c r="C28396" s="570">
        <v>578</v>
      </c>
    </row>
    <row r="28397" spans="1:3">
      <c r="A28397" s="571" t="s">
        <v>1244</v>
      </c>
      <c r="B28397" s="572">
        <v>4</v>
      </c>
      <c r="C28397" s="572">
        <v>132</v>
      </c>
    </row>
    <row r="28398" spans="1:3">
      <c r="A28398" s="571" t="s">
        <v>1244</v>
      </c>
      <c r="B28398" s="572">
        <v>7</v>
      </c>
      <c r="C28398" s="572">
        <v>220</v>
      </c>
    </row>
    <row r="28399" spans="1:3">
      <c r="A28399" s="571" t="s">
        <v>1244</v>
      </c>
      <c r="B28399" s="572">
        <v>14</v>
      </c>
      <c r="C28399" s="572">
        <v>324</v>
      </c>
    </row>
    <row r="28400" spans="1:3">
      <c r="A28400" s="571" t="s">
        <v>1244</v>
      </c>
      <c r="B28400" s="572">
        <v>28</v>
      </c>
      <c r="C28400" s="572">
        <v>638</v>
      </c>
    </row>
    <row r="28401" spans="1:3">
      <c r="A28401" s="571" t="s">
        <v>1244</v>
      </c>
      <c r="B28401" s="572">
        <v>56</v>
      </c>
      <c r="C28401" s="572">
        <v>909</v>
      </c>
    </row>
    <row r="28402" spans="1:3">
      <c r="A28402" s="571" t="s">
        <v>1244</v>
      </c>
      <c r="B28402" s="572">
        <v>90</v>
      </c>
      <c r="C28402" s="572">
        <v>1036</v>
      </c>
    </row>
    <row r="28403" spans="1:3">
      <c r="A28403" s="573" t="s">
        <v>1244</v>
      </c>
      <c r="B28403" s="574">
        <v>180</v>
      </c>
      <c r="C28403" s="574">
        <v>1120</v>
      </c>
    </row>
    <row r="28404" spans="1:3">
      <c r="A28404" s="573" t="s">
        <v>1244</v>
      </c>
      <c r="B28404" s="574">
        <v>270</v>
      </c>
      <c r="C28404" s="574">
        <v>1179</v>
      </c>
    </row>
    <row r="28405" spans="1:3">
      <c r="A28405" s="573" t="s">
        <v>1244</v>
      </c>
      <c r="B28405" s="574">
        <v>365</v>
      </c>
      <c r="C28405" s="574">
        <v>1220</v>
      </c>
    </row>
    <row r="28406" spans="1:3">
      <c r="A28406" s="569" t="s">
        <v>1244</v>
      </c>
      <c r="B28406" s="570">
        <v>547</v>
      </c>
      <c r="C28406" s="570">
        <v>1258</v>
      </c>
    </row>
    <row r="28407" spans="1:3">
      <c r="A28407" s="571" t="s">
        <v>1243</v>
      </c>
      <c r="B28407" s="572">
        <v>4</v>
      </c>
      <c r="C28407" s="572">
        <v>124</v>
      </c>
    </row>
    <row r="28408" spans="1:3">
      <c r="A28408" s="571" t="s">
        <v>1243</v>
      </c>
      <c r="B28408" s="572">
        <v>7</v>
      </c>
      <c r="C28408" s="572">
        <v>200</v>
      </c>
    </row>
    <row r="28409" spans="1:3">
      <c r="A28409" s="571" t="s">
        <v>1243</v>
      </c>
      <c r="B28409" s="572">
        <v>14</v>
      </c>
      <c r="C28409" s="572">
        <v>377</v>
      </c>
    </row>
    <row r="28410" spans="1:3">
      <c r="A28410" s="571" t="s">
        <v>1243</v>
      </c>
      <c r="B28410" s="572">
        <v>28</v>
      </c>
      <c r="C28410" s="572">
        <v>647</v>
      </c>
    </row>
    <row r="28411" spans="1:3">
      <c r="A28411" s="571" t="s">
        <v>1243</v>
      </c>
      <c r="B28411" s="572">
        <v>56</v>
      </c>
      <c r="C28411" s="572">
        <v>900</v>
      </c>
    </row>
    <row r="28412" spans="1:3">
      <c r="A28412" s="571" t="s">
        <v>1243</v>
      </c>
      <c r="B28412" s="572">
        <v>90</v>
      </c>
      <c r="C28412" s="572">
        <v>997</v>
      </c>
    </row>
    <row r="28413" spans="1:3">
      <c r="A28413" s="573" t="s">
        <v>1243</v>
      </c>
      <c r="B28413" s="574">
        <v>180</v>
      </c>
      <c r="C28413" s="574">
        <v>1050</v>
      </c>
    </row>
    <row r="28414" spans="1:3">
      <c r="A28414" s="573" t="s">
        <v>1243</v>
      </c>
      <c r="B28414" s="574">
        <v>270</v>
      </c>
      <c r="C28414" s="574">
        <v>1119</v>
      </c>
    </row>
    <row r="28415" spans="1:3">
      <c r="A28415" s="573" t="s">
        <v>1243</v>
      </c>
      <c r="B28415" s="574">
        <v>365</v>
      </c>
      <c r="C28415" s="574">
        <v>1128</v>
      </c>
    </row>
    <row r="28416" spans="1:3">
      <c r="A28416" s="569" t="s">
        <v>1243</v>
      </c>
      <c r="B28416" s="570">
        <v>547</v>
      </c>
      <c r="C28416" s="570">
        <v>1150</v>
      </c>
    </row>
    <row r="28417" spans="1:3">
      <c r="A28417" s="571" t="s">
        <v>1242</v>
      </c>
      <c r="B28417" s="572">
        <v>4</v>
      </c>
      <c r="C28417" s="572">
        <v>68</v>
      </c>
    </row>
    <row r="28418" spans="1:3">
      <c r="A28418" s="571" t="s">
        <v>1242</v>
      </c>
      <c r="B28418" s="572">
        <v>7</v>
      </c>
      <c r="C28418" s="572">
        <v>176</v>
      </c>
    </row>
    <row r="28419" spans="1:3">
      <c r="A28419" s="571" t="s">
        <v>1242</v>
      </c>
      <c r="B28419" s="572">
        <v>14</v>
      </c>
      <c r="C28419" s="572">
        <v>429</v>
      </c>
    </row>
    <row r="28420" spans="1:3">
      <c r="A28420" s="571" t="s">
        <v>1242</v>
      </c>
      <c r="B28420" s="572">
        <v>28</v>
      </c>
      <c r="C28420" s="572">
        <v>757</v>
      </c>
    </row>
    <row r="28421" spans="1:3">
      <c r="A28421" s="571" t="s">
        <v>1242</v>
      </c>
      <c r="B28421" s="572">
        <v>56</v>
      </c>
      <c r="C28421" s="572">
        <v>968</v>
      </c>
    </row>
    <row r="28422" spans="1:3">
      <c r="A28422" s="571" t="s">
        <v>1242</v>
      </c>
      <c r="B28422" s="572">
        <v>90</v>
      </c>
      <c r="C28422" s="572">
        <v>1010</v>
      </c>
    </row>
    <row r="28423" spans="1:3">
      <c r="A28423" s="573" t="s">
        <v>1242</v>
      </c>
      <c r="B28423" s="574">
        <v>180</v>
      </c>
      <c r="C28423" s="574">
        <v>1071</v>
      </c>
    </row>
    <row r="28424" spans="1:3">
      <c r="A28424" s="573" t="s">
        <v>1242</v>
      </c>
      <c r="B28424" s="574">
        <v>270</v>
      </c>
      <c r="C28424" s="574">
        <v>1088</v>
      </c>
    </row>
    <row r="28425" spans="1:3">
      <c r="A28425" s="573" t="s">
        <v>1242</v>
      </c>
      <c r="B28425" s="574">
        <v>365</v>
      </c>
      <c r="C28425" s="574">
        <v>1110</v>
      </c>
    </row>
    <row r="28426" spans="1:3">
      <c r="A28426" s="569" t="s">
        <v>1242</v>
      </c>
      <c r="B28426" s="570">
        <v>547</v>
      </c>
      <c r="C28426" s="570">
        <v>1129</v>
      </c>
    </row>
    <row r="28427" spans="1:3">
      <c r="A28427" s="571" t="s">
        <v>1241</v>
      </c>
      <c r="B28427" s="572">
        <v>4</v>
      </c>
      <c r="C28427" s="572">
        <v>91</v>
      </c>
    </row>
    <row r="28428" spans="1:3">
      <c r="A28428" s="571" t="s">
        <v>1241</v>
      </c>
      <c r="B28428" s="572">
        <v>7</v>
      </c>
      <c r="C28428" s="572">
        <v>132</v>
      </c>
    </row>
    <row r="28429" spans="1:3">
      <c r="A28429" s="571" t="s">
        <v>1241</v>
      </c>
      <c r="B28429" s="572">
        <v>14</v>
      </c>
      <c r="C28429" s="572">
        <v>188</v>
      </c>
    </row>
    <row r="28430" spans="1:3">
      <c r="A28430" s="571" t="s">
        <v>1241</v>
      </c>
      <c r="B28430" s="572">
        <v>28</v>
      </c>
      <c r="C28430" s="572">
        <v>403</v>
      </c>
    </row>
    <row r="28431" spans="1:3">
      <c r="A28431" s="571" t="s">
        <v>1241</v>
      </c>
      <c r="B28431" s="572">
        <v>56</v>
      </c>
      <c r="C28431" s="572">
        <v>557</v>
      </c>
    </row>
    <row r="28432" spans="1:3">
      <c r="A28432" s="571" t="s">
        <v>1241</v>
      </c>
      <c r="B28432" s="572">
        <v>90</v>
      </c>
      <c r="C28432" s="572">
        <v>656</v>
      </c>
    </row>
    <row r="28433" spans="1:3">
      <c r="A28433" s="573" t="s">
        <v>1241</v>
      </c>
      <c r="B28433" s="574">
        <v>180</v>
      </c>
      <c r="C28433" s="574">
        <v>720</v>
      </c>
    </row>
    <row r="28434" spans="1:3">
      <c r="A28434" s="573" t="s">
        <v>1241</v>
      </c>
      <c r="B28434" s="574">
        <v>270</v>
      </c>
      <c r="C28434" s="574">
        <v>729</v>
      </c>
    </row>
    <row r="28435" spans="1:3">
      <c r="A28435" s="573" t="s">
        <v>1241</v>
      </c>
      <c r="B28435" s="574">
        <v>365</v>
      </c>
      <c r="C28435" s="574">
        <v>751</v>
      </c>
    </row>
    <row r="28436" spans="1:3">
      <c r="A28436" s="569" t="s">
        <v>1241</v>
      </c>
      <c r="B28436" s="570">
        <v>547</v>
      </c>
      <c r="C28436" s="570">
        <v>772</v>
      </c>
    </row>
    <row r="28437" spans="1:3">
      <c r="A28437" s="571" t="s">
        <v>1240</v>
      </c>
      <c r="B28437" s="572">
        <v>4</v>
      </c>
      <c r="C28437" s="572">
        <v>56</v>
      </c>
    </row>
    <row r="28438" spans="1:3">
      <c r="A28438" s="571" t="s">
        <v>1240</v>
      </c>
      <c r="B28438" s="572">
        <v>7</v>
      </c>
      <c r="C28438" s="572">
        <v>138</v>
      </c>
    </row>
    <row r="28439" spans="1:3">
      <c r="A28439" s="571" t="s">
        <v>1240</v>
      </c>
      <c r="B28439" s="572">
        <v>14</v>
      </c>
      <c r="C28439" s="572">
        <v>200</v>
      </c>
    </row>
    <row r="28440" spans="1:3">
      <c r="A28440" s="571" t="s">
        <v>1240</v>
      </c>
      <c r="B28440" s="572">
        <v>28</v>
      </c>
      <c r="C28440" s="572">
        <v>435</v>
      </c>
    </row>
    <row r="28441" spans="1:3">
      <c r="A28441" s="571" t="s">
        <v>1240</v>
      </c>
      <c r="B28441" s="572">
        <v>56</v>
      </c>
      <c r="C28441" s="572">
        <v>550</v>
      </c>
    </row>
    <row r="28442" spans="1:3">
      <c r="A28442" s="571" t="s">
        <v>1240</v>
      </c>
      <c r="B28442" s="572">
        <v>90</v>
      </c>
      <c r="C28442" s="572">
        <v>633</v>
      </c>
    </row>
    <row r="28443" spans="1:3">
      <c r="A28443" s="573" t="s">
        <v>1240</v>
      </c>
      <c r="B28443" s="574">
        <v>180</v>
      </c>
      <c r="C28443" s="574">
        <v>651</v>
      </c>
    </row>
    <row r="28444" spans="1:3">
      <c r="A28444" s="573" t="s">
        <v>1240</v>
      </c>
      <c r="B28444" s="574">
        <v>270</v>
      </c>
      <c r="C28444" s="574">
        <v>660</v>
      </c>
    </row>
    <row r="28445" spans="1:3">
      <c r="A28445" s="573" t="s">
        <v>1240</v>
      </c>
      <c r="B28445" s="574">
        <v>365</v>
      </c>
      <c r="C28445" s="574">
        <v>681</v>
      </c>
    </row>
    <row r="28446" spans="1:3">
      <c r="A28446" s="569" t="s">
        <v>1240</v>
      </c>
      <c r="B28446" s="570">
        <v>547</v>
      </c>
      <c r="C28446" s="570">
        <v>700</v>
      </c>
    </row>
    <row r="28447" spans="1:3">
      <c r="A28447" s="571" t="s">
        <v>1239</v>
      </c>
      <c r="B28447" s="572">
        <v>4</v>
      </c>
      <c r="C28447" s="572">
        <v>38</v>
      </c>
    </row>
    <row r="28448" spans="1:3">
      <c r="A28448" s="571" t="s">
        <v>1239</v>
      </c>
      <c r="B28448" s="572">
        <v>7</v>
      </c>
      <c r="C28448" s="572">
        <v>121</v>
      </c>
    </row>
    <row r="28449" spans="1:3">
      <c r="A28449" s="571" t="s">
        <v>1239</v>
      </c>
      <c r="B28449" s="572">
        <v>14</v>
      </c>
      <c r="C28449" s="572">
        <v>229</v>
      </c>
    </row>
    <row r="28450" spans="1:3">
      <c r="A28450" s="571" t="s">
        <v>1239</v>
      </c>
      <c r="B28450" s="572">
        <v>28</v>
      </c>
      <c r="C28450" s="572">
        <v>482</v>
      </c>
    </row>
    <row r="28451" spans="1:3">
      <c r="A28451" s="571" t="s">
        <v>1239</v>
      </c>
      <c r="B28451" s="572">
        <v>56</v>
      </c>
      <c r="C28451" s="572">
        <v>573</v>
      </c>
    </row>
    <row r="28452" spans="1:3">
      <c r="A28452" s="571" t="s">
        <v>1239</v>
      </c>
      <c r="B28452" s="572">
        <v>90</v>
      </c>
      <c r="C28452" s="572">
        <v>674</v>
      </c>
    </row>
    <row r="28453" spans="1:3">
      <c r="A28453" s="573" t="s">
        <v>1239</v>
      </c>
      <c r="B28453" s="574">
        <v>180</v>
      </c>
      <c r="C28453" s="574">
        <v>680</v>
      </c>
    </row>
    <row r="28454" spans="1:3">
      <c r="A28454" s="573" t="s">
        <v>1239</v>
      </c>
      <c r="B28454" s="574">
        <v>270</v>
      </c>
      <c r="C28454" s="574">
        <v>682</v>
      </c>
    </row>
    <row r="28455" spans="1:3">
      <c r="A28455" s="573" t="s">
        <v>1239</v>
      </c>
      <c r="B28455" s="574">
        <v>365</v>
      </c>
      <c r="C28455" s="574">
        <v>680</v>
      </c>
    </row>
    <row r="28456" spans="1:3">
      <c r="A28456" s="569" t="s">
        <v>1239</v>
      </c>
      <c r="B28456" s="570">
        <v>547</v>
      </c>
      <c r="C28456" s="570">
        <v>691</v>
      </c>
    </row>
    <row r="28457" spans="1:3">
      <c r="A28457" s="571" t="s">
        <v>1238</v>
      </c>
      <c r="B28457" s="572">
        <v>4</v>
      </c>
      <c r="C28457" s="572">
        <v>79</v>
      </c>
    </row>
    <row r="28458" spans="1:3">
      <c r="A28458" s="571" t="s">
        <v>1238</v>
      </c>
      <c r="B28458" s="572">
        <v>7</v>
      </c>
      <c r="C28458" s="572">
        <v>121</v>
      </c>
    </row>
    <row r="28459" spans="1:3">
      <c r="A28459" s="571" t="s">
        <v>1238</v>
      </c>
      <c r="B28459" s="572">
        <v>14</v>
      </c>
      <c r="C28459" s="572">
        <v>180</v>
      </c>
    </row>
    <row r="28460" spans="1:3">
      <c r="A28460" s="571" t="s">
        <v>1238</v>
      </c>
      <c r="B28460" s="572">
        <v>28</v>
      </c>
      <c r="C28460" s="572">
        <v>329</v>
      </c>
    </row>
    <row r="28461" spans="1:3">
      <c r="A28461" s="571" t="s">
        <v>1238</v>
      </c>
      <c r="B28461" s="572">
        <v>56</v>
      </c>
      <c r="C28461" s="572">
        <v>471</v>
      </c>
    </row>
    <row r="28462" spans="1:3">
      <c r="A28462" s="571" t="s">
        <v>1238</v>
      </c>
      <c r="B28462" s="572">
        <v>90</v>
      </c>
      <c r="C28462" s="572">
        <v>556</v>
      </c>
    </row>
    <row r="28463" spans="1:3">
      <c r="A28463" s="573" t="s">
        <v>1238</v>
      </c>
      <c r="B28463" s="574">
        <v>180</v>
      </c>
      <c r="C28463" s="574">
        <v>582</v>
      </c>
    </row>
    <row r="28464" spans="1:3">
      <c r="A28464" s="573" t="s">
        <v>1238</v>
      </c>
      <c r="B28464" s="574">
        <v>270</v>
      </c>
      <c r="C28464" s="574">
        <v>580</v>
      </c>
    </row>
    <row r="28465" spans="1:3">
      <c r="A28465" s="573" t="s">
        <v>1238</v>
      </c>
      <c r="B28465" s="574">
        <v>365</v>
      </c>
      <c r="C28465" s="574">
        <v>595</v>
      </c>
    </row>
    <row r="28466" spans="1:3">
      <c r="A28466" s="569" t="s">
        <v>1238</v>
      </c>
      <c r="B28466" s="570">
        <v>547</v>
      </c>
      <c r="C28466" s="570">
        <v>603</v>
      </c>
    </row>
    <row r="28467" spans="1:3">
      <c r="A28467" s="571" t="s">
        <v>1237</v>
      </c>
      <c r="B28467" s="572">
        <v>4</v>
      </c>
      <c r="C28467" s="572">
        <v>51</v>
      </c>
    </row>
    <row r="28468" spans="1:3">
      <c r="A28468" s="571" t="s">
        <v>1237</v>
      </c>
      <c r="B28468" s="572">
        <v>7</v>
      </c>
      <c r="C28468" s="572">
        <v>122</v>
      </c>
    </row>
    <row r="28469" spans="1:3">
      <c r="A28469" s="571" t="s">
        <v>1237</v>
      </c>
      <c r="B28469" s="572">
        <v>14</v>
      </c>
      <c r="C28469" s="572">
        <v>201</v>
      </c>
    </row>
    <row r="28470" spans="1:3">
      <c r="A28470" s="571" t="s">
        <v>1237</v>
      </c>
      <c r="B28470" s="572">
        <v>28</v>
      </c>
      <c r="C28470" s="572">
        <v>342</v>
      </c>
    </row>
    <row r="28471" spans="1:3">
      <c r="A28471" s="571" t="s">
        <v>1237</v>
      </c>
      <c r="B28471" s="572">
        <v>56</v>
      </c>
      <c r="C28471" s="572">
        <v>439</v>
      </c>
    </row>
    <row r="28472" spans="1:3">
      <c r="A28472" s="571" t="s">
        <v>1237</v>
      </c>
      <c r="B28472" s="572">
        <v>90</v>
      </c>
      <c r="C28472" s="572">
        <v>506</v>
      </c>
    </row>
    <row r="28473" spans="1:3">
      <c r="A28473" s="573" t="s">
        <v>1237</v>
      </c>
      <c r="B28473" s="574">
        <v>180</v>
      </c>
      <c r="C28473" s="574">
        <v>535</v>
      </c>
    </row>
    <row r="28474" spans="1:3">
      <c r="A28474" s="573" t="s">
        <v>1237</v>
      </c>
      <c r="B28474" s="574">
        <v>270</v>
      </c>
      <c r="C28474" s="574">
        <v>540</v>
      </c>
    </row>
    <row r="28475" spans="1:3">
      <c r="A28475" s="573" t="s">
        <v>1237</v>
      </c>
      <c r="B28475" s="574">
        <v>365</v>
      </c>
      <c r="C28475" s="574">
        <v>551</v>
      </c>
    </row>
    <row r="28476" spans="1:3">
      <c r="A28476" s="569" t="s">
        <v>1237</v>
      </c>
      <c r="B28476" s="570">
        <v>547</v>
      </c>
      <c r="C28476" s="570">
        <v>550</v>
      </c>
    </row>
    <row r="28477" spans="1:3">
      <c r="A28477" s="571" t="s">
        <v>1236</v>
      </c>
      <c r="B28477" s="572">
        <v>4</v>
      </c>
      <c r="C28477" s="572">
        <v>40</v>
      </c>
    </row>
    <row r="28478" spans="1:3">
      <c r="A28478" s="571" t="s">
        <v>1236</v>
      </c>
      <c r="B28478" s="572">
        <v>7</v>
      </c>
      <c r="C28478" s="572">
        <v>117</v>
      </c>
    </row>
    <row r="28479" spans="1:3">
      <c r="A28479" s="571" t="s">
        <v>1236</v>
      </c>
      <c r="B28479" s="572">
        <v>14</v>
      </c>
      <c r="C28479" s="572">
        <v>221</v>
      </c>
    </row>
    <row r="28480" spans="1:3">
      <c r="A28480" s="571" t="s">
        <v>1236</v>
      </c>
      <c r="B28480" s="572">
        <v>28</v>
      </c>
      <c r="C28480" s="572">
        <v>406</v>
      </c>
    </row>
    <row r="28481" spans="1:3">
      <c r="A28481" s="571" t="s">
        <v>1236</v>
      </c>
      <c r="B28481" s="572">
        <v>56</v>
      </c>
      <c r="C28481" s="572">
        <v>500</v>
      </c>
    </row>
    <row r="28482" spans="1:3">
      <c r="A28482" s="571" t="s">
        <v>1236</v>
      </c>
      <c r="B28482" s="572">
        <v>90</v>
      </c>
      <c r="C28482" s="572">
        <v>511</v>
      </c>
    </row>
    <row r="28483" spans="1:3">
      <c r="A28483" s="573" t="s">
        <v>1236</v>
      </c>
      <c r="B28483" s="574">
        <v>180</v>
      </c>
      <c r="C28483" s="574">
        <v>520</v>
      </c>
    </row>
    <row r="28484" spans="1:3">
      <c r="A28484" s="573" t="s">
        <v>1236</v>
      </c>
      <c r="B28484" s="574">
        <v>270</v>
      </c>
      <c r="C28484" s="574">
        <v>529</v>
      </c>
    </row>
    <row r="28485" spans="1:3">
      <c r="A28485" s="573" t="s">
        <v>1236</v>
      </c>
      <c r="B28485" s="574">
        <v>365</v>
      </c>
      <c r="C28485" s="574">
        <v>532</v>
      </c>
    </row>
    <row r="28486" spans="1:3">
      <c r="A28486" s="569" t="s">
        <v>1236</v>
      </c>
      <c r="B28486" s="570">
        <v>547</v>
      </c>
      <c r="C28486" s="570">
        <v>541</v>
      </c>
    </row>
    <row r="28487" spans="1:3">
      <c r="A28487" s="571" t="s">
        <v>1235</v>
      </c>
      <c r="B28487" s="572">
        <v>4</v>
      </c>
      <c r="C28487" s="572">
        <v>40</v>
      </c>
    </row>
    <row r="28488" spans="1:3">
      <c r="A28488" s="571" t="s">
        <v>1235</v>
      </c>
      <c r="B28488" s="572">
        <v>7</v>
      </c>
      <c r="C28488" s="572">
        <v>76</v>
      </c>
    </row>
    <row r="28489" spans="1:3">
      <c r="A28489" s="571" t="s">
        <v>1235</v>
      </c>
      <c r="B28489" s="572">
        <v>14</v>
      </c>
      <c r="C28489" s="572">
        <v>100</v>
      </c>
    </row>
    <row r="28490" spans="1:3">
      <c r="A28490" s="571" t="s">
        <v>1235</v>
      </c>
      <c r="B28490" s="572">
        <v>28</v>
      </c>
      <c r="C28490" s="572">
        <v>273</v>
      </c>
    </row>
    <row r="28491" spans="1:3">
      <c r="A28491" s="571" t="s">
        <v>1235</v>
      </c>
      <c r="B28491" s="572">
        <v>56</v>
      </c>
      <c r="C28491" s="572">
        <v>397</v>
      </c>
    </row>
    <row r="28492" spans="1:3">
      <c r="A28492" s="571" t="s">
        <v>1235</v>
      </c>
      <c r="B28492" s="572">
        <v>90</v>
      </c>
      <c r="C28492" s="572">
        <v>420</v>
      </c>
    </row>
    <row r="28493" spans="1:3">
      <c r="A28493" s="573" t="s">
        <v>1235</v>
      </c>
      <c r="B28493" s="574">
        <v>180</v>
      </c>
      <c r="C28493" s="574">
        <v>441</v>
      </c>
    </row>
    <row r="28494" spans="1:3">
      <c r="A28494" s="573" t="s">
        <v>1235</v>
      </c>
      <c r="B28494" s="574">
        <v>270</v>
      </c>
      <c r="C28494" s="574">
        <v>449</v>
      </c>
    </row>
    <row r="28495" spans="1:3">
      <c r="A28495" s="573" t="s">
        <v>1235</v>
      </c>
      <c r="B28495" s="574">
        <v>365</v>
      </c>
      <c r="C28495" s="574">
        <v>460</v>
      </c>
    </row>
    <row r="28496" spans="1:3">
      <c r="A28496" s="569" t="s">
        <v>1235</v>
      </c>
      <c r="B28496" s="570">
        <v>547</v>
      </c>
      <c r="C28496" s="570">
        <v>480</v>
      </c>
    </row>
    <row r="28497" spans="1:3">
      <c r="A28497" s="571" t="s">
        <v>1234</v>
      </c>
      <c r="B28497" s="572">
        <v>4</v>
      </c>
      <c r="C28497" s="572">
        <v>30</v>
      </c>
    </row>
    <row r="28498" spans="1:3">
      <c r="A28498" s="571" t="s">
        <v>1234</v>
      </c>
      <c r="B28498" s="572">
        <v>7</v>
      </c>
      <c r="C28498" s="572">
        <v>68</v>
      </c>
    </row>
    <row r="28499" spans="1:3">
      <c r="A28499" s="571" t="s">
        <v>1234</v>
      </c>
      <c r="B28499" s="572">
        <v>14</v>
      </c>
      <c r="C28499" s="572">
        <v>174</v>
      </c>
    </row>
    <row r="28500" spans="1:3">
      <c r="A28500" s="571" t="s">
        <v>1234</v>
      </c>
      <c r="B28500" s="572">
        <v>28</v>
      </c>
      <c r="C28500" s="572">
        <v>312</v>
      </c>
    </row>
    <row r="28501" spans="1:3">
      <c r="A28501" s="571" t="s">
        <v>1234</v>
      </c>
      <c r="B28501" s="572">
        <v>56</v>
      </c>
      <c r="C28501" s="572">
        <v>409</v>
      </c>
    </row>
    <row r="28502" spans="1:3">
      <c r="A28502" s="571" t="s">
        <v>1234</v>
      </c>
      <c r="B28502" s="572">
        <v>90</v>
      </c>
      <c r="C28502" s="572">
        <v>429</v>
      </c>
    </row>
    <row r="28503" spans="1:3">
      <c r="A28503" s="573" t="s">
        <v>1234</v>
      </c>
      <c r="B28503" s="574">
        <v>180</v>
      </c>
      <c r="C28503" s="574">
        <v>431</v>
      </c>
    </row>
    <row r="28504" spans="1:3">
      <c r="A28504" s="573" t="s">
        <v>1234</v>
      </c>
      <c r="B28504" s="574">
        <v>270</v>
      </c>
      <c r="C28504" s="574">
        <v>427</v>
      </c>
    </row>
    <row r="28505" spans="1:3">
      <c r="A28505" s="573" t="s">
        <v>1234</v>
      </c>
      <c r="B28505" s="574">
        <v>365</v>
      </c>
      <c r="C28505" s="574">
        <v>440</v>
      </c>
    </row>
    <row r="28506" spans="1:3">
      <c r="A28506" s="569" t="s">
        <v>1234</v>
      </c>
      <c r="B28506" s="570">
        <v>547</v>
      </c>
      <c r="C28506" s="570">
        <v>451</v>
      </c>
    </row>
    <row r="28507" spans="1:3">
      <c r="A28507" s="571" t="s">
        <v>1233</v>
      </c>
      <c r="B28507" s="572">
        <v>3</v>
      </c>
      <c r="C28507" s="572">
        <v>291</v>
      </c>
    </row>
    <row r="28508" spans="1:3">
      <c r="A28508" s="571" t="s">
        <v>1233</v>
      </c>
      <c r="B28508" s="572">
        <v>7</v>
      </c>
      <c r="C28508" s="572">
        <v>433</v>
      </c>
    </row>
    <row r="28509" spans="1:3">
      <c r="A28509" s="571" t="s">
        <v>1233</v>
      </c>
      <c r="B28509" s="572">
        <v>14</v>
      </c>
      <c r="C28509" s="572">
        <v>638</v>
      </c>
    </row>
    <row r="28510" spans="1:3">
      <c r="A28510" s="571" t="s">
        <v>1233</v>
      </c>
      <c r="B28510" s="572">
        <v>28</v>
      </c>
      <c r="C28510" s="572">
        <v>1000</v>
      </c>
    </row>
    <row r="28511" spans="1:3">
      <c r="A28511" s="571" t="s">
        <v>1233</v>
      </c>
      <c r="B28511" s="572">
        <v>56</v>
      </c>
      <c r="C28511" s="572">
        <v>1298</v>
      </c>
    </row>
    <row r="28512" spans="1:3">
      <c r="A28512" s="571" t="s">
        <v>1233</v>
      </c>
      <c r="B28512" s="572">
        <v>90</v>
      </c>
      <c r="C28512" s="572">
        <v>1436</v>
      </c>
    </row>
    <row r="28513" spans="1:3">
      <c r="A28513" s="573" t="s">
        <v>1233</v>
      </c>
      <c r="B28513" s="574">
        <v>180</v>
      </c>
      <c r="C28513" s="574">
        <v>1580</v>
      </c>
    </row>
    <row r="28514" spans="1:3">
      <c r="A28514" s="573" t="s">
        <v>1233</v>
      </c>
      <c r="B28514" s="574">
        <v>270</v>
      </c>
      <c r="C28514" s="574">
        <v>1629</v>
      </c>
    </row>
    <row r="28515" spans="1:3">
      <c r="A28515" s="573" t="s">
        <v>1233</v>
      </c>
      <c r="B28515" s="574">
        <v>365</v>
      </c>
      <c r="C28515" s="574">
        <v>1661</v>
      </c>
    </row>
    <row r="28516" spans="1:3">
      <c r="A28516" s="569" t="s">
        <v>1233</v>
      </c>
      <c r="B28516" s="570">
        <v>547</v>
      </c>
      <c r="C28516" s="570">
        <v>1680</v>
      </c>
    </row>
    <row r="28517" spans="1:3">
      <c r="A28517" s="571" t="s">
        <v>1232</v>
      </c>
      <c r="B28517" s="572">
        <v>3</v>
      </c>
      <c r="C28517" s="572">
        <v>168</v>
      </c>
    </row>
    <row r="28518" spans="1:3">
      <c r="A28518" s="571" t="s">
        <v>1232</v>
      </c>
      <c r="B28518" s="572">
        <v>7</v>
      </c>
      <c r="C28518" s="572">
        <v>415</v>
      </c>
    </row>
    <row r="28519" spans="1:3">
      <c r="A28519" s="571" t="s">
        <v>1232</v>
      </c>
      <c r="B28519" s="572">
        <v>14</v>
      </c>
      <c r="C28519" s="572">
        <v>763</v>
      </c>
    </row>
    <row r="28520" spans="1:3">
      <c r="A28520" s="571" t="s">
        <v>1232</v>
      </c>
      <c r="B28520" s="572">
        <v>28</v>
      </c>
      <c r="C28520" s="572">
        <v>1052</v>
      </c>
    </row>
    <row r="28521" spans="1:3">
      <c r="A28521" s="571" t="s">
        <v>1232</v>
      </c>
      <c r="B28521" s="572">
        <v>56</v>
      </c>
      <c r="C28521" s="572">
        <v>1230</v>
      </c>
    </row>
    <row r="28522" spans="1:3">
      <c r="A28522" s="571" t="s">
        <v>1232</v>
      </c>
      <c r="B28522" s="572">
        <v>90</v>
      </c>
      <c r="C28522" s="572">
        <v>1300</v>
      </c>
    </row>
    <row r="28523" spans="1:3">
      <c r="A28523" s="573" t="s">
        <v>1232</v>
      </c>
      <c r="B28523" s="574">
        <v>180</v>
      </c>
      <c r="C28523" s="574">
        <v>1399</v>
      </c>
    </row>
    <row r="28524" spans="1:3">
      <c r="A28524" s="573" t="s">
        <v>1232</v>
      </c>
      <c r="B28524" s="574">
        <v>270</v>
      </c>
      <c r="C28524" s="574">
        <v>1440</v>
      </c>
    </row>
    <row r="28525" spans="1:3">
      <c r="A28525" s="573" t="s">
        <v>1232</v>
      </c>
      <c r="B28525" s="574">
        <v>365</v>
      </c>
      <c r="C28525" s="574">
        <v>1452</v>
      </c>
    </row>
    <row r="28526" spans="1:3">
      <c r="A28526" s="569" t="s">
        <v>1232</v>
      </c>
      <c r="B28526" s="570">
        <v>547</v>
      </c>
      <c r="C28526" s="570">
        <v>1472</v>
      </c>
    </row>
    <row r="28527" spans="1:3">
      <c r="A28527" s="571" t="s">
        <v>1231</v>
      </c>
      <c r="B28527" s="572">
        <v>3</v>
      </c>
      <c r="C28527" s="572">
        <v>159</v>
      </c>
    </row>
    <row r="28528" spans="1:3">
      <c r="A28528" s="571" t="s">
        <v>1231</v>
      </c>
      <c r="B28528" s="572">
        <v>7</v>
      </c>
      <c r="C28528" s="572">
        <v>507</v>
      </c>
    </row>
    <row r="28529" spans="1:3">
      <c r="A28529" s="571" t="s">
        <v>1231</v>
      </c>
      <c r="B28529" s="572">
        <v>14</v>
      </c>
      <c r="C28529" s="572">
        <v>909</v>
      </c>
    </row>
    <row r="28530" spans="1:3">
      <c r="A28530" s="571" t="s">
        <v>1231</v>
      </c>
      <c r="B28530" s="572">
        <v>28</v>
      </c>
      <c r="C28530" s="572">
        <v>1080</v>
      </c>
    </row>
    <row r="28531" spans="1:3">
      <c r="A28531" s="571" t="s">
        <v>1231</v>
      </c>
      <c r="B28531" s="572">
        <v>56</v>
      </c>
      <c r="C28531" s="572">
        <v>1120</v>
      </c>
    </row>
    <row r="28532" spans="1:3">
      <c r="A28532" s="571" t="s">
        <v>1231</v>
      </c>
      <c r="B28532" s="572">
        <v>90</v>
      </c>
      <c r="C28532" s="572">
        <v>1158</v>
      </c>
    </row>
    <row r="28533" spans="1:3">
      <c r="A28533" s="573" t="s">
        <v>1231</v>
      </c>
      <c r="B28533" s="574">
        <v>180</v>
      </c>
      <c r="C28533" s="574">
        <v>1259</v>
      </c>
    </row>
    <row r="28534" spans="1:3">
      <c r="A28534" s="573" t="s">
        <v>1231</v>
      </c>
      <c r="B28534" s="574">
        <v>270</v>
      </c>
      <c r="C28534" s="574">
        <v>1300</v>
      </c>
    </row>
    <row r="28535" spans="1:3">
      <c r="A28535" s="573" t="s">
        <v>1231</v>
      </c>
      <c r="B28535" s="574">
        <v>365</v>
      </c>
      <c r="C28535" s="574">
        <v>1320</v>
      </c>
    </row>
    <row r="28536" spans="1:3">
      <c r="A28536" s="569" t="s">
        <v>1231</v>
      </c>
      <c r="B28536" s="570">
        <v>547</v>
      </c>
      <c r="C28536" s="570">
        <v>1340</v>
      </c>
    </row>
    <row r="28537" spans="1:3">
      <c r="A28537" s="571" t="s">
        <v>1230</v>
      </c>
      <c r="B28537" s="572">
        <v>3</v>
      </c>
      <c r="C28537" s="572">
        <v>191</v>
      </c>
    </row>
    <row r="28538" spans="1:3">
      <c r="A28538" s="571" t="s">
        <v>1230</v>
      </c>
      <c r="B28538" s="572">
        <v>7</v>
      </c>
      <c r="C28538" s="572">
        <v>277</v>
      </c>
    </row>
    <row r="28539" spans="1:3">
      <c r="A28539" s="571" t="s">
        <v>1230</v>
      </c>
      <c r="B28539" s="572">
        <v>14</v>
      </c>
      <c r="C28539" s="572">
        <v>424</v>
      </c>
    </row>
    <row r="28540" spans="1:3">
      <c r="A28540" s="571" t="s">
        <v>1230</v>
      </c>
      <c r="B28540" s="572">
        <v>28</v>
      </c>
      <c r="C28540" s="572">
        <v>677</v>
      </c>
    </row>
    <row r="28541" spans="1:3">
      <c r="A28541" s="571" t="s">
        <v>1230</v>
      </c>
      <c r="B28541" s="572">
        <v>56</v>
      </c>
      <c r="C28541" s="572">
        <v>818</v>
      </c>
    </row>
    <row r="28542" spans="1:3">
      <c r="A28542" s="571" t="s">
        <v>1230</v>
      </c>
      <c r="B28542" s="572">
        <v>90</v>
      </c>
      <c r="C28542" s="572">
        <v>897</v>
      </c>
    </row>
    <row r="28543" spans="1:3">
      <c r="A28543" s="573" t="s">
        <v>1230</v>
      </c>
      <c r="B28543" s="574">
        <v>180</v>
      </c>
      <c r="C28543" s="574">
        <v>980</v>
      </c>
    </row>
    <row r="28544" spans="1:3">
      <c r="A28544" s="573" t="s">
        <v>1230</v>
      </c>
      <c r="B28544" s="574">
        <v>270</v>
      </c>
      <c r="C28544" s="574">
        <v>1000</v>
      </c>
    </row>
    <row r="28545" spans="1:3">
      <c r="A28545" s="573" t="s">
        <v>1230</v>
      </c>
      <c r="B28545" s="574">
        <v>365</v>
      </c>
      <c r="C28545" s="574">
        <v>1018</v>
      </c>
    </row>
    <row r="28546" spans="1:3">
      <c r="A28546" s="569" t="s">
        <v>1230</v>
      </c>
      <c r="B28546" s="570">
        <v>547</v>
      </c>
      <c r="C28546" s="570">
        <v>1033</v>
      </c>
    </row>
    <row r="28547" spans="1:3">
      <c r="A28547" s="571" t="s">
        <v>1229</v>
      </c>
      <c r="B28547" s="572">
        <v>3</v>
      </c>
      <c r="C28547" s="572">
        <v>138</v>
      </c>
    </row>
    <row r="28548" spans="1:3">
      <c r="A28548" s="571" t="s">
        <v>1229</v>
      </c>
      <c r="B28548" s="572">
        <v>7</v>
      </c>
      <c r="C28548" s="572">
        <v>277</v>
      </c>
    </row>
    <row r="28549" spans="1:3">
      <c r="A28549" s="571" t="s">
        <v>1229</v>
      </c>
      <c r="B28549" s="572">
        <v>14</v>
      </c>
      <c r="C28549" s="572">
        <v>509</v>
      </c>
    </row>
    <row r="28550" spans="1:3">
      <c r="A28550" s="571" t="s">
        <v>1229</v>
      </c>
      <c r="B28550" s="572">
        <v>28</v>
      </c>
      <c r="C28550" s="572">
        <v>745</v>
      </c>
    </row>
    <row r="28551" spans="1:3">
      <c r="A28551" s="571" t="s">
        <v>1229</v>
      </c>
      <c r="B28551" s="572">
        <v>56</v>
      </c>
      <c r="C28551" s="572">
        <v>803</v>
      </c>
    </row>
    <row r="28552" spans="1:3">
      <c r="A28552" s="571" t="s">
        <v>1229</v>
      </c>
      <c r="B28552" s="572">
        <v>90</v>
      </c>
      <c r="C28552" s="572">
        <v>841</v>
      </c>
    </row>
    <row r="28553" spans="1:3">
      <c r="A28553" s="573" t="s">
        <v>1229</v>
      </c>
      <c r="B28553" s="574">
        <v>180</v>
      </c>
      <c r="C28553" s="574">
        <v>902</v>
      </c>
    </row>
    <row r="28554" spans="1:3">
      <c r="A28554" s="573" t="s">
        <v>1229</v>
      </c>
      <c r="B28554" s="574">
        <v>270</v>
      </c>
      <c r="C28554" s="574">
        <v>922</v>
      </c>
    </row>
    <row r="28555" spans="1:3">
      <c r="A28555" s="573" t="s">
        <v>1229</v>
      </c>
      <c r="B28555" s="574">
        <v>365</v>
      </c>
      <c r="C28555" s="574">
        <v>934</v>
      </c>
    </row>
    <row r="28556" spans="1:3">
      <c r="A28556" s="569" t="s">
        <v>1229</v>
      </c>
      <c r="B28556" s="570">
        <v>547</v>
      </c>
      <c r="C28556" s="570">
        <v>935</v>
      </c>
    </row>
    <row r="28557" spans="1:3">
      <c r="A28557" s="571" t="s">
        <v>1228</v>
      </c>
      <c r="B28557" s="572">
        <v>3</v>
      </c>
      <c r="C28557" s="572">
        <v>115</v>
      </c>
    </row>
    <row r="28558" spans="1:3">
      <c r="A28558" s="571" t="s">
        <v>1228</v>
      </c>
      <c r="B28558" s="572">
        <v>7</v>
      </c>
      <c r="C28558" s="572">
        <v>335</v>
      </c>
    </row>
    <row r="28559" spans="1:3">
      <c r="A28559" s="571" t="s">
        <v>1228</v>
      </c>
      <c r="B28559" s="572">
        <v>14</v>
      </c>
      <c r="C28559" s="572">
        <v>594</v>
      </c>
    </row>
    <row r="28560" spans="1:3">
      <c r="A28560" s="571" t="s">
        <v>1228</v>
      </c>
      <c r="B28560" s="572">
        <v>28</v>
      </c>
      <c r="C28560" s="572">
        <v>731</v>
      </c>
    </row>
    <row r="28561" spans="1:3">
      <c r="A28561" s="571" t="s">
        <v>1228</v>
      </c>
      <c r="B28561" s="572">
        <v>56</v>
      </c>
      <c r="C28561" s="572">
        <v>750</v>
      </c>
    </row>
    <row r="28562" spans="1:3">
      <c r="A28562" s="571" t="s">
        <v>1228</v>
      </c>
      <c r="B28562" s="572">
        <v>90</v>
      </c>
      <c r="C28562" s="572">
        <v>779</v>
      </c>
    </row>
    <row r="28563" spans="1:3">
      <c r="A28563" s="573" t="s">
        <v>1228</v>
      </c>
      <c r="B28563" s="574">
        <v>180</v>
      </c>
      <c r="C28563" s="574">
        <v>800</v>
      </c>
    </row>
    <row r="28564" spans="1:3">
      <c r="A28564" s="573" t="s">
        <v>1228</v>
      </c>
      <c r="B28564" s="574">
        <v>270</v>
      </c>
      <c r="C28564" s="574">
        <v>819</v>
      </c>
    </row>
    <row r="28565" spans="1:3">
      <c r="A28565" s="573" t="s">
        <v>1228</v>
      </c>
      <c r="B28565" s="574">
        <v>365</v>
      </c>
      <c r="C28565" s="574">
        <v>830</v>
      </c>
    </row>
    <row r="28566" spans="1:3">
      <c r="A28566" s="569" t="s">
        <v>1228</v>
      </c>
      <c r="B28566" s="570">
        <v>547</v>
      </c>
      <c r="C28566" s="570">
        <v>842</v>
      </c>
    </row>
    <row r="28567" spans="1:3">
      <c r="A28567" s="571" t="s">
        <v>1227</v>
      </c>
      <c r="B28567" s="572">
        <v>3</v>
      </c>
      <c r="C28567" s="572">
        <v>224</v>
      </c>
    </row>
    <row r="28568" spans="1:3">
      <c r="A28568" s="571" t="s">
        <v>1227</v>
      </c>
      <c r="B28568" s="572">
        <v>7</v>
      </c>
      <c r="C28568" s="572">
        <v>435</v>
      </c>
    </row>
    <row r="28569" spans="1:3">
      <c r="A28569" s="571" t="s">
        <v>1227</v>
      </c>
      <c r="B28569" s="572">
        <v>14</v>
      </c>
      <c r="C28569" s="572">
        <v>751</v>
      </c>
    </row>
    <row r="28570" spans="1:3">
      <c r="A28570" s="571" t="s">
        <v>1227</v>
      </c>
      <c r="B28570" s="572">
        <v>28</v>
      </c>
      <c r="C28570" s="572">
        <v>1008</v>
      </c>
    </row>
    <row r="28571" spans="1:3">
      <c r="A28571" s="571" t="s">
        <v>1227</v>
      </c>
      <c r="B28571" s="572">
        <v>56</v>
      </c>
      <c r="C28571" s="572">
        <v>1214</v>
      </c>
    </row>
    <row r="28572" spans="1:3">
      <c r="A28572" s="571" t="s">
        <v>1227</v>
      </c>
      <c r="B28572" s="572">
        <v>90</v>
      </c>
      <c r="C28572" s="572">
        <v>1306</v>
      </c>
    </row>
    <row r="28573" spans="1:3">
      <c r="A28573" s="573" t="s">
        <v>1227</v>
      </c>
      <c r="B28573" s="574">
        <v>180</v>
      </c>
      <c r="C28573" s="574">
        <v>1380</v>
      </c>
    </row>
    <row r="28574" spans="1:3">
      <c r="A28574" s="573" t="s">
        <v>1227</v>
      </c>
      <c r="B28574" s="574">
        <v>270</v>
      </c>
      <c r="C28574" s="574">
        <v>1401</v>
      </c>
    </row>
    <row r="28575" spans="1:3">
      <c r="A28575" s="573" t="s">
        <v>1227</v>
      </c>
      <c r="B28575" s="574">
        <v>365</v>
      </c>
      <c r="C28575" s="574">
        <v>1420</v>
      </c>
    </row>
    <row r="28576" spans="1:3">
      <c r="A28576" s="569" t="s">
        <v>1227</v>
      </c>
      <c r="B28576" s="570">
        <v>547</v>
      </c>
      <c r="C28576" s="570">
        <v>1431</v>
      </c>
    </row>
    <row r="28577" spans="1:3">
      <c r="A28577" s="571" t="s">
        <v>1226</v>
      </c>
      <c r="B28577" s="572">
        <v>3</v>
      </c>
      <c r="C28577" s="572">
        <v>118</v>
      </c>
    </row>
    <row r="28578" spans="1:3">
      <c r="A28578" s="571" t="s">
        <v>1226</v>
      </c>
      <c r="B28578" s="572">
        <v>7</v>
      </c>
      <c r="C28578" s="572">
        <v>465</v>
      </c>
    </row>
    <row r="28579" spans="1:3">
      <c r="A28579" s="571" t="s">
        <v>1226</v>
      </c>
      <c r="B28579" s="572">
        <v>14</v>
      </c>
      <c r="C28579" s="572">
        <v>792</v>
      </c>
    </row>
    <row r="28580" spans="1:3">
      <c r="A28580" s="571" t="s">
        <v>1226</v>
      </c>
      <c r="B28580" s="572">
        <v>28</v>
      </c>
      <c r="C28580" s="572">
        <v>963</v>
      </c>
    </row>
    <row r="28581" spans="1:3">
      <c r="A28581" s="571" t="s">
        <v>1226</v>
      </c>
      <c r="B28581" s="572">
        <v>56</v>
      </c>
      <c r="C28581" s="572">
        <v>1023</v>
      </c>
    </row>
    <row r="28582" spans="1:3">
      <c r="A28582" s="571" t="s">
        <v>1226</v>
      </c>
      <c r="B28582" s="572">
        <v>90</v>
      </c>
      <c r="C28582" s="572">
        <v>1065</v>
      </c>
    </row>
    <row r="28583" spans="1:3">
      <c r="A28583" s="573" t="s">
        <v>1226</v>
      </c>
      <c r="B28583" s="574">
        <v>180</v>
      </c>
      <c r="C28583" s="574">
        <v>1140</v>
      </c>
    </row>
    <row r="28584" spans="1:3">
      <c r="A28584" s="573" t="s">
        <v>1226</v>
      </c>
      <c r="B28584" s="574">
        <v>270</v>
      </c>
      <c r="C28584" s="574">
        <v>1155</v>
      </c>
    </row>
    <row r="28585" spans="1:3">
      <c r="A28585" s="573" t="s">
        <v>1226</v>
      </c>
      <c r="B28585" s="574">
        <v>365</v>
      </c>
      <c r="C28585" s="574">
        <v>1170</v>
      </c>
    </row>
    <row r="28586" spans="1:3">
      <c r="A28586" s="569" t="s">
        <v>1226</v>
      </c>
      <c r="B28586" s="570">
        <v>547</v>
      </c>
      <c r="C28586" s="570">
        <v>1188</v>
      </c>
    </row>
    <row r="28587" spans="1:3">
      <c r="A28587" s="571" t="s">
        <v>1225</v>
      </c>
      <c r="B28587" s="572">
        <v>3</v>
      </c>
      <c r="C28587" s="572">
        <v>171</v>
      </c>
    </row>
    <row r="28588" spans="1:3">
      <c r="A28588" s="571" t="s">
        <v>1225</v>
      </c>
      <c r="B28588" s="572">
        <v>7</v>
      </c>
      <c r="C28588" s="572">
        <v>550</v>
      </c>
    </row>
    <row r="28589" spans="1:3">
      <c r="A28589" s="571" t="s">
        <v>1225</v>
      </c>
      <c r="B28589" s="572">
        <v>14</v>
      </c>
      <c r="C28589" s="572">
        <v>818</v>
      </c>
    </row>
    <row r="28590" spans="1:3">
      <c r="A28590" s="571" t="s">
        <v>1225</v>
      </c>
      <c r="B28590" s="572">
        <v>28</v>
      </c>
      <c r="C28590" s="572">
        <v>951</v>
      </c>
    </row>
    <row r="28591" spans="1:3">
      <c r="A28591" s="571" t="s">
        <v>1225</v>
      </c>
      <c r="B28591" s="572">
        <v>56</v>
      </c>
      <c r="C28591" s="572">
        <v>977</v>
      </c>
    </row>
    <row r="28592" spans="1:3">
      <c r="A28592" s="571" t="s">
        <v>1225</v>
      </c>
      <c r="B28592" s="572">
        <v>90</v>
      </c>
      <c r="C28592" s="572">
        <v>1021</v>
      </c>
    </row>
    <row r="28593" spans="1:3">
      <c r="A28593" s="573" t="s">
        <v>1225</v>
      </c>
      <c r="B28593" s="574">
        <v>180</v>
      </c>
      <c r="C28593" s="574">
        <v>1085</v>
      </c>
    </row>
    <row r="28594" spans="1:3">
      <c r="A28594" s="573" t="s">
        <v>1225</v>
      </c>
      <c r="B28594" s="574">
        <v>270</v>
      </c>
      <c r="C28594" s="574">
        <v>1110</v>
      </c>
    </row>
    <row r="28595" spans="1:3">
      <c r="A28595" s="573" t="s">
        <v>1225</v>
      </c>
      <c r="B28595" s="574">
        <v>365</v>
      </c>
      <c r="C28595" s="574">
        <v>1131</v>
      </c>
    </row>
    <row r="28596" spans="1:3">
      <c r="A28596" s="569" t="s">
        <v>1225</v>
      </c>
      <c r="B28596" s="570">
        <v>547</v>
      </c>
      <c r="C28596" s="570">
        <v>1142</v>
      </c>
    </row>
    <row r="28597" spans="1:3">
      <c r="A28597" s="571" t="s">
        <v>1224</v>
      </c>
      <c r="B28597" s="572">
        <v>3</v>
      </c>
      <c r="C28597" s="572">
        <v>147</v>
      </c>
    </row>
    <row r="28598" spans="1:3">
      <c r="A28598" s="571" t="s">
        <v>1224</v>
      </c>
      <c r="B28598" s="572">
        <v>7</v>
      </c>
      <c r="C28598" s="572">
        <v>259</v>
      </c>
    </row>
    <row r="28599" spans="1:3">
      <c r="A28599" s="571" t="s">
        <v>1224</v>
      </c>
      <c r="B28599" s="572">
        <v>14</v>
      </c>
      <c r="C28599" s="572">
        <v>485</v>
      </c>
    </row>
    <row r="28600" spans="1:3">
      <c r="A28600" s="571" t="s">
        <v>1224</v>
      </c>
      <c r="B28600" s="572">
        <v>28</v>
      </c>
      <c r="C28600" s="572">
        <v>673</v>
      </c>
    </row>
    <row r="28601" spans="1:3">
      <c r="A28601" s="571" t="s">
        <v>1224</v>
      </c>
      <c r="B28601" s="572">
        <v>56</v>
      </c>
      <c r="C28601" s="572">
        <v>785</v>
      </c>
    </row>
    <row r="28602" spans="1:3">
      <c r="A28602" s="571" t="s">
        <v>1224</v>
      </c>
      <c r="B28602" s="572">
        <v>90</v>
      </c>
      <c r="C28602" s="572">
        <v>821</v>
      </c>
    </row>
    <row r="28603" spans="1:3">
      <c r="A28603" s="573" t="s">
        <v>1224</v>
      </c>
      <c r="B28603" s="574">
        <v>180</v>
      </c>
      <c r="C28603" s="574">
        <v>870</v>
      </c>
    </row>
    <row r="28604" spans="1:3">
      <c r="A28604" s="573" t="s">
        <v>1224</v>
      </c>
      <c r="B28604" s="574">
        <v>270</v>
      </c>
      <c r="C28604" s="574">
        <v>901</v>
      </c>
    </row>
    <row r="28605" spans="1:3">
      <c r="A28605" s="573" t="s">
        <v>1224</v>
      </c>
      <c r="B28605" s="574">
        <v>365</v>
      </c>
      <c r="C28605" s="574">
        <v>914</v>
      </c>
    </row>
    <row r="28606" spans="1:3">
      <c r="A28606" s="569" t="s">
        <v>1224</v>
      </c>
      <c r="B28606" s="570">
        <v>547</v>
      </c>
      <c r="C28606" s="570">
        <v>933</v>
      </c>
    </row>
    <row r="28607" spans="1:3">
      <c r="A28607" s="571" t="s">
        <v>1223</v>
      </c>
      <c r="B28607" s="572">
        <v>3</v>
      </c>
      <c r="C28607" s="572">
        <v>106</v>
      </c>
    </row>
    <row r="28608" spans="1:3">
      <c r="A28608" s="571" t="s">
        <v>1223</v>
      </c>
      <c r="B28608" s="572">
        <v>7</v>
      </c>
      <c r="C28608" s="572">
        <v>277</v>
      </c>
    </row>
    <row r="28609" spans="1:3">
      <c r="A28609" s="571" t="s">
        <v>1223</v>
      </c>
      <c r="B28609" s="572">
        <v>14</v>
      </c>
      <c r="C28609" s="572">
        <v>523</v>
      </c>
    </row>
    <row r="28610" spans="1:3">
      <c r="A28610" s="571" t="s">
        <v>1223</v>
      </c>
      <c r="B28610" s="572">
        <v>28</v>
      </c>
      <c r="C28610" s="572">
        <v>665</v>
      </c>
    </row>
    <row r="28611" spans="1:3">
      <c r="A28611" s="571" t="s">
        <v>1223</v>
      </c>
      <c r="B28611" s="572">
        <v>56</v>
      </c>
      <c r="C28611" s="572">
        <v>740</v>
      </c>
    </row>
    <row r="28612" spans="1:3">
      <c r="A28612" s="571" t="s">
        <v>1223</v>
      </c>
      <c r="B28612" s="572">
        <v>90</v>
      </c>
      <c r="C28612" s="572">
        <v>770</v>
      </c>
    </row>
    <row r="28613" spans="1:3">
      <c r="A28613" s="573" t="s">
        <v>1223</v>
      </c>
      <c r="B28613" s="574">
        <v>180</v>
      </c>
      <c r="C28613" s="574">
        <v>782</v>
      </c>
    </row>
    <row r="28614" spans="1:3">
      <c r="A28614" s="573" t="s">
        <v>1223</v>
      </c>
      <c r="B28614" s="574">
        <v>270</v>
      </c>
      <c r="C28614" s="574">
        <v>800</v>
      </c>
    </row>
    <row r="28615" spans="1:3">
      <c r="A28615" s="573" t="s">
        <v>1223</v>
      </c>
      <c r="B28615" s="574">
        <v>365</v>
      </c>
      <c r="C28615" s="574">
        <v>812</v>
      </c>
    </row>
    <row r="28616" spans="1:3">
      <c r="A28616" s="569" t="s">
        <v>1223</v>
      </c>
      <c r="B28616" s="570">
        <v>547</v>
      </c>
      <c r="C28616" s="570">
        <v>816</v>
      </c>
    </row>
    <row r="28617" spans="1:3">
      <c r="A28617" s="571" t="s">
        <v>1222</v>
      </c>
      <c r="B28617" s="572">
        <v>3</v>
      </c>
      <c r="C28617" s="572">
        <v>91</v>
      </c>
    </row>
    <row r="28618" spans="1:3">
      <c r="A28618" s="571" t="s">
        <v>1222</v>
      </c>
      <c r="B28618" s="572">
        <v>7</v>
      </c>
      <c r="C28618" s="572">
        <v>309</v>
      </c>
    </row>
    <row r="28619" spans="1:3">
      <c r="A28619" s="571" t="s">
        <v>1222</v>
      </c>
      <c r="B28619" s="572">
        <v>14</v>
      </c>
      <c r="C28619" s="572">
        <v>538</v>
      </c>
    </row>
    <row r="28620" spans="1:3">
      <c r="A28620" s="571" t="s">
        <v>1222</v>
      </c>
      <c r="B28620" s="572">
        <v>28</v>
      </c>
      <c r="C28620" s="572">
        <v>612</v>
      </c>
    </row>
    <row r="28621" spans="1:3">
      <c r="A28621" s="571" t="s">
        <v>1222</v>
      </c>
      <c r="B28621" s="572">
        <v>56</v>
      </c>
      <c r="C28621" s="572">
        <v>640</v>
      </c>
    </row>
    <row r="28622" spans="1:3">
      <c r="A28622" s="571" t="s">
        <v>1222</v>
      </c>
      <c r="B28622" s="572">
        <v>90</v>
      </c>
      <c r="C28622" s="572">
        <v>651</v>
      </c>
    </row>
    <row r="28623" spans="1:3">
      <c r="A28623" s="573" t="s">
        <v>1222</v>
      </c>
      <c r="B28623" s="574">
        <v>180</v>
      </c>
      <c r="C28623" s="574">
        <v>682</v>
      </c>
    </row>
    <row r="28624" spans="1:3">
      <c r="A28624" s="573" t="s">
        <v>1222</v>
      </c>
      <c r="B28624" s="574">
        <v>270</v>
      </c>
      <c r="C28624" s="574">
        <v>705</v>
      </c>
    </row>
    <row r="28625" spans="1:3">
      <c r="A28625" s="573" t="s">
        <v>1222</v>
      </c>
      <c r="B28625" s="574">
        <v>365</v>
      </c>
      <c r="C28625" s="574">
        <v>711</v>
      </c>
    </row>
    <row r="28626" spans="1:3">
      <c r="A28626" s="569" t="s">
        <v>1222</v>
      </c>
      <c r="B28626" s="570">
        <v>547</v>
      </c>
      <c r="C28626" s="570">
        <v>710</v>
      </c>
    </row>
    <row r="28627" spans="1:3">
      <c r="A28627" s="571" t="s">
        <v>1221</v>
      </c>
      <c r="B28627" s="572">
        <v>3</v>
      </c>
      <c r="C28627" s="572">
        <v>165</v>
      </c>
    </row>
    <row r="28628" spans="1:3">
      <c r="A28628" s="571" t="s">
        <v>1221</v>
      </c>
      <c r="B28628" s="572">
        <v>7</v>
      </c>
      <c r="C28628" s="572">
        <v>497</v>
      </c>
    </row>
    <row r="28629" spans="1:3">
      <c r="A28629" s="571" t="s">
        <v>1221</v>
      </c>
      <c r="B28629" s="572">
        <v>14</v>
      </c>
      <c r="C28629" s="572">
        <v>816</v>
      </c>
    </row>
    <row r="28630" spans="1:3">
      <c r="A28630" s="571" t="s">
        <v>1221</v>
      </c>
      <c r="B28630" s="572">
        <v>28</v>
      </c>
      <c r="C28630" s="572">
        <v>1050</v>
      </c>
    </row>
    <row r="28631" spans="1:3">
      <c r="A28631" s="571" t="s">
        <v>1221</v>
      </c>
      <c r="B28631" s="572">
        <v>56</v>
      </c>
      <c r="C28631" s="572">
        <v>1138</v>
      </c>
    </row>
    <row r="28632" spans="1:3">
      <c r="A28632" s="571" t="s">
        <v>1221</v>
      </c>
      <c r="B28632" s="572">
        <v>90</v>
      </c>
      <c r="C28632" s="572">
        <v>1180</v>
      </c>
    </row>
    <row r="28633" spans="1:3">
      <c r="A28633" s="573" t="s">
        <v>1221</v>
      </c>
      <c r="B28633" s="574">
        <v>180</v>
      </c>
      <c r="C28633" s="574">
        <v>1221</v>
      </c>
    </row>
    <row r="28634" spans="1:3">
      <c r="A28634" s="573" t="s">
        <v>1221</v>
      </c>
      <c r="B28634" s="574">
        <v>270</v>
      </c>
      <c r="C28634" s="574">
        <v>1230</v>
      </c>
    </row>
    <row r="28635" spans="1:3">
      <c r="A28635" s="573" t="s">
        <v>1221</v>
      </c>
      <c r="B28635" s="574">
        <v>365</v>
      </c>
      <c r="C28635" s="574">
        <v>1242</v>
      </c>
    </row>
    <row r="28636" spans="1:3">
      <c r="A28636" s="569" t="s">
        <v>1221</v>
      </c>
      <c r="B28636" s="570">
        <v>547</v>
      </c>
      <c r="C28636" s="570">
        <v>1254</v>
      </c>
    </row>
    <row r="28637" spans="1:3">
      <c r="A28637" s="571" t="s">
        <v>1220</v>
      </c>
      <c r="B28637" s="572">
        <v>3</v>
      </c>
      <c r="C28637" s="572">
        <v>165</v>
      </c>
    </row>
    <row r="28638" spans="1:3">
      <c r="A28638" s="571" t="s">
        <v>1220</v>
      </c>
      <c r="B28638" s="572">
        <v>7</v>
      </c>
      <c r="C28638" s="572">
        <v>556</v>
      </c>
    </row>
    <row r="28639" spans="1:3">
      <c r="A28639" s="571" t="s">
        <v>1220</v>
      </c>
      <c r="B28639" s="572">
        <v>14</v>
      </c>
      <c r="C28639" s="572">
        <v>823</v>
      </c>
    </row>
    <row r="28640" spans="1:3">
      <c r="A28640" s="571" t="s">
        <v>1220</v>
      </c>
      <c r="B28640" s="572">
        <v>28</v>
      </c>
      <c r="C28640" s="572">
        <v>920</v>
      </c>
    </row>
    <row r="28641" spans="1:3">
      <c r="A28641" s="571" t="s">
        <v>1220</v>
      </c>
      <c r="B28641" s="572">
        <v>56</v>
      </c>
      <c r="C28641" s="572">
        <v>956</v>
      </c>
    </row>
    <row r="28642" spans="1:3">
      <c r="A28642" s="571" t="s">
        <v>1220</v>
      </c>
      <c r="B28642" s="572">
        <v>90</v>
      </c>
      <c r="C28642" s="572">
        <v>990</v>
      </c>
    </row>
    <row r="28643" spans="1:3">
      <c r="A28643" s="573" t="s">
        <v>1220</v>
      </c>
      <c r="B28643" s="574">
        <v>180</v>
      </c>
      <c r="C28643" s="574">
        <v>1040</v>
      </c>
    </row>
    <row r="28644" spans="1:3">
      <c r="A28644" s="573" t="s">
        <v>1220</v>
      </c>
      <c r="B28644" s="574">
        <v>270</v>
      </c>
      <c r="C28644" s="574">
        <v>1060</v>
      </c>
    </row>
    <row r="28645" spans="1:3">
      <c r="A28645" s="573" t="s">
        <v>1220</v>
      </c>
      <c r="B28645" s="574">
        <v>365</v>
      </c>
      <c r="C28645" s="574">
        <v>1071</v>
      </c>
    </row>
    <row r="28646" spans="1:3">
      <c r="A28646" s="569" t="s">
        <v>1220</v>
      </c>
      <c r="B28646" s="570">
        <v>547</v>
      </c>
      <c r="C28646" s="570">
        <v>1083</v>
      </c>
    </row>
    <row r="28647" spans="1:3">
      <c r="A28647" s="571" t="s">
        <v>1219</v>
      </c>
      <c r="B28647" s="572">
        <v>3</v>
      </c>
      <c r="C28647" s="572">
        <v>153</v>
      </c>
    </row>
    <row r="28648" spans="1:3">
      <c r="A28648" s="571" t="s">
        <v>1219</v>
      </c>
      <c r="B28648" s="572">
        <v>7</v>
      </c>
      <c r="C28648" s="572">
        <v>621</v>
      </c>
    </row>
    <row r="28649" spans="1:3">
      <c r="A28649" s="571" t="s">
        <v>1219</v>
      </c>
      <c r="B28649" s="572">
        <v>14</v>
      </c>
      <c r="C28649" s="572">
        <v>850</v>
      </c>
    </row>
    <row r="28650" spans="1:3">
      <c r="A28650" s="571" t="s">
        <v>1219</v>
      </c>
      <c r="B28650" s="572">
        <v>28</v>
      </c>
      <c r="C28650" s="572">
        <v>901</v>
      </c>
    </row>
    <row r="28651" spans="1:3">
      <c r="A28651" s="571" t="s">
        <v>1219</v>
      </c>
      <c r="B28651" s="572">
        <v>56</v>
      </c>
      <c r="C28651" s="572">
        <v>919</v>
      </c>
    </row>
    <row r="28652" spans="1:3">
      <c r="A28652" s="571" t="s">
        <v>1219</v>
      </c>
      <c r="B28652" s="572">
        <v>90</v>
      </c>
      <c r="C28652" s="572">
        <v>932</v>
      </c>
    </row>
    <row r="28653" spans="1:3">
      <c r="A28653" s="573" t="s">
        <v>1219</v>
      </c>
      <c r="B28653" s="574">
        <v>180</v>
      </c>
      <c r="C28653" s="574">
        <v>987</v>
      </c>
    </row>
    <row r="28654" spans="1:3">
      <c r="A28654" s="573" t="s">
        <v>1219</v>
      </c>
      <c r="B28654" s="574">
        <v>270</v>
      </c>
      <c r="C28654" s="574">
        <v>1000</v>
      </c>
    </row>
    <row r="28655" spans="1:3">
      <c r="A28655" s="573" t="s">
        <v>1219</v>
      </c>
      <c r="B28655" s="574">
        <v>365</v>
      </c>
      <c r="C28655" s="574">
        <v>1020</v>
      </c>
    </row>
    <row r="28656" spans="1:3">
      <c r="A28656" s="569" t="s">
        <v>1219</v>
      </c>
      <c r="B28656" s="570">
        <v>547</v>
      </c>
      <c r="C28656" s="570">
        <v>1052</v>
      </c>
    </row>
    <row r="28657" spans="1:3">
      <c r="A28657" s="571" t="s">
        <v>1218</v>
      </c>
      <c r="B28657" s="572">
        <v>3</v>
      </c>
      <c r="C28657" s="572">
        <v>109</v>
      </c>
    </row>
    <row r="28658" spans="1:3">
      <c r="A28658" s="571" t="s">
        <v>1218</v>
      </c>
      <c r="B28658" s="572">
        <v>7</v>
      </c>
      <c r="C28658" s="572">
        <v>277</v>
      </c>
    </row>
    <row r="28659" spans="1:3">
      <c r="A28659" s="571" t="s">
        <v>1218</v>
      </c>
      <c r="B28659" s="572">
        <v>14</v>
      </c>
      <c r="C28659" s="572">
        <v>491</v>
      </c>
    </row>
    <row r="28660" spans="1:3">
      <c r="A28660" s="571" t="s">
        <v>1218</v>
      </c>
      <c r="B28660" s="572">
        <v>28</v>
      </c>
      <c r="C28660" s="572">
        <v>610</v>
      </c>
    </row>
    <row r="28661" spans="1:3">
      <c r="A28661" s="571" t="s">
        <v>1218</v>
      </c>
      <c r="B28661" s="572">
        <v>56</v>
      </c>
      <c r="C28661" s="572">
        <v>653</v>
      </c>
    </row>
    <row r="28662" spans="1:3">
      <c r="A28662" s="571" t="s">
        <v>1218</v>
      </c>
      <c r="B28662" s="572">
        <v>90</v>
      </c>
      <c r="C28662" s="572">
        <v>690</v>
      </c>
    </row>
    <row r="28663" spans="1:3">
      <c r="A28663" s="573" t="s">
        <v>1218</v>
      </c>
      <c r="B28663" s="574">
        <v>180</v>
      </c>
      <c r="C28663" s="574">
        <v>739</v>
      </c>
    </row>
    <row r="28664" spans="1:3">
      <c r="A28664" s="573" t="s">
        <v>1218</v>
      </c>
      <c r="B28664" s="574">
        <v>270</v>
      </c>
      <c r="C28664" s="574">
        <v>770</v>
      </c>
    </row>
    <row r="28665" spans="1:3">
      <c r="A28665" s="573" t="s">
        <v>1218</v>
      </c>
      <c r="B28665" s="574">
        <v>365</v>
      </c>
      <c r="C28665" s="574">
        <v>782</v>
      </c>
    </row>
    <row r="28666" spans="1:3">
      <c r="A28666" s="569" t="s">
        <v>1218</v>
      </c>
      <c r="B28666" s="570">
        <v>547</v>
      </c>
      <c r="C28666" s="570">
        <v>795</v>
      </c>
    </row>
    <row r="28667" spans="1:3">
      <c r="A28667" s="571" t="s">
        <v>1217</v>
      </c>
      <c r="B28667" s="572">
        <v>3</v>
      </c>
      <c r="C28667" s="572">
        <v>103</v>
      </c>
    </row>
    <row r="28668" spans="1:3">
      <c r="A28668" s="571" t="s">
        <v>1217</v>
      </c>
      <c r="B28668" s="572">
        <v>7</v>
      </c>
      <c r="C28668" s="572">
        <v>321</v>
      </c>
    </row>
    <row r="28669" spans="1:3">
      <c r="A28669" s="571" t="s">
        <v>1217</v>
      </c>
      <c r="B28669" s="572">
        <v>14</v>
      </c>
      <c r="C28669" s="572">
        <v>506</v>
      </c>
    </row>
    <row r="28670" spans="1:3">
      <c r="A28670" s="571" t="s">
        <v>1217</v>
      </c>
      <c r="B28670" s="572">
        <v>28</v>
      </c>
      <c r="C28670" s="572">
        <v>550</v>
      </c>
    </row>
    <row r="28671" spans="1:3">
      <c r="A28671" s="571" t="s">
        <v>1217</v>
      </c>
      <c r="B28671" s="572">
        <v>56</v>
      </c>
      <c r="C28671" s="572">
        <v>577</v>
      </c>
    </row>
    <row r="28672" spans="1:3">
      <c r="A28672" s="571" t="s">
        <v>1217</v>
      </c>
      <c r="B28672" s="572">
        <v>90</v>
      </c>
      <c r="C28672" s="572">
        <v>611</v>
      </c>
    </row>
    <row r="28673" spans="1:3">
      <c r="A28673" s="573" t="s">
        <v>1217</v>
      </c>
      <c r="B28673" s="574">
        <v>180</v>
      </c>
      <c r="C28673" s="574">
        <v>660</v>
      </c>
    </row>
    <row r="28674" spans="1:3">
      <c r="A28674" s="573" t="s">
        <v>1217</v>
      </c>
      <c r="B28674" s="574">
        <v>270</v>
      </c>
      <c r="C28674" s="574">
        <v>691</v>
      </c>
    </row>
    <row r="28675" spans="1:3">
      <c r="A28675" s="573" t="s">
        <v>1217</v>
      </c>
      <c r="B28675" s="574">
        <v>365</v>
      </c>
      <c r="C28675" s="574">
        <v>713</v>
      </c>
    </row>
    <row r="28676" spans="1:3">
      <c r="A28676" s="569" t="s">
        <v>1217</v>
      </c>
      <c r="B28676" s="570">
        <v>547</v>
      </c>
      <c r="C28676" s="570">
        <v>720</v>
      </c>
    </row>
    <row r="28677" spans="1:3">
      <c r="A28677" s="571" t="s">
        <v>1216</v>
      </c>
      <c r="B28677" s="572">
        <v>3</v>
      </c>
      <c r="C28677" s="572">
        <v>103</v>
      </c>
    </row>
    <row r="28678" spans="1:3">
      <c r="A28678" s="571" t="s">
        <v>1216</v>
      </c>
      <c r="B28678" s="572">
        <v>7</v>
      </c>
      <c r="C28678" s="572">
        <v>347</v>
      </c>
    </row>
    <row r="28679" spans="1:3">
      <c r="A28679" s="571" t="s">
        <v>1216</v>
      </c>
      <c r="B28679" s="572">
        <v>14</v>
      </c>
      <c r="C28679" s="572">
        <v>527</v>
      </c>
    </row>
    <row r="28680" spans="1:3">
      <c r="A28680" s="571" t="s">
        <v>1216</v>
      </c>
      <c r="B28680" s="572">
        <v>28</v>
      </c>
      <c r="C28680" s="572">
        <v>550</v>
      </c>
    </row>
    <row r="28681" spans="1:3">
      <c r="A28681" s="571" t="s">
        <v>1216</v>
      </c>
      <c r="B28681" s="572">
        <v>56</v>
      </c>
      <c r="C28681" s="572">
        <v>580</v>
      </c>
    </row>
    <row r="28682" spans="1:3">
      <c r="A28682" s="571" t="s">
        <v>1216</v>
      </c>
      <c r="B28682" s="572">
        <v>90</v>
      </c>
      <c r="C28682" s="572">
        <v>600</v>
      </c>
    </row>
    <row r="28683" spans="1:3">
      <c r="A28683" s="573" t="s">
        <v>1216</v>
      </c>
      <c r="B28683" s="574">
        <v>180</v>
      </c>
      <c r="C28683" s="574">
        <v>618</v>
      </c>
    </row>
    <row r="28684" spans="1:3">
      <c r="A28684" s="573" t="s">
        <v>1216</v>
      </c>
      <c r="B28684" s="574">
        <v>270</v>
      </c>
      <c r="C28684" s="574">
        <v>632</v>
      </c>
    </row>
    <row r="28685" spans="1:3">
      <c r="A28685" s="573" t="s">
        <v>1216</v>
      </c>
      <c r="B28685" s="574">
        <v>365</v>
      </c>
      <c r="C28685" s="574">
        <v>650</v>
      </c>
    </row>
    <row r="28686" spans="1:3">
      <c r="A28686" s="569" t="s">
        <v>1216</v>
      </c>
      <c r="B28686" s="570">
        <v>547</v>
      </c>
      <c r="C28686" s="570">
        <v>663</v>
      </c>
    </row>
    <row r="28687" spans="1:3">
      <c r="A28687" s="571" t="s">
        <v>1196</v>
      </c>
      <c r="B28687" s="572">
        <v>1E-3</v>
      </c>
      <c r="C28687" s="572">
        <v>330</v>
      </c>
    </row>
    <row r="28688" spans="1:3">
      <c r="A28688" s="571" t="s">
        <v>1196</v>
      </c>
      <c r="B28688" s="572">
        <v>21</v>
      </c>
      <c r="C28688" s="572">
        <v>610</v>
      </c>
    </row>
    <row r="28689" spans="1:3">
      <c r="A28689" s="571" t="s">
        <v>1196</v>
      </c>
      <c r="B28689" s="572">
        <v>49</v>
      </c>
      <c r="C28689" s="572">
        <v>720</v>
      </c>
    </row>
    <row r="28690" spans="1:3">
      <c r="A28690" s="571" t="s">
        <v>1196</v>
      </c>
      <c r="B28690" s="572">
        <v>83</v>
      </c>
      <c r="C28690" s="572">
        <v>790</v>
      </c>
    </row>
    <row r="28691" spans="1:3">
      <c r="A28691" s="573" t="s">
        <v>1196</v>
      </c>
      <c r="B28691" s="574">
        <v>173</v>
      </c>
      <c r="C28691" s="574">
        <v>880</v>
      </c>
    </row>
    <row r="28692" spans="1:3">
      <c r="A28692" s="573" t="s">
        <v>1196</v>
      </c>
      <c r="B28692" s="574">
        <v>263</v>
      </c>
      <c r="C28692" s="574">
        <v>930</v>
      </c>
    </row>
    <row r="28693" spans="1:3">
      <c r="A28693" s="573" t="s">
        <v>1196</v>
      </c>
      <c r="B28693" s="574">
        <v>358</v>
      </c>
      <c r="C28693" s="574">
        <v>990</v>
      </c>
    </row>
    <row r="28694" spans="1:3">
      <c r="A28694" s="569" t="s">
        <v>1196</v>
      </c>
      <c r="B28694" s="570">
        <v>723</v>
      </c>
      <c r="C28694" s="570">
        <v>995</v>
      </c>
    </row>
    <row r="28695" spans="1:3">
      <c r="A28695" s="571" t="s">
        <v>1195</v>
      </c>
      <c r="B28695" s="572">
        <v>1E-3</v>
      </c>
      <c r="C28695" s="572">
        <v>300</v>
      </c>
    </row>
    <row r="28696" spans="1:3">
      <c r="A28696" s="571" t="s">
        <v>1195</v>
      </c>
      <c r="B28696" s="572">
        <v>21</v>
      </c>
      <c r="C28696" s="572">
        <v>625</v>
      </c>
    </row>
    <row r="28697" spans="1:3">
      <c r="A28697" s="571" t="s">
        <v>1195</v>
      </c>
      <c r="B28697" s="572">
        <v>49</v>
      </c>
      <c r="C28697" s="572">
        <v>740</v>
      </c>
    </row>
    <row r="28698" spans="1:3">
      <c r="A28698" s="571" t="s">
        <v>1195</v>
      </c>
      <c r="B28698" s="572">
        <v>83</v>
      </c>
      <c r="C28698" s="572">
        <v>815</v>
      </c>
    </row>
    <row r="28699" spans="1:3">
      <c r="A28699" s="573" t="s">
        <v>1195</v>
      </c>
      <c r="B28699" s="574">
        <v>173</v>
      </c>
      <c r="C28699" s="574">
        <v>910</v>
      </c>
    </row>
    <row r="28700" spans="1:3">
      <c r="A28700" s="573" t="s">
        <v>1195</v>
      </c>
      <c r="B28700" s="574">
        <v>263</v>
      </c>
      <c r="C28700" s="574">
        <v>960</v>
      </c>
    </row>
    <row r="28701" spans="1:3">
      <c r="A28701" s="573" t="s">
        <v>1195</v>
      </c>
      <c r="B28701" s="574">
        <v>358</v>
      </c>
      <c r="C28701" s="574">
        <v>1000</v>
      </c>
    </row>
    <row r="28702" spans="1:3">
      <c r="A28702" s="569" t="s">
        <v>1195</v>
      </c>
      <c r="B28702" s="570">
        <v>723</v>
      </c>
      <c r="C28702" s="570">
        <v>1040</v>
      </c>
    </row>
    <row r="28703" spans="1:3">
      <c r="A28703" s="571" t="s">
        <v>1194</v>
      </c>
      <c r="B28703" s="572">
        <v>1E-3</v>
      </c>
      <c r="C28703" s="572">
        <v>230</v>
      </c>
    </row>
    <row r="28704" spans="1:3">
      <c r="A28704" s="571" t="s">
        <v>1194</v>
      </c>
      <c r="B28704" s="572">
        <v>21</v>
      </c>
      <c r="C28704" s="572">
        <v>590</v>
      </c>
    </row>
    <row r="28705" spans="1:3">
      <c r="A28705" s="571" t="s">
        <v>1194</v>
      </c>
      <c r="B28705" s="572">
        <v>49</v>
      </c>
      <c r="C28705" s="572">
        <v>730</v>
      </c>
    </row>
    <row r="28706" spans="1:3">
      <c r="A28706" s="571" t="s">
        <v>1194</v>
      </c>
      <c r="B28706" s="572">
        <v>83</v>
      </c>
      <c r="C28706" s="572">
        <v>815</v>
      </c>
    </row>
    <row r="28707" spans="1:3">
      <c r="A28707" s="573" t="s">
        <v>1194</v>
      </c>
      <c r="B28707" s="574">
        <v>173</v>
      </c>
      <c r="C28707" s="574">
        <v>930</v>
      </c>
    </row>
    <row r="28708" spans="1:3">
      <c r="A28708" s="573" t="s">
        <v>1194</v>
      </c>
      <c r="B28708" s="574">
        <v>263</v>
      </c>
      <c r="C28708" s="574">
        <v>1000</v>
      </c>
    </row>
    <row r="28709" spans="1:3">
      <c r="A28709" s="573" t="s">
        <v>1194</v>
      </c>
      <c r="B28709" s="574">
        <v>358</v>
      </c>
      <c r="C28709" s="574">
        <v>1035</v>
      </c>
    </row>
    <row r="28710" spans="1:3">
      <c r="A28710" s="569" t="s">
        <v>1194</v>
      </c>
      <c r="B28710" s="570">
        <v>723</v>
      </c>
      <c r="C28710" s="570">
        <v>1040</v>
      </c>
    </row>
    <row r="28711" spans="1:3">
      <c r="A28711" s="571" t="s">
        <v>1193</v>
      </c>
      <c r="B28711" s="572">
        <v>1E-3</v>
      </c>
      <c r="C28711" s="572">
        <v>320</v>
      </c>
    </row>
    <row r="28712" spans="1:3">
      <c r="A28712" s="571" t="s">
        <v>1193</v>
      </c>
      <c r="B28712" s="572">
        <v>21</v>
      </c>
      <c r="C28712" s="572">
        <v>575</v>
      </c>
    </row>
    <row r="28713" spans="1:3">
      <c r="A28713" s="571" t="s">
        <v>1193</v>
      </c>
      <c r="B28713" s="572">
        <v>49</v>
      </c>
      <c r="C28713" s="572">
        <v>720</v>
      </c>
    </row>
    <row r="28714" spans="1:3">
      <c r="A28714" s="571" t="s">
        <v>1193</v>
      </c>
      <c r="B28714" s="572">
        <v>83</v>
      </c>
      <c r="C28714" s="572">
        <v>800</v>
      </c>
    </row>
    <row r="28715" spans="1:3">
      <c r="A28715" s="573" t="s">
        <v>1193</v>
      </c>
      <c r="B28715" s="574">
        <v>173</v>
      </c>
      <c r="C28715" s="574">
        <v>915</v>
      </c>
    </row>
    <row r="28716" spans="1:3">
      <c r="A28716" s="573" t="s">
        <v>1193</v>
      </c>
      <c r="B28716" s="574">
        <v>263</v>
      </c>
      <c r="C28716" s="574">
        <v>980</v>
      </c>
    </row>
    <row r="28717" spans="1:3">
      <c r="A28717" s="573" t="s">
        <v>1193</v>
      </c>
      <c r="B28717" s="574">
        <v>358</v>
      </c>
      <c r="C28717" s="574">
        <v>1030</v>
      </c>
    </row>
    <row r="28718" spans="1:3">
      <c r="A28718" s="569" t="s">
        <v>1193</v>
      </c>
      <c r="B28718" s="570">
        <v>723</v>
      </c>
      <c r="C28718" s="570">
        <v>1050</v>
      </c>
    </row>
    <row r="28719" spans="1:3">
      <c r="A28719" s="571" t="s">
        <v>1192</v>
      </c>
      <c r="B28719" s="572">
        <v>1E-3</v>
      </c>
      <c r="C28719" s="572">
        <v>275</v>
      </c>
    </row>
    <row r="28720" spans="1:3">
      <c r="A28720" s="571" t="s">
        <v>1192</v>
      </c>
      <c r="B28720" s="572">
        <v>21</v>
      </c>
      <c r="C28720" s="572">
        <v>580</v>
      </c>
    </row>
    <row r="28721" spans="1:3">
      <c r="A28721" s="571" t="s">
        <v>1192</v>
      </c>
      <c r="B28721" s="572">
        <v>49</v>
      </c>
      <c r="C28721" s="572">
        <v>710</v>
      </c>
    </row>
    <row r="28722" spans="1:3">
      <c r="A28722" s="571" t="s">
        <v>1192</v>
      </c>
      <c r="B28722" s="572">
        <v>83</v>
      </c>
      <c r="C28722" s="572">
        <v>800</v>
      </c>
    </row>
    <row r="28723" spans="1:3">
      <c r="A28723" s="573" t="s">
        <v>1192</v>
      </c>
      <c r="B28723" s="574">
        <v>173</v>
      </c>
      <c r="C28723" s="574">
        <v>920</v>
      </c>
    </row>
    <row r="28724" spans="1:3">
      <c r="A28724" s="573" t="s">
        <v>1192</v>
      </c>
      <c r="B28724" s="574">
        <v>263</v>
      </c>
      <c r="C28724" s="574">
        <v>980</v>
      </c>
    </row>
    <row r="28725" spans="1:3">
      <c r="A28725" s="573" t="s">
        <v>1192</v>
      </c>
      <c r="B28725" s="574">
        <v>358</v>
      </c>
      <c r="C28725" s="574">
        <v>1020</v>
      </c>
    </row>
    <row r="28726" spans="1:3">
      <c r="A28726" s="569" t="s">
        <v>1192</v>
      </c>
      <c r="B28726" s="570">
        <v>723</v>
      </c>
      <c r="C28726" s="570">
        <v>1080</v>
      </c>
    </row>
    <row r="28727" spans="1:3">
      <c r="A28727" s="571" t="s">
        <v>1191</v>
      </c>
      <c r="B28727" s="572">
        <v>1E-3</v>
      </c>
      <c r="C28727" s="572">
        <v>250</v>
      </c>
    </row>
    <row r="28728" spans="1:3">
      <c r="A28728" s="571" t="s">
        <v>1191</v>
      </c>
      <c r="B28728" s="572">
        <v>21</v>
      </c>
      <c r="C28728" s="572">
        <v>610</v>
      </c>
    </row>
    <row r="28729" spans="1:3">
      <c r="A28729" s="571" t="s">
        <v>1191</v>
      </c>
      <c r="B28729" s="572">
        <v>49</v>
      </c>
      <c r="C28729" s="572">
        <v>780</v>
      </c>
    </row>
    <row r="28730" spans="1:3">
      <c r="A28730" s="571" t="s">
        <v>1191</v>
      </c>
      <c r="B28730" s="572">
        <v>83</v>
      </c>
      <c r="C28730" s="572">
        <v>890</v>
      </c>
    </row>
    <row r="28731" spans="1:3">
      <c r="A28731" s="573" t="s">
        <v>1191</v>
      </c>
      <c r="B28731" s="574">
        <v>173</v>
      </c>
      <c r="C28731" s="574">
        <v>975</v>
      </c>
    </row>
    <row r="28732" spans="1:3">
      <c r="A28732" s="573" t="s">
        <v>1191</v>
      </c>
      <c r="B28732" s="574">
        <v>263</v>
      </c>
      <c r="C28732" s="574">
        <v>1030</v>
      </c>
    </row>
    <row r="28733" spans="1:3">
      <c r="A28733" s="573" t="s">
        <v>1191</v>
      </c>
      <c r="B28733" s="574">
        <v>358</v>
      </c>
      <c r="C28733" s="574">
        <v>1065</v>
      </c>
    </row>
    <row r="28734" spans="1:3">
      <c r="A28734" s="569" t="s">
        <v>1191</v>
      </c>
      <c r="B28734" s="570">
        <v>723</v>
      </c>
      <c r="C28734" s="570">
        <v>1150</v>
      </c>
    </row>
    <row r="28735" spans="1:3">
      <c r="A28735" s="571" t="s">
        <v>1190</v>
      </c>
      <c r="B28735" s="572">
        <v>1E-3</v>
      </c>
      <c r="C28735" s="572">
        <v>390</v>
      </c>
    </row>
    <row r="28736" spans="1:3">
      <c r="A28736" s="571" t="s">
        <v>1190</v>
      </c>
      <c r="B28736" s="572">
        <v>7</v>
      </c>
      <c r="C28736" s="572">
        <v>550</v>
      </c>
    </row>
    <row r="28737" spans="1:3">
      <c r="A28737" s="571" t="s">
        <v>1190</v>
      </c>
      <c r="B28737" s="572">
        <v>28</v>
      </c>
      <c r="C28737" s="572">
        <v>770</v>
      </c>
    </row>
    <row r="28738" spans="1:3">
      <c r="A28738" s="571" t="s">
        <v>1190</v>
      </c>
      <c r="B28738" s="572">
        <v>56</v>
      </c>
      <c r="C28738" s="572">
        <v>870</v>
      </c>
    </row>
    <row r="28739" spans="1:3">
      <c r="A28739" s="571" t="s">
        <v>1190</v>
      </c>
      <c r="B28739" s="572">
        <v>83</v>
      </c>
      <c r="C28739" s="572">
        <v>900</v>
      </c>
    </row>
    <row r="28740" spans="1:3">
      <c r="A28740" s="573" t="s">
        <v>1190</v>
      </c>
      <c r="B28740" s="574">
        <v>173</v>
      </c>
      <c r="C28740" s="574">
        <v>960</v>
      </c>
    </row>
    <row r="28741" spans="1:3">
      <c r="A28741" s="573" t="s">
        <v>1190</v>
      </c>
      <c r="B28741" s="574">
        <v>263</v>
      </c>
      <c r="C28741" s="574">
        <v>990</v>
      </c>
    </row>
    <row r="28742" spans="1:3">
      <c r="A28742" s="573" t="s">
        <v>1190</v>
      </c>
      <c r="B28742" s="574">
        <v>358</v>
      </c>
      <c r="C28742" s="574">
        <v>1000</v>
      </c>
    </row>
    <row r="28743" spans="1:3">
      <c r="A28743" s="569" t="s">
        <v>1190</v>
      </c>
      <c r="B28743" s="570">
        <v>723</v>
      </c>
      <c r="C28743" s="570">
        <v>1000</v>
      </c>
    </row>
    <row r="28744" spans="1:3">
      <c r="A28744" s="571" t="s">
        <v>1189</v>
      </c>
      <c r="B28744" s="572">
        <v>1E-3</v>
      </c>
      <c r="C28744" s="572">
        <v>340</v>
      </c>
    </row>
    <row r="28745" spans="1:3">
      <c r="A28745" s="571" t="s">
        <v>1189</v>
      </c>
      <c r="B28745" s="572">
        <v>7</v>
      </c>
      <c r="C28745" s="572">
        <v>525</v>
      </c>
    </row>
    <row r="28746" spans="1:3">
      <c r="A28746" s="571" t="s">
        <v>1189</v>
      </c>
      <c r="B28746" s="572">
        <v>28</v>
      </c>
      <c r="C28746" s="572">
        <v>770</v>
      </c>
    </row>
    <row r="28747" spans="1:3">
      <c r="A28747" s="571" t="s">
        <v>1189</v>
      </c>
      <c r="B28747" s="572">
        <v>56</v>
      </c>
      <c r="C28747" s="572">
        <v>870</v>
      </c>
    </row>
    <row r="28748" spans="1:3">
      <c r="A28748" s="571" t="s">
        <v>1189</v>
      </c>
      <c r="B28748" s="572">
        <v>83</v>
      </c>
      <c r="C28748" s="572">
        <v>910</v>
      </c>
    </row>
    <row r="28749" spans="1:3">
      <c r="A28749" s="573" t="s">
        <v>1189</v>
      </c>
      <c r="B28749" s="574">
        <v>173</v>
      </c>
      <c r="C28749" s="574">
        <v>955</v>
      </c>
    </row>
    <row r="28750" spans="1:3">
      <c r="A28750" s="573" t="s">
        <v>1189</v>
      </c>
      <c r="B28750" s="574">
        <v>263</v>
      </c>
      <c r="C28750" s="574">
        <v>985</v>
      </c>
    </row>
    <row r="28751" spans="1:3">
      <c r="A28751" s="573" t="s">
        <v>1189</v>
      </c>
      <c r="B28751" s="574">
        <v>358</v>
      </c>
      <c r="C28751" s="574">
        <v>990</v>
      </c>
    </row>
    <row r="28752" spans="1:3">
      <c r="A28752" s="569" t="s">
        <v>1189</v>
      </c>
      <c r="B28752" s="570">
        <v>723</v>
      </c>
      <c r="C28752" s="570">
        <v>990</v>
      </c>
    </row>
    <row r="28753" spans="1:3">
      <c r="A28753" s="571" t="s">
        <v>1188</v>
      </c>
      <c r="B28753" s="572">
        <v>1E-3</v>
      </c>
      <c r="C28753" s="572">
        <v>350</v>
      </c>
    </row>
    <row r="28754" spans="1:3">
      <c r="A28754" s="571" t="s">
        <v>1188</v>
      </c>
      <c r="B28754" s="572">
        <v>7</v>
      </c>
      <c r="C28754" s="572">
        <v>565</v>
      </c>
    </row>
    <row r="28755" spans="1:3">
      <c r="A28755" s="571" t="s">
        <v>1188</v>
      </c>
      <c r="B28755" s="572">
        <v>28</v>
      </c>
      <c r="C28755" s="572">
        <v>790</v>
      </c>
    </row>
    <row r="28756" spans="1:3">
      <c r="A28756" s="571" t="s">
        <v>1188</v>
      </c>
      <c r="B28756" s="572">
        <v>56</v>
      </c>
      <c r="C28756" s="572">
        <v>870</v>
      </c>
    </row>
    <row r="28757" spans="1:3">
      <c r="A28757" s="571" t="s">
        <v>1188</v>
      </c>
      <c r="B28757" s="572">
        <v>83</v>
      </c>
      <c r="C28757" s="572">
        <v>900</v>
      </c>
    </row>
    <row r="28758" spans="1:3">
      <c r="A28758" s="573" t="s">
        <v>1188</v>
      </c>
      <c r="B28758" s="574">
        <v>173</v>
      </c>
      <c r="C28758" s="574">
        <v>950</v>
      </c>
    </row>
    <row r="28759" spans="1:3">
      <c r="A28759" s="573" t="s">
        <v>1188</v>
      </c>
      <c r="B28759" s="574">
        <v>263</v>
      </c>
      <c r="C28759" s="574">
        <v>980</v>
      </c>
    </row>
    <row r="28760" spans="1:3">
      <c r="A28760" s="573" t="s">
        <v>1188</v>
      </c>
      <c r="B28760" s="574">
        <v>358</v>
      </c>
      <c r="C28760" s="574">
        <v>990</v>
      </c>
    </row>
    <row r="28761" spans="1:3">
      <c r="A28761" s="569" t="s">
        <v>1188</v>
      </c>
      <c r="B28761" s="570">
        <v>723</v>
      </c>
      <c r="C28761" s="570">
        <v>995</v>
      </c>
    </row>
    <row r="28762" spans="1:3">
      <c r="A28762" s="571" t="s">
        <v>1187</v>
      </c>
      <c r="B28762" s="572">
        <v>1E-3</v>
      </c>
      <c r="C28762" s="572">
        <v>70</v>
      </c>
    </row>
    <row r="28763" spans="1:3">
      <c r="A28763" s="571" t="s">
        <v>1187</v>
      </c>
      <c r="B28763" s="572">
        <v>21</v>
      </c>
      <c r="C28763" s="572">
        <v>130</v>
      </c>
    </row>
    <row r="28764" spans="1:3">
      <c r="A28764" s="571" t="s">
        <v>1187</v>
      </c>
      <c r="B28764" s="572">
        <v>28</v>
      </c>
      <c r="C28764" s="572">
        <v>60</v>
      </c>
    </row>
    <row r="28765" spans="1:3">
      <c r="A28765" s="571" t="s">
        <v>1187</v>
      </c>
      <c r="B28765" s="572">
        <v>56</v>
      </c>
      <c r="C28765" s="572">
        <v>290</v>
      </c>
    </row>
    <row r="28766" spans="1:3">
      <c r="A28766" s="571" t="s">
        <v>1187</v>
      </c>
      <c r="B28766" s="572">
        <v>83</v>
      </c>
      <c r="C28766" s="572">
        <v>440</v>
      </c>
    </row>
    <row r="28767" spans="1:3">
      <c r="A28767" s="573" t="s">
        <v>1187</v>
      </c>
      <c r="B28767" s="574">
        <v>173</v>
      </c>
      <c r="C28767" s="574">
        <v>620</v>
      </c>
    </row>
    <row r="28768" spans="1:3">
      <c r="A28768" s="573" t="s">
        <v>1187</v>
      </c>
      <c r="B28768" s="574">
        <v>263</v>
      </c>
      <c r="C28768" s="574">
        <v>800</v>
      </c>
    </row>
    <row r="28769" spans="1:3">
      <c r="A28769" s="573" t="s">
        <v>1187</v>
      </c>
      <c r="B28769" s="574">
        <v>358</v>
      </c>
      <c r="C28769" s="574">
        <v>850</v>
      </c>
    </row>
    <row r="28770" spans="1:3">
      <c r="A28770" s="569" t="s">
        <v>1187</v>
      </c>
      <c r="B28770" s="570">
        <v>723</v>
      </c>
      <c r="C28770" s="570">
        <v>990</v>
      </c>
    </row>
    <row r="28771" spans="1:3">
      <c r="A28771" s="571" t="s">
        <v>1186</v>
      </c>
      <c r="B28771" s="572">
        <v>1E-3</v>
      </c>
      <c r="C28771" s="572">
        <v>70</v>
      </c>
    </row>
    <row r="28772" spans="1:3">
      <c r="A28772" s="571" t="s">
        <v>1186</v>
      </c>
      <c r="B28772" s="572">
        <v>7</v>
      </c>
      <c r="C28772" s="572">
        <v>95</v>
      </c>
    </row>
    <row r="28773" spans="1:3">
      <c r="A28773" s="571" t="s">
        <v>1186</v>
      </c>
      <c r="B28773" s="572">
        <v>28</v>
      </c>
      <c r="C28773" s="572">
        <v>120</v>
      </c>
    </row>
    <row r="28774" spans="1:3">
      <c r="A28774" s="571" t="s">
        <v>1186</v>
      </c>
      <c r="B28774" s="572">
        <v>56</v>
      </c>
      <c r="C28774" s="572">
        <v>155</v>
      </c>
    </row>
    <row r="28775" spans="1:3">
      <c r="A28775" s="571" t="s">
        <v>1186</v>
      </c>
      <c r="B28775" s="572">
        <v>83</v>
      </c>
      <c r="C28775" s="572">
        <v>160</v>
      </c>
    </row>
    <row r="28776" spans="1:3">
      <c r="A28776" s="573" t="s">
        <v>1186</v>
      </c>
      <c r="B28776" s="574">
        <v>173</v>
      </c>
      <c r="C28776" s="574">
        <v>180</v>
      </c>
    </row>
    <row r="28777" spans="1:3">
      <c r="A28777" s="573" t="s">
        <v>1186</v>
      </c>
      <c r="B28777" s="574">
        <v>263</v>
      </c>
      <c r="C28777" s="574">
        <v>195</v>
      </c>
    </row>
    <row r="28778" spans="1:3">
      <c r="A28778" s="573" t="s">
        <v>1186</v>
      </c>
      <c r="B28778" s="574">
        <v>358</v>
      </c>
      <c r="C28778" s="574">
        <v>205</v>
      </c>
    </row>
    <row r="28779" spans="1:3">
      <c r="A28779" s="571" t="s">
        <v>1185</v>
      </c>
      <c r="B28779" s="572">
        <v>1E-3</v>
      </c>
      <c r="C28779" s="572">
        <v>380</v>
      </c>
    </row>
    <row r="28780" spans="1:3">
      <c r="A28780" s="571" t="s">
        <v>1185</v>
      </c>
      <c r="B28780" s="572">
        <v>7</v>
      </c>
      <c r="C28780" s="572">
        <v>510</v>
      </c>
    </row>
    <row r="28781" spans="1:3">
      <c r="A28781" s="571" t="s">
        <v>1185</v>
      </c>
      <c r="B28781" s="572">
        <v>28</v>
      </c>
      <c r="C28781" s="572">
        <v>670</v>
      </c>
    </row>
    <row r="28782" spans="1:3">
      <c r="A28782" s="571" t="s">
        <v>1185</v>
      </c>
      <c r="B28782" s="572">
        <v>56</v>
      </c>
      <c r="C28782" s="572">
        <v>750</v>
      </c>
    </row>
    <row r="28783" spans="1:3">
      <c r="A28783" s="571" t="s">
        <v>1185</v>
      </c>
      <c r="B28783" s="572">
        <v>83</v>
      </c>
      <c r="C28783" s="572">
        <v>810</v>
      </c>
    </row>
    <row r="28784" spans="1:3">
      <c r="A28784" s="573" t="s">
        <v>1185</v>
      </c>
      <c r="B28784" s="574">
        <v>173</v>
      </c>
      <c r="C28784" s="574">
        <v>890</v>
      </c>
    </row>
    <row r="28785" spans="1:3">
      <c r="A28785" s="573" t="s">
        <v>1185</v>
      </c>
      <c r="B28785" s="574">
        <v>263</v>
      </c>
      <c r="C28785" s="574">
        <v>930</v>
      </c>
    </row>
    <row r="28786" spans="1:3">
      <c r="A28786" s="573" t="s">
        <v>1185</v>
      </c>
      <c r="B28786" s="574">
        <v>358</v>
      </c>
      <c r="C28786" s="574">
        <v>950</v>
      </c>
    </row>
    <row r="28787" spans="1:3">
      <c r="A28787" s="569" t="s">
        <v>1185</v>
      </c>
      <c r="B28787" s="570">
        <v>723</v>
      </c>
      <c r="C28787" s="570">
        <v>1000</v>
      </c>
    </row>
    <row r="28788" spans="1:3">
      <c r="A28788" s="571" t="s">
        <v>1184</v>
      </c>
      <c r="B28788" s="572">
        <v>1E-3</v>
      </c>
      <c r="C28788" s="572">
        <v>345</v>
      </c>
    </row>
    <row r="28789" spans="1:3">
      <c r="A28789" s="571" t="s">
        <v>1184</v>
      </c>
      <c r="B28789" s="572">
        <v>7</v>
      </c>
      <c r="C28789" s="572">
        <v>505</v>
      </c>
    </row>
    <row r="28790" spans="1:3">
      <c r="A28790" s="571" t="s">
        <v>1184</v>
      </c>
      <c r="B28790" s="572">
        <v>28</v>
      </c>
      <c r="C28790" s="572">
        <v>675</v>
      </c>
    </row>
    <row r="28791" spans="1:3">
      <c r="A28791" s="571" t="s">
        <v>1184</v>
      </c>
      <c r="B28791" s="572">
        <v>56</v>
      </c>
      <c r="C28791" s="572">
        <v>745</v>
      </c>
    </row>
    <row r="28792" spans="1:3">
      <c r="A28792" s="571" t="s">
        <v>1184</v>
      </c>
      <c r="B28792" s="572">
        <v>83</v>
      </c>
      <c r="C28792" s="572">
        <v>785</v>
      </c>
    </row>
    <row r="28793" spans="1:3">
      <c r="A28793" s="573" t="s">
        <v>1184</v>
      </c>
      <c r="B28793" s="574">
        <v>173</v>
      </c>
      <c r="C28793" s="574">
        <v>845</v>
      </c>
    </row>
    <row r="28794" spans="1:3">
      <c r="A28794" s="573" t="s">
        <v>1184</v>
      </c>
      <c r="B28794" s="574">
        <v>263</v>
      </c>
      <c r="C28794" s="574">
        <v>890</v>
      </c>
    </row>
    <row r="28795" spans="1:3">
      <c r="A28795" s="573" t="s">
        <v>1184</v>
      </c>
      <c r="B28795" s="574">
        <v>358</v>
      </c>
      <c r="C28795" s="574">
        <v>905</v>
      </c>
    </row>
    <row r="28796" spans="1:3">
      <c r="A28796" s="569" t="s">
        <v>1184</v>
      </c>
      <c r="B28796" s="570">
        <v>723</v>
      </c>
      <c r="C28796" s="570">
        <v>940</v>
      </c>
    </row>
    <row r="28797" spans="1:3">
      <c r="A28797" s="571" t="s">
        <v>1183</v>
      </c>
      <c r="B28797" s="572">
        <v>1E-3</v>
      </c>
      <c r="C28797" s="572">
        <v>370</v>
      </c>
    </row>
    <row r="28798" spans="1:3">
      <c r="A28798" s="571" t="s">
        <v>1183</v>
      </c>
      <c r="B28798" s="572">
        <v>7</v>
      </c>
      <c r="C28798" s="572">
        <v>520</v>
      </c>
    </row>
    <row r="28799" spans="1:3">
      <c r="A28799" s="571" t="s">
        <v>1183</v>
      </c>
      <c r="B28799" s="572">
        <v>28</v>
      </c>
      <c r="C28799" s="572">
        <v>690</v>
      </c>
    </row>
    <row r="28800" spans="1:3">
      <c r="A28800" s="571" t="s">
        <v>1183</v>
      </c>
      <c r="B28800" s="572">
        <v>56</v>
      </c>
      <c r="C28800" s="572">
        <v>770</v>
      </c>
    </row>
    <row r="28801" spans="1:3">
      <c r="A28801" s="571" t="s">
        <v>1183</v>
      </c>
      <c r="B28801" s="572">
        <v>83</v>
      </c>
      <c r="C28801" s="572">
        <v>820</v>
      </c>
    </row>
    <row r="28802" spans="1:3">
      <c r="A28802" s="573" t="s">
        <v>1183</v>
      </c>
      <c r="B28802" s="574">
        <v>173</v>
      </c>
      <c r="C28802" s="574">
        <v>900</v>
      </c>
    </row>
    <row r="28803" spans="1:3">
      <c r="A28803" s="573" t="s">
        <v>1183</v>
      </c>
      <c r="B28803" s="574">
        <v>263</v>
      </c>
      <c r="C28803" s="574">
        <v>945</v>
      </c>
    </row>
    <row r="28804" spans="1:3">
      <c r="A28804" s="573" t="s">
        <v>1183</v>
      </c>
      <c r="B28804" s="574">
        <v>358</v>
      </c>
      <c r="C28804" s="574">
        <v>960</v>
      </c>
    </row>
    <row r="28805" spans="1:3">
      <c r="A28805" s="569" t="s">
        <v>1183</v>
      </c>
      <c r="B28805" s="570">
        <v>723</v>
      </c>
      <c r="C28805" s="570">
        <v>1000</v>
      </c>
    </row>
    <row r="28806" spans="1:3">
      <c r="A28806" s="571" t="s">
        <v>1182</v>
      </c>
      <c r="B28806" s="572">
        <v>1E-3</v>
      </c>
      <c r="C28806" s="572">
        <v>85</v>
      </c>
    </row>
    <row r="28807" spans="1:3">
      <c r="A28807" s="571" t="s">
        <v>1182</v>
      </c>
      <c r="B28807" s="572">
        <v>21</v>
      </c>
      <c r="C28807" s="572">
        <v>140</v>
      </c>
    </row>
    <row r="28808" spans="1:3">
      <c r="A28808" s="571" t="s">
        <v>1182</v>
      </c>
      <c r="B28808" s="572">
        <v>28</v>
      </c>
      <c r="C28808" s="572">
        <v>110</v>
      </c>
    </row>
    <row r="28809" spans="1:3">
      <c r="A28809" s="571" t="s">
        <v>1182</v>
      </c>
      <c r="B28809" s="572">
        <v>56</v>
      </c>
      <c r="C28809" s="572">
        <v>330</v>
      </c>
    </row>
    <row r="28810" spans="1:3">
      <c r="A28810" s="571" t="s">
        <v>1182</v>
      </c>
      <c r="B28810" s="572">
        <v>83</v>
      </c>
      <c r="C28810" s="572">
        <v>470</v>
      </c>
    </row>
    <row r="28811" spans="1:3">
      <c r="A28811" s="573" t="s">
        <v>1182</v>
      </c>
      <c r="B28811" s="574">
        <v>173</v>
      </c>
      <c r="C28811" s="574">
        <v>660</v>
      </c>
    </row>
    <row r="28812" spans="1:3">
      <c r="A28812" s="573" t="s">
        <v>1182</v>
      </c>
      <c r="B28812" s="574">
        <v>263</v>
      </c>
      <c r="C28812" s="574">
        <v>830</v>
      </c>
    </row>
    <row r="28813" spans="1:3">
      <c r="A28813" s="573" t="s">
        <v>1182</v>
      </c>
      <c r="B28813" s="574">
        <v>358</v>
      </c>
      <c r="C28813" s="574">
        <v>900</v>
      </c>
    </row>
    <row r="28814" spans="1:3">
      <c r="A28814" s="569" t="s">
        <v>1182</v>
      </c>
      <c r="B28814" s="570">
        <v>723</v>
      </c>
      <c r="C28814" s="570">
        <v>1020</v>
      </c>
    </row>
    <row r="28815" spans="1:3">
      <c r="A28815" s="571" t="s">
        <v>1181</v>
      </c>
      <c r="B28815" s="572">
        <v>7</v>
      </c>
      <c r="C28815" s="572">
        <v>7</v>
      </c>
    </row>
    <row r="28816" spans="1:3">
      <c r="A28816" s="571" t="s">
        <v>1181</v>
      </c>
      <c r="B28816" s="572">
        <v>14</v>
      </c>
      <c r="C28816" s="572">
        <v>14</v>
      </c>
    </row>
    <row r="28817" spans="1:3">
      <c r="A28817" s="571" t="s">
        <v>1181</v>
      </c>
      <c r="B28817" s="572">
        <v>35</v>
      </c>
      <c r="C28817" s="572">
        <v>35</v>
      </c>
    </row>
    <row r="28818" spans="1:3">
      <c r="A28818" s="571" t="s">
        <v>1181</v>
      </c>
      <c r="B28818" s="572">
        <v>63</v>
      </c>
      <c r="C28818" s="572">
        <v>63</v>
      </c>
    </row>
    <row r="28819" spans="1:3">
      <c r="A28819" s="571" t="s">
        <v>1181</v>
      </c>
      <c r="B28819" s="572">
        <v>90</v>
      </c>
      <c r="C28819" s="572">
        <v>90</v>
      </c>
    </row>
    <row r="28820" spans="1:3">
      <c r="A28820" s="573" t="s">
        <v>1181</v>
      </c>
      <c r="B28820" s="574">
        <v>180</v>
      </c>
      <c r="C28820" s="574">
        <v>180</v>
      </c>
    </row>
    <row r="28821" spans="1:3">
      <c r="A28821" s="573" t="s">
        <v>1181</v>
      </c>
      <c r="B28821" s="574">
        <v>270</v>
      </c>
      <c r="C28821" s="574">
        <v>270</v>
      </c>
    </row>
    <row r="28822" spans="1:3">
      <c r="A28822" s="573" t="s">
        <v>1181</v>
      </c>
      <c r="B28822" s="574">
        <v>365</v>
      </c>
      <c r="C28822" s="574">
        <v>365</v>
      </c>
    </row>
    <row r="28823" spans="1:3">
      <c r="A28823" s="571" t="s">
        <v>1179</v>
      </c>
      <c r="B28823" s="572">
        <v>0.23430000000000001</v>
      </c>
      <c r="C28823" s="572">
        <v>5.3220000000000003E-2</v>
      </c>
    </row>
    <row r="28824" spans="1:3">
      <c r="A28824" s="571" t="s">
        <v>1179</v>
      </c>
      <c r="B28824" s="572">
        <v>0.60150000000000003</v>
      </c>
      <c r="C28824" s="572">
        <v>8.0639999999999998E-4</v>
      </c>
    </row>
    <row r="28825" spans="1:3">
      <c r="A28825" s="571" t="s">
        <v>1179</v>
      </c>
      <c r="B28825" s="572">
        <v>0.80459999999999998</v>
      </c>
      <c r="C28825" s="572">
        <v>0.20960000000000001</v>
      </c>
    </row>
    <row r="28826" spans="1:3">
      <c r="A28826" s="571" t="s">
        <v>1179</v>
      </c>
      <c r="B28826" s="572">
        <v>0.96870000000000001</v>
      </c>
      <c r="C28826" s="572">
        <v>0.29189999999999999</v>
      </c>
    </row>
    <row r="28827" spans="1:3">
      <c r="A28827" s="571" t="s">
        <v>1179</v>
      </c>
      <c r="B28827" s="572">
        <v>2</v>
      </c>
      <c r="C28827" s="572">
        <v>0.4854</v>
      </c>
    </row>
    <row r="28828" spans="1:3">
      <c r="A28828" s="571" t="s">
        <v>1179</v>
      </c>
      <c r="B28828" s="572">
        <v>3.0150000000000001</v>
      </c>
      <c r="C28828" s="572">
        <v>0.55159999999999998</v>
      </c>
    </row>
    <row r="28829" spans="1:3">
      <c r="A28829" s="571" t="s">
        <v>1179</v>
      </c>
      <c r="B28829" s="572">
        <v>3.992</v>
      </c>
      <c r="C28829" s="572">
        <v>0.58220000000000005</v>
      </c>
    </row>
    <row r="28830" spans="1:3">
      <c r="A28830" s="571" t="s">
        <v>1179</v>
      </c>
      <c r="B28830" s="572">
        <v>4.976</v>
      </c>
      <c r="C28830" s="572">
        <v>0.6048</v>
      </c>
    </row>
    <row r="28831" spans="1:3">
      <c r="A28831" s="571" t="s">
        <v>1179</v>
      </c>
      <c r="B28831" s="572">
        <v>6.0549999999999997</v>
      </c>
      <c r="C28831" s="572">
        <v>0.6129</v>
      </c>
    </row>
    <row r="28832" spans="1:3">
      <c r="A28832" s="571" t="s">
        <v>1179</v>
      </c>
      <c r="B28832" s="572">
        <v>7.0510000000000002</v>
      </c>
      <c r="C28832" s="572">
        <v>0.61450000000000005</v>
      </c>
    </row>
    <row r="28833" spans="1:3">
      <c r="A28833" s="571" t="s">
        <v>1179</v>
      </c>
      <c r="B28833" s="572">
        <v>7.9850000000000003</v>
      </c>
      <c r="C28833" s="572">
        <v>0.61529999999999996</v>
      </c>
    </row>
    <row r="28834" spans="1:3">
      <c r="A28834" s="571" t="s">
        <v>1179</v>
      </c>
      <c r="B28834" s="572">
        <v>9.0310000000000006</v>
      </c>
      <c r="C28834" s="572">
        <v>0.6169</v>
      </c>
    </row>
    <row r="28835" spans="1:3">
      <c r="A28835" s="571" t="s">
        <v>1179</v>
      </c>
      <c r="B28835" s="572">
        <v>10.01</v>
      </c>
      <c r="C28835" s="572">
        <v>0.61609999999999998</v>
      </c>
    </row>
    <row r="28836" spans="1:3">
      <c r="A28836" s="571" t="s">
        <v>1179</v>
      </c>
      <c r="B28836" s="572">
        <v>11.04</v>
      </c>
      <c r="C28836" s="572">
        <v>0.6129</v>
      </c>
    </row>
    <row r="28837" spans="1:3">
      <c r="A28837" s="571" t="s">
        <v>1179</v>
      </c>
      <c r="B28837" s="572">
        <v>12.06</v>
      </c>
      <c r="C28837" s="572">
        <v>0.61040000000000005</v>
      </c>
    </row>
    <row r="28838" spans="1:3">
      <c r="A28838" s="571" t="s">
        <v>1179</v>
      </c>
      <c r="B28838" s="572">
        <v>13.05</v>
      </c>
      <c r="C28838" s="572">
        <v>0.60880000000000001</v>
      </c>
    </row>
    <row r="28839" spans="1:3">
      <c r="A28839" s="571" t="s">
        <v>1179</v>
      </c>
      <c r="B28839" s="572">
        <v>14.04</v>
      </c>
      <c r="C28839" s="572">
        <v>0.60799999999999998</v>
      </c>
    </row>
    <row r="28840" spans="1:3">
      <c r="A28840" s="571" t="s">
        <v>1178</v>
      </c>
      <c r="B28840" s="572">
        <v>7.8120000000000004E-3</v>
      </c>
      <c r="C28840" s="572">
        <v>0</v>
      </c>
    </row>
    <row r="28841" spans="1:3">
      <c r="A28841" s="571" t="s">
        <v>1178</v>
      </c>
      <c r="B28841" s="572">
        <v>0.1953</v>
      </c>
      <c r="C28841" s="572">
        <v>1.6119999999999999E-2</v>
      </c>
    </row>
    <row r="28842" spans="1:3">
      <c r="A28842" s="571" t="s">
        <v>1178</v>
      </c>
      <c r="B28842" s="572">
        <v>0.3906</v>
      </c>
      <c r="C28842" s="572">
        <v>0</v>
      </c>
    </row>
    <row r="28843" spans="1:3">
      <c r="A28843" s="571" t="s">
        <v>1178</v>
      </c>
      <c r="B28843" s="572">
        <v>0.83589999999999998</v>
      </c>
      <c r="C28843" s="572">
        <v>0.12089999999999999</v>
      </c>
    </row>
    <row r="28844" spans="1:3">
      <c r="A28844" s="571" t="s">
        <v>1178</v>
      </c>
      <c r="B28844" s="572">
        <v>1.984</v>
      </c>
      <c r="C28844" s="572">
        <v>0.27500000000000002</v>
      </c>
    </row>
    <row r="28845" spans="1:3">
      <c r="A28845" s="571" t="s">
        <v>1178</v>
      </c>
      <c r="B28845" s="572">
        <v>2.9689999999999999</v>
      </c>
      <c r="C28845" s="572">
        <v>0.33139999999999997</v>
      </c>
    </row>
    <row r="28846" spans="1:3">
      <c r="A28846" s="571" t="s">
        <v>1178</v>
      </c>
      <c r="B28846" s="572">
        <v>3.9689999999999999</v>
      </c>
      <c r="C28846" s="572">
        <v>0.3604</v>
      </c>
    </row>
    <row r="28847" spans="1:3">
      <c r="A28847" s="571" t="s">
        <v>1178</v>
      </c>
      <c r="B28847" s="572">
        <v>5.008</v>
      </c>
      <c r="C28847" s="572">
        <v>0.37330000000000002</v>
      </c>
    </row>
    <row r="28848" spans="1:3">
      <c r="A28848" s="571" t="s">
        <v>1178</v>
      </c>
      <c r="B28848" s="572">
        <v>6.0309999999999997</v>
      </c>
      <c r="C28848" s="572">
        <v>0.37980000000000003</v>
      </c>
    </row>
    <row r="28849" spans="1:3">
      <c r="A28849" s="571" t="s">
        <v>1178</v>
      </c>
      <c r="B28849" s="572">
        <v>7.0289999999999999</v>
      </c>
      <c r="C28849" s="572">
        <v>0.37980000000000003</v>
      </c>
    </row>
    <row r="28850" spans="1:3">
      <c r="A28850" s="571" t="s">
        <v>1178</v>
      </c>
      <c r="B28850" s="572">
        <v>8</v>
      </c>
      <c r="C28850" s="572">
        <v>0.37580000000000002</v>
      </c>
    </row>
    <row r="28851" spans="1:3">
      <c r="A28851" s="571" t="s">
        <v>1178</v>
      </c>
      <c r="B28851" s="572">
        <v>9</v>
      </c>
      <c r="C28851" s="572">
        <v>0.37330000000000002</v>
      </c>
    </row>
    <row r="28852" spans="1:3">
      <c r="A28852" s="571" t="s">
        <v>1178</v>
      </c>
      <c r="B28852" s="572">
        <v>10</v>
      </c>
      <c r="C28852" s="572">
        <v>0.3725</v>
      </c>
    </row>
    <row r="28853" spans="1:3">
      <c r="A28853" s="571" t="s">
        <v>1178</v>
      </c>
      <c r="B28853" s="572">
        <v>11.01</v>
      </c>
      <c r="C28853" s="572">
        <v>0.37009999999999998</v>
      </c>
    </row>
    <row r="28854" spans="1:3">
      <c r="A28854" s="571" t="s">
        <v>1178</v>
      </c>
      <c r="B28854" s="572">
        <v>11.99</v>
      </c>
      <c r="C28854" s="572">
        <v>0.36849999999999999</v>
      </c>
    </row>
    <row r="28855" spans="1:3">
      <c r="A28855" s="571" t="s">
        <v>1178</v>
      </c>
      <c r="B28855" s="572">
        <v>13</v>
      </c>
      <c r="C28855" s="572">
        <v>0.3669</v>
      </c>
    </row>
    <row r="28856" spans="1:3">
      <c r="A28856" s="571" t="s">
        <v>1178</v>
      </c>
      <c r="B28856" s="572">
        <v>14.04</v>
      </c>
      <c r="C28856" s="572">
        <v>0.36530000000000001</v>
      </c>
    </row>
    <row r="28857" spans="1:3">
      <c r="A28857" s="571" t="s">
        <v>1176</v>
      </c>
      <c r="B28857" s="572">
        <v>1.8689999999999998E-2</v>
      </c>
      <c r="C28857" s="572">
        <v>23.85</v>
      </c>
    </row>
    <row r="28858" spans="1:3">
      <c r="A28858" s="571" t="s">
        <v>1176</v>
      </c>
      <c r="B28858" s="572">
        <v>1.0089999999999999</v>
      </c>
      <c r="C28858" s="572">
        <v>387.1</v>
      </c>
    </row>
    <row r="28859" spans="1:3">
      <c r="A28859" s="571" t="s">
        <v>1176</v>
      </c>
      <c r="B28859" s="572">
        <v>2.15</v>
      </c>
      <c r="C28859" s="572">
        <v>726.6</v>
      </c>
    </row>
    <row r="28860" spans="1:3">
      <c r="A28860" s="571" t="s">
        <v>1176</v>
      </c>
      <c r="B28860" s="572">
        <v>3.1280000000000001</v>
      </c>
      <c r="C28860" s="572">
        <v>952.2</v>
      </c>
    </row>
    <row r="28861" spans="1:3">
      <c r="A28861" s="571" t="s">
        <v>1176</v>
      </c>
      <c r="B28861" s="572">
        <v>6</v>
      </c>
      <c r="C28861" s="572">
        <v>1328</v>
      </c>
    </row>
    <row r="28862" spans="1:3">
      <c r="A28862" s="571" t="s">
        <v>1176</v>
      </c>
      <c r="B28862" s="572">
        <v>7.0380000000000003</v>
      </c>
      <c r="C28862" s="572">
        <v>1418</v>
      </c>
    </row>
    <row r="28863" spans="1:3">
      <c r="A28863" s="571" t="s">
        <v>1176</v>
      </c>
      <c r="B28863" s="572">
        <v>8.0180000000000007</v>
      </c>
      <c r="C28863" s="572">
        <v>1488</v>
      </c>
    </row>
    <row r="28864" spans="1:3">
      <c r="A28864" s="571" t="s">
        <v>1176</v>
      </c>
      <c r="B28864" s="572">
        <v>9</v>
      </c>
      <c r="C28864" s="572">
        <v>1550</v>
      </c>
    </row>
    <row r="28865" spans="1:3">
      <c r="A28865" s="571" t="s">
        <v>1176</v>
      </c>
      <c r="B28865" s="572">
        <v>10.07</v>
      </c>
      <c r="C28865" s="572">
        <v>1607</v>
      </c>
    </row>
    <row r="28866" spans="1:3">
      <c r="A28866" s="571" t="s">
        <v>1176</v>
      </c>
      <c r="B28866" s="572">
        <v>13.05</v>
      </c>
      <c r="C28866" s="572">
        <v>1732</v>
      </c>
    </row>
    <row r="28867" spans="1:3">
      <c r="A28867" s="571" t="s">
        <v>1176</v>
      </c>
      <c r="B28867" s="572">
        <v>14.03</v>
      </c>
      <c r="C28867" s="572">
        <v>1767</v>
      </c>
    </row>
    <row r="28868" spans="1:3">
      <c r="A28868" s="571" t="s">
        <v>1176</v>
      </c>
      <c r="B28868" s="572">
        <v>15.43</v>
      </c>
      <c r="C28868" s="572">
        <v>1801</v>
      </c>
    </row>
    <row r="28869" spans="1:3">
      <c r="A28869" s="571" t="s">
        <v>1175</v>
      </c>
      <c r="B28869" s="572">
        <v>9.73</v>
      </c>
      <c r="C28869" s="572">
        <v>68.05</v>
      </c>
    </row>
    <row r="28870" spans="1:3">
      <c r="A28870" s="571" t="s">
        <v>1175</v>
      </c>
      <c r="B28870" s="572">
        <v>14.58</v>
      </c>
      <c r="C28870" s="572">
        <v>136.13</v>
      </c>
    </row>
    <row r="28871" spans="1:3">
      <c r="A28871" s="571" t="s">
        <v>1175</v>
      </c>
      <c r="B28871" s="572">
        <v>27.95</v>
      </c>
      <c r="C28871" s="572">
        <v>132.13999999999999</v>
      </c>
    </row>
    <row r="28872" spans="1:3">
      <c r="A28872" s="571" t="s">
        <v>1175</v>
      </c>
      <c r="B28872" s="572">
        <v>30.4</v>
      </c>
      <c r="C28872" s="572">
        <v>248.03</v>
      </c>
    </row>
    <row r="28873" spans="1:3">
      <c r="A28873" s="571" t="s">
        <v>1175</v>
      </c>
      <c r="B28873" s="572">
        <v>36.67</v>
      </c>
      <c r="C28873" s="572">
        <v>305.85000000000002</v>
      </c>
    </row>
    <row r="28874" spans="1:3">
      <c r="A28874" s="571" t="s">
        <v>1175</v>
      </c>
      <c r="B28874" s="572">
        <v>43.51</v>
      </c>
      <c r="C28874" s="572">
        <v>324.38</v>
      </c>
    </row>
    <row r="28875" spans="1:3">
      <c r="A28875" s="571" t="s">
        <v>1175</v>
      </c>
      <c r="B28875" s="572">
        <v>51.47</v>
      </c>
      <c r="C28875" s="572">
        <v>342.64</v>
      </c>
    </row>
    <row r="28876" spans="1:3">
      <c r="A28876" s="571" t="s">
        <v>1175</v>
      </c>
      <c r="B28876" s="572">
        <v>57.47</v>
      </c>
      <c r="C28876" s="572">
        <v>387.23</v>
      </c>
    </row>
    <row r="28877" spans="1:3">
      <c r="A28877" s="571" t="s">
        <v>1175</v>
      </c>
      <c r="B28877" s="572">
        <v>65.489999999999995</v>
      </c>
      <c r="C28877" s="572">
        <v>394.47</v>
      </c>
    </row>
    <row r="28878" spans="1:3">
      <c r="A28878" s="571" t="s">
        <v>1175</v>
      </c>
      <c r="B28878" s="572">
        <v>72.400000000000006</v>
      </c>
      <c r="C28878" s="572">
        <v>412.1</v>
      </c>
    </row>
    <row r="28879" spans="1:3">
      <c r="A28879" s="571" t="s">
        <v>1175</v>
      </c>
      <c r="B28879" s="572">
        <v>79.47</v>
      </c>
      <c r="C28879" s="572">
        <v>439.11</v>
      </c>
    </row>
    <row r="28880" spans="1:3">
      <c r="A28880" s="571" t="s">
        <v>1175</v>
      </c>
      <c r="B28880" s="572">
        <v>93.21</v>
      </c>
      <c r="C28880" s="572">
        <v>458.82</v>
      </c>
    </row>
    <row r="28881" spans="1:3">
      <c r="A28881" s="571" t="s">
        <v>1175</v>
      </c>
      <c r="B28881" s="572">
        <v>99.26</v>
      </c>
      <c r="C28881" s="572">
        <v>476.94</v>
      </c>
    </row>
    <row r="28882" spans="1:3">
      <c r="A28882" s="573" t="s">
        <v>1175</v>
      </c>
      <c r="B28882" s="574">
        <v>109.86</v>
      </c>
      <c r="C28882" s="574">
        <v>498.4</v>
      </c>
    </row>
    <row r="28883" spans="1:3">
      <c r="A28883" s="573" t="s">
        <v>1175</v>
      </c>
      <c r="B28883" s="574">
        <v>123.38</v>
      </c>
      <c r="C28883" s="574">
        <v>500.3</v>
      </c>
    </row>
    <row r="28884" spans="1:3">
      <c r="A28884" s="571" t="s">
        <v>1174</v>
      </c>
      <c r="B28884" s="572">
        <v>4.5199999999999996</v>
      </c>
      <c r="C28884" s="572">
        <v>40.32</v>
      </c>
    </row>
    <row r="28885" spans="1:3">
      <c r="A28885" s="571" t="s">
        <v>1174</v>
      </c>
      <c r="B28885" s="572">
        <v>9.0399999999999991</v>
      </c>
      <c r="C28885" s="572">
        <v>167.79</v>
      </c>
    </row>
    <row r="28886" spans="1:3">
      <c r="A28886" s="571" t="s">
        <v>1174</v>
      </c>
      <c r="B28886" s="572">
        <v>23.29</v>
      </c>
      <c r="C28886" s="572">
        <v>311.7</v>
      </c>
    </row>
    <row r="28887" spans="1:3">
      <c r="A28887" s="571" t="s">
        <v>1174</v>
      </c>
      <c r="B28887" s="572">
        <v>27.81</v>
      </c>
      <c r="C28887" s="572">
        <v>335.51</v>
      </c>
    </row>
    <row r="28888" spans="1:3">
      <c r="A28888" s="571" t="s">
        <v>1174</v>
      </c>
      <c r="B28888" s="572">
        <v>36.270000000000003</v>
      </c>
      <c r="C28888" s="572">
        <v>470.04</v>
      </c>
    </row>
    <row r="28889" spans="1:3">
      <c r="A28889" s="571" t="s">
        <v>1174</v>
      </c>
      <c r="B28889" s="572">
        <v>43.65</v>
      </c>
      <c r="C28889" s="572">
        <v>573.62</v>
      </c>
    </row>
    <row r="28890" spans="1:3">
      <c r="A28890" s="571" t="s">
        <v>1174</v>
      </c>
      <c r="B28890" s="572">
        <v>52.67</v>
      </c>
      <c r="C28890" s="572">
        <v>614.74</v>
      </c>
    </row>
    <row r="28891" spans="1:3">
      <c r="A28891" s="571" t="s">
        <v>1174</v>
      </c>
      <c r="B28891" s="572">
        <v>59.2</v>
      </c>
      <c r="C28891" s="572">
        <v>673.37</v>
      </c>
    </row>
    <row r="28892" spans="1:3">
      <c r="A28892" s="571" t="s">
        <v>1174</v>
      </c>
      <c r="B28892" s="572">
        <v>72.67</v>
      </c>
      <c r="C28892" s="572">
        <v>728.84</v>
      </c>
    </row>
    <row r="28893" spans="1:3">
      <c r="A28893" s="571" t="s">
        <v>1174</v>
      </c>
      <c r="B28893" s="572">
        <v>87.1</v>
      </c>
      <c r="C28893" s="572">
        <v>749.05</v>
      </c>
    </row>
    <row r="28894" spans="1:3">
      <c r="A28894" s="571" t="s">
        <v>1174</v>
      </c>
      <c r="B28894" s="572">
        <v>93.58</v>
      </c>
      <c r="C28894" s="572">
        <v>761.56</v>
      </c>
    </row>
    <row r="28895" spans="1:3">
      <c r="A28895" s="571" t="s">
        <v>1174</v>
      </c>
      <c r="B28895" s="572">
        <v>97.53</v>
      </c>
      <c r="C28895" s="572">
        <v>761.24</v>
      </c>
    </row>
    <row r="28896" spans="1:3">
      <c r="A28896" s="573" t="s">
        <v>1174</v>
      </c>
      <c r="B28896" s="574">
        <v>103.33</v>
      </c>
      <c r="C28896" s="574">
        <v>775.94</v>
      </c>
    </row>
    <row r="28897" spans="1:3">
      <c r="A28897" s="573" t="s">
        <v>1174</v>
      </c>
      <c r="B28897" s="574">
        <v>124.03</v>
      </c>
      <c r="C28897" s="574">
        <v>784.54</v>
      </c>
    </row>
    <row r="28898" spans="1:3">
      <c r="A28898" s="571" t="s">
        <v>1173</v>
      </c>
      <c r="B28898" s="572">
        <v>3.01</v>
      </c>
      <c r="C28898" s="572">
        <v>33.92</v>
      </c>
    </row>
    <row r="28899" spans="1:3">
      <c r="A28899" s="571" t="s">
        <v>1173</v>
      </c>
      <c r="B28899" s="572">
        <v>17.079999999999998</v>
      </c>
      <c r="C28899" s="572">
        <v>204.54</v>
      </c>
    </row>
    <row r="28900" spans="1:3">
      <c r="A28900" s="571" t="s">
        <v>1173</v>
      </c>
      <c r="B28900" s="572">
        <v>28.22</v>
      </c>
      <c r="C28900" s="572">
        <v>305.02</v>
      </c>
    </row>
    <row r="28901" spans="1:3">
      <c r="A28901" s="571" t="s">
        <v>1173</v>
      </c>
      <c r="B28901" s="572">
        <v>63.8</v>
      </c>
      <c r="C28901" s="572">
        <v>679.87</v>
      </c>
    </row>
    <row r="28902" spans="1:3">
      <c r="A28902" s="571" t="s">
        <v>1173</v>
      </c>
      <c r="B28902" s="572">
        <v>69.44</v>
      </c>
      <c r="C28902" s="572">
        <v>710.63</v>
      </c>
    </row>
    <row r="28903" spans="1:3">
      <c r="A28903" s="571" t="s">
        <v>1173</v>
      </c>
      <c r="B28903" s="572">
        <v>80</v>
      </c>
      <c r="C28903" s="572">
        <v>720.3</v>
      </c>
    </row>
    <row r="28904" spans="1:3">
      <c r="A28904" s="571" t="s">
        <v>1173</v>
      </c>
      <c r="B28904" s="572">
        <v>90.49</v>
      </c>
      <c r="C28904" s="572">
        <v>725.21</v>
      </c>
    </row>
    <row r="28905" spans="1:3">
      <c r="A28905" s="571" t="s">
        <v>1173</v>
      </c>
      <c r="B28905" s="572">
        <v>98.15</v>
      </c>
      <c r="C28905" s="572">
        <v>737.23</v>
      </c>
    </row>
    <row r="28906" spans="1:3">
      <c r="A28906" s="571" t="s">
        <v>1172</v>
      </c>
      <c r="B28906" s="572">
        <v>8.0536999999999992</v>
      </c>
      <c r="C28906" s="572">
        <v>47.8</v>
      </c>
    </row>
    <row r="28907" spans="1:3">
      <c r="A28907" s="571" t="s">
        <v>1172</v>
      </c>
      <c r="B28907" s="572">
        <v>15.436</v>
      </c>
      <c r="C28907" s="572">
        <v>142</v>
      </c>
    </row>
    <row r="28908" spans="1:3">
      <c r="A28908" s="571" t="s">
        <v>1172</v>
      </c>
      <c r="B28908" s="572">
        <v>48.993000000000002</v>
      </c>
      <c r="C28908" s="572">
        <v>404</v>
      </c>
    </row>
    <row r="28909" spans="1:3">
      <c r="A28909" s="571" t="s">
        <v>1172</v>
      </c>
      <c r="B28909" s="572">
        <v>72.483000000000004</v>
      </c>
      <c r="C28909" s="572">
        <v>482</v>
      </c>
    </row>
    <row r="28910" spans="1:3">
      <c r="A28910" s="571" t="s">
        <v>1172</v>
      </c>
      <c r="B28910" s="572">
        <v>97.986999999999995</v>
      </c>
      <c r="C28910" s="572">
        <v>534</v>
      </c>
    </row>
    <row r="28911" spans="1:3">
      <c r="A28911" s="573" t="s">
        <v>1172</v>
      </c>
      <c r="B28911" s="574">
        <v>117.69</v>
      </c>
      <c r="C28911" s="574">
        <v>564</v>
      </c>
    </row>
    <row r="28912" spans="1:3">
      <c r="A28912" s="573" t="s">
        <v>1172</v>
      </c>
      <c r="B28912" s="574">
        <v>133.33000000000001</v>
      </c>
      <c r="C28912" s="574">
        <v>600</v>
      </c>
    </row>
    <row r="28913" spans="1:3">
      <c r="A28913" s="573" t="s">
        <v>1172</v>
      </c>
      <c r="B28913" s="574">
        <v>151.02000000000001</v>
      </c>
      <c r="C28913" s="574">
        <v>616</v>
      </c>
    </row>
    <row r="28914" spans="1:3">
      <c r="A28914" s="573" t="s">
        <v>1172</v>
      </c>
      <c r="B28914" s="574">
        <v>178.91</v>
      </c>
      <c r="C28914" s="574">
        <v>616</v>
      </c>
    </row>
    <row r="28915" spans="1:3">
      <c r="A28915" s="573" t="s">
        <v>1172</v>
      </c>
      <c r="B28915" s="574">
        <v>203.27</v>
      </c>
      <c r="C28915" s="574">
        <v>619</v>
      </c>
    </row>
    <row r="28916" spans="1:3">
      <c r="A28916" s="573" t="s">
        <v>1172</v>
      </c>
      <c r="B28916" s="574">
        <v>229.41</v>
      </c>
      <c r="C28916" s="574">
        <v>616</v>
      </c>
    </row>
    <row r="28917" spans="1:3">
      <c r="A28917" s="573" t="s">
        <v>1172</v>
      </c>
      <c r="B28917" s="574">
        <v>260.77999999999997</v>
      </c>
      <c r="C28917" s="574">
        <v>631</v>
      </c>
    </row>
    <row r="28918" spans="1:3">
      <c r="A28918" s="573" t="s">
        <v>1172</v>
      </c>
      <c r="B28918" s="574">
        <v>271.89999999999998</v>
      </c>
      <c r="C28918" s="574">
        <v>658</v>
      </c>
    </row>
    <row r="28919" spans="1:3">
      <c r="A28919" s="573" t="s">
        <v>1172</v>
      </c>
      <c r="B28919" s="574">
        <v>299.35000000000002</v>
      </c>
      <c r="C28919" s="574">
        <v>625</v>
      </c>
    </row>
    <row r="28920" spans="1:3">
      <c r="A28920" s="573" t="s">
        <v>1172</v>
      </c>
      <c r="B28920" s="574">
        <v>329.33</v>
      </c>
      <c r="C28920" s="574">
        <v>603</v>
      </c>
    </row>
    <row r="28921" spans="1:3">
      <c r="A28921" s="573" t="s">
        <v>1172</v>
      </c>
      <c r="B28921" s="574">
        <v>345.33</v>
      </c>
      <c r="C28921" s="574">
        <v>618</v>
      </c>
    </row>
    <row r="28922" spans="1:3">
      <c r="A28922" s="573" t="s">
        <v>1172</v>
      </c>
      <c r="B28922" s="574">
        <v>380.67</v>
      </c>
      <c r="C28922" s="574">
        <v>598</v>
      </c>
    </row>
    <row r="28923" spans="1:3">
      <c r="A28923" s="573" t="s">
        <v>1172</v>
      </c>
      <c r="B28923" s="574">
        <v>400.64</v>
      </c>
      <c r="C28923" s="574">
        <v>613</v>
      </c>
    </row>
    <row r="28924" spans="1:3">
      <c r="A28924" s="573" t="s">
        <v>1172</v>
      </c>
      <c r="B28924" s="574">
        <v>424.36</v>
      </c>
      <c r="C28924" s="574">
        <v>643</v>
      </c>
    </row>
    <row r="28925" spans="1:3">
      <c r="A28925" s="573" t="s">
        <v>1172</v>
      </c>
      <c r="B28925" s="574">
        <v>453.21</v>
      </c>
      <c r="C28925" s="574">
        <v>644</v>
      </c>
    </row>
    <row r="28926" spans="1:3">
      <c r="A28926" s="573" t="s">
        <v>1172</v>
      </c>
      <c r="B28926" s="574">
        <v>481.41</v>
      </c>
      <c r="C28926" s="574">
        <v>638</v>
      </c>
    </row>
    <row r="28927" spans="1:3">
      <c r="A28927" s="569" t="s">
        <v>1172</v>
      </c>
      <c r="B28927" s="570">
        <v>509.03</v>
      </c>
      <c r="C28927" s="570">
        <v>648</v>
      </c>
    </row>
    <row r="28928" spans="1:3">
      <c r="A28928" s="569" t="s">
        <v>1172</v>
      </c>
      <c r="B28928" s="570">
        <v>538.89</v>
      </c>
      <c r="C28928" s="570">
        <v>660</v>
      </c>
    </row>
    <row r="28929" spans="1:3">
      <c r="A28929" s="569" t="s">
        <v>1172</v>
      </c>
      <c r="B28929" s="570">
        <v>567.36</v>
      </c>
      <c r="C28929" s="570">
        <v>679</v>
      </c>
    </row>
    <row r="28930" spans="1:3">
      <c r="A28930" s="569" t="s">
        <v>1172</v>
      </c>
      <c r="B28930" s="570">
        <v>589.58000000000004</v>
      </c>
      <c r="C28930" s="570">
        <v>653</v>
      </c>
    </row>
    <row r="28931" spans="1:3">
      <c r="A28931" s="571" t="s">
        <v>1171</v>
      </c>
      <c r="B28931" s="572">
        <v>0.67113999999999996</v>
      </c>
      <c r="C28931" s="572">
        <v>33.299999999999997</v>
      </c>
    </row>
    <row r="28932" spans="1:3">
      <c r="A28932" s="571" t="s">
        <v>1171</v>
      </c>
      <c r="B28932" s="572">
        <v>15.436</v>
      </c>
      <c r="C28932" s="572">
        <v>194</v>
      </c>
    </row>
    <row r="28933" spans="1:3">
      <c r="A28933" s="571" t="s">
        <v>1171</v>
      </c>
      <c r="B28933" s="572">
        <v>43.624000000000002</v>
      </c>
      <c r="C28933" s="572">
        <v>401</v>
      </c>
    </row>
    <row r="28934" spans="1:3">
      <c r="A28934" s="571" t="s">
        <v>1171</v>
      </c>
      <c r="B28934" s="572">
        <v>59.731999999999999</v>
      </c>
      <c r="C28934" s="572">
        <v>453</v>
      </c>
    </row>
    <row r="28935" spans="1:3">
      <c r="A28935" s="571" t="s">
        <v>1171</v>
      </c>
      <c r="B28935" s="572">
        <v>87.248000000000005</v>
      </c>
      <c r="C28935" s="572">
        <v>533</v>
      </c>
    </row>
    <row r="28936" spans="1:3">
      <c r="A28936" s="573" t="s">
        <v>1171</v>
      </c>
      <c r="B28936" s="574">
        <v>114.29</v>
      </c>
      <c r="C28936" s="574">
        <v>648</v>
      </c>
    </row>
    <row r="28937" spans="1:3">
      <c r="A28937" s="573" t="s">
        <v>1171</v>
      </c>
      <c r="B28937" s="574">
        <v>129.25</v>
      </c>
      <c r="C28937" s="574">
        <v>710</v>
      </c>
    </row>
    <row r="28938" spans="1:3">
      <c r="A28938" s="573" t="s">
        <v>1171</v>
      </c>
      <c r="B28938" s="574">
        <v>142.86000000000001</v>
      </c>
      <c r="C28938" s="574">
        <v>746</v>
      </c>
    </row>
    <row r="28939" spans="1:3">
      <c r="A28939" s="573" t="s">
        <v>1171</v>
      </c>
      <c r="B28939" s="574">
        <v>161.91</v>
      </c>
      <c r="C28939" s="574">
        <v>780</v>
      </c>
    </row>
    <row r="28940" spans="1:3">
      <c r="A28940" s="573" t="s">
        <v>1171</v>
      </c>
      <c r="B28940" s="574">
        <v>183.67</v>
      </c>
      <c r="C28940" s="574">
        <v>786</v>
      </c>
    </row>
    <row r="28941" spans="1:3">
      <c r="A28941" s="573" t="s">
        <v>1171</v>
      </c>
      <c r="B28941" s="574">
        <v>210.46</v>
      </c>
      <c r="C28941" s="574">
        <v>813</v>
      </c>
    </row>
    <row r="28942" spans="1:3">
      <c r="A28942" s="573" t="s">
        <v>1171</v>
      </c>
      <c r="B28942" s="574">
        <v>238.56</v>
      </c>
      <c r="C28942" s="574">
        <v>820</v>
      </c>
    </row>
    <row r="28943" spans="1:3">
      <c r="A28943" s="573" t="s">
        <v>1171</v>
      </c>
      <c r="B28943" s="574">
        <v>267.97000000000003</v>
      </c>
      <c r="C28943" s="574">
        <v>805</v>
      </c>
    </row>
    <row r="28944" spans="1:3">
      <c r="A28944" s="573" t="s">
        <v>1171</v>
      </c>
      <c r="B28944" s="574">
        <v>300</v>
      </c>
      <c r="C28944" s="574">
        <v>832</v>
      </c>
    </row>
    <row r="28945" spans="1:3">
      <c r="A28945" s="573" t="s">
        <v>1171</v>
      </c>
      <c r="B28945" s="574">
        <v>313.33</v>
      </c>
      <c r="C28945" s="574">
        <v>828</v>
      </c>
    </row>
    <row r="28946" spans="1:3">
      <c r="A28946" s="573" t="s">
        <v>1171</v>
      </c>
      <c r="B28946" s="574">
        <v>345.33</v>
      </c>
      <c r="C28946" s="574">
        <v>820</v>
      </c>
    </row>
    <row r="28947" spans="1:3">
      <c r="A28947" s="573" t="s">
        <v>1171</v>
      </c>
      <c r="B28947" s="574">
        <v>368</v>
      </c>
      <c r="C28947" s="574">
        <v>797</v>
      </c>
    </row>
    <row r="28948" spans="1:3">
      <c r="A28948" s="573" t="s">
        <v>1171</v>
      </c>
      <c r="B28948" s="574">
        <v>382</v>
      </c>
      <c r="C28948" s="574">
        <v>799</v>
      </c>
    </row>
    <row r="28949" spans="1:3">
      <c r="A28949" s="573" t="s">
        <v>1171</v>
      </c>
      <c r="B28949" s="574">
        <v>392</v>
      </c>
      <c r="C28949" s="574">
        <v>798</v>
      </c>
    </row>
    <row r="28950" spans="1:3">
      <c r="A28950" s="573" t="s">
        <v>1171</v>
      </c>
      <c r="B28950" s="574">
        <v>423.08</v>
      </c>
      <c r="C28950" s="574">
        <v>811</v>
      </c>
    </row>
    <row r="28951" spans="1:3">
      <c r="A28951" s="573" t="s">
        <v>1171</v>
      </c>
      <c r="B28951" s="574">
        <v>441.67</v>
      </c>
      <c r="C28951" s="574">
        <v>825</v>
      </c>
    </row>
    <row r="28952" spans="1:3">
      <c r="A28952" s="573" t="s">
        <v>1171</v>
      </c>
      <c r="B28952" s="574">
        <v>470.51</v>
      </c>
      <c r="C28952" s="574">
        <v>833</v>
      </c>
    </row>
    <row r="28953" spans="1:3">
      <c r="A28953" s="569" t="s">
        <v>1171</v>
      </c>
      <c r="B28953" s="570">
        <v>500.69</v>
      </c>
      <c r="C28953" s="570">
        <v>850</v>
      </c>
    </row>
    <row r="28954" spans="1:3">
      <c r="A28954" s="569" t="s">
        <v>1171</v>
      </c>
      <c r="B28954" s="570">
        <v>531.94000000000005</v>
      </c>
      <c r="C28954" s="570">
        <v>850</v>
      </c>
    </row>
    <row r="28955" spans="1:3">
      <c r="A28955" s="569" t="s">
        <v>1171</v>
      </c>
      <c r="B28955" s="570">
        <v>559.72</v>
      </c>
      <c r="C28955" s="570">
        <v>843</v>
      </c>
    </row>
    <row r="28956" spans="1:3">
      <c r="A28956" s="569" t="s">
        <v>1171</v>
      </c>
      <c r="B28956" s="570">
        <v>575</v>
      </c>
      <c r="C28956" s="570">
        <v>846</v>
      </c>
    </row>
    <row r="28957" spans="1:3">
      <c r="A28957" s="571" t="s">
        <v>1170</v>
      </c>
      <c r="B28957" s="572">
        <v>3.3557000000000001</v>
      </c>
      <c r="C28957" s="572">
        <v>56</v>
      </c>
    </row>
    <row r="28958" spans="1:3">
      <c r="A28958" s="571" t="s">
        <v>1170</v>
      </c>
      <c r="B28958" s="572">
        <v>6.0403000000000002</v>
      </c>
      <c r="C28958" s="572">
        <v>133</v>
      </c>
    </row>
    <row r="28959" spans="1:3">
      <c r="A28959" s="571" t="s">
        <v>1170</v>
      </c>
      <c r="B28959" s="572">
        <v>7.3826000000000001</v>
      </c>
      <c r="C28959" s="572">
        <v>170</v>
      </c>
    </row>
    <row r="28960" spans="1:3">
      <c r="A28960" s="571" t="s">
        <v>1170</v>
      </c>
      <c r="B28960" s="572">
        <v>13.423</v>
      </c>
      <c r="C28960" s="572">
        <v>227</v>
      </c>
    </row>
    <row r="28961" spans="1:3">
      <c r="A28961" s="571" t="s">
        <v>1170</v>
      </c>
      <c r="B28961" s="572">
        <v>18.120999999999999</v>
      </c>
      <c r="C28961" s="572">
        <v>285</v>
      </c>
    </row>
    <row r="28962" spans="1:3">
      <c r="A28962" s="571" t="s">
        <v>1170</v>
      </c>
      <c r="B28962" s="572">
        <v>26.846</v>
      </c>
      <c r="C28962" s="572">
        <v>341</v>
      </c>
    </row>
    <row r="28963" spans="1:3">
      <c r="A28963" s="571" t="s">
        <v>1170</v>
      </c>
      <c r="B28963" s="572">
        <v>34.899000000000001</v>
      </c>
      <c r="C28963" s="572">
        <v>403</v>
      </c>
    </row>
    <row r="28964" spans="1:3">
      <c r="A28964" s="571" t="s">
        <v>1170</v>
      </c>
      <c r="B28964" s="572">
        <v>44.966000000000001</v>
      </c>
      <c r="C28964" s="572">
        <v>435</v>
      </c>
    </row>
    <row r="28965" spans="1:3">
      <c r="A28965" s="571" t="s">
        <v>1170</v>
      </c>
      <c r="B28965" s="572">
        <v>59.731999999999999</v>
      </c>
      <c r="C28965" s="572">
        <v>478</v>
      </c>
    </row>
    <row r="28966" spans="1:3">
      <c r="A28966" s="571" t="s">
        <v>1170</v>
      </c>
      <c r="B28966" s="572">
        <v>78.524000000000001</v>
      </c>
      <c r="C28966" s="572">
        <v>541</v>
      </c>
    </row>
    <row r="28967" spans="1:3">
      <c r="A28967" s="573" t="s">
        <v>1170</v>
      </c>
      <c r="B28967" s="574">
        <v>105.44</v>
      </c>
      <c r="C28967" s="574">
        <v>578</v>
      </c>
    </row>
    <row r="28968" spans="1:3">
      <c r="A28968" s="573" t="s">
        <v>1170</v>
      </c>
      <c r="B28968" s="574">
        <v>110.2</v>
      </c>
      <c r="C28968" s="574">
        <v>686</v>
      </c>
    </row>
    <row r="28969" spans="1:3">
      <c r="A28969" s="573" t="s">
        <v>1170</v>
      </c>
      <c r="B28969" s="574">
        <v>123.81</v>
      </c>
      <c r="C28969" s="574">
        <v>836</v>
      </c>
    </row>
    <row r="28970" spans="1:3">
      <c r="A28970" s="573" t="s">
        <v>1170</v>
      </c>
      <c r="B28970" s="574">
        <v>156.46</v>
      </c>
      <c r="C28970" s="574">
        <v>882</v>
      </c>
    </row>
    <row r="28971" spans="1:3">
      <c r="A28971" s="573" t="s">
        <v>1170</v>
      </c>
      <c r="B28971" s="574">
        <v>197.96</v>
      </c>
      <c r="C28971" s="574">
        <v>904</v>
      </c>
    </row>
    <row r="28972" spans="1:3">
      <c r="A28972" s="573" t="s">
        <v>1170</v>
      </c>
      <c r="B28972" s="574">
        <v>231.37</v>
      </c>
      <c r="C28972" s="574">
        <v>878</v>
      </c>
    </row>
    <row r="28973" spans="1:3">
      <c r="A28973" s="573" t="s">
        <v>1170</v>
      </c>
      <c r="B28973" s="574">
        <v>256.86</v>
      </c>
      <c r="C28973" s="574">
        <v>869</v>
      </c>
    </row>
    <row r="28974" spans="1:3">
      <c r="A28974" s="573" t="s">
        <v>1170</v>
      </c>
      <c r="B28974" s="574">
        <v>270.58999999999997</v>
      </c>
      <c r="C28974" s="574">
        <v>902</v>
      </c>
    </row>
    <row r="28975" spans="1:3">
      <c r="A28975" s="573" t="s">
        <v>1170</v>
      </c>
      <c r="B28975" s="574">
        <v>288.89</v>
      </c>
      <c r="C28975" s="574">
        <v>900</v>
      </c>
    </row>
    <row r="28976" spans="1:3">
      <c r="A28976" s="573" t="s">
        <v>1170</v>
      </c>
      <c r="B28976" s="574">
        <v>315.33</v>
      </c>
      <c r="C28976" s="574">
        <v>918</v>
      </c>
    </row>
    <row r="28977" spans="1:3">
      <c r="A28977" s="573" t="s">
        <v>1170</v>
      </c>
      <c r="B28977" s="574">
        <v>343.33</v>
      </c>
      <c r="C28977" s="574">
        <v>894</v>
      </c>
    </row>
    <row r="28978" spans="1:3">
      <c r="A28978" s="573" t="s">
        <v>1170</v>
      </c>
      <c r="B28978" s="574">
        <v>358.67</v>
      </c>
      <c r="C28978" s="574">
        <v>881</v>
      </c>
    </row>
    <row r="28979" spans="1:3">
      <c r="A28979" s="573" t="s">
        <v>1170</v>
      </c>
      <c r="B28979" s="574">
        <v>384.67</v>
      </c>
      <c r="C28979" s="574">
        <v>879</v>
      </c>
    </row>
    <row r="28980" spans="1:3">
      <c r="A28980" s="573" t="s">
        <v>1170</v>
      </c>
      <c r="B28980" s="574">
        <v>402.56</v>
      </c>
      <c r="C28980" s="574">
        <v>850</v>
      </c>
    </row>
    <row r="28981" spans="1:3">
      <c r="A28981" s="571" t="s">
        <v>1168</v>
      </c>
      <c r="B28981" s="572">
        <v>3</v>
      </c>
      <c r="C28981" s="572">
        <v>66.7</v>
      </c>
    </row>
    <row r="28982" spans="1:3">
      <c r="A28982" s="571" t="s">
        <v>1168</v>
      </c>
      <c r="B28982" s="572">
        <v>5</v>
      </c>
      <c r="C28982" s="572">
        <v>81.7</v>
      </c>
    </row>
    <row r="28983" spans="1:3">
      <c r="A28983" s="571" t="s">
        <v>1168</v>
      </c>
      <c r="B28983" s="572">
        <v>10</v>
      </c>
      <c r="C28983" s="572">
        <v>103.3</v>
      </c>
    </row>
    <row r="28984" spans="1:3">
      <c r="A28984" s="571" t="s">
        <v>1168</v>
      </c>
      <c r="B28984" s="572">
        <v>21</v>
      </c>
      <c r="C28984" s="572">
        <v>101.7</v>
      </c>
    </row>
    <row r="28985" spans="1:3">
      <c r="A28985" s="571" t="s">
        <v>1168</v>
      </c>
      <c r="B28985" s="572">
        <v>35</v>
      </c>
      <c r="C28985" s="572">
        <v>133.30000000000001</v>
      </c>
    </row>
    <row r="28986" spans="1:3">
      <c r="A28986" s="571" t="s">
        <v>1168</v>
      </c>
      <c r="B28986" s="572">
        <v>49</v>
      </c>
      <c r="C28986" s="572">
        <v>156.69999999999999</v>
      </c>
    </row>
    <row r="28987" spans="1:3">
      <c r="A28987" s="571" t="s">
        <v>1168</v>
      </c>
      <c r="B28987" s="572">
        <v>63</v>
      </c>
      <c r="C28987" s="572">
        <v>175</v>
      </c>
    </row>
    <row r="28988" spans="1:3">
      <c r="A28988" s="571" t="s">
        <v>1168</v>
      </c>
      <c r="B28988" s="572">
        <v>84</v>
      </c>
      <c r="C28988" s="572">
        <v>216.70000000000002</v>
      </c>
    </row>
    <row r="28989" spans="1:3">
      <c r="A28989" s="571" t="s">
        <v>1168</v>
      </c>
      <c r="B28989" s="572">
        <v>98</v>
      </c>
      <c r="C28989" s="572">
        <v>245</v>
      </c>
    </row>
    <row r="28990" spans="1:3">
      <c r="A28990" s="573" t="s">
        <v>1168</v>
      </c>
      <c r="B28990" s="574">
        <v>112</v>
      </c>
      <c r="C28990" s="574">
        <v>255</v>
      </c>
    </row>
    <row r="28991" spans="1:3">
      <c r="A28991" s="573" t="s">
        <v>1168</v>
      </c>
      <c r="B28991" s="574">
        <v>124</v>
      </c>
      <c r="C28991" s="574">
        <v>291.70000000000005</v>
      </c>
    </row>
    <row r="28992" spans="1:3">
      <c r="A28992" s="571" t="s">
        <v>1167</v>
      </c>
      <c r="B28992" s="572">
        <v>3</v>
      </c>
      <c r="C28992" s="572">
        <v>75</v>
      </c>
    </row>
    <row r="28993" spans="1:3">
      <c r="A28993" s="571" t="s">
        <v>1167</v>
      </c>
      <c r="B28993" s="572">
        <v>5</v>
      </c>
      <c r="C28993" s="572">
        <v>96.7</v>
      </c>
    </row>
    <row r="28994" spans="1:3">
      <c r="A28994" s="571" t="s">
        <v>1167</v>
      </c>
      <c r="B28994" s="572">
        <v>10</v>
      </c>
      <c r="C28994" s="572">
        <v>116.7</v>
      </c>
    </row>
    <row r="28995" spans="1:3">
      <c r="A28995" s="571" t="s">
        <v>1167</v>
      </c>
      <c r="B28995" s="572">
        <v>21</v>
      </c>
      <c r="C28995" s="572">
        <v>133.30000000000001</v>
      </c>
    </row>
    <row r="28996" spans="1:3">
      <c r="A28996" s="571" t="s">
        <v>1167</v>
      </c>
      <c r="B28996" s="572">
        <v>35</v>
      </c>
      <c r="C28996" s="572">
        <v>150</v>
      </c>
    </row>
    <row r="28997" spans="1:3">
      <c r="A28997" s="571" t="s">
        <v>1167</v>
      </c>
      <c r="B28997" s="572">
        <v>49</v>
      </c>
      <c r="C28997" s="572">
        <v>183.29999999999998</v>
      </c>
    </row>
    <row r="28998" spans="1:3">
      <c r="A28998" s="571" t="s">
        <v>1167</v>
      </c>
      <c r="B28998" s="572">
        <v>63</v>
      </c>
      <c r="C28998" s="572">
        <v>200</v>
      </c>
    </row>
    <row r="28999" spans="1:3">
      <c r="A28999" s="571" t="s">
        <v>1167</v>
      </c>
      <c r="B28999" s="572">
        <v>84</v>
      </c>
      <c r="C28999" s="572">
        <v>258.29999999999995</v>
      </c>
    </row>
    <row r="29000" spans="1:3">
      <c r="A29000" s="571" t="s">
        <v>1167</v>
      </c>
      <c r="B29000" s="572">
        <v>98</v>
      </c>
      <c r="C29000" s="572">
        <v>283.29999999999995</v>
      </c>
    </row>
    <row r="29001" spans="1:3">
      <c r="A29001" s="573" t="s">
        <v>1167</v>
      </c>
      <c r="B29001" s="574">
        <v>112</v>
      </c>
      <c r="C29001" s="574">
        <v>291.70000000000005</v>
      </c>
    </row>
    <row r="29002" spans="1:3">
      <c r="A29002" s="573" t="s">
        <v>1167</v>
      </c>
      <c r="B29002" s="574">
        <v>124</v>
      </c>
      <c r="C29002" s="574">
        <v>316.70000000000005</v>
      </c>
    </row>
    <row r="29003" spans="1:3">
      <c r="A29003" s="571" t="s">
        <v>1166</v>
      </c>
      <c r="B29003" s="572">
        <v>14</v>
      </c>
      <c r="C29003" s="572">
        <v>83.3</v>
      </c>
    </row>
    <row r="29004" spans="1:3">
      <c r="A29004" s="571" t="s">
        <v>1166</v>
      </c>
      <c r="B29004" s="572">
        <v>28</v>
      </c>
      <c r="C29004" s="572">
        <v>100</v>
      </c>
    </row>
    <row r="29005" spans="1:3">
      <c r="A29005" s="571" t="s">
        <v>1166</v>
      </c>
      <c r="B29005" s="572">
        <v>49</v>
      </c>
      <c r="C29005" s="572">
        <v>126.7</v>
      </c>
    </row>
    <row r="29006" spans="1:3">
      <c r="A29006" s="571" t="s">
        <v>1166</v>
      </c>
      <c r="B29006" s="572">
        <v>63</v>
      </c>
      <c r="C29006" s="572">
        <v>125</v>
      </c>
    </row>
    <row r="29007" spans="1:3">
      <c r="A29007" s="571" t="s">
        <v>1166</v>
      </c>
      <c r="B29007" s="572">
        <v>84</v>
      </c>
      <c r="C29007" s="572">
        <v>151.69999999999999</v>
      </c>
    </row>
    <row r="29008" spans="1:3">
      <c r="A29008" s="571" t="s">
        <v>1166</v>
      </c>
      <c r="B29008" s="572">
        <v>98</v>
      </c>
      <c r="C29008" s="572">
        <v>166.70000000000002</v>
      </c>
    </row>
    <row r="29009" spans="1:3">
      <c r="A29009" s="573" t="s">
        <v>1166</v>
      </c>
      <c r="B29009" s="574">
        <v>112</v>
      </c>
      <c r="C29009" s="574">
        <v>180</v>
      </c>
    </row>
    <row r="29010" spans="1:3">
      <c r="A29010" s="573" t="s">
        <v>1166</v>
      </c>
      <c r="B29010" s="574">
        <v>124</v>
      </c>
      <c r="C29010" s="574">
        <v>208.29999999999998</v>
      </c>
    </row>
    <row r="29011" spans="1:3">
      <c r="A29011" s="571" t="s">
        <v>1165</v>
      </c>
      <c r="B29011" s="572">
        <v>3</v>
      </c>
      <c r="C29011" s="572">
        <v>108.3</v>
      </c>
    </row>
    <row r="29012" spans="1:3">
      <c r="A29012" s="571" t="s">
        <v>1165</v>
      </c>
      <c r="B29012" s="572">
        <v>5</v>
      </c>
      <c r="C29012" s="572">
        <v>133.30000000000001</v>
      </c>
    </row>
    <row r="29013" spans="1:3">
      <c r="A29013" s="571" t="s">
        <v>1165</v>
      </c>
      <c r="B29013" s="572">
        <v>10</v>
      </c>
      <c r="C29013" s="572">
        <v>176.70000000000002</v>
      </c>
    </row>
    <row r="29014" spans="1:3">
      <c r="A29014" s="571" t="s">
        <v>1165</v>
      </c>
      <c r="B29014" s="572">
        <v>21</v>
      </c>
      <c r="C29014" s="572">
        <v>213.29999999999998</v>
      </c>
    </row>
    <row r="29015" spans="1:3">
      <c r="A29015" s="571" t="s">
        <v>1165</v>
      </c>
      <c r="B29015" s="572">
        <v>35</v>
      </c>
      <c r="C29015" s="572">
        <v>271.70000000000005</v>
      </c>
    </row>
    <row r="29016" spans="1:3">
      <c r="A29016" s="571" t="s">
        <v>1165</v>
      </c>
      <c r="B29016" s="572">
        <v>49</v>
      </c>
      <c r="C29016" s="572">
        <v>300</v>
      </c>
    </row>
    <row r="29017" spans="1:3">
      <c r="A29017" s="571" t="s">
        <v>1165</v>
      </c>
      <c r="B29017" s="572">
        <v>63</v>
      </c>
      <c r="C29017" s="572">
        <v>333.29999999999995</v>
      </c>
    </row>
    <row r="29018" spans="1:3">
      <c r="A29018" s="571" t="s">
        <v>1165</v>
      </c>
      <c r="B29018" s="572">
        <v>84</v>
      </c>
      <c r="C29018" s="572">
        <v>363.29999999999995</v>
      </c>
    </row>
    <row r="29019" spans="1:3">
      <c r="A29019" s="571" t="s">
        <v>1165</v>
      </c>
      <c r="B29019" s="572">
        <v>98</v>
      </c>
      <c r="C29019" s="572">
        <v>375</v>
      </c>
    </row>
    <row r="29020" spans="1:3">
      <c r="A29020" s="573" t="s">
        <v>1165</v>
      </c>
      <c r="B29020" s="574">
        <v>112</v>
      </c>
      <c r="C29020" s="574">
        <v>390</v>
      </c>
    </row>
    <row r="29021" spans="1:3">
      <c r="A29021" s="573" t="s">
        <v>1165</v>
      </c>
      <c r="B29021" s="574">
        <v>124</v>
      </c>
      <c r="C29021" s="574">
        <v>425</v>
      </c>
    </row>
    <row r="29022" spans="1:3">
      <c r="A29022" s="571" t="s">
        <v>1164</v>
      </c>
      <c r="B29022" s="572">
        <v>10</v>
      </c>
      <c r="C29022" s="572">
        <v>58.3</v>
      </c>
    </row>
    <row r="29023" spans="1:3">
      <c r="A29023" s="571" t="s">
        <v>1164</v>
      </c>
      <c r="B29023" s="572">
        <v>35</v>
      </c>
      <c r="C29023" s="572">
        <v>53.3</v>
      </c>
    </row>
    <row r="29024" spans="1:3">
      <c r="A29024" s="571" t="s">
        <v>1164</v>
      </c>
      <c r="B29024" s="572">
        <v>49</v>
      </c>
      <c r="C29024" s="572">
        <v>83.3</v>
      </c>
    </row>
    <row r="29025" spans="1:3">
      <c r="A29025" s="571" t="s">
        <v>1164</v>
      </c>
      <c r="B29025" s="572">
        <v>63</v>
      </c>
      <c r="C29025" s="572">
        <v>80</v>
      </c>
    </row>
    <row r="29026" spans="1:3">
      <c r="A29026" s="571" t="s">
        <v>1164</v>
      </c>
      <c r="B29026" s="572">
        <v>84</v>
      </c>
      <c r="C29026" s="572">
        <v>113.3</v>
      </c>
    </row>
    <row r="29027" spans="1:3">
      <c r="A29027" s="571" t="s">
        <v>1164</v>
      </c>
      <c r="B29027" s="572">
        <v>98</v>
      </c>
      <c r="C29027" s="572">
        <v>133.30000000000001</v>
      </c>
    </row>
    <row r="29028" spans="1:3">
      <c r="A29028" s="573" t="s">
        <v>1164</v>
      </c>
      <c r="B29028" s="574">
        <v>112</v>
      </c>
      <c r="C29028" s="574">
        <v>166.70000000000002</v>
      </c>
    </row>
    <row r="29029" spans="1:3">
      <c r="A29029" s="573" t="s">
        <v>1164</v>
      </c>
      <c r="B29029" s="574">
        <v>124</v>
      </c>
      <c r="C29029" s="574">
        <v>200</v>
      </c>
    </row>
    <row r="29030" spans="1:3">
      <c r="A29030" s="571" t="s">
        <v>1163</v>
      </c>
      <c r="B29030" s="572">
        <v>3</v>
      </c>
      <c r="C29030" s="572">
        <v>50</v>
      </c>
    </row>
    <row r="29031" spans="1:3">
      <c r="A29031" s="571" t="s">
        <v>1163</v>
      </c>
      <c r="B29031" s="572">
        <v>5</v>
      </c>
      <c r="C29031" s="572">
        <v>66.7</v>
      </c>
    </row>
    <row r="29032" spans="1:3">
      <c r="A29032" s="571" t="s">
        <v>1163</v>
      </c>
      <c r="B29032" s="572">
        <v>10</v>
      </c>
      <c r="C29032" s="572">
        <v>75</v>
      </c>
    </row>
    <row r="29033" spans="1:3">
      <c r="A29033" s="571" t="s">
        <v>1163</v>
      </c>
      <c r="B29033" s="572">
        <v>21</v>
      </c>
      <c r="C29033" s="572">
        <v>68.3</v>
      </c>
    </row>
    <row r="29034" spans="1:3">
      <c r="A29034" s="571" t="s">
        <v>1163</v>
      </c>
      <c r="B29034" s="572">
        <v>35</v>
      </c>
      <c r="C29034" s="572">
        <v>91.7</v>
      </c>
    </row>
    <row r="29035" spans="1:3">
      <c r="A29035" s="571" t="s">
        <v>1163</v>
      </c>
      <c r="B29035" s="572">
        <v>49</v>
      </c>
      <c r="C29035" s="572">
        <v>113.3</v>
      </c>
    </row>
    <row r="29036" spans="1:3">
      <c r="A29036" s="571" t="s">
        <v>1163</v>
      </c>
      <c r="B29036" s="572">
        <v>63</v>
      </c>
      <c r="C29036" s="572">
        <v>116.7</v>
      </c>
    </row>
    <row r="29037" spans="1:3">
      <c r="A29037" s="571" t="s">
        <v>1163</v>
      </c>
      <c r="B29037" s="572">
        <v>84</v>
      </c>
      <c r="C29037" s="572">
        <v>163.29999999999998</v>
      </c>
    </row>
    <row r="29038" spans="1:3">
      <c r="A29038" s="571" t="s">
        <v>1163</v>
      </c>
      <c r="B29038" s="572">
        <v>98</v>
      </c>
      <c r="C29038" s="572">
        <v>173.29999999999998</v>
      </c>
    </row>
    <row r="29039" spans="1:3">
      <c r="A29039" s="573" t="s">
        <v>1163</v>
      </c>
      <c r="B29039" s="574">
        <v>112</v>
      </c>
      <c r="C29039" s="574">
        <v>198.29999999999998</v>
      </c>
    </row>
    <row r="29040" spans="1:3">
      <c r="A29040" s="573" t="s">
        <v>1163</v>
      </c>
      <c r="B29040" s="574">
        <v>124</v>
      </c>
      <c r="C29040" s="574">
        <v>210</v>
      </c>
    </row>
    <row r="29041" spans="1:3">
      <c r="A29041" s="571" t="s">
        <v>1162</v>
      </c>
      <c r="B29041" s="572">
        <v>3</v>
      </c>
      <c r="C29041" s="572">
        <v>66.7</v>
      </c>
    </row>
    <row r="29042" spans="1:3">
      <c r="A29042" s="571" t="s">
        <v>1162</v>
      </c>
      <c r="B29042" s="572">
        <v>7</v>
      </c>
      <c r="C29042" s="572">
        <v>75</v>
      </c>
    </row>
    <row r="29043" spans="1:3">
      <c r="A29043" s="571" t="s">
        <v>1162</v>
      </c>
      <c r="B29043" s="572">
        <v>12</v>
      </c>
      <c r="C29043" s="572">
        <v>85</v>
      </c>
    </row>
    <row r="29044" spans="1:3">
      <c r="A29044" s="571" t="s">
        <v>1162</v>
      </c>
      <c r="B29044" s="572">
        <v>16</v>
      </c>
      <c r="C29044" s="572">
        <v>150</v>
      </c>
    </row>
    <row r="29045" spans="1:3">
      <c r="A29045" s="571" t="s">
        <v>1162</v>
      </c>
      <c r="B29045" s="572">
        <v>21</v>
      </c>
      <c r="C29045" s="572">
        <v>150</v>
      </c>
    </row>
    <row r="29046" spans="1:3">
      <c r="A29046" s="571" t="s">
        <v>1162</v>
      </c>
      <c r="B29046" s="572">
        <v>28</v>
      </c>
      <c r="C29046" s="572">
        <v>171.70000000000002</v>
      </c>
    </row>
    <row r="29047" spans="1:3">
      <c r="A29047" s="571" t="s">
        <v>1162</v>
      </c>
      <c r="B29047" s="572">
        <v>35</v>
      </c>
      <c r="C29047" s="572">
        <v>205</v>
      </c>
    </row>
    <row r="29048" spans="1:3">
      <c r="A29048" s="571" t="s">
        <v>1162</v>
      </c>
      <c r="B29048" s="572">
        <v>42</v>
      </c>
      <c r="C29048" s="572">
        <v>243.29999999999998</v>
      </c>
    </row>
    <row r="29049" spans="1:3">
      <c r="A29049" s="571" t="s">
        <v>1162</v>
      </c>
      <c r="B29049" s="572">
        <v>49</v>
      </c>
      <c r="C29049" s="572">
        <v>253.29999999999998</v>
      </c>
    </row>
    <row r="29050" spans="1:3">
      <c r="A29050" s="571" t="s">
        <v>1162</v>
      </c>
      <c r="B29050" s="572">
        <v>56</v>
      </c>
      <c r="C29050" s="572">
        <v>255</v>
      </c>
    </row>
    <row r="29051" spans="1:3">
      <c r="A29051" s="571" t="s">
        <v>1162</v>
      </c>
      <c r="B29051" s="572">
        <v>70</v>
      </c>
      <c r="C29051" s="572">
        <v>300</v>
      </c>
    </row>
    <row r="29052" spans="1:3">
      <c r="A29052" s="571" t="s">
        <v>1162</v>
      </c>
      <c r="B29052" s="572">
        <v>84</v>
      </c>
      <c r="C29052" s="572">
        <v>316.70000000000005</v>
      </c>
    </row>
    <row r="29053" spans="1:3">
      <c r="A29053" s="571" t="s">
        <v>1162</v>
      </c>
      <c r="B29053" s="572">
        <v>98</v>
      </c>
      <c r="C29053" s="572">
        <v>335</v>
      </c>
    </row>
    <row r="29054" spans="1:3">
      <c r="A29054" s="573" t="s">
        <v>1162</v>
      </c>
      <c r="B29054" s="574">
        <v>112</v>
      </c>
      <c r="C29054" s="574">
        <v>336.70000000000005</v>
      </c>
    </row>
    <row r="29055" spans="1:3">
      <c r="A29055" s="573" t="s">
        <v>1162</v>
      </c>
      <c r="B29055" s="574">
        <v>126</v>
      </c>
      <c r="C29055" s="574">
        <v>363.29999999999995</v>
      </c>
    </row>
    <row r="29056" spans="1:3">
      <c r="A29056" s="571" t="s">
        <v>1161</v>
      </c>
      <c r="B29056" s="572">
        <v>3</v>
      </c>
      <c r="C29056" s="572">
        <v>96.7</v>
      </c>
    </row>
    <row r="29057" spans="1:3">
      <c r="A29057" s="571" t="s">
        <v>1161</v>
      </c>
      <c r="B29057" s="572">
        <v>7</v>
      </c>
      <c r="C29057" s="572">
        <v>115</v>
      </c>
    </row>
    <row r="29058" spans="1:3">
      <c r="A29058" s="571" t="s">
        <v>1161</v>
      </c>
      <c r="B29058" s="572">
        <v>12</v>
      </c>
      <c r="C29058" s="572">
        <v>151.69999999999999</v>
      </c>
    </row>
    <row r="29059" spans="1:3">
      <c r="A29059" s="571" t="s">
        <v>1161</v>
      </c>
      <c r="B29059" s="572">
        <v>16</v>
      </c>
      <c r="C29059" s="572">
        <v>200</v>
      </c>
    </row>
    <row r="29060" spans="1:3">
      <c r="A29060" s="571" t="s">
        <v>1161</v>
      </c>
      <c r="B29060" s="572">
        <v>21</v>
      </c>
      <c r="C29060" s="572">
        <v>205</v>
      </c>
    </row>
    <row r="29061" spans="1:3">
      <c r="A29061" s="571" t="s">
        <v>1161</v>
      </c>
      <c r="B29061" s="572">
        <v>28</v>
      </c>
      <c r="C29061" s="572">
        <v>246.70000000000002</v>
      </c>
    </row>
    <row r="29062" spans="1:3">
      <c r="A29062" s="571" t="s">
        <v>1161</v>
      </c>
      <c r="B29062" s="572">
        <v>35</v>
      </c>
      <c r="C29062" s="572">
        <v>250</v>
      </c>
    </row>
    <row r="29063" spans="1:3">
      <c r="A29063" s="571" t="s">
        <v>1161</v>
      </c>
      <c r="B29063" s="572">
        <v>42</v>
      </c>
      <c r="C29063" s="572">
        <v>300</v>
      </c>
    </row>
    <row r="29064" spans="1:3">
      <c r="A29064" s="571" t="s">
        <v>1161</v>
      </c>
      <c r="B29064" s="572">
        <v>56</v>
      </c>
      <c r="C29064" s="572">
        <v>291.70000000000005</v>
      </c>
    </row>
    <row r="29065" spans="1:3">
      <c r="A29065" s="571" t="s">
        <v>1161</v>
      </c>
      <c r="B29065" s="572">
        <v>63</v>
      </c>
      <c r="C29065" s="572">
        <v>313.29999999999995</v>
      </c>
    </row>
    <row r="29066" spans="1:3">
      <c r="A29066" s="571" t="s">
        <v>1161</v>
      </c>
      <c r="B29066" s="572">
        <v>70</v>
      </c>
      <c r="C29066" s="572">
        <v>333.29999999999995</v>
      </c>
    </row>
    <row r="29067" spans="1:3">
      <c r="A29067" s="571" t="s">
        <v>1161</v>
      </c>
      <c r="B29067" s="572">
        <v>84</v>
      </c>
      <c r="C29067" s="572">
        <v>333.29999999999995</v>
      </c>
    </row>
    <row r="29068" spans="1:3">
      <c r="A29068" s="571" t="s">
        <v>1161</v>
      </c>
      <c r="B29068" s="572">
        <v>98</v>
      </c>
      <c r="C29068" s="572">
        <v>363.29999999999995</v>
      </c>
    </row>
    <row r="29069" spans="1:3">
      <c r="A29069" s="573" t="s">
        <v>1161</v>
      </c>
      <c r="B29069" s="574">
        <v>112</v>
      </c>
      <c r="C29069" s="574">
        <v>376.70000000000005</v>
      </c>
    </row>
    <row r="29070" spans="1:3">
      <c r="A29070" s="573" t="s">
        <v>1161</v>
      </c>
      <c r="B29070" s="574">
        <v>126</v>
      </c>
      <c r="C29070" s="574">
        <v>383.29999999999995</v>
      </c>
    </row>
    <row r="29071" spans="1:3">
      <c r="A29071" s="571" t="s">
        <v>1160</v>
      </c>
      <c r="B29071" s="572">
        <v>3</v>
      </c>
      <c r="C29071" s="572">
        <v>108.3</v>
      </c>
    </row>
    <row r="29072" spans="1:3">
      <c r="A29072" s="571" t="s">
        <v>1160</v>
      </c>
      <c r="B29072" s="572">
        <v>7</v>
      </c>
      <c r="C29072" s="572">
        <v>133.30000000000001</v>
      </c>
    </row>
    <row r="29073" spans="1:3">
      <c r="A29073" s="571" t="s">
        <v>1160</v>
      </c>
      <c r="B29073" s="572">
        <v>12</v>
      </c>
      <c r="C29073" s="572">
        <v>166.70000000000002</v>
      </c>
    </row>
    <row r="29074" spans="1:3">
      <c r="A29074" s="571" t="s">
        <v>1160</v>
      </c>
      <c r="B29074" s="572">
        <v>16</v>
      </c>
      <c r="C29074" s="572">
        <v>211.29999999999998</v>
      </c>
    </row>
    <row r="29075" spans="1:3">
      <c r="A29075" s="571" t="s">
        <v>1160</v>
      </c>
      <c r="B29075" s="572">
        <v>21</v>
      </c>
      <c r="C29075" s="572">
        <v>213.29999999999998</v>
      </c>
    </row>
    <row r="29076" spans="1:3">
      <c r="A29076" s="571" t="s">
        <v>1160</v>
      </c>
      <c r="B29076" s="572">
        <v>28</v>
      </c>
      <c r="C29076" s="572">
        <v>231.70000000000002</v>
      </c>
    </row>
    <row r="29077" spans="1:3">
      <c r="A29077" s="571" t="s">
        <v>1160</v>
      </c>
      <c r="B29077" s="572">
        <v>35</v>
      </c>
      <c r="C29077" s="572">
        <v>271.70000000000005</v>
      </c>
    </row>
    <row r="29078" spans="1:3">
      <c r="A29078" s="571" t="s">
        <v>1160</v>
      </c>
      <c r="B29078" s="572">
        <v>49</v>
      </c>
      <c r="C29078" s="572">
        <v>300</v>
      </c>
    </row>
    <row r="29079" spans="1:3">
      <c r="A29079" s="571" t="s">
        <v>1160</v>
      </c>
      <c r="B29079" s="572">
        <v>56</v>
      </c>
      <c r="C29079" s="572">
        <v>313.29999999999995</v>
      </c>
    </row>
    <row r="29080" spans="1:3">
      <c r="A29080" s="571" t="s">
        <v>1160</v>
      </c>
      <c r="B29080" s="572">
        <v>63</v>
      </c>
      <c r="C29080" s="572">
        <v>333.29999999999995</v>
      </c>
    </row>
    <row r="29081" spans="1:3">
      <c r="A29081" s="571" t="s">
        <v>1160</v>
      </c>
      <c r="B29081" s="572">
        <v>84</v>
      </c>
      <c r="C29081" s="572">
        <v>363.29999999999995</v>
      </c>
    </row>
    <row r="29082" spans="1:3">
      <c r="A29082" s="571" t="s">
        <v>1160</v>
      </c>
      <c r="B29082" s="572">
        <v>98</v>
      </c>
      <c r="C29082" s="572">
        <v>375</v>
      </c>
    </row>
    <row r="29083" spans="1:3">
      <c r="A29083" s="573" t="s">
        <v>1160</v>
      </c>
      <c r="B29083" s="574">
        <v>112</v>
      </c>
      <c r="C29083" s="574">
        <v>390</v>
      </c>
    </row>
    <row r="29084" spans="1:3">
      <c r="A29084" s="573" t="s">
        <v>1160</v>
      </c>
      <c r="B29084" s="574">
        <v>126</v>
      </c>
      <c r="C29084" s="574">
        <v>425</v>
      </c>
    </row>
    <row r="29085" spans="1:3">
      <c r="A29085" s="571" t="s">
        <v>1158</v>
      </c>
      <c r="B29085" s="572">
        <v>1</v>
      </c>
      <c r="C29085" s="572">
        <v>48.4</v>
      </c>
    </row>
    <row r="29086" spans="1:3">
      <c r="A29086" s="571" t="s">
        <v>1158</v>
      </c>
      <c r="B29086" s="572">
        <v>2</v>
      </c>
      <c r="C29086" s="572">
        <v>122.6</v>
      </c>
    </row>
    <row r="29087" spans="1:3">
      <c r="A29087" s="571" t="s">
        <v>1158</v>
      </c>
      <c r="B29087" s="572">
        <v>5</v>
      </c>
      <c r="C29087" s="572">
        <v>271</v>
      </c>
    </row>
    <row r="29088" spans="1:3">
      <c r="A29088" s="571" t="s">
        <v>1158</v>
      </c>
      <c r="B29088" s="572">
        <v>6</v>
      </c>
      <c r="C29088" s="572">
        <v>283.89999999999998</v>
      </c>
    </row>
    <row r="29089" spans="1:3">
      <c r="A29089" s="571" t="s">
        <v>1158</v>
      </c>
      <c r="B29089" s="572">
        <v>7</v>
      </c>
      <c r="C29089" s="572">
        <v>296.8</v>
      </c>
    </row>
    <row r="29090" spans="1:3">
      <c r="A29090" s="571" t="s">
        <v>1158</v>
      </c>
      <c r="B29090" s="572">
        <v>14</v>
      </c>
      <c r="C29090" s="572">
        <v>409.7</v>
      </c>
    </row>
    <row r="29091" spans="1:3">
      <c r="A29091" s="571" t="s">
        <v>1158</v>
      </c>
      <c r="B29091" s="572">
        <v>16</v>
      </c>
      <c r="C29091" s="572">
        <v>422.6</v>
      </c>
    </row>
    <row r="29092" spans="1:3">
      <c r="A29092" s="571" t="s">
        <v>1158</v>
      </c>
      <c r="B29092" s="572">
        <v>18</v>
      </c>
      <c r="C29092" s="572">
        <v>477.4</v>
      </c>
    </row>
    <row r="29093" spans="1:3">
      <c r="A29093" s="571" t="s">
        <v>1158</v>
      </c>
      <c r="B29093" s="572">
        <v>24</v>
      </c>
      <c r="C29093" s="572">
        <v>525.79999999999995</v>
      </c>
    </row>
    <row r="29094" spans="1:3">
      <c r="A29094" s="571" t="s">
        <v>1158</v>
      </c>
      <c r="B29094" s="572">
        <v>50</v>
      </c>
      <c r="C29094" s="572">
        <v>732.3</v>
      </c>
    </row>
    <row r="29095" spans="1:3">
      <c r="A29095" s="571" t="s">
        <v>1158</v>
      </c>
      <c r="B29095" s="572">
        <v>91</v>
      </c>
      <c r="C29095" s="572">
        <v>858.1</v>
      </c>
    </row>
    <row r="29096" spans="1:3">
      <c r="A29096" s="573" t="s">
        <v>1158</v>
      </c>
      <c r="B29096" s="574">
        <v>120</v>
      </c>
      <c r="C29096" s="574">
        <v>877.4</v>
      </c>
    </row>
    <row r="29097" spans="1:3">
      <c r="A29097" s="573" t="s">
        <v>1158</v>
      </c>
      <c r="B29097" s="574">
        <v>180</v>
      </c>
      <c r="C29097" s="574">
        <v>864.5</v>
      </c>
    </row>
    <row r="29098" spans="1:3">
      <c r="A29098" s="573" t="s">
        <v>1158</v>
      </c>
      <c r="B29098" s="574">
        <v>210</v>
      </c>
      <c r="C29098" s="574">
        <v>909.7</v>
      </c>
    </row>
    <row r="29099" spans="1:3">
      <c r="A29099" s="573" t="s">
        <v>1158</v>
      </c>
      <c r="B29099" s="574">
        <v>250</v>
      </c>
      <c r="C29099" s="574">
        <v>925.8</v>
      </c>
    </row>
    <row r="29100" spans="1:3">
      <c r="A29100" s="569" t="s">
        <v>1158</v>
      </c>
      <c r="B29100" s="570">
        <v>500</v>
      </c>
      <c r="C29100" s="570">
        <v>1035.5</v>
      </c>
    </row>
    <row r="29101" spans="1:3">
      <c r="A29101" s="569" t="s">
        <v>1158</v>
      </c>
      <c r="B29101" s="570">
        <v>800</v>
      </c>
      <c r="C29101" s="570">
        <v>1054.8</v>
      </c>
    </row>
    <row r="29102" spans="1:3">
      <c r="A29102" s="569" t="s">
        <v>1158</v>
      </c>
      <c r="B29102" s="570">
        <v>1250</v>
      </c>
      <c r="C29102" s="570">
        <v>1100</v>
      </c>
    </row>
    <row r="29103" spans="1:3">
      <c r="A29103" s="571" t="s">
        <v>1157</v>
      </c>
      <c r="B29103" s="572">
        <v>1</v>
      </c>
      <c r="C29103" s="572">
        <v>80.599999999999994</v>
      </c>
    </row>
    <row r="29104" spans="1:3">
      <c r="A29104" s="571" t="s">
        <v>1157</v>
      </c>
      <c r="B29104" s="572">
        <v>2</v>
      </c>
      <c r="C29104" s="572">
        <v>148.4</v>
      </c>
    </row>
    <row r="29105" spans="1:3">
      <c r="A29105" s="571" t="s">
        <v>1157</v>
      </c>
      <c r="B29105" s="572">
        <v>3</v>
      </c>
      <c r="C29105" s="572">
        <v>203.2</v>
      </c>
    </row>
    <row r="29106" spans="1:3">
      <c r="A29106" s="571" t="s">
        <v>1157</v>
      </c>
      <c r="B29106" s="572">
        <v>5</v>
      </c>
      <c r="C29106" s="572">
        <v>245.2</v>
      </c>
    </row>
    <row r="29107" spans="1:3">
      <c r="A29107" s="571" t="s">
        <v>1157</v>
      </c>
      <c r="B29107" s="572">
        <v>7</v>
      </c>
      <c r="C29107" s="572">
        <v>277.39999999999998</v>
      </c>
    </row>
    <row r="29108" spans="1:3">
      <c r="A29108" s="571" t="s">
        <v>1157</v>
      </c>
      <c r="B29108" s="572">
        <v>14</v>
      </c>
      <c r="C29108" s="572">
        <v>393.5</v>
      </c>
    </row>
    <row r="29109" spans="1:3">
      <c r="A29109" s="571" t="s">
        <v>1157</v>
      </c>
      <c r="B29109" s="572">
        <v>18</v>
      </c>
      <c r="C29109" s="572">
        <v>409.7</v>
      </c>
    </row>
    <row r="29110" spans="1:3">
      <c r="A29110" s="571" t="s">
        <v>1157</v>
      </c>
      <c r="B29110" s="572">
        <v>20</v>
      </c>
      <c r="C29110" s="572">
        <v>422.6</v>
      </c>
    </row>
    <row r="29111" spans="1:3">
      <c r="A29111" s="571" t="s">
        <v>1157</v>
      </c>
      <c r="B29111" s="572">
        <v>28</v>
      </c>
      <c r="C29111" s="572">
        <v>487.1</v>
      </c>
    </row>
    <row r="29112" spans="1:3">
      <c r="A29112" s="571" t="s">
        <v>1157</v>
      </c>
      <c r="B29112" s="572">
        <v>35</v>
      </c>
      <c r="C29112" s="572">
        <v>490</v>
      </c>
    </row>
    <row r="29113" spans="1:3">
      <c r="A29113" s="571" t="s">
        <v>1157</v>
      </c>
      <c r="B29113" s="572">
        <v>50</v>
      </c>
      <c r="C29113" s="572">
        <v>519.4</v>
      </c>
    </row>
    <row r="29114" spans="1:3">
      <c r="A29114" s="571" t="s">
        <v>1157</v>
      </c>
      <c r="B29114" s="572">
        <v>91</v>
      </c>
      <c r="C29114" s="572">
        <v>671</v>
      </c>
    </row>
    <row r="29115" spans="1:3">
      <c r="A29115" s="573" t="s">
        <v>1157</v>
      </c>
      <c r="B29115" s="574">
        <v>120</v>
      </c>
      <c r="C29115" s="574">
        <v>685</v>
      </c>
    </row>
    <row r="29116" spans="1:3">
      <c r="A29116" s="573" t="s">
        <v>1157</v>
      </c>
      <c r="B29116" s="574">
        <v>180</v>
      </c>
      <c r="C29116" s="574">
        <v>735.5</v>
      </c>
    </row>
    <row r="29117" spans="1:3">
      <c r="A29117" s="573" t="s">
        <v>1157</v>
      </c>
      <c r="B29117" s="574">
        <v>210</v>
      </c>
      <c r="C29117" s="574">
        <v>735.5</v>
      </c>
    </row>
    <row r="29118" spans="1:3">
      <c r="A29118" s="569" t="s">
        <v>1157</v>
      </c>
      <c r="B29118" s="570">
        <v>500</v>
      </c>
      <c r="C29118" s="570">
        <v>893.5</v>
      </c>
    </row>
    <row r="29119" spans="1:3">
      <c r="A29119" s="569" t="s">
        <v>1157</v>
      </c>
      <c r="B29119" s="570">
        <v>1250</v>
      </c>
      <c r="C29119" s="570">
        <v>916.1</v>
      </c>
    </row>
    <row r="29120" spans="1:3">
      <c r="A29120" s="571" t="s">
        <v>1156</v>
      </c>
      <c r="B29120" s="572">
        <v>2</v>
      </c>
      <c r="C29120" s="572">
        <v>74.2</v>
      </c>
    </row>
    <row r="29121" spans="1:3">
      <c r="A29121" s="571" t="s">
        <v>1156</v>
      </c>
      <c r="B29121" s="572">
        <v>3</v>
      </c>
      <c r="C29121" s="572">
        <v>112.9</v>
      </c>
    </row>
    <row r="29122" spans="1:3">
      <c r="A29122" s="571" t="s">
        <v>1156</v>
      </c>
      <c r="B29122" s="572">
        <v>4</v>
      </c>
      <c r="C29122" s="572">
        <v>158.1</v>
      </c>
    </row>
    <row r="29123" spans="1:3">
      <c r="A29123" s="571" t="s">
        <v>1156</v>
      </c>
      <c r="B29123" s="572">
        <v>5</v>
      </c>
      <c r="C29123" s="572">
        <v>216.1</v>
      </c>
    </row>
    <row r="29124" spans="1:3">
      <c r="A29124" s="571" t="s">
        <v>1156</v>
      </c>
      <c r="B29124" s="572">
        <v>6</v>
      </c>
      <c r="C29124" s="572">
        <v>258.10000000000002</v>
      </c>
    </row>
    <row r="29125" spans="1:3">
      <c r="A29125" s="571" t="s">
        <v>1156</v>
      </c>
      <c r="B29125" s="572">
        <v>8</v>
      </c>
      <c r="C29125" s="572">
        <v>267.7</v>
      </c>
    </row>
    <row r="29126" spans="1:3">
      <c r="A29126" s="571" t="s">
        <v>1156</v>
      </c>
      <c r="B29126" s="572">
        <v>10</v>
      </c>
      <c r="C29126" s="572">
        <v>277.39999999999998</v>
      </c>
    </row>
    <row r="29127" spans="1:3">
      <c r="A29127" s="571" t="s">
        <v>1156</v>
      </c>
      <c r="B29127" s="572">
        <v>12</v>
      </c>
      <c r="C29127" s="572">
        <v>258.10000000000002</v>
      </c>
    </row>
    <row r="29128" spans="1:3">
      <c r="A29128" s="571" t="s">
        <v>1156</v>
      </c>
      <c r="B29128" s="572">
        <v>15</v>
      </c>
      <c r="C29128" s="572">
        <v>303.2</v>
      </c>
    </row>
    <row r="29129" spans="1:3">
      <c r="A29129" s="571" t="s">
        <v>1156</v>
      </c>
      <c r="B29129" s="572">
        <v>24</v>
      </c>
      <c r="C29129" s="572">
        <v>361.3</v>
      </c>
    </row>
    <row r="29130" spans="1:3">
      <c r="A29130" s="571" t="s">
        <v>1156</v>
      </c>
      <c r="B29130" s="572">
        <v>30</v>
      </c>
      <c r="C29130" s="572">
        <v>348.4</v>
      </c>
    </row>
    <row r="29131" spans="1:3">
      <c r="A29131" s="571" t="s">
        <v>1156</v>
      </c>
      <c r="B29131" s="572">
        <v>35</v>
      </c>
      <c r="C29131" s="572">
        <v>387.1</v>
      </c>
    </row>
    <row r="29132" spans="1:3">
      <c r="A29132" s="571" t="s">
        <v>1156</v>
      </c>
      <c r="B29132" s="572">
        <v>42</v>
      </c>
      <c r="C29132" s="572">
        <v>419.4</v>
      </c>
    </row>
    <row r="29133" spans="1:3">
      <c r="A29133" s="571" t="s">
        <v>1156</v>
      </c>
      <c r="B29133" s="572">
        <v>63</v>
      </c>
      <c r="C29133" s="572">
        <v>474.2</v>
      </c>
    </row>
    <row r="29134" spans="1:3">
      <c r="A29134" s="573" t="s">
        <v>1156</v>
      </c>
      <c r="B29134" s="574">
        <v>100</v>
      </c>
      <c r="C29134" s="574">
        <v>525.79999999999995</v>
      </c>
    </row>
    <row r="29135" spans="1:3">
      <c r="A29135" s="573" t="s">
        <v>1156</v>
      </c>
      <c r="B29135" s="574">
        <v>120</v>
      </c>
      <c r="C29135" s="574">
        <v>567.70000000000005</v>
      </c>
    </row>
    <row r="29136" spans="1:3">
      <c r="A29136" s="573" t="s">
        <v>1156</v>
      </c>
      <c r="B29136" s="574">
        <v>180</v>
      </c>
      <c r="C29136" s="574">
        <v>619.4</v>
      </c>
    </row>
    <row r="29137" spans="1:3">
      <c r="A29137" s="569" t="s">
        <v>1156</v>
      </c>
      <c r="B29137" s="570">
        <v>500</v>
      </c>
      <c r="C29137" s="570">
        <v>780.6</v>
      </c>
    </row>
    <row r="29138" spans="1:3">
      <c r="A29138" s="569" t="s">
        <v>1156</v>
      </c>
      <c r="B29138" s="570">
        <v>1250</v>
      </c>
      <c r="C29138" s="570">
        <v>864.5</v>
      </c>
    </row>
    <row r="29139" spans="1:3">
      <c r="A29139" s="571" t="s">
        <v>1155</v>
      </c>
      <c r="B29139" s="572">
        <v>1</v>
      </c>
      <c r="C29139" s="572">
        <v>77.8</v>
      </c>
    </row>
    <row r="29140" spans="1:3">
      <c r="A29140" s="571" t="s">
        <v>1155</v>
      </c>
      <c r="B29140" s="572">
        <v>3</v>
      </c>
      <c r="C29140" s="572">
        <v>142.4</v>
      </c>
    </row>
    <row r="29141" spans="1:3">
      <c r="A29141" s="571" t="s">
        <v>1155</v>
      </c>
      <c r="B29141" s="572">
        <v>5</v>
      </c>
      <c r="C29141" s="572">
        <v>151.19999999999999</v>
      </c>
    </row>
    <row r="29142" spans="1:3">
      <c r="A29142" s="571" t="s">
        <v>1155</v>
      </c>
      <c r="B29142" s="572">
        <v>14</v>
      </c>
      <c r="C29142" s="572">
        <v>331.8</v>
      </c>
    </row>
    <row r="29143" spans="1:3">
      <c r="A29143" s="571" t="s">
        <v>1155</v>
      </c>
      <c r="B29143" s="572">
        <v>28</v>
      </c>
      <c r="C29143" s="572">
        <v>485.2</v>
      </c>
    </row>
    <row r="29144" spans="1:3">
      <c r="A29144" s="571" t="s">
        <v>1155</v>
      </c>
      <c r="B29144" s="572">
        <v>50</v>
      </c>
      <c r="C29144" s="572">
        <v>690</v>
      </c>
    </row>
    <row r="29145" spans="1:3">
      <c r="A29145" s="573" t="s">
        <v>1155</v>
      </c>
      <c r="B29145" s="574">
        <v>100</v>
      </c>
      <c r="C29145" s="574">
        <v>834.6</v>
      </c>
    </row>
    <row r="29146" spans="1:3">
      <c r="A29146" s="573" t="s">
        <v>1155</v>
      </c>
      <c r="B29146" s="574">
        <v>200</v>
      </c>
      <c r="C29146" s="574">
        <v>905.8</v>
      </c>
    </row>
    <row r="29147" spans="1:3">
      <c r="A29147" s="569" t="s">
        <v>1155</v>
      </c>
      <c r="B29147" s="570">
        <v>500</v>
      </c>
      <c r="C29147" s="570">
        <v>1012.6</v>
      </c>
    </row>
    <row r="29148" spans="1:3">
      <c r="A29148" s="569" t="s">
        <v>1155</v>
      </c>
      <c r="B29148" s="570">
        <v>800</v>
      </c>
      <c r="C29148" s="570">
        <v>1028.4000000000001</v>
      </c>
    </row>
    <row r="29149" spans="1:3">
      <c r="A29149" s="569" t="s">
        <v>1155</v>
      </c>
      <c r="B29149" s="570">
        <v>1250</v>
      </c>
      <c r="C29149" s="570">
        <v>1032.8</v>
      </c>
    </row>
    <row r="29150" spans="1:3">
      <c r="A29150" s="571" t="s">
        <v>1154</v>
      </c>
      <c r="B29150" s="572">
        <v>1</v>
      </c>
      <c r="C29150" s="572">
        <v>16.399999999999999</v>
      </c>
    </row>
    <row r="29151" spans="1:3">
      <c r="A29151" s="571" t="s">
        <v>1154</v>
      </c>
      <c r="B29151" s="572">
        <v>3</v>
      </c>
      <c r="C29151" s="572">
        <v>128.5</v>
      </c>
    </row>
    <row r="29152" spans="1:3">
      <c r="A29152" s="571" t="s">
        <v>1154</v>
      </c>
      <c r="B29152" s="572">
        <v>5</v>
      </c>
      <c r="C29152" s="572">
        <v>188.5</v>
      </c>
    </row>
    <row r="29153" spans="1:3">
      <c r="A29153" s="571" t="s">
        <v>1154</v>
      </c>
      <c r="B29153" s="572">
        <v>14</v>
      </c>
      <c r="C29153" s="572">
        <v>388.2</v>
      </c>
    </row>
    <row r="29154" spans="1:3">
      <c r="A29154" s="571" t="s">
        <v>1154</v>
      </c>
      <c r="B29154" s="572">
        <v>28</v>
      </c>
      <c r="C29154" s="572">
        <v>522.1</v>
      </c>
    </row>
    <row r="29155" spans="1:3">
      <c r="A29155" s="571" t="s">
        <v>1154</v>
      </c>
      <c r="B29155" s="572">
        <v>50</v>
      </c>
      <c r="C29155" s="572">
        <v>628.79999999999995</v>
      </c>
    </row>
    <row r="29156" spans="1:3">
      <c r="A29156" s="573" t="s">
        <v>1154</v>
      </c>
      <c r="B29156" s="574">
        <v>100</v>
      </c>
      <c r="C29156" s="574">
        <v>721.7</v>
      </c>
    </row>
    <row r="29157" spans="1:3">
      <c r="A29157" s="573" t="s">
        <v>1154</v>
      </c>
      <c r="B29157" s="574">
        <v>200</v>
      </c>
      <c r="C29157" s="574">
        <v>806.5</v>
      </c>
    </row>
    <row r="29158" spans="1:3">
      <c r="A29158" s="569" t="s">
        <v>1154</v>
      </c>
      <c r="B29158" s="570">
        <v>500</v>
      </c>
      <c r="C29158" s="570">
        <v>916</v>
      </c>
    </row>
    <row r="29159" spans="1:3">
      <c r="A29159" s="569" t="s">
        <v>1154</v>
      </c>
      <c r="B29159" s="570">
        <v>800</v>
      </c>
      <c r="C29159" s="570">
        <v>962.4</v>
      </c>
    </row>
    <row r="29160" spans="1:3">
      <c r="A29160" s="569" t="s">
        <v>1154</v>
      </c>
      <c r="B29160" s="570">
        <v>1250</v>
      </c>
      <c r="C29160" s="570">
        <v>995</v>
      </c>
    </row>
    <row r="29161" spans="1:3">
      <c r="A29161" s="571" t="s">
        <v>1153</v>
      </c>
      <c r="B29161" s="572">
        <v>1</v>
      </c>
      <c r="C29161" s="572">
        <v>19.5</v>
      </c>
    </row>
    <row r="29162" spans="1:3">
      <c r="A29162" s="571" t="s">
        <v>1153</v>
      </c>
      <c r="B29162" s="572">
        <v>3</v>
      </c>
      <c r="C29162" s="572">
        <v>156</v>
      </c>
    </row>
    <row r="29163" spans="1:3">
      <c r="A29163" s="571" t="s">
        <v>1153</v>
      </c>
      <c r="B29163" s="572">
        <v>5</v>
      </c>
      <c r="C29163" s="572">
        <v>227.7</v>
      </c>
    </row>
    <row r="29164" spans="1:3">
      <c r="A29164" s="571" t="s">
        <v>1153</v>
      </c>
      <c r="B29164" s="572">
        <v>14</v>
      </c>
      <c r="C29164" s="572">
        <v>376.8</v>
      </c>
    </row>
    <row r="29165" spans="1:3">
      <c r="A29165" s="571" t="s">
        <v>1153</v>
      </c>
      <c r="B29165" s="572">
        <v>28</v>
      </c>
      <c r="C29165" s="572">
        <v>490.9</v>
      </c>
    </row>
    <row r="29166" spans="1:3">
      <c r="A29166" s="571" t="s">
        <v>1153</v>
      </c>
      <c r="B29166" s="572">
        <v>50</v>
      </c>
      <c r="C29166" s="572">
        <v>610.9</v>
      </c>
    </row>
    <row r="29167" spans="1:3">
      <c r="A29167" s="573" t="s">
        <v>1153</v>
      </c>
      <c r="B29167" s="574">
        <v>100</v>
      </c>
      <c r="C29167" s="574">
        <v>679.1</v>
      </c>
    </row>
    <row r="29168" spans="1:3">
      <c r="A29168" s="573" t="s">
        <v>1153</v>
      </c>
      <c r="B29168" s="574">
        <v>200</v>
      </c>
      <c r="C29168" s="574">
        <v>760.5</v>
      </c>
    </row>
    <row r="29169" spans="1:3">
      <c r="A29169" s="569" t="s">
        <v>1153</v>
      </c>
      <c r="B29169" s="570">
        <v>500</v>
      </c>
      <c r="C29169" s="570">
        <v>851.5</v>
      </c>
    </row>
    <row r="29170" spans="1:3">
      <c r="A29170" s="569" t="s">
        <v>1153</v>
      </c>
      <c r="B29170" s="570">
        <v>800</v>
      </c>
      <c r="C29170" s="570">
        <v>890.6</v>
      </c>
    </row>
    <row r="29171" spans="1:3">
      <c r="A29171" s="569" t="s">
        <v>1153</v>
      </c>
      <c r="B29171" s="570">
        <v>1250</v>
      </c>
      <c r="C29171" s="570">
        <v>922.9</v>
      </c>
    </row>
    <row r="29172" spans="1:3">
      <c r="A29172" s="571" t="s">
        <v>1152</v>
      </c>
      <c r="B29172" s="572">
        <v>1</v>
      </c>
      <c r="C29172" s="572">
        <v>55.2</v>
      </c>
    </row>
    <row r="29173" spans="1:3">
      <c r="A29173" s="571" t="s">
        <v>1152</v>
      </c>
      <c r="B29173" s="572">
        <v>3</v>
      </c>
      <c r="C29173" s="572">
        <v>28</v>
      </c>
    </row>
    <row r="29174" spans="1:3">
      <c r="A29174" s="571" t="s">
        <v>1152</v>
      </c>
      <c r="B29174" s="572">
        <v>5</v>
      </c>
      <c r="C29174" s="572">
        <v>88.3</v>
      </c>
    </row>
    <row r="29175" spans="1:3">
      <c r="A29175" s="571" t="s">
        <v>1152</v>
      </c>
      <c r="B29175" s="572">
        <v>14</v>
      </c>
      <c r="C29175" s="572">
        <v>165.6</v>
      </c>
    </row>
    <row r="29176" spans="1:3">
      <c r="A29176" s="571" t="s">
        <v>1152</v>
      </c>
      <c r="B29176" s="572">
        <v>28</v>
      </c>
      <c r="C29176" s="572">
        <v>226.3</v>
      </c>
    </row>
    <row r="29177" spans="1:3">
      <c r="A29177" s="571" t="s">
        <v>1152</v>
      </c>
      <c r="B29177" s="572">
        <v>50</v>
      </c>
      <c r="C29177" s="572">
        <v>298.10000000000002</v>
      </c>
    </row>
    <row r="29178" spans="1:3">
      <c r="A29178" s="573" t="s">
        <v>1152</v>
      </c>
      <c r="B29178" s="574">
        <v>100</v>
      </c>
      <c r="C29178" s="574">
        <v>427.8</v>
      </c>
    </row>
    <row r="29179" spans="1:3">
      <c r="A29179" s="573" t="s">
        <v>1152</v>
      </c>
      <c r="B29179" s="574">
        <v>200</v>
      </c>
      <c r="C29179" s="574">
        <v>518.9</v>
      </c>
    </row>
    <row r="29180" spans="1:3">
      <c r="A29180" s="569" t="s">
        <v>1152</v>
      </c>
      <c r="B29180" s="570">
        <v>500</v>
      </c>
      <c r="C29180" s="570">
        <v>538.20000000000005</v>
      </c>
    </row>
    <row r="29181" spans="1:3">
      <c r="A29181" s="569" t="s">
        <v>1152</v>
      </c>
      <c r="B29181" s="570">
        <v>1000</v>
      </c>
      <c r="C29181" s="570">
        <v>563</v>
      </c>
    </row>
    <row r="29182" spans="1:3">
      <c r="A29182" s="571" t="s">
        <v>1151</v>
      </c>
      <c r="B29182" s="572">
        <v>1</v>
      </c>
      <c r="C29182" s="572">
        <v>16.399999999999999</v>
      </c>
    </row>
    <row r="29183" spans="1:3">
      <c r="A29183" s="571" t="s">
        <v>1151</v>
      </c>
      <c r="B29183" s="572">
        <v>14</v>
      </c>
      <c r="C29183" s="572">
        <v>92.9</v>
      </c>
    </row>
    <row r="29184" spans="1:3">
      <c r="A29184" s="571" t="s">
        <v>1151</v>
      </c>
      <c r="B29184" s="572">
        <v>28</v>
      </c>
      <c r="C29184" s="572">
        <v>158.69999999999999</v>
      </c>
    </row>
    <row r="29185" spans="1:3">
      <c r="A29185" s="571" t="s">
        <v>1151</v>
      </c>
      <c r="B29185" s="572">
        <v>50</v>
      </c>
      <c r="C29185" s="572">
        <v>243.4</v>
      </c>
    </row>
    <row r="29186" spans="1:3">
      <c r="A29186" s="573" t="s">
        <v>1151</v>
      </c>
      <c r="B29186" s="574">
        <v>100</v>
      </c>
      <c r="C29186" s="574">
        <v>339</v>
      </c>
    </row>
    <row r="29187" spans="1:3">
      <c r="A29187" s="573" t="s">
        <v>1151</v>
      </c>
      <c r="B29187" s="574">
        <v>200</v>
      </c>
      <c r="C29187" s="574">
        <v>429.2</v>
      </c>
    </row>
    <row r="29188" spans="1:3">
      <c r="A29188" s="569" t="s">
        <v>1151</v>
      </c>
      <c r="B29188" s="570">
        <v>500</v>
      </c>
      <c r="C29188" s="570">
        <v>467.8</v>
      </c>
    </row>
    <row r="29189" spans="1:3">
      <c r="A29189" s="569" t="s">
        <v>1151</v>
      </c>
      <c r="B29189" s="570">
        <v>800</v>
      </c>
      <c r="C29189" s="570">
        <v>489.5</v>
      </c>
    </row>
    <row r="29190" spans="1:3">
      <c r="A29190" s="569" t="s">
        <v>1151</v>
      </c>
      <c r="B29190" s="570">
        <v>1250</v>
      </c>
      <c r="C29190" s="570">
        <v>519.29999999999995</v>
      </c>
    </row>
    <row r="29191" spans="1:3">
      <c r="A29191" s="571" t="s">
        <v>1150</v>
      </c>
      <c r="B29191" s="572">
        <v>1</v>
      </c>
      <c r="C29191" s="572">
        <v>32.200000000000003</v>
      </c>
    </row>
    <row r="29192" spans="1:3">
      <c r="A29192" s="571" t="s">
        <v>1150</v>
      </c>
      <c r="B29192" s="572">
        <v>14</v>
      </c>
      <c r="C29192" s="572">
        <v>72.5</v>
      </c>
    </row>
    <row r="29193" spans="1:3">
      <c r="A29193" s="571" t="s">
        <v>1150</v>
      </c>
      <c r="B29193" s="572">
        <v>28</v>
      </c>
      <c r="C29193" s="572">
        <v>157.19999999999999</v>
      </c>
    </row>
    <row r="29194" spans="1:3">
      <c r="A29194" s="571" t="s">
        <v>1150</v>
      </c>
      <c r="B29194" s="572">
        <v>50</v>
      </c>
      <c r="C29194" s="572">
        <v>193.4</v>
      </c>
    </row>
    <row r="29195" spans="1:3">
      <c r="A29195" s="573" t="s">
        <v>1150</v>
      </c>
      <c r="B29195" s="574">
        <v>100</v>
      </c>
      <c r="C29195" s="574">
        <v>249.9</v>
      </c>
    </row>
    <row r="29196" spans="1:3">
      <c r="A29196" s="573" t="s">
        <v>1150</v>
      </c>
      <c r="B29196" s="574">
        <v>200</v>
      </c>
      <c r="C29196" s="574">
        <v>310.3</v>
      </c>
    </row>
    <row r="29197" spans="1:3">
      <c r="A29197" s="569" t="s">
        <v>1150</v>
      </c>
      <c r="B29197" s="570">
        <v>500</v>
      </c>
      <c r="C29197" s="570">
        <v>388.9</v>
      </c>
    </row>
    <row r="29198" spans="1:3">
      <c r="A29198" s="569" t="s">
        <v>1150</v>
      </c>
      <c r="B29198" s="570">
        <v>1000</v>
      </c>
      <c r="C29198" s="570">
        <v>423.2</v>
      </c>
    </row>
    <row r="29199" spans="1:3">
      <c r="A29199" s="571" t="s">
        <v>1149</v>
      </c>
      <c r="B29199" s="572">
        <v>1</v>
      </c>
      <c r="C29199" s="572">
        <v>25.2</v>
      </c>
    </row>
    <row r="29200" spans="1:3">
      <c r="A29200" s="571" t="s">
        <v>1149</v>
      </c>
      <c r="B29200" s="572">
        <v>2</v>
      </c>
      <c r="C29200" s="572">
        <v>50.4</v>
      </c>
    </row>
    <row r="29201" spans="1:3">
      <c r="A29201" s="571" t="s">
        <v>1149</v>
      </c>
      <c r="B29201" s="572">
        <v>6</v>
      </c>
      <c r="C29201" s="572">
        <v>58.8</v>
      </c>
    </row>
    <row r="29202" spans="1:3">
      <c r="A29202" s="571" t="s">
        <v>1149</v>
      </c>
      <c r="B29202" s="572">
        <v>28.3</v>
      </c>
      <c r="C29202" s="572">
        <v>151.30000000000001</v>
      </c>
    </row>
    <row r="29203" spans="1:3">
      <c r="A29203" s="571" t="s">
        <v>1149</v>
      </c>
      <c r="B29203" s="572">
        <v>50</v>
      </c>
      <c r="C29203" s="572">
        <v>210.1</v>
      </c>
    </row>
    <row r="29204" spans="1:3">
      <c r="A29204" s="571" t="s">
        <v>1149</v>
      </c>
      <c r="B29204" s="572">
        <v>58.5</v>
      </c>
      <c r="C29204" s="572">
        <v>235.3</v>
      </c>
    </row>
    <row r="29205" spans="1:3">
      <c r="A29205" s="571" t="s">
        <v>1149</v>
      </c>
      <c r="B29205" s="572">
        <v>93.9</v>
      </c>
      <c r="C29205" s="572">
        <v>319.3</v>
      </c>
    </row>
    <row r="29206" spans="1:3">
      <c r="A29206" s="573" t="s">
        <v>1149</v>
      </c>
      <c r="B29206" s="574">
        <v>132.80000000000001</v>
      </c>
      <c r="C29206" s="574">
        <v>348.7</v>
      </c>
    </row>
    <row r="29207" spans="1:3">
      <c r="A29207" s="573" t="s">
        <v>1149</v>
      </c>
      <c r="B29207" s="574">
        <v>200.2</v>
      </c>
      <c r="C29207" s="574">
        <v>420.2</v>
      </c>
    </row>
    <row r="29208" spans="1:3">
      <c r="A29208" s="569" t="s">
        <v>1149</v>
      </c>
      <c r="B29208" s="570">
        <v>1065.0999999999999</v>
      </c>
      <c r="C29208" s="570">
        <v>479</v>
      </c>
    </row>
    <row r="29209" spans="1:3">
      <c r="A29209" s="571" t="s">
        <v>1148</v>
      </c>
      <c r="B29209" s="572">
        <v>1.1000000000000001</v>
      </c>
      <c r="C29209" s="572">
        <v>25.2</v>
      </c>
    </row>
    <row r="29210" spans="1:3">
      <c r="A29210" s="571" t="s">
        <v>1148</v>
      </c>
      <c r="B29210" s="572">
        <v>3.1</v>
      </c>
      <c r="C29210" s="572">
        <v>37.799999999999997</v>
      </c>
    </row>
    <row r="29211" spans="1:3">
      <c r="A29211" s="571" t="s">
        <v>1148</v>
      </c>
      <c r="B29211" s="572">
        <v>5.2</v>
      </c>
      <c r="C29211" s="572">
        <v>58.8</v>
      </c>
    </row>
    <row r="29212" spans="1:3">
      <c r="A29212" s="571" t="s">
        <v>1148</v>
      </c>
      <c r="B29212" s="572">
        <v>18.2</v>
      </c>
      <c r="C29212" s="572">
        <v>67.2</v>
      </c>
    </row>
    <row r="29213" spans="1:3">
      <c r="A29213" s="571" t="s">
        <v>1148</v>
      </c>
      <c r="B29213" s="572">
        <v>54.9</v>
      </c>
      <c r="C29213" s="572">
        <v>147.1</v>
      </c>
    </row>
    <row r="29214" spans="1:3">
      <c r="A29214" s="571" t="s">
        <v>1148</v>
      </c>
      <c r="B29214" s="572">
        <v>70.7</v>
      </c>
      <c r="C29214" s="572">
        <v>151.30000000000001</v>
      </c>
    </row>
    <row r="29215" spans="1:3">
      <c r="A29215" s="571" t="s">
        <v>1148</v>
      </c>
      <c r="B29215" s="572">
        <v>91</v>
      </c>
      <c r="C29215" s="572">
        <v>184.9</v>
      </c>
    </row>
    <row r="29216" spans="1:3">
      <c r="A29216" s="573" t="s">
        <v>1148</v>
      </c>
      <c r="B29216" s="574">
        <v>160.5</v>
      </c>
      <c r="C29216" s="574">
        <v>260.5</v>
      </c>
    </row>
    <row r="29217" spans="1:3">
      <c r="A29217" s="573" t="s">
        <v>1148</v>
      </c>
      <c r="B29217" s="574">
        <v>206.6</v>
      </c>
      <c r="C29217" s="574">
        <v>306.7</v>
      </c>
    </row>
    <row r="29218" spans="1:3">
      <c r="A29218" s="573" t="s">
        <v>1148</v>
      </c>
      <c r="B29218" s="574">
        <v>353.1</v>
      </c>
      <c r="C29218" s="574">
        <v>395</v>
      </c>
    </row>
    <row r="29219" spans="1:3">
      <c r="A29219" s="569" t="s">
        <v>1148</v>
      </c>
      <c r="B29219" s="570">
        <v>566.79999999999995</v>
      </c>
      <c r="C29219" s="570">
        <v>418.5</v>
      </c>
    </row>
    <row r="29220" spans="1:3">
      <c r="A29220" s="569" t="s">
        <v>1148</v>
      </c>
      <c r="B29220" s="570">
        <v>1208.3</v>
      </c>
      <c r="C29220" s="570">
        <v>420.2</v>
      </c>
    </row>
    <row r="29221" spans="1:3">
      <c r="A29221" s="571" t="s">
        <v>1147</v>
      </c>
      <c r="B29221" s="572">
        <v>1</v>
      </c>
      <c r="C29221" s="572">
        <v>25.2</v>
      </c>
    </row>
    <row r="29222" spans="1:3">
      <c r="A29222" s="571" t="s">
        <v>1147</v>
      </c>
      <c r="B29222" s="572">
        <v>3</v>
      </c>
      <c r="C29222" s="572">
        <v>25.2</v>
      </c>
    </row>
    <row r="29223" spans="1:3">
      <c r="A29223" s="571" t="s">
        <v>1147</v>
      </c>
      <c r="B29223" s="572">
        <v>7.1</v>
      </c>
      <c r="C29223" s="572">
        <v>50.4</v>
      </c>
    </row>
    <row r="29224" spans="1:3">
      <c r="A29224" s="571" t="s">
        <v>1147</v>
      </c>
      <c r="B29224" s="572">
        <v>44</v>
      </c>
      <c r="C29224" s="572">
        <v>151.30000000000001</v>
      </c>
    </row>
    <row r="29225" spans="1:3">
      <c r="A29225" s="571" t="s">
        <v>1147</v>
      </c>
      <c r="B29225" s="572">
        <v>80.2</v>
      </c>
      <c r="C29225" s="572">
        <v>184.9</v>
      </c>
    </row>
    <row r="29226" spans="1:3">
      <c r="A29226" s="573" t="s">
        <v>1147</v>
      </c>
      <c r="B29226" s="574">
        <v>146</v>
      </c>
      <c r="C29226" s="574">
        <v>235.3</v>
      </c>
    </row>
    <row r="29227" spans="1:3">
      <c r="A29227" s="573" t="s">
        <v>1147</v>
      </c>
      <c r="B29227" s="574">
        <v>206.6</v>
      </c>
      <c r="C29227" s="574">
        <v>273.10000000000002</v>
      </c>
    </row>
    <row r="29228" spans="1:3">
      <c r="A29228" s="573" t="s">
        <v>1147</v>
      </c>
      <c r="B29228" s="574">
        <v>283.2</v>
      </c>
      <c r="C29228" s="574">
        <v>310.89999999999998</v>
      </c>
    </row>
    <row r="29229" spans="1:3">
      <c r="A29229" s="573" t="s">
        <v>1147</v>
      </c>
      <c r="B29229" s="574">
        <v>353.1</v>
      </c>
      <c r="C29229" s="574">
        <v>352.9</v>
      </c>
    </row>
    <row r="29230" spans="1:3">
      <c r="A29230" s="569" t="s">
        <v>1147</v>
      </c>
      <c r="B29230" s="570">
        <v>549.20000000000005</v>
      </c>
      <c r="C29230" s="570">
        <v>378.2</v>
      </c>
    </row>
    <row r="29231" spans="1:3">
      <c r="A29231" s="571" t="s">
        <v>1146</v>
      </c>
      <c r="B29231" s="572">
        <v>10</v>
      </c>
      <c r="C29231" s="572">
        <v>245.8</v>
      </c>
    </row>
    <row r="29232" spans="1:3">
      <c r="A29232" s="571" t="s">
        <v>1146</v>
      </c>
      <c r="B29232" s="572">
        <v>20</v>
      </c>
      <c r="C29232" s="572">
        <v>316.7</v>
      </c>
    </row>
    <row r="29233" spans="1:3">
      <c r="A29233" s="571" t="s">
        <v>1146</v>
      </c>
      <c r="B29233" s="572">
        <v>30</v>
      </c>
      <c r="C29233" s="572">
        <v>358.3</v>
      </c>
    </row>
    <row r="29234" spans="1:3">
      <c r="A29234" s="571" t="s">
        <v>1146</v>
      </c>
      <c r="B29234" s="572">
        <v>40</v>
      </c>
      <c r="C29234" s="572">
        <v>401</v>
      </c>
    </row>
    <row r="29235" spans="1:3">
      <c r="A29235" s="571" t="s">
        <v>1146</v>
      </c>
      <c r="B29235" s="572">
        <v>50</v>
      </c>
      <c r="C29235" s="572">
        <v>430.1</v>
      </c>
    </row>
    <row r="29236" spans="1:3">
      <c r="A29236" s="571" t="s">
        <v>1146</v>
      </c>
      <c r="B29236" s="572">
        <v>75</v>
      </c>
      <c r="C29236" s="572">
        <v>479.2</v>
      </c>
    </row>
    <row r="29237" spans="1:3">
      <c r="A29237" s="573" t="s">
        <v>1146</v>
      </c>
      <c r="B29237" s="574">
        <v>100</v>
      </c>
      <c r="C29237" s="574">
        <v>525.29999999999995</v>
      </c>
    </row>
    <row r="29238" spans="1:3">
      <c r="A29238" s="573" t="s">
        <v>1146</v>
      </c>
      <c r="B29238" s="574">
        <v>150</v>
      </c>
      <c r="C29238" s="574">
        <v>585</v>
      </c>
    </row>
    <row r="29239" spans="1:3">
      <c r="A29239" s="573" t="s">
        <v>1146</v>
      </c>
      <c r="B29239" s="574">
        <v>200</v>
      </c>
      <c r="C29239" s="574">
        <v>620.20000000000005</v>
      </c>
    </row>
    <row r="29240" spans="1:3">
      <c r="A29240" s="573" t="s">
        <v>1146</v>
      </c>
      <c r="B29240" s="574">
        <v>300</v>
      </c>
      <c r="C29240" s="574">
        <v>654.20000000000005</v>
      </c>
    </row>
    <row r="29241" spans="1:3">
      <c r="A29241" s="569" t="s">
        <v>1146</v>
      </c>
      <c r="B29241" s="570">
        <v>600</v>
      </c>
      <c r="C29241" s="570">
        <v>733.3</v>
      </c>
    </row>
    <row r="29242" spans="1:3">
      <c r="A29242" s="569" t="s">
        <v>1146</v>
      </c>
      <c r="B29242" s="570">
        <v>1250</v>
      </c>
      <c r="C29242" s="570">
        <v>762.5</v>
      </c>
    </row>
    <row r="29243" spans="1:3">
      <c r="A29243" s="571" t="s">
        <v>1145</v>
      </c>
      <c r="B29243" s="572">
        <v>10</v>
      </c>
      <c r="C29243" s="572">
        <v>175</v>
      </c>
    </row>
    <row r="29244" spans="1:3">
      <c r="A29244" s="571" t="s">
        <v>1145</v>
      </c>
      <c r="B29244" s="572">
        <v>20</v>
      </c>
      <c r="C29244" s="572">
        <v>212.5</v>
      </c>
    </row>
    <row r="29245" spans="1:3">
      <c r="A29245" s="571" t="s">
        <v>1145</v>
      </c>
      <c r="B29245" s="572">
        <v>30</v>
      </c>
      <c r="C29245" s="572">
        <v>233.3</v>
      </c>
    </row>
    <row r="29246" spans="1:3">
      <c r="A29246" s="571" t="s">
        <v>1145</v>
      </c>
      <c r="B29246" s="572">
        <v>40</v>
      </c>
      <c r="C29246" s="572">
        <v>260.2</v>
      </c>
    </row>
    <row r="29247" spans="1:3">
      <c r="A29247" s="571" t="s">
        <v>1145</v>
      </c>
      <c r="B29247" s="572">
        <v>50</v>
      </c>
      <c r="C29247" s="572">
        <v>275</v>
      </c>
    </row>
    <row r="29248" spans="1:3">
      <c r="A29248" s="571" t="s">
        <v>1145</v>
      </c>
      <c r="B29248" s="572">
        <v>75</v>
      </c>
      <c r="C29248" s="572">
        <v>312.5</v>
      </c>
    </row>
    <row r="29249" spans="1:3">
      <c r="A29249" s="573" t="s">
        <v>1145</v>
      </c>
      <c r="B29249" s="574">
        <v>100</v>
      </c>
      <c r="C29249" s="574">
        <v>329.2</v>
      </c>
    </row>
    <row r="29250" spans="1:3">
      <c r="A29250" s="573" t="s">
        <v>1145</v>
      </c>
      <c r="B29250" s="574">
        <v>150</v>
      </c>
      <c r="C29250" s="574">
        <v>370</v>
      </c>
    </row>
    <row r="29251" spans="1:3">
      <c r="A29251" s="573" t="s">
        <v>1145</v>
      </c>
      <c r="B29251" s="574">
        <v>200</v>
      </c>
      <c r="C29251" s="574">
        <v>390.3</v>
      </c>
    </row>
    <row r="29252" spans="1:3">
      <c r="A29252" s="573" t="s">
        <v>1145</v>
      </c>
      <c r="B29252" s="574">
        <v>300</v>
      </c>
      <c r="C29252" s="574">
        <v>432</v>
      </c>
    </row>
    <row r="29253" spans="1:3">
      <c r="A29253" s="569" t="s">
        <v>1145</v>
      </c>
      <c r="B29253" s="570">
        <v>600</v>
      </c>
      <c r="C29253" s="570">
        <v>505</v>
      </c>
    </row>
    <row r="29254" spans="1:3">
      <c r="A29254" s="569" t="s">
        <v>1145</v>
      </c>
      <c r="B29254" s="570">
        <v>1250</v>
      </c>
      <c r="C29254" s="570">
        <v>570.79999999999995</v>
      </c>
    </row>
    <row r="29255" spans="1:3">
      <c r="A29255" s="571" t="s">
        <v>1143</v>
      </c>
      <c r="B29255" s="572">
        <v>3</v>
      </c>
      <c r="C29255" s="572">
        <v>3.18</v>
      </c>
    </row>
    <row r="29256" spans="1:3">
      <c r="A29256" s="571" t="s">
        <v>1143</v>
      </c>
      <c r="B29256" s="572">
        <v>7</v>
      </c>
      <c r="C29256" s="572">
        <v>6.36</v>
      </c>
    </row>
    <row r="29257" spans="1:3">
      <c r="A29257" s="571" t="s">
        <v>1143</v>
      </c>
      <c r="B29257" s="572">
        <v>14</v>
      </c>
      <c r="C29257" s="572">
        <v>9.09</v>
      </c>
    </row>
    <row r="29258" spans="1:3">
      <c r="A29258" s="571" t="s">
        <v>1143</v>
      </c>
      <c r="B29258" s="572">
        <v>21</v>
      </c>
      <c r="C29258" s="572">
        <v>10.45</v>
      </c>
    </row>
    <row r="29259" spans="1:3">
      <c r="A29259" s="571" t="s">
        <v>1143</v>
      </c>
      <c r="B29259" s="572">
        <v>28</v>
      </c>
      <c r="C29259" s="572">
        <v>10.68</v>
      </c>
    </row>
    <row r="29260" spans="1:3">
      <c r="A29260" s="571" t="s">
        <v>1143</v>
      </c>
      <c r="B29260" s="572">
        <v>56</v>
      </c>
      <c r="C29260" s="572">
        <v>11.14</v>
      </c>
    </row>
    <row r="29261" spans="1:3">
      <c r="A29261" s="571" t="s">
        <v>1142</v>
      </c>
      <c r="B29261" s="572">
        <v>3</v>
      </c>
      <c r="C29261" s="572">
        <v>2.5</v>
      </c>
    </row>
    <row r="29262" spans="1:3">
      <c r="A29262" s="571" t="s">
        <v>1142</v>
      </c>
      <c r="B29262" s="572">
        <v>7</v>
      </c>
      <c r="C29262" s="572">
        <v>5</v>
      </c>
    </row>
    <row r="29263" spans="1:3">
      <c r="A29263" s="571" t="s">
        <v>1142</v>
      </c>
      <c r="B29263" s="572">
        <v>14</v>
      </c>
      <c r="C29263" s="572">
        <v>8.18</v>
      </c>
    </row>
    <row r="29264" spans="1:3">
      <c r="A29264" s="571" t="s">
        <v>1142</v>
      </c>
      <c r="B29264" s="572">
        <v>21</v>
      </c>
      <c r="C29264" s="572">
        <v>9.32</v>
      </c>
    </row>
    <row r="29265" spans="1:3">
      <c r="A29265" s="571" t="s">
        <v>1142</v>
      </c>
      <c r="B29265" s="572">
        <v>28</v>
      </c>
      <c r="C29265" s="572">
        <v>9.5500000000000007</v>
      </c>
    </row>
    <row r="29266" spans="1:3">
      <c r="A29266" s="571" t="s">
        <v>1142</v>
      </c>
      <c r="B29266" s="572">
        <v>56</v>
      </c>
      <c r="C29266" s="572">
        <v>10.23</v>
      </c>
    </row>
    <row r="29267" spans="1:3">
      <c r="A29267" s="571" t="s">
        <v>1141</v>
      </c>
      <c r="B29267" s="572">
        <v>3</v>
      </c>
      <c r="C29267" s="572">
        <v>2.0499999999999998</v>
      </c>
    </row>
    <row r="29268" spans="1:3">
      <c r="A29268" s="571" t="s">
        <v>1141</v>
      </c>
      <c r="B29268" s="572">
        <v>7</v>
      </c>
      <c r="C29268" s="572">
        <v>4.32</v>
      </c>
    </row>
    <row r="29269" spans="1:3">
      <c r="A29269" s="571" t="s">
        <v>1141</v>
      </c>
      <c r="B29269" s="572">
        <v>14</v>
      </c>
      <c r="C29269" s="572">
        <v>7.05</v>
      </c>
    </row>
    <row r="29270" spans="1:3">
      <c r="A29270" s="571" t="s">
        <v>1141</v>
      </c>
      <c r="B29270" s="572">
        <v>21</v>
      </c>
      <c r="C29270" s="572">
        <v>8.18</v>
      </c>
    </row>
    <row r="29271" spans="1:3">
      <c r="A29271" s="571" t="s">
        <v>1141</v>
      </c>
      <c r="B29271" s="572">
        <v>28</v>
      </c>
      <c r="C29271" s="572">
        <v>8.64</v>
      </c>
    </row>
    <row r="29272" spans="1:3">
      <c r="A29272" s="571" t="s">
        <v>1141</v>
      </c>
      <c r="B29272" s="572">
        <v>56</v>
      </c>
      <c r="C29272" s="572">
        <v>9.09</v>
      </c>
    </row>
    <row r="29273" spans="1:3">
      <c r="A29273" s="571" t="s">
        <v>1140</v>
      </c>
      <c r="B29273" s="572">
        <v>3</v>
      </c>
      <c r="C29273" s="572">
        <v>1.36</v>
      </c>
    </row>
    <row r="29274" spans="1:3">
      <c r="A29274" s="571" t="s">
        <v>1140</v>
      </c>
      <c r="B29274" s="572">
        <v>7</v>
      </c>
      <c r="C29274" s="572">
        <v>3.18</v>
      </c>
    </row>
    <row r="29275" spans="1:3">
      <c r="A29275" s="571" t="s">
        <v>1140</v>
      </c>
      <c r="B29275" s="572">
        <v>14</v>
      </c>
      <c r="C29275" s="572">
        <v>5.23</v>
      </c>
    </row>
    <row r="29276" spans="1:3">
      <c r="A29276" s="571" t="s">
        <v>1140</v>
      </c>
      <c r="B29276" s="572">
        <v>21</v>
      </c>
      <c r="C29276" s="572">
        <v>6.59</v>
      </c>
    </row>
    <row r="29277" spans="1:3">
      <c r="A29277" s="571" t="s">
        <v>1140</v>
      </c>
      <c r="B29277" s="572">
        <v>28</v>
      </c>
      <c r="C29277" s="572">
        <v>6.82</v>
      </c>
    </row>
    <row r="29278" spans="1:3">
      <c r="A29278" s="571" t="s">
        <v>1140</v>
      </c>
      <c r="B29278" s="572">
        <v>56</v>
      </c>
      <c r="C29278" s="572">
        <v>7.5</v>
      </c>
    </row>
    <row r="29279" spans="1:3">
      <c r="A29279" s="571" t="s">
        <v>1139</v>
      </c>
      <c r="B29279" s="572">
        <v>3</v>
      </c>
      <c r="C29279" s="572">
        <v>2.27</v>
      </c>
    </row>
    <row r="29280" spans="1:3">
      <c r="A29280" s="571" t="s">
        <v>1139</v>
      </c>
      <c r="B29280" s="572">
        <v>7</v>
      </c>
      <c r="C29280" s="572">
        <v>5</v>
      </c>
    </row>
    <row r="29281" spans="1:3">
      <c r="A29281" s="571" t="s">
        <v>1139</v>
      </c>
      <c r="B29281" s="572">
        <v>14</v>
      </c>
      <c r="C29281" s="572">
        <v>7.05</v>
      </c>
    </row>
    <row r="29282" spans="1:3">
      <c r="A29282" s="571" t="s">
        <v>1139</v>
      </c>
      <c r="B29282" s="572">
        <v>21</v>
      </c>
      <c r="C29282" s="572">
        <v>7.64</v>
      </c>
    </row>
    <row r="29283" spans="1:3">
      <c r="A29283" s="571" t="s">
        <v>1139</v>
      </c>
      <c r="B29283" s="572">
        <v>28</v>
      </c>
      <c r="C29283" s="572">
        <v>7.73</v>
      </c>
    </row>
    <row r="29284" spans="1:3">
      <c r="A29284" s="571" t="s">
        <v>1139</v>
      </c>
      <c r="B29284" s="572">
        <v>56</v>
      </c>
      <c r="C29284" s="572">
        <v>8.09</v>
      </c>
    </row>
    <row r="29285" spans="1:3">
      <c r="A29285" s="571" t="s">
        <v>1138</v>
      </c>
      <c r="B29285" s="572">
        <v>3</v>
      </c>
      <c r="C29285" s="572">
        <v>1.36</v>
      </c>
    </row>
    <row r="29286" spans="1:3">
      <c r="A29286" s="571" t="s">
        <v>1138</v>
      </c>
      <c r="B29286" s="572">
        <v>7</v>
      </c>
      <c r="C29286" s="572">
        <v>3.41</v>
      </c>
    </row>
    <row r="29287" spans="1:3">
      <c r="A29287" s="571" t="s">
        <v>1138</v>
      </c>
      <c r="B29287" s="572">
        <v>14</v>
      </c>
      <c r="C29287" s="572">
        <v>5.68</v>
      </c>
    </row>
    <row r="29288" spans="1:3">
      <c r="A29288" s="571" t="s">
        <v>1138</v>
      </c>
      <c r="B29288" s="572">
        <v>21</v>
      </c>
      <c r="C29288" s="572">
        <v>6.14</v>
      </c>
    </row>
    <row r="29289" spans="1:3">
      <c r="A29289" s="571" t="s">
        <v>1138</v>
      </c>
      <c r="B29289" s="572">
        <v>28</v>
      </c>
      <c r="C29289" s="572">
        <v>6.59</v>
      </c>
    </row>
    <row r="29290" spans="1:3">
      <c r="A29290" s="571" t="s">
        <v>1138</v>
      </c>
      <c r="B29290" s="572">
        <v>56</v>
      </c>
      <c r="C29290" s="572">
        <v>6.82</v>
      </c>
    </row>
    <row r="29291" spans="1:3">
      <c r="A29291" s="571" t="s">
        <v>1137</v>
      </c>
      <c r="B29291" s="572">
        <v>3</v>
      </c>
      <c r="C29291" s="572">
        <v>0.91</v>
      </c>
    </row>
    <row r="29292" spans="1:3">
      <c r="A29292" s="571" t="s">
        <v>1137</v>
      </c>
      <c r="B29292" s="572">
        <v>7</v>
      </c>
      <c r="C29292" s="572">
        <v>2.73</v>
      </c>
    </row>
    <row r="29293" spans="1:3">
      <c r="A29293" s="571" t="s">
        <v>1137</v>
      </c>
      <c r="B29293" s="572">
        <v>14</v>
      </c>
      <c r="C29293" s="572">
        <v>4.7699999999999996</v>
      </c>
    </row>
    <row r="29294" spans="1:3">
      <c r="A29294" s="571" t="s">
        <v>1137</v>
      </c>
      <c r="B29294" s="572">
        <v>21</v>
      </c>
      <c r="C29294" s="572">
        <v>5.45</v>
      </c>
    </row>
    <row r="29295" spans="1:3">
      <c r="A29295" s="571" t="s">
        <v>1137</v>
      </c>
      <c r="B29295" s="572">
        <v>28</v>
      </c>
      <c r="C29295" s="572">
        <v>5.68</v>
      </c>
    </row>
    <row r="29296" spans="1:3">
      <c r="A29296" s="571" t="s">
        <v>1137</v>
      </c>
      <c r="B29296" s="572">
        <v>56</v>
      </c>
      <c r="C29296" s="572">
        <v>6.14</v>
      </c>
    </row>
    <row r="29297" spans="1:3">
      <c r="A29297" s="571" t="s">
        <v>1136</v>
      </c>
      <c r="B29297" s="572">
        <v>3</v>
      </c>
      <c r="C29297" s="572">
        <v>0.45</v>
      </c>
    </row>
    <row r="29298" spans="1:3">
      <c r="A29298" s="571" t="s">
        <v>1136</v>
      </c>
      <c r="B29298" s="572">
        <v>7</v>
      </c>
      <c r="C29298" s="572">
        <v>1.82</v>
      </c>
    </row>
    <row r="29299" spans="1:3">
      <c r="A29299" s="571" t="s">
        <v>1136</v>
      </c>
      <c r="B29299" s="572">
        <v>14</v>
      </c>
      <c r="C29299" s="572">
        <v>3.64</v>
      </c>
    </row>
    <row r="29300" spans="1:3">
      <c r="A29300" s="571" t="s">
        <v>1136</v>
      </c>
      <c r="B29300" s="572">
        <v>21</v>
      </c>
      <c r="C29300" s="572">
        <v>4.7699999999999996</v>
      </c>
    </row>
    <row r="29301" spans="1:3">
      <c r="A29301" s="571" t="s">
        <v>1136</v>
      </c>
      <c r="B29301" s="572">
        <v>28</v>
      </c>
      <c r="C29301" s="572">
        <v>5</v>
      </c>
    </row>
    <row r="29302" spans="1:3">
      <c r="A29302" s="571" t="s">
        <v>1136</v>
      </c>
      <c r="B29302" s="572">
        <v>56</v>
      </c>
      <c r="C29302" s="572">
        <v>5.23</v>
      </c>
    </row>
    <row r="29303" spans="1:3">
      <c r="A29303" s="571" t="s">
        <v>1135</v>
      </c>
      <c r="B29303" s="572">
        <v>3</v>
      </c>
      <c r="C29303" s="572">
        <v>2.27</v>
      </c>
    </row>
    <row r="29304" spans="1:3">
      <c r="A29304" s="571" t="s">
        <v>1135</v>
      </c>
      <c r="B29304" s="572">
        <v>7</v>
      </c>
      <c r="C29304" s="572">
        <v>4.32</v>
      </c>
    </row>
    <row r="29305" spans="1:3">
      <c r="A29305" s="571" t="s">
        <v>1135</v>
      </c>
      <c r="B29305" s="572">
        <v>14</v>
      </c>
      <c r="C29305" s="572">
        <v>5.45</v>
      </c>
    </row>
    <row r="29306" spans="1:3">
      <c r="A29306" s="571" t="s">
        <v>1135</v>
      </c>
      <c r="B29306" s="572">
        <v>21</v>
      </c>
      <c r="C29306" s="572">
        <v>5.77</v>
      </c>
    </row>
    <row r="29307" spans="1:3">
      <c r="A29307" s="571" t="s">
        <v>1135</v>
      </c>
      <c r="B29307" s="572">
        <v>28</v>
      </c>
      <c r="C29307" s="572">
        <v>6.36</v>
      </c>
    </row>
    <row r="29308" spans="1:3">
      <c r="A29308" s="571" t="s">
        <v>1135</v>
      </c>
      <c r="B29308" s="572">
        <v>56</v>
      </c>
      <c r="C29308" s="572">
        <v>6.36</v>
      </c>
    </row>
    <row r="29309" spans="1:3">
      <c r="A29309" s="571" t="s">
        <v>1134</v>
      </c>
      <c r="B29309" s="572">
        <v>3</v>
      </c>
      <c r="C29309" s="572">
        <v>1.1399999999999999</v>
      </c>
    </row>
    <row r="29310" spans="1:3">
      <c r="A29310" s="571" t="s">
        <v>1134</v>
      </c>
      <c r="B29310" s="572">
        <v>7</v>
      </c>
      <c r="C29310" s="572">
        <v>2.95</v>
      </c>
    </row>
    <row r="29311" spans="1:3">
      <c r="A29311" s="571" t="s">
        <v>1134</v>
      </c>
      <c r="B29311" s="572">
        <v>14</v>
      </c>
      <c r="C29311" s="572">
        <v>4.7699999999999996</v>
      </c>
    </row>
    <row r="29312" spans="1:3">
      <c r="A29312" s="571" t="s">
        <v>1134</v>
      </c>
      <c r="B29312" s="572">
        <v>21</v>
      </c>
      <c r="C29312" s="572">
        <v>5.23</v>
      </c>
    </row>
    <row r="29313" spans="1:3">
      <c r="A29313" s="571" t="s">
        <v>1134</v>
      </c>
      <c r="B29313" s="572">
        <v>28</v>
      </c>
      <c r="C29313" s="572">
        <v>5.45</v>
      </c>
    </row>
    <row r="29314" spans="1:3">
      <c r="A29314" s="571" t="s">
        <v>1134</v>
      </c>
      <c r="B29314" s="572">
        <v>56</v>
      </c>
      <c r="C29314" s="572">
        <v>5.91</v>
      </c>
    </row>
    <row r="29315" spans="1:3">
      <c r="A29315" s="571" t="s">
        <v>1133</v>
      </c>
      <c r="B29315" s="572">
        <v>3</v>
      </c>
      <c r="C29315" s="572">
        <v>0.68</v>
      </c>
    </row>
    <row r="29316" spans="1:3">
      <c r="A29316" s="571" t="s">
        <v>1133</v>
      </c>
      <c r="B29316" s="572">
        <v>7</v>
      </c>
      <c r="C29316" s="572">
        <v>2.0499999999999998</v>
      </c>
    </row>
    <row r="29317" spans="1:3">
      <c r="A29317" s="571" t="s">
        <v>1133</v>
      </c>
      <c r="B29317" s="572">
        <v>14</v>
      </c>
      <c r="C29317" s="572">
        <v>3.95</v>
      </c>
    </row>
    <row r="29318" spans="1:3">
      <c r="A29318" s="571" t="s">
        <v>1133</v>
      </c>
      <c r="B29318" s="572">
        <v>21</v>
      </c>
      <c r="C29318" s="572">
        <v>4.7699999999999996</v>
      </c>
    </row>
    <row r="29319" spans="1:3">
      <c r="A29319" s="571" t="s">
        <v>1133</v>
      </c>
      <c r="B29319" s="572">
        <v>28</v>
      </c>
      <c r="C29319" s="572">
        <v>5</v>
      </c>
    </row>
    <row r="29320" spans="1:3">
      <c r="A29320" s="571" t="s">
        <v>1133</v>
      </c>
      <c r="B29320" s="572">
        <v>56</v>
      </c>
      <c r="C29320" s="572">
        <v>5.45</v>
      </c>
    </row>
    <row r="29321" spans="1:3">
      <c r="A29321" s="571" t="s">
        <v>1132</v>
      </c>
      <c r="B29321" s="572">
        <v>3</v>
      </c>
      <c r="C29321" s="572">
        <v>0.68</v>
      </c>
    </row>
    <row r="29322" spans="1:3">
      <c r="A29322" s="571" t="s">
        <v>1132</v>
      </c>
      <c r="B29322" s="572">
        <v>7</v>
      </c>
      <c r="C29322" s="572">
        <v>1.82</v>
      </c>
    </row>
    <row r="29323" spans="1:3">
      <c r="A29323" s="571" t="s">
        <v>1132</v>
      </c>
      <c r="B29323" s="572">
        <v>14</v>
      </c>
      <c r="C29323" s="572">
        <v>3.18</v>
      </c>
    </row>
    <row r="29324" spans="1:3">
      <c r="A29324" s="571" t="s">
        <v>1132</v>
      </c>
      <c r="B29324" s="572">
        <v>21</v>
      </c>
      <c r="C29324" s="572">
        <v>4.09</v>
      </c>
    </row>
    <row r="29325" spans="1:3">
      <c r="A29325" s="571" t="s">
        <v>1132</v>
      </c>
      <c r="B29325" s="572">
        <v>28</v>
      </c>
      <c r="C29325" s="572">
        <v>4.32</v>
      </c>
    </row>
    <row r="29326" spans="1:3">
      <c r="A29326" s="571" t="s">
        <v>1132</v>
      </c>
      <c r="B29326" s="572">
        <v>56</v>
      </c>
      <c r="C29326" s="572">
        <v>5.23</v>
      </c>
    </row>
    <row r="29327" spans="1:3">
      <c r="A29327" s="571" t="s">
        <v>1129</v>
      </c>
      <c r="B29327" s="572">
        <v>1</v>
      </c>
      <c r="C29327" s="572">
        <v>29.8</v>
      </c>
    </row>
    <row r="29328" spans="1:3">
      <c r="A29328" s="571" t="s">
        <v>1129</v>
      </c>
      <c r="B29328" s="572">
        <v>3</v>
      </c>
      <c r="C29328" s="572">
        <v>59.5</v>
      </c>
    </row>
    <row r="29329" spans="1:3">
      <c r="A29329" s="571" t="s">
        <v>1129</v>
      </c>
      <c r="B29329" s="572">
        <v>5</v>
      </c>
      <c r="C29329" s="572">
        <v>95.2</v>
      </c>
    </row>
    <row r="29330" spans="1:3">
      <c r="A29330" s="571" t="s">
        <v>1129</v>
      </c>
      <c r="B29330" s="572">
        <v>7</v>
      </c>
      <c r="C29330" s="572">
        <v>110.1</v>
      </c>
    </row>
    <row r="29331" spans="1:3">
      <c r="A29331" s="571" t="s">
        <v>1129</v>
      </c>
      <c r="B29331" s="572">
        <v>10</v>
      </c>
      <c r="C29331" s="572">
        <v>157.69999999999999</v>
      </c>
    </row>
    <row r="29332" spans="1:3">
      <c r="A29332" s="571" t="s">
        <v>1129</v>
      </c>
      <c r="B29332" s="572">
        <v>14</v>
      </c>
      <c r="C29332" s="572">
        <v>214.3</v>
      </c>
    </row>
    <row r="29333" spans="1:3">
      <c r="A29333" s="571" t="s">
        <v>1129</v>
      </c>
      <c r="B29333" s="572">
        <v>21</v>
      </c>
      <c r="C29333" s="572">
        <v>253</v>
      </c>
    </row>
    <row r="29334" spans="1:3">
      <c r="A29334" s="571" t="s">
        <v>1129</v>
      </c>
      <c r="B29334" s="572">
        <v>28</v>
      </c>
      <c r="C29334" s="572">
        <v>273.8</v>
      </c>
    </row>
    <row r="29335" spans="1:3">
      <c r="A29335" s="571" t="s">
        <v>1129</v>
      </c>
      <c r="B29335" s="572">
        <v>35</v>
      </c>
      <c r="C29335" s="572">
        <v>309.5</v>
      </c>
    </row>
    <row r="29336" spans="1:3">
      <c r="A29336" s="571" t="s">
        <v>1129</v>
      </c>
      <c r="B29336" s="572">
        <v>42</v>
      </c>
      <c r="C29336" s="572">
        <v>336.3</v>
      </c>
    </row>
    <row r="29337" spans="1:3">
      <c r="A29337" s="571" t="s">
        <v>1129</v>
      </c>
      <c r="B29337" s="572">
        <v>49</v>
      </c>
      <c r="C29337" s="572">
        <v>357.1</v>
      </c>
    </row>
    <row r="29338" spans="1:3">
      <c r="A29338" s="571" t="s">
        <v>1129</v>
      </c>
      <c r="B29338" s="572">
        <v>63</v>
      </c>
      <c r="C29338" s="572">
        <v>401.8</v>
      </c>
    </row>
    <row r="29339" spans="1:3">
      <c r="A29339" s="571" t="s">
        <v>1129</v>
      </c>
      <c r="B29339" s="572">
        <v>77</v>
      </c>
      <c r="C29339" s="572">
        <v>446.4</v>
      </c>
    </row>
    <row r="29340" spans="1:3">
      <c r="A29340" s="571" t="s">
        <v>1129</v>
      </c>
      <c r="B29340" s="572">
        <v>91</v>
      </c>
      <c r="C29340" s="572">
        <v>467.3</v>
      </c>
    </row>
    <row r="29341" spans="1:3">
      <c r="A29341" s="573" t="s">
        <v>1129</v>
      </c>
      <c r="B29341" s="574">
        <v>105</v>
      </c>
      <c r="C29341" s="574">
        <v>482.1</v>
      </c>
    </row>
    <row r="29342" spans="1:3">
      <c r="A29342" s="573" t="s">
        <v>1129</v>
      </c>
      <c r="B29342" s="574">
        <v>125</v>
      </c>
      <c r="C29342" s="574">
        <v>482.1</v>
      </c>
    </row>
    <row r="29343" spans="1:3">
      <c r="A29343" s="573" t="s">
        <v>1129</v>
      </c>
      <c r="B29343" s="574">
        <v>150</v>
      </c>
      <c r="C29343" s="574">
        <v>485.1</v>
      </c>
    </row>
    <row r="29344" spans="1:3">
      <c r="A29344" s="571" t="s">
        <v>1128</v>
      </c>
      <c r="B29344" s="572">
        <v>1</v>
      </c>
      <c r="C29344" s="572">
        <v>11.9</v>
      </c>
    </row>
    <row r="29345" spans="1:3">
      <c r="A29345" s="571" t="s">
        <v>1128</v>
      </c>
      <c r="B29345" s="572">
        <v>3</v>
      </c>
      <c r="C29345" s="572">
        <v>78</v>
      </c>
    </row>
    <row r="29346" spans="1:3">
      <c r="A29346" s="571" t="s">
        <v>1128</v>
      </c>
      <c r="B29346" s="572">
        <v>5</v>
      </c>
      <c r="C29346" s="572">
        <v>93.2</v>
      </c>
    </row>
    <row r="29347" spans="1:3">
      <c r="A29347" s="571" t="s">
        <v>1128</v>
      </c>
      <c r="B29347" s="572">
        <v>7</v>
      </c>
      <c r="C29347" s="572">
        <v>105.3</v>
      </c>
    </row>
    <row r="29348" spans="1:3">
      <c r="A29348" s="571" t="s">
        <v>1128</v>
      </c>
      <c r="B29348" s="572">
        <v>10</v>
      </c>
      <c r="C29348" s="572">
        <v>120.4</v>
      </c>
    </row>
    <row r="29349" spans="1:3">
      <c r="A29349" s="571" t="s">
        <v>1128</v>
      </c>
      <c r="B29349" s="572">
        <v>14</v>
      </c>
      <c r="C29349" s="572">
        <v>153.4</v>
      </c>
    </row>
    <row r="29350" spans="1:3">
      <c r="A29350" s="571" t="s">
        <v>1128</v>
      </c>
      <c r="B29350" s="572">
        <v>21</v>
      </c>
      <c r="C29350" s="572">
        <v>192.3</v>
      </c>
    </row>
    <row r="29351" spans="1:3">
      <c r="A29351" s="571" t="s">
        <v>1128</v>
      </c>
      <c r="B29351" s="572">
        <v>28</v>
      </c>
      <c r="C29351" s="572">
        <v>219.2</v>
      </c>
    </row>
    <row r="29352" spans="1:3">
      <c r="A29352" s="571" t="s">
        <v>1128</v>
      </c>
      <c r="B29352" s="572">
        <v>35</v>
      </c>
      <c r="C29352" s="572">
        <v>258.10000000000002</v>
      </c>
    </row>
    <row r="29353" spans="1:3">
      <c r="A29353" s="571" t="s">
        <v>1128</v>
      </c>
      <c r="B29353" s="572">
        <v>42</v>
      </c>
      <c r="C29353" s="572">
        <v>270.10000000000002</v>
      </c>
    </row>
    <row r="29354" spans="1:3">
      <c r="A29354" s="571" t="s">
        <v>1128</v>
      </c>
      <c r="B29354" s="572">
        <v>49</v>
      </c>
      <c r="C29354" s="572">
        <v>291</v>
      </c>
    </row>
    <row r="29355" spans="1:3">
      <c r="A29355" s="571" t="s">
        <v>1128</v>
      </c>
      <c r="B29355" s="572">
        <v>63</v>
      </c>
      <c r="C29355" s="572">
        <v>306</v>
      </c>
    </row>
    <row r="29356" spans="1:3">
      <c r="A29356" s="571" t="s">
        <v>1128</v>
      </c>
      <c r="B29356" s="572">
        <v>77</v>
      </c>
      <c r="C29356" s="572">
        <v>353.8</v>
      </c>
    </row>
    <row r="29357" spans="1:3">
      <c r="A29357" s="571" t="s">
        <v>1128</v>
      </c>
      <c r="B29357" s="572">
        <v>91</v>
      </c>
      <c r="C29357" s="572">
        <v>362.8</v>
      </c>
    </row>
    <row r="29358" spans="1:3">
      <c r="A29358" s="573" t="s">
        <v>1128</v>
      </c>
      <c r="B29358" s="574">
        <v>105</v>
      </c>
      <c r="C29358" s="574">
        <v>368.8</v>
      </c>
    </row>
    <row r="29359" spans="1:3">
      <c r="A29359" s="573" t="s">
        <v>1128</v>
      </c>
      <c r="B29359" s="574">
        <v>125</v>
      </c>
      <c r="C29359" s="574">
        <v>383.8</v>
      </c>
    </row>
    <row r="29360" spans="1:3">
      <c r="A29360" s="573" t="s">
        <v>1128</v>
      </c>
      <c r="B29360" s="574">
        <v>150</v>
      </c>
      <c r="C29360" s="574">
        <v>383.9</v>
      </c>
    </row>
    <row r="29361" spans="1:3">
      <c r="A29361" s="571" t="s">
        <v>1127</v>
      </c>
      <c r="B29361" s="572">
        <v>1</v>
      </c>
      <c r="C29361" s="572">
        <v>11.9</v>
      </c>
    </row>
    <row r="29362" spans="1:3">
      <c r="A29362" s="571" t="s">
        <v>1127</v>
      </c>
      <c r="B29362" s="572">
        <v>3</v>
      </c>
      <c r="C29362" s="572">
        <v>30.4</v>
      </c>
    </row>
    <row r="29363" spans="1:3">
      <c r="A29363" s="571" t="s">
        <v>1127</v>
      </c>
      <c r="B29363" s="572">
        <v>5</v>
      </c>
      <c r="C29363" s="572">
        <v>72.400000000000006</v>
      </c>
    </row>
    <row r="29364" spans="1:3">
      <c r="A29364" s="571" t="s">
        <v>1127</v>
      </c>
      <c r="B29364" s="572">
        <v>7</v>
      </c>
      <c r="C29364" s="572">
        <v>84.5</v>
      </c>
    </row>
    <row r="29365" spans="1:3">
      <c r="A29365" s="571" t="s">
        <v>1127</v>
      </c>
      <c r="B29365" s="572">
        <v>10</v>
      </c>
      <c r="C29365" s="572">
        <v>108.5</v>
      </c>
    </row>
    <row r="29366" spans="1:3">
      <c r="A29366" s="571" t="s">
        <v>1127</v>
      </c>
      <c r="B29366" s="572">
        <v>14</v>
      </c>
      <c r="C29366" s="572">
        <v>132.5</v>
      </c>
    </row>
    <row r="29367" spans="1:3">
      <c r="A29367" s="571" t="s">
        <v>1127</v>
      </c>
      <c r="B29367" s="572">
        <v>21</v>
      </c>
      <c r="C29367" s="572">
        <v>153.6</v>
      </c>
    </row>
    <row r="29368" spans="1:3">
      <c r="A29368" s="571" t="s">
        <v>1127</v>
      </c>
      <c r="B29368" s="572">
        <v>28</v>
      </c>
      <c r="C29368" s="572">
        <v>174.6</v>
      </c>
    </row>
    <row r="29369" spans="1:3">
      <c r="A29369" s="571" t="s">
        <v>1127</v>
      </c>
      <c r="B29369" s="572">
        <v>35</v>
      </c>
      <c r="C29369" s="572">
        <v>234.3</v>
      </c>
    </row>
    <row r="29370" spans="1:3">
      <c r="A29370" s="571" t="s">
        <v>1127</v>
      </c>
      <c r="B29370" s="572">
        <v>42</v>
      </c>
      <c r="C29370" s="572">
        <v>252.2</v>
      </c>
    </row>
    <row r="29371" spans="1:3">
      <c r="A29371" s="571" t="s">
        <v>1127</v>
      </c>
      <c r="B29371" s="572">
        <v>49</v>
      </c>
      <c r="C29371" s="572">
        <v>279.10000000000002</v>
      </c>
    </row>
    <row r="29372" spans="1:3">
      <c r="A29372" s="571" t="s">
        <v>1127</v>
      </c>
      <c r="B29372" s="572">
        <v>63</v>
      </c>
      <c r="C29372" s="572">
        <v>315</v>
      </c>
    </row>
    <row r="29373" spans="1:3">
      <c r="A29373" s="571" t="s">
        <v>1127</v>
      </c>
      <c r="B29373" s="572">
        <v>77</v>
      </c>
      <c r="C29373" s="572">
        <v>332.9</v>
      </c>
    </row>
    <row r="29374" spans="1:3">
      <c r="A29374" s="571" t="s">
        <v>1127</v>
      </c>
      <c r="B29374" s="572">
        <v>91</v>
      </c>
      <c r="C29374" s="572">
        <v>347.9</v>
      </c>
    </row>
    <row r="29375" spans="1:3">
      <c r="A29375" s="573" t="s">
        <v>1127</v>
      </c>
      <c r="B29375" s="574">
        <v>105</v>
      </c>
      <c r="C29375" s="574">
        <v>365.9</v>
      </c>
    </row>
    <row r="29376" spans="1:3">
      <c r="A29376" s="573" t="s">
        <v>1127</v>
      </c>
      <c r="B29376" s="574">
        <v>125</v>
      </c>
      <c r="C29376" s="574">
        <v>368.9</v>
      </c>
    </row>
    <row r="29377" spans="1:3">
      <c r="A29377" s="573" t="s">
        <v>1127</v>
      </c>
      <c r="B29377" s="574">
        <v>150</v>
      </c>
      <c r="C29377" s="574">
        <v>413.7</v>
      </c>
    </row>
    <row r="29378" spans="1:3">
      <c r="A29378" s="571" t="s">
        <v>1126</v>
      </c>
      <c r="B29378" s="572">
        <v>2</v>
      </c>
      <c r="C29378" s="572">
        <v>55.5</v>
      </c>
    </row>
    <row r="29379" spans="1:3">
      <c r="A29379" s="571" t="s">
        <v>1126</v>
      </c>
      <c r="B29379" s="572">
        <v>3</v>
      </c>
      <c r="C29379" s="572">
        <v>77.5</v>
      </c>
    </row>
    <row r="29380" spans="1:3">
      <c r="A29380" s="571" t="s">
        <v>1126</v>
      </c>
      <c r="B29380" s="572">
        <v>5</v>
      </c>
      <c r="C29380" s="572">
        <v>110.6</v>
      </c>
    </row>
    <row r="29381" spans="1:3">
      <c r="A29381" s="571" t="s">
        <v>1126</v>
      </c>
      <c r="B29381" s="572">
        <v>7</v>
      </c>
      <c r="C29381" s="572">
        <v>115.3</v>
      </c>
    </row>
    <row r="29382" spans="1:3">
      <c r="A29382" s="571" t="s">
        <v>1126</v>
      </c>
      <c r="B29382" s="572">
        <v>10</v>
      </c>
      <c r="C29382" s="572">
        <v>140.19999999999999</v>
      </c>
    </row>
    <row r="29383" spans="1:3">
      <c r="A29383" s="571" t="s">
        <v>1126</v>
      </c>
      <c r="B29383" s="572">
        <v>14</v>
      </c>
      <c r="C29383" s="572">
        <v>168.1</v>
      </c>
    </row>
    <row r="29384" spans="1:3">
      <c r="A29384" s="571" t="s">
        <v>1126</v>
      </c>
      <c r="B29384" s="572">
        <v>21</v>
      </c>
      <c r="C29384" s="572">
        <v>213.2</v>
      </c>
    </row>
    <row r="29385" spans="1:3">
      <c r="A29385" s="571" t="s">
        <v>1126</v>
      </c>
      <c r="B29385" s="572">
        <v>28</v>
      </c>
      <c r="C29385" s="572">
        <v>241.4</v>
      </c>
    </row>
    <row r="29386" spans="1:3">
      <c r="A29386" s="571" t="s">
        <v>1126</v>
      </c>
      <c r="B29386" s="572">
        <v>35</v>
      </c>
      <c r="C29386" s="572">
        <v>260.89999999999998</v>
      </c>
    </row>
    <row r="29387" spans="1:3">
      <c r="A29387" s="571" t="s">
        <v>1126</v>
      </c>
      <c r="B29387" s="572">
        <v>49</v>
      </c>
      <c r="C29387" s="572">
        <v>329.5</v>
      </c>
    </row>
    <row r="29388" spans="1:3">
      <c r="A29388" s="571" t="s">
        <v>1126</v>
      </c>
      <c r="B29388" s="572">
        <v>63</v>
      </c>
      <c r="C29388" s="572">
        <v>337.4</v>
      </c>
    </row>
    <row r="29389" spans="1:3">
      <c r="A29389" s="571" t="s">
        <v>1126</v>
      </c>
      <c r="B29389" s="572">
        <v>77</v>
      </c>
      <c r="C29389" s="572">
        <v>354.1</v>
      </c>
    </row>
    <row r="29390" spans="1:3">
      <c r="A29390" s="571" t="s">
        <v>1126</v>
      </c>
      <c r="B29390" s="572">
        <v>92</v>
      </c>
      <c r="C29390" s="572">
        <v>359.3</v>
      </c>
    </row>
    <row r="29391" spans="1:3">
      <c r="A29391" s="573" t="s">
        <v>1126</v>
      </c>
      <c r="B29391" s="574">
        <v>126</v>
      </c>
      <c r="C29391" s="574">
        <v>384.4</v>
      </c>
    </row>
    <row r="29392" spans="1:3">
      <c r="A29392" s="573" t="s">
        <v>1126</v>
      </c>
      <c r="B29392" s="574">
        <v>150</v>
      </c>
      <c r="C29392" s="574">
        <v>395.4</v>
      </c>
    </row>
    <row r="29393" spans="1:3">
      <c r="A29393" s="571" t="s">
        <v>1125</v>
      </c>
      <c r="B29393" s="572">
        <v>1</v>
      </c>
      <c r="C29393" s="572">
        <v>8.6999999999999993</v>
      </c>
    </row>
    <row r="29394" spans="1:3">
      <c r="A29394" s="571" t="s">
        <v>1125</v>
      </c>
      <c r="B29394" s="572">
        <v>3</v>
      </c>
      <c r="C29394" s="572">
        <v>10.7</v>
      </c>
    </row>
    <row r="29395" spans="1:3">
      <c r="A29395" s="571" t="s">
        <v>1125</v>
      </c>
      <c r="B29395" s="572">
        <v>5</v>
      </c>
      <c r="C29395" s="572">
        <v>43.8</v>
      </c>
    </row>
    <row r="29396" spans="1:3">
      <c r="A29396" s="571" t="s">
        <v>1125</v>
      </c>
      <c r="B29396" s="572">
        <v>7</v>
      </c>
      <c r="C29396" s="572">
        <v>51.4</v>
      </c>
    </row>
    <row r="29397" spans="1:3">
      <c r="A29397" s="571" t="s">
        <v>1125</v>
      </c>
      <c r="B29397" s="572">
        <v>10</v>
      </c>
      <c r="C29397" s="572">
        <v>82.1</v>
      </c>
    </row>
    <row r="29398" spans="1:3">
      <c r="A29398" s="571" t="s">
        <v>1125</v>
      </c>
      <c r="B29398" s="572">
        <v>14</v>
      </c>
      <c r="C29398" s="572">
        <v>89.7</v>
      </c>
    </row>
    <row r="29399" spans="1:3">
      <c r="A29399" s="571" t="s">
        <v>1125</v>
      </c>
      <c r="B29399" s="572">
        <v>21</v>
      </c>
      <c r="C29399" s="572">
        <v>137.80000000000001</v>
      </c>
    </row>
    <row r="29400" spans="1:3">
      <c r="A29400" s="571" t="s">
        <v>1125</v>
      </c>
      <c r="B29400" s="572">
        <v>28</v>
      </c>
      <c r="C29400" s="572">
        <v>162.9</v>
      </c>
    </row>
    <row r="29401" spans="1:3">
      <c r="A29401" s="571" t="s">
        <v>1125</v>
      </c>
      <c r="B29401" s="572">
        <v>42</v>
      </c>
      <c r="C29401" s="572">
        <v>176</v>
      </c>
    </row>
    <row r="29402" spans="1:3">
      <c r="A29402" s="571" t="s">
        <v>1125</v>
      </c>
      <c r="B29402" s="572">
        <v>49</v>
      </c>
      <c r="C29402" s="572">
        <v>195.8</v>
      </c>
    </row>
    <row r="29403" spans="1:3">
      <c r="A29403" s="571" t="s">
        <v>1125</v>
      </c>
      <c r="B29403" s="572">
        <v>63</v>
      </c>
      <c r="C29403" s="572">
        <v>226.9</v>
      </c>
    </row>
    <row r="29404" spans="1:3">
      <c r="A29404" s="571" t="s">
        <v>1125</v>
      </c>
      <c r="B29404" s="572">
        <v>77</v>
      </c>
      <c r="C29404" s="572">
        <v>246.6</v>
      </c>
    </row>
    <row r="29405" spans="1:3">
      <c r="A29405" s="571" t="s">
        <v>1125</v>
      </c>
      <c r="B29405" s="572">
        <v>91</v>
      </c>
      <c r="C29405" s="572">
        <v>266.39999999999998</v>
      </c>
    </row>
    <row r="29406" spans="1:3">
      <c r="A29406" s="573" t="s">
        <v>1125</v>
      </c>
      <c r="B29406" s="574">
        <v>121</v>
      </c>
      <c r="C29406" s="574">
        <v>306.10000000000002</v>
      </c>
    </row>
    <row r="29407" spans="1:3">
      <c r="A29407" s="573" t="s">
        <v>1125</v>
      </c>
      <c r="B29407" s="574">
        <v>150</v>
      </c>
      <c r="C29407" s="574">
        <v>334.4</v>
      </c>
    </row>
    <row r="29408" spans="1:3">
      <c r="A29408" s="571" t="s">
        <v>1124</v>
      </c>
      <c r="B29408" s="572">
        <v>1</v>
      </c>
      <c r="C29408" s="572">
        <v>11.9</v>
      </c>
    </row>
    <row r="29409" spans="1:3">
      <c r="A29409" s="571" t="s">
        <v>1124</v>
      </c>
      <c r="B29409" s="572">
        <v>3</v>
      </c>
      <c r="C29409" s="572">
        <v>30.4</v>
      </c>
    </row>
    <row r="29410" spans="1:3">
      <c r="A29410" s="571" t="s">
        <v>1124</v>
      </c>
      <c r="B29410" s="572">
        <v>5</v>
      </c>
      <c r="C29410" s="572">
        <v>72.400000000000006</v>
      </c>
    </row>
    <row r="29411" spans="1:3">
      <c r="A29411" s="571" t="s">
        <v>1124</v>
      </c>
      <c r="B29411" s="572">
        <v>7</v>
      </c>
      <c r="C29411" s="572">
        <v>84.5</v>
      </c>
    </row>
    <row r="29412" spans="1:3">
      <c r="A29412" s="571" t="s">
        <v>1124</v>
      </c>
      <c r="B29412" s="572">
        <v>10</v>
      </c>
      <c r="C29412" s="572">
        <v>108.5</v>
      </c>
    </row>
    <row r="29413" spans="1:3">
      <c r="A29413" s="571" t="s">
        <v>1124</v>
      </c>
      <c r="B29413" s="572">
        <v>14</v>
      </c>
      <c r="C29413" s="572">
        <v>132.5</v>
      </c>
    </row>
    <row r="29414" spans="1:3">
      <c r="A29414" s="571" t="s">
        <v>1124</v>
      </c>
      <c r="B29414" s="572">
        <v>21</v>
      </c>
      <c r="C29414" s="572">
        <v>153.6</v>
      </c>
    </row>
    <row r="29415" spans="1:3">
      <c r="A29415" s="571" t="s">
        <v>1124</v>
      </c>
      <c r="B29415" s="572">
        <v>28</v>
      </c>
      <c r="C29415" s="572">
        <v>174.6</v>
      </c>
    </row>
    <row r="29416" spans="1:3">
      <c r="A29416" s="571" t="s">
        <v>1124</v>
      </c>
      <c r="B29416" s="572">
        <v>35</v>
      </c>
      <c r="C29416" s="572">
        <v>234.3</v>
      </c>
    </row>
    <row r="29417" spans="1:3">
      <c r="A29417" s="571" t="s">
        <v>1124</v>
      </c>
      <c r="B29417" s="572">
        <v>42</v>
      </c>
      <c r="C29417" s="572">
        <v>252.2</v>
      </c>
    </row>
    <row r="29418" spans="1:3">
      <c r="A29418" s="571" t="s">
        <v>1124</v>
      </c>
      <c r="B29418" s="572">
        <v>49</v>
      </c>
      <c r="C29418" s="572">
        <v>279.10000000000002</v>
      </c>
    </row>
    <row r="29419" spans="1:3">
      <c r="A29419" s="571" t="s">
        <v>1124</v>
      </c>
      <c r="B29419" s="572">
        <v>63</v>
      </c>
      <c r="C29419" s="572">
        <v>315</v>
      </c>
    </row>
    <row r="29420" spans="1:3">
      <c r="A29420" s="571" t="s">
        <v>1124</v>
      </c>
      <c r="B29420" s="572">
        <v>77</v>
      </c>
      <c r="C29420" s="572">
        <v>332.9</v>
      </c>
    </row>
    <row r="29421" spans="1:3">
      <c r="A29421" s="571" t="s">
        <v>1124</v>
      </c>
      <c r="B29421" s="572">
        <v>91</v>
      </c>
      <c r="C29421" s="572">
        <v>347.9</v>
      </c>
    </row>
    <row r="29422" spans="1:3">
      <c r="A29422" s="573" t="s">
        <v>1124</v>
      </c>
      <c r="B29422" s="574">
        <v>105</v>
      </c>
      <c r="C29422" s="574">
        <v>365.9</v>
      </c>
    </row>
    <row r="29423" spans="1:3">
      <c r="A29423" s="573" t="s">
        <v>1124</v>
      </c>
      <c r="B29423" s="574">
        <v>125</v>
      </c>
      <c r="C29423" s="574">
        <v>368.9</v>
      </c>
    </row>
    <row r="29424" spans="1:3">
      <c r="A29424" s="573" t="s">
        <v>1124</v>
      </c>
      <c r="B29424" s="574">
        <v>150</v>
      </c>
      <c r="C29424" s="574">
        <v>413.7</v>
      </c>
    </row>
    <row r="29425" spans="1:3">
      <c r="A29425" s="571" t="s">
        <v>1123</v>
      </c>
      <c r="B29425" s="572">
        <v>2</v>
      </c>
      <c r="C29425" s="572">
        <v>58.6</v>
      </c>
    </row>
    <row r="29426" spans="1:3">
      <c r="A29426" s="571" t="s">
        <v>1123</v>
      </c>
      <c r="B29426" s="572">
        <v>3</v>
      </c>
      <c r="C29426" s="572">
        <v>124.1</v>
      </c>
    </row>
    <row r="29427" spans="1:3">
      <c r="A29427" s="571" t="s">
        <v>1123</v>
      </c>
      <c r="B29427" s="572">
        <v>5</v>
      </c>
      <c r="C29427" s="572">
        <v>171.7</v>
      </c>
    </row>
    <row r="29428" spans="1:3">
      <c r="A29428" s="571" t="s">
        <v>1123</v>
      </c>
      <c r="B29428" s="572">
        <v>7</v>
      </c>
      <c r="C29428" s="572">
        <v>222.8</v>
      </c>
    </row>
    <row r="29429" spans="1:3">
      <c r="A29429" s="571" t="s">
        <v>1123</v>
      </c>
      <c r="B29429" s="572">
        <v>10</v>
      </c>
      <c r="C29429" s="572">
        <v>268.10000000000002</v>
      </c>
    </row>
    <row r="29430" spans="1:3">
      <c r="A29430" s="571" t="s">
        <v>1123</v>
      </c>
      <c r="B29430" s="572">
        <v>14</v>
      </c>
      <c r="C29430" s="572">
        <v>310.60000000000002</v>
      </c>
    </row>
    <row r="29431" spans="1:3">
      <c r="A29431" s="571" t="s">
        <v>1123</v>
      </c>
      <c r="B29431" s="572">
        <v>21</v>
      </c>
      <c r="C29431" s="572">
        <v>376.1</v>
      </c>
    </row>
    <row r="29432" spans="1:3">
      <c r="A29432" s="571" t="s">
        <v>1123</v>
      </c>
      <c r="B29432" s="572">
        <v>28</v>
      </c>
      <c r="C29432" s="572">
        <v>427.4</v>
      </c>
    </row>
    <row r="29433" spans="1:3">
      <c r="A29433" s="571" t="s">
        <v>1123</v>
      </c>
      <c r="B29433" s="572">
        <v>35</v>
      </c>
      <c r="C29433" s="572">
        <v>496.4</v>
      </c>
    </row>
    <row r="29434" spans="1:3">
      <c r="A29434" s="571" t="s">
        <v>1123</v>
      </c>
      <c r="B29434" s="572">
        <v>42</v>
      </c>
      <c r="C29434" s="572">
        <v>510.3</v>
      </c>
    </row>
    <row r="29435" spans="1:3">
      <c r="A29435" s="571" t="s">
        <v>1123</v>
      </c>
      <c r="B29435" s="572">
        <v>49</v>
      </c>
      <c r="C29435" s="572">
        <v>524.29999999999995</v>
      </c>
    </row>
    <row r="29436" spans="1:3">
      <c r="A29436" s="571" t="s">
        <v>1123</v>
      </c>
      <c r="B29436" s="572">
        <v>63</v>
      </c>
      <c r="C29436" s="572">
        <v>593.20000000000005</v>
      </c>
    </row>
    <row r="29437" spans="1:3">
      <c r="A29437" s="571" t="s">
        <v>1123</v>
      </c>
      <c r="B29437" s="572">
        <v>78</v>
      </c>
      <c r="C29437" s="572">
        <v>668.1</v>
      </c>
    </row>
    <row r="29438" spans="1:3">
      <c r="A29438" s="571" t="s">
        <v>1123</v>
      </c>
      <c r="B29438" s="572">
        <v>92</v>
      </c>
      <c r="C29438" s="572">
        <v>682</v>
      </c>
    </row>
    <row r="29439" spans="1:3">
      <c r="A29439" s="573" t="s">
        <v>1123</v>
      </c>
      <c r="B29439" s="574">
        <v>120</v>
      </c>
      <c r="C29439" s="574">
        <v>736.3</v>
      </c>
    </row>
    <row r="29440" spans="1:3">
      <c r="A29440" s="573" t="s">
        <v>1123</v>
      </c>
      <c r="B29440" s="574">
        <v>150</v>
      </c>
      <c r="C29440" s="574">
        <v>744.3</v>
      </c>
    </row>
    <row r="29441" spans="1:3">
      <c r="A29441" s="571" t="s">
        <v>1122</v>
      </c>
      <c r="B29441" s="572">
        <v>1</v>
      </c>
      <c r="C29441" s="572">
        <v>14.5</v>
      </c>
    </row>
    <row r="29442" spans="1:3">
      <c r="A29442" s="571" t="s">
        <v>1122</v>
      </c>
      <c r="B29442" s="572">
        <v>3</v>
      </c>
      <c r="C29442" s="572">
        <v>31.1</v>
      </c>
    </row>
    <row r="29443" spans="1:3">
      <c r="A29443" s="571" t="s">
        <v>1122</v>
      </c>
      <c r="B29443" s="572">
        <v>5</v>
      </c>
      <c r="C29443" s="572">
        <v>58.3</v>
      </c>
    </row>
    <row r="29444" spans="1:3">
      <c r="A29444" s="571" t="s">
        <v>1122</v>
      </c>
      <c r="B29444" s="572">
        <v>7</v>
      </c>
      <c r="C29444" s="572">
        <v>77.5</v>
      </c>
    </row>
    <row r="29445" spans="1:3">
      <c r="A29445" s="571" t="s">
        <v>1122</v>
      </c>
      <c r="B29445" s="572">
        <v>10</v>
      </c>
      <c r="C29445" s="572">
        <v>90.8</v>
      </c>
    </row>
    <row r="29446" spans="1:3">
      <c r="A29446" s="571" t="s">
        <v>1122</v>
      </c>
      <c r="B29446" s="572">
        <v>14</v>
      </c>
      <c r="C29446" s="572">
        <v>115.9</v>
      </c>
    </row>
    <row r="29447" spans="1:3">
      <c r="A29447" s="571" t="s">
        <v>1122</v>
      </c>
      <c r="B29447" s="572">
        <v>21</v>
      </c>
      <c r="C29447" s="572">
        <v>163.9</v>
      </c>
    </row>
    <row r="29448" spans="1:3">
      <c r="A29448" s="571" t="s">
        <v>1122</v>
      </c>
      <c r="B29448" s="572">
        <v>28</v>
      </c>
      <c r="C29448" s="572">
        <v>194.9</v>
      </c>
    </row>
    <row r="29449" spans="1:3">
      <c r="A29449" s="571" t="s">
        <v>1122</v>
      </c>
      <c r="B29449" s="572">
        <v>35</v>
      </c>
      <c r="C29449" s="572">
        <v>243.6</v>
      </c>
    </row>
    <row r="29450" spans="1:3">
      <c r="A29450" s="571" t="s">
        <v>1122</v>
      </c>
      <c r="B29450" s="572">
        <v>42</v>
      </c>
      <c r="C29450" s="572">
        <v>260.3</v>
      </c>
    </row>
    <row r="29451" spans="1:3">
      <c r="A29451" s="571" t="s">
        <v>1122</v>
      </c>
      <c r="B29451" s="572">
        <v>49</v>
      </c>
      <c r="C29451" s="572">
        <v>294.7</v>
      </c>
    </row>
    <row r="29452" spans="1:3">
      <c r="A29452" s="571" t="s">
        <v>1122</v>
      </c>
      <c r="B29452" s="572">
        <v>63</v>
      </c>
      <c r="C29452" s="572">
        <v>351.9</v>
      </c>
    </row>
    <row r="29453" spans="1:3">
      <c r="A29453" s="571" t="s">
        <v>1122</v>
      </c>
      <c r="B29453" s="572">
        <v>78</v>
      </c>
      <c r="C29453" s="572">
        <v>400.6</v>
      </c>
    </row>
    <row r="29454" spans="1:3">
      <c r="A29454" s="571" t="s">
        <v>1122</v>
      </c>
      <c r="B29454" s="572">
        <v>92</v>
      </c>
      <c r="C29454" s="572">
        <v>426.2</v>
      </c>
    </row>
    <row r="29455" spans="1:3">
      <c r="A29455" s="573" t="s">
        <v>1122</v>
      </c>
      <c r="B29455" s="574">
        <v>120</v>
      </c>
      <c r="C29455" s="574">
        <v>460.1</v>
      </c>
    </row>
    <row r="29456" spans="1:3">
      <c r="A29456" s="573" t="s">
        <v>1122</v>
      </c>
      <c r="B29456" s="574">
        <v>150</v>
      </c>
      <c r="C29456" s="574">
        <v>500</v>
      </c>
    </row>
    <row r="29457" spans="1:3">
      <c r="A29457" s="571" t="s">
        <v>1121</v>
      </c>
      <c r="B29457" s="572">
        <v>5.5829999999999998E-2</v>
      </c>
      <c r="C29457" s="572">
        <v>600</v>
      </c>
    </row>
    <row r="29458" spans="1:3">
      <c r="A29458" s="571" t="s">
        <v>1121</v>
      </c>
      <c r="B29458" s="572">
        <v>0.2233</v>
      </c>
      <c r="C29458" s="572">
        <v>815</v>
      </c>
    </row>
    <row r="29459" spans="1:3">
      <c r="A29459" s="571" t="s">
        <v>1121</v>
      </c>
      <c r="B29459" s="572">
        <v>0.30709999999999998</v>
      </c>
      <c r="C29459" s="572">
        <v>1025</v>
      </c>
    </row>
    <row r="29460" spans="1:3">
      <c r="A29460" s="571" t="s">
        <v>1121</v>
      </c>
      <c r="B29460" s="572">
        <v>0.53039999999999998</v>
      </c>
      <c r="C29460" s="572">
        <v>1232</v>
      </c>
    </row>
    <row r="29461" spans="1:3">
      <c r="A29461" s="571" t="s">
        <v>1121</v>
      </c>
      <c r="B29461" s="572">
        <v>0.89339999999999997</v>
      </c>
      <c r="C29461" s="572">
        <v>1437</v>
      </c>
    </row>
    <row r="29462" spans="1:3">
      <c r="A29462" s="571" t="s">
        <v>1121</v>
      </c>
      <c r="B29462" s="572">
        <v>1.34</v>
      </c>
      <c r="C29462" s="572">
        <v>1532</v>
      </c>
    </row>
    <row r="29463" spans="1:3">
      <c r="A29463" s="571" t="s">
        <v>1121</v>
      </c>
      <c r="B29463" s="572">
        <v>1.758</v>
      </c>
      <c r="C29463" s="572">
        <v>1555</v>
      </c>
    </row>
    <row r="29464" spans="1:3">
      <c r="A29464" s="571" t="s">
        <v>1121</v>
      </c>
      <c r="B29464" s="572">
        <v>1.9259999999999999</v>
      </c>
      <c r="C29464" s="572">
        <v>1555</v>
      </c>
    </row>
    <row r="29465" spans="1:3">
      <c r="A29465" s="571" t="s">
        <v>1121</v>
      </c>
      <c r="B29465" s="572">
        <v>2.4009999999999998</v>
      </c>
      <c r="C29465" s="572">
        <v>1580</v>
      </c>
    </row>
    <row r="29466" spans="1:3">
      <c r="A29466" s="571" t="s">
        <v>1121</v>
      </c>
      <c r="B29466" s="572">
        <v>2.903</v>
      </c>
      <c r="C29466" s="572">
        <v>1610</v>
      </c>
    </row>
    <row r="29467" spans="1:3">
      <c r="A29467" s="571" t="s">
        <v>1121</v>
      </c>
      <c r="B29467" s="572">
        <v>3.35</v>
      </c>
      <c r="C29467" s="572">
        <v>1635</v>
      </c>
    </row>
    <row r="29468" spans="1:3">
      <c r="A29468" s="571" t="s">
        <v>1121</v>
      </c>
      <c r="B29468" s="572">
        <v>4.1319999999999997</v>
      </c>
      <c r="C29468" s="572">
        <v>1637</v>
      </c>
    </row>
    <row r="29469" spans="1:3">
      <c r="A29469" s="571" t="s">
        <v>1121</v>
      </c>
      <c r="B29469" s="572">
        <v>4.657</v>
      </c>
      <c r="C29469" s="572">
        <v>1662</v>
      </c>
    </row>
    <row r="29470" spans="1:3">
      <c r="A29470" s="571" t="s">
        <v>1121</v>
      </c>
      <c r="B29470" s="572">
        <v>4.96</v>
      </c>
      <c r="C29470" s="572">
        <v>1662</v>
      </c>
    </row>
    <row r="29471" spans="1:3">
      <c r="A29471" s="571" t="s">
        <v>1121</v>
      </c>
      <c r="B29471" s="572">
        <v>5.4020000000000001</v>
      </c>
      <c r="C29471" s="572">
        <v>1677</v>
      </c>
    </row>
    <row r="29472" spans="1:3">
      <c r="A29472" s="571" t="s">
        <v>1121</v>
      </c>
      <c r="B29472" s="572">
        <v>5.9269999999999996</v>
      </c>
      <c r="C29472" s="572">
        <v>1690</v>
      </c>
    </row>
    <row r="29473" spans="1:3">
      <c r="A29473" s="571" t="s">
        <v>1121</v>
      </c>
      <c r="B29473" s="572">
        <v>6.452</v>
      </c>
      <c r="C29473" s="572">
        <v>1695</v>
      </c>
    </row>
    <row r="29474" spans="1:3">
      <c r="A29474" s="571" t="s">
        <v>1121</v>
      </c>
      <c r="B29474" s="572">
        <v>6.9210000000000003</v>
      </c>
      <c r="C29474" s="572">
        <v>1682</v>
      </c>
    </row>
    <row r="29475" spans="1:3">
      <c r="A29475" s="571" t="s">
        <v>1121</v>
      </c>
      <c r="B29475" s="572">
        <v>7.4459999999999997</v>
      </c>
      <c r="C29475" s="572">
        <v>1685</v>
      </c>
    </row>
    <row r="29476" spans="1:3">
      <c r="A29476" s="571" t="s">
        <v>1121</v>
      </c>
      <c r="B29476" s="572">
        <v>7.86</v>
      </c>
      <c r="C29476" s="572">
        <v>1667</v>
      </c>
    </row>
    <row r="29477" spans="1:3">
      <c r="A29477" s="571" t="s">
        <v>1121</v>
      </c>
      <c r="B29477" s="572">
        <v>8.2189999999999994</v>
      </c>
      <c r="C29477" s="572">
        <v>1665</v>
      </c>
    </row>
    <row r="29478" spans="1:3">
      <c r="A29478" s="571" t="s">
        <v>1121</v>
      </c>
      <c r="B29478" s="572">
        <v>8.4149999999999991</v>
      </c>
      <c r="C29478" s="572">
        <v>1672</v>
      </c>
    </row>
    <row r="29479" spans="1:3">
      <c r="A29479" s="571" t="s">
        <v>1121</v>
      </c>
      <c r="B29479" s="572">
        <v>8.84</v>
      </c>
      <c r="C29479" s="572">
        <v>1692</v>
      </c>
    </row>
    <row r="29480" spans="1:3">
      <c r="A29480" s="571" t="s">
        <v>1121</v>
      </c>
      <c r="B29480" s="572">
        <v>9.3219999999999992</v>
      </c>
      <c r="C29480" s="572">
        <v>1700</v>
      </c>
    </row>
    <row r="29481" spans="1:3">
      <c r="A29481" s="571" t="s">
        <v>1120</v>
      </c>
      <c r="B29481" s="572">
        <v>0.16750000000000001</v>
      </c>
      <c r="C29481" s="572">
        <v>390</v>
      </c>
    </row>
    <row r="29482" spans="1:3">
      <c r="A29482" s="571" t="s">
        <v>1120</v>
      </c>
      <c r="B29482" s="572">
        <v>0.33500000000000002</v>
      </c>
      <c r="C29482" s="572">
        <v>607.5</v>
      </c>
    </row>
    <row r="29483" spans="1:3">
      <c r="A29483" s="571" t="s">
        <v>1120</v>
      </c>
      <c r="B29483" s="572">
        <v>0.61419999999999997</v>
      </c>
      <c r="C29483" s="572">
        <v>820</v>
      </c>
    </row>
    <row r="29484" spans="1:3">
      <c r="A29484" s="571" t="s">
        <v>1120</v>
      </c>
      <c r="B29484" s="572">
        <v>1.675</v>
      </c>
      <c r="C29484" s="572">
        <v>1000</v>
      </c>
    </row>
    <row r="29485" spans="1:3">
      <c r="A29485" s="571" t="s">
        <v>1120</v>
      </c>
      <c r="B29485" s="572">
        <v>2.4289999999999998</v>
      </c>
      <c r="C29485" s="572">
        <v>1012</v>
      </c>
    </row>
    <row r="29486" spans="1:3">
      <c r="A29486" s="571" t="s">
        <v>1120</v>
      </c>
      <c r="B29486" s="572">
        <v>3.0430000000000001</v>
      </c>
      <c r="C29486" s="572">
        <v>1030</v>
      </c>
    </row>
    <row r="29487" spans="1:3">
      <c r="A29487" s="571" t="s">
        <v>1120</v>
      </c>
      <c r="B29487" s="572">
        <v>4.0759999999999996</v>
      </c>
      <c r="C29487" s="572">
        <v>1075</v>
      </c>
    </row>
    <row r="29488" spans="1:3">
      <c r="A29488" s="571" t="s">
        <v>1120</v>
      </c>
      <c r="B29488" s="572">
        <v>4.8499999999999996</v>
      </c>
      <c r="C29488" s="572">
        <v>1102</v>
      </c>
    </row>
    <row r="29489" spans="1:3">
      <c r="A29489" s="571" t="s">
        <v>1120</v>
      </c>
      <c r="B29489" s="572">
        <v>5.8719999999999999</v>
      </c>
      <c r="C29489" s="572">
        <v>1110</v>
      </c>
    </row>
    <row r="29490" spans="1:3">
      <c r="A29490" s="571" t="s">
        <v>1120</v>
      </c>
      <c r="B29490" s="572">
        <v>6.4240000000000004</v>
      </c>
      <c r="C29490" s="572">
        <v>1092</v>
      </c>
    </row>
    <row r="29491" spans="1:3">
      <c r="A29491" s="571" t="s">
        <v>1120</v>
      </c>
      <c r="B29491" s="572">
        <v>6.7279999999999998</v>
      </c>
      <c r="C29491" s="572">
        <v>1097</v>
      </c>
    </row>
    <row r="29492" spans="1:3">
      <c r="A29492" s="571" t="s">
        <v>1120</v>
      </c>
      <c r="B29492" s="572">
        <v>7.0590000000000002</v>
      </c>
      <c r="C29492" s="572">
        <v>1092</v>
      </c>
    </row>
    <row r="29493" spans="1:3">
      <c r="A29493" s="571" t="s">
        <v>1120</v>
      </c>
      <c r="B29493" s="572">
        <v>7.556</v>
      </c>
      <c r="C29493" s="572">
        <v>1100</v>
      </c>
    </row>
    <row r="29494" spans="1:3">
      <c r="A29494" s="571" t="s">
        <v>1120</v>
      </c>
      <c r="B29494" s="572">
        <v>8.2189999999999994</v>
      </c>
      <c r="C29494" s="572">
        <v>1135</v>
      </c>
    </row>
    <row r="29495" spans="1:3">
      <c r="A29495" s="571" t="s">
        <v>1120</v>
      </c>
      <c r="B29495" s="572">
        <v>8.7829999999999995</v>
      </c>
      <c r="C29495" s="572">
        <v>1150</v>
      </c>
    </row>
    <row r="29496" spans="1:3">
      <c r="A29496" s="571" t="s">
        <v>1120</v>
      </c>
      <c r="B29496" s="572">
        <v>9.2940000000000005</v>
      </c>
      <c r="C29496" s="572">
        <v>1147</v>
      </c>
    </row>
    <row r="29497" spans="1:3">
      <c r="A29497" s="571" t="s">
        <v>1120</v>
      </c>
      <c r="B29497" s="572">
        <v>9.6910000000000007</v>
      </c>
      <c r="C29497" s="572">
        <v>1152</v>
      </c>
    </row>
    <row r="29498" spans="1:3">
      <c r="A29498" s="571" t="s">
        <v>1120</v>
      </c>
      <c r="B29498" s="572">
        <v>10.37</v>
      </c>
      <c r="C29498" s="572">
        <v>1150</v>
      </c>
    </row>
    <row r="29499" spans="1:3">
      <c r="A29499" s="571" t="s">
        <v>1120</v>
      </c>
      <c r="B29499" s="572">
        <v>11.81</v>
      </c>
      <c r="C29499" s="572">
        <v>1197</v>
      </c>
    </row>
    <row r="29500" spans="1:3">
      <c r="A29500" s="571" t="s">
        <v>1120</v>
      </c>
      <c r="B29500" s="572">
        <v>12.13</v>
      </c>
      <c r="C29500" s="572">
        <v>1190</v>
      </c>
    </row>
    <row r="29501" spans="1:3">
      <c r="A29501" s="571" t="s">
        <v>1120</v>
      </c>
      <c r="B29501" s="572">
        <v>12.89</v>
      </c>
      <c r="C29501" s="572">
        <v>1195</v>
      </c>
    </row>
    <row r="29502" spans="1:3">
      <c r="A29502" s="571" t="s">
        <v>1120</v>
      </c>
      <c r="B29502" s="572">
        <v>13.25</v>
      </c>
      <c r="C29502" s="572">
        <v>1190</v>
      </c>
    </row>
    <row r="29503" spans="1:3">
      <c r="A29503" s="571" t="s">
        <v>1119</v>
      </c>
      <c r="B29503" s="572">
        <v>0.19539999999999999</v>
      </c>
      <c r="C29503" s="572">
        <v>170</v>
      </c>
    </row>
    <row r="29504" spans="1:3">
      <c r="A29504" s="571" t="s">
        <v>1119</v>
      </c>
      <c r="B29504" s="572">
        <v>0.53039999999999998</v>
      </c>
      <c r="C29504" s="572">
        <v>297.5</v>
      </c>
    </row>
    <row r="29505" spans="1:3">
      <c r="A29505" s="571" t="s">
        <v>1119</v>
      </c>
      <c r="B29505" s="572">
        <v>0.94920000000000004</v>
      </c>
      <c r="C29505" s="572">
        <v>380</v>
      </c>
    </row>
    <row r="29506" spans="1:3">
      <c r="A29506" s="571" t="s">
        <v>1119</v>
      </c>
      <c r="B29506" s="572">
        <v>1.758</v>
      </c>
      <c r="C29506" s="572">
        <v>490</v>
      </c>
    </row>
    <row r="29507" spans="1:3">
      <c r="A29507" s="571" t="s">
        <v>1119</v>
      </c>
      <c r="B29507" s="572">
        <v>2.903</v>
      </c>
      <c r="C29507" s="572">
        <v>590</v>
      </c>
    </row>
    <row r="29508" spans="1:3">
      <c r="A29508" s="571" t="s">
        <v>1119</v>
      </c>
      <c r="B29508" s="572">
        <v>3.7970000000000002</v>
      </c>
      <c r="C29508" s="572">
        <v>645</v>
      </c>
    </row>
    <row r="29509" spans="1:3">
      <c r="A29509" s="571" t="s">
        <v>1119</v>
      </c>
      <c r="B29509" s="572">
        <v>5.4850000000000003</v>
      </c>
      <c r="C29509" s="572">
        <v>732.5</v>
      </c>
    </row>
    <row r="29510" spans="1:3">
      <c r="A29510" s="571" t="s">
        <v>1119</v>
      </c>
      <c r="B29510" s="572">
        <v>6.8940000000000001</v>
      </c>
      <c r="C29510" s="572">
        <v>792.5</v>
      </c>
    </row>
    <row r="29511" spans="1:3">
      <c r="A29511" s="571" t="s">
        <v>1119</v>
      </c>
      <c r="B29511" s="572">
        <v>8.0809999999999995</v>
      </c>
      <c r="C29511" s="572">
        <v>840</v>
      </c>
    </row>
    <row r="29512" spans="1:3">
      <c r="A29512" s="571" t="s">
        <v>1119</v>
      </c>
      <c r="B29512" s="572">
        <v>8.8970000000000002</v>
      </c>
      <c r="C29512" s="572">
        <v>862.5</v>
      </c>
    </row>
    <row r="29513" spans="1:3">
      <c r="A29513" s="571" t="s">
        <v>1119</v>
      </c>
      <c r="B29513" s="572">
        <v>9.2370000000000001</v>
      </c>
      <c r="C29513" s="572">
        <v>900</v>
      </c>
    </row>
    <row r="29514" spans="1:3">
      <c r="A29514" s="571" t="s">
        <v>1119</v>
      </c>
      <c r="B29514" s="572">
        <v>9.7200000000000006</v>
      </c>
      <c r="C29514" s="572">
        <v>935</v>
      </c>
    </row>
    <row r="29515" spans="1:3">
      <c r="A29515" s="571" t="s">
        <v>1119</v>
      </c>
      <c r="B29515" s="572">
        <v>10.08</v>
      </c>
      <c r="C29515" s="572">
        <v>945</v>
      </c>
    </row>
    <row r="29516" spans="1:3">
      <c r="A29516" s="571" t="s">
        <v>1119</v>
      </c>
      <c r="B29516" s="572">
        <v>10.51</v>
      </c>
      <c r="C29516" s="572">
        <v>942.5</v>
      </c>
    </row>
    <row r="29517" spans="1:3">
      <c r="A29517" s="571" t="s">
        <v>1119</v>
      </c>
      <c r="B29517" s="572">
        <v>10.88</v>
      </c>
      <c r="C29517" s="572">
        <v>937.5</v>
      </c>
    </row>
    <row r="29518" spans="1:3">
      <c r="A29518" s="571" t="s">
        <v>1119</v>
      </c>
      <c r="B29518" s="572">
        <v>11.22</v>
      </c>
      <c r="C29518" s="572">
        <v>950</v>
      </c>
    </row>
    <row r="29519" spans="1:3">
      <c r="A29519" s="571" t="s">
        <v>1119</v>
      </c>
      <c r="B29519" s="572">
        <v>11.47</v>
      </c>
      <c r="C29519" s="572">
        <v>990</v>
      </c>
    </row>
    <row r="29520" spans="1:3">
      <c r="A29520" s="571" t="s">
        <v>1119</v>
      </c>
      <c r="B29520" s="572">
        <v>11.81</v>
      </c>
      <c r="C29520" s="572">
        <v>1020</v>
      </c>
    </row>
    <row r="29521" spans="1:3">
      <c r="A29521" s="571" t="s">
        <v>1119</v>
      </c>
      <c r="B29521" s="572">
        <v>12.58</v>
      </c>
      <c r="C29521" s="572">
        <v>1050</v>
      </c>
    </row>
    <row r="29522" spans="1:3">
      <c r="A29522" s="571" t="s">
        <v>1119</v>
      </c>
      <c r="B29522" s="572">
        <v>12.92</v>
      </c>
      <c r="C29522" s="572">
        <v>1057</v>
      </c>
    </row>
    <row r="29523" spans="1:3">
      <c r="A29523" s="571" t="s">
        <v>1119</v>
      </c>
      <c r="B29523" s="572">
        <v>13.08</v>
      </c>
      <c r="C29523" s="572">
        <v>1052</v>
      </c>
    </row>
    <row r="29524" spans="1:3">
      <c r="A29524" s="571" t="s">
        <v>1119</v>
      </c>
      <c r="B29524" s="572">
        <v>13.28</v>
      </c>
      <c r="C29524" s="572">
        <v>1045</v>
      </c>
    </row>
    <row r="29525" spans="1:3">
      <c r="A29525" s="571" t="s">
        <v>1119</v>
      </c>
      <c r="B29525" s="572">
        <v>13.62</v>
      </c>
      <c r="C29525" s="572">
        <v>1050</v>
      </c>
    </row>
    <row r="29526" spans="1:3">
      <c r="A29526" s="571" t="s">
        <v>1119</v>
      </c>
      <c r="B29526" s="572">
        <v>13.9</v>
      </c>
      <c r="C29526" s="572">
        <v>1057</v>
      </c>
    </row>
    <row r="29527" spans="1:3">
      <c r="A29527" s="571" t="s">
        <v>1119</v>
      </c>
      <c r="B29527" s="572">
        <v>14.01</v>
      </c>
      <c r="C29527" s="572">
        <v>1052</v>
      </c>
    </row>
    <row r="29528" spans="1:3">
      <c r="A29528" s="571" t="s">
        <v>1117</v>
      </c>
      <c r="B29528" s="572">
        <v>0.75380000000000003</v>
      </c>
      <c r="C29528" s="572">
        <v>102.5</v>
      </c>
    </row>
    <row r="29529" spans="1:3">
      <c r="A29529" s="571" t="s">
        <v>1117</v>
      </c>
      <c r="B29529" s="572">
        <v>0.78169999999999995</v>
      </c>
      <c r="C29529" s="572">
        <v>145</v>
      </c>
    </row>
    <row r="29530" spans="1:3">
      <c r="A29530" s="571" t="s">
        <v>1117</v>
      </c>
      <c r="B29530" s="572">
        <v>1.1719999999999999</v>
      </c>
      <c r="C29530" s="572">
        <v>190</v>
      </c>
    </row>
    <row r="29531" spans="1:3">
      <c r="A29531" s="571" t="s">
        <v>1117</v>
      </c>
      <c r="B29531" s="572">
        <v>2.4009999999999998</v>
      </c>
      <c r="C29531" s="572">
        <v>335</v>
      </c>
    </row>
    <row r="29532" spans="1:3">
      <c r="A29532" s="571" t="s">
        <v>1117</v>
      </c>
      <c r="B29532" s="572">
        <v>3.573</v>
      </c>
      <c r="C29532" s="572">
        <v>410</v>
      </c>
    </row>
    <row r="29533" spans="1:3">
      <c r="A29533" s="571" t="s">
        <v>1117</v>
      </c>
      <c r="B29533" s="572">
        <v>4.7389999999999999</v>
      </c>
      <c r="C29533" s="572">
        <v>472.5</v>
      </c>
    </row>
    <row r="29534" spans="1:3">
      <c r="A29534" s="571" t="s">
        <v>1117</v>
      </c>
      <c r="B29534" s="572">
        <v>5.9820000000000002</v>
      </c>
      <c r="C29534" s="572">
        <v>527.5</v>
      </c>
    </row>
    <row r="29535" spans="1:3">
      <c r="A29535" s="571" t="s">
        <v>1117</v>
      </c>
      <c r="B29535" s="572">
        <v>7.556</v>
      </c>
      <c r="C29535" s="572">
        <v>580</v>
      </c>
    </row>
    <row r="29536" spans="1:3">
      <c r="A29536" s="571" t="s">
        <v>1117</v>
      </c>
      <c r="B29536" s="572">
        <v>8.0259999999999998</v>
      </c>
      <c r="C29536" s="572">
        <v>600</v>
      </c>
    </row>
    <row r="29537" spans="1:3">
      <c r="A29537" s="571" t="s">
        <v>1117</v>
      </c>
      <c r="B29537" s="572">
        <v>8.0809999999999995</v>
      </c>
      <c r="C29537" s="572">
        <v>630</v>
      </c>
    </row>
    <row r="29538" spans="1:3">
      <c r="A29538" s="571" t="s">
        <v>1117</v>
      </c>
      <c r="B29538" s="572">
        <v>8.9819999999999993</v>
      </c>
      <c r="C29538" s="572">
        <v>672.5</v>
      </c>
    </row>
    <row r="29539" spans="1:3">
      <c r="A29539" s="571" t="s">
        <v>1117</v>
      </c>
      <c r="B29539" s="572">
        <v>9.8610000000000007</v>
      </c>
      <c r="C29539" s="572">
        <v>702.5</v>
      </c>
    </row>
    <row r="29540" spans="1:3">
      <c r="A29540" s="571" t="s">
        <v>1117</v>
      </c>
      <c r="B29540" s="572">
        <v>11.28</v>
      </c>
      <c r="C29540" s="572">
        <v>757.5</v>
      </c>
    </row>
    <row r="29541" spans="1:3">
      <c r="A29541" s="571" t="s">
        <v>1117</v>
      </c>
      <c r="B29541" s="572">
        <v>12.86</v>
      </c>
      <c r="C29541" s="572">
        <v>805</v>
      </c>
    </row>
    <row r="29542" spans="1:3">
      <c r="A29542" s="571" t="s">
        <v>1117</v>
      </c>
      <c r="B29542" s="572">
        <v>13.31</v>
      </c>
      <c r="C29542" s="572">
        <v>807.5</v>
      </c>
    </row>
    <row r="29543" spans="1:3">
      <c r="A29543" s="571" t="s">
        <v>1117</v>
      </c>
      <c r="B29543" s="572">
        <v>14.32</v>
      </c>
      <c r="C29543" s="572">
        <v>837.5</v>
      </c>
    </row>
    <row r="29544" spans="1:3">
      <c r="A29544" s="571" t="s">
        <v>1117</v>
      </c>
      <c r="B29544" s="572">
        <v>15.13</v>
      </c>
      <c r="C29544" s="572">
        <v>852.5</v>
      </c>
    </row>
    <row r="29545" spans="1:3">
      <c r="A29545" s="571" t="s">
        <v>1117</v>
      </c>
      <c r="B29545" s="572">
        <v>16.16</v>
      </c>
      <c r="C29545" s="572">
        <v>865</v>
      </c>
    </row>
    <row r="29546" spans="1:3">
      <c r="A29546" s="571" t="s">
        <v>1117</v>
      </c>
      <c r="B29546" s="572">
        <v>16.91</v>
      </c>
      <c r="C29546" s="572">
        <v>885</v>
      </c>
    </row>
    <row r="29547" spans="1:3">
      <c r="A29547" s="571" t="s">
        <v>1117</v>
      </c>
      <c r="B29547" s="572">
        <v>18.760000000000002</v>
      </c>
      <c r="C29547" s="572">
        <v>900</v>
      </c>
    </row>
    <row r="29548" spans="1:3">
      <c r="A29548" s="571" t="s">
        <v>1117</v>
      </c>
      <c r="B29548" s="572">
        <v>20.14</v>
      </c>
      <c r="C29548" s="572">
        <v>942.5</v>
      </c>
    </row>
    <row r="29549" spans="1:3">
      <c r="A29549" s="571" t="s">
        <v>1115</v>
      </c>
      <c r="B29549" s="572">
        <v>1.1000000000000001</v>
      </c>
      <c r="C29549" s="572">
        <v>59.82</v>
      </c>
    </row>
    <row r="29550" spans="1:3">
      <c r="A29550" s="571" t="s">
        <v>1115</v>
      </c>
      <c r="B29550" s="572">
        <v>2.1</v>
      </c>
      <c r="C29550" s="572">
        <v>76.86</v>
      </c>
    </row>
    <row r="29551" spans="1:3">
      <c r="A29551" s="571" t="s">
        <v>1115</v>
      </c>
      <c r="B29551" s="572">
        <v>3.1</v>
      </c>
      <c r="C29551" s="572">
        <v>94.32</v>
      </c>
    </row>
    <row r="29552" spans="1:3">
      <c r="A29552" s="571" t="s">
        <v>1115</v>
      </c>
      <c r="B29552" s="572">
        <v>5.2</v>
      </c>
      <c r="C29552" s="572">
        <v>112.12</v>
      </c>
    </row>
    <row r="29553" spans="1:3">
      <c r="A29553" s="571" t="s">
        <v>1115</v>
      </c>
      <c r="B29553" s="572">
        <v>8.3000000000000007</v>
      </c>
      <c r="C29553" s="572">
        <v>132.9</v>
      </c>
    </row>
    <row r="29554" spans="1:3">
      <c r="A29554" s="571" t="s">
        <v>1115</v>
      </c>
      <c r="B29554" s="572">
        <v>13.6</v>
      </c>
      <c r="C29554" s="572">
        <v>143.29</v>
      </c>
    </row>
    <row r="29555" spans="1:3">
      <c r="A29555" s="571" t="s">
        <v>1115</v>
      </c>
      <c r="B29555" s="572">
        <v>17.399999999999999</v>
      </c>
      <c r="C29555" s="572">
        <v>153.25</v>
      </c>
    </row>
    <row r="29556" spans="1:3">
      <c r="A29556" s="571" t="s">
        <v>1115</v>
      </c>
      <c r="B29556" s="572">
        <v>27.3</v>
      </c>
      <c r="C29556" s="572">
        <v>154.97999999999999</v>
      </c>
    </row>
    <row r="29557" spans="1:3">
      <c r="A29557" s="571" t="s">
        <v>1115</v>
      </c>
      <c r="B29557" s="572">
        <v>37.9</v>
      </c>
      <c r="C29557" s="572">
        <v>159.31</v>
      </c>
    </row>
    <row r="29558" spans="1:3">
      <c r="A29558" s="571" t="s">
        <v>1115</v>
      </c>
      <c r="B29558" s="572">
        <v>57.8</v>
      </c>
      <c r="C29558" s="572">
        <v>158.44</v>
      </c>
    </row>
    <row r="29559" spans="1:3">
      <c r="A29559" s="571" t="s">
        <v>1115</v>
      </c>
      <c r="B29559" s="572">
        <v>69.7</v>
      </c>
      <c r="C29559" s="572">
        <v>158.44</v>
      </c>
    </row>
    <row r="29560" spans="1:3">
      <c r="A29560" s="571" t="s">
        <v>1115</v>
      </c>
      <c r="B29560" s="572">
        <v>78.099999999999994</v>
      </c>
      <c r="C29560" s="572">
        <v>106.93</v>
      </c>
    </row>
    <row r="29561" spans="1:3">
      <c r="A29561" s="573" t="s">
        <v>1115</v>
      </c>
      <c r="B29561" s="574">
        <v>108.3</v>
      </c>
      <c r="C29561" s="574">
        <v>101.73</v>
      </c>
    </row>
    <row r="29562" spans="1:3">
      <c r="A29562" s="573" t="s">
        <v>1115</v>
      </c>
      <c r="B29562" s="574">
        <v>147.69999999999999</v>
      </c>
      <c r="C29562" s="574">
        <v>89.08</v>
      </c>
    </row>
    <row r="29563" spans="1:3">
      <c r="A29563" s="573" t="s">
        <v>1115</v>
      </c>
      <c r="B29563" s="574">
        <v>182</v>
      </c>
      <c r="C29563" s="574">
        <v>76.42</v>
      </c>
    </row>
    <row r="29564" spans="1:3">
      <c r="A29564" s="573" t="s">
        <v>1115</v>
      </c>
      <c r="B29564" s="574">
        <v>220.7</v>
      </c>
      <c r="C29564" s="574">
        <v>59.82</v>
      </c>
    </row>
    <row r="29565" spans="1:3">
      <c r="A29565" s="573" t="s">
        <v>1115</v>
      </c>
      <c r="B29565" s="574">
        <v>300.39999999999998</v>
      </c>
      <c r="C29565" s="574">
        <v>31.89</v>
      </c>
    </row>
    <row r="29566" spans="1:3">
      <c r="A29566" s="573" t="s">
        <v>1115</v>
      </c>
      <c r="B29566" s="574">
        <v>371.4</v>
      </c>
      <c r="C29566" s="574">
        <v>36.68</v>
      </c>
    </row>
    <row r="29567" spans="1:3">
      <c r="A29567" s="571" t="s">
        <v>1114</v>
      </c>
      <c r="B29567" s="572">
        <v>1.1000000000000001</v>
      </c>
      <c r="C29567" s="572">
        <v>77.290000000000006</v>
      </c>
    </row>
    <row r="29568" spans="1:3">
      <c r="A29568" s="571" t="s">
        <v>1114</v>
      </c>
      <c r="B29568" s="572">
        <v>2.2000000000000002</v>
      </c>
      <c r="C29568" s="572">
        <v>145.46</v>
      </c>
    </row>
    <row r="29569" spans="1:3">
      <c r="A29569" s="571" t="s">
        <v>1114</v>
      </c>
      <c r="B29569" s="572">
        <v>4.3</v>
      </c>
      <c r="C29569" s="572">
        <v>244.59</v>
      </c>
    </row>
    <row r="29570" spans="1:3">
      <c r="A29570" s="571" t="s">
        <v>1114</v>
      </c>
      <c r="B29570" s="572">
        <v>7.1</v>
      </c>
      <c r="C29570" s="572">
        <v>344.16</v>
      </c>
    </row>
    <row r="29571" spans="1:3">
      <c r="A29571" s="571" t="s">
        <v>1114</v>
      </c>
      <c r="B29571" s="572">
        <v>11.7</v>
      </c>
      <c r="C29571" s="572">
        <v>443.18</v>
      </c>
    </row>
    <row r="29572" spans="1:3">
      <c r="A29572" s="571" t="s">
        <v>1114</v>
      </c>
      <c r="B29572" s="572">
        <v>17.3</v>
      </c>
      <c r="C29572" s="572">
        <v>479.55</v>
      </c>
    </row>
    <row r="29573" spans="1:3">
      <c r="A29573" s="571" t="s">
        <v>1114</v>
      </c>
      <c r="B29573" s="572">
        <v>28</v>
      </c>
      <c r="C29573" s="572">
        <v>513.76</v>
      </c>
    </row>
    <row r="29574" spans="1:3">
      <c r="A29574" s="571" t="s">
        <v>1114</v>
      </c>
      <c r="B29574" s="572">
        <v>49.7</v>
      </c>
      <c r="C29574" s="572">
        <v>530.28</v>
      </c>
    </row>
    <row r="29575" spans="1:3">
      <c r="A29575" s="571" t="s">
        <v>1114</v>
      </c>
      <c r="B29575" s="572">
        <v>60.7</v>
      </c>
      <c r="C29575" s="572">
        <v>542.66</v>
      </c>
    </row>
    <row r="29576" spans="1:3">
      <c r="A29576" s="571" t="s">
        <v>1114</v>
      </c>
      <c r="B29576" s="572">
        <v>84.6</v>
      </c>
      <c r="C29576" s="572">
        <v>560.09</v>
      </c>
    </row>
    <row r="29577" spans="1:3">
      <c r="A29577" s="573" t="s">
        <v>1114</v>
      </c>
      <c r="B29577" s="574">
        <v>102.7</v>
      </c>
      <c r="C29577" s="574">
        <v>561.47</v>
      </c>
    </row>
    <row r="29578" spans="1:3">
      <c r="A29578" s="573" t="s">
        <v>1114</v>
      </c>
      <c r="B29578" s="574">
        <v>136.30000000000001</v>
      </c>
      <c r="C29578" s="574">
        <v>572.02</v>
      </c>
    </row>
    <row r="29579" spans="1:3">
      <c r="A29579" s="573" t="s">
        <v>1114</v>
      </c>
      <c r="B29579" s="574">
        <v>162.6</v>
      </c>
      <c r="C29579" s="574">
        <v>571.1</v>
      </c>
    </row>
    <row r="29580" spans="1:3">
      <c r="A29580" s="573" t="s">
        <v>1114</v>
      </c>
      <c r="B29580" s="574">
        <v>202.5</v>
      </c>
      <c r="C29580" s="574">
        <v>562.84</v>
      </c>
    </row>
    <row r="29581" spans="1:3">
      <c r="A29581" s="573" t="s">
        <v>1114</v>
      </c>
      <c r="B29581" s="574">
        <v>236.6</v>
      </c>
      <c r="C29581" s="574">
        <v>569.73</v>
      </c>
    </row>
    <row r="29582" spans="1:3">
      <c r="A29582" s="571" t="s">
        <v>1113</v>
      </c>
      <c r="B29582" s="572">
        <v>1</v>
      </c>
      <c r="C29582" s="572">
        <v>17.46</v>
      </c>
    </row>
    <row r="29583" spans="1:3">
      <c r="A29583" s="571" t="s">
        <v>1113</v>
      </c>
      <c r="B29583" s="572">
        <v>2.1</v>
      </c>
      <c r="C29583" s="572">
        <v>75.099999999999994</v>
      </c>
    </row>
    <row r="29584" spans="1:3">
      <c r="A29584" s="571" t="s">
        <v>1113</v>
      </c>
      <c r="B29584" s="572">
        <v>3.1</v>
      </c>
      <c r="C29584" s="572">
        <v>95.63</v>
      </c>
    </row>
    <row r="29585" spans="1:3">
      <c r="A29585" s="571" t="s">
        <v>1113</v>
      </c>
      <c r="B29585" s="572">
        <v>8.4</v>
      </c>
      <c r="C29585" s="572">
        <v>122.08</v>
      </c>
    </row>
    <row r="29586" spans="1:3">
      <c r="A29586" s="571" t="s">
        <v>1113</v>
      </c>
      <c r="B29586" s="572">
        <v>13.4</v>
      </c>
      <c r="C29586" s="572">
        <v>131.6</v>
      </c>
    </row>
    <row r="29587" spans="1:3">
      <c r="A29587" s="571" t="s">
        <v>1113</v>
      </c>
      <c r="B29587" s="572">
        <v>18.399999999999999</v>
      </c>
      <c r="C29587" s="572">
        <v>138.53</v>
      </c>
    </row>
    <row r="29588" spans="1:3">
      <c r="A29588" s="571" t="s">
        <v>1113</v>
      </c>
      <c r="B29588" s="572">
        <v>28.3</v>
      </c>
      <c r="C29588" s="572">
        <v>147.19</v>
      </c>
    </row>
    <row r="29589" spans="1:3">
      <c r="A29589" s="571" t="s">
        <v>1113</v>
      </c>
      <c r="B29589" s="572">
        <v>67.7</v>
      </c>
      <c r="C29589" s="572">
        <v>186.15</v>
      </c>
    </row>
    <row r="29590" spans="1:3">
      <c r="A29590" s="571" t="s">
        <v>1113</v>
      </c>
      <c r="B29590" s="572">
        <v>88.9</v>
      </c>
      <c r="C29590" s="572">
        <v>187.01</v>
      </c>
    </row>
    <row r="29591" spans="1:3">
      <c r="A29591" s="573" t="s">
        <v>1113</v>
      </c>
      <c r="B29591" s="574">
        <v>110.2</v>
      </c>
      <c r="C29591" s="574">
        <v>201.73</v>
      </c>
    </row>
    <row r="29592" spans="1:3">
      <c r="A29592" s="573" t="s">
        <v>1113</v>
      </c>
      <c r="B29592" s="574">
        <v>151.1</v>
      </c>
      <c r="C29592" s="574">
        <v>237.66</v>
      </c>
    </row>
    <row r="29593" spans="1:3">
      <c r="A29593" s="573" t="s">
        <v>1113</v>
      </c>
      <c r="B29593" s="574">
        <v>204.5</v>
      </c>
      <c r="C29593" s="574">
        <v>282.68</v>
      </c>
    </row>
    <row r="29594" spans="1:3">
      <c r="A29594" s="573" t="s">
        <v>1113</v>
      </c>
      <c r="B29594" s="574">
        <v>266.60000000000002</v>
      </c>
      <c r="C29594" s="574">
        <v>329</v>
      </c>
    </row>
    <row r="29595" spans="1:3">
      <c r="A29595" s="573" t="s">
        <v>1113</v>
      </c>
      <c r="B29595" s="574">
        <v>312.60000000000002</v>
      </c>
      <c r="C29595" s="574">
        <v>379.22</v>
      </c>
    </row>
    <row r="29596" spans="1:3">
      <c r="A29596" s="573" t="s">
        <v>1113</v>
      </c>
      <c r="B29596" s="574">
        <v>356.9</v>
      </c>
      <c r="C29596" s="574">
        <v>425.46</v>
      </c>
    </row>
    <row r="29597" spans="1:3">
      <c r="A29597" s="571" t="s">
        <v>1112</v>
      </c>
      <c r="B29597" s="572">
        <v>1</v>
      </c>
      <c r="C29597" s="572">
        <v>4.3600000000000003</v>
      </c>
    </row>
    <row r="29598" spans="1:3">
      <c r="A29598" s="571" t="s">
        <v>1112</v>
      </c>
      <c r="B29598" s="572">
        <v>2</v>
      </c>
      <c r="C29598" s="572">
        <v>5.67</v>
      </c>
    </row>
    <row r="29599" spans="1:3">
      <c r="A29599" s="571" t="s">
        <v>1112</v>
      </c>
      <c r="B29599" s="572">
        <v>3.1</v>
      </c>
      <c r="C29599" s="572">
        <v>11.79</v>
      </c>
    </row>
    <row r="29600" spans="1:3">
      <c r="A29600" s="571" t="s">
        <v>1112</v>
      </c>
      <c r="B29600" s="572">
        <v>4.2</v>
      </c>
      <c r="C29600" s="572">
        <v>15.72</v>
      </c>
    </row>
    <row r="29601" spans="1:3">
      <c r="A29601" s="571" t="s">
        <v>1112</v>
      </c>
      <c r="B29601" s="572">
        <v>5.0999999999999996</v>
      </c>
      <c r="C29601" s="572">
        <v>25.33</v>
      </c>
    </row>
    <row r="29602" spans="1:3">
      <c r="A29602" s="571" t="s">
        <v>1112</v>
      </c>
      <c r="B29602" s="572">
        <v>6.2</v>
      </c>
      <c r="C29602" s="572">
        <v>30.13</v>
      </c>
    </row>
    <row r="29603" spans="1:3">
      <c r="A29603" s="571" t="s">
        <v>1112</v>
      </c>
      <c r="B29603" s="572">
        <v>7.3</v>
      </c>
      <c r="C29603" s="572">
        <v>33.630000000000003</v>
      </c>
    </row>
    <row r="29604" spans="1:3">
      <c r="A29604" s="571" t="s">
        <v>1112</v>
      </c>
      <c r="B29604" s="572">
        <v>8.1999999999999993</v>
      </c>
      <c r="C29604" s="572">
        <v>37.99</v>
      </c>
    </row>
    <row r="29605" spans="1:3">
      <c r="A29605" s="571" t="s">
        <v>1112</v>
      </c>
      <c r="B29605" s="572">
        <v>9.1999999999999993</v>
      </c>
      <c r="C29605" s="572">
        <v>42.8</v>
      </c>
    </row>
    <row r="29606" spans="1:3">
      <c r="A29606" s="571" t="s">
        <v>1112</v>
      </c>
      <c r="B29606" s="572">
        <v>10.3</v>
      </c>
      <c r="C29606" s="572">
        <v>49.35</v>
      </c>
    </row>
    <row r="29607" spans="1:3">
      <c r="A29607" s="571" t="s">
        <v>1112</v>
      </c>
      <c r="B29607" s="572">
        <v>13.4</v>
      </c>
      <c r="C29607" s="572">
        <v>62</v>
      </c>
    </row>
    <row r="29608" spans="1:3">
      <c r="A29608" s="571" t="s">
        <v>1112</v>
      </c>
      <c r="B29608" s="572">
        <v>16.5</v>
      </c>
      <c r="C29608" s="572">
        <v>72</v>
      </c>
    </row>
    <row r="29609" spans="1:3">
      <c r="A29609" s="571" t="s">
        <v>1112</v>
      </c>
      <c r="B29609" s="572">
        <v>20</v>
      </c>
      <c r="C29609" s="572">
        <v>86</v>
      </c>
    </row>
    <row r="29610" spans="1:3">
      <c r="A29610" s="571" t="s">
        <v>1112</v>
      </c>
      <c r="B29610" s="572">
        <v>22.1</v>
      </c>
      <c r="C29610" s="572">
        <v>92.6</v>
      </c>
    </row>
    <row r="29611" spans="1:3">
      <c r="A29611" s="571" t="s">
        <v>1112</v>
      </c>
      <c r="B29611" s="572">
        <v>30.7</v>
      </c>
      <c r="C29611" s="572">
        <v>117.75</v>
      </c>
    </row>
    <row r="29612" spans="1:3">
      <c r="A29612" s="571" t="s">
        <v>1112</v>
      </c>
      <c r="B29612" s="572">
        <v>34.200000000000003</v>
      </c>
      <c r="C29612" s="572">
        <v>130.74</v>
      </c>
    </row>
    <row r="29613" spans="1:3">
      <c r="A29613" s="571" t="s">
        <v>1112</v>
      </c>
      <c r="B29613" s="572">
        <v>40.4</v>
      </c>
      <c r="C29613" s="572">
        <v>142.41999999999999</v>
      </c>
    </row>
    <row r="29614" spans="1:3">
      <c r="A29614" s="571" t="s">
        <v>1112</v>
      </c>
      <c r="B29614" s="572">
        <v>50.5</v>
      </c>
      <c r="C29614" s="572">
        <v>163.19999999999999</v>
      </c>
    </row>
    <row r="29615" spans="1:3">
      <c r="A29615" s="571" t="s">
        <v>1112</v>
      </c>
      <c r="B29615" s="572">
        <v>59.7</v>
      </c>
      <c r="C29615" s="572">
        <v>171</v>
      </c>
    </row>
    <row r="29616" spans="1:3">
      <c r="A29616" s="571" t="s">
        <v>1112</v>
      </c>
      <c r="B29616" s="572">
        <v>65.900000000000006</v>
      </c>
      <c r="C29616" s="572">
        <v>177.49</v>
      </c>
    </row>
    <row r="29617" spans="1:3">
      <c r="A29617" s="571" t="s">
        <v>1112</v>
      </c>
      <c r="B29617" s="572">
        <v>73.7</v>
      </c>
      <c r="C29617" s="572">
        <v>191.78</v>
      </c>
    </row>
    <row r="29618" spans="1:3">
      <c r="A29618" s="571" t="s">
        <v>1112</v>
      </c>
      <c r="B29618" s="572">
        <v>76.400000000000006</v>
      </c>
      <c r="C29618" s="572">
        <v>200.87</v>
      </c>
    </row>
    <row r="29619" spans="1:3">
      <c r="A29619" s="571" t="s">
        <v>1112</v>
      </c>
      <c r="B29619" s="572">
        <v>81.900000000000006</v>
      </c>
      <c r="C29619" s="572">
        <v>204.76</v>
      </c>
    </row>
    <row r="29620" spans="1:3">
      <c r="A29620" s="571" t="s">
        <v>1112</v>
      </c>
      <c r="B29620" s="572">
        <v>88.3</v>
      </c>
      <c r="C29620" s="572">
        <v>206.06</v>
      </c>
    </row>
    <row r="29621" spans="1:3">
      <c r="A29621" s="571" t="s">
        <v>1112</v>
      </c>
      <c r="B29621" s="572">
        <v>95.5</v>
      </c>
      <c r="C29621" s="572">
        <v>207.36</v>
      </c>
    </row>
    <row r="29622" spans="1:3">
      <c r="A29622" s="573" t="s">
        <v>1112</v>
      </c>
      <c r="B29622" s="574">
        <v>101.7</v>
      </c>
      <c r="C29622" s="574">
        <v>212.99</v>
      </c>
    </row>
    <row r="29623" spans="1:3">
      <c r="A29623" s="573" t="s">
        <v>1112</v>
      </c>
      <c r="B29623" s="574">
        <v>115</v>
      </c>
      <c r="C29623" s="574">
        <v>217.75</v>
      </c>
    </row>
    <row r="29624" spans="1:3">
      <c r="A29624" s="573" t="s">
        <v>1112</v>
      </c>
      <c r="B29624" s="574">
        <v>131.9</v>
      </c>
      <c r="C29624" s="574">
        <v>238.53</v>
      </c>
    </row>
    <row r="29625" spans="1:3">
      <c r="A29625" s="573" t="s">
        <v>1112</v>
      </c>
      <c r="B29625" s="574">
        <v>147.1</v>
      </c>
      <c r="C29625" s="574">
        <v>240.26</v>
      </c>
    </row>
    <row r="29626" spans="1:3">
      <c r="A29626" s="573" t="s">
        <v>1112</v>
      </c>
      <c r="B29626" s="574">
        <v>167.5</v>
      </c>
      <c r="C29626" s="574">
        <v>246.75</v>
      </c>
    </row>
    <row r="29627" spans="1:3">
      <c r="A29627" s="573" t="s">
        <v>1112</v>
      </c>
      <c r="B29627" s="574">
        <v>188.1</v>
      </c>
      <c r="C29627" s="574">
        <v>246.32</v>
      </c>
    </row>
    <row r="29628" spans="1:3">
      <c r="A29628" s="573" t="s">
        <v>1112</v>
      </c>
      <c r="B29628" s="574">
        <v>203.1</v>
      </c>
      <c r="C29628" s="574">
        <v>254.11</v>
      </c>
    </row>
    <row r="29629" spans="1:3">
      <c r="A29629" s="573" t="s">
        <v>1112</v>
      </c>
      <c r="B29629" s="574">
        <v>225.9</v>
      </c>
      <c r="C29629" s="574">
        <v>248.05</v>
      </c>
    </row>
    <row r="29630" spans="1:3">
      <c r="A29630" s="573" t="s">
        <v>1112</v>
      </c>
      <c r="B29630" s="574">
        <v>254.5</v>
      </c>
      <c r="C29630" s="574">
        <v>259.31</v>
      </c>
    </row>
    <row r="29631" spans="1:3">
      <c r="A29631" s="573" t="s">
        <v>1112</v>
      </c>
      <c r="B29631" s="574">
        <v>277.5</v>
      </c>
      <c r="C29631" s="574">
        <v>274.89</v>
      </c>
    </row>
    <row r="29632" spans="1:3">
      <c r="A29632" s="573" t="s">
        <v>1112</v>
      </c>
      <c r="B29632" s="574">
        <v>305.5</v>
      </c>
      <c r="C29632" s="574">
        <v>287.88</v>
      </c>
    </row>
    <row r="29633" spans="1:3">
      <c r="A29633" s="573" t="s">
        <v>1112</v>
      </c>
      <c r="B29633" s="574">
        <v>330.7</v>
      </c>
      <c r="C29633" s="574">
        <v>298.7</v>
      </c>
    </row>
    <row r="29634" spans="1:3">
      <c r="A29634" s="573" t="s">
        <v>1112</v>
      </c>
      <c r="B29634" s="574">
        <v>375.1</v>
      </c>
      <c r="C29634" s="574">
        <v>308.66000000000003</v>
      </c>
    </row>
    <row r="29635" spans="1:3">
      <c r="A29635" s="573" t="s">
        <v>1112</v>
      </c>
      <c r="B29635" s="574">
        <v>406.2</v>
      </c>
      <c r="C29635" s="574">
        <v>304.33</v>
      </c>
    </row>
    <row r="29636" spans="1:3">
      <c r="A29636" s="573" t="s">
        <v>1112</v>
      </c>
      <c r="B29636" s="574">
        <v>418.4</v>
      </c>
      <c r="C29636" s="574">
        <v>313.42</v>
      </c>
    </row>
    <row r="29637" spans="1:3">
      <c r="A29637" s="573" t="s">
        <v>1112</v>
      </c>
      <c r="B29637" s="574">
        <v>453.1</v>
      </c>
      <c r="C29637" s="574">
        <v>312.55</v>
      </c>
    </row>
    <row r="29638" spans="1:3">
      <c r="A29638" s="573" t="s">
        <v>1112</v>
      </c>
      <c r="B29638" s="574">
        <v>473</v>
      </c>
      <c r="C29638" s="574">
        <v>319.48</v>
      </c>
    </row>
    <row r="29639" spans="1:3">
      <c r="A29639" s="569" t="s">
        <v>1112</v>
      </c>
      <c r="B29639" s="570">
        <v>510.4</v>
      </c>
      <c r="C29639" s="570">
        <v>305.2</v>
      </c>
    </row>
    <row r="29640" spans="1:3">
      <c r="A29640" s="569" t="s">
        <v>1112</v>
      </c>
      <c r="B29640" s="570">
        <v>536.4</v>
      </c>
      <c r="C29640" s="570">
        <v>302.60000000000002</v>
      </c>
    </row>
    <row r="29641" spans="1:3">
      <c r="A29641" s="571" t="s">
        <v>1111</v>
      </c>
      <c r="B29641" s="572">
        <v>1</v>
      </c>
      <c r="C29641" s="572">
        <v>0.89</v>
      </c>
    </row>
    <row r="29642" spans="1:3">
      <c r="A29642" s="571" t="s">
        <v>1111</v>
      </c>
      <c r="B29642" s="572">
        <v>2.1</v>
      </c>
      <c r="C29642" s="572">
        <v>9.33</v>
      </c>
    </row>
    <row r="29643" spans="1:3">
      <c r="A29643" s="571" t="s">
        <v>1111</v>
      </c>
      <c r="B29643" s="572">
        <v>3</v>
      </c>
      <c r="C29643" s="572">
        <v>10.220000000000001</v>
      </c>
    </row>
    <row r="29644" spans="1:3">
      <c r="A29644" s="571" t="s">
        <v>1111</v>
      </c>
      <c r="B29644" s="572">
        <v>4.0999999999999996</v>
      </c>
      <c r="C29644" s="572">
        <v>10.66</v>
      </c>
    </row>
    <row r="29645" spans="1:3">
      <c r="A29645" s="571" t="s">
        <v>1111</v>
      </c>
      <c r="B29645" s="572">
        <v>5.2</v>
      </c>
      <c r="C29645" s="572">
        <v>11.55</v>
      </c>
    </row>
    <row r="29646" spans="1:3">
      <c r="A29646" s="571" t="s">
        <v>1111</v>
      </c>
      <c r="B29646" s="572">
        <v>6.1</v>
      </c>
      <c r="C29646" s="572">
        <v>11.55</v>
      </c>
    </row>
    <row r="29647" spans="1:3">
      <c r="A29647" s="571" t="s">
        <v>1111</v>
      </c>
      <c r="B29647" s="572">
        <v>7.1</v>
      </c>
      <c r="C29647" s="572">
        <v>15.55</v>
      </c>
    </row>
    <row r="29648" spans="1:3">
      <c r="A29648" s="571" t="s">
        <v>1111</v>
      </c>
      <c r="B29648" s="572">
        <v>8.3000000000000007</v>
      </c>
      <c r="C29648" s="572">
        <v>17.77</v>
      </c>
    </row>
    <row r="29649" spans="1:3">
      <c r="A29649" s="571" t="s">
        <v>1111</v>
      </c>
      <c r="B29649" s="572">
        <v>9.1999999999999993</v>
      </c>
      <c r="C29649" s="572">
        <v>17.329999999999998</v>
      </c>
    </row>
    <row r="29650" spans="1:3">
      <c r="A29650" s="571" t="s">
        <v>1111</v>
      </c>
      <c r="B29650" s="572">
        <v>10.199999999999999</v>
      </c>
      <c r="C29650" s="572">
        <v>17.77</v>
      </c>
    </row>
    <row r="29651" spans="1:3">
      <c r="A29651" s="571" t="s">
        <v>1111</v>
      </c>
      <c r="B29651" s="572">
        <v>13.2</v>
      </c>
      <c r="C29651" s="572">
        <v>20.88</v>
      </c>
    </row>
    <row r="29652" spans="1:3">
      <c r="A29652" s="571" t="s">
        <v>1111</v>
      </c>
      <c r="B29652" s="572">
        <v>16</v>
      </c>
      <c r="C29652" s="572">
        <v>21.33</v>
      </c>
    </row>
    <row r="29653" spans="1:3">
      <c r="A29653" s="571" t="s">
        <v>1111</v>
      </c>
      <c r="B29653" s="572">
        <v>19.899999999999999</v>
      </c>
      <c r="C29653" s="572">
        <v>23.11</v>
      </c>
    </row>
    <row r="29654" spans="1:3">
      <c r="A29654" s="571" t="s">
        <v>1111</v>
      </c>
      <c r="B29654" s="572">
        <v>21.9</v>
      </c>
      <c r="C29654" s="572">
        <v>23.55</v>
      </c>
    </row>
    <row r="29655" spans="1:3">
      <c r="A29655" s="571" t="s">
        <v>1111</v>
      </c>
      <c r="B29655" s="572">
        <v>29.7</v>
      </c>
      <c r="C29655" s="572">
        <v>23.55</v>
      </c>
    </row>
    <row r="29656" spans="1:3">
      <c r="A29656" s="571" t="s">
        <v>1111</v>
      </c>
      <c r="B29656" s="572">
        <v>39</v>
      </c>
      <c r="C29656" s="572">
        <v>21.77</v>
      </c>
    </row>
    <row r="29657" spans="1:3">
      <c r="A29657" s="571" t="s">
        <v>1111</v>
      </c>
      <c r="B29657" s="572">
        <v>49.4</v>
      </c>
      <c r="C29657" s="572">
        <v>21.77</v>
      </c>
    </row>
    <row r="29658" spans="1:3">
      <c r="A29658" s="571" t="s">
        <v>1111</v>
      </c>
      <c r="B29658" s="572">
        <v>58.4</v>
      </c>
      <c r="C29658" s="572">
        <v>19.11</v>
      </c>
    </row>
    <row r="29659" spans="1:3">
      <c r="A29659" s="571" t="s">
        <v>1111</v>
      </c>
      <c r="B29659" s="572">
        <v>71.3</v>
      </c>
      <c r="C29659" s="572">
        <v>18.22</v>
      </c>
    </row>
    <row r="29660" spans="1:3">
      <c r="A29660" s="571" t="s">
        <v>1111</v>
      </c>
      <c r="B29660" s="572">
        <v>77.400000000000006</v>
      </c>
      <c r="C29660" s="572">
        <v>19.11</v>
      </c>
    </row>
    <row r="29661" spans="1:3">
      <c r="A29661" s="571" t="s">
        <v>1111</v>
      </c>
      <c r="B29661" s="572">
        <v>92.1</v>
      </c>
      <c r="C29661" s="572">
        <v>21.77</v>
      </c>
    </row>
    <row r="29662" spans="1:3">
      <c r="A29662" s="571" t="s">
        <v>1111</v>
      </c>
      <c r="B29662" s="572">
        <v>98.3</v>
      </c>
      <c r="C29662" s="572">
        <v>28</v>
      </c>
    </row>
    <row r="29663" spans="1:3">
      <c r="A29663" s="573" t="s">
        <v>1111</v>
      </c>
      <c r="B29663" s="574">
        <v>125.9</v>
      </c>
      <c r="C29663" s="574">
        <v>36.44</v>
      </c>
    </row>
    <row r="29664" spans="1:3">
      <c r="A29664" s="573" t="s">
        <v>1111</v>
      </c>
      <c r="B29664" s="574">
        <v>156.80000000000001</v>
      </c>
      <c r="C29664" s="574">
        <v>37.770000000000003</v>
      </c>
    </row>
    <row r="29665" spans="1:3">
      <c r="A29665" s="573" t="s">
        <v>1111</v>
      </c>
      <c r="B29665" s="574">
        <v>164.8</v>
      </c>
      <c r="C29665" s="574">
        <v>29.33</v>
      </c>
    </row>
    <row r="29666" spans="1:3">
      <c r="A29666" s="573" t="s">
        <v>1111</v>
      </c>
      <c r="B29666" s="574">
        <v>182.7</v>
      </c>
      <c r="C29666" s="574">
        <v>43.55</v>
      </c>
    </row>
    <row r="29667" spans="1:3">
      <c r="A29667" s="573" t="s">
        <v>1111</v>
      </c>
      <c r="B29667" s="574">
        <v>197.2</v>
      </c>
      <c r="C29667" s="574">
        <v>30.22</v>
      </c>
    </row>
    <row r="29668" spans="1:3">
      <c r="A29668" s="573" t="s">
        <v>1111</v>
      </c>
      <c r="B29668" s="574">
        <v>217.1</v>
      </c>
      <c r="C29668" s="574">
        <v>47.55</v>
      </c>
    </row>
    <row r="29669" spans="1:3">
      <c r="A29669" s="573" t="s">
        <v>1111</v>
      </c>
      <c r="B29669" s="574">
        <v>242.2</v>
      </c>
      <c r="C29669" s="574">
        <v>37.33</v>
      </c>
    </row>
    <row r="29670" spans="1:3">
      <c r="A29670" s="573" t="s">
        <v>1111</v>
      </c>
      <c r="B29670" s="574">
        <v>264</v>
      </c>
      <c r="C29670" s="574">
        <v>41.33</v>
      </c>
    </row>
    <row r="29671" spans="1:3">
      <c r="A29671" s="573" t="s">
        <v>1111</v>
      </c>
      <c r="B29671" s="574">
        <v>298.5</v>
      </c>
      <c r="C29671" s="574">
        <v>29.77</v>
      </c>
    </row>
    <row r="29672" spans="1:3">
      <c r="A29672" s="573" t="s">
        <v>1111</v>
      </c>
      <c r="B29672" s="574">
        <v>325.3</v>
      </c>
      <c r="C29672" s="574">
        <v>25.33</v>
      </c>
    </row>
    <row r="29673" spans="1:3">
      <c r="A29673" s="573" t="s">
        <v>1111</v>
      </c>
      <c r="B29673" s="574">
        <v>354.6</v>
      </c>
      <c r="C29673" s="574">
        <v>20.88</v>
      </c>
    </row>
    <row r="29674" spans="1:3">
      <c r="A29674" s="573" t="s">
        <v>1111</v>
      </c>
      <c r="B29674" s="574">
        <v>418.4</v>
      </c>
      <c r="C29674" s="574">
        <v>11.55</v>
      </c>
    </row>
    <row r="29675" spans="1:3">
      <c r="A29675" s="573" t="s">
        <v>1111</v>
      </c>
      <c r="B29675" s="574">
        <v>456</v>
      </c>
      <c r="C29675" s="574">
        <v>9.33</v>
      </c>
    </row>
    <row r="29676" spans="1:3">
      <c r="A29676" s="573" t="s">
        <v>1111</v>
      </c>
      <c r="B29676" s="574">
        <v>484</v>
      </c>
      <c r="C29676" s="574">
        <v>18.66</v>
      </c>
    </row>
    <row r="29677" spans="1:3">
      <c r="A29677" s="569" t="s">
        <v>1111</v>
      </c>
      <c r="B29677" s="570">
        <v>510.4</v>
      </c>
      <c r="C29677" s="570">
        <v>35.11</v>
      </c>
    </row>
    <row r="29678" spans="1:3">
      <c r="A29678" s="571" t="s">
        <v>1110</v>
      </c>
      <c r="B29678" s="572">
        <v>1</v>
      </c>
      <c r="C29678" s="572">
        <v>3.11</v>
      </c>
    </row>
    <row r="29679" spans="1:3">
      <c r="A29679" s="571" t="s">
        <v>1110</v>
      </c>
      <c r="B29679" s="572">
        <v>2</v>
      </c>
      <c r="C29679" s="572">
        <v>12.88</v>
      </c>
    </row>
    <row r="29680" spans="1:3">
      <c r="A29680" s="571" t="s">
        <v>1110</v>
      </c>
      <c r="B29680" s="572">
        <v>3</v>
      </c>
      <c r="C29680" s="572">
        <v>12.88</v>
      </c>
    </row>
    <row r="29681" spans="1:3">
      <c r="A29681" s="571" t="s">
        <v>1110</v>
      </c>
      <c r="B29681" s="572">
        <v>4.0999999999999996</v>
      </c>
      <c r="C29681" s="572">
        <v>16.88</v>
      </c>
    </row>
    <row r="29682" spans="1:3">
      <c r="A29682" s="571" t="s">
        <v>1110</v>
      </c>
      <c r="B29682" s="572">
        <v>5.0999999999999996</v>
      </c>
      <c r="C29682" s="572">
        <v>20</v>
      </c>
    </row>
    <row r="29683" spans="1:3">
      <c r="A29683" s="571" t="s">
        <v>1110</v>
      </c>
      <c r="B29683" s="572">
        <v>6.2</v>
      </c>
      <c r="C29683" s="572">
        <v>20.88</v>
      </c>
    </row>
    <row r="29684" spans="1:3">
      <c r="A29684" s="571" t="s">
        <v>1110</v>
      </c>
      <c r="B29684" s="572">
        <v>7.1</v>
      </c>
      <c r="C29684" s="572">
        <v>23.11</v>
      </c>
    </row>
    <row r="29685" spans="1:3">
      <c r="A29685" s="571" t="s">
        <v>1110</v>
      </c>
      <c r="B29685" s="572">
        <v>8.1999999999999993</v>
      </c>
      <c r="C29685" s="572">
        <v>25.77</v>
      </c>
    </row>
    <row r="29686" spans="1:3">
      <c r="A29686" s="571" t="s">
        <v>1110</v>
      </c>
      <c r="B29686" s="572">
        <v>9.1999999999999993</v>
      </c>
      <c r="C29686" s="572">
        <v>25.33</v>
      </c>
    </row>
    <row r="29687" spans="1:3">
      <c r="A29687" s="571" t="s">
        <v>1110</v>
      </c>
      <c r="B29687" s="572">
        <v>13.2</v>
      </c>
      <c r="C29687" s="572">
        <v>37.33</v>
      </c>
    </row>
    <row r="29688" spans="1:3">
      <c r="A29688" s="571" t="s">
        <v>1110</v>
      </c>
      <c r="B29688" s="572">
        <v>16.100000000000001</v>
      </c>
      <c r="C29688" s="572">
        <v>43.11</v>
      </c>
    </row>
    <row r="29689" spans="1:3">
      <c r="A29689" s="571" t="s">
        <v>1110</v>
      </c>
      <c r="B29689" s="572">
        <v>19.8</v>
      </c>
      <c r="C29689" s="572">
        <v>48</v>
      </c>
    </row>
    <row r="29690" spans="1:3">
      <c r="A29690" s="571" t="s">
        <v>1110</v>
      </c>
      <c r="B29690" s="572">
        <v>21.7</v>
      </c>
      <c r="C29690" s="572">
        <v>53.77</v>
      </c>
    </row>
    <row r="29691" spans="1:3">
      <c r="A29691" s="571" t="s">
        <v>1110</v>
      </c>
      <c r="B29691" s="572">
        <v>29.9</v>
      </c>
      <c r="C29691" s="572">
        <v>64</v>
      </c>
    </row>
    <row r="29692" spans="1:3">
      <c r="A29692" s="571" t="s">
        <v>1110</v>
      </c>
      <c r="B29692" s="572">
        <v>33.299999999999997</v>
      </c>
      <c r="C29692" s="572">
        <v>72.44</v>
      </c>
    </row>
    <row r="29693" spans="1:3">
      <c r="A29693" s="571" t="s">
        <v>1110</v>
      </c>
      <c r="B29693" s="572">
        <v>38.799999999999997</v>
      </c>
      <c r="C29693" s="572">
        <v>83.11</v>
      </c>
    </row>
    <row r="29694" spans="1:3">
      <c r="A29694" s="571" t="s">
        <v>1110</v>
      </c>
      <c r="B29694" s="572">
        <v>43.8</v>
      </c>
      <c r="C29694" s="572">
        <v>85.33</v>
      </c>
    </row>
    <row r="29695" spans="1:3">
      <c r="A29695" s="571" t="s">
        <v>1110</v>
      </c>
      <c r="B29695" s="572">
        <v>48.5</v>
      </c>
      <c r="C29695" s="572">
        <v>88.88</v>
      </c>
    </row>
    <row r="29696" spans="1:3">
      <c r="A29696" s="571" t="s">
        <v>1110</v>
      </c>
      <c r="B29696" s="572">
        <v>57.4</v>
      </c>
      <c r="C29696" s="572">
        <v>96.44</v>
      </c>
    </row>
    <row r="29697" spans="1:3">
      <c r="A29697" s="571" t="s">
        <v>1110</v>
      </c>
      <c r="B29697" s="572">
        <v>71.3</v>
      </c>
      <c r="C29697" s="572">
        <v>109.61</v>
      </c>
    </row>
    <row r="29698" spans="1:3">
      <c r="A29698" s="571" t="s">
        <v>1110</v>
      </c>
      <c r="B29698" s="572">
        <v>77.900000000000006</v>
      </c>
      <c r="C29698" s="572">
        <v>114.85</v>
      </c>
    </row>
    <row r="29699" spans="1:3">
      <c r="A29699" s="571" t="s">
        <v>1110</v>
      </c>
      <c r="B29699" s="572">
        <v>89.7</v>
      </c>
      <c r="C29699" s="572">
        <v>122.71</v>
      </c>
    </row>
    <row r="29700" spans="1:3">
      <c r="A29700" s="573" t="s">
        <v>1110</v>
      </c>
      <c r="B29700" s="574">
        <v>104.1</v>
      </c>
      <c r="C29700" s="574">
        <v>141.49</v>
      </c>
    </row>
    <row r="29701" spans="1:3">
      <c r="A29701" s="573" t="s">
        <v>1110</v>
      </c>
      <c r="B29701" s="574">
        <v>124.2</v>
      </c>
      <c r="C29701" s="574">
        <v>152.4</v>
      </c>
    </row>
    <row r="29702" spans="1:3">
      <c r="A29702" s="573" t="s">
        <v>1110</v>
      </c>
      <c r="B29702" s="574">
        <v>145.19999999999999</v>
      </c>
      <c r="C29702" s="574">
        <v>162.44999999999999</v>
      </c>
    </row>
    <row r="29703" spans="1:3">
      <c r="A29703" s="573" t="s">
        <v>1110</v>
      </c>
      <c r="B29703" s="574">
        <v>172.6</v>
      </c>
      <c r="C29703" s="574">
        <v>171.62</v>
      </c>
    </row>
    <row r="29704" spans="1:3">
      <c r="A29704" s="573" t="s">
        <v>1110</v>
      </c>
      <c r="B29704" s="574">
        <v>192.6</v>
      </c>
      <c r="C29704" s="574">
        <v>178.17</v>
      </c>
    </row>
    <row r="29705" spans="1:3">
      <c r="A29705" s="573" t="s">
        <v>1110</v>
      </c>
      <c r="B29705" s="574">
        <v>227.4</v>
      </c>
      <c r="C29705" s="574">
        <v>190.83</v>
      </c>
    </row>
    <row r="29706" spans="1:3">
      <c r="A29706" s="573" t="s">
        <v>1110</v>
      </c>
      <c r="B29706" s="574">
        <v>261.39999999999998</v>
      </c>
      <c r="C29706" s="574">
        <v>194.76</v>
      </c>
    </row>
    <row r="29707" spans="1:3">
      <c r="A29707" s="573" t="s">
        <v>1110</v>
      </c>
      <c r="B29707" s="574">
        <v>293.60000000000002</v>
      </c>
      <c r="C29707" s="574">
        <v>196.07</v>
      </c>
    </row>
    <row r="29708" spans="1:3">
      <c r="A29708" s="573" t="s">
        <v>1110</v>
      </c>
      <c r="B29708" s="574">
        <v>347.6</v>
      </c>
      <c r="C29708" s="574">
        <v>199.13</v>
      </c>
    </row>
    <row r="29709" spans="1:3">
      <c r="A29709" s="573" t="s">
        <v>1110</v>
      </c>
      <c r="B29709" s="574">
        <v>389</v>
      </c>
      <c r="C29709" s="574">
        <v>199.56</v>
      </c>
    </row>
    <row r="29710" spans="1:3">
      <c r="A29710" s="573" t="s">
        <v>1110</v>
      </c>
      <c r="B29710" s="574">
        <v>422.6</v>
      </c>
      <c r="C29710" s="574">
        <v>201.31</v>
      </c>
    </row>
    <row r="29711" spans="1:3">
      <c r="A29711" s="571" t="s">
        <v>1109</v>
      </c>
      <c r="B29711" s="572">
        <v>0.7</v>
      </c>
      <c r="C29711" s="572">
        <v>50</v>
      </c>
    </row>
    <row r="29712" spans="1:3">
      <c r="A29712" s="571" t="s">
        <v>1109</v>
      </c>
      <c r="B29712" s="572">
        <v>1.5</v>
      </c>
      <c r="C29712" s="572">
        <v>80</v>
      </c>
    </row>
    <row r="29713" spans="1:3">
      <c r="A29713" s="571" t="s">
        <v>1109</v>
      </c>
      <c r="B29713" s="572">
        <v>3.7</v>
      </c>
      <c r="C29713" s="572">
        <v>140</v>
      </c>
    </row>
    <row r="29714" spans="1:3">
      <c r="A29714" s="571" t="s">
        <v>1109</v>
      </c>
      <c r="B29714" s="572">
        <v>7.3</v>
      </c>
      <c r="C29714" s="572">
        <v>180</v>
      </c>
    </row>
    <row r="29715" spans="1:3">
      <c r="A29715" s="571" t="s">
        <v>1109</v>
      </c>
      <c r="B29715" s="572">
        <v>11.3</v>
      </c>
      <c r="C29715" s="572">
        <v>229.99999999999997</v>
      </c>
    </row>
    <row r="29716" spans="1:3">
      <c r="A29716" s="571" t="s">
        <v>1109</v>
      </c>
      <c r="B29716" s="572">
        <v>23.3</v>
      </c>
      <c r="C29716" s="572">
        <v>240</v>
      </c>
    </row>
    <row r="29717" spans="1:3">
      <c r="A29717" s="571" t="s">
        <v>1109</v>
      </c>
      <c r="B29717" s="572">
        <v>31.2</v>
      </c>
      <c r="C29717" s="572">
        <v>260</v>
      </c>
    </row>
    <row r="29718" spans="1:3">
      <c r="A29718" s="571" t="s">
        <v>1109</v>
      </c>
      <c r="B29718" s="572">
        <v>41.6</v>
      </c>
      <c r="C29718" s="572">
        <v>370</v>
      </c>
    </row>
    <row r="29719" spans="1:3">
      <c r="A29719" s="571" t="s">
        <v>1109</v>
      </c>
      <c r="B29719" s="572">
        <v>48.8</v>
      </c>
      <c r="C29719" s="572">
        <v>380</v>
      </c>
    </row>
    <row r="29720" spans="1:3">
      <c r="A29720" s="571" t="s">
        <v>1109</v>
      </c>
      <c r="B29720" s="572">
        <v>54.5</v>
      </c>
      <c r="C29720" s="572">
        <v>400</v>
      </c>
    </row>
    <row r="29721" spans="1:3">
      <c r="A29721" s="571" t="s">
        <v>1109</v>
      </c>
      <c r="B29721" s="572">
        <v>59.1</v>
      </c>
      <c r="C29721" s="572">
        <v>409.99999999999994</v>
      </c>
    </row>
    <row r="29722" spans="1:3">
      <c r="A29722" s="571" t="s">
        <v>1109</v>
      </c>
      <c r="B29722" s="572">
        <v>66.5</v>
      </c>
      <c r="C29722" s="572">
        <v>409.99999999999994</v>
      </c>
    </row>
    <row r="29723" spans="1:3">
      <c r="A29723" s="571" t="s">
        <v>1109</v>
      </c>
      <c r="B29723" s="572">
        <v>71.400000000000006</v>
      </c>
      <c r="C29723" s="572">
        <v>470</v>
      </c>
    </row>
    <row r="29724" spans="1:3">
      <c r="A29724" s="571" t="s">
        <v>1109</v>
      </c>
      <c r="B29724" s="572">
        <v>74.7</v>
      </c>
      <c r="C29724" s="572">
        <v>459.99999999999994</v>
      </c>
    </row>
    <row r="29725" spans="1:3">
      <c r="A29725" s="571" t="s">
        <v>1109</v>
      </c>
      <c r="B29725" s="572">
        <v>77.400000000000006</v>
      </c>
      <c r="C29725" s="572">
        <v>509.99999999999994</v>
      </c>
    </row>
    <row r="29726" spans="1:3">
      <c r="A29726" s="571" t="s">
        <v>1109</v>
      </c>
      <c r="B29726" s="572">
        <v>82.3</v>
      </c>
      <c r="C29726" s="572">
        <v>560</v>
      </c>
    </row>
    <row r="29727" spans="1:3">
      <c r="A29727" s="571" t="s">
        <v>1109</v>
      </c>
      <c r="B29727" s="572">
        <v>85.2</v>
      </c>
      <c r="C29727" s="572">
        <v>570</v>
      </c>
    </row>
    <row r="29728" spans="1:3">
      <c r="A29728" s="571" t="s">
        <v>1109</v>
      </c>
      <c r="B29728" s="572">
        <v>89.1</v>
      </c>
      <c r="C29728" s="572">
        <v>610</v>
      </c>
    </row>
    <row r="29729" spans="1:3">
      <c r="A29729" s="571" t="s">
        <v>1109</v>
      </c>
      <c r="B29729" s="572">
        <v>91.5</v>
      </c>
      <c r="C29729" s="572">
        <v>660</v>
      </c>
    </row>
    <row r="29730" spans="1:3">
      <c r="A29730" s="571" t="s">
        <v>1109</v>
      </c>
      <c r="B29730" s="572">
        <v>95.8</v>
      </c>
      <c r="C29730" s="572">
        <v>650</v>
      </c>
    </row>
    <row r="29731" spans="1:3">
      <c r="A29731" s="571" t="s">
        <v>1109</v>
      </c>
      <c r="B29731" s="572">
        <v>99.2</v>
      </c>
      <c r="C29731" s="572">
        <v>710</v>
      </c>
    </row>
    <row r="29732" spans="1:3">
      <c r="A29732" s="573" t="s">
        <v>1109</v>
      </c>
      <c r="B29732" s="574">
        <v>103.7</v>
      </c>
      <c r="C29732" s="574">
        <v>670</v>
      </c>
    </row>
    <row r="29733" spans="1:3">
      <c r="A29733" s="573" t="s">
        <v>1109</v>
      </c>
      <c r="B29733" s="574">
        <v>106.6</v>
      </c>
      <c r="C29733" s="574">
        <v>720</v>
      </c>
    </row>
    <row r="29734" spans="1:3">
      <c r="A29734" s="573" t="s">
        <v>1109</v>
      </c>
      <c r="B29734" s="574">
        <v>109.7</v>
      </c>
      <c r="C29734" s="574">
        <v>730</v>
      </c>
    </row>
    <row r="29735" spans="1:3">
      <c r="A29735" s="573" t="s">
        <v>1109</v>
      </c>
      <c r="B29735" s="574">
        <v>115.1</v>
      </c>
      <c r="C29735" s="574">
        <v>740</v>
      </c>
    </row>
    <row r="29736" spans="1:3">
      <c r="A29736" s="573" t="s">
        <v>1109</v>
      </c>
      <c r="B29736" s="574">
        <v>122.6</v>
      </c>
      <c r="C29736" s="574">
        <v>780</v>
      </c>
    </row>
    <row r="29737" spans="1:3">
      <c r="A29737" s="573" t="s">
        <v>1109</v>
      </c>
      <c r="B29737" s="574">
        <v>129.5</v>
      </c>
      <c r="C29737" s="574">
        <v>810</v>
      </c>
    </row>
    <row r="29738" spans="1:3">
      <c r="A29738" s="573" t="s">
        <v>1109</v>
      </c>
      <c r="B29738" s="574">
        <v>136.69999999999999</v>
      </c>
      <c r="C29738" s="574">
        <v>819.99999999999989</v>
      </c>
    </row>
    <row r="29739" spans="1:3">
      <c r="A29739" s="573" t="s">
        <v>1109</v>
      </c>
      <c r="B29739" s="574">
        <v>144.1</v>
      </c>
      <c r="C29739" s="574">
        <v>830.00000000000011</v>
      </c>
    </row>
    <row r="29740" spans="1:3">
      <c r="A29740" s="573" t="s">
        <v>1109</v>
      </c>
      <c r="B29740" s="574">
        <v>150.5</v>
      </c>
      <c r="C29740" s="574">
        <v>860</v>
      </c>
    </row>
    <row r="29741" spans="1:3">
      <c r="A29741" s="573" t="s">
        <v>1109</v>
      </c>
      <c r="B29741" s="574">
        <v>158.19999999999999</v>
      </c>
      <c r="C29741" s="574">
        <v>869.99999999999989</v>
      </c>
    </row>
    <row r="29742" spans="1:3">
      <c r="A29742" s="573" t="s">
        <v>1109</v>
      </c>
      <c r="B29742" s="574">
        <v>165.1</v>
      </c>
      <c r="C29742" s="574">
        <v>860</v>
      </c>
    </row>
    <row r="29743" spans="1:3">
      <c r="A29743" s="573" t="s">
        <v>1109</v>
      </c>
      <c r="B29743" s="574">
        <v>170.4</v>
      </c>
      <c r="C29743" s="574">
        <v>840</v>
      </c>
    </row>
    <row r="29744" spans="1:3">
      <c r="A29744" s="573" t="s">
        <v>1109</v>
      </c>
      <c r="B29744" s="574">
        <v>184.5</v>
      </c>
      <c r="C29744" s="574">
        <v>880.00000000000011</v>
      </c>
    </row>
    <row r="29745" spans="1:3">
      <c r="A29745" s="571" t="s">
        <v>1108</v>
      </c>
      <c r="B29745" s="572">
        <v>0.7</v>
      </c>
      <c r="C29745" s="572">
        <v>50</v>
      </c>
    </row>
    <row r="29746" spans="1:3">
      <c r="A29746" s="571" t="s">
        <v>1108</v>
      </c>
      <c r="B29746" s="572">
        <v>1.8</v>
      </c>
      <c r="C29746" s="572">
        <v>70</v>
      </c>
    </row>
    <row r="29747" spans="1:3">
      <c r="A29747" s="571" t="s">
        <v>1108</v>
      </c>
      <c r="B29747" s="572">
        <v>4.2</v>
      </c>
      <c r="C29747" s="572">
        <v>140</v>
      </c>
    </row>
    <row r="29748" spans="1:3">
      <c r="A29748" s="571" t="s">
        <v>1108</v>
      </c>
      <c r="B29748" s="572">
        <v>6.6</v>
      </c>
      <c r="C29748" s="572">
        <v>180</v>
      </c>
    </row>
    <row r="29749" spans="1:3">
      <c r="A29749" s="571" t="s">
        <v>1108</v>
      </c>
      <c r="B29749" s="572">
        <v>8.6999999999999993</v>
      </c>
      <c r="C29749" s="572">
        <v>190</v>
      </c>
    </row>
    <row r="29750" spans="1:3">
      <c r="A29750" s="571" t="s">
        <v>1108</v>
      </c>
      <c r="B29750" s="572">
        <v>11</v>
      </c>
      <c r="C29750" s="572">
        <v>220.00000000000003</v>
      </c>
    </row>
    <row r="29751" spans="1:3">
      <c r="A29751" s="571" t="s">
        <v>1108</v>
      </c>
      <c r="B29751" s="572">
        <v>14.8</v>
      </c>
      <c r="C29751" s="572">
        <v>229.99999999999997</v>
      </c>
    </row>
    <row r="29752" spans="1:3">
      <c r="A29752" s="571" t="s">
        <v>1108</v>
      </c>
      <c r="B29752" s="572">
        <v>17.7</v>
      </c>
      <c r="C29752" s="572">
        <v>250</v>
      </c>
    </row>
    <row r="29753" spans="1:3">
      <c r="A29753" s="571" t="s">
        <v>1108</v>
      </c>
      <c r="B29753" s="572">
        <v>22.6</v>
      </c>
      <c r="C29753" s="572">
        <v>260</v>
      </c>
    </row>
    <row r="29754" spans="1:3">
      <c r="A29754" s="571" t="s">
        <v>1108</v>
      </c>
      <c r="B29754" s="572">
        <v>27.9</v>
      </c>
      <c r="C29754" s="572">
        <v>270</v>
      </c>
    </row>
    <row r="29755" spans="1:3">
      <c r="A29755" s="571" t="s">
        <v>1108</v>
      </c>
      <c r="B29755" s="572">
        <v>31.8</v>
      </c>
      <c r="C29755" s="572">
        <v>290</v>
      </c>
    </row>
    <row r="29756" spans="1:3">
      <c r="A29756" s="571" t="s">
        <v>1108</v>
      </c>
      <c r="B29756" s="572">
        <v>34.6</v>
      </c>
      <c r="C29756" s="572">
        <v>310</v>
      </c>
    </row>
    <row r="29757" spans="1:3">
      <c r="A29757" s="571" t="s">
        <v>1108</v>
      </c>
      <c r="B29757" s="572">
        <v>37.5</v>
      </c>
      <c r="C29757" s="572">
        <v>330</v>
      </c>
    </row>
    <row r="29758" spans="1:3">
      <c r="A29758" s="571" t="s">
        <v>1108</v>
      </c>
      <c r="B29758" s="572">
        <v>43.5</v>
      </c>
      <c r="C29758" s="572">
        <v>390</v>
      </c>
    </row>
    <row r="29759" spans="1:3">
      <c r="A29759" s="571" t="s">
        <v>1108</v>
      </c>
      <c r="B29759" s="572">
        <v>46.3</v>
      </c>
      <c r="C29759" s="572">
        <v>400</v>
      </c>
    </row>
    <row r="29760" spans="1:3">
      <c r="A29760" s="571" t="s">
        <v>1108</v>
      </c>
      <c r="B29760" s="572">
        <v>49.6</v>
      </c>
      <c r="C29760" s="572">
        <v>400</v>
      </c>
    </row>
    <row r="29761" spans="1:3">
      <c r="A29761" s="571" t="s">
        <v>1108</v>
      </c>
      <c r="B29761" s="572">
        <v>52.7</v>
      </c>
      <c r="C29761" s="572">
        <v>409.99999999999994</v>
      </c>
    </row>
    <row r="29762" spans="1:3">
      <c r="A29762" s="571" t="s">
        <v>1108</v>
      </c>
      <c r="B29762" s="572">
        <v>56.5</v>
      </c>
      <c r="C29762" s="572">
        <v>420</v>
      </c>
    </row>
    <row r="29763" spans="1:3">
      <c r="A29763" s="571" t="s">
        <v>1108</v>
      </c>
      <c r="B29763" s="572">
        <v>60.3</v>
      </c>
      <c r="C29763" s="572">
        <v>390</v>
      </c>
    </row>
    <row r="29764" spans="1:3">
      <c r="A29764" s="571" t="s">
        <v>1108</v>
      </c>
      <c r="B29764" s="572">
        <v>66</v>
      </c>
      <c r="C29764" s="572">
        <v>409.99999999999994</v>
      </c>
    </row>
    <row r="29765" spans="1:3">
      <c r="A29765" s="571" t="s">
        <v>1108</v>
      </c>
      <c r="B29765" s="572">
        <v>71.900000000000006</v>
      </c>
      <c r="C29765" s="572">
        <v>459.99999999999994</v>
      </c>
    </row>
    <row r="29766" spans="1:3">
      <c r="A29766" s="571" t="s">
        <v>1108</v>
      </c>
      <c r="B29766" s="572">
        <v>74.7</v>
      </c>
      <c r="C29766" s="572">
        <v>459.99999999999994</v>
      </c>
    </row>
    <row r="29767" spans="1:3">
      <c r="A29767" s="571" t="s">
        <v>1108</v>
      </c>
      <c r="B29767" s="572">
        <v>77.400000000000006</v>
      </c>
      <c r="C29767" s="572">
        <v>500</v>
      </c>
    </row>
    <row r="29768" spans="1:3">
      <c r="A29768" s="571" t="s">
        <v>1108</v>
      </c>
      <c r="B29768" s="572">
        <v>79.2</v>
      </c>
      <c r="C29768" s="572">
        <v>509.99999999999994</v>
      </c>
    </row>
    <row r="29769" spans="1:3">
      <c r="A29769" s="571" t="s">
        <v>1108</v>
      </c>
      <c r="B29769" s="572">
        <v>82</v>
      </c>
      <c r="C29769" s="572">
        <v>540</v>
      </c>
    </row>
    <row r="29770" spans="1:3">
      <c r="A29770" s="571" t="s">
        <v>1108</v>
      </c>
      <c r="B29770" s="572">
        <v>84.4</v>
      </c>
      <c r="C29770" s="572">
        <v>560</v>
      </c>
    </row>
    <row r="29771" spans="1:3">
      <c r="A29771" s="571" t="s">
        <v>1108</v>
      </c>
      <c r="B29771" s="572">
        <v>86.7</v>
      </c>
      <c r="C29771" s="572">
        <v>560</v>
      </c>
    </row>
    <row r="29772" spans="1:3">
      <c r="A29772" s="571" t="s">
        <v>1108</v>
      </c>
      <c r="B29772" s="572">
        <v>88.8</v>
      </c>
      <c r="C29772" s="572">
        <v>590</v>
      </c>
    </row>
    <row r="29773" spans="1:3">
      <c r="A29773" s="571" t="s">
        <v>1108</v>
      </c>
      <c r="B29773" s="572">
        <v>91.7</v>
      </c>
      <c r="C29773" s="572">
        <v>630</v>
      </c>
    </row>
    <row r="29774" spans="1:3">
      <c r="A29774" s="571" t="s">
        <v>1108</v>
      </c>
      <c r="B29774" s="572">
        <v>95.7</v>
      </c>
      <c r="C29774" s="572">
        <v>620</v>
      </c>
    </row>
    <row r="29775" spans="1:3">
      <c r="A29775" s="573" t="s">
        <v>1108</v>
      </c>
      <c r="B29775" s="574">
        <v>99.9</v>
      </c>
      <c r="C29775" s="574">
        <v>680</v>
      </c>
    </row>
    <row r="29776" spans="1:3">
      <c r="A29776" s="573" t="s">
        <v>1108</v>
      </c>
      <c r="B29776" s="574">
        <v>102.7</v>
      </c>
      <c r="C29776" s="574">
        <v>650</v>
      </c>
    </row>
    <row r="29777" spans="1:3">
      <c r="A29777" s="573" t="s">
        <v>1108</v>
      </c>
      <c r="B29777" s="574">
        <v>106.8</v>
      </c>
      <c r="C29777" s="574">
        <v>690</v>
      </c>
    </row>
    <row r="29778" spans="1:3">
      <c r="A29778" s="573" t="s">
        <v>1108</v>
      </c>
      <c r="B29778" s="574">
        <v>109.4</v>
      </c>
      <c r="C29778" s="574">
        <v>700</v>
      </c>
    </row>
    <row r="29779" spans="1:3">
      <c r="A29779" s="573" t="s">
        <v>1108</v>
      </c>
      <c r="B29779" s="574">
        <v>114.7</v>
      </c>
      <c r="C29779" s="574">
        <v>690</v>
      </c>
    </row>
    <row r="29780" spans="1:3">
      <c r="A29780" s="573" t="s">
        <v>1108</v>
      </c>
      <c r="B29780" s="574">
        <v>122.7</v>
      </c>
      <c r="C29780" s="574">
        <v>730</v>
      </c>
    </row>
    <row r="29781" spans="1:3">
      <c r="A29781" s="573" t="s">
        <v>1108</v>
      </c>
      <c r="B29781" s="574">
        <v>129.69999999999999</v>
      </c>
      <c r="C29781" s="574">
        <v>760</v>
      </c>
    </row>
    <row r="29782" spans="1:3">
      <c r="A29782" s="573" t="s">
        <v>1108</v>
      </c>
      <c r="B29782" s="574">
        <v>136.80000000000001</v>
      </c>
      <c r="C29782" s="574">
        <v>770</v>
      </c>
    </row>
    <row r="29783" spans="1:3">
      <c r="A29783" s="573" t="s">
        <v>1108</v>
      </c>
      <c r="B29783" s="574">
        <v>143.69999999999999</v>
      </c>
      <c r="C29783" s="574">
        <v>780</v>
      </c>
    </row>
    <row r="29784" spans="1:3">
      <c r="A29784" s="573" t="s">
        <v>1108</v>
      </c>
      <c r="B29784" s="574">
        <v>150.69999999999999</v>
      </c>
      <c r="C29784" s="574">
        <v>800</v>
      </c>
    </row>
    <row r="29785" spans="1:3">
      <c r="A29785" s="573" t="s">
        <v>1108</v>
      </c>
      <c r="B29785" s="574">
        <v>158.1</v>
      </c>
      <c r="C29785" s="574">
        <v>810</v>
      </c>
    </row>
    <row r="29786" spans="1:3">
      <c r="A29786" s="573" t="s">
        <v>1108</v>
      </c>
      <c r="B29786" s="574">
        <v>165</v>
      </c>
      <c r="C29786" s="574">
        <v>800</v>
      </c>
    </row>
    <row r="29787" spans="1:3">
      <c r="A29787" s="573" t="s">
        <v>1108</v>
      </c>
      <c r="B29787" s="574">
        <v>170.8</v>
      </c>
      <c r="C29787" s="574">
        <v>780</v>
      </c>
    </row>
    <row r="29788" spans="1:3">
      <c r="A29788" s="573" t="s">
        <v>1108</v>
      </c>
      <c r="B29788" s="574">
        <v>184.1</v>
      </c>
      <c r="C29788" s="574">
        <v>810</v>
      </c>
    </row>
    <row r="29789" spans="1:3">
      <c r="A29789" s="571" t="s">
        <v>1107</v>
      </c>
      <c r="B29789" s="572">
        <v>0.7</v>
      </c>
      <c r="C29789" s="572">
        <v>50</v>
      </c>
    </row>
    <row r="29790" spans="1:3">
      <c r="A29790" s="571" t="s">
        <v>1107</v>
      </c>
      <c r="B29790" s="572">
        <v>2.5</v>
      </c>
      <c r="C29790" s="572">
        <v>70</v>
      </c>
    </row>
    <row r="29791" spans="1:3">
      <c r="A29791" s="571" t="s">
        <v>1107</v>
      </c>
      <c r="B29791" s="572">
        <v>4.2</v>
      </c>
      <c r="C29791" s="572">
        <v>130</v>
      </c>
    </row>
    <row r="29792" spans="1:3">
      <c r="A29792" s="571" t="s">
        <v>1107</v>
      </c>
      <c r="B29792" s="572">
        <v>7.3</v>
      </c>
      <c r="C29792" s="572">
        <v>170</v>
      </c>
    </row>
    <row r="29793" spans="1:3">
      <c r="A29793" s="571" t="s">
        <v>1107</v>
      </c>
      <c r="B29793" s="572">
        <v>9.1</v>
      </c>
      <c r="C29793" s="572">
        <v>180</v>
      </c>
    </row>
    <row r="29794" spans="1:3">
      <c r="A29794" s="571" t="s">
        <v>1107</v>
      </c>
      <c r="B29794" s="572">
        <v>11.7</v>
      </c>
      <c r="C29794" s="572">
        <v>200</v>
      </c>
    </row>
    <row r="29795" spans="1:3">
      <c r="A29795" s="571" t="s">
        <v>1107</v>
      </c>
      <c r="B29795" s="572">
        <v>18.399999999999999</v>
      </c>
      <c r="C29795" s="572">
        <v>229.99999999999997</v>
      </c>
    </row>
    <row r="29796" spans="1:3">
      <c r="A29796" s="571" t="s">
        <v>1107</v>
      </c>
      <c r="B29796" s="572">
        <v>23.5</v>
      </c>
      <c r="C29796" s="572">
        <v>240</v>
      </c>
    </row>
    <row r="29797" spans="1:3">
      <c r="A29797" s="571" t="s">
        <v>1107</v>
      </c>
      <c r="B29797" s="572">
        <v>25.1</v>
      </c>
      <c r="C29797" s="572">
        <v>260</v>
      </c>
    </row>
    <row r="29798" spans="1:3">
      <c r="A29798" s="571" t="s">
        <v>1107</v>
      </c>
      <c r="B29798" s="572">
        <v>28.2</v>
      </c>
      <c r="C29798" s="572">
        <v>270</v>
      </c>
    </row>
    <row r="29799" spans="1:3">
      <c r="A29799" s="571" t="s">
        <v>1107</v>
      </c>
      <c r="B29799" s="572">
        <v>31.2</v>
      </c>
      <c r="C29799" s="572">
        <v>260</v>
      </c>
    </row>
    <row r="29800" spans="1:3">
      <c r="A29800" s="571" t="s">
        <v>1107</v>
      </c>
      <c r="B29800" s="572">
        <v>32.799999999999997</v>
      </c>
      <c r="C29800" s="572">
        <v>270</v>
      </c>
    </row>
    <row r="29801" spans="1:3">
      <c r="A29801" s="571" t="s">
        <v>1107</v>
      </c>
      <c r="B29801" s="572">
        <v>35.4</v>
      </c>
      <c r="C29801" s="572">
        <v>290</v>
      </c>
    </row>
    <row r="29802" spans="1:3">
      <c r="A29802" s="571" t="s">
        <v>1107</v>
      </c>
      <c r="B29802" s="572">
        <v>37.200000000000003</v>
      </c>
      <c r="C29802" s="572">
        <v>310</v>
      </c>
    </row>
    <row r="29803" spans="1:3">
      <c r="A29803" s="571" t="s">
        <v>1107</v>
      </c>
      <c r="B29803" s="572">
        <v>39.799999999999997</v>
      </c>
      <c r="C29803" s="572">
        <v>320</v>
      </c>
    </row>
    <row r="29804" spans="1:3">
      <c r="A29804" s="571" t="s">
        <v>1107</v>
      </c>
      <c r="B29804" s="572">
        <v>43.1</v>
      </c>
      <c r="C29804" s="572">
        <v>350</v>
      </c>
    </row>
    <row r="29805" spans="1:3">
      <c r="A29805" s="571" t="s">
        <v>1107</v>
      </c>
      <c r="B29805" s="572">
        <v>47.3</v>
      </c>
      <c r="C29805" s="572">
        <v>370</v>
      </c>
    </row>
    <row r="29806" spans="1:3">
      <c r="A29806" s="571" t="s">
        <v>1107</v>
      </c>
      <c r="B29806" s="572">
        <v>52.1</v>
      </c>
      <c r="C29806" s="572">
        <v>380</v>
      </c>
    </row>
    <row r="29807" spans="1:3">
      <c r="A29807" s="571" t="s">
        <v>1107</v>
      </c>
      <c r="B29807" s="572">
        <v>59.3</v>
      </c>
      <c r="C29807" s="572">
        <v>390</v>
      </c>
    </row>
    <row r="29808" spans="1:3">
      <c r="A29808" s="571" t="s">
        <v>1107</v>
      </c>
      <c r="B29808" s="572">
        <v>63.9</v>
      </c>
      <c r="C29808" s="572">
        <v>380</v>
      </c>
    </row>
    <row r="29809" spans="1:3">
      <c r="A29809" s="571" t="s">
        <v>1107</v>
      </c>
      <c r="B29809" s="572">
        <v>65.7</v>
      </c>
      <c r="C29809" s="572">
        <v>380</v>
      </c>
    </row>
    <row r="29810" spans="1:3">
      <c r="A29810" s="571" t="s">
        <v>1107</v>
      </c>
      <c r="B29810" s="572">
        <v>74.900000000000006</v>
      </c>
      <c r="C29810" s="572">
        <v>430</v>
      </c>
    </row>
    <row r="29811" spans="1:3">
      <c r="A29811" s="571" t="s">
        <v>1107</v>
      </c>
      <c r="B29811" s="572">
        <v>79.900000000000006</v>
      </c>
      <c r="C29811" s="572">
        <v>480</v>
      </c>
    </row>
    <row r="29812" spans="1:3">
      <c r="A29812" s="571" t="s">
        <v>1107</v>
      </c>
      <c r="B29812" s="572">
        <v>82.2</v>
      </c>
      <c r="C29812" s="572">
        <v>509.99999999999994</v>
      </c>
    </row>
    <row r="29813" spans="1:3">
      <c r="A29813" s="571" t="s">
        <v>1107</v>
      </c>
      <c r="B29813" s="572">
        <v>85.1</v>
      </c>
      <c r="C29813" s="572">
        <v>520</v>
      </c>
    </row>
    <row r="29814" spans="1:3">
      <c r="A29814" s="571" t="s">
        <v>1107</v>
      </c>
      <c r="B29814" s="572">
        <v>87.1</v>
      </c>
      <c r="C29814" s="572">
        <v>520</v>
      </c>
    </row>
    <row r="29815" spans="1:3">
      <c r="A29815" s="571" t="s">
        <v>1107</v>
      </c>
      <c r="B29815" s="572">
        <v>89.2</v>
      </c>
      <c r="C29815" s="572">
        <v>550</v>
      </c>
    </row>
    <row r="29816" spans="1:3">
      <c r="A29816" s="571" t="s">
        <v>1107</v>
      </c>
      <c r="B29816" s="572">
        <v>92.3</v>
      </c>
      <c r="C29816" s="572">
        <v>580</v>
      </c>
    </row>
    <row r="29817" spans="1:3">
      <c r="A29817" s="571" t="s">
        <v>1107</v>
      </c>
      <c r="B29817" s="572">
        <v>96.1</v>
      </c>
      <c r="C29817" s="572">
        <v>580</v>
      </c>
    </row>
    <row r="29818" spans="1:3">
      <c r="A29818" s="573" t="s">
        <v>1107</v>
      </c>
      <c r="B29818" s="574">
        <v>100.1</v>
      </c>
      <c r="C29818" s="574">
        <v>630</v>
      </c>
    </row>
    <row r="29819" spans="1:3">
      <c r="A29819" s="573" t="s">
        <v>1107</v>
      </c>
      <c r="B29819" s="574">
        <v>102.8</v>
      </c>
      <c r="C29819" s="574">
        <v>600</v>
      </c>
    </row>
    <row r="29820" spans="1:3">
      <c r="A29820" s="573" t="s">
        <v>1107</v>
      </c>
      <c r="B29820" s="574">
        <v>107</v>
      </c>
      <c r="C29820" s="574">
        <v>630</v>
      </c>
    </row>
    <row r="29821" spans="1:3">
      <c r="A29821" s="573" t="s">
        <v>1107</v>
      </c>
      <c r="B29821" s="574">
        <v>110.1</v>
      </c>
      <c r="C29821" s="574">
        <v>640</v>
      </c>
    </row>
    <row r="29822" spans="1:3">
      <c r="A29822" s="573" t="s">
        <v>1107</v>
      </c>
      <c r="B29822" s="574">
        <v>114.6</v>
      </c>
      <c r="C29822" s="574">
        <v>640</v>
      </c>
    </row>
    <row r="29823" spans="1:3">
      <c r="A29823" s="573" t="s">
        <v>1107</v>
      </c>
      <c r="B29823" s="574">
        <v>123.4</v>
      </c>
      <c r="C29823" s="574">
        <v>680</v>
      </c>
    </row>
    <row r="29824" spans="1:3">
      <c r="A29824" s="573" t="s">
        <v>1107</v>
      </c>
      <c r="B29824" s="574">
        <v>129.80000000000001</v>
      </c>
      <c r="C29824" s="574">
        <v>710</v>
      </c>
    </row>
    <row r="29825" spans="1:3">
      <c r="A29825" s="573" t="s">
        <v>1107</v>
      </c>
      <c r="B29825" s="574">
        <v>137</v>
      </c>
      <c r="C29825" s="574">
        <v>720</v>
      </c>
    </row>
    <row r="29826" spans="1:3">
      <c r="A29826" s="573" t="s">
        <v>1107</v>
      </c>
      <c r="B29826" s="574">
        <v>144.1</v>
      </c>
      <c r="C29826" s="574">
        <v>720</v>
      </c>
    </row>
    <row r="29827" spans="1:3">
      <c r="A29827" s="573" t="s">
        <v>1107</v>
      </c>
      <c r="B29827" s="574">
        <v>151.1</v>
      </c>
      <c r="C29827" s="574">
        <v>750</v>
      </c>
    </row>
    <row r="29828" spans="1:3">
      <c r="A29828" s="573" t="s">
        <v>1107</v>
      </c>
      <c r="B29828" s="574">
        <v>158</v>
      </c>
      <c r="C29828" s="574">
        <v>750</v>
      </c>
    </row>
    <row r="29829" spans="1:3">
      <c r="A29829" s="573" t="s">
        <v>1107</v>
      </c>
      <c r="B29829" s="574">
        <v>165.4</v>
      </c>
      <c r="C29829" s="574">
        <v>750</v>
      </c>
    </row>
    <row r="29830" spans="1:3">
      <c r="A29830" s="573" t="s">
        <v>1107</v>
      </c>
      <c r="B29830" s="574">
        <v>171.2</v>
      </c>
      <c r="C29830" s="574">
        <v>730</v>
      </c>
    </row>
    <row r="29831" spans="1:3">
      <c r="A29831" s="573" t="s">
        <v>1107</v>
      </c>
      <c r="B29831" s="574">
        <v>184</v>
      </c>
      <c r="C29831" s="574">
        <v>760</v>
      </c>
    </row>
    <row r="29832" spans="1:3">
      <c r="A29832" s="571" t="s">
        <v>1106</v>
      </c>
      <c r="B29832" s="572">
        <v>0.16</v>
      </c>
      <c r="C29832" s="572">
        <v>14.7</v>
      </c>
    </row>
    <row r="29833" spans="1:3">
      <c r="A29833" s="571" t="s">
        <v>1106</v>
      </c>
      <c r="B29833" s="572">
        <v>0.25</v>
      </c>
      <c r="C29833" s="572">
        <v>3.3</v>
      </c>
    </row>
    <row r="29834" spans="1:3">
      <c r="A29834" s="571" t="s">
        <v>1106</v>
      </c>
      <c r="B29834" s="572">
        <v>0.5</v>
      </c>
      <c r="C29834" s="572">
        <v>175.6</v>
      </c>
    </row>
    <row r="29835" spans="1:3">
      <c r="A29835" s="571" t="s">
        <v>1106</v>
      </c>
      <c r="B29835" s="572">
        <v>0.75</v>
      </c>
      <c r="C29835" s="572">
        <v>225.6</v>
      </c>
    </row>
    <row r="29836" spans="1:3">
      <c r="A29836" s="571" t="s">
        <v>1106</v>
      </c>
      <c r="B29836" s="572">
        <v>1</v>
      </c>
      <c r="C29836" s="572">
        <v>329.5</v>
      </c>
    </row>
    <row r="29837" spans="1:3">
      <c r="A29837" s="571" t="s">
        <v>1106</v>
      </c>
      <c r="B29837" s="572">
        <v>2</v>
      </c>
      <c r="C29837" s="572">
        <v>441</v>
      </c>
    </row>
    <row r="29838" spans="1:3">
      <c r="A29838" s="571" t="s">
        <v>1106</v>
      </c>
      <c r="B29838" s="572">
        <v>2.9</v>
      </c>
      <c r="C29838" s="572">
        <v>494.7</v>
      </c>
    </row>
    <row r="29839" spans="1:3">
      <c r="A29839" s="571" t="s">
        <v>1106</v>
      </c>
      <c r="B29839" s="572">
        <v>3.9</v>
      </c>
      <c r="C29839" s="572">
        <v>537</v>
      </c>
    </row>
    <row r="29840" spans="1:3">
      <c r="A29840" s="571" t="s">
        <v>1106</v>
      </c>
      <c r="B29840" s="572">
        <v>4.9000000000000004</v>
      </c>
      <c r="C29840" s="572">
        <v>577.4</v>
      </c>
    </row>
    <row r="29841" spans="1:3">
      <c r="A29841" s="571" t="s">
        <v>1106</v>
      </c>
      <c r="B29841" s="572">
        <v>5.8</v>
      </c>
      <c r="C29841" s="572">
        <v>608.1</v>
      </c>
    </row>
    <row r="29842" spans="1:3">
      <c r="A29842" s="571" t="s">
        <v>1106</v>
      </c>
      <c r="B29842" s="572">
        <v>6.9</v>
      </c>
      <c r="C29842" s="572">
        <v>633.1</v>
      </c>
    </row>
    <row r="29843" spans="1:3">
      <c r="A29843" s="571" t="s">
        <v>1106</v>
      </c>
      <c r="B29843" s="572">
        <v>13.9</v>
      </c>
      <c r="C29843" s="572">
        <v>779.2</v>
      </c>
    </row>
    <row r="29844" spans="1:3">
      <c r="A29844" s="571" t="s">
        <v>1106</v>
      </c>
      <c r="B29844" s="572">
        <v>20.9</v>
      </c>
      <c r="C29844" s="572">
        <v>863.9</v>
      </c>
    </row>
    <row r="29845" spans="1:3">
      <c r="A29845" s="571" t="s">
        <v>1106</v>
      </c>
      <c r="B29845" s="572">
        <v>27.9</v>
      </c>
      <c r="C29845" s="572">
        <v>906.1</v>
      </c>
    </row>
    <row r="29846" spans="1:3">
      <c r="A29846" s="571" t="s">
        <v>1106</v>
      </c>
      <c r="B29846" s="572">
        <v>41.4</v>
      </c>
      <c r="C29846" s="572">
        <v>944.5</v>
      </c>
    </row>
    <row r="29847" spans="1:3">
      <c r="A29847" s="571" t="s">
        <v>1106</v>
      </c>
      <c r="B29847" s="572">
        <v>55.7</v>
      </c>
      <c r="C29847" s="572">
        <v>961.7</v>
      </c>
    </row>
    <row r="29848" spans="1:3">
      <c r="A29848" s="571" t="s">
        <v>1105</v>
      </c>
      <c r="B29848" s="572">
        <v>0.17</v>
      </c>
      <c r="C29848" s="572">
        <v>24.3</v>
      </c>
    </row>
    <row r="29849" spans="1:3">
      <c r="A29849" s="571" t="s">
        <v>1105</v>
      </c>
      <c r="B29849" s="572">
        <v>0.25</v>
      </c>
      <c r="C29849" s="572">
        <v>24.5</v>
      </c>
    </row>
    <row r="29850" spans="1:3">
      <c r="A29850" s="571" t="s">
        <v>1105</v>
      </c>
      <c r="B29850" s="572">
        <v>0.5</v>
      </c>
      <c r="C29850" s="572">
        <v>71</v>
      </c>
    </row>
    <row r="29851" spans="1:3">
      <c r="A29851" s="571" t="s">
        <v>1105</v>
      </c>
      <c r="B29851" s="572">
        <v>0.76</v>
      </c>
      <c r="C29851" s="572">
        <v>13.4</v>
      </c>
    </row>
    <row r="29852" spans="1:3">
      <c r="A29852" s="571" t="s">
        <v>1105</v>
      </c>
      <c r="B29852" s="572">
        <v>1</v>
      </c>
      <c r="C29852" s="572">
        <v>55.9</v>
      </c>
    </row>
    <row r="29853" spans="1:3">
      <c r="A29853" s="571" t="s">
        <v>1105</v>
      </c>
      <c r="B29853" s="572">
        <v>2</v>
      </c>
      <c r="C29853" s="572">
        <v>92.2</v>
      </c>
    </row>
    <row r="29854" spans="1:3">
      <c r="A29854" s="571" t="s">
        <v>1105</v>
      </c>
      <c r="B29854" s="572">
        <v>3</v>
      </c>
      <c r="C29854" s="572">
        <v>115.2</v>
      </c>
    </row>
    <row r="29855" spans="1:3">
      <c r="A29855" s="571" t="s">
        <v>1105</v>
      </c>
      <c r="B29855" s="572">
        <v>4</v>
      </c>
      <c r="C29855" s="572">
        <v>136.19999999999999</v>
      </c>
    </row>
    <row r="29856" spans="1:3">
      <c r="A29856" s="571" t="s">
        <v>1105</v>
      </c>
      <c r="B29856" s="572">
        <v>5</v>
      </c>
      <c r="C29856" s="572">
        <v>153.5</v>
      </c>
    </row>
    <row r="29857" spans="1:3">
      <c r="A29857" s="571" t="s">
        <v>1105</v>
      </c>
      <c r="B29857" s="572">
        <v>5.9</v>
      </c>
      <c r="C29857" s="572">
        <v>172.7</v>
      </c>
    </row>
    <row r="29858" spans="1:3">
      <c r="A29858" s="571" t="s">
        <v>1105</v>
      </c>
      <c r="B29858" s="572">
        <v>6.9</v>
      </c>
      <c r="C29858" s="572">
        <v>191.9</v>
      </c>
    </row>
    <row r="29859" spans="1:3">
      <c r="A29859" s="571" t="s">
        <v>1105</v>
      </c>
      <c r="B29859" s="572">
        <v>13.9</v>
      </c>
      <c r="C29859" s="572">
        <v>278.3</v>
      </c>
    </row>
    <row r="29860" spans="1:3">
      <c r="A29860" s="571" t="s">
        <v>1105</v>
      </c>
      <c r="B29860" s="572">
        <v>21.1</v>
      </c>
      <c r="C29860" s="572">
        <v>347.5</v>
      </c>
    </row>
    <row r="29861" spans="1:3">
      <c r="A29861" s="571" t="s">
        <v>1105</v>
      </c>
      <c r="B29861" s="572">
        <v>27.9</v>
      </c>
      <c r="C29861" s="572">
        <v>380.1</v>
      </c>
    </row>
    <row r="29862" spans="1:3">
      <c r="A29862" s="571" t="s">
        <v>1105</v>
      </c>
      <c r="B29862" s="572">
        <v>41.7</v>
      </c>
      <c r="C29862" s="572">
        <v>433.9</v>
      </c>
    </row>
    <row r="29863" spans="1:3">
      <c r="A29863" s="571" t="s">
        <v>1105</v>
      </c>
      <c r="B29863" s="572">
        <v>55.2</v>
      </c>
      <c r="C29863" s="572">
        <v>468.5</v>
      </c>
    </row>
    <row r="29864" spans="1:3">
      <c r="A29864" s="571" t="s">
        <v>1104</v>
      </c>
      <c r="B29864" s="572">
        <v>0.16</v>
      </c>
      <c r="C29864" s="572">
        <v>5</v>
      </c>
    </row>
    <row r="29865" spans="1:3">
      <c r="A29865" s="571" t="s">
        <v>1104</v>
      </c>
      <c r="B29865" s="572">
        <v>0.25</v>
      </c>
      <c r="C29865" s="572">
        <v>43.7</v>
      </c>
    </row>
    <row r="29866" spans="1:3">
      <c r="A29866" s="571" t="s">
        <v>1104</v>
      </c>
      <c r="B29866" s="572">
        <v>0.5</v>
      </c>
      <c r="C29866" s="572">
        <v>67.099999999999994</v>
      </c>
    </row>
    <row r="29867" spans="1:3">
      <c r="A29867" s="571" t="s">
        <v>1104</v>
      </c>
      <c r="B29867" s="572">
        <v>0.75</v>
      </c>
      <c r="C29867" s="572">
        <v>73.099999999999994</v>
      </c>
    </row>
    <row r="29868" spans="1:3">
      <c r="A29868" s="571" t="s">
        <v>1104</v>
      </c>
      <c r="B29868" s="572">
        <v>1</v>
      </c>
      <c r="C29868" s="572">
        <v>63.6</v>
      </c>
    </row>
    <row r="29869" spans="1:3">
      <c r="A29869" s="571" t="s">
        <v>1104</v>
      </c>
      <c r="B29869" s="572">
        <v>2</v>
      </c>
      <c r="C29869" s="572">
        <v>44.6</v>
      </c>
    </row>
    <row r="29870" spans="1:3">
      <c r="A29870" s="571" t="s">
        <v>1104</v>
      </c>
      <c r="B29870" s="572">
        <v>3</v>
      </c>
      <c r="C29870" s="572">
        <v>23.6</v>
      </c>
    </row>
    <row r="29871" spans="1:3">
      <c r="A29871" s="571" t="s">
        <v>1104</v>
      </c>
      <c r="B29871" s="572">
        <v>3.9</v>
      </c>
      <c r="C29871" s="572">
        <v>6.4</v>
      </c>
    </row>
    <row r="29872" spans="1:3">
      <c r="A29872" s="571" t="s">
        <v>1104</v>
      </c>
      <c r="B29872" s="572">
        <v>4.9000000000000004</v>
      </c>
      <c r="C29872" s="572">
        <v>16.7</v>
      </c>
    </row>
    <row r="29873" spans="1:3">
      <c r="A29873" s="571" t="s">
        <v>1104</v>
      </c>
      <c r="B29873" s="572">
        <v>5.9</v>
      </c>
      <c r="C29873" s="572">
        <v>35.9</v>
      </c>
    </row>
    <row r="29874" spans="1:3">
      <c r="A29874" s="571" t="s">
        <v>1104</v>
      </c>
      <c r="B29874" s="572">
        <v>6.9</v>
      </c>
      <c r="C29874" s="572">
        <v>55.1</v>
      </c>
    </row>
    <row r="29875" spans="1:3">
      <c r="A29875" s="571" t="s">
        <v>1104</v>
      </c>
      <c r="B29875" s="572">
        <v>13.9</v>
      </c>
      <c r="C29875" s="572">
        <v>133.80000000000001</v>
      </c>
    </row>
    <row r="29876" spans="1:3">
      <c r="A29876" s="571" t="s">
        <v>1104</v>
      </c>
      <c r="B29876" s="572">
        <v>21.1</v>
      </c>
      <c r="C29876" s="572">
        <v>185.6</v>
      </c>
    </row>
    <row r="29877" spans="1:3">
      <c r="A29877" s="571" t="s">
        <v>1104</v>
      </c>
      <c r="B29877" s="572">
        <v>27.5</v>
      </c>
      <c r="C29877" s="572">
        <v>231.8</v>
      </c>
    </row>
    <row r="29878" spans="1:3">
      <c r="A29878" s="571" t="s">
        <v>1104</v>
      </c>
      <c r="B29878" s="572">
        <v>41.5</v>
      </c>
      <c r="C29878" s="572">
        <v>283.60000000000002</v>
      </c>
    </row>
    <row r="29879" spans="1:3">
      <c r="A29879" s="571" t="s">
        <v>1104</v>
      </c>
      <c r="B29879" s="572">
        <v>55.4</v>
      </c>
      <c r="C29879" s="572">
        <v>325.89999999999998</v>
      </c>
    </row>
    <row r="29880" spans="1:3">
      <c r="A29880" s="571" t="s">
        <v>1102</v>
      </c>
      <c r="B29880" s="572">
        <v>1.004</v>
      </c>
      <c r="C29880" s="572">
        <v>83.93</v>
      </c>
    </row>
    <row r="29881" spans="1:3">
      <c r="A29881" s="571" t="s">
        <v>1102</v>
      </c>
      <c r="B29881" s="572">
        <v>2.9630000000000001</v>
      </c>
      <c r="C29881" s="572">
        <v>196.7</v>
      </c>
    </row>
    <row r="29882" spans="1:3">
      <c r="A29882" s="571" t="s">
        <v>1102</v>
      </c>
      <c r="B29882" s="572">
        <v>5.024</v>
      </c>
      <c r="C29882" s="572">
        <v>252.4</v>
      </c>
    </row>
    <row r="29883" spans="1:3">
      <c r="A29883" s="571" t="s">
        <v>1102</v>
      </c>
      <c r="B29883" s="572">
        <v>6.9249999999999998</v>
      </c>
      <c r="C29883" s="572">
        <v>293.7</v>
      </c>
    </row>
    <row r="29884" spans="1:3">
      <c r="A29884" s="571" t="s">
        <v>1102</v>
      </c>
      <c r="B29884" s="572">
        <v>8.9779999999999998</v>
      </c>
      <c r="C29884" s="572">
        <v>325.89999999999998</v>
      </c>
    </row>
    <row r="29885" spans="1:3">
      <c r="A29885" s="571" t="s">
        <v>1102</v>
      </c>
      <c r="B29885" s="572">
        <v>11.37</v>
      </c>
      <c r="C29885" s="572">
        <v>355.4</v>
      </c>
    </row>
    <row r="29886" spans="1:3">
      <c r="A29886" s="571" t="s">
        <v>1102</v>
      </c>
      <c r="B29886" s="572">
        <v>16.27</v>
      </c>
      <c r="C29886" s="572">
        <v>407.4</v>
      </c>
    </row>
    <row r="29887" spans="1:3">
      <c r="A29887" s="571" t="s">
        <v>1102</v>
      </c>
      <c r="B29887" s="572">
        <v>23.1</v>
      </c>
      <c r="C29887" s="572">
        <v>453.3</v>
      </c>
    </row>
    <row r="29888" spans="1:3">
      <c r="A29888" s="571" t="s">
        <v>1102</v>
      </c>
      <c r="B29888" s="572">
        <v>26.49</v>
      </c>
      <c r="C29888" s="572">
        <v>472.3</v>
      </c>
    </row>
    <row r="29889" spans="1:3">
      <c r="A29889" s="571" t="s">
        <v>1102</v>
      </c>
      <c r="B29889" s="572">
        <v>38.1</v>
      </c>
      <c r="C29889" s="572">
        <v>510.8</v>
      </c>
    </row>
    <row r="29890" spans="1:3">
      <c r="A29890" s="571" t="s">
        <v>1102</v>
      </c>
      <c r="B29890" s="572">
        <v>50.99</v>
      </c>
      <c r="C29890" s="572">
        <v>538.5</v>
      </c>
    </row>
    <row r="29891" spans="1:3">
      <c r="A29891" s="571" t="s">
        <v>1102</v>
      </c>
      <c r="B29891" s="572">
        <v>66.819999999999993</v>
      </c>
      <c r="C29891" s="572">
        <v>557.4</v>
      </c>
    </row>
    <row r="29892" spans="1:3">
      <c r="A29892" s="573" t="s">
        <v>1102</v>
      </c>
      <c r="B29892" s="574">
        <v>142.30000000000001</v>
      </c>
      <c r="C29892" s="574">
        <v>575</v>
      </c>
    </row>
    <row r="29893" spans="1:3">
      <c r="A29893" s="571" t="s">
        <v>1101</v>
      </c>
      <c r="B29893" s="572">
        <v>1.0069999999999999</v>
      </c>
      <c r="C29893" s="572">
        <v>238</v>
      </c>
    </row>
    <row r="29894" spans="1:3">
      <c r="A29894" s="571" t="s">
        <v>1101</v>
      </c>
      <c r="B29894" s="572">
        <v>2.9780000000000002</v>
      </c>
      <c r="C29894" s="572">
        <v>397.3</v>
      </c>
    </row>
    <row r="29895" spans="1:3">
      <c r="A29895" s="571" t="s">
        <v>1101</v>
      </c>
      <c r="B29895" s="572">
        <v>5.0739999999999998</v>
      </c>
      <c r="C29895" s="572">
        <v>501.3</v>
      </c>
    </row>
    <row r="29896" spans="1:3">
      <c r="A29896" s="571" t="s">
        <v>1101</v>
      </c>
      <c r="B29896" s="572">
        <v>6.9420000000000002</v>
      </c>
      <c r="C29896" s="572">
        <v>557.4</v>
      </c>
    </row>
    <row r="29897" spans="1:3">
      <c r="A29897" s="571" t="s">
        <v>1101</v>
      </c>
      <c r="B29897" s="572">
        <v>8.9120000000000008</v>
      </c>
      <c r="C29897" s="572">
        <v>607.79999999999995</v>
      </c>
    </row>
    <row r="29898" spans="1:3">
      <c r="A29898" s="571" t="s">
        <v>1101</v>
      </c>
      <c r="B29898" s="572">
        <v>11.01</v>
      </c>
      <c r="C29898" s="572">
        <v>652.70000000000005</v>
      </c>
    </row>
    <row r="29899" spans="1:3">
      <c r="A29899" s="571" t="s">
        <v>1101</v>
      </c>
      <c r="B29899" s="572">
        <v>12.92</v>
      </c>
      <c r="C29899" s="572">
        <v>684.6</v>
      </c>
    </row>
    <row r="29900" spans="1:3">
      <c r="A29900" s="571" t="s">
        <v>1101</v>
      </c>
      <c r="B29900" s="572">
        <v>16.190000000000001</v>
      </c>
      <c r="C29900" s="572">
        <v>730.2</v>
      </c>
    </row>
    <row r="29901" spans="1:3">
      <c r="A29901" s="571" t="s">
        <v>1101</v>
      </c>
      <c r="B29901" s="572">
        <v>23.21</v>
      </c>
      <c r="C29901" s="572">
        <v>790.2</v>
      </c>
    </row>
    <row r="29902" spans="1:3">
      <c r="A29902" s="571" t="s">
        <v>1101</v>
      </c>
      <c r="B29902" s="572">
        <v>26.12</v>
      </c>
      <c r="C29902" s="572">
        <v>801.9</v>
      </c>
    </row>
    <row r="29903" spans="1:3">
      <c r="A29903" s="571" t="s">
        <v>1101</v>
      </c>
      <c r="B29903" s="572">
        <v>38.19</v>
      </c>
      <c r="C29903" s="572">
        <v>823.7</v>
      </c>
    </row>
    <row r="29904" spans="1:3">
      <c r="A29904" s="571" t="s">
        <v>1101</v>
      </c>
      <c r="B29904" s="572">
        <v>67.81</v>
      </c>
      <c r="C29904" s="572">
        <v>837.9</v>
      </c>
    </row>
    <row r="29905" spans="1:3">
      <c r="A29905" s="573" t="s">
        <v>1101</v>
      </c>
      <c r="B29905" s="574">
        <v>128.19999999999999</v>
      </c>
      <c r="C29905" s="574">
        <v>847.5</v>
      </c>
    </row>
    <row r="29906" spans="1:3">
      <c r="A29906" s="571" t="s">
        <v>1100</v>
      </c>
      <c r="B29906" s="572">
        <v>1.0089999999999999</v>
      </c>
      <c r="C29906" s="572">
        <v>190.8</v>
      </c>
    </row>
    <row r="29907" spans="1:3">
      <c r="A29907" s="571" t="s">
        <v>1100</v>
      </c>
      <c r="B29907" s="572">
        <v>2.992</v>
      </c>
      <c r="C29907" s="572">
        <v>363.2</v>
      </c>
    </row>
    <row r="29908" spans="1:3">
      <c r="A29908" s="571" t="s">
        <v>1100</v>
      </c>
      <c r="B29908" s="572">
        <v>5.0490000000000004</v>
      </c>
      <c r="C29908" s="572">
        <v>452.7</v>
      </c>
    </row>
    <row r="29909" spans="1:3">
      <c r="A29909" s="571" t="s">
        <v>1100</v>
      </c>
      <c r="B29909" s="572">
        <v>6.8410000000000002</v>
      </c>
      <c r="C29909" s="572">
        <v>510.8</v>
      </c>
    </row>
    <row r="29910" spans="1:3">
      <c r="A29910" s="571" t="s">
        <v>1100</v>
      </c>
      <c r="B29910" s="572">
        <v>8.9559999999999995</v>
      </c>
      <c r="C29910" s="572">
        <v>565.5</v>
      </c>
    </row>
    <row r="29911" spans="1:3">
      <c r="A29911" s="571" t="s">
        <v>1100</v>
      </c>
      <c r="B29911" s="572">
        <v>10.96</v>
      </c>
      <c r="C29911" s="572">
        <v>603.20000000000005</v>
      </c>
    </row>
    <row r="29912" spans="1:3">
      <c r="A29912" s="571" t="s">
        <v>1100</v>
      </c>
      <c r="B29912" s="572">
        <v>12.83</v>
      </c>
      <c r="C29912" s="572">
        <v>635.1</v>
      </c>
    </row>
    <row r="29913" spans="1:3">
      <c r="A29913" s="571" t="s">
        <v>1100</v>
      </c>
      <c r="B29913" s="572">
        <v>16</v>
      </c>
      <c r="C29913" s="572">
        <v>664.5</v>
      </c>
    </row>
    <row r="29914" spans="1:3">
      <c r="A29914" s="571" t="s">
        <v>1100</v>
      </c>
      <c r="B29914" s="572">
        <v>20.239999999999998</v>
      </c>
      <c r="C29914" s="572">
        <v>684</v>
      </c>
    </row>
    <row r="29915" spans="1:3">
      <c r="A29915" s="571" t="s">
        <v>1100</v>
      </c>
      <c r="B29915" s="572">
        <v>26.18</v>
      </c>
      <c r="C29915" s="572">
        <v>695.7</v>
      </c>
    </row>
    <row r="29916" spans="1:3">
      <c r="A29916" s="571" t="s">
        <v>1100</v>
      </c>
      <c r="B29916" s="572">
        <v>38.28</v>
      </c>
      <c r="C29916" s="572">
        <v>709.4</v>
      </c>
    </row>
    <row r="29917" spans="1:3">
      <c r="A29917" s="571" t="s">
        <v>1100</v>
      </c>
      <c r="B29917" s="572">
        <v>50.61</v>
      </c>
      <c r="C29917" s="572">
        <v>716.6</v>
      </c>
    </row>
    <row r="29918" spans="1:3">
      <c r="A29918" s="571" t="s">
        <v>1100</v>
      </c>
      <c r="B29918" s="572">
        <v>66.489999999999995</v>
      </c>
      <c r="C29918" s="572">
        <v>718.5</v>
      </c>
    </row>
    <row r="29919" spans="1:3">
      <c r="A29919" s="573" t="s">
        <v>1100</v>
      </c>
      <c r="B29919" s="574">
        <v>127.9</v>
      </c>
      <c r="C29919" s="574">
        <v>725</v>
      </c>
    </row>
    <row r="29920" spans="1:3">
      <c r="A29920" s="571" t="s">
        <v>1099</v>
      </c>
      <c r="B29920" s="572">
        <v>1.0089999999999999</v>
      </c>
      <c r="C29920" s="572">
        <v>87.86</v>
      </c>
    </row>
    <row r="29921" spans="1:3">
      <c r="A29921" s="571" t="s">
        <v>1099</v>
      </c>
      <c r="B29921" s="572">
        <v>3.0070000000000001</v>
      </c>
      <c r="C29921" s="572">
        <v>160</v>
      </c>
    </row>
    <row r="29922" spans="1:3">
      <c r="A29922" s="571" t="s">
        <v>1099</v>
      </c>
      <c r="B29922" s="572">
        <v>4.9630000000000001</v>
      </c>
      <c r="C29922" s="572">
        <v>287.2</v>
      </c>
    </row>
    <row r="29923" spans="1:3">
      <c r="A29923" s="571" t="s">
        <v>1099</v>
      </c>
      <c r="B29923" s="572">
        <v>7.1840000000000002</v>
      </c>
      <c r="C29923" s="572">
        <v>400</v>
      </c>
    </row>
    <row r="29924" spans="1:3">
      <c r="A29924" s="571" t="s">
        <v>1099</v>
      </c>
      <c r="B29924" s="572">
        <v>9.4290000000000003</v>
      </c>
      <c r="C29924" s="572">
        <v>466.8</v>
      </c>
    </row>
    <row r="29925" spans="1:3">
      <c r="A29925" s="571" t="s">
        <v>1099</v>
      </c>
      <c r="B29925" s="572">
        <v>11.31</v>
      </c>
      <c r="C29925" s="572">
        <v>508.7</v>
      </c>
    </row>
    <row r="29926" spans="1:3">
      <c r="A29926" s="571" t="s">
        <v>1099</v>
      </c>
      <c r="B29926" s="572">
        <v>14.77</v>
      </c>
      <c r="C29926" s="572">
        <v>553.29999999999995</v>
      </c>
    </row>
    <row r="29927" spans="1:3">
      <c r="A29927" s="571" t="s">
        <v>1099</v>
      </c>
      <c r="B29927" s="572">
        <v>18.73</v>
      </c>
      <c r="C29927" s="572">
        <v>581.70000000000005</v>
      </c>
    </row>
    <row r="29928" spans="1:3">
      <c r="A29928" s="571" t="s">
        <v>1099</v>
      </c>
      <c r="B29928" s="572">
        <v>22.77</v>
      </c>
      <c r="C29928" s="572">
        <v>597.9</v>
      </c>
    </row>
    <row r="29929" spans="1:3">
      <c r="A29929" s="571" t="s">
        <v>1099</v>
      </c>
      <c r="B29929" s="572">
        <v>30.02</v>
      </c>
      <c r="C29929" s="572">
        <v>617.5</v>
      </c>
    </row>
    <row r="29930" spans="1:3">
      <c r="A29930" s="571" t="s">
        <v>1099</v>
      </c>
      <c r="B29930" s="572">
        <v>48.11</v>
      </c>
      <c r="C29930" s="572">
        <v>640.29999999999995</v>
      </c>
    </row>
    <row r="29931" spans="1:3">
      <c r="A29931" s="571" t="s">
        <v>1099</v>
      </c>
      <c r="B29931" s="572">
        <v>76.12</v>
      </c>
      <c r="C29931" s="572">
        <v>651.4</v>
      </c>
    </row>
    <row r="29932" spans="1:3">
      <c r="A29932" s="573" t="s">
        <v>1099</v>
      </c>
      <c r="B29932" s="574">
        <v>130.5</v>
      </c>
      <c r="C29932" s="574">
        <v>656</v>
      </c>
    </row>
    <row r="29933" spans="1:3">
      <c r="A29933" s="571" t="s">
        <v>1097</v>
      </c>
      <c r="B29933" s="572">
        <v>0.99509999999999998</v>
      </c>
      <c r="C29933" s="572">
        <v>59.01</v>
      </c>
    </row>
    <row r="29934" spans="1:3">
      <c r="A29934" s="571" t="s">
        <v>1097</v>
      </c>
      <c r="B29934" s="572">
        <v>2.97</v>
      </c>
      <c r="C29934" s="572">
        <v>137.69999999999999</v>
      </c>
    </row>
    <row r="29935" spans="1:3">
      <c r="A29935" s="571" t="s">
        <v>1097</v>
      </c>
      <c r="B29935" s="572">
        <v>5.0739999999999998</v>
      </c>
      <c r="C29935" s="572">
        <v>203.2</v>
      </c>
    </row>
    <row r="29936" spans="1:3">
      <c r="A29936" s="571" t="s">
        <v>1097</v>
      </c>
      <c r="B29936" s="572">
        <v>6.9249999999999998</v>
      </c>
      <c r="C29936" s="572">
        <v>245.2</v>
      </c>
    </row>
    <row r="29937" spans="1:3">
      <c r="A29937" s="571" t="s">
        <v>1097</v>
      </c>
      <c r="B29937" s="572">
        <v>8.8689999999999998</v>
      </c>
      <c r="C29937" s="572">
        <v>284.5</v>
      </c>
    </row>
    <row r="29938" spans="1:3">
      <c r="A29938" s="571" t="s">
        <v>1097</v>
      </c>
      <c r="B29938" s="572">
        <v>11.04</v>
      </c>
      <c r="C29938" s="572">
        <v>311.39999999999998</v>
      </c>
    </row>
    <row r="29939" spans="1:3">
      <c r="A29939" s="571" t="s">
        <v>1097</v>
      </c>
      <c r="B29939" s="572">
        <v>13.37</v>
      </c>
      <c r="C29939" s="572">
        <v>335</v>
      </c>
    </row>
    <row r="29940" spans="1:3">
      <c r="A29940" s="571" t="s">
        <v>1097</v>
      </c>
      <c r="B29940" s="572">
        <v>16.43</v>
      </c>
      <c r="C29940" s="572">
        <v>361.3</v>
      </c>
    </row>
    <row r="29941" spans="1:3">
      <c r="A29941" s="571" t="s">
        <v>1097</v>
      </c>
      <c r="B29941" s="572">
        <v>19.75</v>
      </c>
      <c r="C29941" s="572">
        <v>380.9</v>
      </c>
    </row>
    <row r="29942" spans="1:3">
      <c r="A29942" s="571" t="s">
        <v>1097</v>
      </c>
      <c r="B29942" s="572">
        <v>25.87</v>
      </c>
      <c r="C29942" s="572">
        <v>408.1</v>
      </c>
    </row>
    <row r="29943" spans="1:3">
      <c r="A29943" s="571" t="s">
        <v>1097</v>
      </c>
      <c r="B29943" s="572">
        <v>38.65</v>
      </c>
      <c r="C29943" s="572">
        <v>446.6</v>
      </c>
    </row>
    <row r="29944" spans="1:3">
      <c r="A29944" s="571" t="s">
        <v>1097</v>
      </c>
      <c r="B29944" s="572">
        <v>51.37</v>
      </c>
      <c r="C29944" s="572">
        <v>471.6</v>
      </c>
    </row>
    <row r="29945" spans="1:3">
      <c r="A29945" s="571" t="s">
        <v>1097</v>
      </c>
      <c r="B29945" s="572">
        <v>92.66</v>
      </c>
      <c r="C29945" s="572">
        <v>500.6</v>
      </c>
    </row>
    <row r="29946" spans="1:3">
      <c r="A29946" s="573" t="s">
        <v>1097</v>
      </c>
      <c r="B29946" s="574">
        <v>133.69999999999999</v>
      </c>
      <c r="C29946" s="574">
        <v>510.1</v>
      </c>
    </row>
    <row r="29947" spans="1:3">
      <c r="A29947" s="571" t="s">
        <v>1095</v>
      </c>
      <c r="B29947" s="572">
        <v>1</v>
      </c>
      <c r="C29947" s="572">
        <v>104.2</v>
      </c>
    </row>
    <row r="29948" spans="1:3">
      <c r="A29948" s="571" t="s">
        <v>1095</v>
      </c>
      <c r="B29948" s="572">
        <v>2.9489999999999998</v>
      </c>
      <c r="C29948" s="572">
        <v>417.5</v>
      </c>
    </row>
    <row r="29949" spans="1:3">
      <c r="A29949" s="571" t="s">
        <v>1095</v>
      </c>
      <c r="B29949" s="572">
        <v>5.0119999999999996</v>
      </c>
      <c r="C29949" s="572">
        <v>555.4</v>
      </c>
    </row>
    <row r="29950" spans="1:3">
      <c r="A29950" s="571" t="s">
        <v>1095</v>
      </c>
      <c r="B29950" s="572">
        <v>6.891</v>
      </c>
      <c r="C29950" s="572">
        <v>629.29999999999995</v>
      </c>
    </row>
    <row r="29951" spans="1:3">
      <c r="A29951" s="571" t="s">
        <v>1095</v>
      </c>
      <c r="B29951" s="572">
        <v>11.01</v>
      </c>
      <c r="C29951" s="572">
        <v>712</v>
      </c>
    </row>
    <row r="29952" spans="1:3">
      <c r="A29952" s="571" t="s">
        <v>1095</v>
      </c>
      <c r="B29952" s="572">
        <v>15.73</v>
      </c>
      <c r="C29952" s="572">
        <v>745.2</v>
      </c>
    </row>
    <row r="29953" spans="1:3">
      <c r="A29953" s="571" t="s">
        <v>1095</v>
      </c>
      <c r="B29953" s="572">
        <v>19</v>
      </c>
      <c r="C29953" s="572">
        <v>751.7</v>
      </c>
    </row>
    <row r="29954" spans="1:3">
      <c r="A29954" s="571" t="s">
        <v>1095</v>
      </c>
      <c r="B29954" s="572">
        <v>26.49</v>
      </c>
      <c r="C29954" s="572">
        <v>763.5</v>
      </c>
    </row>
    <row r="29955" spans="1:3">
      <c r="A29955" s="571" t="s">
        <v>1095</v>
      </c>
      <c r="B29955" s="572">
        <v>38.93</v>
      </c>
      <c r="C29955" s="572">
        <v>775.2</v>
      </c>
    </row>
    <row r="29956" spans="1:3">
      <c r="A29956" s="571" t="s">
        <v>1095</v>
      </c>
      <c r="B29956" s="572">
        <v>76.489999999999995</v>
      </c>
      <c r="C29956" s="572">
        <v>788.9</v>
      </c>
    </row>
    <row r="29957" spans="1:3">
      <c r="A29957" s="573" t="s">
        <v>1095</v>
      </c>
      <c r="B29957" s="574">
        <v>117.2</v>
      </c>
      <c r="C29957" s="574">
        <v>795.4</v>
      </c>
    </row>
    <row r="29958" spans="1:3">
      <c r="A29958" s="571" t="s">
        <v>1094</v>
      </c>
      <c r="B29958" s="572">
        <v>10</v>
      </c>
      <c r="C29958" s="572">
        <v>364.9</v>
      </c>
    </row>
    <row r="29959" spans="1:3">
      <c r="A29959" s="571" t="s">
        <v>1094</v>
      </c>
      <c r="B29959" s="572">
        <v>20</v>
      </c>
      <c r="C29959" s="572">
        <v>576.4</v>
      </c>
    </row>
    <row r="29960" spans="1:3">
      <c r="A29960" s="571" t="s">
        <v>1094</v>
      </c>
      <c r="B29960" s="572">
        <v>30</v>
      </c>
      <c r="C29960" s="572">
        <v>680.5</v>
      </c>
    </row>
    <row r="29961" spans="1:3">
      <c r="A29961" s="571" t="s">
        <v>1094</v>
      </c>
      <c r="B29961" s="572">
        <v>40</v>
      </c>
      <c r="C29961" s="572">
        <v>738.6</v>
      </c>
    </row>
    <row r="29962" spans="1:3">
      <c r="A29962" s="571" t="s">
        <v>1094</v>
      </c>
      <c r="B29962" s="572">
        <v>50</v>
      </c>
      <c r="C29962" s="572">
        <v>781.5</v>
      </c>
    </row>
    <row r="29963" spans="1:3">
      <c r="A29963" s="571" t="s">
        <v>1094</v>
      </c>
      <c r="B29963" s="572">
        <v>60</v>
      </c>
      <c r="C29963" s="572">
        <v>811.9</v>
      </c>
    </row>
    <row r="29964" spans="1:3">
      <c r="A29964" s="571" t="s">
        <v>1094</v>
      </c>
      <c r="B29964" s="572">
        <v>70</v>
      </c>
      <c r="C29964" s="572">
        <v>833.2</v>
      </c>
    </row>
    <row r="29965" spans="1:3">
      <c r="A29965" s="571" t="s">
        <v>1094</v>
      </c>
      <c r="B29965" s="572">
        <v>80</v>
      </c>
      <c r="C29965" s="572">
        <v>848.3</v>
      </c>
    </row>
    <row r="29966" spans="1:3">
      <c r="A29966" s="571" t="s">
        <v>1094</v>
      </c>
      <c r="B29966" s="572">
        <v>90</v>
      </c>
      <c r="C29966" s="572">
        <v>857.4</v>
      </c>
    </row>
    <row r="29967" spans="1:3">
      <c r="A29967" s="573" t="s">
        <v>1094</v>
      </c>
      <c r="B29967" s="574">
        <v>100</v>
      </c>
      <c r="C29967" s="574">
        <v>863.3</v>
      </c>
    </row>
    <row r="29968" spans="1:3">
      <c r="A29968" s="573" t="s">
        <v>1094</v>
      </c>
      <c r="B29968" s="574">
        <v>110</v>
      </c>
      <c r="C29968" s="574">
        <v>872.4</v>
      </c>
    </row>
    <row r="29969" spans="1:3">
      <c r="A29969" s="573" t="s">
        <v>1094</v>
      </c>
      <c r="B29969" s="574">
        <v>120</v>
      </c>
      <c r="C29969" s="574">
        <v>878.3</v>
      </c>
    </row>
    <row r="29970" spans="1:3">
      <c r="A29970" s="573" t="s">
        <v>1094</v>
      </c>
      <c r="B29970" s="574">
        <v>130</v>
      </c>
      <c r="C29970" s="574">
        <v>881.2</v>
      </c>
    </row>
    <row r="29971" spans="1:3">
      <c r="A29971" s="573" t="s">
        <v>1094</v>
      </c>
      <c r="B29971" s="574">
        <v>140</v>
      </c>
      <c r="C29971" s="574">
        <v>884.1</v>
      </c>
    </row>
    <row r="29972" spans="1:3">
      <c r="A29972" s="573" t="s">
        <v>1094</v>
      </c>
      <c r="B29972" s="574">
        <v>150</v>
      </c>
      <c r="C29972" s="574">
        <v>890.1</v>
      </c>
    </row>
    <row r="29973" spans="1:3">
      <c r="A29973" s="573" t="s">
        <v>1094</v>
      </c>
      <c r="B29973" s="574">
        <v>160</v>
      </c>
      <c r="C29973" s="574">
        <v>893</v>
      </c>
    </row>
    <row r="29974" spans="1:3">
      <c r="A29974" s="573" t="s">
        <v>1094</v>
      </c>
      <c r="B29974" s="574">
        <v>170</v>
      </c>
      <c r="C29974" s="574">
        <v>898.9</v>
      </c>
    </row>
    <row r="29975" spans="1:3">
      <c r="A29975" s="573" t="s">
        <v>1094</v>
      </c>
      <c r="B29975" s="574">
        <v>180</v>
      </c>
      <c r="C29975" s="574">
        <v>901.8</v>
      </c>
    </row>
    <row r="29976" spans="1:3">
      <c r="A29976" s="571" t="s">
        <v>1093</v>
      </c>
      <c r="B29976" s="572">
        <v>10</v>
      </c>
      <c r="C29976" s="572">
        <v>288.2</v>
      </c>
    </row>
    <row r="29977" spans="1:3">
      <c r="A29977" s="571" t="s">
        <v>1093</v>
      </c>
      <c r="B29977" s="572">
        <v>20</v>
      </c>
      <c r="C29977" s="572">
        <v>386.2</v>
      </c>
    </row>
    <row r="29978" spans="1:3">
      <c r="A29978" s="571" t="s">
        <v>1093</v>
      </c>
      <c r="B29978" s="572">
        <v>30</v>
      </c>
      <c r="C29978" s="572">
        <v>438.1</v>
      </c>
    </row>
    <row r="29979" spans="1:3">
      <c r="A29979" s="571" t="s">
        <v>1093</v>
      </c>
      <c r="B29979" s="572">
        <v>40</v>
      </c>
      <c r="C29979" s="572">
        <v>471.7</v>
      </c>
    </row>
    <row r="29980" spans="1:3">
      <c r="A29980" s="571" t="s">
        <v>1093</v>
      </c>
      <c r="B29980" s="572">
        <v>50</v>
      </c>
      <c r="C29980" s="572">
        <v>489.9</v>
      </c>
    </row>
    <row r="29981" spans="1:3">
      <c r="A29981" s="571" t="s">
        <v>1093</v>
      </c>
      <c r="B29981" s="572">
        <v>60</v>
      </c>
      <c r="C29981" s="572">
        <v>517.4</v>
      </c>
    </row>
    <row r="29982" spans="1:3">
      <c r="A29982" s="571" t="s">
        <v>1093</v>
      </c>
      <c r="B29982" s="572">
        <v>70</v>
      </c>
      <c r="C29982" s="572">
        <v>529.5</v>
      </c>
    </row>
    <row r="29983" spans="1:3">
      <c r="A29983" s="571" t="s">
        <v>1093</v>
      </c>
      <c r="B29983" s="572">
        <v>80</v>
      </c>
      <c r="C29983" s="572">
        <v>541.6</v>
      </c>
    </row>
    <row r="29984" spans="1:3">
      <c r="A29984" s="571" t="s">
        <v>1093</v>
      </c>
      <c r="B29984" s="572">
        <v>90</v>
      </c>
      <c r="C29984" s="572">
        <v>547.6</v>
      </c>
    </row>
    <row r="29985" spans="1:3">
      <c r="A29985" s="573" t="s">
        <v>1093</v>
      </c>
      <c r="B29985" s="574">
        <v>100</v>
      </c>
      <c r="C29985" s="574">
        <v>553.5</v>
      </c>
    </row>
    <row r="29986" spans="1:3">
      <c r="A29986" s="573" t="s">
        <v>1093</v>
      </c>
      <c r="B29986" s="574">
        <v>110</v>
      </c>
      <c r="C29986" s="574">
        <v>562.5</v>
      </c>
    </row>
    <row r="29987" spans="1:3">
      <c r="A29987" s="573" t="s">
        <v>1093</v>
      </c>
      <c r="B29987" s="574">
        <v>120</v>
      </c>
      <c r="C29987" s="574">
        <v>571.6</v>
      </c>
    </row>
    <row r="29988" spans="1:3">
      <c r="A29988" s="573" t="s">
        <v>1093</v>
      </c>
      <c r="B29988" s="574">
        <v>130</v>
      </c>
      <c r="C29988" s="574">
        <v>583.70000000000005</v>
      </c>
    </row>
    <row r="29989" spans="1:3">
      <c r="A29989" s="573" t="s">
        <v>1093</v>
      </c>
      <c r="B29989" s="574">
        <v>140</v>
      </c>
      <c r="C29989" s="574">
        <v>589.6</v>
      </c>
    </row>
    <row r="29990" spans="1:3">
      <c r="A29990" s="573" t="s">
        <v>1093</v>
      </c>
      <c r="B29990" s="574">
        <v>150</v>
      </c>
      <c r="C29990" s="574">
        <v>598.5</v>
      </c>
    </row>
    <row r="29991" spans="1:3">
      <c r="A29991" s="573" t="s">
        <v>1093</v>
      </c>
      <c r="B29991" s="574">
        <v>160</v>
      </c>
      <c r="C29991" s="574">
        <v>598.70000000000005</v>
      </c>
    </row>
    <row r="29992" spans="1:3">
      <c r="A29992" s="573" t="s">
        <v>1093</v>
      </c>
      <c r="B29992" s="574">
        <v>170</v>
      </c>
      <c r="C29992" s="574">
        <v>601.20000000000005</v>
      </c>
    </row>
    <row r="29993" spans="1:3">
      <c r="A29993" s="573" t="s">
        <v>1093</v>
      </c>
      <c r="B29993" s="574">
        <v>180</v>
      </c>
      <c r="C29993" s="574">
        <v>601.4</v>
      </c>
    </row>
    <row r="29994" spans="1:3">
      <c r="A29994" s="571" t="s">
        <v>1092</v>
      </c>
      <c r="B29994" s="572">
        <v>5</v>
      </c>
      <c r="C29994" s="572">
        <v>111.7</v>
      </c>
    </row>
    <row r="29995" spans="1:3">
      <c r="A29995" s="571" t="s">
        <v>1092</v>
      </c>
      <c r="B29995" s="572">
        <v>10</v>
      </c>
      <c r="C29995" s="572">
        <v>171.8</v>
      </c>
    </row>
    <row r="29996" spans="1:3">
      <c r="A29996" s="571" t="s">
        <v>1092</v>
      </c>
      <c r="B29996" s="572">
        <v>20</v>
      </c>
      <c r="C29996" s="572">
        <v>257.7</v>
      </c>
    </row>
    <row r="29997" spans="1:3">
      <c r="A29997" s="571" t="s">
        <v>1092</v>
      </c>
      <c r="B29997" s="572">
        <v>30</v>
      </c>
      <c r="C29997" s="572">
        <v>328.5</v>
      </c>
    </row>
    <row r="29998" spans="1:3">
      <c r="A29998" s="571" t="s">
        <v>1092</v>
      </c>
      <c r="B29998" s="572">
        <v>40</v>
      </c>
      <c r="C29998" s="572">
        <v>377.9</v>
      </c>
    </row>
    <row r="29999" spans="1:3">
      <c r="A29999" s="571" t="s">
        <v>1092</v>
      </c>
      <c r="B29999" s="572">
        <v>50</v>
      </c>
      <c r="C29999" s="572">
        <v>414.4</v>
      </c>
    </row>
    <row r="30000" spans="1:3">
      <c r="A30000" s="571" t="s">
        <v>1092</v>
      </c>
      <c r="B30000" s="572">
        <v>60</v>
      </c>
      <c r="C30000" s="572">
        <v>444.5</v>
      </c>
    </row>
    <row r="30001" spans="1:3">
      <c r="A30001" s="571" t="s">
        <v>1092</v>
      </c>
      <c r="B30001" s="572">
        <v>70</v>
      </c>
      <c r="C30001" s="572">
        <v>481</v>
      </c>
    </row>
    <row r="30002" spans="1:3">
      <c r="A30002" s="571" t="s">
        <v>1092</v>
      </c>
      <c r="B30002" s="572">
        <v>80</v>
      </c>
      <c r="C30002" s="572">
        <v>506.8</v>
      </c>
    </row>
    <row r="30003" spans="1:3">
      <c r="A30003" s="571" t="s">
        <v>1092</v>
      </c>
      <c r="B30003" s="572">
        <v>90</v>
      </c>
      <c r="C30003" s="572">
        <v>528.20000000000005</v>
      </c>
    </row>
    <row r="30004" spans="1:3">
      <c r="A30004" s="573" t="s">
        <v>1092</v>
      </c>
      <c r="B30004" s="574">
        <v>100</v>
      </c>
      <c r="C30004" s="574">
        <v>545.4</v>
      </c>
    </row>
    <row r="30005" spans="1:3">
      <c r="A30005" s="573" t="s">
        <v>1092</v>
      </c>
      <c r="B30005" s="574">
        <v>110</v>
      </c>
      <c r="C30005" s="574">
        <v>560.4</v>
      </c>
    </row>
    <row r="30006" spans="1:3">
      <c r="A30006" s="573" t="s">
        <v>1092</v>
      </c>
      <c r="B30006" s="574">
        <v>120</v>
      </c>
      <c r="C30006" s="574">
        <v>571.20000000000005</v>
      </c>
    </row>
    <row r="30007" spans="1:3">
      <c r="A30007" s="573" t="s">
        <v>1092</v>
      </c>
      <c r="B30007" s="574">
        <v>130</v>
      </c>
      <c r="C30007" s="574">
        <v>581.9</v>
      </c>
    </row>
    <row r="30008" spans="1:3">
      <c r="A30008" s="573" t="s">
        <v>1092</v>
      </c>
      <c r="B30008" s="574">
        <v>140</v>
      </c>
      <c r="C30008" s="574">
        <v>592.6</v>
      </c>
    </row>
    <row r="30009" spans="1:3">
      <c r="A30009" s="573" t="s">
        <v>1092</v>
      </c>
      <c r="B30009" s="574">
        <v>150</v>
      </c>
      <c r="C30009" s="574">
        <v>601.20000000000005</v>
      </c>
    </row>
    <row r="30010" spans="1:3">
      <c r="A30010" s="573" t="s">
        <v>1092</v>
      </c>
      <c r="B30010" s="574">
        <v>160</v>
      </c>
      <c r="C30010" s="574">
        <v>612</v>
      </c>
    </row>
    <row r="30011" spans="1:3">
      <c r="A30011" s="573" t="s">
        <v>1092</v>
      </c>
      <c r="B30011" s="574">
        <v>170</v>
      </c>
      <c r="C30011" s="574">
        <v>622.70000000000005</v>
      </c>
    </row>
    <row r="30012" spans="1:3">
      <c r="A30012" s="573" t="s">
        <v>1092</v>
      </c>
      <c r="B30012" s="574">
        <v>180</v>
      </c>
      <c r="C30012" s="574">
        <v>631.29999999999995</v>
      </c>
    </row>
    <row r="30013" spans="1:3">
      <c r="A30013" s="571" t="s">
        <v>1091</v>
      </c>
      <c r="B30013" s="572">
        <v>10</v>
      </c>
      <c r="C30013" s="572">
        <v>75.2</v>
      </c>
    </row>
    <row r="30014" spans="1:3">
      <c r="A30014" s="571" t="s">
        <v>1091</v>
      </c>
      <c r="B30014" s="572">
        <v>20</v>
      </c>
      <c r="C30014" s="572">
        <v>131</v>
      </c>
    </row>
    <row r="30015" spans="1:3">
      <c r="A30015" s="571" t="s">
        <v>1091</v>
      </c>
      <c r="B30015" s="572">
        <v>30</v>
      </c>
      <c r="C30015" s="572">
        <v>163.19999999999999</v>
      </c>
    </row>
    <row r="30016" spans="1:3">
      <c r="A30016" s="571" t="s">
        <v>1091</v>
      </c>
      <c r="B30016" s="572">
        <v>40</v>
      </c>
      <c r="C30016" s="572">
        <v>197.6</v>
      </c>
    </row>
    <row r="30017" spans="1:3">
      <c r="A30017" s="571" t="s">
        <v>1091</v>
      </c>
      <c r="B30017" s="572">
        <v>50</v>
      </c>
      <c r="C30017" s="572">
        <v>221.2</v>
      </c>
    </row>
    <row r="30018" spans="1:3">
      <c r="A30018" s="571" t="s">
        <v>1091</v>
      </c>
      <c r="B30018" s="572">
        <v>60</v>
      </c>
      <c r="C30018" s="572">
        <v>244.8</v>
      </c>
    </row>
    <row r="30019" spans="1:3">
      <c r="A30019" s="571" t="s">
        <v>1091</v>
      </c>
      <c r="B30019" s="572">
        <v>70</v>
      </c>
      <c r="C30019" s="572">
        <v>268.39999999999998</v>
      </c>
    </row>
    <row r="30020" spans="1:3">
      <c r="A30020" s="571" t="s">
        <v>1091</v>
      </c>
      <c r="B30020" s="572">
        <v>80</v>
      </c>
      <c r="C30020" s="572">
        <v>287.7</v>
      </c>
    </row>
    <row r="30021" spans="1:3">
      <c r="A30021" s="571" t="s">
        <v>1091</v>
      </c>
      <c r="B30021" s="572">
        <v>90</v>
      </c>
      <c r="C30021" s="572">
        <v>309.2</v>
      </c>
    </row>
    <row r="30022" spans="1:3">
      <c r="A30022" s="573" t="s">
        <v>1091</v>
      </c>
      <c r="B30022" s="574">
        <v>100</v>
      </c>
      <c r="C30022" s="574">
        <v>322.10000000000002</v>
      </c>
    </row>
    <row r="30023" spans="1:3">
      <c r="A30023" s="573" t="s">
        <v>1091</v>
      </c>
      <c r="B30023" s="574">
        <v>110</v>
      </c>
      <c r="C30023" s="574">
        <v>339.3</v>
      </c>
    </row>
    <row r="30024" spans="1:3">
      <c r="A30024" s="573" t="s">
        <v>1091</v>
      </c>
      <c r="B30024" s="574">
        <v>120</v>
      </c>
      <c r="C30024" s="574">
        <v>354.3</v>
      </c>
    </row>
    <row r="30025" spans="1:3">
      <c r="A30025" s="573" t="s">
        <v>1091</v>
      </c>
      <c r="B30025" s="574">
        <v>130</v>
      </c>
      <c r="C30025" s="574">
        <v>369.3</v>
      </c>
    </row>
    <row r="30026" spans="1:3">
      <c r="A30026" s="573" t="s">
        <v>1091</v>
      </c>
      <c r="B30026" s="574">
        <v>140</v>
      </c>
      <c r="C30026" s="574">
        <v>380.1</v>
      </c>
    </row>
    <row r="30027" spans="1:3">
      <c r="A30027" s="573" t="s">
        <v>1091</v>
      </c>
      <c r="B30027" s="574">
        <v>150</v>
      </c>
      <c r="C30027" s="574">
        <v>395.1</v>
      </c>
    </row>
    <row r="30028" spans="1:3">
      <c r="A30028" s="573" t="s">
        <v>1091</v>
      </c>
      <c r="B30028" s="574">
        <v>160</v>
      </c>
      <c r="C30028" s="574">
        <v>405.8</v>
      </c>
    </row>
    <row r="30029" spans="1:3">
      <c r="A30029" s="573" t="s">
        <v>1091</v>
      </c>
      <c r="B30029" s="574">
        <v>170</v>
      </c>
      <c r="C30029" s="574">
        <v>420.9</v>
      </c>
    </row>
    <row r="30030" spans="1:3">
      <c r="A30030" s="573" t="s">
        <v>1091</v>
      </c>
      <c r="B30030" s="574">
        <v>180</v>
      </c>
      <c r="C30030" s="574">
        <v>433.7</v>
      </c>
    </row>
    <row r="30031" spans="1:3">
      <c r="A30031" s="571" t="s">
        <v>1090</v>
      </c>
      <c r="B30031" s="572">
        <v>10</v>
      </c>
      <c r="C30031" s="572">
        <v>34.4</v>
      </c>
    </row>
    <row r="30032" spans="1:3">
      <c r="A30032" s="571" t="s">
        <v>1090</v>
      </c>
      <c r="B30032" s="572">
        <v>20</v>
      </c>
      <c r="C30032" s="572">
        <v>58</v>
      </c>
    </row>
    <row r="30033" spans="1:3">
      <c r="A30033" s="571" t="s">
        <v>1090</v>
      </c>
      <c r="B30033" s="572">
        <v>30</v>
      </c>
      <c r="C30033" s="572">
        <v>75.2</v>
      </c>
    </row>
    <row r="30034" spans="1:3">
      <c r="A30034" s="571" t="s">
        <v>1090</v>
      </c>
      <c r="B30034" s="572">
        <v>40</v>
      </c>
      <c r="C30034" s="572">
        <v>90.2</v>
      </c>
    </row>
    <row r="30035" spans="1:3">
      <c r="A30035" s="571" t="s">
        <v>1090</v>
      </c>
      <c r="B30035" s="572">
        <v>50</v>
      </c>
      <c r="C30035" s="572">
        <v>103.1</v>
      </c>
    </row>
    <row r="30036" spans="1:3">
      <c r="A30036" s="571" t="s">
        <v>1090</v>
      </c>
      <c r="B30036" s="572">
        <v>60</v>
      </c>
      <c r="C30036" s="572">
        <v>116</v>
      </c>
    </row>
    <row r="30037" spans="1:3">
      <c r="A30037" s="571" t="s">
        <v>1090</v>
      </c>
      <c r="B30037" s="572">
        <v>70</v>
      </c>
      <c r="C30037" s="572">
        <v>131</v>
      </c>
    </row>
    <row r="30038" spans="1:3">
      <c r="A30038" s="571" t="s">
        <v>1090</v>
      </c>
      <c r="B30038" s="572">
        <v>80</v>
      </c>
      <c r="C30038" s="572">
        <v>143.9</v>
      </c>
    </row>
    <row r="30039" spans="1:3">
      <c r="A30039" s="571" t="s">
        <v>1090</v>
      </c>
      <c r="B30039" s="572">
        <v>90</v>
      </c>
      <c r="C30039" s="572">
        <v>158.9</v>
      </c>
    </row>
    <row r="30040" spans="1:3">
      <c r="A30040" s="573" t="s">
        <v>1090</v>
      </c>
      <c r="B30040" s="574">
        <v>100</v>
      </c>
      <c r="C30040" s="574">
        <v>171.8</v>
      </c>
    </row>
    <row r="30041" spans="1:3">
      <c r="A30041" s="573" t="s">
        <v>1090</v>
      </c>
      <c r="B30041" s="574">
        <v>110</v>
      </c>
      <c r="C30041" s="574">
        <v>182.5</v>
      </c>
    </row>
    <row r="30042" spans="1:3">
      <c r="A30042" s="573" t="s">
        <v>1090</v>
      </c>
      <c r="B30042" s="574">
        <v>120</v>
      </c>
      <c r="C30042" s="574">
        <v>195.4</v>
      </c>
    </row>
    <row r="30043" spans="1:3">
      <c r="A30043" s="573" t="s">
        <v>1090</v>
      </c>
      <c r="B30043" s="574">
        <v>130</v>
      </c>
      <c r="C30043" s="574">
        <v>208.3</v>
      </c>
    </row>
    <row r="30044" spans="1:3">
      <c r="A30044" s="573" t="s">
        <v>1090</v>
      </c>
      <c r="B30044" s="574">
        <v>140</v>
      </c>
      <c r="C30044" s="574">
        <v>223.3</v>
      </c>
    </row>
    <row r="30045" spans="1:3">
      <c r="A30045" s="573" t="s">
        <v>1090</v>
      </c>
      <c r="B30045" s="574">
        <v>150</v>
      </c>
      <c r="C30045" s="574">
        <v>234.1</v>
      </c>
    </row>
    <row r="30046" spans="1:3">
      <c r="A30046" s="573" t="s">
        <v>1090</v>
      </c>
      <c r="B30046" s="574">
        <v>160</v>
      </c>
      <c r="C30046" s="574">
        <v>249.1</v>
      </c>
    </row>
    <row r="30047" spans="1:3">
      <c r="A30047" s="573" t="s">
        <v>1090</v>
      </c>
      <c r="B30047" s="574">
        <v>170</v>
      </c>
      <c r="C30047" s="574">
        <v>259.8</v>
      </c>
    </row>
    <row r="30048" spans="1:3">
      <c r="A30048" s="573" t="s">
        <v>1090</v>
      </c>
      <c r="B30048" s="574">
        <v>180</v>
      </c>
      <c r="C30048" s="574">
        <v>270.60000000000002</v>
      </c>
    </row>
    <row r="30049" spans="1:3">
      <c r="A30049" s="571" t="s">
        <v>1089</v>
      </c>
      <c r="B30049" s="572">
        <v>5</v>
      </c>
      <c r="C30049" s="572">
        <v>112.1</v>
      </c>
    </row>
    <row r="30050" spans="1:3">
      <c r="A30050" s="571" t="s">
        <v>1089</v>
      </c>
      <c r="B30050" s="572">
        <v>10</v>
      </c>
      <c r="C30050" s="572">
        <v>148.69999999999999</v>
      </c>
    </row>
    <row r="30051" spans="1:3">
      <c r="A30051" s="571" t="s">
        <v>1089</v>
      </c>
      <c r="B30051" s="572">
        <v>20</v>
      </c>
      <c r="C30051" s="572">
        <v>215.4</v>
      </c>
    </row>
    <row r="30052" spans="1:3">
      <c r="A30052" s="571" t="s">
        <v>1089</v>
      </c>
      <c r="B30052" s="572">
        <v>30</v>
      </c>
      <c r="C30052" s="572">
        <v>275.5</v>
      </c>
    </row>
    <row r="30053" spans="1:3">
      <c r="A30053" s="571" t="s">
        <v>1089</v>
      </c>
      <c r="B30053" s="572">
        <v>40</v>
      </c>
      <c r="C30053" s="572">
        <v>329.3</v>
      </c>
    </row>
    <row r="30054" spans="1:3">
      <c r="A30054" s="571" t="s">
        <v>1089</v>
      </c>
      <c r="B30054" s="572">
        <v>50</v>
      </c>
      <c r="C30054" s="572">
        <v>374.3</v>
      </c>
    </row>
    <row r="30055" spans="1:3">
      <c r="A30055" s="571" t="s">
        <v>1089</v>
      </c>
      <c r="B30055" s="572">
        <v>60</v>
      </c>
      <c r="C30055" s="572">
        <v>408.6</v>
      </c>
    </row>
    <row r="30056" spans="1:3">
      <c r="A30056" s="571" t="s">
        <v>1089</v>
      </c>
      <c r="B30056" s="572">
        <v>70</v>
      </c>
      <c r="C30056" s="572">
        <v>432.1</v>
      </c>
    </row>
    <row r="30057" spans="1:3">
      <c r="A30057" s="571" t="s">
        <v>1089</v>
      </c>
      <c r="B30057" s="572">
        <v>80</v>
      </c>
      <c r="C30057" s="572">
        <v>449.2</v>
      </c>
    </row>
    <row r="30058" spans="1:3">
      <c r="A30058" s="571" t="s">
        <v>1089</v>
      </c>
      <c r="B30058" s="572">
        <v>90</v>
      </c>
      <c r="C30058" s="572">
        <v>464</v>
      </c>
    </row>
    <row r="30059" spans="1:3">
      <c r="A30059" s="573" t="s">
        <v>1089</v>
      </c>
      <c r="B30059" s="574">
        <v>100</v>
      </c>
      <c r="C30059" s="574">
        <v>476.7</v>
      </c>
    </row>
    <row r="30060" spans="1:3">
      <c r="A30060" s="573" t="s">
        <v>1089</v>
      </c>
      <c r="B30060" s="574">
        <v>110</v>
      </c>
      <c r="C30060" s="574">
        <v>489.5</v>
      </c>
    </row>
    <row r="30061" spans="1:3">
      <c r="A30061" s="573" t="s">
        <v>1089</v>
      </c>
      <c r="B30061" s="574">
        <v>120</v>
      </c>
      <c r="C30061" s="574">
        <v>500</v>
      </c>
    </row>
    <row r="30062" spans="1:3">
      <c r="A30062" s="573" t="s">
        <v>1089</v>
      </c>
      <c r="B30062" s="574">
        <v>130</v>
      </c>
      <c r="C30062" s="574">
        <v>508.4</v>
      </c>
    </row>
    <row r="30063" spans="1:3">
      <c r="A30063" s="573" t="s">
        <v>1089</v>
      </c>
      <c r="B30063" s="574">
        <v>140</v>
      </c>
      <c r="C30063" s="574">
        <v>516.79999999999995</v>
      </c>
    </row>
    <row r="30064" spans="1:3">
      <c r="A30064" s="573" t="s">
        <v>1089</v>
      </c>
      <c r="B30064" s="574">
        <v>150</v>
      </c>
      <c r="C30064" s="574">
        <v>518.70000000000005</v>
      </c>
    </row>
    <row r="30065" spans="1:3">
      <c r="A30065" s="573" t="s">
        <v>1089</v>
      </c>
      <c r="B30065" s="574">
        <v>160</v>
      </c>
      <c r="C30065" s="574">
        <v>527.1</v>
      </c>
    </row>
    <row r="30066" spans="1:3">
      <c r="A30066" s="573" t="s">
        <v>1089</v>
      </c>
      <c r="B30066" s="574">
        <v>170</v>
      </c>
      <c r="C30066" s="574">
        <v>531.20000000000005</v>
      </c>
    </row>
    <row r="30067" spans="1:3">
      <c r="A30067" s="573" t="s">
        <v>1089</v>
      </c>
      <c r="B30067" s="574">
        <v>180</v>
      </c>
      <c r="C30067" s="574">
        <v>533.1</v>
      </c>
    </row>
    <row r="30068" spans="1:3">
      <c r="A30068" s="571" t="s">
        <v>1087</v>
      </c>
      <c r="B30068" s="572">
        <v>10</v>
      </c>
      <c r="C30068" s="572">
        <v>66.7</v>
      </c>
    </row>
    <row r="30069" spans="1:3">
      <c r="A30069" s="571" t="s">
        <v>1087</v>
      </c>
      <c r="B30069" s="572">
        <v>20</v>
      </c>
      <c r="C30069" s="572">
        <v>88</v>
      </c>
    </row>
    <row r="30070" spans="1:3">
      <c r="A30070" s="571" t="s">
        <v>1087</v>
      </c>
      <c r="B30070" s="572">
        <v>30</v>
      </c>
      <c r="C30070" s="572">
        <v>109.4</v>
      </c>
    </row>
    <row r="30071" spans="1:3">
      <c r="A30071" s="571" t="s">
        <v>1087</v>
      </c>
      <c r="B30071" s="572">
        <v>40</v>
      </c>
      <c r="C30071" s="572">
        <v>124.2</v>
      </c>
    </row>
    <row r="30072" spans="1:3">
      <c r="A30072" s="571" t="s">
        <v>1087</v>
      </c>
      <c r="B30072" s="572">
        <v>50</v>
      </c>
      <c r="C30072" s="572">
        <v>143.4</v>
      </c>
    </row>
    <row r="30073" spans="1:3">
      <c r="A30073" s="571" t="s">
        <v>1087</v>
      </c>
      <c r="B30073" s="572">
        <v>60</v>
      </c>
      <c r="C30073" s="572">
        <v>154</v>
      </c>
    </row>
    <row r="30074" spans="1:3">
      <c r="A30074" s="571" t="s">
        <v>1087</v>
      </c>
      <c r="B30074" s="572">
        <v>70</v>
      </c>
      <c r="C30074" s="572">
        <v>166.7</v>
      </c>
    </row>
    <row r="30075" spans="1:3">
      <c r="A30075" s="571" t="s">
        <v>1087</v>
      </c>
      <c r="B30075" s="572">
        <v>80</v>
      </c>
      <c r="C30075" s="572">
        <v>175.1</v>
      </c>
    </row>
    <row r="30076" spans="1:3">
      <c r="A30076" s="571" t="s">
        <v>1087</v>
      </c>
      <c r="B30076" s="572">
        <v>90</v>
      </c>
      <c r="C30076" s="572">
        <v>185.6</v>
      </c>
    </row>
    <row r="30077" spans="1:3">
      <c r="A30077" s="573" t="s">
        <v>1087</v>
      </c>
      <c r="B30077" s="574">
        <v>100</v>
      </c>
      <c r="C30077" s="574">
        <v>194</v>
      </c>
    </row>
    <row r="30078" spans="1:3">
      <c r="A30078" s="573" t="s">
        <v>1087</v>
      </c>
      <c r="B30078" s="574">
        <v>110</v>
      </c>
      <c r="C30078" s="574">
        <v>202.4</v>
      </c>
    </row>
    <row r="30079" spans="1:3">
      <c r="A30079" s="573" t="s">
        <v>1087</v>
      </c>
      <c r="B30079" s="574">
        <v>120</v>
      </c>
      <c r="C30079" s="574">
        <v>221.6</v>
      </c>
    </row>
    <row r="30080" spans="1:3">
      <c r="A30080" s="573" t="s">
        <v>1087</v>
      </c>
      <c r="B30080" s="574">
        <v>130</v>
      </c>
      <c r="C30080" s="574">
        <v>238.6</v>
      </c>
    </row>
    <row r="30081" spans="1:3">
      <c r="A30081" s="573" t="s">
        <v>1087</v>
      </c>
      <c r="B30081" s="574">
        <v>140</v>
      </c>
      <c r="C30081" s="574">
        <v>253.5</v>
      </c>
    </row>
    <row r="30082" spans="1:3">
      <c r="A30082" s="573" t="s">
        <v>1087</v>
      </c>
      <c r="B30082" s="574">
        <v>150</v>
      </c>
      <c r="C30082" s="574">
        <v>259.7</v>
      </c>
    </row>
    <row r="30083" spans="1:3">
      <c r="A30083" s="573" t="s">
        <v>1087</v>
      </c>
      <c r="B30083" s="574">
        <v>160</v>
      </c>
      <c r="C30083" s="574">
        <v>268.10000000000002</v>
      </c>
    </row>
    <row r="30084" spans="1:3">
      <c r="A30084" s="573" t="s">
        <v>1087</v>
      </c>
      <c r="B30084" s="574">
        <v>170</v>
      </c>
      <c r="C30084" s="574">
        <v>274.3</v>
      </c>
    </row>
    <row r="30085" spans="1:3">
      <c r="A30085" s="573" t="s">
        <v>1087</v>
      </c>
      <c r="B30085" s="574">
        <v>180</v>
      </c>
      <c r="C30085" s="574">
        <v>274.10000000000002</v>
      </c>
    </row>
    <row r="30086" spans="1:3">
      <c r="A30086" s="571" t="s">
        <v>1085</v>
      </c>
      <c r="B30086" s="572">
        <v>10</v>
      </c>
      <c r="C30086" s="572">
        <v>21.3</v>
      </c>
    </row>
    <row r="30087" spans="1:3">
      <c r="A30087" s="571" t="s">
        <v>1085</v>
      </c>
      <c r="B30087" s="572">
        <v>20</v>
      </c>
      <c r="C30087" s="572">
        <v>34.1</v>
      </c>
    </row>
    <row r="30088" spans="1:3">
      <c r="A30088" s="571" t="s">
        <v>1085</v>
      </c>
      <c r="B30088" s="572">
        <v>30</v>
      </c>
      <c r="C30088" s="572">
        <v>42.4</v>
      </c>
    </row>
    <row r="30089" spans="1:3">
      <c r="A30089" s="571" t="s">
        <v>1085</v>
      </c>
      <c r="B30089" s="572">
        <v>40</v>
      </c>
      <c r="C30089" s="572">
        <v>48.7</v>
      </c>
    </row>
    <row r="30090" spans="1:3">
      <c r="A30090" s="571" t="s">
        <v>1085</v>
      </c>
      <c r="B30090" s="572">
        <v>50</v>
      </c>
      <c r="C30090" s="572">
        <v>52.8</v>
      </c>
    </row>
    <row r="30091" spans="1:3">
      <c r="A30091" s="571" t="s">
        <v>1085</v>
      </c>
      <c r="B30091" s="572">
        <v>60</v>
      </c>
      <c r="C30091" s="572">
        <v>54.7</v>
      </c>
    </row>
    <row r="30092" spans="1:3">
      <c r="A30092" s="571" t="s">
        <v>1085</v>
      </c>
      <c r="B30092" s="572">
        <v>70</v>
      </c>
      <c r="C30092" s="572">
        <v>54.4</v>
      </c>
    </row>
    <row r="30093" spans="1:3">
      <c r="A30093" s="571" t="s">
        <v>1085</v>
      </c>
      <c r="B30093" s="572">
        <v>80</v>
      </c>
      <c r="C30093" s="572">
        <v>56.4</v>
      </c>
    </row>
    <row r="30094" spans="1:3">
      <c r="A30094" s="571" t="s">
        <v>1085</v>
      </c>
      <c r="B30094" s="572">
        <v>90</v>
      </c>
      <c r="C30094" s="572">
        <v>58.3</v>
      </c>
    </row>
    <row r="30095" spans="1:3">
      <c r="A30095" s="573" t="s">
        <v>1085</v>
      </c>
      <c r="B30095" s="574">
        <v>100</v>
      </c>
      <c r="C30095" s="574">
        <v>60.2</v>
      </c>
    </row>
    <row r="30096" spans="1:3">
      <c r="A30096" s="573" t="s">
        <v>1085</v>
      </c>
      <c r="B30096" s="574">
        <v>110</v>
      </c>
      <c r="C30096" s="574">
        <v>70.8</v>
      </c>
    </row>
    <row r="30097" spans="1:3">
      <c r="A30097" s="573" t="s">
        <v>1085</v>
      </c>
      <c r="B30097" s="574">
        <v>120</v>
      </c>
      <c r="C30097" s="574">
        <v>83.5</v>
      </c>
    </row>
    <row r="30098" spans="1:3">
      <c r="A30098" s="573" t="s">
        <v>1085</v>
      </c>
      <c r="B30098" s="574">
        <v>130</v>
      </c>
      <c r="C30098" s="574">
        <v>87.5</v>
      </c>
    </row>
    <row r="30099" spans="1:3">
      <c r="A30099" s="573" t="s">
        <v>1085</v>
      </c>
      <c r="B30099" s="574">
        <v>140</v>
      </c>
      <c r="C30099" s="574">
        <v>89.5</v>
      </c>
    </row>
    <row r="30100" spans="1:3">
      <c r="A30100" s="573" t="s">
        <v>1085</v>
      </c>
      <c r="B30100" s="574">
        <v>150</v>
      </c>
      <c r="C30100" s="574">
        <v>93.5</v>
      </c>
    </row>
    <row r="30101" spans="1:3">
      <c r="A30101" s="573" t="s">
        <v>1085</v>
      </c>
      <c r="B30101" s="574">
        <v>160</v>
      </c>
      <c r="C30101" s="574">
        <v>93.3</v>
      </c>
    </row>
    <row r="30102" spans="1:3">
      <c r="A30102" s="573" t="s">
        <v>1085</v>
      </c>
      <c r="B30102" s="574">
        <v>170</v>
      </c>
      <c r="C30102" s="574">
        <v>95.2</v>
      </c>
    </row>
    <row r="30103" spans="1:3">
      <c r="A30103" s="573" t="s">
        <v>1085</v>
      </c>
      <c r="B30103" s="574">
        <v>180</v>
      </c>
      <c r="C30103" s="574">
        <v>99.3</v>
      </c>
    </row>
    <row r="30104" spans="1:3">
      <c r="A30104" s="571" t="s">
        <v>1083</v>
      </c>
      <c r="B30104" s="572">
        <v>0.09</v>
      </c>
      <c r="C30104" s="572">
        <v>10.09</v>
      </c>
    </row>
    <row r="30105" spans="1:3">
      <c r="A30105" s="571" t="s">
        <v>1083</v>
      </c>
      <c r="B30105" s="572">
        <v>0.5</v>
      </c>
      <c r="C30105" s="572">
        <v>288.10000000000002</v>
      </c>
    </row>
    <row r="30106" spans="1:3">
      <c r="A30106" s="571" t="s">
        <v>1083</v>
      </c>
      <c r="B30106" s="572">
        <v>1.2</v>
      </c>
      <c r="C30106" s="572">
        <v>404.2</v>
      </c>
    </row>
    <row r="30107" spans="1:3">
      <c r="A30107" s="571" t="s">
        <v>1083</v>
      </c>
      <c r="B30107" s="572">
        <v>3.3</v>
      </c>
      <c r="C30107" s="572">
        <v>473.1</v>
      </c>
    </row>
    <row r="30108" spans="1:3">
      <c r="A30108" s="571" t="s">
        <v>1083</v>
      </c>
      <c r="B30108" s="572">
        <v>6.7</v>
      </c>
      <c r="C30108" s="572">
        <v>529.29999999999995</v>
      </c>
    </row>
    <row r="30109" spans="1:3">
      <c r="A30109" s="571" t="s">
        <v>1083</v>
      </c>
      <c r="B30109" s="572">
        <v>15.5</v>
      </c>
      <c r="C30109" s="572">
        <v>606.9</v>
      </c>
    </row>
    <row r="30110" spans="1:3">
      <c r="A30110" s="571" t="s">
        <v>1083</v>
      </c>
      <c r="B30110" s="572">
        <v>20.3</v>
      </c>
      <c r="C30110" s="572">
        <v>650</v>
      </c>
    </row>
    <row r="30111" spans="1:3">
      <c r="A30111" s="571" t="s">
        <v>1083</v>
      </c>
      <c r="B30111" s="572">
        <v>25.4</v>
      </c>
      <c r="C30111" s="572">
        <v>672.4</v>
      </c>
    </row>
    <row r="30112" spans="1:3">
      <c r="A30112" s="571" t="s">
        <v>1083</v>
      </c>
      <c r="B30112" s="572">
        <v>35.200000000000003</v>
      </c>
      <c r="C30112" s="572">
        <v>708.4</v>
      </c>
    </row>
    <row r="30113" spans="1:3">
      <c r="A30113" s="571" t="s">
        <v>1083</v>
      </c>
      <c r="B30113" s="572">
        <v>45.8</v>
      </c>
      <c r="C30113" s="572">
        <v>740.3</v>
      </c>
    </row>
    <row r="30114" spans="1:3">
      <c r="A30114" s="571" t="s">
        <v>1083</v>
      </c>
      <c r="B30114" s="572">
        <v>55.5</v>
      </c>
      <c r="C30114" s="572">
        <v>762.1</v>
      </c>
    </row>
    <row r="30115" spans="1:3">
      <c r="A30115" s="571" t="s">
        <v>1083</v>
      </c>
      <c r="B30115" s="572">
        <v>65.5</v>
      </c>
      <c r="C30115" s="572">
        <v>773.9</v>
      </c>
    </row>
    <row r="30116" spans="1:3">
      <c r="A30116" s="571" t="s">
        <v>1083</v>
      </c>
      <c r="B30116" s="572">
        <v>75.099999999999994</v>
      </c>
      <c r="C30116" s="572">
        <v>785.7</v>
      </c>
    </row>
    <row r="30117" spans="1:3">
      <c r="A30117" s="571" t="s">
        <v>1083</v>
      </c>
      <c r="B30117" s="572">
        <v>80.7</v>
      </c>
      <c r="C30117" s="572">
        <v>792.4</v>
      </c>
    </row>
    <row r="30118" spans="1:3">
      <c r="A30118" s="571" t="s">
        <v>1083</v>
      </c>
      <c r="B30118" s="572">
        <v>85.9</v>
      </c>
      <c r="C30118" s="572">
        <v>792.4</v>
      </c>
    </row>
    <row r="30119" spans="1:3">
      <c r="A30119" s="571" t="s">
        <v>1082</v>
      </c>
      <c r="B30119" s="572">
        <v>0.3</v>
      </c>
      <c r="C30119" s="572">
        <v>353.7</v>
      </c>
    </row>
    <row r="30120" spans="1:3">
      <c r="A30120" s="571" t="s">
        <v>1082</v>
      </c>
      <c r="B30120" s="572">
        <v>1.2</v>
      </c>
      <c r="C30120" s="572">
        <v>483.1</v>
      </c>
    </row>
    <row r="30121" spans="1:3">
      <c r="A30121" s="571" t="s">
        <v>1082</v>
      </c>
      <c r="B30121" s="572">
        <v>2.2999999999999998</v>
      </c>
      <c r="C30121" s="572">
        <v>522.4</v>
      </c>
    </row>
    <row r="30122" spans="1:3">
      <c r="A30122" s="571" t="s">
        <v>1082</v>
      </c>
      <c r="B30122" s="572">
        <v>4</v>
      </c>
      <c r="C30122" s="572">
        <v>555.1</v>
      </c>
    </row>
    <row r="30123" spans="1:3">
      <c r="A30123" s="571" t="s">
        <v>1082</v>
      </c>
      <c r="B30123" s="572">
        <v>7.5</v>
      </c>
      <c r="C30123" s="572">
        <v>574.1</v>
      </c>
    </row>
    <row r="30124" spans="1:3">
      <c r="A30124" s="571" t="s">
        <v>1082</v>
      </c>
      <c r="B30124" s="572">
        <v>10.199999999999999</v>
      </c>
      <c r="C30124" s="572">
        <v>589.6</v>
      </c>
    </row>
    <row r="30125" spans="1:3">
      <c r="A30125" s="571" t="s">
        <v>1082</v>
      </c>
      <c r="B30125" s="572">
        <v>15.1</v>
      </c>
      <c r="C30125" s="572">
        <v>603.4</v>
      </c>
    </row>
    <row r="30126" spans="1:3">
      <c r="A30126" s="571" t="s">
        <v>1082</v>
      </c>
      <c r="B30126" s="572">
        <v>20.2</v>
      </c>
      <c r="C30126" s="572">
        <v>631</v>
      </c>
    </row>
    <row r="30127" spans="1:3">
      <c r="A30127" s="571" t="s">
        <v>1082</v>
      </c>
      <c r="B30127" s="572">
        <v>25.3</v>
      </c>
      <c r="C30127" s="572">
        <v>639.6</v>
      </c>
    </row>
    <row r="30128" spans="1:3">
      <c r="A30128" s="571" t="s">
        <v>1082</v>
      </c>
      <c r="B30128" s="572">
        <v>35.1</v>
      </c>
      <c r="C30128" s="572">
        <v>656.9</v>
      </c>
    </row>
    <row r="30129" spans="1:3">
      <c r="A30129" s="571" t="s">
        <v>1082</v>
      </c>
      <c r="B30129" s="572">
        <v>45.4</v>
      </c>
      <c r="C30129" s="572">
        <v>665.5</v>
      </c>
    </row>
    <row r="30130" spans="1:3">
      <c r="A30130" s="571" t="s">
        <v>1082</v>
      </c>
      <c r="B30130" s="572">
        <v>55.2</v>
      </c>
      <c r="C30130" s="572">
        <v>674.1</v>
      </c>
    </row>
    <row r="30131" spans="1:3">
      <c r="A30131" s="571" t="s">
        <v>1082</v>
      </c>
      <c r="B30131" s="572">
        <v>65.7</v>
      </c>
      <c r="C30131" s="572">
        <v>675.8</v>
      </c>
    </row>
    <row r="30132" spans="1:3">
      <c r="A30132" s="571" t="s">
        <v>1082</v>
      </c>
      <c r="B30132" s="572">
        <v>75.2</v>
      </c>
      <c r="C30132" s="572">
        <v>675.8</v>
      </c>
    </row>
    <row r="30133" spans="1:3">
      <c r="A30133" s="571" t="s">
        <v>1082</v>
      </c>
      <c r="B30133" s="572">
        <v>80.7</v>
      </c>
      <c r="C30133" s="572">
        <v>679.3</v>
      </c>
    </row>
    <row r="30134" spans="1:3">
      <c r="A30134" s="571" t="s">
        <v>1082</v>
      </c>
      <c r="B30134" s="572">
        <v>85.7</v>
      </c>
      <c r="C30134" s="572">
        <v>684.4</v>
      </c>
    </row>
    <row r="30135" spans="1:3">
      <c r="A30135" s="571" t="s">
        <v>1082</v>
      </c>
      <c r="B30135" s="572">
        <v>90.6</v>
      </c>
      <c r="C30135" s="572">
        <v>687.9</v>
      </c>
    </row>
    <row r="30136" spans="1:3">
      <c r="A30136" s="571" t="s">
        <v>1081</v>
      </c>
      <c r="B30136" s="572">
        <v>3</v>
      </c>
      <c r="C30136" s="572">
        <v>404.2</v>
      </c>
    </row>
    <row r="30137" spans="1:3">
      <c r="A30137" s="571" t="s">
        <v>1081</v>
      </c>
      <c r="B30137" s="572">
        <v>9.9</v>
      </c>
      <c r="C30137" s="572">
        <v>493.2</v>
      </c>
    </row>
    <row r="30138" spans="1:3">
      <c r="A30138" s="571" t="s">
        <v>1081</v>
      </c>
      <c r="B30138" s="572">
        <v>17.2</v>
      </c>
      <c r="C30138" s="572">
        <v>565.5</v>
      </c>
    </row>
    <row r="30139" spans="1:3">
      <c r="A30139" s="571" t="s">
        <v>1081</v>
      </c>
      <c r="B30139" s="572">
        <v>20.6</v>
      </c>
      <c r="C30139" s="572">
        <v>589.6</v>
      </c>
    </row>
    <row r="30140" spans="1:3">
      <c r="A30140" s="571" t="s">
        <v>1081</v>
      </c>
      <c r="B30140" s="572">
        <v>37.700000000000003</v>
      </c>
      <c r="C30140" s="572">
        <v>660.3</v>
      </c>
    </row>
    <row r="30141" spans="1:3">
      <c r="A30141" s="571" t="s">
        <v>1081</v>
      </c>
      <c r="B30141" s="572">
        <v>55.9</v>
      </c>
      <c r="C30141" s="572">
        <v>705</v>
      </c>
    </row>
    <row r="30142" spans="1:3">
      <c r="A30142" s="571" t="s">
        <v>1081</v>
      </c>
      <c r="B30142" s="572">
        <v>60.5</v>
      </c>
      <c r="C30142" s="572">
        <v>705</v>
      </c>
    </row>
    <row r="30143" spans="1:3">
      <c r="A30143" s="571" t="s">
        <v>1081</v>
      </c>
      <c r="B30143" s="572">
        <v>68.900000000000006</v>
      </c>
      <c r="C30143" s="572">
        <v>718.4</v>
      </c>
    </row>
    <row r="30144" spans="1:3">
      <c r="A30144" s="571" t="s">
        <v>1081</v>
      </c>
      <c r="B30144" s="572">
        <v>80</v>
      </c>
      <c r="C30144" s="572">
        <v>731.9</v>
      </c>
    </row>
    <row r="30145" spans="1:3">
      <c r="A30145" s="571" t="s">
        <v>1081</v>
      </c>
      <c r="B30145" s="572">
        <v>88.6</v>
      </c>
      <c r="C30145" s="572">
        <v>743.7</v>
      </c>
    </row>
    <row r="30146" spans="1:3">
      <c r="A30146" s="571" t="s">
        <v>1081</v>
      </c>
      <c r="B30146" s="572">
        <v>90.8</v>
      </c>
      <c r="C30146" s="572">
        <v>742</v>
      </c>
    </row>
    <row r="30147" spans="1:3">
      <c r="A30147" s="571" t="s">
        <v>1080</v>
      </c>
      <c r="B30147" s="572">
        <v>2.2999999999999998</v>
      </c>
      <c r="C30147" s="572">
        <v>439.5</v>
      </c>
    </row>
    <row r="30148" spans="1:3">
      <c r="A30148" s="571" t="s">
        <v>1080</v>
      </c>
      <c r="B30148" s="572">
        <v>12.3</v>
      </c>
      <c r="C30148" s="572">
        <v>598.20000000000005</v>
      </c>
    </row>
    <row r="30149" spans="1:3">
      <c r="A30149" s="571" t="s">
        <v>1080</v>
      </c>
      <c r="B30149" s="572">
        <v>27.7</v>
      </c>
      <c r="C30149" s="572">
        <v>674.1</v>
      </c>
    </row>
    <row r="30150" spans="1:3">
      <c r="A30150" s="571" t="s">
        <v>1080</v>
      </c>
      <c r="B30150" s="572">
        <v>38.700000000000003</v>
      </c>
      <c r="C30150" s="572">
        <v>711.7</v>
      </c>
    </row>
    <row r="30151" spans="1:3">
      <c r="A30151" s="571" t="s">
        <v>1080</v>
      </c>
      <c r="B30151" s="572">
        <v>45.5</v>
      </c>
      <c r="C30151" s="572">
        <v>731.9</v>
      </c>
    </row>
    <row r="30152" spans="1:3">
      <c r="A30152" s="571" t="s">
        <v>1080</v>
      </c>
      <c r="B30152" s="572">
        <v>55.6</v>
      </c>
      <c r="C30152" s="572">
        <v>753.7</v>
      </c>
    </row>
    <row r="30153" spans="1:3">
      <c r="A30153" s="571" t="s">
        <v>1080</v>
      </c>
      <c r="B30153" s="572">
        <v>65.7</v>
      </c>
      <c r="C30153" s="572">
        <v>767.2</v>
      </c>
    </row>
    <row r="30154" spans="1:3">
      <c r="A30154" s="571" t="s">
        <v>1080</v>
      </c>
      <c r="B30154" s="572">
        <v>73.099999999999994</v>
      </c>
      <c r="C30154" s="572">
        <v>772.2</v>
      </c>
    </row>
    <row r="30155" spans="1:3">
      <c r="A30155" s="571" t="s">
        <v>1080</v>
      </c>
      <c r="B30155" s="572">
        <v>78.099999999999994</v>
      </c>
      <c r="C30155" s="572">
        <v>780.6</v>
      </c>
    </row>
    <row r="30156" spans="1:3">
      <c r="A30156" s="571" t="s">
        <v>1080</v>
      </c>
      <c r="B30156" s="572">
        <v>90.9</v>
      </c>
      <c r="C30156" s="572">
        <v>792.4</v>
      </c>
    </row>
    <row r="30157" spans="1:3">
      <c r="A30157" s="571" t="s">
        <v>1079</v>
      </c>
      <c r="B30157" s="572">
        <v>2.7</v>
      </c>
      <c r="C30157" s="572">
        <v>352.1</v>
      </c>
    </row>
    <row r="30158" spans="1:3">
      <c r="A30158" s="571" t="s">
        <v>1079</v>
      </c>
      <c r="B30158" s="572">
        <v>7.9</v>
      </c>
      <c r="C30158" s="572">
        <v>427.7</v>
      </c>
    </row>
    <row r="30159" spans="1:3">
      <c r="A30159" s="571" t="s">
        <v>1079</v>
      </c>
      <c r="B30159" s="572">
        <v>13.5</v>
      </c>
      <c r="C30159" s="572">
        <v>486.5</v>
      </c>
    </row>
    <row r="30160" spans="1:3">
      <c r="A30160" s="571" t="s">
        <v>1079</v>
      </c>
      <c r="B30160" s="572">
        <v>23.8</v>
      </c>
      <c r="C30160" s="572">
        <v>537.9</v>
      </c>
    </row>
    <row r="30161" spans="1:3">
      <c r="A30161" s="571" t="s">
        <v>1079</v>
      </c>
      <c r="B30161" s="572">
        <v>35.5</v>
      </c>
      <c r="C30161" s="572">
        <v>581</v>
      </c>
    </row>
    <row r="30162" spans="1:3">
      <c r="A30162" s="571" t="s">
        <v>1079</v>
      </c>
      <c r="B30162" s="572">
        <v>46.9</v>
      </c>
      <c r="C30162" s="572">
        <v>608.6</v>
      </c>
    </row>
    <row r="30163" spans="1:3">
      <c r="A30163" s="571" t="s">
        <v>1079</v>
      </c>
      <c r="B30163" s="572">
        <v>55.2</v>
      </c>
      <c r="C30163" s="572">
        <v>627.5</v>
      </c>
    </row>
    <row r="30164" spans="1:3">
      <c r="A30164" s="571" t="s">
        <v>1079</v>
      </c>
      <c r="B30164" s="572">
        <v>68</v>
      </c>
      <c r="C30164" s="572">
        <v>637.9</v>
      </c>
    </row>
    <row r="30165" spans="1:3">
      <c r="A30165" s="571" t="s">
        <v>1079</v>
      </c>
      <c r="B30165" s="572">
        <v>78.599999999999994</v>
      </c>
      <c r="C30165" s="572">
        <v>655.1</v>
      </c>
    </row>
    <row r="30166" spans="1:3">
      <c r="A30166" s="571" t="s">
        <v>1079</v>
      </c>
      <c r="B30166" s="572">
        <v>87.6</v>
      </c>
      <c r="C30166" s="572">
        <v>658.6</v>
      </c>
    </row>
    <row r="30167" spans="1:3">
      <c r="A30167" s="571" t="s">
        <v>1079</v>
      </c>
      <c r="B30167" s="572">
        <v>90.4</v>
      </c>
      <c r="C30167" s="572">
        <v>660.3</v>
      </c>
    </row>
    <row r="30168" spans="1:3">
      <c r="A30168" s="571" t="s">
        <v>1078</v>
      </c>
      <c r="B30168" s="572">
        <v>0.09</v>
      </c>
      <c r="C30168" s="572">
        <v>10</v>
      </c>
    </row>
    <row r="30169" spans="1:3">
      <c r="A30169" s="571" t="s">
        <v>1078</v>
      </c>
      <c r="B30169" s="572">
        <v>1.2</v>
      </c>
      <c r="C30169" s="572">
        <v>232.2</v>
      </c>
    </row>
    <row r="30170" spans="1:3">
      <c r="A30170" s="571" t="s">
        <v>1078</v>
      </c>
      <c r="B30170" s="572">
        <v>3.3</v>
      </c>
      <c r="C30170" s="572">
        <v>318.39999999999998</v>
      </c>
    </row>
    <row r="30171" spans="1:3">
      <c r="A30171" s="571" t="s">
        <v>1078</v>
      </c>
      <c r="B30171" s="572">
        <v>5.4</v>
      </c>
      <c r="C30171" s="572">
        <v>407.5</v>
      </c>
    </row>
    <row r="30172" spans="1:3">
      <c r="A30172" s="571" t="s">
        <v>1078</v>
      </c>
      <c r="B30172" s="572">
        <v>8.5</v>
      </c>
      <c r="C30172" s="572">
        <v>506.9</v>
      </c>
    </row>
    <row r="30173" spans="1:3">
      <c r="A30173" s="571" t="s">
        <v>1078</v>
      </c>
      <c r="B30173" s="572">
        <v>10.5</v>
      </c>
      <c r="C30173" s="572">
        <v>550</v>
      </c>
    </row>
    <row r="30174" spans="1:3">
      <c r="A30174" s="571" t="s">
        <v>1078</v>
      </c>
      <c r="B30174" s="572">
        <v>15.6</v>
      </c>
      <c r="C30174" s="572">
        <v>627.5</v>
      </c>
    </row>
    <row r="30175" spans="1:3">
      <c r="A30175" s="571" t="s">
        <v>1078</v>
      </c>
      <c r="B30175" s="572">
        <v>20.5</v>
      </c>
      <c r="C30175" s="572">
        <v>684.4</v>
      </c>
    </row>
    <row r="30176" spans="1:3">
      <c r="A30176" s="571" t="s">
        <v>1078</v>
      </c>
      <c r="B30176" s="572">
        <v>25.4</v>
      </c>
      <c r="C30176" s="572">
        <v>713.4</v>
      </c>
    </row>
    <row r="30177" spans="1:3">
      <c r="A30177" s="571" t="s">
        <v>1078</v>
      </c>
      <c r="B30177" s="572">
        <v>35.4</v>
      </c>
      <c r="C30177" s="572">
        <v>757.1</v>
      </c>
    </row>
    <row r="30178" spans="1:3">
      <c r="A30178" s="571" t="s">
        <v>1078</v>
      </c>
      <c r="B30178" s="572">
        <v>45.6</v>
      </c>
      <c r="C30178" s="572">
        <v>778.9</v>
      </c>
    </row>
    <row r="30179" spans="1:3">
      <c r="A30179" s="571" t="s">
        <v>1078</v>
      </c>
      <c r="B30179" s="572">
        <v>55.3</v>
      </c>
      <c r="C30179" s="572">
        <v>804.2</v>
      </c>
    </row>
    <row r="30180" spans="1:3">
      <c r="A30180" s="571" t="s">
        <v>1078</v>
      </c>
      <c r="B30180" s="572">
        <v>60.3</v>
      </c>
      <c r="C30180" s="572">
        <v>814.2</v>
      </c>
    </row>
    <row r="30181" spans="1:3">
      <c r="A30181" s="571" t="s">
        <v>1078</v>
      </c>
      <c r="B30181" s="572">
        <v>65.400000000000006</v>
      </c>
      <c r="C30181" s="572">
        <v>822.6</v>
      </c>
    </row>
    <row r="30182" spans="1:3">
      <c r="A30182" s="571" t="s">
        <v>1078</v>
      </c>
      <c r="B30182" s="572">
        <v>70.3</v>
      </c>
      <c r="C30182" s="572">
        <v>826</v>
      </c>
    </row>
    <row r="30183" spans="1:3">
      <c r="A30183" s="571" t="s">
        <v>1078</v>
      </c>
      <c r="B30183" s="572">
        <v>75.2</v>
      </c>
      <c r="C30183" s="572">
        <v>834.4</v>
      </c>
    </row>
    <row r="30184" spans="1:3">
      <c r="A30184" s="571" t="s">
        <v>1078</v>
      </c>
      <c r="B30184" s="572">
        <v>80.3</v>
      </c>
      <c r="C30184" s="572">
        <v>841.1</v>
      </c>
    </row>
    <row r="30185" spans="1:3">
      <c r="A30185" s="571" t="s">
        <v>1078</v>
      </c>
      <c r="B30185" s="572">
        <v>85.8</v>
      </c>
      <c r="C30185" s="572">
        <v>849.5</v>
      </c>
    </row>
    <row r="30186" spans="1:3">
      <c r="A30186" s="571" t="s">
        <v>1078</v>
      </c>
      <c r="B30186" s="572">
        <v>91.1</v>
      </c>
      <c r="C30186" s="572">
        <v>859.6</v>
      </c>
    </row>
    <row r="30187" spans="1:3">
      <c r="A30187" s="571" t="s">
        <v>1077</v>
      </c>
      <c r="B30187" s="572">
        <v>2.7</v>
      </c>
      <c r="C30187" s="572">
        <v>235.5</v>
      </c>
    </row>
    <row r="30188" spans="1:3">
      <c r="A30188" s="571" t="s">
        <v>1077</v>
      </c>
      <c r="B30188" s="572">
        <v>6.01</v>
      </c>
      <c r="C30188" s="572">
        <v>272.8</v>
      </c>
    </row>
    <row r="30189" spans="1:3">
      <c r="A30189" s="571" t="s">
        <v>1077</v>
      </c>
      <c r="B30189" s="572">
        <v>13.4</v>
      </c>
      <c r="C30189" s="572">
        <v>313.39999999999998</v>
      </c>
    </row>
    <row r="30190" spans="1:3">
      <c r="A30190" s="571" t="s">
        <v>1077</v>
      </c>
      <c r="B30190" s="572">
        <v>18.7</v>
      </c>
      <c r="C30190" s="572">
        <v>331.9</v>
      </c>
    </row>
    <row r="30191" spans="1:3">
      <c r="A30191" s="571" t="s">
        <v>1077</v>
      </c>
      <c r="B30191" s="572">
        <v>28.7</v>
      </c>
      <c r="C30191" s="572">
        <v>357.1</v>
      </c>
    </row>
    <row r="30192" spans="1:3">
      <c r="A30192" s="571" t="s">
        <v>1077</v>
      </c>
      <c r="B30192" s="572">
        <v>43.7</v>
      </c>
      <c r="C30192" s="572">
        <v>384</v>
      </c>
    </row>
    <row r="30193" spans="1:3">
      <c r="A30193" s="571" t="s">
        <v>1077</v>
      </c>
      <c r="B30193" s="572">
        <v>59.9</v>
      </c>
      <c r="C30193" s="572">
        <v>402.5</v>
      </c>
    </row>
    <row r="30194" spans="1:3">
      <c r="A30194" s="571" t="s">
        <v>1077</v>
      </c>
      <c r="B30194" s="572">
        <v>67.900000000000006</v>
      </c>
      <c r="C30194" s="572">
        <v>410.9</v>
      </c>
    </row>
    <row r="30195" spans="1:3">
      <c r="A30195" s="571" t="s">
        <v>1077</v>
      </c>
      <c r="B30195" s="572">
        <v>74.900000000000006</v>
      </c>
      <c r="C30195" s="572">
        <v>410.9</v>
      </c>
    </row>
    <row r="30196" spans="1:3">
      <c r="A30196" s="571" t="s">
        <v>1077</v>
      </c>
      <c r="B30196" s="572">
        <v>84</v>
      </c>
      <c r="C30196" s="572">
        <v>434.4</v>
      </c>
    </row>
    <row r="30197" spans="1:3">
      <c r="A30197" s="571" t="s">
        <v>1077</v>
      </c>
      <c r="B30197" s="572">
        <v>90.3</v>
      </c>
      <c r="C30197" s="572">
        <v>441.1</v>
      </c>
    </row>
    <row r="30198" spans="1:3">
      <c r="A30198" s="571" t="s">
        <v>1076</v>
      </c>
      <c r="B30198" s="572">
        <v>1.2</v>
      </c>
      <c r="C30198" s="572">
        <v>94.49</v>
      </c>
    </row>
    <row r="30199" spans="1:3">
      <c r="A30199" s="571" t="s">
        <v>1076</v>
      </c>
      <c r="B30199" s="572">
        <v>4.5</v>
      </c>
      <c r="C30199" s="572">
        <v>123.7</v>
      </c>
    </row>
    <row r="30200" spans="1:3">
      <c r="A30200" s="571" t="s">
        <v>1076</v>
      </c>
      <c r="B30200" s="572">
        <v>10.4</v>
      </c>
      <c r="C30200" s="572">
        <v>162.69999999999999</v>
      </c>
    </row>
    <row r="30201" spans="1:3">
      <c r="A30201" s="571" t="s">
        <v>1076</v>
      </c>
      <c r="B30201" s="572">
        <v>15.5</v>
      </c>
      <c r="C30201" s="572">
        <v>174.5</v>
      </c>
    </row>
    <row r="30202" spans="1:3">
      <c r="A30202" s="571" t="s">
        <v>1076</v>
      </c>
      <c r="B30202" s="572">
        <v>19.899999999999999</v>
      </c>
      <c r="C30202" s="572">
        <v>193.2</v>
      </c>
    </row>
    <row r="30203" spans="1:3">
      <c r="A30203" s="571" t="s">
        <v>1076</v>
      </c>
      <c r="B30203" s="572">
        <v>26</v>
      </c>
      <c r="C30203" s="572">
        <v>213.5</v>
      </c>
    </row>
    <row r="30204" spans="1:3">
      <c r="A30204" s="571" t="s">
        <v>1076</v>
      </c>
      <c r="B30204" s="572">
        <v>31.6</v>
      </c>
      <c r="C30204" s="572">
        <v>230.5</v>
      </c>
    </row>
    <row r="30205" spans="1:3">
      <c r="A30205" s="571" t="s">
        <v>1076</v>
      </c>
      <c r="B30205" s="572">
        <v>39.799999999999997</v>
      </c>
      <c r="C30205" s="572">
        <v>250.8</v>
      </c>
    </row>
    <row r="30206" spans="1:3">
      <c r="A30206" s="571" t="s">
        <v>1076</v>
      </c>
      <c r="B30206" s="572">
        <v>47.2</v>
      </c>
      <c r="C30206" s="572">
        <v>262.7</v>
      </c>
    </row>
    <row r="30207" spans="1:3">
      <c r="A30207" s="571" t="s">
        <v>1076</v>
      </c>
      <c r="B30207" s="572">
        <v>54.8</v>
      </c>
      <c r="C30207" s="572">
        <v>276.2</v>
      </c>
    </row>
    <row r="30208" spans="1:3">
      <c r="A30208" s="571" t="s">
        <v>1076</v>
      </c>
      <c r="B30208" s="572">
        <v>61.9</v>
      </c>
      <c r="C30208" s="572">
        <v>288.10000000000002</v>
      </c>
    </row>
    <row r="30209" spans="1:3">
      <c r="A30209" s="571" t="s">
        <v>1076</v>
      </c>
      <c r="B30209" s="572">
        <v>69.099999999999994</v>
      </c>
      <c r="C30209" s="572">
        <v>298.3</v>
      </c>
    </row>
    <row r="30210" spans="1:3">
      <c r="A30210" s="571" t="s">
        <v>1076</v>
      </c>
      <c r="B30210" s="572">
        <v>76.2</v>
      </c>
      <c r="C30210" s="572">
        <v>310</v>
      </c>
    </row>
    <row r="30211" spans="1:3">
      <c r="A30211" s="571" t="s">
        <v>1076</v>
      </c>
      <c r="B30211" s="572">
        <v>84</v>
      </c>
      <c r="C30211" s="572">
        <v>325.2</v>
      </c>
    </row>
    <row r="30212" spans="1:3">
      <c r="A30212" s="571" t="s">
        <v>1076</v>
      </c>
      <c r="B30212" s="572">
        <v>90.5</v>
      </c>
      <c r="C30212" s="572">
        <v>342</v>
      </c>
    </row>
    <row r="30213" spans="1:3">
      <c r="A30213" s="571" t="s">
        <v>1075</v>
      </c>
      <c r="B30213" s="572">
        <v>0</v>
      </c>
      <c r="C30213" s="572">
        <v>181.3</v>
      </c>
    </row>
    <row r="30214" spans="1:3">
      <c r="A30214" s="571" t="s">
        <v>1075</v>
      </c>
      <c r="B30214" s="572">
        <v>1</v>
      </c>
      <c r="C30214" s="572">
        <v>397.4</v>
      </c>
    </row>
    <row r="30215" spans="1:3">
      <c r="A30215" s="571" t="s">
        <v>1075</v>
      </c>
      <c r="B30215" s="572">
        <v>9</v>
      </c>
      <c r="C30215" s="572">
        <v>568.9</v>
      </c>
    </row>
    <row r="30216" spans="1:3">
      <c r="A30216" s="571" t="s">
        <v>1075</v>
      </c>
      <c r="B30216" s="572">
        <v>17.2</v>
      </c>
      <c r="C30216" s="572">
        <v>648.20000000000005</v>
      </c>
    </row>
    <row r="30217" spans="1:3">
      <c r="A30217" s="571" t="s">
        <v>1075</v>
      </c>
      <c r="B30217" s="572">
        <v>27.3</v>
      </c>
      <c r="C30217" s="572">
        <v>696.5</v>
      </c>
    </row>
    <row r="30218" spans="1:3">
      <c r="A30218" s="571" t="s">
        <v>1075</v>
      </c>
      <c r="B30218" s="572">
        <v>34.5</v>
      </c>
      <c r="C30218" s="572">
        <v>720.1</v>
      </c>
    </row>
    <row r="30219" spans="1:3">
      <c r="A30219" s="571" t="s">
        <v>1075</v>
      </c>
      <c r="B30219" s="572">
        <v>43.6</v>
      </c>
      <c r="C30219" s="572">
        <v>742</v>
      </c>
    </row>
    <row r="30220" spans="1:3">
      <c r="A30220" s="571" t="s">
        <v>1075</v>
      </c>
      <c r="B30220" s="572">
        <v>48.1</v>
      </c>
      <c r="C30220" s="572">
        <v>753.7</v>
      </c>
    </row>
    <row r="30221" spans="1:3">
      <c r="A30221" s="571" t="s">
        <v>1075</v>
      </c>
      <c r="B30221" s="572">
        <v>54.8</v>
      </c>
      <c r="C30221" s="572">
        <v>772.2</v>
      </c>
    </row>
    <row r="30222" spans="1:3">
      <c r="A30222" s="571" t="s">
        <v>1075</v>
      </c>
      <c r="B30222" s="572">
        <v>61.9</v>
      </c>
      <c r="C30222" s="572">
        <v>787.4</v>
      </c>
    </row>
    <row r="30223" spans="1:3">
      <c r="A30223" s="571" t="s">
        <v>1075</v>
      </c>
      <c r="B30223" s="572">
        <v>67.599999999999994</v>
      </c>
      <c r="C30223" s="572">
        <v>802.5</v>
      </c>
    </row>
    <row r="30224" spans="1:3">
      <c r="A30224" s="571" t="s">
        <v>1075</v>
      </c>
      <c r="B30224" s="572">
        <v>77.099999999999994</v>
      </c>
      <c r="C30224" s="572">
        <v>822.6</v>
      </c>
    </row>
    <row r="30225" spans="1:3">
      <c r="A30225" s="571" t="s">
        <v>1075</v>
      </c>
      <c r="B30225" s="572">
        <v>83.5</v>
      </c>
      <c r="C30225" s="572">
        <v>829.4</v>
      </c>
    </row>
    <row r="30226" spans="1:3">
      <c r="A30226" s="571" t="s">
        <v>1075</v>
      </c>
      <c r="B30226" s="572">
        <v>88.6</v>
      </c>
      <c r="C30226" s="572">
        <v>836.1</v>
      </c>
    </row>
    <row r="30227" spans="1:3">
      <c r="A30227" s="571" t="s">
        <v>1075</v>
      </c>
      <c r="B30227" s="572">
        <v>93.5</v>
      </c>
      <c r="C30227" s="572">
        <v>854.6</v>
      </c>
    </row>
    <row r="30228" spans="1:3">
      <c r="A30228" s="571" t="s">
        <v>1075</v>
      </c>
      <c r="B30228" s="572">
        <v>96.4</v>
      </c>
      <c r="C30228" s="572">
        <v>863</v>
      </c>
    </row>
    <row r="30229" spans="1:3">
      <c r="A30229" s="571" t="s">
        <v>1215</v>
      </c>
      <c r="B30229" s="572">
        <v>1.4</v>
      </c>
      <c r="C30229" s="572">
        <v>383</v>
      </c>
    </row>
    <row r="30230" spans="1:3">
      <c r="A30230" s="571" t="s">
        <v>1215</v>
      </c>
      <c r="B30230" s="572">
        <v>3.7</v>
      </c>
      <c r="C30230" s="572">
        <v>501.6</v>
      </c>
    </row>
    <row r="30231" spans="1:3">
      <c r="A30231" s="571" t="s">
        <v>1215</v>
      </c>
      <c r="B30231" s="572">
        <v>6.4</v>
      </c>
      <c r="C30231" s="572">
        <v>589</v>
      </c>
    </row>
    <row r="30232" spans="1:3">
      <c r="A30232" s="571" t="s">
        <v>1215</v>
      </c>
      <c r="B30232" s="572">
        <v>6.9</v>
      </c>
      <c r="C30232" s="572">
        <v>609.20000000000005</v>
      </c>
    </row>
    <row r="30233" spans="1:3">
      <c r="A30233" s="571" t="s">
        <v>1215</v>
      </c>
      <c r="B30233" s="572">
        <v>11.6</v>
      </c>
      <c r="C30233" s="572">
        <v>689.9</v>
      </c>
    </row>
    <row r="30234" spans="1:3">
      <c r="A30234" s="571" t="s">
        <v>1215</v>
      </c>
      <c r="B30234" s="572">
        <v>18.7</v>
      </c>
      <c r="C30234" s="572">
        <v>756.1</v>
      </c>
    </row>
    <row r="30235" spans="1:3">
      <c r="A30235" s="571" t="s">
        <v>1215</v>
      </c>
      <c r="B30235" s="572">
        <v>28.1</v>
      </c>
      <c r="C30235" s="572">
        <v>814</v>
      </c>
    </row>
    <row r="30236" spans="1:3">
      <c r="A30236" s="571" t="s">
        <v>1215</v>
      </c>
      <c r="B30236" s="572">
        <v>34.9</v>
      </c>
      <c r="C30236" s="572">
        <v>842.1</v>
      </c>
    </row>
    <row r="30237" spans="1:3">
      <c r="A30237" s="571" t="s">
        <v>1215</v>
      </c>
      <c r="B30237" s="572">
        <v>44.2</v>
      </c>
      <c r="C30237" s="572">
        <v>870.1</v>
      </c>
    </row>
    <row r="30238" spans="1:3">
      <c r="A30238" s="571" t="s">
        <v>1215</v>
      </c>
      <c r="B30238" s="572">
        <v>55.2</v>
      </c>
      <c r="C30238" s="572">
        <v>887.7</v>
      </c>
    </row>
    <row r="30239" spans="1:3">
      <c r="A30239" s="571" t="s">
        <v>1215</v>
      </c>
      <c r="B30239" s="572">
        <v>65.599999999999994</v>
      </c>
      <c r="C30239" s="572">
        <v>906.7</v>
      </c>
    </row>
    <row r="30240" spans="1:3">
      <c r="A30240" s="571" t="s">
        <v>1215</v>
      </c>
      <c r="B30240" s="572">
        <v>76.099999999999994</v>
      </c>
      <c r="C30240" s="572">
        <v>920.1</v>
      </c>
    </row>
    <row r="30241" spans="1:3">
      <c r="A30241" s="571" t="s">
        <v>1215</v>
      </c>
      <c r="B30241" s="572">
        <v>83.4</v>
      </c>
      <c r="C30241" s="572">
        <v>923.5</v>
      </c>
    </row>
    <row r="30242" spans="1:3">
      <c r="A30242" s="571" t="s">
        <v>1215</v>
      </c>
      <c r="B30242" s="572">
        <v>89.1</v>
      </c>
      <c r="C30242" s="572">
        <v>925.2</v>
      </c>
    </row>
    <row r="30243" spans="1:3">
      <c r="A30243" s="571" t="s">
        <v>1215</v>
      </c>
      <c r="B30243" s="572">
        <v>90.6</v>
      </c>
      <c r="C30243" s="572">
        <v>930.2</v>
      </c>
    </row>
    <row r="30244" spans="1:3">
      <c r="A30244" s="571" t="s">
        <v>1214</v>
      </c>
      <c r="B30244" s="572">
        <v>0.18</v>
      </c>
      <c r="C30244" s="572">
        <v>350.8</v>
      </c>
    </row>
    <row r="30245" spans="1:3">
      <c r="A30245" s="571" t="s">
        <v>1214</v>
      </c>
      <c r="B30245" s="572">
        <v>1.4</v>
      </c>
      <c r="C30245" s="572">
        <v>515.1</v>
      </c>
    </row>
    <row r="30246" spans="1:3">
      <c r="A30246" s="571" t="s">
        <v>1214</v>
      </c>
      <c r="B30246" s="572">
        <v>2.6</v>
      </c>
      <c r="C30246" s="572">
        <v>578.9</v>
      </c>
    </row>
    <row r="30247" spans="1:3">
      <c r="A30247" s="571" t="s">
        <v>1214</v>
      </c>
      <c r="B30247" s="572">
        <v>4.5</v>
      </c>
      <c r="C30247" s="572">
        <v>639.5</v>
      </c>
    </row>
    <row r="30248" spans="1:3">
      <c r="A30248" s="571" t="s">
        <v>1214</v>
      </c>
      <c r="B30248" s="572">
        <v>15.5</v>
      </c>
      <c r="C30248" s="572">
        <v>789.4</v>
      </c>
    </row>
    <row r="30249" spans="1:3">
      <c r="A30249" s="571" t="s">
        <v>1214</v>
      </c>
      <c r="B30249" s="572">
        <v>20.399999999999999</v>
      </c>
      <c r="C30249" s="572">
        <v>833.3</v>
      </c>
    </row>
    <row r="30250" spans="1:3">
      <c r="A30250" s="571" t="s">
        <v>1214</v>
      </c>
      <c r="B30250" s="572">
        <v>26</v>
      </c>
      <c r="C30250" s="572">
        <v>870.1</v>
      </c>
    </row>
    <row r="30251" spans="1:3">
      <c r="A30251" s="571" t="s">
        <v>1214</v>
      </c>
      <c r="B30251" s="572">
        <v>30.8</v>
      </c>
      <c r="C30251" s="572">
        <v>892.9</v>
      </c>
    </row>
    <row r="30252" spans="1:3">
      <c r="A30252" s="571" t="s">
        <v>1214</v>
      </c>
      <c r="B30252" s="572">
        <v>35.299999999999997</v>
      </c>
      <c r="C30252" s="572">
        <v>911.7</v>
      </c>
    </row>
    <row r="30253" spans="1:3">
      <c r="A30253" s="571" t="s">
        <v>1214</v>
      </c>
      <c r="B30253" s="572">
        <v>40.9</v>
      </c>
      <c r="C30253" s="572">
        <v>933.6</v>
      </c>
    </row>
    <row r="30254" spans="1:3">
      <c r="A30254" s="571" t="s">
        <v>1214</v>
      </c>
      <c r="B30254" s="572">
        <v>45.6</v>
      </c>
      <c r="C30254" s="572">
        <v>947</v>
      </c>
    </row>
    <row r="30255" spans="1:3">
      <c r="A30255" s="571" t="s">
        <v>1214</v>
      </c>
      <c r="B30255" s="572">
        <v>50.5</v>
      </c>
      <c r="C30255" s="572">
        <v>955.4</v>
      </c>
    </row>
    <row r="30256" spans="1:3">
      <c r="A30256" s="571" t="s">
        <v>1214</v>
      </c>
      <c r="B30256" s="572">
        <v>55.4</v>
      </c>
      <c r="C30256" s="572">
        <v>970.5</v>
      </c>
    </row>
    <row r="30257" spans="1:3">
      <c r="A30257" s="571" t="s">
        <v>1214</v>
      </c>
      <c r="B30257" s="572">
        <v>65.7</v>
      </c>
      <c r="C30257" s="572">
        <v>986.7</v>
      </c>
    </row>
    <row r="30258" spans="1:3">
      <c r="A30258" s="571" t="s">
        <v>1214</v>
      </c>
      <c r="B30258" s="572">
        <v>75.099999999999994</v>
      </c>
      <c r="C30258" s="572">
        <v>1004.2</v>
      </c>
    </row>
    <row r="30259" spans="1:3">
      <c r="A30259" s="571" t="s">
        <v>1214</v>
      </c>
      <c r="B30259" s="572">
        <v>80.900000000000006</v>
      </c>
      <c r="C30259" s="572">
        <v>1010.9</v>
      </c>
    </row>
    <row r="30260" spans="1:3">
      <c r="A30260" s="571" t="s">
        <v>1214</v>
      </c>
      <c r="B30260" s="572">
        <v>90.4</v>
      </c>
      <c r="C30260" s="572">
        <v>1014.3</v>
      </c>
    </row>
    <row r="30261" spans="1:3">
      <c r="A30261" s="571" t="s">
        <v>1213</v>
      </c>
      <c r="B30261" s="572">
        <v>2.2000000000000002</v>
      </c>
      <c r="C30261" s="572">
        <v>422</v>
      </c>
    </row>
    <row r="30262" spans="1:3">
      <c r="A30262" s="571" t="s">
        <v>1213</v>
      </c>
      <c r="B30262" s="572">
        <v>4.9000000000000004</v>
      </c>
      <c r="C30262" s="572">
        <v>558.79999999999995</v>
      </c>
    </row>
    <row r="30263" spans="1:3">
      <c r="A30263" s="571" t="s">
        <v>1213</v>
      </c>
      <c r="B30263" s="572">
        <v>8.3000000000000007</v>
      </c>
      <c r="C30263" s="572">
        <v>597.4</v>
      </c>
    </row>
    <row r="30264" spans="1:3">
      <c r="A30264" s="571" t="s">
        <v>1213</v>
      </c>
      <c r="B30264" s="572">
        <v>11.7</v>
      </c>
      <c r="C30264" s="572">
        <v>664.7</v>
      </c>
    </row>
    <row r="30265" spans="1:3">
      <c r="A30265" s="571" t="s">
        <v>1213</v>
      </c>
      <c r="B30265" s="572">
        <v>21.5</v>
      </c>
      <c r="C30265" s="572">
        <v>770.1</v>
      </c>
    </row>
    <row r="30266" spans="1:3">
      <c r="A30266" s="571" t="s">
        <v>1213</v>
      </c>
      <c r="B30266" s="572">
        <v>32.700000000000003</v>
      </c>
      <c r="C30266" s="572">
        <v>829.8</v>
      </c>
    </row>
    <row r="30267" spans="1:3">
      <c r="A30267" s="571" t="s">
        <v>1213</v>
      </c>
      <c r="B30267" s="572">
        <v>41.9</v>
      </c>
      <c r="C30267" s="572">
        <v>861.4</v>
      </c>
    </row>
    <row r="30268" spans="1:3">
      <c r="A30268" s="571" t="s">
        <v>1213</v>
      </c>
      <c r="B30268" s="572">
        <v>52.4</v>
      </c>
      <c r="C30268" s="572">
        <v>882.4</v>
      </c>
    </row>
    <row r="30269" spans="1:3">
      <c r="A30269" s="571" t="s">
        <v>1213</v>
      </c>
      <c r="B30269" s="572">
        <v>60.8</v>
      </c>
      <c r="C30269" s="572">
        <v>898.2</v>
      </c>
    </row>
    <row r="30270" spans="1:3">
      <c r="A30270" s="571" t="s">
        <v>1213</v>
      </c>
      <c r="B30270" s="572">
        <v>70.5</v>
      </c>
      <c r="C30270" s="572">
        <v>916.8</v>
      </c>
    </row>
    <row r="30271" spans="1:3">
      <c r="A30271" s="571" t="s">
        <v>1213</v>
      </c>
      <c r="B30271" s="572">
        <v>79.900000000000006</v>
      </c>
      <c r="C30271" s="572">
        <v>921.8</v>
      </c>
    </row>
    <row r="30272" spans="1:3">
      <c r="A30272" s="571" t="s">
        <v>1213</v>
      </c>
      <c r="B30272" s="572">
        <v>88.2</v>
      </c>
      <c r="C30272" s="572">
        <v>926.8</v>
      </c>
    </row>
    <row r="30273" spans="1:3">
      <c r="A30273" s="571" t="s">
        <v>1213</v>
      </c>
      <c r="B30273" s="572">
        <v>90.7</v>
      </c>
      <c r="C30273" s="572">
        <v>928.5</v>
      </c>
    </row>
    <row r="30274" spans="1:3">
      <c r="A30274" s="571" t="s">
        <v>1212</v>
      </c>
      <c r="B30274" s="572">
        <v>0</v>
      </c>
      <c r="C30274" s="572">
        <v>279.10000000000002</v>
      </c>
    </row>
    <row r="30275" spans="1:3">
      <c r="A30275" s="571" t="s">
        <v>1212</v>
      </c>
      <c r="B30275" s="572">
        <v>1.4</v>
      </c>
      <c r="C30275" s="572">
        <v>471.1</v>
      </c>
    </row>
    <row r="30276" spans="1:3">
      <c r="A30276" s="571" t="s">
        <v>1212</v>
      </c>
      <c r="B30276" s="572">
        <v>2.7</v>
      </c>
      <c r="C30276" s="572">
        <v>547</v>
      </c>
    </row>
    <row r="30277" spans="1:3">
      <c r="A30277" s="571" t="s">
        <v>1212</v>
      </c>
      <c r="B30277" s="572">
        <v>3.4</v>
      </c>
      <c r="C30277" s="572">
        <v>590.70000000000005</v>
      </c>
    </row>
    <row r="30278" spans="1:3">
      <c r="A30278" s="571" t="s">
        <v>1212</v>
      </c>
      <c r="B30278" s="572">
        <v>4.8</v>
      </c>
      <c r="C30278" s="572">
        <v>637.79999999999995</v>
      </c>
    </row>
    <row r="30279" spans="1:3">
      <c r="A30279" s="571" t="s">
        <v>1212</v>
      </c>
      <c r="B30279" s="572">
        <v>6</v>
      </c>
      <c r="C30279" s="572">
        <v>654.6</v>
      </c>
    </row>
    <row r="30280" spans="1:3">
      <c r="A30280" s="571" t="s">
        <v>1212</v>
      </c>
      <c r="B30280" s="572">
        <v>7.6</v>
      </c>
      <c r="C30280" s="572">
        <v>700</v>
      </c>
    </row>
    <row r="30281" spans="1:3">
      <c r="A30281" s="571" t="s">
        <v>1212</v>
      </c>
      <c r="B30281" s="572">
        <v>8.8000000000000007</v>
      </c>
      <c r="C30281" s="572">
        <v>722.8</v>
      </c>
    </row>
    <row r="30282" spans="1:3">
      <c r="A30282" s="571" t="s">
        <v>1212</v>
      </c>
      <c r="B30282" s="572">
        <v>15.4</v>
      </c>
      <c r="C30282" s="572">
        <v>835</v>
      </c>
    </row>
    <row r="30283" spans="1:3">
      <c r="A30283" s="571" t="s">
        <v>1212</v>
      </c>
      <c r="B30283" s="572">
        <v>20.8</v>
      </c>
      <c r="C30283" s="572">
        <v>878.9</v>
      </c>
    </row>
    <row r="30284" spans="1:3">
      <c r="A30284" s="571" t="s">
        <v>1212</v>
      </c>
      <c r="B30284" s="572">
        <v>25.7</v>
      </c>
      <c r="C30284" s="572">
        <v>913.4</v>
      </c>
    </row>
    <row r="30285" spans="1:3">
      <c r="A30285" s="571" t="s">
        <v>1212</v>
      </c>
      <c r="B30285" s="572">
        <v>35.700000000000003</v>
      </c>
      <c r="C30285" s="572">
        <v>955.4</v>
      </c>
    </row>
    <row r="30286" spans="1:3">
      <c r="A30286" s="571" t="s">
        <v>1212</v>
      </c>
      <c r="B30286" s="572">
        <v>45.8</v>
      </c>
      <c r="C30286" s="572">
        <v>978.9</v>
      </c>
    </row>
    <row r="30287" spans="1:3">
      <c r="A30287" s="571" t="s">
        <v>1212</v>
      </c>
      <c r="B30287" s="572">
        <v>50.8</v>
      </c>
      <c r="C30287" s="572">
        <v>987.4</v>
      </c>
    </row>
    <row r="30288" spans="1:3">
      <c r="A30288" s="571" t="s">
        <v>1212</v>
      </c>
      <c r="B30288" s="572">
        <v>60.3</v>
      </c>
      <c r="C30288" s="572">
        <v>1010.9</v>
      </c>
    </row>
    <row r="30289" spans="1:3">
      <c r="A30289" s="571" t="s">
        <v>1212</v>
      </c>
      <c r="B30289" s="572">
        <v>65.400000000000006</v>
      </c>
      <c r="C30289" s="572">
        <v>1016</v>
      </c>
    </row>
    <row r="30290" spans="1:3">
      <c r="A30290" s="571" t="s">
        <v>1212</v>
      </c>
      <c r="B30290" s="572">
        <v>70.2</v>
      </c>
      <c r="C30290" s="572">
        <v>1029.4000000000001</v>
      </c>
    </row>
    <row r="30291" spans="1:3">
      <c r="A30291" s="571" t="s">
        <v>1212</v>
      </c>
      <c r="B30291" s="572">
        <v>75.5</v>
      </c>
      <c r="C30291" s="572">
        <v>1036.0999999999999</v>
      </c>
    </row>
    <row r="30292" spans="1:3">
      <c r="A30292" s="571" t="s">
        <v>1212</v>
      </c>
      <c r="B30292" s="572">
        <v>85.4</v>
      </c>
      <c r="C30292" s="572">
        <v>1046.2</v>
      </c>
    </row>
    <row r="30293" spans="1:3">
      <c r="A30293" s="571" t="s">
        <v>1211</v>
      </c>
      <c r="B30293" s="572">
        <v>1.5</v>
      </c>
      <c r="C30293" s="572">
        <v>374.5</v>
      </c>
    </row>
    <row r="30294" spans="1:3">
      <c r="A30294" s="571" t="s">
        <v>1211</v>
      </c>
      <c r="B30294" s="572">
        <v>3.7</v>
      </c>
      <c r="C30294" s="572">
        <v>506.7</v>
      </c>
    </row>
    <row r="30295" spans="1:3">
      <c r="A30295" s="571" t="s">
        <v>1211</v>
      </c>
      <c r="B30295" s="572">
        <v>6.3</v>
      </c>
      <c r="C30295" s="572">
        <v>592.4</v>
      </c>
    </row>
    <row r="30296" spans="1:3">
      <c r="A30296" s="571" t="s">
        <v>1211</v>
      </c>
      <c r="B30296" s="572">
        <v>8.1999999999999993</v>
      </c>
      <c r="C30296" s="572">
        <v>595.79999999999995</v>
      </c>
    </row>
    <row r="30297" spans="1:3">
      <c r="A30297" s="571" t="s">
        <v>1211</v>
      </c>
      <c r="B30297" s="572">
        <v>10.9</v>
      </c>
      <c r="C30297" s="572">
        <v>651.20000000000005</v>
      </c>
    </row>
    <row r="30298" spans="1:3">
      <c r="A30298" s="571" t="s">
        <v>1211</v>
      </c>
      <c r="B30298" s="572">
        <v>17.600000000000001</v>
      </c>
      <c r="C30298" s="572">
        <v>738.6</v>
      </c>
    </row>
    <row r="30299" spans="1:3">
      <c r="A30299" s="571" t="s">
        <v>1211</v>
      </c>
      <c r="B30299" s="572">
        <v>27.1</v>
      </c>
      <c r="C30299" s="572">
        <v>812.2</v>
      </c>
    </row>
    <row r="30300" spans="1:3">
      <c r="A30300" s="571" t="s">
        <v>1211</v>
      </c>
      <c r="B30300" s="572">
        <v>37.9</v>
      </c>
      <c r="C30300" s="572">
        <v>854.3</v>
      </c>
    </row>
    <row r="30301" spans="1:3">
      <c r="A30301" s="571" t="s">
        <v>1211</v>
      </c>
      <c r="B30301" s="572">
        <v>44.4</v>
      </c>
      <c r="C30301" s="572">
        <v>870.1</v>
      </c>
    </row>
    <row r="30302" spans="1:3">
      <c r="A30302" s="571" t="s">
        <v>1211</v>
      </c>
      <c r="B30302" s="572">
        <v>54</v>
      </c>
      <c r="C30302" s="572">
        <v>884.2</v>
      </c>
    </row>
    <row r="30303" spans="1:3">
      <c r="A30303" s="571" t="s">
        <v>1211</v>
      </c>
      <c r="B30303" s="572">
        <v>60.6</v>
      </c>
      <c r="C30303" s="572">
        <v>898.2</v>
      </c>
    </row>
    <row r="30304" spans="1:3">
      <c r="A30304" s="571" t="s">
        <v>1211</v>
      </c>
      <c r="B30304" s="572">
        <v>66.8</v>
      </c>
      <c r="C30304" s="572">
        <v>906.7</v>
      </c>
    </row>
    <row r="30305" spans="1:3">
      <c r="A30305" s="571" t="s">
        <v>1211</v>
      </c>
      <c r="B30305" s="572">
        <v>75.400000000000006</v>
      </c>
      <c r="C30305" s="572">
        <v>923.5</v>
      </c>
    </row>
    <row r="30306" spans="1:3">
      <c r="A30306" s="571" t="s">
        <v>1211</v>
      </c>
      <c r="B30306" s="572">
        <v>85.2</v>
      </c>
      <c r="C30306" s="572">
        <v>921.8</v>
      </c>
    </row>
    <row r="30307" spans="1:3">
      <c r="A30307" s="571" t="s">
        <v>1211</v>
      </c>
      <c r="B30307" s="572">
        <v>90.7</v>
      </c>
      <c r="C30307" s="572">
        <v>930.2</v>
      </c>
    </row>
    <row r="30308" spans="1:3">
      <c r="A30308" s="571" t="s">
        <v>1210</v>
      </c>
      <c r="B30308" s="572">
        <v>2.4</v>
      </c>
      <c r="C30308" s="572">
        <v>286</v>
      </c>
    </row>
    <row r="30309" spans="1:3">
      <c r="A30309" s="571" t="s">
        <v>1210</v>
      </c>
      <c r="B30309" s="572">
        <v>5.4</v>
      </c>
      <c r="C30309" s="572">
        <v>383</v>
      </c>
    </row>
    <row r="30310" spans="1:3">
      <c r="A30310" s="571" t="s">
        <v>1210</v>
      </c>
      <c r="B30310" s="572">
        <v>9.5</v>
      </c>
      <c r="C30310" s="572">
        <v>452.5</v>
      </c>
    </row>
    <row r="30311" spans="1:3">
      <c r="A30311" s="571" t="s">
        <v>1210</v>
      </c>
      <c r="B30311" s="572">
        <v>13.8</v>
      </c>
      <c r="C30311" s="572">
        <v>486.4</v>
      </c>
    </row>
    <row r="30312" spans="1:3">
      <c r="A30312" s="571" t="s">
        <v>1210</v>
      </c>
      <c r="B30312" s="572">
        <v>20</v>
      </c>
      <c r="C30312" s="572">
        <v>540.29999999999995</v>
      </c>
    </row>
    <row r="30313" spans="1:3">
      <c r="A30313" s="571" t="s">
        <v>1210</v>
      </c>
      <c r="B30313" s="572">
        <v>24.3</v>
      </c>
      <c r="C30313" s="572">
        <v>582.29999999999995</v>
      </c>
    </row>
    <row r="30314" spans="1:3">
      <c r="A30314" s="571" t="s">
        <v>1210</v>
      </c>
      <c r="B30314" s="572">
        <v>30.6</v>
      </c>
      <c r="C30314" s="572">
        <v>622.6</v>
      </c>
    </row>
    <row r="30315" spans="1:3">
      <c r="A30315" s="571" t="s">
        <v>1210</v>
      </c>
      <c r="B30315" s="572">
        <v>39.700000000000003</v>
      </c>
      <c r="C30315" s="572">
        <v>659.6</v>
      </c>
    </row>
    <row r="30316" spans="1:3">
      <c r="A30316" s="571" t="s">
        <v>1210</v>
      </c>
      <c r="B30316" s="572">
        <v>47.6</v>
      </c>
      <c r="C30316" s="572">
        <v>689.9</v>
      </c>
    </row>
    <row r="30317" spans="1:3">
      <c r="A30317" s="571" t="s">
        <v>1210</v>
      </c>
      <c r="B30317" s="572">
        <v>53.6</v>
      </c>
      <c r="C30317" s="572">
        <v>707</v>
      </c>
    </row>
    <row r="30318" spans="1:3">
      <c r="A30318" s="571" t="s">
        <v>1210</v>
      </c>
      <c r="B30318" s="572">
        <v>60.6</v>
      </c>
      <c r="C30318" s="572">
        <v>722.8</v>
      </c>
    </row>
    <row r="30319" spans="1:3">
      <c r="A30319" s="571" t="s">
        <v>1210</v>
      </c>
      <c r="B30319" s="572">
        <v>70</v>
      </c>
      <c r="C30319" s="572">
        <v>733.3</v>
      </c>
    </row>
    <row r="30320" spans="1:3">
      <c r="A30320" s="571" t="s">
        <v>1210</v>
      </c>
      <c r="B30320" s="572">
        <v>77.400000000000006</v>
      </c>
      <c r="C30320" s="572">
        <v>752.6</v>
      </c>
    </row>
    <row r="30321" spans="1:3">
      <c r="A30321" s="571" t="s">
        <v>1210</v>
      </c>
      <c r="B30321" s="572">
        <v>84.5</v>
      </c>
      <c r="C30321" s="572">
        <v>768.4</v>
      </c>
    </row>
    <row r="30322" spans="1:3">
      <c r="A30322" s="571" t="s">
        <v>1210</v>
      </c>
      <c r="B30322" s="572">
        <v>90.6</v>
      </c>
      <c r="C30322" s="572">
        <v>787.7</v>
      </c>
    </row>
    <row r="30323" spans="1:3">
      <c r="A30323" s="571" t="s">
        <v>1209</v>
      </c>
      <c r="B30323" s="572">
        <v>2.4</v>
      </c>
      <c r="C30323" s="572">
        <v>286</v>
      </c>
    </row>
    <row r="30324" spans="1:3">
      <c r="A30324" s="571" t="s">
        <v>1209</v>
      </c>
      <c r="B30324" s="572">
        <v>5.4</v>
      </c>
      <c r="C30324" s="572">
        <v>383</v>
      </c>
    </row>
    <row r="30325" spans="1:3">
      <c r="A30325" s="571" t="s">
        <v>1209</v>
      </c>
      <c r="B30325" s="572">
        <v>9.5</v>
      </c>
      <c r="C30325" s="572">
        <v>452.5</v>
      </c>
    </row>
    <row r="30326" spans="1:3">
      <c r="A30326" s="571" t="s">
        <v>1209</v>
      </c>
      <c r="B30326" s="572">
        <v>13.8</v>
      </c>
      <c r="C30326" s="572">
        <v>486.4</v>
      </c>
    </row>
    <row r="30327" spans="1:3">
      <c r="A30327" s="571" t="s">
        <v>1209</v>
      </c>
      <c r="B30327" s="572">
        <v>20</v>
      </c>
      <c r="C30327" s="572">
        <v>540.29999999999995</v>
      </c>
    </row>
    <row r="30328" spans="1:3">
      <c r="A30328" s="571" t="s">
        <v>1209</v>
      </c>
      <c r="B30328" s="572">
        <v>24.3</v>
      </c>
      <c r="C30328" s="572">
        <v>582.29999999999995</v>
      </c>
    </row>
    <row r="30329" spans="1:3">
      <c r="A30329" s="571" t="s">
        <v>1209</v>
      </c>
      <c r="B30329" s="572">
        <v>30.6</v>
      </c>
      <c r="C30329" s="572">
        <v>622.6</v>
      </c>
    </row>
    <row r="30330" spans="1:3">
      <c r="A30330" s="571" t="s">
        <v>1209</v>
      </c>
      <c r="B30330" s="572">
        <v>39.700000000000003</v>
      </c>
      <c r="C30330" s="572">
        <v>659.6</v>
      </c>
    </row>
    <row r="30331" spans="1:3">
      <c r="A30331" s="571" t="s">
        <v>1209</v>
      </c>
      <c r="B30331" s="572">
        <v>47.6</v>
      </c>
      <c r="C30331" s="572">
        <v>689.9</v>
      </c>
    </row>
    <row r="30332" spans="1:3">
      <c r="A30332" s="571" t="s">
        <v>1209</v>
      </c>
      <c r="B30332" s="572">
        <v>53.6</v>
      </c>
      <c r="C30332" s="572">
        <v>707</v>
      </c>
    </row>
    <row r="30333" spans="1:3">
      <c r="A30333" s="571" t="s">
        <v>1209</v>
      </c>
      <c r="B30333" s="572">
        <v>60.6</v>
      </c>
      <c r="C30333" s="572">
        <v>722.8</v>
      </c>
    </row>
    <row r="30334" spans="1:3">
      <c r="A30334" s="571" t="s">
        <v>1209</v>
      </c>
      <c r="B30334" s="572">
        <v>70</v>
      </c>
      <c r="C30334" s="572">
        <v>733.3</v>
      </c>
    </row>
    <row r="30335" spans="1:3">
      <c r="A30335" s="571" t="s">
        <v>1209</v>
      </c>
      <c r="B30335" s="572">
        <v>77.400000000000006</v>
      </c>
      <c r="C30335" s="572">
        <v>752.6</v>
      </c>
    </row>
    <row r="30336" spans="1:3">
      <c r="A30336" s="571" t="s">
        <v>1209</v>
      </c>
      <c r="B30336" s="572">
        <v>84.5</v>
      </c>
      <c r="C30336" s="572">
        <v>768.4</v>
      </c>
    </row>
    <row r="30337" spans="1:3">
      <c r="A30337" s="571" t="s">
        <v>1209</v>
      </c>
      <c r="B30337" s="572">
        <v>90.6</v>
      </c>
      <c r="C30337" s="572">
        <v>787.7</v>
      </c>
    </row>
    <row r="30338" spans="1:3">
      <c r="A30338" s="571" t="s">
        <v>1208</v>
      </c>
      <c r="B30338" s="572">
        <v>2.6</v>
      </c>
      <c r="C30338" s="572">
        <v>162.6</v>
      </c>
    </row>
    <row r="30339" spans="1:3">
      <c r="A30339" s="571" t="s">
        <v>1208</v>
      </c>
      <c r="B30339" s="572">
        <v>8.5</v>
      </c>
      <c r="C30339" s="572">
        <v>301.7</v>
      </c>
    </row>
    <row r="30340" spans="1:3">
      <c r="A30340" s="571" t="s">
        <v>1208</v>
      </c>
      <c r="B30340" s="572">
        <v>11.6</v>
      </c>
      <c r="C30340" s="572">
        <v>372.8</v>
      </c>
    </row>
    <row r="30341" spans="1:3">
      <c r="A30341" s="571" t="s">
        <v>1208</v>
      </c>
      <c r="B30341" s="572">
        <v>14.2</v>
      </c>
      <c r="C30341" s="572">
        <v>379.6</v>
      </c>
    </row>
    <row r="30342" spans="1:3">
      <c r="A30342" s="571" t="s">
        <v>1208</v>
      </c>
      <c r="B30342" s="572">
        <v>16.8</v>
      </c>
      <c r="C30342" s="572">
        <v>415.2</v>
      </c>
    </row>
    <row r="30343" spans="1:3">
      <c r="A30343" s="571" t="s">
        <v>1208</v>
      </c>
      <c r="B30343" s="572">
        <v>23.9</v>
      </c>
      <c r="C30343" s="572">
        <v>486.4</v>
      </c>
    </row>
    <row r="30344" spans="1:3">
      <c r="A30344" s="571" t="s">
        <v>1208</v>
      </c>
      <c r="B30344" s="572">
        <v>31.7</v>
      </c>
      <c r="C30344" s="572">
        <v>550.4</v>
      </c>
    </row>
    <row r="30345" spans="1:3">
      <c r="A30345" s="571" t="s">
        <v>1208</v>
      </c>
      <c r="B30345" s="572">
        <v>35.1</v>
      </c>
      <c r="C30345" s="572">
        <v>568.9</v>
      </c>
    </row>
    <row r="30346" spans="1:3">
      <c r="A30346" s="571" t="s">
        <v>1208</v>
      </c>
      <c r="B30346" s="572">
        <v>40.5</v>
      </c>
      <c r="C30346" s="572">
        <v>595.79999999999995</v>
      </c>
    </row>
    <row r="30347" spans="1:3">
      <c r="A30347" s="571" t="s">
        <v>1208</v>
      </c>
      <c r="B30347" s="572">
        <v>49.1</v>
      </c>
      <c r="C30347" s="572">
        <v>629.4</v>
      </c>
    </row>
    <row r="30348" spans="1:3">
      <c r="A30348" s="571" t="s">
        <v>1208</v>
      </c>
      <c r="B30348" s="572">
        <v>54.9</v>
      </c>
      <c r="C30348" s="572">
        <v>647.9</v>
      </c>
    </row>
    <row r="30349" spans="1:3">
      <c r="A30349" s="571" t="s">
        <v>1208</v>
      </c>
      <c r="B30349" s="572">
        <v>60.5</v>
      </c>
      <c r="C30349" s="572">
        <v>664.7</v>
      </c>
    </row>
    <row r="30350" spans="1:3">
      <c r="A30350" s="571" t="s">
        <v>1208</v>
      </c>
      <c r="B30350" s="572">
        <v>66</v>
      </c>
      <c r="C30350" s="572">
        <v>673.1</v>
      </c>
    </row>
    <row r="30351" spans="1:3">
      <c r="A30351" s="571" t="s">
        <v>1208</v>
      </c>
      <c r="B30351" s="572">
        <v>73.3</v>
      </c>
      <c r="C30351" s="572">
        <v>686.5</v>
      </c>
    </row>
    <row r="30352" spans="1:3">
      <c r="A30352" s="571" t="s">
        <v>1208</v>
      </c>
      <c r="B30352" s="572">
        <v>79.599999999999994</v>
      </c>
      <c r="C30352" s="572">
        <v>705.2</v>
      </c>
    </row>
    <row r="30353" spans="1:3">
      <c r="A30353" s="571" t="s">
        <v>1208</v>
      </c>
      <c r="B30353" s="572">
        <v>85.3</v>
      </c>
      <c r="C30353" s="572">
        <v>721</v>
      </c>
    </row>
    <row r="30354" spans="1:3">
      <c r="A30354" s="571" t="s">
        <v>1208</v>
      </c>
      <c r="B30354" s="572">
        <v>90.6</v>
      </c>
      <c r="C30354" s="572">
        <v>729.8</v>
      </c>
    </row>
    <row r="30355" spans="1:3">
      <c r="A30355" s="571" t="s">
        <v>1207</v>
      </c>
      <c r="B30355" s="572">
        <v>0.4</v>
      </c>
      <c r="C30355" s="572">
        <v>669.7</v>
      </c>
    </row>
    <row r="30356" spans="1:3">
      <c r="A30356" s="571" t="s">
        <v>1207</v>
      </c>
      <c r="B30356" s="572">
        <v>1</v>
      </c>
      <c r="C30356" s="572">
        <v>722.8</v>
      </c>
    </row>
    <row r="30357" spans="1:3">
      <c r="A30357" s="571" t="s">
        <v>1207</v>
      </c>
      <c r="B30357" s="572">
        <v>2</v>
      </c>
      <c r="C30357" s="572">
        <v>778.9</v>
      </c>
    </row>
    <row r="30358" spans="1:3">
      <c r="A30358" s="571" t="s">
        <v>1207</v>
      </c>
      <c r="B30358" s="572">
        <v>4.2</v>
      </c>
      <c r="C30358" s="572">
        <v>836.8</v>
      </c>
    </row>
    <row r="30359" spans="1:3">
      <c r="A30359" s="571" t="s">
        <v>1207</v>
      </c>
      <c r="B30359" s="572">
        <v>8.6</v>
      </c>
      <c r="C30359" s="572">
        <v>918.4</v>
      </c>
    </row>
    <row r="30360" spans="1:3">
      <c r="A30360" s="571" t="s">
        <v>1207</v>
      </c>
      <c r="B30360" s="572">
        <v>12.8</v>
      </c>
      <c r="C30360" s="572">
        <v>963.8</v>
      </c>
    </row>
    <row r="30361" spans="1:3">
      <c r="A30361" s="571" t="s">
        <v>1207</v>
      </c>
      <c r="B30361" s="572">
        <v>18.899999999999999</v>
      </c>
      <c r="C30361" s="572">
        <v>1016</v>
      </c>
    </row>
    <row r="30362" spans="1:3">
      <c r="A30362" s="571" t="s">
        <v>1207</v>
      </c>
      <c r="B30362" s="572">
        <v>28.6</v>
      </c>
      <c r="C30362" s="572">
        <v>1063</v>
      </c>
    </row>
    <row r="30363" spans="1:3">
      <c r="A30363" s="571" t="s">
        <v>1207</v>
      </c>
      <c r="B30363" s="572">
        <v>36.909999999999997</v>
      </c>
      <c r="C30363" s="572">
        <v>1088.2</v>
      </c>
    </row>
    <row r="30364" spans="1:3">
      <c r="A30364" s="571" t="s">
        <v>1207</v>
      </c>
      <c r="B30364" s="572">
        <v>49.4</v>
      </c>
      <c r="C30364" s="572">
        <v>1133.3</v>
      </c>
    </row>
    <row r="30365" spans="1:3">
      <c r="A30365" s="571" t="s">
        <v>1207</v>
      </c>
      <c r="B30365" s="572">
        <v>60</v>
      </c>
      <c r="C30365" s="572">
        <v>1163.2</v>
      </c>
    </row>
    <row r="30366" spans="1:3">
      <c r="A30366" s="571" t="s">
        <v>1207</v>
      </c>
      <c r="B30366" s="572">
        <v>73.8</v>
      </c>
      <c r="C30366" s="572">
        <v>1193</v>
      </c>
    </row>
    <row r="30367" spans="1:3">
      <c r="A30367" s="571" t="s">
        <v>1207</v>
      </c>
      <c r="B30367" s="572">
        <v>89</v>
      </c>
      <c r="C30367" s="572">
        <v>1215.8</v>
      </c>
    </row>
    <row r="30368" spans="1:3">
      <c r="A30368" s="571" t="s">
        <v>1207</v>
      </c>
      <c r="B30368" s="572">
        <v>93.81</v>
      </c>
      <c r="C30368" s="572">
        <v>1247.4000000000001</v>
      </c>
    </row>
    <row r="30369" spans="1:3">
      <c r="A30369" s="571" t="s">
        <v>1207</v>
      </c>
      <c r="B30369" s="572">
        <v>96.6</v>
      </c>
      <c r="C30369" s="572">
        <v>1254.4000000000001</v>
      </c>
    </row>
    <row r="30370" spans="1:3">
      <c r="A30370" s="571" t="s">
        <v>1074</v>
      </c>
      <c r="B30370" s="572">
        <v>1</v>
      </c>
      <c r="C30370" s="572">
        <v>114.6</v>
      </c>
    </row>
    <row r="30371" spans="1:3">
      <c r="A30371" s="571" t="s">
        <v>1074</v>
      </c>
      <c r="B30371" s="572">
        <v>3</v>
      </c>
      <c r="C30371" s="572">
        <v>179.3</v>
      </c>
    </row>
    <row r="30372" spans="1:3">
      <c r="A30372" s="571" t="s">
        <v>1074</v>
      </c>
      <c r="B30372" s="572">
        <v>5</v>
      </c>
      <c r="C30372" s="572">
        <v>216.4</v>
      </c>
    </row>
    <row r="30373" spans="1:3">
      <c r="A30373" s="571" t="s">
        <v>1074</v>
      </c>
      <c r="B30373" s="572">
        <v>7</v>
      </c>
      <c r="C30373" s="572">
        <v>277.89999999999998</v>
      </c>
    </row>
    <row r="30374" spans="1:3">
      <c r="A30374" s="571" t="s">
        <v>1074</v>
      </c>
      <c r="B30374" s="572">
        <v>14</v>
      </c>
      <c r="C30374" s="572">
        <v>329</v>
      </c>
    </row>
    <row r="30375" spans="1:3">
      <c r="A30375" s="571" t="s">
        <v>1074</v>
      </c>
      <c r="B30375" s="572">
        <v>28</v>
      </c>
      <c r="C30375" s="572">
        <v>442.2</v>
      </c>
    </row>
    <row r="30376" spans="1:3">
      <c r="A30376" s="571" t="s">
        <v>1074</v>
      </c>
      <c r="B30376" s="572">
        <v>42</v>
      </c>
      <c r="C30376" s="572">
        <v>493.9</v>
      </c>
    </row>
    <row r="30377" spans="1:3">
      <c r="A30377" s="571" t="s">
        <v>1074</v>
      </c>
      <c r="B30377" s="572">
        <v>56</v>
      </c>
      <c r="C30377" s="572">
        <v>531.6</v>
      </c>
    </row>
    <row r="30378" spans="1:3">
      <c r="A30378" s="571" t="s">
        <v>1074</v>
      </c>
      <c r="B30378" s="572">
        <v>91</v>
      </c>
      <c r="C30378" s="572">
        <v>626.1</v>
      </c>
    </row>
    <row r="30379" spans="1:3">
      <c r="A30379" s="573" t="s">
        <v>1074</v>
      </c>
      <c r="B30379" s="574">
        <v>182</v>
      </c>
      <c r="C30379" s="574">
        <v>693.9</v>
      </c>
    </row>
    <row r="30380" spans="1:3">
      <c r="A30380" s="573" t="s">
        <v>1074</v>
      </c>
      <c r="B30380" s="574">
        <v>364</v>
      </c>
      <c r="C30380" s="574">
        <v>730.8</v>
      </c>
    </row>
    <row r="30381" spans="1:3">
      <c r="A30381" s="571" t="s">
        <v>1073</v>
      </c>
      <c r="B30381" s="572">
        <v>1</v>
      </c>
      <c r="C30381" s="572">
        <v>133.80000000000001</v>
      </c>
    </row>
    <row r="30382" spans="1:3">
      <c r="A30382" s="571" t="s">
        <v>1073</v>
      </c>
      <c r="B30382" s="572">
        <v>3</v>
      </c>
      <c r="C30382" s="572">
        <v>167.3</v>
      </c>
    </row>
    <row r="30383" spans="1:3">
      <c r="A30383" s="571" t="s">
        <v>1073</v>
      </c>
      <c r="B30383" s="572">
        <v>5</v>
      </c>
      <c r="C30383" s="572">
        <v>221.2</v>
      </c>
    </row>
    <row r="30384" spans="1:3">
      <c r="A30384" s="571" t="s">
        <v>1073</v>
      </c>
      <c r="B30384" s="572">
        <v>7</v>
      </c>
      <c r="C30384" s="572">
        <v>239.6</v>
      </c>
    </row>
    <row r="30385" spans="1:3">
      <c r="A30385" s="571" t="s">
        <v>1073</v>
      </c>
      <c r="B30385" s="572">
        <v>14</v>
      </c>
      <c r="C30385" s="572">
        <v>295.5</v>
      </c>
    </row>
    <row r="30386" spans="1:3">
      <c r="A30386" s="571" t="s">
        <v>1073</v>
      </c>
      <c r="B30386" s="572">
        <v>28</v>
      </c>
      <c r="C30386" s="572">
        <v>401.6</v>
      </c>
    </row>
    <row r="30387" spans="1:3">
      <c r="A30387" s="571" t="s">
        <v>1073</v>
      </c>
      <c r="B30387" s="572">
        <v>42</v>
      </c>
      <c r="C30387" s="572">
        <v>460.5</v>
      </c>
    </row>
    <row r="30388" spans="1:3">
      <c r="A30388" s="571" t="s">
        <v>1073</v>
      </c>
      <c r="B30388" s="572">
        <v>56</v>
      </c>
      <c r="C30388" s="572">
        <v>502.8</v>
      </c>
    </row>
    <row r="30389" spans="1:3">
      <c r="A30389" s="571" t="s">
        <v>1073</v>
      </c>
      <c r="B30389" s="572">
        <v>91</v>
      </c>
      <c r="C30389" s="572">
        <v>573.5</v>
      </c>
    </row>
    <row r="30390" spans="1:3">
      <c r="A30390" s="573" t="s">
        <v>1073</v>
      </c>
      <c r="B30390" s="574">
        <v>182</v>
      </c>
      <c r="C30390" s="574">
        <v>608</v>
      </c>
    </row>
    <row r="30391" spans="1:3">
      <c r="A30391" s="573" t="s">
        <v>1073</v>
      </c>
      <c r="B30391" s="574">
        <v>364</v>
      </c>
      <c r="C30391" s="574">
        <v>663.9</v>
      </c>
    </row>
    <row r="30392" spans="1:3">
      <c r="A30392" s="571" t="s">
        <v>1072</v>
      </c>
      <c r="B30392" s="572">
        <v>1</v>
      </c>
      <c r="C30392" s="572">
        <v>68.599999999999994</v>
      </c>
    </row>
    <row r="30393" spans="1:3">
      <c r="A30393" s="571" t="s">
        <v>1072</v>
      </c>
      <c r="B30393" s="572">
        <v>3</v>
      </c>
      <c r="C30393" s="572">
        <v>102.2</v>
      </c>
    </row>
    <row r="30394" spans="1:3">
      <c r="A30394" s="571" t="s">
        <v>1072</v>
      </c>
      <c r="B30394" s="572">
        <v>5</v>
      </c>
      <c r="C30394" s="572">
        <v>144.5</v>
      </c>
    </row>
    <row r="30395" spans="1:3">
      <c r="A30395" s="571" t="s">
        <v>1072</v>
      </c>
      <c r="B30395" s="572">
        <v>7</v>
      </c>
      <c r="C30395" s="572">
        <v>180.1</v>
      </c>
    </row>
    <row r="30396" spans="1:3">
      <c r="A30396" s="571" t="s">
        <v>1072</v>
      </c>
      <c r="B30396" s="572">
        <v>14</v>
      </c>
      <c r="C30396" s="572">
        <v>293.2</v>
      </c>
    </row>
    <row r="30397" spans="1:3">
      <c r="A30397" s="571" t="s">
        <v>1072</v>
      </c>
      <c r="B30397" s="572">
        <v>28</v>
      </c>
      <c r="C30397" s="572">
        <v>379.8</v>
      </c>
    </row>
    <row r="30398" spans="1:3">
      <c r="A30398" s="571" t="s">
        <v>1072</v>
      </c>
      <c r="B30398" s="572">
        <v>42</v>
      </c>
      <c r="C30398" s="572">
        <v>477.4</v>
      </c>
    </row>
    <row r="30399" spans="1:3">
      <c r="A30399" s="571" t="s">
        <v>1072</v>
      </c>
      <c r="B30399" s="572">
        <v>56</v>
      </c>
      <c r="C30399" s="572">
        <v>530.70000000000005</v>
      </c>
    </row>
    <row r="30400" spans="1:3">
      <c r="A30400" s="571" t="s">
        <v>1072</v>
      </c>
      <c r="B30400" s="572">
        <v>91</v>
      </c>
      <c r="C30400" s="572">
        <v>570.70000000000005</v>
      </c>
    </row>
    <row r="30401" spans="1:3">
      <c r="A30401" s="573" t="s">
        <v>1072</v>
      </c>
      <c r="B30401" s="574">
        <v>182</v>
      </c>
      <c r="C30401" s="574">
        <v>626.29999999999995</v>
      </c>
    </row>
    <row r="30402" spans="1:3">
      <c r="A30402" s="573" t="s">
        <v>1072</v>
      </c>
      <c r="B30402" s="574">
        <v>364</v>
      </c>
      <c r="C30402" s="574">
        <v>650.9</v>
      </c>
    </row>
    <row r="30403" spans="1:3">
      <c r="A30403" s="571" t="s">
        <v>1071</v>
      </c>
      <c r="B30403" s="572">
        <v>1</v>
      </c>
      <c r="C30403" s="572">
        <v>39.9</v>
      </c>
    </row>
    <row r="30404" spans="1:3">
      <c r="A30404" s="571" t="s">
        <v>1071</v>
      </c>
      <c r="B30404" s="572">
        <v>3</v>
      </c>
      <c r="C30404" s="572">
        <v>97.8</v>
      </c>
    </row>
    <row r="30405" spans="1:3">
      <c r="A30405" s="571" t="s">
        <v>1071</v>
      </c>
      <c r="B30405" s="572">
        <v>5</v>
      </c>
      <c r="C30405" s="572">
        <v>142.30000000000001</v>
      </c>
    </row>
    <row r="30406" spans="1:3">
      <c r="A30406" s="571" t="s">
        <v>1071</v>
      </c>
      <c r="B30406" s="572">
        <v>7</v>
      </c>
      <c r="C30406" s="572">
        <v>160.1</v>
      </c>
    </row>
    <row r="30407" spans="1:3">
      <c r="A30407" s="571" t="s">
        <v>1071</v>
      </c>
      <c r="B30407" s="572">
        <v>14</v>
      </c>
      <c r="C30407" s="572">
        <v>237.9</v>
      </c>
    </row>
    <row r="30408" spans="1:3">
      <c r="A30408" s="571" t="s">
        <v>1071</v>
      </c>
      <c r="B30408" s="572">
        <v>28</v>
      </c>
      <c r="C30408" s="572">
        <v>317.89999999999998</v>
      </c>
    </row>
    <row r="30409" spans="1:3">
      <c r="A30409" s="571" t="s">
        <v>1071</v>
      </c>
      <c r="B30409" s="572">
        <v>42</v>
      </c>
      <c r="C30409" s="572">
        <v>346.8</v>
      </c>
    </row>
    <row r="30410" spans="1:3">
      <c r="A30410" s="571" t="s">
        <v>1071</v>
      </c>
      <c r="B30410" s="572">
        <v>56</v>
      </c>
      <c r="C30410" s="572">
        <v>406.7</v>
      </c>
    </row>
    <row r="30411" spans="1:3">
      <c r="A30411" s="571" t="s">
        <v>1071</v>
      </c>
      <c r="B30411" s="572">
        <v>91</v>
      </c>
      <c r="C30411" s="572">
        <v>460</v>
      </c>
    </row>
    <row r="30412" spans="1:3">
      <c r="A30412" s="573" t="s">
        <v>1071</v>
      </c>
      <c r="B30412" s="574">
        <v>182</v>
      </c>
      <c r="C30412" s="574">
        <v>475.8</v>
      </c>
    </row>
    <row r="30413" spans="1:3">
      <c r="A30413" s="573" t="s">
        <v>1071</v>
      </c>
      <c r="B30413" s="574">
        <v>364</v>
      </c>
      <c r="C30413" s="574">
        <v>495.9</v>
      </c>
    </row>
    <row r="30414" spans="1:3">
      <c r="A30414" s="571" t="s">
        <v>1070</v>
      </c>
      <c r="B30414" s="572">
        <v>1</v>
      </c>
      <c r="C30414" s="572">
        <v>88.6</v>
      </c>
    </row>
    <row r="30415" spans="1:3">
      <c r="A30415" s="571" t="s">
        <v>1070</v>
      </c>
      <c r="B30415" s="572">
        <v>3</v>
      </c>
      <c r="C30415" s="572">
        <v>188.6</v>
      </c>
    </row>
    <row r="30416" spans="1:3">
      <c r="A30416" s="571" t="s">
        <v>1070</v>
      </c>
      <c r="B30416" s="572">
        <v>5</v>
      </c>
      <c r="C30416" s="572">
        <v>215.4</v>
      </c>
    </row>
    <row r="30417" spans="1:3">
      <c r="A30417" s="571" t="s">
        <v>1070</v>
      </c>
      <c r="B30417" s="572">
        <v>7</v>
      </c>
      <c r="C30417" s="572">
        <v>255.3</v>
      </c>
    </row>
    <row r="30418" spans="1:3">
      <c r="A30418" s="571" t="s">
        <v>1070</v>
      </c>
      <c r="B30418" s="572">
        <v>14</v>
      </c>
      <c r="C30418" s="572">
        <v>306.5</v>
      </c>
    </row>
    <row r="30419" spans="1:3">
      <c r="A30419" s="571" t="s">
        <v>1070</v>
      </c>
      <c r="B30419" s="572">
        <v>28</v>
      </c>
      <c r="C30419" s="572">
        <v>430.8</v>
      </c>
    </row>
    <row r="30420" spans="1:3">
      <c r="A30420" s="571" t="s">
        <v>1070</v>
      </c>
      <c r="B30420" s="572">
        <v>42</v>
      </c>
      <c r="C30420" s="572">
        <v>479.6</v>
      </c>
    </row>
    <row r="30421" spans="1:3">
      <c r="A30421" s="571" t="s">
        <v>1070</v>
      </c>
      <c r="B30421" s="572">
        <v>56</v>
      </c>
      <c r="C30421" s="572">
        <v>535.1</v>
      </c>
    </row>
    <row r="30422" spans="1:3">
      <c r="A30422" s="571" t="s">
        <v>1070</v>
      </c>
      <c r="B30422" s="572">
        <v>91</v>
      </c>
      <c r="C30422" s="572">
        <v>577.29999999999995</v>
      </c>
    </row>
    <row r="30423" spans="1:3">
      <c r="A30423" s="573" t="s">
        <v>1070</v>
      </c>
      <c r="B30423" s="574">
        <v>182</v>
      </c>
      <c r="C30423" s="574">
        <v>613</v>
      </c>
    </row>
    <row r="30424" spans="1:3">
      <c r="A30424" s="573" t="s">
        <v>1070</v>
      </c>
      <c r="B30424" s="574">
        <v>364</v>
      </c>
      <c r="C30424" s="574">
        <v>657.6</v>
      </c>
    </row>
    <row r="30425" spans="1:3">
      <c r="A30425" s="571" t="s">
        <v>1069</v>
      </c>
      <c r="B30425" s="572">
        <v>1</v>
      </c>
      <c r="C30425" s="572">
        <v>86.3</v>
      </c>
    </row>
    <row r="30426" spans="1:3">
      <c r="A30426" s="571" t="s">
        <v>1069</v>
      </c>
      <c r="B30426" s="572">
        <v>3</v>
      </c>
      <c r="C30426" s="572">
        <v>164.2</v>
      </c>
    </row>
    <row r="30427" spans="1:3">
      <c r="A30427" s="571" t="s">
        <v>1069</v>
      </c>
      <c r="B30427" s="572">
        <v>5</v>
      </c>
      <c r="C30427" s="572">
        <v>204.3</v>
      </c>
    </row>
    <row r="30428" spans="1:3">
      <c r="A30428" s="571" t="s">
        <v>1069</v>
      </c>
      <c r="B30428" s="572">
        <v>7</v>
      </c>
      <c r="C30428" s="572">
        <v>231</v>
      </c>
    </row>
    <row r="30429" spans="1:3">
      <c r="A30429" s="571" t="s">
        <v>1069</v>
      </c>
      <c r="B30429" s="572">
        <v>14</v>
      </c>
      <c r="C30429" s="572">
        <v>288.8</v>
      </c>
    </row>
    <row r="30430" spans="1:3">
      <c r="A30430" s="571" t="s">
        <v>1069</v>
      </c>
      <c r="B30430" s="572">
        <v>28</v>
      </c>
      <c r="C30430" s="572">
        <v>424.1</v>
      </c>
    </row>
    <row r="30431" spans="1:3">
      <c r="A30431" s="571" t="s">
        <v>1069</v>
      </c>
      <c r="B30431" s="572">
        <v>42</v>
      </c>
      <c r="C30431" s="572">
        <v>479.6</v>
      </c>
    </row>
    <row r="30432" spans="1:3">
      <c r="A30432" s="571" t="s">
        <v>1069</v>
      </c>
      <c r="B30432" s="572">
        <v>56</v>
      </c>
      <c r="C30432" s="572">
        <v>539.5</v>
      </c>
    </row>
    <row r="30433" spans="1:3">
      <c r="A30433" s="571" t="s">
        <v>1069</v>
      </c>
      <c r="B30433" s="572">
        <v>91</v>
      </c>
      <c r="C30433" s="572">
        <v>581.79999999999995</v>
      </c>
    </row>
    <row r="30434" spans="1:3">
      <c r="A30434" s="573" t="s">
        <v>1069</v>
      </c>
      <c r="B30434" s="574">
        <v>182</v>
      </c>
      <c r="C30434" s="574">
        <v>595.29999999999995</v>
      </c>
    </row>
    <row r="30435" spans="1:3">
      <c r="A30435" s="573" t="s">
        <v>1069</v>
      </c>
      <c r="B30435" s="574">
        <v>364</v>
      </c>
      <c r="C30435" s="574">
        <v>628.79999999999995</v>
      </c>
    </row>
    <row r="30436" spans="1:3">
      <c r="A30436" s="571" t="s">
        <v>1068</v>
      </c>
      <c r="B30436" s="572">
        <v>1</v>
      </c>
      <c r="C30436" s="572">
        <v>85.7</v>
      </c>
    </row>
    <row r="30437" spans="1:3">
      <c r="A30437" s="571" t="s">
        <v>1068</v>
      </c>
      <c r="B30437" s="572">
        <v>3</v>
      </c>
      <c r="C30437" s="572">
        <v>166.2</v>
      </c>
    </row>
    <row r="30438" spans="1:3">
      <c r="A30438" s="571" t="s">
        <v>1068</v>
      </c>
      <c r="B30438" s="572">
        <v>5</v>
      </c>
      <c r="C30438" s="572">
        <v>237.4</v>
      </c>
    </row>
    <row r="30439" spans="1:3">
      <c r="A30439" s="571" t="s">
        <v>1068</v>
      </c>
      <c r="B30439" s="572">
        <v>7</v>
      </c>
      <c r="C30439" s="572">
        <v>294.5</v>
      </c>
    </row>
    <row r="30440" spans="1:3">
      <c r="A30440" s="571" t="s">
        <v>1068</v>
      </c>
      <c r="B30440" s="572">
        <v>14</v>
      </c>
      <c r="C30440" s="572">
        <v>396.6</v>
      </c>
    </row>
    <row r="30441" spans="1:3">
      <c r="A30441" s="571" t="s">
        <v>1068</v>
      </c>
      <c r="B30441" s="572">
        <v>28</v>
      </c>
      <c r="C30441" s="572">
        <v>539.1</v>
      </c>
    </row>
    <row r="30442" spans="1:3">
      <c r="A30442" s="571" t="s">
        <v>1068</v>
      </c>
      <c r="B30442" s="572">
        <v>42</v>
      </c>
      <c r="C30442" s="572">
        <v>603.29999999999995</v>
      </c>
    </row>
    <row r="30443" spans="1:3">
      <c r="A30443" s="571" t="s">
        <v>1068</v>
      </c>
      <c r="B30443" s="572">
        <v>56</v>
      </c>
      <c r="C30443" s="572">
        <v>662.7</v>
      </c>
    </row>
    <row r="30444" spans="1:3">
      <c r="A30444" s="571" t="s">
        <v>1068</v>
      </c>
      <c r="B30444" s="572">
        <v>91</v>
      </c>
      <c r="C30444" s="572">
        <v>743.4</v>
      </c>
    </row>
    <row r="30445" spans="1:3">
      <c r="A30445" s="573" t="s">
        <v>1068</v>
      </c>
      <c r="B30445" s="574">
        <v>182</v>
      </c>
      <c r="C30445" s="574">
        <v>790.8</v>
      </c>
    </row>
    <row r="30446" spans="1:3">
      <c r="A30446" s="573" t="s">
        <v>1068</v>
      </c>
      <c r="B30446" s="574">
        <v>364</v>
      </c>
      <c r="C30446" s="574">
        <v>811.9</v>
      </c>
    </row>
    <row r="30447" spans="1:3">
      <c r="A30447" s="571" t="s">
        <v>1067</v>
      </c>
      <c r="B30447" s="572">
        <v>1</v>
      </c>
      <c r="C30447" s="572">
        <v>42.9</v>
      </c>
    </row>
    <row r="30448" spans="1:3">
      <c r="A30448" s="571" t="s">
        <v>1067</v>
      </c>
      <c r="B30448" s="572">
        <v>3</v>
      </c>
      <c r="C30448" s="572">
        <v>75.8</v>
      </c>
    </row>
    <row r="30449" spans="1:3">
      <c r="A30449" s="571" t="s">
        <v>1067</v>
      </c>
      <c r="B30449" s="572">
        <v>5</v>
      </c>
      <c r="C30449" s="572">
        <v>106.5</v>
      </c>
    </row>
    <row r="30450" spans="1:3">
      <c r="A30450" s="571" t="s">
        <v>1067</v>
      </c>
      <c r="B30450" s="572">
        <v>7</v>
      </c>
      <c r="C30450" s="572">
        <v>144.4</v>
      </c>
    </row>
    <row r="30451" spans="1:3">
      <c r="A30451" s="571" t="s">
        <v>1067</v>
      </c>
      <c r="B30451" s="572">
        <v>14</v>
      </c>
      <c r="C30451" s="572">
        <v>279.89999999999998</v>
      </c>
    </row>
    <row r="30452" spans="1:3">
      <c r="A30452" s="571" t="s">
        <v>1067</v>
      </c>
      <c r="B30452" s="572">
        <v>28</v>
      </c>
      <c r="C30452" s="572">
        <v>446.3</v>
      </c>
    </row>
    <row r="30453" spans="1:3">
      <c r="A30453" s="571" t="s">
        <v>1067</v>
      </c>
      <c r="B30453" s="572">
        <v>42</v>
      </c>
      <c r="C30453" s="572">
        <v>584.20000000000005</v>
      </c>
    </row>
    <row r="30454" spans="1:3">
      <c r="A30454" s="571" t="s">
        <v>1067</v>
      </c>
      <c r="B30454" s="572">
        <v>56</v>
      </c>
      <c r="C30454" s="572">
        <v>603.1</v>
      </c>
    </row>
    <row r="30455" spans="1:3">
      <c r="A30455" s="571" t="s">
        <v>1067</v>
      </c>
      <c r="B30455" s="572">
        <v>91</v>
      </c>
      <c r="C30455" s="572">
        <v>686.3</v>
      </c>
    </row>
    <row r="30456" spans="1:3">
      <c r="A30456" s="573" t="s">
        <v>1067</v>
      </c>
      <c r="B30456" s="574">
        <v>182</v>
      </c>
      <c r="C30456" s="574">
        <v>707.4</v>
      </c>
    </row>
    <row r="30457" spans="1:3">
      <c r="A30457" s="573" t="s">
        <v>1067</v>
      </c>
      <c r="B30457" s="574">
        <v>364</v>
      </c>
      <c r="C30457" s="574">
        <v>735.7</v>
      </c>
    </row>
    <row r="30458" spans="1:3">
      <c r="A30458" s="571" t="s">
        <v>1066</v>
      </c>
      <c r="B30458" s="572">
        <v>1</v>
      </c>
      <c r="C30458" s="572">
        <v>152.4</v>
      </c>
    </row>
    <row r="30459" spans="1:3">
      <c r="A30459" s="571" t="s">
        <v>1066</v>
      </c>
      <c r="B30459" s="572">
        <v>3</v>
      </c>
      <c r="C30459" s="572">
        <v>244.8</v>
      </c>
    </row>
    <row r="30460" spans="1:3">
      <c r="A30460" s="571" t="s">
        <v>1066</v>
      </c>
      <c r="B30460" s="572">
        <v>5</v>
      </c>
      <c r="C30460" s="572">
        <v>282.7</v>
      </c>
    </row>
    <row r="30461" spans="1:3">
      <c r="A30461" s="571" t="s">
        <v>1066</v>
      </c>
      <c r="B30461" s="572">
        <v>7</v>
      </c>
      <c r="C30461" s="572">
        <v>318.3</v>
      </c>
    </row>
    <row r="30462" spans="1:3">
      <c r="A30462" s="571" t="s">
        <v>1066</v>
      </c>
      <c r="B30462" s="572">
        <v>14</v>
      </c>
      <c r="C30462" s="572">
        <v>463.2</v>
      </c>
    </row>
    <row r="30463" spans="1:3">
      <c r="A30463" s="571" t="s">
        <v>1066</v>
      </c>
      <c r="B30463" s="572">
        <v>28</v>
      </c>
      <c r="C30463" s="572">
        <v>558.20000000000005</v>
      </c>
    </row>
    <row r="30464" spans="1:3">
      <c r="A30464" s="571" t="s">
        <v>1066</v>
      </c>
      <c r="B30464" s="572">
        <v>42</v>
      </c>
      <c r="C30464" s="572">
        <v>624.70000000000005</v>
      </c>
    </row>
    <row r="30465" spans="1:3">
      <c r="A30465" s="571" t="s">
        <v>1066</v>
      </c>
      <c r="B30465" s="572">
        <v>56</v>
      </c>
      <c r="C30465" s="572">
        <v>665</v>
      </c>
    </row>
    <row r="30466" spans="1:3">
      <c r="A30466" s="571" t="s">
        <v>1066</v>
      </c>
      <c r="B30466" s="572">
        <v>91</v>
      </c>
      <c r="C30466" s="572">
        <v>717.2</v>
      </c>
    </row>
    <row r="30467" spans="1:3">
      <c r="A30467" s="573" t="s">
        <v>1066</v>
      </c>
      <c r="B30467" s="574">
        <v>182</v>
      </c>
      <c r="C30467" s="574">
        <v>740.8</v>
      </c>
    </row>
    <row r="30468" spans="1:3">
      <c r="A30468" s="573" t="s">
        <v>1066</v>
      </c>
      <c r="B30468" s="574">
        <v>364</v>
      </c>
      <c r="C30468" s="574">
        <v>797.6</v>
      </c>
    </row>
    <row r="30469" spans="1:3">
      <c r="A30469" s="571" t="s">
        <v>1064</v>
      </c>
      <c r="B30469" s="572">
        <v>1</v>
      </c>
      <c r="C30469" s="572">
        <v>140.5</v>
      </c>
    </row>
    <row r="30470" spans="1:3">
      <c r="A30470" s="571" t="s">
        <v>1064</v>
      </c>
      <c r="B30470" s="572">
        <v>3</v>
      </c>
      <c r="C30470" s="572">
        <v>166.2</v>
      </c>
    </row>
    <row r="30471" spans="1:3">
      <c r="A30471" s="571" t="s">
        <v>1064</v>
      </c>
      <c r="B30471" s="572">
        <v>5</v>
      </c>
      <c r="C30471" s="572">
        <v>216</v>
      </c>
    </row>
    <row r="30472" spans="1:3">
      <c r="A30472" s="571" t="s">
        <v>1064</v>
      </c>
      <c r="B30472" s="572">
        <v>7</v>
      </c>
      <c r="C30472" s="572">
        <v>261.10000000000002</v>
      </c>
    </row>
    <row r="30473" spans="1:3">
      <c r="A30473" s="571" t="s">
        <v>1064</v>
      </c>
      <c r="B30473" s="572">
        <v>14</v>
      </c>
      <c r="C30473" s="572">
        <v>437</v>
      </c>
    </row>
    <row r="30474" spans="1:3">
      <c r="A30474" s="571" t="s">
        <v>1064</v>
      </c>
      <c r="B30474" s="572">
        <v>28</v>
      </c>
      <c r="C30474" s="572">
        <v>532</v>
      </c>
    </row>
    <row r="30475" spans="1:3">
      <c r="A30475" s="571" t="s">
        <v>1064</v>
      </c>
      <c r="B30475" s="572">
        <v>42</v>
      </c>
      <c r="C30475" s="572">
        <v>596.1</v>
      </c>
    </row>
    <row r="30476" spans="1:3">
      <c r="A30476" s="571" t="s">
        <v>1064</v>
      </c>
      <c r="B30476" s="572">
        <v>56</v>
      </c>
      <c r="C30476" s="572">
        <v>660.3</v>
      </c>
    </row>
    <row r="30477" spans="1:3">
      <c r="A30477" s="571" t="s">
        <v>1064</v>
      </c>
      <c r="B30477" s="572">
        <v>91</v>
      </c>
      <c r="C30477" s="572">
        <v>691</v>
      </c>
    </row>
    <row r="30478" spans="1:3">
      <c r="A30478" s="573" t="s">
        <v>1064</v>
      </c>
      <c r="B30478" s="574">
        <v>182</v>
      </c>
      <c r="C30478" s="574">
        <v>714.6</v>
      </c>
    </row>
    <row r="30479" spans="1:3">
      <c r="A30479" s="573" t="s">
        <v>1064</v>
      </c>
      <c r="B30479" s="574">
        <v>364</v>
      </c>
      <c r="C30479" s="574">
        <v>747.6</v>
      </c>
    </row>
    <row r="30480" spans="1:3">
      <c r="A30480" s="571" t="s">
        <v>1062</v>
      </c>
      <c r="B30480" s="572">
        <v>1</v>
      </c>
      <c r="C30480" s="572">
        <v>90.7</v>
      </c>
    </row>
    <row r="30481" spans="1:3">
      <c r="A30481" s="571" t="s">
        <v>1062</v>
      </c>
      <c r="B30481" s="572">
        <v>3</v>
      </c>
      <c r="C30481" s="572">
        <v>187.9</v>
      </c>
    </row>
    <row r="30482" spans="1:3">
      <c r="A30482" s="571" t="s">
        <v>1062</v>
      </c>
      <c r="B30482" s="572">
        <v>5</v>
      </c>
      <c r="C30482" s="572">
        <v>242.3</v>
      </c>
    </row>
    <row r="30483" spans="1:3">
      <c r="A30483" s="571" t="s">
        <v>1062</v>
      </c>
      <c r="B30483" s="572">
        <v>7</v>
      </c>
      <c r="C30483" s="572">
        <v>284</v>
      </c>
    </row>
    <row r="30484" spans="1:3">
      <c r="A30484" s="571" t="s">
        <v>1062</v>
      </c>
      <c r="B30484" s="572">
        <v>14</v>
      </c>
      <c r="C30484" s="572">
        <v>348.7</v>
      </c>
    </row>
    <row r="30485" spans="1:3">
      <c r="A30485" s="571" t="s">
        <v>1062</v>
      </c>
      <c r="B30485" s="572">
        <v>28</v>
      </c>
      <c r="C30485" s="572">
        <v>422.8</v>
      </c>
    </row>
    <row r="30486" spans="1:3">
      <c r="A30486" s="571" t="s">
        <v>1062</v>
      </c>
      <c r="B30486" s="572">
        <v>42</v>
      </c>
      <c r="C30486" s="572">
        <v>467.3</v>
      </c>
    </row>
    <row r="30487" spans="1:3">
      <c r="A30487" s="571" t="s">
        <v>1062</v>
      </c>
      <c r="B30487" s="572">
        <v>56</v>
      </c>
      <c r="C30487" s="572">
        <v>494.6</v>
      </c>
    </row>
    <row r="30488" spans="1:3">
      <c r="A30488" s="571" t="s">
        <v>1062</v>
      </c>
      <c r="B30488" s="572">
        <v>91</v>
      </c>
      <c r="C30488" s="572">
        <v>563.29999999999995</v>
      </c>
    </row>
    <row r="30489" spans="1:3">
      <c r="A30489" s="573" t="s">
        <v>1062</v>
      </c>
      <c r="B30489" s="574">
        <v>182</v>
      </c>
      <c r="C30489" s="574">
        <v>606.4</v>
      </c>
    </row>
    <row r="30490" spans="1:3">
      <c r="A30490" s="573" t="s">
        <v>1062</v>
      </c>
      <c r="B30490" s="574">
        <v>364</v>
      </c>
      <c r="C30490" s="574">
        <v>620.9</v>
      </c>
    </row>
    <row r="30491" spans="1:3">
      <c r="A30491" s="571" t="s">
        <v>1061</v>
      </c>
      <c r="B30491" s="572">
        <v>1</v>
      </c>
      <c r="C30491" s="572">
        <v>45.4</v>
      </c>
    </row>
    <row r="30492" spans="1:3">
      <c r="A30492" s="571" t="s">
        <v>1061</v>
      </c>
      <c r="B30492" s="572">
        <v>3</v>
      </c>
      <c r="C30492" s="572">
        <v>118.6</v>
      </c>
    </row>
    <row r="30493" spans="1:3">
      <c r="A30493" s="571" t="s">
        <v>1061</v>
      </c>
      <c r="B30493" s="572">
        <v>5</v>
      </c>
      <c r="C30493" s="572">
        <v>177.7</v>
      </c>
    </row>
    <row r="30494" spans="1:3">
      <c r="A30494" s="571" t="s">
        <v>1061</v>
      </c>
      <c r="B30494" s="572">
        <v>7</v>
      </c>
      <c r="C30494" s="572">
        <v>224.4</v>
      </c>
    </row>
    <row r="30495" spans="1:3">
      <c r="A30495" s="571" t="s">
        <v>1061</v>
      </c>
      <c r="B30495" s="572">
        <v>14</v>
      </c>
      <c r="C30495" s="572">
        <v>305.7</v>
      </c>
    </row>
    <row r="30496" spans="1:3">
      <c r="A30496" s="571" t="s">
        <v>1061</v>
      </c>
      <c r="B30496" s="572">
        <v>28</v>
      </c>
      <c r="C30496" s="572">
        <v>346.4</v>
      </c>
    </row>
    <row r="30497" spans="1:3">
      <c r="A30497" s="571" t="s">
        <v>1061</v>
      </c>
      <c r="B30497" s="572">
        <v>42</v>
      </c>
      <c r="C30497" s="572">
        <v>433.9</v>
      </c>
    </row>
    <row r="30498" spans="1:3">
      <c r="A30498" s="571" t="s">
        <v>1061</v>
      </c>
      <c r="B30498" s="572">
        <v>56</v>
      </c>
      <c r="C30498" s="572">
        <v>446.9</v>
      </c>
    </row>
    <row r="30499" spans="1:3">
      <c r="A30499" s="571" t="s">
        <v>1061</v>
      </c>
      <c r="B30499" s="572">
        <v>91</v>
      </c>
      <c r="C30499" s="572">
        <v>501.3</v>
      </c>
    </row>
    <row r="30500" spans="1:3">
      <c r="A30500" s="573" t="s">
        <v>1061</v>
      </c>
      <c r="B30500" s="574">
        <v>182</v>
      </c>
      <c r="C30500" s="574">
        <v>558.70000000000005</v>
      </c>
    </row>
    <row r="30501" spans="1:3">
      <c r="A30501" s="573" t="s">
        <v>1061</v>
      </c>
      <c r="B30501" s="574">
        <v>364</v>
      </c>
      <c r="C30501" s="574">
        <v>582.70000000000005</v>
      </c>
    </row>
    <row r="30502" spans="1:3">
      <c r="A30502" s="571" t="s">
        <v>1060</v>
      </c>
      <c r="B30502" s="572">
        <v>1</v>
      </c>
      <c r="C30502" s="572">
        <v>38.200000000000003</v>
      </c>
    </row>
    <row r="30503" spans="1:3">
      <c r="A30503" s="571" t="s">
        <v>1060</v>
      </c>
      <c r="B30503" s="572">
        <v>3</v>
      </c>
      <c r="C30503" s="572">
        <v>97.1</v>
      </c>
    </row>
    <row r="30504" spans="1:3">
      <c r="A30504" s="571" t="s">
        <v>1060</v>
      </c>
      <c r="B30504" s="572">
        <v>5</v>
      </c>
      <c r="C30504" s="572">
        <v>144.30000000000001</v>
      </c>
    </row>
    <row r="30505" spans="1:3">
      <c r="A30505" s="571" t="s">
        <v>1060</v>
      </c>
      <c r="B30505" s="572">
        <v>7</v>
      </c>
      <c r="C30505" s="572">
        <v>171.8</v>
      </c>
    </row>
    <row r="30506" spans="1:3">
      <c r="A30506" s="571" t="s">
        <v>1060</v>
      </c>
      <c r="B30506" s="572">
        <v>14</v>
      </c>
      <c r="C30506" s="572">
        <v>248.4</v>
      </c>
    </row>
    <row r="30507" spans="1:3">
      <c r="A30507" s="571" t="s">
        <v>1060</v>
      </c>
      <c r="B30507" s="572">
        <v>28</v>
      </c>
      <c r="C30507" s="572">
        <v>296.3</v>
      </c>
    </row>
    <row r="30508" spans="1:3">
      <c r="A30508" s="571" t="s">
        <v>1060</v>
      </c>
      <c r="B30508" s="572">
        <v>42</v>
      </c>
      <c r="C30508" s="572">
        <v>367</v>
      </c>
    </row>
    <row r="30509" spans="1:3">
      <c r="A30509" s="571" t="s">
        <v>1060</v>
      </c>
      <c r="B30509" s="572">
        <v>56</v>
      </c>
      <c r="C30509" s="572">
        <v>411.1</v>
      </c>
    </row>
    <row r="30510" spans="1:3">
      <c r="A30510" s="571" t="s">
        <v>1060</v>
      </c>
      <c r="B30510" s="572">
        <v>91</v>
      </c>
      <c r="C30510" s="572">
        <v>412.9</v>
      </c>
    </row>
    <row r="30511" spans="1:3">
      <c r="A30511" s="573" t="s">
        <v>1060</v>
      </c>
      <c r="B30511" s="574">
        <v>182</v>
      </c>
      <c r="C30511" s="574">
        <v>448.8</v>
      </c>
    </row>
    <row r="30512" spans="1:3">
      <c r="A30512" s="573" t="s">
        <v>1060</v>
      </c>
      <c r="B30512" s="574">
        <v>364</v>
      </c>
      <c r="C30512" s="574">
        <v>501.5</v>
      </c>
    </row>
    <row r="30513" spans="1:3">
      <c r="A30513" s="571" t="s">
        <v>1059</v>
      </c>
      <c r="B30513" s="572">
        <v>1</v>
      </c>
      <c r="C30513" s="572">
        <v>33.4</v>
      </c>
    </row>
    <row r="30514" spans="1:3">
      <c r="A30514" s="571" t="s">
        <v>1059</v>
      </c>
      <c r="B30514" s="572">
        <v>3</v>
      </c>
      <c r="C30514" s="572">
        <v>116.2</v>
      </c>
    </row>
    <row r="30515" spans="1:3">
      <c r="A30515" s="571" t="s">
        <v>1059</v>
      </c>
      <c r="B30515" s="572">
        <v>5</v>
      </c>
      <c r="C30515" s="572">
        <v>170.6</v>
      </c>
    </row>
    <row r="30516" spans="1:3">
      <c r="A30516" s="571" t="s">
        <v>1059</v>
      </c>
      <c r="B30516" s="572">
        <v>7</v>
      </c>
      <c r="C30516" s="572">
        <v>203</v>
      </c>
    </row>
    <row r="30517" spans="1:3">
      <c r="A30517" s="571" t="s">
        <v>1059</v>
      </c>
      <c r="B30517" s="572">
        <v>14</v>
      </c>
      <c r="C30517" s="572">
        <v>281.8</v>
      </c>
    </row>
    <row r="30518" spans="1:3">
      <c r="A30518" s="571" t="s">
        <v>1059</v>
      </c>
      <c r="B30518" s="572">
        <v>28</v>
      </c>
      <c r="C30518" s="572">
        <v>339.3</v>
      </c>
    </row>
    <row r="30519" spans="1:3">
      <c r="A30519" s="571" t="s">
        <v>1059</v>
      </c>
      <c r="B30519" s="572">
        <v>42</v>
      </c>
      <c r="C30519" s="572">
        <v>390.9</v>
      </c>
    </row>
    <row r="30520" spans="1:3">
      <c r="A30520" s="571" t="s">
        <v>1059</v>
      </c>
      <c r="B30520" s="572">
        <v>56</v>
      </c>
      <c r="C30520" s="572">
        <v>432.5</v>
      </c>
    </row>
    <row r="30521" spans="1:3">
      <c r="A30521" s="571" t="s">
        <v>1059</v>
      </c>
      <c r="B30521" s="572">
        <v>91</v>
      </c>
      <c r="C30521" s="572">
        <v>448.7</v>
      </c>
    </row>
    <row r="30522" spans="1:3">
      <c r="A30522" s="573" t="s">
        <v>1059</v>
      </c>
      <c r="B30522" s="574">
        <v>182</v>
      </c>
      <c r="C30522" s="574">
        <v>487.1</v>
      </c>
    </row>
    <row r="30523" spans="1:3">
      <c r="A30523" s="573" t="s">
        <v>1059</v>
      </c>
      <c r="B30523" s="574">
        <v>364</v>
      </c>
      <c r="C30523" s="574">
        <v>544.5</v>
      </c>
    </row>
    <row r="30524" spans="1:3">
      <c r="A30524" s="571" t="s">
        <v>1058</v>
      </c>
      <c r="B30524" s="572">
        <v>1</v>
      </c>
      <c r="C30524" s="572">
        <v>69.099999999999994</v>
      </c>
    </row>
    <row r="30525" spans="1:3">
      <c r="A30525" s="571" t="s">
        <v>1058</v>
      </c>
      <c r="B30525" s="572">
        <v>3</v>
      </c>
      <c r="C30525" s="572">
        <v>164</v>
      </c>
    </row>
    <row r="30526" spans="1:3">
      <c r="A30526" s="571" t="s">
        <v>1058</v>
      </c>
      <c r="B30526" s="572">
        <v>5</v>
      </c>
      <c r="C30526" s="572">
        <v>241.3</v>
      </c>
    </row>
    <row r="30527" spans="1:3">
      <c r="A30527" s="571" t="s">
        <v>1058</v>
      </c>
      <c r="B30527" s="572">
        <v>7</v>
      </c>
      <c r="C30527" s="572">
        <v>288.10000000000002</v>
      </c>
    </row>
    <row r="30528" spans="1:3">
      <c r="A30528" s="571" t="s">
        <v>1058</v>
      </c>
      <c r="B30528" s="572">
        <v>14</v>
      </c>
      <c r="C30528" s="572">
        <v>367.4</v>
      </c>
    </row>
    <row r="30529" spans="1:3">
      <c r="A30529" s="571" t="s">
        <v>1058</v>
      </c>
      <c r="B30529" s="572">
        <v>28</v>
      </c>
      <c r="C30529" s="572">
        <v>425.2</v>
      </c>
    </row>
    <row r="30530" spans="1:3">
      <c r="A30530" s="571" t="s">
        <v>1058</v>
      </c>
      <c r="B30530" s="572">
        <v>42</v>
      </c>
      <c r="C30530" s="572">
        <v>457.6</v>
      </c>
    </row>
    <row r="30531" spans="1:3">
      <c r="A30531" s="571" t="s">
        <v>1058</v>
      </c>
      <c r="B30531" s="572">
        <v>56</v>
      </c>
      <c r="C30531" s="572">
        <v>495</v>
      </c>
    </row>
    <row r="30532" spans="1:3">
      <c r="A30532" s="571" t="s">
        <v>1058</v>
      </c>
      <c r="B30532" s="572">
        <v>91</v>
      </c>
      <c r="C30532" s="572">
        <v>558.20000000000005</v>
      </c>
    </row>
    <row r="30533" spans="1:3">
      <c r="A30533" s="573" t="s">
        <v>1058</v>
      </c>
      <c r="B30533" s="574">
        <v>182</v>
      </c>
      <c r="C30533" s="574">
        <v>604.1</v>
      </c>
    </row>
    <row r="30534" spans="1:3">
      <c r="A30534" s="573" t="s">
        <v>1058</v>
      </c>
      <c r="B30534" s="574">
        <v>364</v>
      </c>
      <c r="C30534" s="574">
        <v>621.5</v>
      </c>
    </row>
    <row r="30535" spans="1:3">
      <c r="A30535" s="571" t="s">
        <v>1057</v>
      </c>
      <c r="B30535" s="572">
        <v>1</v>
      </c>
      <c r="C30535" s="572">
        <v>157.19999999999999</v>
      </c>
    </row>
    <row r="30536" spans="1:3">
      <c r="A30536" s="571" t="s">
        <v>1057</v>
      </c>
      <c r="B30536" s="572">
        <v>3</v>
      </c>
      <c r="C30536" s="572">
        <v>237.8</v>
      </c>
    </row>
    <row r="30537" spans="1:3">
      <c r="A30537" s="571" t="s">
        <v>1057</v>
      </c>
      <c r="B30537" s="572">
        <v>5</v>
      </c>
      <c r="C30537" s="572">
        <v>300.89999999999998</v>
      </c>
    </row>
    <row r="30538" spans="1:3">
      <c r="A30538" s="571" t="s">
        <v>1057</v>
      </c>
      <c r="B30538" s="572">
        <v>7</v>
      </c>
      <c r="C30538" s="572">
        <v>331</v>
      </c>
    </row>
    <row r="30539" spans="1:3">
      <c r="A30539" s="571" t="s">
        <v>1057</v>
      </c>
      <c r="B30539" s="572">
        <v>14</v>
      </c>
      <c r="C30539" s="572">
        <v>431.7</v>
      </c>
    </row>
    <row r="30540" spans="1:3">
      <c r="A30540" s="571" t="s">
        <v>1057</v>
      </c>
      <c r="B30540" s="572">
        <v>28</v>
      </c>
      <c r="C30540" s="572">
        <v>496.7</v>
      </c>
    </row>
    <row r="30541" spans="1:3">
      <c r="A30541" s="571" t="s">
        <v>1057</v>
      </c>
      <c r="B30541" s="572">
        <v>42</v>
      </c>
      <c r="C30541" s="572">
        <v>524.29999999999995</v>
      </c>
    </row>
    <row r="30542" spans="1:3">
      <c r="A30542" s="571" t="s">
        <v>1057</v>
      </c>
      <c r="B30542" s="572">
        <v>56</v>
      </c>
      <c r="C30542" s="572">
        <v>540.20000000000005</v>
      </c>
    </row>
    <row r="30543" spans="1:3">
      <c r="A30543" s="571" t="s">
        <v>1057</v>
      </c>
      <c r="B30543" s="572">
        <v>91</v>
      </c>
      <c r="C30543" s="572">
        <v>608.1</v>
      </c>
    </row>
    <row r="30544" spans="1:3">
      <c r="A30544" s="573" t="s">
        <v>1057</v>
      </c>
      <c r="B30544" s="574">
        <v>182</v>
      </c>
      <c r="C30544" s="574">
        <v>630.20000000000005</v>
      </c>
    </row>
    <row r="30545" spans="1:3">
      <c r="A30545" s="573" t="s">
        <v>1057</v>
      </c>
      <c r="B30545" s="574">
        <v>364</v>
      </c>
      <c r="C30545" s="574">
        <v>640.5</v>
      </c>
    </row>
    <row r="30546" spans="1:3">
      <c r="A30546" s="571" t="s">
        <v>1056</v>
      </c>
      <c r="B30546" s="572">
        <v>1</v>
      </c>
      <c r="C30546" s="572">
        <v>140.5</v>
      </c>
    </row>
    <row r="30547" spans="1:3">
      <c r="A30547" s="571" t="s">
        <v>1056</v>
      </c>
      <c r="B30547" s="572">
        <v>3</v>
      </c>
      <c r="C30547" s="572">
        <v>214</v>
      </c>
    </row>
    <row r="30548" spans="1:3">
      <c r="A30548" s="571" t="s">
        <v>1056</v>
      </c>
      <c r="B30548" s="572">
        <v>5</v>
      </c>
      <c r="C30548" s="572">
        <v>286.60000000000002</v>
      </c>
    </row>
    <row r="30549" spans="1:3">
      <c r="A30549" s="571" t="s">
        <v>1056</v>
      </c>
      <c r="B30549" s="572">
        <v>7</v>
      </c>
      <c r="C30549" s="572">
        <v>331</v>
      </c>
    </row>
    <row r="30550" spans="1:3">
      <c r="A30550" s="571" t="s">
        <v>1056</v>
      </c>
      <c r="B30550" s="572">
        <v>14</v>
      </c>
      <c r="C30550" s="572">
        <v>391.2</v>
      </c>
    </row>
    <row r="30551" spans="1:3">
      <c r="A30551" s="571" t="s">
        <v>1056</v>
      </c>
      <c r="B30551" s="572">
        <v>28</v>
      </c>
      <c r="C30551" s="572">
        <v>456.2</v>
      </c>
    </row>
    <row r="30552" spans="1:3">
      <c r="A30552" s="571" t="s">
        <v>1056</v>
      </c>
      <c r="B30552" s="572">
        <v>42</v>
      </c>
      <c r="C30552" s="572">
        <v>514.79999999999995</v>
      </c>
    </row>
    <row r="30553" spans="1:3">
      <c r="A30553" s="571" t="s">
        <v>1056</v>
      </c>
      <c r="B30553" s="572">
        <v>56</v>
      </c>
      <c r="C30553" s="572">
        <v>542.6</v>
      </c>
    </row>
    <row r="30554" spans="1:3">
      <c r="A30554" s="571" t="s">
        <v>1056</v>
      </c>
      <c r="B30554" s="572">
        <v>91</v>
      </c>
      <c r="C30554" s="572">
        <v>591.4</v>
      </c>
    </row>
    <row r="30555" spans="1:3">
      <c r="A30555" s="573" t="s">
        <v>1056</v>
      </c>
      <c r="B30555" s="574">
        <v>182</v>
      </c>
      <c r="C30555" s="574">
        <v>630.29999999999995</v>
      </c>
    </row>
    <row r="30556" spans="1:3">
      <c r="A30556" s="573" t="s">
        <v>1056</v>
      </c>
      <c r="B30556" s="574">
        <v>364</v>
      </c>
      <c r="C30556" s="574">
        <v>678.6</v>
      </c>
    </row>
    <row r="30557" spans="1:3">
      <c r="A30557" s="571" t="s">
        <v>1055</v>
      </c>
      <c r="B30557" s="572">
        <v>1</v>
      </c>
      <c r="C30557" s="572">
        <v>135.80000000000001</v>
      </c>
    </row>
    <row r="30558" spans="1:3">
      <c r="A30558" s="571" t="s">
        <v>1055</v>
      </c>
      <c r="B30558" s="572">
        <v>3</v>
      </c>
      <c r="C30558" s="572">
        <v>242.6</v>
      </c>
    </row>
    <row r="30559" spans="1:3">
      <c r="A30559" s="571" t="s">
        <v>1055</v>
      </c>
      <c r="B30559" s="572">
        <v>5</v>
      </c>
      <c r="C30559" s="572">
        <v>293.7</v>
      </c>
    </row>
    <row r="30560" spans="1:3">
      <c r="A30560" s="571" t="s">
        <v>1055</v>
      </c>
      <c r="B30560" s="572">
        <v>7</v>
      </c>
      <c r="C30560" s="572">
        <v>328.6</v>
      </c>
    </row>
    <row r="30561" spans="1:3">
      <c r="A30561" s="571" t="s">
        <v>1055</v>
      </c>
      <c r="B30561" s="572">
        <v>14</v>
      </c>
      <c r="C30561" s="572">
        <v>441.2</v>
      </c>
    </row>
    <row r="30562" spans="1:3">
      <c r="A30562" s="571" t="s">
        <v>1055</v>
      </c>
      <c r="B30562" s="572">
        <v>28</v>
      </c>
      <c r="C30562" s="572">
        <v>494.4</v>
      </c>
    </row>
    <row r="30563" spans="1:3">
      <c r="A30563" s="571" t="s">
        <v>1055</v>
      </c>
      <c r="B30563" s="572">
        <v>42</v>
      </c>
      <c r="C30563" s="572">
        <v>521.9</v>
      </c>
    </row>
    <row r="30564" spans="1:3">
      <c r="A30564" s="571" t="s">
        <v>1055</v>
      </c>
      <c r="B30564" s="572">
        <v>56</v>
      </c>
      <c r="C30564" s="572">
        <v>542.6</v>
      </c>
    </row>
    <row r="30565" spans="1:3">
      <c r="A30565" s="571" t="s">
        <v>1055</v>
      </c>
      <c r="B30565" s="572">
        <v>91</v>
      </c>
      <c r="C30565" s="572">
        <v>577.20000000000005</v>
      </c>
    </row>
    <row r="30566" spans="1:3">
      <c r="A30566" s="573" t="s">
        <v>1055</v>
      </c>
      <c r="B30566" s="574">
        <v>182</v>
      </c>
      <c r="C30566" s="574">
        <v>582.70000000000005</v>
      </c>
    </row>
    <row r="30567" spans="1:3">
      <c r="A30567" s="573" t="s">
        <v>1055</v>
      </c>
      <c r="B30567" s="574">
        <v>364</v>
      </c>
      <c r="C30567" s="574">
        <v>621.4</v>
      </c>
    </row>
    <row r="30568" spans="1:3">
      <c r="A30568" s="571" t="s">
        <v>1054</v>
      </c>
      <c r="B30568" s="572">
        <v>1</v>
      </c>
      <c r="C30568" s="572">
        <v>20</v>
      </c>
    </row>
    <row r="30569" spans="1:3">
      <c r="A30569" s="571" t="s">
        <v>1054</v>
      </c>
      <c r="B30569" s="572">
        <v>2</v>
      </c>
      <c r="C30569" s="572">
        <v>90</v>
      </c>
    </row>
    <row r="30570" spans="1:3">
      <c r="A30570" s="571" t="s">
        <v>1054</v>
      </c>
      <c r="B30570" s="572">
        <v>3</v>
      </c>
      <c r="C30570" s="572">
        <v>120</v>
      </c>
    </row>
    <row r="30571" spans="1:3">
      <c r="A30571" s="571" t="s">
        <v>1054</v>
      </c>
      <c r="B30571" s="572">
        <v>4</v>
      </c>
      <c r="C30571" s="572">
        <v>150</v>
      </c>
    </row>
    <row r="30572" spans="1:3">
      <c r="A30572" s="571" t="s">
        <v>1054</v>
      </c>
      <c r="B30572" s="572">
        <v>5</v>
      </c>
      <c r="C30572" s="572">
        <v>170</v>
      </c>
    </row>
    <row r="30573" spans="1:3">
      <c r="A30573" s="571" t="s">
        <v>1054</v>
      </c>
      <c r="B30573" s="572">
        <v>6</v>
      </c>
      <c r="C30573" s="572">
        <v>190</v>
      </c>
    </row>
    <row r="30574" spans="1:3">
      <c r="A30574" s="571" t="s">
        <v>1054</v>
      </c>
      <c r="B30574" s="572">
        <v>7</v>
      </c>
      <c r="C30574" s="572">
        <v>200</v>
      </c>
    </row>
    <row r="30575" spans="1:3">
      <c r="A30575" s="571" t="s">
        <v>1054</v>
      </c>
      <c r="B30575" s="572">
        <v>8</v>
      </c>
      <c r="C30575" s="572">
        <v>220.00000000000003</v>
      </c>
    </row>
    <row r="30576" spans="1:3">
      <c r="A30576" s="571" t="s">
        <v>1054</v>
      </c>
      <c r="B30576" s="572">
        <v>10</v>
      </c>
      <c r="C30576" s="572">
        <v>240</v>
      </c>
    </row>
    <row r="30577" spans="1:3">
      <c r="A30577" s="571" t="s">
        <v>1054</v>
      </c>
      <c r="B30577" s="572">
        <v>12</v>
      </c>
      <c r="C30577" s="572">
        <v>250</v>
      </c>
    </row>
    <row r="30578" spans="1:3">
      <c r="A30578" s="571" t="s">
        <v>1054</v>
      </c>
      <c r="B30578" s="572">
        <v>14</v>
      </c>
      <c r="C30578" s="572">
        <v>270</v>
      </c>
    </row>
    <row r="30579" spans="1:3">
      <c r="A30579" s="571" t="s">
        <v>1054</v>
      </c>
      <c r="B30579" s="572">
        <v>21</v>
      </c>
      <c r="C30579" s="572">
        <v>320</v>
      </c>
    </row>
    <row r="30580" spans="1:3">
      <c r="A30580" s="571" t="s">
        <v>1054</v>
      </c>
      <c r="B30580" s="572">
        <v>28</v>
      </c>
      <c r="C30580" s="572">
        <v>360</v>
      </c>
    </row>
    <row r="30581" spans="1:3">
      <c r="A30581" s="571" t="s">
        <v>1054</v>
      </c>
      <c r="B30581" s="572">
        <v>35</v>
      </c>
      <c r="C30581" s="572">
        <v>380</v>
      </c>
    </row>
    <row r="30582" spans="1:3">
      <c r="A30582" s="571" t="s">
        <v>1054</v>
      </c>
      <c r="B30582" s="572">
        <v>42</v>
      </c>
      <c r="C30582" s="572">
        <v>409.99999999999994</v>
      </c>
    </row>
    <row r="30583" spans="1:3">
      <c r="A30583" s="571" t="s">
        <v>1054</v>
      </c>
      <c r="B30583" s="572">
        <v>49</v>
      </c>
      <c r="C30583" s="572">
        <v>430</v>
      </c>
    </row>
    <row r="30584" spans="1:3">
      <c r="A30584" s="571" t="s">
        <v>1054</v>
      </c>
      <c r="B30584" s="572">
        <v>56</v>
      </c>
      <c r="C30584" s="572">
        <v>440.00000000000006</v>
      </c>
    </row>
    <row r="30585" spans="1:3">
      <c r="A30585" s="571" t="s">
        <v>1054</v>
      </c>
      <c r="B30585" s="572">
        <v>70</v>
      </c>
      <c r="C30585" s="572">
        <v>459.99999999999994</v>
      </c>
    </row>
    <row r="30586" spans="1:3">
      <c r="A30586" s="571" t="s">
        <v>1054</v>
      </c>
      <c r="B30586" s="572">
        <v>84</v>
      </c>
      <c r="C30586" s="572">
        <v>490.00000000000006</v>
      </c>
    </row>
    <row r="30587" spans="1:3">
      <c r="A30587" s="571" t="s">
        <v>1054</v>
      </c>
      <c r="B30587" s="572">
        <v>90</v>
      </c>
      <c r="C30587" s="572">
        <v>500</v>
      </c>
    </row>
    <row r="30588" spans="1:3">
      <c r="A30588" s="571" t="s">
        <v>1054</v>
      </c>
      <c r="B30588" s="572">
        <v>98</v>
      </c>
      <c r="C30588" s="572">
        <v>500</v>
      </c>
    </row>
    <row r="30589" spans="1:3">
      <c r="A30589" s="573" t="s">
        <v>1054</v>
      </c>
      <c r="B30589" s="574">
        <v>100</v>
      </c>
      <c r="C30589" s="574">
        <v>500</v>
      </c>
    </row>
    <row r="30590" spans="1:3">
      <c r="A30590" s="573" t="s">
        <v>1054</v>
      </c>
      <c r="B30590" s="574">
        <v>120</v>
      </c>
      <c r="C30590" s="574">
        <v>520</v>
      </c>
    </row>
    <row r="30591" spans="1:3">
      <c r="A30591" s="573" t="s">
        <v>1054</v>
      </c>
      <c r="B30591" s="574">
        <v>128</v>
      </c>
      <c r="C30591" s="574">
        <v>520</v>
      </c>
    </row>
    <row r="30592" spans="1:3">
      <c r="A30592" s="573" t="s">
        <v>1054</v>
      </c>
      <c r="B30592" s="574">
        <v>150</v>
      </c>
      <c r="C30592" s="574">
        <v>540</v>
      </c>
    </row>
    <row r="30593" spans="1:3">
      <c r="A30593" s="573" t="s">
        <v>1054</v>
      </c>
      <c r="B30593" s="574">
        <v>156</v>
      </c>
      <c r="C30593" s="574">
        <v>550</v>
      </c>
    </row>
    <row r="30594" spans="1:3">
      <c r="A30594" s="573" t="s">
        <v>1054</v>
      </c>
      <c r="B30594" s="574">
        <v>175</v>
      </c>
      <c r="C30594" s="574">
        <v>560</v>
      </c>
    </row>
    <row r="30595" spans="1:3">
      <c r="A30595" s="571" t="s">
        <v>1053</v>
      </c>
      <c r="B30595" s="572">
        <v>1</v>
      </c>
      <c r="C30595" s="572">
        <v>10</v>
      </c>
    </row>
    <row r="30596" spans="1:3">
      <c r="A30596" s="571" t="s">
        <v>1053</v>
      </c>
      <c r="B30596" s="572">
        <v>2</v>
      </c>
      <c r="C30596" s="572">
        <v>50</v>
      </c>
    </row>
    <row r="30597" spans="1:3">
      <c r="A30597" s="571" t="s">
        <v>1053</v>
      </c>
      <c r="B30597" s="572">
        <v>3</v>
      </c>
      <c r="C30597" s="572">
        <v>70</v>
      </c>
    </row>
    <row r="30598" spans="1:3">
      <c r="A30598" s="571" t="s">
        <v>1053</v>
      </c>
      <c r="B30598" s="572">
        <v>4</v>
      </c>
      <c r="C30598" s="572">
        <v>80</v>
      </c>
    </row>
    <row r="30599" spans="1:3">
      <c r="A30599" s="571" t="s">
        <v>1053</v>
      </c>
      <c r="B30599" s="572">
        <v>5</v>
      </c>
      <c r="C30599" s="572">
        <v>90</v>
      </c>
    </row>
    <row r="30600" spans="1:3">
      <c r="A30600" s="571" t="s">
        <v>1053</v>
      </c>
      <c r="B30600" s="572">
        <v>6</v>
      </c>
      <c r="C30600" s="572">
        <v>100</v>
      </c>
    </row>
    <row r="30601" spans="1:3">
      <c r="A30601" s="571" t="s">
        <v>1053</v>
      </c>
      <c r="B30601" s="572">
        <v>7</v>
      </c>
      <c r="C30601" s="572">
        <v>100</v>
      </c>
    </row>
    <row r="30602" spans="1:3">
      <c r="A30602" s="571" t="s">
        <v>1053</v>
      </c>
      <c r="B30602" s="572">
        <v>8</v>
      </c>
      <c r="C30602" s="572">
        <v>110.00000000000001</v>
      </c>
    </row>
    <row r="30603" spans="1:3">
      <c r="A30603" s="571" t="s">
        <v>1053</v>
      </c>
      <c r="B30603" s="572">
        <v>10</v>
      </c>
      <c r="C30603" s="572">
        <v>120</v>
      </c>
    </row>
    <row r="30604" spans="1:3">
      <c r="A30604" s="571" t="s">
        <v>1053</v>
      </c>
      <c r="B30604" s="572">
        <v>12</v>
      </c>
      <c r="C30604" s="572">
        <v>130</v>
      </c>
    </row>
    <row r="30605" spans="1:3">
      <c r="A30605" s="571" t="s">
        <v>1053</v>
      </c>
      <c r="B30605" s="572">
        <v>14</v>
      </c>
      <c r="C30605" s="572">
        <v>140</v>
      </c>
    </row>
    <row r="30606" spans="1:3">
      <c r="A30606" s="571" t="s">
        <v>1053</v>
      </c>
      <c r="B30606" s="572">
        <v>21</v>
      </c>
      <c r="C30606" s="572">
        <v>170</v>
      </c>
    </row>
    <row r="30607" spans="1:3">
      <c r="A30607" s="571" t="s">
        <v>1053</v>
      </c>
      <c r="B30607" s="572">
        <v>28</v>
      </c>
      <c r="C30607" s="572">
        <v>190</v>
      </c>
    </row>
    <row r="30608" spans="1:3">
      <c r="A30608" s="571" t="s">
        <v>1053</v>
      </c>
      <c r="B30608" s="572">
        <v>35</v>
      </c>
      <c r="C30608" s="572">
        <v>220.00000000000003</v>
      </c>
    </row>
    <row r="30609" spans="1:3">
      <c r="A30609" s="571" t="s">
        <v>1053</v>
      </c>
      <c r="B30609" s="572">
        <v>42</v>
      </c>
      <c r="C30609" s="572">
        <v>240</v>
      </c>
    </row>
    <row r="30610" spans="1:3">
      <c r="A30610" s="571" t="s">
        <v>1053</v>
      </c>
      <c r="B30610" s="572">
        <v>49</v>
      </c>
      <c r="C30610" s="572">
        <v>260</v>
      </c>
    </row>
    <row r="30611" spans="1:3">
      <c r="A30611" s="571" t="s">
        <v>1053</v>
      </c>
      <c r="B30611" s="572">
        <v>56</v>
      </c>
      <c r="C30611" s="572">
        <v>270</v>
      </c>
    </row>
    <row r="30612" spans="1:3">
      <c r="A30612" s="571" t="s">
        <v>1053</v>
      </c>
      <c r="B30612" s="572">
        <v>70</v>
      </c>
      <c r="C30612" s="572">
        <v>290</v>
      </c>
    </row>
    <row r="30613" spans="1:3">
      <c r="A30613" s="571" t="s">
        <v>1053</v>
      </c>
      <c r="B30613" s="572">
        <v>84</v>
      </c>
      <c r="C30613" s="572">
        <v>310</v>
      </c>
    </row>
    <row r="30614" spans="1:3">
      <c r="A30614" s="571" t="s">
        <v>1053</v>
      </c>
      <c r="B30614" s="572">
        <v>90</v>
      </c>
      <c r="C30614" s="572">
        <v>320</v>
      </c>
    </row>
    <row r="30615" spans="1:3">
      <c r="A30615" s="571" t="s">
        <v>1053</v>
      </c>
      <c r="B30615" s="572">
        <v>98</v>
      </c>
      <c r="C30615" s="572">
        <v>320</v>
      </c>
    </row>
    <row r="30616" spans="1:3">
      <c r="A30616" s="573" t="s">
        <v>1053</v>
      </c>
      <c r="B30616" s="574">
        <v>100</v>
      </c>
      <c r="C30616" s="574">
        <v>330</v>
      </c>
    </row>
    <row r="30617" spans="1:3">
      <c r="A30617" s="573" t="s">
        <v>1053</v>
      </c>
      <c r="B30617" s="574">
        <v>120</v>
      </c>
      <c r="C30617" s="574">
        <v>350</v>
      </c>
    </row>
    <row r="30618" spans="1:3">
      <c r="A30618" s="573" t="s">
        <v>1053</v>
      </c>
      <c r="B30618" s="574">
        <v>128</v>
      </c>
      <c r="C30618" s="574">
        <v>350</v>
      </c>
    </row>
    <row r="30619" spans="1:3">
      <c r="A30619" s="573" t="s">
        <v>1053</v>
      </c>
      <c r="B30619" s="574">
        <v>150</v>
      </c>
      <c r="C30619" s="574">
        <v>380</v>
      </c>
    </row>
    <row r="30620" spans="1:3">
      <c r="A30620" s="573" t="s">
        <v>1053</v>
      </c>
      <c r="B30620" s="574">
        <v>156</v>
      </c>
      <c r="C30620" s="574">
        <v>380</v>
      </c>
    </row>
    <row r="30621" spans="1:3">
      <c r="A30621" s="573" t="s">
        <v>1053</v>
      </c>
      <c r="B30621" s="574">
        <v>175</v>
      </c>
      <c r="C30621" s="574">
        <v>390</v>
      </c>
    </row>
    <row r="30622" spans="1:3">
      <c r="A30622" s="571" t="s">
        <v>1052</v>
      </c>
      <c r="B30622" s="572">
        <v>1</v>
      </c>
      <c r="C30622" s="572">
        <v>100</v>
      </c>
    </row>
    <row r="30623" spans="1:3">
      <c r="A30623" s="571" t="s">
        <v>1052</v>
      </c>
      <c r="B30623" s="572">
        <v>2</v>
      </c>
      <c r="C30623" s="572">
        <v>150</v>
      </c>
    </row>
    <row r="30624" spans="1:3">
      <c r="A30624" s="571" t="s">
        <v>1052</v>
      </c>
      <c r="B30624" s="572">
        <v>3</v>
      </c>
      <c r="C30624" s="572">
        <v>190</v>
      </c>
    </row>
    <row r="30625" spans="1:3">
      <c r="A30625" s="571" t="s">
        <v>1052</v>
      </c>
      <c r="B30625" s="572">
        <v>4</v>
      </c>
      <c r="C30625" s="572">
        <v>220.00000000000003</v>
      </c>
    </row>
    <row r="30626" spans="1:3">
      <c r="A30626" s="571" t="s">
        <v>1052</v>
      </c>
      <c r="B30626" s="572">
        <v>5</v>
      </c>
      <c r="C30626" s="572">
        <v>260</v>
      </c>
    </row>
    <row r="30627" spans="1:3">
      <c r="A30627" s="571" t="s">
        <v>1052</v>
      </c>
      <c r="B30627" s="572">
        <v>6</v>
      </c>
      <c r="C30627" s="572">
        <v>290</v>
      </c>
    </row>
    <row r="30628" spans="1:3">
      <c r="A30628" s="571" t="s">
        <v>1052</v>
      </c>
      <c r="B30628" s="572">
        <v>7</v>
      </c>
      <c r="C30628" s="572">
        <v>300</v>
      </c>
    </row>
    <row r="30629" spans="1:3">
      <c r="A30629" s="571" t="s">
        <v>1052</v>
      </c>
      <c r="B30629" s="572">
        <v>8</v>
      </c>
      <c r="C30629" s="572">
        <v>310</v>
      </c>
    </row>
    <row r="30630" spans="1:3">
      <c r="A30630" s="571" t="s">
        <v>1052</v>
      </c>
      <c r="B30630" s="572">
        <v>10</v>
      </c>
      <c r="C30630" s="572">
        <v>330</v>
      </c>
    </row>
    <row r="30631" spans="1:3">
      <c r="A30631" s="571" t="s">
        <v>1052</v>
      </c>
      <c r="B30631" s="572">
        <v>12</v>
      </c>
      <c r="C30631" s="572">
        <v>360</v>
      </c>
    </row>
    <row r="30632" spans="1:3">
      <c r="A30632" s="571" t="s">
        <v>1052</v>
      </c>
      <c r="B30632" s="572">
        <v>14</v>
      </c>
      <c r="C30632" s="572">
        <v>380</v>
      </c>
    </row>
    <row r="30633" spans="1:3">
      <c r="A30633" s="571" t="s">
        <v>1052</v>
      </c>
      <c r="B30633" s="572">
        <v>21</v>
      </c>
      <c r="C30633" s="572">
        <v>430</v>
      </c>
    </row>
    <row r="30634" spans="1:3">
      <c r="A30634" s="571" t="s">
        <v>1052</v>
      </c>
      <c r="B30634" s="572">
        <v>28</v>
      </c>
      <c r="C30634" s="572">
        <v>480</v>
      </c>
    </row>
    <row r="30635" spans="1:3">
      <c r="A30635" s="571" t="s">
        <v>1052</v>
      </c>
      <c r="B30635" s="572">
        <v>35</v>
      </c>
      <c r="C30635" s="572">
        <v>509.99999999999994</v>
      </c>
    </row>
    <row r="30636" spans="1:3">
      <c r="A30636" s="571" t="s">
        <v>1052</v>
      </c>
      <c r="B30636" s="572">
        <v>42</v>
      </c>
      <c r="C30636" s="572">
        <v>530</v>
      </c>
    </row>
    <row r="30637" spans="1:3">
      <c r="A30637" s="571" t="s">
        <v>1052</v>
      </c>
      <c r="B30637" s="572">
        <v>49</v>
      </c>
      <c r="C30637" s="572">
        <v>550</v>
      </c>
    </row>
    <row r="30638" spans="1:3">
      <c r="A30638" s="571" t="s">
        <v>1052</v>
      </c>
      <c r="B30638" s="572">
        <v>56</v>
      </c>
      <c r="C30638" s="572">
        <v>570</v>
      </c>
    </row>
    <row r="30639" spans="1:3">
      <c r="A30639" s="571" t="s">
        <v>1052</v>
      </c>
      <c r="B30639" s="572">
        <v>70</v>
      </c>
      <c r="C30639" s="572">
        <v>600</v>
      </c>
    </row>
    <row r="30640" spans="1:3">
      <c r="A30640" s="571" t="s">
        <v>1052</v>
      </c>
      <c r="B30640" s="572">
        <v>84</v>
      </c>
      <c r="C30640" s="572">
        <v>620</v>
      </c>
    </row>
    <row r="30641" spans="1:3">
      <c r="A30641" s="571" t="s">
        <v>1052</v>
      </c>
      <c r="B30641" s="572">
        <v>90</v>
      </c>
      <c r="C30641" s="572">
        <v>630</v>
      </c>
    </row>
    <row r="30642" spans="1:3">
      <c r="A30642" s="571" t="s">
        <v>1052</v>
      </c>
      <c r="B30642" s="572">
        <v>98</v>
      </c>
      <c r="C30642" s="572">
        <v>640</v>
      </c>
    </row>
    <row r="30643" spans="1:3">
      <c r="A30643" s="573" t="s">
        <v>1052</v>
      </c>
      <c r="B30643" s="574">
        <v>100</v>
      </c>
      <c r="C30643" s="574">
        <v>640</v>
      </c>
    </row>
    <row r="30644" spans="1:3">
      <c r="A30644" s="573" t="s">
        <v>1052</v>
      </c>
      <c r="B30644" s="574">
        <v>120</v>
      </c>
      <c r="C30644" s="574">
        <v>660</v>
      </c>
    </row>
    <row r="30645" spans="1:3">
      <c r="A30645" s="573" t="s">
        <v>1052</v>
      </c>
      <c r="B30645" s="574">
        <v>128</v>
      </c>
      <c r="C30645" s="574">
        <v>670</v>
      </c>
    </row>
    <row r="30646" spans="1:3">
      <c r="A30646" s="573" t="s">
        <v>1052</v>
      </c>
      <c r="B30646" s="574">
        <v>150</v>
      </c>
      <c r="C30646" s="574">
        <v>700</v>
      </c>
    </row>
    <row r="30647" spans="1:3">
      <c r="A30647" s="573" t="s">
        <v>1052</v>
      </c>
      <c r="B30647" s="574">
        <v>156</v>
      </c>
      <c r="C30647" s="574">
        <v>700</v>
      </c>
    </row>
    <row r="30648" spans="1:3">
      <c r="A30648" s="573" t="s">
        <v>1052</v>
      </c>
      <c r="B30648" s="574">
        <v>175</v>
      </c>
      <c r="C30648" s="574">
        <v>710</v>
      </c>
    </row>
    <row r="30649" spans="1:3">
      <c r="A30649" s="571" t="s">
        <v>1051</v>
      </c>
      <c r="B30649" s="572">
        <v>1</v>
      </c>
      <c r="C30649" s="572">
        <v>80</v>
      </c>
    </row>
    <row r="30650" spans="1:3">
      <c r="A30650" s="571" t="s">
        <v>1051</v>
      </c>
      <c r="B30650" s="572">
        <v>2</v>
      </c>
      <c r="C30650" s="572">
        <v>130</v>
      </c>
    </row>
    <row r="30651" spans="1:3">
      <c r="A30651" s="571" t="s">
        <v>1051</v>
      </c>
      <c r="B30651" s="572">
        <v>3</v>
      </c>
      <c r="C30651" s="572">
        <v>180</v>
      </c>
    </row>
    <row r="30652" spans="1:3">
      <c r="A30652" s="571" t="s">
        <v>1051</v>
      </c>
      <c r="B30652" s="572">
        <v>4</v>
      </c>
      <c r="C30652" s="572">
        <v>210</v>
      </c>
    </row>
    <row r="30653" spans="1:3">
      <c r="A30653" s="571" t="s">
        <v>1051</v>
      </c>
      <c r="B30653" s="572">
        <v>5</v>
      </c>
      <c r="C30653" s="572">
        <v>240</v>
      </c>
    </row>
    <row r="30654" spans="1:3">
      <c r="A30654" s="571" t="s">
        <v>1051</v>
      </c>
      <c r="B30654" s="572">
        <v>6</v>
      </c>
      <c r="C30654" s="572">
        <v>250</v>
      </c>
    </row>
    <row r="30655" spans="1:3">
      <c r="A30655" s="571" t="s">
        <v>1051</v>
      </c>
      <c r="B30655" s="572">
        <v>7</v>
      </c>
      <c r="C30655" s="572">
        <v>270</v>
      </c>
    </row>
    <row r="30656" spans="1:3">
      <c r="A30656" s="571" t="s">
        <v>1051</v>
      </c>
      <c r="B30656" s="572">
        <v>8</v>
      </c>
      <c r="C30656" s="572">
        <v>290</v>
      </c>
    </row>
    <row r="30657" spans="1:3">
      <c r="A30657" s="571" t="s">
        <v>1051</v>
      </c>
      <c r="B30657" s="572">
        <v>10</v>
      </c>
      <c r="C30657" s="572">
        <v>330</v>
      </c>
    </row>
    <row r="30658" spans="1:3">
      <c r="A30658" s="571" t="s">
        <v>1051</v>
      </c>
      <c r="B30658" s="572">
        <v>12</v>
      </c>
      <c r="C30658" s="572">
        <v>360</v>
      </c>
    </row>
    <row r="30659" spans="1:3">
      <c r="A30659" s="571" t="s">
        <v>1051</v>
      </c>
      <c r="B30659" s="572">
        <v>14</v>
      </c>
      <c r="C30659" s="572">
        <v>380</v>
      </c>
    </row>
    <row r="30660" spans="1:3">
      <c r="A30660" s="571" t="s">
        <v>1051</v>
      </c>
      <c r="B30660" s="572">
        <v>21</v>
      </c>
      <c r="C30660" s="572">
        <v>440.00000000000006</v>
      </c>
    </row>
    <row r="30661" spans="1:3">
      <c r="A30661" s="571" t="s">
        <v>1051</v>
      </c>
      <c r="B30661" s="572">
        <v>28</v>
      </c>
      <c r="C30661" s="572">
        <v>480</v>
      </c>
    </row>
    <row r="30662" spans="1:3">
      <c r="A30662" s="571" t="s">
        <v>1051</v>
      </c>
      <c r="B30662" s="572">
        <v>35</v>
      </c>
      <c r="C30662" s="572">
        <v>509.99999999999994</v>
      </c>
    </row>
    <row r="30663" spans="1:3">
      <c r="A30663" s="571" t="s">
        <v>1051</v>
      </c>
      <c r="B30663" s="572">
        <v>42</v>
      </c>
      <c r="C30663" s="572">
        <v>540</v>
      </c>
    </row>
    <row r="30664" spans="1:3">
      <c r="A30664" s="571" t="s">
        <v>1051</v>
      </c>
      <c r="B30664" s="572">
        <v>49</v>
      </c>
      <c r="C30664" s="572">
        <v>560</v>
      </c>
    </row>
    <row r="30665" spans="1:3">
      <c r="A30665" s="571" t="s">
        <v>1051</v>
      </c>
      <c r="B30665" s="572">
        <v>56</v>
      </c>
      <c r="C30665" s="572">
        <v>570</v>
      </c>
    </row>
    <row r="30666" spans="1:3">
      <c r="A30666" s="571" t="s">
        <v>1051</v>
      </c>
      <c r="B30666" s="572">
        <v>70</v>
      </c>
      <c r="C30666" s="572">
        <v>600</v>
      </c>
    </row>
    <row r="30667" spans="1:3">
      <c r="A30667" s="571" t="s">
        <v>1051</v>
      </c>
      <c r="B30667" s="572">
        <v>84</v>
      </c>
      <c r="C30667" s="572">
        <v>620</v>
      </c>
    </row>
    <row r="30668" spans="1:3">
      <c r="A30668" s="571" t="s">
        <v>1051</v>
      </c>
      <c r="B30668" s="572">
        <v>90</v>
      </c>
      <c r="C30668" s="572">
        <v>620</v>
      </c>
    </row>
    <row r="30669" spans="1:3">
      <c r="A30669" s="571" t="s">
        <v>1051</v>
      </c>
      <c r="B30669" s="572">
        <v>98</v>
      </c>
      <c r="C30669" s="572">
        <v>630</v>
      </c>
    </row>
    <row r="30670" spans="1:3">
      <c r="A30670" s="573" t="s">
        <v>1051</v>
      </c>
      <c r="B30670" s="574">
        <v>100</v>
      </c>
      <c r="C30670" s="574">
        <v>630</v>
      </c>
    </row>
    <row r="30671" spans="1:3">
      <c r="A30671" s="573" t="s">
        <v>1051</v>
      </c>
      <c r="B30671" s="574">
        <v>120</v>
      </c>
      <c r="C30671" s="574">
        <v>650</v>
      </c>
    </row>
    <row r="30672" spans="1:3">
      <c r="A30672" s="573" t="s">
        <v>1051</v>
      </c>
      <c r="B30672" s="574">
        <v>128</v>
      </c>
      <c r="C30672" s="574">
        <v>660</v>
      </c>
    </row>
    <row r="30673" spans="1:3">
      <c r="A30673" s="573" t="s">
        <v>1051</v>
      </c>
      <c r="B30673" s="574">
        <v>150</v>
      </c>
      <c r="C30673" s="574">
        <v>680</v>
      </c>
    </row>
    <row r="30674" spans="1:3">
      <c r="A30674" s="573" t="s">
        <v>1051</v>
      </c>
      <c r="B30674" s="574">
        <v>156</v>
      </c>
      <c r="C30674" s="574">
        <v>680</v>
      </c>
    </row>
    <row r="30675" spans="1:3">
      <c r="A30675" s="573" t="s">
        <v>1051</v>
      </c>
      <c r="B30675" s="574">
        <v>175</v>
      </c>
      <c r="C30675" s="574">
        <v>690</v>
      </c>
    </row>
    <row r="30676" spans="1:3">
      <c r="A30676" s="571" t="s">
        <v>1049</v>
      </c>
      <c r="B30676" s="572">
        <v>1</v>
      </c>
      <c r="C30676" s="572">
        <v>40</v>
      </c>
    </row>
    <row r="30677" spans="1:3">
      <c r="A30677" s="571" t="s">
        <v>1049</v>
      </c>
      <c r="B30677" s="572">
        <v>2</v>
      </c>
      <c r="C30677" s="572">
        <v>100</v>
      </c>
    </row>
    <row r="30678" spans="1:3">
      <c r="A30678" s="571" t="s">
        <v>1049</v>
      </c>
      <c r="B30678" s="572">
        <v>3</v>
      </c>
      <c r="C30678" s="572">
        <v>160</v>
      </c>
    </row>
    <row r="30679" spans="1:3">
      <c r="A30679" s="571" t="s">
        <v>1049</v>
      </c>
      <c r="B30679" s="572">
        <v>4</v>
      </c>
      <c r="C30679" s="572">
        <v>190</v>
      </c>
    </row>
    <row r="30680" spans="1:3">
      <c r="A30680" s="571" t="s">
        <v>1049</v>
      </c>
      <c r="B30680" s="572">
        <v>5</v>
      </c>
      <c r="C30680" s="572">
        <v>229.99999999999997</v>
      </c>
    </row>
    <row r="30681" spans="1:3">
      <c r="A30681" s="571" t="s">
        <v>1049</v>
      </c>
      <c r="B30681" s="572">
        <v>6</v>
      </c>
      <c r="C30681" s="572">
        <v>260</v>
      </c>
    </row>
    <row r="30682" spans="1:3">
      <c r="A30682" s="571" t="s">
        <v>1049</v>
      </c>
      <c r="B30682" s="572">
        <v>7</v>
      </c>
      <c r="C30682" s="572">
        <v>290</v>
      </c>
    </row>
    <row r="30683" spans="1:3">
      <c r="A30683" s="571" t="s">
        <v>1049</v>
      </c>
      <c r="B30683" s="572">
        <v>8</v>
      </c>
      <c r="C30683" s="572">
        <v>310</v>
      </c>
    </row>
    <row r="30684" spans="1:3">
      <c r="A30684" s="571" t="s">
        <v>1049</v>
      </c>
      <c r="B30684" s="572">
        <v>10</v>
      </c>
      <c r="C30684" s="572">
        <v>350</v>
      </c>
    </row>
    <row r="30685" spans="1:3">
      <c r="A30685" s="571" t="s">
        <v>1049</v>
      </c>
      <c r="B30685" s="572">
        <v>12</v>
      </c>
      <c r="C30685" s="572">
        <v>380</v>
      </c>
    </row>
    <row r="30686" spans="1:3">
      <c r="A30686" s="571" t="s">
        <v>1049</v>
      </c>
      <c r="B30686" s="572">
        <v>14</v>
      </c>
      <c r="C30686" s="572">
        <v>400</v>
      </c>
    </row>
    <row r="30687" spans="1:3">
      <c r="A30687" s="571" t="s">
        <v>1049</v>
      </c>
      <c r="B30687" s="572">
        <v>21</v>
      </c>
      <c r="C30687" s="572">
        <v>459.99999999999994</v>
      </c>
    </row>
    <row r="30688" spans="1:3">
      <c r="A30688" s="571" t="s">
        <v>1049</v>
      </c>
      <c r="B30688" s="572">
        <v>28</v>
      </c>
      <c r="C30688" s="572">
        <v>500</v>
      </c>
    </row>
    <row r="30689" spans="1:3">
      <c r="A30689" s="571" t="s">
        <v>1049</v>
      </c>
      <c r="B30689" s="572">
        <v>35</v>
      </c>
      <c r="C30689" s="572">
        <v>540</v>
      </c>
    </row>
    <row r="30690" spans="1:3">
      <c r="A30690" s="571" t="s">
        <v>1049</v>
      </c>
      <c r="B30690" s="572">
        <v>42</v>
      </c>
      <c r="C30690" s="572">
        <v>570</v>
      </c>
    </row>
    <row r="30691" spans="1:3">
      <c r="A30691" s="571" t="s">
        <v>1049</v>
      </c>
      <c r="B30691" s="572">
        <v>49</v>
      </c>
      <c r="C30691" s="572">
        <v>590</v>
      </c>
    </row>
    <row r="30692" spans="1:3">
      <c r="A30692" s="571" t="s">
        <v>1049</v>
      </c>
      <c r="B30692" s="572">
        <v>56</v>
      </c>
      <c r="C30692" s="572">
        <v>610</v>
      </c>
    </row>
    <row r="30693" spans="1:3">
      <c r="A30693" s="571" t="s">
        <v>1049</v>
      </c>
      <c r="B30693" s="572">
        <v>70</v>
      </c>
      <c r="C30693" s="572">
        <v>640</v>
      </c>
    </row>
    <row r="30694" spans="1:3">
      <c r="A30694" s="571" t="s">
        <v>1049</v>
      </c>
      <c r="B30694" s="572">
        <v>84</v>
      </c>
      <c r="C30694" s="572">
        <v>670</v>
      </c>
    </row>
    <row r="30695" spans="1:3">
      <c r="A30695" s="571" t="s">
        <v>1049</v>
      </c>
      <c r="B30695" s="572">
        <v>90</v>
      </c>
      <c r="C30695" s="572">
        <v>680</v>
      </c>
    </row>
    <row r="30696" spans="1:3">
      <c r="A30696" s="571" t="s">
        <v>1049</v>
      </c>
      <c r="B30696" s="572">
        <v>98</v>
      </c>
      <c r="C30696" s="572">
        <v>680</v>
      </c>
    </row>
    <row r="30697" spans="1:3">
      <c r="A30697" s="573" t="s">
        <v>1049</v>
      </c>
      <c r="B30697" s="574">
        <v>100</v>
      </c>
      <c r="C30697" s="574">
        <v>690</v>
      </c>
    </row>
    <row r="30698" spans="1:3">
      <c r="A30698" s="573" t="s">
        <v>1049</v>
      </c>
      <c r="B30698" s="574">
        <v>120</v>
      </c>
      <c r="C30698" s="574">
        <v>710</v>
      </c>
    </row>
    <row r="30699" spans="1:3">
      <c r="A30699" s="573" t="s">
        <v>1049</v>
      </c>
      <c r="B30699" s="574">
        <v>128</v>
      </c>
      <c r="C30699" s="574">
        <v>720</v>
      </c>
    </row>
    <row r="30700" spans="1:3">
      <c r="A30700" s="573" t="s">
        <v>1049</v>
      </c>
      <c r="B30700" s="574">
        <v>150</v>
      </c>
      <c r="C30700" s="574">
        <v>740</v>
      </c>
    </row>
    <row r="30701" spans="1:3">
      <c r="A30701" s="573" t="s">
        <v>1049</v>
      </c>
      <c r="B30701" s="574">
        <v>156</v>
      </c>
      <c r="C30701" s="574">
        <v>740</v>
      </c>
    </row>
    <row r="30702" spans="1:3">
      <c r="A30702" s="573" t="s">
        <v>1049</v>
      </c>
      <c r="B30702" s="574">
        <v>175</v>
      </c>
      <c r="C30702" s="574">
        <v>750</v>
      </c>
    </row>
    <row r="30703" spans="1:3">
      <c r="A30703" s="571" t="s">
        <v>1048</v>
      </c>
      <c r="B30703" s="572">
        <v>1</v>
      </c>
      <c r="C30703" s="572">
        <v>90</v>
      </c>
    </row>
    <row r="30704" spans="1:3">
      <c r="A30704" s="571" t="s">
        <v>1048</v>
      </c>
      <c r="B30704" s="572">
        <v>2</v>
      </c>
      <c r="C30704" s="572">
        <v>150</v>
      </c>
    </row>
    <row r="30705" spans="1:3">
      <c r="A30705" s="571" t="s">
        <v>1048</v>
      </c>
      <c r="B30705" s="572">
        <v>3</v>
      </c>
      <c r="C30705" s="572">
        <v>200</v>
      </c>
    </row>
    <row r="30706" spans="1:3">
      <c r="A30706" s="571" t="s">
        <v>1048</v>
      </c>
      <c r="B30706" s="572">
        <v>4</v>
      </c>
      <c r="C30706" s="572">
        <v>229.99999999999997</v>
      </c>
    </row>
    <row r="30707" spans="1:3">
      <c r="A30707" s="571" t="s">
        <v>1048</v>
      </c>
      <c r="B30707" s="572">
        <v>5</v>
      </c>
      <c r="C30707" s="572">
        <v>270</v>
      </c>
    </row>
    <row r="30708" spans="1:3">
      <c r="A30708" s="571" t="s">
        <v>1048</v>
      </c>
      <c r="B30708" s="572">
        <v>6</v>
      </c>
      <c r="C30708" s="572">
        <v>290</v>
      </c>
    </row>
    <row r="30709" spans="1:3">
      <c r="A30709" s="571" t="s">
        <v>1048</v>
      </c>
      <c r="B30709" s="572">
        <v>7</v>
      </c>
      <c r="C30709" s="572">
        <v>320</v>
      </c>
    </row>
    <row r="30710" spans="1:3">
      <c r="A30710" s="571" t="s">
        <v>1048</v>
      </c>
      <c r="B30710" s="572">
        <v>8</v>
      </c>
      <c r="C30710" s="572">
        <v>350</v>
      </c>
    </row>
    <row r="30711" spans="1:3">
      <c r="A30711" s="571" t="s">
        <v>1048</v>
      </c>
      <c r="B30711" s="572">
        <v>10</v>
      </c>
      <c r="C30711" s="572">
        <v>390</v>
      </c>
    </row>
    <row r="30712" spans="1:3">
      <c r="A30712" s="571" t="s">
        <v>1048</v>
      </c>
      <c r="B30712" s="572">
        <v>12</v>
      </c>
      <c r="C30712" s="572">
        <v>420</v>
      </c>
    </row>
    <row r="30713" spans="1:3">
      <c r="A30713" s="571" t="s">
        <v>1048</v>
      </c>
      <c r="B30713" s="572">
        <v>14</v>
      </c>
      <c r="C30713" s="572">
        <v>450</v>
      </c>
    </row>
    <row r="30714" spans="1:3">
      <c r="A30714" s="571" t="s">
        <v>1048</v>
      </c>
      <c r="B30714" s="572">
        <v>21</v>
      </c>
      <c r="C30714" s="572">
        <v>540</v>
      </c>
    </row>
    <row r="30715" spans="1:3">
      <c r="A30715" s="571" t="s">
        <v>1048</v>
      </c>
      <c r="B30715" s="572">
        <v>28</v>
      </c>
      <c r="C30715" s="572">
        <v>600</v>
      </c>
    </row>
    <row r="30716" spans="1:3">
      <c r="A30716" s="571" t="s">
        <v>1048</v>
      </c>
      <c r="B30716" s="572">
        <v>35</v>
      </c>
      <c r="C30716" s="572">
        <v>640</v>
      </c>
    </row>
    <row r="30717" spans="1:3">
      <c r="A30717" s="571" t="s">
        <v>1048</v>
      </c>
      <c r="B30717" s="572">
        <v>42</v>
      </c>
      <c r="C30717" s="572">
        <v>680</v>
      </c>
    </row>
    <row r="30718" spans="1:3">
      <c r="A30718" s="571" t="s">
        <v>1048</v>
      </c>
      <c r="B30718" s="572">
        <v>49</v>
      </c>
      <c r="C30718" s="572">
        <v>710</v>
      </c>
    </row>
    <row r="30719" spans="1:3">
      <c r="A30719" s="571" t="s">
        <v>1048</v>
      </c>
      <c r="B30719" s="572">
        <v>56</v>
      </c>
      <c r="C30719" s="572">
        <v>730</v>
      </c>
    </row>
    <row r="30720" spans="1:3">
      <c r="A30720" s="571" t="s">
        <v>1048</v>
      </c>
      <c r="B30720" s="572">
        <v>70</v>
      </c>
      <c r="C30720" s="572">
        <v>770</v>
      </c>
    </row>
    <row r="30721" spans="1:3">
      <c r="A30721" s="571" t="s">
        <v>1048</v>
      </c>
      <c r="B30721" s="572">
        <v>84</v>
      </c>
      <c r="C30721" s="572">
        <v>790</v>
      </c>
    </row>
    <row r="30722" spans="1:3">
      <c r="A30722" s="571" t="s">
        <v>1048</v>
      </c>
      <c r="B30722" s="572">
        <v>90</v>
      </c>
      <c r="C30722" s="572">
        <v>810</v>
      </c>
    </row>
    <row r="30723" spans="1:3">
      <c r="A30723" s="571" t="s">
        <v>1048</v>
      </c>
      <c r="B30723" s="572">
        <v>98</v>
      </c>
      <c r="C30723" s="572">
        <v>819.99999999999989</v>
      </c>
    </row>
    <row r="30724" spans="1:3">
      <c r="A30724" s="573" t="s">
        <v>1048</v>
      </c>
      <c r="B30724" s="574">
        <v>100</v>
      </c>
      <c r="C30724" s="574">
        <v>819.99999999999989</v>
      </c>
    </row>
    <row r="30725" spans="1:3">
      <c r="A30725" s="573" t="s">
        <v>1048</v>
      </c>
      <c r="B30725" s="574">
        <v>120</v>
      </c>
      <c r="C30725" s="574">
        <v>840</v>
      </c>
    </row>
    <row r="30726" spans="1:3">
      <c r="A30726" s="573" t="s">
        <v>1048</v>
      </c>
      <c r="B30726" s="574">
        <v>128</v>
      </c>
      <c r="C30726" s="574">
        <v>850</v>
      </c>
    </row>
    <row r="30727" spans="1:3">
      <c r="A30727" s="573" t="s">
        <v>1048</v>
      </c>
      <c r="B30727" s="574">
        <v>150</v>
      </c>
      <c r="C30727" s="574">
        <v>869.99999999999989</v>
      </c>
    </row>
    <row r="30728" spans="1:3">
      <c r="A30728" s="573" t="s">
        <v>1048</v>
      </c>
      <c r="B30728" s="574">
        <v>156</v>
      </c>
      <c r="C30728" s="574">
        <v>869.99999999999989</v>
      </c>
    </row>
    <row r="30729" spans="1:3">
      <c r="A30729" s="573" t="s">
        <v>1048</v>
      </c>
      <c r="B30729" s="574">
        <v>175</v>
      </c>
      <c r="C30729" s="574">
        <v>880.00000000000011</v>
      </c>
    </row>
    <row r="30730" spans="1:3">
      <c r="A30730" s="571" t="s">
        <v>1047</v>
      </c>
      <c r="B30730" s="572">
        <v>1</v>
      </c>
      <c r="C30730" s="572">
        <v>10</v>
      </c>
    </row>
    <row r="30731" spans="1:3">
      <c r="A30731" s="571" t="s">
        <v>1047</v>
      </c>
      <c r="B30731" s="572">
        <v>2</v>
      </c>
      <c r="C30731" s="572">
        <v>60</v>
      </c>
    </row>
    <row r="30732" spans="1:3">
      <c r="A30732" s="571" t="s">
        <v>1047</v>
      </c>
      <c r="B30732" s="572">
        <v>3</v>
      </c>
      <c r="C30732" s="572">
        <v>80</v>
      </c>
    </row>
    <row r="30733" spans="1:3">
      <c r="A30733" s="571" t="s">
        <v>1047</v>
      </c>
      <c r="B30733" s="572">
        <v>4</v>
      </c>
      <c r="C30733" s="572">
        <v>100</v>
      </c>
    </row>
    <row r="30734" spans="1:3">
      <c r="A30734" s="571" t="s">
        <v>1047</v>
      </c>
      <c r="B30734" s="572">
        <v>5</v>
      </c>
      <c r="C30734" s="572">
        <v>120</v>
      </c>
    </row>
    <row r="30735" spans="1:3">
      <c r="A30735" s="571" t="s">
        <v>1047</v>
      </c>
      <c r="B30735" s="572">
        <v>6</v>
      </c>
      <c r="C30735" s="572">
        <v>130</v>
      </c>
    </row>
    <row r="30736" spans="1:3">
      <c r="A30736" s="571" t="s">
        <v>1047</v>
      </c>
      <c r="B30736" s="572">
        <v>7</v>
      </c>
      <c r="C30736" s="572">
        <v>140</v>
      </c>
    </row>
    <row r="30737" spans="1:3">
      <c r="A30737" s="571" t="s">
        <v>1047</v>
      </c>
      <c r="B30737" s="572">
        <v>8</v>
      </c>
      <c r="C30737" s="572">
        <v>150</v>
      </c>
    </row>
    <row r="30738" spans="1:3">
      <c r="A30738" s="571" t="s">
        <v>1047</v>
      </c>
      <c r="B30738" s="572">
        <v>10</v>
      </c>
      <c r="C30738" s="572">
        <v>170</v>
      </c>
    </row>
    <row r="30739" spans="1:3">
      <c r="A30739" s="571" t="s">
        <v>1047</v>
      </c>
      <c r="B30739" s="572">
        <v>12</v>
      </c>
      <c r="C30739" s="572">
        <v>180</v>
      </c>
    </row>
    <row r="30740" spans="1:3">
      <c r="A30740" s="571" t="s">
        <v>1047</v>
      </c>
      <c r="B30740" s="572">
        <v>14</v>
      </c>
      <c r="C30740" s="572">
        <v>200</v>
      </c>
    </row>
    <row r="30741" spans="1:3">
      <c r="A30741" s="571" t="s">
        <v>1047</v>
      </c>
      <c r="B30741" s="572">
        <v>21</v>
      </c>
      <c r="C30741" s="572">
        <v>240</v>
      </c>
    </row>
    <row r="30742" spans="1:3">
      <c r="A30742" s="571" t="s">
        <v>1047</v>
      </c>
      <c r="B30742" s="572">
        <v>28</v>
      </c>
      <c r="C30742" s="572">
        <v>270</v>
      </c>
    </row>
    <row r="30743" spans="1:3">
      <c r="A30743" s="571" t="s">
        <v>1047</v>
      </c>
      <c r="B30743" s="572">
        <v>35</v>
      </c>
      <c r="C30743" s="572">
        <v>290</v>
      </c>
    </row>
    <row r="30744" spans="1:3">
      <c r="A30744" s="571" t="s">
        <v>1047</v>
      </c>
      <c r="B30744" s="572">
        <v>42</v>
      </c>
      <c r="C30744" s="572">
        <v>310</v>
      </c>
    </row>
    <row r="30745" spans="1:3">
      <c r="A30745" s="571" t="s">
        <v>1047</v>
      </c>
      <c r="B30745" s="572">
        <v>49</v>
      </c>
      <c r="C30745" s="572">
        <v>330</v>
      </c>
    </row>
    <row r="30746" spans="1:3">
      <c r="A30746" s="571" t="s">
        <v>1047</v>
      </c>
      <c r="B30746" s="572">
        <v>56</v>
      </c>
      <c r="C30746" s="572">
        <v>350</v>
      </c>
    </row>
    <row r="30747" spans="1:3">
      <c r="A30747" s="571" t="s">
        <v>1047</v>
      </c>
      <c r="B30747" s="572">
        <v>70</v>
      </c>
      <c r="C30747" s="572">
        <v>360</v>
      </c>
    </row>
    <row r="30748" spans="1:3">
      <c r="A30748" s="571" t="s">
        <v>1047</v>
      </c>
      <c r="B30748" s="572">
        <v>84</v>
      </c>
      <c r="C30748" s="572">
        <v>380</v>
      </c>
    </row>
    <row r="30749" spans="1:3">
      <c r="A30749" s="571" t="s">
        <v>1047</v>
      </c>
      <c r="B30749" s="572">
        <v>90</v>
      </c>
      <c r="C30749" s="572">
        <v>390</v>
      </c>
    </row>
    <row r="30750" spans="1:3">
      <c r="A30750" s="571" t="s">
        <v>1047</v>
      </c>
      <c r="B30750" s="572">
        <v>98</v>
      </c>
      <c r="C30750" s="572">
        <v>400</v>
      </c>
    </row>
    <row r="30751" spans="1:3">
      <c r="A30751" s="573" t="s">
        <v>1047</v>
      </c>
      <c r="B30751" s="574">
        <v>100</v>
      </c>
      <c r="C30751" s="574">
        <v>400</v>
      </c>
    </row>
    <row r="30752" spans="1:3">
      <c r="A30752" s="573" t="s">
        <v>1047</v>
      </c>
      <c r="B30752" s="574">
        <v>120</v>
      </c>
      <c r="C30752" s="574">
        <v>420</v>
      </c>
    </row>
    <row r="30753" spans="1:3">
      <c r="A30753" s="573" t="s">
        <v>1047</v>
      </c>
      <c r="B30753" s="574">
        <v>128</v>
      </c>
      <c r="C30753" s="574">
        <v>430</v>
      </c>
    </row>
    <row r="30754" spans="1:3">
      <c r="A30754" s="573" t="s">
        <v>1047</v>
      </c>
      <c r="B30754" s="574">
        <v>150</v>
      </c>
      <c r="C30754" s="574">
        <v>450</v>
      </c>
    </row>
    <row r="30755" spans="1:3">
      <c r="A30755" s="573" t="s">
        <v>1047</v>
      </c>
      <c r="B30755" s="574">
        <v>156</v>
      </c>
      <c r="C30755" s="574">
        <v>450</v>
      </c>
    </row>
    <row r="30756" spans="1:3">
      <c r="A30756" s="573" t="s">
        <v>1047</v>
      </c>
      <c r="B30756" s="574">
        <v>175</v>
      </c>
      <c r="C30756" s="574">
        <v>459.99999999999994</v>
      </c>
    </row>
    <row r="30757" spans="1:3">
      <c r="A30757" s="571" t="s">
        <v>1046</v>
      </c>
      <c r="B30757" s="572">
        <v>1</v>
      </c>
      <c r="C30757" s="572">
        <v>30</v>
      </c>
    </row>
    <row r="30758" spans="1:3">
      <c r="A30758" s="571" t="s">
        <v>1046</v>
      </c>
      <c r="B30758" s="572">
        <v>2</v>
      </c>
      <c r="C30758" s="572">
        <v>60</v>
      </c>
    </row>
    <row r="30759" spans="1:3">
      <c r="A30759" s="571" t="s">
        <v>1046</v>
      </c>
      <c r="B30759" s="572">
        <v>3</v>
      </c>
      <c r="C30759" s="572">
        <v>110.00000000000001</v>
      </c>
    </row>
    <row r="30760" spans="1:3">
      <c r="A30760" s="571" t="s">
        <v>1046</v>
      </c>
      <c r="B30760" s="572">
        <v>4</v>
      </c>
      <c r="C30760" s="572">
        <v>130</v>
      </c>
    </row>
    <row r="30761" spans="1:3">
      <c r="A30761" s="571" t="s">
        <v>1046</v>
      </c>
      <c r="B30761" s="572">
        <v>5</v>
      </c>
      <c r="C30761" s="572">
        <v>150</v>
      </c>
    </row>
    <row r="30762" spans="1:3">
      <c r="A30762" s="571" t="s">
        <v>1046</v>
      </c>
      <c r="B30762" s="572">
        <v>6</v>
      </c>
      <c r="C30762" s="572">
        <v>170</v>
      </c>
    </row>
    <row r="30763" spans="1:3">
      <c r="A30763" s="571" t="s">
        <v>1046</v>
      </c>
      <c r="B30763" s="572">
        <v>7</v>
      </c>
      <c r="C30763" s="572">
        <v>180</v>
      </c>
    </row>
    <row r="30764" spans="1:3">
      <c r="A30764" s="571" t="s">
        <v>1046</v>
      </c>
      <c r="B30764" s="572">
        <v>8</v>
      </c>
      <c r="C30764" s="572">
        <v>200</v>
      </c>
    </row>
    <row r="30765" spans="1:3">
      <c r="A30765" s="571" t="s">
        <v>1046</v>
      </c>
      <c r="B30765" s="572">
        <v>10</v>
      </c>
      <c r="C30765" s="572">
        <v>220.00000000000003</v>
      </c>
    </row>
    <row r="30766" spans="1:3">
      <c r="A30766" s="571" t="s">
        <v>1046</v>
      </c>
      <c r="B30766" s="572">
        <v>12</v>
      </c>
      <c r="C30766" s="572">
        <v>240</v>
      </c>
    </row>
    <row r="30767" spans="1:3">
      <c r="A30767" s="571" t="s">
        <v>1046</v>
      </c>
      <c r="B30767" s="572">
        <v>14</v>
      </c>
      <c r="C30767" s="572">
        <v>250</v>
      </c>
    </row>
    <row r="30768" spans="1:3">
      <c r="A30768" s="571" t="s">
        <v>1046</v>
      </c>
      <c r="B30768" s="572">
        <v>21</v>
      </c>
      <c r="C30768" s="572">
        <v>300</v>
      </c>
    </row>
    <row r="30769" spans="1:3">
      <c r="A30769" s="571" t="s">
        <v>1046</v>
      </c>
      <c r="B30769" s="572">
        <v>28</v>
      </c>
      <c r="C30769" s="572">
        <v>340</v>
      </c>
    </row>
    <row r="30770" spans="1:3">
      <c r="A30770" s="571" t="s">
        <v>1046</v>
      </c>
      <c r="B30770" s="572">
        <v>35</v>
      </c>
      <c r="C30770" s="572">
        <v>360</v>
      </c>
    </row>
    <row r="30771" spans="1:3">
      <c r="A30771" s="571" t="s">
        <v>1046</v>
      </c>
      <c r="B30771" s="572">
        <v>42</v>
      </c>
      <c r="C30771" s="572">
        <v>380</v>
      </c>
    </row>
    <row r="30772" spans="1:3">
      <c r="A30772" s="571" t="s">
        <v>1046</v>
      </c>
      <c r="B30772" s="572">
        <v>49</v>
      </c>
      <c r="C30772" s="572">
        <v>400</v>
      </c>
    </row>
    <row r="30773" spans="1:3">
      <c r="A30773" s="571" t="s">
        <v>1046</v>
      </c>
      <c r="B30773" s="572">
        <v>56</v>
      </c>
      <c r="C30773" s="572">
        <v>420</v>
      </c>
    </row>
    <row r="30774" spans="1:3">
      <c r="A30774" s="571" t="s">
        <v>1046</v>
      </c>
      <c r="B30774" s="572">
        <v>70</v>
      </c>
      <c r="C30774" s="572">
        <v>450</v>
      </c>
    </row>
    <row r="30775" spans="1:3">
      <c r="A30775" s="571" t="s">
        <v>1046</v>
      </c>
      <c r="B30775" s="572">
        <v>84</v>
      </c>
      <c r="C30775" s="572">
        <v>470</v>
      </c>
    </row>
    <row r="30776" spans="1:3">
      <c r="A30776" s="571" t="s">
        <v>1046</v>
      </c>
      <c r="B30776" s="572">
        <v>90</v>
      </c>
      <c r="C30776" s="572">
        <v>470</v>
      </c>
    </row>
    <row r="30777" spans="1:3">
      <c r="A30777" s="571" t="s">
        <v>1046</v>
      </c>
      <c r="B30777" s="572">
        <v>98</v>
      </c>
      <c r="C30777" s="572">
        <v>480</v>
      </c>
    </row>
    <row r="30778" spans="1:3">
      <c r="A30778" s="573" t="s">
        <v>1046</v>
      </c>
      <c r="B30778" s="574">
        <v>100</v>
      </c>
      <c r="C30778" s="574">
        <v>480</v>
      </c>
    </row>
    <row r="30779" spans="1:3">
      <c r="A30779" s="573" t="s">
        <v>1046</v>
      </c>
      <c r="B30779" s="574">
        <v>120</v>
      </c>
      <c r="C30779" s="574">
        <v>500</v>
      </c>
    </row>
    <row r="30780" spans="1:3">
      <c r="A30780" s="573" t="s">
        <v>1046</v>
      </c>
      <c r="B30780" s="574">
        <v>128</v>
      </c>
      <c r="C30780" s="574">
        <v>509.99999999999994</v>
      </c>
    </row>
    <row r="30781" spans="1:3">
      <c r="A30781" s="573" t="s">
        <v>1046</v>
      </c>
      <c r="B30781" s="574">
        <v>150</v>
      </c>
      <c r="C30781" s="574">
        <v>530</v>
      </c>
    </row>
    <row r="30782" spans="1:3">
      <c r="A30782" s="573" t="s">
        <v>1046</v>
      </c>
      <c r="B30782" s="574">
        <v>156</v>
      </c>
      <c r="C30782" s="574">
        <v>530</v>
      </c>
    </row>
    <row r="30783" spans="1:3">
      <c r="A30783" s="573" t="s">
        <v>1046</v>
      </c>
      <c r="B30783" s="574">
        <v>175</v>
      </c>
      <c r="C30783" s="574">
        <v>540</v>
      </c>
    </row>
    <row r="30784" spans="1:3">
      <c r="A30784" s="571" t="s">
        <v>1045</v>
      </c>
      <c r="B30784" s="572">
        <v>1</v>
      </c>
      <c r="C30784" s="572">
        <v>60</v>
      </c>
    </row>
    <row r="30785" spans="1:3">
      <c r="A30785" s="571" t="s">
        <v>1045</v>
      </c>
      <c r="B30785" s="572">
        <v>2</v>
      </c>
      <c r="C30785" s="572">
        <v>110.00000000000001</v>
      </c>
    </row>
    <row r="30786" spans="1:3">
      <c r="A30786" s="571" t="s">
        <v>1045</v>
      </c>
      <c r="B30786" s="572">
        <v>3</v>
      </c>
      <c r="C30786" s="572">
        <v>140</v>
      </c>
    </row>
    <row r="30787" spans="1:3">
      <c r="A30787" s="571" t="s">
        <v>1045</v>
      </c>
      <c r="B30787" s="572">
        <v>4</v>
      </c>
      <c r="C30787" s="572">
        <v>160</v>
      </c>
    </row>
    <row r="30788" spans="1:3">
      <c r="A30788" s="571" t="s">
        <v>1045</v>
      </c>
      <c r="B30788" s="572">
        <v>5</v>
      </c>
      <c r="C30788" s="572">
        <v>190</v>
      </c>
    </row>
    <row r="30789" spans="1:3">
      <c r="A30789" s="571" t="s">
        <v>1045</v>
      </c>
      <c r="B30789" s="572">
        <v>6</v>
      </c>
      <c r="C30789" s="572">
        <v>210</v>
      </c>
    </row>
    <row r="30790" spans="1:3">
      <c r="A30790" s="571" t="s">
        <v>1045</v>
      </c>
      <c r="B30790" s="572">
        <v>7</v>
      </c>
      <c r="C30790" s="572">
        <v>220.00000000000003</v>
      </c>
    </row>
    <row r="30791" spans="1:3">
      <c r="A30791" s="571" t="s">
        <v>1045</v>
      </c>
      <c r="B30791" s="572">
        <v>8</v>
      </c>
      <c r="C30791" s="572">
        <v>240</v>
      </c>
    </row>
    <row r="30792" spans="1:3">
      <c r="A30792" s="571" t="s">
        <v>1045</v>
      </c>
      <c r="B30792" s="572">
        <v>10</v>
      </c>
      <c r="C30792" s="572">
        <v>270</v>
      </c>
    </row>
    <row r="30793" spans="1:3">
      <c r="A30793" s="571" t="s">
        <v>1045</v>
      </c>
      <c r="B30793" s="572">
        <v>12</v>
      </c>
      <c r="C30793" s="572">
        <v>300</v>
      </c>
    </row>
    <row r="30794" spans="1:3">
      <c r="A30794" s="571" t="s">
        <v>1045</v>
      </c>
      <c r="B30794" s="572">
        <v>14</v>
      </c>
      <c r="C30794" s="572">
        <v>320</v>
      </c>
    </row>
    <row r="30795" spans="1:3">
      <c r="A30795" s="571" t="s">
        <v>1045</v>
      </c>
      <c r="B30795" s="572">
        <v>21</v>
      </c>
      <c r="C30795" s="572">
        <v>390</v>
      </c>
    </row>
    <row r="30796" spans="1:3">
      <c r="A30796" s="571" t="s">
        <v>1045</v>
      </c>
      <c r="B30796" s="572">
        <v>28</v>
      </c>
      <c r="C30796" s="572">
        <v>440.00000000000006</v>
      </c>
    </row>
    <row r="30797" spans="1:3">
      <c r="A30797" s="571" t="s">
        <v>1045</v>
      </c>
      <c r="B30797" s="572">
        <v>35</v>
      </c>
      <c r="C30797" s="572">
        <v>480</v>
      </c>
    </row>
    <row r="30798" spans="1:3">
      <c r="A30798" s="571" t="s">
        <v>1045</v>
      </c>
      <c r="B30798" s="572">
        <v>42</v>
      </c>
      <c r="C30798" s="572">
        <v>509.99999999999994</v>
      </c>
    </row>
    <row r="30799" spans="1:3">
      <c r="A30799" s="571" t="s">
        <v>1045</v>
      </c>
      <c r="B30799" s="572">
        <v>49</v>
      </c>
      <c r="C30799" s="572">
        <v>540</v>
      </c>
    </row>
    <row r="30800" spans="1:3">
      <c r="A30800" s="571" t="s">
        <v>1045</v>
      </c>
      <c r="B30800" s="572">
        <v>56</v>
      </c>
      <c r="C30800" s="572">
        <v>560</v>
      </c>
    </row>
    <row r="30801" spans="1:3">
      <c r="A30801" s="571" t="s">
        <v>1045</v>
      </c>
      <c r="B30801" s="572">
        <v>70</v>
      </c>
      <c r="C30801" s="572">
        <v>600</v>
      </c>
    </row>
    <row r="30802" spans="1:3">
      <c r="A30802" s="571" t="s">
        <v>1045</v>
      </c>
      <c r="B30802" s="572">
        <v>84</v>
      </c>
      <c r="C30802" s="572">
        <v>630</v>
      </c>
    </row>
    <row r="30803" spans="1:3">
      <c r="A30803" s="571" t="s">
        <v>1045</v>
      </c>
      <c r="B30803" s="572">
        <v>90</v>
      </c>
      <c r="C30803" s="572">
        <v>640</v>
      </c>
    </row>
    <row r="30804" spans="1:3">
      <c r="A30804" s="571" t="s">
        <v>1045</v>
      </c>
      <c r="B30804" s="572">
        <v>98</v>
      </c>
      <c r="C30804" s="572">
        <v>650</v>
      </c>
    </row>
    <row r="30805" spans="1:3">
      <c r="A30805" s="573" t="s">
        <v>1045</v>
      </c>
      <c r="B30805" s="574">
        <v>100</v>
      </c>
      <c r="C30805" s="574">
        <v>650</v>
      </c>
    </row>
    <row r="30806" spans="1:3">
      <c r="A30806" s="573" t="s">
        <v>1045</v>
      </c>
      <c r="B30806" s="574">
        <v>120</v>
      </c>
      <c r="C30806" s="574">
        <v>680</v>
      </c>
    </row>
    <row r="30807" spans="1:3">
      <c r="A30807" s="573" t="s">
        <v>1045</v>
      </c>
      <c r="B30807" s="574">
        <v>128</v>
      </c>
      <c r="C30807" s="574">
        <v>680</v>
      </c>
    </row>
    <row r="30808" spans="1:3">
      <c r="A30808" s="573" t="s">
        <v>1045</v>
      </c>
      <c r="B30808" s="574">
        <v>150</v>
      </c>
      <c r="C30808" s="574">
        <v>710</v>
      </c>
    </row>
    <row r="30809" spans="1:3">
      <c r="A30809" s="573" t="s">
        <v>1045</v>
      </c>
      <c r="B30809" s="574">
        <v>156</v>
      </c>
      <c r="C30809" s="574">
        <v>710</v>
      </c>
    </row>
    <row r="30810" spans="1:3">
      <c r="A30810" s="573" t="s">
        <v>1045</v>
      </c>
      <c r="B30810" s="574">
        <v>175</v>
      </c>
      <c r="C30810" s="574">
        <v>720</v>
      </c>
    </row>
    <row r="30811" spans="1:3">
      <c r="A30811" s="571" t="s">
        <v>1044</v>
      </c>
      <c r="B30811" s="572">
        <v>10.130000000000001</v>
      </c>
      <c r="C30811" s="572">
        <v>41.11</v>
      </c>
    </row>
    <row r="30812" spans="1:3">
      <c r="A30812" s="571" t="s">
        <v>1044</v>
      </c>
      <c r="B30812" s="572">
        <v>20.010000000000002</v>
      </c>
      <c r="C30812" s="572">
        <v>53.58</v>
      </c>
    </row>
    <row r="30813" spans="1:3">
      <c r="A30813" s="571" t="s">
        <v>1044</v>
      </c>
      <c r="B30813" s="572">
        <v>31.62</v>
      </c>
      <c r="C30813" s="572">
        <v>53.82</v>
      </c>
    </row>
    <row r="30814" spans="1:3">
      <c r="A30814" s="571" t="s">
        <v>1044</v>
      </c>
      <c r="B30814" s="572">
        <v>40.549999999999997</v>
      </c>
      <c r="C30814" s="572">
        <v>229.87</v>
      </c>
    </row>
    <row r="30815" spans="1:3">
      <c r="A30815" s="571" t="s">
        <v>1044</v>
      </c>
      <c r="B30815" s="572">
        <v>49.95</v>
      </c>
      <c r="C30815" s="572">
        <v>307.77</v>
      </c>
    </row>
    <row r="30816" spans="1:3">
      <c r="A30816" s="571" t="s">
        <v>1044</v>
      </c>
      <c r="B30816" s="572">
        <v>60.34</v>
      </c>
      <c r="C30816" s="572">
        <v>361.15</v>
      </c>
    </row>
    <row r="30817" spans="1:3">
      <c r="A30817" s="571" t="s">
        <v>1044</v>
      </c>
      <c r="B30817" s="572">
        <v>69.98</v>
      </c>
      <c r="C30817" s="572">
        <v>402.25</v>
      </c>
    </row>
    <row r="30818" spans="1:3">
      <c r="A30818" s="571" t="s">
        <v>1044</v>
      </c>
      <c r="B30818" s="572">
        <v>80.11</v>
      </c>
      <c r="C30818" s="572">
        <v>431.09</v>
      </c>
    </row>
    <row r="30819" spans="1:3">
      <c r="A30819" s="571" t="s">
        <v>1044</v>
      </c>
      <c r="B30819" s="572">
        <v>89.99</v>
      </c>
      <c r="C30819" s="572">
        <v>455.83</v>
      </c>
    </row>
    <row r="30820" spans="1:3">
      <c r="A30820" s="573" t="s">
        <v>1044</v>
      </c>
      <c r="B30820" s="574">
        <v>100.12</v>
      </c>
      <c r="C30820" s="574">
        <v>476.49</v>
      </c>
    </row>
    <row r="30821" spans="1:3">
      <c r="A30821" s="573" t="s">
        <v>1044</v>
      </c>
      <c r="B30821" s="574">
        <v>110</v>
      </c>
      <c r="C30821" s="574">
        <v>497.14</v>
      </c>
    </row>
    <row r="30822" spans="1:3">
      <c r="A30822" s="573" t="s">
        <v>1044</v>
      </c>
      <c r="B30822" s="574">
        <v>119.88</v>
      </c>
      <c r="C30822" s="574">
        <v>513.70000000000005</v>
      </c>
    </row>
    <row r="30823" spans="1:3">
      <c r="A30823" s="573" t="s">
        <v>1044</v>
      </c>
      <c r="B30823" s="574">
        <v>130.01</v>
      </c>
      <c r="C30823" s="574">
        <v>526.17999999999995</v>
      </c>
    </row>
    <row r="30824" spans="1:3">
      <c r="A30824" s="573" t="s">
        <v>1044</v>
      </c>
      <c r="B30824" s="574">
        <v>140.13</v>
      </c>
      <c r="C30824" s="574">
        <v>538.65</v>
      </c>
    </row>
    <row r="30825" spans="1:3">
      <c r="A30825" s="573" t="s">
        <v>1044</v>
      </c>
      <c r="B30825" s="574">
        <v>150.01</v>
      </c>
      <c r="C30825" s="574">
        <v>549.08000000000004</v>
      </c>
    </row>
    <row r="30826" spans="1:3">
      <c r="A30826" s="573" t="s">
        <v>1044</v>
      </c>
      <c r="B30826" s="574">
        <v>160.38999999999999</v>
      </c>
      <c r="C30826" s="574">
        <v>561.55999999999995</v>
      </c>
    </row>
    <row r="30827" spans="1:3">
      <c r="A30827" s="573" t="s">
        <v>1044</v>
      </c>
      <c r="B30827" s="574">
        <v>170.02</v>
      </c>
      <c r="C30827" s="574">
        <v>569.94000000000005</v>
      </c>
    </row>
    <row r="30828" spans="1:3">
      <c r="A30828" s="573" t="s">
        <v>1044</v>
      </c>
      <c r="B30828" s="574">
        <v>180.14</v>
      </c>
      <c r="C30828" s="574">
        <v>580.37</v>
      </c>
    </row>
    <row r="30829" spans="1:3">
      <c r="A30829" s="573" t="s">
        <v>1044</v>
      </c>
      <c r="B30829" s="574">
        <v>190.02</v>
      </c>
      <c r="C30829" s="574">
        <v>584.66</v>
      </c>
    </row>
    <row r="30830" spans="1:3">
      <c r="A30830" s="573" t="s">
        <v>1044</v>
      </c>
      <c r="B30830" s="574">
        <v>200.15</v>
      </c>
      <c r="C30830" s="574">
        <v>595.1</v>
      </c>
    </row>
    <row r="30831" spans="1:3">
      <c r="A30831" s="573" t="s">
        <v>1044</v>
      </c>
      <c r="B30831" s="574">
        <v>204.84</v>
      </c>
      <c r="C30831" s="574">
        <v>597.24</v>
      </c>
    </row>
    <row r="30832" spans="1:3">
      <c r="A30832" s="571" t="s">
        <v>1043</v>
      </c>
      <c r="B30832" s="572">
        <v>10.19</v>
      </c>
      <c r="C30832" s="572">
        <v>272.19</v>
      </c>
    </row>
    <row r="30833" spans="1:3">
      <c r="A30833" s="571" t="s">
        <v>1043</v>
      </c>
      <c r="B30833" s="572">
        <v>20.329999999999998</v>
      </c>
      <c r="C30833" s="572">
        <v>327.61</v>
      </c>
    </row>
    <row r="30834" spans="1:3">
      <c r="A30834" s="571" t="s">
        <v>1043</v>
      </c>
      <c r="B30834" s="572">
        <v>29.96</v>
      </c>
      <c r="C30834" s="572">
        <v>344.17</v>
      </c>
    </row>
    <row r="30835" spans="1:3">
      <c r="A30835" s="571" t="s">
        <v>1043</v>
      </c>
      <c r="B30835" s="572">
        <v>40.11</v>
      </c>
      <c r="C30835" s="572">
        <v>465.03</v>
      </c>
    </row>
    <row r="30836" spans="1:3">
      <c r="A30836" s="571" t="s">
        <v>1043</v>
      </c>
      <c r="B30836" s="572">
        <v>50.01</v>
      </c>
      <c r="C30836" s="572">
        <v>534.77</v>
      </c>
    </row>
    <row r="30837" spans="1:3">
      <c r="A30837" s="571" t="s">
        <v>1043</v>
      </c>
      <c r="B30837" s="572">
        <v>60.14</v>
      </c>
      <c r="C30837" s="572">
        <v>573.83000000000004</v>
      </c>
    </row>
    <row r="30838" spans="1:3">
      <c r="A30838" s="571" t="s">
        <v>1043</v>
      </c>
      <c r="B30838" s="572">
        <v>70.02</v>
      </c>
      <c r="C30838" s="572">
        <v>600.61</v>
      </c>
    </row>
    <row r="30839" spans="1:3">
      <c r="A30839" s="571" t="s">
        <v>1043</v>
      </c>
      <c r="B30839" s="572">
        <v>80.150000000000006</v>
      </c>
      <c r="C30839" s="572">
        <v>623.32000000000005</v>
      </c>
    </row>
    <row r="30840" spans="1:3">
      <c r="A30840" s="571" t="s">
        <v>1043</v>
      </c>
      <c r="B30840" s="572">
        <v>90.04</v>
      </c>
      <c r="C30840" s="572">
        <v>641.91999999999996</v>
      </c>
    </row>
    <row r="30841" spans="1:3">
      <c r="A30841" s="573" t="s">
        <v>1043</v>
      </c>
      <c r="B30841" s="574">
        <v>100.16</v>
      </c>
      <c r="C30841" s="574">
        <v>658.49</v>
      </c>
    </row>
    <row r="30842" spans="1:3">
      <c r="A30842" s="573" t="s">
        <v>1043</v>
      </c>
      <c r="B30842" s="574">
        <v>110.04</v>
      </c>
      <c r="C30842" s="574">
        <v>673.01</v>
      </c>
    </row>
    <row r="30843" spans="1:3">
      <c r="A30843" s="573" t="s">
        <v>1043</v>
      </c>
      <c r="B30843" s="574">
        <v>120.42</v>
      </c>
      <c r="C30843" s="574">
        <v>685.49</v>
      </c>
    </row>
    <row r="30844" spans="1:3">
      <c r="A30844" s="573" t="s">
        <v>1043</v>
      </c>
      <c r="B30844" s="574">
        <v>130.05000000000001</v>
      </c>
      <c r="C30844" s="574">
        <v>697.96</v>
      </c>
    </row>
    <row r="30845" spans="1:3">
      <c r="A30845" s="573" t="s">
        <v>1043</v>
      </c>
      <c r="B30845" s="574">
        <v>139.93</v>
      </c>
      <c r="C30845" s="574">
        <v>704.29</v>
      </c>
    </row>
    <row r="30846" spans="1:3">
      <c r="A30846" s="573" t="s">
        <v>1043</v>
      </c>
      <c r="B30846" s="574">
        <v>150.55000000000001</v>
      </c>
      <c r="C30846" s="574">
        <v>714.74</v>
      </c>
    </row>
    <row r="30847" spans="1:3">
      <c r="A30847" s="573" t="s">
        <v>1043</v>
      </c>
      <c r="B30847" s="574">
        <v>160.18</v>
      </c>
      <c r="C30847" s="574">
        <v>727.2</v>
      </c>
    </row>
    <row r="30848" spans="1:3">
      <c r="A30848" s="573" t="s">
        <v>1043</v>
      </c>
      <c r="B30848" s="574">
        <v>170.06</v>
      </c>
      <c r="C30848" s="574">
        <v>733.54</v>
      </c>
    </row>
    <row r="30849" spans="1:3">
      <c r="A30849" s="573" t="s">
        <v>1043</v>
      </c>
      <c r="B30849" s="574">
        <v>179.94</v>
      </c>
      <c r="C30849" s="574">
        <v>739.88</v>
      </c>
    </row>
    <row r="30850" spans="1:3">
      <c r="A30850" s="573" t="s">
        <v>1043</v>
      </c>
      <c r="B30850" s="574">
        <v>190.06</v>
      </c>
      <c r="C30850" s="574">
        <v>750.31</v>
      </c>
    </row>
    <row r="30851" spans="1:3">
      <c r="A30851" s="573" t="s">
        <v>1043</v>
      </c>
      <c r="B30851" s="574">
        <v>200.93</v>
      </c>
      <c r="C30851" s="574">
        <v>754.62</v>
      </c>
    </row>
    <row r="30852" spans="1:3">
      <c r="A30852" s="573" t="s">
        <v>1043</v>
      </c>
      <c r="B30852" s="574">
        <v>204.88</v>
      </c>
      <c r="C30852" s="574">
        <v>756.75</v>
      </c>
    </row>
    <row r="30853" spans="1:3">
      <c r="A30853" s="571" t="s">
        <v>1042</v>
      </c>
      <c r="B30853" s="572">
        <v>10</v>
      </c>
      <c r="C30853" s="572">
        <v>509.41</v>
      </c>
    </row>
    <row r="30854" spans="1:3">
      <c r="A30854" s="571" t="s">
        <v>1042</v>
      </c>
      <c r="B30854" s="572">
        <v>20.14</v>
      </c>
      <c r="C30854" s="572">
        <v>552.55999999999995</v>
      </c>
    </row>
    <row r="30855" spans="1:3">
      <c r="A30855" s="571" t="s">
        <v>1042</v>
      </c>
      <c r="B30855" s="572">
        <v>30.02</v>
      </c>
      <c r="C30855" s="572">
        <v>581.39</v>
      </c>
    </row>
    <row r="30856" spans="1:3">
      <c r="A30856" s="571" t="s">
        <v>1042</v>
      </c>
      <c r="B30856" s="572">
        <v>39.92</v>
      </c>
      <c r="C30856" s="572">
        <v>681.8</v>
      </c>
    </row>
    <row r="30857" spans="1:3">
      <c r="A30857" s="571" t="s">
        <v>1042</v>
      </c>
      <c r="B30857" s="572">
        <v>50.06</v>
      </c>
      <c r="C30857" s="572">
        <v>733.13</v>
      </c>
    </row>
    <row r="30858" spans="1:3">
      <c r="A30858" s="571" t="s">
        <v>1042</v>
      </c>
      <c r="B30858" s="572">
        <v>60.19</v>
      </c>
      <c r="C30858" s="572">
        <v>766.06</v>
      </c>
    </row>
    <row r="30859" spans="1:3">
      <c r="A30859" s="571" t="s">
        <v>1042</v>
      </c>
      <c r="B30859" s="572">
        <v>70.069999999999993</v>
      </c>
      <c r="C30859" s="572">
        <v>790.8</v>
      </c>
    </row>
    <row r="30860" spans="1:3">
      <c r="A30860" s="571" t="s">
        <v>1042</v>
      </c>
      <c r="B30860" s="572">
        <v>80.2</v>
      </c>
      <c r="C30860" s="572">
        <v>805.32</v>
      </c>
    </row>
    <row r="30861" spans="1:3">
      <c r="A30861" s="571" t="s">
        <v>1042</v>
      </c>
      <c r="B30861" s="572">
        <v>90.33</v>
      </c>
      <c r="C30861" s="572">
        <v>819.84</v>
      </c>
    </row>
    <row r="30862" spans="1:3">
      <c r="A30862" s="573" t="s">
        <v>1042</v>
      </c>
      <c r="B30862" s="574">
        <v>99.96</v>
      </c>
      <c r="C30862" s="574">
        <v>830.26</v>
      </c>
    </row>
    <row r="30863" spans="1:3">
      <c r="A30863" s="573" t="s">
        <v>1042</v>
      </c>
      <c r="B30863" s="574">
        <v>110.08</v>
      </c>
      <c r="C30863" s="574">
        <v>840.7</v>
      </c>
    </row>
    <row r="30864" spans="1:3">
      <c r="A30864" s="573" t="s">
        <v>1042</v>
      </c>
      <c r="B30864" s="574">
        <v>119.96</v>
      </c>
      <c r="C30864" s="574">
        <v>851.12</v>
      </c>
    </row>
    <row r="30865" spans="1:3">
      <c r="A30865" s="573" t="s">
        <v>1042</v>
      </c>
      <c r="B30865" s="574">
        <v>130.09</v>
      </c>
      <c r="C30865" s="574">
        <v>859.51</v>
      </c>
    </row>
    <row r="30866" spans="1:3">
      <c r="A30866" s="573" t="s">
        <v>1042</v>
      </c>
      <c r="B30866" s="574">
        <v>140.21</v>
      </c>
      <c r="C30866" s="574">
        <v>865.85</v>
      </c>
    </row>
    <row r="30867" spans="1:3">
      <c r="A30867" s="573" t="s">
        <v>1042</v>
      </c>
      <c r="B30867" s="574">
        <v>150.34</v>
      </c>
      <c r="C30867" s="574">
        <v>872.2</v>
      </c>
    </row>
    <row r="30868" spans="1:3">
      <c r="A30868" s="573" t="s">
        <v>1042</v>
      </c>
      <c r="B30868" s="574">
        <v>159.97</v>
      </c>
      <c r="C30868" s="574">
        <v>876.48</v>
      </c>
    </row>
    <row r="30869" spans="1:3">
      <c r="A30869" s="573" t="s">
        <v>1042</v>
      </c>
      <c r="B30869" s="574">
        <v>170.09</v>
      </c>
      <c r="C30869" s="574">
        <v>882.82</v>
      </c>
    </row>
    <row r="30870" spans="1:3">
      <c r="A30870" s="573" t="s">
        <v>1042</v>
      </c>
      <c r="B30870" s="574">
        <v>180.22</v>
      </c>
      <c r="C30870" s="574">
        <v>889.17</v>
      </c>
    </row>
    <row r="30871" spans="1:3">
      <c r="A30871" s="573" t="s">
        <v>1042</v>
      </c>
      <c r="B30871" s="574">
        <v>190.1</v>
      </c>
      <c r="C30871" s="574">
        <v>893.46</v>
      </c>
    </row>
    <row r="30872" spans="1:3">
      <c r="A30872" s="573" t="s">
        <v>1042</v>
      </c>
      <c r="B30872" s="574">
        <v>199.97</v>
      </c>
      <c r="C30872" s="574">
        <v>897.75</v>
      </c>
    </row>
    <row r="30873" spans="1:3">
      <c r="A30873" s="573" t="s">
        <v>1042</v>
      </c>
      <c r="B30873" s="574">
        <v>204.42</v>
      </c>
      <c r="C30873" s="574">
        <v>899.89</v>
      </c>
    </row>
    <row r="30874" spans="1:3">
      <c r="A30874" s="571" t="s">
        <v>1041</v>
      </c>
      <c r="B30874" s="572">
        <v>9.92</v>
      </c>
      <c r="C30874" s="572">
        <v>167.89</v>
      </c>
    </row>
    <row r="30875" spans="1:3">
      <c r="A30875" s="571" t="s">
        <v>1041</v>
      </c>
      <c r="B30875" s="572">
        <v>20.05</v>
      </c>
      <c r="C30875" s="572">
        <v>213.09</v>
      </c>
    </row>
    <row r="30876" spans="1:3">
      <c r="A30876" s="571" t="s">
        <v>1041</v>
      </c>
      <c r="B30876" s="572">
        <v>30.18</v>
      </c>
      <c r="C30876" s="572">
        <v>231.7</v>
      </c>
    </row>
    <row r="30877" spans="1:3">
      <c r="A30877" s="571" t="s">
        <v>1041</v>
      </c>
      <c r="B30877" s="572">
        <v>40.119999999999997</v>
      </c>
      <c r="C30877" s="572">
        <v>471.17</v>
      </c>
    </row>
    <row r="30878" spans="1:3">
      <c r="A30878" s="571" t="s">
        <v>1041</v>
      </c>
      <c r="B30878" s="572">
        <v>50.26</v>
      </c>
      <c r="C30878" s="572">
        <v>555.22</v>
      </c>
    </row>
    <row r="30879" spans="1:3">
      <c r="A30879" s="571" t="s">
        <v>1041</v>
      </c>
      <c r="B30879" s="572">
        <v>60.15</v>
      </c>
      <c r="C30879" s="572">
        <v>606.54999999999995</v>
      </c>
    </row>
    <row r="30880" spans="1:3">
      <c r="A30880" s="571" t="s">
        <v>1041</v>
      </c>
      <c r="B30880" s="572">
        <v>70.03</v>
      </c>
      <c r="C30880" s="572">
        <v>637.41999999999996</v>
      </c>
    </row>
    <row r="30881" spans="1:3">
      <c r="A30881" s="571" t="s">
        <v>1041</v>
      </c>
      <c r="B30881" s="572">
        <v>79.92</v>
      </c>
      <c r="C30881" s="572">
        <v>660.12</v>
      </c>
    </row>
    <row r="30882" spans="1:3">
      <c r="A30882" s="571" t="s">
        <v>1041</v>
      </c>
      <c r="B30882" s="572">
        <v>90.05</v>
      </c>
      <c r="C30882" s="572">
        <v>684.87</v>
      </c>
    </row>
    <row r="30883" spans="1:3">
      <c r="A30883" s="573" t="s">
        <v>1041</v>
      </c>
      <c r="B30883" s="574">
        <v>100.17</v>
      </c>
      <c r="C30883" s="574">
        <v>703.48</v>
      </c>
    </row>
    <row r="30884" spans="1:3">
      <c r="A30884" s="573" t="s">
        <v>1041</v>
      </c>
      <c r="B30884" s="574">
        <v>110.05</v>
      </c>
      <c r="C30884" s="574">
        <v>713.91</v>
      </c>
    </row>
    <row r="30885" spans="1:3">
      <c r="A30885" s="573" t="s">
        <v>1041</v>
      </c>
      <c r="B30885" s="574">
        <v>119.93</v>
      </c>
      <c r="C30885" s="574">
        <v>724.33</v>
      </c>
    </row>
    <row r="30886" spans="1:3">
      <c r="A30886" s="573" t="s">
        <v>1041</v>
      </c>
      <c r="B30886" s="574">
        <v>130.06</v>
      </c>
      <c r="C30886" s="574">
        <v>736.81</v>
      </c>
    </row>
    <row r="30887" spans="1:3">
      <c r="A30887" s="573" t="s">
        <v>1041</v>
      </c>
      <c r="B30887" s="574">
        <v>140.18</v>
      </c>
      <c r="C30887" s="574">
        <v>745.2</v>
      </c>
    </row>
    <row r="30888" spans="1:3">
      <c r="A30888" s="573" t="s">
        <v>1041</v>
      </c>
      <c r="B30888" s="574">
        <v>150.06</v>
      </c>
      <c r="C30888" s="574">
        <v>755.63</v>
      </c>
    </row>
    <row r="30889" spans="1:3">
      <c r="A30889" s="573" t="s">
        <v>1041</v>
      </c>
      <c r="B30889" s="574">
        <v>160.19</v>
      </c>
      <c r="C30889" s="574">
        <v>764.01</v>
      </c>
    </row>
    <row r="30890" spans="1:3">
      <c r="A30890" s="573" t="s">
        <v>1041</v>
      </c>
      <c r="B30890" s="574">
        <v>170.07</v>
      </c>
      <c r="C30890" s="574">
        <v>770.35</v>
      </c>
    </row>
    <row r="30891" spans="1:3">
      <c r="A30891" s="573" t="s">
        <v>1041</v>
      </c>
      <c r="B30891" s="574">
        <v>180.19</v>
      </c>
      <c r="C30891" s="574">
        <v>778.74</v>
      </c>
    </row>
    <row r="30892" spans="1:3">
      <c r="A30892" s="573" t="s">
        <v>1041</v>
      </c>
      <c r="B30892" s="574">
        <v>190.07</v>
      </c>
      <c r="C30892" s="574">
        <v>783.03</v>
      </c>
    </row>
    <row r="30893" spans="1:3">
      <c r="A30893" s="573" t="s">
        <v>1041</v>
      </c>
      <c r="B30893" s="574">
        <v>200.19</v>
      </c>
      <c r="C30893" s="574">
        <v>789.37</v>
      </c>
    </row>
    <row r="30894" spans="1:3">
      <c r="A30894" s="573" t="s">
        <v>1041</v>
      </c>
      <c r="B30894" s="574">
        <v>204.89</v>
      </c>
      <c r="C30894" s="574">
        <v>789.47</v>
      </c>
    </row>
    <row r="30895" spans="1:3">
      <c r="A30895" s="571" t="s">
        <v>1039</v>
      </c>
      <c r="B30895" s="572">
        <v>3</v>
      </c>
      <c r="C30895" s="572">
        <v>70</v>
      </c>
    </row>
    <row r="30896" spans="1:3">
      <c r="A30896" s="571" t="s">
        <v>1039</v>
      </c>
      <c r="B30896" s="572">
        <v>7</v>
      </c>
      <c r="C30896" s="572">
        <v>120</v>
      </c>
    </row>
    <row r="30897" spans="1:3">
      <c r="A30897" s="571" t="s">
        <v>1039</v>
      </c>
      <c r="B30897" s="572">
        <v>10</v>
      </c>
      <c r="C30897" s="572">
        <v>140</v>
      </c>
    </row>
    <row r="30898" spans="1:3">
      <c r="A30898" s="571" t="s">
        <v>1039</v>
      </c>
      <c r="B30898" s="572">
        <v>14</v>
      </c>
      <c r="C30898" s="572">
        <v>180</v>
      </c>
    </row>
    <row r="30899" spans="1:3">
      <c r="A30899" s="571" t="s">
        <v>1039</v>
      </c>
      <c r="B30899" s="572">
        <v>21</v>
      </c>
      <c r="C30899" s="572">
        <v>210</v>
      </c>
    </row>
    <row r="30900" spans="1:3">
      <c r="A30900" s="571" t="s">
        <v>1039</v>
      </c>
      <c r="B30900" s="572">
        <v>28</v>
      </c>
      <c r="C30900" s="572">
        <v>240</v>
      </c>
    </row>
    <row r="30901" spans="1:3">
      <c r="A30901" s="571" t="s">
        <v>1039</v>
      </c>
      <c r="B30901" s="572">
        <v>42</v>
      </c>
      <c r="C30901" s="572">
        <v>320</v>
      </c>
    </row>
    <row r="30902" spans="1:3">
      <c r="A30902" s="571" t="s">
        <v>1039</v>
      </c>
      <c r="B30902" s="572">
        <v>56</v>
      </c>
      <c r="C30902" s="572">
        <v>370</v>
      </c>
    </row>
    <row r="30903" spans="1:3">
      <c r="A30903" s="571" t="s">
        <v>1039</v>
      </c>
      <c r="B30903" s="572">
        <v>70</v>
      </c>
      <c r="C30903" s="572">
        <v>430</v>
      </c>
    </row>
    <row r="30904" spans="1:3">
      <c r="A30904" s="571" t="s">
        <v>1039</v>
      </c>
      <c r="B30904" s="572">
        <v>84</v>
      </c>
      <c r="C30904" s="572">
        <v>520</v>
      </c>
    </row>
    <row r="30905" spans="1:3">
      <c r="A30905" s="573" t="s">
        <v>1039</v>
      </c>
      <c r="B30905" s="574">
        <v>105</v>
      </c>
      <c r="C30905" s="574">
        <v>540</v>
      </c>
    </row>
    <row r="30906" spans="1:3">
      <c r="A30906" s="573" t="s">
        <v>1039</v>
      </c>
      <c r="B30906" s="574">
        <v>126</v>
      </c>
      <c r="C30906" s="574">
        <v>580</v>
      </c>
    </row>
    <row r="30907" spans="1:3">
      <c r="A30907" s="573" t="s">
        <v>1039</v>
      </c>
      <c r="B30907" s="574">
        <v>140</v>
      </c>
      <c r="C30907" s="574">
        <v>660</v>
      </c>
    </row>
    <row r="30908" spans="1:3">
      <c r="A30908" s="573" t="s">
        <v>1039</v>
      </c>
      <c r="B30908" s="574">
        <v>147</v>
      </c>
      <c r="C30908" s="574">
        <v>650</v>
      </c>
    </row>
    <row r="30909" spans="1:3">
      <c r="A30909" s="573" t="s">
        <v>1039</v>
      </c>
      <c r="B30909" s="574">
        <v>168</v>
      </c>
      <c r="C30909" s="574">
        <v>670</v>
      </c>
    </row>
    <row r="30910" spans="1:3">
      <c r="A30910" s="573" t="s">
        <v>1039</v>
      </c>
      <c r="B30910" s="574">
        <v>196</v>
      </c>
      <c r="C30910" s="574">
        <v>690</v>
      </c>
    </row>
    <row r="30911" spans="1:3">
      <c r="A30911" s="573" t="s">
        <v>1039</v>
      </c>
      <c r="B30911" s="574">
        <v>210</v>
      </c>
      <c r="C30911" s="574">
        <v>780</v>
      </c>
    </row>
    <row r="30912" spans="1:3">
      <c r="A30912" s="573" t="s">
        <v>1039</v>
      </c>
      <c r="B30912" s="574">
        <v>224</v>
      </c>
      <c r="C30912" s="574">
        <v>810</v>
      </c>
    </row>
    <row r="30913" spans="1:3">
      <c r="A30913" s="573" t="s">
        <v>1039</v>
      </c>
      <c r="B30913" s="574">
        <v>252</v>
      </c>
      <c r="C30913" s="574">
        <v>810</v>
      </c>
    </row>
    <row r="30914" spans="1:3">
      <c r="A30914" s="573" t="s">
        <v>1039</v>
      </c>
      <c r="B30914" s="574">
        <v>280</v>
      </c>
      <c r="C30914" s="574">
        <v>770</v>
      </c>
    </row>
    <row r="30915" spans="1:3">
      <c r="A30915" s="573" t="s">
        <v>1039</v>
      </c>
      <c r="B30915" s="574">
        <v>308</v>
      </c>
      <c r="C30915" s="574">
        <v>760</v>
      </c>
    </row>
    <row r="30916" spans="1:3">
      <c r="A30916" s="573" t="s">
        <v>1039</v>
      </c>
      <c r="B30916" s="574">
        <v>336</v>
      </c>
      <c r="C30916" s="574">
        <v>700</v>
      </c>
    </row>
    <row r="30917" spans="1:3">
      <c r="A30917" s="573" t="s">
        <v>1039</v>
      </c>
      <c r="B30917" s="574">
        <v>364</v>
      </c>
      <c r="C30917" s="574">
        <v>680</v>
      </c>
    </row>
    <row r="30918" spans="1:3">
      <c r="A30918" s="573" t="s">
        <v>1039</v>
      </c>
      <c r="B30918" s="574">
        <v>392</v>
      </c>
      <c r="C30918" s="574">
        <v>660</v>
      </c>
    </row>
    <row r="30919" spans="1:3">
      <c r="A30919" s="573" t="s">
        <v>1039</v>
      </c>
      <c r="B30919" s="574">
        <v>420</v>
      </c>
      <c r="C30919" s="574">
        <v>690</v>
      </c>
    </row>
    <row r="30920" spans="1:3">
      <c r="A30920" s="573" t="s">
        <v>1039</v>
      </c>
      <c r="B30920" s="574">
        <v>448</v>
      </c>
      <c r="C30920" s="574">
        <v>710</v>
      </c>
    </row>
    <row r="30921" spans="1:3">
      <c r="A30921" s="573" t="s">
        <v>1039</v>
      </c>
      <c r="B30921" s="574">
        <v>476</v>
      </c>
      <c r="C30921" s="574">
        <v>760</v>
      </c>
    </row>
    <row r="30922" spans="1:3">
      <c r="A30922" s="569" t="s">
        <v>1039</v>
      </c>
      <c r="B30922" s="570">
        <v>504</v>
      </c>
      <c r="C30922" s="570">
        <v>770</v>
      </c>
    </row>
    <row r="30923" spans="1:3">
      <c r="A30923" s="569" t="s">
        <v>1039</v>
      </c>
      <c r="B30923" s="570">
        <v>532</v>
      </c>
      <c r="C30923" s="570">
        <v>710</v>
      </c>
    </row>
    <row r="30924" spans="1:3">
      <c r="A30924" s="569" t="s">
        <v>1039</v>
      </c>
      <c r="B30924" s="570">
        <v>560</v>
      </c>
      <c r="C30924" s="570">
        <v>730</v>
      </c>
    </row>
    <row r="30925" spans="1:3">
      <c r="A30925" s="569" t="s">
        <v>1039</v>
      </c>
      <c r="B30925" s="570">
        <v>588</v>
      </c>
      <c r="C30925" s="570">
        <v>790</v>
      </c>
    </row>
    <row r="30926" spans="1:3">
      <c r="A30926" s="569" t="s">
        <v>1039</v>
      </c>
      <c r="B30926" s="570">
        <v>616</v>
      </c>
      <c r="C30926" s="570">
        <v>750</v>
      </c>
    </row>
    <row r="30927" spans="1:3">
      <c r="A30927" s="569" t="s">
        <v>1039</v>
      </c>
      <c r="B30927" s="570">
        <v>630</v>
      </c>
      <c r="C30927" s="570">
        <v>760</v>
      </c>
    </row>
    <row r="30928" spans="1:3">
      <c r="A30928" s="569" t="s">
        <v>1039</v>
      </c>
      <c r="B30928" s="570">
        <v>644</v>
      </c>
      <c r="C30928" s="570">
        <v>730</v>
      </c>
    </row>
    <row r="30929" spans="1:3">
      <c r="A30929" s="571" t="s">
        <v>1038</v>
      </c>
      <c r="B30929" s="572">
        <v>3</v>
      </c>
      <c r="C30929" s="572">
        <v>60</v>
      </c>
    </row>
    <row r="30930" spans="1:3">
      <c r="A30930" s="571" t="s">
        <v>1038</v>
      </c>
      <c r="B30930" s="572">
        <v>7</v>
      </c>
      <c r="C30930" s="572">
        <v>120</v>
      </c>
    </row>
    <row r="30931" spans="1:3">
      <c r="A30931" s="571" t="s">
        <v>1038</v>
      </c>
      <c r="B30931" s="572">
        <v>10</v>
      </c>
      <c r="C30931" s="572">
        <v>160</v>
      </c>
    </row>
    <row r="30932" spans="1:3">
      <c r="A30932" s="571" t="s">
        <v>1038</v>
      </c>
      <c r="B30932" s="572">
        <v>14</v>
      </c>
      <c r="C30932" s="572">
        <v>190</v>
      </c>
    </row>
    <row r="30933" spans="1:3">
      <c r="A30933" s="571" t="s">
        <v>1038</v>
      </c>
      <c r="B30933" s="572">
        <v>21</v>
      </c>
      <c r="C30933" s="572">
        <v>260</v>
      </c>
    </row>
    <row r="30934" spans="1:3">
      <c r="A30934" s="571" t="s">
        <v>1038</v>
      </c>
      <c r="B30934" s="572">
        <v>28</v>
      </c>
      <c r="C30934" s="572">
        <v>300</v>
      </c>
    </row>
    <row r="30935" spans="1:3">
      <c r="A30935" s="571" t="s">
        <v>1038</v>
      </c>
      <c r="B30935" s="572">
        <v>35</v>
      </c>
      <c r="C30935" s="572">
        <v>340</v>
      </c>
    </row>
    <row r="30936" spans="1:3">
      <c r="A30936" s="571" t="s">
        <v>1038</v>
      </c>
      <c r="B30936" s="572">
        <v>42</v>
      </c>
      <c r="C30936" s="572">
        <v>370</v>
      </c>
    </row>
    <row r="30937" spans="1:3">
      <c r="A30937" s="571" t="s">
        <v>1038</v>
      </c>
      <c r="B30937" s="572">
        <v>56</v>
      </c>
      <c r="C30937" s="572">
        <v>370</v>
      </c>
    </row>
    <row r="30938" spans="1:3">
      <c r="A30938" s="571" t="s">
        <v>1038</v>
      </c>
      <c r="B30938" s="572">
        <v>70</v>
      </c>
      <c r="C30938" s="572">
        <v>390</v>
      </c>
    </row>
    <row r="30939" spans="1:3">
      <c r="A30939" s="571" t="s">
        <v>1038</v>
      </c>
      <c r="B30939" s="572">
        <v>84</v>
      </c>
      <c r="C30939" s="572">
        <v>400</v>
      </c>
    </row>
    <row r="30940" spans="1:3">
      <c r="A30940" s="573" t="s">
        <v>1038</v>
      </c>
      <c r="B30940" s="574">
        <v>105</v>
      </c>
      <c r="C30940" s="574">
        <v>380</v>
      </c>
    </row>
    <row r="30941" spans="1:3">
      <c r="A30941" s="573" t="s">
        <v>1038</v>
      </c>
      <c r="B30941" s="574">
        <v>126</v>
      </c>
      <c r="C30941" s="574">
        <v>400</v>
      </c>
    </row>
    <row r="30942" spans="1:3">
      <c r="A30942" s="573" t="s">
        <v>1038</v>
      </c>
      <c r="B30942" s="574">
        <v>140</v>
      </c>
      <c r="C30942" s="574">
        <v>390</v>
      </c>
    </row>
    <row r="30943" spans="1:3">
      <c r="A30943" s="573" t="s">
        <v>1038</v>
      </c>
      <c r="B30943" s="574">
        <v>147</v>
      </c>
      <c r="C30943" s="574">
        <v>370</v>
      </c>
    </row>
    <row r="30944" spans="1:3">
      <c r="A30944" s="573" t="s">
        <v>1038</v>
      </c>
      <c r="B30944" s="574">
        <v>168</v>
      </c>
      <c r="C30944" s="574">
        <v>390</v>
      </c>
    </row>
    <row r="30945" spans="1:3">
      <c r="A30945" s="573" t="s">
        <v>1038</v>
      </c>
      <c r="B30945" s="574">
        <v>196</v>
      </c>
      <c r="C30945" s="574">
        <v>410</v>
      </c>
    </row>
    <row r="30946" spans="1:3">
      <c r="A30946" s="573" t="s">
        <v>1038</v>
      </c>
      <c r="B30946" s="574">
        <v>210</v>
      </c>
      <c r="C30946" s="574">
        <v>410</v>
      </c>
    </row>
    <row r="30947" spans="1:3">
      <c r="A30947" s="573" t="s">
        <v>1038</v>
      </c>
      <c r="B30947" s="574">
        <v>224</v>
      </c>
      <c r="C30947" s="574">
        <v>440</v>
      </c>
    </row>
    <row r="30948" spans="1:3">
      <c r="A30948" s="573" t="s">
        <v>1038</v>
      </c>
      <c r="B30948" s="574">
        <v>252</v>
      </c>
      <c r="C30948" s="574">
        <v>440</v>
      </c>
    </row>
    <row r="30949" spans="1:3">
      <c r="A30949" s="573" t="s">
        <v>1038</v>
      </c>
      <c r="B30949" s="574">
        <v>280</v>
      </c>
      <c r="C30949" s="574">
        <v>450</v>
      </c>
    </row>
    <row r="30950" spans="1:3">
      <c r="A30950" s="573" t="s">
        <v>1038</v>
      </c>
      <c r="B30950" s="574">
        <v>308</v>
      </c>
      <c r="C30950" s="574">
        <v>500</v>
      </c>
    </row>
    <row r="30951" spans="1:3">
      <c r="A30951" s="573" t="s">
        <v>1038</v>
      </c>
      <c r="B30951" s="574">
        <v>336</v>
      </c>
      <c r="C30951" s="574">
        <v>440</v>
      </c>
    </row>
    <row r="30952" spans="1:3">
      <c r="A30952" s="573" t="s">
        <v>1038</v>
      </c>
      <c r="B30952" s="574">
        <v>364</v>
      </c>
      <c r="C30952" s="574">
        <v>530</v>
      </c>
    </row>
    <row r="30953" spans="1:3">
      <c r="A30953" s="573" t="s">
        <v>1038</v>
      </c>
      <c r="B30953" s="574">
        <v>392</v>
      </c>
      <c r="C30953" s="574">
        <v>540</v>
      </c>
    </row>
    <row r="30954" spans="1:3">
      <c r="A30954" s="573" t="s">
        <v>1038</v>
      </c>
      <c r="B30954" s="574">
        <v>420</v>
      </c>
      <c r="C30954" s="574">
        <v>510</v>
      </c>
    </row>
    <row r="30955" spans="1:3">
      <c r="A30955" s="573" t="s">
        <v>1038</v>
      </c>
      <c r="B30955" s="574">
        <v>448</v>
      </c>
      <c r="C30955" s="574">
        <v>510</v>
      </c>
    </row>
    <row r="30956" spans="1:3">
      <c r="A30956" s="573" t="s">
        <v>1038</v>
      </c>
      <c r="B30956" s="574">
        <v>476</v>
      </c>
      <c r="C30956" s="574">
        <v>480</v>
      </c>
    </row>
    <row r="30957" spans="1:3">
      <c r="A30957" s="569" t="s">
        <v>1038</v>
      </c>
      <c r="B30957" s="570">
        <v>504</v>
      </c>
      <c r="C30957" s="570">
        <v>420</v>
      </c>
    </row>
    <row r="30958" spans="1:3">
      <c r="A30958" s="569" t="s">
        <v>1038</v>
      </c>
      <c r="B30958" s="570">
        <v>532</v>
      </c>
      <c r="C30958" s="570">
        <v>440</v>
      </c>
    </row>
    <row r="30959" spans="1:3">
      <c r="A30959" s="569" t="s">
        <v>1038</v>
      </c>
      <c r="B30959" s="570">
        <v>560</v>
      </c>
      <c r="C30959" s="570">
        <v>440</v>
      </c>
    </row>
    <row r="30960" spans="1:3">
      <c r="A30960" s="569" t="s">
        <v>1038</v>
      </c>
      <c r="B30960" s="570">
        <v>588</v>
      </c>
      <c r="C30960" s="570">
        <v>450</v>
      </c>
    </row>
    <row r="30961" spans="1:3">
      <c r="A30961" s="569" t="s">
        <v>1038</v>
      </c>
      <c r="B30961" s="570">
        <v>616</v>
      </c>
      <c r="C30961" s="570">
        <v>480</v>
      </c>
    </row>
    <row r="30962" spans="1:3">
      <c r="A30962" s="569" t="s">
        <v>1038</v>
      </c>
      <c r="B30962" s="570">
        <v>644</v>
      </c>
      <c r="C30962" s="570">
        <v>510</v>
      </c>
    </row>
    <row r="30963" spans="1:3">
      <c r="A30963" s="569" t="s">
        <v>1038</v>
      </c>
      <c r="B30963" s="570">
        <v>672</v>
      </c>
      <c r="C30963" s="570">
        <v>490</v>
      </c>
    </row>
    <row r="30964" spans="1:3">
      <c r="A30964" s="569" t="s">
        <v>1038</v>
      </c>
      <c r="B30964" s="570">
        <v>700</v>
      </c>
      <c r="C30964" s="570">
        <v>460</v>
      </c>
    </row>
    <row r="30965" spans="1:3">
      <c r="A30965" s="569" t="s">
        <v>1038</v>
      </c>
      <c r="B30965" s="570">
        <v>728</v>
      </c>
      <c r="C30965" s="570">
        <v>560</v>
      </c>
    </row>
    <row r="30966" spans="1:3">
      <c r="A30966" s="569" t="s">
        <v>1038</v>
      </c>
      <c r="B30966" s="570">
        <v>756</v>
      </c>
      <c r="C30966" s="570">
        <v>520</v>
      </c>
    </row>
    <row r="30967" spans="1:3">
      <c r="A30967" s="569" t="s">
        <v>1038</v>
      </c>
      <c r="B30967" s="570">
        <v>784</v>
      </c>
      <c r="C30967" s="570">
        <v>510</v>
      </c>
    </row>
    <row r="30968" spans="1:3">
      <c r="A30968" s="569" t="s">
        <v>1038</v>
      </c>
      <c r="B30968" s="570">
        <v>798</v>
      </c>
      <c r="C30968" s="570">
        <v>490</v>
      </c>
    </row>
    <row r="30969" spans="1:3">
      <c r="A30969" s="571" t="s">
        <v>1037</v>
      </c>
      <c r="B30969" s="572">
        <v>3</v>
      </c>
      <c r="C30969" s="572">
        <v>110</v>
      </c>
    </row>
    <row r="30970" spans="1:3">
      <c r="A30970" s="571" t="s">
        <v>1037</v>
      </c>
      <c r="B30970" s="572">
        <v>7</v>
      </c>
      <c r="C30970" s="572">
        <v>150</v>
      </c>
    </row>
    <row r="30971" spans="1:3">
      <c r="A30971" s="571" t="s">
        <v>1037</v>
      </c>
      <c r="B30971" s="572">
        <v>10</v>
      </c>
      <c r="C30971" s="572">
        <v>190</v>
      </c>
    </row>
    <row r="30972" spans="1:3">
      <c r="A30972" s="571" t="s">
        <v>1037</v>
      </c>
      <c r="B30972" s="572">
        <v>14</v>
      </c>
      <c r="C30972" s="572">
        <v>230</v>
      </c>
    </row>
    <row r="30973" spans="1:3">
      <c r="A30973" s="571" t="s">
        <v>1037</v>
      </c>
      <c r="B30973" s="572">
        <v>21</v>
      </c>
      <c r="C30973" s="572">
        <v>270</v>
      </c>
    </row>
    <row r="30974" spans="1:3">
      <c r="A30974" s="571" t="s">
        <v>1037</v>
      </c>
      <c r="B30974" s="572">
        <v>28</v>
      </c>
      <c r="C30974" s="572">
        <v>350</v>
      </c>
    </row>
    <row r="30975" spans="1:3">
      <c r="A30975" s="571" t="s">
        <v>1037</v>
      </c>
      <c r="B30975" s="572">
        <v>35</v>
      </c>
      <c r="C30975" s="572">
        <v>390</v>
      </c>
    </row>
    <row r="30976" spans="1:3">
      <c r="A30976" s="571" t="s">
        <v>1037</v>
      </c>
      <c r="B30976" s="572">
        <v>42</v>
      </c>
      <c r="C30976" s="572">
        <v>420</v>
      </c>
    </row>
    <row r="30977" spans="1:3">
      <c r="A30977" s="571" t="s">
        <v>1037</v>
      </c>
      <c r="B30977" s="572">
        <v>56</v>
      </c>
      <c r="C30977" s="572">
        <v>520</v>
      </c>
    </row>
    <row r="30978" spans="1:3">
      <c r="A30978" s="571" t="s">
        <v>1037</v>
      </c>
      <c r="B30978" s="572">
        <v>70</v>
      </c>
      <c r="C30978" s="572">
        <v>560</v>
      </c>
    </row>
    <row r="30979" spans="1:3">
      <c r="A30979" s="571" t="s">
        <v>1037</v>
      </c>
      <c r="B30979" s="572">
        <v>84</v>
      </c>
      <c r="C30979" s="572">
        <v>610</v>
      </c>
    </row>
    <row r="30980" spans="1:3">
      <c r="A30980" s="573" t="s">
        <v>1037</v>
      </c>
      <c r="B30980" s="574">
        <v>105</v>
      </c>
      <c r="C30980" s="574">
        <v>640</v>
      </c>
    </row>
    <row r="30981" spans="1:3">
      <c r="A30981" s="573" t="s">
        <v>1037</v>
      </c>
      <c r="B30981" s="574">
        <v>126</v>
      </c>
      <c r="C30981" s="574">
        <v>770</v>
      </c>
    </row>
    <row r="30982" spans="1:3">
      <c r="A30982" s="573" t="s">
        <v>1037</v>
      </c>
      <c r="B30982" s="574">
        <v>140</v>
      </c>
      <c r="C30982" s="574">
        <v>800</v>
      </c>
    </row>
    <row r="30983" spans="1:3">
      <c r="A30983" s="573" t="s">
        <v>1037</v>
      </c>
      <c r="B30983" s="574">
        <v>147</v>
      </c>
      <c r="C30983" s="574">
        <v>760</v>
      </c>
    </row>
    <row r="30984" spans="1:3">
      <c r="A30984" s="573" t="s">
        <v>1037</v>
      </c>
      <c r="B30984" s="574">
        <v>168</v>
      </c>
      <c r="C30984" s="574">
        <v>770</v>
      </c>
    </row>
    <row r="30985" spans="1:3">
      <c r="A30985" s="573" t="s">
        <v>1037</v>
      </c>
      <c r="B30985" s="574">
        <v>196</v>
      </c>
      <c r="C30985" s="574">
        <v>780</v>
      </c>
    </row>
    <row r="30986" spans="1:3">
      <c r="A30986" s="573" t="s">
        <v>1037</v>
      </c>
      <c r="B30986" s="574">
        <v>210</v>
      </c>
      <c r="C30986" s="574">
        <v>770</v>
      </c>
    </row>
    <row r="30987" spans="1:3">
      <c r="A30987" s="573" t="s">
        <v>1037</v>
      </c>
      <c r="B30987" s="574">
        <v>224</v>
      </c>
      <c r="C30987" s="574">
        <v>730</v>
      </c>
    </row>
    <row r="30988" spans="1:3">
      <c r="A30988" s="573" t="s">
        <v>1037</v>
      </c>
      <c r="B30988" s="574">
        <v>252</v>
      </c>
      <c r="C30988" s="574">
        <v>660</v>
      </c>
    </row>
    <row r="30989" spans="1:3">
      <c r="A30989" s="573" t="s">
        <v>1037</v>
      </c>
      <c r="B30989" s="574">
        <v>280</v>
      </c>
      <c r="C30989" s="574">
        <v>610</v>
      </c>
    </row>
    <row r="30990" spans="1:3">
      <c r="A30990" s="573" t="s">
        <v>1037</v>
      </c>
      <c r="B30990" s="574">
        <v>308</v>
      </c>
      <c r="C30990" s="574">
        <v>660</v>
      </c>
    </row>
    <row r="30991" spans="1:3">
      <c r="A30991" s="573" t="s">
        <v>1037</v>
      </c>
      <c r="B30991" s="574">
        <v>336</v>
      </c>
      <c r="C30991" s="574">
        <v>690</v>
      </c>
    </row>
    <row r="30992" spans="1:3">
      <c r="A30992" s="573" t="s">
        <v>1037</v>
      </c>
      <c r="B30992" s="574">
        <v>364</v>
      </c>
      <c r="C30992" s="574">
        <v>700</v>
      </c>
    </row>
    <row r="30993" spans="1:3">
      <c r="A30993" s="573" t="s">
        <v>1037</v>
      </c>
      <c r="B30993" s="574">
        <v>392</v>
      </c>
      <c r="C30993" s="574">
        <v>730</v>
      </c>
    </row>
    <row r="30994" spans="1:3">
      <c r="A30994" s="573" t="s">
        <v>1037</v>
      </c>
      <c r="B30994" s="574">
        <v>420</v>
      </c>
      <c r="C30994" s="574">
        <v>740</v>
      </c>
    </row>
    <row r="30995" spans="1:3">
      <c r="A30995" s="573" t="s">
        <v>1037</v>
      </c>
      <c r="B30995" s="574">
        <v>448</v>
      </c>
      <c r="C30995" s="574">
        <v>700</v>
      </c>
    </row>
    <row r="30996" spans="1:3">
      <c r="A30996" s="573" t="s">
        <v>1037</v>
      </c>
      <c r="B30996" s="574">
        <v>476</v>
      </c>
      <c r="C30996" s="574">
        <v>750</v>
      </c>
    </row>
    <row r="30997" spans="1:3">
      <c r="A30997" s="569" t="s">
        <v>1037</v>
      </c>
      <c r="B30997" s="570">
        <v>504</v>
      </c>
      <c r="C30997" s="570">
        <v>790</v>
      </c>
    </row>
    <row r="30998" spans="1:3">
      <c r="A30998" s="571" t="s">
        <v>1036</v>
      </c>
      <c r="B30998" s="572">
        <v>3</v>
      </c>
      <c r="C30998" s="572">
        <v>90</v>
      </c>
    </row>
    <row r="30999" spans="1:3">
      <c r="A30999" s="571" t="s">
        <v>1036</v>
      </c>
      <c r="B30999" s="572">
        <v>7</v>
      </c>
      <c r="C30999" s="572">
        <v>130</v>
      </c>
    </row>
    <row r="31000" spans="1:3">
      <c r="A31000" s="571" t="s">
        <v>1036</v>
      </c>
      <c r="B31000" s="572">
        <v>10</v>
      </c>
      <c r="C31000" s="572">
        <v>190</v>
      </c>
    </row>
    <row r="31001" spans="1:3">
      <c r="A31001" s="571" t="s">
        <v>1036</v>
      </c>
      <c r="B31001" s="572">
        <v>14</v>
      </c>
      <c r="C31001" s="572">
        <v>230</v>
      </c>
    </row>
    <row r="31002" spans="1:3">
      <c r="A31002" s="571" t="s">
        <v>1036</v>
      </c>
      <c r="B31002" s="572">
        <v>21</v>
      </c>
      <c r="C31002" s="572">
        <v>280</v>
      </c>
    </row>
    <row r="31003" spans="1:3">
      <c r="A31003" s="571" t="s">
        <v>1036</v>
      </c>
      <c r="B31003" s="572">
        <v>28</v>
      </c>
      <c r="C31003" s="572">
        <v>280</v>
      </c>
    </row>
    <row r="31004" spans="1:3">
      <c r="A31004" s="571" t="s">
        <v>1036</v>
      </c>
      <c r="B31004" s="572">
        <v>42</v>
      </c>
      <c r="C31004" s="572">
        <v>340</v>
      </c>
    </row>
    <row r="31005" spans="1:3">
      <c r="A31005" s="571" t="s">
        <v>1036</v>
      </c>
      <c r="B31005" s="572">
        <v>56</v>
      </c>
      <c r="C31005" s="572">
        <v>400</v>
      </c>
    </row>
    <row r="31006" spans="1:3">
      <c r="A31006" s="571" t="s">
        <v>1036</v>
      </c>
      <c r="B31006" s="572">
        <v>70</v>
      </c>
      <c r="C31006" s="572">
        <v>420</v>
      </c>
    </row>
    <row r="31007" spans="1:3">
      <c r="A31007" s="571" t="s">
        <v>1036</v>
      </c>
      <c r="B31007" s="572">
        <v>84</v>
      </c>
      <c r="C31007" s="572">
        <v>410</v>
      </c>
    </row>
    <row r="31008" spans="1:3">
      <c r="A31008" s="573" t="s">
        <v>1036</v>
      </c>
      <c r="B31008" s="574">
        <v>105</v>
      </c>
      <c r="C31008" s="574">
        <v>440</v>
      </c>
    </row>
    <row r="31009" spans="1:3">
      <c r="A31009" s="573" t="s">
        <v>1036</v>
      </c>
      <c r="B31009" s="574">
        <v>126</v>
      </c>
      <c r="C31009" s="574">
        <v>450</v>
      </c>
    </row>
    <row r="31010" spans="1:3">
      <c r="A31010" s="573" t="s">
        <v>1036</v>
      </c>
      <c r="B31010" s="574">
        <v>140</v>
      </c>
      <c r="C31010" s="574">
        <v>500</v>
      </c>
    </row>
    <row r="31011" spans="1:3">
      <c r="A31011" s="573" t="s">
        <v>1036</v>
      </c>
      <c r="B31011" s="574">
        <v>147</v>
      </c>
      <c r="C31011" s="574">
        <v>500</v>
      </c>
    </row>
    <row r="31012" spans="1:3">
      <c r="A31012" s="573" t="s">
        <v>1036</v>
      </c>
      <c r="B31012" s="574">
        <v>168</v>
      </c>
      <c r="C31012" s="574">
        <v>550</v>
      </c>
    </row>
    <row r="31013" spans="1:3">
      <c r="A31013" s="573" t="s">
        <v>1036</v>
      </c>
      <c r="B31013" s="574">
        <v>196</v>
      </c>
      <c r="C31013" s="574">
        <v>570</v>
      </c>
    </row>
    <row r="31014" spans="1:3">
      <c r="A31014" s="573" t="s">
        <v>1036</v>
      </c>
      <c r="B31014" s="574">
        <v>210</v>
      </c>
      <c r="C31014" s="574">
        <v>570</v>
      </c>
    </row>
    <row r="31015" spans="1:3">
      <c r="A31015" s="573" t="s">
        <v>1036</v>
      </c>
      <c r="B31015" s="574">
        <v>224</v>
      </c>
      <c r="C31015" s="574">
        <v>570</v>
      </c>
    </row>
    <row r="31016" spans="1:3">
      <c r="A31016" s="573" t="s">
        <v>1036</v>
      </c>
      <c r="B31016" s="574">
        <v>252</v>
      </c>
      <c r="C31016" s="574">
        <v>600</v>
      </c>
    </row>
    <row r="31017" spans="1:3">
      <c r="A31017" s="573" t="s">
        <v>1036</v>
      </c>
      <c r="B31017" s="574">
        <v>280</v>
      </c>
      <c r="C31017" s="574">
        <v>640</v>
      </c>
    </row>
    <row r="31018" spans="1:3">
      <c r="A31018" s="573" t="s">
        <v>1036</v>
      </c>
      <c r="B31018" s="574">
        <v>308</v>
      </c>
      <c r="C31018" s="574">
        <v>720</v>
      </c>
    </row>
    <row r="31019" spans="1:3">
      <c r="A31019" s="573" t="s">
        <v>1036</v>
      </c>
      <c r="B31019" s="574">
        <v>336</v>
      </c>
      <c r="C31019" s="574">
        <v>710</v>
      </c>
    </row>
    <row r="31020" spans="1:3">
      <c r="A31020" s="573" t="s">
        <v>1036</v>
      </c>
      <c r="B31020" s="574">
        <v>364</v>
      </c>
      <c r="C31020" s="574">
        <v>660</v>
      </c>
    </row>
    <row r="31021" spans="1:3">
      <c r="A31021" s="573" t="s">
        <v>1036</v>
      </c>
      <c r="B31021" s="574">
        <v>392</v>
      </c>
      <c r="C31021" s="574">
        <v>700</v>
      </c>
    </row>
    <row r="31022" spans="1:3">
      <c r="A31022" s="573" t="s">
        <v>1036</v>
      </c>
      <c r="B31022" s="574">
        <v>420</v>
      </c>
      <c r="C31022" s="574">
        <v>650</v>
      </c>
    </row>
    <row r="31023" spans="1:3">
      <c r="A31023" s="573" t="s">
        <v>1036</v>
      </c>
      <c r="B31023" s="574">
        <v>448</v>
      </c>
      <c r="C31023" s="574">
        <v>590</v>
      </c>
    </row>
    <row r="31024" spans="1:3">
      <c r="A31024" s="573" t="s">
        <v>1036</v>
      </c>
      <c r="B31024" s="574">
        <v>476</v>
      </c>
      <c r="C31024" s="574">
        <v>570</v>
      </c>
    </row>
    <row r="31025" spans="1:3">
      <c r="A31025" s="569" t="s">
        <v>1036</v>
      </c>
      <c r="B31025" s="570">
        <v>504</v>
      </c>
      <c r="C31025" s="570">
        <v>580</v>
      </c>
    </row>
    <row r="31026" spans="1:3">
      <c r="A31026" s="569" t="s">
        <v>1036</v>
      </c>
      <c r="B31026" s="570">
        <v>532</v>
      </c>
      <c r="C31026" s="570">
        <v>630</v>
      </c>
    </row>
    <row r="31027" spans="1:3">
      <c r="A31027" s="569" t="s">
        <v>1036</v>
      </c>
      <c r="B31027" s="570">
        <v>560</v>
      </c>
      <c r="C31027" s="570">
        <v>650</v>
      </c>
    </row>
    <row r="31028" spans="1:3">
      <c r="A31028" s="569" t="s">
        <v>1036</v>
      </c>
      <c r="B31028" s="570">
        <v>588</v>
      </c>
      <c r="C31028" s="570">
        <v>700</v>
      </c>
    </row>
    <row r="31029" spans="1:3">
      <c r="A31029" s="569" t="s">
        <v>1036</v>
      </c>
      <c r="B31029" s="570">
        <v>616</v>
      </c>
      <c r="C31029" s="570">
        <v>650</v>
      </c>
    </row>
    <row r="31030" spans="1:3">
      <c r="A31030" s="569" t="s">
        <v>1036</v>
      </c>
      <c r="B31030" s="570">
        <v>644</v>
      </c>
      <c r="C31030" s="570">
        <v>660</v>
      </c>
    </row>
    <row r="31031" spans="1:3">
      <c r="A31031" s="569" t="s">
        <v>1036</v>
      </c>
      <c r="B31031" s="570">
        <v>672</v>
      </c>
      <c r="C31031" s="570">
        <v>730</v>
      </c>
    </row>
    <row r="31032" spans="1:3">
      <c r="A31032" s="569" t="s">
        <v>1036</v>
      </c>
      <c r="B31032" s="570">
        <v>700</v>
      </c>
      <c r="C31032" s="570">
        <v>680</v>
      </c>
    </row>
    <row r="31033" spans="1:3">
      <c r="A31033" s="569" t="s">
        <v>1036</v>
      </c>
      <c r="B31033" s="570">
        <v>728</v>
      </c>
      <c r="C31033" s="570">
        <v>650</v>
      </c>
    </row>
    <row r="31034" spans="1:3">
      <c r="A31034" s="571" t="s">
        <v>1035</v>
      </c>
      <c r="B31034" s="572">
        <v>3</v>
      </c>
      <c r="C31034" s="572">
        <v>4</v>
      </c>
    </row>
    <row r="31035" spans="1:3">
      <c r="A31035" s="571" t="s">
        <v>1035</v>
      </c>
      <c r="B31035" s="572">
        <v>7</v>
      </c>
      <c r="C31035" s="572">
        <v>34</v>
      </c>
    </row>
    <row r="31036" spans="1:3">
      <c r="A31036" s="571" t="s">
        <v>1035</v>
      </c>
      <c r="B31036" s="572">
        <v>10</v>
      </c>
      <c r="C31036" s="572">
        <v>38</v>
      </c>
    </row>
    <row r="31037" spans="1:3">
      <c r="A31037" s="571" t="s">
        <v>1035</v>
      </c>
      <c r="B31037" s="572">
        <v>14</v>
      </c>
      <c r="C31037" s="572">
        <v>56</v>
      </c>
    </row>
    <row r="31038" spans="1:3">
      <c r="A31038" s="571" t="s">
        <v>1035</v>
      </c>
      <c r="B31038" s="572">
        <v>21</v>
      </c>
      <c r="C31038" s="572">
        <v>79</v>
      </c>
    </row>
    <row r="31039" spans="1:3">
      <c r="A31039" s="571" t="s">
        <v>1035</v>
      </c>
      <c r="B31039" s="572">
        <v>28</v>
      </c>
      <c r="C31039" s="572">
        <v>105</v>
      </c>
    </row>
    <row r="31040" spans="1:3">
      <c r="A31040" s="571" t="s">
        <v>1035</v>
      </c>
      <c r="B31040" s="572">
        <v>35</v>
      </c>
      <c r="C31040" s="572">
        <v>122</v>
      </c>
    </row>
    <row r="31041" spans="1:3">
      <c r="A31041" s="571" t="s">
        <v>1035</v>
      </c>
      <c r="B31041" s="572">
        <v>42</v>
      </c>
      <c r="C31041" s="572">
        <v>138</v>
      </c>
    </row>
    <row r="31042" spans="1:3">
      <c r="A31042" s="571" t="s">
        <v>1035</v>
      </c>
      <c r="B31042" s="572">
        <v>56</v>
      </c>
      <c r="C31042" s="572">
        <v>162</v>
      </c>
    </row>
    <row r="31043" spans="1:3">
      <c r="A31043" s="571" t="s">
        <v>1035</v>
      </c>
      <c r="B31043" s="572">
        <v>70</v>
      </c>
      <c r="C31043" s="572">
        <v>181</v>
      </c>
    </row>
    <row r="31044" spans="1:3">
      <c r="A31044" s="571" t="s">
        <v>1035</v>
      </c>
      <c r="B31044" s="572">
        <v>73</v>
      </c>
      <c r="C31044" s="572">
        <v>283</v>
      </c>
    </row>
    <row r="31045" spans="1:3">
      <c r="A31045" s="571" t="s">
        <v>1035</v>
      </c>
      <c r="B31045" s="572">
        <v>77</v>
      </c>
      <c r="C31045" s="572">
        <v>319</v>
      </c>
    </row>
    <row r="31046" spans="1:3">
      <c r="A31046" s="571" t="s">
        <v>1035</v>
      </c>
      <c r="B31046" s="572">
        <v>80</v>
      </c>
      <c r="C31046" s="572">
        <v>343</v>
      </c>
    </row>
    <row r="31047" spans="1:3">
      <c r="A31047" s="571" t="s">
        <v>1035</v>
      </c>
      <c r="B31047" s="572">
        <v>84</v>
      </c>
      <c r="C31047" s="572">
        <v>359</v>
      </c>
    </row>
    <row r="31048" spans="1:3">
      <c r="A31048" s="571" t="s">
        <v>1035</v>
      </c>
      <c r="B31048" s="572">
        <v>91</v>
      </c>
      <c r="C31048" s="572">
        <v>387</v>
      </c>
    </row>
    <row r="31049" spans="1:3">
      <c r="A31049" s="571" t="s">
        <v>1035</v>
      </c>
      <c r="B31049" s="572">
        <v>98</v>
      </c>
      <c r="C31049" s="572">
        <v>411</v>
      </c>
    </row>
    <row r="31050" spans="1:3">
      <c r="A31050" s="573" t="s">
        <v>1035</v>
      </c>
      <c r="B31050" s="574">
        <v>105</v>
      </c>
      <c r="C31050" s="574">
        <v>444</v>
      </c>
    </row>
    <row r="31051" spans="1:3">
      <c r="A31051" s="573" t="s">
        <v>1035</v>
      </c>
      <c r="B31051" s="574">
        <v>112</v>
      </c>
      <c r="C31051" s="574">
        <v>459</v>
      </c>
    </row>
    <row r="31052" spans="1:3">
      <c r="A31052" s="573" t="s">
        <v>1035</v>
      </c>
      <c r="B31052" s="574">
        <v>126</v>
      </c>
      <c r="C31052" s="574">
        <v>504</v>
      </c>
    </row>
    <row r="31053" spans="1:3">
      <c r="A31053" s="573" t="s">
        <v>1035</v>
      </c>
      <c r="B31053" s="574">
        <v>140</v>
      </c>
      <c r="C31053" s="574">
        <v>526</v>
      </c>
    </row>
    <row r="31054" spans="1:3">
      <c r="A31054" s="573" t="s">
        <v>1035</v>
      </c>
      <c r="B31054" s="574">
        <v>143</v>
      </c>
      <c r="C31054" s="574">
        <v>456</v>
      </c>
    </row>
    <row r="31055" spans="1:3">
      <c r="A31055" s="573" t="s">
        <v>1035</v>
      </c>
      <c r="B31055" s="574">
        <v>147</v>
      </c>
      <c r="C31055" s="574">
        <v>505</v>
      </c>
    </row>
    <row r="31056" spans="1:3">
      <c r="A31056" s="573" t="s">
        <v>1035</v>
      </c>
      <c r="B31056" s="574">
        <v>150</v>
      </c>
      <c r="C31056" s="574">
        <v>529</v>
      </c>
    </row>
    <row r="31057" spans="1:3">
      <c r="A31057" s="573" t="s">
        <v>1035</v>
      </c>
      <c r="B31057" s="574">
        <v>154</v>
      </c>
      <c r="C31057" s="574">
        <v>550</v>
      </c>
    </row>
    <row r="31058" spans="1:3">
      <c r="A31058" s="573" t="s">
        <v>1035</v>
      </c>
      <c r="B31058" s="574">
        <v>161</v>
      </c>
      <c r="C31058" s="574">
        <v>575</v>
      </c>
    </row>
    <row r="31059" spans="1:3">
      <c r="A31059" s="573" t="s">
        <v>1035</v>
      </c>
      <c r="B31059" s="574">
        <v>168</v>
      </c>
      <c r="C31059" s="574">
        <v>602</v>
      </c>
    </row>
    <row r="31060" spans="1:3">
      <c r="A31060" s="573" t="s">
        <v>1035</v>
      </c>
      <c r="B31060" s="574">
        <v>175</v>
      </c>
      <c r="C31060" s="574">
        <v>599</v>
      </c>
    </row>
    <row r="31061" spans="1:3">
      <c r="A31061" s="573" t="s">
        <v>1035</v>
      </c>
      <c r="B31061" s="574">
        <v>182</v>
      </c>
      <c r="C31061" s="574">
        <v>605</v>
      </c>
    </row>
    <row r="31062" spans="1:3">
      <c r="A31062" s="573" t="s">
        <v>1035</v>
      </c>
      <c r="B31062" s="574">
        <v>196</v>
      </c>
      <c r="C31062" s="574">
        <v>624</v>
      </c>
    </row>
    <row r="31063" spans="1:3">
      <c r="A31063" s="573" t="s">
        <v>1035</v>
      </c>
      <c r="B31063" s="574">
        <v>210</v>
      </c>
      <c r="C31063" s="574">
        <v>646</v>
      </c>
    </row>
    <row r="31064" spans="1:3">
      <c r="A31064" s="573" t="s">
        <v>1035</v>
      </c>
      <c r="B31064" s="574">
        <v>213</v>
      </c>
      <c r="C31064" s="574">
        <v>659</v>
      </c>
    </row>
    <row r="31065" spans="1:3">
      <c r="A31065" s="573" t="s">
        <v>1035</v>
      </c>
      <c r="B31065" s="574">
        <v>216</v>
      </c>
      <c r="C31065" s="574">
        <v>668</v>
      </c>
    </row>
    <row r="31066" spans="1:3">
      <c r="A31066" s="573" t="s">
        <v>1035</v>
      </c>
      <c r="B31066" s="574">
        <v>220</v>
      </c>
      <c r="C31066" s="574">
        <v>666</v>
      </c>
    </row>
    <row r="31067" spans="1:3">
      <c r="A31067" s="573" t="s">
        <v>1035</v>
      </c>
      <c r="B31067" s="574">
        <v>224</v>
      </c>
      <c r="C31067" s="574">
        <v>670</v>
      </c>
    </row>
    <row r="31068" spans="1:3">
      <c r="A31068" s="573" t="s">
        <v>1035</v>
      </c>
      <c r="B31068" s="574">
        <v>231</v>
      </c>
      <c r="C31068" s="574">
        <v>676</v>
      </c>
    </row>
    <row r="31069" spans="1:3">
      <c r="A31069" s="573" t="s">
        <v>1035</v>
      </c>
      <c r="B31069" s="574">
        <v>238</v>
      </c>
      <c r="C31069" s="574">
        <v>669</v>
      </c>
    </row>
    <row r="31070" spans="1:3">
      <c r="A31070" s="573" t="s">
        <v>1035</v>
      </c>
      <c r="B31070" s="574">
        <v>245</v>
      </c>
      <c r="C31070" s="574">
        <v>665</v>
      </c>
    </row>
    <row r="31071" spans="1:3">
      <c r="A31071" s="573" t="s">
        <v>1035</v>
      </c>
      <c r="B31071" s="574">
        <v>252</v>
      </c>
      <c r="C31071" s="574">
        <v>684</v>
      </c>
    </row>
    <row r="31072" spans="1:3">
      <c r="A31072" s="573" t="s">
        <v>1035</v>
      </c>
      <c r="B31072" s="574">
        <v>266</v>
      </c>
      <c r="C31072" s="574">
        <v>666</v>
      </c>
    </row>
    <row r="31073" spans="1:3">
      <c r="A31073" s="573" t="s">
        <v>1035</v>
      </c>
      <c r="B31073" s="574">
        <v>280</v>
      </c>
      <c r="C31073" s="574">
        <v>669</v>
      </c>
    </row>
    <row r="31074" spans="1:3">
      <c r="A31074" s="571" t="s">
        <v>1034</v>
      </c>
      <c r="B31074" s="572">
        <v>3</v>
      </c>
      <c r="C31074" s="572">
        <v>66</v>
      </c>
    </row>
    <row r="31075" spans="1:3">
      <c r="A31075" s="571" t="s">
        <v>1034</v>
      </c>
      <c r="B31075" s="572">
        <v>7</v>
      </c>
      <c r="C31075" s="572">
        <v>129</v>
      </c>
    </row>
    <row r="31076" spans="1:3">
      <c r="A31076" s="571" t="s">
        <v>1034</v>
      </c>
      <c r="B31076" s="572">
        <v>10</v>
      </c>
      <c r="C31076" s="572">
        <v>149</v>
      </c>
    </row>
    <row r="31077" spans="1:3">
      <c r="A31077" s="571" t="s">
        <v>1034</v>
      </c>
      <c r="B31077" s="572">
        <v>14</v>
      </c>
      <c r="C31077" s="572">
        <v>182</v>
      </c>
    </row>
    <row r="31078" spans="1:3">
      <c r="A31078" s="571" t="s">
        <v>1034</v>
      </c>
      <c r="B31078" s="572">
        <v>21</v>
      </c>
      <c r="C31078" s="572">
        <v>227</v>
      </c>
    </row>
    <row r="31079" spans="1:3">
      <c r="A31079" s="571" t="s">
        <v>1034</v>
      </c>
      <c r="B31079" s="572">
        <v>28</v>
      </c>
      <c r="C31079" s="572">
        <v>262</v>
      </c>
    </row>
    <row r="31080" spans="1:3">
      <c r="A31080" s="571" t="s">
        <v>1034</v>
      </c>
      <c r="B31080" s="572">
        <v>35</v>
      </c>
      <c r="C31080" s="572">
        <v>284</v>
      </c>
    </row>
    <row r="31081" spans="1:3">
      <c r="A31081" s="571" t="s">
        <v>1034</v>
      </c>
      <c r="B31081" s="572">
        <v>42</v>
      </c>
      <c r="C31081" s="572">
        <v>318</v>
      </c>
    </row>
    <row r="31082" spans="1:3">
      <c r="A31082" s="571" t="s">
        <v>1034</v>
      </c>
      <c r="B31082" s="572">
        <v>56</v>
      </c>
      <c r="C31082" s="572">
        <v>365</v>
      </c>
    </row>
    <row r="31083" spans="1:3">
      <c r="A31083" s="571" t="s">
        <v>1034</v>
      </c>
      <c r="B31083" s="572">
        <v>70</v>
      </c>
      <c r="C31083" s="572">
        <v>388</v>
      </c>
    </row>
    <row r="31084" spans="1:3">
      <c r="A31084" s="571" t="s">
        <v>1034</v>
      </c>
      <c r="B31084" s="572">
        <v>73</v>
      </c>
      <c r="C31084" s="572">
        <v>403</v>
      </c>
    </row>
    <row r="31085" spans="1:3">
      <c r="A31085" s="571" t="s">
        <v>1034</v>
      </c>
      <c r="B31085" s="572">
        <v>77</v>
      </c>
      <c r="C31085" s="572">
        <v>414</v>
      </c>
    </row>
    <row r="31086" spans="1:3">
      <c r="A31086" s="571" t="s">
        <v>1034</v>
      </c>
      <c r="B31086" s="572">
        <v>80</v>
      </c>
      <c r="C31086" s="572">
        <v>423</v>
      </c>
    </row>
    <row r="31087" spans="1:3">
      <c r="A31087" s="571" t="s">
        <v>1034</v>
      </c>
      <c r="B31087" s="572">
        <v>84</v>
      </c>
      <c r="C31087" s="572">
        <v>427</v>
      </c>
    </row>
    <row r="31088" spans="1:3">
      <c r="A31088" s="571" t="s">
        <v>1034</v>
      </c>
      <c r="B31088" s="572">
        <v>91</v>
      </c>
      <c r="C31088" s="572">
        <v>430</v>
      </c>
    </row>
    <row r="31089" spans="1:3">
      <c r="A31089" s="571" t="s">
        <v>1034</v>
      </c>
      <c r="B31089" s="572">
        <v>98</v>
      </c>
      <c r="C31089" s="572">
        <v>427</v>
      </c>
    </row>
    <row r="31090" spans="1:3">
      <c r="A31090" s="573" t="s">
        <v>1034</v>
      </c>
      <c r="B31090" s="574">
        <v>105</v>
      </c>
      <c r="C31090" s="574">
        <v>446</v>
      </c>
    </row>
    <row r="31091" spans="1:3">
      <c r="A31091" s="573" t="s">
        <v>1034</v>
      </c>
      <c r="B31091" s="574">
        <v>112</v>
      </c>
      <c r="C31091" s="574">
        <v>449</v>
      </c>
    </row>
    <row r="31092" spans="1:3">
      <c r="A31092" s="573" t="s">
        <v>1034</v>
      </c>
      <c r="B31092" s="574">
        <v>126</v>
      </c>
      <c r="C31092" s="574">
        <v>469</v>
      </c>
    </row>
    <row r="31093" spans="1:3">
      <c r="A31093" s="573" t="s">
        <v>1034</v>
      </c>
      <c r="B31093" s="574">
        <v>140</v>
      </c>
      <c r="C31093" s="574">
        <v>471</v>
      </c>
    </row>
    <row r="31094" spans="1:3">
      <c r="A31094" s="573" t="s">
        <v>1034</v>
      </c>
      <c r="B31094" s="574">
        <v>143</v>
      </c>
      <c r="C31094" s="574">
        <v>418</v>
      </c>
    </row>
    <row r="31095" spans="1:3">
      <c r="A31095" s="573" t="s">
        <v>1034</v>
      </c>
      <c r="B31095" s="574">
        <v>147</v>
      </c>
      <c r="C31095" s="574">
        <v>392</v>
      </c>
    </row>
    <row r="31096" spans="1:3">
      <c r="A31096" s="573" t="s">
        <v>1034</v>
      </c>
      <c r="B31096" s="574">
        <v>150</v>
      </c>
      <c r="C31096" s="574">
        <v>370</v>
      </c>
    </row>
    <row r="31097" spans="1:3">
      <c r="A31097" s="573" t="s">
        <v>1034</v>
      </c>
      <c r="B31097" s="574">
        <v>154</v>
      </c>
      <c r="C31097" s="574">
        <v>363</v>
      </c>
    </row>
    <row r="31098" spans="1:3">
      <c r="A31098" s="573" t="s">
        <v>1034</v>
      </c>
      <c r="B31098" s="574">
        <v>161</v>
      </c>
      <c r="C31098" s="574">
        <v>348</v>
      </c>
    </row>
    <row r="31099" spans="1:3">
      <c r="A31099" s="573" t="s">
        <v>1034</v>
      </c>
      <c r="B31099" s="574">
        <v>168</v>
      </c>
      <c r="C31099" s="574">
        <v>338</v>
      </c>
    </row>
    <row r="31100" spans="1:3">
      <c r="A31100" s="573" t="s">
        <v>1034</v>
      </c>
      <c r="B31100" s="574">
        <v>175</v>
      </c>
      <c r="C31100" s="574">
        <v>335</v>
      </c>
    </row>
    <row r="31101" spans="1:3">
      <c r="A31101" s="573" t="s">
        <v>1034</v>
      </c>
      <c r="B31101" s="574">
        <v>182</v>
      </c>
      <c r="C31101" s="574">
        <v>326</v>
      </c>
    </row>
    <row r="31102" spans="1:3">
      <c r="A31102" s="573" t="s">
        <v>1034</v>
      </c>
      <c r="B31102" s="574">
        <v>196</v>
      </c>
      <c r="C31102" s="574">
        <v>317</v>
      </c>
    </row>
    <row r="31103" spans="1:3">
      <c r="A31103" s="573" t="s">
        <v>1034</v>
      </c>
      <c r="B31103" s="574">
        <v>210</v>
      </c>
      <c r="C31103" s="574">
        <v>318</v>
      </c>
    </row>
    <row r="31104" spans="1:3">
      <c r="A31104" s="573" t="s">
        <v>1034</v>
      </c>
      <c r="B31104" s="574">
        <v>213</v>
      </c>
      <c r="C31104" s="574">
        <v>375</v>
      </c>
    </row>
    <row r="31105" spans="1:3">
      <c r="A31105" s="573" t="s">
        <v>1034</v>
      </c>
      <c r="B31105" s="574">
        <v>216</v>
      </c>
      <c r="C31105" s="574">
        <v>405</v>
      </c>
    </row>
    <row r="31106" spans="1:3">
      <c r="A31106" s="573" t="s">
        <v>1034</v>
      </c>
      <c r="B31106" s="574">
        <v>220</v>
      </c>
      <c r="C31106" s="574">
        <v>426</v>
      </c>
    </row>
    <row r="31107" spans="1:3">
      <c r="A31107" s="573" t="s">
        <v>1034</v>
      </c>
      <c r="B31107" s="574">
        <v>224</v>
      </c>
      <c r="C31107" s="574">
        <v>436</v>
      </c>
    </row>
    <row r="31108" spans="1:3">
      <c r="A31108" s="573" t="s">
        <v>1034</v>
      </c>
      <c r="B31108" s="574">
        <v>231</v>
      </c>
      <c r="C31108" s="574">
        <v>454</v>
      </c>
    </row>
    <row r="31109" spans="1:3">
      <c r="A31109" s="573" t="s">
        <v>1034</v>
      </c>
      <c r="B31109" s="574">
        <v>238</v>
      </c>
      <c r="C31109" s="574">
        <v>456</v>
      </c>
    </row>
    <row r="31110" spans="1:3">
      <c r="A31110" s="573" t="s">
        <v>1034</v>
      </c>
      <c r="B31110" s="574">
        <v>245</v>
      </c>
      <c r="C31110" s="574">
        <v>463</v>
      </c>
    </row>
    <row r="31111" spans="1:3">
      <c r="A31111" s="573" t="s">
        <v>1034</v>
      </c>
      <c r="B31111" s="574">
        <v>252</v>
      </c>
      <c r="C31111" s="574">
        <v>478</v>
      </c>
    </row>
    <row r="31112" spans="1:3">
      <c r="A31112" s="573" t="s">
        <v>1034</v>
      </c>
      <c r="B31112" s="574">
        <v>266</v>
      </c>
      <c r="C31112" s="574">
        <v>475</v>
      </c>
    </row>
    <row r="31113" spans="1:3">
      <c r="A31113" s="573" t="s">
        <v>1034</v>
      </c>
      <c r="B31113" s="574">
        <v>280</v>
      </c>
      <c r="C31113" s="574">
        <v>474</v>
      </c>
    </row>
    <row r="31114" spans="1:3">
      <c r="A31114" s="571" t="s">
        <v>1033</v>
      </c>
      <c r="B31114" s="572">
        <v>3</v>
      </c>
      <c r="C31114" s="572">
        <v>65</v>
      </c>
    </row>
    <row r="31115" spans="1:3">
      <c r="A31115" s="571" t="s">
        <v>1033</v>
      </c>
      <c r="B31115" s="572">
        <v>7</v>
      </c>
      <c r="C31115" s="572">
        <v>114</v>
      </c>
    </row>
    <row r="31116" spans="1:3">
      <c r="A31116" s="571" t="s">
        <v>1033</v>
      </c>
      <c r="B31116" s="572">
        <v>10</v>
      </c>
      <c r="C31116" s="572">
        <v>141</v>
      </c>
    </row>
    <row r="31117" spans="1:3">
      <c r="A31117" s="571" t="s">
        <v>1033</v>
      </c>
      <c r="B31117" s="572">
        <v>14</v>
      </c>
      <c r="C31117" s="572">
        <v>171</v>
      </c>
    </row>
    <row r="31118" spans="1:3">
      <c r="A31118" s="571" t="s">
        <v>1033</v>
      </c>
      <c r="B31118" s="572">
        <v>21</v>
      </c>
      <c r="C31118" s="572">
        <v>222</v>
      </c>
    </row>
    <row r="31119" spans="1:3">
      <c r="A31119" s="571" t="s">
        <v>1033</v>
      </c>
      <c r="B31119" s="572">
        <v>28</v>
      </c>
      <c r="C31119" s="572">
        <v>259</v>
      </c>
    </row>
    <row r="31120" spans="1:3">
      <c r="A31120" s="571" t="s">
        <v>1033</v>
      </c>
      <c r="B31120" s="572">
        <v>35</v>
      </c>
      <c r="C31120" s="572">
        <v>295</v>
      </c>
    </row>
    <row r="31121" spans="1:3">
      <c r="A31121" s="571" t="s">
        <v>1033</v>
      </c>
      <c r="B31121" s="572">
        <v>42</v>
      </c>
      <c r="C31121" s="572">
        <v>327</v>
      </c>
    </row>
    <row r="31122" spans="1:3">
      <c r="A31122" s="571" t="s">
        <v>1033</v>
      </c>
      <c r="B31122" s="572">
        <v>56</v>
      </c>
      <c r="C31122" s="572">
        <v>366</v>
      </c>
    </row>
    <row r="31123" spans="1:3">
      <c r="A31123" s="571" t="s">
        <v>1033</v>
      </c>
      <c r="B31123" s="572">
        <v>70</v>
      </c>
      <c r="C31123" s="572">
        <v>399</v>
      </c>
    </row>
    <row r="31124" spans="1:3">
      <c r="A31124" s="571" t="s">
        <v>1033</v>
      </c>
      <c r="B31124" s="572">
        <v>73</v>
      </c>
      <c r="C31124" s="572">
        <v>370</v>
      </c>
    </row>
    <row r="31125" spans="1:3">
      <c r="A31125" s="571" t="s">
        <v>1033</v>
      </c>
      <c r="B31125" s="572">
        <v>77</v>
      </c>
      <c r="C31125" s="572">
        <v>395</v>
      </c>
    </row>
    <row r="31126" spans="1:3">
      <c r="A31126" s="571" t="s">
        <v>1033</v>
      </c>
      <c r="B31126" s="572">
        <v>80</v>
      </c>
      <c r="C31126" s="572">
        <v>414</v>
      </c>
    </row>
    <row r="31127" spans="1:3">
      <c r="A31127" s="571" t="s">
        <v>1033</v>
      </c>
      <c r="B31127" s="572">
        <v>84</v>
      </c>
      <c r="C31127" s="572">
        <v>422</v>
      </c>
    </row>
    <row r="31128" spans="1:3">
      <c r="A31128" s="571" t="s">
        <v>1033</v>
      </c>
      <c r="B31128" s="572">
        <v>91</v>
      </c>
      <c r="C31128" s="572">
        <v>459</v>
      </c>
    </row>
    <row r="31129" spans="1:3">
      <c r="A31129" s="571" t="s">
        <v>1033</v>
      </c>
      <c r="B31129" s="572">
        <v>98</v>
      </c>
      <c r="C31129" s="572">
        <v>465</v>
      </c>
    </row>
    <row r="31130" spans="1:3">
      <c r="A31130" s="573" t="s">
        <v>1033</v>
      </c>
      <c r="B31130" s="574">
        <v>105</v>
      </c>
      <c r="C31130" s="574">
        <v>477</v>
      </c>
    </row>
    <row r="31131" spans="1:3">
      <c r="A31131" s="573" t="s">
        <v>1033</v>
      </c>
      <c r="B31131" s="574">
        <v>112</v>
      </c>
      <c r="C31131" s="574">
        <v>493</v>
      </c>
    </row>
    <row r="31132" spans="1:3">
      <c r="A31132" s="573" t="s">
        <v>1033</v>
      </c>
      <c r="B31132" s="574">
        <v>126</v>
      </c>
      <c r="C31132" s="574">
        <v>505</v>
      </c>
    </row>
    <row r="31133" spans="1:3">
      <c r="A31133" s="573" t="s">
        <v>1033</v>
      </c>
      <c r="B31133" s="574">
        <v>140</v>
      </c>
      <c r="C31133" s="574">
        <v>521</v>
      </c>
    </row>
    <row r="31134" spans="1:3">
      <c r="A31134" s="573" t="s">
        <v>1033</v>
      </c>
      <c r="B31134" s="574">
        <v>143</v>
      </c>
      <c r="C31134" s="574">
        <v>538</v>
      </c>
    </row>
    <row r="31135" spans="1:3">
      <c r="A31135" s="573" t="s">
        <v>1033</v>
      </c>
      <c r="B31135" s="574">
        <v>147</v>
      </c>
      <c r="C31135" s="574">
        <v>543</v>
      </c>
    </row>
    <row r="31136" spans="1:3">
      <c r="A31136" s="573" t="s">
        <v>1033</v>
      </c>
      <c r="B31136" s="574">
        <v>150</v>
      </c>
      <c r="C31136" s="574">
        <v>538</v>
      </c>
    </row>
    <row r="31137" spans="1:3">
      <c r="A31137" s="573" t="s">
        <v>1033</v>
      </c>
      <c r="B31137" s="574">
        <v>154</v>
      </c>
      <c r="C31137" s="574">
        <v>552</v>
      </c>
    </row>
    <row r="31138" spans="1:3">
      <c r="A31138" s="573" t="s">
        <v>1033</v>
      </c>
      <c r="B31138" s="574">
        <v>161</v>
      </c>
      <c r="C31138" s="574">
        <v>556</v>
      </c>
    </row>
    <row r="31139" spans="1:3">
      <c r="A31139" s="573" t="s">
        <v>1033</v>
      </c>
      <c r="B31139" s="574">
        <v>168</v>
      </c>
      <c r="C31139" s="574">
        <v>555</v>
      </c>
    </row>
    <row r="31140" spans="1:3">
      <c r="A31140" s="573" t="s">
        <v>1033</v>
      </c>
      <c r="B31140" s="574">
        <v>175</v>
      </c>
      <c r="C31140" s="574">
        <v>563</v>
      </c>
    </row>
    <row r="31141" spans="1:3">
      <c r="A31141" s="573" t="s">
        <v>1033</v>
      </c>
      <c r="B31141" s="574">
        <v>182</v>
      </c>
      <c r="C31141" s="574">
        <v>567</v>
      </c>
    </row>
    <row r="31142" spans="1:3">
      <c r="A31142" s="573" t="s">
        <v>1033</v>
      </c>
      <c r="B31142" s="574">
        <v>196</v>
      </c>
      <c r="C31142" s="574">
        <v>573</v>
      </c>
    </row>
    <row r="31143" spans="1:3">
      <c r="A31143" s="573" t="s">
        <v>1033</v>
      </c>
      <c r="B31143" s="574">
        <v>210</v>
      </c>
      <c r="C31143" s="574">
        <v>581</v>
      </c>
    </row>
    <row r="31144" spans="1:3">
      <c r="A31144" s="573" t="s">
        <v>1033</v>
      </c>
      <c r="B31144" s="574">
        <v>213</v>
      </c>
      <c r="C31144" s="574">
        <v>516</v>
      </c>
    </row>
    <row r="31145" spans="1:3">
      <c r="A31145" s="573" t="s">
        <v>1033</v>
      </c>
      <c r="B31145" s="574">
        <v>217</v>
      </c>
      <c r="C31145" s="574">
        <v>490</v>
      </c>
    </row>
    <row r="31146" spans="1:3">
      <c r="A31146" s="573" t="s">
        <v>1033</v>
      </c>
      <c r="B31146" s="574">
        <v>220</v>
      </c>
      <c r="C31146" s="574">
        <v>479</v>
      </c>
    </row>
    <row r="31147" spans="1:3">
      <c r="A31147" s="573" t="s">
        <v>1033</v>
      </c>
      <c r="B31147" s="574">
        <v>224</v>
      </c>
      <c r="C31147" s="574">
        <v>471</v>
      </c>
    </row>
    <row r="31148" spans="1:3">
      <c r="A31148" s="573" t="s">
        <v>1033</v>
      </c>
      <c r="B31148" s="574">
        <v>231</v>
      </c>
      <c r="C31148" s="574">
        <v>449</v>
      </c>
    </row>
    <row r="31149" spans="1:3">
      <c r="A31149" s="573" t="s">
        <v>1033</v>
      </c>
      <c r="B31149" s="574">
        <v>238</v>
      </c>
      <c r="C31149" s="574">
        <v>446</v>
      </c>
    </row>
    <row r="31150" spans="1:3">
      <c r="A31150" s="573" t="s">
        <v>1033</v>
      </c>
      <c r="B31150" s="574">
        <v>245</v>
      </c>
      <c r="C31150" s="574">
        <v>441</v>
      </c>
    </row>
    <row r="31151" spans="1:3">
      <c r="A31151" s="573" t="s">
        <v>1033</v>
      </c>
      <c r="B31151" s="574">
        <v>252</v>
      </c>
      <c r="C31151" s="574">
        <v>440</v>
      </c>
    </row>
    <row r="31152" spans="1:3">
      <c r="A31152" s="573" t="s">
        <v>1033</v>
      </c>
      <c r="B31152" s="574">
        <v>266</v>
      </c>
      <c r="C31152" s="574">
        <v>427</v>
      </c>
    </row>
    <row r="31153" spans="1:3">
      <c r="A31153" s="573" t="s">
        <v>1033</v>
      </c>
      <c r="B31153" s="574">
        <v>280</v>
      </c>
      <c r="C31153" s="574">
        <v>420</v>
      </c>
    </row>
    <row r="31154" spans="1:3">
      <c r="A31154" s="571" t="s">
        <v>1032</v>
      </c>
      <c r="B31154" s="572">
        <v>3</v>
      </c>
      <c r="C31154" s="572">
        <v>65</v>
      </c>
    </row>
    <row r="31155" spans="1:3">
      <c r="A31155" s="571" t="s">
        <v>1032</v>
      </c>
      <c r="B31155" s="572">
        <v>7</v>
      </c>
      <c r="C31155" s="572">
        <v>114</v>
      </c>
    </row>
    <row r="31156" spans="1:3">
      <c r="A31156" s="571" t="s">
        <v>1032</v>
      </c>
      <c r="B31156" s="572">
        <v>10</v>
      </c>
      <c r="C31156" s="572">
        <v>141</v>
      </c>
    </row>
    <row r="31157" spans="1:3">
      <c r="A31157" s="571" t="s">
        <v>1032</v>
      </c>
      <c r="B31157" s="572">
        <v>14</v>
      </c>
      <c r="C31157" s="572">
        <v>171</v>
      </c>
    </row>
    <row r="31158" spans="1:3">
      <c r="A31158" s="571" t="s">
        <v>1032</v>
      </c>
      <c r="B31158" s="572">
        <v>21</v>
      </c>
      <c r="C31158" s="572">
        <v>222</v>
      </c>
    </row>
    <row r="31159" spans="1:3">
      <c r="A31159" s="571" t="s">
        <v>1032</v>
      </c>
      <c r="B31159" s="572">
        <v>28</v>
      </c>
      <c r="C31159" s="572">
        <v>259</v>
      </c>
    </row>
    <row r="31160" spans="1:3">
      <c r="A31160" s="571" t="s">
        <v>1032</v>
      </c>
      <c r="B31160" s="572">
        <v>35</v>
      </c>
      <c r="C31160" s="572">
        <v>295</v>
      </c>
    </row>
    <row r="31161" spans="1:3">
      <c r="A31161" s="571" t="s">
        <v>1032</v>
      </c>
      <c r="B31161" s="572">
        <v>42</v>
      </c>
      <c r="C31161" s="572">
        <v>327</v>
      </c>
    </row>
    <row r="31162" spans="1:3">
      <c r="A31162" s="571" t="s">
        <v>1032</v>
      </c>
      <c r="B31162" s="572">
        <v>56</v>
      </c>
      <c r="C31162" s="572">
        <v>366</v>
      </c>
    </row>
    <row r="31163" spans="1:3">
      <c r="A31163" s="571" t="s">
        <v>1032</v>
      </c>
      <c r="B31163" s="572">
        <v>70</v>
      </c>
      <c r="C31163" s="572">
        <v>399</v>
      </c>
    </row>
    <row r="31164" spans="1:3">
      <c r="A31164" s="571" t="s">
        <v>1032</v>
      </c>
      <c r="B31164" s="572">
        <v>73</v>
      </c>
      <c r="C31164" s="572">
        <v>328</v>
      </c>
    </row>
    <row r="31165" spans="1:3">
      <c r="A31165" s="571" t="s">
        <v>1032</v>
      </c>
      <c r="B31165" s="572">
        <v>77</v>
      </c>
      <c r="C31165" s="572">
        <v>309</v>
      </c>
    </row>
    <row r="31166" spans="1:3">
      <c r="A31166" s="571" t="s">
        <v>1032</v>
      </c>
      <c r="B31166" s="572">
        <v>80</v>
      </c>
      <c r="C31166" s="572">
        <v>308</v>
      </c>
    </row>
    <row r="31167" spans="1:3">
      <c r="A31167" s="571" t="s">
        <v>1032</v>
      </c>
      <c r="B31167" s="572">
        <v>84</v>
      </c>
      <c r="C31167" s="572">
        <v>298</v>
      </c>
    </row>
    <row r="31168" spans="1:3">
      <c r="A31168" s="571" t="s">
        <v>1032</v>
      </c>
      <c r="B31168" s="572">
        <v>91</v>
      </c>
      <c r="C31168" s="572">
        <v>285</v>
      </c>
    </row>
    <row r="31169" spans="1:3">
      <c r="A31169" s="571" t="s">
        <v>1032</v>
      </c>
      <c r="B31169" s="572">
        <v>98</v>
      </c>
      <c r="C31169" s="572">
        <v>273</v>
      </c>
    </row>
    <row r="31170" spans="1:3">
      <c r="A31170" s="573" t="s">
        <v>1032</v>
      </c>
      <c r="B31170" s="574">
        <v>105</v>
      </c>
      <c r="C31170" s="574">
        <v>273</v>
      </c>
    </row>
    <row r="31171" spans="1:3">
      <c r="A31171" s="573" t="s">
        <v>1032</v>
      </c>
      <c r="B31171" s="574">
        <v>112</v>
      </c>
      <c r="C31171" s="574">
        <v>270</v>
      </c>
    </row>
    <row r="31172" spans="1:3">
      <c r="A31172" s="573" t="s">
        <v>1032</v>
      </c>
      <c r="B31172" s="574">
        <v>126</v>
      </c>
      <c r="C31172" s="574">
        <v>270</v>
      </c>
    </row>
    <row r="31173" spans="1:3">
      <c r="A31173" s="573" t="s">
        <v>1032</v>
      </c>
      <c r="B31173" s="574">
        <v>140</v>
      </c>
      <c r="C31173" s="574">
        <v>272</v>
      </c>
    </row>
    <row r="31174" spans="1:3">
      <c r="A31174" s="573" t="s">
        <v>1032</v>
      </c>
      <c r="B31174" s="574">
        <v>143</v>
      </c>
      <c r="C31174" s="574">
        <v>341</v>
      </c>
    </row>
    <row r="31175" spans="1:3">
      <c r="A31175" s="573" t="s">
        <v>1032</v>
      </c>
      <c r="B31175" s="574">
        <v>147</v>
      </c>
      <c r="C31175" s="574">
        <v>377</v>
      </c>
    </row>
    <row r="31176" spans="1:3">
      <c r="A31176" s="573" t="s">
        <v>1032</v>
      </c>
      <c r="B31176" s="574">
        <v>150</v>
      </c>
      <c r="C31176" s="574">
        <v>406</v>
      </c>
    </row>
    <row r="31177" spans="1:3">
      <c r="A31177" s="573" t="s">
        <v>1032</v>
      </c>
      <c r="B31177" s="574">
        <v>154</v>
      </c>
      <c r="C31177" s="574">
        <v>424</v>
      </c>
    </row>
    <row r="31178" spans="1:3">
      <c r="A31178" s="573" t="s">
        <v>1032</v>
      </c>
      <c r="B31178" s="574">
        <v>161</v>
      </c>
      <c r="C31178" s="574">
        <v>445</v>
      </c>
    </row>
    <row r="31179" spans="1:3">
      <c r="A31179" s="573" t="s">
        <v>1032</v>
      </c>
      <c r="B31179" s="574">
        <v>168</v>
      </c>
      <c r="C31179" s="574">
        <v>453</v>
      </c>
    </row>
    <row r="31180" spans="1:3">
      <c r="A31180" s="573" t="s">
        <v>1032</v>
      </c>
      <c r="B31180" s="574">
        <v>175</v>
      </c>
      <c r="C31180" s="574">
        <v>472</v>
      </c>
    </row>
    <row r="31181" spans="1:3">
      <c r="A31181" s="573" t="s">
        <v>1032</v>
      </c>
      <c r="B31181" s="574">
        <v>182</v>
      </c>
      <c r="C31181" s="574">
        <v>473</v>
      </c>
    </row>
    <row r="31182" spans="1:3">
      <c r="A31182" s="573" t="s">
        <v>1032</v>
      </c>
      <c r="B31182" s="574">
        <v>196</v>
      </c>
      <c r="C31182" s="574">
        <v>501</v>
      </c>
    </row>
    <row r="31183" spans="1:3">
      <c r="A31183" s="573" t="s">
        <v>1032</v>
      </c>
      <c r="B31183" s="574">
        <v>210</v>
      </c>
      <c r="C31183" s="574">
        <v>520</v>
      </c>
    </row>
    <row r="31184" spans="1:3">
      <c r="A31184" s="573" t="s">
        <v>1032</v>
      </c>
      <c r="B31184" s="574">
        <v>213</v>
      </c>
      <c r="C31184" s="574">
        <v>467</v>
      </c>
    </row>
    <row r="31185" spans="1:3">
      <c r="A31185" s="573" t="s">
        <v>1032</v>
      </c>
      <c r="B31185" s="574">
        <v>217</v>
      </c>
      <c r="C31185" s="574">
        <v>476</v>
      </c>
    </row>
    <row r="31186" spans="1:3">
      <c r="A31186" s="573" t="s">
        <v>1032</v>
      </c>
      <c r="B31186" s="574">
        <v>220</v>
      </c>
      <c r="C31186" s="574">
        <v>473</v>
      </c>
    </row>
    <row r="31187" spans="1:3">
      <c r="A31187" s="573" t="s">
        <v>1032</v>
      </c>
      <c r="B31187" s="574">
        <v>224</v>
      </c>
      <c r="C31187" s="574">
        <v>486</v>
      </c>
    </row>
    <row r="31188" spans="1:3">
      <c r="A31188" s="573" t="s">
        <v>1032</v>
      </c>
      <c r="B31188" s="574">
        <v>231</v>
      </c>
      <c r="C31188" s="574">
        <v>490</v>
      </c>
    </row>
    <row r="31189" spans="1:3">
      <c r="A31189" s="573" t="s">
        <v>1032</v>
      </c>
      <c r="B31189" s="574">
        <v>238</v>
      </c>
      <c r="C31189" s="574">
        <v>499</v>
      </c>
    </row>
    <row r="31190" spans="1:3">
      <c r="A31190" s="573" t="s">
        <v>1032</v>
      </c>
      <c r="B31190" s="574">
        <v>245</v>
      </c>
      <c r="C31190" s="574">
        <v>504</v>
      </c>
    </row>
    <row r="31191" spans="1:3">
      <c r="A31191" s="573" t="s">
        <v>1032</v>
      </c>
      <c r="B31191" s="574">
        <v>252</v>
      </c>
      <c r="C31191" s="574">
        <v>524</v>
      </c>
    </row>
    <row r="31192" spans="1:3">
      <c r="A31192" s="573" t="s">
        <v>1032</v>
      </c>
      <c r="B31192" s="574">
        <v>266</v>
      </c>
      <c r="C31192" s="574">
        <v>543</v>
      </c>
    </row>
    <row r="31193" spans="1:3">
      <c r="A31193" s="573" t="s">
        <v>1032</v>
      </c>
      <c r="B31193" s="574">
        <v>280</v>
      </c>
      <c r="C31193" s="574">
        <v>554</v>
      </c>
    </row>
    <row r="31194" spans="1:3">
      <c r="A31194" s="571" t="s">
        <v>1031</v>
      </c>
      <c r="B31194" s="572">
        <v>0.125</v>
      </c>
      <c r="C31194" s="572">
        <v>6</v>
      </c>
    </row>
    <row r="31195" spans="1:3">
      <c r="A31195" s="571" t="s">
        <v>1031</v>
      </c>
      <c r="B31195" s="572">
        <v>0.25</v>
      </c>
      <c r="C31195" s="572">
        <v>7</v>
      </c>
    </row>
    <row r="31196" spans="1:3">
      <c r="A31196" s="571" t="s">
        <v>1031</v>
      </c>
      <c r="B31196" s="572">
        <v>0.5</v>
      </c>
      <c r="C31196" s="572">
        <v>13</v>
      </c>
    </row>
    <row r="31197" spans="1:3">
      <c r="A31197" s="571" t="s">
        <v>1031</v>
      </c>
      <c r="B31197" s="572">
        <v>1</v>
      </c>
      <c r="C31197" s="572">
        <v>15</v>
      </c>
    </row>
    <row r="31198" spans="1:3">
      <c r="A31198" s="571" t="s">
        <v>1031</v>
      </c>
      <c r="B31198" s="572">
        <v>3</v>
      </c>
      <c r="C31198" s="572">
        <v>23</v>
      </c>
    </row>
    <row r="31199" spans="1:3">
      <c r="A31199" s="571" t="s">
        <v>1031</v>
      </c>
      <c r="B31199" s="572">
        <v>7</v>
      </c>
      <c r="C31199" s="572">
        <v>56</v>
      </c>
    </row>
    <row r="31200" spans="1:3">
      <c r="A31200" s="571" t="s">
        <v>1031</v>
      </c>
      <c r="B31200" s="572">
        <v>10</v>
      </c>
      <c r="C31200" s="572">
        <v>55</v>
      </c>
    </row>
    <row r="31201" spans="1:3">
      <c r="A31201" s="571" t="s">
        <v>1031</v>
      </c>
      <c r="B31201" s="572">
        <v>14</v>
      </c>
      <c r="C31201" s="572">
        <v>76</v>
      </c>
    </row>
    <row r="31202" spans="1:3">
      <c r="A31202" s="571" t="s">
        <v>1031</v>
      </c>
      <c r="B31202" s="572">
        <v>21</v>
      </c>
      <c r="C31202" s="572">
        <v>89</v>
      </c>
    </row>
    <row r="31203" spans="1:3">
      <c r="A31203" s="571" t="s">
        <v>1031</v>
      </c>
      <c r="B31203" s="572">
        <v>28</v>
      </c>
      <c r="C31203" s="572">
        <v>131</v>
      </c>
    </row>
    <row r="31204" spans="1:3">
      <c r="A31204" s="571" t="s">
        <v>1031</v>
      </c>
      <c r="B31204" s="572">
        <v>35</v>
      </c>
      <c r="C31204" s="572">
        <v>141</v>
      </c>
    </row>
    <row r="31205" spans="1:3">
      <c r="A31205" s="571" t="s">
        <v>1031</v>
      </c>
      <c r="B31205" s="572">
        <v>42</v>
      </c>
      <c r="C31205" s="572">
        <v>154</v>
      </c>
    </row>
    <row r="31206" spans="1:3">
      <c r="A31206" s="571" t="s">
        <v>1031</v>
      </c>
      <c r="B31206" s="572">
        <v>56</v>
      </c>
      <c r="C31206" s="572">
        <v>165</v>
      </c>
    </row>
    <row r="31207" spans="1:3">
      <c r="A31207" s="571" t="s">
        <v>1031</v>
      </c>
      <c r="B31207" s="572">
        <v>70</v>
      </c>
      <c r="C31207" s="572">
        <v>195</v>
      </c>
    </row>
    <row r="31208" spans="1:3">
      <c r="A31208" s="571" t="s">
        <v>1031</v>
      </c>
      <c r="B31208" s="572">
        <v>84</v>
      </c>
      <c r="C31208" s="572">
        <v>206</v>
      </c>
    </row>
    <row r="31209" spans="1:3">
      <c r="A31209" s="571" t="s">
        <v>1031</v>
      </c>
      <c r="B31209" s="572">
        <v>91</v>
      </c>
      <c r="C31209" s="572">
        <v>200</v>
      </c>
    </row>
    <row r="31210" spans="1:3">
      <c r="A31210" s="571" t="s">
        <v>1031</v>
      </c>
      <c r="B31210" s="572">
        <v>98</v>
      </c>
      <c r="C31210" s="572">
        <v>214</v>
      </c>
    </row>
    <row r="31211" spans="1:3">
      <c r="A31211" s="573" t="s">
        <v>1031</v>
      </c>
      <c r="B31211" s="574">
        <v>112</v>
      </c>
      <c r="C31211" s="574">
        <v>225</v>
      </c>
    </row>
    <row r="31212" spans="1:3">
      <c r="A31212" s="573" t="s">
        <v>1031</v>
      </c>
      <c r="B31212" s="574">
        <v>126</v>
      </c>
      <c r="C31212" s="574">
        <v>252</v>
      </c>
    </row>
    <row r="31213" spans="1:3">
      <c r="A31213" s="573" t="s">
        <v>1031</v>
      </c>
      <c r="B31213" s="574">
        <v>140</v>
      </c>
      <c r="C31213" s="574">
        <v>259</v>
      </c>
    </row>
    <row r="31214" spans="1:3">
      <c r="A31214" s="573" t="s">
        <v>1031</v>
      </c>
      <c r="B31214" s="574">
        <v>143</v>
      </c>
      <c r="C31214" s="574">
        <v>240</v>
      </c>
    </row>
    <row r="31215" spans="1:3">
      <c r="A31215" s="573" t="s">
        <v>1031</v>
      </c>
      <c r="B31215" s="574">
        <v>147</v>
      </c>
      <c r="C31215" s="574">
        <v>254</v>
      </c>
    </row>
    <row r="31216" spans="1:3">
      <c r="A31216" s="573" t="s">
        <v>1031</v>
      </c>
      <c r="B31216" s="574">
        <v>154</v>
      </c>
      <c r="C31216" s="574">
        <v>258</v>
      </c>
    </row>
    <row r="31217" spans="1:3">
      <c r="A31217" s="573" t="s">
        <v>1031</v>
      </c>
      <c r="B31217" s="574">
        <v>161</v>
      </c>
      <c r="C31217" s="574">
        <v>262</v>
      </c>
    </row>
    <row r="31218" spans="1:3">
      <c r="A31218" s="573" t="s">
        <v>1031</v>
      </c>
      <c r="B31218" s="574">
        <v>168</v>
      </c>
      <c r="C31218" s="574">
        <v>266</v>
      </c>
    </row>
    <row r="31219" spans="1:3">
      <c r="A31219" s="573" t="s">
        <v>1031</v>
      </c>
      <c r="B31219" s="574">
        <v>175</v>
      </c>
      <c r="C31219" s="574">
        <v>269</v>
      </c>
    </row>
    <row r="31220" spans="1:3">
      <c r="A31220" s="573" t="s">
        <v>1031</v>
      </c>
      <c r="B31220" s="574">
        <v>182</v>
      </c>
      <c r="C31220" s="574">
        <v>272</v>
      </c>
    </row>
    <row r="31221" spans="1:3">
      <c r="A31221" s="573" t="s">
        <v>1031</v>
      </c>
      <c r="B31221" s="574">
        <v>196</v>
      </c>
      <c r="C31221" s="574">
        <v>272</v>
      </c>
    </row>
    <row r="31222" spans="1:3">
      <c r="A31222" s="573" t="s">
        <v>1031</v>
      </c>
      <c r="B31222" s="574">
        <v>210</v>
      </c>
      <c r="C31222" s="574">
        <v>282</v>
      </c>
    </row>
    <row r="31223" spans="1:3">
      <c r="A31223" s="571" t="s">
        <v>1030</v>
      </c>
      <c r="B31223" s="572">
        <v>0.125</v>
      </c>
      <c r="C31223" s="572">
        <v>0</v>
      </c>
    </row>
    <row r="31224" spans="1:3">
      <c r="A31224" s="571" t="s">
        <v>1030</v>
      </c>
      <c r="B31224" s="572">
        <v>0.25</v>
      </c>
      <c r="C31224" s="572">
        <v>34</v>
      </c>
    </row>
    <row r="31225" spans="1:3">
      <c r="A31225" s="571" t="s">
        <v>1030</v>
      </c>
      <c r="B31225" s="572">
        <v>0.5</v>
      </c>
      <c r="C31225" s="572">
        <v>11</v>
      </c>
    </row>
    <row r="31226" spans="1:3">
      <c r="A31226" s="571" t="s">
        <v>1030</v>
      </c>
      <c r="B31226" s="572">
        <v>1</v>
      </c>
      <c r="C31226" s="572">
        <v>1</v>
      </c>
    </row>
    <row r="31227" spans="1:3">
      <c r="A31227" s="571" t="s">
        <v>1030</v>
      </c>
      <c r="B31227" s="572">
        <v>3</v>
      </c>
      <c r="C31227" s="572">
        <v>67</v>
      </c>
    </row>
    <row r="31228" spans="1:3">
      <c r="A31228" s="571" t="s">
        <v>1030</v>
      </c>
      <c r="B31228" s="572">
        <v>7</v>
      </c>
      <c r="C31228" s="572">
        <v>76</v>
      </c>
    </row>
    <row r="31229" spans="1:3">
      <c r="A31229" s="571" t="s">
        <v>1030</v>
      </c>
      <c r="B31229" s="572">
        <v>10</v>
      </c>
      <c r="C31229" s="572">
        <v>128</v>
      </c>
    </row>
    <row r="31230" spans="1:3">
      <c r="A31230" s="571" t="s">
        <v>1030</v>
      </c>
      <c r="B31230" s="572">
        <v>14</v>
      </c>
      <c r="C31230" s="572">
        <v>143</v>
      </c>
    </row>
    <row r="31231" spans="1:3">
      <c r="A31231" s="571" t="s">
        <v>1030</v>
      </c>
      <c r="B31231" s="572">
        <v>21</v>
      </c>
      <c r="C31231" s="572">
        <v>174</v>
      </c>
    </row>
    <row r="31232" spans="1:3">
      <c r="A31232" s="571" t="s">
        <v>1030</v>
      </c>
      <c r="B31232" s="572">
        <v>28</v>
      </c>
      <c r="C31232" s="572">
        <v>186</v>
      </c>
    </row>
    <row r="31233" spans="1:3">
      <c r="A31233" s="571" t="s">
        <v>1030</v>
      </c>
      <c r="B31233" s="572">
        <v>35</v>
      </c>
      <c r="C31233" s="572">
        <v>244</v>
      </c>
    </row>
    <row r="31234" spans="1:3">
      <c r="A31234" s="571" t="s">
        <v>1030</v>
      </c>
      <c r="B31234" s="572">
        <v>42</v>
      </c>
      <c r="C31234" s="572">
        <v>281</v>
      </c>
    </row>
    <row r="31235" spans="1:3">
      <c r="A31235" s="571" t="s">
        <v>1030</v>
      </c>
      <c r="B31235" s="572">
        <v>56</v>
      </c>
      <c r="C31235" s="572">
        <v>341</v>
      </c>
    </row>
    <row r="31236" spans="1:3">
      <c r="A31236" s="571" t="s">
        <v>1030</v>
      </c>
      <c r="B31236" s="572">
        <v>70</v>
      </c>
      <c r="C31236" s="572">
        <v>380</v>
      </c>
    </row>
    <row r="31237" spans="1:3">
      <c r="A31237" s="571" t="s">
        <v>1030</v>
      </c>
      <c r="B31237" s="572">
        <v>84</v>
      </c>
      <c r="C31237" s="572">
        <v>408</v>
      </c>
    </row>
    <row r="31238" spans="1:3">
      <c r="A31238" s="571" t="s">
        <v>1030</v>
      </c>
      <c r="B31238" s="572">
        <v>91</v>
      </c>
      <c r="C31238" s="572">
        <v>411</v>
      </c>
    </row>
    <row r="31239" spans="1:3">
      <c r="A31239" s="571" t="s">
        <v>1030</v>
      </c>
      <c r="B31239" s="572">
        <v>98</v>
      </c>
      <c r="C31239" s="572">
        <v>420</v>
      </c>
    </row>
    <row r="31240" spans="1:3">
      <c r="A31240" s="573" t="s">
        <v>1030</v>
      </c>
      <c r="B31240" s="574">
        <v>112</v>
      </c>
      <c r="C31240" s="574">
        <v>440</v>
      </c>
    </row>
    <row r="31241" spans="1:3">
      <c r="A31241" s="573" t="s">
        <v>1030</v>
      </c>
      <c r="B31241" s="574">
        <v>126</v>
      </c>
      <c r="C31241" s="574">
        <v>449</v>
      </c>
    </row>
    <row r="31242" spans="1:3">
      <c r="A31242" s="573" t="s">
        <v>1030</v>
      </c>
      <c r="B31242" s="574">
        <v>140</v>
      </c>
      <c r="C31242" s="574">
        <v>483</v>
      </c>
    </row>
    <row r="31243" spans="1:3">
      <c r="A31243" s="571" t="s">
        <v>1029</v>
      </c>
      <c r="B31243" s="572">
        <v>0.125</v>
      </c>
      <c r="C31243" s="572">
        <v>8</v>
      </c>
    </row>
    <row r="31244" spans="1:3">
      <c r="A31244" s="571" t="s">
        <v>1029</v>
      </c>
      <c r="B31244" s="572">
        <v>0.25</v>
      </c>
      <c r="C31244" s="572">
        <v>5</v>
      </c>
    </row>
    <row r="31245" spans="1:3">
      <c r="A31245" s="571" t="s">
        <v>1029</v>
      </c>
      <c r="B31245" s="572">
        <v>0.5</v>
      </c>
      <c r="C31245" s="572">
        <v>15</v>
      </c>
    </row>
    <row r="31246" spans="1:3">
      <c r="A31246" s="571" t="s">
        <v>1029</v>
      </c>
      <c r="B31246" s="572">
        <v>1</v>
      </c>
      <c r="C31246" s="572">
        <v>22</v>
      </c>
    </row>
    <row r="31247" spans="1:3">
      <c r="A31247" s="571" t="s">
        <v>1029</v>
      </c>
      <c r="B31247" s="572">
        <v>3</v>
      </c>
      <c r="C31247" s="572">
        <v>66</v>
      </c>
    </row>
    <row r="31248" spans="1:3">
      <c r="A31248" s="571" t="s">
        <v>1029</v>
      </c>
      <c r="B31248" s="572">
        <v>7</v>
      </c>
      <c r="C31248" s="572">
        <v>109</v>
      </c>
    </row>
    <row r="31249" spans="1:3">
      <c r="A31249" s="571" t="s">
        <v>1029</v>
      </c>
      <c r="B31249" s="572">
        <v>10</v>
      </c>
      <c r="C31249" s="572">
        <v>136</v>
      </c>
    </row>
    <row r="31250" spans="1:3">
      <c r="A31250" s="571" t="s">
        <v>1029</v>
      </c>
      <c r="B31250" s="572">
        <v>14</v>
      </c>
      <c r="C31250" s="572">
        <v>162</v>
      </c>
    </row>
    <row r="31251" spans="1:3">
      <c r="A31251" s="571" t="s">
        <v>1029</v>
      </c>
      <c r="B31251" s="572">
        <v>21</v>
      </c>
      <c r="C31251" s="572">
        <v>222</v>
      </c>
    </row>
    <row r="31252" spans="1:3">
      <c r="A31252" s="571" t="s">
        <v>1029</v>
      </c>
      <c r="B31252" s="572">
        <v>28</v>
      </c>
      <c r="C31252" s="572">
        <v>263</v>
      </c>
    </row>
    <row r="31253" spans="1:3">
      <c r="A31253" s="571" t="s">
        <v>1029</v>
      </c>
      <c r="B31253" s="572">
        <v>35</v>
      </c>
      <c r="C31253" s="572">
        <v>300</v>
      </c>
    </row>
    <row r="31254" spans="1:3">
      <c r="A31254" s="571" t="s">
        <v>1029</v>
      </c>
      <c r="B31254" s="572">
        <v>42</v>
      </c>
      <c r="C31254" s="572">
        <v>326</v>
      </c>
    </row>
    <row r="31255" spans="1:3">
      <c r="A31255" s="571" t="s">
        <v>1029</v>
      </c>
      <c r="B31255" s="572">
        <v>56</v>
      </c>
      <c r="C31255" s="572">
        <v>376</v>
      </c>
    </row>
    <row r="31256" spans="1:3">
      <c r="A31256" s="571" t="s">
        <v>1029</v>
      </c>
      <c r="B31256" s="572">
        <v>70</v>
      </c>
      <c r="C31256" s="572">
        <v>403</v>
      </c>
    </row>
    <row r="31257" spans="1:3">
      <c r="A31257" s="571" t="s">
        <v>1029</v>
      </c>
      <c r="B31257" s="572">
        <v>84</v>
      </c>
      <c r="C31257" s="572">
        <v>438</v>
      </c>
    </row>
    <row r="31258" spans="1:3">
      <c r="A31258" s="571" t="s">
        <v>1029</v>
      </c>
      <c r="B31258" s="572">
        <v>91</v>
      </c>
      <c r="C31258" s="572">
        <v>435</v>
      </c>
    </row>
    <row r="31259" spans="1:3">
      <c r="A31259" s="571" t="s">
        <v>1029</v>
      </c>
      <c r="B31259" s="572">
        <v>98</v>
      </c>
      <c r="C31259" s="572">
        <v>436</v>
      </c>
    </row>
    <row r="31260" spans="1:3">
      <c r="A31260" s="573" t="s">
        <v>1029</v>
      </c>
      <c r="B31260" s="574">
        <v>112</v>
      </c>
      <c r="C31260" s="574">
        <v>457</v>
      </c>
    </row>
    <row r="31261" spans="1:3">
      <c r="A31261" s="573" t="s">
        <v>1029</v>
      </c>
      <c r="B31261" s="574">
        <v>126</v>
      </c>
      <c r="C31261" s="574">
        <v>491</v>
      </c>
    </row>
    <row r="31262" spans="1:3">
      <c r="A31262" s="573" t="s">
        <v>1029</v>
      </c>
      <c r="B31262" s="574">
        <v>140</v>
      </c>
      <c r="C31262" s="574">
        <v>482</v>
      </c>
    </row>
    <row r="31263" spans="1:3">
      <c r="A31263" s="573" t="s">
        <v>1029</v>
      </c>
      <c r="B31263" s="574">
        <v>143</v>
      </c>
      <c r="C31263" s="574">
        <v>489</v>
      </c>
    </row>
    <row r="31264" spans="1:3">
      <c r="A31264" s="573" t="s">
        <v>1029</v>
      </c>
      <c r="B31264" s="574">
        <v>147</v>
      </c>
      <c r="C31264" s="574">
        <v>499</v>
      </c>
    </row>
    <row r="31265" spans="1:3">
      <c r="A31265" s="573" t="s">
        <v>1029</v>
      </c>
      <c r="B31265" s="574">
        <v>154</v>
      </c>
      <c r="C31265" s="574">
        <v>516</v>
      </c>
    </row>
    <row r="31266" spans="1:3">
      <c r="A31266" s="573" t="s">
        <v>1029</v>
      </c>
      <c r="B31266" s="574">
        <v>161</v>
      </c>
      <c r="C31266" s="574">
        <v>514</v>
      </c>
    </row>
    <row r="31267" spans="1:3">
      <c r="A31267" s="573" t="s">
        <v>1029</v>
      </c>
      <c r="B31267" s="574">
        <v>168</v>
      </c>
      <c r="C31267" s="574">
        <v>522</v>
      </c>
    </row>
    <row r="31268" spans="1:3">
      <c r="A31268" s="573" t="s">
        <v>1029</v>
      </c>
      <c r="B31268" s="574">
        <v>175</v>
      </c>
      <c r="C31268" s="574">
        <v>527</v>
      </c>
    </row>
    <row r="31269" spans="1:3">
      <c r="A31269" s="573" t="s">
        <v>1029</v>
      </c>
      <c r="B31269" s="574">
        <v>182</v>
      </c>
      <c r="C31269" s="574">
        <v>538</v>
      </c>
    </row>
    <row r="31270" spans="1:3">
      <c r="A31270" s="573" t="s">
        <v>1029</v>
      </c>
      <c r="B31270" s="574">
        <v>196</v>
      </c>
      <c r="C31270" s="574">
        <v>543</v>
      </c>
    </row>
    <row r="31271" spans="1:3">
      <c r="A31271" s="573" t="s">
        <v>1029</v>
      </c>
      <c r="B31271" s="574">
        <v>210</v>
      </c>
      <c r="C31271" s="574">
        <v>556</v>
      </c>
    </row>
    <row r="31272" spans="1:3">
      <c r="A31272" s="571" t="s">
        <v>1028</v>
      </c>
      <c r="B31272" s="572">
        <v>0.125</v>
      </c>
      <c r="C31272" s="572">
        <v>15</v>
      </c>
    </row>
    <row r="31273" spans="1:3">
      <c r="A31273" s="571" t="s">
        <v>1028</v>
      </c>
      <c r="B31273" s="572">
        <v>0.25</v>
      </c>
      <c r="C31273" s="572">
        <v>17</v>
      </c>
    </row>
    <row r="31274" spans="1:3">
      <c r="A31274" s="571" t="s">
        <v>1028</v>
      </c>
      <c r="B31274" s="572">
        <v>0.5</v>
      </c>
      <c r="C31274" s="572">
        <v>32</v>
      </c>
    </row>
    <row r="31275" spans="1:3">
      <c r="A31275" s="571" t="s">
        <v>1028</v>
      </c>
      <c r="B31275" s="572">
        <v>1</v>
      </c>
      <c r="C31275" s="572">
        <v>53</v>
      </c>
    </row>
    <row r="31276" spans="1:3">
      <c r="A31276" s="571" t="s">
        <v>1028</v>
      </c>
      <c r="B31276" s="572">
        <v>3</v>
      </c>
      <c r="C31276" s="572">
        <v>74</v>
      </c>
    </row>
    <row r="31277" spans="1:3">
      <c r="A31277" s="571" t="s">
        <v>1028</v>
      </c>
      <c r="B31277" s="572">
        <v>7</v>
      </c>
      <c r="C31277" s="572">
        <v>147</v>
      </c>
    </row>
    <row r="31278" spans="1:3">
      <c r="A31278" s="571" t="s">
        <v>1028</v>
      </c>
      <c r="B31278" s="572">
        <v>10</v>
      </c>
      <c r="C31278" s="572">
        <v>176</v>
      </c>
    </row>
    <row r="31279" spans="1:3">
      <c r="A31279" s="571" t="s">
        <v>1028</v>
      </c>
      <c r="B31279" s="572">
        <v>14</v>
      </c>
      <c r="C31279" s="572">
        <v>193</v>
      </c>
    </row>
    <row r="31280" spans="1:3">
      <c r="A31280" s="571" t="s">
        <v>1028</v>
      </c>
      <c r="B31280" s="572">
        <v>21</v>
      </c>
      <c r="C31280" s="572">
        <v>261</v>
      </c>
    </row>
    <row r="31281" spans="1:3">
      <c r="A31281" s="571" t="s">
        <v>1028</v>
      </c>
      <c r="B31281" s="572">
        <v>28</v>
      </c>
      <c r="C31281" s="572">
        <v>299</v>
      </c>
    </row>
    <row r="31282" spans="1:3">
      <c r="A31282" s="571" t="s">
        <v>1028</v>
      </c>
      <c r="B31282" s="572">
        <v>35</v>
      </c>
      <c r="C31282" s="572">
        <v>344</v>
      </c>
    </row>
    <row r="31283" spans="1:3">
      <c r="A31283" s="571" t="s">
        <v>1028</v>
      </c>
      <c r="B31283" s="572">
        <v>42</v>
      </c>
      <c r="C31283" s="572">
        <v>375</v>
      </c>
    </row>
    <row r="31284" spans="1:3">
      <c r="A31284" s="571" t="s">
        <v>1028</v>
      </c>
      <c r="B31284" s="572">
        <v>56</v>
      </c>
      <c r="C31284" s="572">
        <v>411</v>
      </c>
    </row>
    <row r="31285" spans="1:3">
      <c r="A31285" s="571" t="s">
        <v>1028</v>
      </c>
      <c r="B31285" s="572">
        <v>70</v>
      </c>
      <c r="C31285" s="572">
        <v>450</v>
      </c>
    </row>
    <row r="31286" spans="1:3">
      <c r="A31286" s="571" t="s">
        <v>1028</v>
      </c>
      <c r="B31286" s="572">
        <v>84</v>
      </c>
      <c r="C31286" s="572">
        <v>458</v>
      </c>
    </row>
    <row r="31287" spans="1:3">
      <c r="A31287" s="571" t="s">
        <v>1028</v>
      </c>
      <c r="B31287" s="572">
        <v>91</v>
      </c>
      <c r="C31287" s="572">
        <v>470</v>
      </c>
    </row>
    <row r="31288" spans="1:3">
      <c r="A31288" s="571" t="s">
        <v>1028</v>
      </c>
      <c r="B31288" s="572">
        <v>98</v>
      </c>
      <c r="C31288" s="572">
        <v>478</v>
      </c>
    </row>
    <row r="31289" spans="1:3">
      <c r="A31289" s="573" t="s">
        <v>1028</v>
      </c>
      <c r="B31289" s="574">
        <v>112</v>
      </c>
      <c r="C31289" s="574">
        <v>488</v>
      </c>
    </row>
    <row r="31290" spans="1:3">
      <c r="A31290" s="573" t="s">
        <v>1028</v>
      </c>
      <c r="B31290" s="574">
        <v>126</v>
      </c>
      <c r="C31290" s="574">
        <v>492</v>
      </c>
    </row>
    <row r="31291" spans="1:3">
      <c r="A31291" s="573" t="s">
        <v>1028</v>
      </c>
      <c r="B31291" s="574">
        <v>140</v>
      </c>
      <c r="C31291" s="574">
        <v>481</v>
      </c>
    </row>
    <row r="31292" spans="1:3">
      <c r="A31292" s="571" t="s">
        <v>1027</v>
      </c>
      <c r="B31292" s="572">
        <v>0.125</v>
      </c>
      <c r="C31292" s="572">
        <v>24</v>
      </c>
    </row>
    <row r="31293" spans="1:3">
      <c r="A31293" s="571" t="s">
        <v>1027</v>
      </c>
      <c r="B31293" s="572">
        <v>0.25</v>
      </c>
      <c r="C31293" s="572">
        <v>21</v>
      </c>
    </row>
    <row r="31294" spans="1:3">
      <c r="A31294" s="571" t="s">
        <v>1027</v>
      </c>
      <c r="B31294" s="572">
        <v>0.5</v>
      </c>
      <c r="C31294" s="572">
        <v>24</v>
      </c>
    </row>
    <row r="31295" spans="1:3">
      <c r="A31295" s="571" t="s">
        <v>1027</v>
      </c>
      <c r="B31295" s="572">
        <v>1</v>
      </c>
      <c r="C31295" s="572">
        <v>16</v>
      </c>
    </row>
    <row r="31296" spans="1:3">
      <c r="A31296" s="571" t="s">
        <v>1027</v>
      </c>
      <c r="B31296" s="572">
        <v>3</v>
      </c>
      <c r="C31296" s="572">
        <v>6</v>
      </c>
    </row>
    <row r="31297" spans="1:3">
      <c r="A31297" s="571" t="s">
        <v>1027</v>
      </c>
      <c r="B31297" s="572">
        <v>7</v>
      </c>
      <c r="C31297" s="572">
        <v>68</v>
      </c>
    </row>
    <row r="31298" spans="1:3">
      <c r="A31298" s="571" t="s">
        <v>1027</v>
      </c>
      <c r="B31298" s="572">
        <v>10</v>
      </c>
      <c r="C31298" s="572">
        <v>114</v>
      </c>
    </row>
    <row r="31299" spans="1:3">
      <c r="A31299" s="571" t="s">
        <v>1027</v>
      </c>
      <c r="B31299" s="572">
        <v>14</v>
      </c>
      <c r="C31299" s="572">
        <v>139</v>
      </c>
    </row>
    <row r="31300" spans="1:3">
      <c r="A31300" s="571" t="s">
        <v>1027</v>
      </c>
      <c r="B31300" s="572">
        <v>21</v>
      </c>
      <c r="C31300" s="572">
        <v>202</v>
      </c>
    </row>
    <row r="31301" spans="1:3">
      <c r="A31301" s="571" t="s">
        <v>1027</v>
      </c>
      <c r="B31301" s="572">
        <v>28</v>
      </c>
      <c r="C31301" s="572">
        <v>242</v>
      </c>
    </row>
    <row r="31302" spans="1:3">
      <c r="A31302" s="571" t="s">
        <v>1027</v>
      </c>
      <c r="B31302" s="572">
        <v>35</v>
      </c>
      <c r="C31302" s="572">
        <v>276</v>
      </c>
    </row>
    <row r="31303" spans="1:3">
      <c r="A31303" s="571" t="s">
        <v>1027</v>
      </c>
      <c r="B31303" s="572">
        <v>42</v>
      </c>
      <c r="C31303" s="572">
        <v>307</v>
      </c>
    </row>
    <row r="31304" spans="1:3">
      <c r="A31304" s="571" t="s">
        <v>1027</v>
      </c>
      <c r="B31304" s="572">
        <v>56</v>
      </c>
      <c r="C31304" s="572">
        <v>333</v>
      </c>
    </row>
    <row r="31305" spans="1:3">
      <c r="A31305" s="571" t="s">
        <v>1027</v>
      </c>
      <c r="B31305" s="572">
        <v>70</v>
      </c>
      <c r="C31305" s="572">
        <v>365</v>
      </c>
    </row>
    <row r="31306" spans="1:3">
      <c r="A31306" s="571" t="s">
        <v>1027</v>
      </c>
      <c r="B31306" s="572">
        <v>84</v>
      </c>
      <c r="C31306" s="572">
        <v>383</v>
      </c>
    </row>
    <row r="31307" spans="1:3">
      <c r="A31307" s="571" t="s">
        <v>1027</v>
      </c>
      <c r="B31307" s="572">
        <v>91</v>
      </c>
      <c r="C31307" s="572">
        <v>387</v>
      </c>
    </row>
    <row r="31308" spans="1:3">
      <c r="A31308" s="571" t="s">
        <v>1027</v>
      </c>
      <c r="B31308" s="572">
        <v>98</v>
      </c>
      <c r="C31308" s="572">
        <v>398</v>
      </c>
    </row>
    <row r="31309" spans="1:3">
      <c r="A31309" s="573" t="s">
        <v>1027</v>
      </c>
      <c r="B31309" s="574">
        <v>112</v>
      </c>
      <c r="C31309" s="574">
        <v>415</v>
      </c>
    </row>
    <row r="31310" spans="1:3">
      <c r="A31310" s="573" t="s">
        <v>1027</v>
      </c>
      <c r="B31310" s="574">
        <v>126</v>
      </c>
      <c r="C31310" s="574">
        <v>428</v>
      </c>
    </row>
    <row r="31311" spans="1:3">
      <c r="A31311" s="573" t="s">
        <v>1027</v>
      </c>
      <c r="B31311" s="574">
        <v>140</v>
      </c>
      <c r="C31311" s="574">
        <v>462</v>
      </c>
    </row>
    <row r="31312" spans="1:3">
      <c r="A31312" s="573" t="s">
        <v>1027</v>
      </c>
      <c r="B31312" s="574">
        <v>143</v>
      </c>
      <c r="C31312" s="574">
        <v>455</v>
      </c>
    </row>
    <row r="31313" spans="1:3">
      <c r="A31313" s="573" t="s">
        <v>1027</v>
      </c>
      <c r="B31313" s="574">
        <v>147</v>
      </c>
      <c r="C31313" s="574">
        <v>449</v>
      </c>
    </row>
    <row r="31314" spans="1:3">
      <c r="A31314" s="571" t="s">
        <v>1026</v>
      </c>
      <c r="B31314" s="572">
        <v>0.125</v>
      </c>
      <c r="C31314" s="572">
        <v>26</v>
      </c>
    </row>
    <row r="31315" spans="1:3">
      <c r="A31315" s="571" t="s">
        <v>1026</v>
      </c>
      <c r="B31315" s="572">
        <v>0.25</v>
      </c>
      <c r="C31315" s="572">
        <v>13</v>
      </c>
    </row>
    <row r="31316" spans="1:3">
      <c r="A31316" s="571" t="s">
        <v>1026</v>
      </c>
      <c r="B31316" s="572">
        <v>0.5</v>
      </c>
      <c r="C31316" s="572">
        <v>34</v>
      </c>
    </row>
    <row r="31317" spans="1:3">
      <c r="A31317" s="571" t="s">
        <v>1026</v>
      </c>
      <c r="B31317" s="572">
        <v>1</v>
      </c>
      <c r="C31317" s="572">
        <v>14</v>
      </c>
    </row>
    <row r="31318" spans="1:3">
      <c r="A31318" s="571" t="s">
        <v>1026</v>
      </c>
      <c r="B31318" s="572">
        <v>3</v>
      </c>
      <c r="C31318" s="572">
        <v>70</v>
      </c>
    </row>
    <row r="31319" spans="1:3">
      <c r="A31319" s="571" t="s">
        <v>1026</v>
      </c>
      <c r="B31319" s="572">
        <v>7</v>
      </c>
      <c r="C31319" s="572">
        <v>153</v>
      </c>
    </row>
    <row r="31320" spans="1:3">
      <c r="A31320" s="571" t="s">
        <v>1026</v>
      </c>
      <c r="B31320" s="572">
        <v>10</v>
      </c>
      <c r="C31320" s="572">
        <v>166</v>
      </c>
    </row>
    <row r="31321" spans="1:3">
      <c r="A31321" s="571" t="s">
        <v>1026</v>
      </c>
      <c r="B31321" s="572">
        <v>14</v>
      </c>
      <c r="C31321" s="572">
        <v>223</v>
      </c>
    </row>
    <row r="31322" spans="1:3">
      <c r="A31322" s="571" t="s">
        <v>1026</v>
      </c>
      <c r="B31322" s="572">
        <v>21</v>
      </c>
      <c r="C31322" s="572">
        <v>269</v>
      </c>
    </row>
    <row r="31323" spans="1:3">
      <c r="A31323" s="571" t="s">
        <v>1026</v>
      </c>
      <c r="B31323" s="572">
        <v>28</v>
      </c>
      <c r="C31323" s="572">
        <v>316</v>
      </c>
    </row>
    <row r="31324" spans="1:3">
      <c r="A31324" s="571" t="s">
        <v>1026</v>
      </c>
      <c r="B31324" s="572">
        <v>35</v>
      </c>
      <c r="C31324" s="572">
        <v>406</v>
      </c>
    </row>
    <row r="31325" spans="1:3">
      <c r="A31325" s="571" t="s">
        <v>1026</v>
      </c>
      <c r="B31325" s="572">
        <v>42</v>
      </c>
      <c r="C31325" s="572">
        <v>371</v>
      </c>
    </row>
    <row r="31326" spans="1:3">
      <c r="A31326" s="571" t="s">
        <v>1026</v>
      </c>
      <c r="B31326" s="572">
        <v>56</v>
      </c>
      <c r="C31326" s="572">
        <v>401</v>
      </c>
    </row>
    <row r="31327" spans="1:3">
      <c r="A31327" s="571" t="s">
        <v>1026</v>
      </c>
      <c r="B31327" s="572">
        <v>70</v>
      </c>
      <c r="C31327" s="572">
        <v>409</v>
      </c>
    </row>
    <row r="31328" spans="1:3">
      <c r="A31328" s="571" t="s">
        <v>1026</v>
      </c>
      <c r="B31328" s="572">
        <v>84</v>
      </c>
      <c r="C31328" s="572">
        <v>423</v>
      </c>
    </row>
    <row r="31329" spans="1:3">
      <c r="A31329" s="571" t="s">
        <v>1026</v>
      </c>
      <c r="B31329" s="572">
        <v>91</v>
      </c>
      <c r="C31329" s="572">
        <v>423</v>
      </c>
    </row>
    <row r="31330" spans="1:3">
      <c r="A31330" s="571" t="s">
        <v>1026</v>
      </c>
      <c r="B31330" s="572">
        <v>98</v>
      </c>
      <c r="C31330" s="572">
        <v>424</v>
      </c>
    </row>
    <row r="31331" spans="1:3">
      <c r="A31331" s="573" t="s">
        <v>1026</v>
      </c>
      <c r="B31331" s="574">
        <v>112</v>
      </c>
      <c r="C31331" s="574">
        <v>434</v>
      </c>
    </row>
    <row r="31332" spans="1:3">
      <c r="A31332" s="573" t="s">
        <v>1026</v>
      </c>
      <c r="B31332" s="574">
        <v>126</v>
      </c>
      <c r="C31332" s="574">
        <v>452</v>
      </c>
    </row>
    <row r="31333" spans="1:3">
      <c r="A31333" s="573" t="s">
        <v>1026</v>
      </c>
      <c r="B31333" s="574">
        <v>140</v>
      </c>
      <c r="C31333" s="574">
        <v>446</v>
      </c>
    </row>
    <row r="31334" spans="1:3">
      <c r="A31334" s="571" t="s">
        <v>1025</v>
      </c>
      <c r="B31334" s="572">
        <v>0</v>
      </c>
      <c r="C31334" s="572">
        <v>0</v>
      </c>
    </row>
    <row r="31335" spans="1:3">
      <c r="A31335" s="571" t="s">
        <v>1025</v>
      </c>
      <c r="B31335" s="572">
        <v>7</v>
      </c>
      <c r="C31335" s="572">
        <v>208</v>
      </c>
    </row>
    <row r="31336" spans="1:3">
      <c r="A31336" s="571" t="s">
        <v>1025</v>
      </c>
      <c r="B31336" s="572">
        <v>14</v>
      </c>
      <c r="C31336" s="572">
        <v>320</v>
      </c>
    </row>
    <row r="31337" spans="1:3">
      <c r="A31337" s="571" t="s">
        <v>1025</v>
      </c>
      <c r="B31337" s="572">
        <v>21</v>
      </c>
      <c r="C31337" s="572">
        <v>416</v>
      </c>
    </row>
    <row r="31338" spans="1:3">
      <c r="A31338" s="571" t="s">
        <v>1025</v>
      </c>
      <c r="B31338" s="572">
        <v>28</v>
      </c>
      <c r="C31338" s="572">
        <v>496</v>
      </c>
    </row>
    <row r="31339" spans="1:3">
      <c r="A31339" s="571" t="s">
        <v>1025</v>
      </c>
      <c r="B31339" s="572">
        <v>35</v>
      </c>
      <c r="C31339" s="572">
        <v>560</v>
      </c>
    </row>
    <row r="31340" spans="1:3">
      <c r="A31340" s="571" t="s">
        <v>1025</v>
      </c>
      <c r="B31340" s="572">
        <v>42</v>
      </c>
      <c r="C31340" s="572">
        <v>608</v>
      </c>
    </row>
    <row r="31341" spans="1:3">
      <c r="A31341" s="571" t="s">
        <v>1025</v>
      </c>
      <c r="B31341" s="572">
        <v>49</v>
      </c>
      <c r="C31341" s="572">
        <v>640</v>
      </c>
    </row>
    <row r="31342" spans="1:3">
      <c r="A31342" s="571" t="s">
        <v>1025</v>
      </c>
      <c r="B31342" s="572">
        <v>56</v>
      </c>
      <c r="C31342" s="572">
        <v>672</v>
      </c>
    </row>
    <row r="31343" spans="1:3">
      <c r="A31343" s="571" t="s">
        <v>1025</v>
      </c>
      <c r="B31343" s="572">
        <v>70</v>
      </c>
      <c r="C31343" s="572">
        <v>736</v>
      </c>
    </row>
    <row r="31344" spans="1:3">
      <c r="A31344" s="571" t="s">
        <v>1025</v>
      </c>
      <c r="B31344" s="572">
        <v>84</v>
      </c>
      <c r="C31344" s="572">
        <v>760</v>
      </c>
    </row>
    <row r="31345" spans="1:3">
      <c r="A31345" s="573" t="s">
        <v>1025</v>
      </c>
      <c r="B31345" s="574">
        <v>112</v>
      </c>
      <c r="C31345" s="574">
        <v>816</v>
      </c>
    </row>
    <row r="31346" spans="1:3">
      <c r="A31346" s="573" t="s">
        <v>1025</v>
      </c>
      <c r="B31346" s="574">
        <v>140</v>
      </c>
      <c r="C31346" s="574">
        <v>864</v>
      </c>
    </row>
    <row r="31347" spans="1:3">
      <c r="A31347" s="573" t="s">
        <v>1025</v>
      </c>
      <c r="B31347" s="574">
        <v>168</v>
      </c>
      <c r="C31347" s="574">
        <v>904</v>
      </c>
    </row>
    <row r="31348" spans="1:3">
      <c r="A31348" s="571" t="s">
        <v>1024</v>
      </c>
      <c r="B31348" s="572">
        <v>0</v>
      </c>
      <c r="C31348" s="572">
        <v>0</v>
      </c>
    </row>
    <row r="31349" spans="1:3">
      <c r="A31349" s="571" t="s">
        <v>1024</v>
      </c>
      <c r="B31349" s="572">
        <v>7</v>
      </c>
      <c r="C31349" s="572">
        <v>200</v>
      </c>
    </row>
    <row r="31350" spans="1:3">
      <c r="A31350" s="571" t="s">
        <v>1024</v>
      </c>
      <c r="B31350" s="572">
        <v>14</v>
      </c>
      <c r="C31350" s="572">
        <v>328.57142857142901</v>
      </c>
    </row>
    <row r="31351" spans="1:3">
      <c r="A31351" s="571" t="s">
        <v>1024</v>
      </c>
      <c r="B31351" s="572">
        <v>21</v>
      </c>
      <c r="C31351" s="572">
        <v>442.857142857143</v>
      </c>
    </row>
    <row r="31352" spans="1:3">
      <c r="A31352" s="571" t="s">
        <v>1024</v>
      </c>
      <c r="B31352" s="572">
        <v>28</v>
      </c>
      <c r="C31352" s="572">
        <v>528.57142857142901</v>
      </c>
    </row>
    <row r="31353" spans="1:3">
      <c r="A31353" s="571" t="s">
        <v>1024</v>
      </c>
      <c r="B31353" s="572">
        <v>35</v>
      </c>
      <c r="C31353" s="572">
        <v>585.71428571428601</v>
      </c>
    </row>
    <row r="31354" spans="1:3">
      <c r="A31354" s="571" t="s">
        <v>1024</v>
      </c>
      <c r="B31354" s="572">
        <v>42</v>
      </c>
      <c r="C31354" s="572">
        <v>642.857142857143</v>
      </c>
    </row>
    <row r="31355" spans="1:3">
      <c r="A31355" s="571" t="s">
        <v>1024</v>
      </c>
      <c r="B31355" s="572">
        <v>49</v>
      </c>
      <c r="C31355" s="572">
        <v>714.28571428571399</v>
      </c>
    </row>
    <row r="31356" spans="1:3">
      <c r="A31356" s="571" t="s">
        <v>1024</v>
      </c>
      <c r="B31356" s="572">
        <v>56</v>
      </c>
      <c r="C31356" s="572">
        <v>750</v>
      </c>
    </row>
    <row r="31357" spans="1:3">
      <c r="A31357" s="571" t="s">
        <v>1024</v>
      </c>
      <c r="B31357" s="572">
        <v>70</v>
      </c>
      <c r="C31357" s="572">
        <v>807.142857142857</v>
      </c>
    </row>
    <row r="31358" spans="1:3">
      <c r="A31358" s="571" t="s">
        <v>1024</v>
      </c>
      <c r="B31358" s="572">
        <v>84</v>
      </c>
      <c r="C31358" s="572">
        <v>842.857142857143</v>
      </c>
    </row>
    <row r="31359" spans="1:3">
      <c r="A31359" s="573" t="s">
        <v>1024</v>
      </c>
      <c r="B31359" s="574">
        <v>112</v>
      </c>
      <c r="C31359" s="574">
        <v>864.28571428571399</v>
      </c>
    </row>
    <row r="31360" spans="1:3">
      <c r="A31360" s="573" t="s">
        <v>1024</v>
      </c>
      <c r="B31360" s="574">
        <v>140</v>
      </c>
      <c r="C31360" s="574">
        <v>907.142857142857</v>
      </c>
    </row>
    <row r="31361" spans="1:3">
      <c r="A31361" s="573" t="s">
        <v>1024</v>
      </c>
      <c r="B31361" s="574">
        <v>168</v>
      </c>
      <c r="C31361" s="574">
        <v>928.57142857142901</v>
      </c>
    </row>
    <row r="31362" spans="1:3">
      <c r="A31362" s="571" t="s">
        <v>1023</v>
      </c>
      <c r="B31362" s="572">
        <v>0</v>
      </c>
      <c r="C31362" s="572">
        <v>0</v>
      </c>
    </row>
    <row r="31363" spans="1:3">
      <c r="A31363" s="571" t="s">
        <v>1023</v>
      </c>
      <c r="B31363" s="572">
        <v>7</v>
      </c>
      <c r="C31363" s="572">
        <v>157.142857142857</v>
      </c>
    </row>
    <row r="31364" spans="1:3">
      <c r="A31364" s="571" t="s">
        <v>1023</v>
      </c>
      <c r="B31364" s="572">
        <v>14</v>
      </c>
      <c r="C31364" s="572">
        <v>228.57142857142901</v>
      </c>
    </row>
    <row r="31365" spans="1:3">
      <c r="A31365" s="571" t="s">
        <v>1023</v>
      </c>
      <c r="B31365" s="572">
        <v>21</v>
      </c>
      <c r="C31365" s="572">
        <v>314.28571428571399</v>
      </c>
    </row>
    <row r="31366" spans="1:3">
      <c r="A31366" s="571" t="s">
        <v>1023</v>
      </c>
      <c r="B31366" s="572">
        <v>28</v>
      </c>
      <c r="C31366" s="572">
        <v>385.71428571428601</v>
      </c>
    </row>
    <row r="31367" spans="1:3">
      <c r="A31367" s="571" t="s">
        <v>1023</v>
      </c>
      <c r="B31367" s="572">
        <v>35</v>
      </c>
      <c r="C31367" s="572">
        <v>442.857142857143</v>
      </c>
    </row>
    <row r="31368" spans="1:3">
      <c r="A31368" s="571" t="s">
        <v>1023</v>
      </c>
      <c r="B31368" s="572">
        <v>42</v>
      </c>
      <c r="C31368" s="572">
        <v>457.142857142857</v>
      </c>
    </row>
    <row r="31369" spans="1:3">
      <c r="A31369" s="571" t="s">
        <v>1023</v>
      </c>
      <c r="B31369" s="572">
        <v>49</v>
      </c>
      <c r="C31369" s="572">
        <v>521.42857142857099</v>
      </c>
    </row>
    <row r="31370" spans="1:3">
      <c r="A31370" s="571" t="s">
        <v>1023</v>
      </c>
      <c r="B31370" s="572">
        <v>56</v>
      </c>
      <c r="C31370" s="572">
        <v>557.142857142857</v>
      </c>
    </row>
    <row r="31371" spans="1:3">
      <c r="A31371" s="571" t="s">
        <v>1023</v>
      </c>
      <c r="B31371" s="572">
        <v>70</v>
      </c>
      <c r="C31371" s="572">
        <v>585.71428571428601</v>
      </c>
    </row>
    <row r="31372" spans="1:3">
      <c r="A31372" s="571" t="s">
        <v>1023</v>
      </c>
      <c r="B31372" s="572">
        <v>84</v>
      </c>
      <c r="C31372" s="572">
        <v>607.142857142857</v>
      </c>
    </row>
    <row r="31373" spans="1:3">
      <c r="A31373" s="573" t="s">
        <v>1023</v>
      </c>
      <c r="B31373" s="574">
        <v>112</v>
      </c>
      <c r="C31373" s="574">
        <v>642.857142857143</v>
      </c>
    </row>
    <row r="31374" spans="1:3">
      <c r="A31374" s="573" t="s">
        <v>1023</v>
      </c>
      <c r="B31374" s="574">
        <v>140</v>
      </c>
      <c r="C31374" s="574">
        <v>671.42857142857099</v>
      </c>
    </row>
    <row r="31375" spans="1:3">
      <c r="A31375" s="573" t="s">
        <v>1023</v>
      </c>
      <c r="B31375" s="574">
        <v>168</v>
      </c>
      <c r="C31375" s="574">
        <v>685.71428571428601</v>
      </c>
    </row>
    <row r="31376" spans="1:3">
      <c r="A31376" s="571" t="s">
        <v>1022</v>
      </c>
      <c r="B31376" s="572">
        <v>0</v>
      </c>
      <c r="C31376" s="572">
        <v>0</v>
      </c>
    </row>
    <row r="31377" spans="1:3">
      <c r="A31377" s="571" t="s">
        <v>1022</v>
      </c>
      <c r="B31377" s="572">
        <v>7</v>
      </c>
      <c r="C31377" s="572">
        <v>57.142857142857103</v>
      </c>
    </row>
    <row r="31378" spans="1:3">
      <c r="A31378" s="571" t="s">
        <v>1022</v>
      </c>
      <c r="B31378" s="572">
        <v>14</v>
      </c>
      <c r="C31378" s="572">
        <v>157.142857142857</v>
      </c>
    </row>
    <row r="31379" spans="1:3">
      <c r="A31379" s="571" t="s">
        <v>1022</v>
      </c>
      <c r="B31379" s="572">
        <v>21</v>
      </c>
      <c r="C31379" s="572">
        <v>257.142857142857</v>
      </c>
    </row>
    <row r="31380" spans="1:3">
      <c r="A31380" s="571" t="s">
        <v>1022</v>
      </c>
      <c r="B31380" s="572">
        <v>28</v>
      </c>
      <c r="C31380" s="572">
        <v>300</v>
      </c>
    </row>
    <row r="31381" spans="1:3">
      <c r="A31381" s="571" t="s">
        <v>1022</v>
      </c>
      <c r="B31381" s="572">
        <v>35</v>
      </c>
      <c r="C31381" s="572">
        <v>335.71428571428601</v>
      </c>
    </row>
    <row r="31382" spans="1:3">
      <c r="A31382" s="571" t="s">
        <v>1022</v>
      </c>
      <c r="B31382" s="572">
        <v>42</v>
      </c>
      <c r="C31382" s="572">
        <v>357.142857142857</v>
      </c>
    </row>
    <row r="31383" spans="1:3">
      <c r="A31383" s="571" t="s">
        <v>1022</v>
      </c>
      <c r="B31383" s="572">
        <v>49</v>
      </c>
      <c r="C31383" s="572">
        <v>392.857142857143</v>
      </c>
    </row>
    <row r="31384" spans="1:3">
      <c r="A31384" s="571" t="s">
        <v>1022</v>
      </c>
      <c r="B31384" s="572">
        <v>56</v>
      </c>
      <c r="C31384" s="572">
        <v>428.57142857142901</v>
      </c>
    </row>
    <row r="31385" spans="1:3">
      <c r="A31385" s="571" t="s">
        <v>1022</v>
      </c>
      <c r="B31385" s="572">
        <v>70</v>
      </c>
      <c r="C31385" s="572">
        <v>450</v>
      </c>
    </row>
    <row r="31386" spans="1:3">
      <c r="A31386" s="571" t="s">
        <v>1022</v>
      </c>
      <c r="B31386" s="572">
        <v>84</v>
      </c>
      <c r="C31386" s="572">
        <v>464.28571428571399</v>
      </c>
    </row>
    <row r="31387" spans="1:3">
      <c r="A31387" s="573" t="s">
        <v>1022</v>
      </c>
      <c r="B31387" s="574">
        <v>112</v>
      </c>
      <c r="C31387" s="574">
        <v>485.71428571428601</v>
      </c>
    </row>
    <row r="31388" spans="1:3">
      <c r="A31388" s="573" t="s">
        <v>1022</v>
      </c>
      <c r="B31388" s="574">
        <v>140</v>
      </c>
      <c r="C31388" s="574">
        <v>528.57142857142901</v>
      </c>
    </row>
    <row r="31389" spans="1:3">
      <c r="A31389" s="573" t="s">
        <v>1022</v>
      </c>
      <c r="B31389" s="574">
        <v>168</v>
      </c>
      <c r="C31389" s="574">
        <v>528.57142857142901</v>
      </c>
    </row>
    <row r="31390" spans="1:3">
      <c r="A31390" s="571" t="s">
        <v>1021</v>
      </c>
      <c r="B31390" s="572">
        <v>0</v>
      </c>
      <c r="C31390" s="572">
        <v>0</v>
      </c>
    </row>
    <row r="31391" spans="1:3">
      <c r="A31391" s="571" t="s">
        <v>1021</v>
      </c>
      <c r="B31391" s="572">
        <v>7</v>
      </c>
      <c r="C31391" s="572">
        <v>208</v>
      </c>
    </row>
    <row r="31392" spans="1:3">
      <c r="A31392" s="571" t="s">
        <v>1021</v>
      </c>
      <c r="B31392" s="572">
        <v>14</v>
      </c>
      <c r="C31392" s="572">
        <v>320</v>
      </c>
    </row>
    <row r="31393" spans="1:3">
      <c r="A31393" s="571" t="s">
        <v>1021</v>
      </c>
      <c r="B31393" s="572">
        <v>21</v>
      </c>
      <c r="C31393" s="572">
        <v>416</v>
      </c>
    </row>
    <row r="31394" spans="1:3">
      <c r="A31394" s="571" t="s">
        <v>1021</v>
      </c>
      <c r="B31394" s="572">
        <v>28</v>
      </c>
      <c r="C31394" s="572">
        <v>496</v>
      </c>
    </row>
    <row r="31395" spans="1:3">
      <c r="A31395" s="571" t="s">
        <v>1021</v>
      </c>
      <c r="B31395" s="572">
        <v>35</v>
      </c>
      <c r="C31395" s="572">
        <v>560</v>
      </c>
    </row>
    <row r="31396" spans="1:3">
      <c r="A31396" s="571" t="s">
        <v>1021</v>
      </c>
      <c r="B31396" s="572">
        <v>42</v>
      </c>
      <c r="C31396" s="572">
        <v>608</v>
      </c>
    </row>
    <row r="31397" spans="1:3">
      <c r="A31397" s="571" t="s">
        <v>1021</v>
      </c>
      <c r="B31397" s="572">
        <v>49</v>
      </c>
      <c r="C31397" s="572">
        <v>640</v>
      </c>
    </row>
    <row r="31398" spans="1:3">
      <c r="A31398" s="571" t="s">
        <v>1021</v>
      </c>
      <c r="B31398" s="572">
        <v>56</v>
      </c>
      <c r="C31398" s="572">
        <v>672</v>
      </c>
    </row>
    <row r="31399" spans="1:3">
      <c r="A31399" s="571" t="s">
        <v>1021</v>
      </c>
      <c r="B31399" s="572">
        <v>70</v>
      </c>
      <c r="C31399" s="572">
        <v>688</v>
      </c>
    </row>
    <row r="31400" spans="1:3">
      <c r="A31400" s="571" t="s">
        <v>1021</v>
      </c>
      <c r="B31400" s="572">
        <v>84</v>
      </c>
      <c r="C31400" s="572">
        <v>720</v>
      </c>
    </row>
    <row r="31401" spans="1:3">
      <c r="A31401" s="573" t="s">
        <v>1021</v>
      </c>
      <c r="B31401" s="574">
        <v>112</v>
      </c>
      <c r="C31401" s="574">
        <v>768</v>
      </c>
    </row>
    <row r="31402" spans="1:3">
      <c r="A31402" s="573" t="s">
        <v>1021</v>
      </c>
      <c r="B31402" s="574">
        <v>140</v>
      </c>
      <c r="C31402" s="574">
        <v>792</v>
      </c>
    </row>
    <row r="31403" spans="1:3">
      <c r="A31403" s="573" t="s">
        <v>1021</v>
      </c>
      <c r="B31403" s="574">
        <v>168</v>
      </c>
      <c r="C31403" s="574">
        <v>840</v>
      </c>
    </row>
    <row r="31404" spans="1:3">
      <c r="A31404" s="571" t="s">
        <v>1020</v>
      </c>
      <c r="B31404" s="572">
        <v>0</v>
      </c>
      <c r="C31404" s="572">
        <v>0</v>
      </c>
    </row>
    <row r="31405" spans="1:3">
      <c r="A31405" s="571" t="s">
        <v>1020</v>
      </c>
      <c r="B31405" s="572">
        <v>7</v>
      </c>
      <c r="C31405" s="572">
        <v>208</v>
      </c>
    </row>
    <row r="31406" spans="1:3">
      <c r="A31406" s="571" t="s">
        <v>1020</v>
      </c>
      <c r="B31406" s="572">
        <v>14</v>
      </c>
      <c r="C31406" s="572">
        <v>320</v>
      </c>
    </row>
    <row r="31407" spans="1:3">
      <c r="A31407" s="571" t="s">
        <v>1020</v>
      </c>
      <c r="B31407" s="572">
        <v>21</v>
      </c>
      <c r="C31407" s="572">
        <v>416</v>
      </c>
    </row>
    <row r="31408" spans="1:3">
      <c r="A31408" s="571" t="s">
        <v>1020</v>
      </c>
      <c r="B31408" s="572">
        <v>28</v>
      </c>
      <c r="C31408" s="572">
        <v>496</v>
      </c>
    </row>
    <row r="31409" spans="1:3">
      <c r="A31409" s="571" t="s">
        <v>1020</v>
      </c>
      <c r="B31409" s="572">
        <v>35</v>
      </c>
      <c r="C31409" s="572">
        <v>560</v>
      </c>
    </row>
    <row r="31410" spans="1:3">
      <c r="A31410" s="571" t="s">
        <v>1020</v>
      </c>
      <c r="B31410" s="572">
        <v>42</v>
      </c>
      <c r="C31410" s="572">
        <v>624</v>
      </c>
    </row>
    <row r="31411" spans="1:3">
      <c r="A31411" s="571" t="s">
        <v>1020</v>
      </c>
      <c r="B31411" s="572">
        <v>49</v>
      </c>
      <c r="C31411" s="572">
        <v>664</v>
      </c>
    </row>
    <row r="31412" spans="1:3">
      <c r="A31412" s="571" t="s">
        <v>1020</v>
      </c>
      <c r="B31412" s="572">
        <v>56</v>
      </c>
      <c r="C31412" s="572">
        <v>712</v>
      </c>
    </row>
    <row r="31413" spans="1:3">
      <c r="A31413" s="571" t="s">
        <v>1020</v>
      </c>
      <c r="B31413" s="572">
        <v>70</v>
      </c>
      <c r="C31413" s="572">
        <v>752</v>
      </c>
    </row>
    <row r="31414" spans="1:3">
      <c r="A31414" s="571" t="s">
        <v>1020</v>
      </c>
      <c r="B31414" s="572">
        <v>84</v>
      </c>
      <c r="C31414" s="572">
        <v>792</v>
      </c>
    </row>
    <row r="31415" spans="1:3">
      <c r="A31415" s="573" t="s">
        <v>1020</v>
      </c>
      <c r="B31415" s="574">
        <v>112</v>
      </c>
      <c r="C31415" s="574">
        <v>832</v>
      </c>
    </row>
    <row r="31416" spans="1:3">
      <c r="A31416" s="573" t="s">
        <v>1020</v>
      </c>
      <c r="B31416" s="574">
        <v>140</v>
      </c>
      <c r="C31416" s="574">
        <v>888</v>
      </c>
    </row>
    <row r="31417" spans="1:3">
      <c r="A31417" s="573" t="s">
        <v>1020</v>
      </c>
      <c r="B31417" s="574">
        <v>168</v>
      </c>
      <c r="C31417" s="574">
        <v>944</v>
      </c>
    </row>
    <row r="31418" spans="1:3">
      <c r="A31418" s="571" t="s">
        <v>1019</v>
      </c>
      <c r="B31418" s="572">
        <v>0</v>
      </c>
      <c r="C31418" s="572">
        <v>0</v>
      </c>
    </row>
    <row r="31419" spans="1:3">
      <c r="A31419" s="571" t="s">
        <v>1019</v>
      </c>
      <c r="B31419" s="572">
        <v>7</v>
      </c>
      <c r="C31419" s="572">
        <v>200</v>
      </c>
    </row>
    <row r="31420" spans="1:3">
      <c r="A31420" s="571" t="s">
        <v>1019</v>
      </c>
      <c r="B31420" s="572">
        <v>14</v>
      </c>
      <c r="C31420" s="572">
        <v>328.57142857142901</v>
      </c>
    </row>
    <row r="31421" spans="1:3">
      <c r="A31421" s="571" t="s">
        <v>1019</v>
      </c>
      <c r="B31421" s="572">
        <v>21</v>
      </c>
      <c r="C31421" s="572">
        <v>414.28571428571399</v>
      </c>
    </row>
    <row r="31422" spans="1:3">
      <c r="A31422" s="571" t="s">
        <v>1019</v>
      </c>
      <c r="B31422" s="572">
        <v>28</v>
      </c>
      <c r="C31422" s="572">
        <v>414.28571428571399</v>
      </c>
    </row>
    <row r="31423" spans="1:3">
      <c r="A31423" s="571" t="s">
        <v>1019</v>
      </c>
      <c r="B31423" s="572">
        <v>35</v>
      </c>
      <c r="C31423" s="572">
        <v>442.857142857143</v>
      </c>
    </row>
    <row r="31424" spans="1:3">
      <c r="A31424" s="571" t="s">
        <v>1019</v>
      </c>
      <c r="B31424" s="572">
        <v>42</v>
      </c>
      <c r="C31424" s="572">
        <v>485.71428571428601</v>
      </c>
    </row>
    <row r="31425" spans="1:3">
      <c r="A31425" s="571" t="s">
        <v>1019</v>
      </c>
      <c r="B31425" s="572">
        <v>56</v>
      </c>
      <c r="C31425" s="572">
        <v>450</v>
      </c>
    </row>
    <row r="31426" spans="1:3">
      <c r="A31426" s="571" t="s">
        <v>1019</v>
      </c>
      <c r="B31426" s="572">
        <v>84</v>
      </c>
      <c r="C31426" s="572">
        <v>500</v>
      </c>
    </row>
    <row r="31427" spans="1:3">
      <c r="A31427" s="573" t="s">
        <v>1019</v>
      </c>
      <c r="B31427" s="574">
        <v>112</v>
      </c>
      <c r="C31427" s="574">
        <v>514.28571428571399</v>
      </c>
    </row>
    <row r="31428" spans="1:3">
      <c r="A31428" s="573" t="s">
        <v>1019</v>
      </c>
      <c r="B31428" s="574">
        <v>140</v>
      </c>
      <c r="C31428" s="574">
        <v>550</v>
      </c>
    </row>
    <row r="31429" spans="1:3">
      <c r="A31429" s="573" t="s">
        <v>1019</v>
      </c>
      <c r="B31429" s="574">
        <v>168</v>
      </c>
      <c r="C31429" s="574">
        <v>557.142857142857</v>
      </c>
    </row>
    <row r="31430" spans="1:3">
      <c r="A31430" s="571" t="s">
        <v>1018</v>
      </c>
      <c r="B31430" s="572">
        <v>0</v>
      </c>
      <c r="C31430" s="572">
        <v>0</v>
      </c>
    </row>
    <row r="31431" spans="1:3">
      <c r="A31431" s="571" t="s">
        <v>1018</v>
      </c>
      <c r="B31431" s="572">
        <v>7</v>
      </c>
      <c r="C31431" s="572">
        <v>200</v>
      </c>
    </row>
    <row r="31432" spans="1:3">
      <c r="A31432" s="571" t="s">
        <v>1018</v>
      </c>
      <c r="B31432" s="572">
        <v>14</v>
      </c>
      <c r="C31432" s="572">
        <v>285.71428571428601</v>
      </c>
    </row>
    <row r="31433" spans="1:3">
      <c r="A31433" s="571" t="s">
        <v>1018</v>
      </c>
      <c r="B31433" s="572">
        <v>21</v>
      </c>
      <c r="C31433" s="572">
        <v>357.142857142857</v>
      </c>
    </row>
    <row r="31434" spans="1:3">
      <c r="A31434" s="571" t="s">
        <v>1018</v>
      </c>
      <c r="B31434" s="572">
        <v>28</v>
      </c>
      <c r="C31434" s="572">
        <v>457.142857142857</v>
      </c>
    </row>
    <row r="31435" spans="1:3">
      <c r="A31435" s="571" t="s">
        <v>1018</v>
      </c>
      <c r="B31435" s="572">
        <v>35</v>
      </c>
      <c r="C31435" s="572">
        <v>528.57142857142901</v>
      </c>
    </row>
    <row r="31436" spans="1:3">
      <c r="A31436" s="571" t="s">
        <v>1018</v>
      </c>
      <c r="B31436" s="572">
        <v>42</v>
      </c>
      <c r="C31436" s="572">
        <v>585.71428571428601</v>
      </c>
    </row>
    <row r="31437" spans="1:3">
      <c r="A31437" s="571" t="s">
        <v>1018</v>
      </c>
      <c r="B31437" s="572">
        <v>49</v>
      </c>
      <c r="C31437" s="572">
        <v>628.57142857142901</v>
      </c>
    </row>
    <row r="31438" spans="1:3">
      <c r="A31438" s="571" t="s">
        <v>1018</v>
      </c>
      <c r="B31438" s="572">
        <v>56</v>
      </c>
      <c r="C31438" s="572">
        <v>657.142857142857</v>
      </c>
    </row>
    <row r="31439" spans="1:3">
      <c r="A31439" s="571" t="s">
        <v>1018</v>
      </c>
      <c r="B31439" s="572">
        <v>70</v>
      </c>
      <c r="C31439" s="572">
        <v>700</v>
      </c>
    </row>
    <row r="31440" spans="1:3">
      <c r="A31440" s="571" t="s">
        <v>1018</v>
      </c>
      <c r="B31440" s="572">
        <v>84</v>
      </c>
      <c r="C31440" s="572">
        <v>721.42857142857099</v>
      </c>
    </row>
    <row r="31441" spans="1:3">
      <c r="A31441" s="573" t="s">
        <v>1018</v>
      </c>
      <c r="B31441" s="574">
        <v>112</v>
      </c>
      <c r="C31441" s="574">
        <v>742.857142857143</v>
      </c>
    </row>
    <row r="31442" spans="1:3">
      <c r="A31442" s="573" t="s">
        <v>1018</v>
      </c>
      <c r="B31442" s="574">
        <v>140</v>
      </c>
      <c r="C31442" s="574">
        <v>785.71428571428601</v>
      </c>
    </row>
    <row r="31443" spans="1:3">
      <c r="A31443" s="573" t="s">
        <v>1018</v>
      </c>
      <c r="B31443" s="574">
        <v>168</v>
      </c>
      <c r="C31443" s="574">
        <v>814.28571428571399</v>
      </c>
    </row>
    <row r="31444" spans="1:3">
      <c r="A31444" s="571" t="s">
        <v>1017</v>
      </c>
      <c r="B31444" s="572">
        <v>0</v>
      </c>
      <c r="C31444" s="572">
        <v>0</v>
      </c>
    </row>
    <row r="31445" spans="1:3">
      <c r="A31445" s="571" t="s">
        <v>1017</v>
      </c>
      <c r="B31445" s="572">
        <v>7</v>
      </c>
      <c r="C31445" s="572">
        <v>200</v>
      </c>
    </row>
    <row r="31446" spans="1:3">
      <c r="A31446" s="571" t="s">
        <v>1017</v>
      </c>
      <c r="B31446" s="572">
        <v>14</v>
      </c>
      <c r="C31446" s="572">
        <v>285.71428571428601</v>
      </c>
    </row>
    <row r="31447" spans="1:3">
      <c r="A31447" s="571" t="s">
        <v>1017</v>
      </c>
      <c r="B31447" s="572">
        <v>21</v>
      </c>
      <c r="C31447" s="572">
        <v>357.142857142857</v>
      </c>
    </row>
    <row r="31448" spans="1:3">
      <c r="A31448" s="571" t="s">
        <v>1017</v>
      </c>
      <c r="B31448" s="572">
        <v>28</v>
      </c>
      <c r="C31448" s="572">
        <v>457.142857142857</v>
      </c>
    </row>
    <row r="31449" spans="1:3">
      <c r="A31449" s="571" t="s">
        <v>1017</v>
      </c>
      <c r="B31449" s="572">
        <v>35</v>
      </c>
      <c r="C31449" s="572">
        <v>528.57142857142901</v>
      </c>
    </row>
    <row r="31450" spans="1:3">
      <c r="A31450" s="571" t="s">
        <v>1017</v>
      </c>
      <c r="B31450" s="572">
        <v>42</v>
      </c>
      <c r="C31450" s="572">
        <v>585.71428571428601</v>
      </c>
    </row>
    <row r="31451" spans="1:3">
      <c r="A31451" s="571" t="s">
        <v>1017</v>
      </c>
      <c r="B31451" s="572">
        <v>49</v>
      </c>
      <c r="C31451" s="572">
        <v>650</v>
      </c>
    </row>
    <row r="31452" spans="1:3">
      <c r="A31452" s="571" t="s">
        <v>1017</v>
      </c>
      <c r="B31452" s="572">
        <v>56</v>
      </c>
      <c r="C31452" s="572">
        <v>700</v>
      </c>
    </row>
    <row r="31453" spans="1:3">
      <c r="A31453" s="571" t="s">
        <v>1017</v>
      </c>
      <c r="B31453" s="572">
        <v>70</v>
      </c>
      <c r="C31453" s="572">
        <v>728.57142857142901</v>
      </c>
    </row>
    <row r="31454" spans="1:3">
      <c r="A31454" s="571" t="s">
        <v>1017</v>
      </c>
      <c r="B31454" s="572">
        <v>84</v>
      </c>
      <c r="C31454" s="572">
        <v>757.142857142857</v>
      </c>
    </row>
    <row r="31455" spans="1:3">
      <c r="A31455" s="573" t="s">
        <v>1017</v>
      </c>
      <c r="B31455" s="574">
        <v>112</v>
      </c>
      <c r="C31455" s="574">
        <v>800</v>
      </c>
    </row>
    <row r="31456" spans="1:3">
      <c r="A31456" s="573" t="s">
        <v>1017</v>
      </c>
      <c r="B31456" s="574">
        <v>140</v>
      </c>
      <c r="C31456" s="574">
        <v>828.57142857142901</v>
      </c>
    </row>
    <row r="31457" spans="1:3">
      <c r="A31457" s="573" t="s">
        <v>1017</v>
      </c>
      <c r="B31457" s="574">
        <v>168</v>
      </c>
      <c r="C31457" s="574">
        <v>857.142857142857</v>
      </c>
    </row>
    <row r="31458" spans="1:3">
      <c r="A31458" s="571" t="s">
        <v>1016</v>
      </c>
      <c r="B31458" s="572">
        <v>0</v>
      </c>
      <c r="C31458" s="572">
        <v>0</v>
      </c>
    </row>
    <row r="31459" spans="1:3">
      <c r="A31459" s="571" t="s">
        <v>1016</v>
      </c>
      <c r="B31459" s="572">
        <v>7</v>
      </c>
      <c r="C31459" s="572">
        <v>157.142857142857</v>
      </c>
    </row>
    <row r="31460" spans="1:3">
      <c r="A31460" s="571" t="s">
        <v>1016</v>
      </c>
      <c r="B31460" s="572">
        <v>14</v>
      </c>
      <c r="C31460" s="572">
        <v>228.57142857142901</v>
      </c>
    </row>
    <row r="31461" spans="1:3">
      <c r="A31461" s="571" t="s">
        <v>1016</v>
      </c>
      <c r="B31461" s="572">
        <v>21</v>
      </c>
      <c r="C31461" s="572">
        <v>314.28571428571399</v>
      </c>
    </row>
    <row r="31462" spans="1:3">
      <c r="A31462" s="571" t="s">
        <v>1016</v>
      </c>
      <c r="B31462" s="572">
        <v>28</v>
      </c>
      <c r="C31462" s="572">
        <v>385.71428571428601</v>
      </c>
    </row>
    <row r="31463" spans="1:3">
      <c r="A31463" s="571" t="s">
        <v>1016</v>
      </c>
      <c r="B31463" s="572">
        <v>35</v>
      </c>
      <c r="C31463" s="572">
        <v>485.71428571428601</v>
      </c>
    </row>
    <row r="31464" spans="1:3">
      <c r="A31464" s="571" t="s">
        <v>1016</v>
      </c>
      <c r="B31464" s="572">
        <v>42</v>
      </c>
      <c r="C31464" s="572">
        <v>542.857142857143</v>
      </c>
    </row>
    <row r="31465" spans="1:3">
      <c r="A31465" s="571" t="s">
        <v>1016</v>
      </c>
      <c r="B31465" s="572">
        <v>49</v>
      </c>
      <c r="C31465" s="572">
        <v>578.57142857142901</v>
      </c>
    </row>
    <row r="31466" spans="1:3">
      <c r="A31466" s="571" t="s">
        <v>1016</v>
      </c>
      <c r="B31466" s="572">
        <v>56</v>
      </c>
      <c r="C31466" s="572">
        <v>600</v>
      </c>
    </row>
    <row r="31467" spans="1:3">
      <c r="A31467" s="571" t="s">
        <v>1016</v>
      </c>
      <c r="B31467" s="572">
        <v>70</v>
      </c>
      <c r="C31467" s="572">
        <v>657.142857142857</v>
      </c>
    </row>
    <row r="31468" spans="1:3">
      <c r="A31468" s="571" t="s">
        <v>1016</v>
      </c>
      <c r="B31468" s="572">
        <v>84</v>
      </c>
      <c r="C31468" s="572">
        <v>678.57142857142901</v>
      </c>
    </row>
    <row r="31469" spans="1:3">
      <c r="A31469" s="573" t="s">
        <v>1016</v>
      </c>
      <c r="B31469" s="574">
        <v>112</v>
      </c>
      <c r="C31469" s="574">
        <v>728.57142857142901</v>
      </c>
    </row>
    <row r="31470" spans="1:3">
      <c r="A31470" s="573" t="s">
        <v>1016</v>
      </c>
      <c r="B31470" s="574">
        <v>140</v>
      </c>
      <c r="C31470" s="574">
        <v>757.142857142857</v>
      </c>
    </row>
    <row r="31471" spans="1:3">
      <c r="A31471" s="573" t="s">
        <v>1016</v>
      </c>
      <c r="B31471" s="574">
        <v>168</v>
      </c>
      <c r="C31471" s="574">
        <v>771.42857142857099</v>
      </c>
    </row>
    <row r="31472" spans="1:3">
      <c r="A31472" s="571" t="s">
        <v>1015</v>
      </c>
      <c r="B31472" s="572">
        <v>0</v>
      </c>
      <c r="C31472" s="572">
        <v>0</v>
      </c>
    </row>
    <row r="31473" spans="1:3">
      <c r="A31473" s="571" t="s">
        <v>1015</v>
      </c>
      <c r="B31473" s="572">
        <v>7</v>
      </c>
      <c r="C31473" s="572">
        <v>157.142857142857</v>
      </c>
    </row>
    <row r="31474" spans="1:3">
      <c r="A31474" s="571" t="s">
        <v>1015</v>
      </c>
      <c r="B31474" s="572">
        <v>14</v>
      </c>
      <c r="C31474" s="572">
        <v>228.57142857142901</v>
      </c>
    </row>
    <row r="31475" spans="1:3">
      <c r="A31475" s="571" t="s">
        <v>1015</v>
      </c>
      <c r="B31475" s="572">
        <v>21</v>
      </c>
      <c r="C31475" s="572">
        <v>314.28571428571399</v>
      </c>
    </row>
    <row r="31476" spans="1:3">
      <c r="A31476" s="571" t="s">
        <v>1015</v>
      </c>
      <c r="B31476" s="572">
        <v>28</v>
      </c>
      <c r="C31476" s="572">
        <v>385.71428571428601</v>
      </c>
    </row>
    <row r="31477" spans="1:3">
      <c r="A31477" s="571" t="s">
        <v>1015</v>
      </c>
      <c r="B31477" s="572">
        <v>35</v>
      </c>
      <c r="C31477" s="572">
        <v>442.857142857143</v>
      </c>
    </row>
    <row r="31478" spans="1:3">
      <c r="A31478" s="571" t="s">
        <v>1015</v>
      </c>
      <c r="B31478" s="572">
        <v>42</v>
      </c>
      <c r="C31478" s="572">
        <v>457.142857142857</v>
      </c>
    </row>
    <row r="31479" spans="1:3">
      <c r="A31479" s="571" t="s">
        <v>1015</v>
      </c>
      <c r="B31479" s="572">
        <v>49</v>
      </c>
      <c r="C31479" s="572">
        <v>521.42857142857099</v>
      </c>
    </row>
    <row r="31480" spans="1:3">
      <c r="A31480" s="571" t="s">
        <v>1015</v>
      </c>
      <c r="B31480" s="572">
        <v>56</v>
      </c>
      <c r="C31480" s="572">
        <v>557.142857142857</v>
      </c>
    </row>
    <row r="31481" spans="1:3">
      <c r="A31481" s="571" t="s">
        <v>1015</v>
      </c>
      <c r="B31481" s="572">
        <v>70</v>
      </c>
      <c r="C31481" s="572">
        <v>585.71428571428601</v>
      </c>
    </row>
    <row r="31482" spans="1:3">
      <c r="A31482" s="571" t="s">
        <v>1015</v>
      </c>
      <c r="B31482" s="572">
        <v>84</v>
      </c>
      <c r="C31482" s="572">
        <v>607.142857142857</v>
      </c>
    </row>
    <row r="31483" spans="1:3">
      <c r="A31483" s="573" t="s">
        <v>1015</v>
      </c>
      <c r="B31483" s="574">
        <v>112</v>
      </c>
      <c r="C31483" s="574">
        <v>642.857142857143</v>
      </c>
    </row>
    <row r="31484" spans="1:3">
      <c r="A31484" s="573" t="s">
        <v>1015</v>
      </c>
      <c r="B31484" s="574">
        <v>140</v>
      </c>
      <c r="C31484" s="574">
        <v>700</v>
      </c>
    </row>
    <row r="31485" spans="1:3">
      <c r="A31485" s="573" t="s">
        <v>1015</v>
      </c>
      <c r="B31485" s="574">
        <v>168</v>
      </c>
      <c r="C31485" s="574">
        <v>685.71428571428601</v>
      </c>
    </row>
    <row r="31486" spans="1:3">
      <c r="A31486" s="571" t="s">
        <v>1014</v>
      </c>
      <c r="B31486" s="572">
        <v>0</v>
      </c>
      <c r="C31486" s="572">
        <v>0</v>
      </c>
    </row>
    <row r="31487" spans="1:3">
      <c r="A31487" s="571" t="s">
        <v>1014</v>
      </c>
      <c r="B31487" s="572">
        <v>5</v>
      </c>
      <c r="C31487" s="572">
        <v>73.3333333333333</v>
      </c>
    </row>
    <row r="31488" spans="1:3">
      <c r="A31488" s="571" t="s">
        <v>1014</v>
      </c>
      <c r="B31488" s="572">
        <v>10</v>
      </c>
      <c r="C31488" s="572">
        <v>120</v>
      </c>
    </row>
    <row r="31489" spans="1:3">
      <c r="A31489" s="571" t="s">
        <v>1014</v>
      </c>
      <c r="B31489" s="572">
        <v>15</v>
      </c>
      <c r="C31489" s="572">
        <v>173.333333333333</v>
      </c>
    </row>
    <row r="31490" spans="1:3">
      <c r="A31490" s="571" t="s">
        <v>1014</v>
      </c>
      <c r="B31490" s="572">
        <v>20</v>
      </c>
      <c r="C31490" s="572">
        <v>253.333333333333</v>
      </c>
    </row>
    <row r="31491" spans="1:3">
      <c r="A31491" s="571" t="s">
        <v>1014</v>
      </c>
      <c r="B31491" s="572">
        <v>25</v>
      </c>
      <c r="C31491" s="572">
        <v>320</v>
      </c>
    </row>
    <row r="31492" spans="1:3">
      <c r="A31492" s="571" t="s">
        <v>1014</v>
      </c>
      <c r="B31492" s="572">
        <v>30</v>
      </c>
      <c r="C31492" s="572">
        <v>346.66666666666703</v>
      </c>
    </row>
    <row r="31493" spans="1:3">
      <c r="A31493" s="571" t="s">
        <v>1014</v>
      </c>
      <c r="B31493" s="572">
        <v>35</v>
      </c>
      <c r="C31493" s="572">
        <v>386.66666666666703</v>
      </c>
    </row>
    <row r="31494" spans="1:3">
      <c r="A31494" s="571" t="s">
        <v>1014</v>
      </c>
      <c r="B31494" s="572">
        <v>40</v>
      </c>
      <c r="C31494" s="572">
        <v>440</v>
      </c>
    </row>
    <row r="31495" spans="1:3">
      <c r="A31495" s="571" t="s">
        <v>1014</v>
      </c>
      <c r="B31495" s="572">
        <v>45</v>
      </c>
      <c r="C31495" s="572">
        <v>480</v>
      </c>
    </row>
    <row r="31496" spans="1:3">
      <c r="A31496" s="571" t="s">
        <v>1014</v>
      </c>
      <c r="B31496" s="572">
        <v>50</v>
      </c>
      <c r="C31496" s="572">
        <v>493.33333333333297</v>
      </c>
    </row>
    <row r="31497" spans="1:3">
      <c r="A31497" s="571" t="s">
        <v>1014</v>
      </c>
      <c r="B31497" s="572">
        <v>55</v>
      </c>
      <c r="C31497" s="572">
        <v>526.66666666666697</v>
      </c>
    </row>
    <row r="31498" spans="1:3">
      <c r="A31498" s="571" t="s">
        <v>1014</v>
      </c>
      <c r="B31498" s="572">
        <v>60</v>
      </c>
      <c r="C31498" s="572">
        <v>546.66666666666697</v>
      </c>
    </row>
    <row r="31499" spans="1:3">
      <c r="A31499" s="571" t="s">
        <v>1014</v>
      </c>
      <c r="B31499" s="572">
        <v>65</v>
      </c>
      <c r="C31499" s="572">
        <v>573.33333333333303</v>
      </c>
    </row>
    <row r="31500" spans="1:3">
      <c r="A31500" s="571" t="s">
        <v>1014</v>
      </c>
      <c r="B31500" s="572">
        <v>70</v>
      </c>
      <c r="C31500" s="572">
        <v>600</v>
      </c>
    </row>
    <row r="31501" spans="1:3">
      <c r="A31501" s="571" t="s">
        <v>1014</v>
      </c>
      <c r="B31501" s="572">
        <v>75</v>
      </c>
      <c r="C31501" s="572">
        <v>613.33333333333303</v>
      </c>
    </row>
    <row r="31502" spans="1:3">
      <c r="A31502" s="571" t="s">
        <v>1014</v>
      </c>
      <c r="B31502" s="572">
        <v>80</v>
      </c>
      <c r="C31502" s="572">
        <v>613.33333333333303</v>
      </c>
    </row>
    <row r="31503" spans="1:3">
      <c r="A31503" s="571" t="s">
        <v>1014</v>
      </c>
      <c r="B31503" s="572">
        <v>85</v>
      </c>
      <c r="C31503" s="572">
        <v>613.33333333333303</v>
      </c>
    </row>
    <row r="31504" spans="1:3">
      <c r="A31504" s="571" t="s">
        <v>1014</v>
      </c>
      <c r="B31504" s="572">
        <v>90</v>
      </c>
      <c r="C31504" s="572">
        <v>640</v>
      </c>
    </row>
    <row r="31505" spans="1:3">
      <c r="A31505" s="571" t="s">
        <v>1013</v>
      </c>
      <c r="B31505" s="572">
        <v>0</v>
      </c>
      <c r="C31505" s="572">
        <v>0</v>
      </c>
    </row>
    <row r="31506" spans="1:3">
      <c r="A31506" s="571" t="s">
        <v>1013</v>
      </c>
      <c r="B31506" s="572">
        <v>5.1470588235294104</v>
      </c>
      <c r="C31506" s="572">
        <v>246.15384615384599</v>
      </c>
    </row>
    <row r="31507" spans="1:3">
      <c r="A31507" s="571" t="s">
        <v>1013</v>
      </c>
      <c r="B31507" s="572">
        <v>10.294117647058799</v>
      </c>
      <c r="C31507" s="572">
        <v>315.38461538461502</v>
      </c>
    </row>
    <row r="31508" spans="1:3">
      <c r="A31508" s="571" t="s">
        <v>1013</v>
      </c>
      <c r="B31508" s="572">
        <v>15.4411764705882</v>
      </c>
      <c r="C31508" s="572">
        <v>423.07692307692298</v>
      </c>
    </row>
    <row r="31509" spans="1:3">
      <c r="A31509" s="571" t="s">
        <v>1013</v>
      </c>
      <c r="B31509" s="572">
        <v>20.588235294117599</v>
      </c>
      <c r="C31509" s="572">
        <v>502.30769230769198</v>
      </c>
    </row>
    <row r="31510" spans="1:3">
      <c r="A31510" s="571" t="s">
        <v>1013</v>
      </c>
      <c r="B31510" s="572">
        <v>25.735294117647101</v>
      </c>
      <c r="C31510" s="572">
        <v>538.461538461538</v>
      </c>
    </row>
    <row r="31511" spans="1:3">
      <c r="A31511" s="571" t="s">
        <v>1013</v>
      </c>
      <c r="B31511" s="572">
        <v>30.882352941176499</v>
      </c>
      <c r="C31511" s="572">
        <v>576.92307692307702</v>
      </c>
    </row>
    <row r="31512" spans="1:3">
      <c r="A31512" s="571" t="s">
        <v>1013</v>
      </c>
      <c r="B31512" s="572">
        <v>35</v>
      </c>
      <c r="C31512" s="572">
        <v>600</v>
      </c>
    </row>
    <row r="31513" spans="1:3">
      <c r="A31513" s="571" t="s">
        <v>1013</v>
      </c>
      <c r="B31513" s="572">
        <v>42</v>
      </c>
      <c r="C31513" s="572">
        <v>638.46153846153902</v>
      </c>
    </row>
    <row r="31514" spans="1:3">
      <c r="A31514" s="571" t="s">
        <v>1013</v>
      </c>
      <c r="B31514" s="572">
        <v>49</v>
      </c>
      <c r="C31514" s="572">
        <v>676.92307692307702</v>
      </c>
    </row>
    <row r="31515" spans="1:3">
      <c r="A31515" s="571" t="s">
        <v>1013</v>
      </c>
      <c r="B31515" s="572">
        <v>56</v>
      </c>
      <c r="C31515" s="572">
        <v>700</v>
      </c>
    </row>
    <row r="31516" spans="1:3">
      <c r="A31516" s="571" t="s">
        <v>1013</v>
      </c>
      <c r="B31516" s="572">
        <v>63</v>
      </c>
      <c r="C31516" s="572">
        <v>676.92307692307702</v>
      </c>
    </row>
    <row r="31517" spans="1:3">
      <c r="A31517" s="571" t="s">
        <v>1013</v>
      </c>
      <c r="B31517" s="572">
        <v>70</v>
      </c>
      <c r="C31517" s="572">
        <v>723.07692307692298</v>
      </c>
    </row>
    <row r="31518" spans="1:3">
      <c r="A31518" s="571" t="s">
        <v>1013</v>
      </c>
      <c r="B31518" s="572">
        <v>77</v>
      </c>
      <c r="C31518" s="572">
        <v>738.461538461538</v>
      </c>
    </row>
    <row r="31519" spans="1:3">
      <c r="A31519" s="571" t="s">
        <v>1013</v>
      </c>
      <c r="B31519" s="572">
        <v>84</v>
      </c>
      <c r="C31519" s="572">
        <v>753.84615384615404</v>
      </c>
    </row>
    <row r="31520" spans="1:3">
      <c r="A31520" s="571" t="s">
        <v>1013</v>
      </c>
      <c r="B31520" s="572">
        <v>91</v>
      </c>
      <c r="C31520" s="572">
        <v>753.84615384615404</v>
      </c>
    </row>
    <row r="31521" spans="1:3">
      <c r="A31521" s="571" t="s">
        <v>1013</v>
      </c>
      <c r="B31521" s="572">
        <v>98</v>
      </c>
      <c r="C31521" s="572">
        <v>761.538461538462</v>
      </c>
    </row>
    <row r="31522" spans="1:3">
      <c r="A31522" s="573" t="s">
        <v>1013</v>
      </c>
      <c r="B31522" s="574">
        <v>105</v>
      </c>
      <c r="C31522" s="574">
        <v>769.23076923076906</v>
      </c>
    </row>
    <row r="31523" spans="1:3">
      <c r="A31523" s="573" t="s">
        <v>1013</v>
      </c>
      <c r="B31523" s="574">
        <v>112</v>
      </c>
      <c r="C31523" s="574">
        <v>769.23076923076906</v>
      </c>
    </row>
    <row r="31524" spans="1:3">
      <c r="A31524" s="573" t="s">
        <v>1013</v>
      </c>
      <c r="B31524" s="574">
        <v>119</v>
      </c>
      <c r="C31524" s="574">
        <v>776.92307692307702</v>
      </c>
    </row>
    <row r="31525" spans="1:3">
      <c r="A31525" s="573" t="s">
        <v>1013</v>
      </c>
      <c r="B31525" s="574">
        <v>126</v>
      </c>
      <c r="C31525" s="574">
        <v>784.61538461538498</v>
      </c>
    </row>
    <row r="31526" spans="1:3">
      <c r="A31526" s="573" t="s">
        <v>1013</v>
      </c>
      <c r="B31526" s="574">
        <v>133</v>
      </c>
      <c r="C31526" s="574">
        <v>796.15384615384596</v>
      </c>
    </row>
    <row r="31527" spans="1:3">
      <c r="A31527" s="573" t="s">
        <v>1013</v>
      </c>
      <c r="B31527" s="574">
        <v>140</v>
      </c>
      <c r="C31527" s="574">
        <v>796.15384615384596</v>
      </c>
    </row>
    <row r="31528" spans="1:3">
      <c r="A31528" s="573" t="s">
        <v>1013</v>
      </c>
      <c r="B31528" s="574">
        <v>147</v>
      </c>
      <c r="C31528" s="574">
        <v>776.92307692307702</v>
      </c>
    </row>
    <row r="31529" spans="1:3">
      <c r="A31529" s="573" t="s">
        <v>1013</v>
      </c>
      <c r="B31529" s="574">
        <v>154</v>
      </c>
      <c r="C31529" s="574">
        <v>807.69230769230796</v>
      </c>
    </row>
    <row r="31530" spans="1:3">
      <c r="A31530" s="573" t="s">
        <v>1013</v>
      </c>
      <c r="B31530" s="574">
        <v>161</v>
      </c>
      <c r="C31530" s="574">
        <v>800</v>
      </c>
    </row>
    <row r="31531" spans="1:3">
      <c r="A31531" s="573" t="s">
        <v>1013</v>
      </c>
      <c r="B31531" s="574">
        <v>168</v>
      </c>
      <c r="C31531" s="574">
        <v>815.38461538461502</v>
      </c>
    </row>
    <row r="31532" spans="1:3">
      <c r="A31532" s="571" t="s">
        <v>1012</v>
      </c>
      <c r="B31532" s="572">
        <v>0</v>
      </c>
      <c r="C31532" s="572">
        <v>0</v>
      </c>
    </row>
    <row r="31533" spans="1:3">
      <c r="A31533" s="571" t="s">
        <v>1012</v>
      </c>
      <c r="B31533" s="572">
        <v>5.1470588235294104</v>
      </c>
      <c r="C31533" s="572">
        <v>146.15384615384599</v>
      </c>
    </row>
    <row r="31534" spans="1:3">
      <c r="A31534" s="571" t="s">
        <v>1012</v>
      </c>
      <c r="B31534" s="572">
        <v>10.294117647058799</v>
      </c>
      <c r="C31534" s="572">
        <v>246.15384615384599</v>
      </c>
    </row>
    <row r="31535" spans="1:3">
      <c r="A31535" s="571" t="s">
        <v>1012</v>
      </c>
      <c r="B31535" s="572">
        <v>15.4411764705882</v>
      </c>
      <c r="C31535" s="572">
        <v>338.46153846153902</v>
      </c>
    </row>
    <row r="31536" spans="1:3">
      <c r="A31536" s="571" t="s">
        <v>1012</v>
      </c>
      <c r="B31536" s="572">
        <v>20.588235294117599</v>
      </c>
      <c r="C31536" s="572">
        <v>407.69230769230802</v>
      </c>
    </row>
    <row r="31537" spans="1:3">
      <c r="A31537" s="571" t="s">
        <v>1012</v>
      </c>
      <c r="B31537" s="572">
        <v>25.735294117647101</v>
      </c>
      <c r="C31537" s="572">
        <v>476.92307692307702</v>
      </c>
    </row>
    <row r="31538" spans="1:3">
      <c r="A31538" s="571" t="s">
        <v>1012</v>
      </c>
      <c r="B31538" s="572">
        <v>30.882352941176499</v>
      </c>
      <c r="C31538" s="572">
        <v>530.76923076923094</v>
      </c>
    </row>
    <row r="31539" spans="1:3">
      <c r="A31539" s="571" t="s">
        <v>1012</v>
      </c>
      <c r="B31539" s="572">
        <v>35</v>
      </c>
      <c r="C31539" s="572">
        <v>561.538461538462</v>
      </c>
    </row>
    <row r="31540" spans="1:3">
      <c r="A31540" s="571" t="s">
        <v>1012</v>
      </c>
      <c r="B31540" s="572">
        <v>42</v>
      </c>
      <c r="C31540" s="572">
        <v>615.38461538461502</v>
      </c>
    </row>
    <row r="31541" spans="1:3">
      <c r="A31541" s="571" t="s">
        <v>1012</v>
      </c>
      <c r="B31541" s="572">
        <v>49</v>
      </c>
      <c r="C31541" s="572">
        <v>646.15384615384596</v>
      </c>
    </row>
    <row r="31542" spans="1:3">
      <c r="A31542" s="571" t="s">
        <v>1012</v>
      </c>
      <c r="B31542" s="572">
        <v>56</v>
      </c>
      <c r="C31542" s="572">
        <v>676.92307692307702</v>
      </c>
    </row>
    <row r="31543" spans="1:3">
      <c r="A31543" s="571" t="s">
        <v>1012</v>
      </c>
      <c r="B31543" s="572">
        <v>63</v>
      </c>
      <c r="C31543" s="572">
        <v>700</v>
      </c>
    </row>
    <row r="31544" spans="1:3">
      <c r="A31544" s="571" t="s">
        <v>1012</v>
      </c>
      <c r="B31544" s="572">
        <v>70</v>
      </c>
      <c r="C31544" s="572">
        <v>723.07692307692298</v>
      </c>
    </row>
    <row r="31545" spans="1:3">
      <c r="A31545" s="571" t="s">
        <v>1012</v>
      </c>
      <c r="B31545" s="572">
        <v>77</v>
      </c>
      <c r="C31545" s="572">
        <v>738.461538461538</v>
      </c>
    </row>
    <row r="31546" spans="1:3">
      <c r="A31546" s="571" t="s">
        <v>1012</v>
      </c>
      <c r="B31546" s="572">
        <v>84</v>
      </c>
      <c r="C31546" s="572">
        <v>746.15384615384596</v>
      </c>
    </row>
    <row r="31547" spans="1:3">
      <c r="A31547" s="571" t="s">
        <v>1012</v>
      </c>
      <c r="B31547" s="572">
        <v>91</v>
      </c>
      <c r="C31547" s="572">
        <v>757.69230769230796</v>
      </c>
    </row>
    <row r="31548" spans="1:3">
      <c r="A31548" s="571" t="s">
        <v>1012</v>
      </c>
      <c r="B31548" s="572">
        <v>98</v>
      </c>
      <c r="C31548" s="572">
        <v>761.538461538462</v>
      </c>
    </row>
    <row r="31549" spans="1:3">
      <c r="A31549" s="573" t="s">
        <v>1012</v>
      </c>
      <c r="B31549" s="574">
        <v>105</v>
      </c>
      <c r="C31549" s="574">
        <v>776.92307692307702</v>
      </c>
    </row>
    <row r="31550" spans="1:3">
      <c r="A31550" s="573" t="s">
        <v>1012</v>
      </c>
      <c r="B31550" s="574">
        <v>112</v>
      </c>
      <c r="C31550" s="574">
        <v>784.61538461538498</v>
      </c>
    </row>
    <row r="31551" spans="1:3">
      <c r="A31551" s="573" t="s">
        <v>1012</v>
      </c>
      <c r="B31551" s="574">
        <v>119</v>
      </c>
      <c r="C31551" s="574">
        <v>788.461538461538</v>
      </c>
    </row>
    <row r="31552" spans="1:3">
      <c r="A31552" s="573" t="s">
        <v>1012</v>
      </c>
      <c r="B31552" s="574">
        <v>126</v>
      </c>
      <c r="C31552" s="574">
        <v>784.61538461538498</v>
      </c>
    </row>
    <row r="31553" spans="1:3">
      <c r="A31553" s="573" t="s">
        <v>1012</v>
      </c>
      <c r="B31553" s="574">
        <v>133</v>
      </c>
      <c r="C31553" s="574">
        <v>796.15384615384596</v>
      </c>
    </row>
    <row r="31554" spans="1:3">
      <c r="A31554" s="573" t="s">
        <v>1012</v>
      </c>
      <c r="B31554" s="574">
        <v>140</v>
      </c>
      <c r="C31554" s="574">
        <v>796.15384615384596</v>
      </c>
    </row>
    <row r="31555" spans="1:3">
      <c r="A31555" s="573" t="s">
        <v>1012</v>
      </c>
      <c r="B31555" s="574">
        <v>147</v>
      </c>
      <c r="C31555" s="574">
        <v>776.92307692307702</v>
      </c>
    </row>
    <row r="31556" spans="1:3">
      <c r="A31556" s="573" t="s">
        <v>1012</v>
      </c>
      <c r="B31556" s="574">
        <v>154</v>
      </c>
      <c r="C31556" s="574">
        <v>807.69230769230796</v>
      </c>
    </row>
    <row r="31557" spans="1:3">
      <c r="A31557" s="573" t="s">
        <v>1012</v>
      </c>
      <c r="B31557" s="574">
        <v>161</v>
      </c>
      <c r="C31557" s="574">
        <v>800</v>
      </c>
    </row>
    <row r="31558" spans="1:3">
      <c r="A31558" s="573" t="s">
        <v>1012</v>
      </c>
      <c r="B31558" s="574">
        <v>168</v>
      </c>
      <c r="C31558" s="574">
        <v>815.38461538461502</v>
      </c>
    </row>
    <row r="31559" spans="1:3">
      <c r="A31559" s="571" t="s">
        <v>1011</v>
      </c>
      <c r="B31559" s="572">
        <v>0</v>
      </c>
      <c r="C31559" s="572">
        <v>0</v>
      </c>
    </row>
    <row r="31560" spans="1:3">
      <c r="A31560" s="571" t="s">
        <v>1011</v>
      </c>
      <c r="B31560" s="572">
        <v>0</v>
      </c>
      <c r="C31560" s="572">
        <v>0</v>
      </c>
    </row>
    <row r="31561" spans="1:3">
      <c r="A31561" s="571" t="s">
        <v>1011</v>
      </c>
      <c r="B31561" s="572">
        <v>2</v>
      </c>
      <c r="C31561" s="572">
        <v>88.235294117647101</v>
      </c>
    </row>
    <row r="31562" spans="1:3">
      <c r="A31562" s="571" t="s">
        <v>1011</v>
      </c>
      <c r="B31562" s="572">
        <v>7</v>
      </c>
      <c r="C31562" s="572">
        <v>158.82352941176501</v>
      </c>
    </row>
    <row r="31563" spans="1:3">
      <c r="A31563" s="571" t="s">
        <v>1011</v>
      </c>
      <c r="B31563" s="572">
        <v>7</v>
      </c>
      <c r="C31563" s="572">
        <v>50</v>
      </c>
    </row>
    <row r="31564" spans="1:3">
      <c r="A31564" s="571" t="s">
        <v>1011</v>
      </c>
      <c r="B31564" s="572">
        <v>10</v>
      </c>
      <c r="C31564" s="572">
        <v>60</v>
      </c>
    </row>
    <row r="31565" spans="1:3">
      <c r="A31565" s="571" t="s">
        <v>1011</v>
      </c>
      <c r="B31565" s="572">
        <v>14</v>
      </c>
      <c r="C31565" s="572">
        <v>130</v>
      </c>
    </row>
    <row r="31566" spans="1:3">
      <c r="A31566" s="571" t="s">
        <v>1011</v>
      </c>
      <c r="B31566" s="572">
        <v>21</v>
      </c>
      <c r="C31566" s="572">
        <v>170</v>
      </c>
    </row>
    <row r="31567" spans="1:3">
      <c r="A31567" s="571" t="s">
        <v>1011</v>
      </c>
      <c r="B31567" s="572">
        <v>28</v>
      </c>
      <c r="C31567" s="572">
        <v>379.41176470588198</v>
      </c>
    </row>
    <row r="31568" spans="1:3">
      <c r="A31568" s="571" t="s">
        <v>1011</v>
      </c>
      <c r="B31568" s="572">
        <v>28</v>
      </c>
      <c r="C31568" s="572">
        <v>230</v>
      </c>
    </row>
    <row r="31569" spans="1:3">
      <c r="A31569" s="571" t="s">
        <v>1011</v>
      </c>
      <c r="B31569" s="572">
        <v>56</v>
      </c>
      <c r="C31569" s="572">
        <v>538.23529411764696</v>
      </c>
    </row>
    <row r="31570" spans="1:3">
      <c r="A31570" s="571" t="s">
        <v>1011</v>
      </c>
      <c r="B31570" s="572">
        <v>56</v>
      </c>
      <c r="C31570" s="572">
        <v>370</v>
      </c>
    </row>
    <row r="31571" spans="1:3">
      <c r="A31571" s="571" t="s">
        <v>1011</v>
      </c>
      <c r="B31571" s="572">
        <v>91</v>
      </c>
      <c r="C31571" s="572">
        <v>591.17647058823502</v>
      </c>
    </row>
    <row r="31572" spans="1:3">
      <c r="A31572" s="571" t="s">
        <v>1011</v>
      </c>
      <c r="B31572" s="572">
        <v>91</v>
      </c>
      <c r="C31572" s="572">
        <v>460</v>
      </c>
    </row>
    <row r="31573" spans="1:3">
      <c r="A31573" s="573" t="s">
        <v>1011</v>
      </c>
      <c r="B31573" s="574">
        <v>180</v>
      </c>
      <c r="C31573" s="574">
        <v>550</v>
      </c>
    </row>
    <row r="31574" spans="1:3">
      <c r="A31574" s="573" t="s">
        <v>1011</v>
      </c>
      <c r="B31574" s="574">
        <v>182</v>
      </c>
      <c r="C31574" s="574">
        <v>714.70588235294099</v>
      </c>
    </row>
    <row r="31575" spans="1:3">
      <c r="A31575" s="573" t="s">
        <v>1011</v>
      </c>
      <c r="B31575" s="574">
        <v>280</v>
      </c>
      <c r="C31575" s="574">
        <v>580</v>
      </c>
    </row>
    <row r="31576" spans="1:3">
      <c r="A31576" s="573" t="s">
        <v>1011</v>
      </c>
      <c r="B31576" s="574">
        <v>364</v>
      </c>
      <c r="C31576" s="574">
        <v>590</v>
      </c>
    </row>
    <row r="31577" spans="1:3">
      <c r="A31577" s="571" t="s">
        <v>1010</v>
      </c>
      <c r="B31577" s="572">
        <v>0</v>
      </c>
      <c r="C31577" s="572">
        <v>0</v>
      </c>
    </row>
    <row r="31578" spans="1:3">
      <c r="A31578" s="571" t="s">
        <v>1010</v>
      </c>
      <c r="B31578" s="572">
        <v>7</v>
      </c>
      <c r="C31578" s="572">
        <v>40</v>
      </c>
    </row>
    <row r="31579" spans="1:3">
      <c r="A31579" s="571" t="s">
        <v>1010</v>
      </c>
      <c r="B31579" s="572">
        <v>10</v>
      </c>
      <c r="C31579" s="572">
        <v>60</v>
      </c>
    </row>
    <row r="31580" spans="1:3">
      <c r="A31580" s="571" t="s">
        <v>1010</v>
      </c>
      <c r="B31580" s="572">
        <v>14</v>
      </c>
      <c r="C31580" s="572">
        <v>130</v>
      </c>
    </row>
    <row r="31581" spans="1:3">
      <c r="A31581" s="571" t="s">
        <v>1010</v>
      </c>
      <c r="B31581" s="572">
        <v>21</v>
      </c>
      <c r="C31581" s="572">
        <v>170</v>
      </c>
    </row>
    <row r="31582" spans="1:3">
      <c r="A31582" s="571" t="s">
        <v>1010</v>
      </c>
      <c r="B31582" s="572">
        <v>28</v>
      </c>
      <c r="C31582" s="572">
        <v>220</v>
      </c>
    </row>
    <row r="31583" spans="1:3">
      <c r="A31583" s="571" t="s">
        <v>1010</v>
      </c>
      <c r="B31583" s="572">
        <v>56</v>
      </c>
      <c r="C31583" s="572">
        <v>350</v>
      </c>
    </row>
    <row r="31584" spans="1:3">
      <c r="A31584" s="571" t="s">
        <v>1010</v>
      </c>
      <c r="B31584" s="572">
        <v>91</v>
      </c>
      <c r="C31584" s="572">
        <v>420</v>
      </c>
    </row>
    <row r="31585" spans="1:3">
      <c r="A31585" s="573" t="s">
        <v>1010</v>
      </c>
      <c r="B31585" s="574">
        <v>180</v>
      </c>
      <c r="C31585" s="574">
        <v>500</v>
      </c>
    </row>
    <row r="31586" spans="1:3">
      <c r="A31586" s="573" t="s">
        <v>1010</v>
      </c>
      <c r="B31586" s="574">
        <v>280</v>
      </c>
      <c r="C31586" s="574">
        <v>520</v>
      </c>
    </row>
    <row r="31587" spans="1:3">
      <c r="A31587" s="573" t="s">
        <v>1010</v>
      </c>
      <c r="B31587" s="574">
        <v>364</v>
      </c>
      <c r="C31587" s="574">
        <v>550</v>
      </c>
    </row>
    <row r="31588" spans="1:3">
      <c r="A31588" s="571" t="s">
        <v>1009</v>
      </c>
      <c r="B31588" s="572">
        <v>0</v>
      </c>
      <c r="C31588" s="572">
        <v>0</v>
      </c>
    </row>
    <row r="31589" spans="1:3">
      <c r="A31589" s="571" t="s">
        <v>1009</v>
      </c>
      <c r="B31589" s="572">
        <v>7</v>
      </c>
      <c r="C31589" s="572">
        <v>190</v>
      </c>
    </row>
    <row r="31590" spans="1:3">
      <c r="A31590" s="571" t="s">
        <v>1009</v>
      </c>
      <c r="B31590" s="572">
        <v>14</v>
      </c>
      <c r="C31590" s="572">
        <v>290</v>
      </c>
    </row>
    <row r="31591" spans="1:3">
      <c r="A31591" s="571" t="s">
        <v>1009</v>
      </c>
      <c r="B31591" s="572">
        <v>21</v>
      </c>
      <c r="C31591" s="572">
        <v>380</v>
      </c>
    </row>
    <row r="31592" spans="1:3">
      <c r="A31592" s="571" t="s">
        <v>1009</v>
      </c>
      <c r="B31592" s="572">
        <v>28</v>
      </c>
      <c r="C31592" s="572">
        <v>430</v>
      </c>
    </row>
    <row r="31593" spans="1:3">
      <c r="A31593" s="571" t="s">
        <v>1009</v>
      </c>
      <c r="B31593" s="572">
        <v>56</v>
      </c>
      <c r="C31593" s="572">
        <v>600</v>
      </c>
    </row>
    <row r="31594" spans="1:3">
      <c r="A31594" s="571" t="s">
        <v>1009</v>
      </c>
      <c r="B31594" s="572">
        <v>91</v>
      </c>
      <c r="C31594" s="572">
        <v>675</v>
      </c>
    </row>
    <row r="31595" spans="1:3">
      <c r="A31595" s="573" t="s">
        <v>1009</v>
      </c>
      <c r="B31595" s="574">
        <v>189</v>
      </c>
      <c r="C31595" s="574">
        <v>780</v>
      </c>
    </row>
    <row r="31596" spans="1:3">
      <c r="A31596" s="573" t="s">
        <v>1009</v>
      </c>
      <c r="B31596" s="574">
        <v>280</v>
      </c>
      <c r="C31596" s="574">
        <v>795</v>
      </c>
    </row>
    <row r="31597" spans="1:3">
      <c r="A31597" s="573" t="s">
        <v>1009</v>
      </c>
      <c r="B31597" s="574">
        <v>364</v>
      </c>
      <c r="C31597" s="574">
        <v>800</v>
      </c>
    </row>
    <row r="31598" spans="1:3">
      <c r="A31598" s="571" t="s">
        <v>1008</v>
      </c>
      <c r="B31598" s="572">
        <v>0</v>
      </c>
      <c r="C31598" s="572">
        <v>0</v>
      </c>
    </row>
    <row r="31599" spans="1:3">
      <c r="A31599" s="571" t="s">
        <v>1008</v>
      </c>
      <c r="B31599" s="572">
        <v>7</v>
      </c>
      <c r="C31599" s="572">
        <v>140</v>
      </c>
    </row>
    <row r="31600" spans="1:3">
      <c r="A31600" s="571" t="s">
        <v>1008</v>
      </c>
      <c r="B31600" s="572">
        <v>10</v>
      </c>
      <c r="C31600" s="572">
        <v>180</v>
      </c>
    </row>
    <row r="31601" spans="1:3">
      <c r="A31601" s="571" t="s">
        <v>1008</v>
      </c>
      <c r="B31601" s="572">
        <v>14</v>
      </c>
      <c r="C31601" s="572">
        <v>210</v>
      </c>
    </row>
    <row r="31602" spans="1:3">
      <c r="A31602" s="571" t="s">
        <v>1008</v>
      </c>
      <c r="B31602" s="572">
        <v>21</v>
      </c>
      <c r="C31602" s="572">
        <v>280</v>
      </c>
    </row>
    <row r="31603" spans="1:3">
      <c r="A31603" s="571" t="s">
        <v>1008</v>
      </c>
      <c r="B31603" s="572">
        <v>28</v>
      </c>
      <c r="C31603" s="572">
        <v>340</v>
      </c>
    </row>
    <row r="31604" spans="1:3">
      <c r="A31604" s="571" t="s">
        <v>1008</v>
      </c>
      <c r="B31604" s="572">
        <v>56</v>
      </c>
      <c r="C31604" s="572">
        <v>520</v>
      </c>
    </row>
    <row r="31605" spans="1:3">
      <c r="A31605" s="571" t="s">
        <v>1008</v>
      </c>
      <c r="B31605" s="572">
        <v>91</v>
      </c>
      <c r="C31605" s="572">
        <v>600</v>
      </c>
    </row>
    <row r="31606" spans="1:3">
      <c r="A31606" s="573" t="s">
        <v>1008</v>
      </c>
      <c r="B31606" s="574">
        <v>180</v>
      </c>
      <c r="C31606" s="574">
        <v>690</v>
      </c>
    </row>
    <row r="31607" spans="1:3">
      <c r="A31607" s="573" t="s">
        <v>1008</v>
      </c>
      <c r="B31607" s="574">
        <v>280</v>
      </c>
      <c r="C31607" s="574">
        <v>700</v>
      </c>
    </row>
    <row r="31608" spans="1:3">
      <c r="A31608" s="573" t="s">
        <v>1008</v>
      </c>
      <c r="B31608" s="574">
        <v>364</v>
      </c>
      <c r="C31608" s="574">
        <v>710</v>
      </c>
    </row>
    <row r="31609" spans="1:3">
      <c r="A31609" s="571" t="s">
        <v>1007</v>
      </c>
      <c r="B31609" s="572">
        <v>0</v>
      </c>
      <c r="C31609" s="572">
        <v>0</v>
      </c>
    </row>
    <row r="31610" spans="1:3">
      <c r="A31610" s="571" t="s">
        <v>1007</v>
      </c>
      <c r="B31610" s="572">
        <v>7</v>
      </c>
      <c r="C31610" s="572">
        <v>140</v>
      </c>
    </row>
    <row r="31611" spans="1:3">
      <c r="A31611" s="571" t="s">
        <v>1007</v>
      </c>
      <c r="B31611" s="572">
        <v>14</v>
      </c>
      <c r="C31611" s="572">
        <v>250</v>
      </c>
    </row>
    <row r="31612" spans="1:3">
      <c r="A31612" s="571" t="s">
        <v>1007</v>
      </c>
      <c r="B31612" s="572">
        <v>21</v>
      </c>
      <c r="C31612" s="572">
        <v>320</v>
      </c>
    </row>
    <row r="31613" spans="1:3">
      <c r="A31613" s="571" t="s">
        <v>1007</v>
      </c>
      <c r="B31613" s="572">
        <v>28</v>
      </c>
      <c r="C31613" s="572">
        <v>380</v>
      </c>
    </row>
    <row r="31614" spans="1:3">
      <c r="A31614" s="571" t="s">
        <v>1007</v>
      </c>
      <c r="B31614" s="572">
        <v>56</v>
      </c>
      <c r="C31614" s="572">
        <v>530</v>
      </c>
    </row>
    <row r="31615" spans="1:3">
      <c r="A31615" s="571" t="s">
        <v>1007</v>
      </c>
      <c r="B31615" s="572">
        <v>91</v>
      </c>
      <c r="C31615" s="572">
        <v>610</v>
      </c>
    </row>
    <row r="31616" spans="1:3">
      <c r="A31616" s="573" t="s">
        <v>1007</v>
      </c>
      <c r="B31616" s="574">
        <v>189</v>
      </c>
      <c r="C31616" s="574">
        <v>680</v>
      </c>
    </row>
    <row r="31617" spans="1:3">
      <c r="A31617" s="573" t="s">
        <v>1007</v>
      </c>
      <c r="B31617" s="574">
        <v>280</v>
      </c>
      <c r="C31617" s="574">
        <v>710</v>
      </c>
    </row>
    <row r="31618" spans="1:3">
      <c r="A31618" s="573" t="s">
        <v>1007</v>
      </c>
      <c r="B31618" s="574">
        <v>364</v>
      </c>
      <c r="C31618" s="574">
        <v>710</v>
      </c>
    </row>
    <row r="31619" spans="1:3">
      <c r="A31619" s="571" t="s">
        <v>1006</v>
      </c>
      <c r="B31619" s="572">
        <v>0</v>
      </c>
      <c r="C31619" s="572">
        <v>0</v>
      </c>
    </row>
    <row r="31620" spans="1:3">
      <c r="A31620" s="571" t="s">
        <v>1006</v>
      </c>
      <c r="B31620" s="572">
        <v>7</v>
      </c>
      <c r="C31620" s="572">
        <v>100</v>
      </c>
    </row>
    <row r="31621" spans="1:3">
      <c r="A31621" s="571" t="s">
        <v>1006</v>
      </c>
      <c r="B31621" s="572">
        <v>10</v>
      </c>
      <c r="C31621" s="572">
        <v>130</v>
      </c>
    </row>
    <row r="31622" spans="1:3">
      <c r="A31622" s="571" t="s">
        <v>1006</v>
      </c>
      <c r="B31622" s="572">
        <v>14</v>
      </c>
      <c r="C31622" s="572">
        <v>230</v>
      </c>
    </row>
    <row r="31623" spans="1:3">
      <c r="A31623" s="571" t="s">
        <v>1006</v>
      </c>
      <c r="B31623" s="572">
        <v>21</v>
      </c>
      <c r="C31623" s="572">
        <v>310</v>
      </c>
    </row>
    <row r="31624" spans="1:3">
      <c r="A31624" s="571" t="s">
        <v>1006</v>
      </c>
      <c r="B31624" s="572">
        <v>28</v>
      </c>
      <c r="C31624" s="572">
        <v>390</v>
      </c>
    </row>
    <row r="31625" spans="1:3">
      <c r="A31625" s="571" t="s">
        <v>1006</v>
      </c>
      <c r="B31625" s="572">
        <v>56</v>
      </c>
      <c r="C31625" s="572">
        <v>540</v>
      </c>
    </row>
    <row r="31626" spans="1:3">
      <c r="A31626" s="571" t="s">
        <v>1006</v>
      </c>
      <c r="B31626" s="572">
        <v>91</v>
      </c>
      <c r="C31626" s="572">
        <v>600</v>
      </c>
    </row>
    <row r="31627" spans="1:3">
      <c r="A31627" s="573" t="s">
        <v>1006</v>
      </c>
      <c r="B31627" s="574">
        <v>180</v>
      </c>
      <c r="C31627" s="574">
        <v>670</v>
      </c>
    </row>
    <row r="31628" spans="1:3">
      <c r="A31628" s="573" t="s">
        <v>1006</v>
      </c>
      <c r="B31628" s="574">
        <v>280</v>
      </c>
      <c r="C31628" s="574">
        <v>690</v>
      </c>
    </row>
    <row r="31629" spans="1:3">
      <c r="A31629" s="573" t="s">
        <v>1006</v>
      </c>
      <c r="B31629" s="574">
        <v>364</v>
      </c>
      <c r="C31629" s="574">
        <v>700</v>
      </c>
    </row>
    <row r="31630" spans="1:3">
      <c r="A31630" s="571" t="s">
        <v>1005</v>
      </c>
      <c r="B31630" s="572">
        <v>0</v>
      </c>
      <c r="C31630" s="572">
        <v>0</v>
      </c>
    </row>
    <row r="31631" spans="1:3">
      <c r="A31631" s="571" t="s">
        <v>1005</v>
      </c>
      <c r="B31631" s="572">
        <v>7</v>
      </c>
      <c r="C31631" s="572">
        <v>190</v>
      </c>
    </row>
    <row r="31632" spans="1:3">
      <c r="A31632" s="571" t="s">
        <v>1005</v>
      </c>
      <c r="B31632" s="572">
        <v>14</v>
      </c>
      <c r="C31632" s="572">
        <v>260</v>
      </c>
    </row>
    <row r="31633" spans="1:3">
      <c r="A31633" s="571" t="s">
        <v>1005</v>
      </c>
      <c r="B31633" s="572">
        <v>21</v>
      </c>
      <c r="C31633" s="572">
        <v>320</v>
      </c>
    </row>
    <row r="31634" spans="1:3">
      <c r="A31634" s="571" t="s">
        <v>1005</v>
      </c>
      <c r="B31634" s="572">
        <v>28</v>
      </c>
      <c r="C31634" s="572">
        <v>360</v>
      </c>
    </row>
    <row r="31635" spans="1:3">
      <c r="A31635" s="571" t="s">
        <v>1005</v>
      </c>
      <c r="B31635" s="572">
        <v>49</v>
      </c>
      <c r="C31635" s="572">
        <v>440</v>
      </c>
    </row>
    <row r="31636" spans="1:3">
      <c r="A31636" s="571" t="s">
        <v>1005</v>
      </c>
      <c r="B31636" s="572">
        <v>84</v>
      </c>
      <c r="C31636" s="572">
        <v>520</v>
      </c>
    </row>
    <row r="31637" spans="1:3">
      <c r="A31637" s="571" t="s">
        <v>1004</v>
      </c>
      <c r="B31637" s="572">
        <v>0</v>
      </c>
      <c r="C31637" s="572">
        <v>0</v>
      </c>
    </row>
    <row r="31638" spans="1:3">
      <c r="A31638" s="571" t="s">
        <v>1004</v>
      </c>
      <c r="B31638" s="572">
        <v>7</v>
      </c>
      <c r="C31638" s="572">
        <v>80</v>
      </c>
    </row>
    <row r="31639" spans="1:3">
      <c r="A31639" s="571" t="s">
        <v>1004</v>
      </c>
      <c r="B31639" s="572">
        <v>14</v>
      </c>
      <c r="C31639" s="572">
        <v>150</v>
      </c>
    </row>
    <row r="31640" spans="1:3">
      <c r="A31640" s="571" t="s">
        <v>1004</v>
      </c>
      <c r="B31640" s="572">
        <v>21</v>
      </c>
      <c r="C31640" s="572">
        <v>190</v>
      </c>
    </row>
    <row r="31641" spans="1:3">
      <c r="A31641" s="571" t="s">
        <v>1004</v>
      </c>
      <c r="B31641" s="572">
        <v>28</v>
      </c>
      <c r="C31641" s="572">
        <v>230</v>
      </c>
    </row>
    <row r="31642" spans="1:3">
      <c r="A31642" s="571" t="s">
        <v>1004</v>
      </c>
      <c r="B31642" s="572">
        <v>49</v>
      </c>
      <c r="C31642" s="572">
        <v>290</v>
      </c>
    </row>
    <row r="31643" spans="1:3">
      <c r="A31643" s="571" t="s">
        <v>1004</v>
      </c>
      <c r="B31643" s="572">
        <v>84</v>
      </c>
      <c r="C31643" s="572">
        <v>370</v>
      </c>
    </row>
    <row r="31644" spans="1:3">
      <c r="A31644" s="571" t="s">
        <v>1003</v>
      </c>
      <c r="B31644" s="572">
        <v>0</v>
      </c>
      <c r="C31644" s="572">
        <v>0</v>
      </c>
    </row>
    <row r="31645" spans="1:3">
      <c r="A31645" s="571" t="s">
        <v>1003</v>
      </c>
      <c r="B31645" s="572">
        <v>7</v>
      </c>
      <c r="C31645" s="572">
        <v>140</v>
      </c>
    </row>
    <row r="31646" spans="1:3">
      <c r="A31646" s="571" t="s">
        <v>1003</v>
      </c>
      <c r="B31646" s="572">
        <v>14</v>
      </c>
      <c r="C31646" s="572">
        <v>210</v>
      </c>
    </row>
    <row r="31647" spans="1:3">
      <c r="A31647" s="571" t="s">
        <v>1003</v>
      </c>
      <c r="B31647" s="572">
        <v>21</v>
      </c>
      <c r="C31647" s="572">
        <v>270</v>
      </c>
    </row>
    <row r="31648" spans="1:3">
      <c r="A31648" s="571" t="s">
        <v>1003</v>
      </c>
      <c r="B31648" s="572">
        <v>28</v>
      </c>
      <c r="C31648" s="572">
        <v>320</v>
      </c>
    </row>
    <row r="31649" spans="1:3">
      <c r="A31649" s="571" t="s">
        <v>1003</v>
      </c>
      <c r="B31649" s="572">
        <v>49</v>
      </c>
      <c r="C31649" s="572">
        <v>410</v>
      </c>
    </row>
    <row r="31650" spans="1:3">
      <c r="A31650" s="571" t="s">
        <v>1003</v>
      </c>
      <c r="B31650" s="572">
        <v>84</v>
      </c>
      <c r="C31650" s="572">
        <v>520</v>
      </c>
    </row>
    <row r="31651" spans="1:3">
      <c r="A31651" s="571" t="s">
        <v>1002</v>
      </c>
      <c r="B31651" s="572">
        <v>0</v>
      </c>
      <c r="C31651" s="572">
        <v>0</v>
      </c>
    </row>
    <row r="31652" spans="1:3">
      <c r="A31652" s="571" t="s">
        <v>1002</v>
      </c>
      <c r="B31652" s="572">
        <v>7</v>
      </c>
      <c r="C31652" s="572">
        <v>70</v>
      </c>
    </row>
    <row r="31653" spans="1:3">
      <c r="A31653" s="571" t="s">
        <v>1002</v>
      </c>
      <c r="B31653" s="572">
        <v>14</v>
      </c>
      <c r="C31653" s="572">
        <v>130</v>
      </c>
    </row>
    <row r="31654" spans="1:3">
      <c r="A31654" s="571" t="s">
        <v>1002</v>
      </c>
      <c r="B31654" s="572">
        <v>21</v>
      </c>
      <c r="C31654" s="572">
        <v>170</v>
      </c>
    </row>
    <row r="31655" spans="1:3">
      <c r="A31655" s="571" t="s">
        <v>1002</v>
      </c>
      <c r="B31655" s="572">
        <v>28</v>
      </c>
      <c r="C31655" s="572">
        <v>210</v>
      </c>
    </row>
    <row r="31656" spans="1:3">
      <c r="A31656" s="571" t="s">
        <v>1002</v>
      </c>
      <c r="B31656" s="572">
        <v>49</v>
      </c>
      <c r="C31656" s="572">
        <v>270</v>
      </c>
    </row>
    <row r="31657" spans="1:3">
      <c r="A31657" s="571" t="s">
        <v>1002</v>
      </c>
      <c r="B31657" s="572">
        <v>84</v>
      </c>
      <c r="C31657" s="572">
        <v>350</v>
      </c>
    </row>
    <row r="31658" spans="1:3">
      <c r="A31658" s="571" t="s">
        <v>1001</v>
      </c>
      <c r="B31658" s="572">
        <v>0</v>
      </c>
      <c r="C31658" s="572">
        <v>0</v>
      </c>
    </row>
    <row r="31659" spans="1:3">
      <c r="A31659" s="571" t="s">
        <v>1001</v>
      </c>
      <c r="B31659" s="572">
        <v>7</v>
      </c>
      <c r="C31659" s="572">
        <v>160</v>
      </c>
    </row>
    <row r="31660" spans="1:3">
      <c r="A31660" s="571" t="s">
        <v>1001</v>
      </c>
      <c r="B31660" s="572">
        <v>14</v>
      </c>
      <c r="C31660" s="572">
        <v>210</v>
      </c>
    </row>
    <row r="31661" spans="1:3">
      <c r="A31661" s="571" t="s">
        <v>1001</v>
      </c>
      <c r="B31661" s="572">
        <v>21</v>
      </c>
      <c r="C31661" s="572">
        <v>270</v>
      </c>
    </row>
    <row r="31662" spans="1:3">
      <c r="A31662" s="571" t="s">
        <v>1001</v>
      </c>
      <c r="B31662" s="572">
        <v>28</v>
      </c>
      <c r="C31662" s="572">
        <v>300</v>
      </c>
    </row>
    <row r="31663" spans="1:3">
      <c r="A31663" s="571" t="s">
        <v>1001</v>
      </c>
      <c r="B31663" s="572">
        <v>49</v>
      </c>
      <c r="C31663" s="572">
        <v>350</v>
      </c>
    </row>
    <row r="31664" spans="1:3">
      <c r="A31664" s="571" t="s">
        <v>1001</v>
      </c>
      <c r="B31664" s="572">
        <v>84</v>
      </c>
      <c r="C31664" s="572">
        <v>430</v>
      </c>
    </row>
    <row r="31665" spans="1:3">
      <c r="A31665" s="571" t="s">
        <v>1000</v>
      </c>
      <c r="B31665" s="572">
        <v>0</v>
      </c>
      <c r="C31665" s="572">
        <v>0</v>
      </c>
    </row>
    <row r="31666" spans="1:3">
      <c r="A31666" s="571" t="s">
        <v>1000</v>
      </c>
      <c r="B31666" s="572">
        <v>7</v>
      </c>
      <c r="C31666" s="572">
        <v>110</v>
      </c>
    </row>
    <row r="31667" spans="1:3">
      <c r="A31667" s="571" t="s">
        <v>1000</v>
      </c>
      <c r="B31667" s="572">
        <v>14</v>
      </c>
      <c r="C31667" s="572">
        <v>170</v>
      </c>
    </row>
    <row r="31668" spans="1:3">
      <c r="A31668" s="571" t="s">
        <v>1000</v>
      </c>
      <c r="B31668" s="572">
        <v>21</v>
      </c>
      <c r="C31668" s="572">
        <v>210</v>
      </c>
    </row>
    <row r="31669" spans="1:3">
      <c r="A31669" s="571" t="s">
        <v>1000</v>
      </c>
      <c r="B31669" s="572">
        <v>28</v>
      </c>
      <c r="C31669" s="572">
        <v>230</v>
      </c>
    </row>
    <row r="31670" spans="1:3">
      <c r="A31670" s="571" t="s">
        <v>1000</v>
      </c>
      <c r="B31670" s="572">
        <v>49</v>
      </c>
      <c r="C31670" s="572">
        <v>290</v>
      </c>
    </row>
    <row r="31671" spans="1:3">
      <c r="A31671" s="571" t="s">
        <v>1000</v>
      </c>
      <c r="B31671" s="572">
        <v>84</v>
      </c>
      <c r="C31671" s="572">
        <v>340</v>
      </c>
    </row>
    <row r="31672" spans="1:3">
      <c r="A31672" s="571" t="s">
        <v>999</v>
      </c>
      <c r="B31672" s="572">
        <v>0</v>
      </c>
      <c r="C31672" s="572">
        <v>0</v>
      </c>
    </row>
    <row r="31673" spans="1:3">
      <c r="A31673" s="571" t="s">
        <v>999</v>
      </c>
      <c r="B31673" s="572">
        <v>7</v>
      </c>
      <c r="C31673" s="572">
        <v>90</v>
      </c>
    </row>
    <row r="31674" spans="1:3">
      <c r="A31674" s="571" t="s">
        <v>999</v>
      </c>
      <c r="B31674" s="572">
        <v>14</v>
      </c>
      <c r="C31674" s="572">
        <v>110</v>
      </c>
    </row>
    <row r="31675" spans="1:3">
      <c r="A31675" s="571" t="s">
        <v>999</v>
      </c>
      <c r="B31675" s="572">
        <v>21</v>
      </c>
      <c r="C31675" s="572">
        <v>150</v>
      </c>
    </row>
    <row r="31676" spans="1:3">
      <c r="A31676" s="571" t="s">
        <v>999</v>
      </c>
      <c r="B31676" s="572">
        <v>28</v>
      </c>
      <c r="C31676" s="572">
        <v>190</v>
      </c>
    </row>
    <row r="31677" spans="1:3">
      <c r="A31677" s="571" t="s">
        <v>999</v>
      </c>
      <c r="B31677" s="572">
        <v>49</v>
      </c>
      <c r="C31677" s="572">
        <v>220</v>
      </c>
    </row>
    <row r="31678" spans="1:3">
      <c r="A31678" s="571" t="s">
        <v>999</v>
      </c>
      <c r="B31678" s="572">
        <v>84</v>
      </c>
      <c r="C31678" s="572">
        <v>290</v>
      </c>
    </row>
    <row r="31679" spans="1:3">
      <c r="A31679" s="571" t="s">
        <v>998</v>
      </c>
      <c r="B31679" s="572">
        <v>0</v>
      </c>
      <c r="C31679" s="572">
        <v>0</v>
      </c>
    </row>
    <row r="31680" spans="1:3">
      <c r="A31680" s="571" t="s">
        <v>998</v>
      </c>
      <c r="B31680" s="572">
        <v>7</v>
      </c>
      <c r="C31680" s="572">
        <v>80</v>
      </c>
    </row>
    <row r="31681" spans="1:3">
      <c r="A31681" s="571" t="s">
        <v>998</v>
      </c>
      <c r="B31681" s="572">
        <v>14</v>
      </c>
      <c r="C31681" s="572">
        <v>120</v>
      </c>
    </row>
    <row r="31682" spans="1:3">
      <c r="A31682" s="571" t="s">
        <v>998</v>
      </c>
      <c r="B31682" s="572">
        <v>21</v>
      </c>
      <c r="C31682" s="572">
        <v>140</v>
      </c>
    </row>
    <row r="31683" spans="1:3">
      <c r="A31683" s="571" t="s">
        <v>998</v>
      </c>
      <c r="B31683" s="572">
        <v>28</v>
      </c>
      <c r="C31683" s="572">
        <v>160</v>
      </c>
    </row>
    <row r="31684" spans="1:3">
      <c r="A31684" s="571" t="s">
        <v>998</v>
      </c>
      <c r="B31684" s="572">
        <v>49</v>
      </c>
      <c r="C31684" s="572">
        <v>210</v>
      </c>
    </row>
    <row r="31685" spans="1:3">
      <c r="A31685" s="571" t="s">
        <v>998</v>
      </c>
      <c r="B31685" s="572">
        <v>84</v>
      </c>
      <c r="C31685" s="572">
        <v>250</v>
      </c>
    </row>
    <row r="31686" spans="1:3">
      <c r="A31686" s="571" t="s">
        <v>997</v>
      </c>
      <c r="B31686" s="572">
        <v>0</v>
      </c>
      <c r="C31686" s="572">
        <v>0</v>
      </c>
    </row>
    <row r="31687" spans="1:3">
      <c r="A31687" s="571" t="s">
        <v>997</v>
      </c>
      <c r="B31687" s="572">
        <v>7</v>
      </c>
      <c r="C31687" s="572">
        <v>90</v>
      </c>
    </row>
    <row r="31688" spans="1:3">
      <c r="A31688" s="571" t="s">
        <v>997</v>
      </c>
      <c r="B31688" s="572">
        <v>14</v>
      </c>
      <c r="C31688" s="572">
        <v>110</v>
      </c>
    </row>
    <row r="31689" spans="1:3">
      <c r="A31689" s="571" t="s">
        <v>997</v>
      </c>
      <c r="B31689" s="572">
        <v>21</v>
      </c>
      <c r="C31689" s="572">
        <v>150</v>
      </c>
    </row>
    <row r="31690" spans="1:3">
      <c r="A31690" s="571" t="s">
        <v>997</v>
      </c>
      <c r="B31690" s="572">
        <v>28</v>
      </c>
      <c r="C31690" s="572">
        <v>190</v>
      </c>
    </row>
    <row r="31691" spans="1:3">
      <c r="A31691" s="571" t="s">
        <v>997</v>
      </c>
      <c r="B31691" s="572">
        <v>49</v>
      </c>
      <c r="C31691" s="572">
        <v>220</v>
      </c>
    </row>
    <row r="31692" spans="1:3">
      <c r="A31692" s="571" t="s">
        <v>997</v>
      </c>
      <c r="B31692" s="572">
        <v>84</v>
      </c>
      <c r="C31692" s="572">
        <v>290</v>
      </c>
    </row>
    <row r="31693" spans="1:3">
      <c r="A31693" s="571" t="s">
        <v>996</v>
      </c>
      <c r="B31693" s="572">
        <v>0</v>
      </c>
      <c r="C31693" s="572">
        <v>0</v>
      </c>
    </row>
    <row r="31694" spans="1:3">
      <c r="A31694" s="571" t="s">
        <v>996</v>
      </c>
      <c r="B31694" s="572">
        <v>7</v>
      </c>
      <c r="C31694" s="572">
        <v>80</v>
      </c>
    </row>
    <row r="31695" spans="1:3">
      <c r="A31695" s="571" t="s">
        <v>996</v>
      </c>
      <c r="B31695" s="572">
        <v>14</v>
      </c>
      <c r="C31695" s="572">
        <v>120</v>
      </c>
    </row>
    <row r="31696" spans="1:3">
      <c r="A31696" s="571" t="s">
        <v>996</v>
      </c>
      <c r="B31696" s="572">
        <v>21</v>
      </c>
      <c r="C31696" s="572">
        <v>140</v>
      </c>
    </row>
    <row r="31697" spans="1:3">
      <c r="A31697" s="571" t="s">
        <v>996</v>
      </c>
      <c r="B31697" s="572">
        <v>28</v>
      </c>
      <c r="C31697" s="572">
        <v>160</v>
      </c>
    </row>
    <row r="31698" spans="1:3">
      <c r="A31698" s="571" t="s">
        <v>996</v>
      </c>
      <c r="B31698" s="572">
        <v>49</v>
      </c>
      <c r="C31698" s="572">
        <v>210</v>
      </c>
    </row>
    <row r="31699" spans="1:3">
      <c r="A31699" s="571" t="s">
        <v>996</v>
      </c>
      <c r="B31699" s="572">
        <v>84</v>
      </c>
      <c r="C31699" s="572">
        <v>250</v>
      </c>
    </row>
    <row r="31700" spans="1:3">
      <c r="A31700" s="571" t="s">
        <v>995</v>
      </c>
      <c r="B31700" s="572">
        <v>0</v>
      </c>
      <c r="C31700" s="572">
        <v>0</v>
      </c>
    </row>
    <row r="31701" spans="1:3">
      <c r="A31701" s="571" t="s">
        <v>995</v>
      </c>
      <c r="B31701" s="572">
        <v>7</v>
      </c>
      <c r="C31701" s="572">
        <v>250</v>
      </c>
    </row>
    <row r="31702" spans="1:3">
      <c r="A31702" s="571" t="s">
        <v>995</v>
      </c>
      <c r="B31702" s="572">
        <v>14</v>
      </c>
      <c r="C31702" s="572">
        <v>410</v>
      </c>
    </row>
    <row r="31703" spans="1:3">
      <c r="A31703" s="571" t="s">
        <v>995</v>
      </c>
      <c r="B31703" s="572">
        <v>21</v>
      </c>
      <c r="C31703" s="572">
        <v>510</v>
      </c>
    </row>
    <row r="31704" spans="1:3">
      <c r="A31704" s="571" t="s">
        <v>995</v>
      </c>
      <c r="B31704" s="572">
        <v>28</v>
      </c>
      <c r="C31704" s="572">
        <v>580</v>
      </c>
    </row>
    <row r="31705" spans="1:3">
      <c r="A31705" s="571" t="s">
        <v>995</v>
      </c>
      <c r="B31705" s="572">
        <v>35</v>
      </c>
      <c r="C31705" s="572">
        <v>620</v>
      </c>
    </row>
    <row r="31706" spans="1:3">
      <c r="A31706" s="571" t="s">
        <v>995</v>
      </c>
      <c r="B31706" s="572">
        <v>42</v>
      </c>
      <c r="C31706" s="572">
        <v>670</v>
      </c>
    </row>
    <row r="31707" spans="1:3">
      <c r="A31707" s="571" t="s">
        <v>995</v>
      </c>
      <c r="B31707" s="572">
        <v>49</v>
      </c>
      <c r="C31707" s="572">
        <v>720</v>
      </c>
    </row>
    <row r="31708" spans="1:3">
      <c r="A31708" s="571" t="s">
        <v>995</v>
      </c>
      <c r="B31708" s="572">
        <v>56</v>
      </c>
      <c r="C31708" s="572">
        <v>760</v>
      </c>
    </row>
    <row r="31709" spans="1:3">
      <c r="A31709" s="571" t="s">
        <v>995</v>
      </c>
      <c r="B31709" s="572">
        <v>77</v>
      </c>
      <c r="C31709" s="572">
        <v>830</v>
      </c>
    </row>
    <row r="31710" spans="1:3">
      <c r="A31710" s="571" t="s">
        <v>995</v>
      </c>
      <c r="B31710" s="572">
        <v>91</v>
      </c>
      <c r="C31710" s="572">
        <v>840</v>
      </c>
    </row>
    <row r="31711" spans="1:3">
      <c r="A31711" s="573" t="s">
        <v>995</v>
      </c>
      <c r="B31711" s="574">
        <v>133</v>
      </c>
      <c r="C31711" s="574">
        <v>940</v>
      </c>
    </row>
    <row r="31712" spans="1:3">
      <c r="A31712" s="573" t="s">
        <v>995</v>
      </c>
      <c r="B31712" s="574">
        <v>175</v>
      </c>
      <c r="C31712" s="574">
        <v>960</v>
      </c>
    </row>
    <row r="31713" spans="1:3">
      <c r="A31713" s="571" t="s">
        <v>994</v>
      </c>
      <c r="B31713" s="572">
        <v>0</v>
      </c>
      <c r="C31713" s="572">
        <v>0</v>
      </c>
    </row>
    <row r="31714" spans="1:3">
      <c r="A31714" s="571" t="s">
        <v>994</v>
      </c>
      <c r="B31714" s="572">
        <v>7</v>
      </c>
      <c r="C31714" s="572">
        <v>280</v>
      </c>
    </row>
    <row r="31715" spans="1:3">
      <c r="A31715" s="571" t="s">
        <v>994</v>
      </c>
      <c r="B31715" s="572">
        <v>14</v>
      </c>
      <c r="C31715" s="572">
        <v>400</v>
      </c>
    </row>
    <row r="31716" spans="1:3">
      <c r="A31716" s="571" t="s">
        <v>994</v>
      </c>
      <c r="B31716" s="572">
        <v>21</v>
      </c>
      <c r="C31716" s="572">
        <v>470</v>
      </c>
    </row>
    <row r="31717" spans="1:3">
      <c r="A31717" s="571" t="s">
        <v>994</v>
      </c>
      <c r="B31717" s="572">
        <v>28</v>
      </c>
      <c r="C31717" s="572">
        <v>480</v>
      </c>
    </row>
    <row r="31718" spans="1:3">
      <c r="A31718" s="571" t="s">
        <v>994</v>
      </c>
      <c r="B31718" s="572">
        <v>35</v>
      </c>
      <c r="C31718" s="572">
        <v>540</v>
      </c>
    </row>
    <row r="31719" spans="1:3">
      <c r="A31719" s="571" t="s">
        <v>994</v>
      </c>
      <c r="B31719" s="572">
        <v>42</v>
      </c>
      <c r="C31719" s="572">
        <v>570</v>
      </c>
    </row>
    <row r="31720" spans="1:3">
      <c r="A31720" s="571" t="s">
        <v>994</v>
      </c>
      <c r="B31720" s="572">
        <v>49</v>
      </c>
      <c r="C31720" s="572">
        <v>600</v>
      </c>
    </row>
    <row r="31721" spans="1:3">
      <c r="A31721" s="571" t="s">
        <v>994</v>
      </c>
      <c r="B31721" s="572">
        <v>56</v>
      </c>
      <c r="C31721" s="572">
        <v>610</v>
      </c>
    </row>
    <row r="31722" spans="1:3">
      <c r="A31722" s="571" t="s">
        <v>994</v>
      </c>
      <c r="B31722" s="572">
        <v>77</v>
      </c>
      <c r="C31722" s="572">
        <v>650</v>
      </c>
    </row>
    <row r="31723" spans="1:3">
      <c r="A31723" s="571" t="s">
        <v>994</v>
      </c>
      <c r="B31723" s="572">
        <v>91</v>
      </c>
      <c r="C31723" s="572">
        <v>670</v>
      </c>
    </row>
    <row r="31724" spans="1:3">
      <c r="A31724" s="573" t="s">
        <v>994</v>
      </c>
      <c r="B31724" s="574">
        <v>133</v>
      </c>
      <c r="C31724" s="574">
        <v>760</v>
      </c>
    </row>
    <row r="31725" spans="1:3">
      <c r="A31725" s="573" t="s">
        <v>994</v>
      </c>
      <c r="B31725" s="574">
        <v>182</v>
      </c>
      <c r="C31725" s="574">
        <v>780</v>
      </c>
    </row>
    <row r="31726" spans="1:3">
      <c r="A31726" s="571" t="s">
        <v>993</v>
      </c>
      <c r="B31726" s="572">
        <v>0</v>
      </c>
      <c r="C31726" s="572">
        <v>0</v>
      </c>
    </row>
    <row r="31727" spans="1:3">
      <c r="A31727" s="571" t="s">
        <v>993</v>
      </c>
      <c r="B31727" s="572">
        <v>7</v>
      </c>
      <c r="C31727" s="572">
        <v>250</v>
      </c>
    </row>
    <row r="31728" spans="1:3">
      <c r="A31728" s="571" t="s">
        <v>993</v>
      </c>
      <c r="B31728" s="572">
        <v>14</v>
      </c>
      <c r="C31728" s="572">
        <v>400</v>
      </c>
    </row>
    <row r="31729" spans="1:3">
      <c r="A31729" s="571" t="s">
        <v>993</v>
      </c>
      <c r="B31729" s="572">
        <v>21</v>
      </c>
      <c r="C31729" s="572">
        <v>520</v>
      </c>
    </row>
    <row r="31730" spans="1:3">
      <c r="A31730" s="571" t="s">
        <v>993</v>
      </c>
      <c r="B31730" s="572">
        <v>28</v>
      </c>
      <c r="C31730" s="572">
        <v>590</v>
      </c>
    </row>
    <row r="31731" spans="1:3">
      <c r="A31731" s="571" t="s">
        <v>993</v>
      </c>
      <c r="B31731" s="572">
        <v>35</v>
      </c>
      <c r="C31731" s="572">
        <v>640</v>
      </c>
    </row>
    <row r="31732" spans="1:3">
      <c r="A31732" s="571" t="s">
        <v>993</v>
      </c>
      <c r="B31732" s="572">
        <v>42</v>
      </c>
      <c r="C31732" s="572">
        <v>700</v>
      </c>
    </row>
    <row r="31733" spans="1:3">
      <c r="A31733" s="571" t="s">
        <v>993</v>
      </c>
      <c r="B31733" s="572">
        <v>49</v>
      </c>
      <c r="C31733" s="572">
        <v>750</v>
      </c>
    </row>
    <row r="31734" spans="1:3">
      <c r="A31734" s="571" t="s">
        <v>993</v>
      </c>
      <c r="B31734" s="572">
        <v>56</v>
      </c>
      <c r="C31734" s="572">
        <v>770</v>
      </c>
    </row>
    <row r="31735" spans="1:3">
      <c r="A31735" s="571" t="s">
        <v>993</v>
      </c>
      <c r="B31735" s="572">
        <v>77</v>
      </c>
      <c r="C31735" s="572">
        <v>850</v>
      </c>
    </row>
    <row r="31736" spans="1:3">
      <c r="A31736" s="571" t="s">
        <v>993</v>
      </c>
      <c r="B31736" s="572">
        <v>91</v>
      </c>
      <c r="C31736" s="572">
        <v>880</v>
      </c>
    </row>
    <row r="31737" spans="1:3">
      <c r="A31737" s="573" t="s">
        <v>993</v>
      </c>
      <c r="B31737" s="574">
        <v>133</v>
      </c>
      <c r="C31737" s="574">
        <v>980</v>
      </c>
    </row>
    <row r="31738" spans="1:3">
      <c r="A31738" s="573" t="s">
        <v>993</v>
      </c>
      <c r="B31738" s="574">
        <v>175</v>
      </c>
      <c r="C31738" s="574">
        <v>990</v>
      </c>
    </row>
    <row r="31739" spans="1:3">
      <c r="A31739" s="571" t="s">
        <v>992</v>
      </c>
      <c r="B31739" s="572">
        <v>0</v>
      </c>
      <c r="C31739" s="572">
        <v>0</v>
      </c>
    </row>
    <row r="31740" spans="1:3">
      <c r="A31740" s="571" t="s">
        <v>992</v>
      </c>
      <c r="B31740" s="572">
        <v>7</v>
      </c>
      <c r="C31740" s="572">
        <v>180</v>
      </c>
    </row>
    <row r="31741" spans="1:3">
      <c r="A31741" s="571" t="s">
        <v>992</v>
      </c>
      <c r="B31741" s="572">
        <v>14</v>
      </c>
      <c r="C31741" s="572">
        <v>260</v>
      </c>
    </row>
    <row r="31742" spans="1:3">
      <c r="A31742" s="571" t="s">
        <v>992</v>
      </c>
      <c r="B31742" s="572">
        <v>21</v>
      </c>
      <c r="C31742" s="572">
        <v>310</v>
      </c>
    </row>
    <row r="31743" spans="1:3">
      <c r="A31743" s="571" t="s">
        <v>992</v>
      </c>
      <c r="B31743" s="572">
        <v>28</v>
      </c>
      <c r="C31743" s="572">
        <v>330</v>
      </c>
    </row>
    <row r="31744" spans="1:3">
      <c r="A31744" s="571" t="s">
        <v>992</v>
      </c>
      <c r="B31744" s="572">
        <v>56</v>
      </c>
      <c r="C31744" s="572">
        <v>400</v>
      </c>
    </row>
    <row r="31745" spans="1:3">
      <c r="A31745" s="571" t="s">
        <v>992</v>
      </c>
      <c r="B31745" s="572">
        <v>91</v>
      </c>
      <c r="C31745" s="572">
        <v>430</v>
      </c>
    </row>
    <row r="31746" spans="1:3">
      <c r="A31746" s="573" t="s">
        <v>992</v>
      </c>
      <c r="B31746" s="574">
        <v>182</v>
      </c>
      <c r="C31746" s="574">
        <v>520</v>
      </c>
    </row>
    <row r="31747" spans="1:3">
      <c r="A31747" s="571" t="s">
        <v>991</v>
      </c>
      <c r="B31747" s="572">
        <v>0</v>
      </c>
      <c r="C31747" s="572">
        <v>0</v>
      </c>
    </row>
    <row r="31748" spans="1:3">
      <c r="A31748" s="571" t="s">
        <v>991</v>
      </c>
      <c r="B31748" s="572">
        <v>7</v>
      </c>
      <c r="C31748" s="572">
        <v>170</v>
      </c>
    </row>
    <row r="31749" spans="1:3">
      <c r="A31749" s="571" t="s">
        <v>991</v>
      </c>
      <c r="B31749" s="572">
        <v>14</v>
      </c>
      <c r="C31749" s="572">
        <v>255</v>
      </c>
    </row>
    <row r="31750" spans="1:3">
      <c r="A31750" s="571" t="s">
        <v>991</v>
      </c>
      <c r="B31750" s="572">
        <v>21</v>
      </c>
      <c r="C31750" s="572">
        <v>350</v>
      </c>
    </row>
    <row r="31751" spans="1:3">
      <c r="A31751" s="571" t="s">
        <v>991</v>
      </c>
      <c r="B31751" s="572">
        <v>28</v>
      </c>
      <c r="C31751" s="572">
        <v>370</v>
      </c>
    </row>
    <row r="31752" spans="1:3">
      <c r="A31752" s="571" t="s">
        <v>991</v>
      </c>
      <c r="B31752" s="572">
        <v>56</v>
      </c>
      <c r="C31752" s="572">
        <v>460</v>
      </c>
    </row>
    <row r="31753" spans="1:3">
      <c r="A31753" s="571" t="s">
        <v>991</v>
      </c>
      <c r="B31753" s="572">
        <v>91</v>
      </c>
      <c r="C31753" s="572">
        <v>490</v>
      </c>
    </row>
    <row r="31754" spans="1:3">
      <c r="A31754" s="573" t="s">
        <v>991</v>
      </c>
      <c r="B31754" s="574">
        <v>182</v>
      </c>
      <c r="C31754" s="574">
        <v>550</v>
      </c>
    </row>
    <row r="31755" spans="1:3">
      <c r="A31755" s="571" t="s">
        <v>990</v>
      </c>
      <c r="B31755" s="572">
        <v>0</v>
      </c>
      <c r="C31755" s="572">
        <v>0</v>
      </c>
    </row>
    <row r="31756" spans="1:3">
      <c r="A31756" s="571" t="s">
        <v>990</v>
      </c>
      <c r="B31756" s="572">
        <v>7</v>
      </c>
      <c r="C31756" s="572">
        <v>180</v>
      </c>
    </row>
    <row r="31757" spans="1:3">
      <c r="A31757" s="571" t="s">
        <v>990</v>
      </c>
      <c r="B31757" s="572">
        <v>14</v>
      </c>
      <c r="C31757" s="572">
        <v>270</v>
      </c>
    </row>
    <row r="31758" spans="1:3">
      <c r="A31758" s="571" t="s">
        <v>990</v>
      </c>
      <c r="B31758" s="572">
        <v>21</v>
      </c>
      <c r="C31758" s="572">
        <v>350</v>
      </c>
    </row>
    <row r="31759" spans="1:3">
      <c r="A31759" s="571" t="s">
        <v>990</v>
      </c>
      <c r="B31759" s="572">
        <v>28</v>
      </c>
      <c r="C31759" s="572">
        <v>380</v>
      </c>
    </row>
    <row r="31760" spans="1:3">
      <c r="A31760" s="571" t="s">
        <v>990</v>
      </c>
      <c r="B31760" s="572">
        <v>56</v>
      </c>
      <c r="C31760" s="572">
        <v>460</v>
      </c>
    </row>
    <row r="31761" spans="1:3">
      <c r="A31761" s="571" t="s">
        <v>990</v>
      </c>
      <c r="B31761" s="572">
        <v>91</v>
      </c>
      <c r="C31761" s="572">
        <v>480</v>
      </c>
    </row>
    <row r="31762" spans="1:3">
      <c r="A31762" s="573" t="s">
        <v>990</v>
      </c>
      <c r="B31762" s="574">
        <v>182</v>
      </c>
      <c r="C31762" s="574">
        <v>550</v>
      </c>
    </row>
    <row r="31763" spans="1:3">
      <c r="A31763" s="571" t="s">
        <v>989</v>
      </c>
      <c r="B31763" s="572">
        <v>0</v>
      </c>
      <c r="C31763" s="572">
        <v>0</v>
      </c>
    </row>
    <row r="31764" spans="1:3">
      <c r="A31764" s="571" t="s">
        <v>989</v>
      </c>
      <c r="B31764" s="572">
        <v>7</v>
      </c>
      <c r="C31764" s="572">
        <v>190</v>
      </c>
    </row>
    <row r="31765" spans="1:3">
      <c r="A31765" s="571" t="s">
        <v>989</v>
      </c>
      <c r="B31765" s="572">
        <v>14</v>
      </c>
      <c r="C31765" s="572">
        <v>260</v>
      </c>
    </row>
    <row r="31766" spans="1:3">
      <c r="A31766" s="571" t="s">
        <v>989</v>
      </c>
      <c r="B31766" s="572">
        <v>21</v>
      </c>
      <c r="C31766" s="572">
        <v>330</v>
      </c>
    </row>
    <row r="31767" spans="1:3">
      <c r="A31767" s="571" t="s">
        <v>989</v>
      </c>
      <c r="B31767" s="572">
        <v>28</v>
      </c>
      <c r="C31767" s="572">
        <v>360</v>
      </c>
    </row>
    <row r="31768" spans="1:3">
      <c r="A31768" s="571" t="s">
        <v>989</v>
      </c>
      <c r="B31768" s="572">
        <v>56</v>
      </c>
      <c r="C31768" s="572">
        <v>460</v>
      </c>
    </row>
    <row r="31769" spans="1:3">
      <c r="A31769" s="571" t="s">
        <v>989</v>
      </c>
      <c r="B31769" s="572">
        <v>91</v>
      </c>
      <c r="C31769" s="572">
        <v>470</v>
      </c>
    </row>
    <row r="31770" spans="1:3">
      <c r="A31770" s="573" t="s">
        <v>989</v>
      </c>
      <c r="B31770" s="574">
        <v>182</v>
      </c>
      <c r="C31770" s="574">
        <v>550</v>
      </c>
    </row>
    <row r="31771" spans="1:3">
      <c r="A31771" s="571" t="s">
        <v>988</v>
      </c>
      <c r="B31771" s="572">
        <v>0</v>
      </c>
      <c r="C31771" s="572">
        <v>0</v>
      </c>
    </row>
    <row r="31772" spans="1:3">
      <c r="A31772" s="571" t="s">
        <v>988</v>
      </c>
      <c r="B31772" s="572">
        <v>7</v>
      </c>
      <c r="C31772" s="572">
        <v>130</v>
      </c>
    </row>
    <row r="31773" spans="1:3">
      <c r="A31773" s="571" t="s">
        <v>988</v>
      </c>
      <c r="B31773" s="572">
        <v>14</v>
      </c>
      <c r="C31773" s="572">
        <v>230</v>
      </c>
    </row>
    <row r="31774" spans="1:3">
      <c r="A31774" s="571" t="s">
        <v>988</v>
      </c>
      <c r="B31774" s="572">
        <v>21</v>
      </c>
      <c r="C31774" s="572">
        <v>280</v>
      </c>
    </row>
    <row r="31775" spans="1:3">
      <c r="A31775" s="571" t="s">
        <v>988</v>
      </c>
      <c r="B31775" s="572">
        <v>28</v>
      </c>
      <c r="C31775" s="572">
        <v>320</v>
      </c>
    </row>
    <row r="31776" spans="1:3">
      <c r="A31776" s="571" t="s">
        <v>988</v>
      </c>
      <c r="B31776" s="572">
        <v>56</v>
      </c>
      <c r="C31776" s="572">
        <v>400</v>
      </c>
    </row>
    <row r="31777" spans="1:3">
      <c r="A31777" s="571" t="s">
        <v>988</v>
      </c>
      <c r="B31777" s="572">
        <v>91</v>
      </c>
      <c r="C31777" s="572">
        <v>460</v>
      </c>
    </row>
    <row r="31778" spans="1:3">
      <c r="A31778" s="573" t="s">
        <v>988</v>
      </c>
      <c r="B31778" s="574">
        <v>182</v>
      </c>
      <c r="C31778" s="574">
        <v>550</v>
      </c>
    </row>
    <row r="31779" spans="1:3">
      <c r="A31779" s="571" t="s">
        <v>987</v>
      </c>
      <c r="B31779" s="572">
        <v>0</v>
      </c>
      <c r="C31779" s="572">
        <v>0</v>
      </c>
    </row>
    <row r="31780" spans="1:3">
      <c r="A31780" s="571" t="s">
        <v>987</v>
      </c>
      <c r="B31780" s="572">
        <v>7</v>
      </c>
      <c r="C31780" s="572">
        <v>185</v>
      </c>
    </row>
    <row r="31781" spans="1:3">
      <c r="A31781" s="571" t="s">
        <v>987</v>
      </c>
      <c r="B31781" s="572">
        <v>14</v>
      </c>
      <c r="C31781" s="572">
        <v>260</v>
      </c>
    </row>
    <row r="31782" spans="1:3">
      <c r="A31782" s="571" t="s">
        <v>987</v>
      </c>
      <c r="B31782" s="572">
        <v>21</v>
      </c>
      <c r="C31782" s="572">
        <v>345</v>
      </c>
    </row>
    <row r="31783" spans="1:3">
      <c r="A31783" s="571" t="s">
        <v>987</v>
      </c>
      <c r="B31783" s="572">
        <v>28</v>
      </c>
      <c r="C31783" s="572">
        <v>380</v>
      </c>
    </row>
    <row r="31784" spans="1:3">
      <c r="A31784" s="571" t="s">
        <v>987</v>
      </c>
      <c r="B31784" s="572">
        <v>56</v>
      </c>
      <c r="C31784" s="572">
        <v>465</v>
      </c>
    </row>
    <row r="31785" spans="1:3">
      <c r="A31785" s="571" t="s">
        <v>987</v>
      </c>
      <c r="B31785" s="572">
        <v>91</v>
      </c>
      <c r="C31785" s="572">
        <v>500</v>
      </c>
    </row>
    <row r="31786" spans="1:3">
      <c r="A31786" s="573" t="s">
        <v>987</v>
      </c>
      <c r="B31786" s="574">
        <v>182</v>
      </c>
      <c r="C31786" s="574">
        <v>555</v>
      </c>
    </row>
    <row r="31787" spans="1:3">
      <c r="A31787" s="571" t="s">
        <v>986</v>
      </c>
      <c r="B31787" s="572">
        <v>0</v>
      </c>
      <c r="C31787" s="572">
        <v>0</v>
      </c>
    </row>
    <row r="31788" spans="1:3">
      <c r="A31788" s="571" t="s">
        <v>986</v>
      </c>
      <c r="B31788" s="572">
        <v>7</v>
      </c>
      <c r="C31788" s="572">
        <v>190</v>
      </c>
    </row>
    <row r="31789" spans="1:3">
      <c r="A31789" s="571" t="s">
        <v>986</v>
      </c>
      <c r="B31789" s="572">
        <v>14</v>
      </c>
      <c r="C31789" s="572">
        <v>280</v>
      </c>
    </row>
    <row r="31790" spans="1:3">
      <c r="A31790" s="571" t="s">
        <v>986</v>
      </c>
      <c r="B31790" s="572">
        <v>21</v>
      </c>
      <c r="C31790" s="572">
        <v>365</v>
      </c>
    </row>
    <row r="31791" spans="1:3">
      <c r="A31791" s="571" t="s">
        <v>986</v>
      </c>
      <c r="B31791" s="572">
        <v>28</v>
      </c>
      <c r="C31791" s="572">
        <v>400</v>
      </c>
    </row>
    <row r="31792" spans="1:3">
      <c r="A31792" s="571" t="s">
        <v>986</v>
      </c>
      <c r="B31792" s="572">
        <v>56</v>
      </c>
      <c r="C31792" s="572">
        <v>490</v>
      </c>
    </row>
    <row r="31793" spans="1:3">
      <c r="A31793" s="571" t="s">
        <v>986</v>
      </c>
      <c r="B31793" s="572">
        <v>91</v>
      </c>
      <c r="C31793" s="572">
        <v>510</v>
      </c>
    </row>
    <row r="31794" spans="1:3">
      <c r="A31794" s="573" t="s">
        <v>986</v>
      </c>
      <c r="B31794" s="574">
        <v>182</v>
      </c>
      <c r="C31794" s="574">
        <v>590</v>
      </c>
    </row>
    <row r="31795" spans="1:3">
      <c r="A31795" s="571" t="s">
        <v>985</v>
      </c>
      <c r="B31795" s="572">
        <v>0</v>
      </c>
      <c r="C31795" s="572">
        <v>0</v>
      </c>
    </row>
    <row r="31796" spans="1:3">
      <c r="A31796" s="571" t="s">
        <v>985</v>
      </c>
      <c r="B31796" s="572">
        <v>7</v>
      </c>
      <c r="C31796" s="572">
        <v>170</v>
      </c>
    </row>
    <row r="31797" spans="1:3">
      <c r="A31797" s="571" t="s">
        <v>985</v>
      </c>
      <c r="B31797" s="572">
        <v>14</v>
      </c>
      <c r="C31797" s="572">
        <v>260</v>
      </c>
    </row>
    <row r="31798" spans="1:3">
      <c r="A31798" s="571" t="s">
        <v>985</v>
      </c>
      <c r="B31798" s="572">
        <v>21</v>
      </c>
      <c r="C31798" s="572">
        <v>355</v>
      </c>
    </row>
    <row r="31799" spans="1:3">
      <c r="A31799" s="571" t="s">
        <v>985</v>
      </c>
      <c r="B31799" s="572">
        <v>28</v>
      </c>
      <c r="C31799" s="572">
        <v>375</v>
      </c>
    </row>
    <row r="31800" spans="1:3">
      <c r="A31800" s="571" t="s">
        <v>985</v>
      </c>
      <c r="B31800" s="572">
        <v>56</v>
      </c>
      <c r="C31800" s="572">
        <v>470</v>
      </c>
    </row>
    <row r="31801" spans="1:3">
      <c r="A31801" s="571" t="s">
        <v>985</v>
      </c>
      <c r="B31801" s="572">
        <v>91</v>
      </c>
      <c r="C31801" s="572">
        <v>460</v>
      </c>
    </row>
    <row r="31802" spans="1:3">
      <c r="A31802" s="573" t="s">
        <v>985</v>
      </c>
      <c r="B31802" s="574">
        <v>182</v>
      </c>
      <c r="C31802" s="574">
        <v>540</v>
      </c>
    </row>
    <row r="31803" spans="1:3">
      <c r="A31803" s="571" t="s">
        <v>984</v>
      </c>
      <c r="B31803" s="572">
        <v>0</v>
      </c>
      <c r="C31803" s="572">
        <v>0</v>
      </c>
    </row>
    <row r="31804" spans="1:3">
      <c r="A31804" s="571" t="s">
        <v>984</v>
      </c>
      <c r="B31804" s="572">
        <v>7</v>
      </c>
      <c r="C31804" s="572">
        <v>125</v>
      </c>
    </row>
    <row r="31805" spans="1:3">
      <c r="A31805" s="571" t="s">
        <v>984</v>
      </c>
      <c r="B31805" s="572">
        <v>14</v>
      </c>
      <c r="C31805" s="572">
        <v>225</v>
      </c>
    </row>
    <row r="31806" spans="1:3">
      <c r="A31806" s="571" t="s">
        <v>984</v>
      </c>
      <c r="B31806" s="572">
        <v>21</v>
      </c>
      <c r="C31806" s="572">
        <v>275</v>
      </c>
    </row>
    <row r="31807" spans="1:3">
      <c r="A31807" s="571" t="s">
        <v>984</v>
      </c>
      <c r="B31807" s="572">
        <v>28</v>
      </c>
      <c r="C31807" s="572">
        <v>315</v>
      </c>
    </row>
    <row r="31808" spans="1:3">
      <c r="A31808" s="571" t="s">
        <v>984</v>
      </c>
      <c r="B31808" s="572">
        <v>56</v>
      </c>
      <c r="C31808" s="572">
        <v>425</v>
      </c>
    </row>
    <row r="31809" spans="1:3">
      <c r="A31809" s="571" t="s">
        <v>984</v>
      </c>
      <c r="B31809" s="572">
        <v>91</v>
      </c>
      <c r="C31809" s="572">
        <v>465</v>
      </c>
    </row>
    <row r="31810" spans="1:3">
      <c r="A31810" s="573" t="s">
        <v>984</v>
      </c>
      <c r="B31810" s="574">
        <v>182</v>
      </c>
      <c r="C31810" s="574">
        <v>550</v>
      </c>
    </row>
    <row r="31811" spans="1:3">
      <c r="A31811" s="571" t="s">
        <v>983</v>
      </c>
      <c r="B31811" s="572">
        <v>0</v>
      </c>
      <c r="C31811" s="572">
        <v>0</v>
      </c>
    </row>
    <row r="31812" spans="1:3">
      <c r="A31812" s="571" t="s">
        <v>983</v>
      </c>
      <c r="B31812" s="572">
        <v>7</v>
      </c>
      <c r="C31812" s="572">
        <v>60</v>
      </c>
    </row>
    <row r="31813" spans="1:3">
      <c r="A31813" s="571" t="s">
        <v>983</v>
      </c>
      <c r="B31813" s="572">
        <v>14</v>
      </c>
      <c r="C31813" s="572">
        <v>120</v>
      </c>
    </row>
    <row r="31814" spans="1:3">
      <c r="A31814" s="571" t="s">
        <v>983</v>
      </c>
      <c r="B31814" s="572">
        <v>28</v>
      </c>
      <c r="C31814" s="572">
        <v>210</v>
      </c>
    </row>
    <row r="31815" spans="1:3">
      <c r="A31815" s="571" t="s">
        <v>983</v>
      </c>
      <c r="B31815" s="572">
        <v>49</v>
      </c>
      <c r="C31815" s="572">
        <v>360</v>
      </c>
    </row>
    <row r="31816" spans="1:3">
      <c r="A31816" s="571" t="s">
        <v>983</v>
      </c>
      <c r="B31816" s="572">
        <v>98</v>
      </c>
      <c r="C31816" s="572">
        <v>660</v>
      </c>
    </row>
    <row r="31817" spans="1:3">
      <c r="A31817" s="571" t="s">
        <v>982</v>
      </c>
      <c r="B31817" s="572">
        <v>0</v>
      </c>
      <c r="C31817" s="572">
        <v>0</v>
      </c>
    </row>
    <row r="31818" spans="1:3">
      <c r="A31818" s="571" t="s">
        <v>982</v>
      </c>
      <c r="B31818" s="572">
        <v>7</v>
      </c>
      <c r="C31818" s="572">
        <v>150</v>
      </c>
    </row>
    <row r="31819" spans="1:3">
      <c r="A31819" s="571" t="s">
        <v>982</v>
      </c>
      <c r="B31819" s="572">
        <v>14</v>
      </c>
      <c r="C31819" s="572">
        <v>250</v>
      </c>
    </row>
    <row r="31820" spans="1:3">
      <c r="A31820" s="571" t="s">
        <v>982</v>
      </c>
      <c r="B31820" s="572">
        <v>28</v>
      </c>
      <c r="C31820" s="572">
        <v>430</v>
      </c>
    </row>
    <row r="31821" spans="1:3">
      <c r="A31821" s="571" t="s">
        <v>982</v>
      </c>
      <c r="B31821" s="572">
        <v>49</v>
      </c>
      <c r="C31821" s="572">
        <v>620</v>
      </c>
    </row>
    <row r="31822" spans="1:3">
      <c r="A31822" s="571" t="s">
        <v>982</v>
      </c>
      <c r="B31822" s="572">
        <v>98</v>
      </c>
      <c r="C31822" s="572">
        <v>770</v>
      </c>
    </row>
    <row r="31823" spans="1:3">
      <c r="A31823" s="571" t="s">
        <v>981</v>
      </c>
      <c r="B31823" s="572">
        <v>0</v>
      </c>
      <c r="C31823" s="572">
        <v>0</v>
      </c>
    </row>
    <row r="31824" spans="1:3">
      <c r="A31824" s="571" t="s">
        <v>981</v>
      </c>
      <c r="B31824" s="572">
        <v>7</v>
      </c>
      <c r="C31824" s="572">
        <v>80</v>
      </c>
    </row>
    <row r="31825" spans="1:3">
      <c r="A31825" s="571" t="s">
        <v>981</v>
      </c>
      <c r="B31825" s="572">
        <v>14</v>
      </c>
      <c r="C31825" s="572">
        <v>140</v>
      </c>
    </row>
    <row r="31826" spans="1:3">
      <c r="A31826" s="571" t="s">
        <v>981</v>
      </c>
      <c r="B31826" s="572">
        <v>28</v>
      </c>
      <c r="C31826" s="572">
        <v>200</v>
      </c>
    </row>
    <row r="31827" spans="1:3">
      <c r="A31827" s="571" t="s">
        <v>981</v>
      </c>
      <c r="B31827" s="572">
        <v>49</v>
      </c>
      <c r="C31827" s="572">
        <v>300</v>
      </c>
    </row>
    <row r="31828" spans="1:3">
      <c r="A31828" s="571" t="s">
        <v>981</v>
      </c>
      <c r="B31828" s="572">
        <v>98</v>
      </c>
      <c r="C31828" s="572">
        <v>500</v>
      </c>
    </row>
    <row r="31829" spans="1:3">
      <c r="A31829" s="571" t="s">
        <v>980</v>
      </c>
      <c r="B31829" s="572">
        <v>0</v>
      </c>
      <c r="C31829" s="572">
        <v>0</v>
      </c>
    </row>
    <row r="31830" spans="1:3">
      <c r="A31830" s="571" t="s">
        <v>980</v>
      </c>
      <c r="B31830" s="572">
        <v>11</v>
      </c>
      <c r="C31830" s="572">
        <v>40</v>
      </c>
    </row>
    <row r="31831" spans="1:3">
      <c r="A31831" s="571" t="s">
        <v>980</v>
      </c>
      <c r="B31831" s="572">
        <v>18</v>
      </c>
      <c r="C31831" s="572">
        <v>55</v>
      </c>
    </row>
    <row r="31832" spans="1:3">
      <c r="A31832" s="571" t="s">
        <v>980</v>
      </c>
      <c r="B31832" s="572">
        <v>32</v>
      </c>
      <c r="C31832" s="572">
        <v>70</v>
      </c>
    </row>
    <row r="31833" spans="1:3">
      <c r="A31833" s="571" t="s">
        <v>980</v>
      </c>
      <c r="B31833" s="572">
        <v>46</v>
      </c>
      <c r="C31833" s="572">
        <v>80</v>
      </c>
    </row>
    <row r="31834" spans="1:3">
      <c r="A31834" s="571" t="s">
        <v>980</v>
      </c>
      <c r="B31834" s="572">
        <v>67</v>
      </c>
      <c r="C31834" s="572">
        <v>120</v>
      </c>
    </row>
    <row r="31835" spans="1:3">
      <c r="A31835" s="571" t="s">
        <v>980</v>
      </c>
      <c r="B31835" s="572">
        <v>96</v>
      </c>
      <c r="C31835" s="572">
        <v>135</v>
      </c>
    </row>
    <row r="31836" spans="1:3">
      <c r="A31836" s="573" t="s">
        <v>980</v>
      </c>
      <c r="B31836" s="574">
        <v>156</v>
      </c>
      <c r="C31836" s="574">
        <v>190</v>
      </c>
    </row>
    <row r="31837" spans="1:3">
      <c r="A31837" s="573" t="s">
        <v>980</v>
      </c>
      <c r="B31837" s="574">
        <v>216</v>
      </c>
      <c r="C31837" s="574">
        <v>200</v>
      </c>
    </row>
    <row r="31838" spans="1:3">
      <c r="A31838" s="573" t="s">
        <v>980</v>
      </c>
      <c r="B31838" s="574">
        <v>341</v>
      </c>
      <c r="C31838" s="574">
        <v>215</v>
      </c>
    </row>
    <row r="31839" spans="1:3">
      <c r="A31839" s="571" t="s">
        <v>979</v>
      </c>
      <c r="B31839" s="572">
        <v>0</v>
      </c>
      <c r="C31839" s="572">
        <v>0</v>
      </c>
    </row>
    <row r="31840" spans="1:3">
      <c r="A31840" s="571" t="s">
        <v>979</v>
      </c>
      <c r="B31840" s="572">
        <v>11</v>
      </c>
      <c r="C31840" s="572">
        <v>30</v>
      </c>
    </row>
    <row r="31841" spans="1:3">
      <c r="A31841" s="571" t="s">
        <v>979</v>
      </c>
      <c r="B31841" s="572">
        <v>18</v>
      </c>
      <c r="C31841" s="572">
        <v>60</v>
      </c>
    </row>
    <row r="31842" spans="1:3">
      <c r="A31842" s="571" t="s">
        <v>979</v>
      </c>
      <c r="B31842" s="572">
        <v>32</v>
      </c>
      <c r="C31842" s="572">
        <v>55</v>
      </c>
    </row>
    <row r="31843" spans="1:3">
      <c r="A31843" s="571" t="s">
        <v>979</v>
      </c>
      <c r="B31843" s="572">
        <v>46</v>
      </c>
      <c r="C31843" s="572">
        <v>110</v>
      </c>
    </row>
    <row r="31844" spans="1:3">
      <c r="A31844" s="571" t="s">
        <v>979</v>
      </c>
      <c r="B31844" s="572">
        <v>67</v>
      </c>
      <c r="C31844" s="572">
        <v>120</v>
      </c>
    </row>
    <row r="31845" spans="1:3">
      <c r="A31845" s="571" t="s">
        <v>979</v>
      </c>
      <c r="B31845" s="572">
        <v>96</v>
      </c>
      <c r="C31845" s="572">
        <v>160</v>
      </c>
    </row>
    <row r="31846" spans="1:3">
      <c r="A31846" s="573" t="s">
        <v>979</v>
      </c>
      <c r="B31846" s="574">
        <v>156</v>
      </c>
      <c r="C31846" s="574">
        <v>210</v>
      </c>
    </row>
    <row r="31847" spans="1:3">
      <c r="A31847" s="573" t="s">
        <v>979</v>
      </c>
      <c r="B31847" s="574">
        <v>216</v>
      </c>
      <c r="C31847" s="574">
        <v>190</v>
      </c>
    </row>
    <row r="31848" spans="1:3">
      <c r="A31848" s="573" t="s">
        <v>979</v>
      </c>
      <c r="B31848" s="574">
        <v>341</v>
      </c>
      <c r="C31848" s="574">
        <v>200</v>
      </c>
    </row>
    <row r="31849" spans="1:3">
      <c r="A31849" s="571" t="s">
        <v>978</v>
      </c>
      <c r="B31849" s="572">
        <v>0</v>
      </c>
      <c r="C31849" s="572">
        <v>0</v>
      </c>
    </row>
    <row r="31850" spans="1:3">
      <c r="A31850" s="571" t="s">
        <v>978</v>
      </c>
      <c r="B31850" s="572">
        <v>11</v>
      </c>
      <c r="C31850" s="572">
        <v>15</v>
      </c>
    </row>
    <row r="31851" spans="1:3">
      <c r="A31851" s="571" t="s">
        <v>978</v>
      </c>
      <c r="B31851" s="572">
        <v>18</v>
      </c>
      <c r="C31851" s="572">
        <v>40</v>
      </c>
    </row>
    <row r="31852" spans="1:3">
      <c r="A31852" s="571" t="s">
        <v>978</v>
      </c>
      <c r="B31852" s="572">
        <v>32</v>
      </c>
      <c r="C31852" s="572">
        <v>60</v>
      </c>
    </row>
    <row r="31853" spans="1:3">
      <c r="A31853" s="571" t="s">
        <v>978</v>
      </c>
      <c r="B31853" s="572">
        <v>46</v>
      </c>
      <c r="C31853" s="572">
        <v>70</v>
      </c>
    </row>
    <row r="31854" spans="1:3">
      <c r="A31854" s="571" t="s">
        <v>978</v>
      </c>
      <c r="B31854" s="572">
        <v>67</v>
      </c>
      <c r="C31854" s="572">
        <v>95</v>
      </c>
    </row>
    <row r="31855" spans="1:3">
      <c r="A31855" s="571" t="s">
        <v>978</v>
      </c>
      <c r="B31855" s="572">
        <v>96</v>
      </c>
      <c r="C31855" s="572">
        <v>130</v>
      </c>
    </row>
    <row r="31856" spans="1:3">
      <c r="A31856" s="573" t="s">
        <v>978</v>
      </c>
      <c r="B31856" s="574">
        <v>156</v>
      </c>
      <c r="C31856" s="574">
        <v>160</v>
      </c>
    </row>
    <row r="31857" spans="1:3">
      <c r="A31857" s="573" t="s">
        <v>978</v>
      </c>
      <c r="B31857" s="574">
        <v>216</v>
      </c>
      <c r="C31857" s="574">
        <v>170</v>
      </c>
    </row>
    <row r="31858" spans="1:3">
      <c r="A31858" s="573" t="s">
        <v>978</v>
      </c>
      <c r="B31858" s="574">
        <v>341</v>
      </c>
      <c r="C31858" s="574">
        <v>190</v>
      </c>
    </row>
    <row r="31859" spans="1:3">
      <c r="A31859" s="571" t="s">
        <v>977</v>
      </c>
      <c r="B31859" s="572">
        <v>0</v>
      </c>
      <c r="C31859" s="572">
        <v>0</v>
      </c>
    </row>
    <row r="31860" spans="1:3">
      <c r="A31860" s="571" t="s">
        <v>977</v>
      </c>
      <c r="B31860" s="572">
        <v>1</v>
      </c>
      <c r="C31860" s="572">
        <v>0</v>
      </c>
    </row>
    <row r="31861" spans="1:3">
      <c r="A31861" s="571" t="s">
        <v>977</v>
      </c>
      <c r="B31861" s="572">
        <v>3</v>
      </c>
      <c r="C31861" s="572">
        <v>140</v>
      </c>
    </row>
    <row r="31862" spans="1:3">
      <c r="A31862" s="571" t="s">
        <v>977</v>
      </c>
      <c r="B31862" s="572">
        <v>7</v>
      </c>
      <c r="C31862" s="572">
        <v>200</v>
      </c>
    </row>
    <row r="31863" spans="1:3">
      <c r="A31863" s="571" t="s">
        <v>977</v>
      </c>
      <c r="B31863" s="572">
        <v>14</v>
      </c>
      <c r="C31863" s="572">
        <v>300</v>
      </c>
    </row>
    <row r="31864" spans="1:3">
      <c r="A31864" s="571" t="s">
        <v>977</v>
      </c>
      <c r="B31864" s="572">
        <v>56</v>
      </c>
      <c r="C31864" s="572">
        <v>370</v>
      </c>
    </row>
    <row r="31865" spans="1:3">
      <c r="A31865" s="571" t="s">
        <v>977</v>
      </c>
      <c r="B31865" s="572">
        <v>78</v>
      </c>
      <c r="C31865" s="572">
        <v>450</v>
      </c>
    </row>
    <row r="31866" spans="1:3">
      <c r="A31866" s="571" t="s">
        <v>977</v>
      </c>
      <c r="B31866" s="572">
        <v>91</v>
      </c>
      <c r="C31866" s="572">
        <v>490</v>
      </c>
    </row>
    <row r="31867" spans="1:3">
      <c r="A31867" s="573" t="s">
        <v>977</v>
      </c>
      <c r="B31867" s="574">
        <v>180</v>
      </c>
      <c r="C31867" s="574">
        <v>550</v>
      </c>
    </row>
    <row r="31868" spans="1:3">
      <c r="A31868" s="573" t="s">
        <v>977</v>
      </c>
      <c r="B31868" s="574">
        <v>360</v>
      </c>
      <c r="C31868" s="574">
        <v>620</v>
      </c>
    </row>
    <row r="31869" spans="1:3">
      <c r="A31869" s="571" t="s">
        <v>976</v>
      </c>
      <c r="B31869" s="572">
        <v>0</v>
      </c>
      <c r="C31869" s="572">
        <v>0</v>
      </c>
    </row>
    <row r="31870" spans="1:3">
      <c r="A31870" s="571" t="s">
        <v>976</v>
      </c>
      <c r="B31870" s="572">
        <v>1</v>
      </c>
      <c r="C31870" s="572">
        <v>0</v>
      </c>
    </row>
    <row r="31871" spans="1:3">
      <c r="A31871" s="571" t="s">
        <v>976</v>
      </c>
      <c r="B31871" s="572">
        <v>3</v>
      </c>
      <c r="C31871" s="572">
        <v>75</v>
      </c>
    </row>
    <row r="31872" spans="1:3">
      <c r="A31872" s="571" t="s">
        <v>976</v>
      </c>
      <c r="B31872" s="572">
        <v>7</v>
      </c>
      <c r="C31872" s="572">
        <v>70</v>
      </c>
    </row>
    <row r="31873" spans="1:3">
      <c r="A31873" s="571" t="s">
        <v>976</v>
      </c>
      <c r="B31873" s="572">
        <v>21</v>
      </c>
      <c r="C31873" s="572">
        <v>90</v>
      </c>
    </row>
    <row r="31874" spans="1:3">
      <c r="A31874" s="571" t="s">
        <v>976</v>
      </c>
      <c r="B31874" s="572">
        <v>56</v>
      </c>
      <c r="C31874" s="572">
        <v>155</v>
      </c>
    </row>
    <row r="31875" spans="1:3">
      <c r="A31875" s="571" t="s">
        <v>976</v>
      </c>
      <c r="B31875" s="572">
        <v>78</v>
      </c>
      <c r="C31875" s="572">
        <v>220</v>
      </c>
    </row>
    <row r="31876" spans="1:3">
      <c r="A31876" s="571" t="s">
        <v>976</v>
      </c>
      <c r="B31876" s="572">
        <v>91</v>
      </c>
      <c r="C31876" s="572">
        <v>260</v>
      </c>
    </row>
    <row r="31877" spans="1:3">
      <c r="A31877" s="573" t="s">
        <v>976</v>
      </c>
      <c r="B31877" s="574">
        <v>180</v>
      </c>
      <c r="C31877" s="574">
        <v>275</v>
      </c>
    </row>
    <row r="31878" spans="1:3">
      <c r="A31878" s="573" t="s">
        <v>976</v>
      </c>
      <c r="B31878" s="574">
        <v>365</v>
      </c>
      <c r="C31878" s="574">
        <v>280</v>
      </c>
    </row>
    <row r="31879" spans="1:3">
      <c r="A31879" s="571" t="s">
        <v>974</v>
      </c>
      <c r="B31879" s="572">
        <v>0</v>
      </c>
      <c r="C31879" s="572">
        <v>0</v>
      </c>
    </row>
    <row r="31880" spans="1:3">
      <c r="A31880" s="571" t="s">
        <v>974</v>
      </c>
      <c r="B31880" s="572">
        <v>1</v>
      </c>
      <c r="C31880" s="572">
        <v>0</v>
      </c>
    </row>
    <row r="31881" spans="1:3">
      <c r="A31881" s="571" t="s">
        <v>974</v>
      </c>
      <c r="B31881" s="572">
        <v>3</v>
      </c>
      <c r="C31881" s="572">
        <v>30</v>
      </c>
    </row>
    <row r="31882" spans="1:3">
      <c r="A31882" s="571" t="s">
        <v>974</v>
      </c>
      <c r="B31882" s="572">
        <v>7</v>
      </c>
      <c r="C31882" s="572">
        <v>100</v>
      </c>
    </row>
    <row r="31883" spans="1:3">
      <c r="A31883" s="571" t="s">
        <v>974</v>
      </c>
      <c r="B31883" s="572">
        <v>21</v>
      </c>
      <c r="C31883" s="572">
        <v>190</v>
      </c>
    </row>
    <row r="31884" spans="1:3">
      <c r="A31884" s="571" t="s">
        <v>974</v>
      </c>
      <c r="B31884" s="572">
        <v>56</v>
      </c>
      <c r="C31884" s="572">
        <v>270</v>
      </c>
    </row>
    <row r="31885" spans="1:3">
      <c r="A31885" s="571" t="s">
        <v>974</v>
      </c>
      <c r="B31885" s="572">
        <v>78</v>
      </c>
      <c r="C31885" s="572">
        <v>330</v>
      </c>
    </row>
    <row r="31886" spans="1:3">
      <c r="A31886" s="571" t="s">
        <v>974</v>
      </c>
      <c r="B31886" s="572">
        <v>91</v>
      </c>
      <c r="C31886" s="572">
        <v>350</v>
      </c>
    </row>
    <row r="31887" spans="1:3">
      <c r="A31887" s="573" t="s">
        <v>974</v>
      </c>
      <c r="B31887" s="574">
        <v>180</v>
      </c>
      <c r="C31887" s="574">
        <v>395</v>
      </c>
    </row>
    <row r="31888" spans="1:3">
      <c r="A31888" s="573" t="s">
        <v>974</v>
      </c>
      <c r="B31888" s="574">
        <v>365</v>
      </c>
      <c r="C31888" s="574">
        <v>420</v>
      </c>
    </row>
    <row r="31889" spans="1:3">
      <c r="A31889" s="571" t="s">
        <v>972</v>
      </c>
      <c r="B31889" s="572">
        <v>0</v>
      </c>
      <c r="C31889" s="572">
        <v>0</v>
      </c>
    </row>
    <row r="31890" spans="1:3">
      <c r="A31890" s="571" t="s">
        <v>972</v>
      </c>
      <c r="B31890" s="572">
        <v>3</v>
      </c>
      <c r="C31890" s="572">
        <v>50</v>
      </c>
    </row>
    <row r="31891" spans="1:3">
      <c r="A31891" s="571" t="s">
        <v>972</v>
      </c>
      <c r="B31891" s="572">
        <v>7</v>
      </c>
      <c r="C31891" s="572">
        <v>150</v>
      </c>
    </row>
    <row r="31892" spans="1:3">
      <c r="A31892" s="571" t="s">
        <v>972</v>
      </c>
      <c r="B31892" s="572">
        <v>14</v>
      </c>
      <c r="C31892" s="572">
        <v>280</v>
      </c>
    </row>
    <row r="31893" spans="1:3">
      <c r="A31893" s="571" t="s">
        <v>972</v>
      </c>
      <c r="B31893" s="572">
        <v>21</v>
      </c>
      <c r="C31893" s="572">
        <v>330</v>
      </c>
    </row>
    <row r="31894" spans="1:3">
      <c r="A31894" s="571" t="s">
        <v>972</v>
      </c>
      <c r="B31894" s="572">
        <v>28</v>
      </c>
      <c r="C31894" s="572">
        <v>450</v>
      </c>
    </row>
    <row r="31895" spans="1:3">
      <c r="A31895" s="571" t="s">
        <v>972</v>
      </c>
      <c r="B31895" s="572">
        <v>33</v>
      </c>
      <c r="C31895" s="572">
        <v>490</v>
      </c>
    </row>
    <row r="31896" spans="1:3">
      <c r="A31896" s="571" t="s">
        <v>972</v>
      </c>
      <c r="B31896" s="572">
        <v>56</v>
      </c>
      <c r="C31896" s="572">
        <v>560</v>
      </c>
    </row>
    <row r="31897" spans="1:3">
      <c r="A31897" s="571" t="s">
        <v>972</v>
      </c>
      <c r="B31897" s="572">
        <v>68</v>
      </c>
      <c r="C31897" s="572">
        <v>590</v>
      </c>
    </row>
    <row r="31898" spans="1:3">
      <c r="A31898" s="571" t="s">
        <v>972</v>
      </c>
      <c r="B31898" s="572">
        <v>89</v>
      </c>
      <c r="C31898" s="572">
        <v>630</v>
      </c>
    </row>
    <row r="31899" spans="1:3">
      <c r="A31899" s="573" t="s">
        <v>972</v>
      </c>
      <c r="B31899" s="574">
        <v>127</v>
      </c>
      <c r="C31899" s="574">
        <v>665</v>
      </c>
    </row>
    <row r="31900" spans="1:3">
      <c r="A31900" s="571" t="s">
        <v>971</v>
      </c>
      <c r="B31900" s="572">
        <v>0</v>
      </c>
      <c r="C31900" s="572">
        <v>0</v>
      </c>
    </row>
    <row r="31901" spans="1:3">
      <c r="A31901" s="571" t="s">
        <v>971</v>
      </c>
      <c r="B31901" s="572">
        <v>3</v>
      </c>
      <c r="C31901" s="572">
        <v>110</v>
      </c>
    </row>
    <row r="31902" spans="1:3">
      <c r="A31902" s="571" t="s">
        <v>971</v>
      </c>
      <c r="B31902" s="572">
        <v>7</v>
      </c>
      <c r="C31902" s="572">
        <v>180</v>
      </c>
    </row>
    <row r="31903" spans="1:3">
      <c r="A31903" s="571" t="s">
        <v>971</v>
      </c>
      <c r="B31903" s="572">
        <v>14</v>
      </c>
      <c r="C31903" s="572">
        <v>240</v>
      </c>
    </row>
    <row r="31904" spans="1:3">
      <c r="A31904" s="571" t="s">
        <v>971</v>
      </c>
      <c r="B31904" s="572">
        <v>21</v>
      </c>
      <c r="C31904" s="572">
        <v>330</v>
      </c>
    </row>
    <row r="31905" spans="1:3">
      <c r="A31905" s="571" t="s">
        <v>971</v>
      </c>
      <c r="B31905" s="572">
        <v>28</v>
      </c>
      <c r="C31905" s="572">
        <v>410</v>
      </c>
    </row>
    <row r="31906" spans="1:3">
      <c r="A31906" s="571" t="s">
        <v>971</v>
      </c>
      <c r="B31906" s="572">
        <v>33</v>
      </c>
      <c r="C31906" s="572">
        <v>470</v>
      </c>
    </row>
    <row r="31907" spans="1:3">
      <c r="A31907" s="571" t="s">
        <v>971</v>
      </c>
      <c r="B31907" s="572">
        <v>52</v>
      </c>
      <c r="C31907" s="572">
        <v>530</v>
      </c>
    </row>
    <row r="31908" spans="1:3">
      <c r="A31908" s="571" t="s">
        <v>971</v>
      </c>
      <c r="B31908" s="572">
        <v>65</v>
      </c>
      <c r="C31908" s="572">
        <v>600</v>
      </c>
    </row>
    <row r="31909" spans="1:3">
      <c r="A31909" s="571" t="s">
        <v>971</v>
      </c>
      <c r="B31909" s="572">
        <v>87</v>
      </c>
      <c r="C31909" s="572">
        <v>640</v>
      </c>
    </row>
    <row r="31910" spans="1:3">
      <c r="A31910" s="573" t="s">
        <v>971</v>
      </c>
      <c r="B31910" s="574">
        <v>125</v>
      </c>
      <c r="C31910" s="574">
        <v>680</v>
      </c>
    </row>
    <row r="31911" spans="1:3">
      <c r="A31911" s="571" t="s">
        <v>970</v>
      </c>
      <c r="B31911" s="572">
        <v>0</v>
      </c>
      <c r="C31911" s="572">
        <v>0</v>
      </c>
    </row>
    <row r="31912" spans="1:3">
      <c r="A31912" s="571" t="s">
        <v>970</v>
      </c>
      <c r="B31912" s="572">
        <v>3</v>
      </c>
      <c r="C31912" s="572">
        <v>100</v>
      </c>
    </row>
    <row r="31913" spans="1:3">
      <c r="A31913" s="571" t="s">
        <v>970</v>
      </c>
      <c r="B31913" s="572">
        <v>7</v>
      </c>
      <c r="C31913" s="572">
        <v>150</v>
      </c>
    </row>
    <row r="31914" spans="1:3">
      <c r="A31914" s="571" t="s">
        <v>970</v>
      </c>
      <c r="B31914" s="572">
        <v>14</v>
      </c>
      <c r="C31914" s="572">
        <v>270</v>
      </c>
    </row>
    <row r="31915" spans="1:3">
      <c r="A31915" s="571" t="s">
        <v>970</v>
      </c>
      <c r="B31915" s="572">
        <v>21</v>
      </c>
      <c r="C31915" s="572">
        <v>330</v>
      </c>
    </row>
    <row r="31916" spans="1:3">
      <c r="A31916" s="571" t="s">
        <v>970</v>
      </c>
      <c r="B31916" s="572">
        <v>28</v>
      </c>
      <c r="C31916" s="572">
        <v>380</v>
      </c>
    </row>
    <row r="31917" spans="1:3">
      <c r="A31917" s="571" t="s">
        <v>970</v>
      </c>
      <c r="B31917" s="572">
        <v>49</v>
      </c>
      <c r="C31917" s="572">
        <v>500</v>
      </c>
    </row>
    <row r="31918" spans="1:3">
      <c r="A31918" s="571" t="s">
        <v>970</v>
      </c>
      <c r="B31918" s="572">
        <v>63</v>
      </c>
      <c r="C31918" s="572">
        <v>520</v>
      </c>
    </row>
    <row r="31919" spans="1:3">
      <c r="A31919" s="571" t="s">
        <v>970</v>
      </c>
      <c r="B31919" s="572">
        <v>84</v>
      </c>
      <c r="C31919" s="572">
        <v>580</v>
      </c>
    </row>
    <row r="31920" spans="1:3">
      <c r="A31920" s="573" t="s">
        <v>970</v>
      </c>
      <c r="B31920" s="574">
        <v>119</v>
      </c>
      <c r="C31920" s="574">
        <v>600</v>
      </c>
    </row>
    <row r="31921" spans="1:3">
      <c r="A31921" s="571" t="s">
        <v>969</v>
      </c>
      <c r="B31921" s="572">
        <v>0</v>
      </c>
      <c r="C31921" s="572">
        <v>0</v>
      </c>
    </row>
    <row r="31922" spans="1:3">
      <c r="A31922" s="571" t="s">
        <v>969</v>
      </c>
      <c r="B31922" s="572">
        <v>3</v>
      </c>
      <c r="C31922" s="572">
        <v>50</v>
      </c>
    </row>
    <row r="31923" spans="1:3">
      <c r="A31923" s="571" t="s">
        <v>969</v>
      </c>
      <c r="B31923" s="572">
        <v>7</v>
      </c>
      <c r="C31923" s="572">
        <v>165</v>
      </c>
    </row>
    <row r="31924" spans="1:3">
      <c r="A31924" s="571" t="s">
        <v>969</v>
      </c>
      <c r="B31924" s="572">
        <v>14</v>
      </c>
      <c r="C31924" s="572">
        <v>260</v>
      </c>
    </row>
    <row r="31925" spans="1:3">
      <c r="A31925" s="571" t="s">
        <v>969</v>
      </c>
      <c r="B31925" s="572">
        <v>21</v>
      </c>
      <c r="C31925" s="572">
        <v>330</v>
      </c>
    </row>
    <row r="31926" spans="1:3">
      <c r="A31926" s="571" t="s">
        <v>969</v>
      </c>
      <c r="B31926" s="572">
        <v>41</v>
      </c>
      <c r="C31926" s="572">
        <v>465</v>
      </c>
    </row>
    <row r="31927" spans="1:3">
      <c r="A31927" s="571" t="s">
        <v>969</v>
      </c>
      <c r="B31927" s="572">
        <v>56</v>
      </c>
      <c r="C31927" s="572">
        <v>520</v>
      </c>
    </row>
    <row r="31928" spans="1:3">
      <c r="A31928" s="571" t="s">
        <v>969</v>
      </c>
      <c r="B31928" s="572">
        <v>77</v>
      </c>
      <c r="C31928" s="572">
        <v>570</v>
      </c>
    </row>
    <row r="31929" spans="1:3">
      <c r="A31929" s="573" t="s">
        <v>969</v>
      </c>
      <c r="B31929" s="574">
        <v>115</v>
      </c>
      <c r="C31929" s="574">
        <v>620</v>
      </c>
    </row>
    <row r="31930" spans="1:3">
      <c r="A31930" s="571" t="s">
        <v>968</v>
      </c>
      <c r="B31930" s="572">
        <v>0</v>
      </c>
      <c r="C31930" s="572">
        <v>0</v>
      </c>
    </row>
    <row r="31931" spans="1:3">
      <c r="A31931" s="571" t="s">
        <v>968</v>
      </c>
      <c r="B31931" s="572">
        <v>7</v>
      </c>
      <c r="C31931" s="572">
        <v>170</v>
      </c>
    </row>
    <row r="31932" spans="1:3">
      <c r="A31932" s="571" t="s">
        <v>968</v>
      </c>
      <c r="B31932" s="572">
        <v>14</v>
      </c>
      <c r="C31932" s="572">
        <v>270</v>
      </c>
    </row>
    <row r="31933" spans="1:3">
      <c r="A31933" s="571" t="s">
        <v>968</v>
      </c>
      <c r="B31933" s="572">
        <v>21</v>
      </c>
      <c r="C31933" s="572">
        <v>390</v>
      </c>
    </row>
    <row r="31934" spans="1:3">
      <c r="A31934" s="571" t="s">
        <v>968</v>
      </c>
      <c r="B31934" s="572">
        <v>49</v>
      </c>
      <c r="C31934" s="572">
        <v>500</v>
      </c>
    </row>
    <row r="31935" spans="1:3">
      <c r="A31935" s="571" t="s">
        <v>968</v>
      </c>
      <c r="B31935" s="572">
        <v>91</v>
      </c>
      <c r="C31935" s="572">
        <v>600</v>
      </c>
    </row>
    <row r="31936" spans="1:3">
      <c r="A31936" s="573" t="s">
        <v>968</v>
      </c>
      <c r="B31936" s="574">
        <v>182</v>
      </c>
      <c r="C31936" s="574">
        <v>680</v>
      </c>
    </row>
    <row r="31937" spans="1:3">
      <c r="A31937" s="573" t="s">
        <v>968</v>
      </c>
      <c r="B31937" s="574">
        <v>224</v>
      </c>
      <c r="C31937" s="574">
        <v>740</v>
      </c>
    </row>
    <row r="31938" spans="1:3">
      <c r="A31938" s="573" t="s">
        <v>968</v>
      </c>
      <c r="B31938" s="574">
        <v>420</v>
      </c>
      <c r="C31938" s="574">
        <v>750</v>
      </c>
    </row>
    <row r="31939" spans="1:3">
      <c r="A31939" s="569" t="s">
        <v>968</v>
      </c>
      <c r="B31939" s="570">
        <v>560</v>
      </c>
      <c r="C31939" s="570">
        <v>770</v>
      </c>
    </row>
    <row r="31940" spans="1:3">
      <c r="A31940" s="569" t="s">
        <v>968</v>
      </c>
      <c r="B31940" s="570">
        <v>721</v>
      </c>
      <c r="C31940" s="570">
        <v>780</v>
      </c>
    </row>
    <row r="31941" spans="1:3">
      <c r="A31941" s="571" t="s">
        <v>967</v>
      </c>
      <c r="B31941" s="572">
        <v>0</v>
      </c>
      <c r="C31941" s="572">
        <v>0</v>
      </c>
    </row>
    <row r="31942" spans="1:3">
      <c r="A31942" s="571" t="s">
        <v>967</v>
      </c>
      <c r="B31942" s="572">
        <v>7</v>
      </c>
      <c r="C31942" s="572">
        <v>180</v>
      </c>
    </row>
    <row r="31943" spans="1:3">
      <c r="A31943" s="571" t="s">
        <v>967</v>
      </c>
      <c r="B31943" s="572">
        <v>14</v>
      </c>
      <c r="C31943" s="572">
        <v>270</v>
      </c>
    </row>
    <row r="31944" spans="1:3">
      <c r="A31944" s="571" t="s">
        <v>967</v>
      </c>
      <c r="B31944" s="572">
        <v>21</v>
      </c>
      <c r="C31944" s="572">
        <v>390</v>
      </c>
    </row>
    <row r="31945" spans="1:3">
      <c r="A31945" s="571" t="s">
        <v>967</v>
      </c>
      <c r="B31945" s="572">
        <v>49</v>
      </c>
      <c r="C31945" s="572">
        <v>500</v>
      </c>
    </row>
    <row r="31946" spans="1:3">
      <c r="A31946" s="571" t="s">
        <v>967</v>
      </c>
      <c r="B31946" s="572">
        <v>91</v>
      </c>
      <c r="C31946" s="572">
        <v>580</v>
      </c>
    </row>
    <row r="31947" spans="1:3">
      <c r="A31947" s="573" t="s">
        <v>967</v>
      </c>
      <c r="B31947" s="574">
        <v>182</v>
      </c>
      <c r="C31947" s="574">
        <v>650</v>
      </c>
    </row>
    <row r="31948" spans="1:3">
      <c r="A31948" s="573" t="s">
        <v>967</v>
      </c>
      <c r="B31948" s="574">
        <v>224</v>
      </c>
      <c r="C31948" s="574">
        <v>700</v>
      </c>
    </row>
    <row r="31949" spans="1:3">
      <c r="A31949" s="573" t="s">
        <v>967</v>
      </c>
      <c r="B31949" s="574">
        <v>420</v>
      </c>
      <c r="C31949" s="574">
        <v>710</v>
      </c>
    </row>
    <row r="31950" spans="1:3">
      <c r="A31950" s="569" t="s">
        <v>967</v>
      </c>
      <c r="B31950" s="570">
        <v>560</v>
      </c>
      <c r="C31950" s="570">
        <v>740</v>
      </c>
    </row>
    <row r="31951" spans="1:3">
      <c r="A31951" s="569" t="s">
        <v>967</v>
      </c>
      <c r="B31951" s="570">
        <v>721</v>
      </c>
      <c r="C31951" s="570">
        <v>740</v>
      </c>
    </row>
    <row r="31952" spans="1:3">
      <c r="A31952" s="571" t="s">
        <v>966</v>
      </c>
      <c r="B31952" s="572">
        <v>0</v>
      </c>
      <c r="C31952" s="572">
        <v>0</v>
      </c>
    </row>
    <row r="31953" spans="1:3">
      <c r="A31953" s="571" t="s">
        <v>966</v>
      </c>
      <c r="B31953" s="572">
        <v>3</v>
      </c>
      <c r="C31953" s="572">
        <v>70</v>
      </c>
    </row>
    <row r="31954" spans="1:3">
      <c r="A31954" s="571" t="s">
        <v>966</v>
      </c>
      <c r="B31954" s="572">
        <v>7</v>
      </c>
      <c r="C31954" s="572">
        <v>150</v>
      </c>
    </row>
    <row r="31955" spans="1:3">
      <c r="A31955" s="571" t="s">
        <v>966</v>
      </c>
      <c r="B31955" s="572">
        <v>14</v>
      </c>
      <c r="C31955" s="572">
        <v>200</v>
      </c>
    </row>
    <row r="31956" spans="1:3">
      <c r="A31956" s="571" t="s">
        <v>966</v>
      </c>
      <c r="B31956" s="572">
        <v>28</v>
      </c>
      <c r="C31956" s="572">
        <v>240</v>
      </c>
    </row>
    <row r="31957" spans="1:3">
      <c r="A31957" s="571" t="s">
        <v>966</v>
      </c>
      <c r="B31957" s="572">
        <v>35</v>
      </c>
      <c r="C31957" s="572">
        <v>280</v>
      </c>
    </row>
    <row r="31958" spans="1:3">
      <c r="A31958" s="571" t="s">
        <v>966</v>
      </c>
      <c r="B31958" s="572">
        <v>56</v>
      </c>
      <c r="C31958" s="572">
        <v>320</v>
      </c>
    </row>
    <row r="31959" spans="1:3">
      <c r="A31959" s="573" t="s">
        <v>966</v>
      </c>
      <c r="B31959" s="574">
        <v>112</v>
      </c>
      <c r="C31959" s="574">
        <v>360</v>
      </c>
    </row>
    <row r="31960" spans="1:3">
      <c r="A31960" s="573" t="s">
        <v>966</v>
      </c>
      <c r="B31960" s="574">
        <v>180</v>
      </c>
      <c r="C31960" s="574">
        <v>390</v>
      </c>
    </row>
    <row r="31961" spans="1:3">
      <c r="A31961" s="573" t="s">
        <v>966</v>
      </c>
      <c r="B31961" s="574">
        <v>360</v>
      </c>
      <c r="C31961" s="574">
        <v>410</v>
      </c>
    </row>
    <row r="31962" spans="1:3">
      <c r="A31962" s="569" t="s">
        <v>966</v>
      </c>
      <c r="B31962" s="570">
        <v>560</v>
      </c>
      <c r="C31962" s="570">
        <v>430</v>
      </c>
    </row>
    <row r="31963" spans="1:3">
      <c r="A31963" s="571" t="s">
        <v>965</v>
      </c>
      <c r="B31963" s="572">
        <v>0</v>
      </c>
      <c r="C31963" s="572">
        <v>0</v>
      </c>
    </row>
    <row r="31964" spans="1:3">
      <c r="A31964" s="571" t="s">
        <v>965</v>
      </c>
      <c r="B31964" s="572">
        <v>3</v>
      </c>
      <c r="C31964" s="572">
        <v>50</v>
      </c>
    </row>
    <row r="31965" spans="1:3">
      <c r="A31965" s="571" t="s">
        <v>965</v>
      </c>
      <c r="B31965" s="572">
        <v>7</v>
      </c>
      <c r="C31965" s="572">
        <v>150</v>
      </c>
    </row>
    <row r="31966" spans="1:3">
      <c r="A31966" s="571" t="s">
        <v>965</v>
      </c>
      <c r="B31966" s="572">
        <v>8</v>
      </c>
      <c r="C31966" s="572">
        <v>180</v>
      </c>
    </row>
    <row r="31967" spans="1:3">
      <c r="A31967" s="571" t="s">
        <v>965</v>
      </c>
      <c r="B31967" s="572">
        <v>10</v>
      </c>
      <c r="C31967" s="572">
        <v>190</v>
      </c>
    </row>
    <row r="31968" spans="1:3">
      <c r="A31968" s="571" t="s">
        <v>965</v>
      </c>
      <c r="B31968" s="572">
        <v>12</v>
      </c>
      <c r="C31968" s="572">
        <v>210</v>
      </c>
    </row>
    <row r="31969" spans="1:3">
      <c r="A31969" s="571" t="s">
        <v>965</v>
      </c>
      <c r="B31969" s="572">
        <v>14</v>
      </c>
      <c r="C31969" s="572">
        <v>250</v>
      </c>
    </row>
    <row r="31970" spans="1:3">
      <c r="A31970" s="571" t="s">
        <v>965</v>
      </c>
      <c r="B31970" s="572">
        <v>16</v>
      </c>
      <c r="C31970" s="572">
        <v>270</v>
      </c>
    </row>
    <row r="31971" spans="1:3">
      <c r="A31971" s="571" t="s">
        <v>965</v>
      </c>
      <c r="B31971" s="572">
        <v>18</v>
      </c>
      <c r="C31971" s="572">
        <v>300</v>
      </c>
    </row>
    <row r="31972" spans="1:3">
      <c r="A31972" s="571" t="s">
        <v>965</v>
      </c>
      <c r="B31972" s="572">
        <v>20</v>
      </c>
      <c r="C31972" s="572">
        <v>320</v>
      </c>
    </row>
    <row r="31973" spans="1:3">
      <c r="A31973" s="571" t="s">
        <v>965</v>
      </c>
      <c r="B31973" s="572">
        <v>22</v>
      </c>
      <c r="C31973" s="572">
        <v>350</v>
      </c>
    </row>
    <row r="31974" spans="1:3">
      <c r="A31974" s="571" t="s">
        <v>965</v>
      </c>
      <c r="B31974" s="572">
        <v>24</v>
      </c>
      <c r="C31974" s="572">
        <v>360</v>
      </c>
    </row>
    <row r="31975" spans="1:3">
      <c r="A31975" s="571" t="s">
        <v>965</v>
      </c>
      <c r="B31975" s="572">
        <v>30</v>
      </c>
      <c r="C31975" s="572">
        <v>400</v>
      </c>
    </row>
    <row r="31976" spans="1:3">
      <c r="A31976" s="571" t="s">
        <v>965</v>
      </c>
      <c r="B31976" s="572">
        <v>35</v>
      </c>
      <c r="C31976" s="572">
        <v>430</v>
      </c>
    </row>
    <row r="31977" spans="1:3">
      <c r="A31977" s="571" t="s">
        <v>965</v>
      </c>
      <c r="B31977" s="572">
        <v>42</v>
      </c>
      <c r="C31977" s="572">
        <v>470</v>
      </c>
    </row>
    <row r="31978" spans="1:3">
      <c r="A31978" s="571" t="s">
        <v>964</v>
      </c>
      <c r="B31978" s="572">
        <v>0</v>
      </c>
      <c r="C31978" s="572">
        <v>0</v>
      </c>
    </row>
    <row r="31979" spans="1:3">
      <c r="A31979" s="571" t="s">
        <v>964</v>
      </c>
      <c r="B31979" s="572">
        <v>7</v>
      </c>
      <c r="C31979" s="572">
        <v>300</v>
      </c>
    </row>
    <row r="31980" spans="1:3">
      <c r="A31980" s="571" t="s">
        <v>964</v>
      </c>
      <c r="B31980" s="572">
        <v>14</v>
      </c>
      <c r="C31980" s="572">
        <v>470</v>
      </c>
    </row>
    <row r="31981" spans="1:3">
      <c r="A31981" s="571" t="s">
        <v>964</v>
      </c>
      <c r="B31981" s="572">
        <v>21</v>
      </c>
      <c r="C31981" s="572">
        <v>600</v>
      </c>
    </row>
    <row r="31982" spans="1:3">
      <c r="A31982" s="571" t="s">
        <v>964</v>
      </c>
      <c r="B31982" s="572">
        <v>28</v>
      </c>
      <c r="C31982" s="572">
        <v>650</v>
      </c>
    </row>
    <row r="31983" spans="1:3">
      <c r="A31983" s="571" t="s">
        <v>964</v>
      </c>
      <c r="B31983" s="572">
        <v>42</v>
      </c>
      <c r="C31983" s="572">
        <v>720</v>
      </c>
    </row>
    <row r="31984" spans="1:3">
      <c r="A31984" s="571" t="s">
        <v>964</v>
      </c>
      <c r="B31984" s="572">
        <v>56</v>
      </c>
      <c r="C31984" s="572">
        <v>820</v>
      </c>
    </row>
    <row r="31985" spans="1:3">
      <c r="A31985" s="571" t="s">
        <v>964</v>
      </c>
      <c r="B31985" s="572">
        <v>91</v>
      </c>
      <c r="C31985" s="572">
        <v>910</v>
      </c>
    </row>
    <row r="31986" spans="1:3">
      <c r="A31986" s="571" t="s">
        <v>963</v>
      </c>
      <c r="B31986" s="572">
        <v>0</v>
      </c>
      <c r="C31986" s="572">
        <v>0</v>
      </c>
    </row>
    <row r="31987" spans="1:3">
      <c r="A31987" s="571" t="s">
        <v>963</v>
      </c>
      <c r="B31987" s="572">
        <v>7</v>
      </c>
      <c r="C31987" s="572">
        <v>300</v>
      </c>
    </row>
    <row r="31988" spans="1:3">
      <c r="A31988" s="571" t="s">
        <v>963</v>
      </c>
      <c r="B31988" s="572">
        <v>14</v>
      </c>
      <c r="C31988" s="572">
        <v>500</v>
      </c>
    </row>
    <row r="31989" spans="1:3">
      <c r="A31989" s="571" t="s">
        <v>963</v>
      </c>
      <c r="B31989" s="572">
        <v>21</v>
      </c>
      <c r="C31989" s="572">
        <v>580</v>
      </c>
    </row>
    <row r="31990" spans="1:3">
      <c r="A31990" s="571" t="s">
        <v>963</v>
      </c>
      <c r="B31990" s="572">
        <v>28</v>
      </c>
      <c r="C31990" s="572">
        <v>620</v>
      </c>
    </row>
    <row r="31991" spans="1:3">
      <c r="A31991" s="571" t="s">
        <v>963</v>
      </c>
      <c r="B31991" s="572">
        <v>42</v>
      </c>
      <c r="C31991" s="572">
        <v>680</v>
      </c>
    </row>
    <row r="31992" spans="1:3">
      <c r="A31992" s="571" t="s">
        <v>963</v>
      </c>
      <c r="B31992" s="572">
        <v>56</v>
      </c>
      <c r="C31992" s="572">
        <v>750</v>
      </c>
    </row>
    <row r="31993" spans="1:3">
      <c r="A31993" s="571" t="s">
        <v>963</v>
      </c>
      <c r="B31993" s="572">
        <v>91</v>
      </c>
      <c r="C31993" s="572">
        <v>800</v>
      </c>
    </row>
    <row r="31994" spans="1:3">
      <c r="A31994" s="571" t="s">
        <v>962</v>
      </c>
      <c r="B31994" s="572">
        <v>0</v>
      </c>
      <c r="C31994" s="572">
        <v>0</v>
      </c>
    </row>
    <row r="31995" spans="1:3">
      <c r="A31995" s="571" t="s">
        <v>962</v>
      </c>
      <c r="B31995" s="572">
        <v>7</v>
      </c>
      <c r="C31995" s="572">
        <v>180</v>
      </c>
    </row>
    <row r="31996" spans="1:3">
      <c r="A31996" s="571" t="s">
        <v>962</v>
      </c>
      <c r="B31996" s="572">
        <v>14</v>
      </c>
      <c r="C31996" s="572">
        <v>300</v>
      </c>
    </row>
    <row r="31997" spans="1:3">
      <c r="A31997" s="571" t="s">
        <v>962</v>
      </c>
      <c r="B31997" s="572">
        <v>21</v>
      </c>
      <c r="C31997" s="572">
        <v>370</v>
      </c>
    </row>
    <row r="31998" spans="1:3">
      <c r="A31998" s="571" t="s">
        <v>962</v>
      </c>
      <c r="B31998" s="572">
        <v>28</v>
      </c>
      <c r="C31998" s="572">
        <v>430</v>
      </c>
    </row>
    <row r="31999" spans="1:3">
      <c r="A31999" s="571" t="s">
        <v>962</v>
      </c>
      <c r="B31999" s="572">
        <v>42</v>
      </c>
      <c r="C31999" s="572">
        <v>490</v>
      </c>
    </row>
    <row r="32000" spans="1:3">
      <c r="A32000" s="571" t="s">
        <v>962</v>
      </c>
      <c r="B32000" s="572">
        <v>56</v>
      </c>
      <c r="C32000" s="572">
        <v>540</v>
      </c>
    </row>
    <row r="32001" spans="1:3">
      <c r="A32001" s="571" t="s">
        <v>962</v>
      </c>
      <c r="B32001" s="572">
        <v>91</v>
      </c>
      <c r="C32001" s="572">
        <v>550</v>
      </c>
    </row>
    <row r="32002" spans="1:3">
      <c r="A32002" s="571" t="s">
        <v>961</v>
      </c>
      <c r="B32002" s="572">
        <v>0</v>
      </c>
      <c r="C32002" s="572">
        <v>0</v>
      </c>
    </row>
    <row r="32003" spans="1:3">
      <c r="A32003" s="571" t="s">
        <v>961</v>
      </c>
      <c r="B32003" s="572">
        <v>7</v>
      </c>
      <c r="C32003" s="572">
        <v>350</v>
      </c>
    </row>
    <row r="32004" spans="1:3">
      <c r="A32004" s="571" t="s">
        <v>961</v>
      </c>
      <c r="B32004" s="572">
        <v>14</v>
      </c>
      <c r="C32004" s="572">
        <v>430</v>
      </c>
    </row>
    <row r="32005" spans="1:3">
      <c r="A32005" s="571" t="s">
        <v>961</v>
      </c>
      <c r="B32005" s="572">
        <v>21</v>
      </c>
      <c r="C32005" s="572">
        <v>450</v>
      </c>
    </row>
    <row r="32006" spans="1:3">
      <c r="A32006" s="571" t="s">
        <v>961</v>
      </c>
      <c r="B32006" s="572">
        <v>28</v>
      </c>
      <c r="C32006" s="572">
        <v>530</v>
      </c>
    </row>
    <row r="32007" spans="1:3">
      <c r="A32007" s="571" t="s">
        <v>961</v>
      </c>
      <c r="B32007" s="572">
        <v>42</v>
      </c>
      <c r="C32007" s="572">
        <v>600</v>
      </c>
    </row>
    <row r="32008" spans="1:3">
      <c r="A32008" s="571" t="s">
        <v>961</v>
      </c>
      <c r="B32008" s="572">
        <v>56</v>
      </c>
      <c r="C32008" s="572">
        <v>670</v>
      </c>
    </row>
    <row r="32009" spans="1:3">
      <c r="A32009" s="571" t="s">
        <v>961</v>
      </c>
      <c r="B32009" s="572">
        <v>91</v>
      </c>
      <c r="C32009" s="572">
        <v>680</v>
      </c>
    </row>
    <row r="32010" spans="1:3">
      <c r="A32010" s="571" t="s">
        <v>960</v>
      </c>
      <c r="B32010" s="572">
        <v>0</v>
      </c>
      <c r="C32010" s="572">
        <v>0</v>
      </c>
    </row>
    <row r="32011" spans="1:3">
      <c r="A32011" s="571" t="s">
        <v>960</v>
      </c>
      <c r="B32011" s="572">
        <v>7</v>
      </c>
      <c r="C32011" s="572">
        <v>200</v>
      </c>
    </row>
    <row r="32012" spans="1:3">
      <c r="A32012" s="571" t="s">
        <v>960</v>
      </c>
      <c r="B32012" s="572">
        <v>14</v>
      </c>
      <c r="C32012" s="572">
        <v>340</v>
      </c>
    </row>
    <row r="32013" spans="1:3">
      <c r="A32013" s="571" t="s">
        <v>960</v>
      </c>
      <c r="B32013" s="572">
        <v>21</v>
      </c>
      <c r="C32013" s="572">
        <v>370</v>
      </c>
    </row>
    <row r="32014" spans="1:3">
      <c r="A32014" s="571" t="s">
        <v>960</v>
      </c>
      <c r="B32014" s="572">
        <v>28</v>
      </c>
      <c r="C32014" s="572">
        <v>420</v>
      </c>
    </row>
    <row r="32015" spans="1:3">
      <c r="A32015" s="571" t="s">
        <v>960</v>
      </c>
      <c r="B32015" s="572">
        <v>42</v>
      </c>
      <c r="C32015" s="572">
        <v>470</v>
      </c>
    </row>
    <row r="32016" spans="1:3">
      <c r="A32016" s="571" t="s">
        <v>960</v>
      </c>
      <c r="B32016" s="572">
        <v>56</v>
      </c>
      <c r="C32016" s="572">
        <v>500</v>
      </c>
    </row>
    <row r="32017" spans="1:3">
      <c r="A32017" s="571" t="s">
        <v>960</v>
      </c>
      <c r="B32017" s="572">
        <v>91</v>
      </c>
      <c r="C32017" s="572">
        <v>550</v>
      </c>
    </row>
    <row r="32018" spans="1:3">
      <c r="A32018" s="571" t="s">
        <v>959</v>
      </c>
      <c r="B32018" s="572">
        <v>0</v>
      </c>
      <c r="C32018" s="572">
        <v>0</v>
      </c>
    </row>
    <row r="32019" spans="1:3">
      <c r="A32019" s="571" t="s">
        <v>959</v>
      </c>
      <c r="B32019" s="572">
        <v>7</v>
      </c>
      <c r="C32019" s="572">
        <v>250</v>
      </c>
    </row>
    <row r="32020" spans="1:3">
      <c r="A32020" s="571" t="s">
        <v>959</v>
      </c>
      <c r="B32020" s="572">
        <v>14</v>
      </c>
      <c r="C32020" s="572">
        <v>340</v>
      </c>
    </row>
    <row r="32021" spans="1:3">
      <c r="A32021" s="571" t="s">
        <v>959</v>
      </c>
      <c r="B32021" s="572">
        <v>21</v>
      </c>
      <c r="C32021" s="572">
        <v>430</v>
      </c>
    </row>
    <row r="32022" spans="1:3">
      <c r="A32022" s="571" t="s">
        <v>959</v>
      </c>
      <c r="B32022" s="572">
        <v>28</v>
      </c>
      <c r="C32022" s="572">
        <v>520</v>
      </c>
    </row>
    <row r="32023" spans="1:3">
      <c r="A32023" s="571" t="s">
        <v>959</v>
      </c>
      <c r="B32023" s="572">
        <v>42</v>
      </c>
      <c r="C32023" s="572">
        <v>570</v>
      </c>
    </row>
    <row r="32024" spans="1:3">
      <c r="A32024" s="571" t="s">
        <v>959</v>
      </c>
      <c r="B32024" s="572">
        <v>56</v>
      </c>
      <c r="C32024" s="572">
        <v>600</v>
      </c>
    </row>
    <row r="32025" spans="1:3">
      <c r="A32025" s="571" t="s">
        <v>959</v>
      </c>
      <c r="B32025" s="572">
        <v>91</v>
      </c>
      <c r="C32025" s="572">
        <v>620</v>
      </c>
    </row>
    <row r="32026" spans="1:3">
      <c r="A32026" s="571" t="s">
        <v>958</v>
      </c>
      <c r="B32026" s="572">
        <v>0</v>
      </c>
      <c r="C32026" s="572">
        <v>0</v>
      </c>
    </row>
    <row r="32027" spans="1:3">
      <c r="A32027" s="571" t="s">
        <v>958</v>
      </c>
      <c r="B32027" s="572">
        <v>7</v>
      </c>
      <c r="C32027" s="572">
        <v>310</v>
      </c>
    </row>
    <row r="32028" spans="1:3">
      <c r="A32028" s="571" t="s">
        <v>958</v>
      </c>
      <c r="B32028" s="572">
        <v>14</v>
      </c>
      <c r="C32028" s="572">
        <v>470</v>
      </c>
    </row>
    <row r="32029" spans="1:3">
      <c r="A32029" s="571" t="s">
        <v>958</v>
      </c>
      <c r="B32029" s="572">
        <v>21</v>
      </c>
      <c r="C32029" s="572">
        <v>560</v>
      </c>
    </row>
    <row r="32030" spans="1:3">
      <c r="A32030" s="571" t="s">
        <v>958</v>
      </c>
      <c r="B32030" s="572">
        <v>28</v>
      </c>
      <c r="C32030" s="572">
        <v>580</v>
      </c>
    </row>
    <row r="32031" spans="1:3">
      <c r="A32031" s="571" t="s">
        <v>958</v>
      </c>
      <c r="B32031" s="572">
        <v>56</v>
      </c>
      <c r="C32031" s="572">
        <v>730</v>
      </c>
    </row>
    <row r="32032" spans="1:3">
      <c r="A32032" s="571" t="s">
        <v>958</v>
      </c>
      <c r="B32032" s="572">
        <v>91</v>
      </c>
      <c r="C32032" s="572">
        <v>790</v>
      </c>
    </row>
    <row r="32033" spans="1:3">
      <c r="A32033" s="573" t="s">
        <v>958</v>
      </c>
      <c r="B32033" s="574">
        <v>182</v>
      </c>
      <c r="C32033" s="574">
        <v>820</v>
      </c>
    </row>
    <row r="32034" spans="1:3">
      <c r="A32034" s="571" t="s">
        <v>957</v>
      </c>
      <c r="B32034" s="572">
        <v>0</v>
      </c>
      <c r="C32034" s="572">
        <v>0</v>
      </c>
    </row>
    <row r="32035" spans="1:3">
      <c r="A32035" s="571" t="s">
        <v>957</v>
      </c>
      <c r="B32035" s="572">
        <v>7</v>
      </c>
      <c r="C32035" s="572">
        <v>150</v>
      </c>
    </row>
    <row r="32036" spans="1:3">
      <c r="A32036" s="571" t="s">
        <v>957</v>
      </c>
      <c r="B32036" s="572">
        <v>14</v>
      </c>
      <c r="C32036" s="572">
        <v>330</v>
      </c>
    </row>
    <row r="32037" spans="1:3">
      <c r="A32037" s="571" t="s">
        <v>957</v>
      </c>
      <c r="B32037" s="572">
        <v>21</v>
      </c>
      <c r="C32037" s="572">
        <v>370</v>
      </c>
    </row>
    <row r="32038" spans="1:3">
      <c r="A32038" s="571" t="s">
        <v>957</v>
      </c>
      <c r="B32038" s="572">
        <v>28</v>
      </c>
      <c r="C32038" s="572">
        <v>410</v>
      </c>
    </row>
    <row r="32039" spans="1:3">
      <c r="A32039" s="571" t="s">
        <v>957</v>
      </c>
      <c r="B32039" s="572">
        <v>56</v>
      </c>
      <c r="C32039" s="572">
        <v>510</v>
      </c>
    </row>
    <row r="32040" spans="1:3">
      <c r="A32040" s="571" t="s">
        <v>957</v>
      </c>
      <c r="B32040" s="572">
        <v>91</v>
      </c>
      <c r="C32040" s="572">
        <v>600</v>
      </c>
    </row>
    <row r="32041" spans="1:3">
      <c r="A32041" s="573" t="s">
        <v>957</v>
      </c>
      <c r="B32041" s="574">
        <v>182</v>
      </c>
      <c r="C32041" s="574">
        <v>620</v>
      </c>
    </row>
    <row r="32042" spans="1:3">
      <c r="A32042" s="571" t="s">
        <v>956</v>
      </c>
      <c r="B32042" s="572">
        <v>0</v>
      </c>
      <c r="C32042" s="572">
        <v>0</v>
      </c>
    </row>
    <row r="32043" spans="1:3">
      <c r="A32043" s="571" t="s">
        <v>956</v>
      </c>
      <c r="B32043" s="572">
        <v>7</v>
      </c>
      <c r="C32043" s="572">
        <v>100</v>
      </c>
    </row>
    <row r="32044" spans="1:3">
      <c r="A32044" s="571" t="s">
        <v>956</v>
      </c>
      <c r="B32044" s="572">
        <v>14</v>
      </c>
      <c r="C32044" s="572">
        <v>260</v>
      </c>
    </row>
    <row r="32045" spans="1:3">
      <c r="A32045" s="571" t="s">
        <v>956</v>
      </c>
      <c r="B32045" s="572">
        <v>21</v>
      </c>
      <c r="C32045" s="572">
        <v>310</v>
      </c>
    </row>
    <row r="32046" spans="1:3">
      <c r="A32046" s="571" t="s">
        <v>956</v>
      </c>
      <c r="B32046" s="572">
        <v>28</v>
      </c>
      <c r="C32046" s="572">
        <v>360</v>
      </c>
    </row>
    <row r="32047" spans="1:3">
      <c r="A32047" s="571" t="s">
        <v>956</v>
      </c>
      <c r="B32047" s="572">
        <v>56</v>
      </c>
      <c r="C32047" s="572">
        <v>460</v>
      </c>
    </row>
    <row r="32048" spans="1:3">
      <c r="A32048" s="571" t="s">
        <v>956</v>
      </c>
      <c r="B32048" s="572">
        <v>91</v>
      </c>
      <c r="C32048" s="572">
        <v>510</v>
      </c>
    </row>
    <row r="32049" spans="1:3">
      <c r="A32049" s="573" t="s">
        <v>956</v>
      </c>
      <c r="B32049" s="574">
        <v>182</v>
      </c>
      <c r="C32049" s="574">
        <v>520</v>
      </c>
    </row>
    <row r="32050" spans="1:3">
      <c r="A32050" s="571" t="s">
        <v>955</v>
      </c>
      <c r="B32050" s="572">
        <v>0</v>
      </c>
      <c r="C32050" s="572">
        <v>0</v>
      </c>
    </row>
    <row r="32051" spans="1:3">
      <c r="A32051" s="571" t="s">
        <v>955</v>
      </c>
      <c r="B32051" s="572">
        <v>7</v>
      </c>
      <c r="C32051" s="572">
        <v>230</v>
      </c>
    </row>
    <row r="32052" spans="1:3">
      <c r="A32052" s="571" t="s">
        <v>955</v>
      </c>
      <c r="B32052" s="572">
        <v>14</v>
      </c>
      <c r="C32052" s="572">
        <v>440</v>
      </c>
    </row>
    <row r="32053" spans="1:3">
      <c r="A32053" s="571" t="s">
        <v>955</v>
      </c>
      <c r="B32053" s="572">
        <v>21</v>
      </c>
      <c r="C32053" s="572">
        <v>570</v>
      </c>
    </row>
    <row r="32054" spans="1:3">
      <c r="A32054" s="571" t="s">
        <v>955</v>
      </c>
      <c r="B32054" s="572">
        <v>28</v>
      </c>
      <c r="C32054" s="572">
        <v>680</v>
      </c>
    </row>
    <row r="32055" spans="1:3">
      <c r="A32055" s="571" t="s">
        <v>955</v>
      </c>
      <c r="B32055" s="572">
        <v>56</v>
      </c>
      <c r="C32055" s="572">
        <v>890</v>
      </c>
    </row>
    <row r="32056" spans="1:3">
      <c r="A32056" s="571" t="s">
        <v>955</v>
      </c>
      <c r="B32056" s="572">
        <v>91</v>
      </c>
      <c r="C32056" s="572">
        <v>1010</v>
      </c>
    </row>
    <row r="32057" spans="1:3">
      <c r="A32057" s="573" t="s">
        <v>955</v>
      </c>
      <c r="B32057" s="574">
        <v>182</v>
      </c>
      <c r="C32057" s="574">
        <v>1110</v>
      </c>
    </row>
    <row r="32058" spans="1:3">
      <c r="A32058" s="571" t="s">
        <v>954</v>
      </c>
      <c r="B32058" s="572">
        <v>0</v>
      </c>
      <c r="C32058" s="572">
        <v>0</v>
      </c>
    </row>
    <row r="32059" spans="1:3">
      <c r="A32059" s="571" t="s">
        <v>954</v>
      </c>
      <c r="B32059" s="572">
        <v>7</v>
      </c>
      <c r="C32059" s="572">
        <v>170</v>
      </c>
    </row>
    <row r="32060" spans="1:3">
      <c r="A32060" s="571" t="s">
        <v>954</v>
      </c>
      <c r="B32060" s="572">
        <v>14</v>
      </c>
      <c r="C32060" s="572">
        <v>360</v>
      </c>
    </row>
    <row r="32061" spans="1:3">
      <c r="A32061" s="571" t="s">
        <v>954</v>
      </c>
      <c r="B32061" s="572">
        <v>21</v>
      </c>
      <c r="C32061" s="572">
        <v>490</v>
      </c>
    </row>
    <row r="32062" spans="1:3">
      <c r="A32062" s="571" t="s">
        <v>954</v>
      </c>
      <c r="B32062" s="572">
        <v>28</v>
      </c>
      <c r="C32062" s="572">
        <v>530</v>
      </c>
    </row>
    <row r="32063" spans="1:3">
      <c r="A32063" s="571" t="s">
        <v>954</v>
      </c>
      <c r="B32063" s="572">
        <v>56</v>
      </c>
      <c r="C32063" s="572">
        <v>680</v>
      </c>
    </row>
    <row r="32064" spans="1:3">
      <c r="A32064" s="571" t="s">
        <v>954</v>
      </c>
      <c r="B32064" s="572">
        <v>91</v>
      </c>
      <c r="C32064" s="572">
        <v>790</v>
      </c>
    </row>
    <row r="32065" spans="1:3">
      <c r="A32065" s="573" t="s">
        <v>954</v>
      </c>
      <c r="B32065" s="574">
        <v>182</v>
      </c>
      <c r="C32065" s="574">
        <v>800</v>
      </c>
    </row>
    <row r="32066" spans="1:3">
      <c r="A32066" s="571" t="s">
        <v>953</v>
      </c>
      <c r="B32066" s="572">
        <v>0</v>
      </c>
      <c r="C32066" s="572">
        <v>0</v>
      </c>
    </row>
    <row r="32067" spans="1:3">
      <c r="A32067" s="571" t="s">
        <v>953</v>
      </c>
      <c r="B32067" s="572">
        <v>7</v>
      </c>
      <c r="C32067" s="572">
        <v>180</v>
      </c>
    </row>
    <row r="32068" spans="1:3">
      <c r="A32068" s="571" t="s">
        <v>953</v>
      </c>
      <c r="B32068" s="572">
        <v>14</v>
      </c>
      <c r="C32068" s="572">
        <v>330</v>
      </c>
    </row>
    <row r="32069" spans="1:3">
      <c r="A32069" s="571" t="s">
        <v>953</v>
      </c>
      <c r="B32069" s="572">
        <v>21</v>
      </c>
      <c r="C32069" s="572">
        <v>460</v>
      </c>
    </row>
    <row r="32070" spans="1:3">
      <c r="A32070" s="571" t="s">
        <v>953</v>
      </c>
      <c r="B32070" s="572">
        <v>28</v>
      </c>
      <c r="C32070" s="572">
        <v>510</v>
      </c>
    </row>
    <row r="32071" spans="1:3">
      <c r="A32071" s="571" t="s">
        <v>953</v>
      </c>
      <c r="B32071" s="572">
        <v>56</v>
      </c>
      <c r="C32071" s="572">
        <v>630</v>
      </c>
    </row>
    <row r="32072" spans="1:3">
      <c r="A32072" s="571" t="s">
        <v>953</v>
      </c>
      <c r="B32072" s="572">
        <v>91</v>
      </c>
      <c r="C32072" s="572">
        <v>730</v>
      </c>
    </row>
    <row r="32073" spans="1:3">
      <c r="A32073" s="573" t="s">
        <v>953</v>
      </c>
      <c r="B32073" s="574">
        <v>182</v>
      </c>
      <c r="C32073" s="574">
        <v>760</v>
      </c>
    </row>
    <row r="32074" spans="1:3">
      <c r="A32074" s="571" t="s">
        <v>952</v>
      </c>
      <c r="B32074" s="572">
        <v>0</v>
      </c>
      <c r="C32074" s="572">
        <v>0</v>
      </c>
    </row>
    <row r="32075" spans="1:3">
      <c r="A32075" s="571" t="s">
        <v>952</v>
      </c>
      <c r="B32075" s="572">
        <v>7</v>
      </c>
      <c r="C32075" s="572">
        <v>220</v>
      </c>
    </row>
    <row r="32076" spans="1:3">
      <c r="A32076" s="571" t="s">
        <v>952</v>
      </c>
      <c r="B32076" s="572">
        <v>21</v>
      </c>
      <c r="C32076" s="572">
        <v>430</v>
      </c>
    </row>
    <row r="32077" spans="1:3">
      <c r="A32077" s="571" t="s">
        <v>952</v>
      </c>
      <c r="B32077" s="572">
        <v>35</v>
      </c>
      <c r="C32077" s="572">
        <v>530</v>
      </c>
    </row>
    <row r="32078" spans="1:3">
      <c r="A32078" s="571" t="s">
        <v>952</v>
      </c>
      <c r="B32078" s="572">
        <v>49</v>
      </c>
      <c r="C32078" s="572">
        <v>580</v>
      </c>
    </row>
    <row r="32079" spans="1:3">
      <c r="A32079" s="571" t="s">
        <v>952</v>
      </c>
      <c r="B32079" s="572">
        <v>84</v>
      </c>
      <c r="C32079" s="572">
        <v>680</v>
      </c>
    </row>
    <row r="32080" spans="1:3">
      <c r="A32080" s="571" t="s">
        <v>951</v>
      </c>
      <c r="B32080" s="572">
        <v>0</v>
      </c>
      <c r="C32080" s="572">
        <v>0</v>
      </c>
    </row>
    <row r="32081" spans="1:3">
      <c r="A32081" s="571" t="s">
        <v>951</v>
      </c>
      <c r="B32081" s="572">
        <v>7</v>
      </c>
      <c r="C32081" s="572">
        <v>210</v>
      </c>
    </row>
    <row r="32082" spans="1:3">
      <c r="A32082" s="571" t="s">
        <v>951</v>
      </c>
      <c r="B32082" s="572">
        <v>21</v>
      </c>
      <c r="C32082" s="572">
        <v>350</v>
      </c>
    </row>
    <row r="32083" spans="1:3">
      <c r="A32083" s="571" t="s">
        <v>951</v>
      </c>
      <c r="B32083" s="572">
        <v>35</v>
      </c>
      <c r="C32083" s="572">
        <v>470</v>
      </c>
    </row>
    <row r="32084" spans="1:3">
      <c r="A32084" s="571" t="s">
        <v>951</v>
      </c>
      <c r="B32084" s="572">
        <v>49</v>
      </c>
      <c r="C32084" s="572">
        <v>500</v>
      </c>
    </row>
    <row r="32085" spans="1:3">
      <c r="A32085" s="571" t="s">
        <v>951</v>
      </c>
      <c r="B32085" s="572">
        <v>84</v>
      </c>
      <c r="C32085" s="572">
        <v>600</v>
      </c>
    </row>
    <row r="32086" spans="1:3">
      <c r="A32086" s="571" t="s">
        <v>950</v>
      </c>
      <c r="B32086" s="572">
        <v>0</v>
      </c>
      <c r="C32086" s="572">
        <v>0</v>
      </c>
    </row>
    <row r="32087" spans="1:3">
      <c r="A32087" s="571" t="s">
        <v>950</v>
      </c>
      <c r="B32087" s="572">
        <v>7</v>
      </c>
      <c r="C32087" s="572">
        <v>50</v>
      </c>
    </row>
    <row r="32088" spans="1:3">
      <c r="A32088" s="571" t="s">
        <v>950</v>
      </c>
      <c r="B32088" s="572">
        <v>21</v>
      </c>
      <c r="C32088" s="572">
        <v>130</v>
      </c>
    </row>
    <row r="32089" spans="1:3">
      <c r="A32089" s="571" t="s">
        <v>950</v>
      </c>
      <c r="B32089" s="572">
        <v>35</v>
      </c>
      <c r="C32089" s="572">
        <v>210</v>
      </c>
    </row>
    <row r="32090" spans="1:3">
      <c r="A32090" s="571" t="s">
        <v>950</v>
      </c>
      <c r="B32090" s="572">
        <v>49</v>
      </c>
      <c r="C32090" s="572">
        <v>240</v>
      </c>
    </row>
    <row r="32091" spans="1:3">
      <c r="A32091" s="571" t="s">
        <v>950</v>
      </c>
      <c r="B32091" s="572">
        <v>84</v>
      </c>
      <c r="C32091" s="572">
        <v>450</v>
      </c>
    </row>
    <row r="32092" spans="1:3">
      <c r="A32092" s="571" t="s">
        <v>949</v>
      </c>
      <c r="B32092" s="572">
        <v>0</v>
      </c>
      <c r="C32092" s="572">
        <v>0</v>
      </c>
    </row>
    <row r="32093" spans="1:3">
      <c r="A32093" s="571" t="s">
        <v>949</v>
      </c>
      <c r="B32093" s="572">
        <v>7</v>
      </c>
      <c r="C32093" s="572">
        <v>50</v>
      </c>
    </row>
    <row r="32094" spans="1:3">
      <c r="A32094" s="571" t="s">
        <v>949</v>
      </c>
      <c r="B32094" s="572">
        <v>21</v>
      </c>
      <c r="C32094" s="572">
        <v>150</v>
      </c>
    </row>
    <row r="32095" spans="1:3">
      <c r="A32095" s="571" t="s">
        <v>949</v>
      </c>
      <c r="B32095" s="572">
        <v>35</v>
      </c>
      <c r="C32095" s="572">
        <v>270</v>
      </c>
    </row>
    <row r="32096" spans="1:3">
      <c r="A32096" s="571" t="s">
        <v>949</v>
      </c>
      <c r="B32096" s="572">
        <v>49</v>
      </c>
      <c r="C32096" s="572">
        <v>320</v>
      </c>
    </row>
    <row r="32097" spans="1:3">
      <c r="A32097" s="571" t="s">
        <v>949</v>
      </c>
      <c r="B32097" s="572">
        <v>84</v>
      </c>
      <c r="C32097" s="572">
        <v>480</v>
      </c>
    </row>
    <row r="32098" spans="1:3">
      <c r="A32098" s="571" t="s">
        <v>948</v>
      </c>
      <c r="B32098" s="572">
        <v>0</v>
      </c>
      <c r="C32098" s="572">
        <v>0</v>
      </c>
    </row>
    <row r="32099" spans="1:3">
      <c r="A32099" s="571" t="s">
        <v>948</v>
      </c>
      <c r="B32099" s="572">
        <v>1</v>
      </c>
      <c r="C32099" s="572">
        <v>0</v>
      </c>
    </row>
    <row r="32100" spans="1:3">
      <c r="A32100" s="571" t="s">
        <v>948</v>
      </c>
      <c r="B32100" s="572">
        <v>2</v>
      </c>
      <c r="C32100" s="572">
        <v>70</v>
      </c>
    </row>
    <row r="32101" spans="1:3">
      <c r="A32101" s="571" t="s">
        <v>948</v>
      </c>
      <c r="B32101" s="572">
        <v>3</v>
      </c>
      <c r="C32101" s="572">
        <v>100</v>
      </c>
    </row>
    <row r="32102" spans="1:3">
      <c r="A32102" s="571" t="s">
        <v>948</v>
      </c>
      <c r="B32102" s="572">
        <v>4</v>
      </c>
      <c r="C32102" s="572">
        <v>130</v>
      </c>
    </row>
    <row r="32103" spans="1:3">
      <c r="A32103" s="571" t="s">
        <v>948</v>
      </c>
      <c r="B32103" s="572">
        <v>5</v>
      </c>
      <c r="C32103" s="572">
        <v>170</v>
      </c>
    </row>
    <row r="32104" spans="1:3">
      <c r="A32104" s="571" t="s">
        <v>948</v>
      </c>
      <c r="B32104" s="572">
        <v>6</v>
      </c>
      <c r="C32104" s="572">
        <v>190</v>
      </c>
    </row>
    <row r="32105" spans="1:3">
      <c r="A32105" s="571" t="s">
        <v>948</v>
      </c>
      <c r="B32105" s="572">
        <v>7</v>
      </c>
      <c r="C32105" s="572">
        <v>200</v>
      </c>
    </row>
    <row r="32106" spans="1:3">
      <c r="A32106" s="571" t="s">
        <v>948</v>
      </c>
      <c r="B32106" s="572">
        <v>8</v>
      </c>
      <c r="C32106" s="572">
        <v>205</v>
      </c>
    </row>
    <row r="32107" spans="1:3">
      <c r="A32107" s="571" t="s">
        <v>948</v>
      </c>
      <c r="B32107" s="572">
        <v>9</v>
      </c>
      <c r="C32107" s="572">
        <v>210</v>
      </c>
    </row>
    <row r="32108" spans="1:3">
      <c r="A32108" s="571" t="s">
        <v>948</v>
      </c>
      <c r="B32108" s="572">
        <v>10</v>
      </c>
      <c r="C32108" s="572">
        <v>220</v>
      </c>
    </row>
    <row r="32109" spans="1:3">
      <c r="A32109" s="571" t="s">
        <v>948</v>
      </c>
      <c r="B32109" s="572">
        <v>13</v>
      </c>
      <c r="C32109" s="572">
        <v>250</v>
      </c>
    </row>
    <row r="32110" spans="1:3">
      <c r="A32110" s="571" t="s">
        <v>948</v>
      </c>
      <c r="B32110" s="572">
        <v>23</v>
      </c>
      <c r="C32110" s="572">
        <v>300</v>
      </c>
    </row>
    <row r="32111" spans="1:3">
      <c r="A32111" s="571" t="s">
        <v>948</v>
      </c>
      <c r="B32111" s="572">
        <v>30</v>
      </c>
      <c r="C32111" s="572">
        <v>325</v>
      </c>
    </row>
    <row r="32112" spans="1:3">
      <c r="A32112" s="571" t="s">
        <v>948</v>
      </c>
      <c r="B32112" s="572">
        <v>41</v>
      </c>
      <c r="C32112" s="572">
        <v>350</v>
      </c>
    </row>
    <row r="32113" spans="1:3">
      <c r="A32113" s="571" t="s">
        <v>948</v>
      </c>
      <c r="B32113" s="572">
        <v>48</v>
      </c>
      <c r="C32113" s="572">
        <v>375</v>
      </c>
    </row>
    <row r="32114" spans="1:3">
      <c r="A32114" s="571" t="s">
        <v>947</v>
      </c>
      <c r="B32114" s="572">
        <v>0</v>
      </c>
      <c r="C32114" s="572">
        <v>0</v>
      </c>
    </row>
    <row r="32115" spans="1:3">
      <c r="A32115" s="571" t="s">
        <v>947</v>
      </c>
      <c r="B32115" s="572">
        <v>1</v>
      </c>
      <c r="C32115" s="572">
        <v>0</v>
      </c>
    </row>
    <row r="32116" spans="1:3">
      <c r="A32116" s="571" t="s">
        <v>947</v>
      </c>
      <c r="B32116" s="572">
        <v>2</v>
      </c>
      <c r="C32116" s="572">
        <v>80</v>
      </c>
    </row>
    <row r="32117" spans="1:3">
      <c r="A32117" s="571" t="s">
        <v>947</v>
      </c>
      <c r="B32117" s="572">
        <v>3</v>
      </c>
      <c r="C32117" s="572">
        <v>140</v>
      </c>
    </row>
    <row r="32118" spans="1:3">
      <c r="A32118" s="571" t="s">
        <v>947</v>
      </c>
      <c r="B32118" s="572">
        <v>4</v>
      </c>
      <c r="C32118" s="572">
        <v>190</v>
      </c>
    </row>
    <row r="32119" spans="1:3">
      <c r="A32119" s="571" t="s">
        <v>947</v>
      </c>
      <c r="B32119" s="572">
        <v>5</v>
      </c>
      <c r="C32119" s="572">
        <v>230</v>
      </c>
    </row>
    <row r="32120" spans="1:3">
      <c r="A32120" s="571" t="s">
        <v>947</v>
      </c>
      <c r="B32120" s="572">
        <v>6</v>
      </c>
      <c r="C32120" s="572">
        <v>260</v>
      </c>
    </row>
    <row r="32121" spans="1:3">
      <c r="A32121" s="571" t="s">
        <v>947</v>
      </c>
      <c r="B32121" s="572">
        <v>7</v>
      </c>
      <c r="C32121" s="572">
        <v>280</v>
      </c>
    </row>
    <row r="32122" spans="1:3">
      <c r="A32122" s="571" t="s">
        <v>947</v>
      </c>
      <c r="B32122" s="572">
        <v>8</v>
      </c>
      <c r="C32122" s="572">
        <v>290</v>
      </c>
    </row>
    <row r="32123" spans="1:3">
      <c r="A32123" s="571" t="s">
        <v>947</v>
      </c>
      <c r="B32123" s="572">
        <v>9</v>
      </c>
      <c r="C32123" s="572">
        <v>310</v>
      </c>
    </row>
    <row r="32124" spans="1:3">
      <c r="A32124" s="571" t="s">
        <v>947</v>
      </c>
      <c r="B32124" s="572">
        <v>10</v>
      </c>
      <c r="C32124" s="572">
        <v>330</v>
      </c>
    </row>
    <row r="32125" spans="1:3">
      <c r="A32125" s="571" t="s">
        <v>947</v>
      </c>
      <c r="B32125" s="572">
        <v>13</v>
      </c>
      <c r="C32125" s="572">
        <v>360</v>
      </c>
    </row>
    <row r="32126" spans="1:3">
      <c r="A32126" s="571" t="s">
        <v>947</v>
      </c>
      <c r="B32126" s="572">
        <v>23</v>
      </c>
      <c r="C32126" s="572">
        <v>450</v>
      </c>
    </row>
    <row r="32127" spans="1:3">
      <c r="A32127" s="571" t="s">
        <v>947</v>
      </c>
      <c r="B32127" s="572">
        <v>30</v>
      </c>
      <c r="C32127" s="572">
        <v>480</v>
      </c>
    </row>
    <row r="32128" spans="1:3">
      <c r="A32128" s="571" t="s">
        <v>947</v>
      </c>
      <c r="B32128" s="572">
        <v>41</v>
      </c>
      <c r="C32128" s="572">
        <v>510</v>
      </c>
    </row>
    <row r="32129" spans="1:3">
      <c r="A32129" s="571" t="s">
        <v>947</v>
      </c>
      <c r="B32129" s="572">
        <v>48</v>
      </c>
      <c r="C32129" s="572">
        <v>530</v>
      </c>
    </row>
    <row r="32130" spans="1:3">
      <c r="A32130" s="571" t="s">
        <v>946</v>
      </c>
      <c r="B32130" s="572">
        <v>0</v>
      </c>
      <c r="C32130" s="572">
        <v>0</v>
      </c>
    </row>
    <row r="32131" spans="1:3">
      <c r="A32131" s="571" t="s">
        <v>946</v>
      </c>
      <c r="B32131" s="572">
        <v>1</v>
      </c>
      <c r="C32131" s="572">
        <v>0</v>
      </c>
    </row>
    <row r="32132" spans="1:3">
      <c r="A32132" s="571" t="s">
        <v>946</v>
      </c>
      <c r="B32132" s="572">
        <v>2</v>
      </c>
      <c r="C32132" s="572">
        <v>70</v>
      </c>
    </row>
    <row r="32133" spans="1:3">
      <c r="A32133" s="571" t="s">
        <v>946</v>
      </c>
      <c r="B32133" s="572">
        <v>3</v>
      </c>
      <c r="C32133" s="572">
        <v>150</v>
      </c>
    </row>
    <row r="32134" spans="1:3">
      <c r="A32134" s="571" t="s">
        <v>946</v>
      </c>
      <c r="B32134" s="572">
        <v>4</v>
      </c>
      <c r="C32134" s="572">
        <v>200</v>
      </c>
    </row>
    <row r="32135" spans="1:3">
      <c r="A32135" s="571" t="s">
        <v>946</v>
      </c>
      <c r="B32135" s="572">
        <v>5</v>
      </c>
      <c r="C32135" s="572">
        <v>230</v>
      </c>
    </row>
    <row r="32136" spans="1:3">
      <c r="A32136" s="571" t="s">
        <v>946</v>
      </c>
      <c r="B32136" s="572">
        <v>6</v>
      </c>
      <c r="C32136" s="572">
        <v>250</v>
      </c>
    </row>
    <row r="32137" spans="1:3">
      <c r="A32137" s="571" t="s">
        <v>946</v>
      </c>
      <c r="B32137" s="572">
        <v>7</v>
      </c>
      <c r="C32137" s="572">
        <v>290</v>
      </c>
    </row>
    <row r="32138" spans="1:3">
      <c r="A32138" s="571" t="s">
        <v>946</v>
      </c>
      <c r="B32138" s="572">
        <v>8</v>
      </c>
      <c r="C32138" s="572">
        <v>300</v>
      </c>
    </row>
    <row r="32139" spans="1:3">
      <c r="A32139" s="571" t="s">
        <v>946</v>
      </c>
      <c r="B32139" s="572">
        <v>9</v>
      </c>
      <c r="C32139" s="572">
        <v>320</v>
      </c>
    </row>
    <row r="32140" spans="1:3">
      <c r="A32140" s="571" t="s">
        <v>946</v>
      </c>
      <c r="B32140" s="572">
        <v>10</v>
      </c>
      <c r="C32140" s="572">
        <v>350</v>
      </c>
    </row>
    <row r="32141" spans="1:3">
      <c r="A32141" s="571" t="s">
        <v>946</v>
      </c>
      <c r="B32141" s="572">
        <v>13</v>
      </c>
      <c r="C32141" s="572">
        <v>280</v>
      </c>
    </row>
    <row r="32142" spans="1:3">
      <c r="A32142" s="571" t="s">
        <v>946</v>
      </c>
      <c r="B32142" s="572">
        <v>20</v>
      </c>
      <c r="C32142" s="572">
        <v>460</v>
      </c>
    </row>
    <row r="32143" spans="1:3">
      <c r="A32143" s="571" t="s">
        <v>946</v>
      </c>
      <c r="B32143" s="572">
        <v>30</v>
      </c>
      <c r="C32143" s="572">
        <v>520</v>
      </c>
    </row>
    <row r="32144" spans="1:3">
      <c r="A32144" s="571" t="s">
        <v>946</v>
      </c>
      <c r="B32144" s="572">
        <v>42</v>
      </c>
      <c r="C32144" s="572">
        <v>560</v>
      </c>
    </row>
    <row r="32145" spans="1:3">
      <c r="A32145" s="571" t="s">
        <v>944</v>
      </c>
      <c r="B32145" s="572">
        <v>0</v>
      </c>
      <c r="C32145" s="572">
        <v>0</v>
      </c>
    </row>
    <row r="32146" spans="1:3">
      <c r="A32146" s="571" t="s">
        <v>944</v>
      </c>
      <c r="B32146" s="572">
        <v>7</v>
      </c>
      <c r="C32146" s="572">
        <v>127</v>
      </c>
    </row>
    <row r="32147" spans="1:3">
      <c r="A32147" s="571" t="s">
        <v>944</v>
      </c>
      <c r="B32147" s="572">
        <v>14</v>
      </c>
      <c r="C32147" s="572">
        <v>202</v>
      </c>
    </row>
    <row r="32148" spans="1:3">
      <c r="A32148" s="571" t="s">
        <v>944</v>
      </c>
      <c r="B32148" s="572">
        <v>21</v>
      </c>
      <c r="C32148" s="572">
        <v>259</v>
      </c>
    </row>
    <row r="32149" spans="1:3">
      <c r="A32149" s="571" t="s">
        <v>944</v>
      </c>
      <c r="B32149" s="572">
        <v>28</v>
      </c>
      <c r="C32149" s="572">
        <v>309</v>
      </c>
    </row>
    <row r="32150" spans="1:3">
      <c r="A32150" s="571" t="s">
        <v>944</v>
      </c>
      <c r="B32150" s="572">
        <v>56</v>
      </c>
      <c r="C32150" s="572">
        <v>425</v>
      </c>
    </row>
    <row r="32151" spans="1:3">
      <c r="A32151" s="571" t="s">
        <v>944</v>
      </c>
      <c r="B32151" s="572">
        <v>91</v>
      </c>
      <c r="C32151" s="572">
        <v>496</v>
      </c>
    </row>
    <row r="32152" spans="1:3">
      <c r="A32152" s="571" t="s">
        <v>943</v>
      </c>
      <c r="B32152" s="572">
        <v>0</v>
      </c>
      <c r="C32152" s="572">
        <v>0</v>
      </c>
    </row>
    <row r="32153" spans="1:3">
      <c r="A32153" s="571" t="s">
        <v>943</v>
      </c>
      <c r="B32153" s="572">
        <v>7</v>
      </c>
      <c r="C32153" s="572">
        <v>125</v>
      </c>
    </row>
    <row r="32154" spans="1:3">
      <c r="A32154" s="571" t="s">
        <v>943</v>
      </c>
      <c r="B32154" s="572">
        <v>14</v>
      </c>
      <c r="C32154" s="572">
        <v>210</v>
      </c>
    </row>
    <row r="32155" spans="1:3">
      <c r="A32155" s="571" t="s">
        <v>943</v>
      </c>
      <c r="B32155" s="572">
        <v>21</v>
      </c>
      <c r="C32155" s="572">
        <v>264</v>
      </c>
    </row>
    <row r="32156" spans="1:3">
      <c r="A32156" s="571" t="s">
        <v>943</v>
      </c>
      <c r="B32156" s="572">
        <v>28</v>
      </c>
      <c r="C32156" s="572">
        <v>312</v>
      </c>
    </row>
    <row r="32157" spans="1:3">
      <c r="A32157" s="571" t="s">
        <v>943</v>
      </c>
      <c r="B32157" s="572">
        <v>56</v>
      </c>
      <c r="C32157" s="572">
        <v>428</v>
      </c>
    </row>
    <row r="32158" spans="1:3">
      <c r="A32158" s="571" t="s">
        <v>943</v>
      </c>
      <c r="B32158" s="572">
        <v>91</v>
      </c>
      <c r="C32158" s="572">
        <v>481</v>
      </c>
    </row>
    <row r="32159" spans="1:3">
      <c r="A32159" s="571" t="s">
        <v>942</v>
      </c>
      <c r="B32159" s="572">
        <v>0</v>
      </c>
      <c r="C32159" s="572">
        <v>0</v>
      </c>
    </row>
    <row r="32160" spans="1:3">
      <c r="A32160" s="571" t="s">
        <v>942</v>
      </c>
      <c r="B32160" s="572">
        <v>7</v>
      </c>
      <c r="C32160" s="572">
        <v>72</v>
      </c>
    </row>
    <row r="32161" spans="1:3">
      <c r="A32161" s="571" t="s">
        <v>942</v>
      </c>
      <c r="B32161" s="572">
        <v>14</v>
      </c>
      <c r="C32161" s="572">
        <v>110</v>
      </c>
    </row>
    <row r="32162" spans="1:3">
      <c r="A32162" s="571" t="s">
        <v>942</v>
      </c>
      <c r="B32162" s="572">
        <v>21</v>
      </c>
      <c r="C32162" s="572">
        <v>145</v>
      </c>
    </row>
    <row r="32163" spans="1:3">
      <c r="A32163" s="571" t="s">
        <v>942</v>
      </c>
      <c r="B32163" s="572">
        <v>28</v>
      </c>
      <c r="C32163" s="572">
        <v>172</v>
      </c>
    </row>
    <row r="32164" spans="1:3">
      <c r="A32164" s="571" t="s">
        <v>942</v>
      </c>
      <c r="B32164" s="572">
        <v>56</v>
      </c>
      <c r="C32164" s="572">
        <v>250</v>
      </c>
    </row>
    <row r="32165" spans="1:3">
      <c r="A32165" s="571" t="s">
        <v>942</v>
      </c>
      <c r="B32165" s="572">
        <v>91</v>
      </c>
      <c r="C32165" s="572">
        <v>313</v>
      </c>
    </row>
    <row r="32166" spans="1:3">
      <c r="A32166" s="571" t="s">
        <v>941</v>
      </c>
      <c r="B32166" s="572">
        <v>0</v>
      </c>
      <c r="C32166" s="572">
        <v>0</v>
      </c>
    </row>
    <row r="32167" spans="1:3">
      <c r="A32167" s="571" t="s">
        <v>941</v>
      </c>
      <c r="B32167" s="572">
        <v>7</v>
      </c>
      <c r="C32167" s="572">
        <v>62</v>
      </c>
    </row>
    <row r="32168" spans="1:3">
      <c r="A32168" s="571" t="s">
        <v>941</v>
      </c>
      <c r="B32168" s="572">
        <v>14</v>
      </c>
      <c r="C32168" s="572">
        <v>100</v>
      </c>
    </row>
    <row r="32169" spans="1:3">
      <c r="A32169" s="571" t="s">
        <v>941</v>
      </c>
      <c r="B32169" s="572">
        <v>21</v>
      </c>
      <c r="C32169" s="572">
        <v>127</v>
      </c>
    </row>
    <row r="32170" spans="1:3">
      <c r="A32170" s="571" t="s">
        <v>941</v>
      </c>
      <c r="B32170" s="572">
        <v>28</v>
      </c>
      <c r="C32170" s="572">
        <v>150</v>
      </c>
    </row>
    <row r="32171" spans="1:3">
      <c r="A32171" s="571" t="s">
        <v>941</v>
      </c>
      <c r="B32171" s="572">
        <v>56</v>
      </c>
      <c r="C32171" s="572">
        <v>223</v>
      </c>
    </row>
    <row r="32172" spans="1:3">
      <c r="A32172" s="571" t="s">
        <v>941</v>
      </c>
      <c r="B32172" s="572">
        <v>91</v>
      </c>
      <c r="C32172" s="572">
        <v>291</v>
      </c>
    </row>
    <row r="32173" spans="1:3">
      <c r="A32173" s="571" t="s">
        <v>940</v>
      </c>
      <c r="B32173" s="572">
        <v>0</v>
      </c>
      <c r="C32173" s="572">
        <v>0</v>
      </c>
    </row>
    <row r="32174" spans="1:3">
      <c r="A32174" s="571" t="s">
        <v>940</v>
      </c>
      <c r="B32174" s="572">
        <v>7</v>
      </c>
      <c r="C32174" s="572">
        <v>57</v>
      </c>
    </row>
    <row r="32175" spans="1:3">
      <c r="A32175" s="571" t="s">
        <v>940</v>
      </c>
      <c r="B32175" s="572">
        <v>14</v>
      </c>
      <c r="C32175" s="572">
        <v>87</v>
      </c>
    </row>
    <row r="32176" spans="1:3">
      <c r="A32176" s="571" t="s">
        <v>940</v>
      </c>
      <c r="B32176" s="572">
        <v>21</v>
      </c>
      <c r="C32176" s="572">
        <v>107</v>
      </c>
    </row>
    <row r="32177" spans="1:3">
      <c r="A32177" s="571" t="s">
        <v>940</v>
      </c>
      <c r="B32177" s="572">
        <v>28</v>
      </c>
      <c r="C32177" s="572">
        <v>122</v>
      </c>
    </row>
    <row r="32178" spans="1:3">
      <c r="A32178" s="571" t="s">
        <v>940</v>
      </c>
      <c r="B32178" s="572">
        <v>56</v>
      </c>
      <c r="C32178" s="572">
        <v>183</v>
      </c>
    </row>
    <row r="32179" spans="1:3">
      <c r="A32179" s="571" t="s">
        <v>940</v>
      </c>
      <c r="B32179" s="572">
        <v>91</v>
      </c>
      <c r="C32179" s="572">
        <v>244</v>
      </c>
    </row>
    <row r="32180" spans="1:3">
      <c r="A32180" s="571" t="s">
        <v>939</v>
      </c>
      <c r="B32180" s="572">
        <v>0</v>
      </c>
      <c r="C32180" s="572">
        <v>0</v>
      </c>
    </row>
    <row r="32181" spans="1:3">
      <c r="A32181" s="571" t="s">
        <v>939</v>
      </c>
      <c r="B32181" s="572">
        <v>7</v>
      </c>
      <c r="C32181" s="572">
        <v>70</v>
      </c>
    </row>
    <row r="32182" spans="1:3">
      <c r="A32182" s="571" t="s">
        <v>939</v>
      </c>
      <c r="B32182" s="572">
        <v>14</v>
      </c>
      <c r="C32182" s="572">
        <v>114</v>
      </c>
    </row>
    <row r="32183" spans="1:3">
      <c r="A32183" s="571" t="s">
        <v>939</v>
      </c>
      <c r="B32183" s="572">
        <v>21</v>
      </c>
      <c r="C32183" s="572">
        <v>142</v>
      </c>
    </row>
    <row r="32184" spans="1:3">
      <c r="A32184" s="571" t="s">
        <v>939</v>
      </c>
      <c r="B32184" s="572">
        <v>28</v>
      </c>
      <c r="C32184" s="572">
        <v>170</v>
      </c>
    </row>
    <row r="32185" spans="1:3">
      <c r="A32185" s="571" t="s">
        <v>939</v>
      </c>
      <c r="B32185" s="572">
        <v>56</v>
      </c>
      <c r="C32185" s="572">
        <v>259</v>
      </c>
    </row>
    <row r="32186" spans="1:3">
      <c r="A32186" s="571" t="s">
        <v>939</v>
      </c>
      <c r="B32186" s="572">
        <v>91</v>
      </c>
      <c r="C32186" s="572">
        <v>314</v>
      </c>
    </row>
    <row r="32187" spans="1:3">
      <c r="A32187" s="571" t="s">
        <v>938</v>
      </c>
      <c r="B32187" s="572">
        <v>0</v>
      </c>
      <c r="C32187" s="572">
        <v>0</v>
      </c>
    </row>
    <row r="32188" spans="1:3">
      <c r="A32188" s="571" t="s">
        <v>938</v>
      </c>
      <c r="B32188" s="572">
        <v>7</v>
      </c>
      <c r="C32188" s="572">
        <v>136</v>
      </c>
    </row>
    <row r="32189" spans="1:3">
      <c r="A32189" s="571" t="s">
        <v>938</v>
      </c>
      <c r="B32189" s="572">
        <v>14</v>
      </c>
      <c r="C32189" s="572">
        <v>223</v>
      </c>
    </row>
    <row r="32190" spans="1:3">
      <c r="A32190" s="571" t="s">
        <v>938</v>
      </c>
      <c r="B32190" s="572">
        <v>21</v>
      </c>
      <c r="C32190" s="572">
        <v>272</v>
      </c>
    </row>
    <row r="32191" spans="1:3">
      <c r="A32191" s="571" t="s">
        <v>938</v>
      </c>
      <c r="B32191" s="572">
        <v>28</v>
      </c>
      <c r="C32191" s="572">
        <v>318</v>
      </c>
    </row>
    <row r="32192" spans="1:3">
      <c r="A32192" s="571" t="s">
        <v>938</v>
      </c>
      <c r="B32192" s="572">
        <v>56</v>
      </c>
      <c r="C32192" s="572">
        <v>420</v>
      </c>
    </row>
    <row r="32193" spans="1:3">
      <c r="A32193" s="571" t="s">
        <v>938</v>
      </c>
      <c r="B32193" s="572">
        <v>91</v>
      </c>
      <c r="C32193" s="572">
        <v>479</v>
      </c>
    </row>
    <row r="32194" spans="1:3">
      <c r="A32194" s="571" t="s">
        <v>937</v>
      </c>
      <c r="B32194" s="572">
        <v>0</v>
      </c>
      <c r="C32194" s="572">
        <v>0</v>
      </c>
    </row>
    <row r="32195" spans="1:3">
      <c r="A32195" s="571" t="s">
        <v>937</v>
      </c>
      <c r="B32195" s="572">
        <v>7</v>
      </c>
      <c r="C32195" s="572">
        <v>163</v>
      </c>
    </row>
    <row r="32196" spans="1:3">
      <c r="A32196" s="571" t="s">
        <v>937</v>
      </c>
      <c r="B32196" s="572">
        <v>14</v>
      </c>
      <c r="C32196" s="572">
        <v>250</v>
      </c>
    </row>
    <row r="32197" spans="1:3">
      <c r="A32197" s="571" t="s">
        <v>937</v>
      </c>
      <c r="B32197" s="572">
        <v>21</v>
      </c>
      <c r="C32197" s="572">
        <v>308</v>
      </c>
    </row>
    <row r="32198" spans="1:3">
      <c r="A32198" s="571" t="s">
        <v>937</v>
      </c>
      <c r="B32198" s="572">
        <v>28</v>
      </c>
      <c r="C32198" s="572">
        <v>353</v>
      </c>
    </row>
    <row r="32199" spans="1:3">
      <c r="A32199" s="571" t="s">
        <v>937</v>
      </c>
      <c r="B32199" s="572">
        <v>56</v>
      </c>
      <c r="C32199" s="572">
        <v>479</v>
      </c>
    </row>
    <row r="32200" spans="1:3">
      <c r="A32200" s="571" t="s">
        <v>937</v>
      </c>
      <c r="B32200" s="572">
        <v>91</v>
      </c>
      <c r="C32200" s="572">
        <v>549</v>
      </c>
    </row>
    <row r="32201" spans="1:3">
      <c r="A32201" s="571" t="s">
        <v>936</v>
      </c>
      <c r="B32201" s="572">
        <v>0</v>
      </c>
      <c r="C32201" s="572">
        <v>0</v>
      </c>
    </row>
    <row r="32202" spans="1:3">
      <c r="A32202" s="571" t="s">
        <v>936</v>
      </c>
      <c r="B32202" s="572">
        <v>7</v>
      </c>
      <c r="C32202" s="572">
        <v>83</v>
      </c>
    </row>
    <row r="32203" spans="1:3">
      <c r="A32203" s="571" t="s">
        <v>936</v>
      </c>
      <c r="B32203" s="572">
        <v>14</v>
      </c>
      <c r="C32203" s="572">
        <v>142</v>
      </c>
    </row>
    <row r="32204" spans="1:3">
      <c r="A32204" s="571" t="s">
        <v>936</v>
      </c>
      <c r="B32204" s="572">
        <v>21</v>
      </c>
      <c r="C32204" s="572">
        <v>172</v>
      </c>
    </row>
    <row r="32205" spans="1:3">
      <c r="A32205" s="571" t="s">
        <v>936</v>
      </c>
      <c r="B32205" s="572">
        <v>28</v>
      </c>
      <c r="C32205" s="572">
        <v>210</v>
      </c>
    </row>
    <row r="32206" spans="1:3">
      <c r="A32206" s="571" t="s">
        <v>936</v>
      </c>
      <c r="B32206" s="572">
        <v>56</v>
      </c>
      <c r="C32206" s="572">
        <v>300</v>
      </c>
    </row>
    <row r="32207" spans="1:3">
      <c r="A32207" s="571" t="s">
        <v>936</v>
      </c>
      <c r="B32207" s="572">
        <v>91</v>
      </c>
      <c r="C32207" s="572">
        <v>367</v>
      </c>
    </row>
    <row r="32208" spans="1:3">
      <c r="A32208" s="571" t="s">
        <v>935</v>
      </c>
      <c r="B32208" s="572">
        <v>0</v>
      </c>
      <c r="C32208" s="572">
        <v>0</v>
      </c>
    </row>
    <row r="32209" spans="1:3">
      <c r="A32209" s="571" t="s">
        <v>935</v>
      </c>
      <c r="B32209" s="572">
        <v>7</v>
      </c>
      <c r="C32209" s="572">
        <v>85</v>
      </c>
    </row>
    <row r="32210" spans="1:3">
      <c r="A32210" s="571" t="s">
        <v>935</v>
      </c>
      <c r="B32210" s="572">
        <v>14</v>
      </c>
      <c r="C32210" s="572">
        <v>136</v>
      </c>
    </row>
    <row r="32211" spans="1:3">
      <c r="A32211" s="571" t="s">
        <v>935</v>
      </c>
      <c r="B32211" s="572">
        <v>21</v>
      </c>
      <c r="C32211" s="572">
        <v>175</v>
      </c>
    </row>
    <row r="32212" spans="1:3">
      <c r="A32212" s="571" t="s">
        <v>935</v>
      </c>
      <c r="B32212" s="572">
        <v>28</v>
      </c>
      <c r="C32212" s="572">
        <v>211</v>
      </c>
    </row>
    <row r="32213" spans="1:3">
      <c r="A32213" s="571" t="s">
        <v>935</v>
      </c>
      <c r="B32213" s="572">
        <v>56</v>
      </c>
      <c r="C32213" s="572">
        <v>303</v>
      </c>
    </row>
    <row r="32214" spans="1:3">
      <c r="A32214" s="571" t="s">
        <v>935</v>
      </c>
      <c r="B32214" s="572">
        <v>91</v>
      </c>
      <c r="C32214" s="572">
        <v>369</v>
      </c>
    </row>
    <row r="32215" spans="1:3">
      <c r="A32215" s="571" t="s">
        <v>934</v>
      </c>
      <c r="B32215" s="572">
        <v>0</v>
      </c>
      <c r="C32215" s="572">
        <v>0</v>
      </c>
    </row>
    <row r="32216" spans="1:3">
      <c r="A32216" s="571" t="s">
        <v>934</v>
      </c>
      <c r="B32216" s="572">
        <v>7</v>
      </c>
      <c r="C32216" s="572">
        <v>78</v>
      </c>
    </row>
    <row r="32217" spans="1:3">
      <c r="A32217" s="571" t="s">
        <v>934</v>
      </c>
      <c r="B32217" s="572">
        <v>14</v>
      </c>
      <c r="C32217" s="572">
        <v>127</v>
      </c>
    </row>
    <row r="32218" spans="1:3">
      <c r="A32218" s="571" t="s">
        <v>934</v>
      </c>
      <c r="B32218" s="572">
        <v>21</v>
      </c>
      <c r="C32218" s="572">
        <v>159</v>
      </c>
    </row>
    <row r="32219" spans="1:3">
      <c r="A32219" s="571" t="s">
        <v>934</v>
      </c>
      <c r="B32219" s="572">
        <v>28</v>
      </c>
      <c r="C32219" s="572">
        <v>185</v>
      </c>
    </row>
    <row r="32220" spans="1:3">
      <c r="A32220" s="571" t="s">
        <v>934</v>
      </c>
      <c r="B32220" s="572">
        <v>56</v>
      </c>
      <c r="C32220" s="572">
        <v>268</v>
      </c>
    </row>
    <row r="32221" spans="1:3">
      <c r="A32221" s="571" t="s">
        <v>934</v>
      </c>
      <c r="B32221" s="572">
        <v>91</v>
      </c>
      <c r="C32221" s="572">
        <v>324</v>
      </c>
    </row>
    <row r="32222" spans="1:3">
      <c r="A32222" s="571" t="s">
        <v>933</v>
      </c>
      <c r="B32222" s="572">
        <v>0</v>
      </c>
      <c r="C32222" s="572">
        <v>0</v>
      </c>
    </row>
    <row r="32223" spans="1:3">
      <c r="A32223" s="571" t="s">
        <v>933</v>
      </c>
      <c r="B32223" s="572">
        <v>7</v>
      </c>
      <c r="C32223" s="572">
        <v>63</v>
      </c>
    </row>
    <row r="32224" spans="1:3">
      <c r="A32224" s="571" t="s">
        <v>933</v>
      </c>
      <c r="B32224" s="572">
        <v>14</v>
      </c>
      <c r="C32224" s="572">
        <v>96</v>
      </c>
    </row>
    <row r="32225" spans="1:3">
      <c r="A32225" s="571" t="s">
        <v>933</v>
      </c>
      <c r="B32225" s="572">
        <v>21</v>
      </c>
      <c r="C32225" s="572">
        <v>116</v>
      </c>
    </row>
    <row r="32226" spans="1:3">
      <c r="A32226" s="571" t="s">
        <v>933</v>
      </c>
      <c r="B32226" s="572">
        <v>28</v>
      </c>
      <c r="C32226" s="572">
        <v>130</v>
      </c>
    </row>
    <row r="32227" spans="1:3">
      <c r="A32227" s="571" t="s">
        <v>933</v>
      </c>
      <c r="B32227" s="572">
        <v>56</v>
      </c>
      <c r="C32227" s="572">
        <v>191</v>
      </c>
    </row>
    <row r="32228" spans="1:3">
      <c r="A32228" s="571" t="s">
        <v>933</v>
      </c>
      <c r="B32228" s="572">
        <v>91</v>
      </c>
      <c r="C32228" s="572">
        <v>230</v>
      </c>
    </row>
    <row r="32229" spans="1:3">
      <c r="A32229" s="571" t="s">
        <v>932</v>
      </c>
      <c r="B32229" s="572">
        <v>0</v>
      </c>
      <c r="C32229" s="572">
        <v>0</v>
      </c>
    </row>
    <row r="32230" spans="1:3">
      <c r="A32230" s="571" t="s">
        <v>932</v>
      </c>
      <c r="B32230" s="572">
        <v>7</v>
      </c>
      <c r="C32230" s="572">
        <v>84</v>
      </c>
    </row>
    <row r="32231" spans="1:3">
      <c r="A32231" s="571" t="s">
        <v>932</v>
      </c>
      <c r="B32231" s="572">
        <v>14</v>
      </c>
      <c r="C32231" s="572">
        <v>131</v>
      </c>
    </row>
    <row r="32232" spans="1:3">
      <c r="A32232" s="571" t="s">
        <v>932</v>
      </c>
      <c r="B32232" s="572">
        <v>21</v>
      </c>
      <c r="C32232" s="572">
        <v>175</v>
      </c>
    </row>
    <row r="32233" spans="1:3">
      <c r="A32233" s="571" t="s">
        <v>932</v>
      </c>
      <c r="B32233" s="572">
        <v>28</v>
      </c>
      <c r="C32233" s="572">
        <v>207</v>
      </c>
    </row>
    <row r="32234" spans="1:3">
      <c r="A32234" s="571" t="s">
        <v>932</v>
      </c>
      <c r="B32234" s="572">
        <v>56</v>
      </c>
      <c r="C32234" s="572">
        <v>302</v>
      </c>
    </row>
    <row r="32235" spans="1:3">
      <c r="A32235" s="571" t="s">
        <v>932</v>
      </c>
      <c r="B32235" s="572">
        <v>91</v>
      </c>
      <c r="C32235" s="572">
        <v>360</v>
      </c>
    </row>
    <row r="32236" spans="1:3">
      <c r="A32236" s="571" t="s">
        <v>931</v>
      </c>
      <c r="B32236" s="572">
        <v>0</v>
      </c>
      <c r="C32236" s="572">
        <v>0</v>
      </c>
    </row>
    <row r="32237" spans="1:3">
      <c r="A32237" s="571" t="s">
        <v>931</v>
      </c>
      <c r="B32237" s="572">
        <v>7</v>
      </c>
      <c r="C32237" s="572">
        <v>85</v>
      </c>
    </row>
    <row r="32238" spans="1:3">
      <c r="A32238" s="571" t="s">
        <v>931</v>
      </c>
      <c r="B32238" s="572">
        <v>14</v>
      </c>
      <c r="C32238" s="572">
        <v>145</v>
      </c>
    </row>
    <row r="32239" spans="1:3">
      <c r="A32239" s="571" t="s">
        <v>931</v>
      </c>
      <c r="B32239" s="572">
        <v>21</v>
      </c>
      <c r="C32239" s="572">
        <v>189</v>
      </c>
    </row>
    <row r="32240" spans="1:3">
      <c r="A32240" s="571" t="s">
        <v>931</v>
      </c>
      <c r="B32240" s="572">
        <v>28</v>
      </c>
      <c r="C32240" s="572">
        <v>222</v>
      </c>
    </row>
    <row r="32241" spans="1:3">
      <c r="A32241" s="571" t="s">
        <v>931</v>
      </c>
      <c r="B32241" s="572">
        <v>56</v>
      </c>
      <c r="C32241" s="572">
        <v>320</v>
      </c>
    </row>
    <row r="32242" spans="1:3">
      <c r="A32242" s="571" t="s">
        <v>931</v>
      </c>
      <c r="B32242" s="572">
        <v>91</v>
      </c>
      <c r="C32242" s="572">
        <v>392</v>
      </c>
    </row>
    <row r="32243" spans="1:3">
      <c r="A32243" s="571" t="s">
        <v>930</v>
      </c>
      <c r="B32243" s="572">
        <v>0</v>
      </c>
      <c r="C32243" s="572">
        <v>0</v>
      </c>
    </row>
    <row r="32244" spans="1:3">
      <c r="A32244" s="571" t="s">
        <v>930</v>
      </c>
      <c r="B32244" s="572">
        <v>7</v>
      </c>
      <c r="C32244" s="572">
        <v>88</v>
      </c>
    </row>
    <row r="32245" spans="1:3">
      <c r="A32245" s="571" t="s">
        <v>930</v>
      </c>
      <c r="B32245" s="572">
        <v>14</v>
      </c>
      <c r="C32245" s="572">
        <v>141</v>
      </c>
    </row>
    <row r="32246" spans="1:3">
      <c r="A32246" s="571" t="s">
        <v>930</v>
      </c>
      <c r="B32246" s="572">
        <v>21</v>
      </c>
      <c r="C32246" s="572">
        <v>178</v>
      </c>
    </row>
    <row r="32247" spans="1:3">
      <c r="A32247" s="571" t="s">
        <v>930</v>
      </c>
      <c r="B32247" s="572">
        <v>28</v>
      </c>
      <c r="C32247" s="572">
        <v>208</v>
      </c>
    </row>
    <row r="32248" spans="1:3">
      <c r="A32248" s="571" t="s">
        <v>930</v>
      </c>
      <c r="B32248" s="572">
        <v>56</v>
      </c>
      <c r="C32248" s="572">
        <v>300</v>
      </c>
    </row>
    <row r="32249" spans="1:3">
      <c r="A32249" s="571" t="s">
        <v>930</v>
      </c>
      <c r="B32249" s="572">
        <v>91</v>
      </c>
      <c r="C32249" s="572">
        <v>361</v>
      </c>
    </row>
    <row r="32250" spans="1:3">
      <c r="A32250" s="571" t="s">
        <v>929</v>
      </c>
      <c r="B32250" s="572">
        <v>0</v>
      </c>
      <c r="C32250" s="572">
        <v>0</v>
      </c>
    </row>
    <row r="32251" spans="1:3">
      <c r="A32251" s="571" t="s">
        <v>929</v>
      </c>
      <c r="B32251" s="572">
        <v>7</v>
      </c>
      <c r="C32251" s="572">
        <v>62</v>
      </c>
    </row>
    <row r="32252" spans="1:3">
      <c r="A32252" s="571" t="s">
        <v>929</v>
      </c>
      <c r="B32252" s="572">
        <v>14</v>
      </c>
      <c r="C32252" s="572">
        <v>100</v>
      </c>
    </row>
    <row r="32253" spans="1:3">
      <c r="A32253" s="571" t="s">
        <v>929</v>
      </c>
      <c r="B32253" s="572">
        <v>21</v>
      </c>
      <c r="C32253" s="572">
        <v>134</v>
      </c>
    </row>
    <row r="32254" spans="1:3">
      <c r="A32254" s="571" t="s">
        <v>929</v>
      </c>
      <c r="B32254" s="572">
        <v>28</v>
      </c>
      <c r="C32254" s="572">
        <v>160</v>
      </c>
    </row>
    <row r="32255" spans="1:3">
      <c r="A32255" s="571" t="s">
        <v>929</v>
      </c>
      <c r="B32255" s="572">
        <v>56</v>
      </c>
      <c r="C32255" s="572">
        <v>242</v>
      </c>
    </row>
    <row r="32256" spans="1:3">
      <c r="A32256" s="571" t="s">
        <v>929</v>
      </c>
      <c r="B32256" s="572">
        <v>91</v>
      </c>
      <c r="C32256" s="572">
        <v>302</v>
      </c>
    </row>
    <row r="32257" spans="1:3">
      <c r="A32257" s="571" t="s">
        <v>928</v>
      </c>
      <c r="B32257" s="572">
        <v>0</v>
      </c>
      <c r="C32257" s="572">
        <v>0</v>
      </c>
    </row>
    <row r="32258" spans="1:3">
      <c r="A32258" s="571" t="s">
        <v>928</v>
      </c>
      <c r="B32258" s="572">
        <v>7</v>
      </c>
      <c r="C32258" s="572">
        <v>78</v>
      </c>
    </row>
    <row r="32259" spans="1:3">
      <c r="A32259" s="571" t="s">
        <v>928</v>
      </c>
      <c r="B32259" s="572">
        <v>14</v>
      </c>
      <c r="C32259" s="572">
        <v>120</v>
      </c>
    </row>
    <row r="32260" spans="1:3">
      <c r="A32260" s="571" t="s">
        <v>928</v>
      </c>
      <c r="B32260" s="572">
        <v>21</v>
      </c>
      <c r="C32260" s="572">
        <v>146</v>
      </c>
    </row>
    <row r="32261" spans="1:3">
      <c r="A32261" s="571" t="s">
        <v>928</v>
      </c>
      <c r="B32261" s="572">
        <v>28</v>
      </c>
      <c r="C32261" s="572">
        <v>160</v>
      </c>
    </row>
    <row r="32262" spans="1:3">
      <c r="A32262" s="571" t="s">
        <v>928</v>
      </c>
      <c r="B32262" s="572">
        <v>56</v>
      </c>
      <c r="C32262" s="572">
        <v>232</v>
      </c>
    </row>
    <row r="32263" spans="1:3">
      <c r="A32263" s="571" t="s">
        <v>928</v>
      </c>
      <c r="B32263" s="572">
        <v>91</v>
      </c>
      <c r="C32263" s="572">
        <v>279</v>
      </c>
    </row>
    <row r="32264" spans="1:3">
      <c r="A32264" s="571" t="s">
        <v>927</v>
      </c>
      <c r="B32264" s="572">
        <v>0</v>
      </c>
      <c r="C32264" s="572">
        <v>0</v>
      </c>
    </row>
    <row r="32265" spans="1:3">
      <c r="A32265" s="571" t="s">
        <v>927</v>
      </c>
      <c r="B32265" s="572">
        <v>7</v>
      </c>
      <c r="C32265" s="572">
        <v>75</v>
      </c>
    </row>
    <row r="32266" spans="1:3">
      <c r="A32266" s="571" t="s">
        <v>927</v>
      </c>
      <c r="B32266" s="572">
        <v>14</v>
      </c>
      <c r="C32266" s="572">
        <v>129</v>
      </c>
    </row>
    <row r="32267" spans="1:3">
      <c r="A32267" s="571" t="s">
        <v>927</v>
      </c>
      <c r="B32267" s="572">
        <v>21</v>
      </c>
      <c r="C32267" s="572">
        <v>160</v>
      </c>
    </row>
    <row r="32268" spans="1:3">
      <c r="A32268" s="571" t="s">
        <v>927</v>
      </c>
      <c r="B32268" s="572">
        <v>28</v>
      </c>
      <c r="C32268" s="572">
        <v>188</v>
      </c>
    </row>
    <row r="32269" spans="1:3">
      <c r="A32269" s="571" t="s">
        <v>927</v>
      </c>
      <c r="B32269" s="572">
        <v>56</v>
      </c>
      <c r="C32269" s="572">
        <v>261</v>
      </c>
    </row>
    <row r="32270" spans="1:3">
      <c r="A32270" s="571" t="s">
        <v>927</v>
      </c>
      <c r="B32270" s="572">
        <v>91</v>
      </c>
      <c r="C32270" s="572">
        <v>311</v>
      </c>
    </row>
    <row r="32271" spans="1:3">
      <c r="A32271" s="571" t="s">
        <v>926</v>
      </c>
      <c r="B32271" s="572">
        <v>0</v>
      </c>
      <c r="C32271" s="572">
        <v>0</v>
      </c>
    </row>
    <row r="32272" spans="1:3">
      <c r="A32272" s="571" t="s">
        <v>926</v>
      </c>
      <c r="B32272" s="572">
        <v>7</v>
      </c>
      <c r="C32272" s="572">
        <v>59</v>
      </c>
    </row>
    <row r="32273" spans="1:3">
      <c r="A32273" s="571" t="s">
        <v>926</v>
      </c>
      <c r="B32273" s="572">
        <v>14</v>
      </c>
      <c r="C32273" s="572">
        <v>90</v>
      </c>
    </row>
    <row r="32274" spans="1:3">
      <c r="A32274" s="571" t="s">
        <v>926</v>
      </c>
      <c r="B32274" s="572">
        <v>21</v>
      </c>
      <c r="C32274" s="572">
        <v>118</v>
      </c>
    </row>
    <row r="32275" spans="1:3">
      <c r="A32275" s="571" t="s">
        <v>926</v>
      </c>
      <c r="B32275" s="572">
        <v>28</v>
      </c>
      <c r="C32275" s="572">
        <v>139</v>
      </c>
    </row>
    <row r="32276" spans="1:3">
      <c r="A32276" s="571" t="s">
        <v>926</v>
      </c>
      <c r="B32276" s="572">
        <v>56</v>
      </c>
      <c r="C32276" s="572">
        <v>209</v>
      </c>
    </row>
    <row r="32277" spans="1:3">
      <c r="A32277" s="571" t="s">
        <v>926</v>
      </c>
      <c r="B32277" s="572">
        <v>91</v>
      </c>
      <c r="C32277" s="572">
        <v>258</v>
      </c>
    </row>
    <row r="32278" spans="1:3">
      <c r="A32278" s="571" t="s">
        <v>925</v>
      </c>
      <c r="B32278" s="572">
        <v>0</v>
      </c>
      <c r="C32278" s="572">
        <v>0</v>
      </c>
    </row>
    <row r="32279" spans="1:3">
      <c r="A32279" s="571" t="s">
        <v>925</v>
      </c>
      <c r="B32279" s="572">
        <v>7</v>
      </c>
      <c r="C32279" s="572">
        <v>238</v>
      </c>
    </row>
    <row r="32280" spans="1:3">
      <c r="A32280" s="571" t="s">
        <v>925</v>
      </c>
      <c r="B32280" s="572">
        <v>28</v>
      </c>
      <c r="C32280" s="572">
        <v>484</v>
      </c>
    </row>
    <row r="32281" spans="1:3">
      <c r="A32281" s="571" t="s">
        <v>925</v>
      </c>
      <c r="B32281" s="572">
        <v>56</v>
      </c>
      <c r="C32281" s="572">
        <v>606</v>
      </c>
    </row>
    <row r="32282" spans="1:3">
      <c r="A32282" s="571" t="s">
        <v>925</v>
      </c>
      <c r="B32282" s="572">
        <v>91</v>
      </c>
      <c r="C32282" s="572">
        <v>704</v>
      </c>
    </row>
    <row r="32283" spans="1:3">
      <c r="A32283" s="573" t="s">
        <v>925</v>
      </c>
      <c r="B32283" s="574">
        <v>182</v>
      </c>
      <c r="C32283" s="574">
        <v>792</v>
      </c>
    </row>
    <row r="32284" spans="1:3">
      <c r="A32284" s="571" t="s">
        <v>924</v>
      </c>
      <c r="B32284" s="572">
        <v>0</v>
      </c>
      <c r="C32284" s="572">
        <v>0</v>
      </c>
    </row>
    <row r="32285" spans="1:3">
      <c r="A32285" s="571" t="s">
        <v>924</v>
      </c>
      <c r="B32285" s="572">
        <v>7</v>
      </c>
      <c r="C32285" s="572">
        <v>23</v>
      </c>
    </row>
    <row r="32286" spans="1:3">
      <c r="A32286" s="571" t="s">
        <v>924</v>
      </c>
      <c r="B32286" s="572">
        <v>28</v>
      </c>
      <c r="C32286" s="572">
        <v>471</v>
      </c>
    </row>
    <row r="32287" spans="1:3">
      <c r="A32287" s="571" t="s">
        <v>924</v>
      </c>
      <c r="B32287" s="572">
        <v>56</v>
      </c>
      <c r="C32287" s="572">
        <v>581</v>
      </c>
    </row>
    <row r="32288" spans="1:3">
      <c r="A32288" s="571" t="s">
        <v>924</v>
      </c>
      <c r="B32288" s="572">
        <v>91</v>
      </c>
      <c r="C32288" s="572">
        <v>689</v>
      </c>
    </row>
    <row r="32289" spans="1:3">
      <c r="A32289" s="571" t="s">
        <v>923</v>
      </c>
      <c r="B32289" s="572">
        <v>0</v>
      </c>
      <c r="C32289" s="572">
        <v>0</v>
      </c>
    </row>
    <row r="32290" spans="1:3">
      <c r="A32290" s="571" t="s">
        <v>923</v>
      </c>
      <c r="B32290" s="572">
        <v>7</v>
      </c>
      <c r="C32290" s="572">
        <v>22</v>
      </c>
    </row>
    <row r="32291" spans="1:3">
      <c r="A32291" s="571" t="s">
        <v>923</v>
      </c>
      <c r="B32291" s="572">
        <v>28</v>
      </c>
      <c r="C32291" s="572">
        <v>534</v>
      </c>
    </row>
    <row r="32292" spans="1:3">
      <c r="A32292" s="571" t="s">
        <v>923</v>
      </c>
      <c r="B32292" s="572">
        <v>56</v>
      </c>
      <c r="C32292" s="572">
        <v>719</v>
      </c>
    </row>
    <row r="32293" spans="1:3">
      <c r="A32293" s="571" t="s">
        <v>923</v>
      </c>
      <c r="B32293" s="572">
        <v>91</v>
      </c>
      <c r="C32293" s="572">
        <v>839</v>
      </c>
    </row>
    <row r="32294" spans="1:3">
      <c r="A32294" s="573" t="s">
        <v>923</v>
      </c>
      <c r="B32294" s="574">
        <v>182</v>
      </c>
      <c r="C32294" s="574">
        <v>1057</v>
      </c>
    </row>
    <row r="32295" spans="1:3">
      <c r="A32295" s="571" t="s">
        <v>922</v>
      </c>
      <c r="B32295" s="572">
        <v>0</v>
      </c>
      <c r="C32295" s="572">
        <v>0</v>
      </c>
    </row>
    <row r="32296" spans="1:3">
      <c r="A32296" s="571" t="s">
        <v>922</v>
      </c>
      <c r="B32296" s="572">
        <v>7</v>
      </c>
      <c r="C32296" s="572">
        <v>233</v>
      </c>
    </row>
    <row r="32297" spans="1:3">
      <c r="A32297" s="571" t="s">
        <v>922</v>
      </c>
      <c r="B32297" s="572">
        <v>28</v>
      </c>
      <c r="C32297" s="572">
        <v>543</v>
      </c>
    </row>
    <row r="32298" spans="1:3">
      <c r="A32298" s="571" t="s">
        <v>922</v>
      </c>
      <c r="B32298" s="572">
        <v>56</v>
      </c>
      <c r="C32298" s="572">
        <v>730</v>
      </c>
    </row>
    <row r="32299" spans="1:3">
      <c r="A32299" s="571" t="s">
        <v>922</v>
      </c>
      <c r="B32299" s="572">
        <v>91</v>
      </c>
      <c r="C32299" s="572">
        <v>855</v>
      </c>
    </row>
    <row r="32300" spans="1:3">
      <c r="A32300" s="573" t="s">
        <v>922</v>
      </c>
      <c r="B32300" s="574">
        <v>182</v>
      </c>
      <c r="C32300" s="574">
        <v>1049</v>
      </c>
    </row>
    <row r="32301" spans="1:3">
      <c r="A32301" s="571" t="s">
        <v>921</v>
      </c>
      <c r="B32301" s="572">
        <v>0</v>
      </c>
      <c r="C32301" s="572">
        <v>0</v>
      </c>
    </row>
    <row r="32302" spans="1:3">
      <c r="A32302" s="571" t="s">
        <v>921</v>
      </c>
      <c r="B32302" s="572">
        <v>7</v>
      </c>
      <c r="C32302" s="572">
        <v>219</v>
      </c>
    </row>
    <row r="32303" spans="1:3">
      <c r="A32303" s="571" t="s">
        <v>921</v>
      </c>
      <c r="B32303" s="572">
        <v>28</v>
      </c>
      <c r="C32303" s="572">
        <v>513</v>
      </c>
    </row>
    <row r="32304" spans="1:3">
      <c r="A32304" s="571" t="s">
        <v>921</v>
      </c>
      <c r="B32304" s="572">
        <v>56</v>
      </c>
      <c r="C32304" s="572">
        <v>673</v>
      </c>
    </row>
    <row r="32305" spans="1:3">
      <c r="A32305" s="571" t="s">
        <v>921</v>
      </c>
      <c r="B32305" s="572">
        <v>91</v>
      </c>
      <c r="C32305" s="572">
        <v>797</v>
      </c>
    </row>
    <row r="32306" spans="1:3">
      <c r="A32306" s="573" t="s">
        <v>921</v>
      </c>
      <c r="B32306" s="574">
        <v>182</v>
      </c>
      <c r="C32306" s="574">
        <v>975</v>
      </c>
    </row>
    <row r="32307" spans="1:3">
      <c r="A32307" s="571" t="s">
        <v>920</v>
      </c>
      <c r="B32307" s="572">
        <v>0</v>
      </c>
      <c r="C32307" s="572">
        <v>0</v>
      </c>
    </row>
    <row r="32308" spans="1:3">
      <c r="A32308" s="571" t="s">
        <v>920</v>
      </c>
      <c r="B32308" s="572">
        <v>7</v>
      </c>
      <c r="C32308" s="572">
        <v>261</v>
      </c>
    </row>
    <row r="32309" spans="1:3">
      <c r="A32309" s="571" t="s">
        <v>920</v>
      </c>
      <c r="B32309" s="572">
        <v>28</v>
      </c>
      <c r="C32309" s="572">
        <v>538</v>
      </c>
    </row>
    <row r="32310" spans="1:3">
      <c r="A32310" s="571" t="s">
        <v>920</v>
      </c>
      <c r="B32310" s="572">
        <v>56</v>
      </c>
      <c r="C32310" s="572">
        <v>676</v>
      </c>
    </row>
    <row r="32311" spans="1:3">
      <c r="A32311" s="571" t="s">
        <v>920</v>
      </c>
      <c r="B32311" s="572">
        <v>91</v>
      </c>
      <c r="C32311" s="572">
        <v>809</v>
      </c>
    </row>
    <row r="32312" spans="1:3">
      <c r="A32312" s="571" t="s">
        <v>919</v>
      </c>
      <c r="B32312" s="572">
        <v>0</v>
      </c>
      <c r="C32312" s="572">
        <v>0</v>
      </c>
    </row>
    <row r="32313" spans="1:3">
      <c r="A32313" s="571" t="s">
        <v>919</v>
      </c>
      <c r="B32313" s="572">
        <v>7</v>
      </c>
      <c r="C32313" s="572">
        <v>156</v>
      </c>
    </row>
    <row r="32314" spans="1:3">
      <c r="A32314" s="571" t="s">
        <v>919</v>
      </c>
      <c r="B32314" s="572">
        <v>28</v>
      </c>
      <c r="C32314" s="572">
        <v>590</v>
      </c>
    </row>
    <row r="32315" spans="1:3">
      <c r="A32315" s="571" t="s">
        <v>919</v>
      </c>
      <c r="B32315" s="572">
        <v>56</v>
      </c>
      <c r="C32315" s="572">
        <v>476</v>
      </c>
    </row>
    <row r="32316" spans="1:3">
      <c r="A32316" s="571" t="s">
        <v>919</v>
      </c>
      <c r="B32316" s="572">
        <v>91</v>
      </c>
      <c r="C32316" s="572">
        <v>883</v>
      </c>
    </row>
    <row r="32317" spans="1:3">
      <c r="A32317" s="571" t="s">
        <v>918</v>
      </c>
      <c r="B32317" s="572">
        <v>0</v>
      </c>
      <c r="C32317" s="572">
        <v>0</v>
      </c>
    </row>
    <row r="32318" spans="1:3">
      <c r="A32318" s="571" t="s">
        <v>918</v>
      </c>
      <c r="B32318" s="572">
        <v>7</v>
      </c>
      <c r="C32318" s="572">
        <v>166</v>
      </c>
    </row>
    <row r="32319" spans="1:3">
      <c r="A32319" s="571" t="s">
        <v>918</v>
      </c>
      <c r="B32319" s="572">
        <v>28</v>
      </c>
      <c r="C32319" s="572">
        <v>420</v>
      </c>
    </row>
    <row r="32320" spans="1:3">
      <c r="A32320" s="571" t="s">
        <v>918</v>
      </c>
      <c r="B32320" s="572">
        <v>56</v>
      </c>
      <c r="C32320" s="572">
        <v>561</v>
      </c>
    </row>
    <row r="32321" spans="1:3">
      <c r="A32321" s="571" t="s">
        <v>918</v>
      </c>
      <c r="B32321" s="572">
        <v>91</v>
      </c>
      <c r="C32321" s="572">
        <v>671</v>
      </c>
    </row>
    <row r="32322" spans="1:3">
      <c r="A32322" s="573" t="s">
        <v>918</v>
      </c>
      <c r="B32322" s="574">
        <v>182</v>
      </c>
      <c r="C32322" s="574">
        <v>871</v>
      </c>
    </row>
    <row r="32323" spans="1:3">
      <c r="A32323" s="571" t="s">
        <v>917</v>
      </c>
      <c r="B32323" s="572">
        <v>0</v>
      </c>
      <c r="C32323" s="572">
        <v>0</v>
      </c>
    </row>
    <row r="32324" spans="1:3">
      <c r="A32324" s="571" t="s">
        <v>917</v>
      </c>
      <c r="B32324" s="572">
        <v>7</v>
      </c>
      <c r="C32324" s="572">
        <v>145</v>
      </c>
    </row>
    <row r="32325" spans="1:3">
      <c r="A32325" s="571" t="s">
        <v>917</v>
      </c>
      <c r="B32325" s="572">
        <v>28</v>
      </c>
      <c r="C32325" s="572">
        <v>397</v>
      </c>
    </row>
    <row r="32326" spans="1:3">
      <c r="A32326" s="571" t="s">
        <v>917</v>
      </c>
      <c r="B32326" s="572">
        <v>56</v>
      </c>
      <c r="C32326" s="572">
        <v>520</v>
      </c>
    </row>
    <row r="32327" spans="1:3">
      <c r="A32327" s="571" t="s">
        <v>917</v>
      </c>
      <c r="B32327" s="572">
        <v>91</v>
      </c>
      <c r="C32327" s="572">
        <v>615</v>
      </c>
    </row>
    <row r="32328" spans="1:3">
      <c r="A32328" s="573" t="s">
        <v>917</v>
      </c>
      <c r="B32328" s="574">
        <v>182</v>
      </c>
      <c r="C32328" s="574">
        <v>858</v>
      </c>
    </row>
    <row r="32329" spans="1:3">
      <c r="A32329" s="571" t="s">
        <v>916</v>
      </c>
      <c r="B32329" s="572">
        <v>0</v>
      </c>
      <c r="C32329" s="572">
        <v>0</v>
      </c>
    </row>
    <row r="32330" spans="1:3">
      <c r="A32330" s="571" t="s">
        <v>916</v>
      </c>
      <c r="B32330" s="572">
        <v>7</v>
      </c>
      <c r="C32330" s="572">
        <v>194</v>
      </c>
    </row>
    <row r="32331" spans="1:3">
      <c r="A32331" s="571" t="s">
        <v>916</v>
      </c>
      <c r="B32331" s="572">
        <v>28</v>
      </c>
      <c r="C32331" s="572">
        <v>403</v>
      </c>
    </row>
    <row r="32332" spans="1:3">
      <c r="A32332" s="571" t="s">
        <v>916</v>
      </c>
      <c r="B32332" s="572">
        <v>56</v>
      </c>
      <c r="C32332" s="572">
        <v>526</v>
      </c>
    </row>
    <row r="32333" spans="1:3">
      <c r="A32333" s="571" t="s">
        <v>916</v>
      </c>
      <c r="B32333" s="572">
        <v>91</v>
      </c>
      <c r="C32333" s="572">
        <v>581</v>
      </c>
    </row>
    <row r="32334" spans="1:3">
      <c r="A32334" s="573" t="s">
        <v>916</v>
      </c>
      <c r="B32334" s="574">
        <v>182</v>
      </c>
      <c r="C32334" s="574">
        <v>679</v>
      </c>
    </row>
    <row r="32335" spans="1:3">
      <c r="A32335" s="571" t="s">
        <v>915</v>
      </c>
      <c r="B32335" s="572">
        <v>0</v>
      </c>
      <c r="C32335" s="572">
        <v>0</v>
      </c>
    </row>
    <row r="32336" spans="1:3">
      <c r="A32336" s="571" t="s">
        <v>915</v>
      </c>
      <c r="B32336" s="572">
        <v>7</v>
      </c>
      <c r="C32336" s="572">
        <v>48</v>
      </c>
    </row>
    <row r="32337" spans="1:3">
      <c r="A32337" s="571" t="s">
        <v>915</v>
      </c>
      <c r="B32337" s="572">
        <v>28</v>
      </c>
      <c r="C32337" s="572">
        <v>208</v>
      </c>
    </row>
    <row r="32338" spans="1:3">
      <c r="A32338" s="571" t="s">
        <v>915</v>
      </c>
      <c r="B32338" s="572">
        <v>56</v>
      </c>
      <c r="C32338" s="572">
        <v>348</v>
      </c>
    </row>
    <row r="32339" spans="1:3">
      <c r="A32339" s="571" t="s">
        <v>915</v>
      </c>
      <c r="B32339" s="572">
        <v>91</v>
      </c>
      <c r="C32339" s="572">
        <v>577</v>
      </c>
    </row>
    <row r="32340" spans="1:3">
      <c r="A32340" s="571" t="s">
        <v>914</v>
      </c>
      <c r="B32340" s="572">
        <v>0</v>
      </c>
      <c r="C32340" s="572">
        <v>0</v>
      </c>
    </row>
    <row r="32341" spans="1:3">
      <c r="A32341" s="571" t="s">
        <v>914</v>
      </c>
      <c r="B32341" s="572">
        <v>7</v>
      </c>
      <c r="C32341" s="572">
        <v>111</v>
      </c>
    </row>
    <row r="32342" spans="1:3">
      <c r="A32342" s="571" t="s">
        <v>914</v>
      </c>
      <c r="B32342" s="572">
        <v>28</v>
      </c>
      <c r="C32342" s="572">
        <v>300</v>
      </c>
    </row>
    <row r="32343" spans="1:3">
      <c r="A32343" s="571" t="s">
        <v>914</v>
      </c>
      <c r="B32343" s="572">
        <v>56</v>
      </c>
      <c r="C32343" s="572">
        <v>430</v>
      </c>
    </row>
    <row r="32344" spans="1:3">
      <c r="A32344" s="571" t="s">
        <v>914</v>
      </c>
      <c r="B32344" s="572">
        <v>91</v>
      </c>
      <c r="C32344" s="572">
        <v>541</v>
      </c>
    </row>
    <row r="32345" spans="1:3">
      <c r="A32345" s="573" t="s">
        <v>914</v>
      </c>
      <c r="B32345" s="574">
        <v>182</v>
      </c>
      <c r="C32345" s="574">
        <v>746</v>
      </c>
    </row>
    <row r="32346" spans="1:3">
      <c r="A32346" s="571" t="s">
        <v>913</v>
      </c>
      <c r="B32346" s="572">
        <v>0</v>
      </c>
      <c r="C32346" s="572">
        <v>0</v>
      </c>
    </row>
    <row r="32347" spans="1:3">
      <c r="A32347" s="571" t="s">
        <v>913</v>
      </c>
      <c r="B32347" s="572">
        <v>7</v>
      </c>
      <c r="C32347" s="572">
        <v>175</v>
      </c>
    </row>
    <row r="32348" spans="1:3">
      <c r="A32348" s="571" t="s">
        <v>913</v>
      </c>
      <c r="B32348" s="572">
        <v>28</v>
      </c>
      <c r="C32348" s="572">
        <v>466</v>
      </c>
    </row>
    <row r="32349" spans="1:3">
      <c r="A32349" s="571" t="s">
        <v>913</v>
      </c>
      <c r="B32349" s="572">
        <v>91</v>
      </c>
      <c r="C32349" s="572">
        <v>756</v>
      </c>
    </row>
    <row r="32350" spans="1:3">
      <c r="A32350" s="571" t="s">
        <v>912</v>
      </c>
      <c r="B32350" s="572">
        <v>0</v>
      </c>
      <c r="C32350" s="572">
        <v>0</v>
      </c>
    </row>
    <row r="32351" spans="1:3">
      <c r="A32351" s="571" t="s">
        <v>912</v>
      </c>
      <c r="B32351" s="572">
        <v>7</v>
      </c>
      <c r="C32351" s="572">
        <v>202</v>
      </c>
    </row>
    <row r="32352" spans="1:3">
      <c r="A32352" s="571" t="s">
        <v>912</v>
      </c>
      <c r="B32352" s="572">
        <v>28</v>
      </c>
      <c r="C32352" s="572">
        <v>441</v>
      </c>
    </row>
    <row r="32353" spans="1:3">
      <c r="A32353" s="571" t="s">
        <v>912</v>
      </c>
      <c r="B32353" s="572">
        <v>91</v>
      </c>
      <c r="C32353" s="572">
        <v>728</v>
      </c>
    </row>
    <row r="32354" spans="1:3">
      <c r="A32354" s="571" t="s">
        <v>911</v>
      </c>
      <c r="B32354" s="572">
        <v>0</v>
      </c>
      <c r="C32354" s="572">
        <v>0</v>
      </c>
    </row>
    <row r="32355" spans="1:3">
      <c r="A32355" s="571" t="s">
        <v>911</v>
      </c>
      <c r="B32355" s="572">
        <v>7</v>
      </c>
      <c r="C32355" s="572">
        <v>209</v>
      </c>
    </row>
    <row r="32356" spans="1:3">
      <c r="A32356" s="571" t="s">
        <v>911</v>
      </c>
      <c r="B32356" s="572">
        <v>28</v>
      </c>
      <c r="C32356" s="572">
        <v>423</v>
      </c>
    </row>
    <row r="32357" spans="1:3">
      <c r="A32357" s="571" t="s">
        <v>911</v>
      </c>
      <c r="B32357" s="572">
        <v>91</v>
      </c>
      <c r="C32357" s="572">
        <v>686</v>
      </c>
    </row>
    <row r="32358" spans="1:3">
      <c r="A32358" s="571" t="s">
        <v>910</v>
      </c>
      <c r="B32358" s="572">
        <v>0</v>
      </c>
      <c r="C32358" s="572">
        <v>0</v>
      </c>
    </row>
    <row r="32359" spans="1:3">
      <c r="A32359" s="571" t="s">
        <v>910</v>
      </c>
      <c r="B32359" s="572">
        <v>7</v>
      </c>
      <c r="C32359" s="572">
        <v>175</v>
      </c>
    </row>
    <row r="32360" spans="1:3">
      <c r="A32360" s="571" t="s">
        <v>910</v>
      </c>
      <c r="B32360" s="572">
        <v>28</v>
      </c>
      <c r="C32360" s="572">
        <v>414</v>
      </c>
    </row>
    <row r="32361" spans="1:3">
      <c r="A32361" s="571" t="s">
        <v>910</v>
      </c>
      <c r="B32361" s="572">
        <v>91</v>
      </c>
      <c r="C32361" s="572">
        <v>631</v>
      </c>
    </row>
    <row r="32362" spans="1:3">
      <c r="A32362" s="571" t="s">
        <v>909</v>
      </c>
      <c r="B32362" s="572">
        <v>0</v>
      </c>
      <c r="C32362" s="572">
        <v>0</v>
      </c>
    </row>
    <row r="32363" spans="1:3">
      <c r="A32363" s="571" t="s">
        <v>909</v>
      </c>
      <c r="B32363" s="572">
        <v>7</v>
      </c>
      <c r="C32363" s="572">
        <v>219</v>
      </c>
    </row>
    <row r="32364" spans="1:3">
      <c r="A32364" s="571" t="s">
        <v>909</v>
      </c>
      <c r="B32364" s="572">
        <v>28</v>
      </c>
      <c r="C32364" s="572">
        <v>449</v>
      </c>
    </row>
    <row r="32365" spans="1:3">
      <c r="A32365" s="571" t="s">
        <v>909</v>
      </c>
      <c r="B32365" s="572">
        <v>91</v>
      </c>
      <c r="C32365" s="572">
        <v>667</v>
      </c>
    </row>
    <row r="32366" spans="1:3">
      <c r="A32366" s="571" t="s">
        <v>908</v>
      </c>
      <c r="B32366" s="572">
        <v>0</v>
      </c>
      <c r="C32366" s="572">
        <v>0</v>
      </c>
    </row>
    <row r="32367" spans="1:3">
      <c r="A32367" s="571" t="s">
        <v>908</v>
      </c>
      <c r="B32367" s="572">
        <v>7</v>
      </c>
      <c r="C32367" s="572">
        <v>223</v>
      </c>
    </row>
    <row r="32368" spans="1:3">
      <c r="A32368" s="571" t="s">
        <v>908</v>
      </c>
      <c r="B32368" s="572">
        <v>28</v>
      </c>
      <c r="C32368" s="572">
        <v>524</v>
      </c>
    </row>
    <row r="32369" spans="1:3">
      <c r="A32369" s="571" t="s">
        <v>908</v>
      </c>
      <c r="B32369" s="572">
        <v>91</v>
      </c>
      <c r="C32369" s="572">
        <v>783</v>
      </c>
    </row>
    <row r="32370" spans="1:3">
      <c r="A32370" s="571" t="s">
        <v>907</v>
      </c>
      <c r="B32370" s="572">
        <v>0</v>
      </c>
      <c r="C32370" s="572">
        <v>0</v>
      </c>
    </row>
    <row r="32371" spans="1:3">
      <c r="A32371" s="571" t="s">
        <v>907</v>
      </c>
      <c r="B32371" s="572">
        <v>7</v>
      </c>
      <c r="C32371" s="572">
        <v>184</v>
      </c>
    </row>
    <row r="32372" spans="1:3">
      <c r="A32372" s="571" t="s">
        <v>907</v>
      </c>
      <c r="B32372" s="572">
        <v>28</v>
      </c>
      <c r="C32372" s="572">
        <v>408</v>
      </c>
    </row>
    <row r="32373" spans="1:3">
      <c r="A32373" s="571" t="s">
        <v>907</v>
      </c>
      <c r="B32373" s="572">
        <v>91</v>
      </c>
      <c r="C32373" s="572">
        <v>657</v>
      </c>
    </row>
    <row r="32374" spans="1:3">
      <c r="A32374" s="571" t="s">
        <v>906</v>
      </c>
      <c r="B32374" s="572">
        <v>0</v>
      </c>
      <c r="C32374" s="572">
        <v>0</v>
      </c>
    </row>
    <row r="32375" spans="1:3">
      <c r="A32375" s="571" t="s">
        <v>906</v>
      </c>
      <c r="B32375" s="572">
        <v>7</v>
      </c>
      <c r="C32375" s="572">
        <v>104</v>
      </c>
    </row>
    <row r="32376" spans="1:3">
      <c r="A32376" s="571" t="s">
        <v>906</v>
      </c>
      <c r="B32376" s="572">
        <v>28</v>
      </c>
      <c r="C32376" s="572">
        <v>300</v>
      </c>
    </row>
    <row r="32377" spans="1:3">
      <c r="A32377" s="571" t="s">
        <v>906</v>
      </c>
      <c r="B32377" s="572">
        <v>91</v>
      </c>
      <c r="C32377" s="572">
        <v>601</v>
      </c>
    </row>
    <row r="32378" spans="1:3">
      <c r="A32378" s="571" t="s">
        <v>905</v>
      </c>
      <c r="B32378" s="572">
        <v>0</v>
      </c>
      <c r="C32378" s="572">
        <v>0</v>
      </c>
    </row>
    <row r="32379" spans="1:3">
      <c r="A32379" s="571" t="s">
        <v>905</v>
      </c>
      <c r="B32379" s="572">
        <v>7</v>
      </c>
      <c r="C32379" s="572">
        <v>270</v>
      </c>
    </row>
    <row r="32380" spans="1:3">
      <c r="A32380" s="571" t="s">
        <v>905</v>
      </c>
      <c r="B32380" s="572">
        <v>28</v>
      </c>
      <c r="C32380" s="572">
        <v>557</v>
      </c>
    </row>
    <row r="32381" spans="1:3">
      <c r="A32381" s="571" t="s">
        <v>905</v>
      </c>
      <c r="B32381" s="572">
        <v>91</v>
      </c>
      <c r="C32381" s="572">
        <v>839</v>
      </c>
    </row>
    <row r="32382" spans="1:3">
      <c r="A32382" s="571" t="s">
        <v>904</v>
      </c>
      <c r="B32382" s="572">
        <v>0</v>
      </c>
      <c r="C32382" s="572">
        <v>0</v>
      </c>
    </row>
    <row r="32383" spans="1:3">
      <c r="A32383" s="571" t="s">
        <v>904</v>
      </c>
      <c r="B32383" s="572">
        <v>7</v>
      </c>
      <c r="C32383" s="572">
        <v>175</v>
      </c>
    </row>
    <row r="32384" spans="1:3">
      <c r="A32384" s="571" t="s">
        <v>904</v>
      </c>
      <c r="B32384" s="572">
        <v>28</v>
      </c>
      <c r="C32384" s="572">
        <v>430</v>
      </c>
    </row>
    <row r="32385" spans="1:3">
      <c r="A32385" s="571" t="s">
        <v>904</v>
      </c>
      <c r="B32385" s="572">
        <v>91</v>
      </c>
      <c r="C32385" s="572">
        <v>682</v>
      </c>
    </row>
    <row r="32386" spans="1:3">
      <c r="A32386" s="571" t="s">
        <v>903</v>
      </c>
      <c r="B32386" s="572">
        <v>0</v>
      </c>
      <c r="C32386" s="572">
        <v>0</v>
      </c>
    </row>
    <row r="32387" spans="1:3">
      <c r="A32387" s="571" t="s">
        <v>903</v>
      </c>
      <c r="B32387" s="572">
        <v>7</v>
      </c>
      <c r="C32387" s="572">
        <v>258</v>
      </c>
    </row>
    <row r="32388" spans="1:3">
      <c r="A32388" s="571" t="s">
        <v>903</v>
      </c>
      <c r="B32388" s="572">
        <v>28</v>
      </c>
      <c r="C32388" s="572">
        <v>531</v>
      </c>
    </row>
    <row r="32389" spans="1:3">
      <c r="A32389" s="571" t="s">
        <v>903</v>
      </c>
      <c r="B32389" s="572">
        <v>91</v>
      </c>
      <c r="C32389" s="572">
        <v>810</v>
      </c>
    </row>
    <row r="32390" spans="1:3">
      <c r="A32390" s="571" t="s">
        <v>902</v>
      </c>
      <c r="B32390" s="572">
        <v>0</v>
      </c>
      <c r="C32390" s="572">
        <v>0</v>
      </c>
    </row>
    <row r="32391" spans="1:3">
      <c r="A32391" s="571" t="s">
        <v>902</v>
      </c>
      <c r="B32391" s="572">
        <v>7</v>
      </c>
      <c r="C32391" s="572">
        <v>223</v>
      </c>
    </row>
    <row r="32392" spans="1:3">
      <c r="A32392" s="571" t="s">
        <v>902</v>
      </c>
      <c r="B32392" s="572">
        <v>28</v>
      </c>
      <c r="C32392" s="572">
        <v>488</v>
      </c>
    </row>
    <row r="32393" spans="1:3">
      <c r="A32393" s="571" t="s">
        <v>902</v>
      </c>
      <c r="B32393" s="572">
        <v>91</v>
      </c>
      <c r="C32393" s="572">
        <v>708</v>
      </c>
    </row>
    <row r="32394" spans="1:3">
      <c r="A32394" s="571" t="s">
        <v>901</v>
      </c>
      <c r="B32394" s="572">
        <v>0</v>
      </c>
      <c r="C32394" s="572">
        <v>0</v>
      </c>
    </row>
    <row r="32395" spans="1:3">
      <c r="A32395" s="571" t="s">
        <v>901</v>
      </c>
      <c r="B32395" s="572">
        <v>7</v>
      </c>
      <c r="C32395" s="572">
        <v>232</v>
      </c>
    </row>
    <row r="32396" spans="1:3">
      <c r="A32396" s="571" t="s">
        <v>901</v>
      </c>
      <c r="B32396" s="572">
        <v>28</v>
      </c>
      <c r="C32396" s="572">
        <v>503</v>
      </c>
    </row>
    <row r="32397" spans="1:3">
      <c r="A32397" s="571" t="s">
        <v>901</v>
      </c>
      <c r="B32397" s="572">
        <v>91</v>
      </c>
      <c r="C32397" s="572">
        <v>714</v>
      </c>
    </row>
    <row r="32398" spans="1:3">
      <c r="A32398" s="571" t="s">
        <v>900</v>
      </c>
      <c r="B32398" s="572">
        <v>0</v>
      </c>
      <c r="C32398" s="572">
        <v>0</v>
      </c>
    </row>
    <row r="32399" spans="1:3">
      <c r="A32399" s="571" t="s">
        <v>900</v>
      </c>
      <c r="B32399" s="572">
        <v>7</v>
      </c>
      <c r="C32399" s="572">
        <v>272</v>
      </c>
    </row>
    <row r="32400" spans="1:3">
      <c r="A32400" s="571" t="s">
        <v>900</v>
      </c>
      <c r="B32400" s="572">
        <v>28</v>
      </c>
      <c r="C32400" s="572">
        <v>529</v>
      </c>
    </row>
    <row r="32401" spans="1:3">
      <c r="A32401" s="571" t="s">
        <v>900</v>
      </c>
      <c r="B32401" s="572">
        <v>91</v>
      </c>
      <c r="C32401" s="572">
        <v>782</v>
      </c>
    </row>
    <row r="32402" spans="1:3">
      <c r="A32402" s="571" t="s">
        <v>899</v>
      </c>
      <c r="B32402" s="572">
        <v>0</v>
      </c>
      <c r="C32402" s="572">
        <v>0</v>
      </c>
    </row>
    <row r="32403" spans="1:3">
      <c r="A32403" s="571" t="s">
        <v>899</v>
      </c>
      <c r="B32403" s="572">
        <v>7</v>
      </c>
      <c r="C32403" s="572">
        <v>180</v>
      </c>
    </row>
    <row r="32404" spans="1:3">
      <c r="A32404" s="571" t="s">
        <v>899</v>
      </c>
      <c r="B32404" s="572">
        <v>28</v>
      </c>
      <c r="C32404" s="572">
        <v>390</v>
      </c>
    </row>
    <row r="32405" spans="1:3">
      <c r="A32405" s="571" t="s">
        <v>899</v>
      </c>
      <c r="B32405" s="572">
        <v>56</v>
      </c>
      <c r="C32405" s="572">
        <v>480</v>
      </c>
    </row>
    <row r="32406" spans="1:3">
      <c r="A32406" s="571" t="s">
        <v>899</v>
      </c>
      <c r="B32406" s="572">
        <v>91</v>
      </c>
      <c r="C32406" s="572">
        <v>590</v>
      </c>
    </row>
    <row r="32407" spans="1:3">
      <c r="A32407" s="573" t="s">
        <v>899</v>
      </c>
      <c r="B32407" s="574">
        <v>182</v>
      </c>
      <c r="C32407" s="574">
        <v>610</v>
      </c>
    </row>
    <row r="32408" spans="1:3">
      <c r="A32408" s="571" t="s">
        <v>898</v>
      </c>
      <c r="B32408" s="572">
        <v>0</v>
      </c>
      <c r="C32408" s="572">
        <v>0</v>
      </c>
    </row>
    <row r="32409" spans="1:3">
      <c r="A32409" s="571" t="s">
        <v>898</v>
      </c>
      <c r="B32409" s="572">
        <v>7</v>
      </c>
      <c r="C32409" s="572">
        <v>225</v>
      </c>
    </row>
    <row r="32410" spans="1:3">
      <c r="A32410" s="571" t="s">
        <v>898</v>
      </c>
      <c r="B32410" s="572">
        <v>28</v>
      </c>
      <c r="C32410" s="572">
        <v>425</v>
      </c>
    </row>
    <row r="32411" spans="1:3">
      <c r="A32411" s="571" t="s">
        <v>898</v>
      </c>
      <c r="B32411" s="572">
        <v>56</v>
      </c>
      <c r="C32411" s="572">
        <v>540</v>
      </c>
    </row>
    <row r="32412" spans="1:3">
      <c r="A32412" s="571" t="s">
        <v>898</v>
      </c>
      <c r="B32412" s="572">
        <v>91</v>
      </c>
      <c r="C32412" s="572">
        <v>620</v>
      </c>
    </row>
    <row r="32413" spans="1:3">
      <c r="A32413" s="573" t="s">
        <v>898</v>
      </c>
      <c r="B32413" s="574">
        <v>182</v>
      </c>
      <c r="C32413" s="574">
        <v>680</v>
      </c>
    </row>
    <row r="32414" spans="1:3">
      <c r="A32414" s="571" t="s">
        <v>897</v>
      </c>
      <c r="B32414" s="572">
        <v>0</v>
      </c>
      <c r="C32414" s="572">
        <v>0</v>
      </c>
    </row>
    <row r="32415" spans="1:3">
      <c r="A32415" s="571" t="s">
        <v>897</v>
      </c>
      <c r="B32415" s="572">
        <v>7</v>
      </c>
      <c r="C32415" s="572">
        <v>240</v>
      </c>
    </row>
    <row r="32416" spans="1:3">
      <c r="A32416" s="571" t="s">
        <v>897</v>
      </c>
      <c r="B32416" s="572">
        <v>28</v>
      </c>
      <c r="C32416" s="572">
        <v>430</v>
      </c>
    </row>
    <row r="32417" spans="1:3">
      <c r="A32417" s="571" t="s">
        <v>897</v>
      </c>
      <c r="B32417" s="572">
        <v>56</v>
      </c>
      <c r="C32417" s="572">
        <v>560</v>
      </c>
    </row>
    <row r="32418" spans="1:3">
      <c r="A32418" s="571" t="s">
        <v>897</v>
      </c>
      <c r="B32418" s="572">
        <v>91</v>
      </c>
      <c r="C32418" s="572">
        <v>660</v>
      </c>
    </row>
    <row r="32419" spans="1:3">
      <c r="A32419" s="573" t="s">
        <v>897</v>
      </c>
      <c r="B32419" s="574">
        <v>182</v>
      </c>
      <c r="C32419" s="574">
        <v>720</v>
      </c>
    </row>
    <row r="32420" spans="1:3">
      <c r="A32420" s="571" t="s">
        <v>896</v>
      </c>
      <c r="B32420" s="572">
        <v>0</v>
      </c>
      <c r="C32420" s="572">
        <v>0</v>
      </c>
    </row>
    <row r="32421" spans="1:3">
      <c r="A32421" s="571" t="s">
        <v>896</v>
      </c>
      <c r="B32421" s="572">
        <v>7</v>
      </c>
      <c r="C32421" s="572">
        <v>230</v>
      </c>
    </row>
    <row r="32422" spans="1:3">
      <c r="A32422" s="571" t="s">
        <v>896</v>
      </c>
      <c r="B32422" s="572">
        <v>28</v>
      </c>
      <c r="C32422" s="572">
        <v>450</v>
      </c>
    </row>
    <row r="32423" spans="1:3">
      <c r="A32423" s="571" t="s">
        <v>896</v>
      </c>
      <c r="B32423" s="572">
        <v>56</v>
      </c>
      <c r="C32423" s="572">
        <v>575</v>
      </c>
    </row>
    <row r="32424" spans="1:3">
      <c r="A32424" s="571" t="s">
        <v>896</v>
      </c>
      <c r="B32424" s="572">
        <v>91</v>
      </c>
      <c r="C32424" s="572">
        <v>675</v>
      </c>
    </row>
    <row r="32425" spans="1:3">
      <c r="A32425" s="573" t="s">
        <v>896</v>
      </c>
      <c r="B32425" s="574">
        <v>182</v>
      </c>
      <c r="C32425" s="574">
        <v>740</v>
      </c>
    </row>
    <row r="32426" spans="1:3">
      <c r="A32426" s="571" t="s">
        <v>895</v>
      </c>
      <c r="B32426" s="572">
        <v>0</v>
      </c>
      <c r="C32426" s="572">
        <v>0</v>
      </c>
    </row>
    <row r="32427" spans="1:3">
      <c r="A32427" s="571" t="s">
        <v>895</v>
      </c>
      <c r="B32427" s="572">
        <v>7</v>
      </c>
      <c r="C32427" s="572">
        <v>200</v>
      </c>
    </row>
    <row r="32428" spans="1:3">
      <c r="A32428" s="571" t="s">
        <v>895</v>
      </c>
      <c r="B32428" s="572">
        <v>28</v>
      </c>
      <c r="C32428" s="572">
        <v>370</v>
      </c>
    </row>
    <row r="32429" spans="1:3">
      <c r="A32429" s="571" t="s">
        <v>895</v>
      </c>
      <c r="B32429" s="572">
        <v>56</v>
      </c>
      <c r="C32429" s="572">
        <v>450</v>
      </c>
    </row>
    <row r="32430" spans="1:3">
      <c r="A32430" s="571" t="s">
        <v>895</v>
      </c>
      <c r="B32430" s="572">
        <v>91</v>
      </c>
      <c r="C32430" s="572">
        <v>540</v>
      </c>
    </row>
    <row r="32431" spans="1:3">
      <c r="A32431" s="573" t="s">
        <v>895</v>
      </c>
      <c r="B32431" s="574">
        <v>182</v>
      </c>
      <c r="C32431" s="574">
        <v>600</v>
      </c>
    </row>
    <row r="32432" spans="1:3">
      <c r="A32432" s="571" t="s">
        <v>894</v>
      </c>
      <c r="B32432" s="572">
        <v>0</v>
      </c>
      <c r="C32432" s="572">
        <v>0</v>
      </c>
    </row>
    <row r="32433" spans="1:3">
      <c r="A32433" s="571" t="s">
        <v>894</v>
      </c>
      <c r="B32433" s="572">
        <v>7</v>
      </c>
      <c r="C32433" s="572">
        <v>200</v>
      </c>
    </row>
    <row r="32434" spans="1:3">
      <c r="A32434" s="571" t="s">
        <v>894</v>
      </c>
      <c r="B32434" s="572">
        <v>28</v>
      </c>
      <c r="C32434" s="572">
        <v>415</v>
      </c>
    </row>
    <row r="32435" spans="1:3">
      <c r="A32435" s="571" t="s">
        <v>894</v>
      </c>
      <c r="B32435" s="572">
        <v>56</v>
      </c>
      <c r="C32435" s="572">
        <v>520</v>
      </c>
    </row>
    <row r="32436" spans="1:3">
      <c r="A32436" s="571" t="s">
        <v>894</v>
      </c>
      <c r="B32436" s="572">
        <v>91</v>
      </c>
      <c r="C32436" s="572">
        <v>615</v>
      </c>
    </row>
    <row r="32437" spans="1:3">
      <c r="A32437" s="573" t="s">
        <v>894</v>
      </c>
      <c r="B32437" s="574">
        <v>182</v>
      </c>
      <c r="C32437" s="574">
        <v>685</v>
      </c>
    </row>
    <row r="32438" spans="1:3">
      <c r="A32438" s="571" t="s">
        <v>893</v>
      </c>
      <c r="B32438" s="572">
        <v>0</v>
      </c>
      <c r="C32438" s="572">
        <v>0</v>
      </c>
    </row>
    <row r="32439" spans="1:3">
      <c r="A32439" s="571" t="s">
        <v>893</v>
      </c>
      <c r="B32439" s="572">
        <v>7</v>
      </c>
      <c r="C32439" s="572">
        <v>190</v>
      </c>
    </row>
    <row r="32440" spans="1:3">
      <c r="A32440" s="571" t="s">
        <v>893</v>
      </c>
      <c r="B32440" s="572">
        <v>28</v>
      </c>
      <c r="C32440" s="572">
        <v>315</v>
      </c>
    </row>
    <row r="32441" spans="1:3">
      <c r="A32441" s="571" t="s">
        <v>893</v>
      </c>
      <c r="B32441" s="572">
        <v>56</v>
      </c>
      <c r="C32441" s="572">
        <v>415</v>
      </c>
    </row>
    <row r="32442" spans="1:3">
      <c r="A32442" s="571" t="s">
        <v>893</v>
      </c>
      <c r="B32442" s="572">
        <v>91</v>
      </c>
      <c r="C32442" s="572">
        <v>480</v>
      </c>
    </row>
    <row r="32443" spans="1:3">
      <c r="A32443" s="573" t="s">
        <v>893</v>
      </c>
      <c r="B32443" s="574">
        <v>182</v>
      </c>
      <c r="C32443" s="574">
        <v>550</v>
      </c>
    </row>
    <row r="32444" spans="1:3">
      <c r="A32444" s="571" t="s">
        <v>892</v>
      </c>
      <c r="B32444" s="572">
        <v>0</v>
      </c>
      <c r="C32444" s="572">
        <v>0</v>
      </c>
    </row>
    <row r="32445" spans="1:3">
      <c r="A32445" s="571" t="s">
        <v>892</v>
      </c>
      <c r="B32445" s="572">
        <v>7</v>
      </c>
      <c r="C32445" s="572">
        <v>170</v>
      </c>
    </row>
    <row r="32446" spans="1:3">
      <c r="A32446" s="571" t="s">
        <v>892</v>
      </c>
      <c r="B32446" s="572">
        <v>28</v>
      </c>
      <c r="C32446" s="572">
        <v>330</v>
      </c>
    </row>
    <row r="32447" spans="1:3">
      <c r="A32447" s="571" t="s">
        <v>892</v>
      </c>
      <c r="B32447" s="572">
        <v>56</v>
      </c>
      <c r="C32447" s="572">
        <v>415</v>
      </c>
    </row>
    <row r="32448" spans="1:3">
      <c r="A32448" s="571" t="s">
        <v>892</v>
      </c>
      <c r="B32448" s="572">
        <v>91</v>
      </c>
      <c r="C32448" s="572">
        <v>485</v>
      </c>
    </row>
    <row r="32449" spans="1:3">
      <c r="A32449" s="573" t="s">
        <v>892</v>
      </c>
      <c r="B32449" s="574">
        <v>182</v>
      </c>
      <c r="C32449" s="574">
        <v>530</v>
      </c>
    </row>
    <row r="32450" spans="1:3">
      <c r="A32450" s="571" t="s">
        <v>891</v>
      </c>
      <c r="B32450" s="572">
        <v>0</v>
      </c>
      <c r="C32450" s="572">
        <v>0</v>
      </c>
    </row>
    <row r="32451" spans="1:3">
      <c r="A32451" s="571" t="s">
        <v>891</v>
      </c>
      <c r="B32451" s="572">
        <v>7</v>
      </c>
      <c r="C32451" s="572">
        <v>210</v>
      </c>
    </row>
    <row r="32452" spans="1:3">
      <c r="A32452" s="571" t="s">
        <v>891</v>
      </c>
      <c r="B32452" s="572">
        <v>28</v>
      </c>
      <c r="C32452" s="572">
        <v>420</v>
      </c>
    </row>
    <row r="32453" spans="1:3">
      <c r="A32453" s="571" t="s">
        <v>891</v>
      </c>
      <c r="B32453" s="572">
        <v>56</v>
      </c>
      <c r="C32453" s="572">
        <v>490</v>
      </c>
    </row>
    <row r="32454" spans="1:3">
      <c r="A32454" s="571" t="s">
        <v>891</v>
      </c>
      <c r="B32454" s="572">
        <v>91</v>
      </c>
      <c r="C32454" s="572">
        <v>570</v>
      </c>
    </row>
    <row r="32455" spans="1:3">
      <c r="A32455" s="573" t="s">
        <v>891</v>
      </c>
      <c r="B32455" s="574">
        <v>182</v>
      </c>
      <c r="C32455" s="574">
        <v>625</v>
      </c>
    </row>
    <row r="32456" spans="1:3">
      <c r="A32456" s="571" t="s">
        <v>890</v>
      </c>
      <c r="B32456" s="572">
        <v>0</v>
      </c>
      <c r="C32456" s="572">
        <v>0</v>
      </c>
    </row>
    <row r="32457" spans="1:3">
      <c r="A32457" s="571" t="s">
        <v>890</v>
      </c>
      <c r="B32457" s="572">
        <v>7</v>
      </c>
      <c r="C32457" s="572">
        <v>180</v>
      </c>
    </row>
    <row r="32458" spans="1:3">
      <c r="A32458" s="571" t="s">
        <v>890</v>
      </c>
      <c r="B32458" s="572">
        <v>28</v>
      </c>
      <c r="C32458" s="572">
        <v>400</v>
      </c>
    </row>
    <row r="32459" spans="1:3">
      <c r="A32459" s="571" t="s">
        <v>890</v>
      </c>
      <c r="B32459" s="572">
        <v>56</v>
      </c>
      <c r="C32459" s="572">
        <v>510</v>
      </c>
    </row>
    <row r="32460" spans="1:3">
      <c r="A32460" s="571" t="s">
        <v>890</v>
      </c>
      <c r="B32460" s="572">
        <v>91</v>
      </c>
      <c r="C32460" s="572">
        <v>600</v>
      </c>
    </row>
    <row r="32461" spans="1:3">
      <c r="A32461" s="573" t="s">
        <v>890</v>
      </c>
      <c r="B32461" s="574">
        <v>182</v>
      </c>
      <c r="C32461" s="574">
        <v>670</v>
      </c>
    </row>
    <row r="32462" spans="1:3">
      <c r="A32462" s="571" t="s">
        <v>889</v>
      </c>
      <c r="B32462" s="572">
        <v>0</v>
      </c>
      <c r="C32462" s="572">
        <v>0</v>
      </c>
    </row>
    <row r="32463" spans="1:3">
      <c r="A32463" s="571" t="s">
        <v>889</v>
      </c>
      <c r="B32463" s="572">
        <v>1</v>
      </c>
      <c r="C32463" s="572">
        <v>44</v>
      </c>
    </row>
    <row r="32464" spans="1:3">
      <c r="A32464" s="571" t="s">
        <v>889</v>
      </c>
      <c r="B32464" s="572">
        <v>4</v>
      </c>
      <c r="C32464" s="572">
        <v>111</v>
      </c>
    </row>
    <row r="32465" spans="1:3">
      <c r="A32465" s="571" t="s">
        <v>889</v>
      </c>
      <c r="B32465" s="572">
        <v>5</v>
      </c>
      <c r="C32465" s="572">
        <v>135</v>
      </c>
    </row>
    <row r="32466" spans="1:3">
      <c r="A32466" s="571" t="s">
        <v>889</v>
      </c>
      <c r="B32466" s="572">
        <v>7</v>
      </c>
      <c r="C32466" s="572">
        <v>171</v>
      </c>
    </row>
    <row r="32467" spans="1:3">
      <c r="A32467" s="571" t="s">
        <v>889</v>
      </c>
      <c r="B32467" s="572">
        <v>8</v>
      </c>
      <c r="C32467" s="572">
        <v>202</v>
      </c>
    </row>
    <row r="32468" spans="1:3">
      <c r="A32468" s="571" t="s">
        <v>889</v>
      </c>
      <c r="B32468" s="572">
        <v>11</v>
      </c>
      <c r="C32468" s="572">
        <v>250</v>
      </c>
    </row>
    <row r="32469" spans="1:3">
      <c r="A32469" s="571" t="s">
        <v>889</v>
      </c>
      <c r="B32469" s="572">
        <v>13</v>
      </c>
      <c r="C32469" s="572">
        <v>283</v>
      </c>
    </row>
    <row r="32470" spans="1:3">
      <c r="A32470" s="571" t="s">
        <v>889</v>
      </c>
      <c r="B32470" s="572">
        <v>15</v>
      </c>
      <c r="C32470" s="572">
        <v>310</v>
      </c>
    </row>
    <row r="32471" spans="1:3">
      <c r="A32471" s="571" t="s">
        <v>889</v>
      </c>
      <c r="B32471" s="572">
        <v>20</v>
      </c>
      <c r="C32471" s="572">
        <v>375</v>
      </c>
    </row>
    <row r="32472" spans="1:3">
      <c r="A32472" s="571" t="s">
        <v>889</v>
      </c>
      <c r="B32472" s="572">
        <v>25</v>
      </c>
      <c r="C32472" s="572">
        <v>430</v>
      </c>
    </row>
    <row r="32473" spans="1:3">
      <c r="A32473" s="571" t="s">
        <v>889</v>
      </c>
      <c r="B32473" s="572">
        <v>28.7</v>
      </c>
      <c r="C32473" s="572">
        <v>460</v>
      </c>
    </row>
    <row r="32474" spans="1:3">
      <c r="A32474" s="571" t="s">
        <v>889</v>
      </c>
      <c r="B32474" s="572">
        <v>31.7</v>
      </c>
      <c r="C32474" s="572">
        <v>482</v>
      </c>
    </row>
    <row r="32475" spans="1:3">
      <c r="A32475" s="571" t="s">
        <v>889</v>
      </c>
      <c r="B32475" s="572">
        <v>39</v>
      </c>
      <c r="C32475" s="572">
        <v>540</v>
      </c>
    </row>
    <row r="32476" spans="1:3">
      <c r="A32476" s="571" t="s">
        <v>889</v>
      </c>
      <c r="B32476" s="572">
        <v>47</v>
      </c>
      <c r="C32476" s="572">
        <v>548</v>
      </c>
    </row>
    <row r="32477" spans="1:3">
      <c r="A32477" s="571" t="s">
        <v>889</v>
      </c>
      <c r="B32477" s="572">
        <v>55</v>
      </c>
      <c r="C32477" s="572">
        <v>564</v>
      </c>
    </row>
    <row r="32478" spans="1:3">
      <c r="A32478" s="571" t="s">
        <v>888</v>
      </c>
      <c r="B32478" s="572">
        <v>0</v>
      </c>
      <c r="C32478" s="572">
        <v>0</v>
      </c>
    </row>
    <row r="32479" spans="1:3">
      <c r="A32479" s="571" t="s">
        <v>888</v>
      </c>
      <c r="B32479" s="572">
        <v>1</v>
      </c>
      <c r="C32479" s="572">
        <v>50</v>
      </c>
    </row>
    <row r="32480" spans="1:3">
      <c r="A32480" s="571" t="s">
        <v>888</v>
      </c>
      <c r="B32480" s="572">
        <v>4</v>
      </c>
      <c r="C32480" s="572">
        <v>123</v>
      </c>
    </row>
    <row r="32481" spans="1:3">
      <c r="A32481" s="571" t="s">
        <v>888</v>
      </c>
      <c r="B32481" s="572">
        <v>5</v>
      </c>
      <c r="C32481" s="572">
        <v>147</v>
      </c>
    </row>
    <row r="32482" spans="1:3">
      <c r="A32482" s="571" t="s">
        <v>888</v>
      </c>
      <c r="B32482" s="572">
        <v>7</v>
      </c>
      <c r="C32482" s="572">
        <v>187</v>
      </c>
    </row>
    <row r="32483" spans="1:3">
      <c r="A32483" s="571" t="s">
        <v>888</v>
      </c>
      <c r="B32483" s="572">
        <v>8</v>
      </c>
      <c r="C32483" s="572">
        <v>220</v>
      </c>
    </row>
    <row r="32484" spans="1:3">
      <c r="A32484" s="571" t="s">
        <v>888</v>
      </c>
      <c r="B32484" s="572">
        <v>11</v>
      </c>
      <c r="C32484" s="572">
        <v>267</v>
      </c>
    </row>
    <row r="32485" spans="1:3">
      <c r="A32485" s="571" t="s">
        <v>888</v>
      </c>
      <c r="B32485" s="572">
        <v>13</v>
      </c>
      <c r="C32485" s="572">
        <v>300</v>
      </c>
    </row>
    <row r="32486" spans="1:3">
      <c r="A32486" s="571" t="s">
        <v>888</v>
      </c>
      <c r="B32486" s="572">
        <v>15</v>
      </c>
      <c r="C32486" s="572">
        <v>330</v>
      </c>
    </row>
    <row r="32487" spans="1:3">
      <c r="A32487" s="571" t="s">
        <v>888</v>
      </c>
      <c r="B32487" s="572">
        <v>20</v>
      </c>
      <c r="C32487" s="572">
        <v>404</v>
      </c>
    </row>
    <row r="32488" spans="1:3">
      <c r="A32488" s="571" t="s">
        <v>888</v>
      </c>
      <c r="B32488" s="572">
        <v>25</v>
      </c>
      <c r="C32488" s="572">
        <v>460</v>
      </c>
    </row>
    <row r="32489" spans="1:3">
      <c r="A32489" s="571" t="s">
        <v>888</v>
      </c>
      <c r="B32489" s="572">
        <v>28.7</v>
      </c>
      <c r="C32489" s="572">
        <v>490</v>
      </c>
    </row>
    <row r="32490" spans="1:3">
      <c r="A32490" s="571" t="s">
        <v>888</v>
      </c>
      <c r="B32490" s="572">
        <v>31.7</v>
      </c>
      <c r="C32490" s="572">
        <v>505</v>
      </c>
    </row>
    <row r="32491" spans="1:3">
      <c r="A32491" s="571" t="s">
        <v>888</v>
      </c>
      <c r="B32491" s="572">
        <v>39</v>
      </c>
      <c r="C32491" s="572">
        <v>561</v>
      </c>
    </row>
    <row r="32492" spans="1:3">
      <c r="A32492" s="571" t="s">
        <v>888</v>
      </c>
      <c r="B32492" s="572">
        <v>47</v>
      </c>
      <c r="C32492" s="572">
        <v>580</v>
      </c>
    </row>
    <row r="32493" spans="1:3">
      <c r="A32493" s="571" t="s">
        <v>888</v>
      </c>
      <c r="B32493" s="572">
        <v>55</v>
      </c>
      <c r="C32493" s="572">
        <v>596</v>
      </c>
    </row>
    <row r="32494" spans="1:3">
      <c r="A32494" s="571" t="s">
        <v>887</v>
      </c>
      <c r="B32494" s="572">
        <v>0</v>
      </c>
      <c r="C32494" s="572">
        <v>0</v>
      </c>
    </row>
    <row r="32495" spans="1:3">
      <c r="A32495" s="571" t="s">
        <v>887</v>
      </c>
      <c r="B32495" s="572">
        <v>1</v>
      </c>
      <c r="C32495" s="572">
        <v>40</v>
      </c>
    </row>
    <row r="32496" spans="1:3">
      <c r="A32496" s="571" t="s">
        <v>887</v>
      </c>
      <c r="B32496" s="572">
        <v>4</v>
      </c>
      <c r="C32496" s="572">
        <v>107</v>
      </c>
    </row>
    <row r="32497" spans="1:3">
      <c r="A32497" s="571" t="s">
        <v>887</v>
      </c>
      <c r="B32497" s="572">
        <v>5</v>
      </c>
      <c r="C32497" s="572">
        <v>133</v>
      </c>
    </row>
    <row r="32498" spans="1:3">
      <c r="A32498" s="571" t="s">
        <v>887</v>
      </c>
      <c r="B32498" s="572">
        <v>7</v>
      </c>
      <c r="C32498" s="572">
        <v>162</v>
      </c>
    </row>
    <row r="32499" spans="1:3">
      <c r="A32499" s="571" t="s">
        <v>887</v>
      </c>
      <c r="B32499" s="572">
        <v>8</v>
      </c>
      <c r="C32499" s="572">
        <v>190</v>
      </c>
    </row>
    <row r="32500" spans="1:3">
      <c r="A32500" s="571" t="s">
        <v>887</v>
      </c>
      <c r="B32500" s="572">
        <v>11</v>
      </c>
      <c r="C32500" s="572">
        <v>239</v>
      </c>
    </row>
    <row r="32501" spans="1:3">
      <c r="A32501" s="571" t="s">
        <v>887</v>
      </c>
      <c r="B32501" s="572">
        <v>13</v>
      </c>
      <c r="C32501" s="572">
        <v>270</v>
      </c>
    </row>
    <row r="32502" spans="1:3">
      <c r="A32502" s="571" t="s">
        <v>887</v>
      </c>
      <c r="B32502" s="572">
        <v>15</v>
      </c>
      <c r="C32502" s="572">
        <v>308</v>
      </c>
    </row>
    <row r="32503" spans="1:3">
      <c r="A32503" s="571" t="s">
        <v>887</v>
      </c>
      <c r="B32503" s="572">
        <v>20</v>
      </c>
      <c r="C32503" s="572">
        <v>367</v>
      </c>
    </row>
    <row r="32504" spans="1:3">
      <c r="A32504" s="571" t="s">
        <v>887</v>
      </c>
      <c r="B32504" s="572">
        <v>25</v>
      </c>
      <c r="C32504" s="572">
        <v>424</v>
      </c>
    </row>
    <row r="32505" spans="1:3">
      <c r="A32505" s="571" t="s">
        <v>887</v>
      </c>
      <c r="B32505" s="572">
        <v>28.7</v>
      </c>
      <c r="C32505" s="572">
        <v>450</v>
      </c>
    </row>
    <row r="32506" spans="1:3">
      <c r="A32506" s="571" t="s">
        <v>887</v>
      </c>
      <c r="B32506" s="572">
        <v>31.7</v>
      </c>
      <c r="C32506" s="572">
        <v>473</v>
      </c>
    </row>
    <row r="32507" spans="1:3">
      <c r="A32507" s="571" t="s">
        <v>887</v>
      </c>
      <c r="B32507" s="572">
        <v>39</v>
      </c>
      <c r="C32507" s="572">
        <v>530</v>
      </c>
    </row>
    <row r="32508" spans="1:3">
      <c r="A32508" s="571" t="s">
        <v>887</v>
      </c>
      <c r="B32508" s="572">
        <v>47</v>
      </c>
      <c r="C32508" s="572">
        <v>538</v>
      </c>
    </row>
    <row r="32509" spans="1:3">
      <c r="A32509" s="571" t="s">
        <v>887</v>
      </c>
      <c r="B32509" s="572">
        <v>55</v>
      </c>
      <c r="C32509" s="572">
        <v>564</v>
      </c>
    </row>
    <row r="32510" spans="1:3">
      <c r="A32510" s="571" t="s">
        <v>886</v>
      </c>
      <c r="B32510" s="572">
        <v>0</v>
      </c>
      <c r="C32510" s="572">
        <v>0</v>
      </c>
    </row>
    <row r="32511" spans="1:3">
      <c r="A32511" s="571" t="s">
        <v>886</v>
      </c>
      <c r="B32511" s="572">
        <v>1</v>
      </c>
      <c r="C32511" s="572">
        <v>52</v>
      </c>
    </row>
    <row r="32512" spans="1:3">
      <c r="A32512" s="571" t="s">
        <v>886</v>
      </c>
      <c r="B32512" s="572">
        <v>4</v>
      </c>
      <c r="C32512" s="572">
        <v>128</v>
      </c>
    </row>
    <row r="32513" spans="1:3">
      <c r="A32513" s="571" t="s">
        <v>886</v>
      </c>
      <c r="B32513" s="572">
        <v>5</v>
      </c>
      <c r="C32513" s="572">
        <v>160</v>
      </c>
    </row>
    <row r="32514" spans="1:3">
      <c r="A32514" s="571" t="s">
        <v>886</v>
      </c>
      <c r="B32514" s="572">
        <v>7</v>
      </c>
      <c r="C32514" s="572">
        <v>194</v>
      </c>
    </row>
    <row r="32515" spans="1:3">
      <c r="A32515" s="571" t="s">
        <v>886</v>
      </c>
      <c r="B32515" s="572">
        <v>8</v>
      </c>
      <c r="C32515" s="572">
        <v>232</v>
      </c>
    </row>
    <row r="32516" spans="1:3">
      <c r="A32516" s="571" t="s">
        <v>886</v>
      </c>
      <c r="B32516" s="572">
        <v>11</v>
      </c>
      <c r="C32516" s="572">
        <v>282</v>
      </c>
    </row>
    <row r="32517" spans="1:3">
      <c r="A32517" s="571" t="s">
        <v>886</v>
      </c>
      <c r="B32517" s="572">
        <v>13</v>
      </c>
      <c r="C32517" s="572">
        <v>318</v>
      </c>
    </row>
    <row r="32518" spans="1:3">
      <c r="A32518" s="571" t="s">
        <v>886</v>
      </c>
      <c r="B32518" s="572">
        <v>15</v>
      </c>
      <c r="C32518" s="572">
        <v>364</v>
      </c>
    </row>
    <row r="32519" spans="1:3">
      <c r="A32519" s="571" t="s">
        <v>886</v>
      </c>
      <c r="B32519" s="572">
        <v>20</v>
      </c>
      <c r="C32519" s="572">
        <v>441</v>
      </c>
    </row>
    <row r="32520" spans="1:3">
      <c r="A32520" s="571" t="s">
        <v>886</v>
      </c>
      <c r="B32520" s="572">
        <v>25</v>
      </c>
      <c r="C32520" s="572">
        <v>510</v>
      </c>
    </row>
    <row r="32521" spans="1:3">
      <c r="A32521" s="571" t="s">
        <v>886</v>
      </c>
      <c r="B32521" s="572">
        <v>28.7</v>
      </c>
      <c r="C32521" s="572">
        <v>543</v>
      </c>
    </row>
    <row r="32522" spans="1:3">
      <c r="A32522" s="571" t="s">
        <v>886</v>
      </c>
      <c r="B32522" s="572">
        <v>31.7</v>
      </c>
      <c r="C32522" s="572">
        <v>566</v>
      </c>
    </row>
    <row r="32523" spans="1:3">
      <c r="A32523" s="571" t="s">
        <v>886</v>
      </c>
      <c r="B32523" s="572">
        <v>39</v>
      </c>
      <c r="C32523" s="572">
        <v>634</v>
      </c>
    </row>
    <row r="32524" spans="1:3">
      <c r="A32524" s="571" t="s">
        <v>886</v>
      </c>
      <c r="B32524" s="572">
        <v>47</v>
      </c>
      <c r="C32524" s="572">
        <v>648</v>
      </c>
    </row>
    <row r="32525" spans="1:3">
      <c r="A32525" s="571" t="s">
        <v>886</v>
      </c>
      <c r="B32525" s="572">
        <v>55</v>
      </c>
      <c r="C32525" s="572">
        <v>673</v>
      </c>
    </row>
    <row r="32526" spans="1:3">
      <c r="A32526" s="571" t="s">
        <v>885</v>
      </c>
      <c r="B32526" s="572">
        <v>0</v>
      </c>
      <c r="C32526" s="572">
        <v>0</v>
      </c>
    </row>
    <row r="32527" spans="1:3">
      <c r="A32527" s="571" t="s">
        <v>885</v>
      </c>
      <c r="B32527" s="572">
        <v>1</v>
      </c>
      <c r="C32527" s="572">
        <v>57</v>
      </c>
    </row>
    <row r="32528" spans="1:3">
      <c r="A32528" s="571" t="s">
        <v>885</v>
      </c>
      <c r="B32528" s="572">
        <v>4</v>
      </c>
      <c r="C32528" s="572">
        <v>143</v>
      </c>
    </row>
    <row r="32529" spans="1:3">
      <c r="A32529" s="571" t="s">
        <v>885</v>
      </c>
      <c r="B32529" s="572">
        <v>5</v>
      </c>
      <c r="C32529" s="572">
        <v>177</v>
      </c>
    </row>
    <row r="32530" spans="1:3">
      <c r="A32530" s="571" t="s">
        <v>885</v>
      </c>
      <c r="B32530" s="572">
        <v>7</v>
      </c>
      <c r="C32530" s="572">
        <v>224</v>
      </c>
    </row>
    <row r="32531" spans="1:3">
      <c r="A32531" s="571" t="s">
        <v>885</v>
      </c>
      <c r="B32531" s="572">
        <v>8</v>
      </c>
      <c r="C32531" s="572">
        <v>235</v>
      </c>
    </row>
    <row r="32532" spans="1:3">
      <c r="A32532" s="571" t="s">
        <v>885</v>
      </c>
      <c r="B32532" s="572">
        <v>11</v>
      </c>
      <c r="C32532" s="572">
        <v>313</v>
      </c>
    </row>
    <row r="32533" spans="1:3">
      <c r="A32533" s="571" t="s">
        <v>885</v>
      </c>
      <c r="B32533" s="572">
        <v>13</v>
      </c>
      <c r="C32533" s="572">
        <v>353</v>
      </c>
    </row>
    <row r="32534" spans="1:3">
      <c r="A32534" s="571" t="s">
        <v>885</v>
      </c>
      <c r="B32534" s="572">
        <v>15</v>
      </c>
      <c r="C32534" s="572">
        <v>391</v>
      </c>
    </row>
    <row r="32535" spans="1:3">
      <c r="A32535" s="571" t="s">
        <v>885</v>
      </c>
      <c r="B32535" s="572">
        <v>20</v>
      </c>
      <c r="C32535" s="572">
        <v>480</v>
      </c>
    </row>
    <row r="32536" spans="1:3">
      <c r="A32536" s="571" t="s">
        <v>885</v>
      </c>
      <c r="B32536" s="572">
        <v>25</v>
      </c>
      <c r="C32536" s="572">
        <v>544</v>
      </c>
    </row>
    <row r="32537" spans="1:3">
      <c r="A32537" s="571" t="s">
        <v>885</v>
      </c>
      <c r="B32537" s="572">
        <v>28.7</v>
      </c>
      <c r="C32537" s="572">
        <v>583</v>
      </c>
    </row>
    <row r="32538" spans="1:3">
      <c r="A32538" s="571" t="s">
        <v>885</v>
      </c>
      <c r="B32538" s="572">
        <v>31.7</v>
      </c>
      <c r="C32538" s="572">
        <v>600</v>
      </c>
    </row>
    <row r="32539" spans="1:3">
      <c r="A32539" s="571" t="s">
        <v>885</v>
      </c>
      <c r="B32539" s="572">
        <v>39</v>
      </c>
      <c r="C32539" s="572">
        <v>667</v>
      </c>
    </row>
    <row r="32540" spans="1:3">
      <c r="A32540" s="571" t="s">
        <v>885</v>
      </c>
      <c r="B32540" s="572">
        <v>47</v>
      </c>
      <c r="C32540" s="572">
        <v>687</v>
      </c>
    </row>
    <row r="32541" spans="1:3">
      <c r="A32541" s="571" t="s">
        <v>885</v>
      </c>
      <c r="B32541" s="572">
        <v>55</v>
      </c>
      <c r="C32541" s="572">
        <v>707</v>
      </c>
    </row>
    <row r="32542" spans="1:3">
      <c r="A32542" s="571" t="s">
        <v>884</v>
      </c>
      <c r="B32542" s="572">
        <v>0</v>
      </c>
      <c r="C32542" s="572">
        <v>0</v>
      </c>
    </row>
    <row r="32543" spans="1:3">
      <c r="A32543" s="571" t="s">
        <v>884</v>
      </c>
      <c r="B32543" s="572">
        <v>7</v>
      </c>
      <c r="C32543" s="572">
        <v>165</v>
      </c>
    </row>
    <row r="32544" spans="1:3">
      <c r="A32544" s="571" t="s">
        <v>884</v>
      </c>
      <c r="B32544" s="572">
        <v>14</v>
      </c>
      <c r="C32544" s="572">
        <v>232</v>
      </c>
    </row>
    <row r="32545" spans="1:3">
      <c r="A32545" s="571" t="s">
        <v>884</v>
      </c>
      <c r="B32545" s="572">
        <v>21</v>
      </c>
      <c r="C32545" s="572">
        <v>282</v>
      </c>
    </row>
    <row r="32546" spans="1:3">
      <c r="A32546" s="571" t="s">
        <v>884</v>
      </c>
      <c r="B32546" s="572">
        <v>28</v>
      </c>
      <c r="C32546" s="572">
        <v>296</v>
      </c>
    </row>
    <row r="32547" spans="1:3">
      <c r="A32547" s="571" t="s">
        <v>884</v>
      </c>
      <c r="B32547" s="572">
        <v>35</v>
      </c>
      <c r="C32547" s="572">
        <v>328</v>
      </c>
    </row>
    <row r="32548" spans="1:3">
      <c r="A32548" s="571" t="s">
        <v>884</v>
      </c>
      <c r="B32548" s="572">
        <v>42</v>
      </c>
      <c r="C32548" s="572">
        <v>355</v>
      </c>
    </row>
    <row r="32549" spans="1:3">
      <c r="A32549" s="571" t="s">
        <v>884</v>
      </c>
      <c r="B32549" s="572">
        <v>49</v>
      </c>
      <c r="C32549" s="572">
        <v>361</v>
      </c>
    </row>
    <row r="32550" spans="1:3">
      <c r="A32550" s="571" t="s">
        <v>884</v>
      </c>
      <c r="B32550" s="572">
        <v>56</v>
      </c>
      <c r="C32550" s="572">
        <v>390</v>
      </c>
    </row>
    <row r="32551" spans="1:3">
      <c r="A32551" s="571" t="s">
        <v>884</v>
      </c>
      <c r="B32551" s="572">
        <v>63</v>
      </c>
      <c r="C32551" s="572">
        <v>397</v>
      </c>
    </row>
    <row r="32552" spans="1:3">
      <c r="A32552" s="571" t="s">
        <v>884</v>
      </c>
      <c r="B32552" s="572">
        <v>70</v>
      </c>
      <c r="C32552" s="572">
        <v>401</v>
      </c>
    </row>
    <row r="32553" spans="1:3">
      <c r="A32553" s="571" t="s">
        <v>884</v>
      </c>
      <c r="B32553" s="572">
        <v>77</v>
      </c>
      <c r="C32553" s="572">
        <v>402</v>
      </c>
    </row>
    <row r="32554" spans="1:3">
      <c r="A32554" s="571" t="s">
        <v>884</v>
      </c>
      <c r="B32554" s="572">
        <v>84</v>
      </c>
      <c r="C32554" s="572">
        <v>414</v>
      </c>
    </row>
    <row r="32555" spans="1:3">
      <c r="A32555" s="571" t="s">
        <v>884</v>
      </c>
      <c r="B32555" s="572">
        <v>91</v>
      </c>
      <c r="C32555" s="572">
        <v>438</v>
      </c>
    </row>
    <row r="32556" spans="1:3">
      <c r="A32556" s="573" t="s">
        <v>884</v>
      </c>
      <c r="B32556" s="574">
        <v>119</v>
      </c>
      <c r="C32556" s="574">
        <v>431</v>
      </c>
    </row>
    <row r="32557" spans="1:3">
      <c r="A32557" s="573" t="s">
        <v>884</v>
      </c>
      <c r="B32557" s="574">
        <v>140</v>
      </c>
      <c r="C32557" s="574">
        <v>472</v>
      </c>
    </row>
    <row r="32558" spans="1:3">
      <c r="A32558" s="571" t="s">
        <v>883</v>
      </c>
      <c r="B32558" s="572">
        <v>0</v>
      </c>
      <c r="C32558" s="572">
        <v>0</v>
      </c>
    </row>
    <row r="32559" spans="1:3">
      <c r="A32559" s="571" t="s">
        <v>883</v>
      </c>
      <c r="B32559" s="572">
        <v>7</v>
      </c>
      <c r="C32559" s="572">
        <v>175</v>
      </c>
    </row>
    <row r="32560" spans="1:3">
      <c r="A32560" s="571" t="s">
        <v>883</v>
      </c>
      <c r="B32560" s="572">
        <v>14</v>
      </c>
      <c r="C32560" s="572">
        <v>232</v>
      </c>
    </row>
    <row r="32561" spans="1:3">
      <c r="A32561" s="571" t="s">
        <v>883</v>
      </c>
      <c r="B32561" s="572">
        <v>21</v>
      </c>
      <c r="C32561" s="572">
        <v>289</v>
      </c>
    </row>
    <row r="32562" spans="1:3">
      <c r="A32562" s="571" t="s">
        <v>883</v>
      </c>
      <c r="B32562" s="572">
        <v>28</v>
      </c>
      <c r="C32562" s="572">
        <v>330</v>
      </c>
    </row>
    <row r="32563" spans="1:3">
      <c r="A32563" s="571" t="s">
        <v>883</v>
      </c>
      <c r="B32563" s="572">
        <v>35</v>
      </c>
      <c r="C32563" s="572">
        <v>372</v>
      </c>
    </row>
    <row r="32564" spans="1:3">
      <c r="A32564" s="571" t="s">
        <v>883</v>
      </c>
      <c r="B32564" s="572">
        <v>42</v>
      </c>
      <c r="C32564" s="572">
        <v>389</v>
      </c>
    </row>
    <row r="32565" spans="1:3">
      <c r="A32565" s="571" t="s">
        <v>883</v>
      </c>
      <c r="B32565" s="572">
        <v>49</v>
      </c>
      <c r="C32565" s="572">
        <v>393</v>
      </c>
    </row>
    <row r="32566" spans="1:3">
      <c r="A32566" s="571" t="s">
        <v>883</v>
      </c>
      <c r="B32566" s="572">
        <v>56</v>
      </c>
      <c r="C32566" s="572">
        <v>401</v>
      </c>
    </row>
    <row r="32567" spans="1:3">
      <c r="A32567" s="571" t="s">
        <v>883</v>
      </c>
      <c r="B32567" s="572">
        <v>63</v>
      </c>
      <c r="C32567" s="572">
        <v>440</v>
      </c>
    </row>
    <row r="32568" spans="1:3">
      <c r="A32568" s="571" t="s">
        <v>883</v>
      </c>
      <c r="B32568" s="572">
        <v>70</v>
      </c>
      <c r="C32568" s="572">
        <v>442</v>
      </c>
    </row>
    <row r="32569" spans="1:3">
      <c r="A32569" s="571" t="s">
        <v>883</v>
      </c>
      <c r="B32569" s="572">
        <v>77</v>
      </c>
      <c r="C32569" s="572">
        <v>444</v>
      </c>
    </row>
    <row r="32570" spans="1:3">
      <c r="A32570" s="571" t="s">
        <v>883</v>
      </c>
      <c r="B32570" s="572">
        <v>84</v>
      </c>
      <c r="C32570" s="572">
        <v>462</v>
      </c>
    </row>
    <row r="32571" spans="1:3">
      <c r="A32571" s="571" t="s">
        <v>883</v>
      </c>
      <c r="B32571" s="572">
        <v>91</v>
      </c>
      <c r="C32571" s="572">
        <v>478</v>
      </c>
    </row>
    <row r="32572" spans="1:3">
      <c r="A32572" s="573" t="s">
        <v>883</v>
      </c>
      <c r="B32572" s="574">
        <v>119</v>
      </c>
      <c r="C32572" s="574">
        <v>473</v>
      </c>
    </row>
    <row r="32573" spans="1:3">
      <c r="A32573" s="573" t="s">
        <v>883</v>
      </c>
      <c r="B32573" s="574">
        <v>140</v>
      </c>
      <c r="C32573" s="574">
        <v>537</v>
      </c>
    </row>
    <row r="32574" spans="1:3">
      <c r="A32574" s="571" t="s">
        <v>882</v>
      </c>
      <c r="B32574" s="572">
        <v>0</v>
      </c>
      <c r="C32574" s="572">
        <v>0</v>
      </c>
    </row>
    <row r="32575" spans="1:3">
      <c r="A32575" s="571" t="s">
        <v>882</v>
      </c>
      <c r="B32575" s="572">
        <v>7</v>
      </c>
      <c r="C32575" s="572">
        <v>143</v>
      </c>
    </row>
    <row r="32576" spans="1:3">
      <c r="A32576" s="571" t="s">
        <v>882</v>
      </c>
      <c r="B32576" s="572">
        <v>14</v>
      </c>
      <c r="C32576" s="572">
        <v>223</v>
      </c>
    </row>
    <row r="32577" spans="1:3">
      <c r="A32577" s="571" t="s">
        <v>882</v>
      </c>
      <c r="B32577" s="572">
        <v>21</v>
      </c>
      <c r="C32577" s="572">
        <v>253</v>
      </c>
    </row>
    <row r="32578" spans="1:3">
      <c r="A32578" s="571" t="s">
        <v>882</v>
      </c>
      <c r="B32578" s="572">
        <v>28</v>
      </c>
      <c r="C32578" s="572">
        <v>292</v>
      </c>
    </row>
    <row r="32579" spans="1:3">
      <c r="A32579" s="571" t="s">
        <v>882</v>
      </c>
      <c r="B32579" s="572">
        <v>35</v>
      </c>
      <c r="C32579" s="572">
        <v>312</v>
      </c>
    </row>
    <row r="32580" spans="1:3">
      <c r="A32580" s="571" t="s">
        <v>882</v>
      </c>
      <c r="B32580" s="572">
        <v>42</v>
      </c>
      <c r="C32580" s="572">
        <v>344</v>
      </c>
    </row>
    <row r="32581" spans="1:3">
      <c r="A32581" s="571" t="s">
        <v>882</v>
      </c>
      <c r="B32581" s="572">
        <v>49</v>
      </c>
      <c r="C32581" s="572">
        <v>351</v>
      </c>
    </row>
    <row r="32582" spans="1:3">
      <c r="A32582" s="571" t="s">
        <v>882</v>
      </c>
      <c r="B32582" s="572">
        <v>56</v>
      </c>
      <c r="C32582" s="572">
        <v>352</v>
      </c>
    </row>
    <row r="32583" spans="1:3">
      <c r="A32583" s="571" t="s">
        <v>882</v>
      </c>
      <c r="B32583" s="572">
        <v>63</v>
      </c>
      <c r="C32583" s="572">
        <v>365</v>
      </c>
    </row>
    <row r="32584" spans="1:3">
      <c r="A32584" s="571" t="s">
        <v>882</v>
      </c>
      <c r="B32584" s="572">
        <v>70</v>
      </c>
      <c r="C32584" s="572">
        <v>378</v>
      </c>
    </row>
    <row r="32585" spans="1:3">
      <c r="A32585" s="571" t="s">
        <v>882</v>
      </c>
      <c r="B32585" s="572">
        <v>77</v>
      </c>
      <c r="C32585" s="572">
        <v>377</v>
      </c>
    </row>
    <row r="32586" spans="1:3">
      <c r="A32586" s="571" t="s">
        <v>882</v>
      </c>
      <c r="B32586" s="572">
        <v>84</v>
      </c>
      <c r="C32586" s="572">
        <v>391</v>
      </c>
    </row>
    <row r="32587" spans="1:3">
      <c r="A32587" s="571" t="s">
        <v>882</v>
      </c>
      <c r="B32587" s="572">
        <v>91</v>
      </c>
      <c r="C32587" s="572">
        <v>391</v>
      </c>
    </row>
    <row r="32588" spans="1:3">
      <c r="A32588" s="573" t="s">
        <v>882</v>
      </c>
      <c r="B32588" s="574">
        <v>119</v>
      </c>
      <c r="C32588" s="574">
        <v>387</v>
      </c>
    </row>
    <row r="32589" spans="1:3">
      <c r="A32589" s="573" t="s">
        <v>882</v>
      </c>
      <c r="B32589" s="574">
        <v>140</v>
      </c>
      <c r="C32589" s="574">
        <v>450</v>
      </c>
    </row>
    <row r="32590" spans="1:3">
      <c r="A32590" s="571" t="s">
        <v>881</v>
      </c>
      <c r="B32590" s="572">
        <v>0</v>
      </c>
      <c r="C32590" s="572">
        <v>0</v>
      </c>
    </row>
    <row r="32591" spans="1:3">
      <c r="A32591" s="571" t="s">
        <v>881</v>
      </c>
      <c r="B32591" s="572">
        <v>7</v>
      </c>
      <c r="C32591" s="572">
        <v>125</v>
      </c>
    </row>
    <row r="32592" spans="1:3">
      <c r="A32592" s="571" t="s">
        <v>881</v>
      </c>
      <c r="B32592" s="572">
        <v>14</v>
      </c>
      <c r="C32592" s="572">
        <v>200</v>
      </c>
    </row>
    <row r="32593" spans="1:3">
      <c r="A32593" s="571" t="s">
        <v>881</v>
      </c>
      <c r="B32593" s="572">
        <v>21</v>
      </c>
      <c r="C32593" s="572">
        <v>218</v>
      </c>
    </row>
    <row r="32594" spans="1:3">
      <c r="A32594" s="571" t="s">
        <v>881</v>
      </c>
      <c r="B32594" s="572">
        <v>28</v>
      </c>
      <c r="C32594" s="572">
        <v>291</v>
      </c>
    </row>
    <row r="32595" spans="1:3">
      <c r="A32595" s="571" t="s">
        <v>881</v>
      </c>
      <c r="B32595" s="572">
        <v>35</v>
      </c>
      <c r="C32595" s="572">
        <v>299</v>
      </c>
    </row>
    <row r="32596" spans="1:3">
      <c r="A32596" s="571" t="s">
        <v>881</v>
      </c>
      <c r="B32596" s="572">
        <v>42</v>
      </c>
      <c r="C32596" s="572">
        <v>305</v>
      </c>
    </row>
    <row r="32597" spans="1:3">
      <c r="A32597" s="571" t="s">
        <v>881</v>
      </c>
      <c r="B32597" s="572">
        <v>49</v>
      </c>
      <c r="C32597" s="572">
        <v>326</v>
      </c>
    </row>
    <row r="32598" spans="1:3">
      <c r="A32598" s="571" t="s">
        <v>881</v>
      </c>
      <c r="B32598" s="572">
        <v>56</v>
      </c>
      <c r="C32598" s="572">
        <v>326</v>
      </c>
    </row>
    <row r="32599" spans="1:3">
      <c r="A32599" s="571" t="s">
        <v>881</v>
      </c>
      <c r="B32599" s="572">
        <v>63</v>
      </c>
      <c r="C32599" s="572">
        <v>341</v>
      </c>
    </row>
    <row r="32600" spans="1:3">
      <c r="A32600" s="571" t="s">
        <v>881</v>
      </c>
      <c r="B32600" s="572">
        <v>70</v>
      </c>
      <c r="C32600" s="572">
        <v>350</v>
      </c>
    </row>
    <row r="32601" spans="1:3">
      <c r="A32601" s="571" t="s">
        <v>881</v>
      </c>
      <c r="B32601" s="572">
        <v>77</v>
      </c>
      <c r="C32601" s="572">
        <v>362</v>
      </c>
    </row>
    <row r="32602" spans="1:3">
      <c r="A32602" s="571" t="s">
        <v>881</v>
      </c>
      <c r="B32602" s="572">
        <v>84</v>
      </c>
      <c r="C32602" s="572">
        <v>363</v>
      </c>
    </row>
    <row r="32603" spans="1:3">
      <c r="A32603" s="571" t="s">
        <v>881</v>
      </c>
      <c r="B32603" s="572">
        <v>91</v>
      </c>
      <c r="C32603" s="572">
        <v>369</v>
      </c>
    </row>
    <row r="32604" spans="1:3">
      <c r="A32604" s="573" t="s">
        <v>881</v>
      </c>
      <c r="B32604" s="574">
        <v>119</v>
      </c>
      <c r="C32604" s="574">
        <v>376</v>
      </c>
    </row>
    <row r="32605" spans="1:3">
      <c r="A32605" s="573" t="s">
        <v>881</v>
      </c>
      <c r="B32605" s="574">
        <v>140</v>
      </c>
      <c r="C32605" s="574">
        <v>394</v>
      </c>
    </row>
    <row r="32606" spans="1:3">
      <c r="A32606" s="571" t="s">
        <v>880</v>
      </c>
      <c r="B32606" s="572">
        <v>0</v>
      </c>
      <c r="C32606" s="572">
        <v>0</v>
      </c>
    </row>
    <row r="32607" spans="1:3">
      <c r="A32607" s="571" t="s">
        <v>880</v>
      </c>
      <c r="B32607" s="572">
        <v>7</v>
      </c>
      <c r="C32607" s="572">
        <v>132</v>
      </c>
    </row>
    <row r="32608" spans="1:3">
      <c r="A32608" s="571" t="s">
        <v>880</v>
      </c>
      <c r="B32608" s="572">
        <v>14</v>
      </c>
      <c r="C32608" s="572">
        <v>223</v>
      </c>
    </row>
    <row r="32609" spans="1:3">
      <c r="A32609" s="571" t="s">
        <v>880</v>
      </c>
      <c r="B32609" s="572">
        <v>21</v>
      </c>
      <c r="C32609" s="572">
        <v>252</v>
      </c>
    </row>
    <row r="32610" spans="1:3">
      <c r="A32610" s="571" t="s">
        <v>880</v>
      </c>
      <c r="B32610" s="572">
        <v>28</v>
      </c>
      <c r="C32610" s="572">
        <v>349</v>
      </c>
    </row>
    <row r="32611" spans="1:3">
      <c r="A32611" s="571" t="s">
        <v>880</v>
      </c>
      <c r="B32611" s="572">
        <v>35</v>
      </c>
      <c r="C32611" s="572">
        <v>372</v>
      </c>
    </row>
    <row r="32612" spans="1:3">
      <c r="A32612" s="571" t="s">
        <v>880</v>
      </c>
      <c r="B32612" s="572">
        <v>42</v>
      </c>
      <c r="C32612" s="572">
        <v>380</v>
      </c>
    </row>
    <row r="32613" spans="1:3">
      <c r="A32613" s="571" t="s">
        <v>880</v>
      </c>
      <c r="B32613" s="572">
        <v>49</v>
      </c>
      <c r="C32613" s="572">
        <v>393</v>
      </c>
    </row>
    <row r="32614" spans="1:3">
      <c r="A32614" s="571" t="s">
        <v>880</v>
      </c>
      <c r="B32614" s="572">
        <v>56</v>
      </c>
      <c r="C32614" s="572">
        <v>414</v>
      </c>
    </row>
    <row r="32615" spans="1:3">
      <c r="A32615" s="571" t="s">
        <v>880</v>
      </c>
      <c r="B32615" s="572">
        <v>63</v>
      </c>
      <c r="C32615" s="572">
        <v>420</v>
      </c>
    </row>
    <row r="32616" spans="1:3">
      <c r="A32616" s="571" t="s">
        <v>880</v>
      </c>
      <c r="B32616" s="572">
        <v>70</v>
      </c>
      <c r="C32616" s="572">
        <v>426</v>
      </c>
    </row>
    <row r="32617" spans="1:3">
      <c r="A32617" s="571" t="s">
        <v>880</v>
      </c>
      <c r="B32617" s="572">
        <v>77</v>
      </c>
      <c r="C32617" s="572">
        <v>430</v>
      </c>
    </row>
    <row r="32618" spans="1:3">
      <c r="A32618" s="571" t="s">
        <v>880</v>
      </c>
      <c r="B32618" s="572">
        <v>84</v>
      </c>
      <c r="C32618" s="572">
        <v>440</v>
      </c>
    </row>
    <row r="32619" spans="1:3">
      <c r="A32619" s="571" t="s">
        <v>880</v>
      </c>
      <c r="B32619" s="572">
        <v>91</v>
      </c>
      <c r="C32619" s="572">
        <v>440</v>
      </c>
    </row>
    <row r="32620" spans="1:3">
      <c r="A32620" s="573" t="s">
        <v>880</v>
      </c>
      <c r="B32620" s="574">
        <v>119</v>
      </c>
      <c r="C32620" s="574">
        <v>481</v>
      </c>
    </row>
    <row r="32621" spans="1:3">
      <c r="A32621" s="573" t="s">
        <v>880</v>
      </c>
      <c r="B32621" s="574">
        <v>140</v>
      </c>
      <c r="C32621" s="574">
        <v>472</v>
      </c>
    </row>
    <row r="32622" spans="1:3">
      <c r="A32622" s="571" t="s">
        <v>879</v>
      </c>
      <c r="B32622" s="572">
        <v>0</v>
      </c>
      <c r="C32622" s="572">
        <v>0</v>
      </c>
    </row>
    <row r="32623" spans="1:3">
      <c r="A32623" s="571" t="s">
        <v>879</v>
      </c>
      <c r="B32623" s="572">
        <v>7</v>
      </c>
      <c r="C32623" s="572">
        <v>250</v>
      </c>
    </row>
    <row r="32624" spans="1:3">
      <c r="A32624" s="571" t="s">
        <v>879</v>
      </c>
      <c r="B32624" s="572">
        <v>14</v>
      </c>
      <c r="C32624" s="572">
        <v>400</v>
      </c>
    </row>
    <row r="32625" spans="1:3">
      <c r="A32625" s="571" t="s">
        <v>879</v>
      </c>
      <c r="B32625" s="572">
        <v>21</v>
      </c>
      <c r="C32625" s="572">
        <v>520</v>
      </c>
    </row>
    <row r="32626" spans="1:3">
      <c r="A32626" s="571" t="s">
        <v>879</v>
      </c>
      <c r="B32626" s="572">
        <v>28</v>
      </c>
      <c r="C32626" s="572">
        <v>590</v>
      </c>
    </row>
    <row r="32627" spans="1:3">
      <c r="A32627" s="571" t="s">
        <v>879</v>
      </c>
      <c r="B32627" s="572">
        <v>35</v>
      </c>
      <c r="C32627" s="572">
        <v>650</v>
      </c>
    </row>
    <row r="32628" spans="1:3">
      <c r="A32628" s="571" t="s">
        <v>879</v>
      </c>
      <c r="B32628" s="572">
        <v>42</v>
      </c>
      <c r="C32628" s="572">
        <v>700</v>
      </c>
    </row>
    <row r="32629" spans="1:3">
      <c r="A32629" s="571" t="s">
        <v>879</v>
      </c>
      <c r="B32629" s="572">
        <v>56</v>
      </c>
      <c r="C32629" s="572">
        <v>780</v>
      </c>
    </row>
    <row r="32630" spans="1:3">
      <c r="A32630" s="571" t="s">
        <v>879</v>
      </c>
      <c r="B32630" s="572">
        <v>70</v>
      </c>
      <c r="C32630" s="572">
        <v>850</v>
      </c>
    </row>
    <row r="32631" spans="1:3">
      <c r="A32631" s="571" t="s">
        <v>879</v>
      </c>
      <c r="B32631" s="572">
        <v>98</v>
      </c>
      <c r="C32631" s="572">
        <v>900</v>
      </c>
    </row>
    <row r="32632" spans="1:3">
      <c r="A32632" s="573" t="s">
        <v>879</v>
      </c>
      <c r="B32632" s="574">
        <v>119</v>
      </c>
      <c r="C32632" s="574">
        <v>960</v>
      </c>
    </row>
    <row r="32633" spans="1:3">
      <c r="A32633" s="573" t="s">
        <v>879</v>
      </c>
      <c r="B32633" s="574">
        <v>175</v>
      </c>
      <c r="C32633" s="574">
        <v>990</v>
      </c>
    </row>
    <row r="32634" spans="1:3">
      <c r="A32634" s="571" t="s">
        <v>878</v>
      </c>
      <c r="B32634" s="572">
        <v>0</v>
      </c>
      <c r="C32634" s="572">
        <v>0</v>
      </c>
    </row>
    <row r="32635" spans="1:3">
      <c r="A32635" s="571" t="s">
        <v>878</v>
      </c>
      <c r="B32635" s="572">
        <v>7</v>
      </c>
      <c r="C32635" s="572">
        <v>250</v>
      </c>
    </row>
    <row r="32636" spans="1:3">
      <c r="A32636" s="571" t="s">
        <v>878</v>
      </c>
      <c r="B32636" s="572">
        <v>14</v>
      </c>
      <c r="C32636" s="572">
        <v>400</v>
      </c>
    </row>
    <row r="32637" spans="1:3">
      <c r="A32637" s="571" t="s">
        <v>878</v>
      </c>
      <c r="B32637" s="572">
        <v>21</v>
      </c>
      <c r="C32637" s="572">
        <v>510</v>
      </c>
    </row>
    <row r="32638" spans="1:3">
      <c r="A32638" s="571" t="s">
        <v>878</v>
      </c>
      <c r="B32638" s="572">
        <v>28</v>
      </c>
      <c r="C32638" s="572">
        <v>580</v>
      </c>
    </row>
    <row r="32639" spans="1:3">
      <c r="A32639" s="571" t="s">
        <v>878</v>
      </c>
      <c r="B32639" s="572">
        <v>35</v>
      </c>
      <c r="C32639" s="572">
        <v>620</v>
      </c>
    </row>
    <row r="32640" spans="1:3">
      <c r="A32640" s="571" t="s">
        <v>878</v>
      </c>
      <c r="B32640" s="572">
        <v>42</v>
      </c>
      <c r="C32640" s="572">
        <v>680</v>
      </c>
    </row>
    <row r="32641" spans="1:3">
      <c r="A32641" s="571" t="s">
        <v>878</v>
      </c>
      <c r="B32641" s="572">
        <v>56</v>
      </c>
      <c r="C32641" s="572">
        <v>760</v>
      </c>
    </row>
    <row r="32642" spans="1:3">
      <c r="A32642" s="571" t="s">
        <v>878</v>
      </c>
      <c r="B32642" s="572">
        <v>70</v>
      </c>
      <c r="C32642" s="572">
        <v>820</v>
      </c>
    </row>
    <row r="32643" spans="1:3">
      <c r="A32643" s="571" t="s">
        <v>878</v>
      </c>
      <c r="B32643" s="572">
        <v>98</v>
      </c>
      <c r="C32643" s="572">
        <v>880</v>
      </c>
    </row>
    <row r="32644" spans="1:3">
      <c r="A32644" s="573" t="s">
        <v>878</v>
      </c>
      <c r="B32644" s="574">
        <v>119</v>
      </c>
      <c r="C32644" s="574">
        <v>920</v>
      </c>
    </row>
    <row r="32645" spans="1:3">
      <c r="A32645" s="573" t="s">
        <v>878</v>
      </c>
      <c r="B32645" s="574">
        <v>175</v>
      </c>
      <c r="C32645" s="574">
        <v>960</v>
      </c>
    </row>
    <row r="32646" spans="1:3">
      <c r="A32646" s="571" t="s">
        <v>877</v>
      </c>
      <c r="B32646" s="572">
        <v>0</v>
      </c>
      <c r="C32646" s="572">
        <v>0</v>
      </c>
    </row>
    <row r="32647" spans="1:3">
      <c r="A32647" s="571" t="s">
        <v>877</v>
      </c>
      <c r="B32647" s="572">
        <v>7</v>
      </c>
      <c r="C32647" s="572">
        <v>280</v>
      </c>
    </row>
    <row r="32648" spans="1:3">
      <c r="A32648" s="571" t="s">
        <v>877</v>
      </c>
      <c r="B32648" s="572">
        <v>14</v>
      </c>
      <c r="C32648" s="572">
        <v>400</v>
      </c>
    </row>
    <row r="32649" spans="1:3">
      <c r="A32649" s="571" t="s">
        <v>877</v>
      </c>
      <c r="B32649" s="572">
        <v>21</v>
      </c>
      <c r="C32649" s="572">
        <v>470</v>
      </c>
    </row>
    <row r="32650" spans="1:3">
      <c r="A32650" s="571" t="s">
        <v>877</v>
      </c>
      <c r="B32650" s="572">
        <v>28</v>
      </c>
      <c r="C32650" s="572">
        <v>490</v>
      </c>
    </row>
    <row r="32651" spans="1:3">
      <c r="A32651" s="571" t="s">
        <v>877</v>
      </c>
      <c r="B32651" s="572">
        <v>35</v>
      </c>
      <c r="C32651" s="572">
        <v>550</v>
      </c>
    </row>
    <row r="32652" spans="1:3">
      <c r="A32652" s="571" t="s">
        <v>877</v>
      </c>
      <c r="B32652" s="572">
        <v>42</v>
      </c>
      <c r="C32652" s="572">
        <v>570</v>
      </c>
    </row>
    <row r="32653" spans="1:3">
      <c r="A32653" s="571" t="s">
        <v>877</v>
      </c>
      <c r="B32653" s="572">
        <v>56</v>
      </c>
      <c r="C32653" s="572">
        <v>610</v>
      </c>
    </row>
    <row r="32654" spans="1:3">
      <c r="A32654" s="571" t="s">
        <v>877</v>
      </c>
      <c r="B32654" s="572">
        <v>70</v>
      </c>
      <c r="C32654" s="572">
        <v>630</v>
      </c>
    </row>
    <row r="32655" spans="1:3">
      <c r="A32655" s="571" t="s">
        <v>877</v>
      </c>
      <c r="B32655" s="572">
        <v>98</v>
      </c>
      <c r="C32655" s="572">
        <v>700</v>
      </c>
    </row>
    <row r="32656" spans="1:3">
      <c r="A32656" s="573" t="s">
        <v>877</v>
      </c>
      <c r="B32656" s="574">
        <v>119</v>
      </c>
      <c r="C32656" s="574">
        <v>720</v>
      </c>
    </row>
    <row r="32657" spans="1:3">
      <c r="A32657" s="573" t="s">
        <v>877</v>
      </c>
      <c r="B32657" s="574">
        <v>182</v>
      </c>
      <c r="C32657" s="574">
        <v>780</v>
      </c>
    </row>
    <row r="32658" spans="1:3">
      <c r="A32658" s="571" t="s">
        <v>876</v>
      </c>
      <c r="B32658" s="572">
        <v>0</v>
      </c>
      <c r="C32658" s="572">
        <v>0</v>
      </c>
    </row>
    <row r="32659" spans="1:3">
      <c r="A32659" s="571" t="s">
        <v>876</v>
      </c>
      <c r="B32659" s="572">
        <v>1</v>
      </c>
      <c r="C32659" s="572">
        <v>20</v>
      </c>
    </row>
    <row r="32660" spans="1:3">
      <c r="A32660" s="571" t="s">
        <v>876</v>
      </c>
      <c r="B32660" s="572">
        <v>2</v>
      </c>
      <c r="C32660" s="572">
        <v>30</v>
      </c>
    </row>
    <row r="32661" spans="1:3">
      <c r="A32661" s="571" t="s">
        <v>876</v>
      </c>
      <c r="B32661" s="572">
        <v>3</v>
      </c>
      <c r="C32661" s="572">
        <v>50</v>
      </c>
    </row>
    <row r="32662" spans="1:3">
      <c r="A32662" s="571" t="s">
        <v>876</v>
      </c>
      <c r="B32662" s="572">
        <v>4</v>
      </c>
      <c r="C32662" s="572">
        <v>65</v>
      </c>
    </row>
    <row r="32663" spans="1:3">
      <c r="A32663" s="571" t="s">
        <v>876</v>
      </c>
      <c r="B32663" s="572">
        <v>5</v>
      </c>
      <c r="C32663" s="572">
        <v>80</v>
      </c>
    </row>
    <row r="32664" spans="1:3">
      <c r="A32664" s="571" t="s">
        <v>876</v>
      </c>
      <c r="B32664" s="572">
        <v>6</v>
      </c>
      <c r="C32664" s="572">
        <v>100</v>
      </c>
    </row>
    <row r="32665" spans="1:3">
      <c r="A32665" s="571" t="s">
        <v>876</v>
      </c>
      <c r="B32665" s="572">
        <v>7</v>
      </c>
      <c r="C32665" s="572">
        <v>115</v>
      </c>
    </row>
    <row r="32666" spans="1:3">
      <c r="A32666" s="571" t="s">
        <v>876</v>
      </c>
      <c r="B32666" s="572">
        <v>28</v>
      </c>
      <c r="C32666" s="572">
        <v>320</v>
      </c>
    </row>
    <row r="32667" spans="1:3">
      <c r="A32667" s="571" t="s">
        <v>876</v>
      </c>
      <c r="B32667" s="572">
        <v>56</v>
      </c>
      <c r="C32667" s="572">
        <v>440</v>
      </c>
    </row>
    <row r="32668" spans="1:3">
      <c r="A32668" s="571" t="s">
        <v>876</v>
      </c>
      <c r="B32668" s="572">
        <v>91</v>
      </c>
      <c r="C32668" s="572">
        <v>520</v>
      </c>
    </row>
    <row r="32669" spans="1:3">
      <c r="A32669" s="571" t="s">
        <v>875</v>
      </c>
      <c r="B32669" s="572">
        <v>0</v>
      </c>
      <c r="C32669" s="572">
        <v>0</v>
      </c>
    </row>
    <row r="32670" spans="1:3">
      <c r="A32670" s="571" t="s">
        <v>875</v>
      </c>
      <c r="B32670" s="572">
        <v>1</v>
      </c>
      <c r="C32670" s="572">
        <v>50</v>
      </c>
    </row>
    <row r="32671" spans="1:3">
      <c r="A32671" s="571" t="s">
        <v>875</v>
      </c>
      <c r="B32671" s="572">
        <v>2</v>
      </c>
      <c r="C32671" s="572">
        <v>80</v>
      </c>
    </row>
    <row r="32672" spans="1:3">
      <c r="A32672" s="571" t="s">
        <v>875</v>
      </c>
      <c r="B32672" s="572">
        <v>3</v>
      </c>
      <c r="C32672" s="572">
        <v>120</v>
      </c>
    </row>
    <row r="32673" spans="1:3">
      <c r="A32673" s="571" t="s">
        <v>875</v>
      </c>
      <c r="B32673" s="572">
        <v>4</v>
      </c>
      <c r="C32673" s="572">
        <v>135</v>
      </c>
    </row>
    <row r="32674" spans="1:3">
      <c r="A32674" s="571" t="s">
        <v>875</v>
      </c>
      <c r="B32674" s="572">
        <v>5</v>
      </c>
      <c r="C32674" s="572">
        <v>150</v>
      </c>
    </row>
    <row r="32675" spans="1:3">
      <c r="A32675" s="571" t="s">
        <v>875</v>
      </c>
      <c r="B32675" s="572">
        <v>6</v>
      </c>
      <c r="C32675" s="572">
        <v>170</v>
      </c>
    </row>
    <row r="32676" spans="1:3">
      <c r="A32676" s="571" t="s">
        <v>875</v>
      </c>
      <c r="B32676" s="572">
        <v>7</v>
      </c>
      <c r="C32676" s="572">
        <v>180</v>
      </c>
    </row>
    <row r="32677" spans="1:3">
      <c r="A32677" s="571" t="s">
        <v>875</v>
      </c>
      <c r="B32677" s="572">
        <v>28</v>
      </c>
      <c r="C32677" s="572">
        <v>365</v>
      </c>
    </row>
    <row r="32678" spans="1:3">
      <c r="A32678" s="571" t="s">
        <v>875</v>
      </c>
      <c r="B32678" s="572">
        <v>56</v>
      </c>
      <c r="C32678" s="572">
        <v>465</v>
      </c>
    </row>
    <row r="32679" spans="1:3">
      <c r="A32679" s="571" t="s">
        <v>875</v>
      </c>
      <c r="B32679" s="572">
        <v>91</v>
      </c>
      <c r="C32679" s="572">
        <v>525</v>
      </c>
    </row>
    <row r="32680" spans="1:3">
      <c r="A32680" s="571" t="s">
        <v>874</v>
      </c>
      <c r="B32680" s="572">
        <v>0</v>
      </c>
      <c r="C32680" s="572">
        <v>0</v>
      </c>
    </row>
    <row r="32681" spans="1:3">
      <c r="A32681" s="571" t="s">
        <v>874</v>
      </c>
      <c r="B32681" s="572">
        <v>3</v>
      </c>
      <c r="C32681" s="572">
        <v>50</v>
      </c>
    </row>
    <row r="32682" spans="1:3">
      <c r="A32682" s="571" t="s">
        <v>874</v>
      </c>
      <c r="B32682" s="572">
        <v>7</v>
      </c>
      <c r="C32682" s="572">
        <v>100</v>
      </c>
    </row>
    <row r="32683" spans="1:3">
      <c r="A32683" s="571" t="s">
        <v>874</v>
      </c>
      <c r="B32683" s="572">
        <v>14</v>
      </c>
      <c r="C32683" s="572">
        <v>170</v>
      </c>
    </row>
    <row r="32684" spans="1:3">
      <c r="A32684" s="571" t="s">
        <v>874</v>
      </c>
      <c r="B32684" s="572">
        <v>28</v>
      </c>
      <c r="C32684" s="572">
        <v>250</v>
      </c>
    </row>
    <row r="32685" spans="1:3">
      <c r="A32685" s="571" t="s">
        <v>874</v>
      </c>
      <c r="B32685" s="572">
        <v>42</v>
      </c>
      <c r="C32685" s="572">
        <v>300</v>
      </c>
    </row>
    <row r="32686" spans="1:3">
      <c r="A32686" s="571" t="s">
        <v>874</v>
      </c>
      <c r="B32686" s="572">
        <v>56</v>
      </c>
      <c r="C32686" s="572">
        <v>330</v>
      </c>
    </row>
    <row r="32687" spans="1:3">
      <c r="A32687" s="571" t="s">
        <v>874</v>
      </c>
      <c r="B32687" s="572">
        <v>70</v>
      </c>
      <c r="C32687" s="572">
        <v>370</v>
      </c>
    </row>
    <row r="32688" spans="1:3">
      <c r="A32688" s="571" t="s">
        <v>874</v>
      </c>
      <c r="B32688" s="572">
        <v>91</v>
      </c>
      <c r="C32688" s="572">
        <v>390</v>
      </c>
    </row>
    <row r="32689" spans="1:3">
      <c r="A32689" s="571" t="s">
        <v>873</v>
      </c>
      <c r="B32689" s="572">
        <v>0</v>
      </c>
      <c r="C32689" s="572">
        <v>0</v>
      </c>
    </row>
    <row r="32690" spans="1:3">
      <c r="A32690" s="571" t="s">
        <v>873</v>
      </c>
      <c r="B32690" s="572">
        <v>3</v>
      </c>
      <c r="C32690" s="572">
        <v>100</v>
      </c>
    </row>
    <row r="32691" spans="1:3">
      <c r="A32691" s="571" t="s">
        <v>873</v>
      </c>
      <c r="B32691" s="572">
        <v>7</v>
      </c>
      <c r="C32691" s="572">
        <v>180</v>
      </c>
    </row>
    <row r="32692" spans="1:3">
      <c r="A32692" s="571" t="s">
        <v>873</v>
      </c>
      <c r="B32692" s="572">
        <v>14</v>
      </c>
      <c r="C32692" s="572">
        <v>240</v>
      </c>
    </row>
    <row r="32693" spans="1:3">
      <c r="A32693" s="571" t="s">
        <v>873</v>
      </c>
      <c r="B32693" s="572">
        <v>28</v>
      </c>
      <c r="C32693" s="572">
        <v>340</v>
      </c>
    </row>
    <row r="32694" spans="1:3">
      <c r="A32694" s="571" t="s">
        <v>873</v>
      </c>
      <c r="B32694" s="572">
        <v>42</v>
      </c>
      <c r="C32694" s="572">
        <v>400</v>
      </c>
    </row>
    <row r="32695" spans="1:3">
      <c r="A32695" s="571" t="s">
        <v>873</v>
      </c>
      <c r="B32695" s="572">
        <v>56</v>
      </c>
      <c r="C32695" s="572">
        <v>430</v>
      </c>
    </row>
    <row r="32696" spans="1:3">
      <c r="A32696" s="571" t="s">
        <v>873</v>
      </c>
      <c r="B32696" s="572">
        <v>70</v>
      </c>
      <c r="C32696" s="572">
        <v>480</v>
      </c>
    </row>
    <row r="32697" spans="1:3">
      <c r="A32697" s="571" t="s">
        <v>873</v>
      </c>
      <c r="B32697" s="572">
        <v>91</v>
      </c>
      <c r="C32697" s="572">
        <v>500</v>
      </c>
    </row>
    <row r="32698" spans="1:3">
      <c r="A32698" s="571" t="s">
        <v>872</v>
      </c>
      <c r="B32698" s="572">
        <v>0</v>
      </c>
      <c r="C32698" s="572">
        <v>0</v>
      </c>
    </row>
    <row r="32699" spans="1:3">
      <c r="A32699" s="571" t="s">
        <v>872</v>
      </c>
      <c r="B32699" s="572">
        <v>0.3</v>
      </c>
      <c r="C32699" s="572">
        <v>30</v>
      </c>
    </row>
    <row r="32700" spans="1:3">
      <c r="A32700" s="571" t="s">
        <v>872</v>
      </c>
      <c r="B32700" s="572">
        <v>0.7</v>
      </c>
      <c r="C32700" s="572">
        <v>100</v>
      </c>
    </row>
    <row r="32701" spans="1:3">
      <c r="A32701" s="571" t="s">
        <v>872</v>
      </c>
      <c r="B32701" s="572">
        <v>1</v>
      </c>
      <c r="C32701" s="572">
        <v>120</v>
      </c>
    </row>
    <row r="32702" spans="1:3">
      <c r="A32702" s="571" t="s">
        <v>872</v>
      </c>
      <c r="B32702" s="572">
        <v>2</v>
      </c>
      <c r="C32702" s="572">
        <v>230</v>
      </c>
    </row>
    <row r="32703" spans="1:3">
      <c r="A32703" s="571" t="s">
        <v>872</v>
      </c>
      <c r="B32703" s="572">
        <v>3</v>
      </c>
      <c r="C32703" s="572">
        <v>300</v>
      </c>
    </row>
    <row r="32704" spans="1:3">
      <c r="A32704" s="571" t="s">
        <v>872</v>
      </c>
      <c r="B32704" s="572">
        <v>4</v>
      </c>
      <c r="C32704" s="572">
        <v>320</v>
      </c>
    </row>
    <row r="32705" spans="1:3">
      <c r="A32705" s="571" t="s">
        <v>872</v>
      </c>
      <c r="B32705" s="572">
        <v>8</v>
      </c>
      <c r="C32705" s="572">
        <v>440</v>
      </c>
    </row>
    <row r="32706" spans="1:3">
      <c r="A32706" s="571" t="s">
        <v>872</v>
      </c>
      <c r="B32706" s="572">
        <v>11</v>
      </c>
      <c r="C32706" s="572">
        <v>510</v>
      </c>
    </row>
    <row r="32707" spans="1:3">
      <c r="A32707" s="571" t="s">
        <v>872</v>
      </c>
      <c r="B32707" s="572">
        <v>25</v>
      </c>
      <c r="C32707" s="572">
        <v>560</v>
      </c>
    </row>
    <row r="32708" spans="1:3">
      <c r="A32708" s="571" t="s">
        <v>872</v>
      </c>
      <c r="B32708" s="572">
        <v>39</v>
      </c>
      <c r="C32708" s="572">
        <v>600</v>
      </c>
    </row>
    <row r="32709" spans="1:3">
      <c r="A32709" s="571" t="s">
        <v>872</v>
      </c>
      <c r="B32709" s="572">
        <v>52</v>
      </c>
      <c r="C32709" s="572">
        <v>610</v>
      </c>
    </row>
    <row r="32710" spans="1:3">
      <c r="A32710" s="571" t="s">
        <v>871</v>
      </c>
      <c r="B32710" s="572">
        <v>0</v>
      </c>
      <c r="C32710" s="572">
        <v>0</v>
      </c>
    </row>
    <row r="32711" spans="1:3">
      <c r="A32711" s="571" t="s">
        <v>871</v>
      </c>
      <c r="B32711" s="572">
        <v>0.3</v>
      </c>
      <c r="C32711" s="572">
        <v>40</v>
      </c>
    </row>
    <row r="32712" spans="1:3">
      <c r="A32712" s="571" t="s">
        <v>871</v>
      </c>
      <c r="B32712" s="572">
        <v>0.7</v>
      </c>
      <c r="C32712" s="572">
        <v>150</v>
      </c>
    </row>
    <row r="32713" spans="1:3">
      <c r="A32713" s="571" t="s">
        <v>871</v>
      </c>
      <c r="B32713" s="572">
        <v>1</v>
      </c>
      <c r="C32713" s="572">
        <v>200</v>
      </c>
    </row>
    <row r="32714" spans="1:3">
      <c r="A32714" s="571" t="s">
        <v>871</v>
      </c>
      <c r="B32714" s="572">
        <v>2</v>
      </c>
      <c r="C32714" s="572">
        <v>300</v>
      </c>
    </row>
    <row r="32715" spans="1:3">
      <c r="A32715" s="571" t="s">
        <v>871</v>
      </c>
      <c r="B32715" s="572">
        <v>3</v>
      </c>
      <c r="C32715" s="572">
        <v>360</v>
      </c>
    </row>
    <row r="32716" spans="1:3">
      <c r="A32716" s="571" t="s">
        <v>871</v>
      </c>
      <c r="B32716" s="572">
        <v>4</v>
      </c>
      <c r="C32716" s="572">
        <v>380</v>
      </c>
    </row>
    <row r="32717" spans="1:3">
      <c r="A32717" s="571" t="s">
        <v>871</v>
      </c>
      <c r="B32717" s="572">
        <v>8</v>
      </c>
      <c r="C32717" s="572">
        <v>480</v>
      </c>
    </row>
    <row r="32718" spans="1:3">
      <c r="A32718" s="571" t="s">
        <v>871</v>
      </c>
      <c r="B32718" s="572">
        <v>11</v>
      </c>
      <c r="C32718" s="572">
        <v>525</v>
      </c>
    </row>
    <row r="32719" spans="1:3">
      <c r="A32719" s="571" t="s">
        <v>871</v>
      </c>
      <c r="B32719" s="572">
        <v>25</v>
      </c>
      <c r="C32719" s="572">
        <v>560</v>
      </c>
    </row>
    <row r="32720" spans="1:3">
      <c r="A32720" s="571" t="s">
        <v>871</v>
      </c>
      <c r="B32720" s="572">
        <v>39</v>
      </c>
      <c r="C32720" s="572">
        <v>590</v>
      </c>
    </row>
    <row r="32721" spans="1:3">
      <c r="A32721" s="571" t="s">
        <v>871</v>
      </c>
      <c r="B32721" s="572">
        <v>52</v>
      </c>
      <c r="C32721" s="572">
        <v>585</v>
      </c>
    </row>
    <row r="32722" spans="1:3">
      <c r="A32722" s="571" t="s">
        <v>870</v>
      </c>
      <c r="B32722" s="572">
        <v>0</v>
      </c>
      <c r="C32722" s="572">
        <v>0</v>
      </c>
    </row>
    <row r="32723" spans="1:3">
      <c r="A32723" s="571" t="s">
        <v>870</v>
      </c>
      <c r="B32723" s="572">
        <v>0.3</v>
      </c>
      <c r="C32723" s="572">
        <v>20</v>
      </c>
    </row>
    <row r="32724" spans="1:3">
      <c r="A32724" s="571" t="s">
        <v>870</v>
      </c>
      <c r="B32724" s="572">
        <v>0.7</v>
      </c>
      <c r="C32724" s="572">
        <v>100</v>
      </c>
    </row>
    <row r="32725" spans="1:3">
      <c r="A32725" s="571" t="s">
        <v>870</v>
      </c>
      <c r="B32725" s="572">
        <v>1</v>
      </c>
      <c r="C32725" s="572">
        <v>150</v>
      </c>
    </row>
    <row r="32726" spans="1:3">
      <c r="A32726" s="571" t="s">
        <v>870</v>
      </c>
      <c r="B32726" s="572">
        <v>2</v>
      </c>
      <c r="C32726" s="572">
        <v>250</v>
      </c>
    </row>
    <row r="32727" spans="1:3">
      <c r="A32727" s="571" t="s">
        <v>870</v>
      </c>
      <c r="B32727" s="572">
        <v>3</v>
      </c>
      <c r="C32727" s="572">
        <v>320</v>
      </c>
    </row>
    <row r="32728" spans="1:3">
      <c r="A32728" s="571" t="s">
        <v>870</v>
      </c>
      <c r="B32728" s="572">
        <v>4</v>
      </c>
      <c r="C32728" s="572">
        <v>355</v>
      </c>
    </row>
    <row r="32729" spans="1:3">
      <c r="A32729" s="571" t="s">
        <v>870</v>
      </c>
      <c r="B32729" s="572">
        <v>8</v>
      </c>
      <c r="C32729" s="572">
        <v>490</v>
      </c>
    </row>
    <row r="32730" spans="1:3">
      <c r="A32730" s="571" t="s">
        <v>870</v>
      </c>
      <c r="B32730" s="572">
        <v>11</v>
      </c>
      <c r="C32730" s="572">
        <v>555</v>
      </c>
    </row>
    <row r="32731" spans="1:3">
      <c r="A32731" s="571" t="s">
        <v>870</v>
      </c>
      <c r="B32731" s="572">
        <v>25</v>
      </c>
      <c r="C32731" s="572">
        <v>620</v>
      </c>
    </row>
    <row r="32732" spans="1:3">
      <c r="A32732" s="571" t="s">
        <v>870</v>
      </c>
      <c r="B32732" s="572">
        <v>39</v>
      </c>
      <c r="C32732" s="572">
        <v>655</v>
      </c>
    </row>
    <row r="32733" spans="1:3">
      <c r="A32733" s="571" t="s">
        <v>870</v>
      </c>
      <c r="B32733" s="572">
        <v>52</v>
      </c>
      <c r="C32733" s="572">
        <v>660</v>
      </c>
    </row>
    <row r="32734" spans="1:3">
      <c r="A32734" s="571" t="s">
        <v>869</v>
      </c>
      <c r="B32734" s="572">
        <v>0</v>
      </c>
      <c r="C32734" s="572">
        <v>0</v>
      </c>
    </row>
    <row r="32735" spans="1:3">
      <c r="A32735" s="571" t="s">
        <v>869</v>
      </c>
      <c r="B32735" s="572">
        <v>7</v>
      </c>
      <c r="C32735" s="572">
        <v>130</v>
      </c>
    </row>
    <row r="32736" spans="1:3">
      <c r="A32736" s="571" t="s">
        <v>869</v>
      </c>
      <c r="B32736" s="572">
        <v>28</v>
      </c>
      <c r="C32736" s="572">
        <v>350</v>
      </c>
    </row>
    <row r="32737" spans="1:3">
      <c r="A32737" s="571" t="s">
        <v>869</v>
      </c>
      <c r="B32737" s="572">
        <v>56</v>
      </c>
      <c r="C32737" s="572">
        <v>420</v>
      </c>
    </row>
    <row r="32738" spans="1:3">
      <c r="A32738" s="571" t="s">
        <v>868</v>
      </c>
      <c r="B32738" s="572">
        <v>0</v>
      </c>
      <c r="C32738" s="572">
        <v>0</v>
      </c>
    </row>
    <row r="32739" spans="1:3">
      <c r="A32739" s="571" t="s">
        <v>868</v>
      </c>
      <c r="B32739" s="572">
        <v>7</v>
      </c>
      <c r="C32739" s="572">
        <v>170</v>
      </c>
    </row>
    <row r="32740" spans="1:3">
      <c r="A32740" s="571" t="s">
        <v>868</v>
      </c>
      <c r="B32740" s="572">
        <v>28</v>
      </c>
      <c r="C32740" s="572">
        <v>390</v>
      </c>
    </row>
    <row r="32741" spans="1:3">
      <c r="A32741" s="571" t="s">
        <v>868</v>
      </c>
      <c r="B32741" s="572">
        <v>56</v>
      </c>
      <c r="C32741" s="572">
        <v>450</v>
      </c>
    </row>
    <row r="32742" spans="1:3">
      <c r="A32742" s="571" t="s">
        <v>867</v>
      </c>
      <c r="B32742" s="572">
        <v>0</v>
      </c>
      <c r="C32742" s="572">
        <v>0</v>
      </c>
    </row>
    <row r="32743" spans="1:3">
      <c r="A32743" s="571" t="s">
        <v>867</v>
      </c>
      <c r="B32743" s="572">
        <v>7</v>
      </c>
      <c r="C32743" s="572">
        <v>220</v>
      </c>
    </row>
    <row r="32744" spans="1:3">
      <c r="A32744" s="571" t="s">
        <v>867</v>
      </c>
      <c r="B32744" s="572">
        <v>28</v>
      </c>
      <c r="C32744" s="572">
        <v>450</v>
      </c>
    </row>
    <row r="32745" spans="1:3">
      <c r="A32745" s="571" t="s">
        <v>867</v>
      </c>
      <c r="B32745" s="572">
        <v>56</v>
      </c>
      <c r="C32745" s="572">
        <v>550</v>
      </c>
    </row>
    <row r="32746" spans="1:3">
      <c r="A32746" s="571" t="s">
        <v>866</v>
      </c>
      <c r="B32746" s="572">
        <v>0</v>
      </c>
      <c r="C32746" s="572">
        <v>0</v>
      </c>
    </row>
    <row r="32747" spans="1:3">
      <c r="A32747" s="571" t="s">
        <v>866</v>
      </c>
      <c r="B32747" s="572">
        <v>7</v>
      </c>
      <c r="C32747" s="572">
        <v>160</v>
      </c>
    </row>
    <row r="32748" spans="1:3">
      <c r="A32748" s="571" t="s">
        <v>866</v>
      </c>
      <c r="B32748" s="572">
        <v>28</v>
      </c>
      <c r="C32748" s="572">
        <v>380</v>
      </c>
    </row>
    <row r="32749" spans="1:3">
      <c r="A32749" s="571" t="s">
        <v>866</v>
      </c>
      <c r="B32749" s="572">
        <v>56</v>
      </c>
      <c r="C32749" s="572">
        <v>460</v>
      </c>
    </row>
    <row r="32750" spans="1:3">
      <c r="A32750" s="573" t="s">
        <v>865</v>
      </c>
      <c r="B32750" s="574">
        <v>182</v>
      </c>
      <c r="C32750" s="574">
        <v>747</v>
      </c>
    </row>
    <row r="32751" spans="1:3">
      <c r="A32751" s="573" t="s">
        <v>864</v>
      </c>
      <c r="B32751" s="574">
        <v>182</v>
      </c>
      <c r="C32751" s="574">
        <v>606</v>
      </c>
    </row>
    <row r="32752" spans="1:3">
      <c r="A32752" s="573" t="s">
        <v>863</v>
      </c>
      <c r="B32752" s="574">
        <v>182</v>
      </c>
      <c r="C32752" s="574">
        <v>579</v>
      </c>
    </row>
    <row r="32753" spans="1:3">
      <c r="A32753" s="573" t="s">
        <v>862</v>
      </c>
      <c r="B32753" s="574">
        <v>182</v>
      </c>
      <c r="C32753" s="574">
        <v>606</v>
      </c>
    </row>
    <row r="32754" spans="1:3">
      <c r="A32754" s="573" t="s">
        <v>861</v>
      </c>
      <c r="B32754" s="574">
        <v>182</v>
      </c>
      <c r="C32754" s="574">
        <v>735</v>
      </c>
    </row>
    <row r="32755" spans="1:3">
      <c r="A32755" s="573" t="s">
        <v>860</v>
      </c>
      <c r="B32755" s="574">
        <v>182</v>
      </c>
      <c r="C32755" s="574">
        <v>754</v>
      </c>
    </row>
    <row r="32756" spans="1:3">
      <c r="A32756" s="573" t="s">
        <v>859</v>
      </c>
      <c r="B32756" s="574">
        <v>182</v>
      </c>
      <c r="C32756" s="574">
        <v>681</v>
      </c>
    </row>
    <row r="32757" spans="1:3">
      <c r="A32757" s="573" t="s">
        <v>858</v>
      </c>
      <c r="B32757" s="574">
        <v>182</v>
      </c>
      <c r="C32757" s="574">
        <v>897</v>
      </c>
    </row>
    <row r="32758" spans="1:3">
      <c r="A32758" s="573" t="s">
        <v>857</v>
      </c>
      <c r="B32758" s="574">
        <v>182</v>
      </c>
      <c r="C32758" s="574">
        <v>901</v>
      </c>
    </row>
    <row r="32759" spans="1:3">
      <c r="A32759" s="573" t="s">
        <v>856</v>
      </c>
      <c r="B32759" s="574">
        <v>182</v>
      </c>
      <c r="C32759" s="574">
        <v>913</v>
      </c>
    </row>
    <row r="32760" spans="1:3">
      <c r="A32760" s="573" t="s">
        <v>855</v>
      </c>
      <c r="B32760" s="574">
        <v>182</v>
      </c>
      <c r="C32760" s="574">
        <v>946</v>
      </c>
    </row>
    <row r="32761" spans="1:3">
      <c r="A32761" s="573" t="s">
        <v>854</v>
      </c>
      <c r="B32761" s="574">
        <v>182</v>
      </c>
      <c r="C32761" s="574">
        <v>912</v>
      </c>
    </row>
    <row r="32762" spans="1:3">
      <c r="A32762" s="573" t="s">
        <v>853</v>
      </c>
      <c r="B32762" s="574">
        <v>182</v>
      </c>
      <c r="C32762" s="574">
        <v>985</v>
      </c>
    </row>
    <row r="32763" spans="1:3">
      <c r="A32763" s="573" t="s">
        <v>852</v>
      </c>
      <c r="B32763" s="574">
        <v>182</v>
      </c>
      <c r="C32763" s="574">
        <v>727</v>
      </c>
    </row>
    <row r="32764" spans="1:3">
      <c r="A32764" s="573" t="s">
        <v>851</v>
      </c>
      <c r="B32764" s="574">
        <v>182</v>
      </c>
      <c r="C32764" s="574">
        <v>980</v>
      </c>
    </row>
    <row r="32765" spans="1:3">
      <c r="A32765" s="573" t="s">
        <v>850</v>
      </c>
      <c r="B32765" s="574">
        <v>182</v>
      </c>
      <c r="C32765" s="574">
        <v>930</v>
      </c>
    </row>
    <row r="32766" spans="1:3">
      <c r="A32766" s="573" t="s">
        <v>849</v>
      </c>
      <c r="B32766" s="574">
        <v>182</v>
      </c>
      <c r="C32766" s="574">
        <v>900</v>
      </c>
    </row>
    <row r="32767" spans="1:3">
      <c r="A32767" s="573" t="s">
        <v>848</v>
      </c>
      <c r="B32767" s="574">
        <v>182</v>
      </c>
      <c r="C32767" s="574">
        <v>900</v>
      </c>
    </row>
    <row r="32768" spans="1:3">
      <c r="A32768" s="573" t="s">
        <v>847</v>
      </c>
      <c r="B32768" s="574">
        <v>182</v>
      </c>
      <c r="C32768" s="574">
        <v>990</v>
      </c>
    </row>
    <row r="32769" spans="1:3">
      <c r="A32769" s="573" t="s">
        <v>846</v>
      </c>
      <c r="B32769" s="574">
        <v>182</v>
      </c>
      <c r="C32769" s="574">
        <v>800</v>
      </c>
    </row>
    <row r="32770" spans="1:3">
      <c r="A32770" s="573" t="s">
        <v>845</v>
      </c>
      <c r="B32770" s="574">
        <v>182</v>
      </c>
      <c r="C32770" s="574">
        <v>850</v>
      </c>
    </row>
    <row r="32771" spans="1:3">
      <c r="A32771" s="573" t="s">
        <v>844</v>
      </c>
      <c r="B32771" s="574">
        <v>182</v>
      </c>
      <c r="C32771" s="574">
        <v>1000</v>
      </c>
    </row>
    <row r="32772" spans="1:3">
      <c r="A32772" s="573" t="s">
        <v>843</v>
      </c>
      <c r="B32772" s="574">
        <v>182</v>
      </c>
      <c r="C32772" s="574">
        <v>840</v>
      </c>
    </row>
    <row r="32773" spans="1:3">
      <c r="A32773" s="573" t="s">
        <v>842</v>
      </c>
      <c r="B32773" s="574">
        <v>182</v>
      </c>
      <c r="C32773" s="574">
        <v>840</v>
      </c>
    </row>
    <row r="32774" spans="1:3">
      <c r="A32774" s="573" t="s">
        <v>841</v>
      </c>
      <c r="B32774" s="574">
        <v>182</v>
      </c>
      <c r="C32774" s="574">
        <v>990</v>
      </c>
    </row>
    <row r="32775" spans="1:3">
      <c r="A32775" s="573" t="s">
        <v>840</v>
      </c>
      <c r="B32775" s="574">
        <v>182</v>
      </c>
      <c r="C32775" s="574">
        <v>840</v>
      </c>
    </row>
    <row r="32776" spans="1:3">
      <c r="A32776" s="573" t="s">
        <v>839</v>
      </c>
      <c r="B32776" s="574">
        <v>182</v>
      </c>
      <c r="C32776" s="574">
        <v>860</v>
      </c>
    </row>
    <row r="32777" spans="1:3">
      <c r="A32777" s="573" t="s">
        <v>838</v>
      </c>
      <c r="B32777" s="574">
        <v>182</v>
      </c>
      <c r="C32777" s="574">
        <v>700</v>
      </c>
    </row>
    <row r="32778" spans="1:3">
      <c r="A32778" s="573" t="s">
        <v>837</v>
      </c>
      <c r="B32778" s="574">
        <v>182</v>
      </c>
      <c r="C32778" s="574">
        <v>770</v>
      </c>
    </row>
    <row r="32779" spans="1:3">
      <c r="A32779" s="573" t="s">
        <v>836</v>
      </c>
      <c r="B32779" s="574">
        <v>182</v>
      </c>
      <c r="C32779" s="574">
        <v>880</v>
      </c>
    </row>
    <row r="32780" spans="1:3">
      <c r="A32780" s="573" t="s">
        <v>835</v>
      </c>
      <c r="B32780" s="574">
        <v>182</v>
      </c>
      <c r="C32780" s="574">
        <v>710</v>
      </c>
    </row>
    <row r="32781" spans="1:3">
      <c r="A32781" s="573" t="s">
        <v>834</v>
      </c>
      <c r="B32781" s="574">
        <v>182</v>
      </c>
      <c r="C32781" s="574">
        <v>660</v>
      </c>
    </row>
    <row r="32782" spans="1:3">
      <c r="A32782" s="573" t="s">
        <v>833</v>
      </c>
      <c r="B32782" s="574">
        <v>182</v>
      </c>
      <c r="C32782" s="574">
        <v>1200</v>
      </c>
    </row>
    <row r="32783" spans="1:3">
      <c r="A32783" s="573" t="s">
        <v>832</v>
      </c>
      <c r="B32783" s="574">
        <v>182</v>
      </c>
      <c r="C32783" s="574">
        <v>980</v>
      </c>
    </row>
    <row r="32784" spans="1:3">
      <c r="A32784" s="573" t="s">
        <v>831</v>
      </c>
      <c r="B32784" s="574">
        <v>182</v>
      </c>
      <c r="C32784" s="574">
        <v>910</v>
      </c>
    </row>
    <row r="32785" spans="1:3">
      <c r="A32785" s="573" t="s">
        <v>830</v>
      </c>
      <c r="B32785" s="574">
        <v>182</v>
      </c>
      <c r="C32785" s="574">
        <v>910</v>
      </c>
    </row>
    <row r="32786" spans="1:3">
      <c r="A32786" s="573" t="s">
        <v>829</v>
      </c>
      <c r="B32786" s="574">
        <v>182</v>
      </c>
      <c r="C32786" s="574">
        <v>830</v>
      </c>
    </row>
    <row r="32787" spans="1:3">
      <c r="A32787" s="573" t="s">
        <v>828</v>
      </c>
      <c r="B32787" s="574">
        <v>182</v>
      </c>
      <c r="C32787" s="574">
        <v>800</v>
      </c>
    </row>
    <row r="32788" spans="1:3">
      <c r="A32788" s="573" t="s">
        <v>827</v>
      </c>
      <c r="B32788" s="574">
        <v>182</v>
      </c>
      <c r="C32788" s="574">
        <v>1100</v>
      </c>
    </row>
    <row r="32789" spans="1:3">
      <c r="A32789" s="573" t="s">
        <v>826</v>
      </c>
      <c r="B32789" s="574">
        <v>182</v>
      </c>
      <c r="C32789" s="574">
        <v>930</v>
      </c>
    </row>
    <row r="32790" spans="1:3">
      <c r="A32790" s="573" t="s">
        <v>825</v>
      </c>
      <c r="B32790" s="574">
        <v>182</v>
      </c>
      <c r="C32790" s="574">
        <v>970</v>
      </c>
    </row>
    <row r="32791" spans="1:3">
      <c r="A32791" s="573" t="s">
        <v>824</v>
      </c>
      <c r="B32791" s="574">
        <v>182</v>
      </c>
      <c r="C32791" s="574">
        <v>950</v>
      </c>
    </row>
    <row r="32792" spans="1:3">
      <c r="A32792" s="573" t="s">
        <v>823</v>
      </c>
      <c r="B32792" s="574">
        <v>182</v>
      </c>
      <c r="C32792" s="574">
        <v>860</v>
      </c>
    </row>
    <row r="32793" spans="1:3">
      <c r="A32793" s="573" t="s">
        <v>822</v>
      </c>
      <c r="B32793" s="574">
        <v>182</v>
      </c>
      <c r="C32793" s="574">
        <v>780</v>
      </c>
    </row>
    <row r="32794" spans="1:3">
      <c r="A32794" s="573" t="s">
        <v>821</v>
      </c>
      <c r="B32794" s="574">
        <v>182</v>
      </c>
      <c r="C32794" s="574">
        <v>780</v>
      </c>
    </row>
    <row r="32795" spans="1:3">
      <c r="A32795" s="573" t="s">
        <v>820</v>
      </c>
      <c r="B32795" s="574">
        <v>182</v>
      </c>
      <c r="C32795" s="574">
        <v>890</v>
      </c>
    </row>
    <row r="32796" spans="1:3">
      <c r="A32796" s="573" t="s">
        <v>819</v>
      </c>
      <c r="B32796" s="574">
        <v>182</v>
      </c>
      <c r="C32796" s="574">
        <v>810</v>
      </c>
    </row>
    <row r="32797" spans="1:3">
      <c r="A32797" s="573" t="s">
        <v>818</v>
      </c>
      <c r="B32797" s="574">
        <v>182</v>
      </c>
      <c r="C32797" s="574">
        <v>830</v>
      </c>
    </row>
    <row r="32798" spans="1:3">
      <c r="A32798" s="573" t="s">
        <v>817</v>
      </c>
      <c r="B32798" s="574">
        <v>182</v>
      </c>
      <c r="C32798" s="574">
        <v>860</v>
      </c>
    </row>
    <row r="32799" spans="1:3">
      <c r="A32799" s="573" t="s">
        <v>816</v>
      </c>
      <c r="B32799" s="574">
        <v>182</v>
      </c>
      <c r="C32799" s="574">
        <v>900</v>
      </c>
    </row>
    <row r="32800" spans="1:3">
      <c r="A32800" s="571" t="s">
        <v>815</v>
      </c>
      <c r="B32800" s="572">
        <v>0</v>
      </c>
      <c r="C32800" s="572">
        <v>0</v>
      </c>
    </row>
    <row r="32801" spans="1:3">
      <c r="A32801" s="571" t="s">
        <v>815</v>
      </c>
      <c r="B32801" s="572">
        <v>7</v>
      </c>
      <c r="C32801" s="572">
        <v>140</v>
      </c>
    </row>
    <row r="32802" spans="1:3">
      <c r="A32802" s="571" t="s">
        <v>815</v>
      </c>
      <c r="B32802" s="572">
        <v>28</v>
      </c>
      <c r="C32802" s="572">
        <v>320</v>
      </c>
    </row>
    <row r="32803" spans="1:3">
      <c r="A32803" s="571" t="s">
        <v>815</v>
      </c>
      <c r="B32803" s="572">
        <v>56</v>
      </c>
      <c r="C32803" s="572">
        <v>420</v>
      </c>
    </row>
    <row r="32804" spans="1:3">
      <c r="A32804" s="571" t="s">
        <v>815</v>
      </c>
      <c r="B32804" s="572">
        <v>91</v>
      </c>
      <c r="C32804" s="572">
        <v>500</v>
      </c>
    </row>
    <row r="32805" spans="1:3">
      <c r="A32805" s="571" t="s">
        <v>814</v>
      </c>
      <c r="B32805" s="572">
        <v>0</v>
      </c>
      <c r="C32805" s="572">
        <v>0</v>
      </c>
    </row>
    <row r="32806" spans="1:3">
      <c r="A32806" s="571" t="s">
        <v>814</v>
      </c>
      <c r="B32806" s="572">
        <v>7</v>
      </c>
      <c r="C32806" s="572">
        <v>180</v>
      </c>
    </row>
    <row r="32807" spans="1:3">
      <c r="A32807" s="571" t="s">
        <v>814</v>
      </c>
      <c r="B32807" s="572">
        <v>28</v>
      </c>
      <c r="C32807" s="572">
        <v>350</v>
      </c>
    </row>
    <row r="32808" spans="1:3">
      <c r="A32808" s="571" t="s">
        <v>814</v>
      </c>
      <c r="B32808" s="572">
        <v>56</v>
      </c>
      <c r="C32808" s="572">
        <v>460</v>
      </c>
    </row>
    <row r="32809" spans="1:3">
      <c r="A32809" s="571" t="s">
        <v>814</v>
      </c>
      <c r="B32809" s="572">
        <v>91</v>
      </c>
      <c r="C32809" s="572">
        <v>520</v>
      </c>
    </row>
    <row r="32810" spans="1:3">
      <c r="A32810" s="571" t="s">
        <v>813</v>
      </c>
      <c r="B32810" s="572">
        <v>0</v>
      </c>
      <c r="C32810" s="572">
        <v>0</v>
      </c>
    </row>
    <row r="32811" spans="1:3">
      <c r="A32811" s="571" t="s">
        <v>813</v>
      </c>
      <c r="B32811" s="572">
        <v>7</v>
      </c>
      <c r="C32811" s="572">
        <v>260</v>
      </c>
    </row>
    <row r="32812" spans="1:3">
      <c r="A32812" s="571" t="s">
        <v>813</v>
      </c>
      <c r="B32812" s="572">
        <v>28</v>
      </c>
      <c r="C32812" s="572">
        <v>510</v>
      </c>
    </row>
    <row r="32813" spans="1:3">
      <c r="A32813" s="571" t="s">
        <v>813</v>
      </c>
      <c r="B32813" s="572">
        <v>56</v>
      </c>
      <c r="C32813" s="572">
        <v>650</v>
      </c>
    </row>
    <row r="32814" spans="1:3">
      <c r="A32814" s="571" t="s">
        <v>813</v>
      </c>
      <c r="B32814" s="572">
        <v>91</v>
      </c>
      <c r="C32814" s="572">
        <v>740</v>
      </c>
    </row>
    <row r="32815" spans="1:3">
      <c r="A32815" s="571" t="s">
        <v>812</v>
      </c>
      <c r="B32815" s="572">
        <v>0</v>
      </c>
      <c r="C32815" s="572">
        <v>0</v>
      </c>
    </row>
    <row r="32816" spans="1:3">
      <c r="A32816" s="571" t="s">
        <v>812</v>
      </c>
      <c r="B32816" s="572">
        <v>7</v>
      </c>
      <c r="C32816" s="572">
        <v>320</v>
      </c>
    </row>
    <row r="32817" spans="1:3">
      <c r="A32817" s="571" t="s">
        <v>812</v>
      </c>
      <c r="B32817" s="572">
        <v>28</v>
      </c>
      <c r="C32817" s="572">
        <v>590</v>
      </c>
    </row>
    <row r="32818" spans="1:3">
      <c r="A32818" s="571" t="s">
        <v>812</v>
      </c>
      <c r="B32818" s="572">
        <v>56</v>
      </c>
      <c r="C32818" s="572">
        <v>725</v>
      </c>
    </row>
    <row r="32819" spans="1:3">
      <c r="A32819" s="571" t="s">
        <v>812</v>
      </c>
      <c r="B32819" s="572">
        <v>91</v>
      </c>
      <c r="C32819" s="572">
        <v>820</v>
      </c>
    </row>
    <row r="32820" spans="1:3">
      <c r="A32820" s="571" t="s">
        <v>811</v>
      </c>
      <c r="B32820" s="572">
        <v>0</v>
      </c>
      <c r="C32820" s="572">
        <v>0</v>
      </c>
    </row>
    <row r="32821" spans="1:3">
      <c r="A32821" s="571" t="s">
        <v>811</v>
      </c>
      <c r="B32821" s="572">
        <v>7</v>
      </c>
      <c r="C32821" s="572">
        <v>150</v>
      </c>
    </row>
    <row r="32822" spans="1:3">
      <c r="A32822" s="571" t="s">
        <v>811</v>
      </c>
      <c r="B32822" s="572">
        <v>28</v>
      </c>
      <c r="C32822" s="572">
        <v>340</v>
      </c>
    </row>
    <row r="32823" spans="1:3">
      <c r="A32823" s="571" t="s">
        <v>811</v>
      </c>
      <c r="B32823" s="572">
        <v>56</v>
      </c>
      <c r="C32823" s="572">
        <v>420</v>
      </c>
    </row>
    <row r="32824" spans="1:3">
      <c r="A32824" s="571" t="s">
        <v>811</v>
      </c>
      <c r="B32824" s="572">
        <v>91</v>
      </c>
      <c r="C32824" s="572">
        <v>500</v>
      </c>
    </row>
    <row r="32825" spans="1:3">
      <c r="A32825" s="571" t="s">
        <v>810</v>
      </c>
      <c r="B32825" s="572">
        <v>0</v>
      </c>
      <c r="C32825" s="572">
        <v>0</v>
      </c>
    </row>
    <row r="32826" spans="1:3">
      <c r="A32826" s="571" t="s">
        <v>810</v>
      </c>
      <c r="B32826" s="572">
        <v>7</v>
      </c>
      <c r="C32826" s="572">
        <v>210</v>
      </c>
    </row>
    <row r="32827" spans="1:3">
      <c r="A32827" s="571" t="s">
        <v>810</v>
      </c>
      <c r="B32827" s="572">
        <v>28</v>
      </c>
      <c r="C32827" s="572">
        <v>380</v>
      </c>
    </row>
    <row r="32828" spans="1:3">
      <c r="A32828" s="571" t="s">
        <v>810</v>
      </c>
      <c r="B32828" s="572">
        <v>56</v>
      </c>
      <c r="C32828" s="572">
        <v>480</v>
      </c>
    </row>
    <row r="32829" spans="1:3">
      <c r="A32829" s="571" t="s">
        <v>810</v>
      </c>
      <c r="B32829" s="572">
        <v>91</v>
      </c>
      <c r="C32829" s="572">
        <v>550</v>
      </c>
    </row>
    <row r="32830" spans="1:3">
      <c r="A32830" s="571" t="s">
        <v>809</v>
      </c>
      <c r="B32830" s="572">
        <v>0</v>
      </c>
      <c r="C32830" s="572">
        <v>0</v>
      </c>
    </row>
    <row r="32831" spans="1:3">
      <c r="A32831" s="571" t="s">
        <v>809</v>
      </c>
      <c r="B32831" s="572">
        <v>7</v>
      </c>
      <c r="C32831" s="572">
        <v>265</v>
      </c>
    </row>
    <row r="32832" spans="1:3">
      <c r="A32832" s="571" t="s">
        <v>809</v>
      </c>
      <c r="B32832" s="572">
        <v>28</v>
      </c>
      <c r="C32832" s="572">
        <v>520</v>
      </c>
    </row>
    <row r="32833" spans="1:3">
      <c r="A32833" s="571" t="s">
        <v>809</v>
      </c>
      <c r="B32833" s="572">
        <v>56</v>
      </c>
      <c r="C32833" s="572">
        <v>670</v>
      </c>
    </row>
    <row r="32834" spans="1:3">
      <c r="A32834" s="571" t="s">
        <v>809</v>
      </c>
      <c r="B32834" s="572">
        <v>91</v>
      </c>
      <c r="C32834" s="572">
        <v>750</v>
      </c>
    </row>
    <row r="32835" spans="1:3">
      <c r="A32835" s="571" t="s">
        <v>808</v>
      </c>
      <c r="B32835" s="572">
        <v>0</v>
      </c>
      <c r="C32835" s="572">
        <v>0</v>
      </c>
    </row>
    <row r="32836" spans="1:3">
      <c r="A32836" s="571" t="s">
        <v>808</v>
      </c>
      <c r="B32836" s="572">
        <v>7</v>
      </c>
      <c r="C32836" s="572">
        <v>80</v>
      </c>
    </row>
    <row r="32837" spans="1:3">
      <c r="A32837" s="571" t="s">
        <v>808</v>
      </c>
      <c r="B32837" s="572">
        <v>28</v>
      </c>
      <c r="C32837" s="572">
        <v>235</v>
      </c>
    </row>
    <row r="32838" spans="1:3">
      <c r="A32838" s="571" t="s">
        <v>808</v>
      </c>
      <c r="B32838" s="572">
        <v>56</v>
      </c>
      <c r="C32838" s="572">
        <v>420</v>
      </c>
    </row>
    <row r="32839" spans="1:3">
      <c r="A32839" s="571" t="s">
        <v>808</v>
      </c>
      <c r="B32839" s="572">
        <v>91</v>
      </c>
      <c r="C32839" s="572">
        <v>620</v>
      </c>
    </row>
    <row r="32840" spans="1:3">
      <c r="A32840" s="571" t="s">
        <v>807</v>
      </c>
      <c r="B32840" s="572">
        <v>0</v>
      </c>
      <c r="C32840" s="572">
        <v>0</v>
      </c>
    </row>
    <row r="32841" spans="1:3">
      <c r="A32841" s="571" t="s">
        <v>807</v>
      </c>
      <c r="B32841" s="572">
        <v>3</v>
      </c>
      <c r="C32841" s="572">
        <v>80</v>
      </c>
    </row>
    <row r="32842" spans="1:3">
      <c r="A32842" s="571" t="s">
        <v>807</v>
      </c>
      <c r="B32842" s="572">
        <v>7</v>
      </c>
      <c r="C32842" s="572">
        <v>160</v>
      </c>
    </row>
    <row r="32843" spans="1:3">
      <c r="A32843" s="571" t="s">
        <v>807</v>
      </c>
      <c r="B32843" s="572">
        <v>11</v>
      </c>
      <c r="C32843" s="572">
        <v>220</v>
      </c>
    </row>
    <row r="32844" spans="1:3">
      <c r="A32844" s="571" t="s">
        <v>807</v>
      </c>
      <c r="B32844" s="572">
        <v>14</v>
      </c>
      <c r="C32844" s="572">
        <v>245</v>
      </c>
    </row>
    <row r="32845" spans="1:3">
      <c r="A32845" s="571" t="s">
        <v>807</v>
      </c>
      <c r="B32845" s="572">
        <v>18</v>
      </c>
      <c r="C32845" s="572">
        <v>285</v>
      </c>
    </row>
    <row r="32846" spans="1:3">
      <c r="A32846" s="571" t="s">
        <v>807</v>
      </c>
      <c r="B32846" s="572">
        <v>21</v>
      </c>
      <c r="C32846" s="572">
        <v>300</v>
      </c>
    </row>
    <row r="32847" spans="1:3">
      <c r="A32847" s="571" t="s">
        <v>807</v>
      </c>
      <c r="B32847" s="572">
        <v>23</v>
      </c>
      <c r="C32847" s="572">
        <v>320</v>
      </c>
    </row>
    <row r="32848" spans="1:3">
      <c r="A32848" s="571" t="s">
        <v>807</v>
      </c>
      <c r="B32848" s="572">
        <v>28</v>
      </c>
      <c r="C32848" s="572">
        <v>373</v>
      </c>
    </row>
    <row r="32849" spans="1:3">
      <c r="A32849" s="571" t="s">
        <v>807</v>
      </c>
      <c r="B32849" s="572">
        <v>33</v>
      </c>
      <c r="C32849" s="572">
        <v>430</v>
      </c>
    </row>
    <row r="32850" spans="1:3">
      <c r="A32850" s="571" t="s">
        <v>807</v>
      </c>
      <c r="B32850" s="572">
        <v>43</v>
      </c>
      <c r="C32850" s="572">
        <v>495</v>
      </c>
    </row>
    <row r="32851" spans="1:3">
      <c r="A32851" s="571" t="s">
        <v>807</v>
      </c>
      <c r="B32851" s="572">
        <v>53</v>
      </c>
      <c r="C32851" s="572">
        <v>550</v>
      </c>
    </row>
    <row r="32852" spans="1:3">
      <c r="A32852" s="571" t="s">
        <v>806</v>
      </c>
      <c r="B32852" s="572">
        <v>0</v>
      </c>
      <c r="C32852" s="572">
        <v>0</v>
      </c>
    </row>
    <row r="32853" spans="1:3">
      <c r="A32853" s="571" t="s">
        <v>806</v>
      </c>
      <c r="B32853" s="572">
        <v>3</v>
      </c>
      <c r="C32853" s="572">
        <v>90</v>
      </c>
    </row>
    <row r="32854" spans="1:3">
      <c r="A32854" s="571" t="s">
        <v>806</v>
      </c>
      <c r="B32854" s="572">
        <v>7</v>
      </c>
      <c r="C32854" s="572">
        <v>170</v>
      </c>
    </row>
    <row r="32855" spans="1:3">
      <c r="A32855" s="571" t="s">
        <v>806</v>
      </c>
      <c r="B32855" s="572">
        <v>11</v>
      </c>
      <c r="C32855" s="572">
        <v>240</v>
      </c>
    </row>
    <row r="32856" spans="1:3">
      <c r="A32856" s="571" t="s">
        <v>806</v>
      </c>
      <c r="B32856" s="572">
        <v>14</v>
      </c>
      <c r="C32856" s="572">
        <v>260</v>
      </c>
    </row>
    <row r="32857" spans="1:3">
      <c r="A32857" s="571" t="s">
        <v>806</v>
      </c>
      <c r="B32857" s="572">
        <v>18</v>
      </c>
      <c r="C32857" s="572">
        <v>310</v>
      </c>
    </row>
    <row r="32858" spans="1:3">
      <c r="A32858" s="571" t="s">
        <v>806</v>
      </c>
      <c r="B32858" s="572">
        <v>21</v>
      </c>
      <c r="C32858" s="572">
        <v>320</v>
      </c>
    </row>
    <row r="32859" spans="1:3">
      <c r="A32859" s="571" t="s">
        <v>806</v>
      </c>
      <c r="B32859" s="572">
        <v>23</v>
      </c>
      <c r="C32859" s="572">
        <v>360</v>
      </c>
    </row>
    <row r="32860" spans="1:3">
      <c r="A32860" s="571" t="s">
        <v>806</v>
      </c>
      <c r="B32860" s="572">
        <v>28</v>
      </c>
      <c r="C32860" s="572">
        <v>425</v>
      </c>
    </row>
    <row r="32861" spans="1:3">
      <c r="A32861" s="571" t="s">
        <v>806</v>
      </c>
      <c r="B32861" s="572">
        <v>33</v>
      </c>
      <c r="C32861" s="572">
        <v>460</v>
      </c>
    </row>
    <row r="32862" spans="1:3">
      <c r="A32862" s="571" t="s">
        <v>806</v>
      </c>
      <c r="B32862" s="572">
        <v>43</v>
      </c>
      <c r="C32862" s="572">
        <v>550</v>
      </c>
    </row>
    <row r="32863" spans="1:3">
      <c r="A32863" s="571" t="s">
        <v>806</v>
      </c>
      <c r="B32863" s="572">
        <v>53</v>
      </c>
      <c r="C32863" s="572">
        <v>620</v>
      </c>
    </row>
    <row r="32864" spans="1:3">
      <c r="A32864" s="571" t="s">
        <v>805</v>
      </c>
      <c r="B32864" s="572">
        <v>0</v>
      </c>
      <c r="C32864" s="572">
        <v>0</v>
      </c>
    </row>
    <row r="32865" spans="1:3">
      <c r="A32865" s="571" t="s">
        <v>805</v>
      </c>
      <c r="B32865" s="572">
        <v>3</v>
      </c>
      <c r="C32865" s="572">
        <v>100</v>
      </c>
    </row>
    <row r="32866" spans="1:3">
      <c r="A32866" s="571" t="s">
        <v>805</v>
      </c>
      <c r="B32866" s="572">
        <v>7</v>
      </c>
      <c r="C32866" s="572">
        <v>170</v>
      </c>
    </row>
    <row r="32867" spans="1:3">
      <c r="A32867" s="571" t="s">
        <v>805</v>
      </c>
      <c r="B32867" s="572">
        <v>11</v>
      </c>
      <c r="C32867" s="572">
        <v>250</v>
      </c>
    </row>
    <row r="32868" spans="1:3">
      <c r="A32868" s="571" t="s">
        <v>805</v>
      </c>
      <c r="B32868" s="572">
        <v>14</v>
      </c>
      <c r="C32868" s="572">
        <v>290</v>
      </c>
    </row>
    <row r="32869" spans="1:3">
      <c r="A32869" s="571" t="s">
        <v>805</v>
      </c>
      <c r="B32869" s="572">
        <v>18</v>
      </c>
      <c r="C32869" s="572">
        <v>370</v>
      </c>
    </row>
    <row r="32870" spans="1:3">
      <c r="A32870" s="571" t="s">
        <v>805</v>
      </c>
      <c r="B32870" s="572">
        <v>21</v>
      </c>
      <c r="C32870" s="572">
        <v>420</v>
      </c>
    </row>
    <row r="32871" spans="1:3">
      <c r="A32871" s="571" t="s">
        <v>805</v>
      </c>
      <c r="B32871" s="572">
        <v>23</v>
      </c>
      <c r="C32871" s="572">
        <v>440</v>
      </c>
    </row>
    <row r="32872" spans="1:3">
      <c r="A32872" s="571" t="s">
        <v>805</v>
      </c>
      <c r="B32872" s="572">
        <v>28</v>
      </c>
      <c r="C32872" s="572">
        <v>500</v>
      </c>
    </row>
    <row r="32873" spans="1:3">
      <c r="A32873" s="571" t="s">
        <v>805</v>
      </c>
      <c r="B32873" s="572">
        <v>33</v>
      </c>
      <c r="C32873" s="572">
        <v>550</v>
      </c>
    </row>
    <row r="32874" spans="1:3">
      <c r="A32874" s="571" t="s">
        <v>805</v>
      </c>
      <c r="B32874" s="572">
        <v>43</v>
      </c>
      <c r="C32874" s="572">
        <v>650</v>
      </c>
    </row>
    <row r="32875" spans="1:3">
      <c r="A32875" s="571" t="s">
        <v>805</v>
      </c>
      <c r="B32875" s="572">
        <v>53</v>
      </c>
      <c r="C32875" s="572">
        <v>730</v>
      </c>
    </row>
    <row r="32876" spans="1:3">
      <c r="A32876" s="571" t="s">
        <v>804</v>
      </c>
      <c r="B32876" s="572">
        <v>0</v>
      </c>
      <c r="C32876" s="572">
        <v>0</v>
      </c>
    </row>
    <row r="32877" spans="1:3">
      <c r="A32877" s="571" t="s">
        <v>804</v>
      </c>
      <c r="B32877" s="572">
        <v>3</v>
      </c>
      <c r="C32877" s="572">
        <v>120</v>
      </c>
    </row>
    <row r="32878" spans="1:3">
      <c r="A32878" s="571" t="s">
        <v>804</v>
      </c>
      <c r="B32878" s="572">
        <v>7</v>
      </c>
      <c r="C32878" s="572">
        <v>180</v>
      </c>
    </row>
    <row r="32879" spans="1:3">
      <c r="A32879" s="571" t="s">
        <v>804</v>
      </c>
      <c r="B32879" s="572">
        <v>11</v>
      </c>
      <c r="C32879" s="572">
        <v>230</v>
      </c>
    </row>
    <row r="32880" spans="1:3">
      <c r="A32880" s="571" t="s">
        <v>804</v>
      </c>
      <c r="B32880" s="572">
        <v>14</v>
      </c>
      <c r="C32880" s="572">
        <v>280</v>
      </c>
    </row>
    <row r="32881" spans="1:3">
      <c r="A32881" s="571" t="s">
        <v>804</v>
      </c>
      <c r="B32881" s="572">
        <v>18</v>
      </c>
      <c r="C32881" s="572">
        <v>320</v>
      </c>
    </row>
    <row r="32882" spans="1:3">
      <c r="A32882" s="571" t="s">
        <v>804</v>
      </c>
      <c r="B32882" s="572">
        <v>21</v>
      </c>
      <c r="C32882" s="572">
        <v>340</v>
      </c>
    </row>
    <row r="32883" spans="1:3">
      <c r="A32883" s="571" t="s">
        <v>804</v>
      </c>
      <c r="B32883" s="572">
        <v>23</v>
      </c>
      <c r="C32883" s="572">
        <v>360</v>
      </c>
    </row>
    <row r="32884" spans="1:3">
      <c r="A32884" s="571" t="s">
        <v>804</v>
      </c>
      <c r="B32884" s="572">
        <v>28</v>
      </c>
      <c r="C32884" s="572">
        <v>390</v>
      </c>
    </row>
    <row r="32885" spans="1:3">
      <c r="A32885" s="571" t="s">
        <v>804</v>
      </c>
      <c r="B32885" s="572">
        <v>33</v>
      </c>
      <c r="C32885" s="572">
        <v>440</v>
      </c>
    </row>
    <row r="32886" spans="1:3">
      <c r="A32886" s="571" t="s">
        <v>804</v>
      </c>
      <c r="B32886" s="572">
        <v>43</v>
      </c>
      <c r="C32886" s="572">
        <v>500</v>
      </c>
    </row>
    <row r="32887" spans="1:3">
      <c r="A32887" s="571" t="s">
        <v>804</v>
      </c>
      <c r="B32887" s="572">
        <v>53</v>
      </c>
      <c r="C32887" s="572">
        <v>540</v>
      </c>
    </row>
    <row r="32888" spans="1:3">
      <c r="A32888" s="571" t="s">
        <v>803</v>
      </c>
      <c r="B32888" s="572">
        <v>0</v>
      </c>
      <c r="C32888" s="572">
        <v>0</v>
      </c>
    </row>
    <row r="32889" spans="1:3">
      <c r="A32889" s="571" t="s">
        <v>803</v>
      </c>
      <c r="B32889" s="572">
        <v>3</v>
      </c>
      <c r="C32889" s="572">
        <v>120</v>
      </c>
    </row>
    <row r="32890" spans="1:3">
      <c r="A32890" s="571" t="s">
        <v>803</v>
      </c>
      <c r="B32890" s="572">
        <v>7</v>
      </c>
      <c r="C32890" s="572">
        <v>190</v>
      </c>
    </row>
    <row r="32891" spans="1:3">
      <c r="A32891" s="571" t="s">
        <v>803</v>
      </c>
      <c r="B32891" s="572">
        <v>11</v>
      </c>
      <c r="C32891" s="572">
        <v>250</v>
      </c>
    </row>
    <row r="32892" spans="1:3">
      <c r="A32892" s="571" t="s">
        <v>803</v>
      </c>
      <c r="B32892" s="572">
        <v>14</v>
      </c>
      <c r="C32892" s="572">
        <v>280</v>
      </c>
    </row>
    <row r="32893" spans="1:3">
      <c r="A32893" s="571" t="s">
        <v>803</v>
      </c>
      <c r="B32893" s="572">
        <v>18</v>
      </c>
      <c r="C32893" s="572">
        <v>310</v>
      </c>
    </row>
    <row r="32894" spans="1:3">
      <c r="A32894" s="571" t="s">
        <v>803</v>
      </c>
      <c r="B32894" s="572">
        <v>21</v>
      </c>
      <c r="C32894" s="572">
        <v>325</v>
      </c>
    </row>
    <row r="32895" spans="1:3">
      <c r="A32895" s="571" t="s">
        <v>803</v>
      </c>
      <c r="B32895" s="572">
        <v>23</v>
      </c>
      <c r="C32895" s="572">
        <v>345</v>
      </c>
    </row>
    <row r="32896" spans="1:3">
      <c r="A32896" s="571" t="s">
        <v>803</v>
      </c>
      <c r="B32896" s="572">
        <v>28</v>
      </c>
      <c r="C32896" s="572">
        <v>385</v>
      </c>
    </row>
    <row r="32897" spans="1:3">
      <c r="A32897" s="571" t="s">
        <v>803</v>
      </c>
      <c r="B32897" s="572">
        <v>33</v>
      </c>
      <c r="C32897" s="572">
        <v>440</v>
      </c>
    </row>
    <row r="32898" spans="1:3">
      <c r="A32898" s="571" t="s">
        <v>803</v>
      </c>
      <c r="B32898" s="572">
        <v>43</v>
      </c>
      <c r="C32898" s="572">
        <v>500</v>
      </c>
    </row>
    <row r="32899" spans="1:3">
      <c r="A32899" s="571" t="s">
        <v>803</v>
      </c>
      <c r="B32899" s="572">
        <v>53</v>
      </c>
      <c r="C32899" s="572">
        <v>660</v>
      </c>
    </row>
    <row r="32900" spans="1:3">
      <c r="A32900" s="571" t="s">
        <v>802</v>
      </c>
      <c r="B32900" s="572">
        <v>0</v>
      </c>
      <c r="C32900" s="572">
        <v>0</v>
      </c>
    </row>
    <row r="32901" spans="1:3">
      <c r="A32901" s="571" t="s">
        <v>802</v>
      </c>
      <c r="B32901" s="572">
        <v>3</v>
      </c>
      <c r="C32901" s="572">
        <v>140</v>
      </c>
    </row>
    <row r="32902" spans="1:3">
      <c r="A32902" s="571" t="s">
        <v>802</v>
      </c>
      <c r="B32902" s="572">
        <v>7</v>
      </c>
      <c r="C32902" s="572">
        <v>220</v>
      </c>
    </row>
    <row r="32903" spans="1:3">
      <c r="A32903" s="571" t="s">
        <v>802</v>
      </c>
      <c r="B32903" s="572">
        <v>11</v>
      </c>
      <c r="C32903" s="572">
        <v>300</v>
      </c>
    </row>
    <row r="32904" spans="1:3">
      <c r="A32904" s="571" t="s">
        <v>802</v>
      </c>
      <c r="B32904" s="572">
        <v>14</v>
      </c>
      <c r="C32904" s="572">
        <v>340</v>
      </c>
    </row>
    <row r="32905" spans="1:3">
      <c r="A32905" s="571" t="s">
        <v>802</v>
      </c>
      <c r="B32905" s="572">
        <v>18</v>
      </c>
      <c r="C32905" s="572">
        <v>365</v>
      </c>
    </row>
    <row r="32906" spans="1:3">
      <c r="A32906" s="571" t="s">
        <v>802</v>
      </c>
      <c r="B32906" s="572">
        <v>21</v>
      </c>
      <c r="C32906" s="572">
        <v>380</v>
      </c>
    </row>
    <row r="32907" spans="1:3">
      <c r="A32907" s="571" t="s">
        <v>802</v>
      </c>
      <c r="B32907" s="572">
        <v>23</v>
      </c>
      <c r="C32907" s="572">
        <v>383</v>
      </c>
    </row>
    <row r="32908" spans="1:3">
      <c r="A32908" s="571" t="s">
        <v>802</v>
      </c>
      <c r="B32908" s="572">
        <v>28</v>
      </c>
      <c r="C32908" s="572">
        <v>450</v>
      </c>
    </row>
    <row r="32909" spans="1:3">
      <c r="A32909" s="571" t="s">
        <v>802</v>
      </c>
      <c r="B32909" s="572">
        <v>33</v>
      </c>
      <c r="C32909" s="572">
        <v>495</v>
      </c>
    </row>
    <row r="32910" spans="1:3">
      <c r="A32910" s="571" t="s">
        <v>802</v>
      </c>
      <c r="B32910" s="572">
        <v>43</v>
      </c>
      <c r="C32910" s="572">
        <v>560</v>
      </c>
    </row>
    <row r="32911" spans="1:3">
      <c r="A32911" s="571" t="s">
        <v>802</v>
      </c>
      <c r="B32911" s="572">
        <v>53</v>
      </c>
      <c r="C32911" s="572">
        <v>620</v>
      </c>
    </row>
    <row r="32912" spans="1:3">
      <c r="A32912" s="571" t="s">
        <v>801</v>
      </c>
      <c r="B32912" s="572">
        <v>0</v>
      </c>
      <c r="C32912" s="572">
        <v>0</v>
      </c>
    </row>
    <row r="32913" spans="1:3">
      <c r="A32913" s="571" t="s">
        <v>801</v>
      </c>
      <c r="B32913" s="572">
        <v>7</v>
      </c>
      <c r="C32913" s="572">
        <v>110</v>
      </c>
    </row>
    <row r="32914" spans="1:3">
      <c r="A32914" s="571" t="s">
        <v>801</v>
      </c>
      <c r="B32914" s="572">
        <v>10</v>
      </c>
      <c r="C32914" s="572">
        <v>190</v>
      </c>
    </row>
    <row r="32915" spans="1:3">
      <c r="A32915" s="571" t="s">
        <v>801</v>
      </c>
      <c r="B32915" s="572">
        <v>14</v>
      </c>
      <c r="C32915" s="572">
        <v>260</v>
      </c>
    </row>
    <row r="32916" spans="1:3">
      <c r="A32916" s="571" t="s">
        <v>801</v>
      </c>
      <c r="B32916" s="572">
        <v>18</v>
      </c>
      <c r="C32916" s="572">
        <v>360</v>
      </c>
    </row>
    <row r="32917" spans="1:3">
      <c r="A32917" s="571" t="s">
        <v>801</v>
      </c>
      <c r="B32917" s="572">
        <v>21</v>
      </c>
      <c r="C32917" s="572">
        <v>400</v>
      </c>
    </row>
    <row r="32918" spans="1:3">
      <c r="A32918" s="571" t="s">
        <v>801</v>
      </c>
      <c r="B32918" s="572">
        <v>30</v>
      </c>
      <c r="C32918" s="572">
        <v>540</v>
      </c>
    </row>
    <row r="32919" spans="1:3">
      <c r="A32919" s="571" t="s">
        <v>801</v>
      </c>
      <c r="B32919" s="572">
        <v>40</v>
      </c>
      <c r="C32919" s="572">
        <v>650</v>
      </c>
    </row>
    <row r="32920" spans="1:3">
      <c r="A32920" s="571" t="s">
        <v>801</v>
      </c>
      <c r="B32920" s="572">
        <v>50</v>
      </c>
      <c r="C32920" s="572">
        <v>680</v>
      </c>
    </row>
    <row r="32921" spans="1:3">
      <c r="A32921" s="571" t="s">
        <v>801</v>
      </c>
      <c r="B32921" s="572">
        <v>60</v>
      </c>
      <c r="C32921" s="572">
        <v>720</v>
      </c>
    </row>
    <row r="32922" spans="1:3">
      <c r="A32922" s="571" t="s">
        <v>801</v>
      </c>
      <c r="B32922" s="572">
        <v>70</v>
      </c>
      <c r="C32922" s="572">
        <v>750</v>
      </c>
    </row>
    <row r="32923" spans="1:3">
      <c r="A32923" s="571" t="s">
        <v>801</v>
      </c>
      <c r="B32923" s="572">
        <v>80</v>
      </c>
      <c r="C32923" s="572">
        <v>780</v>
      </c>
    </row>
    <row r="32924" spans="1:3">
      <c r="A32924" s="571" t="s">
        <v>801</v>
      </c>
      <c r="B32924" s="572">
        <v>90</v>
      </c>
      <c r="C32924" s="572">
        <v>800</v>
      </c>
    </row>
    <row r="32925" spans="1:3">
      <c r="A32925" s="573" t="s">
        <v>801</v>
      </c>
      <c r="B32925" s="574">
        <v>100</v>
      </c>
      <c r="C32925" s="574">
        <v>810</v>
      </c>
    </row>
    <row r="32926" spans="1:3">
      <c r="A32926" s="573" t="s">
        <v>801</v>
      </c>
      <c r="B32926" s="574">
        <v>110</v>
      </c>
      <c r="C32926" s="574">
        <v>830</v>
      </c>
    </row>
    <row r="32927" spans="1:3">
      <c r="A32927" s="571" t="s">
        <v>800</v>
      </c>
      <c r="B32927" s="572">
        <v>0</v>
      </c>
      <c r="C32927" s="572">
        <v>0</v>
      </c>
    </row>
    <row r="32928" spans="1:3">
      <c r="A32928" s="571" t="s">
        <v>800</v>
      </c>
      <c r="B32928" s="572">
        <v>7</v>
      </c>
      <c r="C32928" s="572">
        <v>100</v>
      </c>
    </row>
    <row r="32929" spans="1:3">
      <c r="A32929" s="571" t="s">
        <v>800</v>
      </c>
      <c r="B32929" s="572">
        <v>10</v>
      </c>
      <c r="C32929" s="572">
        <v>170</v>
      </c>
    </row>
    <row r="32930" spans="1:3">
      <c r="A32930" s="571" t="s">
        <v>800</v>
      </c>
      <c r="B32930" s="572">
        <v>14</v>
      </c>
      <c r="C32930" s="572">
        <v>250</v>
      </c>
    </row>
    <row r="32931" spans="1:3">
      <c r="A32931" s="571" t="s">
        <v>800</v>
      </c>
      <c r="B32931" s="572">
        <v>18</v>
      </c>
      <c r="C32931" s="572">
        <v>350</v>
      </c>
    </row>
    <row r="32932" spans="1:3">
      <c r="A32932" s="571" t="s">
        <v>800</v>
      </c>
      <c r="B32932" s="572">
        <v>21</v>
      </c>
      <c r="C32932" s="572">
        <v>390</v>
      </c>
    </row>
    <row r="32933" spans="1:3">
      <c r="A32933" s="571" t="s">
        <v>800</v>
      </c>
      <c r="B32933" s="572">
        <v>30</v>
      </c>
      <c r="C32933" s="572">
        <v>500</v>
      </c>
    </row>
    <row r="32934" spans="1:3">
      <c r="A32934" s="571" t="s">
        <v>800</v>
      </c>
      <c r="B32934" s="572">
        <v>40</v>
      </c>
      <c r="C32934" s="572">
        <v>600</v>
      </c>
    </row>
    <row r="32935" spans="1:3">
      <c r="A32935" s="571" t="s">
        <v>800</v>
      </c>
      <c r="B32935" s="572">
        <v>50</v>
      </c>
      <c r="C32935" s="572">
        <v>650</v>
      </c>
    </row>
    <row r="32936" spans="1:3">
      <c r="A32936" s="571" t="s">
        <v>800</v>
      </c>
      <c r="B32936" s="572">
        <v>60</v>
      </c>
      <c r="C32936" s="572">
        <v>680</v>
      </c>
    </row>
    <row r="32937" spans="1:3">
      <c r="A32937" s="571" t="s">
        <v>800</v>
      </c>
      <c r="B32937" s="572">
        <v>70</v>
      </c>
      <c r="C32937" s="572">
        <v>720</v>
      </c>
    </row>
    <row r="32938" spans="1:3">
      <c r="A32938" s="571" t="s">
        <v>800</v>
      </c>
      <c r="B32938" s="572">
        <v>80</v>
      </c>
      <c r="C32938" s="572">
        <v>750</v>
      </c>
    </row>
    <row r="32939" spans="1:3">
      <c r="A32939" s="571" t="s">
        <v>800</v>
      </c>
      <c r="B32939" s="572">
        <v>90</v>
      </c>
      <c r="C32939" s="572">
        <v>770</v>
      </c>
    </row>
    <row r="32940" spans="1:3">
      <c r="A32940" s="573" t="s">
        <v>800</v>
      </c>
      <c r="B32940" s="574">
        <v>100</v>
      </c>
      <c r="C32940" s="574">
        <v>790</v>
      </c>
    </row>
    <row r="32941" spans="1:3">
      <c r="A32941" s="573" t="s">
        <v>800</v>
      </c>
      <c r="B32941" s="574">
        <v>110</v>
      </c>
      <c r="C32941" s="574">
        <v>800</v>
      </c>
    </row>
    <row r="32942" spans="1:3">
      <c r="A32942" s="571" t="s">
        <v>799</v>
      </c>
      <c r="B32942" s="572">
        <v>0</v>
      </c>
      <c r="C32942" s="572">
        <v>0</v>
      </c>
    </row>
    <row r="32943" spans="1:3">
      <c r="A32943" s="571" t="s">
        <v>799</v>
      </c>
      <c r="B32943" s="572">
        <v>7</v>
      </c>
      <c r="C32943" s="572">
        <v>150</v>
      </c>
    </row>
    <row r="32944" spans="1:3">
      <c r="A32944" s="571" t="s">
        <v>799</v>
      </c>
      <c r="B32944" s="572">
        <v>10</v>
      </c>
      <c r="C32944" s="572">
        <v>210</v>
      </c>
    </row>
    <row r="32945" spans="1:3">
      <c r="A32945" s="571" t="s">
        <v>799</v>
      </c>
      <c r="B32945" s="572">
        <v>14</v>
      </c>
      <c r="C32945" s="572">
        <v>280</v>
      </c>
    </row>
    <row r="32946" spans="1:3">
      <c r="A32946" s="571" t="s">
        <v>799</v>
      </c>
      <c r="B32946" s="572">
        <v>18</v>
      </c>
      <c r="C32946" s="572">
        <v>380</v>
      </c>
    </row>
    <row r="32947" spans="1:3">
      <c r="A32947" s="571" t="s">
        <v>799</v>
      </c>
      <c r="B32947" s="572">
        <v>21</v>
      </c>
      <c r="C32947" s="572">
        <v>420</v>
      </c>
    </row>
    <row r="32948" spans="1:3">
      <c r="A32948" s="571" t="s">
        <v>799</v>
      </c>
      <c r="B32948" s="572">
        <v>30</v>
      </c>
      <c r="C32948" s="572">
        <v>560</v>
      </c>
    </row>
    <row r="32949" spans="1:3">
      <c r="A32949" s="571" t="s">
        <v>799</v>
      </c>
      <c r="B32949" s="572">
        <v>40</v>
      </c>
      <c r="C32949" s="572">
        <v>680</v>
      </c>
    </row>
    <row r="32950" spans="1:3">
      <c r="A32950" s="571" t="s">
        <v>799</v>
      </c>
      <c r="B32950" s="572">
        <v>50</v>
      </c>
      <c r="C32950" s="572">
        <v>750</v>
      </c>
    </row>
    <row r="32951" spans="1:3">
      <c r="A32951" s="571" t="s">
        <v>799</v>
      </c>
      <c r="B32951" s="572">
        <v>60</v>
      </c>
      <c r="C32951" s="572">
        <v>780</v>
      </c>
    </row>
    <row r="32952" spans="1:3">
      <c r="A32952" s="571" t="s">
        <v>799</v>
      </c>
      <c r="B32952" s="572">
        <v>70</v>
      </c>
      <c r="C32952" s="572">
        <v>840</v>
      </c>
    </row>
    <row r="32953" spans="1:3">
      <c r="A32953" s="571" t="s">
        <v>799</v>
      </c>
      <c r="B32953" s="572">
        <v>80</v>
      </c>
      <c r="C32953" s="572">
        <v>860</v>
      </c>
    </row>
    <row r="32954" spans="1:3">
      <c r="A32954" s="571" t="s">
        <v>799</v>
      </c>
      <c r="B32954" s="572">
        <v>90</v>
      </c>
      <c r="C32954" s="572">
        <v>890</v>
      </c>
    </row>
    <row r="32955" spans="1:3">
      <c r="A32955" s="573" t="s">
        <v>799</v>
      </c>
      <c r="B32955" s="574">
        <v>100</v>
      </c>
      <c r="C32955" s="574">
        <v>900</v>
      </c>
    </row>
    <row r="32956" spans="1:3">
      <c r="A32956" s="573" t="s">
        <v>799</v>
      </c>
      <c r="B32956" s="574">
        <v>110</v>
      </c>
      <c r="C32956" s="574">
        <v>940</v>
      </c>
    </row>
    <row r="32957" spans="1:3">
      <c r="A32957" s="571" t="s">
        <v>798</v>
      </c>
      <c r="B32957" s="572">
        <v>0</v>
      </c>
      <c r="C32957" s="572">
        <v>0</v>
      </c>
    </row>
    <row r="32958" spans="1:3">
      <c r="A32958" s="571" t="s">
        <v>798</v>
      </c>
      <c r="B32958" s="572">
        <v>7</v>
      </c>
      <c r="C32958" s="572">
        <v>170</v>
      </c>
    </row>
    <row r="32959" spans="1:3">
      <c r="A32959" s="571" t="s">
        <v>798</v>
      </c>
      <c r="B32959" s="572">
        <v>10</v>
      </c>
      <c r="C32959" s="572">
        <v>230</v>
      </c>
    </row>
    <row r="32960" spans="1:3">
      <c r="A32960" s="571" t="s">
        <v>798</v>
      </c>
      <c r="B32960" s="572">
        <v>14</v>
      </c>
      <c r="C32960" s="572">
        <v>300</v>
      </c>
    </row>
    <row r="32961" spans="1:3">
      <c r="A32961" s="571" t="s">
        <v>798</v>
      </c>
      <c r="B32961" s="572">
        <v>18</v>
      </c>
      <c r="C32961" s="572">
        <v>400</v>
      </c>
    </row>
    <row r="32962" spans="1:3">
      <c r="A32962" s="571" t="s">
        <v>798</v>
      </c>
      <c r="B32962" s="572">
        <v>21</v>
      </c>
      <c r="C32962" s="572">
        <v>440</v>
      </c>
    </row>
    <row r="32963" spans="1:3">
      <c r="A32963" s="571" t="s">
        <v>798</v>
      </c>
      <c r="B32963" s="572">
        <v>30</v>
      </c>
      <c r="C32963" s="572">
        <v>580</v>
      </c>
    </row>
    <row r="32964" spans="1:3">
      <c r="A32964" s="571" t="s">
        <v>798</v>
      </c>
      <c r="B32964" s="572">
        <v>40</v>
      </c>
      <c r="C32964" s="572">
        <v>690</v>
      </c>
    </row>
    <row r="32965" spans="1:3">
      <c r="A32965" s="571" t="s">
        <v>798</v>
      </c>
      <c r="B32965" s="572">
        <v>50</v>
      </c>
      <c r="C32965" s="572">
        <v>770</v>
      </c>
    </row>
    <row r="32966" spans="1:3">
      <c r="A32966" s="571" t="s">
        <v>798</v>
      </c>
      <c r="B32966" s="572">
        <v>60</v>
      </c>
      <c r="C32966" s="572">
        <v>830</v>
      </c>
    </row>
    <row r="32967" spans="1:3">
      <c r="A32967" s="571" t="s">
        <v>798</v>
      </c>
      <c r="B32967" s="572">
        <v>70</v>
      </c>
      <c r="C32967" s="572">
        <v>870</v>
      </c>
    </row>
    <row r="32968" spans="1:3">
      <c r="A32968" s="571" t="s">
        <v>798</v>
      </c>
      <c r="B32968" s="572">
        <v>80</v>
      </c>
      <c r="C32968" s="572">
        <v>890</v>
      </c>
    </row>
    <row r="32969" spans="1:3">
      <c r="A32969" s="571" t="s">
        <v>798</v>
      </c>
      <c r="B32969" s="572">
        <v>90</v>
      </c>
      <c r="C32969" s="572">
        <v>930</v>
      </c>
    </row>
    <row r="32970" spans="1:3">
      <c r="A32970" s="573" t="s">
        <v>798</v>
      </c>
      <c r="B32970" s="574">
        <v>100</v>
      </c>
      <c r="C32970" s="574">
        <v>950</v>
      </c>
    </row>
    <row r="32971" spans="1:3">
      <c r="A32971" s="573" t="s">
        <v>798</v>
      </c>
      <c r="B32971" s="574">
        <v>110</v>
      </c>
      <c r="C32971" s="574">
        <v>970</v>
      </c>
    </row>
    <row r="32972" spans="1:3">
      <c r="A32972" s="571" t="s">
        <v>797</v>
      </c>
      <c r="B32972" s="572">
        <v>0</v>
      </c>
      <c r="C32972" s="572">
        <v>0</v>
      </c>
    </row>
    <row r="32973" spans="1:3">
      <c r="A32973" s="571" t="s">
        <v>797</v>
      </c>
      <c r="B32973" s="572">
        <v>14</v>
      </c>
      <c r="C32973" s="572">
        <v>145</v>
      </c>
    </row>
    <row r="32974" spans="1:3">
      <c r="A32974" s="571" t="s">
        <v>797</v>
      </c>
      <c r="B32974" s="572">
        <v>28</v>
      </c>
      <c r="C32974" s="572">
        <v>210</v>
      </c>
    </row>
    <row r="32975" spans="1:3">
      <c r="A32975" s="571" t="s">
        <v>797</v>
      </c>
      <c r="B32975" s="572">
        <v>49</v>
      </c>
      <c r="C32975" s="572">
        <v>305</v>
      </c>
    </row>
    <row r="32976" spans="1:3">
      <c r="A32976" s="571" t="s">
        <v>797</v>
      </c>
      <c r="B32976" s="572">
        <v>70</v>
      </c>
      <c r="C32976" s="572">
        <v>320</v>
      </c>
    </row>
    <row r="32977" spans="1:3">
      <c r="A32977" s="571" t="s">
        <v>797</v>
      </c>
      <c r="B32977" s="572">
        <v>84</v>
      </c>
      <c r="C32977" s="572">
        <v>370</v>
      </c>
    </row>
    <row r="32978" spans="1:3">
      <c r="A32978" s="573" t="s">
        <v>797</v>
      </c>
      <c r="B32978" s="574">
        <v>105</v>
      </c>
      <c r="C32978" s="574">
        <v>400</v>
      </c>
    </row>
    <row r="32979" spans="1:3">
      <c r="A32979" s="573" t="s">
        <v>797</v>
      </c>
      <c r="B32979" s="574">
        <v>142</v>
      </c>
      <c r="C32979" s="574">
        <v>450</v>
      </c>
    </row>
    <row r="32980" spans="1:3">
      <c r="A32980" s="573" t="s">
        <v>797</v>
      </c>
      <c r="B32980" s="574">
        <v>182</v>
      </c>
      <c r="C32980" s="574">
        <v>440</v>
      </c>
    </row>
    <row r="32981" spans="1:3">
      <c r="A32981" s="573" t="s">
        <v>797</v>
      </c>
      <c r="B32981" s="574">
        <v>212</v>
      </c>
      <c r="C32981" s="574">
        <v>420</v>
      </c>
    </row>
    <row r="32982" spans="1:3">
      <c r="A32982" s="573" t="s">
        <v>797</v>
      </c>
      <c r="B32982" s="574">
        <v>270</v>
      </c>
      <c r="C32982" s="574">
        <v>490</v>
      </c>
    </row>
    <row r="32983" spans="1:3">
      <c r="A32983" s="573" t="s">
        <v>797</v>
      </c>
      <c r="B32983" s="574">
        <v>366</v>
      </c>
      <c r="C32983" s="574">
        <v>540</v>
      </c>
    </row>
    <row r="32984" spans="1:3">
      <c r="A32984" s="571" t="s">
        <v>796</v>
      </c>
      <c r="B32984" s="572">
        <v>0</v>
      </c>
      <c r="C32984" s="572">
        <v>0</v>
      </c>
    </row>
    <row r="32985" spans="1:3">
      <c r="A32985" s="571" t="s">
        <v>796</v>
      </c>
      <c r="B32985" s="572">
        <v>14</v>
      </c>
      <c r="C32985" s="572">
        <v>110</v>
      </c>
    </row>
    <row r="32986" spans="1:3">
      <c r="A32986" s="571" t="s">
        <v>796</v>
      </c>
      <c r="B32986" s="572">
        <v>28</v>
      </c>
      <c r="C32986" s="572">
        <v>190</v>
      </c>
    </row>
    <row r="32987" spans="1:3">
      <c r="A32987" s="571" t="s">
        <v>796</v>
      </c>
      <c r="B32987" s="572">
        <v>49</v>
      </c>
      <c r="C32987" s="572">
        <v>275</v>
      </c>
    </row>
    <row r="32988" spans="1:3">
      <c r="A32988" s="571" t="s">
        <v>796</v>
      </c>
      <c r="B32988" s="572">
        <v>70</v>
      </c>
      <c r="C32988" s="572">
        <v>305</v>
      </c>
    </row>
    <row r="32989" spans="1:3">
      <c r="A32989" s="571" t="s">
        <v>796</v>
      </c>
      <c r="B32989" s="572">
        <v>84</v>
      </c>
      <c r="C32989" s="572">
        <v>340</v>
      </c>
    </row>
    <row r="32990" spans="1:3">
      <c r="A32990" s="573" t="s">
        <v>796</v>
      </c>
      <c r="B32990" s="574">
        <v>105</v>
      </c>
      <c r="C32990" s="574">
        <v>380</v>
      </c>
    </row>
    <row r="32991" spans="1:3">
      <c r="A32991" s="573" t="s">
        <v>796</v>
      </c>
      <c r="B32991" s="574">
        <v>142</v>
      </c>
      <c r="C32991" s="574">
        <v>435</v>
      </c>
    </row>
    <row r="32992" spans="1:3">
      <c r="A32992" s="573" t="s">
        <v>796</v>
      </c>
      <c r="B32992" s="574">
        <v>182</v>
      </c>
      <c r="C32992" s="574">
        <v>400</v>
      </c>
    </row>
    <row r="32993" spans="1:3">
      <c r="A32993" s="573" t="s">
        <v>796</v>
      </c>
      <c r="B32993" s="574">
        <v>212</v>
      </c>
      <c r="C32993" s="574">
        <v>465</v>
      </c>
    </row>
    <row r="32994" spans="1:3">
      <c r="A32994" s="573" t="s">
        <v>796</v>
      </c>
      <c r="B32994" s="574">
        <v>270</v>
      </c>
      <c r="C32994" s="574">
        <v>530</v>
      </c>
    </row>
    <row r="32995" spans="1:3">
      <c r="A32995" s="573" t="s">
        <v>796</v>
      </c>
      <c r="B32995" s="574">
        <v>366</v>
      </c>
      <c r="C32995" s="574">
        <v>525</v>
      </c>
    </row>
    <row r="32996" spans="1:3">
      <c r="A32996" s="571" t="s">
        <v>795</v>
      </c>
      <c r="B32996" s="572">
        <v>0</v>
      </c>
      <c r="C32996" s="572">
        <v>0</v>
      </c>
    </row>
    <row r="32997" spans="1:3">
      <c r="A32997" s="571" t="s">
        <v>795</v>
      </c>
      <c r="B32997" s="572">
        <v>14</v>
      </c>
      <c r="C32997" s="572">
        <v>90</v>
      </c>
    </row>
    <row r="32998" spans="1:3">
      <c r="A32998" s="571" t="s">
        <v>795</v>
      </c>
      <c r="B32998" s="572">
        <v>28</v>
      </c>
      <c r="C32998" s="572">
        <v>185</v>
      </c>
    </row>
    <row r="32999" spans="1:3">
      <c r="A32999" s="571" t="s">
        <v>795</v>
      </c>
      <c r="B32999" s="572">
        <v>49</v>
      </c>
      <c r="C32999" s="572">
        <v>260</v>
      </c>
    </row>
    <row r="33000" spans="1:3">
      <c r="A33000" s="571" t="s">
        <v>795</v>
      </c>
      <c r="B33000" s="572">
        <v>70</v>
      </c>
      <c r="C33000" s="572">
        <v>285</v>
      </c>
    </row>
    <row r="33001" spans="1:3">
      <c r="A33001" s="571" t="s">
        <v>795</v>
      </c>
      <c r="B33001" s="572">
        <v>84</v>
      </c>
      <c r="C33001" s="572">
        <v>330</v>
      </c>
    </row>
    <row r="33002" spans="1:3">
      <c r="A33002" s="573" t="s">
        <v>795</v>
      </c>
      <c r="B33002" s="574">
        <v>105</v>
      </c>
      <c r="C33002" s="574">
        <v>345</v>
      </c>
    </row>
    <row r="33003" spans="1:3">
      <c r="A33003" s="573" t="s">
        <v>795</v>
      </c>
      <c r="B33003" s="574">
        <v>142</v>
      </c>
      <c r="C33003" s="574">
        <v>380</v>
      </c>
    </row>
    <row r="33004" spans="1:3">
      <c r="A33004" s="573" t="s">
        <v>795</v>
      </c>
      <c r="B33004" s="574">
        <v>182</v>
      </c>
      <c r="C33004" s="574">
        <v>440</v>
      </c>
    </row>
    <row r="33005" spans="1:3">
      <c r="A33005" s="573" t="s">
        <v>795</v>
      </c>
      <c r="B33005" s="574">
        <v>212</v>
      </c>
      <c r="C33005" s="574">
        <v>410</v>
      </c>
    </row>
    <row r="33006" spans="1:3">
      <c r="A33006" s="573" t="s">
        <v>795</v>
      </c>
      <c r="B33006" s="574">
        <v>270</v>
      </c>
      <c r="C33006" s="574">
        <v>475</v>
      </c>
    </row>
    <row r="33007" spans="1:3">
      <c r="A33007" s="573" t="s">
        <v>795</v>
      </c>
      <c r="B33007" s="574">
        <v>366</v>
      </c>
      <c r="C33007" s="574">
        <v>515</v>
      </c>
    </row>
    <row r="33008" spans="1:3">
      <c r="A33008" s="571" t="s">
        <v>794</v>
      </c>
      <c r="B33008" s="572">
        <v>0</v>
      </c>
      <c r="C33008" s="572">
        <v>0</v>
      </c>
    </row>
    <row r="33009" spans="1:3">
      <c r="A33009" s="571" t="s">
        <v>794</v>
      </c>
      <c r="B33009" s="572">
        <v>14</v>
      </c>
      <c r="C33009" s="572">
        <v>175</v>
      </c>
    </row>
    <row r="33010" spans="1:3">
      <c r="A33010" s="571" t="s">
        <v>794</v>
      </c>
      <c r="B33010" s="572">
        <v>28</v>
      </c>
      <c r="C33010" s="572">
        <v>270</v>
      </c>
    </row>
    <row r="33011" spans="1:3">
      <c r="A33011" s="571" t="s">
        <v>794</v>
      </c>
      <c r="B33011" s="572">
        <v>49</v>
      </c>
      <c r="C33011" s="572">
        <v>370</v>
      </c>
    </row>
    <row r="33012" spans="1:3">
      <c r="A33012" s="571" t="s">
        <v>794</v>
      </c>
      <c r="B33012" s="572">
        <v>70</v>
      </c>
      <c r="C33012" s="572">
        <v>420</v>
      </c>
    </row>
    <row r="33013" spans="1:3">
      <c r="A33013" s="571" t="s">
        <v>794</v>
      </c>
      <c r="B33013" s="572">
        <v>84</v>
      </c>
      <c r="C33013" s="572">
        <v>450</v>
      </c>
    </row>
    <row r="33014" spans="1:3">
      <c r="A33014" s="573" t="s">
        <v>794</v>
      </c>
      <c r="B33014" s="574">
        <v>105</v>
      </c>
      <c r="C33014" s="574">
        <v>475</v>
      </c>
    </row>
    <row r="33015" spans="1:3">
      <c r="A33015" s="573" t="s">
        <v>794</v>
      </c>
      <c r="B33015" s="574">
        <v>142</v>
      </c>
      <c r="C33015" s="574">
        <v>530</v>
      </c>
    </row>
    <row r="33016" spans="1:3">
      <c r="A33016" s="573" t="s">
        <v>794</v>
      </c>
      <c r="B33016" s="574">
        <v>182</v>
      </c>
      <c r="C33016" s="574">
        <v>485</v>
      </c>
    </row>
    <row r="33017" spans="1:3">
      <c r="A33017" s="573" t="s">
        <v>794</v>
      </c>
      <c r="B33017" s="574">
        <v>212</v>
      </c>
      <c r="C33017" s="574">
        <v>545</v>
      </c>
    </row>
    <row r="33018" spans="1:3">
      <c r="A33018" s="573" t="s">
        <v>794</v>
      </c>
      <c r="B33018" s="574">
        <v>270</v>
      </c>
      <c r="C33018" s="574">
        <v>620</v>
      </c>
    </row>
    <row r="33019" spans="1:3">
      <c r="A33019" s="573" t="s">
        <v>794</v>
      </c>
      <c r="B33019" s="574">
        <v>366</v>
      </c>
      <c r="C33019" s="574">
        <v>580</v>
      </c>
    </row>
    <row r="33020" spans="1:3">
      <c r="A33020" s="571" t="s">
        <v>793</v>
      </c>
      <c r="B33020" s="572">
        <v>0</v>
      </c>
      <c r="C33020" s="572">
        <v>0</v>
      </c>
    </row>
    <row r="33021" spans="1:3">
      <c r="A33021" s="573" t="s">
        <v>793</v>
      </c>
      <c r="B33021" s="574">
        <v>182</v>
      </c>
      <c r="C33021" s="574">
        <v>727</v>
      </c>
    </row>
    <row r="33022" spans="1:3">
      <c r="A33022" s="573" t="s">
        <v>793</v>
      </c>
      <c r="B33022" s="574">
        <v>364</v>
      </c>
      <c r="C33022" s="574">
        <v>778</v>
      </c>
    </row>
    <row r="33023" spans="1:3">
      <c r="A33023" s="571" t="s">
        <v>792</v>
      </c>
      <c r="B33023" s="572">
        <v>0</v>
      </c>
      <c r="C33023" s="572">
        <v>0</v>
      </c>
    </row>
    <row r="33024" spans="1:3">
      <c r="A33024" s="573" t="s">
        <v>792</v>
      </c>
      <c r="B33024" s="574">
        <v>182</v>
      </c>
      <c r="C33024" s="574">
        <v>748</v>
      </c>
    </row>
    <row r="33025" spans="1:3">
      <c r="A33025" s="573" t="s">
        <v>792</v>
      </c>
      <c r="B33025" s="574">
        <v>364</v>
      </c>
      <c r="C33025" s="574">
        <v>816</v>
      </c>
    </row>
    <row r="33026" spans="1:3">
      <c r="A33026" s="571" t="s">
        <v>791</v>
      </c>
      <c r="B33026" s="572">
        <v>0</v>
      </c>
      <c r="C33026" s="572">
        <v>0</v>
      </c>
    </row>
    <row r="33027" spans="1:3">
      <c r="A33027" s="573" t="s">
        <v>791</v>
      </c>
      <c r="B33027" s="574">
        <v>182</v>
      </c>
      <c r="C33027" s="574">
        <v>669</v>
      </c>
    </row>
    <row r="33028" spans="1:3">
      <c r="A33028" s="573" t="s">
        <v>791</v>
      </c>
      <c r="B33028" s="574">
        <v>364</v>
      </c>
      <c r="C33028" s="574">
        <v>715</v>
      </c>
    </row>
    <row r="33029" spans="1:3">
      <c r="A33029" s="571" t="s">
        <v>790</v>
      </c>
      <c r="B33029" s="572">
        <v>0</v>
      </c>
      <c r="C33029" s="572">
        <v>0</v>
      </c>
    </row>
    <row r="33030" spans="1:3">
      <c r="A33030" s="573" t="s">
        <v>790</v>
      </c>
      <c r="B33030" s="574">
        <v>182</v>
      </c>
      <c r="C33030" s="574">
        <v>610</v>
      </c>
    </row>
    <row r="33031" spans="1:3">
      <c r="A33031" s="573" t="s">
        <v>790</v>
      </c>
      <c r="B33031" s="574">
        <v>364</v>
      </c>
      <c r="C33031" s="574">
        <v>641</v>
      </c>
    </row>
    <row r="33032" spans="1:3">
      <c r="A33032" s="571" t="s">
        <v>789</v>
      </c>
      <c r="B33032" s="572">
        <v>0</v>
      </c>
      <c r="C33032" s="572">
        <v>0</v>
      </c>
    </row>
    <row r="33033" spans="1:3">
      <c r="A33033" s="573" t="s">
        <v>789</v>
      </c>
      <c r="B33033" s="574">
        <v>182</v>
      </c>
      <c r="C33033" s="574">
        <v>642</v>
      </c>
    </row>
    <row r="33034" spans="1:3">
      <c r="A33034" s="573" t="s">
        <v>789</v>
      </c>
      <c r="B33034" s="574">
        <v>364</v>
      </c>
      <c r="C33034" s="574">
        <v>650</v>
      </c>
    </row>
    <row r="33035" spans="1:3">
      <c r="A33035" s="571" t="s">
        <v>788</v>
      </c>
      <c r="B33035" s="572">
        <v>0</v>
      </c>
      <c r="C33035" s="572">
        <v>0</v>
      </c>
    </row>
    <row r="33036" spans="1:3">
      <c r="A33036" s="573" t="s">
        <v>788</v>
      </c>
      <c r="B33036" s="574">
        <v>182</v>
      </c>
      <c r="C33036" s="574">
        <v>647</v>
      </c>
    </row>
    <row r="33037" spans="1:3">
      <c r="A33037" s="573" t="s">
        <v>788</v>
      </c>
      <c r="B33037" s="574">
        <v>364</v>
      </c>
      <c r="C33037" s="574">
        <v>648</v>
      </c>
    </row>
    <row r="33038" spans="1:3">
      <c r="A33038" s="571" t="s">
        <v>787</v>
      </c>
      <c r="B33038" s="572">
        <v>0</v>
      </c>
      <c r="C33038" s="572">
        <v>0</v>
      </c>
    </row>
    <row r="33039" spans="1:3">
      <c r="A33039" s="573" t="s">
        <v>787</v>
      </c>
      <c r="B33039" s="574">
        <v>182</v>
      </c>
      <c r="C33039" s="574">
        <v>664</v>
      </c>
    </row>
    <row r="33040" spans="1:3">
      <c r="A33040" s="573" t="s">
        <v>787</v>
      </c>
      <c r="B33040" s="574">
        <v>364</v>
      </c>
      <c r="C33040" s="574">
        <v>791</v>
      </c>
    </row>
    <row r="33041" spans="1:3">
      <c r="A33041" s="571" t="s">
        <v>786</v>
      </c>
      <c r="B33041" s="572">
        <v>0</v>
      </c>
      <c r="C33041" s="572">
        <v>0</v>
      </c>
    </row>
    <row r="33042" spans="1:3">
      <c r="A33042" s="573" t="s">
        <v>786</v>
      </c>
      <c r="B33042" s="574">
        <v>182</v>
      </c>
      <c r="C33042" s="574">
        <v>705</v>
      </c>
    </row>
    <row r="33043" spans="1:3">
      <c r="A33043" s="573" t="s">
        <v>786</v>
      </c>
      <c r="B33043" s="574">
        <v>364</v>
      </c>
      <c r="C33043" s="574">
        <v>779</v>
      </c>
    </row>
    <row r="33044" spans="1:3">
      <c r="A33044" s="571" t="s">
        <v>785</v>
      </c>
      <c r="B33044" s="572">
        <v>0</v>
      </c>
      <c r="C33044" s="572">
        <v>0</v>
      </c>
    </row>
    <row r="33045" spans="1:3">
      <c r="A33045" s="573" t="s">
        <v>785</v>
      </c>
      <c r="B33045" s="574">
        <v>182</v>
      </c>
      <c r="C33045" s="574">
        <v>633</v>
      </c>
    </row>
    <row r="33046" spans="1:3">
      <c r="A33046" s="573" t="s">
        <v>785</v>
      </c>
      <c r="B33046" s="574">
        <v>364</v>
      </c>
      <c r="C33046" s="574">
        <v>685</v>
      </c>
    </row>
    <row r="33047" spans="1:3">
      <c r="A33047" s="571" t="s">
        <v>784</v>
      </c>
      <c r="B33047" s="572">
        <v>0</v>
      </c>
      <c r="C33047" s="572">
        <v>0</v>
      </c>
    </row>
    <row r="33048" spans="1:3">
      <c r="A33048" s="573" t="s">
        <v>784</v>
      </c>
      <c r="B33048" s="574">
        <v>182</v>
      </c>
      <c r="C33048" s="574">
        <v>666</v>
      </c>
    </row>
    <row r="33049" spans="1:3">
      <c r="A33049" s="573" t="s">
        <v>784</v>
      </c>
      <c r="B33049" s="574">
        <v>364</v>
      </c>
      <c r="C33049" s="574">
        <v>674</v>
      </c>
    </row>
    <row r="33050" spans="1:3">
      <c r="A33050" s="571" t="s">
        <v>783</v>
      </c>
      <c r="B33050" s="572">
        <v>0</v>
      </c>
      <c r="C33050" s="572">
        <v>0</v>
      </c>
    </row>
    <row r="33051" spans="1:3">
      <c r="A33051" s="573" t="s">
        <v>783</v>
      </c>
      <c r="B33051" s="574">
        <v>182</v>
      </c>
      <c r="C33051" s="574">
        <v>618</v>
      </c>
    </row>
    <row r="33052" spans="1:3">
      <c r="A33052" s="573" t="s">
        <v>783</v>
      </c>
      <c r="B33052" s="574">
        <v>364</v>
      </c>
      <c r="C33052" s="574">
        <v>707</v>
      </c>
    </row>
    <row r="33053" spans="1:3">
      <c r="A33053" s="571" t="s">
        <v>782</v>
      </c>
      <c r="B33053" s="572">
        <v>0</v>
      </c>
      <c r="C33053" s="572">
        <v>0</v>
      </c>
    </row>
    <row r="33054" spans="1:3">
      <c r="A33054" s="573" t="s">
        <v>782</v>
      </c>
      <c r="B33054" s="574">
        <v>182</v>
      </c>
      <c r="C33054" s="574">
        <v>691</v>
      </c>
    </row>
    <row r="33055" spans="1:3">
      <c r="A33055" s="573" t="s">
        <v>782</v>
      </c>
      <c r="B33055" s="574">
        <v>364</v>
      </c>
      <c r="C33055" s="574">
        <v>712</v>
      </c>
    </row>
    <row r="33056" spans="1:3">
      <c r="A33056" s="571" t="s">
        <v>781</v>
      </c>
      <c r="B33056" s="572">
        <v>0</v>
      </c>
      <c r="C33056" s="572">
        <v>0</v>
      </c>
    </row>
    <row r="33057" spans="1:3">
      <c r="A33057" s="571" t="s">
        <v>781</v>
      </c>
      <c r="B33057" s="572">
        <v>7</v>
      </c>
      <c r="C33057" s="572">
        <v>80</v>
      </c>
    </row>
    <row r="33058" spans="1:3">
      <c r="A33058" s="571" t="s">
        <v>781</v>
      </c>
      <c r="B33058" s="572">
        <v>21</v>
      </c>
      <c r="C33058" s="572">
        <v>235</v>
      </c>
    </row>
    <row r="33059" spans="1:3">
      <c r="A33059" s="571" t="s">
        <v>781</v>
      </c>
      <c r="B33059" s="572">
        <v>49</v>
      </c>
      <c r="C33059" s="572">
        <v>480</v>
      </c>
    </row>
    <row r="33060" spans="1:3">
      <c r="A33060" s="571" t="s">
        <v>781</v>
      </c>
      <c r="B33060" s="572">
        <v>70</v>
      </c>
      <c r="C33060" s="572">
        <v>620</v>
      </c>
    </row>
    <row r="33061" spans="1:3">
      <c r="A33061" s="571" t="s">
        <v>781</v>
      </c>
      <c r="B33061" s="572">
        <v>98</v>
      </c>
      <c r="C33061" s="572">
        <v>720</v>
      </c>
    </row>
    <row r="33062" spans="1:3">
      <c r="A33062" s="573" t="s">
        <v>781</v>
      </c>
      <c r="B33062" s="574">
        <v>154</v>
      </c>
      <c r="C33062" s="574">
        <v>775</v>
      </c>
    </row>
    <row r="33063" spans="1:3">
      <c r="A33063" s="573" t="s">
        <v>781</v>
      </c>
      <c r="B33063" s="574">
        <v>175</v>
      </c>
      <c r="C33063" s="574">
        <v>805</v>
      </c>
    </row>
    <row r="33064" spans="1:3">
      <c r="A33064" s="573" t="s">
        <v>781</v>
      </c>
      <c r="B33064" s="574">
        <v>203</v>
      </c>
      <c r="C33064" s="574">
        <v>825</v>
      </c>
    </row>
    <row r="33065" spans="1:3">
      <c r="A33065" s="571" t="s">
        <v>780</v>
      </c>
      <c r="B33065" s="572">
        <v>0</v>
      </c>
      <c r="C33065" s="572">
        <v>0</v>
      </c>
    </row>
    <row r="33066" spans="1:3">
      <c r="A33066" s="571" t="s">
        <v>780</v>
      </c>
      <c r="B33066" s="572">
        <v>7</v>
      </c>
      <c r="C33066" s="572">
        <v>80</v>
      </c>
    </row>
    <row r="33067" spans="1:3">
      <c r="A33067" s="571" t="s">
        <v>780</v>
      </c>
      <c r="B33067" s="572">
        <v>21</v>
      </c>
      <c r="C33067" s="572">
        <v>235</v>
      </c>
    </row>
    <row r="33068" spans="1:3">
      <c r="A33068" s="571" t="s">
        <v>780</v>
      </c>
      <c r="B33068" s="572">
        <v>49</v>
      </c>
      <c r="C33068" s="572">
        <v>465</v>
      </c>
    </row>
    <row r="33069" spans="1:3">
      <c r="A33069" s="571" t="s">
        <v>780</v>
      </c>
      <c r="B33069" s="572">
        <v>70</v>
      </c>
      <c r="C33069" s="572">
        <v>585</v>
      </c>
    </row>
    <row r="33070" spans="1:3">
      <c r="A33070" s="571" t="s">
        <v>780</v>
      </c>
      <c r="B33070" s="572">
        <v>98</v>
      </c>
      <c r="C33070" s="572">
        <v>675</v>
      </c>
    </row>
    <row r="33071" spans="1:3">
      <c r="A33071" s="573" t="s">
        <v>780</v>
      </c>
      <c r="B33071" s="574">
        <v>154</v>
      </c>
      <c r="C33071" s="574">
        <v>730</v>
      </c>
    </row>
    <row r="33072" spans="1:3">
      <c r="A33072" s="573" t="s">
        <v>780</v>
      </c>
      <c r="B33072" s="574">
        <v>175</v>
      </c>
      <c r="C33072" s="574">
        <v>750</v>
      </c>
    </row>
    <row r="33073" spans="1:3">
      <c r="A33073" s="573" t="s">
        <v>780</v>
      </c>
      <c r="B33073" s="574">
        <v>203</v>
      </c>
      <c r="C33073" s="574">
        <v>775</v>
      </c>
    </row>
    <row r="33074" spans="1:3">
      <c r="A33074" s="571" t="s">
        <v>779</v>
      </c>
      <c r="B33074" s="572">
        <v>0</v>
      </c>
      <c r="C33074" s="572">
        <v>0</v>
      </c>
    </row>
    <row r="33075" spans="1:3">
      <c r="A33075" s="571" t="s">
        <v>779</v>
      </c>
      <c r="B33075" s="572">
        <v>7</v>
      </c>
      <c r="C33075" s="572">
        <v>75</v>
      </c>
    </row>
    <row r="33076" spans="1:3">
      <c r="A33076" s="571" t="s">
        <v>779</v>
      </c>
      <c r="B33076" s="572">
        <v>21</v>
      </c>
      <c r="C33076" s="572">
        <v>160</v>
      </c>
    </row>
    <row r="33077" spans="1:3">
      <c r="A33077" s="571" t="s">
        <v>779</v>
      </c>
      <c r="B33077" s="572">
        <v>49</v>
      </c>
      <c r="C33077" s="572">
        <v>325</v>
      </c>
    </row>
    <row r="33078" spans="1:3">
      <c r="A33078" s="571" t="s">
        <v>779</v>
      </c>
      <c r="B33078" s="572">
        <v>70</v>
      </c>
      <c r="C33078" s="572">
        <v>450</v>
      </c>
    </row>
    <row r="33079" spans="1:3">
      <c r="A33079" s="571" t="s">
        <v>779</v>
      </c>
      <c r="B33079" s="572">
        <v>98</v>
      </c>
      <c r="C33079" s="572">
        <v>625</v>
      </c>
    </row>
    <row r="33080" spans="1:3">
      <c r="A33080" s="573" t="s">
        <v>779</v>
      </c>
      <c r="B33080" s="574">
        <v>154</v>
      </c>
      <c r="C33080" s="574">
        <v>765</v>
      </c>
    </row>
    <row r="33081" spans="1:3">
      <c r="A33081" s="573" t="s">
        <v>779</v>
      </c>
      <c r="B33081" s="574">
        <v>175</v>
      </c>
      <c r="C33081" s="574">
        <v>795</v>
      </c>
    </row>
    <row r="33082" spans="1:3">
      <c r="A33082" s="573" t="s">
        <v>779</v>
      </c>
      <c r="B33082" s="574">
        <v>203</v>
      </c>
      <c r="C33082" s="574">
        <v>820</v>
      </c>
    </row>
    <row r="33083" spans="1:3">
      <c r="A33083" s="571" t="s">
        <v>778</v>
      </c>
      <c r="B33083" s="572">
        <v>0</v>
      </c>
      <c r="C33083" s="572">
        <v>0</v>
      </c>
    </row>
    <row r="33084" spans="1:3">
      <c r="A33084" s="571" t="s">
        <v>778</v>
      </c>
      <c r="B33084" s="572">
        <v>7</v>
      </c>
      <c r="C33084" s="572">
        <v>90</v>
      </c>
    </row>
    <row r="33085" spans="1:3">
      <c r="A33085" s="571" t="s">
        <v>778</v>
      </c>
      <c r="B33085" s="572">
        <v>21</v>
      </c>
      <c r="C33085" s="572">
        <v>190</v>
      </c>
    </row>
    <row r="33086" spans="1:3">
      <c r="A33086" s="571" t="s">
        <v>778</v>
      </c>
      <c r="B33086" s="572">
        <v>49</v>
      </c>
      <c r="C33086" s="572">
        <v>345</v>
      </c>
    </row>
    <row r="33087" spans="1:3">
      <c r="A33087" s="571" t="s">
        <v>778</v>
      </c>
      <c r="B33087" s="572">
        <v>70</v>
      </c>
      <c r="C33087" s="572">
        <v>450</v>
      </c>
    </row>
    <row r="33088" spans="1:3">
      <c r="A33088" s="571" t="s">
        <v>778</v>
      </c>
      <c r="B33088" s="572">
        <v>98</v>
      </c>
      <c r="C33088" s="572">
        <v>595</v>
      </c>
    </row>
    <row r="33089" spans="1:3">
      <c r="A33089" s="573" t="s">
        <v>778</v>
      </c>
      <c r="B33089" s="574">
        <v>154</v>
      </c>
      <c r="C33089" s="574">
        <v>725</v>
      </c>
    </row>
    <row r="33090" spans="1:3">
      <c r="A33090" s="573" t="s">
        <v>778</v>
      </c>
      <c r="B33090" s="574">
        <v>175</v>
      </c>
      <c r="C33090" s="574">
        <v>745</v>
      </c>
    </row>
    <row r="33091" spans="1:3">
      <c r="A33091" s="573" t="s">
        <v>778</v>
      </c>
      <c r="B33091" s="574">
        <v>203</v>
      </c>
      <c r="C33091" s="574">
        <v>775</v>
      </c>
    </row>
    <row r="33092" spans="1:3">
      <c r="A33092" s="571" t="s">
        <v>777</v>
      </c>
      <c r="B33092" s="572">
        <v>0</v>
      </c>
      <c r="C33092" s="572">
        <v>0</v>
      </c>
    </row>
    <row r="33093" spans="1:3">
      <c r="A33093" s="571" t="s">
        <v>777</v>
      </c>
      <c r="B33093" s="572">
        <v>7</v>
      </c>
      <c r="C33093" s="572">
        <v>80</v>
      </c>
    </row>
    <row r="33094" spans="1:3">
      <c r="A33094" s="571" t="s">
        <v>777</v>
      </c>
      <c r="B33094" s="572">
        <v>21</v>
      </c>
      <c r="C33094" s="572">
        <v>180</v>
      </c>
    </row>
    <row r="33095" spans="1:3">
      <c r="A33095" s="571" t="s">
        <v>777</v>
      </c>
      <c r="B33095" s="572">
        <v>49</v>
      </c>
      <c r="C33095" s="572">
        <v>340</v>
      </c>
    </row>
    <row r="33096" spans="1:3">
      <c r="A33096" s="571" t="s">
        <v>777</v>
      </c>
      <c r="B33096" s="572">
        <v>70</v>
      </c>
      <c r="C33096" s="572">
        <v>415</v>
      </c>
    </row>
    <row r="33097" spans="1:3">
      <c r="A33097" s="571" t="s">
        <v>777</v>
      </c>
      <c r="B33097" s="572">
        <v>98</v>
      </c>
      <c r="C33097" s="572">
        <v>520</v>
      </c>
    </row>
    <row r="33098" spans="1:3">
      <c r="A33098" s="573" t="s">
        <v>777</v>
      </c>
      <c r="B33098" s="574">
        <v>154</v>
      </c>
      <c r="C33098" s="574">
        <v>635</v>
      </c>
    </row>
    <row r="33099" spans="1:3">
      <c r="A33099" s="573" t="s">
        <v>777</v>
      </c>
      <c r="B33099" s="574">
        <v>175</v>
      </c>
      <c r="C33099" s="574">
        <v>675</v>
      </c>
    </row>
    <row r="33100" spans="1:3">
      <c r="A33100" s="573" t="s">
        <v>777</v>
      </c>
      <c r="B33100" s="574">
        <v>203</v>
      </c>
      <c r="C33100" s="574">
        <v>700</v>
      </c>
    </row>
    <row r="33101" spans="1:3">
      <c r="A33101" s="571" t="s">
        <v>776</v>
      </c>
      <c r="B33101" s="572">
        <v>0</v>
      </c>
      <c r="C33101" s="572">
        <v>0</v>
      </c>
    </row>
    <row r="33102" spans="1:3">
      <c r="A33102" s="571" t="s">
        <v>776</v>
      </c>
      <c r="B33102" s="572">
        <v>7</v>
      </c>
      <c r="C33102" s="572">
        <v>180</v>
      </c>
    </row>
    <row r="33103" spans="1:3">
      <c r="A33103" s="571" t="s">
        <v>776</v>
      </c>
      <c r="B33103" s="572">
        <v>21</v>
      </c>
      <c r="C33103" s="572">
        <v>355</v>
      </c>
    </row>
    <row r="33104" spans="1:3">
      <c r="A33104" s="571" t="s">
        <v>776</v>
      </c>
      <c r="B33104" s="572">
        <v>49</v>
      </c>
      <c r="C33104" s="572">
        <v>615</v>
      </c>
    </row>
    <row r="33105" spans="1:3">
      <c r="A33105" s="571" t="s">
        <v>776</v>
      </c>
      <c r="B33105" s="572">
        <v>70</v>
      </c>
      <c r="C33105" s="572">
        <v>680</v>
      </c>
    </row>
    <row r="33106" spans="1:3">
      <c r="A33106" s="571" t="s">
        <v>776</v>
      </c>
      <c r="B33106" s="572">
        <v>98</v>
      </c>
      <c r="C33106" s="572">
        <v>720</v>
      </c>
    </row>
    <row r="33107" spans="1:3">
      <c r="A33107" s="573" t="s">
        <v>776</v>
      </c>
      <c r="B33107" s="574">
        <v>154</v>
      </c>
      <c r="C33107" s="574">
        <v>755</v>
      </c>
    </row>
    <row r="33108" spans="1:3">
      <c r="A33108" s="573" t="s">
        <v>776</v>
      </c>
      <c r="B33108" s="574">
        <v>175</v>
      </c>
      <c r="C33108" s="574">
        <v>770</v>
      </c>
    </row>
    <row r="33109" spans="1:3">
      <c r="A33109" s="573" t="s">
        <v>776</v>
      </c>
      <c r="B33109" s="574">
        <v>203</v>
      </c>
      <c r="C33109" s="574">
        <v>780</v>
      </c>
    </row>
    <row r="33110" spans="1:3">
      <c r="A33110" s="571" t="s">
        <v>775</v>
      </c>
      <c r="B33110" s="572">
        <v>0</v>
      </c>
      <c r="C33110" s="572">
        <v>0</v>
      </c>
    </row>
    <row r="33111" spans="1:3">
      <c r="A33111" s="571" t="s">
        <v>775</v>
      </c>
      <c r="B33111" s="572">
        <v>7</v>
      </c>
      <c r="C33111" s="572">
        <v>100</v>
      </c>
    </row>
    <row r="33112" spans="1:3">
      <c r="A33112" s="571" t="s">
        <v>775</v>
      </c>
      <c r="B33112" s="572">
        <v>21</v>
      </c>
      <c r="C33112" s="572">
        <v>175</v>
      </c>
    </row>
    <row r="33113" spans="1:3">
      <c r="A33113" s="571" t="s">
        <v>775</v>
      </c>
      <c r="B33113" s="572">
        <v>49</v>
      </c>
      <c r="C33113" s="572">
        <v>275</v>
      </c>
    </row>
    <row r="33114" spans="1:3">
      <c r="A33114" s="571" t="s">
        <v>775</v>
      </c>
      <c r="B33114" s="572">
        <v>70</v>
      </c>
      <c r="C33114" s="572">
        <v>310</v>
      </c>
    </row>
    <row r="33115" spans="1:3">
      <c r="A33115" s="571" t="s">
        <v>775</v>
      </c>
      <c r="B33115" s="572">
        <v>98</v>
      </c>
      <c r="C33115" s="572">
        <v>350</v>
      </c>
    </row>
    <row r="33116" spans="1:3">
      <c r="A33116" s="573" t="s">
        <v>775</v>
      </c>
      <c r="B33116" s="574">
        <v>154</v>
      </c>
      <c r="C33116" s="574">
        <v>410</v>
      </c>
    </row>
    <row r="33117" spans="1:3">
      <c r="A33117" s="573" t="s">
        <v>775</v>
      </c>
      <c r="B33117" s="574">
        <v>175</v>
      </c>
      <c r="C33117" s="574">
        <v>445</v>
      </c>
    </row>
    <row r="33118" spans="1:3">
      <c r="A33118" s="573" t="s">
        <v>775</v>
      </c>
      <c r="B33118" s="574">
        <v>203</v>
      </c>
      <c r="C33118" s="574">
        <v>480</v>
      </c>
    </row>
    <row r="33119" spans="1:3">
      <c r="A33119" s="571" t="s">
        <v>774</v>
      </c>
      <c r="B33119" s="572">
        <v>0</v>
      </c>
      <c r="C33119" s="572">
        <v>0</v>
      </c>
    </row>
    <row r="33120" spans="1:3">
      <c r="A33120" s="571" t="s">
        <v>774</v>
      </c>
      <c r="B33120" s="572">
        <v>7</v>
      </c>
      <c r="C33120" s="572">
        <v>160</v>
      </c>
    </row>
    <row r="33121" spans="1:3">
      <c r="A33121" s="571" t="s">
        <v>774</v>
      </c>
      <c r="B33121" s="572">
        <v>21</v>
      </c>
      <c r="C33121" s="572">
        <v>370</v>
      </c>
    </row>
    <row r="33122" spans="1:3">
      <c r="A33122" s="571" t="s">
        <v>774</v>
      </c>
      <c r="B33122" s="572">
        <v>49</v>
      </c>
      <c r="C33122" s="572">
        <v>655</v>
      </c>
    </row>
    <row r="33123" spans="1:3">
      <c r="A33123" s="571" t="s">
        <v>774</v>
      </c>
      <c r="B33123" s="572">
        <v>70</v>
      </c>
      <c r="C33123" s="572">
        <v>725</v>
      </c>
    </row>
    <row r="33124" spans="1:3">
      <c r="A33124" s="571" t="s">
        <v>774</v>
      </c>
      <c r="B33124" s="572">
        <v>98</v>
      </c>
      <c r="C33124" s="572">
        <v>760</v>
      </c>
    </row>
    <row r="33125" spans="1:3">
      <c r="A33125" s="573" t="s">
        <v>774</v>
      </c>
      <c r="B33125" s="574">
        <v>154</v>
      </c>
      <c r="C33125" s="574">
        <v>795</v>
      </c>
    </row>
    <row r="33126" spans="1:3">
      <c r="A33126" s="573" t="s">
        <v>774</v>
      </c>
      <c r="B33126" s="574">
        <v>175</v>
      </c>
      <c r="C33126" s="574">
        <v>805</v>
      </c>
    </row>
    <row r="33127" spans="1:3">
      <c r="A33127" s="573" t="s">
        <v>774</v>
      </c>
      <c r="B33127" s="574">
        <v>203</v>
      </c>
      <c r="C33127" s="574">
        <v>820</v>
      </c>
    </row>
    <row r="33128" spans="1:3">
      <c r="A33128" s="571" t="s">
        <v>773</v>
      </c>
      <c r="B33128" s="572">
        <v>0</v>
      </c>
      <c r="C33128" s="572">
        <v>0</v>
      </c>
    </row>
    <row r="33129" spans="1:3">
      <c r="A33129" s="571" t="s">
        <v>773</v>
      </c>
      <c r="B33129" s="572">
        <v>1</v>
      </c>
      <c r="C33129" s="572">
        <v>52</v>
      </c>
    </row>
    <row r="33130" spans="1:3">
      <c r="A33130" s="571" t="s">
        <v>773</v>
      </c>
      <c r="B33130" s="572">
        <v>3</v>
      </c>
      <c r="C33130" s="572">
        <v>107</v>
      </c>
    </row>
    <row r="33131" spans="1:3">
      <c r="A33131" s="571" t="s">
        <v>773</v>
      </c>
      <c r="B33131" s="572">
        <v>7</v>
      </c>
      <c r="C33131" s="572">
        <v>194</v>
      </c>
    </row>
    <row r="33132" spans="1:3">
      <c r="A33132" s="571" t="s">
        <v>773</v>
      </c>
      <c r="B33132" s="572">
        <v>14</v>
      </c>
      <c r="C33132" s="572">
        <v>282</v>
      </c>
    </row>
    <row r="33133" spans="1:3">
      <c r="A33133" s="571" t="s">
        <v>773</v>
      </c>
      <c r="B33133" s="572">
        <v>21</v>
      </c>
      <c r="C33133" s="572">
        <v>333</v>
      </c>
    </row>
    <row r="33134" spans="1:3">
      <c r="A33134" s="571" t="s">
        <v>773</v>
      </c>
      <c r="B33134" s="572">
        <v>28</v>
      </c>
      <c r="C33134" s="572">
        <v>376</v>
      </c>
    </row>
    <row r="33135" spans="1:3">
      <c r="A33135" s="571" t="s">
        <v>773</v>
      </c>
      <c r="B33135" s="572">
        <v>42</v>
      </c>
      <c r="C33135" s="572">
        <v>435</v>
      </c>
    </row>
    <row r="33136" spans="1:3">
      <c r="A33136" s="571" t="s">
        <v>773</v>
      </c>
      <c r="B33136" s="572">
        <v>56</v>
      </c>
      <c r="C33136" s="572">
        <v>477</v>
      </c>
    </row>
    <row r="33137" spans="1:3">
      <c r="A33137" s="571" t="s">
        <v>773</v>
      </c>
      <c r="B33137" s="572">
        <v>70</v>
      </c>
      <c r="C33137" s="572">
        <v>540</v>
      </c>
    </row>
    <row r="33138" spans="1:3">
      <c r="A33138" s="571" t="s">
        <v>773</v>
      </c>
      <c r="B33138" s="572">
        <v>70</v>
      </c>
      <c r="C33138" s="572">
        <v>599</v>
      </c>
    </row>
    <row r="33139" spans="1:3">
      <c r="A33139" s="571" t="s">
        <v>773</v>
      </c>
      <c r="B33139" s="572">
        <v>70</v>
      </c>
      <c r="C33139" s="572">
        <v>651</v>
      </c>
    </row>
    <row r="33140" spans="1:3">
      <c r="A33140" s="571" t="s">
        <v>761</v>
      </c>
      <c r="B33140" s="572">
        <v>0</v>
      </c>
      <c r="C33140" s="572">
        <v>0</v>
      </c>
    </row>
    <row r="33141" spans="1:3">
      <c r="A33141" s="571" t="s">
        <v>761</v>
      </c>
      <c r="B33141" s="572">
        <v>1</v>
      </c>
      <c r="C33141" s="572">
        <v>184</v>
      </c>
    </row>
    <row r="33142" spans="1:3">
      <c r="A33142" s="571" t="s">
        <v>761</v>
      </c>
      <c r="B33142" s="572">
        <v>3</v>
      </c>
      <c r="C33142" s="572">
        <v>355</v>
      </c>
    </row>
    <row r="33143" spans="1:3">
      <c r="A33143" s="571" t="s">
        <v>761</v>
      </c>
      <c r="B33143" s="572">
        <v>7</v>
      </c>
      <c r="C33143" s="572">
        <v>517</v>
      </c>
    </row>
    <row r="33144" spans="1:3">
      <c r="A33144" s="571" t="s">
        <v>761</v>
      </c>
      <c r="B33144" s="572">
        <v>14</v>
      </c>
      <c r="C33144" s="572">
        <v>602</v>
      </c>
    </row>
    <row r="33145" spans="1:3">
      <c r="A33145" s="571" t="s">
        <v>761</v>
      </c>
      <c r="B33145" s="572">
        <v>21</v>
      </c>
      <c r="C33145" s="572">
        <v>627</v>
      </c>
    </row>
    <row r="33146" spans="1:3">
      <c r="A33146" s="571" t="s">
        <v>761</v>
      </c>
      <c r="B33146" s="572">
        <v>28</v>
      </c>
      <c r="C33146" s="572">
        <v>647</v>
      </c>
    </row>
    <row r="33147" spans="1:3">
      <c r="A33147" s="571" t="s">
        <v>761</v>
      </c>
      <c r="B33147" s="572">
        <v>42</v>
      </c>
      <c r="C33147" s="572">
        <v>665</v>
      </c>
    </row>
    <row r="33148" spans="1:3">
      <c r="A33148" s="571" t="s">
        <v>761</v>
      </c>
      <c r="B33148" s="572">
        <v>56</v>
      </c>
      <c r="C33148" s="572">
        <v>677</v>
      </c>
    </row>
    <row r="33149" spans="1:3">
      <c r="A33149" s="571" t="s">
        <v>761</v>
      </c>
      <c r="B33149" s="572">
        <v>70</v>
      </c>
      <c r="C33149" s="572">
        <v>689</v>
      </c>
    </row>
    <row r="33150" spans="1:3">
      <c r="A33150" s="571" t="s">
        <v>760</v>
      </c>
      <c r="B33150" s="572">
        <v>70</v>
      </c>
      <c r="C33150" s="572">
        <v>547</v>
      </c>
    </row>
    <row r="33151" spans="1:3">
      <c r="A33151" s="571" t="s">
        <v>759</v>
      </c>
      <c r="B33151" s="572">
        <v>70</v>
      </c>
      <c r="C33151" s="572">
        <v>580</v>
      </c>
    </row>
    <row r="33152" spans="1:3">
      <c r="A33152" s="571" t="s">
        <v>758</v>
      </c>
      <c r="B33152" s="572">
        <v>0</v>
      </c>
      <c r="C33152" s="572">
        <v>0</v>
      </c>
    </row>
    <row r="33153" spans="1:3">
      <c r="A33153" s="571" t="s">
        <v>758</v>
      </c>
      <c r="B33153" s="572">
        <v>1</v>
      </c>
      <c r="C33153" s="572">
        <v>50</v>
      </c>
    </row>
    <row r="33154" spans="1:3">
      <c r="A33154" s="571" t="s">
        <v>758</v>
      </c>
      <c r="B33154" s="572">
        <v>3</v>
      </c>
      <c r="C33154" s="572">
        <v>110</v>
      </c>
    </row>
    <row r="33155" spans="1:3">
      <c r="A33155" s="571" t="s">
        <v>758</v>
      </c>
      <c r="B33155" s="572">
        <v>7</v>
      </c>
      <c r="C33155" s="572">
        <v>197</v>
      </c>
    </row>
    <row r="33156" spans="1:3">
      <c r="A33156" s="571" t="s">
        <v>758</v>
      </c>
      <c r="B33156" s="572">
        <v>14</v>
      </c>
      <c r="C33156" s="572">
        <v>310</v>
      </c>
    </row>
    <row r="33157" spans="1:3">
      <c r="A33157" s="571" t="s">
        <v>758</v>
      </c>
      <c r="B33157" s="572">
        <v>21</v>
      </c>
      <c r="C33157" s="572">
        <v>389</v>
      </c>
    </row>
    <row r="33158" spans="1:3">
      <c r="A33158" s="571" t="s">
        <v>758</v>
      </c>
      <c r="B33158" s="572">
        <v>28</v>
      </c>
      <c r="C33158" s="572">
        <v>442</v>
      </c>
    </row>
    <row r="33159" spans="1:3">
      <c r="A33159" s="571" t="s">
        <v>758</v>
      </c>
      <c r="B33159" s="572">
        <v>42</v>
      </c>
      <c r="C33159" s="572">
        <v>513</v>
      </c>
    </row>
    <row r="33160" spans="1:3">
      <c r="A33160" s="571" t="s">
        <v>758</v>
      </c>
      <c r="B33160" s="572">
        <v>56</v>
      </c>
      <c r="C33160" s="572">
        <v>554</v>
      </c>
    </row>
    <row r="33161" spans="1:3">
      <c r="A33161" s="571" t="s">
        <v>758</v>
      </c>
      <c r="B33161" s="572">
        <v>70</v>
      </c>
      <c r="C33161" s="572">
        <v>590</v>
      </c>
    </row>
    <row r="33162" spans="1:3">
      <c r="A33162" s="571" t="s">
        <v>757</v>
      </c>
      <c r="B33162" s="572">
        <v>70</v>
      </c>
      <c r="C33162" s="572">
        <v>443</v>
      </c>
    </row>
    <row r="33163" spans="1:3">
      <c r="A33163" s="571" t="s">
        <v>756</v>
      </c>
      <c r="B33163" s="572">
        <v>70</v>
      </c>
      <c r="C33163" s="572">
        <v>475</v>
      </c>
    </row>
    <row r="33164" spans="1:3">
      <c r="A33164" s="571" t="s">
        <v>755</v>
      </c>
      <c r="B33164" s="572">
        <v>70</v>
      </c>
      <c r="C33164" s="572">
        <v>484</v>
      </c>
    </row>
    <row r="33165" spans="1:3">
      <c r="A33165" s="571" t="s">
        <v>754</v>
      </c>
      <c r="B33165" s="572">
        <v>0</v>
      </c>
      <c r="C33165" s="572">
        <v>0</v>
      </c>
    </row>
    <row r="33166" spans="1:3">
      <c r="A33166" s="571" t="s">
        <v>754</v>
      </c>
      <c r="B33166" s="572">
        <v>1</v>
      </c>
      <c r="C33166" s="572">
        <v>91</v>
      </c>
    </row>
    <row r="33167" spans="1:3">
      <c r="A33167" s="571" t="s">
        <v>754</v>
      </c>
      <c r="B33167" s="572">
        <v>3</v>
      </c>
      <c r="C33167" s="572">
        <v>184</v>
      </c>
    </row>
    <row r="33168" spans="1:3">
      <c r="A33168" s="571" t="s">
        <v>754</v>
      </c>
      <c r="B33168" s="572">
        <v>7</v>
      </c>
      <c r="C33168" s="572">
        <v>290</v>
      </c>
    </row>
    <row r="33169" spans="1:3">
      <c r="A33169" s="571" t="s">
        <v>754</v>
      </c>
      <c r="B33169" s="572">
        <v>14</v>
      </c>
      <c r="C33169" s="572">
        <v>351</v>
      </c>
    </row>
    <row r="33170" spans="1:3">
      <c r="A33170" s="571" t="s">
        <v>754</v>
      </c>
      <c r="B33170" s="572">
        <v>21</v>
      </c>
      <c r="C33170" s="572">
        <v>389</v>
      </c>
    </row>
    <row r="33171" spans="1:3">
      <c r="A33171" s="571" t="s">
        <v>754</v>
      </c>
      <c r="B33171" s="572">
        <v>28</v>
      </c>
      <c r="C33171" s="572">
        <v>416</v>
      </c>
    </row>
    <row r="33172" spans="1:3">
      <c r="A33172" s="571" t="s">
        <v>754</v>
      </c>
      <c r="B33172" s="572">
        <v>42</v>
      </c>
      <c r="C33172" s="572">
        <v>442</v>
      </c>
    </row>
    <row r="33173" spans="1:3">
      <c r="A33173" s="571" t="s">
        <v>754</v>
      </c>
      <c r="B33173" s="572">
        <v>56</v>
      </c>
      <c r="C33173" s="572">
        <v>460</v>
      </c>
    </row>
    <row r="33174" spans="1:3">
      <c r="A33174" s="571" t="s">
        <v>754</v>
      </c>
      <c r="B33174" s="572">
        <v>70</v>
      </c>
      <c r="C33174" s="572">
        <v>495</v>
      </c>
    </row>
    <row r="33175" spans="1:3">
      <c r="A33175" s="571" t="s">
        <v>753</v>
      </c>
      <c r="B33175" s="572">
        <v>0</v>
      </c>
      <c r="C33175" s="572">
        <v>0</v>
      </c>
    </row>
    <row r="33176" spans="1:3">
      <c r="A33176" s="571" t="s">
        <v>753</v>
      </c>
      <c r="B33176" s="572">
        <v>1</v>
      </c>
      <c r="C33176" s="572">
        <v>44</v>
      </c>
    </row>
    <row r="33177" spans="1:3">
      <c r="A33177" s="571" t="s">
        <v>753</v>
      </c>
      <c r="B33177" s="572">
        <v>3</v>
      </c>
      <c r="C33177" s="572">
        <v>99</v>
      </c>
    </row>
    <row r="33178" spans="1:3">
      <c r="A33178" s="571" t="s">
        <v>753</v>
      </c>
      <c r="B33178" s="572">
        <v>7</v>
      </c>
      <c r="C33178" s="572">
        <v>183</v>
      </c>
    </row>
    <row r="33179" spans="1:3">
      <c r="A33179" s="571" t="s">
        <v>753</v>
      </c>
      <c r="B33179" s="572">
        <v>14</v>
      </c>
      <c r="C33179" s="572">
        <v>313</v>
      </c>
    </row>
    <row r="33180" spans="1:3">
      <c r="A33180" s="571" t="s">
        <v>753</v>
      </c>
      <c r="B33180" s="572">
        <v>21</v>
      </c>
      <c r="C33180" s="572">
        <v>399</v>
      </c>
    </row>
    <row r="33181" spans="1:3">
      <c r="A33181" s="571" t="s">
        <v>753</v>
      </c>
      <c r="B33181" s="572">
        <v>28</v>
      </c>
      <c r="C33181" s="572">
        <v>451</v>
      </c>
    </row>
    <row r="33182" spans="1:3">
      <c r="A33182" s="571" t="s">
        <v>753</v>
      </c>
      <c r="B33182" s="572">
        <v>42</v>
      </c>
      <c r="C33182" s="572">
        <v>528</v>
      </c>
    </row>
    <row r="33183" spans="1:3">
      <c r="A33183" s="571" t="s">
        <v>753</v>
      </c>
      <c r="B33183" s="572">
        <v>56</v>
      </c>
      <c r="C33183" s="572">
        <v>578</v>
      </c>
    </row>
    <row r="33184" spans="1:3">
      <c r="A33184" s="571" t="s">
        <v>753</v>
      </c>
      <c r="B33184" s="572">
        <v>70</v>
      </c>
      <c r="C33184" s="572">
        <v>607</v>
      </c>
    </row>
    <row r="33185" spans="1:3">
      <c r="A33185" s="571" t="s">
        <v>752</v>
      </c>
      <c r="B33185" s="572">
        <v>70</v>
      </c>
      <c r="C33185" s="572">
        <v>597</v>
      </c>
    </row>
    <row r="33186" spans="1:3">
      <c r="A33186" s="571" t="s">
        <v>751</v>
      </c>
      <c r="B33186" s="572">
        <v>70</v>
      </c>
      <c r="C33186" s="572">
        <v>606</v>
      </c>
    </row>
    <row r="33187" spans="1:3">
      <c r="A33187" s="571" t="s">
        <v>750</v>
      </c>
      <c r="B33187" s="572">
        <v>0</v>
      </c>
      <c r="C33187" s="572">
        <v>0</v>
      </c>
    </row>
    <row r="33188" spans="1:3">
      <c r="A33188" s="571" t="s">
        <v>750</v>
      </c>
      <c r="B33188" s="572">
        <v>1</v>
      </c>
      <c r="C33188" s="572">
        <v>100</v>
      </c>
    </row>
    <row r="33189" spans="1:3">
      <c r="A33189" s="571" t="s">
        <v>750</v>
      </c>
      <c r="B33189" s="572">
        <v>3</v>
      </c>
      <c r="C33189" s="572">
        <v>213</v>
      </c>
    </row>
    <row r="33190" spans="1:3">
      <c r="A33190" s="571" t="s">
        <v>750</v>
      </c>
      <c r="B33190" s="572">
        <v>7</v>
      </c>
      <c r="C33190" s="572">
        <v>351</v>
      </c>
    </row>
    <row r="33191" spans="1:3">
      <c r="A33191" s="571" t="s">
        <v>750</v>
      </c>
      <c r="B33191" s="572">
        <v>14</v>
      </c>
      <c r="C33191" s="572">
        <v>472</v>
      </c>
    </row>
    <row r="33192" spans="1:3">
      <c r="A33192" s="571" t="s">
        <v>750</v>
      </c>
      <c r="B33192" s="572">
        <v>21</v>
      </c>
      <c r="C33192" s="572">
        <v>531</v>
      </c>
    </row>
    <row r="33193" spans="1:3">
      <c r="A33193" s="571" t="s">
        <v>750</v>
      </c>
      <c r="B33193" s="572">
        <v>28</v>
      </c>
      <c r="C33193" s="572">
        <v>575</v>
      </c>
    </row>
    <row r="33194" spans="1:3">
      <c r="A33194" s="571" t="s">
        <v>750</v>
      </c>
      <c r="B33194" s="572">
        <v>42</v>
      </c>
      <c r="C33194" s="572">
        <v>622</v>
      </c>
    </row>
    <row r="33195" spans="1:3">
      <c r="A33195" s="571" t="s">
        <v>750</v>
      </c>
      <c r="B33195" s="572">
        <v>56</v>
      </c>
      <c r="C33195" s="572">
        <v>650</v>
      </c>
    </row>
    <row r="33196" spans="1:3">
      <c r="A33196" s="571" t="s">
        <v>750</v>
      </c>
      <c r="B33196" s="572">
        <v>70</v>
      </c>
      <c r="C33196" s="572">
        <v>665</v>
      </c>
    </row>
    <row r="33197" spans="1:3">
      <c r="A33197" s="571" t="s">
        <v>749</v>
      </c>
      <c r="B33197" s="572">
        <v>70</v>
      </c>
      <c r="C33197" s="572">
        <v>639</v>
      </c>
    </row>
    <row r="33198" spans="1:3">
      <c r="A33198" s="571" t="s">
        <v>748</v>
      </c>
      <c r="B33198" s="572">
        <v>70</v>
      </c>
      <c r="C33198" s="572">
        <v>611</v>
      </c>
    </row>
    <row r="33199" spans="1:3">
      <c r="A33199" s="571" t="s">
        <v>747</v>
      </c>
      <c r="B33199" s="572">
        <v>0</v>
      </c>
      <c r="C33199" s="572">
        <v>0</v>
      </c>
    </row>
    <row r="33200" spans="1:3">
      <c r="A33200" s="571" t="s">
        <v>747</v>
      </c>
      <c r="B33200" s="572">
        <v>1</v>
      </c>
      <c r="C33200" s="572">
        <v>47</v>
      </c>
    </row>
    <row r="33201" spans="1:3">
      <c r="A33201" s="571" t="s">
        <v>747</v>
      </c>
      <c r="B33201" s="572">
        <v>3</v>
      </c>
      <c r="C33201" s="572">
        <v>117</v>
      </c>
    </row>
    <row r="33202" spans="1:3">
      <c r="A33202" s="571" t="s">
        <v>747</v>
      </c>
      <c r="B33202" s="572">
        <v>7</v>
      </c>
      <c r="C33202" s="572">
        <v>208</v>
      </c>
    </row>
    <row r="33203" spans="1:3">
      <c r="A33203" s="571" t="s">
        <v>747</v>
      </c>
      <c r="B33203" s="572">
        <v>14</v>
      </c>
      <c r="C33203" s="572">
        <v>320</v>
      </c>
    </row>
    <row r="33204" spans="1:3">
      <c r="A33204" s="571" t="s">
        <v>747</v>
      </c>
      <c r="B33204" s="572">
        <v>21</v>
      </c>
      <c r="C33204" s="572">
        <v>398</v>
      </c>
    </row>
    <row r="33205" spans="1:3">
      <c r="A33205" s="571" t="s">
        <v>747</v>
      </c>
      <c r="B33205" s="572">
        <v>28</v>
      </c>
      <c r="C33205" s="572">
        <v>450</v>
      </c>
    </row>
    <row r="33206" spans="1:3">
      <c r="A33206" s="571" t="s">
        <v>747</v>
      </c>
      <c r="B33206" s="572">
        <v>42</v>
      </c>
      <c r="C33206" s="572">
        <v>515</v>
      </c>
    </row>
    <row r="33207" spans="1:3">
      <c r="A33207" s="571" t="s">
        <v>747</v>
      </c>
      <c r="B33207" s="572">
        <v>56</v>
      </c>
      <c r="C33207" s="572">
        <v>555</v>
      </c>
    </row>
    <row r="33208" spans="1:3">
      <c r="A33208" s="571" t="s">
        <v>747</v>
      </c>
      <c r="B33208" s="572">
        <v>70</v>
      </c>
      <c r="C33208" s="572">
        <v>579</v>
      </c>
    </row>
    <row r="33209" spans="1:3">
      <c r="A33209" s="571" t="s">
        <v>746</v>
      </c>
      <c r="B33209" s="572">
        <v>70</v>
      </c>
      <c r="C33209" s="572">
        <v>604</v>
      </c>
    </row>
    <row r="33210" spans="1:3">
      <c r="A33210" s="571" t="s">
        <v>745</v>
      </c>
      <c r="B33210" s="572">
        <v>70</v>
      </c>
      <c r="C33210" s="572">
        <v>583</v>
      </c>
    </row>
    <row r="33211" spans="1:3">
      <c r="A33211" s="571" t="s">
        <v>744</v>
      </c>
      <c r="B33211" s="572">
        <v>70</v>
      </c>
      <c r="C33211" s="572">
        <v>567</v>
      </c>
    </row>
    <row r="33212" spans="1:3">
      <c r="A33212" s="571" t="s">
        <v>743</v>
      </c>
      <c r="B33212" s="572">
        <v>0</v>
      </c>
      <c r="C33212" s="572">
        <v>0</v>
      </c>
    </row>
    <row r="33213" spans="1:3">
      <c r="A33213" s="571" t="s">
        <v>743</v>
      </c>
      <c r="B33213" s="572">
        <v>1</v>
      </c>
      <c r="C33213" s="572">
        <v>51</v>
      </c>
    </row>
    <row r="33214" spans="1:3">
      <c r="A33214" s="571" t="s">
        <v>743</v>
      </c>
      <c r="B33214" s="572">
        <v>3</v>
      </c>
      <c r="C33214" s="572">
        <v>142</v>
      </c>
    </row>
    <row r="33215" spans="1:3">
      <c r="A33215" s="571" t="s">
        <v>743</v>
      </c>
      <c r="B33215" s="572">
        <v>7</v>
      </c>
      <c r="C33215" s="572">
        <v>250</v>
      </c>
    </row>
    <row r="33216" spans="1:3">
      <c r="A33216" s="571" t="s">
        <v>743</v>
      </c>
      <c r="B33216" s="572">
        <v>14</v>
      </c>
      <c r="C33216" s="572">
        <v>348</v>
      </c>
    </row>
    <row r="33217" spans="1:3">
      <c r="A33217" s="571" t="s">
        <v>743</v>
      </c>
      <c r="B33217" s="572">
        <v>21</v>
      </c>
      <c r="C33217" s="572">
        <v>403</v>
      </c>
    </row>
    <row r="33218" spans="1:3">
      <c r="A33218" s="571" t="s">
        <v>743</v>
      </c>
      <c r="B33218" s="572">
        <v>28</v>
      </c>
      <c r="C33218" s="572">
        <v>433</v>
      </c>
    </row>
    <row r="33219" spans="1:3">
      <c r="A33219" s="571" t="s">
        <v>743</v>
      </c>
      <c r="B33219" s="572">
        <v>42</v>
      </c>
      <c r="C33219" s="572">
        <v>465</v>
      </c>
    </row>
    <row r="33220" spans="1:3">
      <c r="A33220" s="571" t="s">
        <v>743</v>
      </c>
      <c r="B33220" s="572">
        <v>56</v>
      </c>
      <c r="C33220" s="572">
        <v>505</v>
      </c>
    </row>
    <row r="33221" spans="1:3">
      <c r="A33221" s="571" t="s">
        <v>743</v>
      </c>
      <c r="B33221" s="572">
        <v>70</v>
      </c>
      <c r="C33221" s="572">
        <v>525</v>
      </c>
    </row>
    <row r="33222" spans="1:3">
      <c r="A33222" s="571" t="s">
        <v>742</v>
      </c>
      <c r="B33222" s="572">
        <v>0</v>
      </c>
      <c r="C33222" s="572">
        <v>0</v>
      </c>
    </row>
    <row r="33223" spans="1:3">
      <c r="A33223" s="571" t="s">
        <v>742</v>
      </c>
      <c r="B33223" s="572">
        <v>1</v>
      </c>
      <c r="C33223" s="572">
        <v>76</v>
      </c>
    </row>
    <row r="33224" spans="1:3">
      <c r="A33224" s="571" t="s">
        <v>742</v>
      </c>
      <c r="B33224" s="572">
        <v>3</v>
      </c>
      <c r="C33224" s="572">
        <v>172</v>
      </c>
    </row>
    <row r="33225" spans="1:3">
      <c r="A33225" s="571" t="s">
        <v>742</v>
      </c>
      <c r="B33225" s="572">
        <v>7</v>
      </c>
      <c r="C33225" s="572">
        <v>273</v>
      </c>
    </row>
    <row r="33226" spans="1:3">
      <c r="A33226" s="571" t="s">
        <v>742</v>
      </c>
      <c r="B33226" s="572">
        <v>14</v>
      </c>
      <c r="C33226" s="572">
        <v>364</v>
      </c>
    </row>
    <row r="33227" spans="1:3">
      <c r="A33227" s="571" t="s">
        <v>742</v>
      </c>
      <c r="B33227" s="572">
        <v>21</v>
      </c>
      <c r="C33227" s="572">
        <v>415</v>
      </c>
    </row>
    <row r="33228" spans="1:3">
      <c r="A33228" s="571" t="s">
        <v>742</v>
      </c>
      <c r="B33228" s="572">
        <v>28</v>
      </c>
      <c r="C33228" s="572">
        <v>440</v>
      </c>
    </row>
    <row r="33229" spans="1:3">
      <c r="A33229" s="571" t="s">
        <v>742</v>
      </c>
      <c r="B33229" s="572">
        <v>42</v>
      </c>
      <c r="C33229" s="572">
        <v>487</v>
      </c>
    </row>
    <row r="33230" spans="1:3">
      <c r="A33230" s="571" t="s">
        <v>742</v>
      </c>
      <c r="B33230" s="572">
        <v>56</v>
      </c>
      <c r="C33230" s="572">
        <v>513</v>
      </c>
    </row>
    <row r="33231" spans="1:3">
      <c r="A33231" s="571" t="s">
        <v>742</v>
      </c>
      <c r="B33231" s="572">
        <v>70</v>
      </c>
      <c r="C33231" s="572">
        <v>538</v>
      </c>
    </row>
    <row r="33232" spans="1:3">
      <c r="A33232" s="571" t="s">
        <v>741</v>
      </c>
      <c r="B33232" s="572">
        <v>70</v>
      </c>
      <c r="C33232" s="572">
        <v>491</v>
      </c>
    </row>
    <row r="33233" spans="1:3">
      <c r="A33233" s="571" t="s">
        <v>740</v>
      </c>
      <c r="B33233" s="572">
        <v>70</v>
      </c>
      <c r="C33233" s="572">
        <v>482</v>
      </c>
    </row>
    <row r="33234" spans="1:3">
      <c r="A33234" s="571" t="s">
        <v>739</v>
      </c>
      <c r="B33234" s="572">
        <v>0</v>
      </c>
      <c r="C33234" s="572">
        <v>0</v>
      </c>
    </row>
    <row r="33235" spans="1:3">
      <c r="A33235" s="571" t="s">
        <v>739</v>
      </c>
      <c r="B33235" s="572">
        <v>1</v>
      </c>
      <c r="C33235" s="572">
        <v>75</v>
      </c>
    </row>
    <row r="33236" spans="1:3">
      <c r="A33236" s="571" t="s">
        <v>739</v>
      </c>
      <c r="B33236" s="572">
        <v>3</v>
      </c>
      <c r="C33236" s="572">
        <v>152</v>
      </c>
    </row>
    <row r="33237" spans="1:3">
      <c r="A33237" s="571" t="s">
        <v>739</v>
      </c>
      <c r="B33237" s="572">
        <v>7</v>
      </c>
      <c r="C33237" s="572">
        <v>228</v>
      </c>
    </row>
    <row r="33238" spans="1:3">
      <c r="A33238" s="571" t="s">
        <v>739</v>
      </c>
      <c r="B33238" s="572">
        <v>14</v>
      </c>
      <c r="C33238" s="572">
        <v>309</v>
      </c>
    </row>
    <row r="33239" spans="1:3">
      <c r="A33239" s="571" t="s">
        <v>739</v>
      </c>
      <c r="B33239" s="572">
        <v>21</v>
      </c>
      <c r="C33239" s="572">
        <v>352</v>
      </c>
    </row>
    <row r="33240" spans="1:3">
      <c r="A33240" s="571" t="s">
        <v>739</v>
      </c>
      <c r="B33240" s="572">
        <v>28</v>
      </c>
      <c r="C33240" s="572">
        <v>378</v>
      </c>
    </row>
    <row r="33241" spans="1:3">
      <c r="A33241" s="571" t="s">
        <v>739</v>
      </c>
      <c r="B33241" s="572">
        <v>42</v>
      </c>
      <c r="C33241" s="572">
        <v>412</v>
      </c>
    </row>
    <row r="33242" spans="1:3">
      <c r="A33242" s="571" t="s">
        <v>739</v>
      </c>
      <c r="B33242" s="572">
        <v>56</v>
      </c>
      <c r="C33242" s="572">
        <v>441</v>
      </c>
    </row>
    <row r="33243" spans="1:3">
      <c r="A33243" s="571" t="s">
        <v>739</v>
      </c>
      <c r="B33243" s="572">
        <v>70</v>
      </c>
      <c r="C33243" s="572">
        <v>471</v>
      </c>
    </row>
    <row r="33244" spans="1:3">
      <c r="A33244" s="571" t="s">
        <v>738</v>
      </c>
      <c r="B33244" s="572">
        <v>70</v>
      </c>
      <c r="C33244" s="572">
        <v>497</v>
      </c>
    </row>
    <row r="33245" spans="1:3">
      <c r="A33245" s="571" t="s">
        <v>737</v>
      </c>
      <c r="B33245" s="572">
        <v>70</v>
      </c>
      <c r="C33245" s="572">
        <v>475</v>
      </c>
    </row>
    <row r="33246" spans="1:3">
      <c r="A33246" s="571" t="s">
        <v>736</v>
      </c>
      <c r="B33246" s="572">
        <v>0</v>
      </c>
      <c r="C33246" s="572">
        <v>0</v>
      </c>
    </row>
    <row r="33247" spans="1:3">
      <c r="A33247" s="571" t="s">
        <v>736</v>
      </c>
      <c r="B33247" s="572">
        <v>1</v>
      </c>
      <c r="C33247" s="572">
        <v>75</v>
      </c>
    </row>
    <row r="33248" spans="1:3">
      <c r="A33248" s="571" t="s">
        <v>736</v>
      </c>
      <c r="B33248" s="572">
        <v>3</v>
      </c>
      <c r="C33248" s="572">
        <v>160</v>
      </c>
    </row>
    <row r="33249" spans="1:3">
      <c r="A33249" s="571" t="s">
        <v>736</v>
      </c>
      <c r="B33249" s="572">
        <v>7</v>
      </c>
      <c r="C33249" s="572">
        <v>250</v>
      </c>
    </row>
    <row r="33250" spans="1:3">
      <c r="A33250" s="571" t="s">
        <v>736</v>
      </c>
      <c r="B33250" s="572">
        <v>14</v>
      </c>
      <c r="C33250" s="572">
        <v>323</v>
      </c>
    </row>
    <row r="33251" spans="1:3">
      <c r="A33251" s="571" t="s">
        <v>736</v>
      </c>
      <c r="B33251" s="572">
        <v>21</v>
      </c>
      <c r="C33251" s="572">
        <v>355</v>
      </c>
    </row>
    <row r="33252" spans="1:3">
      <c r="A33252" s="571" t="s">
        <v>736</v>
      </c>
      <c r="B33252" s="572">
        <v>28</v>
      </c>
      <c r="C33252" s="572">
        <v>387</v>
      </c>
    </row>
    <row r="33253" spans="1:3">
      <c r="A33253" s="571" t="s">
        <v>736</v>
      </c>
      <c r="B33253" s="572">
        <v>42</v>
      </c>
      <c r="C33253" s="572">
        <v>416</v>
      </c>
    </row>
    <row r="33254" spans="1:3">
      <c r="A33254" s="571" t="s">
        <v>736</v>
      </c>
      <c r="B33254" s="572">
        <v>56</v>
      </c>
      <c r="C33254" s="572">
        <v>441</v>
      </c>
    </row>
    <row r="33255" spans="1:3">
      <c r="A33255" s="571" t="s">
        <v>736</v>
      </c>
      <c r="B33255" s="572">
        <v>70</v>
      </c>
      <c r="C33255" s="572">
        <v>450</v>
      </c>
    </row>
    <row r="33256" spans="1:3">
      <c r="A33256" s="571" t="s">
        <v>735</v>
      </c>
      <c r="B33256" s="572">
        <v>70</v>
      </c>
      <c r="C33256" s="572">
        <v>483</v>
      </c>
    </row>
    <row r="33257" spans="1:3">
      <c r="A33257" s="571" t="s">
        <v>734</v>
      </c>
      <c r="B33257" s="572">
        <v>70</v>
      </c>
      <c r="C33257" s="572">
        <v>446</v>
      </c>
    </row>
    <row r="33258" spans="1:3">
      <c r="A33258" s="571" t="s">
        <v>733</v>
      </c>
      <c r="B33258" s="572">
        <v>0</v>
      </c>
      <c r="C33258" s="572">
        <v>0</v>
      </c>
    </row>
    <row r="33259" spans="1:3">
      <c r="A33259" s="571" t="s">
        <v>733</v>
      </c>
      <c r="B33259" s="572">
        <v>1</v>
      </c>
      <c r="C33259" s="572">
        <v>75</v>
      </c>
    </row>
    <row r="33260" spans="1:3">
      <c r="A33260" s="571" t="s">
        <v>733</v>
      </c>
      <c r="B33260" s="572">
        <v>3</v>
      </c>
      <c r="C33260" s="572">
        <v>160</v>
      </c>
    </row>
    <row r="33261" spans="1:3">
      <c r="A33261" s="571" t="s">
        <v>733</v>
      </c>
      <c r="B33261" s="572">
        <v>7</v>
      </c>
      <c r="C33261" s="572">
        <v>250</v>
      </c>
    </row>
    <row r="33262" spans="1:3">
      <c r="A33262" s="571" t="s">
        <v>733</v>
      </c>
      <c r="B33262" s="572">
        <v>14</v>
      </c>
      <c r="C33262" s="572">
        <v>323</v>
      </c>
    </row>
    <row r="33263" spans="1:3">
      <c r="A33263" s="571" t="s">
        <v>733</v>
      </c>
      <c r="B33263" s="572">
        <v>21</v>
      </c>
      <c r="C33263" s="572">
        <v>355</v>
      </c>
    </row>
    <row r="33264" spans="1:3">
      <c r="A33264" s="571" t="s">
        <v>733</v>
      </c>
      <c r="B33264" s="572">
        <v>28</v>
      </c>
      <c r="C33264" s="572">
        <v>387</v>
      </c>
    </row>
    <row r="33265" spans="1:3">
      <c r="A33265" s="571" t="s">
        <v>733</v>
      </c>
      <c r="B33265" s="572">
        <v>42</v>
      </c>
      <c r="C33265" s="572">
        <v>414</v>
      </c>
    </row>
    <row r="33266" spans="1:3">
      <c r="A33266" s="571" t="s">
        <v>733</v>
      </c>
      <c r="B33266" s="572">
        <v>56</v>
      </c>
      <c r="C33266" s="572">
        <v>440</v>
      </c>
    </row>
    <row r="33267" spans="1:3">
      <c r="A33267" s="571" t="s">
        <v>733</v>
      </c>
      <c r="B33267" s="572">
        <v>70</v>
      </c>
      <c r="C33267" s="572">
        <v>444</v>
      </c>
    </row>
    <row r="33268" spans="1:3">
      <c r="A33268" s="571" t="s">
        <v>732</v>
      </c>
      <c r="B33268" s="572">
        <v>0</v>
      </c>
      <c r="C33268" s="572">
        <v>0</v>
      </c>
    </row>
    <row r="33269" spans="1:3">
      <c r="A33269" s="571" t="s">
        <v>732</v>
      </c>
      <c r="B33269" s="572">
        <v>1</v>
      </c>
      <c r="C33269" s="572">
        <v>32</v>
      </c>
    </row>
    <row r="33270" spans="1:3">
      <c r="A33270" s="571" t="s">
        <v>732</v>
      </c>
      <c r="B33270" s="572">
        <v>3</v>
      </c>
      <c r="C33270" s="572">
        <v>99</v>
      </c>
    </row>
    <row r="33271" spans="1:3">
      <c r="A33271" s="571" t="s">
        <v>732</v>
      </c>
      <c r="B33271" s="572">
        <v>7</v>
      </c>
      <c r="C33271" s="572">
        <v>183</v>
      </c>
    </row>
    <row r="33272" spans="1:3">
      <c r="A33272" s="571" t="s">
        <v>732</v>
      </c>
      <c r="B33272" s="572">
        <v>14</v>
      </c>
      <c r="C33272" s="572">
        <v>300</v>
      </c>
    </row>
    <row r="33273" spans="1:3">
      <c r="A33273" s="571" t="s">
        <v>732</v>
      </c>
      <c r="B33273" s="572">
        <v>21</v>
      </c>
      <c r="C33273" s="572">
        <v>380</v>
      </c>
    </row>
    <row r="33274" spans="1:3">
      <c r="A33274" s="571" t="s">
        <v>732</v>
      </c>
      <c r="B33274" s="572">
        <v>28</v>
      </c>
      <c r="C33274" s="572">
        <v>453</v>
      </c>
    </row>
    <row r="33275" spans="1:3">
      <c r="A33275" s="571" t="s">
        <v>732</v>
      </c>
      <c r="B33275" s="572">
        <v>42</v>
      </c>
      <c r="C33275" s="572">
        <v>565</v>
      </c>
    </row>
    <row r="33276" spans="1:3">
      <c r="A33276" s="571" t="s">
        <v>732</v>
      </c>
      <c r="B33276" s="572">
        <v>56</v>
      </c>
      <c r="C33276" s="572">
        <v>635</v>
      </c>
    </row>
    <row r="33277" spans="1:3">
      <c r="A33277" s="571" t="s">
        <v>732</v>
      </c>
      <c r="B33277" s="572">
        <v>70</v>
      </c>
      <c r="C33277" s="572">
        <v>683</v>
      </c>
    </row>
    <row r="33278" spans="1:3">
      <c r="A33278" s="571" t="s">
        <v>731</v>
      </c>
      <c r="B33278" s="572">
        <v>70</v>
      </c>
      <c r="C33278" s="572">
        <v>652</v>
      </c>
    </row>
    <row r="33279" spans="1:3">
      <c r="A33279" s="571" t="s">
        <v>730</v>
      </c>
      <c r="B33279" s="572">
        <v>70</v>
      </c>
      <c r="C33279" s="572">
        <v>648</v>
      </c>
    </row>
    <row r="33280" spans="1:3">
      <c r="A33280" s="571" t="s">
        <v>729</v>
      </c>
      <c r="B33280" s="572">
        <v>0</v>
      </c>
      <c r="C33280" s="572">
        <v>0</v>
      </c>
    </row>
    <row r="33281" spans="1:3">
      <c r="A33281" s="571" t="s">
        <v>729</v>
      </c>
      <c r="B33281" s="572">
        <v>1</v>
      </c>
      <c r="C33281" s="572">
        <v>32</v>
      </c>
    </row>
    <row r="33282" spans="1:3">
      <c r="A33282" s="571" t="s">
        <v>729</v>
      </c>
      <c r="B33282" s="572">
        <v>3</v>
      </c>
      <c r="C33282" s="572">
        <v>99</v>
      </c>
    </row>
    <row r="33283" spans="1:3">
      <c r="A33283" s="571" t="s">
        <v>729</v>
      </c>
      <c r="B33283" s="572">
        <v>7</v>
      </c>
      <c r="C33283" s="572">
        <v>183</v>
      </c>
    </row>
    <row r="33284" spans="1:3">
      <c r="A33284" s="571" t="s">
        <v>729</v>
      </c>
      <c r="B33284" s="572">
        <v>14</v>
      </c>
      <c r="C33284" s="572">
        <v>300</v>
      </c>
    </row>
    <row r="33285" spans="1:3">
      <c r="A33285" s="571" t="s">
        <v>729</v>
      </c>
      <c r="B33285" s="572">
        <v>21</v>
      </c>
      <c r="C33285" s="572">
        <v>380</v>
      </c>
    </row>
    <row r="33286" spans="1:3">
      <c r="A33286" s="571" t="s">
        <v>729</v>
      </c>
      <c r="B33286" s="572">
        <v>28</v>
      </c>
      <c r="C33286" s="572">
        <v>428</v>
      </c>
    </row>
    <row r="33287" spans="1:3">
      <c r="A33287" s="571" t="s">
        <v>729</v>
      </c>
      <c r="B33287" s="572">
        <v>42</v>
      </c>
      <c r="C33287" s="572">
        <v>505</v>
      </c>
    </row>
    <row r="33288" spans="1:3">
      <c r="A33288" s="571" t="s">
        <v>729</v>
      </c>
      <c r="B33288" s="572">
        <v>56</v>
      </c>
      <c r="C33288" s="572">
        <v>545</v>
      </c>
    </row>
    <row r="33289" spans="1:3">
      <c r="A33289" s="571" t="s">
        <v>729</v>
      </c>
      <c r="B33289" s="572">
        <v>70</v>
      </c>
      <c r="C33289" s="572">
        <v>577</v>
      </c>
    </row>
    <row r="33290" spans="1:3">
      <c r="A33290" s="571" t="s">
        <v>728</v>
      </c>
      <c r="B33290" s="572">
        <v>70</v>
      </c>
      <c r="C33290" s="572">
        <v>587</v>
      </c>
    </row>
    <row r="33291" spans="1:3">
      <c r="A33291" s="571" t="s">
        <v>727</v>
      </c>
      <c r="B33291" s="572">
        <v>70</v>
      </c>
      <c r="C33291" s="572">
        <v>551</v>
      </c>
    </row>
    <row r="33292" spans="1:3">
      <c r="A33292" s="571" t="s">
        <v>726</v>
      </c>
      <c r="B33292" s="572">
        <v>0</v>
      </c>
      <c r="C33292" s="572">
        <v>0</v>
      </c>
    </row>
    <row r="33293" spans="1:3">
      <c r="A33293" s="571" t="s">
        <v>726</v>
      </c>
      <c r="B33293" s="572">
        <v>1</v>
      </c>
      <c r="C33293" s="572">
        <v>22</v>
      </c>
    </row>
    <row r="33294" spans="1:3">
      <c r="A33294" s="571" t="s">
        <v>726</v>
      </c>
      <c r="B33294" s="572">
        <v>3</v>
      </c>
      <c r="C33294" s="572">
        <v>63</v>
      </c>
    </row>
    <row r="33295" spans="1:3">
      <c r="A33295" s="571" t="s">
        <v>726</v>
      </c>
      <c r="B33295" s="572">
        <v>7</v>
      </c>
      <c r="C33295" s="572">
        <v>116</v>
      </c>
    </row>
    <row r="33296" spans="1:3">
      <c r="A33296" s="571" t="s">
        <v>726</v>
      </c>
      <c r="B33296" s="572">
        <v>14</v>
      </c>
      <c r="C33296" s="572">
        <v>192</v>
      </c>
    </row>
    <row r="33297" spans="1:3">
      <c r="A33297" s="571" t="s">
        <v>726</v>
      </c>
      <c r="B33297" s="572">
        <v>21</v>
      </c>
      <c r="C33297" s="572">
        <v>245</v>
      </c>
    </row>
    <row r="33298" spans="1:3">
      <c r="A33298" s="571" t="s">
        <v>726</v>
      </c>
      <c r="B33298" s="572">
        <v>28</v>
      </c>
      <c r="C33298" s="572">
        <v>294</v>
      </c>
    </row>
    <row r="33299" spans="1:3">
      <c r="A33299" s="571" t="s">
        <v>726</v>
      </c>
      <c r="B33299" s="572">
        <v>42</v>
      </c>
      <c r="C33299" s="572">
        <v>360</v>
      </c>
    </row>
    <row r="33300" spans="1:3">
      <c r="A33300" s="571" t="s">
        <v>726</v>
      </c>
      <c r="B33300" s="572">
        <v>56</v>
      </c>
      <c r="C33300" s="572">
        <v>415</v>
      </c>
    </row>
    <row r="33301" spans="1:3">
      <c r="A33301" s="571" t="s">
        <v>726</v>
      </c>
      <c r="B33301" s="572">
        <v>70</v>
      </c>
      <c r="C33301" s="572">
        <v>451</v>
      </c>
    </row>
    <row r="33302" spans="1:3">
      <c r="A33302" s="571" t="s">
        <v>725</v>
      </c>
      <c r="B33302" s="572">
        <v>70</v>
      </c>
      <c r="C33302" s="572">
        <v>646</v>
      </c>
    </row>
    <row r="33303" spans="1:3">
      <c r="A33303" s="571" t="s">
        <v>724</v>
      </c>
      <c r="B33303" s="572">
        <v>70</v>
      </c>
      <c r="C33303" s="572">
        <v>611</v>
      </c>
    </row>
    <row r="33304" spans="1:3">
      <c r="A33304" s="571" t="s">
        <v>723</v>
      </c>
      <c r="B33304" s="572">
        <v>0</v>
      </c>
      <c r="C33304" s="572">
        <v>0</v>
      </c>
    </row>
    <row r="33305" spans="1:3">
      <c r="A33305" s="571" t="s">
        <v>723</v>
      </c>
      <c r="B33305" s="572">
        <v>1</v>
      </c>
      <c r="C33305" s="572">
        <v>32</v>
      </c>
    </row>
    <row r="33306" spans="1:3">
      <c r="A33306" s="571" t="s">
        <v>723</v>
      </c>
      <c r="B33306" s="572">
        <v>3</v>
      </c>
      <c r="C33306" s="572">
        <v>90</v>
      </c>
    </row>
    <row r="33307" spans="1:3">
      <c r="A33307" s="571" t="s">
        <v>723</v>
      </c>
      <c r="B33307" s="572">
        <v>7</v>
      </c>
      <c r="C33307" s="572">
        <v>152</v>
      </c>
    </row>
    <row r="33308" spans="1:3">
      <c r="A33308" s="571" t="s">
        <v>723</v>
      </c>
      <c r="B33308" s="572">
        <v>14</v>
      </c>
      <c r="C33308" s="572">
        <v>235</v>
      </c>
    </row>
    <row r="33309" spans="1:3">
      <c r="A33309" s="571" t="s">
        <v>723</v>
      </c>
      <c r="B33309" s="572">
        <v>21</v>
      </c>
      <c r="C33309" s="572">
        <v>295</v>
      </c>
    </row>
    <row r="33310" spans="1:3">
      <c r="A33310" s="571" t="s">
        <v>723</v>
      </c>
      <c r="B33310" s="572">
        <v>28</v>
      </c>
      <c r="C33310" s="572">
        <v>343</v>
      </c>
    </row>
    <row r="33311" spans="1:3">
      <c r="A33311" s="571" t="s">
        <v>723</v>
      </c>
      <c r="B33311" s="572">
        <v>42</v>
      </c>
      <c r="C33311" s="572">
        <v>412</v>
      </c>
    </row>
    <row r="33312" spans="1:3">
      <c r="A33312" s="571" t="s">
        <v>723</v>
      </c>
      <c r="B33312" s="572">
        <v>56</v>
      </c>
      <c r="C33312" s="572">
        <v>456</v>
      </c>
    </row>
    <row r="33313" spans="1:3">
      <c r="A33313" s="571" t="s">
        <v>723</v>
      </c>
      <c r="B33313" s="572">
        <v>70</v>
      </c>
      <c r="C33313" s="572">
        <v>490</v>
      </c>
    </row>
    <row r="33314" spans="1:3">
      <c r="A33314" s="571" t="s">
        <v>722</v>
      </c>
      <c r="B33314" s="572">
        <v>0</v>
      </c>
      <c r="C33314" s="572">
        <v>0</v>
      </c>
    </row>
    <row r="33315" spans="1:3">
      <c r="A33315" s="571" t="s">
        <v>722</v>
      </c>
      <c r="B33315" s="572">
        <v>7</v>
      </c>
      <c r="C33315" s="572">
        <v>37</v>
      </c>
    </row>
    <row r="33316" spans="1:3">
      <c r="A33316" s="571" t="s">
        <v>722</v>
      </c>
      <c r="B33316" s="572">
        <v>14</v>
      </c>
      <c r="C33316" s="572">
        <v>52</v>
      </c>
    </row>
    <row r="33317" spans="1:3">
      <c r="A33317" s="571" t="s">
        <v>722</v>
      </c>
      <c r="B33317" s="572">
        <v>28</v>
      </c>
      <c r="C33317" s="572">
        <v>172</v>
      </c>
    </row>
    <row r="33318" spans="1:3">
      <c r="A33318" s="571" t="s">
        <v>722</v>
      </c>
      <c r="B33318" s="572">
        <v>56</v>
      </c>
      <c r="C33318" s="572">
        <v>300</v>
      </c>
    </row>
    <row r="33319" spans="1:3">
      <c r="A33319" s="571" t="s">
        <v>722</v>
      </c>
      <c r="B33319" s="572">
        <v>91</v>
      </c>
      <c r="C33319" s="572">
        <v>407</v>
      </c>
    </row>
    <row r="33320" spans="1:3">
      <c r="A33320" s="573" t="s">
        <v>722</v>
      </c>
      <c r="B33320" s="574">
        <v>182</v>
      </c>
      <c r="C33320" s="574">
        <v>626</v>
      </c>
    </row>
    <row r="33321" spans="1:3">
      <c r="A33321" s="571" t="s">
        <v>721</v>
      </c>
      <c r="B33321" s="572">
        <v>0</v>
      </c>
      <c r="C33321" s="572">
        <v>0</v>
      </c>
    </row>
    <row r="33322" spans="1:3">
      <c r="A33322" s="571" t="s">
        <v>721</v>
      </c>
      <c r="B33322" s="572">
        <v>7</v>
      </c>
      <c r="C33322" s="572">
        <v>15</v>
      </c>
    </row>
    <row r="33323" spans="1:3">
      <c r="A33323" s="571" t="s">
        <v>721</v>
      </c>
      <c r="B33323" s="572">
        <v>14</v>
      </c>
      <c r="C33323" s="572">
        <v>27</v>
      </c>
    </row>
    <row r="33324" spans="1:3">
      <c r="A33324" s="571" t="s">
        <v>721</v>
      </c>
      <c r="B33324" s="572">
        <v>28</v>
      </c>
      <c r="C33324" s="572">
        <v>114</v>
      </c>
    </row>
    <row r="33325" spans="1:3">
      <c r="A33325" s="571" t="s">
        <v>721</v>
      </c>
      <c r="B33325" s="572">
        <v>56</v>
      </c>
      <c r="C33325" s="572">
        <v>220</v>
      </c>
    </row>
    <row r="33326" spans="1:3">
      <c r="A33326" s="571" t="s">
        <v>721</v>
      </c>
      <c r="B33326" s="572">
        <v>91</v>
      </c>
      <c r="C33326" s="572">
        <v>330</v>
      </c>
    </row>
    <row r="33327" spans="1:3">
      <c r="A33327" s="573" t="s">
        <v>721</v>
      </c>
      <c r="B33327" s="574">
        <v>182</v>
      </c>
      <c r="C33327" s="574">
        <v>558</v>
      </c>
    </row>
    <row r="33328" spans="1:3">
      <c r="A33328" s="571" t="s">
        <v>720</v>
      </c>
      <c r="B33328" s="572">
        <v>0</v>
      </c>
      <c r="C33328" s="572">
        <v>0</v>
      </c>
    </row>
    <row r="33329" spans="1:3">
      <c r="A33329" s="571" t="s">
        <v>720</v>
      </c>
      <c r="B33329" s="572">
        <v>7</v>
      </c>
      <c r="C33329" s="572">
        <v>15</v>
      </c>
    </row>
    <row r="33330" spans="1:3">
      <c r="A33330" s="571" t="s">
        <v>720</v>
      </c>
      <c r="B33330" s="572">
        <v>14</v>
      </c>
      <c r="C33330" s="572">
        <v>20</v>
      </c>
    </row>
    <row r="33331" spans="1:3">
      <c r="A33331" s="571" t="s">
        <v>720</v>
      </c>
      <c r="B33331" s="572">
        <v>28</v>
      </c>
      <c r="C33331" s="572">
        <v>72</v>
      </c>
    </row>
    <row r="33332" spans="1:3">
      <c r="A33332" s="571" t="s">
        <v>720</v>
      </c>
      <c r="B33332" s="572">
        <v>56</v>
      </c>
      <c r="C33332" s="572">
        <v>127</v>
      </c>
    </row>
    <row r="33333" spans="1:3">
      <c r="A33333" s="571" t="s">
        <v>720</v>
      </c>
      <c r="B33333" s="572">
        <v>91</v>
      </c>
      <c r="C33333" s="572">
        <v>207</v>
      </c>
    </row>
    <row r="33334" spans="1:3">
      <c r="A33334" s="573" t="s">
        <v>720</v>
      </c>
      <c r="B33334" s="574">
        <v>182</v>
      </c>
      <c r="C33334" s="574">
        <v>316</v>
      </c>
    </row>
    <row r="33335" spans="1:3">
      <c r="A33335" s="571" t="s">
        <v>719</v>
      </c>
      <c r="B33335" s="572">
        <v>0</v>
      </c>
      <c r="C33335" s="572">
        <v>0</v>
      </c>
    </row>
    <row r="33336" spans="1:3">
      <c r="A33336" s="571" t="s">
        <v>719</v>
      </c>
      <c r="B33336" s="572">
        <v>3</v>
      </c>
      <c r="C33336" s="572">
        <v>80</v>
      </c>
    </row>
    <row r="33337" spans="1:3">
      <c r="A33337" s="571" t="s">
        <v>719</v>
      </c>
      <c r="B33337" s="572">
        <v>7</v>
      </c>
      <c r="C33337" s="572">
        <v>170</v>
      </c>
    </row>
    <row r="33338" spans="1:3">
      <c r="A33338" s="571" t="s">
        <v>719</v>
      </c>
      <c r="B33338" s="572">
        <v>14</v>
      </c>
      <c r="C33338" s="572">
        <v>288</v>
      </c>
    </row>
    <row r="33339" spans="1:3">
      <c r="A33339" s="571" t="s">
        <v>719</v>
      </c>
      <c r="B33339" s="572">
        <v>21</v>
      </c>
      <c r="C33339" s="572">
        <v>375</v>
      </c>
    </row>
    <row r="33340" spans="1:3">
      <c r="A33340" s="571" t="s">
        <v>719</v>
      </c>
      <c r="B33340" s="572">
        <v>28</v>
      </c>
      <c r="C33340" s="572">
        <v>452</v>
      </c>
    </row>
    <row r="33341" spans="1:3">
      <c r="A33341" s="571" t="s">
        <v>719</v>
      </c>
      <c r="B33341" s="572">
        <v>35</v>
      </c>
      <c r="C33341" s="572">
        <v>510</v>
      </c>
    </row>
    <row r="33342" spans="1:3">
      <c r="A33342" s="571" t="s">
        <v>719</v>
      </c>
      <c r="B33342" s="572">
        <v>42</v>
      </c>
      <c r="C33342" s="572">
        <v>560</v>
      </c>
    </row>
    <row r="33343" spans="1:3">
      <c r="A33343" s="571" t="s">
        <v>719</v>
      </c>
      <c r="B33343" s="572">
        <v>56</v>
      </c>
      <c r="C33343" s="572">
        <v>625</v>
      </c>
    </row>
    <row r="33344" spans="1:3">
      <c r="A33344" s="571" t="s">
        <v>719</v>
      </c>
      <c r="B33344" s="572">
        <v>70</v>
      </c>
      <c r="C33344" s="572">
        <v>680</v>
      </c>
    </row>
    <row r="33345" spans="1:3">
      <c r="A33345" s="571" t="s">
        <v>718</v>
      </c>
      <c r="B33345" s="572">
        <v>0</v>
      </c>
      <c r="C33345" s="572">
        <v>0</v>
      </c>
    </row>
    <row r="33346" spans="1:3">
      <c r="A33346" s="571" t="s">
        <v>718</v>
      </c>
      <c r="B33346" s="572">
        <v>3</v>
      </c>
      <c r="C33346" s="572">
        <v>86</v>
      </c>
    </row>
    <row r="33347" spans="1:3">
      <c r="A33347" s="571" t="s">
        <v>718</v>
      </c>
      <c r="B33347" s="572">
        <v>7</v>
      </c>
      <c r="C33347" s="572">
        <v>190</v>
      </c>
    </row>
    <row r="33348" spans="1:3">
      <c r="A33348" s="571" t="s">
        <v>718</v>
      </c>
      <c r="B33348" s="572">
        <v>14</v>
      </c>
      <c r="C33348" s="572">
        <v>305</v>
      </c>
    </row>
    <row r="33349" spans="1:3">
      <c r="A33349" s="571" t="s">
        <v>718</v>
      </c>
      <c r="B33349" s="572">
        <v>21</v>
      </c>
      <c r="C33349" s="572">
        <v>382</v>
      </c>
    </row>
    <row r="33350" spans="1:3">
      <c r="A33350" s="571" t="s">
        <v>718</v>
      </c>
      <c r="B33350" s="572">
        <v>28</v>
      </c>
      <c r="C33350" s="572">
        <v>438</v>
      </c>
    </row>
    <row r="33351" spans="1:3">
      <c r="A33351" s="571" t="s">
        <v>718</v>
      </c>
      <c r="B33351" s="572">
        <v>35</v>
      </c>
      <c r="C33351" s="572">
        <v>463</v>
      </c>
    </row>
    <row r="33352" spans="1:3">
      <c r="A33352" s="571" t="s">
        <v>718</v>
      </c>
      <c r="B33352" s="572">
        <v>42</v>
      </c>
      <c r="C33352" s="572">
        <v>489</v>
      </c>
    </row>
    <row r="33353" spans="1:3">
      <c r="A33353" s="571" t="s">
        <v>718</v>
      </c>
      <c r="B33353" s="572">
        <v>56</v>
      </c>
      <c r="C33353" s="572">
        <v>551</v>
      </c>
    </row>
    <row r="33354" spans="1:3">
      <c r="A33354" s="571" t="s">
        <v>718</v>
      </c>
      <c r="B33354" s="572">
        <v>70</v>
      </c>
      <c r="C33354" s="572">
        <v>586</v>
      </c>
    </row>
    <row r="33355" spans="1:3">
      <c r="A33355" s="571" t="s">
        <v>717</v>
      </c>
      <c r="B33355" s="572">
        <v>0</v>
      </c>
      <c r="C33355" s="572">
        <v>0</v>
      </c>
    </row>
    <row r="33356" spans="1:3">
      <c r="A33356" s="571" t="s">
        <v>717</v>
      </c>
      <c r="B33356" s="572">
        <v>3</v>
      </c>
      <c r="C33356" s="572">
        <v>80</v>
      </c>
    </row>
    <row r="33357" spans="1:3">
      <c r="A33357" s="571" t="s">
        <v>717</v>
      </c>
      <c r="B33357" s="572">
        <v>7</v>
      </c>
      <c r="C33357" s="572">
        <v>170</v>
      </c>
    </row>
    <row r="33358" spans="1:3">
      <c r="A33358" s="571" t="s">
        <v>717</v>
      </c>
      <c r="B33358" s="572">
        <v>14</v>
      </c>
      <c r="C33358" s="572">
        <v>288</v>
      </c>
    </row>
    <row r="33359" spans="1:3">
      <c r="A33359" s="571" t="s">
        <v>717</v>
      </c>
      <c r="B33359" s="572">
        <v>21</v>
      </c>
      <c r="C33359" s="572">
        <v>375</v>
      </c>
    </row>
    <row r="33360" spans="1:3">
      <c r="A33360" s="571" t="s">
        <v>717</v>
      </c>
      <c r="B33360" s="572">
        <v>28</v>
      </c>
      <c r="C33360" s="572">
        <v>452</v>
      </c>
    </row>
    <row r="33361" spans="1:3">
      <c r="A33361" s="571" t="s">
        <v>717</v>
      </c>
      <c r="B33361" s="572">
        <v>35</v>
      </c>
      <c r="C33361" s="572">
        <v>512</v>
      </c>
    </row>
    <row r="33362" spans="1:3">
      <c r="A33362" s="571" t="s">
        <v>717</v>
      </c>
      <c r="B33362" s="572">
        <v>42</v>
      </c>
      <c r="C33362" s="572">
        <v>560</v>
      </c>
    </row>
    <row r="33363" spans="1:3">
      <c r="A33363" s="571" t="s">
        <v>717</v>
      </c>
      <c r="B33363" s="572">
        <v>56</v>
      </c>
      <c r="C33363" s="572">
        <v>614</v>
      </c>
    </row>
    <row r="33364" spans="1:3">
      <c r="A33364" s="571" t="s">
        <v>717</v>
      </c>
      <c r="B33364" s="572">
        <v>70</v>
      </c>
      <c r="C33364" s="572">
        <v>649</v>
      </c>
    </row>
    <row r="33365" spans="1:3">
      <c r="A33365" s="571" t="s">
        <v>716</v>
      </c>
      <c r="B33365" s="572">
        <v>0</v>
      </c>
      <c r="C33365" s="572">
        <v>0</v>
      </c>
    </row>
    <row r="33366" spans="1:3">
      <c r="A33366" s="571" t="s">
        <v>716</v>
      </c>
      <c r="B33366" s="572">
        <v>3</v>
      </c>
      <c r="C33366" s="572">
        <v>82</v>
      </c>
    </row>
    <row r="33367" spans="1:3">
      <c r="A33367" s="571" t="s">
        <v>716</v>
      </c>
      <c r="B33367" s="572">
        <v>7</v>
      </c>
      <c r="C33367" s="572">
        <v>167</v>
      </c>
    </row>
    <row r="33368" spans="1:3">
      <c r="A33368" s="571" t="s">
        <v>716</v>
      </c>
      <c r="B33368" s="572">
        <v>14</v>
      </c>
      <c r="C33368" s="572">
        <v>277</v>
      </c>
    </row>
    <row r="33369" spans="1:3">
      <c r="A33369" s="571" t="s">
        <v>716</v>
      </c>
      <c r="B33369" s="572">
        <v>21</v>
      </c>
      <c r="C33369" s="572">
        <v>366</v>
      </c>
    </row>
    <row r="33370" spans="1:3">
      <c r="A33370" s="571" t="s">
        <v>716</v>
      </c>
      <c r="B33370" s="572">
        <v>28</v>
      </c>
      <c r="C33370" s="572">
        <v>422</v>
      </c>
    </row>
    <row r="33371" spans="1:3">
      <c r="A33371" s="571" t="s">
        <v>716</v>
      </c>
      <c r="B33371" s="572">
        <v>35</v>
      </c>
      <c r="C33371" s="572">
        <v>458</v>
      </c>
    </row>
    <row r="33372" spans="1:3">
      <c r="A33372" s="571" t="s">
        <v>716</v>
      </c>
      <c r="B33372" s="572">
        <v>42</v>
      </c>
      <c r="C33372" s="572">
        <v>489</v>
      </c>
    </row>
    <row r="33373" spans="1:3">
      <c r="A33373" s="571" t="s">
        <v>716</v>
      </c>
      <c r="B33373" s="572">
        <v>56</v>
      </c>
      <c r="C33373" s="572">
        <v>540</v>
      </c>
    </row>
    <row r="33374" spans="1:3">
      <c r="A33374" s="571" t="s">
        <v>716</v>
      </c>
      <c r="B33374" s="572">
        <v>70</v>
      </c>
      <c r="C33374" s="572">
        <v>578</v>
      </c>
    </row>
    <row r="33375" spans="1:3">
      <c r="A33375" s="571" t="s">
        <v>715</v>
      </c>
      <c r="B33375" s="572">
        <v>0</v>
      </c>
      <c r="C33375" s="572">
        <v>0</v>
      </c>
    </row>
    <row r="33376" spans="1:3">
      <c r="A33376" s="571" t="s">
        <v>715</v>
      </c>
      <c r="B33376" s="572">
        <v>3</v>
      </c>
      <c r="C33376" s="572">
        <v>75</v>
      </c>
    </row>
    <row r="33377" spans="1:3">
      <c r="A33377" s="571" t="s">
        <v>715</v>
      </c>
      <c r="B33377" s="572">
        <v>7</v>
      </c>
      <c r="C33377" s="572">
        <v>155</v>
      </c>
    </row>
    <row r="33378" spans="1:3">
      <c r="A33378" s="571" t="s">
        <v>715</v>
      </c>
      <c r="B33378" s="572">
        <v>14</v>
      </c>
      <c r="C33378" s="572">
        <v>255</v>
      </c>
    </row>
    <row r="33379" spans="1:3">
      <c r="A33379" s="571" t="s">
        <v>715</v>
      </c>
      <c r="B33379" s="572">
        <v>21</v>
      </c>
      <c r="C33379" s="572">
        <v>325</v>
      </c>
    </row>
    <row r="33380" spans="1:3">
      <c r="A33380" s="571" t="s">
        <v>715</v>
      </c>
      <c r="B33380" s="572">
        <v>28</v>
      </c>
      <c r="C33380" s="572">
        <v>377</v>
      </c>
    </row>
    <row r="33381" spans="1:3">
      <c r="A33381" s="571" t="s">
        <v>715</v>
      </c>
      <c r="B33381" s="572">
        <v>35</v>
      </c>
      <c r="C33381" s="572">
        <v>423</v>
      </c>
    </row>
    <row r="33382" spans="1:3">
      <c r="A33382" s="571" t="s">
        <v>715</v>
      </c>
      <c r="B33382" s="572">
        <v>42</v>
      </c>
      <c r="C33382" s="572">
        <v>462</v>
      </c>
    </row>
    <row r="33383" spans="1:3">
      <c r="A33383" s="571" t="s">
        <v>715</v>
      </c>
      <c r="B33383" s="572">
        <v>56</v>
      </c>
      <c r="C33383" s="572">
        <v>510</v>
      </c>
    </row>
    <row r="33384" spans="1:3">
      <c r="A33384" s="571" t="s">
        <v>715</v>
      </c>
      <c r="B33384" s="572">
        <v>70</v>
      </c>
      <c r="C33384" s="572">
        <v>540</v>
      </c>
    </row>
    <row r="33385" spans="1:3">
      <c r="A33385" s="571" t="s">
        <v>714</v>
      </c>
      <c r="B33385" s="572">
        <v>0</v>
      </c>
      <c r="C33385" s="572">
        <v>0</v>
      </c>
    </row>
    <row r="33386" spans="1:3">
      <c r="A33386" s="571" t="s">
        <v>714</v>
      </c>
      <c r="B33386" s="572">
        <v>3</v>
      </c>
      <c r="C33386" s="572">
        <v>82</v>
      </c>
    </row>
    <row r="33387" spans="1:3">
      <c r="A33387" s="571" t="s">
        <v>714</v>
      </c>
      <c r="B33387" s="572">
        <v>7</v>
      </c>
      <c r="C33387" s="572">
        <v>167</v>
      </c>
    </row>
    <row r="33388" spans="1:3">
      <c r="A33388" s="571" t="s">
        <v>714</v>
      </c>
      <c r="B33388" s="572">
        <v>14</v>
      </c>
      <c r="C33388" s="572">
        <v>277</v>
      </c>
    </row>
    <row r="33389" spans="1:3">
      <c r="A33389" s="571" t="s">
        <v>714</v>
      </c>
      <c r="B33389" s="572">
        <v>21</v>
      </c>
      <c r="C33389" s="572">
        <v>343</v>
      </c>
    </row>
    <row r="33390" spans="1:3">
      <c r="A33390" s="571" t="s">
        <v>714</v>
      </c>
      <c r="B33390" s="572">
        <v>28</v>
      </c>
      <c r="C33390" s="572">
        <v>397</v>
      </c>
    </row>
    <row r="33391" spans="1:3">
      <c r="A33391" s="571" t="s">
        <v>714</v>
      </c>
      <c r="B33391" s="572">
        <v>35</v>
      </c>
      <c r="C33391" s="572">
        <v>435</v>
      </c>
    </row>
    <row r="33392" spans="1:3">
      <c r="A33392" s="571" t="s">
        <v>714</v>
      </c>
      <c r="B33392" s="572">
        <v>42</v>
      </c>
      <c r="C33392" s="572">
        <v>465</v>
      </c>
    </row>
    <row r="33393" spans="1:3">
      <c r="A33393" s="571" t="s">
        <v>714</v>
      </c>
      <c r="B33393" s="572">
        <v>56</v>
      </c>
      <c r="C33393" s="572">
        <v>512</v>
      </c>
    </row>
    <row r="33394" spans="1:3">
      <c r="A33394" s="571" t="s">
        <v>714</v>
      </c>
      <c r="B33394" s="572">
        <v>70</v>
      </c>
      <c r="C33394" s="572">
        <v>548</v>
      </c>
    </row>
    <row r="33395" spans="1:3">
      <c r="A33395" s="571" t="s">
        <v>713</v>
      </c>
      <c r="B33395" s="572">
        <v>0</v>
      </c>
      <c r="C33395" s="572">
        <v>0</v>
      </c>
    </row>
    <row r="33396" spans="1:3">
      <c r="A33396" s="571" t="s">
        <v>713</v>
      </c>
      <c r="B33396" s="572">
        <v>3</v>
      </c>
      <c r="C33396" s="572">
        <v>75</v>
      </c>
    </row>
    <row r="33397" spans="1:3">
      <c r="A33397" s="571" t="s">
        <v>713</v>
      </c>
      <c r="B33397" s="572">
        <v>7</v>
      </c>
      <c r="C33397" s="572">
        <v>155</v>
      </c>
    </row>
    <row r="33398" spans="1:3">
      <c r="A33398" s="571" t="s">
        <v>713</v>
      </c>
      <c r="B33398" s="572">
        <v>14</v>
      </c>
      <c r="C33398" s="572">
        <v>255</v>
      </c>
    </row>
    <row r="33399" spans="1:3">
      <c r="A33399" s="571" t="s">
        <v>713</v>
      </c>
      <c r="B33399" s="572">
        <v>21</v>
      </c>
      <c r="C33399" s="572">
        <v>325</v>
      </c>
    </row>
    <row r="33400" spans="1:3">
      <c r="A33400" s="571" t="s">
        <v>713</v>
      </c>
      <c r="B33400" s="572">
        <v>28</v>
      </c>
      <c r="C33400" s="572">
        <v>377</v>
      </c>
    </row>
    <row r="33401" spans="1:3">
      <c r="A33401" s="571" t="s">
        <v>713</v>
      </c>
      <c r="B33401" s="572">
        <v>35</v>
      </c>
      <c r="C33401" s="572">
        <v>429</v>
      </c>
    </row>
    <row r="33402" spans="1:3">
      <c r="A33402" s="571" t="s">
        <v>713</v>
      </c>
      <c r="B33402" s="572">
        <v>42</v>
      </c>
      <c r="C33402" s="572">
        <v>450</v>
      </c>
    </row>
    <row r="33403" spans="1:3">
      <c r="A33403" s="571" t="s">
        <v>713</v>
      </c>
      <c r="B33403" s="572">
        <v>56</v>
      </c>
      <c r="C33403" s="572">
        <v>492</v>
      </c>
    </row>
    <row r="33404" spans="1:3">
      <c r="A33404" s="571" t="s">
        <v>713</v>
      </c>
      <c r="B33404" s="572">
        <v>70</v>
      </c>
      <c r="C33404" s="572">
        <v>531</v>
      </c>
    </row>
    <row r="33405" spans="1:3">
      <c r="A33405" s="571" t="s">
        <v>712</v>
      </c>
      <c r="B33405" s="572">
        <v>0</v>
      </c>
      <c r="C33405" s="572">
        <v>0</v>
      </c>
    </row>
    <row r="33406" spans="1:3">
      <c r="A33406" s="571" t="s">
        <v>712</v>
      </c>
      <c r="B33406" s="572">
        <v>3</v>
      </c>
      <c r="C33406" s="572">
        <v>82</v>
      </c>
    </row>
    <row r="33407" spans="1:3">
      <c r="A33407" s="571" t="s">
        <v>712</v>
      </c>
      <c r="B33407" s="572">
        <v>7</v>
      </c>
      <c r="C33407" s="572">
        <v>160</v>
      </c>
    </row>
    <row r="33408" spans="1:3">
      <c r="A33408" s="571" t="s">
        <v>712</v>
      </c>
      <c r="B33408" s="572">
        <v>14</v>
      </c>
      <c r="C33408" s="572">
        <v>260</v>
      </c>
    </row>
    <row r="33409" spans="1:3">
      <c r="A33409" s="571" t="s">
        <v>712</v>
      </c>
      <c r="B33409" s="572">
        <v>21</v>
      </c>
      <c r="C33409" s="572">
        <v>333</v>
      </c>
    </row>
    <row r="33410" spans="1:3">
      <c r="A33410" s="571" t="s">
        <v>712</v>
      </c>
      <c r="B33410" s="572">
        <v>28</v>
      </c>
      <c r="C33410" s="572">
        <v>397</v>
      </c>
    </row>
    <row r="33411" spans="1:3">
      <c r="A33411" s="571" t="s">
        <v>712</v>
      </c>
      <c r="B33411" s="572">
        <v>35</v>
      </c>
      <c r="C33411" s="572">
        <v>446</v>
      </c>
    </row>
    <row r="33412" spans="1:3">
      <c r="A33412" s="571" t="s">
        <v>712</v>
      </c>
      <c r="B33412" s="572">
        <v>42</v>
      </c>
      <c r="C33412" s="572">
        <v>479</v>
      </c>
    </row>
    <row r="33413" spans="1:3">
      <c r="A33413" s="571" t="s">
        <v>712</v>
      </c>
      <c r="B33413" s="572">
        <v>56</v>
      </c>
      <c r="C33413" s="572">
        <v>529</v>
      </c>
    </row>
    <row r="33414" spans="1:3">
      <c r="A33414" s="571" t="s">
        <v>712</v>
      </c>
      <c r="B33414" s="572">
        <v>70</v>
      </c>
      <c r="C33414" s="572">
        <v>568</v>
      </c>
    </row>
    <row r="33415" spans="1:3">
      <c r="A33415" s="571" t="s">
        <v>711</v>
      </c>
      <c r="B33415" s="572">
        <v>0</v>
      </c>
      <c r="C33415" s="572">
        <v>0</v>
      </c>
    </row>
    <row r="33416" spans="1:3">
      <c r="A33416" s="571" t="s">
        <v>711</v>
      </c>
      <c r="B33416" s="572">
        <v>3</v>
      </c>
      <c r="C33416" s="572">
        <v>80</v>
      </c>
    </row>
    <row r="33417" spans="1:3">
      <c r="A33417" s="571" t="s">
        <v>711</v>
      </c>
      <c r="B33417" s="572">
        <v>7</v>
      </c>
      <c r="C33417" s="572">
        <v>170</v>
      </c>
    </row>
    <row r="33418" spans="1:3">
      <c r="A33418" s="571" t="s">
        <v>711</v>
      </c>
      <c r="B33418" s="572">
        <v>14</v>
      </c>
      <c r="C33418" s="572">
        <v>282</v>
      </c>
    </row>
    <row r="33419" spans="1:3">
      <c r="A33419" s="571" t="s">
        <v>711</v>
      </c>
      <c r="B33419" s="572">
        <v>21</v>
      </c>
      <c r="C33419" s="572">
        <v>370</v>
      </c>
    </row>
    <row r="33420" spans="1:3">
      <c r="A33420" s="571" t="s">
        <v>711</v>
      </c>
      <c r="B33420" s="572">
        <v>28</v>
      </c>
      <c r="C33420" s="572">
        <v>448</v>
      </c>
    </row>
    <row r="33421" spans="1:3">
      <c r="A33421" s="571" t="s">
        <v>711</v>
      </c>
      <c r="B33421" s="572">
        <v>35</v>
      </c>
      <c r="C33421" s="572">
        <v>527</v>
      </c>
    </row>
    <row r="33422" spans="1:3">
      <c r="A33422" s="571" t="s">
        <v>711</v>
      </c>
      <c r="B33422" s="572">
        <v>42</v>
      </c>
      <c r="C33422" s="572">
        <v>568</v>
      </c>
    </row>
    <row r="33423" spans="1:3">
      <c r="A33423" s="571" t="s">
        <v>711</v>
      </c>
      <c r="B33423" s="572">
        <v>56</v>
      </c>
      <c r="C33423" s="572">
        <v>622</v>
      </c>
    </row>
    <row r="33424" spans="1:3">
      <c r="A33424" s="571" t="s">
        <v>711</v>
      </c>
      <c r="B33424" s="572">
        <v>70</v>
      </c>
      <c r="C33424" s="572">
        <v>660</v>
      </c>
    </row>
    <row r="33425" spans="1:3">
      <c r="A33425" s="571" t="s">
        <v>710</v>
      </c>
      <c r="B33425" s="572">
        <v>0</v>
      </c>
      <c r="C33425" s="572">
        <v>0</v>
      </c>
    </row>
    <row r="33426" spans="1:3">
      <c r="A33426" s="571" t="s">
        <v>710</v>
      </c>
      <c r="B33426" s="572">
        <v>3</v>
      </c>
      <c r="C33426" s="572">
        <v>78</v>
      </c>
    </row>
    <row r="33427" spans="1:3">
      <c r="A33427" s="571" t="s">
        <v>710</v>
      </c>
      <c r="B33427" s="572">
        <v>7</v>
      </c>
      <c r="C33427" s="572">
        <v>165</v>
      </c>
    </row>
    <row r="33428" spans="1:3">
      <c r="A33428" s="571" t="s">
        <v>710</v>
      </c>
      <c r="B33428" s="572">
        <v>14</v>
      </c>
      <c r="C33428" s="572">
        <v>279</v>
      </c>
    </row>
    <row r="33429" spans="1:3">
      <c r="A33429" s="571" t="s">
        <v>710</v>
      </c>
      <c r="B33429" s="572">
        <v>21</v>
      </c>
      <c r="C33429" s="572">
        <v>353</v>
      </c>
    </row>
    <row r="33430" spans="1:3">
      <c r="A33430" s="571" t="s">
        <v>710</v>
      </c>
      <c r="B33430" s="572">
        <v>28</v>
      </c>
      <c r="C33430" s="572">
        <v>426</v>
      </c>
    </row>
    <row r="33431" spans="1:3">
      <c r="A33431" s="571" t="s">
        <v>710</v>
      </c>
      <c r="B33431" s="572">
        <v>35</v>
      </c>
      <c r="C33431" s="572">
        <v>479</v>
      </c>
    </row>
    <row r="33432" spans="1:3">
      <c r="A33432" s="571" t="s">
        <v>710</v>
      </c>
      <c r="B33432" s="572">
        <v>42</v>
      </c>
      <c r="C33432" s="572">
        <v>510</v>
      </c>
    </row>
    <row r="33433" spans="1:3">
      <c r="A33433" s="571" t="s">
        <v>710</v>
      </c>
      <c r="B33433" s="572">
        <v>56</v>
      </c>
      <c r="C33433" s="572">
        <v>557</v>
      </c>
    </row>
    <row r="33434" spans="1:3">
      <c r="A33434" s="571" t="s">
        <v>710</v>
      </c>
      <c r="B33434" s="572">
        <v>70</v>
      </c>
      <c r="C33434" s="572">
        <v>581</v>
      </c>
    </row>
    <row r="33435" spans="1:3">
      <c r="A33435" s="571" t="s">
        <v>709</v>
      </c>
      <c r="B33435" s="572">
        <v>0</v>
      </c>
      <c r="C33435" s="572">
        <v>0</v>
      </c>
    </row>
    <row r="33436" spans="1:3">
      <c r="A33436" s="571" t="s">
        <v>709</v>
      </c>
      <c r="B33436" s="572">
        <v>3</v>
      </c>
      <c r="C33436" s="572">
        <v>75</v>
      </c>
    </row>
    <row r="33437" spans="1:3">
      <c r="A33437" s="571" t="s">
        <v>709</v>
      </c>
      <c r="B33437" s="572">
        <v>7</v>
      </c>
      <c r="C33437" s="572">
        <v>160</v>
      </c>
    </row>
    <row r="33438" spans="1:3">
      <c r="A33438" s="571" t="s">
        <v>709</v>
      </c>
      <c r="B33438" s="572">
        <v>14</v>
      </c>
      <c r="C33438" s="572">
        <v>270</v>
      </c>
    </row>
    <row r="33439" spans="1:3">
      <c r="A33439" s="571" t="s">
        <v>709</v>
      </c>
      <c r="B33439" s="572">
        <v>21</v>
      </c>
      <c r="C33439" s="572">
        <v>342</v>
      </c>
    </row>
    <row r="33440" spans="1:3">
      <c r="A33440" s="571" t="s">
        <v>709</v>
      </c>
      <c r="B33440" s="572">
        <v>28</v>
      </c>
      <c r="C33440" s="572">
        <v>413</v>
      </c>
    </row>
    <row r="33441" spans="1:3">
      <c r="A33441" s="571" t="s">
        <v>709</v>
      </c>
      <c r="B33441" s="572">
        <v>35</v>
      </c>
      <c r="C33441" s="572">
        <v>470</v>
      </c>
    </row>
    <row r="33442" spans="1:3">
      <c r="A33442" s="571" t="s">
        <v>709</v>
      </c>
      <c r="B33442" s="572">
        <v>42</v>
      </c>
      <c r="C33442" s="572">
        <v>520</v>
      </c>
    </row>
    <row r="33443" spans="1:3">
      <c r="A33443" s="571" t="s">
        <v>709</v>
      </c>
      <c r="B33443" s="572">
        <v>56</v>
      </c>
      <c r="C33443" s="572">
        <v>578</v>
      </c>
    </row>
    <row r="33444" spans="1:3">
      <c r="A33444" s="571" t="s">
        <v>709</v>
      </c>
      <c r="B33444" s="572">
        <v>70</v>
      </c>
      <c r="C33444" s="572">
        <v>617</v>
      </c>
    </row>
    <row r="33445" spans="1:3">
      <c r="A33445" s="571" t="s">
        <v>708</v>
      </c>
      <c r="B33445" s="572">
        <v>0</v>
      </c>
      <c r="C33445" s="572">
        <v>0</v>
      </c>
    </row>
    <row r="33446" spans="1:3">
      <c r="A33446" s="571" t="s">
        <v>708</v>
      </c>
      <c r="B33446" s="572">
        <v>3</v>
      </c>
      <c r="C33446" s="572">
        <v>78</v>
      </c>
    </row>
    <row r="33447" spans="1:3">
      <c r="A33447" s="571" t="s">
        <v>708</v>
      </c>
      <c r="B33447" s="572">
        <v>7</v>
      </c>
      <c r="C33447" s="572">
        <v>165</v>
      </c>
    </row>
    <row r="33448" spans="1:3">
      <c r="A33448" s="571" t="s">
        <v>708</v>
      </c>
      <c r="B33448" s="572">
        <v>14</v>
      </c>
      <c r="C33448" s="572">
        <v>279</v>
      </c>
    </row>
    <row r="33449" spans="1:3">
      <c r="A33449" s="571" t="s">
        <v>708</v>
      </c>
      <c r="B33449" s="572">
        <v>21</v>
      </c>
      <c r="C33449" s="572">
        <v>353</v>
      </c>
    </row>
    <row r="33450" spans="1:3">
      <c r="A33450" s="571" t="s">
        <v>708</v>
      </c>
      <c r="B33450" s="572">
        <v>28</v>
      </c>
      <c r="C33450" s="572">
        <v>426</v>
      </c>
    </row>
    <row r="33451" spans="1:3">
      <c r="A33451" s="571" t="s">
        <v>708</v>
      </c>
      <c r="B33451" s="572">
        <v>35</v>
      </c>
      <c r="C33451" s="572">
        <v>483</v>
      </c>
    </row>
    <row r="33452" spans="1:3">
      <c r="A33452" s="571" t="s">
        <v>708</v>
      </c>
      <c r="B33452" s="572">
        <v>42</v>
      </c>
      <c r="C33452" s="572">
        <v>530</v>
      </c>
    </row>
    <row r="33453" spans="1:3">
      <c r="A33453" s="571" t="s">
        <v>708</v>
      </c>
      <c r="B33453" s="572">
        <v>56</v>
      </c>
      <c r="C33453" s="572">
        <v>590</v>
      </c>
    </row>
    <row r="33454" spans="1:3">
      <c r="A33454" s="571" t="s">
        <v>708</v>
      </c>
      <c r="B33454" s="572">
        <v>70</v>
      </c>
      <c r="C33454" s="572">
        <v>627</v>
      </c>
    </row>
    <row r="33455" spans="1:3">
      <c r="A33455" s="571" t="s">
        <v>707</v>
      </c>
      <c r="B33455" s="572">
        <v>0</v>
      </c>
      <c r="C33455" s="572">
        <v>0</v>
      </c>
    </row>
    <row r="33456" spans="1:3">
      <c r="A33456" s="571" t="s">
        <v>707</v>
      </c>
      <c r="B33456" s="572">
        <v>3</v>
      </c>
      <c r="C33456" s="572">
        <v>70</v>
      </c>
    </row>
    <row r="33457" spans="1:3">
      <c r="A33457" s="571" t="s">
        <v>707</v>
      </c>
      <c r="B33457" s="572">
        <v>7</v>
      </c>
      <c r="C33457" s="572">
        <v>150</v>
      </c>
    </row>
    <row r="33458" spans="1:3">
      <c r="A33458" s="571" t="s">
        <v>707</v>
      </c>
      <c r="B33458" s="572">
        <v>14</v>
      </c>
      <c r="C33458" s="572">
        <v>253</v>
      </c>
    </row>
    <row r="33459" spans="1:3">
      <c r="A33459" s="571" t="s">
        <v>707</v>
      </c>
      <c r="B33459" s="572">
        <v>21</v>
      </c>
      <c r="C33459" s="572">
        <v>330</v>
      </c>
    </row>
    <row r="33460" spans="1:3">
      <c r="A33460" s="571" t="s">
        <v>707</v>
      </c>
      <c r="B33460" s="572">
        <v>28</v>
      </c>
      <c r="C33460" s="572">
        <v>409</v>
      </c>
    </row>
    <row r="33461" spans="1:3">
      <c r="A33461" s="571" t="s">
        <v>707</v>
      </c>
      <c r="B33461" s="572">
        <v>35</v>
      </c>
      <c r="C33461" s="572">
        <v>453</v>
      </c>
    </row>
    <row r="33462" spans="1:3">
      <c r="A33462" s="571" t="s">
        <v>707</v>
      </c>
      <c r="B33462" s="572">
        <v>42</v>
      </c>
      <c r="C33462" s="572">
        <v>486</v>
      </c>
    </row>
    <row r="33463" spans="1:3">
      <c r="A33463" s="571" t="s">
        <v>707</v>
      </c>
      <c r="B33463" s="572">
        <v>56</v>
      </c>
      <c r="C33463" s="572">
        <v>526</v>
      </c>
    </row>
    <row r="33464" spans="1:3">
      <c r="A33464" s="571" t="s">
        <v>707</v>
      </c>
      <c r="B33464" s="572">
        <v>70</v>
      </c>
      <c r="C33464" s="572">
        <v>552</v>
      </c>
    </row>
    <row r="33465" spans="1:3">
      <c r="A33465" s="571" t="s">
        <v>706</v>
      </c>
      <c r="B33465" s="572">
        <v>0</v>
      </c>
      <c r="C33465" s="572">
        <v>0</v>
      </c>
    </row>
    <row r="33466" spans="1:3">
      <c r="A33466" s="571" t="s">
        <v>706</v>
      </c>
      <c r="B33466" s="572">
        <v>3</v>
      </c>
      <c r="C33466" s="572">
        <v>86</v>
      </c>
    </row>
    <row r="33467" spans="1:3">
      <c r="A33467" s="571" t="s">
        <v>706</v>
      </c>
      <c r="B33467" s="572">
        <v>7</v>
      </c>
      <c r="C33467" s="572">
        <v>195</v>
      </c>
    </row>
    <row r="33468" spans="1:3">
      <c r="A33468" s="571" t="s">
        <v>706</v>
      </c>
      <c r="B33468" s="572">
        <v>14</v>
      </c>
      <c r="C33468" s="572">
        <v>283</v>
      </c>
    </row>
    <row r="33469" spans="1:3">
      <c r="A33469" s="571" t="s">
        <v>706</v>
      </c>
      <c r="B33469" s="572">
        <v>21</v>
      </c>
      <c r="C33469" s="572">
        <v>343</v>
      </c>
    </row>
    <row r="33470" spans="1:3">
      <c r="A33470" s="571" t="s">
        <v>706</v>
      </c>
      <c r="B33470" s="572">
        <v>28</v>
      </c>
      <c r="C33470" s="572">
        <v>387</v>
      </c>
    </row>
    <row r="33471" spans="1:3">
      <c r="A33471" s="571" t="s">
        <v>706</v>
      </c>
      <c r="B33471" s="572">
        <v>35</v>
      </c>
      <c r="C33471" s="572">
        <v>428</v>
      </c>
    </row>
    <row r="33472" spans="1:3">
      <c r="A33472" s="571" t="s">
        <v>706</v>
      </c>
      <c r="B33472" s="572">
        <v>42</v>
      </c>
      <c r="C33472" s="572">
        <v>450</v>
      </c>
    </row>
    <row r="33473" spans="1:3">
      <c r="A33473" s="571" t="s">
        <v>706</v>
      </c>
      <c r="B33473" s="572">
        <v>56</v>
      </c>
      <c r="C33473" s="572">
        <v>491</v>
      </c>
    </row>
    <row r="33474" spans="1:3">
      <c r="A33474" s="571" t="s">
        <v>706</v>
      </c>
      <c r="B33474" s="572">
        <v>70</v>
      </c>
      <c r="C33474" s="572">
        <v>529</v>
      </c>
    </row>
    <row r="33475" spans="1:3">
      <c r="A33475" s="571" t="s">
        <v>705</v>
      </c>
      <c r="B33475" s="572">
        <v>0</v>
      </c>
      <c r="C33475" s="572">
        <v>0</v>
      </c>
    </row>
    <row r="33476" spans="1:3">
      <c r="A33476" s="571" t="s">
        <v>705</v>
      </c>
      <c r="B33476" s="572">
        <v>3</v>
      </c>
      <c r="C33476" s="572">
        <v>75</v>
      </c>
    </row>
    <row r="33477" spans="1:3">
      <c r="A33477" s="571" t="s">
        <v>705</v>
      </c>
      <c r="B33477" s="572">
        <v>7</v>
      </c>
      <c r="C33477" s="572">
        <v>160</v>
      </c>
    </row>
    <row r="33478" spans="1:3">
      <c r="A33478" s="571" t="s">
        <v>705</v>
      </c>
      <c r="B33478" s="572">
        <v>14</v>
      </c>
      <c r="C33478" s="572">
        <v>260</v>
      </c>
    </row>
    <row r="33479" spans="1:3">
      <c r="A33479" s="571" t="s">
        <v>705</v>
      </c>
      <c r="B33479" s="572">
        <v>21</v>
      </c>
      <c r="C33479" s="572">
        <v>333</v>
      </c>
    </row>
    <row r="33480" spans="1:3">
      <c r="A33480" s="571" t="s">
        <v>705</v>
      </c>
      <c r="B33480" s="572">
        <v>28</v>
      </c>
      <c r="C33480" s="572">
        <v>387</v>
      </c>
    </row>
    <row r="33481" spans="1:3">
      <c r="A33481" s="571" t="s">
        <v>705</v>
      </c>
      <c r="B33481" s="572">
        <v>35</v>
      </c>
      <c r="C33481" s="572">
        <v>433</v>
      </c>
    </row>
    <row r="33482" spans="1:3">
      <c r="A33482" s="571" t="s">
        <v>705</v>
      </c>
      <c r="B33482" s="572">
        <v>42</v>
      </c>
      <c r="C33482" s="572">
        <v>465</v>
      </c>
    </row>
    <row r="33483" spans="1:3">
      <c r="A33483" s="571" t="s">
        <v>705</v>
      </c>
      <c r="B33483" s="572">
        <v>56</v>
      </c>
      <c r="C33483" s="572">
        <v>512</v>
      </c>
    </row>
    <row r="33484" spans="1:3">
      <c r="A33484" s="571" t="s">
        <v>705</v>
      </c>
      <c r="B33484" s="572">
        <v>70</v>
      </c>
      <c r="C33484" s="572">
        <v>548</v>
      </c>
    </row>
    <row r="33485" spans="1:3">
      <c r="A33485" s="571" t="s">
        <v>704</v>
      </c>
      <c r="B33485" s="572">
        <v>0</v>
      </c>
      <c r="C33485" s="572">
        <v>0</v>
      </c>
    </row>
    <row r="33486" spans="1:3">
      <c r="A33486" s="571" t="s">
        <v>704</v>
      </c>
      <c r="B33486" s="572">
        <v>3</v>
      </c>
      <c r="C33486" s="572">
        <v>82</v>
      </c>
    </row>
    <row r="33487" spans="1:3">
      <c r="A33487" s="571" t="s">
        <v>704</v>
      </c>
      <c r="B33487" s="572">
        <v>7</v>
      </c>
      <c r="C33487" s="572">
        <v>167</v>
      </c>
    </row>
    <row r="33488" spans="1:3">
      <c r="A33488" s="571" t="s">
        <v>704</v>
      </c>
      <c r="B33488" s="572">
        <v>14</v>
      </c>
      <c r="C33488" s="572">
        <v>277</v>
      </c>
    </row>
    <row r="33489" spans="1:3">
      <c r="A33489" s="571" t="s">
        <v>704</v>
      </c>
      <c r="B33489" s="572">
        <v>21</v>
      </c>
      <c r="C33489" s="572">
        <v>352</v>
      </c>
    </row>
    <row r="33490" spans="1:3">
      <c r="A33490" s="571" t="s">
        <v>704</v>
      </c>
      <c r="B33490" s="572">
        <v>28</v>
      </c>
      <c r="C33490" s="572">
        <v>407</v>
      </c>
    </row>
    <row r="33491" spans="1:3">
      <c r="A33491" s="571" t="s">
        <v>704</v>
      </c>
      <c r="B33491" s="572">
        <v>35</v>
      </c>
      <c r="C33491" s="572">
        <v>446</v>
      </c>
    </row>
    <row r="33492" spans="1:3">
      <c r="A33492" s="571" t="s">
        <v>704</v>
      </c>
      <c r="B33492" s="572">
        <v>42</v>
      </c>
      <c r="C33492" s="572">
        <v>479</v>
      </c>
    </row>
    <row r="33493" spans="1:3">
      <c r="A33493" s="571" t="s">
        <v>704</v>
      </c>
      <c r="B33493" s="572">
        <v>56</v>
      </c>
      <c r="C33493" s="572">
        <v>529</v>
      </c>
    </row>
    <row r="33494" spans="1:3">
      <c r="A33494" s="571" t="s">
        <v>704</v>
      </c>
      <c r="B33494" s="572">
        <v>70</v>
      </c>
      <c r="C33494" s="572">
        <v>568</v>
      </c>
    </row>
    <row r="33495" spans="1:3">
      <c r="A33495" s="571" t="s">
        <v>703</v>
      </c>
      <c r="B33495" s="572">
        <v>0</v>
      </c>
      <c r="C33495" s="572">
        <v>0</v>
      </c>
    </row>
    <row r="33496" spans="1:3">
      <c r="A33496" s="571" t="s">
        <v>703</v>
      </c>
      <c r="B33496" s="572">
        <v>7</v>
      </c>
      <c r="C33496" s="572">
        <v>170</v>
      </c>
    </row>
    <row r="33497" spans="1:3">
      <c r="A33497" s="571" t="s">
        <v>703</v>
      </c>
      <c r="B33497" s="572">
        <v>14</v>
      </c>
      <c r="C33497" s="572">
        <v>255</v>
      </c>
    </row>
    <row r="33498" spans="1:3">
      <c r="A33498" s="571" t="s">
        <v>703</v>
      </c>
      <c r="B33498" s="572">
        <v>21</v>
      </c>
      <c r="C33498" s="572">
        <v>427</v>
      </c>
    </row>
    <row r="33499" spans="1:3">
      <c r="A33499" s="571" t="s">
        <v>703</v>
      </c>
      <c r="B33499" s="572">
        <v>28</v>
      </c>
      <c r="C33499" s="572">
        <v>468</v>
      </c>
    </row>
    <row r="33500" spans="1:3">
      <c r="A33500" s="571" t="s">
        <v>703</v>
      </c>
      <c r="B33500" s="572">
        <v>35</v>
      </c>
      <c r="C33500" s="572">
        <v>492</v>
      </c>
    </row>
    <row r="33501" spans="1:3">
      <c r="A33501" s="571" t="s">
        <v>703</v>
      </c>
      <c r="B33501" s="572">
        <v>42</v>
      </c>
      <c r="C33501" s="572">
        <v>520</v>
      </c>
    </row>
    <row r="33502" spans="1:3">
      <c r="A33502" s="571" t="s">
        <v>703</v>
      </c>
      <c r="B33502" s="572">
        <v>49</v>
      </c>
      <c r="C33502" s="572">
        <v>607</v>
      </c>
    </row>
    <row r="33503" spans="1:3">
      <c r="A33503" s="571" t="s">
        <v>703</v>
      </c>
      <c r="B33503" s="572">
        <v>56</v>
      </c>
      <c r="C33503" s="572">
        <v>618</v>
      </c>
    </row>
    <row r="33504" spans="1:3">
      <c r="A33504" s="571" t="s">
        <v>703</v>
      </c>
      <c r="B33504" s="572">
        <v>63</v>
      </c>
      <c r="C33504" s="572">
        <v>660</v>
      </c>
    </row>
    <row r="33505" spans="1:3">
      <c r="A33505" s="571" t="s">
        <v>703</v>
      </c>
      <c r="B33505" s="572">
        <v>70</v>
      </c>
      <c r="C33505" s="572">
        <v>665</v>
      </c>
    </row>
    <row r="33506" spans="1:3">
      <c r="A33506" s="571" t="s">
        <v>703</v>
      </c>
      <c r="B33506" s="572">
        <v>77</v>
      </c>
      <c r="C33506" s="572">
        <v>700</v>
      </c>
    </row>
    <row r="33507" spans="1:3">
      <c r="A33507" s="571" t="s">
        <v>703</v>
      </c>
      <c r="B33507" s="572">
        <v>84</v>
      </c>
      <c r="C33507" s="572">
        <v>710</v>
      </c>
    </row>
    <row r="33508" spans="1:3">
      <c r="A33508" s="571" t="s">
        <v>702</v>
      </c>
      <c r="B33508" s="572">
        <v>0</v>
      </c>
      <c r="C33508" s="572">
        <v>0</v>
      </c>
    </row>
    <row r="33509" spans="1:3">
      <c r="A33509" s="571" t="s">
        <v>702</v>
      </c>
      <c r="B33509" s="572">
        <v>7</v>
      </c>
      <c r="C33509" s="572">
        <v>235</v>
      </c>
    </row>
    <row r="33510" spans="1:3">
      <c r="A33510" s="571" t="s">
        <v>702</v>
      </c>
      <c r="B33510" s="572">
        <v>14</v>
      </c>
      <c r="C33510" s="572">
        <v>355</v>
      </c>
    </row>
    <row r="33511" spans="1:3">
      <c r="A33511" s="571" t="s">
        <v>702</v>
      </c>
      <c r="B33511" s="572">
        <v>21</v>
      </c>
      <c r="C33511" s="572">
        <v>558</v>
      </c>
    </row>
    <row r="33512" spans="1:3">
      <c r="A33512" s="571" t="s">
        <v>702</v>
      </c>
      <c r="B33512" s="572">
        <v>28</v>
      </c>
      <c r="C33512" s="572">
        <v>623</v>
      </c>
    </row>
    <row r="33513" spans="1:3">
      <c r="A33513" s="571" t="s">
        <v>702</v>
      </c>
      <c r="B33513" s="572">
        <v>35</v>
      </c>
      <c r="C33513" s="572">
        <v>665</v>
      </c>
    </row>
    <row r="33514" spans="1:3">
      <c r="A33514" s="571" t="s">
        <v>702</v>
      </c>
      <c r="B33514" s="572">
        <v>42</v>
      </c>
      <c r="C33514" s="572">
        <v>733</v>
      </c>
    </row>
    <row r="33515" spans="1:3">
      <c r="A33515" s="571" t="s">
        <v>702</v>
      </c>
      <c r="B33515" s="572">
        <v>49</v>
      </c>
      <c r="C33515" s="572">
        <v>805</v>
      </c>
    </row>
    <row r="33516" spans="1:3">
      <c r="A33516" s="571" t="s">
        <v>702</v>
      </c>
      <c r="B33516" s="572">
        <v>56</v>
      </c>
      <c r="C33516" s="572">
        <v>817</v>
      </c>
    </row>
    <row r="33517" spans="1:3">
      <c r="A33517" s="571" t="s">
        <v>702</v>
      </c>
      <c r="B33517" s="572">
        <v>63</v>
      </c>
      <c r="C33517" s="572">
        <v>855</v>
      </c>
    </row>
    <row r="33518" spans="1:3">
      <c r="A33518" s="571" t="s">
        <v>702</v>
      </c>
      <c r="B33518" s="572">
        <v>70</v>
      </c>
      <c r="C33518" s="572">
        <v>890</v>
      </c>
    </row>
    <row r="33519" spans="1:3">
      <c r="A33519" s="571" t="s">
        <v>702</v>
      </c>
      <c r="B33519" s="572">
        <v>77</v>
      </c>
      <c r="C33519" s="572">
        <v>937</v>
      </c>
    </row>
    <row r="33520" spans="1:3">
      <c r="A33520" s="571" t="s">
        <v>702</v>
      </c>
      <c r="B33520" s="572">
        <v>84</v>
      </c>
      <c r="C33520" s="572">
        <v>974</v>
      </c>
    </row>
    <row r="33521" spans="1:3">
      <c r="A33521" s="571" t="s">
        <v>701</v>
      </c>
      <c r="B33521" s="572">
        <v>0</v>
      </c>
      <c r="C33521" s="572">
        <v>0</v>
      </c>
    </row>
    <row r="33522" spans="1:3">
      <c r="A33522" s="571" t="s">
        <v>701</v>
      </c>
      <c r="B33522" s="572">
        <v>7</v>
      </c>
      <c r="C33522" s="572">
        <v>225</v>
      </c>
    </row>
    <row r="33523" spans="1:3">
      <c r="A33523" s="571" t="s">
        <v>701</v>
      </c>
      <c r="B33523" s="572">
        <v>14</v>
      </c>
      <c r="C33523" s="572">
        <v>303</v>
      </c>
    </row>
    <row r="33524" spans="1:3">
      <c r="A33524" s="571" t="s">
        <v>701</v>
      </c>
      <c r="B33524" s="572">
        <v>21</v>
      </c>
      <c r="C33524" s="572">
        <v>475</v>
      </c>
    </row>
    <row r="33525" spans="1:3">
      <c r="A33525" s="571" t="s">
        <v>701</v>
      </c>
      <c r="B33525" s="572">
        <v>28</v>
      </c>
      <c r="C33525" s="572">
        <v>536</v>
      </c>
    </row>
    <row r="33526" spans="1:3">
      <c r="A33526" s="571" t="s">
        <v>701</v>
      </c>
      <c r="B33526" s="572">
        <v>35</v>
      </c>
      <c r="C33526" s="572">
        <v>565</v>
      </c>
    </row>
    <row r="33527" spans="1:3">
      <c r="A33527" s="571" t="s">
        <v>701</v>
      </c>
      <c r="B33527" s="572">
        <v>42</v>
      </c>
      <c r="C33527" s="572">
        <v>608</v>
      </c>
    </row>
    <row r="33528" spans="1:3">
      <c r="A33528" s="571" t="s">
        <v>701</v>
      </c>
      <c r="B33528" s="572">
        <v>49</v>
      </c>
      <c r="C33528" s="572">
        <v>733</v>
      </c>
    </row>
    <row r="33529" spans="1:3">
      <c r="A33529" s="571" t="s">
        <v>701</v>
      </c>
      <c r="B33529" s="572">
        <v>56</v>
      </c>
      <c r="C33529" s="572">
        <v>708</v>
      </c>
    </row>
    <row r="33530" spans="1:3">
      <c r="A33530" s="571" t="s">
        <v>701</v>
      </c>
      <c r="B33530" s="572">
        <v>63</v>
      </c>
      <c r="C33530" s="572">
        <v>704</v>
      </c>
    </row>
    <row r="33531" spans="1:3">
      <c r="A33531" s="571" t="s">
        <v>701</v>
      </c>
      <c r="B33531" s="572">
        <v>70</v>
      </c>
      <c r="C33531" s="572">
        <v>746</v>
      </c>
    </row>
    <row r="33532" spans="1:3">
      <c r="A33532" s="571" t="s">
        <v>701</v>
      </c>
      <c r="B33532" s="572">
        <v>77</v>
      </c>
      <c r="C33532" s="572">
        <v>750</v>
      </c>
    </row>
    <row r="33533" spans="1:3">
      <c r="A33533" s="571" t="s">
        <v>701</v>
      </c>
      <c r="B33533" s="572">
        <v>84</v>
      </c>
      <c r="C33533" s="572">
        <v>780</v>
      </c>
    </row>
    <row r="33534" spans="1:3">
      <c r="A33534" s="571" t="s">
        <v>700</v>
      </c>
      <c r="B33534" s="572">
        <v>0</v>
      </c>
      <c r="C33534" s="572">
        <v>0</v>
      </c>
    </row>
    <row r="33535" spans="1:3">
      <c r="A33535" s="571" t="s">
        <v>700</v>
      </c>
      <c r="B33535" s="572">
        <v>7</v>
      </c>
      <c r="C33535" s="572">
        <v>218</v>
      </c>
    </row>
    <row r="33536" spans="1:3">
      <c r="A33536" s="571" t="s">
        <v>700</v>
      </c>
      <c r="B33536" s="572">
        <v>14</v>
      </c>
      <c r="C33536" s="572">
        <v>230</v>
      </c>
    </row>
    <row r="33537" spans="1:3">
      <c r="A33537" s="571" t="s">
        <v>700</v>
      </c>
      <c r="B33537" s="572">
        <v>21</v>
      </c>
      <c r="C33537" s="572">
        <v>257</v>
      </c>
    </row>
    <row r="33538" spans="1:3">
      <c r="A33538" s="571" t="s">
        <v>700</v>
      </c>
      <c r="B33538" s="572">
        <v>28</v>
      </c>
      <c r="C33538" s="572">
        <v>278</v>
      </c>
    </row>
    <row r="33539" spans="1:3">
      <c r="A33539" s="571" t="s">
        <v>700</v>
      </c>
      <c r="B33539" s="572">
        <v>35</v>
      </c>
      <c r="C33539" s="572">
        <v>293</v>
      </c>
    </row>
    <row r="33540" spans="1:3">
      <c r="A33540" s="571" t="s">
        <v>700</v>
      </c>
      <c r="B33540" s="572">
        <v>42</v>
      </c>
      <c r="C33540" s="572">
        <v>315</v>
      </c>
    </row>
    <row r="33541" spans="1:3">
      <c r="A33541" s="571" t="s">
        <v>700</v>
      </c>
      <c r="B33541" s="572">
        <v>49</v>
      </c>
      <c r="C33541" s="572">
        <v>338</v>
      </c>
    </row>
    <row r="33542" spans="1:3">
      <c r="A33542" s="571" t="s">
        <v>700</v>
      </c>
      <c r="B33542" s="572">
        <v>56</v>
      </c>
      <c r="C33542" s="572">
        <v>348</v>
      </c>
    </row>
    <row r="33543" spans="1:3">
      <c r="A33543" s="571" t="s">
        <v>700</v>
      </c>
      <c r="B33543" s="572">
        <v>63</v>
      </c>
      <c r="C33543" s="572">
        <v>361</v>
      </c>
    </row>
    <row r="33544" spans="1:3">
      <c r="A33544" s="571" t="s">
        <v>700</v>
      </c>
      <c r="B33544" s="572">
        <v>70</v>
      </c>
      <c r="C33544" s="572">
        <v>380</v>
      </c>
    </row>
    <row r="33545" spans="1:3">
      <c r="A33545" s="571" t="s">
        <v>700</v>
      </c>
      <c r="B33545" s="572">
        <v>77</v>
      </c>
      <c r="C33545" s="572">
        <v>400</v>
      </c>
    </row>
    <row r="33546" spans="1:3">
      <c r="A33546" s="571" t="s">
        <v>700</v>
      </c>
      <c r="B33546" s="572">
        <v>84</v>
      </c>
      <c r="C33546" s="572">
        <v>455</v>
      </c>
    </row>
    <row r="33547" spans="1:3">
      <c r="A33547" s="571" t="s">
        <v>699</v>
      </c>
      <c r="B33547" s="572">
        <v>0</v>
      </c>
      <c r="C33547" s="572">
        <v>0</v>
      </c>
    </row>
    <row r="33548" spans="1:3">
      <c r="A33548" s="571" t="s">
        <v>699</v>
      </c>
      <c r="B33548" s="572">
        <v>7</v>
      </c>
      <c r="C33548" s="572">
        <v>183</v>
      </c>
    </row>
    <row r="33549" spans="1:3">
      <c r="A33549" s="571" t="s">
        <v>699</v>
      </c>
      <c r="B33549" s="572">
        <v>14</v>
      </c>
      <c r="C33549" s="572">
        <v>230</v>
      </c>
    </row>
    <row r="33550" spans="1:3">
      <c r="A33550" s="571" t="s">
        <v>699</v>
      </c>
      <c r="B33550" s="572">
        <v>21</v>
      </c>
      <c r="C33550" s="572">
        <v>257</v>
      </c>
    </row>
    <row r="33551" spans="1:3">
      <c r="A33551" s="571" t="s">
        <v>699</v>
      </c>
      <c r="B33551" s="572">
        <v>28</v>
      </c>
      <c r="C33551" s="572">
        <v>278</v>
      </c>
    </row>
    <row r="33552" spans="1:3">
      <c r="A33552" s="571" t="s">
        <v>699</v>
      </c>
      <c r="B33552" s="572">
        <v>35</v>
      </c>
      <c r="C33552" s="572">
        <v>328</v>
      </c>
    </row>
    <row r="33553" spans="1:3">
      <c r="A33553" s="571" t="s">
        <v>699</v>
      </c>
      <c r="B33553" s="572">
        <v>42</v>
      </c>
      <c r="C33553" s="572">
        <v>380</v>
      </c>
    </row>
    <row r="33554" spans="1:3">
      <c r="A33554" s="571" t="s">
        <v>699</v>
      </c>
      <c r="B33554" s="572">
        <v>49</v>
      </c>
      <c r="C33554" s="572">
        <v>381</v>
      </c>
    </row>
    <row r="33555" spans="1:3">
      <c r="A33555" s="571" t="s">
        <v>699</v>
      </c>
      <c r="B33555" s="572">
        <v>56</v>
      </c>
      <c r="C33555" s="572">
        <v>398</v>
      </c>
    </row>
    <row r="33556" spans="1:3">
      <c r="A33556" s="571" t="s">
        <v>699</v>
      </c>
      <c r="B33556" s="572">
        <v>63</v>
      </c>
      <c r="C33556" s="572">
        <v>418</v>
      </c>
    </row>
    <row r="33557" spans="1:3">
      <c r="A33557" s="571" t="s">
        <v>699</v>
      </c>
      <c r="B33557" s="572">
        <v>70</v>
      </c>
      <c r="C33557" s="572">
        <v>438</v>
      </c>
    </row>
    <row r="33558" spans="1:3">
      <c r="A33558" s="571" t="s">
        <v>699</v>
      </c>
      <c r="B33558" s="572">
        <v>77</v>
      </c>
      <c r="C33558" s="572">
        <v>447</v>
      </c>
    </row>
    <row r="33559" spans="1:3">
      <c r="A33559" s="571" t="s">
        <v>699</v>
      </c>
      <c r="B33559" s="572">
        <v>84</v>
      </c>
      <c r="C33559" s="572">
        <v>487</v>
      </c>
    </row>
    <row r="33560" spans="1:3">
      <c r="A33560" s="571" t="s">
        <v>698</v>
      </c>
      <c r="B33560" s="572">
        <v>0</v>
      </c>
      <c r="C33560" s="572">
        <v>0</v>
      </c>
    </row>
    <row r="33561" spans="1:3">
      <c r="A33561" s="571" t="s">
        <v>698</v>
      </c>
      <c r="B33561" s="572">
        <v>7</v>
      </c>
      <c r="C33561" s="572">
        <v>168</v>
      </c>
    </row>
    <row r="33562" spans="1:3">
      <c r="A33562" s="571" t="s">
        <v>698</v>
      </c>
      <c r="B33562" s="572">
        <v>14</v>
      </c>
      <c r="C33562" s="572">
        <v>261</v>
      </c>
    </row>
    <row r="33563" spans="1:3">
      <c r="A33563" s="571" t="s">
        <v>698</v>
      </c>
      <c r="B33563" s="572">
        <v>21</v>
      </c>
      <c r="C33563" s="572">
        <v>276</v>
      </c>
    </row>
    <row r="33564" spans="1:3">
      <c r="A33564" s="571" t="s">
        <v>698</v>
      </c>
      <c r="B33564" s="572">
        <v>28</v>
      </c>
      <c r="C33564" s="572">
        <v>328</v>
      </c>
    </row>
    <row r="33565" spans="1:3">
      <c r="A33565" s="571" t="s">
        <v>698</v>
      </c>
      <c r="B33565" s="572">
        <v>35</v>
      </c>
      <c r="C33565" s="572">
        <v>340</v>
      </c>
    </row>
    <row r="33566" spans="1:3">
      <c r="A33566" s="571" t="s">
        <v>698</v>
      </c>
      <c r="B33566" s="572">
        <v>42</v>
      </c>
      <c r="C33566" s="572">
        <v>420</v>
      </c>
    </row>
    <row r="33567" spans="1:3">
      <c r="A33567" s="571" t="s">
        <v>698</v>
      </c>
      <c r="B33567" s="572">
        <v>49</v>
      </c>
      <c r="C33567" s="572">
        <v>433</v>
      </c>
    </row>
    <row r="33568" spans="1:3">
      <c r="A33568" s="571" t="s">
        <v>698</v>
      </c>
      <c r="B33568" s="572">
        <v>56</v>
      </c>
      <c r="C33568" s="572">
        <v>450</v>
      </c>
    </row>
    <row r="33569" spans="1:3">
      <c r="A33569" s="571" t="s">
        <v>698</v>
      </c>
      <c r="B33569" s="572">
        <v>63</v>
      </c>
      <c r="C33569" s="572">
        <v>478</v>
      </c>
    </row>
    <row r="33570" spans="1:3">
      <c r="A33570" s="571" t="s">
        <v>698</v>
      </c>
      <c r="B33570" s="572">
        <v>70</v>
      </c>
      <c r="C33570" s="572">
        <v>502</v>
      </c>
    </row>
    <row r="33571" spans="1:3">
      <c r="A33571" s="571" t="s">
        <v>698</v>
      </c>
      <c r="B33571" s="572">
        <v>77</v>
      </c>
      <c r="C33571" s="572">
        <v>522</v>
      </c>
    </row>
    <row r="33572" spans="1:3">
      <c r="A33572" s="571" t="s">
        <v>698</v>
      </c>
      <c r="B33572" s="572">
        <v>84</v>
      </c>
      <c r="C33572" s="572">
        <v>532</v>
      </c>
    </row>
    <row r="33573" spans="1:3">
      <c r="A33573" s="571" t="s">
        <v>685</v>
      </c>
      <c r="B33573" s="572">
        <v>91</v>
      </c>
      <c r="C33573" s="572">
        <v>685.79</v>
      </c>
    </row>
    <row r="33574" spans="1:3">
      <c r="A33574" s="571" t="s">
        <v>684</v>
      </c>
      <c r="B33574" s="572">
        <v>91</v>
      </c>
      <c r="C33574" s="572">
        <v>780.85</v>
      </c>
    </row>
    <row r="33575" spans="1:3">
      <c r="A33575" s="571" t="s">
        <v>683</v>
      </c>
      <c r="B33575" s="572">
        <v>91</v>
      </c>
      <c r="C33575" s="572">
        <v>814.8</v>
      </c>
    </row>
    <row r="33576" spans="1:3">
      <c r="A33576" s="571" t="s">
        <v>682</v>
      </c>
      <c r="B33576" s="572">
        <v>91</v>
      </c>
      <c r="C33576" s="572">
        <v>679</v>
      </c>
    </row>
    <row r="33577" spans="1:3">
      <c r="A33577" s="571" t="s">
        <v>681</v>
      </c>
      <c r="B33577" s="572">
        <v>91</v>
      </c>
      <c r="C33577" s="572">
        <v>664.06200000000001</v>
      </c>
    </row>
    <row r="33578" spans="1:3">
      <c r="A33578" s="571" t="s">
        <v>680</v>
      </c>
      <c r="B33578" s="572">
        <v>91</v>
      </c>
      <c r="C33578" s="572">
        <v>675.60500000000002</v>
      </c>
    </row>
    <row r="33579" spans="1:3">
      <c r="A33579" s="571" t="s">
        <v>679</v>
      </c>
      <c r="B33579" s="572">
        <v>91</v>
      </c>
      <c r="C33579" s="572">
        <v>672.21</v>
      </c>
    </row>
    <row r="33580" spans="1:3">
      <c r="A33580" s="571" t="s">
        <v>678</v>
      </c>
      <c r="B33580" s="572">
        <v>91</v>
      </c>
      <c r="C33580" s="572">
        <v>641.65499999999997</v>
      </c>
    </row>
    <row r="33581" spans="1:3">
      <c r="A33581" s="571" t="s">
        <v>677</v>
      </c>
      <c r="B33581" s="572">
        <v>91</v>
      </c>
      <c r="C33581" s="572">
        <v>665.42</v>
      </c>
    </row>
    <row r="33582" spans="1:3">
      <c r="A33582" s="571" t="s">
        <v>676</v>
      </c>
      <c r="B33582" s="572">
        <v>91</v>
      </c>
      <c r="C33582" s="572">
        <v>751.74</v>
      </c>
    </row>
    <row r="33583" spans="1:3">
      <c r="A33583" s="571" t="s">
        <v>675</v>
      </c>
      <c r="B33583" s="572">
        <v>91</v>
      </c>
      <c r="C33583" s="572">
        <v>832.81</v>
      </c>
    </row>
    <row r="33584" spans="1:3">
      <c r="A33584" s="571" t="s">
        <v>674</v>
      </c>
      <c r="B33584" s="572">
        <v>91</v>
      </c>
      <c r="C33584" s="572">
        <v>847.55</v>
      </c>
    </row>
    <row r="33585" spans="1:3">
      <c r="A33585" s="571" t="s">
        <v>673</v>
      </c>
      <c r="B33585" s="572">
        <v>91</v>
      </c>
      <c r="C33585" s="572">
        <v>773.85</v>
      </c>
    </row>
    <row r="33586" spans="1:3">
      <c r="A33586" s="571" t="s">
        <v>672</v>
      </c>
      <c r="B33586" s="572">
        <v>91</v>
      </c>
      <c r="C33586" s="572">
        <v>737</v>
      </c>
    </row>
    <row r="33587" spans="1:3">
      <c r="A33587" s="571" t="s">
        <v>671</v>
      </c>
      <c r="B33587" s="572">
        <v>91</v>
      </c>
      <c r="C33587" s="572">
        <v>744.37</v>
      </c>
    </row>
    <row r="33588" spans="1:3">
      <c r="A33588" s="571" t="s">
        <v>670</v>
      </c>
      <c r="B33588" s="572">
        <v>91</v>
      </c>
      <c r="C33588" s="572">
        <v>681.72500000000002</v>
      </c>
    </row>
    <row r="33589" spans="1:3">
      <c r="A33589" s="571" t="s">
        <v>669</v>
      </c>
      <c r="B33589" s="572">
        <v>91</v>
      </c>
      <c r="C33589" s="572">
        <v>729.63</v>
      </c>
    </row>
    <row r="33590" spans="1:3">
      <c r="A33590" s="571" t="s">
        <v>668</v>
      </c>
      <c r="B33590" s="572">
        <v>91</v>
      </c>
      <c r="C33590" s="572">
        <v>674.35500000000002</v>
      </c>
    </row>
    <row r="33591" spans="1:3">
      <c r="A33591" s="571" t="s">
        <v>667</v>
      </c>
      <c r="B33591" s="572">
        <v>91</v>
      </c>
      <c r="C33591" s="572">
        <v>560.67499999999995</v>
      </c>
    </row>
    <row r="33592" spans="1:3">
      <c r="A33592" s="571" t="s">
        <v>666</v>
      </c>
      <c r="B33592" s="572">
        <v>91</v>
      </c>
      <c r="C33592" s="572">
        <v>589.11900000000003</v>
      </c>
    </row>
    <row r="33593" spans="1:3">
      <c r="A33593" s="571" t="s">
        <v>665</v>
      </c>
      <c r="B33593" s="572">
        <v>91</v>
      </c>
      <c r="C33593" s="572">
        <v>629.04999999999995</v>
      </c>
    </row>
    <row r="33594" spans="1:3">
      <c r="A33594" s="571" t="s">
        <v>664</v>
      </c>
      <c r="B33594" s="572">
        <v>91</v>
      </c>
      <c r="C33594" s="572">
        <v>519.65</v>
      </c>
    </row>
    <row r="33595" spans="1:3">
      <c r="A33595" s="571" t="s">
        <v>663</v>
      </c>
      <c r="B33595" s="572">
        <v>91</v>
      </c>
      <c r="C33595" s="572">
        <v>530.59</v>
      </c>
    </row>
    <row r="33596" spans="1:3">
      <c r="A33596" s="571" t="s">
        <v>662</v>
      </c>
      <c r="B33596" s="572">
        <v>91</v>
      </c>
      <c r="C33596" s="572">
        <v>545.90599999999995</v>
      </c>
    </row>
    <row r="33597" spans="1:3">
      <c r="A33597" s="571" t="s">
        <v>661</v>
      </c>
      <c r="B33597" s="572">
        <v>91</v>
      </c>
      <c r="C33597" s="572">
        <v>567.23900000000003</v>
      </c>
    </row>
    <row r="33598" spans="1:3">
      <c r="A33598" s="571" t="s">
        <v>660</v>
      </c>
      <c r="B33598" s="572">
        <v>91</v>
      </c>
      <c r="C33598" s="572">
        <v>528.40200000000004</v>
      </c>
    </row>
    <row r="33599" spans="1:3">
      <c r="A33599" s="571" t="s">
        <v>659</v>
      </c>
      <c r="B33599" s="572">
        <v>91</v>
      </c>
      <c r="C33599" s="572">
        <v>599.51199999999994</v>
      </c>
    </row>
    <row r="33600" spans="1:3">
      <c r="A33600" s="571" t="s">
        <v>658</v>
      </c>
      <c r="B33600" s="572">
        <v>91</v>
      </c>
      <c r="C33600" s="572">
        <v>511.54599999999999</v>
      </c>
    </row>
    <row r="33601" spans="1:3">
      <c r="A33601" s="571" t="s">
        <v>657</v>
      </c>
      <c r="B33601" s="572">
        <v>91</v>
      </c>
      <c r="C33601" s="572">
        <v>666.12</v>
      </c>
    </row>
    <row r="33602" spans="1:3">
      <c r="A33602" s="571" t="s">
        <v>656</v>
      </c>
      <c r="B33602" s="572">
        <v>91</v>
      </c>
      <c r="C33602" s="572">
        <v>670.39</v>
      </c>
    </row>
    <row r="33603" spans="1:3">
      <c r="A33603" s="571" t="s">
        <v>655</v>
      </c>
      <c r="B33603" s="572">
        <v>91</v>
      </c>
      <c r="C33603" s="572">
        <v>529.48</v>
      </c>
    </row>
    <row r="33604" spans="1:3">
      <c r="A33604" s="571" t="s">
        <v>654</v>
      </c>
      <c r="B33604" s="572">
        <v>91</v>
      </c>
      <c r="C33604" s="572">
        <v>531.61500000000001</v>
      </c>
    </row>
    <row r="33605" spans="1:3">
      <c r="A33605" s="571" t="s">
        <v>653</v>
      </c>
      <c r="B33605" s="572">
        <v>91</v>
      </c>
      <c r="C33605" s="572">
        <v>511.54599999999999</v>
      </c>
    </row>
    <row r="33606" spans="1:3">
      <c r="A33606" s="571" t="s">
        <v>652</v>
      </c>
      <c r="B33606" s="572">
        <v>91</v>
      </c>
      <c r="C33606" s="572">
        <v>488.91500000000002</v>
      </c>
    </row>
    <row r="33607" spans="1:3">
      <c r="A33607" s="571" t="s">
        <v>651</v>
      </c>
      <c r="B33607" s="572">
        <v>91</v>
      </c>
      <c r="C33607" s="572">
        <v>656.29899999999998</v>
      </c>
    </row>
    <row r="33608" spans="1:3">
      <c r="A33608" s="571" t="s">
        <v>650</v>
      </c>
      <c r="B33608" s="572">
        <v>91</v>
      </c>
      <c r="C33608" s="572">
        <v>488.91500000000002</v>
      </c>
    </row>
    <row r="33609" spans="1:3">
      <c r="A33609" s="571" t="s">
        <v>649</v>
      </c>
      <c r="B33609" s="572">
        <v>0</v>
      </c>
      <c r="C33609" s="572">
        <v>0</v>
      </c>
    </row>
    <row r="33610" spans="1:3">
      <c r="A33610" s="571" t="s">
        <v>649</v>
      </c>
      <c r="B33610" s="572">
        <v>1</v>
      </c>
      <c r="C33610" s="572">
        <v>20</v>
      </c>
    </row>
    <row r="33611" spans="1:3">
      <c r="A33611" s="571" t="s">
        <v>649</v>
      </c>
      <c r="B33611" s="572">
        <v>3</v>
      </c>
      <c r="C33611" s="572">
        <v>80</v>
      </c>
    </row>
    <row r="33612" spans="1:3">
      <c r="A33612" s="571" t="s">
        <v>649</v>
      </c>
      <c r="B33612" s="572">
        <v>7</v>
      </c>
      <c r="C33612" s="572">
        <v>210</v>
      </c>
    </row>
    <row r="33613" spans="1:3">
      <c r="A33613" s="571" t="s">
        <v>649</v>
      </c>
      <c r="B33613" s="572">
        <v>14</v>
      </c>
      <c r="C33613" s="572">
        <v>300</v>
      </c>
    </row>
    <row r="33614" spans="1:3">
      <c r="A33614" s="571" t="s">
        <v>649</v>
      </c>
      <c r="B33614" s="572">
        <v>21</v>
      </c>
      <c r="C33614" s="572">
        <v>380</v>
      </c>
    </row>
    <row r="33615" spans="1:3">
      <c r="A33615" s="571" t="s">
        <v>649</v>
      </c>
      <c r="B33615" s="572">
        <v>28</v>
      </c>
      <c r="C33615" s="572">
        <v>460</v>
      </c>
    </row>
    <row r="33616" spans="1:3">
      <c r="A33616" s="571" t="s">
        <v>649</v>
      </c>
      <c r="B33616" s="572">
        <v>56</v>
      </c>
      <c r="C33616" s="572">
        <v>710</v>
      </c>
    </row>
    <row r="33617" spans="1:3">
      <c r="A33617" s="571" t="s">
        <v>649</v>
      </c>
      <c r="B33617" s="572">
        <v>91</v>
      </c>
      <c r="C33617" s="572">
        <v>780</v>
      </c>
    </row>
    <row r="33618" spans="1:3">
      <c r="A33618" s="573" t="s">
        <v>649</v>
      </c>
      <c r="B33618" s="574">
        <v>180</v>
      </c>
      <c r="C33618" s="574">
        <v>870</v>
      </c>
    </row>
    <row r="33619" spans="1:3">
      <c r="A33619" s="571" t="s">
        <v>648</v>
      </c>
      <c r="B33619" s="572">
        <v>0</v>
      </c>
      <c r="C33619" s="572">
        <v>0</v>
      </c>
    </row>
    <row r="33620" spans="1:3">
      <c r="A33620" s="571" t="s">
        <v>648</v>
      </c>
      <c r="B33620" s="572">
        <v>1</v>
      </c>
      <c r="C33620" s="572">
        <v>10</v>
      </c>
    </row>
    <row r="33621" spans="1:3">
      <c r="A33621" s="571" t="s">
        <v>648</v>
      </c>
      <c r="B33621" s="572">
        <v>3</v>
      </c>
      <c r="C33621" s="572">
        <v>50</v>
      </c>
    </row>
    <row r="33622" spans="1:3">
      <c r="A33622" s="571" t="s">
        <v>648</v>
      </c>
      <c r="B33622" s="572">
        <v>7</v>
      </c>
      <c r="C33622" s="572">
        <v>130</v>
      </c>
    </row>
    <row r="33623" spans="1:3">
      <c r="A33623" s="571" t="s">
        <v>648</v>
      </c>
      <c r="B33623" s="572">
        <v>14</v>
      </c>
      <c r="C33623" s="572">
        <v>190</v>
      </c>
    </row>
    <row r="33624" spans="1:3">
      <c r="A33624" s="571" t="s">
        <v>648</v>
      </c>
      <c r="B33624" s="572">
        <v>21</v>
      </c>
      <c r="C33624" s="572">
        <v>250</v>
      </c>
    </row>
    <row r="33625" spans="1:3">
      <c r="A33625" s="571" t="s">
        <v>648</v>
      </c>
      <c r="B33625" s="572">
        <v>28</v>
      </c>
      <c r="C33625" s="572">
        <v>290</v>
      </c>
    </row>
    <row r="33626" spans="1:3">
      <c r="A33626" s="571" t="s">
        <v>648</v>
      </c>
      <c r="B33626" s="572">
        <v>56</v>
      </c>
      <c r="C33626" s="572">
        <v>460</v>
      </c>
    </row>
    <row r="33627" spans="1:3">
      <c r="A33627" s="571" t="s">
        <v>648</v>
      </c>
      <c r="B33627" s="572">
        <v>91</v>
      </c>
      <c r="C33627" s="572">
        <v>510</v>
      </c>
    </row>
    <row r="33628" spans="1:3">
      <c r="A33628" s="573" t="s">
        <v>648</v>
      </c>
      <c r="B33628" s="574">
        <v>180</v>
      </c>
      <c r="C33628" s="574">
        <v>590</v>
      </c>
    </row>
    <row r="33629" spans="1:3">
      <c r="A33629" s="571" t="s">
        <v>647</v>
      </c>
      <c r="B33629" s="572">
        <v>91</v>
      </c>
      <c r="C33629" s="572">
        <v>495</v>
      </c>
    </row>
    <row r="33630" spans="1:3">
      <c r="A33630" s="571" t="s">
        <v>646</v>
      </c>
      <c r="B33630" s="572">
        <v>91</v>
      </c>
      <c r="C33630" s="572">
        <v>580</v>
      </c>
    </row>
    <row r="33631" spans="1:3">
      <c r="A33631" s="571" t="s">
        <v>645</v>
      </c>
      <c r="B33631" s="572">
        <v>91</v>
      </c>
      <c r="C33631" s="572">
        <v>653</v>
      </c>
    </row>
    <row r="33632" spans="1:3">
      <c r="A33632" s="571" t="s">
        <v>644</v>
      </c>
      <c r="B33632" s="572">
        <v>91</v>
      </c>
      <c r="C33632" s="572">
        <v>614</v>
      </c>
    </row>
    <row r="33633" spans="1:3">
      <c r="A33633" s="571" t="s">
        <v>643</v>
      </c>
      <c r="B33633" s="572">
        <v>91</v>
      </c>
      <c r="C33633" s="572">
        <v>570</v>
      </c>
    </row>
    <row r="33634" spans="1:3">
      <c r="A33634" s="571" t="s">
        <v>642</v>
      </c>
      <c r="B33634" s="572">
        <v>91</v>
      </c>
      <c r="C33634" s="572">
        <v>554</v>
      </c>
    </row>
    <row r="33635" spans="1:3">
      <c r="A33635" s="571" t="s">
        <v>641</v>
      </c>
      <c r="B33635" s="572">
        <v>91</v>
      </c>
      <c r="C33635" s="572">
        <v>634</v>
      </c>
    </row>
    <row r="33636" spans="1:3">
      <c r="A33636" s="571" t="s">
        <v>640</v>
      </c>
      <c r="B33636" s="572">
        <v>91</v>
      </c>
      <c r="C33636" s="572">
        <v>540</v>
      </c>
    </row>
    <row r="33637" spans="1:3">
      <c r="A33637" s="571" t="s">
        <v>639</v>
      </c>
      <c r="B33637" s="572">
        <v>91</v>
      </c>
      <c r="C33637" s="572">
        <v>600</v>
      </c>
    </row>
    <row r="33638" spans="1:3">
      <c r="A33638" s="571" t="s">
        <v>638</v>
      </c>
      <c r="B33638" s="572">
        <v>91</v>
      </c>
      <c r="C33638" s="572">
        <v>475</v>
      </c>
    </row>
    <row r="33639" spans="1:3">
      <c r="A33639" s="571" t="s">
        <v>637</v>
      </c>
      <c r="B33639" s="572">
        <v>91</v>
      </c>
      <c r="C33639" s="572">
        <v>512</v>
      </c>
    </row>
    <row r="33640" spans="1:3">
      <c r="A33640" s="571" t="s">
        <v>636</v>
      </c>
      <c r="B33640" s="572">
        <v>91</v>
      </c>
      <c r="C33640" s="572">
        <v>624</v>
      </c>
    </row>
    <row r="33641" spans="1:3">
      <c r="A33641" s="571" t="s">
        <v>635</v>
      </c>
      <c r="B33641" s="572">
        <v>91</v>
      </c>
      <c r="C33641" s="572">
        <v>600</v>
      </c>
    </row>
    <row r="33642" spans="1:3">
      <c r="A33642" s="571" t="s">
        <v>634</v>
      </c>
      <c r="B33642" s="572">
        <v>91</v>
      </c>
      <c r="C33642" s="572">
        <v>540</v>
      </c>
    </row>
    <row r="33643" spans="1:3">
      <c r="A33643" s="571" t="s">
        <v>633</v>
      </c>
      <c r="B33643" s="572">
        <v>91</v>
      </c>
      <c r="C33643" s="572">
        <v>635</v>
      </c>
    </row>
    <row r="33644" spans="1:3">
      <c r="A33644" s="571" t="s">
        <v>632</v>
      </c>
      <c r="B33644" s="572">
        <v>91</v>
      </c>
      <c r="C33644" s="572">
        <v>523</v>
      </c>
    </row>
    <row r="33645" spans="1:3">
      <c r="A33645" s="571" t="s">
        <v>631</v>
      </c>
      <c r="B33645" s="572">
        <v>0</v>
      </c>
      <c r="C33645" s="572">
        <v>0</v>
      </c>
    </row>
    <row r="33646" spans="1:3">
      <c r="A33646" s="571" t="s">
        <v>631</v>
      </c>
      <c r="B33646" s="572">
        <v>3</v>
      </c>
      <c r="C33646" s="572">
        <v>186</v>
      </c>
    </row>
    <row r="33647" spans="1:3">
      <c r="A33647" s="571" t="s">
        <v>631</v>
      </c>
      <c r="B33647" s="572">
        <v>7</v>
      </c>
      <c r="C33647" s="572">
        <v>332</v>
      </c>
    </row>
    <row r="33648" spans="1:3">
      <c r="A33648" s="571" t="s">
        <v>631</v>
      </c>
      <c r="B33648" s="572">
        <v>14</v>
      </c>
      <c r="C33648" s="572">
        <v>504</v>
      </c>
    </row>
    <row r="33649" spans="1:3">
      <c r="A33649" s="571" t="s">
        <v>631</v>
      </c>
      <c r="B33649" s="572">
        <v>21</v>
      </c>
      <c r="C33649" s="572">
        <v>606</v>
      </c>
    </row>
    <row r="33650" spans="1:3">
      <c r="A33650" s="571" t="s">
        <v>631</v>
      </c>
      <c r="B33650" s="572">
        <v>28</v>
      </c>
      <c r="C33650" s="572">
        <v>674</v>
      </c>
    </row>
    <row r="33651" spans="1:3">
      <c r="A33651" s="571" t="s">
        <v>631</v>
      </c>
      <c r="B33651" s="572">
        <v>35</v>
      </c>
      <c r="C33651" s="572">
        <v>690</v>
      </c>
    </row>
    <row r="33652" spans="1:3">
      <c r="A33652" s="571" t="s">
        <v>631</v>
      </c>
      <c r="B33652" s="572">
        <v>42</v>
      </c>
      <c r="C33652" s="572">
        <v>730</v>
      </c>
    </row>
    <row r="33653" spans="1:3">
      <c r="A33653" s="571" t="s">
        <v>631</v>
      </c>
      <c r="B33653" s="572">
        <v>56</v>
      </c>
      <c r="C33653" s="572">
        <v>770</v>
      </c>
    </row>
    <row r="33654" spans="1:3">
      <c r="A33654" s="571" t="s">
        <v>631</v>
      </c>
      <c r="B33654" s="572">
        <v>70</v>
      </c>
      <c r="C33654" s="572">
        <v>790</v>
      </c>
    </row>
    <row r="33655" spans="1:3">
      <c r="A33655" s="571" t="s">
        <v>631</v>
      </c>
      <c r="B33655" s="572">
        <v>91</v>
      </c>
      <c r="C33655" s="572">
        <v>814</v>
      </c>
    </row>
    <row r="33656" spans="1:3">
      <c r="A33656" s="571" t="s">
        <v>630</v>
      </c>
      <c r="B33656" s="572">
        <v>0</v>
      </c>
      <c r="C33656" s="572">
        <v>0</v>
      </c>
    </row>
    <row r="33657" spans="1:3">
      <c r="A33657" s="571" t="s">
        <v>630</v>
      </c>
      <c r="B33657" s="572">
        <v>3</v>
      </c>
      <c r="C33657" s="572">
        <v>113</v>
      </c>
    </row>
    <row r="33658" spans="1:3">
      <c r="A33658" s="571" t="s">
        <v>630</v>
      </c>
      <c r="B33658" s="572">
        <v>7</v>
      </c>
      <c r="C33658" s="572">
        <v>213</v>
      </c>
    </row>
    <row r="33659" spans="1:3">
      <c r="A33659" s="571" t="s">
        <v>630</v>
      </c>
      <c r="B33659" s="572">
        <v>14</v>
      </c>
      <c r="C33659" s="572">
        <v>310</v>
      </c>
    </row>
    <row r="33660" spans="1:3">
      <c r="A33660" s="571" t="s">
        <v>630</v>
      </c>
      <c r="B33660" s="572">
        <v>21</v>
      </c>
      <c r="C33660" s="572">
        <v>363</v>
      </c>
    </row>
    <row r="33661" spans="1:3">
      <c r="A33661" s="571" t="s">
        <v>630</v>
      </c>
      <c r="B33661" s="572">
        <v>28</v>
      </c>
      <c r="C33661" s="572">
        <v>390</v>
      </c>
    </row>
    <row r="33662" spans="1:3">
      <c r="A33662" s="571" t="s">
        <v>630</v>
      </c>
      <c r="B33662" s="572">
        <v>35</v>
      </c>
      <c r="C33662" s="572">
        <v>410</v>
      </c>
    </row>
    <row r="33663" spans="1:3">
      <c r="A33663" s="571" t="s">
        <v>630</v>
      </c>
      <c r="B33663" s="572">
        <v>42</v>
      </c>
      <c r="C33663" s="572">
        <v>427</v>
      </c>
    </row>
    <row r="33664" spans="1:3">
      <c r="A33664" s="571" t="s">
        <v>630</v>
      </c>
      <c r="B33664" s="572">
        <v>56</v>
      </c>
      <c r="C33664" s="572">
        <v>444</v>
      </c>
    </row>
    <row r="33665" spans="1:3">
      <c r="A33665" s="571" t="s">
        <v>630</v>
      </c>
      <c r="B33665" s="572">
        <v>70</v>
      </c>
      <c r="C33665" s="572">
        <v>460</v>
      </c>
    </row>
    <row r="33666" spans="1:3">
      <c r="A33666" s="571" t="s">
        <v>630</v>
      </c>
      <c r="B33666" s="572">
        <v>91</v>
      </c>
      <c r="C33666" s="572">
        <v>475</v>
      </c>
    </row>
    <row r="33667" spans="1:3">
      <c r="A33667" s="571" t="s">
        <v>629</v>
      </c>
      <c r="B33667" s="572">
        <v>0</v>
      </c>
      <c r="C33667" s="572">
        <v>0</v>
      </c>
    </row>
    <row r="33668" spans="1:3">
      <c r="A33668" s="571" t="s">
        <v>629</v>
      </c>
      <c r="B33668" s="572">
        <v>3</v>
      </c>
      <c r="C33668" s="572">
        <v>113</v>
      </c>
    </row>
    <row r="33669" spans="1:3">
      <c r="A33669" s="571" t="s">
        <v>629</v>
      </c>
      <c r="B33669" s="572">
        <v>7</v>
      </c>
      <c r="C33669" s="572">
        <v>200</v>
      </c>
    </row>
    <row r="33670" spans="1:3">
      <c r="A33670" s="571" t="s">
        <v>629</v>
      </c>
      <c r="B33670" s="572">
        <v>14</v>
      </c>
      <c r="C33670" s="572">
        <v>260</v>
      </c>
    </row>
    <row r="33671" spans="1:3">
      <c r="A33671" s="571" t="s">
        <v>629</v>
      </c>
      <c r="B33671" s="572">
        <v>21</v>
      </c>
      <c r="C33671" s="572">
        <v>303</v>
      </c>
    </row>
    <row r="33672" spans="1:3">
      <c r="A33672" s="571" t="s">
        <v>629</v>
      </c>
      <c r="B33672" s="572">
        <v>28</v>
      </c>
      <c r="C33672" s="572">
        <v>327</v>
      </c>
    </row>
    <row r="33673" spans="1:3">
      <c r="A33673" s="571" t="s">
        <v>629</v>
      </c>
      <c r="B33673" s="572">
        <v>35</v>
      </c>
      <c r="C33673" s="572">
        <v>342</v>
      </c>
    </row>
    <row r="33674" spans="1:3">
      <c r="A33674" s="571" t="s">
        <v>629</v>
      </c>
      <c r="B33674" s="572">
        <v>42</v>
      </c>
      <c r="C33674" s="572">
        <v>357</v>
      </c>
    </row>
    <row r="33675" spans="1:3">
      <c r="A33675" s="571" t="s">
        <v>629</v>
      </c>
      <c r="B33675" s="572">
        <v>56</v>
      </c>
      <c r="C33675" s="572">
        <v>371</v>
      </c>
    </row>
    <row r="33676" spans="1:3">
      <c r="A33676" s="571" t="s">
        <v>629</v>
      </c>
      <c r="B33676" s="572">
        <v>70</v>
      </c>
      <c r="C33676" s="572">
        <v>386</v>
      </c>
    </row>
    <row r="33677" spans="1:3">
      <c r="A33677" s="571" t="s">
        <v>629</v>
      </c>
      <c r="B33677" s="572">
        <v>91</v>
      </c>
      <c r="C33677" s="572">
        <v>399</v>
      </c>
    </row>
    <row r="33678" spans="1:3">
      <c r="A33678" s="571" t="s">
        <v>628</v>
      </c>
      <c r="B33678" s="572">
        <v>0</v>
      </c>
      <c r="C33678" s="572">
        <v>0</v>
      </c>
    </row>
    <row r="33679" spans="1:3">
      <c r="A33679" s="571" t="s">
        <v>628</v>
      </c>
      <c r="B33679" s="572">
        <v>3</v>
      </c>
      <c r="C33679" s="572">
        <v>280</v>
      </c>
    </row>
    <row r="33680" spans="1:3">
      <c r="A33680" s="571" t="s">
        <v>628</v>
      </c>
      <c r="B33680" s="572">
        <v>7</v>
      </c>
      <c r="C33680" s="572">
        <v>398</v>
      </c>
    </row>
    <row r="33681" spans="1:3">
      <c r="A33681" s="571" t="s">
        <v>628</v>
      </c>
      <c r="B33681" s="572">
        <v>14</v>
      </c>
      <c r="C33681" s="572">
        <v>511</v>
      </c>
    </row>
    <row r="33682" spans="1:3">
      <c r="A33682" s="571" t="s">
        <v>628</v>
      </c>
      <c r="B33682" s="572">
        <v>21</v>
      </c>
      <c r="C33682" s="572">
        <v>568</v>
      </c>
    </row>
    <row r="33683" spans="1:3">
      <c r="A33683" s="571" t="s">
        <v>628</v>
      </c>
      <c r="B33683" s="572">
        <v>28</v>
      </c>
      <c r="C33683" s="572">
        <v>618</v>
      </c>
    </row>
    <row r="33684" spans="1:3">
      <c r="A33684" s="571" t="s">
        <v>628</v>
      </c>
      <c r="B33684" s="572">
        <v>35</v>
      </c>
      <c r="C33684" s="572">
        <v>627</v>
      </c>
    </row>
    <row r="33685" spans="1:3">
      <c r="A33685" s="571" t="s">
        <v>628</v>
      </c>
      <c r="B33685" s="572">
        <v>42</v>
      </c>
      <c r="C33685" s="572">
        <v>655</v>
      </c>
    </row>
    <row r="33686" spans="1:3">
      <c r="A33686" s="571" t="s">
        <v>628</v>
      </c>
      <c r="B33686" s="572">
        <v>56</v>
      </c>
      <c r="C33686" s="572">
        <v>686</v>
      </c>
    </row>
    <row r="33687" spans="1:3">
      <c r="A33687" s="571" t="s">
        <v>628</v>
      </c>
      <c r="B33687" s="572">
        <v>70</v>
      </c>
      <c r="C33687" s="572">
        <v>707</v>
      </c>
    </row>
    <row r="33688" spans="1:3">
      <c r="A33688" s="571" t="s">
        <v>628</v>
      </c>
      <c r="B33688" s="572">
        <v>91</v>
      </c>
      <c r="C33688" s="572">
        <v>720</v>
      </c>
    </row>
    <row r="33689" spans="1:3">
      <c r="A33689" s="571" t="s">
        <v>627</v>
      </c>
      <c r="B33689" s="572">
        <v>0</v>
      </c>
      <c r="C33689" s="572">
        <v>0</v>
      </c>
    </row>
    <row r="33690" spans="1:3">
      <c r="A33690" s="571" t="s">
        <v>627</v>
      </c>
      <c r="B33690" s="572">
        <v>3</v>
      </c>
      <c r="C33690" s="572">
        <v>100</v>
      </c>
    </row>
    <row r="33691" spans="1:3">
      <c r="A33691" s="571" t="s">
        <v>627</v>
      </c>
      <c r="B33691" s="572">
        <v>7</v>
      </c>
      <c r="C33691" s="572">
        <v>129</v>
      </c>
    </row>
    <row r="33692" spans="1:3">
      <c r="A33692" s="571" t="s">
        <v>627</v>
      </c>
      <c r="B33692" s="572">
        <v>14</v>
      </c>
      <c r="C33692" s="572">
        <v>155</v>
      </c>
    </row>
    <row r="33693" spans="1:3">
      <c r="A33693" s="571" t="s">
        <v>627</v>
      </c>
      <c r="B33693" s="572">
        <v>21</v>
      </c>
      <c r="C33693" s="572">
        <v>170</v>
      </c>
    </row>
    <row r="33694" spans="1:3">
      <c r="A33694" s="571" t="s">
        <v>627</v>
      </c>
      <c r="B33694" s="572">
        <v>28</v>
      </c>
      <c r="C33694" s="572">
        <v>180</v>
      </c>
    </row>
    <row r="33695" spans="1:3">
      <c r="A33695" s="571" t="s">
        <v>627</v>
      </c>
      <c r="B33695" s="572">
        <v>35</v>
      </c>
      <c r="C33695" s="572">
        <v>185</v>
      </c>
    </row>
    <row r="33696" spans="1:3">
      <c r="A33696" s="571" t="s">
        <v>627</v>
      </c>
      <c r="B33696" s="572">
        <v>42</v>
      </c>
      <c r="C33696" s="572">
        <v>188</v>
      </c>
    </row>
    <row r="33697" spans="1:3">
      <c r="A33697" s="571" t="s">
        <v>627</v>
      </c>
      <c r="B33697" s="572">
        <v>56</v>
      </c>
      <c r="C33697" s="572">
        <v>184</v>
      </c>
    </row>
    <row r="33698" spans="1:3">
      <c r="A33698" s="571" t="s">
        <v>627</v>
      </c>
      <c r="B33698" s="572">
        <v>70</v>
      </c>
      <c r="C33698" s="572">
        <v>190</v>
      </c>
    </row>
    <row r="33699" spans="1:3">
      <c r="A33699" s="571" t="s">
        <v>627</v>
      </c>
      <c r="B33699" s="572">
        <v>91</v>
      </c>
      <c r="C33699" s="572">
        <v>213</v>
      </c>
    </row>
    <row r="33700" spans="1:3">
      <c r="A33700" s="571" t="s">
        <v>626</v>
      </c>
      <c r="B33700" s="572">
        <v>0</v>
      </c>
      <c r="C33700" s="572">
        <v>0</v>
      </c>
    </row>
    <row r="33701" spans="1:3">
      <c r="A33701" s="571" t="s">
        <v>626</v>
      </c>
      <c r="B33701" s="572">
        <v>3</v>
      </c>
      <c r="C33701" s="572">
        <v>122</v>
      </c>
    </row>
    <row r="33702" spans="1:3">
      <c r="A33702" s="571" t="s">
        <v>626</v>
      </c>
      <c r="B33702" s="572">
        <v>7</v>
      </c>
      <c r="C33702" s="572">
        <v>152</v>
      </c>
    </row>
    <row r="33703" spans="1:3">
      <c r="A33703" s="571" t="s">
        <v>626</v>
      </c>
      <c r="B33703" s="572">
        <v>14</v>
      </c>
      <c r="C33703" s="572">
        <v>193</v>
      </c>
    </row>
    <row r="33704" spans="1:3">
      <c r="A33704" s="571" t="s">
        <v>626</v>
      </c>
      <c r="B33704" s="572">
        <v>21</v>
      </c>
      <c r="C33704" s="572">
        <v>213</v>
      </c>
    </row>
    <row r="33705" spans="1:3">
      <c r="A33705" s="571" t="s">
        <v>626</v>
      </c>
      <c r="B33705" s="572">
        <v>28</v>
      </c>
      <c r="C33705" s="572">
        <v>227</v>
      </c>
    </row>
    <row r="33706" spans="1:3">
      <c r="A33706" s="571" t="s">
        <v>626</v>
      </c>
      <c r="B33706" s="572">
        <v>35</v>
      </c>
      <c r="C33706" s="572">
        <v>230</v>
      </c>
    </row>
    <row r="33707" spans="1:3">
      <c r="A33707" s="571" t="s">
        <v>626</v>
      </c>
      <c r="B33707" s="572">
        <v>42</v>
      </c>
      <c r="C33707" s="572">
        <v>237</v>
      </c>
    </row>
    <row r="33708" spans="1:3">
      <c r="A33708" s="571" t="s">
        <v>626</v>
      </c>
      <c r="B33708" s="572">
        <v>56</v>
      </c>
      <c r="C33708" s="572">
        <v>237</v>
      </c>
    </row>
    <row r="33709" spans="1:3">
      <c r="A33709" s="571" t="s">
        <v>626</v>
      </c>
      <c r="B33709" s="572">
        <v>70</v>
      </c>
      <c r="C33709" s="572">
        <v>237</v>
      </c>
    </row>
    <row r="33710" spans="1:3">
      <c r="A33710" s="571" t="s">
        <v>626</v>
      </c>
      <c r="B33710" s="572">
        <v>91</v>
      </c>
      <c r="C33710" s="572">
        <v>238</v>
      </c>
    </row>
    <row r="33711" spans="1:3">
      <c r="A33711" s="571" t="s">
        <v>625</v>
      </c>
      <c r="B33711" s="572">
        <v>0</v>
      </c>
      <c r="C33711" s="572">
        <v>0</v>
      </c>
    </row>
    <row r="33712" spans="1:3">
      <c r="A33712" s="571" t="s">
        <v>625</v>
      </c>
      <c r="B33712" s="572">
        <v>3</v>
      </c>
      <c r="C33712" s="572">
        <v>113</v>
      </c>
    </row>
    <row r="33713" spans="1:3">
      <c r="A33713" s="571" t="s">
        <v>625</v>
      </c>
      <c r="B33713" s="572">
        <v>7</v>
      </c>
      <c r="C33713" s="572">
        <v>196</v>
      </c>
    </row>
    <row r="33714" spans="1:3">
      <c r="A33714" s="571" t="s">
        <v>625</v>
      </c>
      <c r="B33714" s="572">
        <v>14</v>
      </c>
      <c r="C33714" s="572">
        <v>260</v>
      </c>
    </row>
    <row r="33715" spans="1:3">
      <c r="A33715" s="571" t="s">
        <v>625</v>
      </c>
      <c r="B33715" s="572">
        <v>21</v>
      </c>
      <c r="C33715" s="572">
        <v>303</v>
      </c>
    </row>
    <row r="33716" spans="1:3">
      <c r="A33716" s="571" t="s">
        <v>625</v>
      </c>
      <c r="B33716" s="572">
        <v>28</v>
      </c>
      <c r="C33716" s="572">
        <v>327</v>
      </c>
    </row>
    <row r="33717" spans="1:3">
      <c r="A33717" s="571" t="s">
        <v>625</v>
      </c>
      <c r="B33717" s="572">
        <v>35</v>
      </c>
      <c r="C33717" s="572">
        <v>345</v>
      </c>
    </row>
    <row r="33718" spans="1:3">
      <c r="A33718" s="571" t="s">
        <v>625</v>
      </c>
      <c r="B33718" s="572">
        <v>42</v>
      </c>
      <c r="C33718" s="572">
        <v>360</v>
      </c>
    </row>
    <row r="33719" spans="1:3">
      <c r="A33719" s="571" t="s">
        <v>625</v>
      </c>
      <c r="B33719" s="572">
        <v>56</v>
      </c>
      <c r="C33719" s="572">
        <v>378</v>
      </c>
    </row>
    <row r="33720" spans="1:3">
      <c r="A33720" s="571" t="s">
        <v>625</v>
      </c>
      <c r="B33720" s="572">
        <v>70</v>
      </c>
      <c r="C33720" s="572">
        <v>389</v>
      </c>
    </row>
    <row r="33721" spans="1:3">
      <c r="A33721" s="571" t="s">
        <v>625</v>
      </c>
      <c r="B33721" s="572">
        <v>91</v>
      </c>
      <c r="C33721" s="572">
        <v>407</v>
      </c>
    </row>
    <row r="33722" spans="1:3">
      <c r="A33722" s="571" t="s">
        <v>624</v>
      </c>
      <c r="B33722" s="572">
        <v>0</v>
      </c>
      <c r="C33722" s="572">
        <v>0</v>
      </c>
    </row>
    <row r="33723" spans="1:3">
      <c r="A33723" s="571" t="s">
        <v>624</v>
      </c>
      <c r="B33723" s="572">
        <v>3</v>
      </c>
      <c r="C33723" s="572">
        <v>192</v>
      </c>
    </row>
    <row r="33724" spans="1:3">
      <c r="A33724" s="571" t="s">
        <v>624</v>
      </c>
      <c r="B33724" s="572">
        <v>7</v>
      </c>
      <c r="C33724" s="572">
        <v>260</v>
      </c>
    </row>
    <row r="33725" spans="1:3">
      <c r="A33725" s="571" t="s">
        <v>624</v>
      </c>
      <c r="B33725" s="572">
        <v>14</v>
      </c>
      <c r="C33725" s="572">
        <v>315</v>
      </c>
    </row>
    <row r="33726" spans="1:3">
      <c r="A33726" s="571" t="s">
        <v>624</v>
      </c>
      <c r="B33726" s="572">
        <v>21</v>
      </c>
      <c r="C33726" s="572">
        <v>348</v>
      </c>
    </row>
    <row r="33727" spans="1:3">
      <c r="A33727" s="571" t="s">
        <v>624</v>
      </c>
      <c r="B33727" s="572">
        <v>28</v>
      </c>
      <c r="C33727" s="572">
        <v>363</v>
      </c>
    </row>
    <row r="33728" spans="1:3">
      <c r="A33728" s="571" t="s">
        <v>624</v>
      </c>
      <c r="B33728" s="572">
        <v>35</v>
      </c>
      <c r="C33728" s="572">
        <v>374</v>
      </c>
    </row>
    <row r="33729" spans="1:3">
      <c r="A33729" s="571" t="s">
        <v>624</v>
      </c>
      <c r="B33729" s="572">
        <v>42</v>
      </c>
      <c r="C33729" s="572">
        <v>384</v>
      </c>
    </row>
    <row r="33730" spans="1:3">
      <c r="A33730" s="571" t="s">
        <v>624</v>
      </c>
      <c r="B33730" s="572">
        <v>56</v>
      </c>
      <c r="C33730" s="572">
        <v>392</v>
      </c>
    </row>
    <row r="33731" spans="1:3">
      <c r="A33731" s="571" t="s">
        <v>624</v>
      </c>
      <c r="B33731" s="572">
        <v>70</v>
      </c>
      <c r="C33731" s="572">
        <v>401</v>
      </c>
    </row>
    <row r="33732" spans="1:3">
      <c r="A33732" s="571" t="s">
        <v>624</v>
      </c>
      <c r="B33732" s="572">
        <v>91</v>
      </c>
      <c r="C33732" s="572">
        <v>414</v>
      </c>
    </row>
    <row r="33733" spans="1:3">
      <c r="A33733" s="571" t="s">
        <v>623</v>
      </c>
      <c r="B33733" s="572">
        <v>0</v>
      </c>
      <c r="C33733" s="572">
        <v>0</v>
      </c>
    </row>
    <row r="33734" spans="1:3">
      <c r="A33734" s="571" t="s">
        <v>623</v>
      </c>
      <c r="B33734" s="572">
        <v>3</v>
      </c>
      <c r="C33734" s="572">
        <v>230</v>
      </c>
    </row>
    <row r="33735" spans="1:3">
      <c r="A33735" s="571" t="s">
        <v>623</v>
      </c>
      <c r="B33735" s="572">
        <v>7</v>
      </c>
      <c r="C33735" s="572">
        <v>290</v>
      </c>
    </row>
    <row r="33736" spans="1:3">
      <c r="A33736" s="571" t="s">
        <v>623</v>
      </c>
      <c r="B33736" s="572">
        <v>14</v>
      </c>
      <c r="C33736" s="572">
        <v>330</v>
      </c>
    </row>
    <row r="33737" spans="1:3">
      <c r="A33737" s="571" t="s">
        <v>623</v>
      </c>
      <c r="B33737" s="572">
        <v>21</v>
      </c>
      <c r="C33737" s="572">
        <v>355</v>
      </c>
    </row>
    <row r="33738" spans="1:3">
      <c r="A33738" s="571" t="s">
        <v>623</v>
      </c>
      <c r="B33738" s="572">
        <v>28</v>
      </c>
      <c r="C33738" s="572">
        <v>370</v>
      </c>
    </row>
    <row r="33739" spans="1:3">
      <c r="A33739" s="571" t="s">
        <v>623</v>
      </c>
      <c r="B33739" s="572">
        <v>35</v>
      </c>
      <c r="C33739" s="572">
        <v>375</v>
      </c>
    </row>
    <row r="33740" spans="1:3">
      <c r="A33740" s="571" t="s">
        <v>623</v>
      </c>
      <c r="B33740" s="572">
        <v>42</v>
      </c>
      <c r="C33740" s="572">
        <v>384</v>
      </c>
    </row>
    <row r="33741" spans="1:3">
      <c r="A33741" s="571" t="s">
        <v>623</v>
      </c>
      <c r="B33741" s="572">
        <v>56</v>
      </c>
      <c r="C33741" s="572">
        <v>390</v>
      </c>
    </row>
    <row r="33742" spans="1:3">
      <c r="A33742" s="571" t="s">
        <v>623</v>
      </c>
      <c r="B33742" s="572">
        <v>70</v>
      </c>
      <c r="C33742" s="572">
        <v>397</v>
      </c>
    </row>
    <row r="33743" spans="1:3">
      <c r="A33743" s="571" t="s">
        <v>623</v>
      </c>
      <c r="B33743" s="572">
        <v>91</v>
      </c>
      <c r="C33743" s="572">
        <v>404</v>
      </c>
    </row>
    <row r="33744" spans="1:3">
      <c r="A33744" s="571" t="s">
        <v>622</v>
      </c>
      <c r="B33744" s="572">
        <v>0</v>
      </c>
      <c r="C33744" s="572">
        <v>0</v>
      </c>
    </row>
    <row r="33745" spans="1:3">
      <c r="A33745" s="571" t="s">
        <v>622</v>
      </c>
      <c r="B33745" s="572">
        <v>3</v>
      </c>
      <c r="C33745" s="572">
        <v>230</v>
      </c>
    </row>
    <row r="33746" spans="1:3">
      <c r="A33746" s="571" t="s">
        <v>622</v>
      </c>
      <c r="B33746" s="572">
        <v>7</v>
      </c>
      <c r="C33746" s="572">
        <v>305</v>
      </c>
    </row>
    <row r="33747" spans="1:3">
      <c r="A33747" s="571" t="s">
        <v>622</v>
      </c>
      <c r="B33747" s="572">
        <v>14</v>
      </c>
      <c r="C33747" s="572">
        <v>336</v>
      </c>
    </row>
    <row r="33748" spans="1:3">
      <c r="A33748" s="571" t="s">
        <v>622</v>
      </c>
      <c r="B33748" s="572">
        <v>21</v>
      </c>
      <c r="C33748" s="572">
        <v>347</v>
      </c>
    </row>
    <row r="33749" spans="1:3">
      <c r="A33749" s="571" t="s">
        <v>622</v>
      </c>
      <c r="B33749" s="572">
        <v>28</v>
      </c>
      <c r="C33749" s="572">
        <v>350</v>
      </c>
    </row>
    <row r="33750" spans="1:3">
      <c r="A33750" s="571" t="s">
        <v>622</v>
      </c>
      <c r="B33750" s="572">
        <v>35</v>
      </c>
      <c r="C33750" s="572">
        <v>351</v>
      </c>
    </row>
    <row r="33751" spans="1:3">
      <c r="A33751" s="571" t="s">
        <v>622</v>
      </c>
      <c r="B33751" s="572">
        <v>42</v>
      </c>
      <c r="C33751" s="572">
        <v>353</v>
      </c>
    </row>
    <row r="33752" spans="1:3">
      <c r="A33752" s="571" t="s">
        <v>622</v>
      </c>
      <c r="B33752" s="572">
        <v>56</v>
      </c>
      <c r="C33752" s="572">
        <v>361</v>
      </c>
    </row>
    <row r="33753" spans="1:3">
      <c r="A33753" s="571" t="s">
        <v>622</v>
      </c>
      <c r="B33753" s="572">
        <v>70</v>
      </c>
      <c r="C33753" s="572">
        <v>367</v>
      </c>
    </row>
    <row r="33754" spans="1:3">
      <c r="A33754" s="571" t="s">
        <v>622</v>
      </c>
      <c r="B33754" s="572">
        <v>91</v>
      </c>
      <c r="C33754" s="572">
        <v>370</v>
      </c>
    </row>
    <row r="33755" spans="1:3">
      <c r="A33755" s="571" t="s">
        <v>621</v>
      </c>
      <c r="B33755" s="572">
        <v>0</v>
      </c>
      <c r="C33755" s="572">
        <v>0</v>
      </c>
    </row>
    <row r="33756" spans="1:3">
      <c r="A33756" s="571" t="s">
        <v>621</v>
      </c>
      <c r="B33756" s="572">
        <v>3</v>
      </c>
      <c r="C33756" s="572">
        <v>192</v>
      </c>
    </row>
    <row r="33757" spans="1:3">
      <c r="A33757" s="571" t="s">
        <v>621</v>
      </c>
      <c r="B33757" s="572">
        <v>7</v>
      </c>
      <c r="C33757" s="572">
        <v>228</v>
      </c>
    </row>
    <row r="33758" spans="1:3">
      <c r="A33758" s="571" t="s">
        <v>621</v>
      </c>
      <c r="B33758" s="572">
        <v>14</v>
      </c>
      <c r="C33758" s="572">
        <v>260</v>
      </c>
    </row>
    <row r="33759" spans="1:3">
      <c r="A33759" s="571" t="s">
        <v>621</v>
      </c>
      <c r="B33759" s="572">
        <v>21</v>
      </c>
      <c r="C33759" s="572">
        <v>273</v>
      </c>
    </row>
    <row r="33760" spans="1:3">
      <c r="A33760" s="571" t="s">
        <v>621</v>
      </c>
      <c r="B33760" s="572">
        <v>28</v>
      </c>
      <c r="C33760" s="572">
        <v>280</v>
      </c>
    </row>
    <row r="33761" spans="1:3">
      <c r="A33761" s="571" t="s">
        <v>621</v>
      </c>
      <c r="B33761" s="572">
        <v>35</v>
      </c>
      <c r="C33761" s="572">
        <v>286</v>
      </c>
    </row>
    <row r="33762" spans="1:3">
      <c r="A33762" s="571" t="s">
        <v>621</v>
      </c>
      <c r="B33762" s="572">
        <v>42</v>
      </c>
      <c r="C33762" s="572">
        <v>290</v>
      </c>
    </row>
    <row r="33763" spans="1:3">
      <c r="A33763" s="571" t="s">
        <v>621</v>
      </c>
      <c r="B33763" s="572">
        <v>56</v>
      </c>
      <c r="C33763" s="572">
        <v>292</v>
      </c>
    </row>
    <row r="33764" spans="1:3">
      <c r="A33764" s="571" t="s">
        <v>621</v>
      </c>
      <c r="B33764" s="572">
        <v>70</v>
      </c>
      <c r="C33764" s="572">
        <v>297</v>
      </c>
    </row>
    <row r="33765" spans="1:3">
      <c r="A33765" s="571" t="s">
        <v>621</v>
      </c>
      <c r="B33765" s="572">
        <v>91</v>
      </c>
      <c r="C33765" s="572">
        <v>302</v>
      </c>
    </row>
    <row r="33766" spans="1:3">
      <c r="A33766" s="571" t="s">
        <v>620</v>
      </c>
      <c r="B33766" s="572">
        <v>0</v>
      </c>
      <c r="C33766" s="572">
        <v>0</v>
      </c>
    </row>
    <row r="33767" spans="1:3">
      <c r="A33767" s="571" t="s">
        <v>620</v>
      </c>
      <c r="B33767" s="572">
        <v>3</v>
      </c>
      <c r="C33767" s="572">
        <v>230</v>
      </c>
    </row>
    <row r="33768" spans="1:3">
      <c r="A33768" s="571" t="s">
        <v>620</v>
      </c>
      <c r="B33768" s="572">
        <v>7</v>
      </c>
      <c r="C33768" s="572">
        <v>287</v>
      </c>
    </row>
    <row r="33769" spans="1:3">
      <c r="A33769" s="571" t="s">
        <v>620</v>
      </c>
      <c r="B33769" s="572">
        <v>14</v>
      </c>
      <c r="C33769" s="572">
        <v>320</v>
      </c>
    </row>
    <row r="33770" spans="1:3">
      <c r="A33770" s="571" t="s">
        <v>620</v>
      </c>
      <c r="B33770" s="572">
        <v>21</v>
      </c>
      <c r="C33770" s="572">
        <v>340</v>
      </c>
    </row>
    <row r="33771" spans="1:3">
      <c r="A33771" s="571" t="s">
        <v>620</v>
      </c>
      <c r="B33771" s="572">
        <v>28</v>
      </c>
      <c r="C33771" s="572">
        <v>350</v>
      </c>
    </row>
    <row r="33772" spans="1:3">
      <c r="A33772" s="571" t="s">
        <v>620</v>
      </c>
      <c r="B33772" s="572">
        <v>35</v>
      </c>
      <c r="C33772" s="572">
        <v>360</v>
      </c>
    </row>
    <row r="33773" spans="1:3">
      <c r="A33773" s="571" t="s">
        <v>620</v>
      </c>
      <c r="B33773" s="572">
        <v>42</v>
      </c>
      <c r="C33773" s="572">
        <v>366</v>
      </c>
    </row>
    <row r="33774" spans="1:3">
      <c r="A33774" s="571" t="s">
        <v>620</v>
      </c>
      <c r="B33774" s="572">
        <v>56</v>
      </c>
      <c r="C33774" s="572">
        <v>370</v>
      </c>
    </row>
    <row r="33775" spans="1:3">
      <c r="A33775" s="571" t="s">
        <v>620</v>
      </c>
      <c r="B33775" s="572">
        <v>70</v>
      </c>
      <c r="C33775" s="572">
        <v>379</v>
      </c>
    </row>
    <row r="33776" spans="1:3">
      <c r="A33776" s="571" t="s">
        <v>620</v>
      </c>
      <c r="B33776" s="572">
        <v>91</v>
      </c>
      <c r="C33776" s="572">
        <v>386</v>
      </c>
    </row>
    <row r="33777" spans="1:3">
      <c r="A33777" s="571" t="s">
        <v>619</v>
      </c>
      <c r="B33777" s="572">
        <v>0</v>
      </c>
      <c r="C33777" s="572">
        <v>0</v>
      </c>
    </row>
    <row r="33778" spans="1:3">
      <c r="A33778" s="571" t="s">
        <v>619</v>
      </c>
      <c r="B33778" s="572">
        <v>3</v>
      </c>
      <c r="C33778" s="572">
        <v>206</v>
      </c>
    </row>
    <row r="33779" spans="1:3">
      <c r="A33779" s="571" t="s">
        <v>619</v>
      </c>
      <c r="B33779" s="572">
        <v>7</v>
      </c>
      <c r="C33779" s="572">
        <v>260</v>
      </c>
    </row>
    <row r="33780" spans="1:3">
      <c r="A33780" s="571" t="s">
        <v>619</v>
      </c>
      <c r="B33780" s="572">
        <v>14</v>
      </c>
      <c r="C33780" s="572">
        <v>283</v>
      </c>
    </row>
    <row r="33781" spans="1:3">
      <c r="A33781" s="571" t="s">
        <v>619</v>
      </c>
      <c r="B33781" s="572">
        <v>21</v>
      </c>
      <c r="C33781" s="572">
        <v>293</v>
      </c>
    </row>
    <row r="33782" spans="1:3">
      <c r="A33782" s="571" t="s">
        <v>619</v>
      </c>
      <c r="B33782" s="572">
        <v>28</v>
      </c>
      <c r="C33782" s="572">
        <v>298</v>
      </c>
    </row>
    <row r="33783" spans="1:3">
      <c r="A33783" s="571" t="s">
        <v>619</v>
      </c>
      <c r="B33783" s="572">
        <v>35</v>
      </c>
      <c r="C33783" s="572">
        <v>302</v>
      </c>
    </row>
    <row r="33784" spans="1:3">
      <c r="A33784" s="571" t="s">
        <v>619</v>
      </c>
      <c r="B33784" s="572">
        <v>42</v>
      </c>
      <c r="C33784" s="572">
        <v>308</v>
      </c>
    </row>
    <row r="33785" spans="1:3">
      <c r="A33785" s="571" t="s">
        <v>619</v>
      </c>
      <c r="B33785" s="572">
        <v>56</v>
      </c>
      <c r="C33785" s="572">
        <v>311</v>
      </c>
    </row>
    <row r="33786" spans="1:3">
      <c r="A33786" s="571" t="s">
        <v>619</v>
      </c>
      <c r="B33786" s="572">
        <v>70</v>
      </c>
      <c r="C33786" s="572">
        <v>319</v>
      </c>
    </row>
    <row r="33787" spans="1:3">
      <c r="A33787" s="571" t="s">
        <v>619</v>
      </c>
      <c r="B33787" s="572">
        <v>91</v>
      </c>
      <c r="C33787" s="572">
        <v>325</v>
      </c>
    </row>
    <row r="33788" spans="1:3">
      <c r="A33788" s="571" t="s">
        <v>618</v>
      </c>
      <c r="B33788" s="572">
        <v>0</v>
      </c>
      <c r="C33788" s="572">
        <v>0</v>
      </c>
    </row>
    <row r="33789" spans="1:3">
      <c r="A33789" s="571" t="s">
        <v>618</v>
      </c>
      <c r="B33789" s="572">
        <v>3</v>
      </c>
      <c r="C33789" s="572">
        <v>0</v>
      </c>
    </row>
    <row r="33790" spans="1:3">
      <c r="A33790" s="571" t="s">
        <v>618</v>
      </c>
      <c r="B33790" s="572">
        <v>4</v>
      </c>
      <c r="C33790" s="572">
        <v>50</v>
      </c>
    </row>
    <row r="33791" spans="1:3">
      <c r="A33791" s="571" t="s">
        <v>618</v>
      </c>
      <c r="B33791" s="572">
        <v>6</v>
      </c>
      <c r="C33791" s="572">
        <v>80</v>
      </c>
    </row>
    <row r="33792" spans="1:3">
      <c r="A33792" s="571" t="s">
        <v>618</v>
      </c>
      <c r="B33792" s="572">
        <v>9</v>
      </c>
      <c r="C33792" s="572">
        <v>170</v>
      </c>
    </row>
    <row r="33793" spans="1:3">
      <c r="A33793" s="571" t="s">
        <v>618</v>
      </c>
      <c r="B33793" s="572">
        <v>13</v>
      </c>
      <c r="C33793" s="572">
        <v>240</v>
      </c>
    </row>
    <row r="33794" spans="1:3">
      <c r="A33794" s="571" t="s">
        <v>618</v>
      </c>
      <c r="B33794" s="572">
        <v>17</v>
      </c>
      <c r="C33794" s="572">
        <v>330</v>
      </c>
    </row>
    <row r="33795" spans="1:3">
      <c r="A33795" s="571" t="s">
        <v>618</v>
      </c>
      <c r="B33795" s="572">
        <v>21</v>
      </c>
      <c r="C33795" s="572">
        <v>360</v>
      </c>
    </row>
    <row r="33796" spans="1:3">
      <c r="A33796" s="571" t="s">
        <v>618</v>
      </c>
      <c r="B33796" s="572">
        <v>28</v>
      </c>
      <c r="C33796" s="572">
        <v>470</v>
      </c>
    </row>
    <row r="33797" spans="1:3">
      <c r="A33797" s="571" t="s">
        <v>618</v>
      </c>
      <c r="B33797" s="572">
        <v>31</v>
      </c>
      <c r="C33797" s="572">
        <v>500</v>
      </c>
    </row>
    <row r="33798" spans="1:3">
      <c r="A33798" s="571" t="s">
        <v>618</v>
      </c>
      <c r="B33798" s="572">
        <v>38</v>
      </c>
      <c r="C33798" s="572">
        <v>550</v>
      </c>
    </row>
    <row r="33799" spans="1:3">
      <c r="A33799" s="571" t="s">
        <v>618</v>
      </c>
      <c r="B33799" s="572">
        <v>44</v>
      </c>
      <c r="C33799" s="572">
        <v>590</v>
      </c>
    </row>
    <row r="33800" spans="1:3">
      <c r="A33800" s="571" t="s">
        <v>618</v>
      </c>
      <c r="B33800" s="572">
        <v>47</v>
      </c>
      <c r="C33800" s="572">
        <v>630</v>
      </c>
    </row>
    <row r="33801" spans="1:3">
      <c r="A33801" s="571" t="s">
        <v>618</v>
      </c>
      <c r="B33801" s="572">
        <v>54</v>
      </c>
      <c r="C33801" s="572">
        <v>670</v>
      </c>
    </row>
    <row r="33802" spans="1:3">
      <c r="A33802" s="571" t="s">
        <v>618</v>
      </c>
      <c r="B33802" s="572">
        <v>63</v>
      </c>
      <c r="C33802" s="572">
        <v>730</v>
      </c>
    </row>
    <row r="33803" spans="1:3">
      <c r="A33803" s="571" t="s">
        <v>618</v>
      </c>
      <c r="B33803" s="572">
        <v>76</v>
      </c>
      <c r="C33803" s="572">
        <v>750</v>
      </c>
    </row>
    <row r="33804" spans="1:3">
      <c r="A33804" s="571" t="s">
        <v>618</v>
      </c>
      <c r="B33804" s="572">
        <v>90</v>
      </c>
      <c r="C33804" s="572">
        <v>810</v>
      </c>
    </row>
    <row r="33805" spans="1:3">
      <c r="A33805" s="571" t="s">
        <v>617</v>
      </c>
      <c r="B33805" s="572">
        <v>0</v>
      </c>
      <c r="C33805" s="572">
        <v>0</v>
      </c>
    </row>
    <row r="33806" spans="1:3">
      <c r="A33806" s="571" t="s">
        <v>617</v>
      </c>
      <c r="B33806" s="572">
        <v>3</v>
      </c>
      <c r="C33806" s="572">
        <v>0</v>
      </c>
    </row>
    <row r="33807" spans="1:3">
      <c r="A33807" s="571" t="s">
        <v>617</v>
      </c>
      <c r="B33807" s="572">
        <v>4</v>
      </c>
      <c r="C33807" s="572">
        <v>40</v>
      </c>
    </row>
    <row r="33808" spans="1:3">
      <c r="A33808" s="571" t="s">
        <v>617</v>
      </c>
      <c r="B33808" s="572">
        <v>6</v>
      </c>
      <c r="C33808" s="572">
        <v>70</v>
      </c>
    </row>
    <row r="33809" spans="1:3">
      <c r="A33809" s="571" t="s">
        <v>617</v>
      </c>
      <c r="B33809" s="572">
        <v>9</v>
      </c>
      <c r="C33809" s="572">
        <v>150</v>
      </c>
    </row>
    <row r="33810" spans="1:3">
      <c r="A33810" s="571" t="s">
        <v>617</v>
      </c>
      <c r="B33810" s="572">
        <v>13</v>
      </c>
      <c r="C33810" s="572">
        <v>210</v>
      </c>
    </row>
    <row r="33811" spans="1:3">
      <c r="A33811" s="571" t="s">
        <v>617</v>
      </c>
      <c r="B33811" s="572">
        <v>17</v>
      </c>
      <c r="C33811" s="572">
        <v>290</v>
      </c>
    </row>
    <row r="33812" spans="1:3">
      <c r="A33812" s="571" t="s">
        <v>617</v>
      </c>
      <c r="B33812" s="572">
        <v>21</v>
      </c>
      <c r="C33812" s="572">
        <v>340</v>
      </c>
    </row>
    <row r="33813" spans="1:3">
      <c r="A33813" s="571" t="s">
        <v>617</v>
      </c>
      <c r="B33813" s="572">
        <v>28</v>
      </c>
      <c r="C33813" s="572">
        <v>440</v>
      </c>
    </row>
    <row r="33814" spans="1:3">
      <c r="A33814" s="571" t="s">
        <v>617</v>
      </c>
      <c r="B33814" s="572">
        <v>31</v>
      </c>
      <c r="C33814" s="572">
        <v>480</v>
      </c>
    </row>
    <row r="33815" spans="1:3">
      <c r="A33815" s="571" t="s">
        <v>617</v>
      </c>
      <c r="B33815" s="572">
        <v>38</v>
      </c>
      <c r="C33815" s="572">
        <v>540</v>
      </c>
    </row>
    <row r="33816" spans="1:3">
      <c r="A33816" s="571" t="s">
        <v>617</v>
      </c>
      <c r="B33816" s="572">
        <v>44</v>
      </c>
      <c r="C33816" s="572">
        <v>580</v>
      </c>
    </row>
    <row r="33817" spans="1:3">
      <c r="A33817" s="571" t="s">
        <v>617</v>
      </c>
      <c r="B33817" s="572">
        <v>47</v>
      </c>
      <c r="C33817" s="572">
        <v>630</v>
      </c>
    </row>
    <row r="33818" spans="1:3">
      <c r="A33818" s="571" t="s">
        <v>617</v>
      </c>
      <c r="B33818" s="572">
        <v>54</v>
      </c>
      <c r="C33818" s="572">
        <v>680</v>
      </c>
    </row>
    <row r="33819" spans="1:3">
      <c r="A33819" s="571" t="s">
        <v>617</v>
      </c>
      <c r="B33819" s="572">
        <v>63</v>
      </c>
      <c r="C33819" s="572">
        <v>730</v>
      </c>
    </row>
    <row r="33820" spans="1:3">
      <c r="A33820" s="571" t="s">
        <v>617</v>
      </c>
      <c r="B33820" s="572">
        <v>76</v>
      </c>
      <c r="C33820" s="572">
        <v>780</v>
      </c>
    </row>
    <row r="33821" spans="1:3">
      <c r="A33821" s="571" t="s">
        <v>617</v>
      </c>
      <c r="B33821" s="572">
        <v>90</v>
      </c>
      <c r="C33821" s="572">
        <v>820</v>
      </c>
    </row>
    <row r="33822" spans="1:3">
      <c r="A33822" s="571" t="s">
        <v>616</v>
      </c>
      <c r="B33822" s="572">
        <v>0</v>
      </c>
      <c r="C33822" s="572">
        <v>0</v>
      </c>
    </row>
    <row r="33823" spans="1:3">
      <c r="A33823" s="571" t="s">
        <v>616</v>
      </c>
      <c r="B33823" s="572">
        <v>3</v>
      </c>
      <c r="C33823" s="572">
        <v>100</v>
      </c>
    </row>
    <row r="33824" spans="1:3">
      <c r="A33824" s="571" t="s">
        <v>616</v>
      </c>
      <c r="B33824" s="572">
        <v>4</v>
      </c>
      <c r="C33824" s="572">
        <v>130</v>
      </c>
    </row>
    <row r="33825" spans="1:3">
      <c r="A33825" s="571" t="s">
        <v>616</v>
      </c>
      <c r="B33825" s="572">
        <v>6</v>
      </c>
      <c r="C33825" s="572">
        <v>180</v>
      </c>
    </row>
    <row r="33826" spans="1:3">
      <c r="A33826" s="571" t="s">
        <v>616</v>
      </c>
      <c r="B33826" s="572">
        <v>9</v>
      </c>
      <c r="C33826" s="572">
        <v>270</v>
      </c>
    </row>
    <row r="33827" spans="1:3">
      <c r="A33827" s="571" t="s">
        <v>616</v>
      </c>
      <c r="B33827" s="572">
        <v>13</v>
      </c>
      <c r="C33827" s="572">
        <v>360</v>
      </c>
    </row>
    <row r="33828" spans="1:3">
      <c r="A33828" s="571" t="s">
        <v>616</v>
      </c>
      <c r="B33828" s="572">
        <v>17</v>
      </c>
      <c r="C33828" s="572">
        <v>430</v>
      </c>
    </row>
    <row r="33829" spans="1:3">
      <c r="A33829" s="571" t="s">
        <v>616</v>
      </c>
      <c r="B33829" s="572">
        <v>21</v>
      </c>
      <c r="C33829" s="572">
        <v>480</v>
      </c>
    </row>
    <row r="33830" spans="1:3">
      <c r="A33830" s="571" t="s">
        <v>616</v>
      </c>
      <c r="B33830" s="572">
        <v>28</v>
      </c>
      <c r="C33830" s="572">
        <v>580</v>
      </c>
    </row>
    <row r="33831" spans="1:3">
      <c r="A33831" s="571" t="s">
        <v>616</v>
      </c>
      <c r="B33831" s="572">
        <v>31</v>
      </c>
      <c r="C33831" s="572">
        <v>600</v>
      </c>
    </row>
    <row r="33832" spans="1:3">
      <c r="A33832" s="571" t="s">
        <v>616</v>
      </c>
      <c r="B33832" s="572">
        <v>38</v>
      </c>
      <c r="C33832" s="572">
        <v>640</v>
      </c>
    </row>
    <row r="33833" spans="1:3">
      <c r="A33833" s="571" t="s">
        <v>616</v>
      </c>
      <c r="B33833" s="572">
        <v>44</v>
      </c>
      <c r="C33833" s="572">
        <v>660</v>
      </c>
    </row>
    <row r="33834" spans="1:3">
      <c r="A33834" s="571" t="s">
        <v>616</v>
      </c>
      <c r="B33834" s="572">
        <v>47</v>
      </c>
      <c r="C33834" s="572">
        <v>700</v>
      </c>
    </row>
    <row r="33835" spans="1:3">
      <c r="A33835" s="571" t="s">
        <v>616</v>
      </c>
      <c r="B33835" s="572">
        <v>54</v>
      </c>
      <c r="C33835" s="572">
        <v>730</v>
      </c>
    </row>
    <row r="33836" spans="1:3">
      <c r="A33836" s="571" t="s">
        <v>616</v>
      </c>
      <c r="B33836" s="572">
        <v>63</v>
      </c>
      <c r="C33836" s="572">
        <v>790</v>
      </c>
    </row>
    <row r="33837" spans="1:3">
      <c r="A33837" s="571" t="s">
        <v>616</v>
      </c>
      <c r="B33837" s="572">
        <v>76</v>
      </c>
      <c r="C33837" s="572">
        <v>790</v>
      </c>
    </row>
    <row r="33838" spans="1:3">
      <c r="A33838" s="571" t="s">
        <v>616</v>
      </c>
      <c r="B33838" s="572">
        <v>90</v>
      </c>
      <c r="C33838" s="572">
        <v>830</v>
      </c>
    </row>
    <row r="33839" spans="1:3">
      <c r="A33839" s="571" t="s">
        <v>615</v>
      </c>
      <c r="B33839" s="572">
        <v>0</v>
      </c>
      <c r="C33839" s="572">
        <v>0</v>
      </c>
    </row>
    <row r="33840" spans="1:3">
      <c r="A33840" s="571" t="s">
        <v>615</v>
      </c>
      <c r="B33840" s="572">
        <v>3</v>
      </c>
      <c r="C33840" s="572">
        <v>100</v>
      </c>
    </row>
    <row r="33841" spans="1:3">
      <c r="A33841" s="571" t="s">
        <v>615</v>
      </c>
      <c r="B33841" s="572">
        <v>4</v>
      </c>
      <c r="C33841" s="572">
        <v>130</v>
      </c>
    </row>
    <row r="33842" spans="1:3">
      <c r="A33842" s="571" t="s">
        <v>615</v>
      </c>
      <c r="B33842" s="572">
        <v>6</v>
      </c>
      <c r="C33842" s="572">
        <v>170</v>
      </c>
    </row>
    <row r="33843" spans="1:3">
      <c r="A33843" s="571" t="s">
        <v>615</v>
      </c>
      <c r="B33843" s="572">
        <v>9</v>
      </c>
      <c r="C33843" s="572">
        <v>250</v>
      </c>
    </row>
    <row r="33844" spans="1:3">
      <c r="A33844" s="571" t="s">
        <v>615</v>
      </c>
      <c r="B33844" s="572">
        <v>13</v>
      </c>
      <c r="C33844" s="572">
        <v>310</v>
      </c>
    </row>
    <row r="33845" spans="1:3">
      <c r="A33845" s="571" t="s">
        <v>615</v>
      </c>
      <c r="B33845" s="572">
        <v>17</v>
      </c>
      <c r="C33845" s="572">
        <v>380</v>
      </c>
    </row>
    <row r="33846" spans="1:3">
      <c r="A33846" s="571" t="s">
        <v>615</v>
      </c>
      <c r="B33846" s="572">
        <v>21</v>
      </c>
      <c r="C33846" s="572">
        <v>420</v>
      </c>
    </row>
    <row r="33847" spans="1:3">
      <c r="A33847" s="571" t="s">
        <v>615</v>
      </c>
      <c r="B33847" s="572">
        <v>28</v>
      </c>
      <c r="C33847" s="572">
        <v>500</v>
      </c>
    </row>
    <row r="33848" spans="1:3">
      <c r="A33848" s="571" t="s">
        <v>615</v>
      </c>
      <c r="B33848" s="572">
        <v>31</v>
      </c>
      <c r="C33848" s="572">
        <v>520</v>
      </c>
    </row>
    <row r="33849" spans="1:3">
      <c r="A33849" s="571" t="s">
        <v>615</v>
      </c>
      <c r="B33849" s="572">
        <v>38</v>
      </c>
      <c r="C33849" s="572">
        <v>550</v>
      </c>
    </row>
    <row r="33850" spans="1:3">
      <c r="A33850" s="571" t="s">
        <v>615</v>
      </c>
      <c r="B33850" s="572">
        <v>44</v>
      </c>
      <c r="C33850" s="572">
        <v>580</v>
      </c>
    </row>
    <row r="33851" spans="1:3">
      <c r="A33851" s="571" t="s">
        <v>615</v>
      </c>
      <c r="B33851" s="572">
        <v>47</v>
      </c>
      <c r="C33851" s="572">
        <v>610</v>
      </c>
    </row>
    <row r="33852" spans="1:3">
      <c r="A33852" s="571" t="s">
        <v>615</v>
      </c>
      <c r="B33852" s="572">
        <v>54</v>
      </c>
      <c r="C33852" s="572">
        <v>650</v>
      </c>
    </row>
    <row r="33853" spans="1:3">
      <c r="A33853" s="571" t="s">
        <v>615</v>
      </c>
      <c r="B33853" s="572">
        <v>63</v>
      </c>
      <c r="C33853" s="572">
        <v>680</v>
      </c>
    </row>
    <row r="33854" spans="1:3">
      <c r="A33854" s="571" t="s">
        <v>615</v>
      </c>
      <c r="B33854" s="572">
        <v>76</v>
      </c>
      <c r="C33854" s="572">
        <v>690</v>
      </c>
    </row>
    <row r="33855" spans="1:3">
      <c r="A33855" s="571" t="s">
        <v>615</v>
      </c>
      <c r="B33855" s="572">
        <v>90</v>
      </c>
      <c r="C33855" s="572">
        <v>730</v>
      </c>
    </row>
    <row r="33856" spans="1:3">
      <c r="A33856" s="571" t="s">
        <v>612</v>
      </c>
      <c r="B33856" s="572">
        <v>0</v>
      </c>
      <c r="C33856" s="572">
        <v>0</v>
      </c>
    </row>
    <row r="33857" spans="1:3">
      <c r="A33857" s="571" t="s">
        <v>612</v>
      </c>
      <c r="B33857" s="572">
        <v>1</v>
      </c>
      <c r="C33857" s="572">
        <v>20</v>
      </c>
    </row>
    <row r="33858" spans="1:3">
      <c r="A33858" s="571" t="s">
        <v>612</v>
      </c>
      <c r="B33858" s="572">
        <v>2</v>
      </c>
      <c r="C33858" s="572">
        <v>70</v>
      </c>
    </row>
    <row r="33859" spans="1:3">
      <c r="A33859" s="571" t="s">
        <v>612</v>
      </c>
      <c r="B33859" s="572">
        <v>3</v>
      </c>
      <c r="C33859" s="572">
        <v>110</v>
      </c>
    </row>
    <row r="33860" spans="1:3">
      <c r="A33860" s="571" t="s">
        <v>612</v>
      </c>
      <c r="B33860" s="572">
        <v>7</v>
      </c>
      <c r="C33860" s="572">
        <v>200</v>
      </c>
    </row>
    <row r="33861" spans="1:3">
      <c r="A33861" s="571" t="s">
        <v>612</v>
      </c>
      <c r="B33861" s="572">
        <v>14</v>
      </c>
      <c r="C33861" s="572">
        <v>250</v>
      </c>
    </row>
    <row r="33862" spans="1:3">
      <c r="A33862" s="571" t="s">
        <v>612</v>
      </c>
      <c r="B33862" s="572">
        <v>21</v>
      </c>
      <c r="C33862" s="572">
        <v>400</v>
      </c>
    </row>
    <row r="33863" spans="1:3">
      <c r="A33863" s="571" t="s">
        <v>612</v>
      </c>
      <c r="B33863" s="572">
        <v>28</v>
      </c>
      <c r="C33863" s="572">
        <v>430</v>
      </c>
    </row>
    <row r="33864" spans="1:3">
      <c r="A33864" s="571" t="s">
        <v>612</v>
      </c>
      <c r="B33864" s="572">
        <v>35</v>
      </c>
      <c r="C33864" s="572">
        <v>510</v>
      </c>
    </row>
    <row r="33865" spans="1:3">
      <c r="A33865" s="571" t="s">
        <v>612</v>
      </c>
      <c r="B33865" s="572">
        <v>42</v>
      </c>
      <c r="C33865" s="572">
        <v>520</v>
      </c>
    </row>
    <row r="33866" spans="1:3">
      <c r="A33866" s="571" t="s">
        <v>612</v>
      </c>
      <c r="B33866" s="572">
        <v>56</v>
      </c>
      <c r="C33866" s="572">
        <v>650</v>
      </c>
    </row>
    <row r="33867" spans="1:3">
      <c r="A33867" s="571" t="s">
        <v>612</v>
      </c>
      <c r="B33867" s="572">
        <v>70</v>
      </c>
      <c r="C33867" s="572">
        <v>650</v>
      </c>
    </row>
    <row r="33868" spans="1:3">
      <c r="A33868" s="571" t="s">
        <v>612</v>
      </c>
      <c r="B33868" s="572">
        <v>91</v>
      </c>
      <c r="C33868" s="572">
        <v>680</v>
      </c>
    </row>
    <row r="33869" spans="1:3">
      <c r="A33869" s="573" t="s">
        <v>612</v>
      </c>
      <c r="B33869" s="574">
        <v>182</v>
      </c>
      <c r="C33869" s="574">
        <v>790</v>
      </c>
    </row>
    <row r="33870" spans="1:3">
      <c r="A33870" s="571" t="s">
        <v>611</v>
      </c>
      <c r="B33870" s="572">
        <v>0</v>
      </c>
      <c r="C33870" s="572">
        <v>0</v>
      </c>
    </row>
    <row r="33871" spans="1:3">
      <c r="A33871" s="571" t="s">
        <v>611</v>
      </c>
      <c r="B33871" s="572">
        <v>1</v>
      </c>
      <c r="C33871" s="572">
        <v>50</v>
      </c>
    </row>
    <row r="33872" spans="1:3">
      <c r="A33872" s="571" t="s">
        <v>611</v>
      </c>
      <c r="B33872" s="572">
        <v>2</v>
      </c>
      <c r="C33872" s="572">
        <v>120</v>
      </c>
    </row>
    <row r="33873" spans="1:3">
      <c r="A33873" s="571" t="s">
        <v>611</v>
      </c>
      <c r="B33873" s="572">
        <v>3</v>
      </c>
      <c r="C33873" s="572">
        <v>150</v>
      </c>
    </row>
    <row r="33874" spans="1:3">
      <c r="A33874" s="571" t="s">
        <v>611</v>
      </c>
      <c r="B33874" s="572">
        <v>7</v>
      </c>
      <c r="C33874" s="572">
        <v>270</v>
      </c>
    </row>
    <row r="33875" spans="1:3">
      <c r="A33875" s="571" t="s">
        <v>611</v>
      </c>
      <c r="B33875" s="572">
        <v>14</v>
      </c>
      <c r="C33875" s="572">
        <v>450</v>
      </c>
    </row>
    <row r="33876" spans="1:3">
      <c r="A33876" s="571" t="s">
        <v>611</v>
      </c>
      <c r="B33876" s="572">
        <v>21</v>
      </c>
      <c r="C33876" s="572">
        <v>530</v>
      </c>
    </row>
    <row r="33877" spans="1:3">
      <c r="A33877" s="571" t="s">
        <v>611</v>
      </c>
      <c r="B33877" s="572">
        <v>28</v>
      </c>
      <c r="C33877" s="572">
        <v>610</v>
      </c>
    </row>
    <row r="33878" spans="1:3">
      <c r="A33878" s="571" t="s">
        <v>611</v>
      </c>
      <c r="B33878" s="572">
        <v>35</v>
      </c>
      <c r="C33878" s="572">
        <v>650</v>
      </c>
    </row>
    <row r="33879" spans="1:3">
      <c r="A33879" s="571" t="s">
        <v>611</v>
      </c>
      <c r="B33879" s="572">
        <v>42</v>
      </c>
      <c r="C33879" s="572">
        <v>680</v>
      </c>
    </row>
    <row r="33880" spans="1:3">
      <c r="A33880" s="571" t="s">
        <v>611</v>
      </c>
      <c r="B33880" s="572">
        <v>56</v>
      </c>
      <c r="C33880" s="572">
        <v>720</v>
      </c>
    </row>
    <row r="33881" spans="1:3">
      <c r="A33881" s="571" t="s">
        <v>611</v>
      </c>
      <c r="B33881" s="572">
        <v>70</v>
      </c>
      <c r="C33881" s="572">
        <v>770</v>
      </c>
    </row>
    <row r="33882" spans="1:3">
      <c r="A33882" s="571" t="s">
        <v>611</v>
      </c>
      <c r="B33882" s="572">
        <v>91</v>
      </c>
      <c r="C33882" s="572">
        <v>825</v>
      </c>
    </row>
    <row r="33883" spans="1:3">
      <c r="A33883" s="573" t="s">
        <v>611</v>
      </c>
      <c r="B33883" s="574">
        <v>182</v>
      </c>
      <c r="C33883" s="574">
        <v>1082</v>
      </c>
    </row>
    <row r="33884" spans="1:3">
      <c r="A33884" s="571" t="s">
        <v>610</v>
      </c>
      <c r="B33884" s="572">
        <v>0</v>
      </c>
      <c r="C33884" s="572">
        <v>0</v>
      </c>
    </row>
    <row r="33885" spans="1:3">
      <c r="A33885" s="571" t="s">
        <v>610</v>
      </c>
      <c r="B33885" s="572">
        <v>1</v>
      </c>
      <c r="C33885" s="572">
        <v>70</v>
      </c>
    </row>
    <row r="33886" spans="1:3">
      <c r="A33886" s="571" t="s">
        <v>610</v>
      </c>
      <c r="B33886" s="572">
        <v>2</v>
      </c>
      <c r="C33886" s="572">
        <v>140</v>
      </c>
    </row>
    <row r="33887" spans="1:3">
      <c r="A33887" s="571" t="s">
        <v>610</v>
      </c>
      <c r="B33887" s="572">
        <v>3</v>
      </c>
      <c r="C33887" s="572">
        <v>195</v>
      </c>
    </row>
    <row r="33888" spans="1:3">
      <c r="A33888" s="571" t="s">
        <v>610</v>
      </c>
      <c r="B33888" s="572">
        <v>7</v>
      </c>
      <c r="C33888" s="572">
        <v>325</v>
      </c>
    </row>
    <row r="33889" spans="1:3">
      <c r="A33889" s="571" t="s">
        <v>610</v>
      </c>
      <c r="B33889" s="572">
        <v>14</v>
      </c>
      <c r="C33889" s="572">
        <v>490</v>
      </c>
    </row>
    <row r="33890" spans="1:3">
      <c r="A33890" s="571" t="s">
        <v>610</v>
      </c>
      <c r="B33890" s="572">
        <v>21</v>
      </c>
      <c r="C33890" s="572">
        <v>580</v>
      </c>
    </row>
    <row r="33891" spans="1:3">
      <c r="A33891" s="571" t="s">
        <v>610</v>
      </c>
      <c r="B33891" s="572">
        <v>28</v>
      </c>
      <c r="C33891" s="572">
        <v>650</v>
      </c>
    </row>
    <row r="33892" spans="1:3">
      <c r="A33892" s="571" t="s">
        <v>610</v>
      </c>
      <c r="B33892" s="572">
        <v>35</v>
      </c>
      <c r="C33892" s="572">
        <v>680</v>
      </c>
    </row>
    <row r="33893" spans="1:3">
      <c r="A33893" s="571" t="s">
        <v>610</v>
      </c>
      <c r="B33893" s="572">
        <v>42</v>
      </c>
      <c r="C33893" s="572">
        <v>720</v>
      </c>
    </row>
    <row r="33894" spans="1:3">
      <c r="A33894" s="571" t="s">
        <v>610</v>
      </c>
      <c r="B33894" s="572">
        <v>56</v>
      </c>
      <c r="C33894" s="572">
        <v>750</v>
      </c>
    </row>
    <row r="33895" spans="1:3">
      <c r="A33895" s="571" t="s">
        <v>610</v>
      </c>
      <c r="B33895" s="572">
        <v>70</v>
      </c>
      <c r="C33895" s="572">
        <v>810</v>
      </c>
    </row>
    <row r="33896" spans="1:3">
      <c r="A33896" s="571" t="s">
        <v>610</v>
      </c>
      <c r="B33896" s="572">
        <v>91</v>
      </c>
      <c r="C33896" s="572">
        <v>860</v>
      </c>
    </row>
    <row r="33897" spans="1:3">
      <c r="A33897" s="573" t="s">
        <v>610</v>
      </c>
      <c r="B33897" s="574">
        <v>182</v>
      </c>
      <c r="C33897" s="574">
        <v>1118</v>
      </c>
    </row>
    <row r="33898" spans="1:3">
      <c r="A33898" s="573" t="s">
        <v>610</v>
      </c>
      <c r="B33898" s="574">
        <v>182</v>
      </c>
      <c r="C33898" s="574">
        <v>1039</v>
      </c>
    </row>
    <row r="33899" spans="1:3">
      <c r="A33899" s="571" t="s">
        <v>609</v>
      </c>
      <c r="B33899" s="572">
        <v>0</v>
      </c>
      <c r="C33899" s="572">
        <v>0</v>
      </c>
    </row>
    <row r="33900" spans="1:3">
      <c r="A33900" s="571" t="s">
        <v>609</v>
      </c>
      <c r="B33900" s="572">
        <v>1</v>
      </c>
      <c r="C33900" s="572">
        <v>110</v>
      </c>
    </row>
    <row r="33901" spans="1:3">
      <c r="A33901" s="571" t="s">
        <v>609</v>
      </c>
      <c r="B33901" s="572">
        <v>2</v>
      </c>
      <c r="C33901" s="572">
        <v>150</v>
      </c>
    </row>
    <row r="33902" spans="1:3">
      <c r="A33902" s="571" t="s">
        <v>609</v>
      </c>
      <c r="B33902" s="572">
        <v>3</v>
      </c>
      <c r="C33902" s="572">
        <v>200</v>
      </c>
    </row>
    <row r="33903" spans="1:3">
      <c r="A33903" s="571" t="s">
        <v>609</v>
      </c>
      <c r="B33903" s="572">
        <v>7</v>
      </c>
      <c r="C33903" s="572">
        <v>320</v>
      </c>
    </row>
    <row r="33904" spans="1:3">
      <c r="A33904" s="571" t="s">
        <v>609</v>
      </c>
      <c r="B33904" s="572">
        <v>14</v>
      </c>
      <c r="C33904" s="572">
        <v>500</v>
      </c>
    </row>
    <row r="33905" spans="1:3">
      <c r="A33905" s="571" t="s">
        <v>609</v>
      </c>
      <c r="B33905" s="572">
        <v>21</v>
      </c>
      <c r="C33905" s="572">
        <v>590</v>
      </c>
    </row>
    <row r="33906" spans="1:3">
      <c r="A33906" s="571" t="s">
        <v>609</v>
      </c>
      <c r="B33906" s="572">
        <v>28</v>
      </c>
      <c r="C33906" s="572">
        <v>650</v>
      </c>
    </row>
    <row r="33907" spans="1:3">
      <c r="A33907" s="571" t="s">
        <v>609</v>
      </c>
      <c r="B33907" s="572">
        <v>35</v>
      </c>
      <c r="C33907" s="572">
        <v>675</v>
      </c>
    </row>
    <row r="33908" spans="1:3">
      <c r="A33908" s="571" t="s">
        <v>609</v>
      </c>
      <c r="B33908" s="572">
        <v>42</v>
      </c>
      <c r="C33908" s="572">
        <v>720</v>
      </c>
    </row>
    <row r="33909" spans="1:3">
      <c r="A33909" s="571" t="s">
        <v>609</v>
      </c>
      <c r="B33909" s="572">
        <v>56</v>
      </c>
      <c r="C33909" s="572">
        <v>755</v>
      </c>
    </row>
    <row r="33910" spans="1:3">
      <c r="A33910" s="571" t="s">
        <v>609</v>
      </c>
      <c r="B33910" s="572">
        <v>70</v>
      </c>
      <c r="C33910" s="572">
        <v>815</v>
      </c>
    </row>
    <row r="33911" spans="1:3">
      <c r="A33911" s="571" t="s">
        <v>609</v>
      </c>
      <c r="B33911" s="572">
        <v>91</v>
      </c>
      <c r="C33911" s="572">
        <v>850</v>
      </c>
    </row>
    <row r="33912" spans="1:3">
      <c r="A33912" s="573" t="s">
        <v>609</v>
      </c>
      <c r="B33912" s="574">
        <v>182</v>
      </c>
      <c r="C33912" s="574">
        <v>997</v>
      </c>
    </row>
    <row r="33913" spans="1:3">
      <c r="A33913" s="573" t="s">
        <v>609</v>
      </c>
      <c r="B33913" s="574">
        <v>182</v>
      </c>
      <c r="C33913" s="574">
        <v>928</v>
      </c>
    </row>
    <row r="33914" spans="1:3">
      <c r="A33914" s="571" t="s">
        <v>608</v>
      </c>
      <c r="B33914" s="572">
        <v>0</v>
      </c>
      <c r="C33914" s="572">
        <v>0</v>
      </c>
    </row>
    <row r="33915" spans="1:3">
      <c r="A33915" s="571" t="s">
        <v>608</v>
      </c>
      <c r="B33915" s="572">
        <v>1</v>
      </c>
      <c r="C33915" s="572">
        <v>110</v>
      </c>
    </row>
    <row r="33916" spans="1:3">
      <c r="A33916" s="571" t="s">
        <v>608</v>
      </c>
      <c r="B33916" s="572">
        <v>2</v>
      </c>
      <c r="C33916" s="572">
        <v>150</v>
      </c>
    </row>
    <row r="33917" spans="1:3">
      <c r="A33917" s="571" t="s">
        <v>608</v>
      </c>
      <c r="B33917" s="572">
        <v>3</v>
      </c>
      <c r="C33917" s="572">
        <v>240</v>
      </c>
    </row>
    <row r="33918" spans="1:3">
      <c r="A33918" s="571" t="s">
        <v>608</v>
      </c>
      <c r="B33918" s="572">
        <v>7</v>
      </c>
      <c r="C33918" s="572">
        <v>375</v>
      </c>
    </row>
    <row r="33919" spans="1:3">
      <c r="A33919" s="571" t="s">
        <v>608</v>
      </c>
      <c r="B33919" s="572">
        <v>14</v>
      </c>
      <c r="C33919" s="572">
        <v>530</v>
      </c>
    </row>
    <row r="33920" spans="1:3">
      <c r="A33920" s="571" t="s">
        <v>608</v>
      </c>
      <c r="B33920" s="572">
        <v>21</v>
      </c>
      <c r="C33920" s="572">
        <v>590</v>
      </c>
    </row>
    <row r="33921" spans="1:3">
      <c r="A33921" s="571" t="s">
        <v>608</v>
      </c>
      <c r="B33921" s="572">
        <v>28</v>
      </c>
      <c r="C33921" s="572">
        <v>640</v>
      </c>
    </row>
    <row r="33922" spans="1:3">
      <c r="A33922" s="571" t="s">
        <v>608</v>
      </c>
      <c r="B33922" s="572">
        <v>35</v>
      </c>
      <c r="C33922" s="572">
        <v>640</v>
      </c>
    </row>
    <row r="33923" spans="1:3">
      <c r="A33923" s="571" t="s">
        <v>608</v>
      </c>
      <c r="B33923" s="572">
        <v>42</v>
      </c>
      <c r="C33923" s="572">
        <v>665</v>
      </c>
    </row>
    <row r="33924" spans="1:3">
      <c r="A33924" s="571" t="s">
        <v>608</v>
      </c>
      <c r="B33924" s="572">
        <v>56</v>
      </c>
      <c r="C33924" s="572">
        <v>700</v>
      </c>
    </row>
    <row r="33925" spans="1:3">
      <c r="A33925" s="571" t="s">
        <v>608</v>
      </c>
      <c r="B33925" s="572">
        <v>70</v>
      </c>
      <c r="C33925" s="572">
        <v>750</v>
      </c>
    </row>
    <row r="33926" spans="1:3">
      <c r="A33926" s="571" t="s">
        <v>608</v>
      </c>
      <c r="B33926" s="572">
        <v>91</v>
      </c>
      <c r="C33926" s="572">
        <v>780</v>
      </c>
    </row>
    <row r="33927" spans="1:3">
      <c r="A33927" s="573" t="s">
        <v>608</v>
      </c>
      <c r="B33927" s="574">
        <v>182</v>
      </c>
      <c r="C33927" s="574">
        <v>944</v>
      </c>
    </row>
    <row r="33928" spans="1:3">
      <c r="A33928" s="573" t="s">
        <v>607</v>
      </c>
      <c r="B33928" s="574">
        <v>182</v>
      </c>
      <c r="C33928" s="574">
        <v>914</v>
      </c>
    </row>
    <row r="33929" spans="1:3">
      <c r="A33929" s="573" t="s">
        <v>606</v>
      </c>
      <c r="B33929" s="574">
        <v>182</v>
      </c>
      <c r="C33929" s="574">
        <v>938</v>
      </c>
    </row>
    <row r="33930" spans="1:3">
      <c r="A33930" s="573" t="s">
        <v>605</v>
      </c>
      <c r="B33930" s="574">
        <v>182</v>
      </c>
      <c r="C33930" s="574">
        <v>821</v>
      </c>
    </row>
    <row r="33931" spans="1:3">
      <c r="A33931" s="573" t="s">
        <v>604</v>
      </c>
      <c r="B33931" s="574">
        <v>182</v>
      </c>
      <c r="C33931" s="574">
        <v>883</v>
      </c>
    </row>
    <row r="33932" spans="1:3">
      <c r="A33932" s="573" t="s">
        <v>603</v>
      </c>
      <c r="B33932" s="574">
        <v>182</v>
      </c>
      <c r="C33932" s="574">
        <v>826</v>
      </c>
    </row>
    <row r="33933" spans="1:3">
      <c r="A33933" s="573" t="s">
        <v>602</v>
      </c>
      <c r="B33933" s="574">
        <v>182</v>
      </c>
      <c r="C33933" s="574">
        <v>907</v>
      </c>
    </row>
    <row r="33934" spans="1:3">
      <c r="A33934" s="571" t="s">
        <v>601</v>
      </c>
      <c r="B33934" s="572">
        <v>0</v>
      </c>
      <c r="C33934" s="572">
        <v>0</v>
      </c>
    </row>
    <row r="33935" spans="1:3">
      <c r="A33935" s="571" t="s">
        <v>601</v>
      </c>
      <c r="B33935" s="572">
        <v>3</v>
      </c>
      <c r="C33935" s="572">
        <v>158</v>
      </c>
    </row>
    <row r="33936" spans="1:3">
      <c r="A33936" s="571" t="s">
        <v>601</v>
      </c>
      <c r="B33936" s="572">
        <v>7</v>
      </c>
      <c r="C33936" s="572">
        <v>220</v>
      </c>
    </row>
    <row r="33937" spans="1:3">
      <c r="A33937" s="571" t="s">
        <v>601</v>
      </c>
      <c r="B33937" s="572">
        <v>14</v>
      </c>
      <c r="C33937" s="572">
        <v>295</v>
      </c>
    </row>
    <row r="33938" spans="1:3">
      <c r="A33938" s="571" t="s">
        <v>601</v>
      </c>
      <c r="B33938" s="572">
        <v>28</v>
      </c>
      <c r="C33938" s="572">
        <v>400</v>
      </c>
    </row>
    <row r="33939" spans="1:3">
      <c r="A33939" s="571" t="s">
        <v>601</v>
      </c>
      <c r="B33939" s="572">
        <v>56</v>
      </c>
      <c r="C33939" s="572">
        <v>449</v>
      </c>
    </row>
    <row r="33940" spans="1:3">
      <c r="A33940" s="571" t="s">
        <v>601</v>
      </c>
      <c r="B33940" s="572">
        <v>91</v>
      </c>
      <c r="C33940" s="572">
        <v>485</v>
      </c>
    </row>
    <row r="33941" spans="1:3">
      <c r="A33941" s="573" t="s">
        <v>601</v>
      </c>
      <c r="B33941" s="574">
        <v>180</v>
      </c>
      <c r="C33941" s="574">
        <v>550</v>
      </c>
    </row>
    <row r="33942" spans="1:3">
      <c r="A33942" s="571" t="s">
        <v>600</v>
      </c>
      <c r="B33942" s="572">
        <v>0</v>
      </c>
      <c r="C33942" s="572">
        <v>0</v>
      </c>
    </row>
    <row r="33943" spans="1:3">
      <c r="A33943" s="571" t="s">
        <v>600</v>
      </c>
      <c r="B33943" s="572">
        <v>3</v>
      </c>
      <c r="C33943" s="572">
        <v>158</v>
      </c>
    </row>
    <row r="33944" spans="1:3">
      <c r="A33944" s="571" t="s">
        <v>600</v>
      </c>
      <c r="B33944" s="572">
        <v>7</v>
      </c>
      <c r="C33944" s="572">
        <v>223</v>
      </c>
    </row>
    <row r="33945" spans="1:3">
      <c r="A33945" s="571" t="s">
        <v>600</v>
      </c>
      <c r="B33945" s="572">
        <v>14</v>
      </c>
      <c r="C33945" s="572">
        <v>319</v>
      </c>
    </row>
    <row r="33946" spans="1:3">
      <c r="A33946" s="571" t="s">
        <v>600</v>
      </c>
      <c r="B33946" s="572">
        <v>28</v>
      </c>
      <c r="C33946" s="572">
        <v>426</v>
      </c>
    </row>
    <row r="33947" spans="1:3">
      <c r="A33947" s="571" t="s">
        <v>600</v>
      </c>
      <c r="B33947" s="572">
        <v>56</v>
      </c>
      <c r="C33947" s="572">
        <v>473</v>
      </c>
    </row>
    <row r="33948" spans="1:3">
      <c r="A33948" s="571" t="s">
        <v>600</v>
      </c>
      <c r="B33948" s="572">
        <v>91</v>
      </c>
      <c r="C33948" s="572">
        <v>528</v>
      </c>
    </row>
    <row r="33949" spans="1:3">
      <c r="A33949" s="573" t="s">
        <v>600</v>
      </c>
      <c r="B33949" s="574">
        <v>180</v>
      </c>
      <c r="C33949" s="574">
        <v>597</v>
      </c>
    </row>
    <row r="33950" spans="1:3">
      <c r="A33950" s="571" t="s">
        <v>599</v>
      </c>
      <c r="B33950" s="572">
        <v>0</v>
      </c>
      <c r="C33950" s="572">
        <v>0</v>
      </c>
    </row>
    <row r="33951" spans="1:3">
      <c r="A33951" s="571" t="s">
        <v>599</v>
      </c>
      <c r="B33951" s="572">
        <v>3</v>
      </c>
      <c r="C33951" s="572">
        <v>130</v>
      </c>
    </row>
    <row r="33952" spans="1:3">
      <c r="A33952" s="571" t="s">
        <v>599</v>
      </c>
      <c r="B33952" s="572">
        <v>7</v>
      </c>
      <c r="C33952" s="572">
        <v>180</v>
      </c>
    </row>
    <row r="33953" spans="1:3">
      <c r="A33953" s="571" t="s">
        <v>599</v>
      </c>
      <c r="B33953" s="572">
        <v>14</v>
      </c>
      <c r="C33953" s="572">
        <v>255</v>
      </c>
    </row>
    <row r="33954" spans="1:3">
      <c r="A33954" s="571" t="s">
        <v>599</v>
      </c>
      <c r="B33954" s="572">
        <v>28</v>
      </c>
      <c r="C33954" s="572">
        <v>370</v>
      </c>
    </row>
    <row r="33955" spans="1:3">
      <c r="A33955" s="571" t="s">
        <v>599</v>
      </c>
      <c r="B33955" s="572">
        <v>56</v>
      </c>
      <c r="C33955" s="572">
        <v>420</v>
      </c>
    </row>
    <row r="33956" spans="1:3">
      <c r="A33956" s="571" t="s">
        <v>599</v>
      </c>
      <c r="B33956" s="572">
        <v>91</v>
      </c>
      <c r="C33956" s="572">
        <v>490</v>
      </c>
    </row>
    <row r="33957" spans="1:3">
      <c r="A33957" s="573" t="s">
        <v>599</v>
      </c>
      <c r="B33957" s="574">
        <v>180</v>
      </c>
      <c r="C33957" s="574">
        <v>535</v>
      </c>
    </row>
    <row r="33958" spans="1:3">
      <c r="A33958" s="571" t="s">
        <v>598</v>
      </c>
      <c r="B33958" s="572">
        <v>0</v>
      </c>
      <c r="C33958" s="572">
        <v>0</v>
      </c>
    </row>
    <row r="33959" spans="1:3">
      <c r="A33959" s="571" t="s">
        <v>598</v>
      </c>
      <c r="B33959" s="572">
        <v>3</v>
      </c>
      <c r="C33959" s="572">
        <v>130</v>
      </c>
    </row>
    <row r="33960" spans="1:3">
      <c r="A33960" s="571" t="s">
        <v>598</v>
      </c>
      <c r="B33960" s="572">
        <v>7</v>
      </c>
      <c r="C33960" s="572">
        <v>180</v>
      </c>
    </row>
    <row r="33961" spans="1:3">
      <c r="A33961" s="571" t="s">
        <v>598</v>
      </c>
      <c r="B33961" s="572">
        <v>14</v>
      </c>
      <c r="C33961" s="572">
        <v>255</v>
      </c>
    </row>
    <row r="33962" spans="1:3">
      <c r="A33962" s="571" t="s">
        <v>598</v>
      </c>
      <c r="B33962" s="572">
        <v>28</v>
      </c>
      <c r="C33962" s="572">
        <v>370</v>
      </c>
    </row>
    <row r="33963" spans="1:3">
      <c r="A33963" s="571" t="s">
        <v>598</v>
      </c>
      <c r="B33963" s="572">
        <v>56</v>
      </c>
      <c r="C33963" s="572">
        <v>425</v>
      </c>
    </row>
    <row r="33964" spans="1:3">
      <c r="A33964" s="571" t="s">
        <v>598</v>
      </c>
      <c r="B33964" s="572">
        <v>91</v>
      </c>
      <c r="C33964" s="572">
        <v>485</v>
      </c>
    </row>
    <row r="33965" spans="1:3">
      <c r="A33965" s="573" t="s">
        <v>598</v>
      </c>
      <c r="B33965" s="574">
        <v>180</v>
      </c>
      <c r="C33965" s="574">
        <v>535</v>
      </c>
    </row>
    <row r="33966" spans="1:3">
      <c r="A33966" s="571" t="s">
        <v>597</v>
      </c>
      <c r="B33966" s="572">
        <v>0</v>
      </c>
      <c r="C33966" s="572">
        <v>0</v>
      </c>
    </row>
    <row r="33967" spans="1:3">
      <c r="A33967" s="571" t="s">
        <v>597</v>
      </c>
      <c r="B33967" s="572">
        <v>3</v>
      </c>
      <c r="C33967" s="572">
        <v>167</v>
      </c>
    </row>
    <row r="33968" spans="1:3">
      <c r="A33968" s="571" t="s">
        <v>597</v>
      </c>
      <c r="B33968" s="572">
        <v>7</v>
      </c>
      <c r="C33968" s="572">
        <v>220</v>
      </c>
    </row>
    <row r="33969" spans="1:3">
      <c r="A33969" s="571" t="s">
        <v>597</v>
      </c>
      <c r="B33969" s="572">
        <v>14</v>
      </c>
      <c r="C33969" s="572">
        <v>290</v>
      </c>
    </row>
    <row r="33970" spans="1:3">
      <c r="A33970" s="571" t="s">
        <v>597</v>
      </c>
      <c r="B33970" s="572">
        <v>28</v>
      </c>
      <c r="C33970" s="572">
        <v>382</v>
      </c>
    </row>
    <row r="33971" spans="1:3">
      <c r="A33971" s="571" t="s">
        <v>597</v>
      </c>
      <c r="B33971" s="572">
        <v>56</v>
      </c>
      <c r="C33971" s="572">
        <v>420</v>
      </c>
    </row>
    <row r="33972" spans="1:3">
      <c r="A33972" s="571" t="s">
        <v>597</v>
      </c>
      <c r="B33972" s="572">
        <v>91</v>
      </c>
      <c r="C33972" s="572">
        <v>461</v>
      </c>
    </row>
    <row r="33973" spans="1:3">
      <c r="A33973" s="573" t="s">
        <v>597</v>
      </c>
      <c r="B33973" s="574">
        <v>180</v>
      </c>
      <c r="C33973" s="574">
        <v>518</v>
      </c>
    </row>
    <row r="33974" spans="1:3">
      <c r="A33974" s="571" t="s">
        <v>596</v>
      </c>
      <c r="B33974" s="572">
        <v>0</v>
      </c>
      <c r="C33974" s="572">
        <v>0</v>
      </c>
    </row>
    <row r="33975" spans="1:3">
      <c r="A33975" s="571" t="s">
        <v>596</v>
      </c>
      <c r="B33975" s="572">
        <v>3</v>
      </c>
      <c r="C33975" s="572">
        <v>190</v>
      </c>
    </row>
    <row r="33976" spans="1:3">
      <c r="A33976" s="571" t="s">
        <v>596</v>
      </c>
      <c r="B33976" s="572">
        <v>7</v>
      </c>
      <c r="C33976" s="572">
        <v>245</v>
      </c>
    </row>
    <row r="33977" spans="1:3">
      <c r="A33977" s="571" t="s">
        <v>596</v>
      </c>
      <c r="B33977" s="572">
        <v>14</v>
      </c>
      <c r="C33977" s="572">
        <v>321</v>
      </c>
    </row>
    <row r="33978" spans="1:3">
      <c r="A33978" s="571" t="s">
        <v>596</v>
      </c>
      <c r="B33978" s="572">
        <v>28</v>
      </c>
      <c r="C33978" s="572">
        <v>430</v>
      </c>
    </row>
    <row r="33979" spans="1:3">
      <c r="A33979" s="571" t="s">
        <v>596</v>
      </c>
      <c r="B33979" s="572">
        <v>56</v>
      </c>
      <c r="C33979" s="572">
        <v>480</v>
      </c>
    </row>
    <row r="33980" spans="1:3">
      <c r="A33980" s="571" t="s">
        <v>596</v>
      </c>
      <c r="B33980" s="572">
        <v>91</v>
      </c>
      <c r="C33980" s="572">
        <v>532</v>
      </c>
    </row>
    <row r="33981" spans="1:3">
      <c r="A33981" s="573" t="s">
        <v>596</v>
      </c>
      <c r="B33981" s="574">
        <v>180</v>
      </c>
      <c r="C33981" s="574">
        <v>605</v>
      </c>
    </row>
    <row r="33982" spans="1:3">
      <c r="A33982" s="571" t="s">
        <v>595</v>
      </c>
      <c r="B33982" s="572">
        <v>0</v>
      </c>
      <c r="C33982" s="572">
        <v>0</v>
      </c>
    </row>
    <row r="33983" spans="1:3">
      <c r="A33983" s="571" t="s">
        <v>595</v>
      </c>
      <c r="B33983" s="572">
        <v>1</v>
      </c>
      <c r="C33983" s="572">
        <v>80</v>
      </c>
    </row>
    <row r="33984" spans="1:3">
      <c r="A33984" s="571" t="s">
        <v>595</v>
      </c>
      <c r="B33984" s="572">
        <v>3</v>
      </c>
      <c r="C33984" s="572">
        <v>120</v>
      </c>
    </row>
    <row r="33985" spans="1:3">
      <c r="A33985" s="571" t="s">
        <v>595</v>
      </c>
      <c r="B33985" s="572">
        <v>7</v>
      </c>
      <c r="C33985" s="572">
        <v>200</v>
      </c>
    </row>
    <row r="33986" spans="1:3">
      <c r="A33986" s="571" t="s">
        <v>595</v>
      </c>
      <c r="B33986" s="572">
        <v>14</v>
      </c>
      <c r="C33986" s="572">
        <v>270</v>
      </c>
    </row>
    <row r="33987" spans="1:3">
      <c r="A33987" s="571" t="s">
        <v>595</v>
      </c>
      <c r="B33987" s="572">
        <v>28</v>
      </c>
      <c r="C33987" s="572">
        <v>400</v>
      </c>
    </row>
    <row r="33988" spans="1:3">
      <c r="A33988" s="571" t="s">
        <v>595</v>
      </c>
      <c r="B33988" s="572">
        <v>56</v>
      </c>
      <c r="C33988" s="572">
        <v>465</v>
      </c>
    </row>
    <row r="33989" spans="1:3">
      <c r="A33989" s="571" t="s">
        <v>595</v>
      </c>
      <c r="B33989" s="572">
        <v>91</v>
      </c>
      <c r="C33989" s="572">
        <v>530</v>
      </c>
    </row>
    <row r="33990" spans="1:3">
      <c r="A33990" s="573" t="s">
        <v>595</v>
      </c>
      <c r="B33990" s="574">
        <v>180</v>
      </c>
      <c r="C33990" s="574">
        <v>590</v>
      </c>
    </row>
    <row r="33991" spans="1:3">
      <c r="A33991" s="571" t="s">
        <v>594</v>
      </c>
      <c r="B33991" s="572">
        <v>0</v>
      </c>
      <c r="C33991" s="572">
        <v>0</v>
      </c>
    </row>
    <row r="33992" spans="1:3">
      <c r="A33992" s="571" t="s">
        <v>594</v>
      </c>
      <c r="B33992" s="572">
        <v>7</v>
      </c>
      <c r="C33992" s="572">
        <v>210</v>
      </c>
    </row>
    <row r="33993" spans="1:3">
      <c r="A33993" s="571" t="s">
        <v>594</v>
      </c>
      <c r="B33993" s="572">
        <v>14</v>
      </c>
      <c r="C33993" s="572">
        <v>285</v>
      </c>
    </row>
    <row r="33994" spans="1:3">
      <c r="A33994" s="571" t="s">
        <v>594</v>
      </c>
      <c r="B33994" s="572">
        <v>28</v>
      </c>
      <c r="C33994" s="572">
        <v>415</v>
      </c>
    </row>
    <row r="33995" spans="1:3">
      <c r="A33995" s="571" t="s">
        <v>594</v>
      </c>
      <c r="B33995" s="572">
        <v>56</v>
      </c>
      <c r="C33995" s="572">
        <v>470</v>
      </c>
    </row>
    <row r="33996" spans="1:3">
      <c r="A33996" s="571" t="s">
        <v>594</v>
      </c>
      <c r="B33996" s="572">
        <v>91</v>
      </c>
      <c r="C33996" s="572">
        <v>535</v>
      </c>
    </row>
    <row r="33997" spans="1:3">
      <c r="A33997" s="573" t="s">
        <v>594</v>
      </c>
      <c r="B33997" s="574">
        <v>180</v>
      </c>
      <c r="C33997" s="574">
        <v>595</v>
      </c>
    </row>
    <row r="33998" spans="1:3">
      <c r="A33998" s="571" t="s">
        <v>593</v>
      </c>
      <c r="B33998" s="572">
        <v>0</v>
      </c>
      <c r="C33998" s="572">
        <v>0</v>
      </c>
    </row>
    <row r="33999" spans="1:3">
      <c r="A33999" s="571" t="s">
        <v>593</v>
      </c>
      <c r="B33999" s="572">
        <v>7</v>
      </c>
      <c r="C33999" s="572">
        <v>210</v>
      </c>
    </row>
    <row r="34000" spans="1:3">
      <c r="A34000" s="571" t="s">
        <v>593</v>
      </c>
      <c r="B34000" s="572">
        <v>14</v>
      </c>
      <c r="C34000" s="572">
        <v>285</v>
      </c>
    </row>
    <row r="34001" spans="1:3">
      <c r="A34001" s="571" t="s">
        <v>593</v>
      </c>
      <c r="B34001" s="572">
        <v>28</v>
      </c>
      <c r="C34001" s="572">
        <v>425</v>
      </c>
    </row>
    <row r="34002" spans="1:3">
      <c r="A34002" s="571" t="s">
        <v>593</v>
      </c>
      <c r="B34002" s="572">
        <v>56</v>
      </c>
      <c r="C34002" s="572">
        <v>510</v>
      </c>
    </row>
    <row r="34003" spans="1:3">
      <c r="A34003" s="571" t="s">
        <v>593</v>
      </c>
      <c r="B34003" s="572">
        <v>91</v>
      </c>
      <c r="C34003" s="572">
        <v>580</v>
      </c>
    </row>
    <row r="34004" spans="1:3">
      <c r="A34004" s="573" t="s">
        <v>593</v>
      </c>
      <c r="B34004" s="574">
        <v>180</v>
      </c>
      <c r="C34004" s="574">
        <v>640</v>
      </c>
    </row>
    <row r="34005" spans="1:3">
      <c r="A34005" s="571" t="s">
        <v>592</v>
      </c>
      <c r="B34005" s="572">
        <v>0</v>
      </c>
      <c r="C34005" s="572">
        <v>0</v>
      </c>
    </row>
    <row r="34006" spans="1:3">
      <c r="A34006" s="571" t="s">
        <v>592</v>
      </c>
      <c r="B34006" s="572">
        <v>7</v>
      </c>
      <c r="C34006" s="572">
        <v>195</v>
      </c>
    </row>
    <row r="34007" spans="1:3">
      <c r="A34007" s="571" t="s">
        <v>592</v>
      </c>
      <c r="B34007" s="572">
        <v>14</v>
      </c>
      <c r="C34007" s="572">
        <v>260</v>
      </c>
    </row>
    <row r="34008" spans="1:3">
      <c r="A34008" s="571" t="s">
        <v>592</v>
      </c>
      <c r="B34008" s="572">
        <v>28</v>
      </c>
      <c r="C34008" s="572">
        <v>390</v>
      </c>
    </row>
    <row r="34009" spans="1:3">
      <c r="A34009" s="571" t="s">
        <v>592</v>
      </c>
      <c r="B34009" s="572">
        <v>56</v>
      </c>
      <c r="C34009" s="572">
        <v>440</v>
      </c>
    </row>
    <row r="34010" spans="1:3">
      <c r="A34010" s="571" t="s">
        <v>592</v>
      </c>
      <c r="B34010" s="572">
        <v>91</v>
      </c>
      <c r="C34010" s="572">
        <v>505</v>
      </c>
    </row>
    <row r="34011" spans="1:3">
      <c r="A34011" s="573" t="s">
        <v>592</v>
      </c>
      <c r="B34011" s="574">
        <v>180</v>
      </c>
      <c r="C34011" s="574">
        <v>560</v>
      </c>
    </row>
    <row r="34012" spans="1:3">
      <c r="A34012" s="571" t="s">
        <v>591</v>
      </c>
      <c r="B34012" s="572">
        <v>0</v>
      </c>
      <c r="C34012" s="572">
        <v>0</v>
      </c>
    </row>
    <row r="34013" spans="1:3">
      <c r="A34013" s="571" t="s">
        <v>591</v>
      </c>
      <c r="B34013" s="572">
        <v>7</v>
      </c>
      <c r="C34013" s="572">
        <v>200</v>
      </c>
    </row>
    <row r="34014" spans="1:3">
      <c r="A34014" s="571" t="s">
        <v>591</v>
      </c>
      <c r="B34014" s="572">
        <v>14</v>
      </c>
      <c r="C34014" s="572">
        <v>270</v>
      </c>
    </row>
    <row r="34015" spans="1:3">
      <c r="A34015" s="571" t="s">
        <v>591</v>
      </c>
      <c r="B34015" s="572">
        <v>28</v>
      </c>
      <c r="C34015" s="572">
        <v>395</v>
      </c>
    </row>
    <row r="34016" spans="1:3">
      <c r="A34016" s="571" t="s">
        <v>591</v>
      </c>
      <c r="B34016" s="572">
        <v>56</v>
      </c>
      <c r="C34016" s="572">
        <v>465</v>
      </c>
    </row>
    <row r="34017" spans="1:3">
      <c r="A34017" s="571" t="s">
        <v>591</v>
      </c>
      <c r="B34017" s="572">
        <v>91</v>
      </c>
      <c r="C34017" s="572">
        <v>515</v>
      </c>
    </row>
    <row r="34018" spans="1:3">
      <c r="A34018" s="573" t="s">
        <v>591</v>
      </c>
      <c r="B34018" s="574">
        <v>180</v>
      </c>
      <c r="C34018" s="574">
        <v>580</v>
      </c>
    </row>
    <row r="34019" spans="1:3">
      <c r="A34019" s="571" t="s">
        <v>590</v>
      </c>
      <c r="B34019" s="572">
        <v>0</v>
      </c>
      <c r="C34019" s="572">
        <v>0</v>
      </c>
    </row>
    <row r="34020" spans="1:3">
      <c r="A34020" s="571" t="s">
        <v>590</v>
      </c>
      <c r="B34020" s="572">
        <v>7</v>
      </c>
      <c r="C34020" s="572">
        <v>195</v>
      </c>
    </row>
    <row r="34021" spans="1:3">
      <c r="A34021" s="571" t="s">
        <v>590</v>
      </c>
      <c r="B34021" s="572">
        <v>14</v>
      </c>
      <c r="C34021" s="572">
        <v>270</v>
      </c>
    </row>
    <row r="34022" spans="1:3">
      <c r="A34022" s="571" t="s">
        <v>590</v>
      </c>
      <c r="B34022" s="572">
        <v>28</v>
      </c>
      <c r="C34022" s="572">
        <v>390</v>
      </c>
    </row>
    <row r="34023" spans="1:3">
      <c r="A34023" s="571" t="s">
        <v>590</v>
      </c>
      <c r="B34023" s="572">
        <v>56</v>
      </c>
      <c r="C34023" s="572">
        <v>460</v>
      </c>
    </row>
    <row r="34024" spans="1:3">
      <c r="A34024" s="571" t="s">
        <v>590</v>
      </c>
      <c r="B34024" s="572">
        <v>91</v>
      </c>
      <c r="C34024" s="572">
        <v>520</v>
      </c>
    </row>
    <row r="34025" spans="1:3">
      <c r="A34025" s="573" t="s">
        <v>590</v>
      </c>
      <c r="B34025" s="574">
        <v>180</v>
      </c>
      <c r="C34025" s="574">
        <v>575</v>
      </c>
    </row>
    <row r="34026" spans="1:3">
      <c r="A34026" s="571" t="s">
        <v>589</v>
      </c>
      <c r="B34026" s="572">
        <v>0</v>
      </c>
      <c r="C34026" s="572">
        <v>0</v>
      </c>
    </row>
    <row r="34027" spans="1:3">
      <c r="A34027" s="571" t="s">
        <v>589</v>
      </c>
      <c r="B34027" s="572">
        <v>7</v>
      </c>
      <c r="C34027" s="572">
        <v>180</v>
      </c>
    </row>
    <row r="34028" spans="1:3">
      <c r="A34028" s="571" t="s">
        <v>589</v>
      </c>
      <c r="B34028" s="572">
        <v>14</v>
      </c>
      <c r="C34028" s="572">
        <v>235</v>
      </c>
    </row>
    <row r="34029" spans="1:3">
      <c r="A34029" s="571" t="s">
        <v>589</v>
      </c>
      <c r="B34029" s="572">
        <v>28</v>
      </c>
      <c r="C34029" s="572">
        <v>365</v>
      </c>
    </row>
    <row r="34030" spans="1:3">
      <c r="A34030" s="571" t="s">
        <v>589</v>
      </c>
      <c r="B34030" s="572">
        <v>56</v>
      </c>
      <c r="C34030" s="572">
        <v>415</v>
      </c>
    </row>
    <row r="34031" spans="1:3">
      <c r="A34031" s="571" t="s">
        <v>589</v>
      </c>
      <c r="B34031" s="572">
        <v>91</v>
      </c>
      <c r="C34031" s="572">
        <v>470</v>
      </c>
    </row>
    <row r="34032" spans="1:3">
      <c r="A34032" s="573" t="s">
        <v>589</v>
      </c>
      <c r="B34032" s="574">
        <v>180</v>
      </c>
      <c r="C34032" s="574">
        <v>540</v>
      </c>
    </row>
    <row r="34033" spans="1:3">
      <c r="A34033" s="571" t="s">
        <v>588</v>
      </c>
      <c r="B34033" s="572">
        <v>0</v>
      </c>
      <c r="C34033" s="572">
        <v>0</v>
      </c>
    </row>
    <row r="34034" spans="1:3">
      <c r="A34034" s="571" t="s">
        <v>588</v>
      </c>
      <c r="B34034" s="572">
        <v>7</v>
      </c>
      <c r="C34034" s="572">
        <v>210</v>
      </c>
    </row>
    <row r="34035" spans="1:3">
      <c r="A34035" s="571" t="s">
        <v>588</v>
      </c>
      <c r="B34035" s="572">
        <v>14</v>
      </c>
      <c r="C34035" s="572">
        <v>285</v>
      </c>
    </row>
    <row r="34036" spans="1:3">
      <c r="A34036" s="571" t="s">
        <v>588</v>
      </c>
      <c r="B34036" s="572">
        <v>28</v>
      </c>
      <c r="C34036" s="572">
        <v>420</v>
      </c>
    </row>
    <row r="34037" spans="1:3">
      <c r="A34037" s="571" t="s">
        <v>588</v>
      </c>
      <c r="B34037" s="572">
        <v>56</v>
      </c>
      <c r="C34037" s="572">
        <v>480</v>
      </c>
    </row>
    <row r="34038" spans="1:3">
      <c r="A34038" s="571" t="s">
        <v>588</v>
      </c>
      <c r="B34038" s="572">
        <v>91</v>
      </c>
      <c r="C34038" s="572">
        <v>545</v>
      </c>
    </row>
    <row r="34039" spans="1:3">
      <c r="A34039" s="573" t="s">
        <v>588</v>
      </c>
      <c r="B34039" s="574">
        <v>180</v>
      </c>
      <c r="C34039" s="574">
        <v>600</v>
      </c>
    </row>
    <row r="34040" spans="1:3">
      <c r="A34040" s="571" t="s">
        <v>587</v>
      </c>
      <c r="B34040" s="572">
        <v>0</v>
      </c>
      <c r="C34040" s="572">
        <v>0</v>
      </c>
    </row>
    <row r="34041" spans="1:3">
      <c r="A34041" s="571" t="s">
        <v>587</v>
      </c>
      <c r="B34041" s="572">
        <v>3</v>
      </c>
      <c r="C34041" s="572">
        <v>140</v>
      </c>
    </row>
    <row r="34042" spans="1:3">
      <c r="A34042" s="571" t="s">
        <v>587</v>
      </c>
      <c r="B34042" s="572">
        <v>7</v>
      </c>
      <c r="C34042" s="572">
        <v>205</v>
      </c>
    </row>
    <row r="34043" spans="1:3">
      <c r="A34043" s="571" t="s">
        <v>587</v>
      </c>
      <c r="B34043" s="572">
        <v>14</v>
      </c>
      <c r="C34043" s="572">
        <v>285</v>
      </c>
    </row>
    <row r="34044" spans="1:3">
      <c r="A34044" s="571" t="s">
        <v>587</v>
      </c>
      <c r="B34044" s="572">
        <v>28</v>
      </c>
      <c r="C34044" s="572">
        <v>405</v>
      </c>
    </row>
    <row r="34045" spans="1:3">
      <c r="A34045" s="571" t="s">
        <v>587</v>
      </c>
      <c r="B34045" s="572">
        <v>56</v>
      </c>
      <c r="C34045" s="572">
        <v>475</v>
      </c>
    </row>
    <row r="34046" spans="1:3">
      <c r="A34046" s="571" t="s">
        <v>587</v>
      </c>
      <c r="B34046" s="572">
        <v>91</v>
      </c>
      <c r="C34046" s="572">
        <v>545</v>
      </c>
    </row>
    <row r="34047" spans="1:3">
      <c r="A34047" s="573" t="s">
        <v>587</v>
      </c>
      <c r="B34047" s="574">
        <v>180</v>
      </c>
      <c r="C34047" s="574">
        <v>600</v>
      </c>
    </row>
    <row r="34048" spans="1:3">
      <c r="A34048" s="571" t="s">
        <v>586</v>
      </c>
      <c r="B34048" s="572">
        <v>0</v>
      </c>
      <c r="C34048" s="572">
        <v>0</v>
      </c>
    </row>
    <row r="34049" spans="1:3">
      <c r="A34049" s="571" t="s">
        <v>586</v>
      </c>
      <c r="B34049" s="572">
        <v>3</v>
      </c>
      <c r="C34049" s="572">
        <v>140</v>
      </c>
    </row>
    <row r="34050" spans="1:3">
      <c r="A34050" s="571" t="s">
        <v>586</v>
      </c>
      <c r="B34050" s="572">
        <v>7</v>
      </c>
      <c r="C34050" s="572">
        <v>205</v>
      </c>
    </row>
    <row r="34051" spans="1:3">
      <c r="A34051" s="571" t="s">
        <v>586</v>
      </c>
      <c r="B34051" s="572">
        <v>14</v>
      </c>
      <c r="C34051" s="572">
        <v>285</v>
      </c>
    </row>
    <row r="34052" spans="1:3">
      <c r="A34052" s="571" t="s">
        <v>586</v>
      </c>
      <c r="B34052" s="572">
        <v>28</v>
      </c>
      <c r="C34052" s="572">
        <v>405</v>
      </c>
    </row>
    <row r="34053" spans="1:3">
      <c r="A34053" s="571" t="s">
        <v>586</v>
      </c>
      <c r="B34053" s="572">
        <v>56</v>
      </c>
      <c r="C34053" s="572">
        <v>470</v>
      </c>
    </row>
    <row r="34054" spans="1:3">
      <c r="A34054" s="571" t="s">
        <v>586</v>
      </c>
      <c r="B34054" s="572">
        <v>91</v>
      </c>
      <c r="C34054" s="572">
        <v>535</v>
      </c>
    </row>
    <row r="34055" spans="1:3">
      <c r="A34055" s="573" t="s">
        <v>586</v>
      </c>
      <c r="B34055" s="574">
        <v>180</v>
      </c>
      <c r="C34055" s="574">
        <v>590</v>
      </c>
    </row>
    <row r="34056" spans="1:3">
      <c r="A34056" s="571" t="s">
        <v>585</v>
      </c>
      <c r="B34056" s="572">
        <v>0</v>
      </c>
      <c r="C34056" s="572">
        <v>0</v>
      </c>
    </row>
    <row r="34057" spans="1:3">
      <c r="A34057" s="571" t="s">
        <v>585</v>
      </c>
      <c r="B34057" s="572">
        <v>1</v>
      </c>
      <c r="C34057" s="572">
        <v>18</v>
      </c>
    </row>
    <row r="34058" spans="1:3">
      <c r="A34058" s="571" t="s">
        <v>585</v>
      </c>
      <c r="B34058" s="572">
        <v>3</v>
      </c>
      <c r="C34058" s="572">
        <v>64</v>
      </c>
    </row>
    <row r="34059" spans="1:3">
      <c r="A34059" s="571" t="s">
        <v>585</v>
      </c>
      <c r="B34059" s="572">
        <v>7</v>
      </c>
      <c r="C34059" s="572">
        <v>100</v>
      </c>
    </row>
    <row r="34060" spans="1:3">
      <c r="A34060" s="571" t="s">
        <v>585</v>
      </c>
      <c r="B34060" s="572">
        <v>14</v>
      </c>
      <c r="C34060" s="572">
        <v>150</v>
      </c>
    </row>
    <row r="34061" spans="1:3">
      <c r="A34061" s="571" t="s">
        <v>585</v>
      </c>
      <c r="B34061" s="572">
        <v>21</v>
      </c>
      <c r="C34061" s="572">
        <v>232</v>
      </c>
    </row>
    <row r="34062" spans="1:3">
      <c r="A34062" s="571" t="s">
        <v>585</v>
      </c>
      <c r="B34062" s="572">
        <v>28</v>
      </c>
      <c r="C34062" s="572">
        <v>264</v>
      </c>
    </row>
    <row r="34063" spans="1:3">
      <c r="A34063" s="571" t="s">
        <v>585</v>
      </c>
      <c r="B34063" s="572">
        <v>56</v>
      </c>
      <c r="C34063" s="572">
        <v>337</v>
      </c>
    </row>
    <row r="34064" spans="1:3">
      <c r="A34064" s="571" t="s">
        <v>585</v>
      </c>
      <c r="B34064" s="572">
        <v>91</v>
      </c>
      <c r="C34064" s="572">
        <v>400</v>
      </c>
    </row>
    <row r="34065" spans="1:3">
      <c r="A34065" s="573" t="s">
        <v>585</v>
      </c>
      <c r="B34065" s="574">
        <v>182</v>
      </c>
      <c r="C34065" s="574">
        <v>425</v>
      </c>
    </row>
    <row r="34066" spans="1:3">
      <c r="A34066" s="571" t="s">
        <v>584</v>
      </c>
      <c r="B34066" s="572">
        <v>0</v>
      </c>
      <c r="C34066" s="572">
        <v>0</v>
      </c>
    </row>
    <row r="34067" spans="1:3">
      <c r="A34067" s="571" t="s">
        <v>584</v>
      </c>
      <c r="B34067" s="572">
        <v>28</v>
      </c>
      <c r="C34067" s="572">
        <v>450</v>
      </c>
    </row>
    <row r="34068" spans="1:3">
      <c r="A34068" s="571" t="s">
        <v>584</v>
      </c>
      <c r="B34068" s="572">
        <v>56</v>
      </c>
      <c r="C34068" s="572">
        <v>556</v>
      </c>
    </row>
    <row r="34069" spans="1:3">
      <c r="A34069" s="571" t="s">
        <v>584</v>
      </c>
      <c r="B34069" s="572">
        <v>91</v>
      </c>
      <c r="C34069" s="572">
        <v>659</v>
      </c>
    </row>
    <row r="34070" spans="1:3">
      <c r="A34070" s="571" t="s">
        <v>583</v>
      </c>
      <c r="B34070" s="572">
        <v>0</v>
      </c>
      <c r="C34070" s="572">
        <v>0</v>
      </c>
    </row>
    <row r="34071" spans="1:3">
      <c r="A34071" s="571" t="s">
        <v>583</v>
      </c>
      <c r="B34071" s="572">
        <v>28</v>
      </c>
      <c r="C34071" s="572">
        <v>384</v>
      </c>
    </row>
    <row r="34072" spans="1:3">
      <c r="A34072" s="571" t="s">
        <v>583</v>
      </c>
      <c r="B34072" s="572">
        <v>56</v>
      </c>
      <c r="C34072" s="572">
        <v>497</v>
      </c>
    </row>
    <row r="34073" spans="1:3">
      <c r="A34073" s="571" t="s">
        <v>583</v>
      </c>
      <c r="B34073" s="572">
        <v>91</v>
      </c>
      <c r="C34073" s="572">
        <v>600</v>
      </c>
    </row>
    <row r="34074" spans="1:3">
      <c r="A34074" s="571" t="s">
        <v>582</v>
      </c>
      <c r="B34074" s="572">
        <v>0</v>
      </c>
      <c r="C34074" s="572">
        <v>0</v>
      </c>
    </row>
    <row r="34075" spans="1:3">
      <c r="A34075" s="571" t="s">
        <v>582</v>
      </c>
      <c r="B34075" s="572">
        <v>28</v>
      </c>
      <c r="C34075" s="572">
        <v>350</v>
      </c>
    </row>
    <row r="34076" spans="1:3">
      <c r="A34076" s="571" t="s">
        <v>582</v>
      </c>
      <c r="B34076" s="572">
        <v>56</v>
      </c>
      <c r="C34076" s="572">
        <v>475</v>
      </c>
    </row>
    <row r="34077" spans="1:3">
      <c r="A34077" s="571" t="s">
        <v>582</v>
      </c>
      <c r="B34077" s="572">
        <v>91</v>
      </c>
      <c r="C34077" s="572">
        <v>582</v>
      </c>
    </row>
    <row r="34078" spans="1:3">
      <c r="A34078" s="571" t="s">
        <v>581</v>
      </c>
      <c r="B34078" s="572">
        <v>0</v>
      </c>
      <c r="C34078" s="572">
        <v>0</v>
      </c>
    </row>
    <row r="34079" spans="1:3">
      <c r="A34079" s="571" t="s">
        <v>581</v>
      </c>
      <c r="B34079" s="572">
        <v>28</v>
      </c>
      <c r="C34079" s="572">
        <v>372</v>
      </c>
    </row>
    <row r="34080" spans="1:3">
      <c r="A34080" s="571" t="s">
        <v>581</v>
      </c>
      <c r="B34080" s="572">
        <v>56</v>
      </c>
      <c r="C34080" s="572">
        <v>473</v>
      </c>
    </row>
    <row r="34081" spans="1:3">
      <c r="A34081" s="571" t="s">
        <v>581</v>
      </c>
      <c r="B34081" s="572">
        <v>91</v>
      </c>
      <c r="C34081" s="572">
        <v>573</v>
      </c>
    </row>
    <row r="34082" spans="1:3">
      <c r="A34082" s="571" t="s">
        <v>580</v>
      </c>
      <c r="B34082" s="572">
        <v>0</v>
      </c>
      <c r="C34082" s="572">
        <v>0</v>
      </c>
    </row>
    <row r="34083" spans="1:3">
      <c r="A34083" s="571" t="s">
        <v>580</v>
      </c>
      <c r="B34083" s="572">
        <v>28</v>
      </c>
      <c r="C34083" s="572">
        <v>611</v>
      </c>
    </row>
    <row r="34084" spans="1:3">
      <c r="A34084" s="571" t="s">
        <v>580</v>
      </c>
      <c r="B34084" s="572">
        <v>56</v>
      </c>
      <c r="C34084" s="572">
        <v>877</v>
      </c>
    </row>
    <row r="34085" spans="1:3">
      <c r="A34085" s="571" t="s">
        <v>580</v>
      </c>
      <c r="B34085" s="572">
        <v>91</v>
      </c>
      <c r="C34085" s="572">
        <v>1021</v>
      </c>
    </row>
    <row r="34086" spans="1:3">
      <c r="A34086" s="571" t="s">
        <v>579</v>
      </c>
      <c r="B34086" s="572">
        <v>0</v>
      </c>
      <c r="C34086" s="572">
        <v>0</v>
      </c>
    </row>
    <row r="34087" spans="1:3">
      <c r="A34087" s="571" t="s">
        <v>579</v>
      </c>
      <c r="B34087" s="572">
        <v>28</v>
      </c>
      <c r="C34087" s="572">
        <v>568</v>
      </c>
    </row>
    <row r="34088" spans="1:3">
      <c r="A34088" s="571" t="s">
        <v>579</v>
      </c>
      <c r="B34088" s="572">
        <v>56</v>
      </c>
      <c r="C34088" s="572">
        <v>750</v>
      </c>
    </row>
    <row r="34089" spans="1:3">
      <c r="A34089" s="571" t="s">
        <v>579</v>
      </c>
      <c r="B34089" s="572">
        <v>91</v>
      </c>
      <c r="C34089" s="572">
        <v>899</v>
      </c>
    </row>
    <row r="34090" spans="1:3">
      <c r="A34090" s="571" t="s">
        <v>578</v>
      </c>
      <c r="B34090" s="572">
        <v>0</v>
      </c>
      <c r="C34090" s="572">
        <v>0</v>
      </c>
    </row>
    <row r="34091" spans="1:3">
      <c r="A34091" s="571" t="s">
        <v>578</v>
      </c>
      <c r="B34091" s="572">
        <v>28</v>
      </c>
      <c r="C34091" s="572">
        <v>533</v>
      </c>
    </row>
    <row r="34092" spans="1:3">
      <c r="A34092" s="571" t="s">
        <v>578</v>
      </c>
      <c r="B34092" s="572">
        <v>56</v>
      </c>
      <c r="C34092" s="572">
        <v>767</v>
      </c>
    </row>
    <row r="34093" spans="1:3">
      <c r="A34093" s="571" t="s">
        <v>578</v>
      </c>
      <c r="B34093" s="572">
        <v>91</v>
      </c>
      <c r="C34093" s="572">
        <v>870</v>
      </c>
    </row>
    <row r="34094" spans="1:3">
      <c r="A34094" s="571" t="s">
        <v>577</v>
      </c>
      <c r="B34094" s="572">
        <v>0</v>
      </c>
      <c r="C34094" s="572">
        <v>0</v>
      </c>
    </row>
    <row r="34095" spans="1:3">
      <c r="A34095" s="571" t="s">
        <v>577</v>
      </c>
      <c r="B34095" s="572">
        <v>28</v>
      </c>
      <c r="C34095" s="572">
        <v>750</v>
      </c>
    </row>
    <row r="34096" spans="1:3">
      <c r="A34096" s="571" t="s">
        <v>577</v>
      </c>
      <c r="B34096" s="572">
        <v>56</v>
      </c>
      <c r="C34096" s="572">
        <v>993</v>
      </c>
    </row>
    <row r="34097" spans="1:3">
      <c r="A34097" s="571" t="s">
        <v>577</v>
      </c>
      <c r="B34097" s="572">
        <v>91</v>
      </c>
      <c r="C34097" s="572">
        <v>1190</v>
      </c>
    </row>
    <row r="34098" spans="1:3">
      <c r="A34098" s="571" t="s">
        <v>576</v>
      </c>
      <c r="B34098" s="572">
        <v>0</v>
      </c>
      <c r="C34098" s="572">
        <v>0</v>
      </c>
    </row>
    <row r="34099" spans="1:3">
      <c r="A34099" s="571" t="s">
        <v>576</v>
      </c>
      <c r="B34099" s="572">
        <v>28</v>
      </c>
      <c r="C34099" s="572">
        <v>677</v>
      </c>
    </row>
    <row r="34100" spans="1:3">
      <c r="A34100" s="571" t="s">
        <v>576</v>
      </c>
      <c r="B34100" s="572">
        <v>56</v>
      </c>
      <c r="C34100" s="572">
        <v>882</v>
      </c>
    </row>
    <row r="34101" spans="1:3">
      <c r="A34101" s="571" t="s">
        <v>576</v>
      </c>
      <c r="B34101" s="572">
        <v>91</v>
      </c>
      <c r="C34101" s="572">
        <v>1019</v>
      </c>
    </row>
    <row r="34102" spans="1:3">
      <c r="A34102" s="571" t="s">
        <v>575</v>
      </c>
      <c r="B34102" s="572">
        <v>0</v>
      </c>
      <c r="C34102" s="572">
        <v>0</v>
      </c>
    </row>
    <row r="34103" spans="1:3">
      <c r="A34103" s="571" t="s">
        <v>575</v>
      </c>
      <c r="B34103" s="572">
        <v>28</v>
      </c>
      <c r="C34103" s="572">
        <v>659</v>
      </c>
    </row>
    <row r="34104" spans="1:3">
      <c r="A34104" s="571" t="s">
        <v>575</v>
      </c>
      <c r="B34104" s="572">
        <v>56</v>
      </c>
      <c r="C34104" s="572">
        <v>888</v>
      </c>
    </row>
    <row r="34105" spans="1:3">
      <c r="A34105" s="571" t="s">
        <v>575</v>
      </c>
      <c r="B34105" s="572">
        <v>91</v>
      </c>
      <c r="C34105" s="572">
        <v>1000</v>
      </c>
    </row>
    <row r="34106" spans="1:3">
      <c r="A34106" s="571" t="s">
        <v>574</v>
      </c>
      <c r="B34106" s="572">
        <v>0</v>
      </c>
      <c r="C34106" s="572">
        <v>0</v>
      </c>
    </row>
    <row r="34107" spans="1:3">
      <c r="A34107" s="571" t="s">
        <v>574</v>
      </c>
      <c r="B34107" s="572">
        <v>28</v>
      </c>
      <c r="C34107" s="572">
        <v>665</v>
      </c>
    </row>
    <row r="34108" spans="1:3">
      <c r="A34108" s="571" t="s">
        <v>574</v>
      </c>
      <c r="B34108" s="572">
        <v>56</v>
      </c>
      <c r="C34108" s="572">
        <v>910</v>
      </c>
    </row>
    <row r="34109" spans="1:3">
      <c r="A34109" s="571" t="s">
        <v>574</v>
      </c>
      <c r="B34109" s="572">
        <v>91</v>
      </c>
      <c r="C34109" s="572">
        <v>999</v>
      </c>
    </row>
    <row r="34110" spans="1:3">
      <c r="A34110" s="571" t="s">
        <v>573</v>
      </c>
      <c r="B34110" s="572">
        <v>0</v>
      </c>
      <c r="C34110" s="572">
        <v>0</v>
      </c>
    </row>
    <row r="34111" spans="1:3">
      <c r="A34111" s="571" t="s">
        <v>573</v>
      </c>
      <c r="B34111" s="572">
        <v>7</v>
      </c>
      <c r="C34111" s="572">
        <v>195</v>
      </c>
    </row>
    <row r="34112" spans="1:3">
      <c r="A34112" s="571" t="s">
        <v>573</v>
      </c>
      <c r="B34112" s="572">
        <v>14</v>
      </c>
      <c r="C34112" s="572">
        <v>243</v>
      </c>
    </row>
    <row r="34113" spans="1:3">
      <c r="A34113" s="571" t="s">
        <v>573</v>
      </c>
      <c r="B34113" s="572">
        <v>28</v>
      </c>
      <c r="C34113" s="572">
        <v>303</v>
      </c>
    </row>
    <row r="34114" spans="1:3">
      <c r="A34114" s="571" t="s">
        <v>573</v>
      </c>
      <c r="B34114" s="572">
        <v>56</v>
      </c>
      <c r="C34114" s="572">
        <v>367</v>
      </c>
    </row>
    <row r="34115" spans="1:3">
      <c r="A34115" s="571" t="s">
        <v>573</v>
      </c>
      <c r="B34115" s="572">
        <v>91</v>
      </c>
      <c r="C34115" s="572">
        <v>393</v>
      </c>
    </row>
    <row r="34116" spans="1:3">
      <c r="A34116" s="573" t="s">
        <v>573</v>
      </c>
      <c r="B34116" s="574">
        <v>182</v>
      </c>
      <c r="C34116" s="574">
        <v>442</v>
      </c>
    </row>
    <row r="34117" spans="1:3">
      <c r="A34117" s="573" t="s">
        <v>573</v>
      </c>
      <c r="B34117" s="574">
        <v>364</v>
      </c>
      <c r="C34117" s="574">
        <v>493</v>
      </c>
    </row>
    <row r="34118" spans="1:3">
      <c r="A34118" s="571" t="s">
        <v>572</v>
      </c>
      <c r="B34118" s="572">
        <v>0</v>
      </c>
      <c r="C34118" s="572">
        <v>0</v>
      </c>
    </row>
    <row r="34119" spans="1:3">
      <c r="A34119" s="571" t="s">
        <v>572</v>
      </c>
      <c r="B34119" s="572">
        <v>7</v>
      </c>
      <c r="C34119" s="572">
        <v>200</v>
      </c>
    </row>
    <row r="34120" spans="1:3">
      <c r="A34120" s="571" t="s">
        <v>572</v>
      </c>
      <c r="B34120" s="572">
        <v>14</v>
      </c>
      <c r="C34120" s="572">
        <v>315</v>
      </c>
    </row>
    <row r="34121" spans="1:3">
      <c r="A34121" s="571" t="s">
        <v>572</v>
      </c>
      <c r="B34121" s="572">
        <v>28</v>
      </c>
      <c r="C34121" s="572">
        <v>435</v>
      </c>
    </row>
    <row r="34122" spans="1:3">
      <c r="A34122" s="571" t="s">
        <v>572</v>
      </c>
      <c r="B34122" s="572">
        <v>56</v>
      </c>
      <c r="C34122" s="572">
        <v>505</v>
      </c>
    </row>
    <row r="34123" spans="1:3">
      <c r="A34123" s="571" t="s">
        <v>572</v>
      </c>
      <c r="B34123" s="572">
        <v>91</v>
      </c>
      <c r="C34123" s="572">
        <v>540</v>
      </c>
    </row>
    <row r="34124" spans="1:3">
      <c r="A34124" s="573" t="s">
        <v>572</v>
      </c>
      <c r="B34124" s="574">
        <v>182</v>
      </c>
      <c r="C34124" s="574">
        <v>575</v>
      </c>
    </row>
    <row r="34125" spans="1:3">
      <c r="A34125" s="573" t="s">
        <v>572</v>
      </c>
      <c r="B34125" s="574">
        <v>364</v>
      </c>
      <c r="C34125" s="574">
        <v>615</v>
      </c>
    </row>
    <row r="34126" spans="1:3">
      <c r="A34126" s="571" t="s">
        <v>571</v>
      </c>
      <c r="B34126" s="572">
        <v>0</v>
      </c>
      <c r="C34126" s="572">
        <v>0</v>
      </c>
    </row>
    <row r="34127" spans="1:3">
      <c r="A34127" s="571" t="s">
        <v>571</v>
      </c>
      <c r="B34127" s="572">
        <v>7</v>
      </c>
      <c r="C34127" s="572">
        <v>207</v>
      </c>
    </row>
    <row r="34128" spans="1:3">
      <c r="A34128" s="571" t="s">
        <v>571</v>
      </c>
      <c r="B34128" s="572">
        <v>14</v>
      </c>
      <c r="C34128" s="572">
        <v>273</v>
      </c>
    </row>
    <row r="34129" spans="1:3">
      <c r="A34129" s="571" t="s">
        <v>571</v>
      </c>
      <c r="B34129" s="572">
        <v>28</v>
      </c>
      <c r="C34129" s="572">
        <v>350</v>
      </c>
    </row>
    <row r="34130" spans="1:3">
      <c r="A34130" s="571" t="s">
        <v>571</v>
      </c>
      <c r="B34130" s="572">
        <v>56</v>
      </c>
      <c r="C34130" s="572">
        <v>420</v>
      </c>
    </row>
    <row r="34131" spans="1:3">
      <c r="A34131" s="571" t="s">
        <v>571</v>
      </c>
      <c r="B34131" s="572">
        <v>91</v>
      </c>
      <c r="C34131" s="572">
        <v>450</v>
      </c>
    </row>
    <row r="34132" spans="1:3">
      <c r="A34132" s="573" t="s">
        <v>571</v>
      </c>
      <c r="B34132" s="574">
        <v>182</v>
      </c>
      <c r="C34132" s="574">
        <v>507</v>
      </c>
    </row>
    <row r="34133" spans="1:3">
      <c r="A34133" s="573" t="s">
        <v>571</v>
      </c>
      <c r="B34133" s="574">
        <v>364</v>
      </c>
      <c r="C34133" s="574">
        <v>545</v>
      </c>
    </row>
    <row r="34134" spans="1:3">
      <c r="A34134" s="571" t="s">
        <v>570</v>
      </c>
      <c r="B34134" s="572">
        <v>0</v>
      </c>
      <c r="C34134" s="572">
        <v>0</v>
      </c>
    </row>
    <row r="34135" spans="1:3">
      <c r="A34135" s="571" t="s">
        <v>570</v>
      </c>
      <c r="B34135" s="572">
        <v>7</v>
      </c>
      <c r="C34135" s="572">
        <v>160</v>
      </c>
    </row>
    <row r="34136" spans="1:3">
      <c r="A34136" s="571" t="s">
        <v>570</v>
      </c>
      <c r="B34136" s="572">
        <v>14</v>
      </c>
      <c r="C34136" s="572">
        <v>220</v>
      </c>
    </row>
    <row r="34137" spans="1:3">
      <c r="A34137" s="571" t="s">
        <v>570</v>
      </c>
      <c r="B34137" s="572">
        <v>28</v>
      </c>
      <c r="C34137" s="572">
        <v>315</v>
      </c>
    </row>
    <row r="34138" spans="1:3">
      <c r="A34138" s="571" t="s">
        <v>570</v>
      </c>
      <c r="B34138" s="572">
        <v>56</v>
      </c>
      <c r="C34138" s="572">
        <v>373</v>
      </c>
    </row>
    <row r="34139" spans="1:3">
      <c r="A34139" s="571" t="s">
        <v>570</v>
      </c>
      <c r="B34139" s="572">
        <v>91</v>
      </c>
      <c r="C34139" s="572">
        <v>405</v>
      </c>
    </row>
    <row r="34140" spans="1:3">
      <c r="A34140" s="573" t="s">
        <v>570</v>
      </c>
      <c r="B34140" s="574">
        <v>182</v>
      </c>
      <c r="C34140" s="574">
        <v>450</v>
      </c>
    </row>
    <row r="34141" spans="1:3">
      <c r="A34141" s="573" t="s">
        <v>570</v>
      </c>
      <c r="B34141" s="574">
        <v>364</v>
      </c>
      <c r="C34141" s="574">
        <v>500</v>
      </c>
    </row>
    <row r="34142" spans="1:3">
      <c r="A34142" s="571" t="s">
        <v>569</v>
      </c>
      <c r="B34142" s="572">
        <v>0</v>
      </c>
      <c r="C34142" s="572">
        <v>0</v>
      </c>
    </row>
    <row r="34143" spans="1:3">
      <c r="A34143" s="571" t="s">
        <v>569</v>
      </c>
      <c r="B34143" s="572">
        <v>7</v>
      </c>
      <c r="C34143" s="572">
        <v>180</v>
      </c>
    </row>
    <row r="34144" spans="1:3">
      <c r="A34144" s="571" t="s">
        <v>569</v>
      </c>
      <c r="B34144" s="572">
        <v>14</v>
      </c>
      <c r="C34144" s="572">
        <v>257</v>
      </c>
    </row>
    <row r="34145" spans="1:3">
      <c r="A34145" s="571" t="s">
        <v>569</v>
      </c>
      <c r="B34145" s="572">
        <v>28</v>
      </c>
      <c r="C34145" s="572">
        <v>335</v>
      </c>
    </row>
    <row r="34146" spans="1:3">
      <c r="A34146" s="571" t="s">
        <v>569</v>
      </c>
      <c r="B34146" s="572">
        <v>56</v>
      </c>
      <c r="C34146" s="572">
        <v>410</v>
      </c>
    </row>
    <row r="34147" spans="1:3">
      <c r="A34147" s="571" t="s">
        <v>569</v>
      </c>
      <c r="B34147" s="572">
        <v>91</v>
      </c>
      <c r="C34147" s="572">
        <v>437</v>
      </c>
    </row>
    <row r="34148" spans="1:3">
      <c r="A34148" s="573" t="s">
        <v>569</v>
      </c>
      <c r="B34148" s="574">
        <v>182</v>
      </c>
      <c r="C34148" s="574">
        <v>485</v>
      </c>
    </row>
    <row r="34149" spans="1:3">
      <c r="A34149" s="573" t="s">
        <v>569</v>
      </c>
      <c r="B34149" s="574">
        <v>364</v>
      </c>
      <c r="C34149" s="574">
        <v>527</v>
      </c>
    </row>
    <row r="34150" spans="1:3">
      <c r="A34150" s="571" t="s">
        <v>568</v>
      </c>
      <c r="B34150" s="572">
        <v>0</v>
      </c>
      <c r="C34150" s="572">
        <v>0</v>
      </c>
    </row>
    <row r="34151" spans="1:3">
      <c r="A34151" s="571" t="s">
        <v>568</v>
      </c>
      <c r="B34151" s="572">
        <v>7</v>
      </c>
      <c r="C34151" s="572">
        <v>165</v>
      </c>
    </row>
    <row r="34152" spans="1:3">
      <c r="A34152" s="571" t="s">
        <v>568</v>
      </c>
      <c r="B34152" s="572">
        <v>14</v>
      </c>
      <c r="C34152" s="572">
        <v>280</v>
      </c>
    </row>
    <row r="34153" spans="1:3">
      <c r="A34153" s="571" t="s">
        <v>568</v>
      </c>
      <c r="B34153" s="572">
        <v>21</v>
      </c>
      <c r="C34153" s="572">
        <v>360</v>
      </c>
    </row>
    <row r="34154" spans="1:3">
      <c r="A34154" s="571" t="s">
        <v>568</v>
      </c>
      <c r="B34154" s="572">
        <v>28</v>
      </c>
      <c r="C34154" s="572">
        <v>440</v>
      </c>
    </row>
    <row r="34155" spans="1:3">
      <c r="A34155" s="571" t="s">
        <v>568</v>
      </c>
      <c r="B34155" s="572">
        <v>42</v>
      </c>
      <c r="C34155" s="572">
        <v>593</v>
      </c>
    </row>
    <row r="34156" spans="1:3">
      <c r="A34156" s="571" t="s">
        <v>568</v>
      </c>
      <c r="B34156" s="572">
        <v>56</v>
      </c>
      <c r="C34156" s="572">
        <v>645</v>
      </c>
    </row>
    <row r="34157" spans="1:3">
      <c r="A34157" s="571" t="s">
        <v>568</v>
      </c>
      <c r="B34157" s="572">
        <v>91</v>
      </c>
      <c r="C34157" s="572">
        <v>695</v>
      </c>
    </row>
    <row r="34158" spans="1:3">
      <c r="A34158" s="571" t="s">
        <v>567</v>
      </c>
      <c r="B34158" s="572">
        <v>0</v>
      </c>
      <c r="C34158" s="572">
        <v>0</v>
      </c>
    </row>
    <row r="34159" spans="1:3">
      <c r="A34159" s="571" t="s">
        <v>567</v>
      </c>
      <c r="B34159" s="572">
        <v>7</v>
      </c>
      <c r="C34159" s="572">
        <v>160</v>
      </c>
    </row>
    <row r="34160" spans="1:3">
      <c r="A34160" s="571" t="s">
        <v>567</v>
      </c>
      <c r="B34160" s="572">
        <v>14</v>
      </c>
      <c r="C34160" s="572">
        <v>235</v>
      </c>
    </row>
    <row r="34161" spans="1:3">
      <c r="A34161" s="571" t="s">
        <v>567</v>
      </c>
      <c r="B34161" s="572">
        <v>21</v>
      </c>
      <c r="C34161" s="572">
        <v>285</v>
      </c>
    </row>
    <row r="34162" spans="1:3">
      <c r="A34162" s="571" t="s">
        <v>567</v>
      </c>
      <c r="B34162" s="572">
        <v>28</v>
      </c>
      <c r="C34162" s="572">
        <v>335</v>
      </c>
    </row>
    <row r="34163" spans="1:3">
      <c r="A34163" s="571" t="s">
        <v>567</v>
      </c>
      <c r="B34163" s="572">
        <v>42</v>
      </c>
      <c r="C34163" s="572">
        <v>374</v>
      </c>
    </row>
    <row r="34164" spans="1:3">
      <c r="A34164" s="571" t="s">
        <v>567</v>
      </c>
      <c r="B34164" s="572">
        <v>56</v>
      </c>
      <c r="C34164" s="572">
        <v>425</v>
      </c>
    </row>
    <row r="34165" spans="1:3">
      <c r="A34165" s="571" t="s">
        <v>567</v>
      </c>
      <c r="B34165" s="572">
        <v>91</v>
      </c>
      <c r="C34165" s="572">
        <v>450</v>
      </c>
    </row>
    <row r="34166" spans="1:3">
      <c r="A34166" s="571" t="s">
        <v>566</v>
      </c>
      <c r="B34166" s="572">
        <v>0</v>
      </c>
      <c r="C34166" s="572">
        <v>0</v>
      </c>
    </row>
    <row r="34167" spans="1:3">
      <c r="A34167" s="571" t="s">
        <v>566</v>
      </c>
      <c r="B34167" s="572">
        <v>7</v>
      </c>
      <c r="C34167" s="572">
        <v>185</v>
      </c>
    </row>
    <row r="34168" spans="1:3">
      <c r="A34168" s="571" t="s">
        <v>566</v>
      </c>
      <c r="B34168" s="572">
        <v>14</v>
      </c>
      <c r="C34168" s="572">
        <v>260</v>
      </c>
    </row>
    <row r="34169" spans="1:3">
      <c r="A34169" s="571" t="s">
        <v>566</v>
      </c>
      <c r="B34169" s="572">
        <v>21</v>
      </c>
      <c r="C34169" s="572">
        <v>315</v>
      </c>
    </row>
    <row r="34170" spans="1:3">
      <c r="A34170" s="571" t="s">
        <v>566</v>
      </c>
      <c r="B34170" s="572">
        <v>28</v>
      </c>
      <c r="C34170" s="572">
        <v>355</v>
      </c>
    </row>
    <row r="34171" spans="1:3">
      <c r="A34171" s="571" t="s">
        <v>566</v>
      </c>
      <c r="B34171" s="572">
        <v>42</v>
      </c>
      <c r="C34171" s="572">
        <v>378</v>
      </c>
    </row>
    <row r="34172" spans="1:3">
      <c r="A34172" s="571" t="s">
        <v>566</v>
      </c>
      <c r="B34172" s="572">
        <v>56</v>
      </c>
      <c r="C34172" s="572">
        <v>440</v>
      </c>
    </row>
    <row r="34173" spans="1:3">
      <c r="A34173" s="571" t="s">
        <v>566</v>
      </c>
      <c r="B34173" s="572">
        <v>91</v>
      </c>
      <c r="C34173" s="572">
        <v>475</v>
      </c>
    </row>
    <row r="34174" spans="1:3">
      <c r="A34174" s="571" t="s">
        <v>565</v>
      </c>
      <c r="B34174" s="572">
        <v>0</v>
      </c>
      <c r="C34174" s="572">
        <v>0</v>
      </c>
    </row>
    <row r="34175" spans="1:3">
      <c r="A34175" s="571" t="s">
        <v>565</v>
      </c>
      <c r="B34175" s="572">
        <v>7</v>
      </c>
      <c r="C34175" s="572">
        <v>190</v>
      </c>
    </row>
    <row r="34176" spans="1:3">
      <c r="A34176" s="571" t="s">
        <v>565</v>
      </c>
      <c r="B34176" s="572">
        <v>14</v>
      </c>
      <c r="C34176" s="572">
        <v>285</v>
      </c>
    </row>
    <row r="34177" spans="1:3">
      <c r="A34177" s="571" t="s">
        <v>565</v>
      </c>
      <c r="B34177" s="572">
        <v>21</v>
      </c>
      <c r="C34177" s="572">
        <v>355</v>
      </c>
    </row>
    <row r="34178" spans="1:3">
      <c r="A34178" s="571" t="s">
        <v>565</v>
      </c>
      <c r="B34178" s="572">
        <v>28</v>
      </c>
      <c r="C34178" s="572">
        <v>390</v>
      </c>
    </row>
    <row r="34179" spans="1:3">
      <c r="A34179" s="571" t="s">
        <v>565</v>
      </c>
      <c r="B34179" s="572">
        <v>42</v>
      </c>
      <c r="C34179" s="572">
        <v>418</v>
      </c>
    </row>
    <row r="34180" spans="1:3">
      <c r="A34180" s="571" t="s">
        <v>565</v>
      </c>
      <c r="B34180" s="572">
        <v>56</v>
      </c>
      <c r="C34180" s="572">
        <v>450</v>
      </c>
    </row>
    <row r="34181" spans="1:3">
      <c r="A34181" s="571" t="s">
        <v>565</v>
      </c>
      <c r="B34181" s="572">
        <v>91</v>
      </c>
      <c r="C34181" s="572">
        <v>505</v>
      </c>
    </row>
    <row r="34182" spans="1:3">
      <c r="A34182" s="571" t="s">
        <v>564</v>
      </c>
      <c r="B34182" s="572">
        <v>0</v>
      </c>
      <c r="C34182" s="572">
        <v>0</v>
      </c>
    </row>
    <row r="34183" spans="1:3">
      <c r="A34183" s="571" t="s">
        <v>564</v>
      </c>
      <c r="B34183" s="572">
        <v>7</v>
      </c>
      <c r="C34183" s="572">
        <v>135</v>
      </c>
    </row>
    <row r="34184" spans="1:3">
      <c r="A34184" s="571" t="s">
        <v>564</v>
      </c>
      <c r="B34184" s="572">
        <v>14</v>
      </c>
      <c r="C34184" s="572">
        <v>225</v>
      </c>
    </row>
    <row r="34185" spans="1:3">
      <c r="A34185" s="571" t="s">
        <v>564</v>
      </c>
      <c r="B34185" s="572">
        <v>21</v>
      </c>
      <c r="C34185" s="572">
        <v>300</v>
      </c>
    </row>
    <row r="34186" spans="1:3">
      <c r="A34186" s="571" t="s">
        <v>564</v>
      </c>
      <c r="B34186" s="572">
        <v>28</v>
      </c>
      <c r="C34186" s="572">
        <v>320</v>
      </c>
    </row>
    <row r="34187" spans="1:3">
      <c r="A34187" s="571" t="s">
        <v>564</v>
      </c>
      <c r="B34187" s="572">
        <v>42</v>
      </c>
      <c r="C34187" s="572">
        <v>390</v>
      </c>
    </row>
    <row r="34188" spans="1:3">
      <c r="A34188" s="571" t="s">
        <v>564</v>
      </c>
      <c r="B34188" s="572">
        <v>56</v>
      </c>
      <c r="C34188" s="572">
        <v>440</v>
      </c>
    </row>
    <row r="34189" spans="1:3">
      <c r="A34189" s="571" t="s">
        <v>564</v>
      </c>
      <c r="B34189" s="572">
        <v>70</v>
      </c>
      <c r="C34189" s="572">
        <v>455</v>
      </c>
    </row>
    <row r="34190" spans="1:3">
      <c r="A34190" s="571" t="s">
        <v>564</v>
      </c>
      <c r="B34190" s="572">
        <v>91</v>
      </c>
      <c r="C34190" s="572">
        <v>505</v>
      </c>
    </row>
    <row r="34191" spans="1:3">
      <c r="A34191" s="573" t="s">
        <v>564</v>
      </c>
      <c r="B34191" s="574">
        <v>119</v>
      </c>
      <c r="C34191" s="574">
        <v>521</v>
      </c>
    </row>
    <row r="34192" spans="1:3">
      <c r="A34192" s="571" t="s">
        <v>563</v>
      </c>
      <c r="B34192" s="572">
        <v>0</v>
      </c>
      <c r="C34192" s="572">
        <v>0</v>
      </c>
    </row>
    <row r="34193" spans="1:3">
      <c r="A34193" s="571" t="s">
        <v>563</v>
      </c>
      <c r="B34193" s="572">
        <v>7</v>
      </c>
      <c r="C34193" s="572">
        <v>200</v>
      </c>
    </row>
    <row r="34194" spans="1:3">
      <c r="A34194" s="571" t="s">
        <v>563</v>
      </c>
      <c r="B34194" s="572">
        <v>14</v>
      </c>
      <c r="C34194" s="572">
        <v>380</v>
      </c>
    </row>
    <row r="34195" spans="1:3">
      <c r="A34195" s="571" t="s">
        <v>563</v>
      </c>
      <c r="B34195" s="572">
        <v>21</v>
      </c>
      <c r="C34195" s="572">
        <v>550</v>
      </c>
    </row>
    <row r="34196" spans="1:3">
      <c r="A34196" s="571" t="s">
        <v>563</v>
      </c>
      <c r="B34196" s="572">
        <v>28</v>
      </c>
      <c r="C34196" s="572">
        <v>640</v>
      </c>
    </row>
    <row r="34197" spans="1:3">
      <c r="A34197" s="571" t="s">
        <v>563</v>
      </c>
      <c r="B34197" s="572">
        <v>42</v>
      </c>
      <c r="C34197" s="572">
        <v>865</v>
      </c>
    </row>
    <row r="34198" spans="1:3">
      <c r="A34198" s="571" t="s">
        <v>563</v>
      </c>
      <c r="B34198" s="572">
        <v>56</v>
      </c>
      <c r="C34198" s="572">
        <v>1000</v>
      </c>
    </row>
    <row r="34199" spans="1:3">
      <c r="A34199" s="571" t="s">
        <v>563</v>
      </c>
      <c r="B34199" s="572">
        <v>70</v>
      </c>
      <c r="C34199" s="572">
        <v>1125</v>
      </c>
    </row>
    <row r="34200" spans="1:3">
      <c r="A34200" s="571" t="s">
        <v>563</v>
      </c>
      <c r="B34200" s="572">
        <v>91</v>
      </c>
      <c r="C34200" s="572">
        <v>1260</v>
      </c>
    </row>
    <row r="34201" spans="1:3">
      <c r="A34201" s="573" t="s">
        <v>563</v>
      </c>
      <c r="B34201" s="574">
        <v>119</v>
      </c>
      <c r="C34201" s="574">
        <v>1382</v>
      </c>
    </row>
    <row r="34202" spans="1:3">
      <c r="A34202" s="571" t="s">
        <v>562</v>
      </c>
      <c r="B34202" s="572">
        <v>0</v>
      </c>
      <c r="C34202" s="572">
        <v>0</v>
      </c>
    </row>
    <row r="34203" spans="1:3">
      <c r="A34203" s="571" t="s">
        <v>562</v>
      </c>
      <c r="B34203" s="572">
        <v>7</v>
      </c>
      <c r="C34203" s="572">
        <v>225</v>
      </c>
    </row>
    <row r="34204" spans="1:3">
      <c r="A34204" s="571" t="s">
        <v>562</v>
      </c>
      <c r="B34204" s="572">
        <v>14</v>
      </c>
      <c r="C34204" s="572">
        <v>330</v>
      </c>
    </row>
    <row r="34205" spans="1:3">
      <c r="A34205" s="571" t="s">
        <v>562</v>
      </c>
      <c r="B34205" s="572">
        <v>21</v>
      </c>
      <c r="C34205" s="572">
        <v>505</v>
      </c>
    </row>
    <row r="34206" spans="1:3">
      <c r="A34206" s="571" t="s">
        <v>562</v>
      </c>
      <c r="B34206" s="572">
        <v>28</v>
      </c>
      <c r="C34206" s="572">
        <v>615</v>
      </c>
    </row>
    <row r="34207" spans="1:3">
      <c r="A34207" s="571" t="s">
        <v>562</v>
      </c>
      <c r="B34207" s="572">
        <v>42</v>
      </c>
      <c r="C34207" s="572">
        <v>840</v>
      </c>
    </row>
    <row r="34208" spans="1:3">
      <c r="A34208" s="571" t="s">
        <v>562</v>
      </c>
      <c r="B34208" s="572">
        <v>56</v>
      </c>
      <c r="C34208" s="572">
        <v>970</v>
      </c>
    </row>
    <row r="34209" spans="1:3">
      <c r="A34209" s="571" t="s">
        <v>562</v>
      </c>
      <c r="B34209" s="572">
        <v>70</v>
      </c>
      <c r="C34209" s="572">
        <v>1080</v>
      </c>
    </row>
    <row r="34210" spans="1:3">
      <c r="A34210" s="571" t="s">
        <v>562</v>
      </c>
      <c r="B34210" s="572">
        <v>91</v>
      </c>
      <c r="C34210" s="572">
        <v>1215</v>
      </c>
    </row>
    <row r="34211" spans="1:3">
      <c r="A34211" s="573" t="s">
        <v>562</v>
      </c>
      <c r="B34211" s="574">
        <v>119</v>
      </c>
      <c r="C34211" s="574">
        <v>1332</v>
      </c>
    </row>
    <row r="34212" spans="1:3">
      <c r="A34212" s="571" t="s">
        <v>560</v>
      </c>
      <c r="B34212" s="572">
        <v>0</v>
      </c>
      <c r="C34212" s="572">
        <v>0</v>
      </c>
    </row>
    <row r="34213" spans="1:3">
      <c r="A34213" s="571" t="s">
        <v>560</v>
      </c>
      <c r="B34213" s="572">
        <v>7</v>
      </c>
      <c r="C34213" s="572">
        <v>60</v>
      </c>
    </row>
    <row r="34214" spans="1:3">
      <c r="A34214" s="571" t="s">
        <v>560</v>
      </c>
      <c r="B34214" s="572">
        <v>14</v>
      </c>
      <c r="C34214" s="572">
        <v>165</v>
      </c>
    </row>
    <row r="34215" spans="1:3">
      <c r="A34215" s="571" t="s">
        <v>560</v>
      </c>
      <c r="B34215" s="572">
        <v>21</v>
      </c>
      <c r="C34215" s="572">
        <v>230</v>
      </c>
    </row>
    <row r="34216" spans="1:3">
      <c r="A34216" s="571" t="s">
        <v>560</v>
      </c>
      <c r="B34216" s="572">
        <v>28</v>
      </c>
      <c r="C34216" s="572">
        <v>275</v>
      </c>
    </row>
    <row r="34217" spans="1:3">
      <c r="A34217" s="571" t="s">
        <v>560</v>
      </c>
      <c r="B34217" s="572">
        <v>42</v>
      </c>
      <c r="C34217" s="572">
        <v>400</v>
      </c>
    </row>
    <row r="34218" spans="1:3">
      <c r="A34218" s="571" t="s">
        <v>560</v>
      </c>
      <c r="B34218" s="572">
        <v>56</v>
      </c>
      <c r="C34218" s="572">
        <v>500</v>
      </c>
    </row>
    <row r="34219" spans="1:3">
      <c r="A34219" s="571" t="s">
        <v>560</v>
      </c>
      <c r="B34219" s="572">
        <v>70</v>
      </c>
      <c r="C34219" s="572">
        <v>600</v>
      </c>
    </row>
    <row r="34220" spans="1:3">
      <c r="A34220" s="571" t="s">
        <v>560</v>
      </c>
      <c r="B34220" s="572">
        <v>91</v>
      </c>
      <c r="C34220" s="572">
        <v>750</v>
      </c>
    </row>
    <row r="34221" spans="1:3">
      <c r="A34221" s="573" t="s">
        <v>560</v>
      </c>
      <c r="B34221" s="574">
        <v>119</v>
      </c>
      <c r="C34221" s="574">
        <v>869</v>
      </c>
    </row>
    <row r="34222" spans="1:3">
      <c r="A34222" s="571" t="s">
        <v>556</v>
      </c>
      <c r="B34222" s="572">
        <v>0</v>
      </c>
      <c r="C34222" s="572">
        <v>0</v>
      </c>
    </row>
    <row r="34223" spans="1:3">
      <c r="A34223" s="571" t="s">
        <v>556</v>
      </c>
      <c r="B34223" s="572">
        <v>7</v>
      </c>
      <c r="C34223" s="572">
        <v>115</v>
      </c>
    </row>
    <row r="34224" spans="1:3">
      <c r="A34224" s="571" t="s">
        <v>556</v>
      </c>
      <c r="B34224" s="572">
        <v>14</v>
      </c>
      <c r="C34224" s="572">
        <v>190</v>
      </c>
    </row>
    <row r="34225" spans="1:3">
      <c r="A34225" s="571" t="s">
        <v>556</v>
      </c>
      <c r="B34225" s="572">
        <v>21</v>
      </c>
      <c r="C34225" s="572">
        <v>290</v>
      </c>
    </row>
    <row r="34226" spans="1:3">
      <c r="A34226" s="571" t="s">
        <v>556</v>
      </c>
      <c r="B34226" s="572">
        <v>28</v>
      </c>
      <c r="C34226" s="572">
        <v>340</v>
      </c>
    </row>
    <row r="34227" spans="1:3">
      <c r="A34227" s="571" t="s">
        <v>556</v>
      </c>
      <c r="B34227" s="572">
        <v>42</v>
      </c>
      <c r="C34227" s="572">
        <v>430</v>
      </c>
    </row>
    <row r="34228" spans="1:3">
      <c r="A34228" s="571" t="s">
        <v>556</v>
      </c>
      <c r="B34228" s="572">
        <v>56</v>
      </c>
      <c r="C34228" s="572">
        <v>440</v>
      </c>
    </row>
    <row r="34229" spans="1:3">
      <c r="A34229" s="571" t="s">
        <v>556</v>
      </c>
      <c r="B34229" s="572">
        <v>70</v>
      </c>
      <c r="C34229" s="572">
        <v>455</v>
      </c>
    </row>
    <row r="34230" spans="1:3">
      <c r="A34230" s="571" t="s">
        <v>556</v>
      </c>
      <c r="B34230" s="572">
        <v>91</v>
      </c>
      <c r="C34230" s="572">
        <v>520</v>
      </c>
    </row>
    <row r="34231" spans="1:3">
      <c r="A34231" s="573" t="s">
        <v>556</v>
      </c>
      <c r="B34231" s="574">
        <v>119</v>
      </c>
      <c r="C34231" s="574">
        <v>520</v>
      </c>
    </row>
    <row r="34232" spans="1:3">
      <c r="A34232" s="573" t="s">
        <v>556</v>
      </c>
      <c r="B34232" s="574">
        <v>147</v>
      </c>
      <c r="C34232" s="574">
        <v>580</v>
      </c>
    </row>
    <row r="34233" spans="1:3">
      <c r="A34233" s="573" t="s">
        <v>556</v>
      </c>
      <c r="B34233" s="574">
        <v>182</v>
      </c>
      <c r="C34233" s="574">
        <v>600</v>
      </c>
    </row>
    <row r="34234" spans="1:3">
      <c r="A34234" s="571" t="s">
        <v>555</v>
      </c>
      <c r="B34234" s="572">
        <v>0</v>
      </c>
      <c r="C34234" s="572">
        <v>0</v>
      </c>
    </row>
    <row r="34235" spans="1:3">
      <c r="A34235" s="571" t="s">
        <v>555</v>
      </c>
      <c r="B34235" s="572">
        <v>7</v>
      </c>
      <c r="C34235" s="572">
        <v>25</v>
      </c>
    </row>
    <row r="34236" spans="1:3">
      <c r="A34236" s="571" t="s">
        <v>555</v>
      </c>
      <c r="B34236" s="572">
        <v>14</v>
      </c>
      <c r="C34236" s="572">
        <v>95</v>
      </c>
    </row>
    <row r="34237" spans="1:3">
      <c r="A34237" s="571" t="s">
        <v>555</v>
      </c>
      <c r="B34237" s="572">
        <v>21</v>
      </c>
      <c r="C34237" s="572">
        <v>95</v>
      </c>
    </row>
    <row r="34238" spans="1:3">
      <c r="A34238" s="571" t="s">
        <v>555</v>
      </c>
      <c r="B34238" s="572">
        <v>28</v>
      </c>
      <c r="C34238" s="572">
        <v>160</v>
      </c>
    </row>
    <row r="34239" spans="1:3">
      <c r="A34239" s="571" t="s">
        <v>555</v>
      </c>
      <c r="B34239" s="572">
        <v>42</v>
      </c>
      <c r="C34239" s="572">
        <v>215</v>
      </c>
    </row>
    <row r="34240" spans="1:3">
      <c r="A34240" s="571" t="s">
        <v>555</v>
      </c>
      <c r="B34240" s="572">
        <v>56</v>
      </c>
      <c r="C34240" s="572">
        <v>240</v>
      </c>
    </row>
    <row r="34241" spans="1:3">
      <c r="A34241" s="571" t="s">
        <v>555</v>
      </c>
      <c r="B34241" s="572">
        <v>70</v>
      </c>
      <c r="C34241" s="572">
        <v>260</v>
      </c>
    </row>
    <row r="34242" spans="1:3">
      <c r="A34242" s="571" t="s">
        <v>555</v>
      </c>
      <c r="B34242" s="572">
        <v>91</v>
      </c>
      <c r="C34242" s="572">
        <v>320</v>
      </c>
    </row>
    <row r="34243" spans="1:3">
      <c r="A34243" s="573" t="s">
        <v>555</v>
      </c>
      <c r="B34243" s="574">
        <v>119</v>
      </c>
      <c r="C34243" s="574">
        <v>320</v>
      </c>
    </row>
    <row r="34244" spans="1:3">
      <c r="A34244" s="573" t="s">
        <v>555</v>
      </c>
      <c r="B34244" s="574">
        <v>147</v>
      </c>
      <c r="C34244" s="574">
        <v>350</v>
      </c>
    </row>
    <row r="34245" spans="1:3">
      <c r="A34245" s="573" t="s">
        <v>555</v>
      </c>
      <c r="B34245" s="574">
        <v>182</v>
      </c>
      <c r="C34245" s="574">
        <v>395</v>
      </c>
    </row>
    <row r="34246" spans="1:3">
      <c r="A34246" s="571" t="s">
        <v>554</v>
      </c>
      <c r="B34246" s="572">
        <v>0</v>
      </c>
      <c r="C34246" s="572">
        <v>0</v>
      </c>
    </row>
    <row r="34247" spans="1:3">
      <c r="A34247" s="571" t="s">
        <v>554</v>
      </c>
      <c r="B34247" s="572">
        <v>7</v>
      </c>
      <c r="C34247" s="572">
        <v>70</v>
      </c>
    </row>
    <row r="34248" spans="1:3">
      <c r="A34248" s="571" t="s">
        <v>554</v>
      </c>
      <c r="B34248" s="572">
        <v>14</v>
      </c>
      <c r="C34248" s="572">
        <v>175</v>
      </c>
    </row>
    <row r="34249" spans="1:3">
      <c r="A34249" s="571" t="s">
        <v>554</v>
      </c>
      <c r="B34249" s="572">
        <v>21</v>
      </c>
      <c r="C34249" s="572">
        <v>300</v>
      </c>
    </row>
    <row r="34250" spans="1:3">
      <c r="A34250" s="571" t="s">
        <v>554</v>
      </c>
      <c r="B34250" s="572">
        <v>28</v>
      </c>
      <c r="C34250" s="572">
        <v>360</v>
      </c>
    </row>
    <row r="34251" spans="1:3">
      <c r="A34251" s="571" t="s">
        <v>554</v>
      </c>
      <c r="B34251" s="572">
        <v>42</v>
      </c>
      <c r="C34251" s="572">
        <v>530</v>
      </c>
    </row>
    <row r="34252" spans="1:3">
      <c r="A34252" s="571" t="s">
        <v>554</v>
      </c>
      <c r="B34252" s="572">
        <v>56</v>
      </c>
      <c r="C34252" s="572">
        <v>570</v>
      </c>
    </row>
    <row r="34253" spans="1:3">
      <c r="A34253" s="571" t="s">
        <v>554</v>
      </c>
      <c r="B34253" s="572">
        <v>70</v>
      </c>
      <c r="C34253" s="572">
        <v>600</v>
      </c>
    </row>
    <row r="34254" spans="1:3">
      <c r="A34254" s="571" t="s">
        <v>554</v>
      </c>
      <c r="B34254" s="572">
        <v>91</v>
      </c>
      <c r="C34254" s="572">
        <v>650</v>
      </c>
    </row>
    <row r="34255" spans="1:3">
      <c r="A34255" s="573" t="s">
        <v>554</v>
      </c>
      <c r="B34255" s="574">
        <v>119</v>
      </c>
      <c r="C34255" s="574">
        <v>660</v>
      </c>
    </row>
    <row r="34256" spans="1:3">
      <c r="A34256" s="573" t="s">
        <v>554</v>
      </c>
      <c r="B34256" s="574">
        <v>147</v>
      </c>
      <c r="C34256" s="574">
        <v>700</v>
      </c>
    </row>
    <row r="34257" spans="1:3">
      <c r="A34257" s="573" t="s">
        <v>554</v>
      </c>
      <c r="B34257" s="574">
        <v>182</v>
      </c>
      <c r="C34257" s="574">
        <v>900</v>
      </c>
    </row>
    <row r="34258" spans="1:3">
      <c r="A34258" s="571" t="s">
        <v>553</v>
      </c>
      <c r="B34258" s="572">
        <v>0</v>
      </c>
      <c r="C34258" s="572">
        <v>0</v>
      </c>
    </row>
    <row r="34259" spans="1:3">
      <c r="A34259" s="571" t="s">
        <v>553</v>
      </c>
      <c r="B34259" s="572">
        <v>7</v>
      </c>
      <c r="C34259" s="572">
        <v>60</v>
      </c>
    </row>
    <row r="34260" spans="1:3">
      <c r="A34260" s="571" t="s">
        <v>553</v>
      </c>
      <c r="B34260" s="572">
        <v>14</v>
      </c>
      <c r="C34260" s="572">
        <v>90</v>
      </c>
    </row>
    <row r="34261" spans="1:3">
      <c r="A34261" s="571" t="s">
        <v>553</v>
      </c>
      <c r="B34261" s="572">
        <v>21</v>
      </c>
      <c r="C34261" s="572">
        <v>120</v>
      </c>
    </row>
    <row r="34262" spans="1:3">
      <c r="A34262" s="571" t="s">
        <v>553</v>
      </c>
      <c r="B34262" s="572">
        <v>28</v>
      </c>
      <c r="C34262" s="572">
        <v>215</v>
      </c>
    </row>
    <row r="34263" spans="1:3">
      <c r="A34263" s="571" t="s">
        <v>553</v>
      </c>
      <c r="B34263" s="572">
        <v>42</v>
      </c>
      <c r="C34263" s="572">
        <v>330</v>
      </c>
    </row>
    <row r="34264" spans="1:3">
      <c r="A34264" s="571" t="s">
        <v>553</v>
      </c>
      <c r="B34264" s="572">
        <v>56</v>
      </c>
      <c r="C34264" s="572">
        <v>340</v>
      </c>
    </row>
    <row r="34265" spans="1:3">
      <c r="A34265" s="571" t="s">
        <v>553</v>
      </c>
      <c r="B34265" s="572">
        <v>70</v>
      </c>
      <c r="C34265" s="572">
        <v>370</v>
      </c>
    </row>
    <row r="34266" spans="1:3">
      <c r="A34266" s="571" t="s">
        <v>553</v>
      </c>
      <c r="B34266" s="572">
        <v>91</v>
      </c>
      <c r="C34266" s="572">
        <v>430</v>
      </c>
    </row>
    <row r="34267" spans="1:3">
      <c r="A34267" s="573" t="s">
        <v>553</v>
      </c>
      <c r="B34267" s="574">
        <v>119</v>
      </c>
      <c r="C34267" s="574">
        <v>495</v>
      </c>
    </row>
    <row r="34268" spans="1:3">
      <c r="A34268" s="573" t="s">
        <v>553</v>
      </c>
      <c r="B34268" s="574">
        <v>147</v>
      </c>
      <c r="C34268" s="574">
        <v>505</v>
      </c>
    </row>
    <row r="34269" spans="1:3">
      <c r="A34269" s="573" t="s">
        <v>553</v>
      </c>
      <c r="B34269" s="574">
        <v>182</v>
      </c>
      <c r="C34269" s="574">
        <v>575</v>
      </c>
    </row>
    <row r="34270" spans="1:3">
      <c r="A34270" s="571" t="s">
        <v>552</v>
      </c>
      <c r="B34270" s="572">
        <v>0</v>
      </c>
      <c r="C34270" s="572">
        <v>0</v>
      </c>
    </row>
    <row r="34271" spans="1:3">
      <c r="A34271" s="571" t="s">
        <v>552</v>
      </c>
      <c r="B34271" s="572">
        <v>7</v>
      </c>
      <c r="C34271" s="572">
        <v>200</v>
      </c>
    </row>
    <row r="34272" spans="1:3">
      <c r="A34272" s="571" t="s">
        <v>552</v>
      </c>
      <c r="B34272" s="572">
        <v>14</v>
      </c>
      <c r="C34272" s="572">
        <v>330</v>
      </c>
    </row>
    <row r="34273" spans="1:3">
      <c r="A34273" s="571" t="s">
        <v>552</v>
      </c>
      <c r="B34273" s="572">
        <v>21</v>
      </c>
      <c r="C34273" s="572">
        <v>440</v>
      </c>
    </row>
    <row r="34274" spans="1:3">
      <c r="A34274" s="571" t="s">
        <v>552</v>
      </c>
      <c r="B34274" s="572">
        <v>28</v>
      </c>
      <c r="C34274" s="572">
        <v>520</v>
      </c>
    </row>
    <row r="34275" spans="1:3">
      <c r="A34275" s="571" t="s">
        <v>552</v>
      </c>
      <c r="B34275" s="572">
        <v>42</v>
      </c>
      <c r="C34275" s="572">
        <v>690</v>
      </c>
    </row>
    <row r="34276" spans="1:3">
      <c r="A34276" s="571" t="s">
        <v>552</v>
      </c>
      <c r="B34276" s="572">
        <v>56</v>
      </c>
      <c r="C34276" s="572">
        <v>700</v>
      </c>
    </row>
    <row r="34277" spans="1:3">
      <c r="A34277" s="571" t="s">
        <v>552</v>
      </c>
      <c r="B34277" s="572">
        <v>70</v>
      </c>
      <c r="C34277" s="572">
        <v>730</v>
      </c>
    </row>
    <row r="34278" spans="1:3">
      <c r="A34278" s="571" t="s">
        <v>552</v>
      </c>
      <c r="B34278" s="572">
        <v>91</v>
      </c>
      <c r="C34278" s="572">
        <v>790</v>
      </c>
    </row>
    <row r="34279" spans="1:3">
      <c r="A34279" s="573" t="s">
        <v>552</v>
      </c>
      <c r="B34279" s="574">
        <v>119</v>
      </c>
      <c r="C34279" s="574">
        <v>840</v>
      </c>
    </row>
    <row r="34280" spans="1:3">
      <c r="A34280" s="573" t="s">
        <v>552</v>
      </c>
      <c r="B34280" s="574">
        <v>147</v>
      </c>
      <c r="C34280" s="574">
        <v>950</v>
      </c>
    </row>
    <row r="34281" spans="1:3">
      <c r="A34281" s="573" t="s">
        <v>552</v>
      </c>
      <c r="B34281" s="574">
        <v>182</v>
      </c>
      <c r="C34281" s="574">
        <v>950</v>
      </c>
    </row>
    <row r="34282" spans="1:3">
      <c r="A34282" s="571" t="s">
        <v>551</v>
      </c>
      <c r="B34282" s="572">
        <v>0</v>
      </c>
      <c r="C34282" s="572">
        <v>0</v>
      </c>
    </row>
    <row r="34283" spans="1:3">
      <c r="A34283" s="571" t="s">
        <v>551</v>
      </c>
      <c r="B34283" s="572">
        <v>7</v>
      </c>
      <c r="C34283" s="572">
        <v>90</v>
      </c>
    </row>
    <row r="34284" spans="1:3">
      <c r="A34284" s="571" t="s">
        <v>551</v>
      </c>
      <c r="B34284" s="572">
        <v>14</v>
      </c>
      <c r="C34284" s="572">
        <v>115</v>
      </c>
    </row>
    <row r="34285" spans="1:3">
      <c r="A34285" s="571" t="s">
        <v>551</v>
      </c>
      <c r="B34285" s="572">
        <v>21</v>
      </c>
      <c r="C34285" s="572">
        <v>140</v>
      </c>
    </row>
    <row r="34286" spans="1:3">
      <c r="A34286" s="571" t="s">
        <v>551</v>
      </c>
      <c r="B34286" s="572">
        <v>28</v>
      </c>
      <c r="C34286" s="572">
        <v>205</v>
      </c>
    </row>
    <row r="34287" spans="1:3">
      <c r="A34287" s="571" t="s">
        <v>551</v>
      </c>
      <c r="B34287" s="572">
        <v>42</v>
      </c>
      <c r="C34287" s="572">
        <v>305</v>
      </c>
    </row>
    <row r="34288" spans="1:3">
      <c r="A34288" s="571" t="s">
        <v>551</v>
      </c>
      <c r="B34288" s="572">
        <v>56</v>
      </c>
      <c r="C34288" s="572">
        <v>320</v>
      </c>
    </row>
    <row r="34289" spans="1:3">
      <c r="A34289" s="571" t="s">
        <v>551</v>
      </c>
      <c r="B34289" s="572">
        <v>70</v>
      </c>
      <c r="C34289" s="572">
        <v>310</v>
      </c>
    </row>
    <row r="34290" spans="1:3">
      <c r="A34290" s="571" t="s">
        <v>551</v>
      </c>
      <c r="B34290" s="572">
        <v>91</v>
      </c>
      <c r="C34290" s="572">
        <v>420</v>
      </c>
    </row>
    <row r="34291" spans="1:3">
      <c r="A34291" s="573" t="s">
        <v>551</v>
      </c>
      <c r="B34291" s="574">
        <v>119</v>
      </c>
      <c r="C34291" s="574">
        <v>450</v>
      </c>
    </row>
    <row r="34292" spans="1:3">
      <c r="A34292" s="573" t="s">
        <v>551</v>
      </c>
      <c r="B34292" s="574">
        <v>147</v>
      </c>
      <c r="C34292" s="574">
        <v>485</v>
      </c>
    </row>
    <row r="34293" spans="1:3">
      <c r="A34293" s="573" t="s">
        <v>551</v>
      </c>
      <c r="B34293" s="574">
        <v>182</v>
      </c>
      <c r="C34293" s="574">
        <v>570</v>
      </c>
    </row>
    <row r="34294" spans="1:3">
      <c r="A34294" s="571" t="s">
        <v>550</v>
      </c>
      <c r="B34294" s="572">
        <v>0</v>
      </c>
      <c r="C34294" s="572">
        <v>0</v>
      </c>
    </row>
    <row r="34295" spans="1:3">
      <c r="A34295" s="571" t="s">
        <v>550</v>
      </c>
      <c r="B34295" s="572">
        <v>7</v>
      </c>
      <c r="C34295" s="572">
        <v>225</v>
      </c>
    </row>
    <row r="34296" spans="1:3">
      <c r="A34296" s="571" t="s">
        <v>550</v>
      </c>
      <c r="B34296" s="572">
        <v>14</v>
      </c>
      <c r="C34296" s="572">
        <v>310</v>
      </c>
    </row>
    <row r="34297" spans="1:3">
      <c r="A34297" s="571" t="s">
        <v>550</v>
      </c>
      <c r="B34297" s="572">
        <v>21</v>
      </c>
      <c r="C34297" s="572">
        <v>565</v>
      </c>
    </row>
    <row r="34298" spans="1:3">
      <c r="A34298" s="571" t="s">
        <v>550</v>
      </c>
      <c r="B34298" s="572">
        <v>28</v>
      </c>
      <c r="C34298" s="572">
        <v>700</v>
      </c>
    </row>
    <row r="34299" spans="1:3">
      <c r="A34299" s="571" t="s">
        <v>550</v>
      </c>
      <c r="B34299" s="572">
        <v>42</v>
      </c>
      <c r="C34299" s="572">
        <v>895</v>
      </c>
    </row>
    <row r="34300" spans="1:3">
      <c r="A34300" s="571" t="s">
        <v>550</v>
      </c>
      <c r="B34300" s="572">
        <v>56</v>
      </c>
      <c r="C34300" s="572">
        <v>950</v>
      </c>
    </row>
    <row r="34301" spans="1:3">
      <c r="A34301" s="571" t="s">
        <v>550</v>
      </c>
      <c r="B34301" s="572">
        <v>70</v>
      </c>
      <c r="C34301" s="572">
        <v>990</v>
      </c>
    </row>
    <row r="34302" spans="1:3">
      <c r="A34302" s="571" t="s">
        <v>550</v>
      </c>
      <c r="B34302" s="572">
        <v>91</v>
      </c>
      <c r="C34302" s="572">
        <v>1130</v>
      </c>
    </row>
    <row r="34303" spans="1:3">
      <c r="A34303" s="573" t="s">
        <v>550</v>
      </c>
      <c r="B34303" s="574">
        <v>119</v>
      </c>
      <c r="C34303" s="574">
        <v>1195</v>
      </c>
    </row>
    <row r="34304" spans="1:3">
      <c r="A34304" s="573" t="s">
        <v>550</v>
      </c>
      <c r="B34304" s="574">
        <v>147</v>
      </c>
      <c r="C34304" s="574">
        <v>1260</v>
      </c>
    </row>
    <row r="34305" spans="1:3">
      <c r="A34305" s="573" t="s">
        <v>550</v>
      </c>
      <c r="B34305" s="574">
        <v>182</v>
      </c>
      <c r="C34305" s="574">
        <v>1360</v>
      </c>
    </row>
    <row r="34306" spans="1:3">
      <c r="A34306" s="571" t="s">
        <v>548</v>
      </c>
      <c r="B34306" s="572">
        <v>0</v>
      </c>
      <c r="C34306" s="572">
        <v>0</v>
      </c>
    </row>
    <row r="34307" spans="1:3">
      <c r="A34307" s="571" t="s">
        <v>548</v>
      </c>
      <c r="B34307" s="572">
        <v>7</v>
      </c>
      <c r="C34307" s="572">
        <v>75</v>
      </c>
    </row>
    <row r="34308" spans="1:3">
      <c r="A34308" s="571" t="s">
        <v>548</v>
      </c>
      <c r="B34308" s="572">
        <v>14</v>
      </c>
      <c r="C34308" s="572">
        <v>80</v>
      </c>
    </row>
    <row r="34309" spans="1:3">
      <c r="A34309" s="571" t="s">
        <v>548</v>
      </c>
      <c r="B34309" s="572">
        <v>21</v>
      </c>
      <c r="C34309" s="572">
        <v>130</v>
      </c>
    </row>
    <row r="34310" spans="1:3">
      <c r="A34310" s="571" t="s">
        <v>548</v>
      </c>
      <c r="B34310" s="572">
        <v>28</v>
      </c>
      <c r="C34310" s="572">
        <v>240</v>
      </c>
    </row>
    <row r="34311" spans="1:3">
      <c r="A34311" s="571" t="s">
        <v>548</v>
      </c>
      <c r="B34311" s="572">
        <v>42</v>
      </c>
      <c r="C34311" s="572">
        <v>400</v>
      </c>
    </row>
    <row r="34312" spans="1:3">
      <c r="A34312" s="571" t="s">
        <v>548</v>
      </c>
      <c r="B34312" s="572">
        <v>56</v>
      </c>
      <c r="C34312" s="572">
        <v>410</v>
      </c>
    </row>
    <row r="34313" spans="1:3">
      <c r="A34313" s="571" t="s">
        <v>548</v>
      </c>
      <c r="B34313" s="572">
        <v>70</v>
      </c>
      <c r="C34313" s="572">
        <v>500</v>
      </c>
    </row>
    <row r="34314" spans="1:3">
      <c r="A34314" s="571" t="s">
        <v>548</v>
      </c>
      <c r="B34314" s="572">
        <v>91</v>
      </c>
      <c r="C34314" s="572">
        <v>590</v>
      </c>
    </row>
    <row r="34315" spans="1:3">
      <c r="A34315" s="573" t="s">
        <v>548</v>
      </c>
      <c r="B34315" s="574">
        <v>119</v>
      </c>
      <c r="C34315" s="574">
        <v>630</v>
      </c>
    </row>
    <row r="34316" spans="1:3">
      <c r="A34316" s="573" t="s">
        <v>548</v>
      </c>
      <c r="B34316" s="574">
        <v>147</v>
      </c>
      <c r="C34316" s="574">
        <v>670</v>
      </c>
    </row>
    <row r="34317" spans="1:3">
      <c r="A34317" s="573" t="s">
        <v>548</v>
      </c>
      <c r="B34317" s="574">
        <v>182</v>
      </c>
      <c r="C34317" s="574">
        <v>805</v>
      </c>
    </row>
  </sheetData>
  <conditionalFormatting sqref="B2439">
    <cfRule type="cellIs" dxfId="98" priority="95" operator="lessThan">
      <formula>0</formula>
    </cfRule>
  </conditionalFormatting>
  <conditionalFormatting sqref="B1">
    <cfRule type="cellIs" dxfId="97" priority="94" operator="lessThan">
      <formula>0</formula>
    </cfRule>
  </conditionalFormatting>
  <conditionalFormatting sqref="B2671:B2688">
    <cfRule type="cellIs" dxfId="96" priority="93" operator="lessThan">
      <formula>0</formula>
    </cfRule>
  </conditionalFormatting>
  <conditionalFormatting sqref="B2689:B2718">
    <cfRule type="cellIs" dxfId="95" priority="92" operator="lessThan">
      <formula>0</formula>
    </cfRule>
  </conditionalFormatting>
  <conditionalFormatting sqref="B2719:B2728">
    <cfRule type="cellIs" dxfId="94" priority="91" operator="lessThan">
      <formula>0</formula>
    </cfRule>
  </conditionalFormatting>
  <conditionalFormatting sqref="B2652:B2670">
    <cfRule type="cellIs" dxfId="93" priority="90" operator="lessThan">
      <formula>0</formula>
    </cfRule>
  </conditionalFormatting>
  <conditionalFormatting sqref="B2633:B2651">
    <cfRule type="cellIs" dxfId="92" priority="89" operator="lessThan">
      <formula>0</formula>
    </cfRule>
  </conditionalFormatting>
  <conditionalFormatting sqref="B2440:B2611">
    <cfRule type="cellIs" dxfId="91" priority="88" operator="lessThan">
      <formula>0</formula>
    </cfRule>
  </conditionalFormatting>
  <conditionalFormatting sqref="B2223:B2282">
    <cfRule type="cellIs" dxfId="90" priority="87" operator="lessThan">
      <formula>0</formula>
    </cfRule>
  </conditionalFormatting>
  <conditionalFormatting sqref="B2116:B2139">
    <cfRule type="cellIs" dxfId="89" priority="86" operator="lessThan">
      <formula>0</formula>
    </cfRule>
  </conditionalFormatting>
  <conditionalFormatting sqref="B2092:B2103">
    <cfRule type="cellIs" dxfId="88" priority="85" operator="lessThan">
      <formula>0</formula>
    </cfRule>
  </conditionalFormatting>
  <conditionalFormatting sqref="B1984:B2055">
    <cfRule type="cellIs" dxfId="87" priority="84" operator="lessThan">
      <formula>0</formula>
    </cfRule>
  </conditionalFormatting>
  <conditionalFormatting sqref="B1948:B1971">
    <cfRule type="cellIs" dxfId="86" priority="83" operator="lessThan">
      <formula>0</formula>
    </cfRule>
  </conditionalFormatting>
  <conditionalFormatting sqref="B1707:B1730">
    <cfRule type="cellIs" dxfId="85" priority="77" operator="lessThan">
      <formula>0</formula>
    </cfRule>
  </conditionalFormatting>
  <conditionalFormatting sqref="B1862:B1873">
    <cfRule type="cellIs" dxfId="84" priority="82" operator="lessThan">
      <formula>0</formula>
    </cfRule>
  </conditionalFormatting>
  <conditionalFormatting sqref="B1838:B1849">
    <cfRule type="cellIs" dxfId="83" priority="81" operator="lessThan">
      <formula>0</formula>
    </cfRule>
  </conditionalFormatting>
  <conditionalFormatting sqref="B1802:B1813">
    <cfRule type="cellIs" dxfId="82" priority="80" operator="lessThan">
      <formula>0</formula>
    </cfRule>
  </conditionalFormatting>
  <conditionalFormatting sqref="B1754:B1765">
    <cfRule type="cellIs" dxfId="81" priority="79" operator="lessThan">
      <formula>0</formula>
    </cfRule>
  </conditionalFormatting>
  <conditionalFormatting sqref="B1731:B1741">
    <cfRule type="cellIs" dxfId="80" priority="78" operator="lessThan">
      <formula>0</formula>
    </cfRule>
  </conditionalFormatting>
  <conditionalFormatting sqref="B2:B81 B108:B470">
    <cfRule type="cellIs" dxfId="79" priority="76" operator="lessThan">
      <formula>0</formula>
    </cfRule>
  </conditionalFormatting>
  <conditionalFormatting sqref="B82:B107">
    <cfRule type="cellIs" dxfId="78" priority="75" operator="lessThan">
      <formula>0</formula>
    </cfRule>
  </conditionalFormatting>
  <conditionalFormatting sqref="B471:B494 B496:B522">
    <cfRule type="cellIs" dxfId="77" priority="74" operator="lessThan">
      <formula>0</formula>
    </cfRule>
  </conditionalFormatting>
  <conditionalFormatting sqref="B495">
    <cfRule type="cellIs" dxfId="76" priority="73" operator="lessThan">
      <formula>0</formula>
    </cfRule>
  </conditionalFormatting>
  <conditionalFormatting sqref="B523">
    <cfRule type="cellIs" dxfId="75" priority="72" operator="lessThan">
      <formula>0</formula>
    </cfRule>
  </conditionalFormatting>
  <conditionalFormatting sqref="B524:B841">
    <cfRule type="cellIs" dxfId="74" priority="71" operator="lessThan">
      <formula>0</formula>
    </cfRule>
  </conditionalFormatting>
  <conditionalFormatting sqref="B842:B849 B852:B865 B870:B893">
    <cfRule type="cellIs" dxfId="73" priority="70" operator="lessThan">
      <formula>0</formula>
    </cfRule>
  </conditionalFormatting>
  <conditionalFormatting sqref="B850:B851">
    <cfRule type="cellIs" dxfId="72" priority="69" operator="lessThan">
      <formula>0</formula>
    </cfRule>
  </conditionalFormatting>
  <conditionalFormatting sqref="B866:B869">
    <cfRule type="cellIs" dxfId="71" priority="68" operator="lessThan">
      <formula>0</formula>
    </cfRule>
  </conditionalFormatting>
  <conditionalFormatting sqref="B894:B896">
    <cfRule type="cellIs" dxfId="70" priority="67" operator="lessThan">
      <formula>0</formula>
    </cfRule>
  </conditionalFormatting>
  <conditionalFormatting sqref="B897:B1272">
    <cfRule type="cellIs" dxfId="69" priority="66" operator="lessThan">
      <formula>0</formula>
    </cfRule>
  </conditionalFormatting>
  <conditionalFormatting sqref="B1273:B1706">
    <cfRule type="cellIs" dxfId="68" priority="65" operator="lessThan">
      <formula>0</formula>
    </cfRule>
  </conditionalFormatting>
  <conditionalFormatting sqref="B1742:B1749 B1751:B1752">
    <cfRule type="cellIs" dxfId="67" priority="64" operator="lessThan">
      <formula>0</formula>
    </cfRule>
  </conditionalFormatting>
  <conditionalFormatting sqref="B1750">
    <cfRule type="cellIs" dxfId="66" priority="63" operator="lessThan">
      <formula>0</formula>
    </cfRule>
  </conditionalFormatting>
  <conditionalFormatting sqref="B1753">
    <cfRule type="cellIs" dxfId="65" priority="62" operator="lessThan">
      <formula>0</formula>
    </cfRule>
  </conditionalFormatting>
  <conditionalFormatting sqref="B1766:B1777">
    <cfRule type="cellIs" dxfId="64" priority="61" operator="lessThan">
      <formula>0</formula>
    </cfRule>
  </conditionalFormatting>
  <conditionalFormatting sqref="B1778:B1789">
    <cfRule type="cellIs" dxfId="63" priority="60" operator="lessThan">
      <formula>0</formula>
    </cfRule>
  </conditionalFormatting>
  <conditionalFormatting sqref="B1790:B1801">
    <cfRule type="cellIs" dxfId="62" priority="59" operator="lessThan">
      <formula>0</formula>
    </cfRule>
  </conditionalFormatting>
  <conditionalFormatting sqref="B1814:B1825">
    <cfRule type="cellIs" dxfId="61" priority="58" operator="lessThan">
      <formula>0</formula>
    </cfRule>
  </conditionalFormatting>
  <conditionalFormatting sqref="B1826:B1837">
    <cfRule type="cellIs" dxfId="60" priority="57" operator="lessThan">
      <formula>0</formula>
    </cfRule>
  </conditionalFormatting>
  <conditionalFormatting sqref="B1850:B1861">
    <cfRule type="cellIs" dxfId="59" priority="56" operator="lessThan">
      <formula>0</formula>
    </cfRule>
  </conditionalFormatting>
  <conditionalFormatting sqref="B1874:B1885">
    <cfRule type="cellIs" dxfId="58" priority="55" operator="lessThan">
      <formula>0</formula>
    </cfRule>
  </conditionalFormatting>
  <conditionalFormatting sqref="B1886:B1897">
    <cfRule type="cellIs" dxfId="57" priority="54" operator="lessThan">
      <formula>0</formula>
    </cfRule>
  </conditionalFormatting>
  <conditionalFormatting sqref="B1898:B1909">
    <cfRule type="cellIs" dxfId="56" priority="53" operator="lessThan">
      <formula>0</formula>
    </cfRule>
  </conditionalFormatting>
  <conditionalFormatting sqref="B1910">
    <cfRule type="cellIs" dxfId="55" priority="52" operator="lessThan">
      <formula>0</formula>
    </cfRule>
  </conditionalFormatting>
  <conditionalFormatting sqref="B1911:B1922">
    <cfRule type="cellIs" dxfId="54" priority="51" operator="lessThan">
      <formula>0</formula>
    </cfRule>
  </conditionalFormatting>
  <conditionalFormatting sqref="B1923">
    <cfRule type="cellIs" dxfId="53" priority="50" operator="lessThan">
      <formula>0</formula>
    </cfRule>
  </conditionalFormatting>
  <conditionalFormatting sqref="B1924:B1935">
    <cfRule type="cellIs" dxfId="52" priority="49" operator="lessThan">
      <formula>0</formula>
    </cfRule>
  </conditionalFormatting>
  <conditionalFormatting sqref="B1936:B1947">
    <cfRule type="cellIs" dxfId="51" priority="48" operator="lessThan">
      <formula>0</formula>
    </cfRule>
  </conditionalFormatting>
  <conditionalFormatting sqref="B1972:B1983">
    <cfRule type="cellIs" dxfId="50" priority="47" operator="lessThan">
      <formula>0</formula>
    </cfRule>
  </conditionalFormatting>
  <conditionalFormatting sqref="B2056:B2067">
    <cfRule type="cellIs" dxfId="49" priority="46" operator="lessThan">
      <formula>0</formula>
    </cfRule>
  </conditionalFormatting>
  <conditionalFormatting sqref="B2068:B2079">
    <cfRule type="cellIs" dxfId="48" priority="45" operator="lessThan">
      <formula>0</formula>
    </cfRule>
  </conditionalFormatting>
  <conditionalFormatting sqref="B2080:B2091">
    <cfRule type="cellIs" dxfId="47" priority="44" operator="lessThan">
      <formula>0</formula>
    </cfRule>
  </conditionalFormatting>
  <conditionalFormatting sqref="B2104:B2115">
    <cfRule type="cellIs" dxfId="46" priority="43" operator="lessThan">
      <formula>0</formula>
    </cfRule>
  </conditionalFormatting>
  <conditionalFormatting sqref="B2140:B2151">
    <cfRule type="cellIs" dxfId="45" priority="42" operator="lessThan">
      <formula>0</formula>
    </cfRule>
  </conditionalFormatting>
  <conditionalFormatting sqref="B2152:B2162">
    <cfRule type="cellIs" dxfId="44" priority="41" operator="lessThan">
      <formula>0</formula>
    </cfRule>
  </conditionalFormatting>
  <conditionalFormatting sqref="B2163:B2173">
    <cfRule type="cellIs" dxfId="43" priority="40" operator="lessThan">
      <formula>0</formula>
    </cfRule>
  </conditionalFormatting>
  <conditionalFormatting sqref="B2174">
    <cfRule type="cellIs" dxfId="42" priority="39" operator="lessThan">
      <formula>0</formula>
    </cfRule>
  </conditionalFormatting>
  <conditionalFormatting sqref="B2175:B2185">
    <cfRule type="cellIs" dxfId="41" priority="38" operator="lessThan">
      <formula>0</formula>
    </cfRule>
  </conditionalFormatting>
  <conditionalFormatting sqref="B2186">
    <cfRule type="cellIs" dxfId="40" priority="37" operator="lessThan">
      <formula>0</formula>
    </cfRule>
  </conditionalFormatting>
  <conditionalFormatting sqref="B2187:B2197">
    <cfRule type="cellIs" dxfId="39" priority="36" operator="lessThan">
      <formula>0</formula>
    </cfRule>
  </conditionalFormatting>
  <conditionalFormatting sqref="B2198">
    <cfRule type="cellIs" dxfId="38" priority="35" operator="lessThan">
      <formula>0</formula>
    </cfRule>
  </conditionalFormatting>
  <conditionalFormatting sqref="B2199:B2209">
    <cfRule type="cellIs" dxfId="37" priority="34" operator="lessThan">
      <formula>0</formula>
    </cfRule>
  </conditionalFormatting>
  <conditionalFormatting sqref="B2210">
    <cfRule type="cellIs" dxfId="36" priority="33" operator="lessThan">
      <formula>0</formula>
    </cfRule>
  </conditionalFormatting>
  <conditionalFormatting sqref="B2211:B2221">
    <cfRule type="cellIs" dxfId="35" priority="32" operator="lessThan">
      <formula>0</formula>
    </cfRule>
  </conditionalFormatting>
  <conditionalFormatting sqref="B2222">
    <cfRule type="cellIs" dxfId="34" priority="31" operator="lessThan">
      <formula>0</formula>
    </cfRule>
  </conditionalFormatting>
  <conditionalFormatting sqref="B2283:B2297">
    <cfRule type="cellIs" dxfId="33" priority="30" operator="lessThan">
      <formula>0</formula>
    </cfRule>
  </conditionalFormatting>
  <conditionalFormatting sqref="B2298:B2312">
    <cfRule type="cellIs" dxfId="32" priority="29" operator="lessThan">
      <formula>0</formula>
    </cfRule>
  </conditionalFormatting>
  <conditionalFormatting sqref="B2313:B2327">
    <cfRule type="cellIs" dxfId="31" priority="28" operator="lessThan">
      <formula>0</formula>
    </cfRule>
  </conditionalFormatting>
  <conditionalFormatting sqref="B2788:B3075">
    <cfRule type="cellIs" dxfId="30" priority="1" operator="lessThan">
      <formula>0</formula>
    </cfRule>
  </conditionalFormatting>
  <conditionalFormatting sqref="B2328:B2342">
    <cfRule type="cellIs" dxfId="29" priority="26" operator="lessThan">
      <formula>0</formula>
    </cfRule>
  </conditionalFormatting>
  <conditionalFormatting sqref="B2345:B2350">
    <cfRule type="cellIs" dxfId="28" priority="25" operator="lessThan">
      <formula>0</formula>
    </cfRule>
  </conditionalFormatting>
  <conditionalFormatting sqref="B2351:B2358">
    <cfRule type="cellIs" dxfId="27" priority="24" operator="lessThan">
      <formula>0</formula>
    </cfRule>
  </conditionalFormatting>
  <conditionalFormatting sqref="B2343:B2344">
    <cfRule type="cellIs" dxfId="26" priority="23" operator="lessThan">
      <formula>0</formula>
    </cfRule>
  </conditionalFormatting>
  <conditionalFormatting sqref="B2359:B2435">
    <cfRule type="cellIs" dxfId="25" priority="22" operator="lessThan">
      <formula>0</formula>
    </cfRule>
  </conditionalFormatting>
  <conditionalFormatting sqref="B2436:B2438">
    <cfRule type="cellIs" dxfId="24" priority="21" operator="lessThan">
      <formula>0</formula>
    </cfRule>
  </conditionalFormatting>
  <conditionalFormatting sqref="B2612:B2632">
    <cfRule type="cellIs" dxfId="23" priority="20" operator="lessThan">
      <formula>0</formula>
    </cfRule>
  </conditionalFormatting>
  <conditionalFormatting sqref="B2729:B2738">
    <cfRule type="cellIs" dxfId="22" priority="19" operator="lessThan">
      <formula>0</formula>
    </cfRule>
  </conditionalFormatting>
  <conditionalFormatting sqref="B2739:B2748">
    <cfRule type="cellIs" dxfId="21" priority="18" operator="lessThan">
      <formula>0</formula>
    </cfRule>
  </conditionalFormatting>
  <conditionalFormatting sqref="B2749:B2750">
    <cfRule type="cellIs" dxfId="20" priority="17" operator="lessThan">
      <formula>0</formula>
    </cfRule>
  </conditionalFormatting>
  <conditionalFormatting sqref="B2751:B2754">
    <cfRule type="cellIs" dxfId="19" priority="16" operator="lessThan">
      <formula>0</formula>
    </cfRule>
  </conditionalFormatting>
  <conditionalFormatting sqref="B2755:B2756">
    <cfRule type="cellIs" dxfId="18" priority="15" operator="lessThan">
      <formula>0</formula>
    </cfRule>
  </conditionalFormatting>
  <conditionalFormatting sqref="B2757:B2760">
    <cfRule type="cellIs" dxfId="17" priority="14" operator="lessThan">
      <formula>0</formula>
    </cfRule>
  </conditionalFormatting>
  <conditionalFormatting sqref="B2761:B2762">
    <cfRule type="cellIs" dxfId="16" priority="13" operator="lessThan">
      <formula>0</formula>
    </cfRule>
  </conditionalFormatting>
  <conditionalFormatting sqref="B2763:B2765">
    <cfRule type="cellIs" dxfId="15" priority="12" operator="lessThan">
      <formula>0</formula>
    </cfRule>
  </conditionalFormatting>
  <conditionalFormatting sqref="B2766:B2767">
    <cfRule type="cellIs" dxfId="14" priority="11" operator="lessThan">
      <formula>0</formula>
    </cfRule>
  </conditionalFormatting>
  <conditionalFormatting sqref="B2768:B2770">
    <cfRule type="cellIs" dxfId="13" priority="10" operator="lessThan">
      <formula>0</formula>
    </cfRule>
  </conditionalFormatting>
  <conditionalFormatting sqref="B2771:B2772">
    <cfRule type="cellIs" dxfId="12" priority="9" operator="lessThan">
      <formula>0</formula>
    </cfRule>
  </conditionalFormatting>
  <conditionalFormatting sqref="B2773:B2775">
    <cfRule type="cellIs" dxfId="11" priority="8" operator="lessThan">
      <formula>0</formula>
    </cfRule>
  </conditionalFormatting>
  <conditionalFormatting sqref="B2776:B2777">
    <cfRule type="cellIs" dxfId="10" priority="7" operator="lessThan">
      <formula>0</formula>
    </cfRule>
  </conditionalFormatting>
  <conditionalFormatting sqref="B2778:B2780">
    <cfRule type="cellIs" dxfId="9" priority="6" operator="lessThan">
      <formula>0</formula>
    </cfRule>
  </conditionalFormatting>
  <conditionalFormatting sqref="B2781:B2782">
    <cfRule type="cellIs" dxfId="8" priority="5" operator="lessThan">
      <formula>0</formula>
    </cfRule>
  </conditionalFormatting>
  <conditionalFormatting sqref="B2783:B2785">
    <cfRule type="cellIs" dxfId="7" priority="4" operator="lessThan">
      <formula>0</formula>
    </cfRule>
  </conditionalFormatting>
  <conditionalFormatting sqref="B2786:B2787">
    <cfRule type="cellIs" dxfId="6" priority="3"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heetViews>
  <sheetFormatPr defaultRowHeight="15"/>
  <cols>
    <col min="1" max="1" width="4.42578125"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T59" sqref="T59:U59"/>
    </sheetView>
  </sheetViews>
  <sheetFormatPr defaultRowHeight="15"/>
  <cols>
    <col min="1" max="1" width="4.28515625" customWidth="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43"/>
  <sheetViews>
    <sheetView workbookViewId="0"/>
  </sheetViews>
  <sheetFormatPr defaultRowHeight="15"/>
  <cols>
    <col min="1" max="1" width="11.140625" style="576" customWidth="1"/>
    <col min="2" max="2" width="11.42578125" style="618" bestFit="1" customWidth="1"/>
    <col min="3" max="3" width="15.42578125" style="613" bestFit="1" customWidth="1"/>
    <col min="4" max="4" width="9" style="602" customWidth="1"/>
    <col min="5" max="5" width="9.85546875" style="602" customWidth="1"/>
    <col min="6" max="6" width="9.7109375" style="603" customWidth="1"/>
    <col min="7" max="7" width="9.85546875" style="603" customWidth="1"/>
    <col min="8" max="9" width="9.85546875" style="602" customWidth="1"/>
    <col min="10" max="10" width="13.42578125" style="602" customWidth="1"/>
  </cols>
  <sheetData>
    <row r="1" spans="1:10" ht="45.75" thickBot="1">
      <c r="A1" s="578" t="s">
        <v>3432</v>
      </c>
      <c r="B1" s="579" t="s">
        <v>3729</v>
      </c>
      <c r="C1" s="580" t="s">
        <v>3765</v>
      </c>
      <c r="D1" s="584" t="s">
        <v>3766</v>
      </c>
      <c r="E1" s="589" t="s">
        <v>3767</v>
      </c>
      <c r="F1" s="581" t="s">
        <v>3768</v>
      </c>
      <c r="G1" s="582" t="s">
        <v>3769</v>
      </c>
      <c r="H1" s="584" t="s">
        <v>3770</v>
      </c>
      <c r="I1" s="589" t="s">
        <v>3771</v>
      </c>
      <c r="J1" s="583" t="s">
        <v>3773</v>
      </c>
    </row>
    <row r="2" spans="1:10">
      <c r="A2" s="585">
        <v>5</v>
      </c>
      <c r="B2" s="614">
        <v>6</v>
      </c>
      <c r="C2" s="608">
        <v>120</v>
      </c>
      <c r="D2" s="590"/>
      <c r="E2" s="590"/>
      <c r="F2" s="591"/>
      <c r="G2" s="592"/>
      <c r="H2" s="590"/>
      <c r="I2" s="590"/>
      <c r="J2" s="593"/>
    </row>
    <row r="3" spans="1:10">
      <c r="A3" s="585">
        <v>5</v>
      </c>
      <c r="B3" s="614">
        <v>14</v>
      </c>
      <c r="C3" s="608">
        <v>179.99999999999997</v>
      </c>
      <c r="D3" s="590">
        <v>65.965947167986258</v>
      </c>
      <c r="E3" s="590">
        <v>255.92686671579025</v>
      </c>
      <c r="F3" s="591">
        <v>142.97635730462096</v>
      </c>
      <c r="G3" s="592">
        <v>257.01589701664403</v>
      </c>
      <c r="H3" s="590">
        <v>65.084959731118389</v>
      </c>
      <c r="I3" s="590">
        <v>214.50401324362952</v>
      </c>
      <c r="J3" s="593">
        <v>216.74335751246971</v>
      </c>
    </row>
    <row r="4" spans="1:10">
      <c r="A4" s="585">
        <v>5</v>
      </c>
      <c r="B4" s="614">
        <v>21</v>
      </c>
      <c r="C4" s="608">
        <v>270</v>
      </c>
      <c r="D4" s="590">
        <v>91.871846391929864</v>
      </c>
      <c r="E4" s="590">
        <v>307.26074968217358</v>
      </c>
      <c r="F4" s="591">
        <v>195.10217415120854</v>
      </c>
      <c r="G4" s="592">
        <v>298.35822891770624</v>
      </c>
      <c r="H4" s="590">
        <v>124.10476386862726</v>
      </c>
      <c r="I4" s="590">
        <v>280.21988898355193</v>
      </c>
      <c r="J4" s="593">
        <v>263.8374968883586</v>
      </c>
    </row>
    <row r="5" spans="1:10">
      <c r="A5" s="585">
        <v>5</v>
      </c>
      <c r="B5" s="614">
        <v>28</v>
      </c>
      <c r="C5" s="608">
        <v>320</v>
      </c>
      <c r="D5" s="590">
        <v>110.84510985686387</v>
      </c>
      <c r="E5" s="590">
        <v>330.33605781179898</v>
      </c>
      <c r="F5" s="591">
        <v>231.11380652746081</v>
      </c>
      <c r="G5" s="592">
        <v>317.30570812720032</v>
      </c>
      <c r="H5" s="590">
        <v>168.55647096754095</v>
      </c>
      <c r="I5" s="590">
        <v>315.50711614240475</v>
      </c>
      <c r="J5" s="593">
        <v>299.76590788536572</v>
      </c>
    </row>
    <row r="6" spans="1:10">
      <c r="A6" s="585">
        <v>5</v>
      </c>
      <c r="B6" s="614">
        <v>35</v>
      </c>
      <c r="C6" s="608">
        <v>353.3</v>
      </c>
      <c r="D6" s="590">
        <v>126.12753178231677</v>
      </c>
      <c r="E6" s="590">
        <v>342.56867635890296</v>
      </c>
      <c r="F6" s="591">
        <v>258.65396240248214</v>
      </c>
      <c r="G6" s="592">
        <v>328.24144307188459</v>
      </c>
      <c r="H6" s="590">
        <v>200.73062254648858</v>
      </c>
      <c r="I6" s="590">
        <v>336.01188266649115</v>
      </c>
      <c r="J6" s="593">
        <v>327.92464440438101</v>
      </c>
    </row>
    <row r="7" spans="1:10">
      <c r="A7" s="585">
        <v>5</v>
      </c>
      <c r="B7" s="614">
        <v>66</v>
      </c>
      <c r="C7" s="608">
        <v>366.70000000000005</v>
      </c>
      <c r="D7" s="590">
        <v>172.15752221309677</v>
      </c>
      <c r="E7" s="590">
        <v>359.51954939202074</v>
      </c>
      <c r="F7" s="591">
        <v>333.37905086457107</v>
      </c>
      <c r="G7" s="592">
        <v>348.03743194356963</v>
      </c>
      <c r="H7" s="590">
        <v>261.49402548500439</v>
      </c>
      <c r="I7" s="590">
        <v>364.23253724599385</v>
      </c>
      <c r="J7" s="593">
        <v>394.4039757585204</v>
      </c>
    </row>
    <row r="8" spans="1:10">
      <c r="A8" s="585">
        <v>5</v>
      </c>
      <c r="B8" s="614">
        <v>82</v>
      </c>
      <c r="C8" s="608">
        <v>390</v>
      </c>
      <c r="D8" s="590">
        <v>188.41303611284744</v>
      </c>
      <c r="E8" s="590">
        <v>361.67662190548953</v>
      </c>
      <c r="F8" s="591">
        <v>356.89056053598779</v>
      </c>
      <c r="G8" s="592">
        <v>352.28023352779132</v>
      </c>
      <c r="H8" s="590">
        <v>270.18828107805098</v>
      </c>
      <c r="I8" s="590">
        <v>366.79308393106101</v>
      </c>
      <c r="J8" s="593">
        <v>404.13983774629929</v>
      </c>
    </row>
    <row r="9" spans="1:10">
      <c r="A9" s="585">
        <v>5</v>
      </c>
      <c r="B9" s="614">
        <v>96</v>
      </c>
      <c r="C9" s="608">
        <v>393.29999999999995</v>
      </c>
      <c r="D9" s="590">
        <v>200.17662395738165</v>
      </c>
      <c r="E9" s="590">
        <v>362.63038004608273</v>
      </c>
      <c r="F9" s="591">
        <v>373.03858989587712</v>
      </c>
      <c r="G9" s="592">
        <v>354.81354928281127</v>
      </c>
      <c r="H9" s="590">
        <v>273.64678343812824</v>
      </c>
      <c r="I9" s="590">
        <v>367.60002610689912</v>
      </c>
      <c r="J9" s="593">
        <v>403.27662734596868</v>
      </c>
    </row>
    <row r="10" spans="1:10">
      <c r="A10" s="586">
        <v>5</v>
      </c>
      <c r="B10" s="615">
        <v>117</v>
      </c>
      <c r="C10" s="609">
        <v>403.29999999999995</v>
      </c>
      <c r="D10" s="594">
        <v>214.70248744124819</v>
      </c>
      <c r="E10" s="594">
        <v>363.34945902632023</v>
      </c>
      <c r="F10" s="595">
        <v>392.05220874832207</v>
      </c>
      <c r="G10" s="596">
        <v>357.46181166551418</v>
      </c>
      <c r="H10" s="594">
        <v>275.78328627596807</v>
      </c>
      <c r="I10" s="594">
        <v>367.9908189459008</v>
      </c>
      <c r="J10" s="597">
        <v>389.67356566946222</v>
      </c>
    </row>
    <row r="11" spans="1:10">
      <c r="A11" s="586">
        <v>5</v>
      </c>
      <c r="B11" s="615">
        <v>124</v>
      </c>
      <c r="C11" s="609">
        <v>396.7</v>
      </c>
      <c r="D11" s="594">
        <v>218.88702657877417</v>
      </c>
      <c r="E11" s="594">
        <v>363.48908993691657</v>
      </c>
      <c r="F11" s="595">
        <v>397.35381499558952</v>
      </c>
      <c r="G11" s="596">
        <v>358.14278596967449</v>
      </c>
      <c r="H11" s="594">
        <v>276.11079686204351</v>
      </c>
      <c r="I11" s="594">
        <v>368.03817003822974</v>
      </c>
      <c r="J11" s="597">
        <v>383.05047472888793</v>
      </c>
    </row>
    <row r="12" spans="1:10">
      <c r="A12" s="586">
        <v>5</v>
      </c>
      <c r="B12" s="615">
        <v>132</v>
      </c>
      <c r="C12" s="609">
        <v>370</v>
      </c>
      <c r="D12" s="594">
        <v>223.33460509380839</v>
      </c>
      <c r="E12" s="594">
        <v>363.61217860210792</v>
      </c>
      <c r="F12" s="595">
        <v>402.90870597760488</v>
      </c>
      <c r="G12" s="596">
        <v>358.83159188712796</v>
      </c>
      <c r="H12" s="594">
        <v>276.36398092496677</v>
      </c>
      <c r="I12" s="594">
        <v>368.07097726819791</v>
      </c>
      <c r="J12" s="597">
        <v>376.86441585438473</v>
      </c>
    </row>
    <row r="13" spans="1:10">
      <c r="A13" s="586">
        <v>5</v>
      </c>
      <c r="B13" s="615">
        <v>145</v>
      </c>
      <c r="C13" s="609">
        <v>366.70000000000005</v>
      </c>
      <c r="D13" s="594">
        <v>229.89258196525225</v>
      </c>
      <c r="E13" s="594">
        <v>363.75386611065511</v>
      </c>
      <c r="F13" s="595">
        <v>410.95794632586376</v>
      </c>
      <c r="G13" s="596">
        <v>359.78711439816652</v>
      </c>
      <c r="H13" s="594">
        <v>276.60424864622235</v>
      </c>
      <c r="I13" s="594">
        <v>368.09785114935642</v>
      </c>
      <c r="J13" s="597">
        <v>372.69069933193106</v>
      </c>
    </row>
    <row r="14" spans="1:10">
      <c r="A14" s="586">
        <v>5</v>
      </c>
      <c r="B14" s="615">
        <v>152</v>
      </c>
      <c r="C14" s="609">
        <v>363.3</v>
      </c>
      <c r="D14" s="594">
        <v>233.12049200336915</v>
      </c>
      <c r="E14" s="594">
        <v>363.80898502616935</v>
      </c>
      <c r="F14" s="595">
        <v>414.86197911819153</v>
      </c>
      <c r="G14" s="596">
        <v>360.23326104039484</v>
      </c>
      <c r="H14" s="594">
        <v>276.67984323442442</v>
      </c>
      <c r="I14" s="594">
        <v>368.10508549719492</v>
      </c>
      <c r="J14" s="597">
        <v>371.33274086914327</v>
      </c>
    </row>
    <row r="15" spans="1:10">
      <c r="A15" s="586">
        <v>5</v>
      </c>
      <c r="B15" s="615">
        <v>159</v>
      </c>
      <c r="C15" s="609">
        <v>370</v>
      </c>
      <c r="D15" s="594">
        <v>236.15904677097311</v>
      </c>
      <c r="E15" s="594">
        <v>363.85339681236411</v>
      </c>
      <c r="F15" s="595">
        <v>418.50451473832493</v>
      </c>
      <c r="G15" s="596">
        <v>360.63975597151568</v>
      </c>
      <c r="H15" s="594">
        <v>276.73223647228377</v>
      </c>
      <c r="I15" s="594">
        <v>368.10960855389197</v>
      </c>
      <c r="J15" s="597">
        <v>370.09726179467998</v>
      </c>
    </row>
    <row r="16" spans="1:10">
      <c r="A16" s="586">
        <v>5</v>
      </c>
      <c r="B16" s="615">
        <v>166</v>
      </c>
      <c r="C16" s="609">
        <v>370</v>
      </c>
      <c r="D16" s="594">
        <v>239.02363986994342</v>
      </c>
      <c r="E16" s="594">
        <v>363.88938123500725</v>
      </c>
      <c r="F16" s="595">
        <v>421.91135391098567</v>
      </c>
      <c r="G16" s="596">
        <v>361.01166108940293</v>
      </c>
      <c r="H16" s="594">
        <v>276.76854879997677</v>
      </c>
      <c r="I16" s="594">
        <v>368.11243647182062</v>
      </c>
      <c r="J16" s="597">
        <v>368.93920326853453</v>
      </c>
    </row>
    <row r="17" spans="1:10">
      <c r="A17" s="586">
        <v>5</v>
      </c>
      <c r="B17" s="615">
        <v>173</v>
      </c>
      <c r="C17" s="609">
        <v>386.70000000000005</v>
      </c>
      <c r="D17" s="594">
        <v>241.72798449460029</v>
      </c>
      <c r="E17" s="594">
        <v>363.91868874536624</v>
      </c>
      <c r="F17" s="595">
        <v>425.10496225390705</v>
      </c>
      <c r="G17" s="596">
        <v>361.35321175959166</v>
      </c>
      <c r="H17" s="594">
        <v>276.79371565820674</v>
      </c>
      <c r="I17" s="594">
        <v>368.11420455584067</v>
      </c>
      <c r="J17" s="597">
        <v>367.84826699300061</v>
      </c>
    </row>
    <row r="18" spans="1:10">
      <c r="A18" s="586">
        <v>5</v>
      </c>
      <c r="B18" s="615">
        <v>180</v>
      </c>
      <c r="C18" s="609">
        <v>380</v>
      </c>
      <c r="D18" s="594">
        <v>244.28434982350643</v>
      </c>
      <c r="E18" s="594">
        <v>363.94267373704878</v>
      </c>
      <c r="F18" s="595">
        <v>428.1049999290355</v>
      </c>
      <c r="G18" s="596">
        <v>361.66797891823353</v>
      </c>
      <c r="H18" s="594">
        <v>276.81115785525003</v>
      </c>
      <c r="I18" s="594">
        <v>368.11531000768122</v>
      </c>
      <c r="J18" s="597">
        <v>366.82091661528278</v>
      </c>
    </row>
    <row r="19" spans="1:10">
      <c r="A19" s="586">
        <v>5</v>
      </c>
      <c r="B19" s="615">
        <v>187</v>
      </c>
      <c r="C19" s="609">
        <v>383.3</v>
      </c>
      <c r="D19" s="594">
        <v>246.70375639337809</v>
      </c>
      <c r="E19" s="594">
        <v>363.96239163877453</v>
      </c>
      <c r="F19" s="595">
        <v>430.92875208699087</v>
      </c>
      <c r="G19" s="596">
        <v>361.95899446024947</v>
      </c>
      <c r="H19" s="594">
        <v>276.82324632933262</v>
      </c>
      <c r="I19" s="594">
        <v>368.11600116557793</v>
      </c>
      <c r="J19" s="597">
        <v>365.8552692404416</v>
      </c>
    </row>
    <row r="20" spans="1:10">
      <c r="A20" s="586">
        <v>5</v>
      </c>
      <c r="B20" s="615">
        <v>241</v>
      </c>
      <c r="C20" s="609">
        <v>353.3</v>
      </c>
      <c r="D20" s="594">
        <v>261.69366639763609</v>
      </c>
      <c r="E20" s="594">
        <v>364.036214135904</v>
      </c>
      <c r="F20" s="595">
        <v>448.17595482799305</v>
      </c>
      <c r="G20" s="596">
        <v>363.63227816156967</v>
      </c>
      <c r="H20" s="594">
        <v>276.84892779614006</v>
      </c>
      <c r="I20" s="594">
        <v>368.11712342226889</v>
      </c>
      <c r="J20" s="597">
        <v>360.4023335057982</v>
      </c>
    </row>
    <row r="21" spans="1:10">
      <c r="A21" s="586">
        <v>5</v>
      </c>
      <c r="B21" s="615">
        <v>302</v>
      </c>
      <c r="C21" s="609">
        <v>346.7</v>
      </c>
      <c r="D21" s="594">
        <v>273.20496430172057</v>
      </c>
      <c r="E21" s="594">
        <v>364.05754006062472</v>
      </c>
      <c r="F21" s="595">
        <v>461.34561871407658</v>
      </c>
      <c r="G21" s="596">
        <v>364.7992181742249</v>
      </c>
      <c r="H21" s="594">
        <v>276.85047497904179</v>
      </c>
      <c r="I21" s="594">
        <v>368.11715369947547</v>
      </c>
      <c r="J21" s="597">
        <v>358.27024676880791</v>
      </c>
    </row>
    <row r="22" spans="1:10">
      <c r="A22" s="586">
        <v>5</v>
      </c>
      <c r="B22" s="615">
        <v>364</v>
      </c>
      <c r="C22" s="609">
        <v>353.3</v>
      </c>
      <c r="D22" s="594">
        <v>281.30169981584316</v>
      </c>
      <c r="E22" s="594">
        <v>364.06343309742942</v>
      </c>
      <c r="F22" s="595">
        <v>470.79228544288424</v>
      </c>
      <c r="G22" s="596">
        <v>365.58290675138562</v>
      </c>
      <c r="H22" s="594">
        <v>276.85053849416329</v>
      </c>
      <c r="I22" s="594">
        <v>368.11715420554901</v>
      </c>
      <c r="J22" s="597">
        <v>358.23982098872318</v>
      </c>
    </row>
    <row r="23" spans="1:10">
      <c r="A23" s="586">
        <v>5</v>
      </c>
      <c r="B23" s="615">
        <v>423</v>
      </c>
      <c r="C23" s="609">
        <v>350.00000000000006</v>
      </c>
      <c r="D23" s="594">
        <v>286.85023073498064</v>
      </c>
      <c r="E23" s="594">
        <v>364.06518968313958</v>
      </c>
      <c r="F23" s="595">
        <v>477.50512833428837</v>
      </c>
      <c r="G23" s="596">
        <v>366.11461992295943</v>
      </c>
      <c r="H23" s="594">
        <v>276.85054094616083</v>
      </c>
      <c r="I23" s="594">
        <v>368.11715421342234</v>
      </c>
      <c r="J23" s="597">
        <v>358.32320921895547</v>
      </c>
    </row>
    <row r="24" spans="1:10">
      <c r="A24" s="586">
        <v>5</v>
      </c>
      <c r="B24" s="615">
        <v>484</v>
      </c>
      <c r="C24" s="609">
        <v>356.70000000000005</v>
      </c>
      <c r="D24" s="594">
        <v>291.10596404415543</v>
      </c>
      <c r="E24" s="594">
        <v>364.06582679999065</v>
      </c>
      <c r="F24" s="595">
        <v>482.90124904598292</v>
      </c>
      <c r="G24" s="596">
        <v>366.52765451339371</v>
      </c>
      <c r="H24" s="594">
        <v>276.85054105822292</v>
      </c>
      <c r="I24" s="594">
        <v>368.11715421357303</v>
      </c>
      <c r="J24" s="597">
        <v>358.36641057225694</v>
      </c>
    </row>
    <row r="25" spans="1:10">
      <c r="A25" s="587">
        <v>5</v>
      </c>
      <c r="B25" s="616">
        <v>545</v>
      </c>
      <c r="C25" s="610">
        <v>356.70000000000005</v>
      </c>
      <c r="D25" s="598">
        <v>294.31443613799456</v>
      </c>
      <c r="E25" s="598">
        <v>364.06606299590726</v>
      </c>
      <c r="F25" s="599">
        <v>487.201473543796</v>
      </c>
      <c r="G25" s="600">
        <v>366.84798709193075</v>
      </c>
      <c r="H25" s="598">
        <v>276.85054106281331</v>
      </c>
      <c r="I25" s="598">
        <v>368.11715421357553</v>
      </c>
      <c r="J25" s="601">
        <v>358.39584814866981</v>
      </c>
    </row>
    <row r="26" spans="1:10">
      <c r="A26" s="587">
        <v>5</v>
      </c>
      <c r="B26" s="616">
        <v>606</v>
      </c>
      <c r="C26" s="610">
        <v>350.00000000000006</v>
      </c>
      <c r="D26" s="598">
        <v>296.77700690362036</v>
      </c>
      <c r="E26" s="598">
        <v>364.06615621655374</v>
      </c>
      <c r="F26" s="599">
        <v>490.70925917275383</v>
      </c>
      <c r="G26" s="600">
        <v>367.10367822265084</v>
      </c>
      <c r="H26" s="598">
        <v>276.85054106300134</v>
      </c>
      <c r="I26" s="598">
        <v>368.11715421357559</v>
      </c>
      <c r="J26" s="601">
        <v>358.42169310571092</v>
      </c>
    </row>
    <row r="27" spans="1:10">
      <c r="A27" s="587">
        <v>5</v>
      </c>
      <c r="B27" s="616">
        <v>667</v>
      </c>
      <c r="C27" s="610">
        <v>350.00000000000006</v>
      </c>
      <c r="D27" s="598">
        <v>298.69582230790428</v>
      </c>
      <c r="E27" s="598">
        <v>364.06619498028482</v>
      </c>
      <c r="F27" s="599">
        <v>493.62538060964681</v>
      </c>
      <c r="G27" s="600">
        <v>367.31250123978214</v>
      </c>
      <c r="H27" s="598">
        <v>276.85054106300902</v>
      </c>
      <c r="I27" s="598">
        <v>368.11715421357559</v>
      </c>
      <c r="J27" s="601">
        <v>358.4465466969375</v>
      </c>
    </row>
    <row r="28" spans="1:10">
      <c r="A28" s="587">
        <v>5</v>
      </c>
      <c r="B28" s="616">
        <v>729</v>
      </c>
      <c r="C28" s="610">
        <v>350.00000000000006</v>
      </c>
      <c r="D28" s="598">
        <v>300.23249659866178</v>
      </c>
      <c r="E28" s="598">
        <v>364.0662120097827</v>
      </c>
      <c r="F28" s="599">
        <v>496.12519724109347</v>
      </c>
      <c r="G28" s="600">
        <v>367.48886649286197</v>
      </c>
      <c r="H28" s="598">
        <v>276.85054106300936</v>
      </c>
      <c r="I28" s="598">
        <v>368.11715421357559</v>
      </c>
      <c r="J28" s="601">
        <v>358.47150340225744</v>
      </c>
    </row>
    <row r="29" spans="1:10">
      <c r="A29" s="587">
        <v>5</v>
      </c>
      <c r="B29" s="616">
        <v>789</v>
      </c>
      <c r="C29" s="610">
        <v>353.3</v>
      </c>
      <c r="D29" s="598">
        <v>301.41954629204815</v>
      </c>
      <c r="E29" s="598">
        <v>364.06621944272678</v>
      </c>
      <c r="F29" s="599">
        <v>498.19537987718115</v>
      </c>
      <c r="G29" s="600">
        <v>367.63310397272187</v>
      </c>
      <c r="H29" s="598">
        <v>276.85054106300936</v>
      </c>
      <c r="I29" s="598">
        <v>368.11715421357559</v>
      </c>
      <c r="J29" s="601">
        <v>358.49555937927056</v>
      </c>
    </row>
    <row r="30" spans="1:10">
      <c r="A30" s="587">
        <v>5</v>
      </c>
      <c r="B30" s="616">
        <v>1163</v>
      </c>
      <c r="C30" s="610">
        <v>366.70000000000005</v>
      </c>
      <c r="D30" s="598">
        <v>305.23710495998444</v>
      </c>
      <c r="E30" s="598">
        <v>364.06622633099971</v>
      </c>
      <c r="F30" s="599">
        <v>506.50896263963602</v>
      </c>
      <c r="G30" s="600">
        <v>368.19626229467946</v>
      </c>
      <c r="H30" s="598">
        <v>276.85054106300936</v>
      </c>
      <c r="I30" s="598">
        <v>368.11715421357559</v>
      </c>
      <c r="J30" s="601">
        <v>358.64519946501946</v>
      </c>
    </row>
    <row r="31" spans="1:10">
      <c r="A31" s="587">
        <v>5</v>
      </c>
      <c r="B31" s="616">
        <v>1191</v>
      </c>
      <c r="C31" s="610">
        <v>359.99999999999994</v>
      </c>
      <c r="D31" s="598">
        <v>305.38424293552612</v>
      </c>
      <c r="E31" s="598">
        <v>364.06622636193083</v>
      </c>
      <c r="F31" s="599">
        <v>506.93091960828616</v>
      </c>
      <c r="G31" s="600">
        <v>368.22417607426883</v>
      </c>
      <c r="H31" s="598">
        <v>276.85054106300936</v>
      </c>
      <c r="I31" s="598">
        <v>368.11715421357559</v>
      </c>
      <c r="J31" s="601">
        <v>358.65639959108501</v>
      </c>
    </row>
    <row r="32" spans="1:10">
      <c r="A32" s="587">
        <v>5</v>
      </c>
      <c r="B32" s="616">
        <v>1252</v>
      </c>
      <c r="C32" s="610">
        <v>367.8</v>
      </c>
      <c r="D32" s="598">
        <v>305.66768795497268</v>
      </c>
      <c r="E32" s="598">
        <v>364.06622640569145</v>
      </c>
      <c r="F32" s="599">
        <v>507.78770272467216</v>
      </c>
      <c r="G32" s="600">
        <v>368.28066043747862</v>
      </c>
      <c r="H32" s="598">
        <v>276.85054106300936</v>
      </c>
      <c r="I32" s="598">
        <v>368.11715421357559</v>
      </c>
      <c r="J32" s="601">
        <v>358.68079976762067</v>
      </c>
    </row>
    <row r="33" spans="1:10">
      <c r="A33" s="587">
        <v>5</v>
      </c>
      <c r="B33" s="616">
        <v>1317</v>
      </c>
      <c r="C33" s="610">
        <v>370</v>
      </c>
      <c r="D33" s="598">
        <v>305.92216486839453</v>
      </c>
      <c r="E33" s="598">
        <v>364.06622643094857</v>
      </c>
      <c r="F33" s="599">
        <v>508.6169765242563</v>
      </c>
      <c r="G33" s="600">
        <v>368.33508417311168</v>
      </c>
      <c r="H33" s="598">
        <v>276.85054106300936</v>
      </c>
      <c r="I33" s="598">
        <v>368.11715421357559</v>
      </c>
      <c r="J33" s="601">
        <v>358.70679986909335</v>
      </c>
    </row>
    <row r="34" spans="1:10">
      <c r="A34" s="587">
        <v>5</v>
      </c>
      <c r="B34" s="616">
        <v>1391</v>
      </c>
      <c r="C34" s="610">
        <v>356.70000000000005</v>
      </c>
      <c r="D34" s="598">
        <v>306.16333464338499</v>
      </c>
      <c r="E34" s="598">
        <v>364.06622644587128</v>
      </c>
      <c r="F34" s="599">
        <v>509.47047908433996</v>
      </c>
      <c r="G34" s="600">
        <v>368.390845724396</v>
      </c>
      <c r="H34" s="598">
        <v>276.85054106300936</v>
      </c>
      <c r="I34" s="598">
        <v>368.11715421357559</v>
      </c>
      <c r="J34" s="601">
        <v>358.73639992965849</v>
      </c>
    </row>
    <row r="35" spans="1:10">
      <c r="A35" s="587">
        <v>5</v>
      </c>
      <c r="B35" s="616">
        <v>1450</v>
      </c>
      <c r="C35" s="610">
        <v>363.3</v>
      </c>
      <c r="D35" s="598">
        <v>306.32529903151567</v>
      </c>
      <c r="E35" s="598">
        <v>364.06622645225218</v>
      </c>
      <c r="F35" s="599">
        <v>510.09094123708672</v>
      </c>
      <c r="G35" s="600">
        <v>368.43122235859795</v>
      </c>
      <c r="H35" s="598">
        <v>276.85054106300936</v>
      </c>
      <c r="I35" s="598">
        <v>368.11715421357559</v>
      </c>
      <c r="J35" s="601">
        <v>358.7599999561603</v>
      </c>
    </row>
    <row r="36" spans="1:10">
      <c r="A36" s="587">
        <v>5</v>
      </c>
      <c r="B36" s="616">
        <v>1549</v>
      </c>
      <c r="C36" s="610">
        <v>354.4</v>
      </c>
      <c r="D36" s="598">
        <v>306.54881145210243</v>
      </c>
      <c r="E36" s="598">
        <v>364.06622645761985</v>
      </c>
      <c r="F36" s="599">
        <v>511.02967130888459</v>
      </c>
      <c r="G36" s="600">
        <v>368.49205602079832</v>
      </c>
      <c r="H36" s="598">
        <v>276.85054106300936</v>
      </c>
      <c r="I36" s="598">
        <v>368.11715421357559</v>
      </c>
      <c r="J36" s="601">
        <v>358.79959997935634</v>
      </c>
    </row>
    <row r="37" spans="1:10">
      <c r="A37" s="587">
        <v>5</v>
      </c>
      <c r="B37" s="616">
        <v>1640</v>
      </c>
      <c r="C37" s="610">
        <v>346.7</v>
      </c>
      <c r="D37" s="598">
        <v>306.71200867089721</v>
      </c>
      <c r="E37" s="598">
        <v>364.06622645975671</v>
      </c>
      <c r="F37" s="599">
        <v>511.79597517950845</v>
      </c>
      <c r="G37" s="600">
        <v>368.54148996317173</v>
      </c>
      <c r="H37" s="598">
        <v>276.85054106300936</v>
      </c>
      <c r="I37" s="598">
        <v>368.11715421357559</v>
      </c>
      <c r="J37" s="601">
        <v>358.83599998924728</v>
      </c>
    </row>
    <row r="38" spans="1:10">
      <c r="A38" s="587">
        <v>5</v>
      </c>
      <c r="B38" s="616">
        <v>1732</v>
      </c>
      <c r="C38" s="610">
        <v>338.90000000000003</v>
      </c>
      <c r="D38" s="598">
        <v>306.84519662447701</v>
      </c>
      <c r="E38" s="598">
        <v>364.06622646075073</v>
      </c>
      <c r="F38" s="599">
        <v>512.49148546473111</v>
      </c>
      <c r="G38" s="600">
        <v>368.58618232819583</v>
      </c>
      <c r="H38" s="598">
        <v>276.85054106300936</v>
      </c>
      <c r="I38" s="598">
        <v>368.11715421357559</v>
      </c>
      <c r="J38" s="601">
        <v>358.87279999424243</v>
      </c>
    </row>
    <row r="39" spans="1:10">
      <c r="A39" s="587">
        <v>5</v>
      </c>
      <c r="B39" s="616">
        <v>1824</v>
      </c>
      <c r="C39" s="610">
        <v>344.4</v>
      </c>
      <c r="D39" s="598">
        <v>306.95327909778922</v>
      </c>
      <c r="E39" s="598">
        <v>364.06622646121593</v>
      </c>
      <c r="F39" s="599">
        <v>513.11898970506775</v>
      </c>
      <c r="G39" s="600">
        <v>368.62636276007595</v>
      </c>
      <c r="H39" s="598">
        <v>276.85054106300936</v>
      </c>
      <c r="I39" s="598">
        <v>368.11715421357559</v>
      </c>
      <c r="J39" s="601">
        <v>358.90959999681854</v>
      </c>
    </row>
    <row r="40" spans="1:10">
      <c r="A40" s="587">
        <v>5</v>
      </c>
      <c r="B40" s="616">
        <v>1955</v>
      </c>
      <c r="C40" s="610">
        <v>342.2</v>
      </c>
      <c r="D40" s="598">
        <v>307.07394808560798</v>
      </c>
      <c r="E40" s="598">
        <v>364.06622646149361</v>
      </c>
      <c r="F40" s="599">
        <v>513.91351056256201</v>
      </c>
      <c r="G40" s="600">
        <v>368.67704534857427</v>
      </c>
      <c r="H40" s="598">
        <v>276.85054106300936</v>
      </c>
      <c r="I40" s="598">
        <v>368.11715421357559</v>
      </c>
      <c r="J40" s="601">
        <v>358.96199999856498</v>
      </c>
    </row>
    <row r="41" spans="1:10">
      <c r="A41" s="587">
        <v>5</v>
      </c>
      <c r="B41" s="616">
        <v>2046</v>
      </c>
      <c r="C41" s="610">
        <v>344.4</v>
      </c>
      <c r="D41" s="598">
        <v>307.14000995359174</v>
      </c>
      <c r="E41" s="598">
        <v>364.06622646157302</v>
      </c>
      <c r="F41" s="599">
        <v>514.40719177166295</v>
      </c>
      <c r="G41" s="600">
        <v>368.70842958738041</v>
      </c>
      <c r="H41" s="598">
        <v>276.85054106300936</v>
      </c>
      <c r="I41" s="598">
        <v>368.11715421357559</v>
      </c>
      <c r="J41" s="601">
        <v>358.9983999991494</v>
      </c>
    </row>
    <row r="42" spans="1:10">
      <c r="A42" s="587">
        <v>5</v>
      </c>
      <c r="B42" s="616">
        <v>2149</v>
      </c>
      <c r="C42" s="610">
        <v>342.2</v>
      </c>
      <c r="D42" s="598">
        <v>307.20122972237226</v>
      </c>
      <c r="E42" s="598">
        <v>364.06622646161651</v>
      </c>
      <c r="F42" s="599">
        <v>514.91685408400269</v>
      </c>
      <c r="G42" s="600">
        <v>368.74074349367095</v>
      </c>
      <c r="H42" s="598">
        <v>276.85054106300936</v>
      </c>
      <c r="I42" s="598">
        <v>368.11715421357559</v>
      </c>
      <c r="J42" s="601">
        <v>359.03959999951667</v>
      </c>
    </row>
    <row r="43" spans="1:10">
      <c r="A43" s="587">
        <v>5</v>
      </c>
      <c r="B43" s="616">
        <v>2247</v>
      </c>
      <c r="C43" s="610">
        <v>347.79999999999995</v>
      </c>
      <c r="D43" s="598">
        <v>307.24879961089067</v>
      </c>
      <c r="E43" s="598">
        <v>364.06622646163618</v>
      </c>
      <c r="F43" s="599">
        <v>515.35948878628756</v>
      </c>
      <c r="G43" s="600">
        <v>368.76873679138947</v>
      </c>
      <c r="H43" s="598">
        <v>276.85054106300936</v>
      </c>
      <c r="I43" s="598">
        <v>368.11715421357559</v>
      </c>
      <c r="J43" s="601">
        <v>359.07879999971084</v>
      </c>
    </row>
    <row r="44" spans="1:10">
      <c r="A44" s="587">
        <v>5</v>
      </c>
      <c r="B44" s="616">
        <v>2353</v>
      </c>
      <c r="C44" s="610">
        <v>353.3</v>
      </c>
      <c r="D44" s="598">
        <v>307.29093250529371</v>
      </c>
      <c r="E44" s="598">
        <v>364.06622646164652</v>
      </c>
      <c r="F44" s="599">
        <v>515.79774714608322</v>
      </c>
      <c r="G44" s="600">
        <v>368.79638860432698</v>
      </c>
      <c r="H44" s="598">
        <v>276.85054106300936</v>
      </c>
      <c r="I44" s="598">
        <v>368.11715421357559</v>
      </c>
      <c r="J44" s="601">
        <v>359.12119999983003</v>
      </c>
    </row>
    <row r="45" spans="1:10">
      <c r="A45" s="587">
        <v>5</v>
      </c>
      <c r="B45" s="616">
        <v>2516</v>
      </c>
      <c r="C45" s="610">
        <v>353.3</v>
      </c>
      <c r="D45" s="598">
        <v>307.34118948548422</v>
      </c>
      <c r="E45" s="598">
        <v>364.06622646165272</v>
      </c>
      <c r="F45" s="599">
        <v>516.40124367210615</v>
      </c>
      <c r="G45" s="600">
        <v>368.83436105469877</v>
      </c>
      <c r="H45" s="598">
        <v>276.85054106300936</v>
      </c>
      <c r="I45" s="598">
        <v>368.11715421357559</v>
      </c>
      <c r="J45" s="601">
        <v>359.18639999992155</v>
      </c>
    </row>
    <row r="46" spans="1:10">
      <c r="A46" s="587">
        <v>5</v>
      </c>
      <c r="B46" s="616">
        <v>2626</v>
      </c>
      <c r="C46" s="610">
        <v>353.3</v>
      </c>
      <c r="D46" s="598">
        <v>307.36747679447643</v>
      </c>
      <c r="E46" s="598">
        <v>364.06622646165448</v>
      </c>
      <c r="F46" s="599">
        <v>516.76708732008137</v>
      </c>
      <c r="G46" s="600">
        <v>368.85732115790984</v>
      </c>
      <c r="H46" s="598">
        <v>276.85054106300936</v>
      </c>
      <c r="I46" s="598">
        <v>368.11715421357559</v>
      </c>
      <c r="J46" s="601">
        <v>359.23039999995217</v>
      </c>
    </row>
    <row r="47" spans="1:10">
      <c r="A47" s="587">
        <v>5</v>
      </c>
      <c r="B47" s="616">
        <v>2780</v>
      </c>
      <c r="C47" s="610">
        <v>353.3</v>
      </c>
      <c r="D47" s="598">
        <v>307.39655907640622</v>
      </c>
      <c r="E47" s="598">
        <v>364.06622646165539</v>
      </c>
      <c r="F47" s="599">
        <v>517.23162507539314</v>
      </c>
      <c r="G47" s="600">
        <v>368.88641121601353</v>
      </c>
      <c r="H47" s="598">
        <v>276.85054106300936</v>
      </c>
      <c r="I47" s="598">
        <v>368.11715421357559</v>
      </c>
      <c r="J47" s="601">
        <v>359.29199999997525</v>
      </c>
    </row>
    <row r="48" spans="1:10">
      <c r="A48" s="587">
        <v>5</v>
      </c>
      <c r="B48" s="616">
        <v>2894</v>
      </c>
      <c r="C48" s="610">
        <v>368.9</v>
      </c>
      <c r="D48" s="598">
        <v>307.41356486461422</v>
      </c>
      <c r="E48" s="598">
        <v>364.06622646165567</v>
      </c>
      <c r="F48" s="599">
        <v>517.5442854859441</v>
      </c>
      <c r="G48" s="600">
        <v>368.90595026008594</v>
      </c>
      <c r="H48" s="598">
        <v>276.85054106300936</v>
      </c>
      <c r="I48" s="598">
        <v>368.11715421357559</v>
      </c>
      <c r="J48" s="601">
        <v>359.33759999998449</v>
      </c>
    </row>
    <row r="49" spans="1:10">
      <c r="A49" s="587">
        <v>5</v>
      </c>
      <c r="B49" s="616">
        <v>2999</v>
      </c>
      <c r="C49" s="610">
        <v>372.20000000000005</v>
      </c>
      <c r="D49" s="598">
        <v>307.42655417101406</v>
      </c>
      <c r="E49" s="598">
        <v>364.06622646165584</v>
      </c>
      <c r="F49" s="599">
        <v>517.81163273813058</v>
      </c>
      <c r="G49" s="600">
        <v>368.92263194839006</v>
      </c>
      <c r="H49" s="598">
        <v>276.85054106300936</v>
      </c>
      <c r="I49" s="598">
        <v>368.11715421357559</v>
      </c>
      <c r="J49" s="601">
        <v>359.37959999998969</v>
      </c>
    </row>
    <row r="50" spans="1:10">
      <c r="A50" s="587">
        <v>5</v>
      </c>
      <c r="B50" s="616">
        <v>3081</v>
      </c>
      <c r="C50" s="610">
        <v>373.3</v>
      </c>
      <c r="D50" s="598">
        <v>307.43522306483754</v>
      </c>
      <c r="E50" s="598">
        <v>364.06622646165584</v>
      </c>
      <c r="F50" s="599">
        <v>518.00798079389642</v>
      </c>
      <c r="G50" s="600">
        <v>368.93486848574219</v>
      </c>
      <c r="H50" s="598">
        <v>276.85054106300936</v>
      </c>
      <c r="I50" s="598">
        <v>368.11715421357559</v>
      </c>
      <c r="J50" s="601">
        <v>359.41239999999249</v>
      </c>
    </row>
    <row r="51" spans="1:10">
      <c r="A51" s="587">
        <v>5</v>
      </c>
      <c r="B51" s="616">
        <v>3244</v>
      </c>
      <c r="C51" s="610">
        <v>368.9</v>
      </c>
      <c r="D51" s="598">
        <v>307.44934888414303</v>
      </c>
      <c r="E51" s="598">
        <v>364.06622646165596</v>
      </c>
      <c r="F51" s="599">
        <v>518.3693244749694</v>
      </c>
      <c r="G51" s="600">
        <v>368.95735450052882</v>
      </c>
      <c r="H51" s="598">
        <v>276.85054106300936</v>
      </c>
      <c r="I51" s="598">
        <v>368.11715421357559</v>
      </c>
      <c r="J51" s="601">
        <v>359.47759999999585</v>
      </c>
    </row>
    <row r="52" spans="1:10">
      <c r="A52" s="587">
        <v>5</v>
      </c>
      <c r="B52" s="616">
        <v>3330</v>
      </c>
      <c r="C52" s="610">
        <v>370</v>
      </c>
      <c r="D52" s="598">
        <v>307.45543578705514</v>
      </c>
      <c r="E52" s="598">
        <v>364.06622646165596</v>
      </c>
      <c r="F52" s="599">
        <v>518.54596122322425</v>
      </c>
      <c r="G52" s="600">
        <v>368.96833079990319</v>
      </c>
      <c r="H52" s="598">
        <v>276.85054106300936</v>
      </c>
      <c r="I52" s="598">
        <v>368.11715421357559</v>
      </c>
      <c r="J52" s="601">
        <v>359.51199999999693</v>
      </c>
    </row>
    <row r="53" spans="1:10">
      <c r="A53" s="619">
        <v>6</v>
      </c>
      <c r="B53" s="620">
        <v>6</v>
      </c>
      <c r="C53" s="621">
        <v>86.700000000000017</v>
      </c>
      <c r="D53" s="622"/>
      <c r="E53" s="622"/>
      <c r="F53" s="623"/>
      <c r="G53" s="624"/>
      <c r="H53" s="622"/>
      <c r="I53" s="622"/>
      <c r="J53" s="625">
        <v>77.347458719047339</v>
      </c>
    </row>
    <row r="54" spans="1:10">
      <c r="A54" s="585">
        <v>6</v>
      </c>
      <c r="B54" s="614">
        <v>14</v>
      </c>
      <c r="C54" s="608">
        <v>133.29999999999998</v>
      </c>
      <c r="D54" s="590">
        <v>65.966144723751057</v>
      </c>
      <c r="E54" s="590">
        <v>155.85794192622316</v>
      </c>
      <c r="F54" s="591">
        <v>142.97635730462096</v>
      </c>
      <c r="G54" s="592">
        <v>175.5411513156281</v>
      </c>
      <c r="H54" s="590">
        <v>65.084959731118389</v>
      </c>
      <c r="I54" s="590">
        <v>143.20158666113753</v>
      </c>
      <c r="J54" s="593">
        <v>131.78361393417021</v>
      </c>
    </row>
    <row r="55" spans="1:10">
      <c r="A55" s="585">
        <v>6</v>
      </c>
      <c r="B55" s="614">
        <v>20</v>
      </c>
      <c r="C55" s="608">
        <v>166.70000000000002</v>
      </c>
      <c r="D55" s="590">
        <v>88.722338662071962</v>
      </c>
      <c r="E55" s="590">
        <v>187.30300342083606</v>
      </c>
      <c r="F55" s="591">
        <v>188.93819306566508</v>
      </c>
      <c r="G55" s="592">
        <v>196.70216666400182</v>
      </c>
      <c r="H55" s="590">
        <v>116.58660016571342</v>
      </c>
      <c r="I55" s="590">
        <v>180.8555044669269</v>
      </c>
      <c r="J55" s="593">
        <v>162.01874902088304</v>
      </c>
    </row>
    <row r="56" spans="1:10">
      <c r="A56" s="585">
        <v>6</v>
      </c>
      <c r="B56" s="614">
        <v>27</v>
      </c>
      <c r="C56" s="608">
        <v>243.30000000000004</v>
      </c>
      <c r="D56" s="590">
        <v>108.4039154640904</v>
      </c>
      <c r="E56" s="590">
        <v>205.75823158319952</v>
      </c>
      <c r="F56" s="591">
        <v>226.59059406958158</v>
      </c>
      <c r="G56" s="592">
        <v>207.84875666734737</v>
      </c>
      <c r="H56" s="590">
        <v>163.02908410774629</v>
      </c>
      <c r="I56" s="590">
        <v>204.49530515174447</v>
      </c>
      <c r="J56" s="593">
        <v>190.26461970623356</v>
      </c>
    </row>
    <row r="57" spans="1:10">
      <c r="A57" s="585">
        <v>6</v>
      </c>
      <c r="B57" s="614">
        <v>34</v>
      </c>
      <c r="C57" s="608">
        <v>243.30000000000004</v>
      </c>
      <c r="D57" s="590">
        <v>124.11286034941476</v>
      </c>
      <c r="E57" s="590">
        <v>215.9375836587692</v>
      </c>
      <c r="F57" s="591">
        <v>255.0998780969575</v>
      </c>
      <c r="G57" s="592">
        <v>213.93794316643277</v>
      </c>
      <c r="H57" s="590">
        <v>196.76971872134129</v>
      </c>
      <c r="I57" s="590">
        <v>217.57043048091711</v>
      </c>
      <c r="J57" s="593">
        <v>212.86546214696952</v>
      </c>
    </row>
    <row r="58" spans="1:10">
      <c r="A58" s="585">
        <v>6</v>
      </c>
      <c r="B58" s="614">
        <v>65</v>
      </c>
      <c r="C58" s="608">
        <v>250</v>
      </c>
      <c r="D58" s="590">
        <v>171.01788596810724</v>
      </c>
      <c r="E58" s="590">
        <v>231.08496641980628</v>
      </c>
      <c r="F58" s="591">
        <v>331.6756679753301</v>
      </c>
      <c r="G58" s="592">
        <v>224.36492372423433</v>
      </c>
      <c r="H58" s="590">
        <v>260.67283990879804</v>
      </c>
      <c r="I58" s="590">
        <v>233.97074232529408</v>
      </c>
      <c r="J58" s="593">
        <v>267.85210919689189</v>
      </c>
    </row>
    <row r="59" spans="1:10">
      <c r="A59" s="585">
        <v>6</v>
      </c>
      <c r="B59" s="614">
        <v>78</v>
      </c>
      <c r="C59" s="608">
        <v>276.7</v>
      </c>
      <c r="D59" s="590">
        <v>184.66668425058702</v>
      </c>
      <c r="E59" s="590">
        <v>232.93475281532554</v>
      </c>
      <c r="F59" s="591">
        <v>351.59739881299828</v>
      </c>
      <c r="G59" s="592">
        <v>226.17290617582464</v>
      </c>
      <c r="H59" s="590">
        <v>268.63976155001995</v>
      </c>
      <c r="I59" s="590">
        <v>235.07356909969442</v>
      </c>
      <c r="J59" s="593">
        <v>275.8704742061343</v>
      </c>
    </row>
    <row r="60" spans="1:10">
      <c r="A60" s="585">
        <v>6</v>
      </c>
      <c r="B60" s="614">
        <v>92</v>
      </c>
      <c r="C60" s="608">
        <v>263.3</v>
      </c>
      <c r="D60" s="590">
        <v>197.01168306609097</v>
      </c>
      <c r="E60" s="590">
        <v>234.06063386425407</v>
      </c>
      <c r="F60" s="591">
        <v>368.76188431602907</v>
      </c>
      <c r="G60" s="592">
        <v>227.52970112556596</v>
      </c>
      <c r="H60" s="590">
        <v>272.90104430799147</v>
      </c>
      <c r="I60" s="590">
        <v>235.51258856911329</v>
      </c>
      <c r="J60" s="593">
        <v>278.26006774508897</v>
      </c>
    </row>
    <row r="61" spans="1:10">
      <c r="A61" s="586">
        <v>6</v>
      </c>
      <c r="B61" s="615">
        <v>113</v>
      </c>
      <c r="C61" s="609">
        <v>280</v>
      </c>
      <c r="D61" s="594">
        <v>212.1772964670586</v>
      </c>
      <c r="E61" s="594">
        <v>234.94267858818228</v>
      </c>
      <c r="F61" s="595">
        <v>388.8154916611557</v>
      </c>
      <c r="G61" s="596">
        <v>228.91778700151846</v>
      </c>
      <c r="H61" s="594">
        <v>275.53464096975654</v>
      </c>
      <c r="I61" s="594">
        <v>235.70292115566764</v>
      </c>
      <c r="J61" s="597">
        <v>274.60379845705711</v>
      </c>
    </row>
    <row r="62" spans="1:10">
      <c r="A62" s="586">
        <v>6</v>
      </c>
      <c r="B62" s="615">
        <v>120</v>
      </c>
      <c r="C62" s="609">
        <v>260</v>
      </c>
      <c r="D62" s="594">
        <v>216.53188115309806</v>
      </c>
      <c r="E62" s="594">
        <v>235.11985558533419</v>
      </c>
      <c r="F62" s="595">
        <v>394.37842258498483</v>
      </c>
      <c r="G62" s="596">
        <v>229.26983402200716</v>
      </c>
      <c r="H62" s="594">
        <v>275.93843056692867</v>
      </c>
      <c r="I62" s="594">
        <v>235.72355226283184</v>
      </c>
      <c r="J62" s="597">
        <v>272.40290622941535</v>
      </c>
    </row>
    <row r="63" spans="1:10">
      <c r="A63" s="586">
        <v>6</v>
      </c>
      <c r="B63" s="615">
        <v>129</v>
      </c>
      <c r="C63" s="609">
        <v>246.70000000000002</v>
      </c>
      <c r="D63" s="594">
        <v>221.70685048693556</v>
      </c>
      <c r="E63" s="594">
        <v>235.29575900489354</v>
      </c>
      <c r="F63" s="595">
        <v>400.88426851797959</v>
      </c>
      <c r="G63" s="596">
        <v>229.66503148563689</v>
      </c>
      <c r="H63" s="594">
        <v>276.28120632792132</v>
      </c>
      <c r="I63" s="594">
        <v>235.73833648432981</v>
      </c>
      <c r="J63" s="597">
        <v>269.30768850741742</v>
      </c>
    </row>
    <row r="64" spans="1:10">
      <c r="A64" s="586">
        <v>6</v>
      </c>
      <c r="B64" s="615">
        <v>141</v>
      </c>
      <c r="C64" s="609">
        <v>236.7</v>
      </c>
      <c r="D64" s="594">
        <v>227.95705405271909</v>
      </c>
      <c r="E64" s="594">
        <v>235.46536708366753</v>
      </c>
      <c r="F64" s="595">
        <v>408.59838547268197</v>
      </c>
      <c r="G64" s="596">
        <v>230.11183289978456</v>
      </c>
      <c r="H64" s="594">
        <v>276.54684890184296</v>
      </c>
      <c r="I64" s="594">
        <v>235.74753234110611</v>
      </c>
      <c r="J64" s="597">
        <v>265.1080249975077</v>
      </c>
    </row>
    <row r="65" spans="1:10">
      <c r="A65" s="586">
        <v>6</v>
      </c>
      <c r="B65" s="615">
        <v>148</v>
      </c>
      <c r="C65" s="609">
        <v>229.99999999999997</v>
      </c>
      <c r="D65" s="594">
        <v>231.30082810668975</v>
      </c>
      <c r="E65" s="594">
        <v>235.53961215714691</v>
      </c>
      <c r="F65" s="595">
        <v>412.66493397557639</v>
      </c>
      <c r="G65" s="596">
        <v>230.33833865223062</v>
      </c>
      <c r="H65" s="594">
        <v>276.64005997172711</v>
      </c>
      <c r="I65" s="594">
        <v>235.75013249370448</v>
      </c>
      <c r="J65" s="597">
        <v>262.75742025884364</v>
      </c>
    </row>
    <row r="66" spans="1:10">
      <c r="A66" s="586">
        <v>6</v>
      </c>
      <c r="B66" s="615">
        <v>155</v>
      </c>
      <c r="C66" s="609">
        <v>236.7</v>
      </c>
      <c r="D66" s="594">
        <v>234.44558707582837</v>
      </c>
      <c r="E66" s="594">
        <v>235.60030342769949</v>
      </c>
      <c r="F66" s="595">
        <v>416.45349800785328</v>
      </c>
      <c r="G66" s="596">
        <v>230.54399618720191</v>
      </c>
      <c r="H66" s="594">
        <v>276.70466351550107</v>
      </c>
      <c r="I66" s="594">
        <v>235.75168176754184</v>
      </c>
      <c r="J66" s="597">
        <v>260.53591418466192</v>
      </c>
    </row>
    <row r="67" spans="1:10">
      <c r="A67" s="586">
        <v>6</v>
      </c>
      <c r="B67" s="615">
        <v>161</v>
      </c>
      <c r="C67" s="609">
        <v>246.70000000000002</v>
      </c>
      <c r="D67" s="594">
        <v>236.99523829839472</v>
      </c>
      <c r="E67" s="594">
        <v>235.64363242301727</v>
      </c>
      <c r="F67" s="595">
        <v>419.50090802220905</v>
      </c>
      <c r="G67" s="596">
        <v>230.70577983075745</v>
      </c>
      <c r="H67" s="594">
        <v>276.74400224423351</v>
      </c>
      <c r="I67" s="594">
        <v>235.75250040560999</v>
      </c>
      <c r="J67" s="597">
        <v>258.75278321606442</v>
      </c>
    </row>
    <row r="68" spans="1:10">
      <c r="A68" s="586">
        <v>6</v>
      </c>
      <c r="B68" s="615">
        <v>168</v>
      </c>
      <c r="C68" s="609">
        <v>250</v>
      </c>
      <c r="D68" s="594">
        <v>239.81271829429781</v>
      </c>
      <c r="E68" s="594">
        <v>235.68595859501198</v>
      </c>
      <c r="F68" s="595">
        <v>422.84466335991686</v>
      </c>
      <c r="G68" s="596">
        <v>230.87966599996358</v>
      </c>
      <c r="H68" s="594">
        <v>276.77670328293425</v>
      </c>
      <c r="I68" s="594">
        <v>235.75309266809211</v>
      </c>
      <c r="J68" s="597">
        <v>256.82370663808615</v>
      </c>
    </row>
    <row r="69" spans="1:10">
      <c r="A69" s="586">
        <v>6</v>
      </c>
      <c r="B69" s="615">
        <v>175</v>
      </c>
      <c r="C69" s="609">
        <v>253.29999999999998</v>
      </c>
      <c r="D69" s="594">
        <v>242.47359303935337</v>
      </c>
      <c r="E69" s="594">
        <v>235.72105793375292</v>
      </c>
      <c r="F69" s="595">
        <v>425.98107085039385</v>
      </c>
      <c r="G69" s="596">
        <v>231.03940753913713</v>
      </c>
      <c r="H69" s="594">
        <v>276.79936723157499</v>
      </c>
      <c r="I69" s="594">
        <v>235.75344556348179</v>
      </c>
      <c r="J69" s="597">
        <v>255.05973145778412</v>
      </c>
    </row>
    <row r="70" spans="1:10">
      <c r="A70" s="586">
        <v>6</v>
      </c>
      <c r="B70" s="615">
        <v>182</v>
      </c>
      <c r="C70" s="609">
        <v>253.29999999999998</v>
      </c>
      <c r="D70" s="594">
        <v>244.98975661977988</v>
      </c>
      <c r="E70" s="594">
        <v>235.75029191285543</v>
      </c>
      <c r="F70" s="595">
        <v>428.92907191386297</v>
      </c>
      <c r="G70" s="596">
        <v>231.1866629738652</v>
      </c>
      <c r="H70" s="594">
        <v>276.81507473454582</v>
      </c>
      <c r="I70" s="594">
        <v>235.75365583383032</v>
      </c>
      <c r="J70" s="597">
        <v>253.45709341881383</v>
      </c>
    </row>
    <row r="71" spans="1:10">
      <c r="A71" s="586">
        <v>6</v>
      </c>
      <c r="B71" s="615">
        <v>247</v>
      </c>
      <c r="C71" s="609">
        <v>219.99999999999997</v>
      </c>
      <c r="D71" s="594">
        <v>263.03678334045117</v>
      </c>
      <c r="E71" s="594">
        <v>235.87515316819332</v>
      </c>
      <c r="F71" s="595">
        <v>449.70848418119533</v>
      </c>
      <c r="G71" s="596">
        <v>232.15073564896645</v>
      </c>
      <c r="H71" s="594">
        <v>276.8493628603029</v>
      </c>
      <c r="I71" s="594">
        <v>235.75396330221915</v>
      </c>
      <c r="J71" s="597">
        <v>244.52523438435352</v>
      </c>
    </row>
    <row r="72" spans="1:10">
      <c r="A72" s="586">
        <v>6</v>
      </c>
      <c r="B72" s="615">
        <v>308</v>
      </c>
      <c r="C72" s="609">
        <v>233.3</v>
      </c>
      <c r="D72" s="594">
        <v>274.1209665703779</v>
      </c>
      <c r="E72" s="594">
        <v>235.90420090059689</v>
      </c>
      <c r="F72" s="595">
        <v>462.40108936542214</v>
      </c>
      <c r="G72" s="596">
        <v>232.68186229986611</v>
      </c>
      <c r="H72" s="594">
        <v>276.85049280050538</v>
      </c>
      <c r="I72" s="594">
        <v>235.75396580551387</v>
      </c>
      <c r="J72" s="597">
        <v>241.7411619945384</v>
      </c>
    </row>
    <row r="73" spans="1:10">
      <c r="A73" s="586">
        <v>6</v>
      </c>
      <c r="B73" s="615">
        <v>370</v>
      </c>
      <c r="C73" s="609">
        <v>236.7</v>
      </c>
      <c r="D73" s="594">
        <v>281.94794328040672</v>
      </c>
      <c r="E73" s="594">
        <v>235.91327807200949</v>
      </c>
      <c r="F73" s="595">
        <v>471.56007401756631</v>
      </c>
      <c r="G73" s="596">
        <v>233.0408318875773</v>
      </c>
      <c r="H73" s="594">
        <v>276.85053918692734</v>
      </c>
      <c r="I73" s="594">
        <v>235.75396583301153</v>
      </c>
      <c r="J73" s="597">
        <v>240.75149350102004</v>
      </c>
    </row>
    <row r="74" spans="1:10">
      <c r="A74" s="586">
        <v>6</v>
      </c>
      <c r="B74" s="615">
        <v>429</v>
      </c>
      <c r="C74" s="609">
        <v>240</v>
      </c>
      <c r="D74" s="594">
        <v>287.32732534693821</v>
      </c>
      <c r="E74" s="594">
        <v>235.9162936183989</v>
      </c>
      <c r="F74" s="595">
        <v>478.09614692799551</v>
      </c>
      <c r="G74" s="596">
        <v>233.28543373301798</v>
      </c>
      <c r="H74" s="594">
        <v>276.85054097767244</v>
      </c>
      <c r="I74" s="594">
        <v>235.75396583329109</v>
      </c>
      <c r="J74" s="597">
        <v>240.03919307557157</v>
      </c>
    </row>
    <row r="75" spans="1:10">
      <c r="A75" s="586">
        <v>6</v>
      </c>
      <c r="B75" s="615">
        <v>490</v>
      </c>
      <c r="C75" s="609">
        <v>236.7</v>
      </c>
      <c r="D75" s="594">
        <v>291.46276426200501</v>
      </c>
      <c r="E75" s="594">
        <v>235.9174977930208</v>
      </c>
      <c r="F75" s="595">
        <v>483.36683974501022</v>
      </c>
      <c r="G75" s="596">
        <v>233.47602916396784</v>
      </c>
      <c r="H75" s="594">
        <v>276.85054105951372</v>
      </c>
      <c r="I75" s="594">
        <v>235.75396583329464</v>
      </c>
      <c r="J75" s="597">
        <v>239.3181641684491</v>
      </c>
    </row>
    <row r="76" spans="1:10">
      <c r="A76" s="587">
        <v>6</v>
      </c>
      <c r="B76" s="616">
        <v>551</v>
      </c>
      <c r="C76" s="610">
        <v>236.7</v>
      </c>
      <c r="D76" s="598">
        <v>294.58649470599613</v>
      </c>
      <c r="E76" s="598">
        <v>235.9179866005172</v>
      </c>
      <c r="F76" s="599">
        <v>487.57775653886733</v>
      </c>
      <c r="G76" s="600">
        <v>233.62420294608478</v>
      </c>
      <c r="H76" s="598">
        <v>276.85054106286617</v>
      </c>
      <c r="I76" s="598">
        <v>235.7539658332947</v>
      </c>
      <c r="J76" s="601">
        <v>238.59824370594714</v>
      </c>
    </row>
    <row r="77" spans="1:10">
      <c r="A77" s="587">
        <v>6</v>
      </c>
      <c r="B77" s="616">
        <v>612</v>
      </c>
      <c r="C77" s="610">
        <v>236.7</v>
      </c>
      <c r="D77" s="598">
        <v>296.98785251279872</v>
      </c>
      <c r="E77" s="598">
        <v>235.91819653990743</v>
      </c>
      <c r="F77" s="599">
        <v>491.01969340772638</v>
      </c>
      <c r="G77" s="600">
        <v>233.7426997854173</v>
      </c>
      <c r="H77" s="598">
        <v>276.8505410630035</v>
      </c>
      <c r="I77" s="598">
        <v>235.7539658332947</v>
      </c>
      <c r="J77" s="601">
        <v>237.87841906511133</v>
      </c>
    </row>
    <row r="78" spans="1:10">
      <c r="A78" s="587">
        <v>6</v>
      </c>
      <c r="B78" s="616">
        <v>673</v>
      </c>
      <c r="C78" s="610">
        <v>240</v>
      </c>
      <c r="D78" s="598">
        <v>298.86151767260128</v>
      </c>
      <c r="E78" s="598">
        <v>235.91829106048249</v>
      </c>
      <c r="F78" s="599">
        <v>493.88586699156298</v>
      </c>
      <c r="G78" s="600">
        <v>233.83962390135545</v>
      </c>
      <c r="H78" s="598">
        <v>276.85054106300913</v>
      </c>
      <c r="I78" s="598">
        <v>235.7539658332947</v>
      </c>
      <c r="J78" s="601">
        <v>237.15860941160039</v>
      </c>
    </row>
    <row r="79" spans="1:10">
      <c r="A79" s="587">
        <v>6</v>
      </c>
      <c r="B79" s="616">
        <v>735</v>
      </c>
      <c r="C79" s="610">
        <v>240</v>
      </c>
      <c r="D79" s="598">
        <v>300.36381232680026</v>
      </c>
      <c r="E79" s="598">
        <v>235.91833584928389</v>
      </c>
      <c r="F79" s="599">
        <v>496.34633487130333</v>
      </c>
      <c r="G79" s="600">
        <v>233.92158656585659</v>
      </c>
      <c r="H79" s="598">
        <v>276.85054106300936</v>
      </c>
      <c r="I79" s="598">
        <v>235.7539658332947</v>
      </c>
      <c r="J79" s="601">
        <v>236.42700473048475</v>
      </c>
    </row>
    <row r="80" spans="1:10">
      <c r="A80" s="587">
        <v>6</v>
      </c>
      <c r="B80" s="616">
        <v>795</v>
      </c>
      <c r="C80" s="610">
        <v>240</v>
      </c>
      <c r="D80" s="598">
        <v>301.52550145167129</v>
      </c>
      <c r="E80" s="598">
        <v>235.91835685529668</v>
      </c>
      <c r="F80" s="599">
        <v>498.3863576687333</v>
      </c>
      <c r="G80" s="600">
        <v>233.98868907868331</v>
      </c>
      <c r="H80" s="598">
        <v>276.85054106300936</v>
      </c>
      <c r="I80" s="598">
        <v>235.7539658332947</v>
      </c>
      <c r="J80" s="601">
        <v>235.71900247580211</v>
      </c>
    </row>
    <row r="81" spans="1:10">
      <c r="A81" s="587">
        <v>6</v>
      </c>
      <c r="B81" s="616">
        <v>1163</v>
      </c>
      <c r="C81" s="610">
        <v>236.7</v>
      </c>
      <c r="D81" s="598">
        <v>305.23775384973396</v>
      </c>
      <c r="E81" s="598">
        <v>235.91837895520916</v>
      </c>
      <c r="F81" s="599">
        <v>506.50896263963602</v>
      </c>
      <c r="G81" s="600">
        <v>234.24841684479998</v>
      </c>
      <c r="H81" s="598">
        <v>276.85054106300936</v>
      </c>
      <c r="I81" s="598">
        <v>235.7539658332947</v>
      </c>
      <c r="J81" s="601">
        <v>231.37660007584901</v>
      </c>
    </row>
    <row r="82" spans="1:10">
      <c r="A82" s="587">
        <v>6</v>
      </c>
      <c r="B82" s="616">
        <v>1191</v>
      </c>
      <c r="C82" s="610">
        <v>228.9</v>
      </c>
      <c r="D82" s="598">
        <v>305.38489149920309</v>
      </c>
      <c r="E82" s="598">
        <v>235.91837909636348</v>
      </c>
      <c r="F82" s="599">
        <v>506.93091960828616</v>
      </c>
      <c r="G82" s="600">
        <v>234.26159220551907</v>
      </c>
      <c r="H82" s="598">
        <v>276.85054106300936</v>
      </c>
      <c r="I82" s="598">
        <v>235.7539658332947</v>
      </c>
      <c r="J82" s="601">
        <v>231.04620006019562</v>
      </c>
    </row>
    <row r="83" spans="1:10">
      <c r="A83" s="587">
        <v>6</v>
      </c>
      <c r="B83" s="616">
        <v>1252</v>
      </c>
      <c r="C83" s="610">
        <v>225.60000000000002</v>
      </c>
      <c r="D83" s="598">
        <v>305.66833586190182</v>
      </c>
      <c r="E83" s="598">
        <v>235.91837930350434</v>
      </c>
      <c r="F83" s="599">
        <v>507.78770272467216</v>
      </c>
      <c r="G83" s="600">
        <v>234.28825057406794</v>
      </c>
      <c r="H83" s="598">
        <v>276.85054106300936</v>
      </c>
      <c r="I83" s="598">
        <v>235.7539658332947</v>
      </c>
      <c r="J83" s="601">
        <v>230.32640003692217</v>
      </c>
    </row>
    <row r="84" spans="1:10">
      <c r="A84" s="587">
        <v>6</v>
      </c>
      <c r="B84" s="616">
        <v>1317</v>
      </c>
      <c r="C84" s="610">
        <v>236.7</v>
      </c>
      <c r="D84" s="598">
        <v>305.92281214968847</v>
      </c>
      <c r="E84" s="598">
        <v>235.91837942959449</v>
      </c>
      <c r="F84" s="599">
        <v>508.6169765242563</v>
      </c>
      <c r="G84" s="600">
        <v>234.31393341322311</v>
      </c>
      <c r="H84" s="598">
        <v>276.85054106300936</v>
      </c>
      <c r="I84" s="598">
        <v>235.7539658332947</v>
      </c>
      <c r="J84" s="601">
        <v>229.55940002240084</v>
      </c>
    </row>
    <row r="85" spans="1:10">
      <c r="A85" s="587">
        <v>6</v>
      </c>
      <c r="B85" s="616">
        <v>1391</v>
      </c>
      <c r="C85" s="610">
        <v>227.5</v>
      </c>
      <c r="D85" s="598">
        <v>306.16398129527369</v>
      </c>
      <c r="E85" s="598">
        <v>235.91837950844752</v>
      </c>
      <c r="F85" s="599">
        <v>509.47047908433996</v>
      </c>
      <c r="G85" s="600">
        <v>234.34024452563824</v>
      </c>
      <c r="H85" s="598">
        <v>276.85054106300936</v>
      </c>
      <c r="I85" s="598">
        <v>235.7539658332947</v>
      </c>
      <c r="J85" s="601">
        <v>228.68620001299919</v>
      </c>
    </row>
    <row r="86" spans="1:10">
      <c r="A86" s="587">
        <v>6</v>
      </c>
      <c r="B86" s="616">
        <v>1450</v>
      </c>
      <c r="C86" s="610">
        <v>226.7</v>
      </c>
      <c r="D86" s="598">
        <v>306.32594523766107</v>
      </c>
      <c r="E86" s="598">
        <v>235.91837954406756</v>
      </c>
      <c r="F86" s="599">
        <v>510.09094123708672</v>
      </c>
      <c r="G86" s="600">
        <v>234.35929433209074</v>
      </c>
      <c r="H86" s="598">
        <v>276.85054106300936</v>
      </c>
      <c r="I86" s="598">
        <v>235.7539658332947</v>
      </c>
      <c r="J86" s="601">
        <v>227.9900000085722</v>
      </c>
    </row>
    <row r="87" spans="1:10">
      <c r="A87" s="587">
        <v>6</v>
      </c>
      <c r="B87" s="616">
        <v>1549</v>
      </c>
      <c r="C87" s="610">
        <v>217.79999999999998</v>
      </c>
      <c r="D87" s="598">
        <v>306.5494570072799</v>
      </c>
      <c r="E87" s="598">
        <v>235.91837957584184</v>
      </c>
      <c r="F87" s="599">
        <v>511.02967130888459</v>
      </c>
      <c r="G87" s="600">
        <v>234.38799276537006</v>
      </c>
      <c r="H87" s="598">
        <v>276.85054106300936</v>
      </c>
      <c r="I87" s="598">
        <v>235.7539658332947</v>
      </c>
      <c r="J87" s="601">
        <v>226.82180000440178</v>
      </c>
    </row>
    <row r="88" spans="1:10">
      <c r="A88" s="587">
        <v>6</v>
      </c>
      <c r="B88" s="616">
        <v>1640</v>
      </c>
      <c r="C88" s="610">
        <v>222.2</v>
      </c>
      <c r="D88" s="598">
        <v>306.71265371961715</v>
      </c>
      <c r="E88" s="598">
        <v>235.91837958945726</v>
      </c>
      <c r="F88" s="599">
        <v>511.79597517950845</v>
      </c>
      <c r="G88" s="600">
        <v>234.41131064760989</v>
      </c>
      <c r="H88" s="598">
        <v>276.85054106300936</v>
      </c>
      <c r="I88" s="598">
        <v>235.7539658332947</v>
      </c>
      <c r="J88" s="601">
        <v>225.74800000246421</v>
      </c>
    </row>
    <row r="89" spans="1:10">
      <c r="A89" s="587">
        <v>6</v>
      </c>
      <c r="B89" s="616">
        <v>1732</v>
      </c>
      <c r="C89" s="610">
        <v>213.3</v>
      </c>
      <c r="D89" s="598">
        <v>306.84584123624472</v>
      </c>
      <c r="E89" s="598">
        <v>235.91837959623621</v>
      </c>
      <c r="F89" s="599">
        <v>512.49148546473111</v>
      </c>
      <c r="G89" s="600">
        <v>234.43238985111191</v>
      </c>
      <c r="H89" s="598">
        <v>276.85054106300936</v>
      </c>
      <c r="I89" s="598">
        <v>235.7539658332947</v>
      </c>
      <c r="J89" s="601">
        <v>224.66240000141065</v>
      </c>
    </row>
    <row r="90" spans="1:10">
      <c r="A90" s="587">
        <v>6</v>
      </c>
      <c r="B90" s="616">
        <v>1824</v>
      </c>
      <c r="C90" s="610">
        <v>211.10000000000002</v>
      </c>
      <c r="D90" s="598">
        <v>306.95392333624471</v>
      </c>
      <c r="E90" s="598">
        <v>235.91837959962743</v>
      </c>
      <c r="F90" s="599">
        <v>513.11898970506775</v>
      </c>
      <c r="G90" s="600">
        <v>234.45133930447889</v>
      </c>
      <c r="H90" s="598">
        <v>276.85054106300936</v>
      </c>
      <c r="I90" s="598">
        <v>235.7539658332947</v>
      </c>
      <c r="J90" s="601">
        <v>223.57680000082902</v>
      </c>
    </row>
    <row r="91" spans="1:10">
      <c r="A91" s="587">
        <v>6</v>
      </c>
      <c r="B91" s="616">
        <v>1955</v>
      </c>
      <c r="C91" s="610">
        <v>219.99999999999997</v>
      </c>
      <c r="D91" s="598">
        <v>307.07459188306728</v>
      </c>
      <c r="E91" s="598">
        <v>235.918379601807</v>
      </c>
      <c r="F91" s="599">
        <v>513.91351056256201</v>
      </c>
      <c r="G91" s="600">
        <v>234.47523938482774</v>
      </c>
      <c r="H91" s="598">
        <v>276.85054106300936</v>
      </c>
      <c r="I91" s="598">
        <v>235.7539658332947</v>
      </c>
      <c r="J91" s="601">
        <v>222.03100000040521</v>
      </c>
    </row>
    <row r="92" spans="1:10">
      <c r="A92" s="587">
        <v>6</v>
      </c>
      <c r="B92" s="616">
        <v>2046</v>
      </c>
      <c r="C92" s="610">
        <v>214.4</v>
      </c>
      <c r="D92" s="598">
        <v>307.14065349644181</v>
      </c>
      <c r="E92" s="598">
        <v>235.91837960248313</v>
      </c>
      <c r="F92" s="599">
        <v>514.40719177166295</v>
      </c>
      <c r="G92" s="600">
        <v>234.49003778194367</v>
      </c>
      <c r="H92" s="598">
        <v>276.85054106300936</v>
      </c>
      <c r="I92" s="598">
        <v>235.7539658332947</v>
      </c>
      <c r="J92" s="601">
        <v>220.95720000025284</v>
      </c>
    </row>
    <row r="93" spans="1:10">
      <c r="A93" s="587">
        <v>6</v>
      </c>
      <c r="B93" s="616">
        <v>2149</v>
      </c>
      <c r="C93" s="610">
        <v>205.6</v>
      </c>
      <c r="D93" s="598">
        <v>307.20187301909453</v>
      </c>
      <c r="E93" s="598">
        <v>235.91837960287702</v>
      </c>
      <c r="F93" s="599">
        <v>514.91685408400269</v>
      </c>
      <c r="G93" s="600">
        <v>234.50527351778663</v>
      </c>
      <c r="H93" s="598">
        <v>276.85054106300936</v>
      </c>
      <c r="I93" s="598">
        <v>235.7539658332947</v>
      </c>
      <c r="J93" s="601">
        <v>219.74180000015167</v>
      </c>
    </row>
    <row r="94" spans="1:10">
      <c r="A94" s="587">
        <v>6</v>
      </c>
      <c r="B94" s="616">
        <v>2247</v>
      </c>
      <c r="C94" s="610">
        <v>206.70000000000002</v>
      </c>
      <c r="D94" s="598">
        <v>307.24944270831713</v>
      </c>
      <c r="E94" s="598">
        <v>235.91837960306731</v>
      </c>
      <c r="F94" s="599">
        <v>515.35948878628756</v>
      </c>
      <c r="G94" s="600">
        <v>234.51847128548059</v>
      </c>
      <c r="H94" s="598">
        <v>276.85054106300936</v>
      </c>
      <c r="I94" s="598">
        <v>235.7539658332947</v>
      </c>
      <c r="J94" s="601">
        <v>218.58540000009526</v>
      </c>
    </row>
    <row r="95" spans="1:10">
      <c r="A95" s="587">
        <v>6</v>
      </c>
      <c r="B95" s="616">
        <v>2353</v>
      </c>
      <c r="C95" s="610">
        <v>212.2</v>
      </c>
      <c r="D95" s="598">
        <v>307.29157541917442</v>
      </c>
      <c r="E95" s="598">
        <v>235.91837960317284</v>
      </c>
      <c r="F95" s="599">
        <v>515.79774714608322</v>
      </c>
      <c r="G95" s="600">
        <v>234.53150729292375</v>
      </c>
      <c r="H95" s="598">
        <v>276.85054106300936</v>
      </c>
      <c r="I95" s="598">
        <v>235.7539658332947</v>
      </c>
      <c r="J95" s="601">
        <v>217.33460000005883</v>
      </c>
    </row>
    <row r="96" spans="1:10">
      <c r="A96" s="587">
        <v>6</v>
      </c>
      <c r="B96" s="616">
        <v>2516</v>
      </c>
      <c r="C96" s="610">
        <v>206.70000000000002</v>
      </c>
      <c r="D96" s="598">
        <v>307.34183216983212</v>
      </c>
      <c r="E96" s="598">
        <v>235.9183796032433</v>
      </c>
      <c r="F96" s="599">
        <v>516.40124367210615</v>
      </c>
      <c r="G96" s="600">
        <v>234.54940756468267</v>
      </c>
      <c r="H96" s="598">
        <v>276.85054106300936</v>
      </c>
      <c r="I96" s="598">
        <v>235.7539658332947</v>
      </c>
      <c r="J96" s="601">
        <v>215.41120000002914</v>
      </c>
    </row>
    <row r="97" spans="1:10">
      <c r="A97" s="587">
        <v>6</v>
      </c>
      <c r="B97" s="616">
        <v>2626</v>
      </c>
      <c r="C97" s="610">
        <v>213.3</v>
      </c>
      <c r="D97" s="598">
        <v>307.36811935309868</v>
      </c>
      <c r="E97" s="598">
        <v>235.91837960326316</v>
      </c>
      <c r="F97" s="599">
        <v>516.76708732008137</v>
      </c>
      <c r="G97" s="600">
        <v>234.56023029886171</v>
      </c>
      <c r="H97" s="598">
        <v>276.85054106300936</v>
      </c>
      <c r="I97" s="598">
        <v>235.7539658332947</v>
      </c>
      <c r="J97" s="601">
        <v>214.11320000001859</v>
      </c>
    </row>
    <row r="98" spans="1:10">
      <c r="A98" s="587">
        <v>6</v>
      </c>
      <c r="B98" s="616">
        <v>2780</v>
      </c>
      <c r="C98" s="610">
        <v>203.29999999999998</v>
      </c>
      <c r="D98" s="598">
        <v>307.39720149021451</v>
      </c>
      <c r="E98" s="598">
        <v>235.91837960327592</v>
      </c>
      <c r="F98" s="599">
        <v>517.23162507539314</v>
      </c>
      <c r="G98" s="600">
        <v>234.57394176694999</v>
      </c>
      <c r="H98" s="598">
        <v>276.85054106300936</v>
      </c>
      <c r="I98" s="598">
        <v>235.7539658332947</v>
      </c>
      <c r="J98" s="601">
        <v>212.29600000001017</v>
      </c>
    </row>
    <row r="99" spans="1:10">
      <c r="A99" s="587">
        <v>6</v>
      </c>
      <c r="B99" s="616">
        <v>2894</v>
      </c>
      <c r="C99" s="610">
        <v>205.6</v>
      </c>
      <c r="D99" s="598">
        <v>307.41420719034431</v>
      </c>
      <c r="E99" s="598">
        <v>235.91837960328016</v>
      </c>
      <c r="F99" s="599">
        <v>517.5442854859441</v>
      </c>
      <c r="G99" s="600">
        <v>234.58315093623878</v>
      </c>
      <c r="H99" s="598">
        <v>276.85054106300936</v>
      </c>
      <c r="I99" s="598">
        <v>235.7539658332947</v>
      </c>
      <c r="J99" s="601">
        <v>210.95080000000664</v>
      </c>
    </row>
    <row r="100" spans="1:10">
      <c r="A100" s="587">
        <v>6</v>
      </c>
      <c r="B100" s="616">
        <v>2999</v>
      </c>
      <c r="C100" s="610">
        <v>206.70000000000002</v>
      </c>
      <c r="D100" s="598">
        <v>307.42719642741383</v>
      </c>
      <c r="E100" s="598">
        <v>235.91837960328215</v>
      </c>
      <c r="F100" s="599">
        <v>517.81163273813058</v>
      </c>
      <c r="G100" s="600">
        <v>234.59101307296496</v>
      </c>
      <c r="H100" s="598">
        <v>276.85054106300936</v>
      </c>
      <c r="I100" s="598">
        <v>235.7539658332947</v>
      </c>
      <c r="J100" s="601">
        <v>209.71180000000456</v>
      </c>
    </row>
    <row r="101" spans="1:10">
      <c r="A101" s="587">
        <v>6</v>
      </c>
      <c r="B101" s="616">
        <v>3081</v>
      </c>
      <c r="C101" s="610">
        <v>206.70000000000002</v>
      </c>
      <c r="D101" s="598">
        <v>307.43586527381234</v>
      </c>
      <c r="E101" s="598">
        <v>235.91837960328311</v>
      </c>
      <c r="F101" s="599">
        <v>518.00798079389642</v>
      </c>
      <c r="G101" s="600">
        <v>234.59678001934313</v>
      </c>
      <c r="H101" s="598">
        <v>276.85054106300936</v>
      </c>
      <c r="I101" s="598">
        <v>235.7539658332947</v>
      </c>
      <c r="J101" s="601">
        <v>208.74420000000342</v>
      </c>
    </row>
    <row r="102" spans="1:10">
      <c r="A102" s="587">
        <v>6</v>
      </c>
      <c r="B102" s="616">
        <v>3244</v>
      </c>
      <c r="C102" s="610">
        <v>206.70000000000002</v>
      </c>
      <c r="D102" s="598">
        <v>307.44999101348924</v>
      </c>
      <c r="E102" s="598">
        <v>235.91837960328411</v>
      </c>
      <c r="F102" s="599">
        <v>518.3693244749694</v>
      </c>
      <c r="G102" s="600">
        <v>234.60737704522342</v>
      </c>
      <c r="H102" s="598">
        <v>276.85054106300936</v>
      </c>
      <c r="I102" s="598">
        <v>235.7539658332947</v>
      </c>
      <c r="J102" s="601">
        <v>206.82080000000198</v>
      </c>
    </row>
    <row r="103" spans="1:10">
      <c r="A103" s="587">
        <v>6</v>
      </c>
      <c r="B103" s="616">
        <v>3330</v>
      </c>
      <c r="C103" s="610">
        <v>202.2</v>
      </c>
      <c r="D103" s="598">
        <v>307.45607788103331</v>
      </c>
      <c r="E103" s="598">
        <v>235.91837960328439</v>
      </c>
      <c r="F103" s="599">
        <v>518.54596122322425</v>
      </c>
      <c r="G103" s="600">
        <v>234.61254968401488</v>
      </c>
      <c r="H103" s="598">
        <v>276.85054106300936</v>
      </c>
      <c r="I103" s="598">
        <v>235.7539658332947</v>
      </c>
      <c r="J103" s="601">
        <v>205.80600000000149</v>
      </c>
    </row>
    <row r="104" spans="1:10">
      <c r="A104" s="619">
        <v>7</v>
      </c>
      <c r="B104" s="620">
        <v>7</v>
      </c>
      <c r="C104" s="621">
        <v>44.999999999999993</v>
      </c>
      <c r="D104" s="622"/>
      <c r="E104" s="622"/>
      <c r="F104" s="623"/>
      <c r="G104" s="624"/>
      <c r="H104" s="622"/>
      <c r="I104" s="622"/>
      <c r="J104" s="625"/>
    </row>
    <row r="105" spans="1:10">
      <c r="A105" s="585">
        <v>7</v>
      </c>
      <c r="B105" s="614">
        <v>14</v>
      </c>
      <c r="C105" s="608">
        <v>89.999999999999986</v>
      </c>
      <c r="D105" s="590">
        <v>65.965947167986258</v>
      </c>
      <c r="E105" s="590">
        <v>189.34489057903534</v>
      </c>
      <c r="F105" s="591">
        <v>138.06386708457285</v>
      </c>
      <c r="G105" s="592">
        <v>107.42758468256082</v>
      </c>
      <c r="H105" s="590">
        <v>65.084984446513275</v>
      </c>
      <c r="I105" s="590">
        <v>113.87289531195789</v>
      </c>
      <c r="J105" s="593"/>
    </row>
    <row r="106" spans="1:10">
      <c r="A106" s="585">
        <v>7</v>
      </c>
      <c r="B106" s="614">
        <v>28</v>
      </c>
      <c r="C106" s="608">
        <v>150</v>
      </c>
      <c r="D106" s="590">
        <v>110.84510985686391</v>
      </c>
      <c r="E106" s="590">
        <v>244.39577416522135</v>
      </c>
      <c r="F106" s="591">
        <v>223.17302292038292</v>
      </c>
      <c r="G106" s="592">
        <v>160.85101882150795</v>
      </c>
      <c r="H106" s="590">
        <v>168.55606497934775</v>
      </c>
      <c r="I106" s="590">
        <v>183.99300390160886</v>
      </c>
      <c r="J106" s="593"/>
    </row>
    <row r="107" spans="1:10">
      <c r="A107" s="585">
        <v>7</v>
      </c>
      <c r="B107" s="614">
        <v>49</v>
      </c>
      <c r="C107" s="608">
        <v>210</v>
      </c>
      <c r="D107" s="590">
        <v>150.13789351042394</v>
      </c>
      <c r="E107" s="590">
        <v>261.97739043705968</v>
      </c>
      <c r="F107" s="591">
        <v>288.89277379959799</v>
      </c>
      <c r="G107" s="592">
        <v>193.70851641878485</v>
      </c>
      <c r="H107" s="590">
        <v>239.72757810512508</v>
      </c>
      <c r="I107" s="590">
        <v>228.02131863365906</v>
      </c>
      <c r="J107" s="593"/>
    </row>
    <row r="108" spans="1:10">
      <c r="A108" s="585">
        <v>7</v>
      </c>
      <c r="B108" s="614">
        <v>58</v>
      </c>
      <c r="C108" s="608">
        <v>219.99999999999997</v>
      </c>
      <c r="D108" s="590">
        <v>162.53996201450448</v>
      </c>
      <c r="E108" s="590">
        <v>264.56017819833107</v>
      </c>
      <c r="F108" s="591">
        <v>307.82729011829241</v>
      </c>
      <c r="G108" s="592">
        <v>201.89584152750945</v>
      </c>
      <c r="H108" s="590">
        <v>253.56498612016478</v>
      </c>
      <c r="I108" s="590">
        <v>237.88819456654221</v>
      </c>
      <c r="J108" s="593"/>
    </row>
    <row r="109" spans="1:10">
      <c r="A109" s="585">
        <v>7</v>
      </c>
      <c r="B109" s="614">
        <v>82</v>
      </c>
      <c r="C109" s="608">
        <v>229.99999999999997</v>
      </c>
      <c r="D109" s="590">
        <v>188.41303611284749</v>
      </c>
      <c r="E109" s="590">
        <v>267.5827719007699</v>
      </c>
      <c r="F109" s="591">
        <v>344.62824373541935</v>
      </c>
      <c r="G109" s="592">
        <v>216.3187033109804</v>
      </c>
      <c r="H109" s="590">
        <v>270.18727730881915</v>
      </c>
      <c r="I109" s="590">
        <v>252.35622816153878</v>
      </c>
      <c r="J109" s="593"/>
    </row>
    <row r="110" spans="1:10">
      <c r="A110" s="585">
        <v>7</v>
      </c>
      <c r="B110" s="614">
        <v>94</v>
      </c>
      <c r="C110" s="608">
        <v>250</v>
      </c>
      <c r="D110" s="590">
        <v>198.61200687708629</v>
      </c>
      <c r="E110" s="590">
        <v>268.21112735063747</v>
      </c>
      <c r="F110" s="591">
        <v>358.18618257911936</v>
      </c>
      <c r="G110" s="592">
        <v>221.16820459287158</v>
      </c>
      <c r="H110" s="590">
        <v>273.29235691189291</v>
      </c>
      <c r="I110" s="590">
        <v>255.99643926932461</v>
      </c>
      <c r="J110" s="593"/>
    </row>
    <row r="111" spans="1:10">
      <c r="A111" s="586">
        <v>7</v>
      </c>
      <c r="B111" s="615">
        <v>115</v>
      </c>
      <c r="C111" s="609">
        <v>260</v>
      </c>
      <c r="D111" s="594">
        <v>213.45240082399735</v>
      </c>
      <c r="E111" s="594">
        <v>268.78583188470077</v>
      </c>
      <c r="F111" s="595">
        <v>377.03825318255599</v>
      </c>
      <c r="G111" s="596">
        <v>227.52530662170224</v>
      </c>
      <c r="H111" s="594">
        <v>275.66442739789784</v>
      </c>
      <c r="I111" s="594">
        <v>259.5697265469633</v>
      </c>
      <c r="J111" s="597"/>
    </row>
    <row r="112" spans="1:10">
      <c r="A112" s="586">
        <v>7</v>
      </c>
      <c r="B112" s="615">
        <v>122</v>
      </c>
      <c r="C112" s="609">
        <v>250</v>
      </c>
      <c r="D112" s="594">
        <v>217.72069057074378</v>
      </c>
      <c r="E112" s="594">
        <v>268.89674500005054</v>
      </c>
      <c r="F112" s="595">
        <v>382.2815376438208</v>
      </c>
      <c r="G112" s="596">
        <v>229.21686018407652</v>
      </c>
      <c r="H112" s="594">
        <v>276.02808217305795</v>
      </c>
      <c r="I112" s="594">
        <v>260.2773210825755</v>
      </c>
      <c r="J112" s="597"/>
    </row>
    <row r="113" spans="1:10">
      <c r="A113" s="586">
        <v>7</v>
      </c>
      <c r="B113" s="615">
        <v>130</v>
      </c>
      <c r="C113" s="609">
        <v>235</v>
      </c>
      <c r="D113" s="594">
        <v>222.25416332106067</v>
      </c>
      <c r="E113" s="594">
        <v>268.99427421906529</v>
      </c>
      <c r="F113" s="595">
        <v>387.76930067735248</v>
      </c>
      <c r="G113" s="596">
        <v>230.95280749636223</v>
      </c>
      <c r="H113" s="594">
        <v>276.30921377225252</v>
      </c>
      <c r="I113" s="594">
        <v>260.8972274690139</v>
      </c>
      <c r="J113" s="597"/>
    </row>
    <row r="114" spans="1:10">
      <c r="A114" s="586">
        <v>7</v>
      </c>
      <c r="B114" s="615">
        <v>143</v>
      </c>
      <c r="C114" s="609">
        <v>225</v>
      </c>
      <c r="D114" s="594">
        <v>228.93316734287467</v>
      </c>
      <c r="E114" s="594">
        <v>269.10619979474512</v>
      </c>
      <c r="F114" s="595">
        <v>395.7105309947359</v>
      </c>
      <c r="G114" s="596">
        <v>233.40377671703547</v>
      </c>
      <c r="H114" s="594">
        <v>276.57600814814816</v>
      </c>
      <c r="I114" s="594">
        <v>261.59514766817006</v>
      </c>
      <c r="J114" s="597"/>
    </row>
    <row r="115" spans="1:10">
      <c r="A115" s="586">
        <v>7</v>
      </c>
      <c r="B115" s="615">
        <v>150</v>
      </c>
      <c r="C115" s="609">
        <v>225</v>
      </c>
      <c r="D115" s="594">
        <v>232.21827359677496</v>
      </c>
      <c r="E115" s="594">
        <v>269.14962178095772</v>
      </c>
      <c r="F115" s="595">
        <v>399.55766978347833</v>
      </c>
      <c r="G115" s="596">
        <v>234.5657020664766</v>
      </c>
      <c r="H115" s="594">
        <v>276.65994970917035</v>
      </c>
      <c r="I115" s="594">
        <v>261.85722967916195</v>
      </c>
      <c r="J115" s="597"/>
    </row>
    <row r="116" spans="1:10">
      <c r="A116" s="586">
        <v>7</v>
      </c>
      <c r="B116" s="615">
        <v>157</v>
      </c>
      <c r="C116" s="609">
        <v>229.99999999999997</v>
      </c>
      <c r="D116" s="594">
        <v>78.325320005348317</v>
      </c>
      <c r="E116" s="594">
        <v>269.18455043505105</v>
      </c>
      <c r="F116" s="595">
        <v>162.45931208915022</v>
      </c>
      <c r="G116" s="596">
        <v>235.63431909427661</v>
      </c>
      <c r="H116" s="594">
        <v>276.7584505349397</v>
      </c>
      <c r="I116" s="594">
        <v>262.0618257878096</v>
      </c>
      <c r="J116" s="597"/>
    </row>
    <row r="117" spans="1:10">
      <c r="A117" s="586">
        <v>7</v>
      </c>
      <c r="B117" s="615">
        <v>164</v>
      </c>
      <c r="C117" s="609">
        <v>240</v>
      </c>
      <c r="D117" s="594">
        <v>238.22210737357409</v>
      </c>
      <c r="E117" s="594">
        <v>269.21280739253069</v>
      </c>
      <c r="F117" s="595">
        <v>406.4969695569302</v>
      </c>
      <c r="G117" s="596">
        <v>236.62046308895947</v>
      </c>
      <c r="H117" s="594">
        <v>276.7584505349397</v>
      </c>
      <c r="I117" s="594">
        <v>262.22157071655926</v>
      </c>
      <c r="J117" s="597"/>
    </row>
    <row r="118" spans="1:10">
      <c r="A118" s="586">
        <v>7</v>
      </c>
      <c r="B118" s="615">
        <v>172</v>
      </c>
      <c r="C118" s="609">
        <v>270</v>
      </c>
      <c r="D118" s="594">
        <v>241.35098131795152</v>
      </c>
      <c r="E118" s="594">
        <v>269.23870648866813</v>
      </c>
      <c r="F118" s="595">
        <v>410.07018926325793</v>
      </c>
      <c r="G118" s="596">
        <v>237.65825683366521</v>
      </c>
      <c r="H118" s="594">
        <v>276.78961654418589</v>
      </c>
      <c r="I118" s="594">
        <v>262.36174583524826</v>
      </c>
      <c r="J118" s="597"/>
    </row>
    <row r="119" spans="1:10">
      <c r="A119" s="586">
        <v>7</v>
      </c>
      <c r="B119" s="615">
        <v>174</v>
      </c>
      <c r="C119" s="609">
        <v>260</v>
      </c>
      <c r="D119" s="594">
        <v>242.10196975869368</v>
      </c>
      <c r="E119" s="594">
        <v>269.24429803087531</v>
      </c>
      <c r="F119" s="595">
        <v>410.92376636365628</v>
      </c>
      <c r="G119" s="596">
        <v>237.90415756358871</v>
      </c>
      <c r="H119" s="594">
        <v>276.79557198520797</v>
      </c>
      <c r="I119" s="594">
        <v>262.39102497850365</v>
      </c>
      <c r="J119" s="597"/>
    </row>
    <row r="120" spans="1:10">
      <c r="A120" s="586">
        <v>7</v>
      </c>
      <c r="B120" s="615">
        <v>178</v>
      </c>
      <c r="C120" s="609">
        <v>260</v>
      </c>
      <c r="D120" s="594">
        <v>243.56839542641683</v>
      </c>
      <c r="E120" s="594">
        <v>269.25457003680839</v>
      </c>
      <c r="F120" s="595">
        <v>412.58620140914411</v>
      </c>
      <c r="G120" s="596">
        <v>238.38086861899492</v>
      </c>
      <c r="H120" s="594">
        <v>276.8057649051413</v>
      </c>
      <c r="I120" s="594">
        <v>262.44372976196388</v>
      </c>
      <c r="J120" s="597"/>
    </row>
    <row r="121" spans="1:10">
      <c r="A121" s="586">
        <v>7</v>
      </c>
      <c r="B121" s="615">
        <v>185</v>
      </c>
      <c r="C121" s="609">
        <v>245.00000000000003</v>
      </c>
      <c r="D121" s="594">
        <v>246.02587460411334</v>
      </c>
      <c r="E121" s="594">
        <v>269.26999108732053</v>
      </c>
      <c r="F121" s="595">
        <v>415.35998608887115</v>
      </c>
      <c r="G121" s="596">
        <v>239.1698120453718</v>
      </c>
      <c r="H121" s="594">
        <v>276.81918833700297</v>
      </c>
      <c r="I121" s="594">
        <v>262.51981427596667</v>
      </c>
      <c r="J121" s="597"/>
    </row>
    <row r="122" spans="1:10">
      <c r="A122" s="586">
        <v>7</v>
      </c>
      <c r="B122" s="615">
        <v>246</v>
      </c>
      <c r="C122" s="609">
        <v>225</v>
      </c>
      <c r="D122" s="594">
        <v>262.81610231379744</v>
      </c>
      <c r="E122" s="594">
        <v>269.33075128118588</v>
      </c>
      <c r="F122" s="595">
        <v>434.01453632955406</v>
      </c>
      <c r="G122" s="596">
        <v>244.27199094338724</v>
      </c>
      <c r="H122" s="594">
        <v>276.84825578652584</v>
      </c>
      <c r="I122" s="594">
        <v>262.75978686305558</v>
      </c>
      <c r="J122" s="597"/>
    </row>
    <row r="123" spans="1:10">
      <c r="A123" s="586">
        <v>7</v>
      </c>
      <c r="B123" s="615">
        <v>307</v>
      </c>
      <c r="C123" s="609">
        <v>245.00000000000003</v>
      </c>
      <c r="D123" s="594">
        <v>273.97000015818452</v>
      </c>
      <c r="E123" s="594">
        <v>269.34485630905618</v>
      </c>
      <c r="F123" s="595">
        <v>446.34604584076584</v>
      </c>
      <c r="G123" s="596">
        <v>247.45811370419057</v>
      </c>
      <c r="H123" s="594">
        <v>276.84944648344509</v>
      </c>
      <c r="I123" s="594">
        <v>262.78768684808921</v>
      </c>
      <c r="J123" s="597"/>
    </row>
    <row r="124" spans="1:10">
      <c r="A124" s="586">
        <v>7</v>
      </c>
      <c r="B124" s="615">
        <v>369</v>
      </c>
      <c r="C124" s="609">
        <v>240</v>
      </c>
      <c r="D124" s="594">
        <v>281.84112210023847</v>
      </c>
      <c r="E124" s="594">
        <v>269.34880214814262</v>
      </c>
      <c r="F124" s="595">
        <v>455.2357445830674</v>
      </c>
      <c r="G124" s="596">
        <v>249.66739365337833</v>
      </c>
      <c r="H124" s="594">
        <v>276.8494953640884</v>
      </c>
      <c r="I124" s="594">
        <v>262.79094658606607</v>
      </c>
      <c r="J124" s="597"/>
    </row>
    <row r="125" spans="1:10">
      <c r="A125" s="586">
        <v>7</v>
      </c>
      <c r="B125" s="615">
        <v>428</v>
      </c>
      <c r="C125" s="609">
        <v>235</v>
      </c>
      <c r="D125" s="594">
        <v>287.24823684910814</v>
      </c>
      <c r="E125" s="594">
        <v>269.34998892987693</v>
      </c>
      <c r="F125" s="595">
        <v>461.57522183021098</v>
      </c>
      <c r="G125" s="596">
        <v>251.19963952247616</v>
      </c>
      <c r="H125" s="594">
        <v>276.84949725112392</v>
      </c>
      <c r="I125" s="594">
        <v>262.79130742328215</v>
      </c>
      <c r="J125" s="597"/>
    </row>
    <row r="126" spans="1:10">
      <c r="A126" s="586">
        <v>7</v>
      </c>
      <c r="B126" s="615">
        <v>489</v>
      </c>
      <c r="C126" s="609">
        <v>245.00000000000003</v>
      </c>
      <c r="D126" s="594">
        <v>291.40342688746108</v>
      </c>
      <c r="E126" s="594">
        <v>269.35042231588943</v>
      </c>
      <c r="F126" s="595">
        <v>466.68471041397549</v>
      </c>
      <c r="G126" s="596">
        <v>252.40907667514367</v>
      </c>
      <c r="H126" s="594">
        <v>276.8494973373659</v>
      </c>
      <c r="I126" s="594">
        <v>262.79135289776065</v>
      </c>
      <c r="J126" s="597"/>
    </row>
    <row r="127" spans="1:10">
      <c r="A127" s="587">
        <v>7</v>
      </c>
      <c r="B127" s="616">
        <v>550</v>
      </c>
      <c r="C127" s="610">
        <v>240</v>
      </c>
      <c r="D127" s="598">
        <v>294.54108754979558</v>
      </c>
      <c r="E127" s="598">
        <v>269.35058388654346</v>
      </c>
      <c r="F127" s="599">
        <v>470.76513038639609</v>
      </c>
      <c r="G127" s="600">
        <v>253.35889770693984</v>
      </c>
      <c r="H127" s="598">
        <v>276.84949734089867</v>
      </c>
      <c r="I127" s="598">
        <v>262.79135818697273</v>
      </c>
      <c r="J127" s="601"/>
    </row>
    <row r="128" spans="1:10">
      <c r="A128" s="587">
        <v>7</v>
      </c>
      <c r="B128" s="616">
        <v>611</v>
      </c>
      <c r="C128" s="610">
        <v>245.00000000000003</v>
      </c>
      <c r="D128" s="598">
        <v>296.95251774675791</v>
      </c>
      <c r="E128" s="598">
        <v>269.3506479502783</v>
      </c>
      <c r="F128" s="599">
        <v>474.09927902995219</v>
      </c>
      <c r="G128" s="600">
        <v>254.12460852815377</v>
      </c>
      <c r="H128" s="598">
        <v>276.84949734104333</v>
      </c>
      <c r="I128" s="598">
        <v>262.79135880216978</v>
      </c>
      <c r="J128" s="601"/>
    </row>
    <row r="129" spans="1:10">
      <c r="A129" s="587">
        <v>7</v>
      </c>
      <c r="B129" s="616">
        <v>672</v>
      </c>
      <c r="C129" s="610">
        <v>240</v>
      </c>
      <c r="D129" s="598">
        <v>298.83361846678622</v>
      </c>
      <c r="E129" s="598">
        <v>269.35067469398473</v>
      </c>
      <c r="F129" s="599">
        <v>476.87492644517238</v>
      </c>
      <c r="G129" s="600">
        <v>254.75501840770625</v>
      </c>
      <c r="H129" s="598">
        <v>276.84949734104924</v>
      </c>
      <c r="I129" s="598">
        <v>262.79135887372439</v>
      </c>
      <c r="J129" s="601"/>
    </row>
    <row r="130" spans="1:10">
      <c r="A130" s="587">
        <v>7</v>
      </c>
      <c r="B130" s="616">
        <v>734</v>
      </c>
      <c r="C130" s="610">
        <v>245.00000000000003</v>
      </c>
      <c r="D130" s="598">
        <v>300.3415790716453</v>
      </c>
      <c r="E130" s="598">
        <v>269.35068648256134</v>
      </c>
      <c r="F130" s="599">
        <v>479.25712582896978</v>
      </c>
      <c r="G130" s="600">
        <v>255.29102573278433</v>
      </c>
      <c r="H130" s="598">
        <v>276.84949734104953</v>
      </c>
      <c r="I130" s="598">
        <v>262.79135888208498</v>
      </c>
      <c r="J130" s="601"/>
    </row>
    <row r="131" spans="1:10">
      <c r="A131" s="587">
        <v>7</v>
      </c>
      <c r="B131" s="616">
        <v>794</v>
      </c>
      <c r="C131" s="610">
        <v>235</v>
      </c>
      <c r="D131" s="598">
        <v>301.50745043073312</v>
      </c>
      <c r="E131" s="598">
        <v>269.35069164306151</v>
      </c>
      <c r="F131" s="599">
        <v>481.23186547313452</v>
      </c>
      <c r="G131" s="600">
        <v>255.73185497776714</v>
      </c>
      <c r="H131" s="598">
        <v>276.84949734104953</v>
      </c>
      <c r="I131" s="598">
        <v>262.79135888301505</v>
      </c>
      <c r="J131" s="601"/>
    </row>
    <row r="132" spans="1:10">
      <c r="A132" s="587">
        <v>7</v>
      </c>
      <c r="B132" s="616">
        <v>1162</v>
      </c>
      <c r="C132" s="610">
        <v>250</v>
      </c>
      <c r="D132" s="598">
        <v>305.23163173826919</v>
      </c>
      <c r="E132" s="598">
        <v>269.35069644124627</v>
      </c>
      <c r="F132" s="599">
        <v>489.09104501612921</v>
      </c>
      <c r="G132" s="600">
        <v>257.45537658295802</v>
      </c>
      <c r="H132" s="598">
        <v>276.84949734104953</v>
      </c>
      <c r="I132" s="598">
        <v>262.79135888314244</v>
      </c>
      <c r="J132" s="601"/>
    </row>
    <row r="133" spans="1:10">
      <c r="A133" s="587">
        <v>7</v>
      </c>
      <c r="B133" s="616">
        <v>1190</v>
      </c>
      <c r="C133" s="610">
        <v>229.99999999999997</v>
      </c>
      <c r="D133" s="598">
        <v>305.3791850858766</v>
      </c>
      <c r="E133" s="598">
        <v>269.35069646436227</v>
      </c>
      <c r="F133" s="599">
        <v>489.49916511803104</v>
      </c>
      <c r="G133" s="600">
        <v>257.54354603434564</v>
      </c>
      <c r="H133" s="598">
        <v>276.84949734104953</v>
      </c>
      <c r="I133" s="598">
        <v>262.79135888314244</v>
      </c>
      <c r="J133" s="601"/>
    </row>
    <row r="134" spans="1:10">
      <c r="A134" s="587">
        <v>7</v>
      </c>
      <c r="B134" s="616">
        <v>1251</v>
      </c>
      <c r="C134" s="610">
        <v>236.7</v>
      </c>
      <c r="D134" s="598">
        <v>305.66341402090887</v>
      </c>
      <c r="E134" s="598">
        <v>269.35069649706014</v>
      </c>
      <c r="F134" s="599">
        <v>490.32780626248871</v>
      </c>
      <c r="G134" s="600">
        <v>257.72216444990039</v>
      </c>
      <c r="H134" s="598">
        <v>276.84949734104953</v>
      </c>
      <c r="I134" s="598">
        <v>262.79135888314244</v>
      </c>
      <c r="J134" s="601"/>
    </row>
    <row r="135" spans="1:10">
      <c r="A135" s="587">
        <v>7</v>
      </c>
      <c r="B135" s="616">
        <v>1316</v>
      </c>
      <c r="C135" s="610">
        <v>254.99999999999997</v>
      </c>
      <c r="D135" s="598">
        <v>305.91857509861546</v>
      </c>
      <c r="E135" s="598">
        <v>269.35069651592732</v>
      </c>
      <c r="F135" s="599">
        <v>491.12978267839179</v>
      </c>
      <c r="G135" s="600">
        <v>257.89452665249053</v>
      </c>
      <c r="H135" s="598">
        <v>276.84949734104953</v>
      </c>
      <c r="I135" s="598">
        <v>262.79135888314244</v>
      </c>
      <c r="J135" s="601"/>
    </row>
    <row r="136" spans="1:10">
      <c r="A136" s="587">
        <v>7</v>
      </c>
      <c r="B136" s="616">
        <v>1390</v>
      </c>
      <c r="C136" s="610">
        <v>238.3</v>
      </c>
      <c r="D136" s="598">
        <v>306.16037437109105</v>
      </c>
      <c r="E136" s="598">
        <v>269.35069652707182</v>
      </c>
      <c r="F136" s="599">
        <v>491.95512973819206</v>
      </c>
      <c r="G136" s="600">
        <v>258.07139117937226</v>
      </c>
      <c r="H136" s="598">
        <v>276.84949734104953</v>
      </c>
      <c r="I136" s="598">
        <v>262.79135888314244</v>
      </c>
      <c r="J136" s="601"/>
    </row>
    <row r="137" spans="1:10">
      <c r="A137" s="587">
        <v>7</v>
      </c>
      <c r="B137" s="616">
        <v>1449</v>
      </c>
      <c r="C137" s="610">
        <v>226.7</v>
      </c>
      <c r="D137" s="598">
        <v>306.32275016057542</v>
      </c>
      <c r="E137" s="598">
        <v>269.35069653183598</v>
      </c>
      <c r="F137" s="599">
        <v>492.55508541003371</v>
      </c>
      <c r="G137" s="600">
        <v>258.19962590657371</v>
      </c>
      <c r="H137" s="598">
        <v>276.84949734104953</v>
      </c>
      <c r="I137" s="598">
        <v>262.79135888314244</v>
      </c>
      <c r="J137" s="601"/>
    </row>
    <row r="138" spans="1:10">
      <c r="A138" s="587">
        <v>7</v>
      </c>
      <c r="B138" s="616">
        <v>1458</v>
      </c>
      <c r="C138" s="610">
        <v>216.73</v>
      </c>
      <c r="D138" s="598">
        <v>306.34546184615687</v>
      </c>
      <c r="E138" s="598">
        <v>269.3506965323632</v>
      </c>
      <c r="F138" s="599">
        <v>492.64249801811826</v>
      </c>
      <c r="G138" s="600">
        <v>258.21828633576325</v>
      </c>
      <c r="H138" s="598">
        <v>276.84949734104953</v>
      </c>
      <c r="I138" s="598">
        <v>262.79135888314244</v>
      </c>
      <c r="J138" s="601"/>
    </row>
    <row r="139" spans="1:10">
      <c r="A139" s="587">
        <v>7</v>
      </c>
      <c r="B139" s="616">
        <v>1548</v>
      </c>
      <c r="C139" s="610">
        <v>210</v>
      </c>
      <c r="D139" s="598">
        <v>306.54681360772776</v>
      </c>
      <c r="E139" s="598">
        <v>269.35069653584264</v>
      </c>
      <c r="F139" s="599">
        <v>493.46272844182084</v>
      </c>
      <c r="G139" s="600">
        <v>258.39309871251299</v>
      </c>
      <c r="H139" s="598">
        <v>276.84949734104953</v>
      </c>
      <c r="I139" s="598">
        <v>262.79135888314244</v>
      </c>
      <c r="J139" s="601"/>
    </row>
    <row r="140" spans="1:10">
      <c r="A140" s="587">
        <v>7</v>
      </c>
      <c r="B140" s="616">
        <v>1639</v>
      </c>
      <c r="C140" s="610">
        <v>218.29999999999998</v>
      </c>
      <c r="D140" s="598">
        <v>306.71039942466814</v>
      </c>
      <c r="E140" s="598">
        <v>269.35069653743733</v>
      </c>
      <c r="F140" s="599">
        <v>494.20360028494304</v>
      </c>
      <c r="G140" s="600">
        <v>258.55055356128656</v>
      </c>
      <c r="H140" s="598">
        <v>276.84949734104953</v>
      </c>
      <c r="I140" s="598">
        <v>262.79135888314244</v>
      </c>
      <c r="J140" s="601"/>
    </row>
    <row r="141" spans="1:10">
      <c r="A141" s="587">
        <v>7</v>
      </c>
      <c r="B141" s="616">
        <v>1731</v>
      </c>
      <c r="C141" s="610">
        <v>218.29999999999998</v>
      </c>
      <c r="D141" s="598">
        <v>306.84389472734495</v>
      </c>
      <c r="E141" s="598">
        <v>269.35069653817891</v>
      </c>
      <c r="F141" s="599">
        <v>494.87598519656848</v>
      </c>
      <c r="G141" s="600">
        <v>258.69308928677788</v>
      </c>
      <c r="H141" s="598">
        <v>276.84949734104953</v>
      </c>
      <c r="I141" s="598">
        <v>262.79135888314244</v>
      </c>
      <c r="J141" s="601"/>
    </row>
    <row r="142" spans="1:10">
      <c r="A142" s="587">
        <v>7</v>
      </c>
      <c r="B142" s="616">
        <v>1954</v>
      </c>
      <c r="C142" s="610">
        <v>211.7</v>
      </c>
      <c r="D142" s="598">
        <v>307.07314962739855</v>
      </c>
      <c r="E142" s="598">
        <v>269.35069653873296</v>
      </c>
      <c r="F142" s="599">
        <v>496.25060182393577</v>
      </c>
      <c r="G142" s="600">
        <v>258.9834144226038</v>
      </c>
      <c r="H142" s="598">
        <v>276.84949734104953</v>
      </c>
      <c r="I142" s="598">
        <v>262.79135888314244</v>
      </c>
      <c r="J142" s="601"/>
    </row>
    <row r="143" spans="1:10">
      <c r="A143" s="587">
        <v>7</v>
      </c>
      <c r="B143" s="616">
        <v>2045</v>
      </c>
      <c r="C143" s="610">
        <v>219.99999999999997</v>
      </c>
      <c r="D143" s="598">
        <v>307.13935000046791</v>
      </c>
      <c r="E143" s="598">
        <v>269.35069653879225</v>
      </c>
      <c r="F143" s="599">
        <v>496.72778451485573</v>
      </c>
      <c r="G143" s="600">
        <v>259.0838615706657</v>
      </c>
      <c r="H143" s="598">
        <v>276.84949734104953</v>
      </c>
      <c r="I143" s="598">
        <v>262.79135888314244</v>
      </c>
      <c r="J143" s="601"/>
    </row>
    <row r="144" spans="1:10">
      <c r="A144" s="587">
        <v>7</v>
      </c>
      <c r="B144" s="616">
        <v>2148</v>
      </c>
      <c r="C144" s="610">
        <v>225</v>
      </c>
      <c r="D144" s="598">
        <v>307.2006947863232</v>
      </c>
      <c r="E144" s="598">
        <v>269.35069653882465</v>
      </c>
      <c r="F144" s="599">
        <v>497.22039270024231</v>
      </c>
      <c r="G144" s="600">
        <v>259.18737472965432</v>
      </c>
      <c r="H144" s="598">
        <v>276.84949734104953</v>
      </c>
      <c r="I144" s="598">
        <v>262.79135888314244</v>
      </c>
      <c r="J144" s="601"/>
    </row>
    <row r="145" spans="1:10">
      <c r="A145" s="587">
        <v>7</v>
      </c>
      <c r="B145" s="616">
        <v>2246</v>
      </c>
      <c r="C145" s="610">
        <v>223.3</v>
      </c>
      <c r="D145" s="598">
        <v>307.24835930795314</v>
      </c>
      <c r="E145" s="598">
        <v>269.35069653883932</v>
      </c>
      <c r="F145" s="599">
        <v>497.64819838278214</v>
      </c>
      <c r="G145" s="600">
        <v>259.27712179471024</v>
      </c>
      <c r="H145" s="598">
        <v>276.84949734104953</v>
      </c>
      <c r="I145" s="598">
        <v>262.79135888314244</v>
      </c>
      <c r="J145" s="601"/>
    </row>
    <row r="146" spans="1:10">
      <c r="A146" s="587">
        <v>7</v>
      </c>
      <c r="B146" s="616">
        <v>2352</v>
      </c>
      <c r="C146" s="610">
        <v>226.7</v>
      </c>
      <c r="D146" s="598">
        <v>307.29057393358954</v>
      </c>
      <c r="E146" s="598">
        <v>269.35069653884688</v>
      </c>
      <c r="F146" s="599">
        <v>498.07175808724827</v>
      </c>
      <c r="G146" s="600">
        <v>259.36584194528893</v>
      </c>
      <c r="H146" s="598">
        <v>276.84949734104953</v>
      </c>
      <c r="I146" s="598">
        <v>262.79135888314244</v>
      </c>
      <c r="J146" s="601"/>
    </row>
    <row r="147" spans="1:10">
      <c r="A147" s="587">
        <v>7</v>
      </c>
      <c r="B147" s="616">
        <v>2515</v>
      </c>
      <c r="C147" s="610">
        <v>219.99999999999997</v>
      </c>
      <c r="D147" s="598">
        <v>307.34092543099808</v>
      </c>
      <c r="E147" s="598">
        <v>269.35069653885165</v>
      </c>
      <c r="F147" s="599">
        <v>498.6549876088946</v>
      </c>
      <c r="G147" s="600">
        <v>259.48778572436953</v>
      </c>
      <c r="H147" s="598">
        <v>276.84949734104953</v>
      </c>
      <c r="I147" s="598">
        <v>262.79135888314244</v>
      </c>
      <c r="J147" s="601"/>
    </row>
    <row r="148" spans="1:10">
      <c r="A148" s="587">
        <v>7</v>
      </c>
      <c r="B148" s="616">
        <v>2625</v>
      </c>
      <c r="C148" s="610">
        <v>225</v>
      </c>
      <c r="D148" s="598">
        <v>307.3672606739467</v>
      </c>
      <c r="E148" s="598">
        <v>269.3506965388529</v>
      </c>
      <c r="F148" s="599">
        <v>499.00853033863763</v>
      </c>
      <c r="G148" s="600">
        <v>259.56158114118847</v>
      </c>
      <c r="H148" s="598">
        <v>276.84949734104953</v>
      </c>
      <c r="I148" s="598">
        <v>262.79135888314244</v>
      </c>
      <c r="J148" s="601"/>
    </row>
    <row r="149" spans="1:10">
      <c r="A149" s="587">
        <v>7</v>
      </c>
      <c r="B149" s="616">
        <v>2779</v>
      </c>
      <c r="C149" s="610">
        <v>229.99999999999997</v>
      </c>
      <c r="D149" s="598">
        <v>307.39639455638212</v>
      </c>
      <c r="E149" s="598">
        <v>269.35069653885358</v>
      </c>
      <c r="F149" s="599">
        <v>499.45743250956838</v>
      </c>
      <c r="G149" s="600">
        <v>259.65514578094678</v>
      </c>
      <c r="H149" s="598">
        <v>276.84949734104953</v>
      </c>
      <c r="I149" s="598">
        <v>262.79135888314244</v>
      </c>
      <c r="J149" s="601"/>
    </row>
    <row r="150" spans="1:10">
      <c r="A150" s="587">
        <v>7</v>
      </c>
      <c r="B150" s="616">
        <v>2893</v>
      </c>
      <c r="C150" s="610">
        <v>219.99999999999997</v>
      </c>
      <c r="D150" s="598">
        <v>307.41342970992918</v>
      </c>
      <c r="E150" s="598">
        <v>269.35069653885381</v>
      </c>
      <c r="F150" s="599">
        <v>499.75955905552672</v>
      </c>
      <c r="G150" s="600">
        <v>259.71803290591714</v>
      </c>
      <c r="H150" s="598">
        <v>276.84949734104953</v>
      </c>
      <c r="I150" s="598">
        <v>262.79135888314244</v>
      </c>
      <c r="J150" s="601"/>
    </row>
    <row r="151" spans="1:10">
      <c r="A151" s="587">
        <v>7</v>
      </c>
      <c r="B151" s="616">
        <v>2998</v>
      </c>
      <c r="C151" s="610">
        <v>208.3</v>
      </c>
      <c r="D151" s="598">
        <v>307.42644098053643</v>
      </c>
      <c r="E151" s="598">
        <v>269.35069653885392</v>
      </c>
      <c r="F151" s="599">
        <v>500.01789256815363</v>
      </c>
      <c r="G151" s="600">
        <v>259.77175036755062</v>
      </c>
      <c r="H151" s="598">
        <v>276.84949734104953</v>
      </c>
      <c r="I151" s="598">
        <v>262.79135888314244</v>
      </c>
      <c r="J151" s="601"/>
    </row>
    <row r="152" spans="1:10">
      <c r="A152" s="587">
        <v>7</v>
      </c>
      <c r="B152" s="616">
        <v>3080</v>
      </c>
      <c r="C152" s="610">
        <v>208.3</v>
      </c>
      <c r="D152" s="598">
        <v>307.4351242808545</v>
      </c>
      <c r="E152" s="598">
        <v>269.35069653885392</v>
      </c>
      <c r="F152" s="599">
        <v>500.20761682569696</v>
      </c>
      <c r="G152" s="600">
        <v>259.81116952820514</v>
      </c>
      <c r="H152" s="598">
        <v>276.84949734104953</v>
      </c>
      <c r="I152" s="598">
        <v>262.79135888314244</v>
      </c>
      <c r="J152" s="601"/>
    </row>
    <row r="153" spans="1:10">
      <c r="A153" s="587">
        <v>7</v>
      </c>
      <c r="B153" s="616">
        <v>3243</v>
      </c>
      <c r="C153" s="610">
        <v>213.3</v>
      </c>
      <c r="D153" s="598">
        <v>307.44927308271815</v>
      </c>
      <c r="E153" s="598">
        <v>269.35069653885398</v>
      </c>
      <c r="F153" s="599">
        <v>500.55676210665189</v>
      </c>
      <c r="G153" s="600">
        <v>259.8836414129205</v>
      </c>
      <c r="H153" s="598">
        <v>276.84949734104953</v>
      </c>
      <c r="I153" s="598">
        <v>262.79135888314244</v>
      </c>
      <c r="J153" s="601"/>
    </row>
    <row r="154" spans="1:10">
      <c r="A154" s="587">
        <v>7</v>
      </c>
      <c r="B154" s="616">
        <v>3329</v>
      </c>
      <c r="C154" s="610">
        <v>208.3</v>
      </c>
      <c r="D154" s="598">
        <v>307.4553696759441</v>
      </c>
      <c r="E154" s="598">
        <v>269.35069653885398</v>
      </c>
      <c r="F154" s="599">
        <v>500.72743187593881</v>
      </c>
      <c r="G154" s="600">
        <v>259.91903411642409</v>
      </c>
      <c r="H154" s="598">
        <v>276.84949734104953</v>
      </c>
      <c r="I154" s="598">
        <v>262.79135888314244</v>
      </c>
      <c r="J154" s="601"/>
    </row>
    <row r="155" spans="1:10">
      <c r="A155" s="619">
        <v>9</v>
      </c>
      <c r="B155" s="620">
        <v>7</v>
      </c>
      <c r="C155" s="621">
        <v>166.70000000000002</v>
      </c>
      <c r="D155" s="622"/>
      <c r="E155" s="622"/>
      <c r="F155" s="623"/>
      <c r="G155" s="624"/>
      <c r="H155" s="622"/>
      <c r="I155" s="622"/>
      <c r="J155" s="625"/>
    </row>
    <row r="156" spans="1:10">
      <c r="A156" s="585">
        <v>9</v>
      </c>
      <c r="B156" s="614">
        <v>14</v>
      </c>
      <c r="C156" s="608">
        <v>223.3</v>
      </c>
      <c r="D156" s="590">
        <v>65.201870239517092</v>
      </c>
      <c r="E156" s="590">
        <v>250.5895406191037</v>
      </c>
      <c r="F156" s="591">
        <v>142.97635730462096</v>
      </c>
      <c r="G156" s="592">
        <v>257.01589701664403</v>
      </c>
      <c r="H156" s="590">
        <v>65.168273031533275</v>
      </c>
      <c r="I156" s="590">
        <v>213.40411602820944</v>
      </c>
      <c r="J156" s="593">
        <v>216.74335751246971</v>
      </c>
    </row>
    <row r="157" spans="1:10">
      <c r="A157" s="585">
        <v>9</v>
      </c>
      <c r="B157" s="614">
        <v>28</v>
      </c>
      <c r="C157" s="608">
        <v>296.7</v>
      </c>
      <c r="D157" s="590">
        <v>109.58430191313145</v>
      </c>
      <c r="E157" s="590">
        <v>323.84042798169031</v>
      </c>
      <c r="F157" s="591">
        <v>231.11380652746081</v>
      </c>
      <c r="G157" s="592">
        <v>317.30570812720032</v>
      </c>
      <c r="H157" s="590">
        <v>166.96154580861892</v>
      </c>
      <c r="I157" s="590">
        <v>312.52880231362201</v>
      </c>
      <c r="J157" s="593">
        <v>299.76590788536572</v>
      </c>
    </row>
    <row r="158" spans="1:10">
      <c r="A158" s="585">
        <v>9</v>
      </c>
      <c r="B158" s="614">
        <v>36</v>
      </c>
      <c r="C158" s="608">
        <v>350.00000000000006</v>
      </c>
      <c r="D158" s="590">
        <v>126.65155739664739</v>
      </c>
      <c r="E158" s="590">
        <v>337.17283406374418</v>
      </c>
      <c r="F158" s="591">
        <v>262.10007704165474</v>
      </c>
      <c r="G158" s="592">
        <v>329.43839672208691</v>
      </c>
      <c r="H158" s="590">
        <v>202.13617105945548</v>
      </c>
      <c r="I158" s="590">
        <v>334.72628474793413</v>
      </c>
      <c r="J158" s="593">
        <v>331.43110955389284</v>
      </c>
    </row>
    <row r="159" spans="1:10">
      <c r="A159" s="585">
        <v>9</v>
      </c>
      <c r="B159" s="614">
        <v>50</v>
      </c>
      <c r="C159" s="608">
        <v>363.3</v>
      </c>
      <c r="D159" s="590">
        <v>149.93280712682173</v>
      </c>
      <c r="E159" s="590">
        <v>347.84223332995134</v>
      </c>
      <c r="F159" s="591">
        <v>301.55052178667859</v>
      </c>
      <c r="G159" s="592">
        <v>340.99031564364856</v>
      </c>
      <c r="H159" s="590">
        <v>238.37552807876659</v>
      </c>
      <c r="I159" s="590">
        <v>352.82703464878563</v>
      </c>
      <c r="J159" s="593">
        <v>369.74705913182447</v>
      </c>
    </row>
    <row r="160" spans="1:10">
      <c r="A160" s="585">
        <v>9</v>
      </c>
      <c r="B160" s="614">
        <v>61</v>
      </c>
      <c r="C160" s="608">
        <v>406.70000000000005</v>
      </c>
      <c r="D160" s="590">
        <v>164.46408577750063</v>
      </c>
      <c r="E160" s="590">
        <v>351.64481984357388</v>
      </c>
      <c r="F160" s="591">
        <v>324.52620585286689</v>
      </c>
      <c r="G160" s="592">
        <v>346.24304565086175</v>
      </c>
      <c r="H160" s="590">
        <v>253.33933102304854</v>
      </c>
      <c r="I160" s="590">
        <v>358.72200000003204</v>
      </c>
      <c r="J160" s="593">
        <v>388.51283878120574</v>
      </c>
    </row>
    <row r="161" spans="1:10">
      <c r="A161" s="585">
        <v>9</v>
      </c>
      <c r="B161" s="614">
        <v>79</v>
      </c>
      <c r="C161" s="608">
        <v>400</v>
      </c>
      <c r="D161" s="590">
        <v>183.62633472595351</v>
      </c>
      <c r="E161" s="590">
        <v>354.6069203456064</v>
      </c>
      <c r="F161" s="591">
        <v>352.95311315025532</v>
      </c>
      <c r="G161" s="592">
        <v>351.61824652850459</v>
      </c>
      <c r="H161" s="590">
        <v>265.17832183118344</v>
      </c>
      <c r="I161" s="590">
        <v>362.4675697434804</v>
      </c>
      <c r="J161" s="593">
        <v>403.26777010912497</v>
      </c>
    </row>
    <row r="162" spans="1:10">
      <c r="A162" s="585">
        <v>9</v>
      </c>
      <c r="B162" s="614">
        <v>91</v>
      </c>
      <c r="C162" s="608">
        <v>396.7</v>
      </c>
      <c r="D162" s="590">
        <v>194.11282701196765</v>
      </c>
      <c r="E162" s="590">
        <v>355.57264284598477</v>
      </c>
      <c r="F162" s="591">
        <v>367.65349021188257</v>
      </c>
      <c r="G162" s="592">
        <v>353.99980510894466</v>
      </c>
      <c r="H162" s="590">
        <v>268.72361211050992</v>
      </c>
      <c r="I162" s="590">
        <v>363.34652393102431</v>
      </c>
      <c r="J162" s="593">
        <v>404.4577218868348</v>
      </c>
    </row>
    <row r="163" spans="1:10">
      <c r="A163" s="586">
        <v>9</v>
      </c>
      <c r="B163" s="615">
        <v>112</v>
      </c>
      <c r="C163" s="609">
        <v>413.3</v>
      </c>
      <c r="D163" s="594">
        <v>209.3243155827393</v>
      </c>
      <c r="E163" s="594">
        <v>356.44688336903221</v>
      </c>
      <c r="F163" s="595">
        <v>387.98094360372323</v>
      </c>
      <c r="G163" s="596">
        <v>356.92257918122954</v>
      </c>
      <c r="H163" s="594">
        <v>271.4340566092784</v>
      </c>
      <c r="I163" s="594">
        <v>363.88296560010326</v>
      </c>
      <c r="J163" s="597">
        <v>393.99781155958249</v>
      </c>
    </row>
    <row r="164" spans="1:10">
      <c r="A164" s="586">
        <v>9</v>
      </c>
      <c r="B164" s="615">
        <v>119</v>
      </c>
      <c r="C164" s="609">
        <v>396.7</v>
      </c>
      <c r="D164" s="594">
        <v>213.69045675509659</v>
      </c>
      <c r="E164" s="594">
        <v>356.6143070156038</v>
      </c>
      <c r="F164" s="595">
        <v>393.61231124615136</v>
      </c>
      <c r="G164" s="596">
        <v>357.6646548516826</v>
      </c>
      <c r="H164" s="594">
        <v>271.84987339824863</v>
      </c>
      <c r="I164" s="594">
        <v>363.94800226556879</v>
      </c>
      <c r="J164" s="597">
        <v>387.81166544123084</v>
      </c>
    </row>
    <row r="165" spans="1:10">
      <c r="A165" s="586">
        <v>9</v>
      </c>
      <c r="B165" s="615">
        <v>127</v>
      </c>
      <c r="C165" s="609">
        <v>390</v>
      </c>
      <c r="D165" s="594">
        <v>218.32401631791791</v>
      </c>
      <c r="E165" s="594">
        <v>356.76108339688466</v>
      </c>
      <c r="F165" s="595">
        <v>399.49622958800899</v>
      </c>
      <c r="G165" s="596">
        <v>358.41137838790587</v>
      </c>
      <c r="H165" s="594">
        <v>272.17142820960095</v>
      </c>
      <c r="I165" s="594">
        <v>363.99307758835965</v>
      </c>
      <c r="J165" s="597">
        <v>380.37104771702667</v>
      </c>
    </row>
    <row r="166" spans="1:10">
      <c r="A166" s="586">
        <v>9</v>
      </c>
      <c r="B166" s="615">
        <v>140</v>
      </c>
      <c r="C166" s="609">
        <v>370</v>
      </c>
      <c r="D166" s="594">
        <v>225.1437968359447</v>
      </c>
      <c r="E166" s="594">
        <v>356.92892387741807</v>
      </c>
      <c r="F166" s="595">
        <v>407.99292862247756</v>
      </c>
      <c r="G166" s="596">
        <v>359.44083122551791</v>
      </c>
      <c r="H166" s="594">
        <v>272.4767069152926</v>
      </c>
      <c r="I166" s="594">
        <v>364.03001769023558</v>
      </c>
      <c r="J166" s="597">
        <v>373.84390636515104</v>
      </c>
    </row>
    <row r="167" spans="1:10">
      <c r="A167" s="586">
        <v>9</v>
      </c>
      <c r="B167" s="615">
        <v>147</v>
      </c>
      <c r="C167" s="609">
        <v>366.70000000000005</v>
      </c>
      <c r="D167" s="594">
        <v>228.4954292286989</v>
      </c>
      <c r="E167" s="594">
        <v>356.99383426477755</v>
      </c>
      <c r="F167" s="595">
        <v>412.101722393378</v>
      </c>
      <c r="G167" s="596">
        <v>359.91896466376767</v>
      </c>
      <c r="H167" s="594">
        <v>272.57279649916381</v>
      </c>
      <c r="I167" s="594">
        <v>364.03996684944178</v>
      </c>
      <c r="J167" s="597">
        <v>372.2835931255363</v>
      </c>
    </row>
    <row r="168" spans="1:10">
      <c r="A168" s="586">
        <v>9</v>
      </c>
      <c r="B168" s="615">
        <v>154</v>
      </c>
      <c r="C168" s="609">
        <v>363.3</v>
      </c>
      <c r="D168" s="594">
        <v>231.64749787132823</v>
      </c>
      <c r="E168" s="594">
        <v>357.04595110039287</v>
      </c>
      <c r="F168" s="595">
        <v>415.92819002358749</v>
      </c>
      <c r="G168" s="596">
        <v>360.35320975483177</v>
      </c>
      <c r="H168" s="594">
        <v>272.63941287455719</v>
      </c>
      <c r="I168" s="594">
        <v>364.04618935386236</v>
      </c>
      <c r="J168" s="597">
        <v>370.97051342626236</v>
      </c>
    </row>
    <row r="169" spans="1:10">
      <c r="A169" s="586">
        <v>9</v>
      </c>
      <c r="B169" s="615">
        <v>161</v>
      </c>
      <c r="C169" s="609">
        <v>370</v>
      </c>
      <c r="D169" s="594">
        <v>234.6165716475158</v>
      </c>
      <c r="E169" s="594">
        <v>357.0880419855967</v>
      </c>
      <c r="F169" s="595">
        <v>419.50090802220905</v>
      </c>
      <c r="G169" s="596">
        <v>360.74934499270017</v>
      </c>
      <c r="H169" s="594">
        <v>272.68559551262558</v>
      </c>
      <c r="I169" s="594">
        <v>364.05008112306592</v>
      </c>
      <c r="J169" s="597">
        <v>369.75917984488564</v>
      </c>
    </row>
    <row r="170" spans="1:10">
      <c r="A170" s="586">
        <v>9</v>
      </c>
      <c r="B170" s="615">
        <v>168</v>
      </c>
      <c r="C170" s="609">
        <v>380</v>
      </c>
      <c r="D170" s="594">
        <v>237.41736304507401</v>
      </c>
      <c r="E170" s="594">
        <v>357.12222093870145</v>
      </c>
      <c r="F170" s="595">
        <v>422.84466335991686</v>
      </c>
      <c r="G170" s="596">
        <v>361.11217696848718</v>
      </c>
      <c r="H170" s="594">
        <v>272.71761185095374</v>
      </c>
      <c r="I170" s="594">
        <v>364.05251518057639</v>
      </c>
      <c r="J170" s="597">
        <v>368.62086555888789</v>
      </c>
    </row>
    <row r="171" spans="1:10">
      <c r="A171" s="586">
        <v>9</v>
      </c>
      <c r="B171" s="615">
        <v>175</v>
      </c>
      <c r="C171" s="609">
        <v>386.70000000000005</v>
      </c>
      <c r="D171" s="594">
        <v>240.06299694061477</v>
      </c>
      <c r="E171" s="594">
        <v>357.15011589508418</v>
      </c>
      <c r="F171" s="595">
        <v>425.98107085039385</v>
      </c>
      <c r="G171" s="596">
        <v>361.44573648374666</v>
      </c>
      <c r="H171" s="594">
        <v>272.73980716257984</v>
      </c>
      <c r="I171" s="594">
        <v>364.05403753501776</v>
      </c>
      <c r="J171" s="597">
        <v>367.5483489897851</v>
      </c>
    </row>
    <row r="172" spans="1:10">
      <c r="A172" s="586">
        <v>9</v>
      </c>
      <c r="B172" s="615">
        <v>182</v>
      </c>
      <c r="C172" s="609">
        <v>380</v>
      </c>
      <c r="D172" s="594">
        <v>242.56523134619118</v>
      </c>
      <c r="E172" s="594">
        <v>357.1729899052246</v>
      </c>
      <c r="F172" s="595">
        <v>428.92907191386297</v>
      </c>
      <c r="G172" s="596">
        <v>361.753429013811</v>
      </c>
      <c r="H172" s="594">
        <v>272.75519397007349</v>
      </c>
      <c r="I172" s="594">
        <v>364.05498967644854</v>
      </c>
      <c r="J172" s="597">
        <v>366.53878437758283</v>
      </c>
    </row>
    <row r="173" spans="1:10">
      <c r="A173" s="586">
        <v>9</v>
      </c>
      <c r="B173" s="615">
        <v>189</v>
      </c>
      <c r="C173" s="609">
        <v>376.70000000000005</v>
      </c>
      <c r="D173" s="594">
        <v>244.93464029030085</v>
      </c>
      <c r="E173" s="594">
        <v>357.19182975351686</v>
      </c>
      <c r="F173" s="595">
        <v>431.70534084469517</v>
      </c>
      <c r="G173" s="596">
        <v>362.03815145657256</v>
      </c>
      <c r="H173" s="594">
        <v>272.76586077101001</v>
      </c>
      <c r="I173" s="594">
        <v>364.05558518446384</v>
      </c>
      <c r="J173" s="597">
        <v>365.59051799929699</v>
      </c>
    </row>
    <row r="174" spans="1:10">
      <c r="A174" s="586">
        <v>9</v>
      </c>
      <c r="B174" s="615">
        <v>243</v>
      </c>
      <c r="C174" s="609">
        <v>346.7</v>
      </c>
      <c r="D174" s="594">
        <v>259.64236804890214</v>
      </c>
      <c r="E174" s="594">
        <v>357.26277542877682</v>
      </c>
      <c r="F174" s="595">
        <v>448.69369955106691</v>
      </c>
      <c r="G174" s="596">
        <v>363.67988368364672</v>
      </c>
      <c r="H174" s="594">
        <v>272.78853870666211</v>
      </c>
      <c r="I174" s="594">
        <v>364.05655294471472</v>
      </c>
      <c r="J174" s="597">
        <v>360.26774848081334</v>
      </c>
    </row>
    <row r="175" spans="1:10">
      <c r="A175" s="586">
        <v>9</v>
      </c>
      <c r="B175" s="615">
        <v>304</v>
      </c>
      <c r="C175" s="609">
        <v>359.99999999999994</v>
      </c>
      <c r="D175" s="594">
        <v>270.97168674167392</v>
      </c>
      <c r="E175" s="594">
        <v>357.28349757326396</v>
      </c>
      <c r="F175" s="595">
        <v>461.7013718025118</v>
      </c>
      <c r="G175" s="596">
        <v>364.82951170956989</v>
      </c>
      <c r="H175" s="594">
        <v>272.78990779924328</v>
      </c>
      <c r="I175" s="594">
        <v>364.05657912336949</v>
      </c>
      <c r="J175" s="597">
        <v>358.25465125587533</v>
      </c>
    </row>
    <row r="176" spans="1:10">
      <c r="A176" s="586">
        <v>9</v>
      </c>
      <c r="B176" s="615">
        <v>366</v>
      </c>
      <c r="C176" s="609">
        <v>370</v>
      </c>
      <c r="D176" s="594">
        <v>278.96116968023733</v>
      </c>
      <c r="E176" s="594">
        <v>357.28927744466301</v>
      </c>
      <c r="F176" s="595">
        <v>471.05064739746661</v>
      </c>
      <c r="G176" s="596">
        <v>365.60374900865679</v>
      </c>
      <c r="H176" s="594">
        <v>272.78996413458219</v>
      </c>
      <c r="I176" s="594">
        <v>364.05657956224491</v>
      </c>
      <c r="J176" s="597">
        <v>358.24357600157623</v>
      </c>
    </row>
    <row r="177" spans="1:10">
      <c r="A177" s="586">
        <v>9</v>
      </c>
      <c r="B177" s="615">
        <v>425</v>
      </c>
      <c r="C177" s="609">
        <v>370</v>
      </c>
      <c r="D177" s="594">
        <v>284.44778850292226</v>
      </c>
      <c r="E177" s="594">
        <v>357.29101337498662</v>
      </c>
      <c r="F177" s="595">
        <v>477.7037749986012</v>
      </c>
      <c r="G177" s="596">
        <v>366.13004835133677</v>
      </c>
      <c r="H177" s="594">
        <v>272.78996631453134</v>
      </c>
      <c r="I177" s="594">
        <v>364.05657956909346</v>
      </c>
      <c r="J177" s="597">
        <v>358.32509646188038</v>
      </c>
    </row>
    <row r="178" spans="1:10">
      <c r="A178" s="586">
        <v>9</v>
      </c>
      <c r="B178" s="615">
        <v>486</v>
      </c>
      <c r="C178" s="609">
        <v>376.70000000000005</v>
      </c>
      <c r="D178" s="594">
        <v>288.66354212396584</v>
      </c>
      <c r="E178" s="594">
        <v>357.29164697039187</v>
      </c>
      <c r="F178" s="595">
        <v>483.05759181199289</v>
      </c>
      <c r="G178" s="596">
        <v>366.53943599539593</v>
      </c>
      <c r="H178" s="594">
        <v>272.78996641438556</v>
      </c>
      <c r="I178" s="594">
        <v>364.05657956922494</v>
      </c>
      <c r="J178" s="597">
        <v>358.36749934595173</v>
      </c>
    </row>
    <row r="179" spans="1:10">
      <c r="A179" s="587">
        <v>9</v>
      </c>
      <c r="B179" s="616">
        <v>547</v>
      </c>
      <c r="C179" s="610">
        <v>376.70000000000005</v>
      </c>
      <c r="D179" s="598">
        <v>291.84693172340025</v>
      </c>
      <c r="E179" s="598">
        <v>357.29188318886349</v>
      </c>
      <c r="F179" s="599">
        <v>487.32773313233776</v>
      </c>
      <c r="G179" s="600">
        <v>366.85727700214403</v>
      </c>
      <c r="H179" s="598">
        <v>272.78996641848539</v>
      </c>
      <c r="I179" s="598">
        <v>364.0565795692271</v>
      </c>
      <c r="J179" s="601">
        <v>358.39672830836429</v>
      </c>
    </row>
    <row r="180" spans="1:10">
      <c r="A180" s="587">
        <v>9</v>
      </c>
      <c r="B180" s="616">
        <v>608</v>
      </c>
      <c r="C180" s="610">
        <v>370</v>
      </c>
      <c r="D180" s="598">
        <v>294.29371594073348</v>
      </c>
      <c r="E180" s="598">
        <v>357.29197688956259</v>
      </c>
      <c r="F180" s="599">
        <v>490.81336031017577</v>
      </c>
      <c r="G180" s="600">
        <v>367.11119083325593</v>
      </c>
      <c r="H180" s="598">
        <v>272.78996641865376</v>
      </c>
      <c r="I180" s="598">
        <v>364.05657956922715</v>
      </c>
      <c r="J180" s="601">
        <v>358.42251740308558</v>
      </c>
    </row>
    <row r="181" spans="1:10">
      <c r="A181" s="587">
        <v>9</v>
      </c>
      <c r="B181" s="616">
        <v>669</v>
      </c>
      <c r="C181" s="610">
        <v>370</v>
      </c>
      <c r="D181" s="598">
        <v>296.20267413138453</v>
      </c>
      <c r="E181" s="598">
        <v>357.29201603174886</v>
      </c>
      <c r="F181" s="599">
        <v>493.71268811048157</v>
      </c>
      <c r="G181" s="600">
        <v>367.31870177008818</v>
      </c>
      <c r="H181" s="598">
        <v>272.78996641866064</v>
      </c>
      <c r="I181" s="598">
        <v>364.05657956922715</v>
      </c>
      <c r="J181" s="601">
        <v>358.44735474486691</v>
      </c>
    </row>
    <row r="182" spans="1:10">
      <c r="A182" s="587">
        <v>9</v>
      </c>
      <c r="B182" s="616">
        <v>731</v>
      </c>
      <c r="C182" s="610">
        <v>359.99999999999994</v>
      </c>
      <c r="D182" s="598">
        <v>297.73325851091988</v>
      </c>
      <c r="E182" s="598">
        <v>357.2920333004916</v>
      </c>
      <c r="F182" s="599">
        <v>496.19928410137658</v>
      </c>
      <c r="G182" s="600">
        <v>367.49405662756192</v>
      </c>
      <c r="H182" s="598">
        <v>272.78996641866092</v>
      </c>
      <c r="I182" s="598">
        <v>364.05657956922715</v>
      </c>
      <c r="J182" s="601">
        <v>358.4723062462507</v>
      </c>
    </row>
    <row r="183" spans="1:10">
      <c r="A183" s="587">
        <v>9</v>
      </c>
      <c r="B183" s="616">
        <v>791</v>
      </c>
      <c r="C183" s="610">
        <v>359.99999999999994</v>
      </c>
      <c r="D183" s="598">
        <v>298.91688348166576</v>
      </c>
      <c r="E183" s="598">
        <v>357.29204086750701</v>
      </c>
      <c r="F183" s="599">
        <v>498.25933947543746</v>
      </c>
      <c r="G183" s="600">
        <v>367.6375343580699</v>
      </c>
      <c r="H183" s="598">
        <v>272.78996641866092</v>
      </c>
      <c r="I183" s="598">
        <v>364.05657956922715</v>
      </c>
      <c r="J183" s="601">
        <v>358.49636049470371</v>
      </c>
    </row>
    <row r="184" spans="1:10">
      <c r="A184" s="587">
        <v>9</v>
      </c>
      <c r="B184" s="616">
        <v>1159</v>
      </c>
      <c r="C184" s="610">
        <v>353.3</v>
      </c>
      <c r="D184" s="598">
        <v>302.70074348190866</v>
      </c>
      <c r="E184" s="598">
        <v>357.29204791845086</v>
      </c>
      <c r="F184" s="599">
        <v>506.44709730856511</v>
      </c>
      <c r="G184" s="600">
        <v>368.19216437735037</v>
      </c>
      <c r="H184" s="598">
        <v>272.78996641866092</v>
      </c>
      <c r="I184" s="598">
        <v>364.05657956922715</v>
      </c>
      <c r="J184" s="601">
        <v>358.64359944380345</v>
      </c>
    </row>
    <row r="185" spans="1:10">
      <c r="A185" s="587">
        <v>9</v>
      </c>
      <c r="B185" s="616">
        <v>1187</v>
      </c>
      <c r="C185" s="610">
        <v>354.4</v>
      </c>
      <c r="D185" s="598">
        <v>302.85082844731875</v>
      </c>
      <c r="E185" s="598">
        <v>357.29204795263121</v>
      </c>
      <c r="F185" s="599">
        <v>506.87180259513798</v>
      </c>
      <c r="G185" s="600">
        <v>368.22026911480418</v>
      </c>
      <c r="H185" s="598">
        <v>272.78996641866092</v>
      </c>
      <c r="I185" s="598">
        <v>364.05657956922715</v>
      </c>
      <c r="J185" s="601">
        <v>358.65479957523968</v>
      </c>
    </row>
    <row r="186" spans="1:10">
      <c r="A186" s="587">
        <v>9</v>
      </c>
      <c r="B186" s="616">
        <v>1248</v>
      </c>
      <c r="C186" s="610">
        <v>359.99999999999994</v>
      </c>
      <c r="D186" s="598">
        <v>303.13999781022744</v>
      </c>
      <c r="E186" s="598">
        <v>357.29204800102372</v>
      </c>
      <c r="F186" s="599">
        <v>507.73397328705636</v>
      </c>
      <c r="G186" s="600">
        <v>368.27712590493564</v>
      </c>
      <c r="H186" s="598">
        <v>272.78996641866092</v>
      </c>
      <c r="I186" s="598">
        <v>364.05657956922715</v>
      </c>
      <c r="J186" s="601">
        <v>358.67919975904408</v>
      </c>
    </row>
    <row r="187" spans="1:10">
      <c r="A187" s="587">
        <v>9</v>
      </c>
      <c r="B187" s="616">
        <v>1313</v>
      </c>
      <c r="C187" s="610">
        <v>359.99999999999994</v>
      </c>
      <c r="D187" s="598">
        <v>303.39967692333977</v>
      </c>
      <c r="E187" s="598">
        <v>357.29204802898533</v>
      </c>
      <c r="F187" s="599">
        <v>508.56821565376299</v>
      </c>
      <c r="G187" s="600">
        <v>368.33189078449846</v>
      </c>
      <c r="H187" s="598">
        <v>272.78996641866092</v>
      </c>
      <c r="I187" s="598">
        <v>364.05657956922715</v>
      </c>
      <c r="J187" s="601">
        <v>358.70519986449511</v>
      </c>
    </row>
    <row r="188" spans="1:10">
      <c r="A188" s="587">
        <v>9</v>
      </c>
      <c r="B188" s="616">
        <v>1387</v>
      </c>
      <c r="C188" s="610">
        <v>373.3</v>
      </c>
      <c r="D188" s="598">
        <v>303.64584468769192</v>
      </c>
      <c r="E188" s="598">
        <v>357.29204804552643</v>
      </c>
      <c r="F188" s="599">
        <v>509.42657938112217</v>
      </c>
      <c r="G188" s="600">
        <v>368.38798386112023</v>
      </c>
      <c r="H188" s="598">
        <v>272.78996641866092</v>
      </c>
      <c r="I188" s="598">
        <v>364.05657956922715</v>
      </c>
      <c r="J188" s="601">
        <v>358.73479992731649</v>
      </c>
    </row>
    <row r="189" spans="1:10">
      <c r="A189" s="587">
        <v>9</v>
      </c>
      <c r="B189" s="616">
        <v>1446</v>
      </c>
      <c r="C189" s="610">
        <v>372.20000000000005</v>
      </c>
      <c r="D189" s="598">
        <v>303.81121082043666</v>
      </c>
      <c r="E189" s="598">
        <v>357.29204805260815</v>
      </c>
      <c r="F189" s="599">
        <v>510.05041467417186</v>
      </c>
      <c r="G189" s="600">
        <v>368.42858918113222</v>
      </c>
      <c r="H189" s="598">
        <v>272.78996641866092</v>
      </c>
      <c r="I189" s="598">
        <v>364.05657956922715</v>
      </c>
      <c r="J189" s="601">
        <v>358.758399954759</v>
      </c>
    </row>
    <row r="190" spans="1:10">
      <c r="A190" s="587">
        <v>9</v>
      </c>
      <c r="B190" s="616">
        <v>1545</v>
      </c>
      <c r="C190" s="610">
        <v>356.70000000000005</v>
      </c>
      <c r="D190" s="598">
        <v>304.0394918315813</v>
      </c>
      <c r="E190" s="598">
        <v>357.29204805857364</v>
      </c>
      <c r="F190" s="599">
        <v>510.9939910514239</v>
      </c>
      <c r="G190" s="600">
        <v>368.48974936798186</v>
      </c>
      <c r="H190" s="598">
        <v>272.78996641866092</v>
      </c>
      <c r="I190" s="598">
        <v>364.05657956922715</v>
      </c>
      <c r="J190" s="601">
        <v>358.79799997873801</v>
      </c>
    </row>
    <row r="191" spans="1:10">
      <c r="A191" s="587">
        <v>9</v>
      </c>
      <c r="B191" s="616">
        <v>1636</v>
      </c>
      <c r="C191" s="610">
        <v>358.9</v>
      </c>
      <c r="D191" s="598">
        <v>304.20623854141911</v>
      </c>
      <c r="E191" s="598">
        <v>357.29204806095288</v>
      </c>
      <c r="F191" s="599">
        <v>511.76402167621046</v>
      </c>
      <c r="G191" s="600">
        <v>368.53943269509892</v>
      </c>
      <c r="H191" s="598">
        <v>272.78996641866092</v>
      </c>
      <c r="I191" s="598">
        <v>364.05657956922715</v>
      </c>
      <c r="J191" s="601">
        <v>358.83439998894278</v>
      </c>
    </row>
    <row r="192" spans="1:10">
      <c r="A192" s="587">
        <v>9</v>
      </c>
      <c r="B192" s="616">
        <v>1728</v>
      </c>
      <c r="C192" s="610">
        <v>359.99999999999994</v>
      </c>
      <c r="D192" s="598">
        <v>304.34237718663178</v>
      </c>
      <c r="E192" s="598">
        <v>357.29204806206161</v>
      </c>
      <c r="F192" s="599">
        <v>512.46273603250825</v>
      </c>
      <c r="G192" s="600">
        <v>368.5843382193483</v>
      </c>
      <c r="H192" s="598">
        <v>272.78996641866092</v>
      </c>
      <c r="I192" s="598">
        <v>364.05657956922715</v>
      </c>
      <c r="J192" s="601">
        <v>358.87119999408793</v>
      </c>
    </row>
    <row r="193" spans="1:10">
      <c r="A193" s="587">
        <v>9</v>
      </c>
      <c r="B193" s="616">
        <v>1820</v>
      </c>
      <c r="C193" s="610">
        <v>351.1</v>
      </c>
      <c r="D193" s="598">
        <v>304.45289863466195</v>
      </c>
      <c r="E193" s="598">
        <v>357.29204806258139</v>
      </c>
      <c r="F193" s="599">
        <v>513.09298545463582</v>
      </c>
      <c r="G193" s="600">
        <v>368.62470031948686</v>
      </c>
      <c r="H193" s="598">
        <v>272.78996641866092</v>
      </c>
      <c r="I193" s="598">
        <v>364.05657956922715</v>
      </c>
      <c r="J193" s="601">
        <v>358.90799999673743</v>
      </c>
    </row>
    <row r="194" spans="1:10">
      <c r="A194" s="587">
        <v>9</v>
      </c>
      <c r="B194" s="616">
        <v>1951</v>
      </c>
      <c r="C194" s="610">
        <v>364.40000000000003</v>
      </c>
      <c r="D194" s="598">
        <v>304.5763504529948</v>
      </c>
      <c r="E194" s="598">
        <v>357.29204806289215</v>
      </c>
      <c r="F194" s="599">
        <v>513.89078409655804</v>
      </c>
      <c r="G194" s="600">
        <v>368.67559859969282</v>
      </c>
      <c r="H194" s="598">
        <v>272.78996641866092</v>
      </c>
      <c r="I194" s="598">
        <v>364.05657956922715</v>
      </c>
      <c r="J194" s="601">
        <v>358.96039999853082</v>
      </c>
    </row>
    <row r="195" spans="1:10">
      <c r="A195" s="587">
        <v>9</v>
      </c>
      <c r="B195" s="616">
        <v>2042</v>
      </c>
      <c r="C195" s="610">
        <v>357.8</v>
      </c>
      <c r="D195" s="598">
        <v>304.64396953207353</v>
      </c>
      <c r="E195" s="598">
        <v>357.29204806298139</v>
      </c>
      <c r="F195" s="599">
        <v>514.38639054546672</v>
      </c>
      <c r="G195" s="600">
        <v>368.70710887619089</v>
      </c>
      <c r="H195" s="598">
        <v>272.78996641866092</v>
      </c>
      <c r="I195" s="598">
        <v>364.05657956922715</v>
      </c>
      <c r="J195" s="601">
        <v>358.99679999913008</v>
      </c>
    </row>
    <row r="196" spans="1:10">
      <c r="A196" s="587">
        <v>9</v>
      </c>
      <c r="B196" s="616">
        <v>2145</v>
      </c>
      <c r="C196" s="610">
        <v>353.3</v>
      </c>
      <c r="D196" s="598">
        <v>304.70665924279643</v>
      </c>
      <c r="E196" s="598">
        <v>357.29204806303022</v>
      </c>
      <c r="F196" s="599">
        <v>514.89795085208323</v>
      </c>
      <c r="G196" s="600">
        <v>368.73954654168699</v>
      </c>
      <c r="H196" s="598">
        <v>272.78996641866092</v>
      </c>
      <c r="I196" s="598">
        <v>364.05657956922715</v>
      </c>
      <c r="J196" s="601">
        <v>359.03799999950616</v>
      </c>
    </row>
    <row r="197" spans="1:10">
      <c r="A197" s="587">
        <v>9</v>
      </c>
      <c r="B197" s="616">
        <v>2243</v>
      </c>
      <c r="C197" s="610">
        <v>355.6</v>
      </c>
      <c r="D197" s="598">
        <v>304.75539308931172</v>
      </c>
      <c r="E197" s="598">
        <v>357.29204806305239</v>
      </c>
      <c r="F197" s="599">
        <v>515.34216012823993</v>
      </c>
      <c r="G197" s="600">
        <v>368.76764212151738</v>
      </c>
      <c r="H197" s="598">
        <v>272.78996641866092</v>
      </c>
      <c r="I197" s="598">
        <v>364.05657956922715</v>
      </c>
      <c r="J197" s="601">
        <v>359.07719999970482</v>
      </c>
    </row>
    <row r="198" spans="1:10">
      <c r="A198" s="587">
        <v>9</v>
      </c>
      <c r="B198" s="616">
        <v>2349</v>
      </c>
      <c r="C198" s="610">
        <v>350.00000000000006</v>
      </c>
      <c r="D198" s="598">
        <v>304.79857636093539</v>
      </c>
      <c r="E198" s="598">
        <v>357.29204806306393</v>
      </c>
      <c r="F198" s="599">
        <v>515.78190991528299</v>
      </c>
      <c r="G198" s="600">
        <v>368.7953904769974</v>
      </c>
      <c r="H198" s="598">
        <v>272.78996641866092</v>
      </c>
      <c r="I198" s="598">
        <v>364.05657956922715</v>
      </c>
      <c r="J198" s="601">
        <v>359.11959999982668</v>
      </c>
    </row>
    <row r="199" spans="1:10">
      <c r="A199" s="587">
        <v>9</v>
      </c>
      <c r="B199" s="616">
        <v>2512</v>
      </c>
      <c r="C199" s="610">
        <v>356.70000000000005</v>
      </c>
      <c r="D199" s="598">
        <v>304.85011629127837</v>
      </c>
      <c r="E199" s="598">
        <v>357.29204806307109</v>
      </c>
      <c r="F199" s="599">
        <v>516.38735016958844</v>
      </c>
      <c r="G199" s="600">
        <v>368.83348823042104</v>
      </c>
      <c r="H199" s="598">
        <v>272.78996641866092</v>
      </c>
      <c r="I199" s="598">
        <v>364.05657956922715</v>
      </c>
      <c r="J199" s="601">
        <v>359.18479999992007</v>
      </c>
    </row>
    <row r="200" spans="1:10">
      <c r="A200" s="587">
        <v>9</v>
      </c>
      <c r="B200" s="616">
        <v>2622</v>
      </c>
      <c r="C200" s="610">
        <v>356.70000000000005</v>
      </c>
      <c r="D200" s="598">
        <v>304.87709108475997</v>
      </c>
      <c r="E200" s="598">
        <v>357.29204806307303</v>
      </c>
      <c r="F200" s="599">
        <v>516.75431007978284</v>
      </c>
      <c r="G200" s="600">
        <v>368.85652001637732</v>
      </c>
      <c r="H200" s="598">
        <v>272.78996641866092</v>
      </c>
      <c r="I200" s="598">
        <v>364.05657956922715</v>
      </c>
      <c r="J200" s="601">
        <v>359.22879999995126</v>
      </c>
    </row>
    <row r="201" spans="1:10">
      <c r="A201" s="587">
        <v>9</v>
      </c>
      <c r="B201" s="616">
        <v>2776</v>
      </c>
      <c r="C201" s="610">
        <v>359.99999999999994</v>
      </c>
      <c r="D201" s="598">
        <v>304.90695090132414</v>
      </c>
      <c r="E201" s="598">
        <v>357.29204806307405</v>
      </c>
      <c r="F201" s="599">
        <v>517.22019777038702</v>
      </c>
      <c r="G201" s="600">
        <v>368.88569647860339</v>
      </c>
      <c r="H201" s="598">
        <v>272.78996641866092</v>
      </c>
      <c r="I201" s="598">
        <v>364.05657956922715</v>
      </c>
      <c r="J201" s="601">
        <v>359.29039999997485</v>
      </c>
    </row>
    <row r="202" spans="1:10">
      <c r="A202" s="587">
        <v>9</v>
      </c>
      <c r="B202" s="616">
        <v>2890</v>
      </c>
      <c r="C202" s="610">
        <v>368.9</v>
      </c>
      <c r="D202" s="598">
        <v>304.92442159942226</v>
      </c>
      <c r="E202" s="598">
        <v>357.29204806307433</v>
      </c>
      <c r="F202" s="599">
        <v>517.53372427646218</v>
      </c>
      <c r="G202" s="600">
        <v>368.90529078708556</v>
      </c>
      <c r="H202" s="598">
        <v>272.78996641866092</v>
      </c>
      <c r="I202" s="598">
        <v>364.05657956922715</v>
      </c>
      <c r="J202" s="601">
        <v>359.33599999998421</v>
      </c>
    </row>
    <row r="203" spans="1:10">
      <c r="A203" s="587">
        <v>9</v>
      </c>
      <c r="B203" s="616">
        <v>2995</v>
      </c>
      <c r="C203" s="610">
        <v>368.9</v>
      </c>
      <c r="D203" s="598">
        <v>304.93777230475553</v>
      </c>
      <c r="E203" s="598">
        <v>357.29204806307456</v>
      </c>
      <c r="F203" s="599">
        <v>517.80178499616352</v>
      </c>
      <c r="G203" s="600">
        <v>368.92201789623749</v>
      </c>
      <c r="H203" s="598">
        <v>272.78996641866092</v>
      </c>
      <c r="I203" s="598">
        <v>364.05657956922715</v>
      </c>
      <c r="J203" s="601">
        <v>359.37799999998953</v>
      </c>
    </row>
    <row r="204" spans="1:10">
      <c r="A204" s="587">
        <v>9</v>
      </c>
      <c r="B204" s="616">
        <v>3077</v>
      </c>
      <c r="C204" s="610">
        <v>368.9</v>
      </c>
      <c r="D204" s="598">
        <v>304.94668596922992</v>
      </c>
      <c r="E204" s="598">
        <v>357.29204806307462</v>
      </c>
      <c r="F204" s="599">
        <v>517.99864113119099</v>
      </c>
      <c r="G204" s="600">
        <v>368.93428671955962</v>
      </c>
      <c r="H204" s="598">
        <v>272.78996641866092</v>
      </c>
      <c r="I204" s="598">
        <v>364.05657956922715</v>
      </c>
      <c r="J204" s="601">
        <v>359.41079999999238</v>
      </c>
    </row>
    <row r="205" spans="1:10">
      <c r="A205" s="587">
        <v>9</v>
      </c>
      <c r="B205" s="616">
        <v>3240</v>
      </c>
      <c r="C205" s="610">
        <v>368.9</v>
      </c>
      <c r="D205" s="598">
        <v>304.9612180068612</v>
      </c>
      <c r="E205" s="598">
        <v>357.29204806307467</v>
      </c>
      <c r="F205" s="599">
        <v>518.36088462563885</v>
      </c>
      <c r="G205" s="600">
        <v>368.9568297875407</v>
      </c>
      <c r="H205" s="598">
        <v>272.78996641866092</v>
      </c>
      <c r="I205" s="598">
        <v>364.05657956922715</v>
      </c>
      <c r="J205" s="601">
        <v>359.47599999999579</v>
      </c>
    </row>
    <row r="206" spans="1:10">
      <c r="A206" s="619">
        <v>10</v>
      </c>
      <c r="B206" s="620">
        <v>7</v>
      </c>
      <c r="C206" s="621">
        <v>65</v>
      </c>
      <c r="D206" s="622"/>
      <c r="E206" s="622"/>
      <c r="F206" s="623"/>
      <c r="G206" s="624"/>
      <c r="H206" s="622"/>
      <c r="I206" s="622"/>
      <c r="J206" s="625"/>
    </row>
    <row r="207" spans="1:10">
      <c r="A207" s="585">
        <v>10</v>
      </c>
      <c r="B207" s="614">
        <v>14</v>
      </c>
      <c r="C207" s="608">
        <v>125</v>
      </c>
      <c r="D207" s="590">
        <v>65.202013040160267</v>
      </c>
      <c r="E207" s="590">
        <v>152.58088046694965</v>
      </c>
      <c r="F207" s="591">
        <v>142.97635730462096</v>
      </c>
      <c r="G207" s="592">
        <v>175.5411513156281</v>
      </c>
      <c r="H207" s="590">
        <v>65.168273031533275</v>
      </c>
      <c r="I207" s="590">
        <v>141.50810717295701</v>
      </c>
      <c r="J207" s="593">
        <v>131.78361393417021</v>
      </c>
    </row>
    <row r="208" spans="1:10">
      <c r="A208" s="585">
        <v>10</v>
      </c>
      <c r="B208" s="614">
        <v>28</v>
      </c>
      <c r="C208" s="608">
        <v>185</v>
      </c>
      <c r="D208" s="590">
        <v>109.58453758870931</v>
      </c>
      <c r="E208" s="590">
        <v>203.45197575431368</v>
      </c>
      <c r="F208" s="591">
        <v>231.11380652746081</v>
      </c>
      <c r="G208" s="592">
        <v>208.92823389709918</v>
      </c>
      <c r="H208" s="590">
        <v>166.96154580861892</v>
      </c>
      <c r="I208" s="590">
        <v>203.5629929325531</v>
      </c>
      <c r="J208" s="593">
        <v>193.80546309935443</v>
      </c>
    </row>
    <row r="209" spans="1:10">
      <c r="A209" s="585">
        <v>10</v>
      </c>
      <c r="B209" s="614">
        <v>36</v>
      </c>
      <c r="C209" s="608">
        <v>205.00000000000003</v>
      </c>
      <c r="D209" s="590">
        <v>126.65182710311137</v>
      </c>
      <c r="E209" s="590">
        <v>213.74346761327897</v>
      </c>
      <c r="F209" s="591">
        <v>262.10007704165474</v>
      </c>
      <c r="G209" s="592">
        <v>215.20214188108619</v>
      </c>
      <c r="H209" s="590">
        <v>202.13617105945548</v>
      </c>
      <c r="I209" s="590">
        <v>216.49925531891614</v>
      </c>
      <c r="J209" s="593">
        <v>218.46072449826261</v>
      </c>
    </row>
    <row r="210" spans="1:10">
      <c r="A210" s="585">
        <v>10</v>
      </c>
      <c r="B210" s="614">
        <v>50</v>
      </c>
      <c r="C210" s="608">
        <v>219.99999999999997</v>
      </c>
      <c r="D210" s="590">
        <v>149.93312121666659</v>
      </c>
      <c r="E210" s="590">
        <v>222.53195994595973</v>
      </c>
      <c r="F210" s="591">
        <v>301.55052178667859</v>
      </c>
      <c r="G210" s="592">
        <v>221.03710026065602</v>
      </c>
      <c r="H210" s="590">
        <v>238.37552807876659</v>
      </c>
      <c r="I210" s="590">
        <v>226.39301115765679</v>
      </c>
      <c r="J210" s="593">
        <v>248.86251792849816</v>
      </c>
    </row>
    <row r="211" spans="1:10">
      <c r="A211" s="585">
        <v>10</v>
      </c>
      <c r="B211" s="614">
        <v>61</v>
      </c>
      <c r="C211" s="608">
        <v>265</v>
      </c>
      <c r="D211" s="590">
        <v>164.46442614295572</v>
      </c>
      <c r="E211" s="590">
        <v>225.88165719969638</v>
      </c>
      <c r="F211" s="591">
        <v>324.52620585286689</v>
      </c>
      <c r="G211" s="592">
        <v>223.6457093406396</v>
      </c>
      <c r="H211" s="590">
        <v>253.33933102304854</v>
      </c>
      <c r="I211" s="590">
        <v>229.35534709979382</v>
      </c>
      <c r="J211" s="593">
        <v>263.93534936186552</v>
      </c>
    </row>
    <row r="212" spans="1:10">
      <c r="A212" s="585">
        <v>10</v>
      </c>
      <c r="B212" s="614">
        <v>79</v>
      </c>
      <c r="C212" s="608">
        <v>265</v>
      </c>
      <c r="D212" s="590">
        <v>183.62670772988551</v>
      </c>
      <c r="E212" s="590">
        <v>228.65031272079958</v>
      </c>
      <c r="F212" s="591">
        <v>352.95311315025532</v>
      </c>
      <c r="G212" s="592">
        <v>226.28638243881713</v>
      </c>
      <c r="H212" s="590">
        <v>265.17832183118344</v>
      </c>
      <c r="I212" s="590">
        <v>231.07724266062189</v>
      </c>
      <c r="J212" s="593">
        <v>276.22867036758163</v>
      </c>
    </row>
    <row r="213" spans="1:10">
      <c r="A213" s="585">
        <v>10</v>
      </c>
      <c r="B213" s="614">
        <v>91</v>
      </c>
      <c r="C213" s="608">
        <v>275</v>
      </c>
      <c r="D213" s="590">
        <v>194.11321676121261</v>
      </c>
      <c r="E213" s="590">
        <v>229.60813873197856</v>
      </c>
      <c r="F213" s="591">
        <v>367.65349021188257</v>
      </c>
      <c r="G213" s="592">
        <v>227.44709221477964</v>
      </c>
      <c r="H213" s="590">
        <v>268.72361211050992</v>
      </c>
      <c r="I213" s="590">
        <v>231.43976510924304</v>
      </c>
      <c r="J213" s="593">
        <v>278.25459493455617</v>
      </c>
    </row>
    <row r="214" spans="1:10">
      <c r="A214" s="586">
        <v>10</v>
      </c>
      <c r="B214" s="615">
        <v>112</v>
      </c>
      <c r="C214" s="609">
        <v>270</v>
      </c>
      <c r="D214" s="594">
        <v>209.32472799377862</v>
      </c>
      <c r="E214" s="594">
        <v>230.52135420756395</v>
      </c>
      <c r="F214" s="595">
        <v>387.98094360372323</v>
      </c>
      <c r="G214" s="596">
        <v>228.86380646421463</v>
      </c>
      <c r="H214" s="594">
        <v>271.4340566092784</v>
      </c>
      <c r="I214" s="594">
        <v>231.63969719970763</v>
      </c>
      <c r="J214" s="597">
        <v>274.8935331124348</v>
      </c>
    </row>
    <row r="215" spans="1:10">
      <c r="A215" s="586">
        <v>10</v>
      </c>
      <c r="B215" s="615">
        <v>119</v>
      </c>
      <c r="C215" s="609">
        <v>275</v>
      </c>
      <c r="D215" s="594">
        <v>213.69087527544002</v>
      </c>
      <c r="E215" s="594">
        <v>230.70456059237327</v>
      </c>
      <c r="F215" s="595">
        <v>393.61231124615136</v>
      </c>
      <c r="G215" s="596">
        <v>229.2221408574589</v>
      </c>
      <c r="H215" s="594">
        <v>271.84987339824863</v>
      </c>
      <c r="I215" s="594">
        <v>231.66138713907881</v>
      </c>
      <c r="J215" s="597">
        <v>272.73249645386016</v>
      </c>
    </row>
    <row r="216" spans="1:10">
      <c r="A216" s="586">
        <v>10</v>
      </c>
      <c r="B216" s="615">
        <v>140</v>
      </c>
      <c r="C216" s="609">
        <v>245.00000000000003</v>
      </c>
      <c r="D216" s="594">
        <v>225.14423044303481</v>
      </c>
      <c r="E216" s="594">
        <v>231.06159401360793</v>
      </c>
      <c r="F216" s="595">
        <v>407.99292862247756</v>
      </c>
      <c r="G216" s="596">
        <v>230.0775868215631</v>
      </c>
      <c r="H216" s="594">
        <v>272.4767069152926</v>
      </c>
      <c r="I216" s="594">
        <v>231.68661361824704</v>
      </c>
      <c r="J216" s="597">
        <v>265.45222135274918</v>
      </c>
    </row>
    <row r="217" spans="1:10">
      <c r="A217" s="586">
        <v>10</v>
      </c>
      <c r="B217" s="615">
        <v>147</v>
      </c>
      <c r="C217" s="609">
        <v>240</v>
      </c>
      <c r="D217" s="594">
        <v>228.49586697339745</v>
      </c>
      <c r="E217" s="594">
        <v>231.13827525257781</v>
      </c>
      <c r="F217" s="595">
        <v>412.101722393378</v>
      </c>
      <c r="G217" s="596">
        <v>230.30732797735664</v>
      </c>
      <c r="H217" s="594">
        <v>272.57279649916381</v>
      </c>
      <c r="I217" s="594">
        <v>231.6893513112278</v>
      </c>
      <c r="J217" s="597">
        <v>263.08606417040693</v>
      </c>
    </row>
    <row r="218" spans="1:10">
      <c r="A218" s="586">
        <v>10</v>
      </c>
      <c r="B218" s="615">
        <v>154</v>
      </c>
      <c r="C218" s="609">
        <v>245.00000000000003</v>
      </c>
      <c r="D218" s="594">
        <v>231.64793938403901</v>
      </c>
      <c r="E218" s="594">
        <v>231.20094863615716</v>
      </c>
      <c r="F218" s="595">
        <v>415.92819002358749</v>
      </c>
      <c r="G218" s="596">
        <v>230.51578313576101</v>
      </c>
      <c r="H218" s="594">
        <v>272.63941287455719</v>
      </c>
      <c r="I218" s="594">
        <v>231.6909831514111</v>
      </c>
      <c r="J218" s="597">
        <v>260.84431341905707</v>
      </c>
    </row>
    <row r="219" spans="1:10">
      <c r="A219" s="586">
        <v>10</v>
      </c>
      <c r="B219" s="615">
        <v>161</v>
      </c>
      <c r="C219" s="609">
        <v>240</v>
      </c>
      <c r="D219" s="594">
        <v>234.61701659569005</v>
      </c>
      <c r="E219" s="594">
        <v>231.25245110982519</v>
      </c>
      <c r="F219" s="595">
        <v>419.50090802220905</v>
      </c>
      <c r="G219" s="596">
        <v>230.70577983075745</v>
      </c>
      <c r="H219" s="594">
        <v>272.68559551262558</v>
      </c>
      <c r="I219" s="594">
        <v>231.69195583567776</v>
      </c>
      <c r="J219" s="597">
        <v>258.75278321606442</v>
      </c>
    </row>
    <row r="220" spans="1:10">
      <c r="A220" s="586">
        <v>10</v>
      </c>
      <c r="B220" s="615">
        <v>168</v>
      </c>
      <c r="C220" s="609">
        <v>275</v>
      </c>
      <c r="D220" s="594">
        <v>237.41781112872079</v>
      </c>
      <c r="E220" s="594">
        <v>231.29498676027612</v>
      </c>
      <c r="F220" s="595">
        <v>422.84466335991686</v>
      </c>
      <c r="G220" s="596">
        <v>230.87966599996358</v>
      </c>
      <c r="H220" s="594">
        <v>272.71761185095374</v>
      </c>
      <c r="I220" s="594">
        <v>231.69253562069198</v>
      </c>
      <c r="J220" s="597">
        <v>256.82370663808615</v>
      </c>
    </row>
    <row r="221" spans="1:10">
      <c r="A221" s="586">
        <v>10</v>
      </c>
      <c r="B221" s="615">
        <v>175</v>
      </c>
      <c r="C221" s="609">
        <v>254.99999999999997</v>
      </c>
      <c r="D221" s="594">
        <v>240.0634478884744</v>
      </c>
      <c r="E221" s="594">
        <v>231.33028121835525</v>
      </c>
      <c r="F221" s="595">
        <v>425.98107085039385</v>
      </c>
      <c r="G221" s="596">
        <v>231.03940753913713</v>
      </c>
      <c r="H221" s="594">
        <v>272.73980716257984</v>
      </c>
      <c r="I221" s="594">
        <v>231.692881211811</v>
      </c>
      <c r="J221" s="597">
        <v>255.05973145778412</v>
      </c>
    </row>
    <row r="222" spans="1:10">
      <c r="A222" s="586">
        <v>10</v>
      </c>
      <c r="B222" s="615">
        <v>182</v>
      </c>
      <c r="C222" s="609">
        <v>254.99999999999997</v>
      </c>
      <c r="D222" s="594">
        <v>242.56568491245477</v>
      </c>
      <c r="E222" s="594">
        <v>231.35969516027185</v>
      </c>
      <c r="F222" s="595">
        <v>428.92907191386297</v>
      </c>
      <c r="G222" s="596">
        <v>231.1866629738652</v>
      </c>
      <c r="H222" s="594">
        <v>272.75519397007349</v>
      </c>
      <c r="I222" s="594">
        <v>231.69308720765326</v>
      </c>
      <c r="J222" s="597">
        <v>253.45709341881383</v>
      </c>
    </row>
    <row r="223" spans="1:10">
      <c r="A223" s="586">
        <v>10</v>
      </c>
      <c r="B223" s="615">
        <v>189</v>
      </c>
      <c r="C223" s="609">
        <v>240</v>
      </c>
      <c r="D223" s="594">
        <v>244.9350962517822</v>
      </c>
      <c r="E223" s="594">
        <v>231.38430858820726</v>
      </c>
      <c r="F223" s="595">
        <v>431.70534084469517</v>
      </c>
      <c r="G223" s="596">
        <v>231.32284127527026</v>
      </c>
      <c r="H223" s="594">
        <v>272.76586077101001</v>
      </c>
      <c r="I223" s="594">
        <v>231.69320999525343</v>
      </c>
      <c r="J223" s="597">
        <v>252.00802172838848</v>
      </c>
    </row>
    <row r="224" spans="1:10">
      <c r="A224" s="586">
        <v>10</v>
      </c>
      <c r="B224" s="615">
        <v>243</v>
      </c>
      <c r="C224" s="609">
        <v>225</v>
      </c>
      <c r="D224" s="594">
        <v>259.64283684187996</v>
      </c>
      <c r="E224" s="594">
        <v>231.48206954037983</v>
      </c>
      <c r="F224" s="595">
        <v>448.69369955106691</v>
      </c>
      <c r="G224" s="596">
        <v>232.10647985612744</v>
      </c>
      <c r="H224" s="594">
        <v>272.78853870666211</v>
      </c>
      <c r="I224" s="594">
        <v>231.69338784149312</v>
      </c>
      <c r="J224" s="597">
        <v>244.84453627012658</v>
      </c>
    </row>
    <row r="225" spans="1:10">
      <c r="A225" s="586">
        <v>10</v>
      </c>
      <c r="B225" s="615">
        <v>304</v>
      </c>
      <c r="C225" s="609">
        <v>260</v>
      </c>
      <c r="D225" s="594">
        <v>270.97216256750255</v>
      </c>
      <c r="E225" s="594">
        <v>231.51400091818024</v>
      </c>
      <c r="F225" s="595">
        <v>461.7013718025118</v>
      </c>
      <c r="G225" s="596">
        <v>232.65362696321796</v>
      </c>
      <c r="H225" s="594">
        <v>272.78990779924328</v>
      </c>
      <c r="I225" s="594">
        <v>231.69339115208396</v>
      </c>
      <c r="J225" s="597">
        <v>241.8382709940731</v>
      </c>
    </row>
    <row r="226" spans="1:10">
      <c r="A226" s="586">
        <v>10</v>
      </c>
      <c r="B226" s="615">
        <v>366</v>
      </c>
      <c r="C226" s="609">
        <v>245.00000000000003</v>
      </c>
      <c r="D226" s="594">
        <v>278.96164854911694</v>
      </c>
      <c r="E226" s="594">
        <v>231.52392958476855</v>
      </c>
      <c r="F226" s="595">
        <v>471.05064739746661</v>
      </c>
      <c r="G226" s="596">
        <v>233.02137165758757</v>
      </c>
      <c r="H226" s="594">
        <v>272.78996413458219</v>
      </c>
      <c r="I226" s="594">
        <v>231.69339118856928</v>
      </c>
      <c r="J226" s="597">
        <v>240.80213169121035</v>
      </c>
    </row>
    <row r="227" spans="1:10">
      <c r="A227" s="586">
        <v>10</v>
      </c>
      <c r="B227" s="615">
        <v>425</v>
      </c>
      <c r="C227" s="609">
        <v>240</v>
      </c>
      <c r="D227" s="594">
        <v>284.44826829717641</v>
      </c>
      <c r="E227" s="594">
        <v>231.52721820140428</v>
      </c>
      <c r="F227" s="595">
        <v>477.7037749986012</v>
      </c>
      <c r="G227" s="596">
        <v>233.27101121012763</v>
      </c>
      <c r="H227" s="594">
        <v>272.78996631453134</v>
      </c>
      <c r="I227" s="594">
        <v>231.69339118894146</v>
      </c>
      <c r="J227" s="597">
        <v>240.08663769000444</v>
      </c>
    </row>
    <row r="228" spans="1:10">
      <c r="A228" s="586">
        <v>10</v>
      </c>
      <c r="B228" s="615">
        <v>486</v>
      </c>
      <c r="C228" s="609">
        <v>229.99999999999997</v>
      </c>
      <c r="D228" s="594">
        <v>288.66402182621107</v>
      </c>
      <c r="E228" s="594">
        <v>231.5285291239519</v>
      </c>
      <c r="F228" s="595">
        <v>483.05759181199289</v>
      </c>
      <c r="G228" s="596">
        <v>233.46500562933596</v>
      </c>
      <c r="H228" s="594">
        <v>272.78996641438556</v>
      </c>
      <c r="I228" s="594">
        <v>231.69339118894621</v>
      </c>
      <c r="J228" s="597">
        <v>239.36538439204202</v>
      </c>
    </row>
    <row r="229" spans="1:10">
      <c r="A229" s="587">
        <v>10</v>
      </c>
      <c r="B229" s="616">
        <v>547</v>
      </c>
      <c r="C229" s="610">
        <v>229.99999999999997</v>
      </c>
      <c r="D229" s="598">
        <v>291.84741078797612</v>
      </c>
      <c r="E229" s="598">
        <v>231.52906071880034</v>
      </c>
      <c r="F229" s="599">
        <v>487.32773313233776</v>
      </c>
      <c r="G229" s="600">
        <v>233.61550445422731</v>
      </c>
      <c r="H229" s="598">
        <v>272.78996641848539</v>
      </c>
      <c r="I229" s="598">
        <v>231.69339118894626</v>
      </c>
      <c r="J229" s="601">
        <v>238.64544667022324</v>
      </c>
    </row>
    <row r="230" spans="1:10">
      <c r="A230" s="587">
        <v>10</v>
      </c>
      <c r="B230" s="616">
        <v>608</v>
      </c>
      <c r="C230" s="610">
        <v>240</v>
      </c>
      <c r="D230" s="598">
        <v>294.29419410995632</v>
      </c>
      <c r="E230" s="598">
        <v>231.52928892215391</v>
      </c>
      <c r="F230" s="599">
        <v>490.81336031017577</v>
      </c>
      <c r="G230" s="600">
        <v>233.73566141558666</v>
      </c>
      <c r="H230" s="598">
        <v>272.78996641865376</v>
      </c>
      <c r="I230" s="598">
        <v>231.69339118894626</v>
      </c>
      <c r="J230" s="601">
        <v>237.92562001315122</v>
      </c>
    </row>
    <row r="231" spans="1:10">
      <c r="A231" s="587">
        <v>10</v>
      </c>
      <c r="B231" s="616">
        <v>669</v>
      </c>
      <c r="C231" s="610">
        <v>229.99999999999997</v>
      </c>
      <c r="D231" s="598">
        <v>296.20315130634606</v>
      </c>
      <c r="E231" s="598">
        <v>231.52939165331506</v>
      </c>
      <c r="F231" s="599">
        <v>493.71268811048157</v>
      </c>
      <c r="G231" s="600">
        <v>233.83381206630213</v>
      </c>
      <c r="H231" s="598">
        <v>272.78996641866064</v>
      </c>
      <c r="I231" s="598">
        <v>231.69339118894626</v>
      </c>
      <c r="J231" s="601">
        <v>237.20580984577879</v>
      </c>
    </row>
    <row r="232" spans="1:10">
      <c r="A232" s="587">
        <v>10</v>
      </c>
      <c r="B232" s="616">
        <v>731</v>
      </c>
      <c r="C232" s="610">
        <v>229.99999999999997</v>
      </c>
      <c r="D232" s="598">
        <v>297.73373466380679</v>
      </c>
      <c r="E232" s="598">
        <v>231.5294403402342</v>
      </c>
      <c r="F232" s="599">
        <v>496.19928410137658</v>
      </c>
      <c r="G232" s="600">
        <v>233.91671986354427</v>
      </c>
      <c r="H232" s="598">
        <v>272.78996641866092</v>
      </c>
      <c r="I232" s="598">
        <v>231.69339118894626</v>
      </c>
      <c r="J232" s="601">
        <v>236.47420494234623</v>
      </c>
    </row>
    <row r="233" spans="1:10">
      <c r="A233" s="587">
        <v>10</v>
      </c>
      <c r="B233" s="616">
        <v>791</v>
      </c>
      <c r="C233" s="610">
        <v>240</v>
      </c>
      <c r="D233" s="598">
        <v>298.91735868051745</v>
      </c>
      <c r="E233" s="598">
        <v>231.52946318264756</v>
      </c>
      <c r="F233" s="599">
        <v>498.25933947543746</v>
      </c>
      <c r="G233" s="600">
        <v>233.98453343673825</v>
      </c>
      <c r="H233" s="598">
        <v>272.78996641866092</v>
      </c>
      <c r="I233" s="598">
        <v>231.69339118894626</v>
      </c>
      <c r="J233" s="601">
        <v>235.76620258346108</v>
      </c>
    </row>
    <row r="234" spans="1:10">
      <c r="A234" s="587">
        <v>10</v>
      </c>
      <c r="B234" s="616">
        <v>1159</v>
      </c>
      <c r="C234" s="610">
        <v>246.70000000000002</v>
      </c>
      <c r="D234" s="598">
        <v>302.70121424806484</v>
      </c>
      <c r="E234" s="598">
        <v>231.52948724336176</v>
      </c>
      <c r="F234" s="599">
        <v>506.44709730856511</v>
      </c>
      <c r="G234" s="600">
        <v>234.24648255438828</v>
      </c>
      <c r="H234" s="598">
        <v>272.78996641866092</v>
      </c>
      <c r="I234" s="598">
        <v>231.69339118894626</v>
      </c>
      <c r="J234" s="601">
        <v>231.42380007842362</v>
      </c>
    </row>
    <row r="235" spans="1:10">
      <c r="A235" s="587">
        <v>10</v>
      </c>
      <c r="B235" s="616">
        <v>1187</v>
      </c>
      <c r="C235" s="610">
        <v>233.3</v>
      </c>
      <c r="D235" s="598">
        <v>302.85129897342136</v>
      </c>
      <c r="E235" s="598">
        <v>231.52948739764776</v>
      </c>
      <c r="F235" s="599">
        <v>506.87180259513798</v>
      </c>
      <c r="G235" s="600">
        <v>234.25974815925449</v>
      </c>
      <c r="H235" s="598">
        <v>272.78996641866092</v>
      </c>
      <c r="I235" s="598">
        <v>231.69339118894626</v>
      </c>
      <c r="J235" s="601">
        <v>231.09340006219989</v>
      </c>
    </row>
    <row r="236" spans="1:10">
      <c r="A236" s="587">
        <v>10</v>
      </c>
      <c r="B236" s="616">
        <v>1248</v>
      </c>
      <c r="C236" s="610">
        <v>243.30000000000004</v>
      </c>
      <c r="D236" s="598">
        <v>303.14046785250275</v>
      </c>
      <c r="E236" s="598">
        <v>231.52948762420917</v>
      </c>
      <c r="F236" s="599">
        <v>507.73397328705636</v>
      </c>
      <c r="G236" s="600">
        <v>234.28658250843108</v>
      </c>
      <c r="H236" s="598">
        <v>272.78996641866092</v>
      </c>
      <c r="I236" s="598">
        <v>231.69339118894626</v>
      </c>
      <c r="J236" s="601">
        <v>230.37360003810176</v>
      </c>
    </row>
    <row r="237" spans="1:10">
      <c r="A237" s="587">
        <v>10</v>
      </c>
      <c r="B237" s="616">
        <v>1313</v>
      </c>
      <c r="C237" s="610">
        <v>245.00000000000003</v>
      </c>
      <c r="D237" s="598">
        <v>303.40014650429595</v>
      </c>
      <c r="E237" s="598">
        <v>231.52948776225915</v>
      </c>
      <c r="F237" s="599">
        <v>508.56821565376299</v>
      </c>
      <c r="G237" s="600">
        <v>234.31242651798729</v>
      </c>
      <c r="H237" s="598">
        <v>272.78996641866092</v>
      </c>
      <c r="I237" s="598">
        <v>231.69339118894626</v>
      </c>
      <c r="J237" s="601">
        <v>229.60660002308649</v>
      </c>
    </row>
    <row r="238" spans="1:10">
      <c r="A238" s="587">
        <v>10</v>
      </c>
      <c r="B238" s="616">
        <v>1387</v>
      </c>
      <c r="C238" s="610">
        <v>258.29999999999995</v>
      </c>
      <c r="D238" s="598">
        <v>303.64631380413761</v>
      </c>
      <c r="E238" s="598">
        <v>231.52948784868852</v>
      </c>
      <c r="F238" s="599">
        <v>509.42657938112217</v>
      </c>
      <c r="G238" s="600">
        <v>234.33889422931765</v>
      </c>
      <c r="H238" s="598">
        <v>272.78996641866092</v>
      </c>
      <c r="I238" s="598">
        <v>231.69339118894626</v>
      </c>
      <c r="J238" s="601">
        <v>228.73340001337871</v>
      </c>
    </row>
    <row r="239" spans="1:10">
      <c r="A239" s="587">
        <v>10</v>
      </c>
      <c r="B239" s="616">
        <v>1446</v>
      </c>
      <c r="C239" s="610">
        <v>245.00000000000003</v>
      </c>
      <c r="D239" s="598">
        <v>303.81167960766084</v>
      </c>
      <c r="E239" s="598">
        <v>231.52948788777505</v>
      </c>
      <c r="F239" s="599">
        <v>510.05041467417186</v>
      </c>
      <c r="G239" s="600">
        <v>234.35805204107339</v>
      </c>
      <c r="H239" s="598">
        <v>272.78996641866092</v>
      </c>
      <c r="I239" s="598">
        <v>231.69339118894626</v>
      </c>
      <c r="J239" s="601">
        <v>228.03720000881347</v>
      </c>
    </row>
    <row r="240" spans="1:10">
      <c r="A240" s="587">
        <v>10</v>
      </c>
      <c r="B240" s="616">
        <v>1545</v>
      </c>
      <c r="C240" s="610">
        <v>229.99999999999997</v>
      </c>
      <c r="D240" s="598">
        <v>304.03996013760843</v>
      </c>
      <c r="E240" s="598">
        <v>231.52948792268566</v>
      </c>
      <c r="F240" s="599">
        <v>510.9939910514239</v>
      </c>
      <c r="G240" s="600">
        <v>234.38690466307978</v>
      </c>
      <c r="H240" s="598">
        <v>272.78996641866092</v>
      </c>
      <c r="I240" s="598">
        <v>231.69339118894626</v>
      </c>
      <c r="J240" s="601">
        <v>226.8690000045186</v>
      </c>
    </row>
    <row r="241" spans="1:10">
      <c r="A241" s="587">
        <v>10</v>
      </c>
      <c r="B241" s="616">
        <v>1636</v>
      </c>
      <c r="C241" s="610">
        <v>226.7</v>
      </c>
      <c r="D241" s="598">
        <v>304.20670647272379</v>
      </c>
      <c r="E241" s="598">
        <v>231.52948793766964</v>
      </c>
      <c r="F241" s="599">
        <v>511.76402167621046</v>
      </c>
      <c r="G241" s="600">
        <v>234.41034028712724</v>
      </c>
      <c r="H241" s="598">
        <v>272.78996641866092</v>
      </c>
      <c r="I241" s="598">
        <v>231.69339118894626</v>
      </c>
      <c r="J241" s="601">
        <v>225.79520000252631</v>
      </c>
    </row>
    <row r="242" spans="1:10">
      <c r="A242" s="587">
        <v>10</v>
      </c>
      <c r="B242" s="616">
        <v>1728</v>
      </c>
      <c r="C242" s="610">
        <v>223.3</v>
      </c>
      <c r="D242" s="598">
        <v>304.3428447943752</v>
      </c>
      <c r="E242" s="598">
        <v>231.52948794514157</v>
      </c>
      <c r="F242" s="599">
        <v>512.46273603250825</v>
      </c>
      <c r="G242" s="600">
        <v>234.43152011433182</v>
      </c>
      <c r="H242" s="598">
        <v>272.78996641866092</v>
      </c>
      <c r="I242" s="598">
        <v>231.69339118894626</v>
      </c>
      <c r="J242" s="601">
        <v>224.70960000144447</v>
      </c>
    </row>
    <row r="243" spans="1:10">
      <c r="A243" s="587">
        <v>10</v>
      </c>
      <c r="B243" s="616">
        <v>1820</v>
      </c>
      <c r="C243" s="610">
        <v>215</v>
      </c>
      <c r="D243" s="598">
        <v>304.45336596575669</v>
      </c>
      <c r="E243" s="598">
        <v>231.5294879488855</v>
      </c>
      <c r="F243" s="599">
        <v>513.09298545463582</v>
      </c>
      <c r="G243" s="600">
        <v>234.45055531429981</v>
      </c>
      <c r="H243" s="598">
        <v>272.78996641866092</v>
      </c>
      <c r="I243" s="598">
        <v>231.69339118894626</v>
      </c>
      <c r="J243" s="601">
        <v>223.62400000084799</v>
      </c>
    </row>
    <row r="244" spans="1:10">
      <c r="A244" s="587">
        <v>10</v>
      </c>
      <c r="B244" s="616">
        <v>1951</v>
      </c>
      <c r="C244" s="610">
        <v>219.99999999999997</v>
      </c>
      <c r="D244" s="598">
        <v>304.57681745700114</v>
      </c>
      <c r="E244" s="598">
        <v>231.52948795129612</v>
      </c>
      <c r="F244" s="599">
        <v>513.89078409655804</v>
      </c>
      <c r="G244" s="600">
        <v>234.47455718558422</v>
      </c>
      <c r="H244" s="598">
        <v>272.78996641866092</v>
      </c>
      <c r="I244" s="598">
        <v>231.69339118894626</v>
      </c>
      <c r="J244" s="601">
        <v>222.07820000041386</v>
      </c>
    </row>
    <row r="245" spans="1:10">
      <c r="A245" s="587">
        <v>10</v>
      </c>
      <c r="B245" s="616">
        <v>2042</v>
      </c>
      <c r="C245" s="610">
        <v>213.3</v>
      </c>
      <c r="D245" s="598">
        <v>304.64443634707953</v>
      </c>
      <c r="E245" s="598">
        <v>231.52948795204549</v>
      </c>
      <c r="F245" s="599">
        <v>514.38639054546672</v>
      </c>
      <c r="G245" s="600">
        <v>234.48941505565691</v>
      </c>
      <c r="H245" s="598">
        <v>272.78996641866092</v>
      </c>
      <c r="I245" s="598">
        <v>231.69339118894626</v>
      </c>
      <c r="J245" s="601">
        <v>221.00440000025802</v>
      </c>
    </row>
    <row r="246" spans="1:10">
      <c r="A246" s="587">
        <v>10</v>
      </c>
      <c r="B246" s="616">
        <v>2145</v>
      </c>
      <c r="C246" s="610">
        <v>216.7</v>
      </c>
      <c r="D246" s="598">
        <v>304.70712587497479</v>
      </c>
      <c r="E246" s="598">
        <v>231.52948795248273</v>
      </c>
      <c r="F246" s="599">
        <v>514.89795085208323</v>
      </c>
      <c r="G246" s="600">
        <v>234.50470918343936</v>
      </c>
      <c r="H246" s="598">
        <v>272.78996641866092</v>
      </c>
      <c r="I246" s="598">
        <v>231.69339118894626</v>
      </c>
      <c r="J246" s="601">
        <v>219.78900000015466</v>
      </c>
    </row>
    <row r="247" spans="1:10">
      <c r="A247" s="587">
        <v>10</v>
      </c>
      <c r="B247" s="616">
        <v>2243</v>
      </c>
      <c r="C247" s="610">
        <v>215</v>
      </c>
      <c r="D247" s="598">
        <v>304.75585957335039</v>
      </c>
      <c r="E247" s="598">
        <v>231.52948795269424</v>
      </c>
      <c r="F247" s="599">
        <v>515.34216012823993</v>
      </c>
      <c r="G247" s="600">
        <v>234.51795520516933</v>
      </c>
      <c r="H247" s="598">
        <v>272.78996641866092</v>
      </c>
      <c r="I247" s="598">
        <v>231.69339118894626</v>
      </c>
      <c r="J247" s="601">
        <v>218.63260000009706</v>
      </c>
    </row>
    <row r="248" spans="1:10">
      <c r="A248" s="587">
        <v>10</v>
      </c>
      <c r="B248" s="616">
        <v>2349</v>
      </c>
      <c r="C248" s="610">
        <v>216.7</v>
      </c>
      <c r="D248" s="598">
        <v>304.7990427084523</v>
      </c>
      <c r="E248" s="598">
        <v>231.52948795281188</v>
      </c>
      <c r="F248" s="599">
        <v>515.78190991528299</v>
      </c>
      <c r="G248" s="600">
        <v>234.53103675486457</v>
      </c>
      <c r="H248" s="598">
        <v>272.78996641866092</v>
      </c>
      <c r="I248" s="598">
        <v>231.69339118894626</v>
      </c>
      <c r="J248" s="601">
        <v>217.38180000005988</v>
      </c>
    </row>
    <row r="249" spans="1:10">
      <c r="A249" s="587">
        <v>10</v>
      </c>
      <c r="B249" s="616">
        <v>2512</v>
      </c>
      <c r="C249" s="610">
        <v>219.99999999999997</v>
      </c>
      <c r="D249" s="598">
        <v>304.85058246792875</v>
      </c>
      <c r="E249" s="598">
        <v>231.52948795289049</v>
      </c>
      <c r="F249" s="599">
        <v>516.38735016958844</v>
      </c>
      <c r="G249" s="600">
        <v>234.54899613003187</v>
      </c>
      <c r="H249" s="598">
        <v>272.78996641866092</v>
      </c>
      <c r="I249" s="598">
        <v>231.69339118894626</v>
      </c>
      <c r="J249" s="601">
        <v>215.4584000000296</v>
      </c>
    </row>
    <row r="250" spans="1:10">
      <c r="A250" s="587">
        <v>10</v>
      </c>
      <c r="B250" s="616">
        <v>2622</v>
      </c>
      <c r="C250" s="610">
        <v>210</v>
      </c>
      <c r="D250" s="598">
        <v>304.87755716774188</v>
      </c>
      <c r="E250" s="598">
        <v>231.52948795291275</v>
      </c>
      <c r="F250" s="599">
        <v>516.75431007978284</v>
      </c>
      <c r="G250" s="600">
        <v>234.55985267252473</v>
      </c>
      <c r="H250" s="598">
        <v>272.78996641866092</v>
      </c>
      <c r="I250" s="598">
        <v>231.69339118894626</v>
      </c>
      <c r="J250" s="601">
        <v>214.16040000001885</v>
      </c>
    </row>
    <row r="251" spans="1:10">
      <c r="A251" s="587">
        <v>10</v>
      </c>
      <c r="B251" s="616">
        <v>2776</v>
      </c>
      <c r="C251" s="610">
        <v>215</v>
      </c>
      <c r="D251" s="598">
        <v>304.90741687633624</v>
      </c>
      <c r="E251" s="598">
        <v>231.52948795292701</v>
      </c>
      <c r="F251" s="599">
        <v>517.22019777038702</v>
      </c>
      <c r="G251" s="600">
        <v>234.57360488874477</v>
      </c>
      <c r="H251" s="598">
        <v>272.78996641866092</v>
      </c>
      <c r="I251" s="598">
        <v>231.69339118894626</v>
      </c>
      <c r="J251" s="601">
        <v>212.34320000001034</v>
      </c>
    </row>
    <row r="252" spans="1:10">
      <c r="A252" s="587">
        <v>10</v>
      </c>
      <c r="B252" s="616">
        <v>2890</v>
      </c>
      <c r="C252" s="610">
        <v>215</v>
      </c>
      <c r="D252" s="598">
        <v>304.92488750871598</v>
      </c>
      <c r="E252" s="598">
        <v>231.52948795293179</v>
      </c>
      <c r="F252" s="599">
        <v>517.53372427646218</v>
      </c>
      <c r="G252" s="600">
        <v>234.58284011868713</v>
      </c>
      <c r="H252" s="598">
        <v>272.78996641866092</v>
      </c>
      <c r="I252" s="598">
        <v>231.69339118894626</v>
      </c>
      <c r="J252" s="601">
        <v>210.99800000000675</v>
      </c>
    </row>
    <row r="253" spans="1:10">
      <c r="A253" s="587">
        <v>10</v>
      </c>
      <c r="B253" s="616">
        <v>2995</v>
      </c>
      <c r="C253" s="610">
        <v>221.70000000000002</v>
      </c>
      <c r="D253" s="598">
        <v>304.93823816228905</v>
      </c>
      <c r="E253" s="598">
        <v>231.52948795293406</v>
      </c>
      <c r="F253" s="599">
        <v>517.80178499616352</v>
      </c>
      <c r="G253" s="600">
        <v>234.59072367297981</v>
      </c>
      <c r="H253" s="598">
        <v>272.78996641866092</v>
      </c>
      <c r="I253" s="598">
        <v>231.69339118894626</v>
      </c>
      <c r="J253" s="601">
        <v>209.75900000000462</v>
      </c>
    </row>
    <row r="254" spans="1:10">
      <c r="A254" s="587">
        <v>10</v>
      </c>
      <c r="B254" s="616">
        <v>3077</v>
      </c>
      <c r="C254" s="610">
        <v>221.70000000000002</v>
      </c>
      <c r="D254" s="598">
        <v>304.94715179133937</v>
      </c>
      <c r="E254" s="598">
        <v>231.52948795293514</v>
      </c>
      <c r="F254" s="599">
        <v>517.99864113119099</v>
      </c>
      <c r="G254" s="600">
        <v>234.59650584265964</v>
      </c>
      <c r="H254" s="598">
        <v>272.78996641866092</v>
      </c>
      <c r="I254" s="598">
        <v>231.69339118894626</v>
      </c>
      <c r="J254" s="601">
        <v>208.79140000000348</v>
      </c>
    </row>
    <row r="255" spans="1:10">
      <c r="A255" s="587">
        <v>10</v>
      </c>
      <c r="B255" s="616">
        <v>3240</v>
      </c>
      <c r="C255" s="610">
        <v>218.29999999999998</v>
      </c>
      <c r="D255" s="598">
        <v>304.96168376945553</v>
      </c>
      <c r="E255" s="598">
        <v>231.52948795293622</v>
      </c>
      <c r="F255" s="599">
        <v>518.36088462563885</v>
      </c>
      <c r="G255" s="600">
        <v>234.60712976847591</v>
      </c>
      <c r="H255" s="598">
        <v>272.78996641866092</v>
      </c>
      <c r="I255" s="598">
        <v>231.69339118894626</v>
      </c>
      <c r="J255" s="601">
        <v>206.86800000000201</v>
      </c>
    </row>
    <row r="256" spans="1:10">
      <c r="A256" s="587">
        <v>10</v>
      </c>
      <c r="B256" s="616">
        <v>3326</v>
      </c>
      <c r="C256" s="610">
        <v>215</v>
      </c>
      <c r="D256" s="598">
        <v>304.96794903179119</v>
      </c>
      <c r="E256" s="598">
        <v>231.52948795293651</v>
      </c>
      <c r="F256" s="599">
        <v>518.53794462852466</v>
      </c>
      <c r="G256" s="600">
        <v>234.61231503277637</v>
      </c>
      <c r="H256" s="598">
        <v>272.78996641866092</v>
      </c>
      <c r="I256" s="598">
        <v>231.69339118894626</v>
      </c>
      <c r="J256" s="601">
        <v>205.85320000000149</v>
      </c>
    </row>
    <row r="257" spans="1:10">
      <c r="A257" s="619">
        <v>13</v>
      </c>
      <c r="B257" s="620">
        <v>8</v>
      </c>
      <c r="C257" s="621">
        <v>93.3</v>
      </c>
      <c r="D257" s="622">
        <v>25.269138155074174</v>
      </c>
      <c r="E257" s="622">
        <v>76.172556973374469</v>
      </c>
      <c r="F257" s="623">
        <v>55.8418087604813</v>
      </c>
      <c r="G257" s="624">
        <v>41.108609345201316</v>
      </c>
      <c r="H257" s="622">
        <v>7.2157536499259134</v>
      </c>
      <c r="I257" s="622">
        <v>33.42763828273403</v>
      </c>
      <c r="J257" s="625"/>
    </row>
    <row r="258" spans="1:10">
      <c r="A258" s="585">
        <v>13</v>
      </c>
      <c r="B258" s="614">
        <v>15</v>
      </c>
      <c r="C258" s="608">
        <v>116.7</v>
      </c>
      <c r="D258" s="590">
        <v>70.365197027569792</v>
      </c>
      <c r="E258" s="590">
        <v>175.09051932996863</v>
      </c>
      <c r="F258" s="591">
        <v>152.0457972063403</v>
      </c>
      <c r="G258" s="592">
        <v>106.24245010912502</v>
      </c>
      <c r="H258" s="590">
        <v>74.393730518783343</v>
      </c>
      <c r="I258" s="590">
        <v>98.252369809229606</v>
      </c>
      <c r="J258" s="593"/>
    </row>
    <row r="259" spans="1:10">
      <c r="A259" s="585">
        <v>13</v>
      </c>
      <c r="B259" s="614">
        <v>22</v>
      </c>
      <c r="C259" s="608">
        <v>140</v>
      </c>
      <c r="D259" s="590">
        <v>94.891350781255866</v>
      </c>
      <c r="E259" s="590">
        <v>204.69576411166102</v>
      </c>
      <c r="F259" s="591">
        <v>200.96240023252926</v>
      </c>
      <c r="G259" s="592">
        <v>134.77809425425821</v>
      </c>
      <c r="H259" s="590">
        <v>131.31782238591808</v>
      </c>
      <c r="I259" s="590">
        <v>130.33432335829832</v>
      </c>
      <c r="J259" s="593"/>
    </row>
    <row r="260" spans="1:10">
      <c r="A260" s="585">
        <v>13</v>
      </c>
      <c r="B260" s="614">
        <v>29</v>
      </c>
      <c r="C260" s="608">
        <v>186.7</v>
      </c>
      <c r="D260" s="590">
        <v>113.21408745787619</v>
      </c>
      <c r="E260" s="590">
        <v>218.43385970688556</v>
      </c>
      <c r="F260" s="591">
        <v>235.46989663409269</v>
      </c>
      <c r="G260" s="592">
        <v>152.76005440971818</v>
      </c>
      <c r="H260" s="590">
        <v>173.83287377379116</v>
      </c>
      <c r="I260" s="590">
        <v>151.45096269745625</v>
      </c>
      <c r="J260" s="593"/>
    </row>
    <row r="261" spans="1:10">
      <c r="A261" s="585">
        <v>13</v>
      </c>
      <c r="B261" s="614">
        <v>44</v>
      </c>
      <c r="C261" s="608">
        <v>203.29999999999998</v>
      </c>
      <c r="D261" s="590">
        <v>142.33980971126849</v>
      </c>
      <c r="E261" s="590">
        <v>230.65506852168329</v>
      </c>
      <c r="F261" s="591">
        <v>286.38304248943268</v>
      </c>
      <c r="G261" s="592">
        <v>176.07230385631647</v>
      </c>
      <c r="H261" s="590">
        <v>228.81071812543524</v>
      </c>
      <c r="I261" s="590">
        <v>178.67152760701086</v>
      </c>
      <c r="J261" s="593"/>
    </row>
    <row r="262" spans="1:10">
      <c r="A262" s="585">
        <v>13</v>
      </c>
      <c r="B262" s="614">
        <v>62</v>
      </c>
      <c r="C262" s="608">
        <v>240</v>
      </c>
      <c r="D262" s="590">
        <v>167.49489356403893</v>
      </c>
      <c r="E262" s="590">
        <v>235.57992886838139</v>
      </c>
      <c r="F262" s="591">
        <v>326.36608731701773</v>
      </c>
      <c r="G262" s="592">
        <v>191.84604090622295</v>
      </c>
      <c r="H262" s="590">
        <v>257.93815067888778</v>
      </c>
      <c r="I262" s="590">
        <v>195.240411459906</v>
      </c>
      <c r="J262" s="593"/>
    </row>
    <row r="263" spans="1:10">
      <c r="A263" s="585">
        <v>13</v>
      </c>
      <c r="B263" s="614">
        <v>74</v>
      </c>
      <c r="C263" s="608">
        <v>236.7</v>
      </c>
      <c r="D263" s="590">
        <v>180.72111488925955</v>
      </c>
      <c r="E263" s="590">
        <v>236.98799619272251</v>
      </c>
      <c r="F263" s="591">
        <v>345.94278056954619</v>
      </c>
      <c r="G263" s="592">
        <v>198.81957115197275</v>
      </c>
      <c r="H263" s="590">
        <v>266.7325770536242</v>
      </c>
      <c r="I263" s="590">
        <v>201.38448392222475</v>
      </c>
      <c r="J263" s="593"/>
    </row>
    <row r="264" spans="1:10">
      <c r="A264" s="585">
        <v>13</v>
      </c>
      <c r="B264" s="614">
        <v>95</v>
      </c>
      <c r="C264" s="608">
        <v>266.7</v>
      </c>
      <c r="D264" s="590">
        <v>199.39930996258423</v>
      </c>
      <c r="E264" s="590">
        <v>238.15608658341452</v>
      </c>
      <c r="F264" s="591">
        <v>371.99224659338108</v>
      </c>
      <c r="G264" s="592">
        <v>207.39195955707885</v>
      </c>
      <c r="H264" s="590">
        <v>273.47469767670628</v>
      </c>
      <c r="I264" s="590">
        <v>207.337472768852</v>
      </c>
      <c r="J264" s="593"/>
    </row>
    <row r="265" spans="1:10">
      <c r="A265" s="586">
        <v>13</v>
      </c>
      <c r="B265" s="615">
        <v>102</v>
      </c>
      <c r="C265" s="609">
        <v>250</v>
      </c>
      <c r="D265" s="594">
        <v>204.66599280934278</v>
      </c>
      <c r="E265" s="594">
        <v>238.36534327381821</v>
      </c>
      <c r="F265" s="595">
        <v>379.01943561281246</v>
      </c>
      <c r="G265" s="596">
        <v>209.57337319241185</v>
      </c>
      <c r="H265" s="594">
        <v>274.51009299710756</v>
      </c>
      <c r="I265" s="594">
        <v>208.50765225238806</v>
      </c>
      <c r="J265" s="597"/>
    </row>
    <row r="266" spans="1:10">
      <c r="A266" s="586">
        <v>13</v>
      </c>
      <c r="B266" s="615">
        <v>110</v>
      </c>
      <c r="C266" s="609">
        <v>266.7</v>
      </c>
      <c r="D266" s="594">
        <v>210.21404267652841</v>
      </c>
      <c r="E266" s="594">
        <v>238.54401785159627</v>
      </c>
      <c r="F266" s="595">
        <v>386.28001062718397</v>
      </c>
      <c r="G266" s="596">
        <v>211.77117152270503</v>
      </c>
      <c r="H266" s="594">
        <v>275.31084997408971</v>
      </c>
      <c r="I266" s="594">
        <v>209.5305504644403</v>
      </c>
      <c r="J266" s="597"/>
    </row>
    <row r="267" spans="1:10">
      <c r="A267" s="586">
        <v>13</v>
      </c>
      <c r="B267" s="615">
        <v>123</v>
      </c>
      <c r="C267" s="609">
        <v>203.29999999999998</v>
      </c>
      <c r="D267" s="594">
        <v>218.30728074742422</v>
      </c>
      <c r="E267" s="594">
        <v>238.74196088642262</v>
      </c>
      <c r="F267" s="595">
        <v>396.62300457964011</v>
      </c>
      <c r="G267" s="596">
        <v>214.80623590400188</v>
      </c>
      <c r="H267" s="594">
        <v>276.07102777580963</v>
      </c>
      <c r="I267" s="594">
        <v>210.67968021755416</v>
      </c>
      <c r="J267" s="597"/>
    </row>
    <row r="268" spans="1:10">
      <c r="A268" s="586">
        <v>13</v>
      </c>
      <c r="B268" s="615">
        <v>130</v>
      </c>
      <c r="C268" s="609">
        <v>219.99999999999997</v>
      </c>
      <c r="D268" s="594">
        <v>222.25475284519973</v>
      </c>
      <c r="E268" s="594">
        <v>238.81637020634054</v>
      </c>
      <c r="F268" s="595">
        <v>401.56663185050809</v>
      </c>
      <c r="G268" s="596">
        <v>216.21812721330889</v>
      </c>
      <c r="H268" s="594">
        <v>276.31025449138417</v>
      </c>
      <c r="I268" s="594">
        <v>211.11052413879074</v>
      </c>
      <c r="J268" s="597"/>
    </row>
    <row r="269" spans="1:10">
      <c r="A269" s="586">
        <v>13</v>
      </c>
      <c r="B269" s="615">
        <v>137</v>
      </c>
      <c r="C269" s="609">
        <v>213.3</v>
      </c>
      <c r="D269" s="594">
        <v>225.94989834875977</v>
      </c>
      <c r="E269" s="594">
        <v>238.87509729081904</v>
      </c>
      <c r="F269" s="595">
        <v>406.13756235249105</v>
      </c>
      <c r="G269" s="596">
        <v>217.50175810478603</v>
      </c>
      <c r="H269" s="594">
        <v>276.47607351384431</v>
      </c>
      <c r="I269" s="594">
        <v>211.44661107675947</v>
      </c>
      <c r="J269" s="597"/>
    </row>
    <row r="270" spans="1:10">
      <c r="A270" s="586">
        <v>13</v>
      </c>
      <c r="B270" s="615">
        <v>144</v>
      </c>
      <c r="C270" s="609">
        <v>229.99999999999997</v>
      </c>
      <c r="D270" s="594">
        <v>229.41561112739919</v>
      </c>
      <c r="E270" s="594">
        <v>238.92178146732834</v>
      </c>
      <c r="F270" s="595">
        <v>410.37719932043814</v>
      </c>
      <c r="G270" s="596">
        <v>218.67390577665694</v>
      </c>
      <c r="H270" s="594">
        <v>276.5910055237681</v>
      </c>
      <c r="I270" s="594">
        <v>211.70886732410227</v>
      </c>
      <c r="J270" s="597"/>
    </row>
    <row r="271" spans="1:10">
      <c r="A271" s="586">
        <v>13</v>
      </c>
      <c r="B271" s="615">
        <v>151</v>
      </c>
      <c r="C271" s="609">
        <v>236.7</v>
      </c>
      <c r="D271" s="594">
        <v>232.67194463115899</v>
      </c>
      <c r="E271" s="594">
        <v>238.95913789887334</v>
      </c>
      <c r="F271" s="595">
        <v>414.32091841923346</v>
      </c>
      <c r="G271" s="596">
        <v>219.74853408143517</v>
      </c>
      <c r="H271" s="594">
        <v>276.67066458309375</v>
      </c>
      <c r="I271" s="594">
        <v>211.91356401691203</v>
      </c>
      <c r="J271" s="597"/>
    </row>
    <row r="272" spans="1:10">
      <c r="A272" s="586">
        <v>13</v>
      </c>
      <c r="B272" s="615">
        <v>158</v>
      </c>
      <c r="C272" s="609">
        <v>233.3</v>
      </c>
      <c r="D272" s="594">
        <v>235.73657005469596</v>
      </c>
      <c r="E272" s="594">
        <v>238.9892126592392</v>
      </c>
      <c r="F272" s="595">
        <v>417.99914581678291</v>
      </c>
      <c r="G272" s="596">
        <v>220.73736134617698</v>
      </c>
      <c r="H272" s="594">
        <v>276.72587495873546</v>
      </c>
      <c r="I272" s="594">
        <v>212.07336593779667</v>
      </c>
      <c r="J272" s="597"/>
    </row>
    <row r="273" spans="1:10">
      <c r="A273" s="586">
        <v>13</v>
      </c>
      <c r="B273" s="615">
        <v>165</v>
      </c>
      <c r="C273" s="609">
        <v>233.3</v>
      </c>
      <c r="D273" s="594">
        <v>238.62514328009266</v>
      </c>
      <c r="E273" s="594">
        <v>239.01356180837712</v>
      </c>
      <c r="F273" s="595">
        <v>421.43820893444797</v>
      </c>
      <c r="G273" s="596">
        <v>221.65029559415296</v>
      </c>
      <c r="H273" s="594">
        <v>276.76413982875681</v>
      </c>
      <c r="I273" s="594">
        <v>212.19813884102825</v>
      </c>
      <c r="J273" s="597"/>
    </row>
    <row r="274" spans="1:10">
      <c r="A274" s="586">
        <v>13</v>
      </c>
      <c r="B274" s="615">
        <v>172</v>
      </c>
      <c r="C274" s="609">
        <v>226.7</v>
      </c>
      <c r="D274" s="594">
        <v>241.35160204735035</v>
      </c>
      <c r="E274" s="594">
        <v>239.03337875087666</v>
      </c>
      <c r="F274" s="595">
        <v>424.66101477631594</v>
      </c>
      <c r="G274" s="596">
        <v>222.49577204279731</v>
      </c>
      <c r="H274" s="594">
        <v>276.7906599578709</v>
      </c>
      <c r="I274" s="594">
        <v>212.29557291619341</v>
      </c>
      <c r="J274" s="597"/>
    </row>
    <row r="275" spans="1:10">
      <c r="A275" s="586">
        <v>13</v>
      </c>
      <c r="B275" s="615">
        <v>179</v>
      </c>
      <c r="C275" s="609">
        <v>233.3</v>
      </c>
      <c r="D275" s="594">
        <v>243.92840904381163</v>
      </c>
      <c r="E275" s="594">
        <v>239.04958589210119</v>
      </c>
      <c r="F275" s="595">
        <v>427.6875958746848</v>
      </c>
      <c r="G275" s="596">
        <v>223.28101762122421</v>
      </c>
      <c r="H275" s="594">
        <v>276.80904006976874</v>
      </c>
      <c r="I275" s="594">
        <v>212.37166548296534</v>
      </c>
      <c r="J275" s="597"/>
    </row>
    <row r="276" spans="1:10">
      <c r="A276" s="586">
        <v>13</v>
      </c>
      <c r="B276" s="615">
        <v>240</v>
      </c>
      <c r="C276" s="609">
        <v>243.30000000000004</v>
      </c>
      <c r="D276" s="594">
        <v>261.46527824075355</v>
      </c>
      <c r="E276" s="594">
        <v>239.11266065330409</v>
      </c>
      <c r="F276" s="595">
        <v>447.9144320937084</v>
      </c>
      <c r="G276" s="596">
        <v>228.31795355547803</v>
      </c>
      <c r="H276" s="594">
        <v>276.84884104347071</v>
      </c>
      <c r="I276" s="594">
        <v>212.61163556140525</v>
      </c>
      <c r="J276" s="597"/>
    </row>
    <row r="277" spans="1:10">
      <c r="A277" s="586">
        <v>13</v>
      </c>
      <c r="B277" s="615">
        <v>301</v>
      </c>
      <c r="C277" s="609">
        <v>273.3</v>
      </c>
      <c r="D277" s="594">
        <v>273.04986685958062</v>
      </c>
      <c r="E277" s="594">
        <v>239.12698779623784</v>
      </c>
      <c r="F277" s="595">
        <v>461.16623940844499</v>
      </c>
      <c r="G277" s="596">
        <v>231.42759001172871</v>
      </c>
      <c r="H277" s="594">
        <v>276.85047142540549</v>
      </c>
      <c r="I277" s="594">
        <v>212.63953250145971</v>
      </c>
      <c r="J277" s="597"/>
    </row>
    <row r="278" spans="1:10">
      <c r="A278" s="586">
        <v>13</v>
      </c>
      <c r="B278" s="615">
        <v>363</v>
      </c>
      <c r="C278" s="609">
        <v>263.3</v>
      </c>
      <c r="D278" s="594">
        <v>281.19272410769901</v>
      </c>
      <c r="E278" s="594">
        <v>239.13093696215282</v>
      </c>
      <c r="F278" s="595">
        <v>470.66217697286288</v>
      </c>
      <c r="G278" s="596">
        <v>233.56797841036328</v>
      </c>
      <c r="H278" s="594">
        <v>276.85053835602474</v>
      </c>
      <c r="I278" s="594">
        <v>212.6427918451312</v>
      </c>
      <c r="J278" s="597"/>
    </row>
    <row r="279" spans="1:10">
      <c r="A279" s="586">
        <v>13</v>
      </c>
      <c r="B279" s="615">
        <v>422</v>
      </c>
      <c r="C279" s="609">
        <v>270</v>
      </c>
      <c r="D279" s="594">
        <v>286.77009956205887</v>
      </c>
      <c r="E279" s="594">
        <v>239.13211197885374</v>
      </c>
      <c r="F279" s="595">
        <v>477.40518078383803</v>
      </c>
      <c r="G279" s="596">
        <v>235.04490239747352</v>
      </c>
      <c r="H279" s="594">
        <v>276.85054093987736</v>
      </c>
      <c r="I279" s="594">
        <v>212.64315263807447</v>
      </c>
      <c r="J279" s="597"/>
    </row>
    <row r="280" spans="1:10">
      <c r="A280" s="586">
        <v>13</v>
      </c>
      <c r="B280" s="615">
        <v>483</v>
      </c>
      <c r="C280" s="609">
        <v>276.7</v>
      </c>
      <c r="D280" s="594">
        <v>291.04630537276518</v>
      </c>
      <c r="E280" s="594">
        <v>239.13253757300197</v>
      </c>
      <c r="F280" s="595">
        <v>482.82264236935771</v>
      </c>
      <c r="G280" s="596">
        <v>236.20634361229008</v>
      </c>
      <c r="H280" s="594">
        <v>276.85054105796553</v>
      </c>
      <c r="I280" s="594">
        <v>212.64319810694883</v>
      </c>
      <c r="J280" s="597"/>
    </row>
    <row r="281" spans="1:10">
      <c r="A281" s="587">
        <v>13</v>
      </c>
      <c r="B281" s="616">
        <v>544</v>
      </c>
      <c r="C281" s="610">
        <v>263.3</v>
      </c>
      <c r="D281" s="598">
        <v>294.26917557287663</v>
      </c>
      <c r="E281" s="598">
        <v>239.13269517320819</v>
      </c>
      <c r="F281" s="599">
        <v>487.13802813341192</v>
      </c>
      <c r="G281" s="600">
        <v>237.11580878197074</v>
      </c>
      <c r="H281" s="598">
        <v>276.85054106280273</v>
      </c>
      <c r="I281" s="598">
        <v>212.64320339550684</v>
      </c>
      <c r="J281" s="601"/>
    </row>
    <row r="282" spans="1:10">
      <c r="A282" s="587">
        <v>13</v>
      </c>
      <c r="B282" s="616">
        <v>605</v>
      </c>
      <c r="C282" s="610">
        <v>270</v>
      </c>
      <c r="D282" s="598">
        <v>296.74213250263654</v>
      </c>
      <c r="E282" s="598">
        <v>239.13275731597184</v>
      </c>
      <c r="F282" s="599">
        <v>490.65697248068335</v>
      </c>
      <c r="G282" s="600">
        <v>237.84728817780041</v>
      </c>
      <c r="H282" s="598">
        <v>276.85054106300089</v>
      </c>
      <c r="I282" s="598">
        <v>212.64320401062764</v>
      </c>
      <c r="J282" s="601"/>
    </row>
    <row r="283" spans="1:10">
      <c r="A283" s="587">
        <v>13</v>
      </c>
      <c r="B283" s="616">
        <v>666</v>
      </c>
      <c r="C283" s="610">
        <v>266.7</v>
      </c>
      <c r="D283" s="598">
        <v>298.66859971429579</v>
      </c>
      <c r="E283" s="598">
        <v>239.13278313630363</v>
      </c>
      <c r="F283" s="599">
        <v>493.58154560318229</v>
      </c>
      <c r="G283" s="600">
        <v>238.44838155309367</v>
      </c>
      <c r="H283" s="598">
        <v>276.85054106300902</v>
      </c>
      <c r="I283" s="598">
        <v>212.64320408217333</v>
      </c>
      <c r="J283" s="601"/>
    </row>
    <row r="284" spans="1:10">
      <c r="A284" s="587">
        <v>13</v>
      </c>
      <c r="B284" s="616">
        <v>728</v>
      </c>
      <c r="C284" s="610">
        <v>266.7</v>
      </c>
      <c r="D284" s="598">
        <v>300.21109452882456</v>
      </c>
      <c r="E284" s="598">
        <v>239.13279447186321</v>
      </c>
      <c r="F284" s="599">
        <v>496.08801218886481</v>
      </c>
      <c r="G284" s="600">
        <v>238.95865934365938</v>
      </c>
      <c r="H284" s="598">
        <v>276.85054106300936</v>
      </c>
      <c r="I284" s="598">
        <v>212.64320409053286</v>
      </c>
      <c r="J284" s="601"/>
    </row>
    <row r="285" spans="1:10">
      <c r="A285" s="587">
        <v>13</v>
      </c>
      <c r="B285" s="616">
        <v>788</v>
      </c>
      <c r="C285" s="610">
        <v>263.3</v>
      </c>
      <c r="D285" s="598">
        <v>301.40243397642604</v>
      </c>
      <c r="E285" s="598">
        <v>239.13279941662896</v>
      </c>
      <c r="F285" s="599">
        <v>498.16328651879593</v>
      </c>
      <c r="G285" s="600">
        <v>239.37777594361634</v>
      </c>
      <c r="H285" s="598">
        <v>276.85054106300936</v>
      </c>
      <c r="I285" s="598">
        <v>212.64320409146282</v>
      </c>
      <c r="J285" s="601"/>
    </row>
    <row r="286" spans="1:10">
      <c r="A286" s="587">
        <v>13</v>
      </c>
      <c r="B286" s="616">
        <v>1142</v>
      </c>
      <c r="C286" s="610">
        <v>273.3</v>
      </c>
      <c r="D286" s="598">
        <v>305.11947928265471</v>
      </c>
      <c r="E286" s="598">
        <v>239.13280397628128</v>
      </c>
      <c r="F286" s="599">
        <v>506.17956610608735</v>
      </c>
      <c r="G286" s="600">
        <v>240.96844623161303</v>
      </c>
      <c r="H286" s="598">
        <v>276.85054106300936</v>
      </c>
      <c r="I286" s="598">
        <v>212.64320409159021</v>
      </c>
      <c r="J286" s="601"/>
    </row>
    <row r="287" spans="1:10">
      <c r="A287" s="587">
        <v>13</v>
      </c>
      <c r="B287" s="616">
        <v>1170</v>
      </c>
      <c r="C287" s="610">
        <v>266.7</v>
      </c>
      <c r="D287" s="598">
        <v>305.27563501684477</v>
      </c>
      <c r="E287" s="598">
        <v>239.1328040014117</v>
      </c>
      <c r="F287" s="599">
        <v>506.61625670619242</v>
      </c>
      <c r="G287" s="600">
        <v>241.05382579574785</v>
      </c>
      <c r="H287" s="598">
        <v>276.85054106300936</v>
      </c>
      <c r="I287" s="598">
        <v>212.64320409159021</v>
      </c>
      <c r="J287" s="601"/>
    </row>
    <row r="288" spans="1:10">
      <c r="A288" s="587">
        <v>13</v>
      </c>
      <c r="B288" s="616">
        <v>1231</v>
      </c>
      <c r="C288" s="610">
        <v>272.2</v>
      </c>
      <c r="D288" s="598">
        <v>305.57608598529754</v>
      </c>
      <c r="E288" s="598">
        <v>239.132804036827</v>
      </c>
      <c r="F288" s="599">
        <v>507.50190147696122</v>
      </c>
      <c r="G288" s="600">
        <v>241.22658358701642</v>
      </c>
      <c r="H288" s="598">
        <v>276.85054106300936</v>
      </c>
      <c r="I288" s="598">
        <v>212.64320409159021</v>
      </c>
      <c r="J288" s="601"/>
    </row>
    <row r="289" spans="1:10">
      <c r="A289" s="587">
        <v>13</v>
      </c>
      <c r="B289" s="616">
        <v>1296</v>
      </c>
      <c r="C289" s="610">
        <v>270</v>
      </c>
      <c r="D289" s="598">
        <v>305.84538974575526</v>
      </c>
      <c r="E289" s="598">
        <v>239.13280405715614</v>
      </c>
      <c r="F289" s="599">
        <v>508.35776675059009</v>
      </c>
      <c r="G289" s="600">
        <v>241.39302599848418</v>
      </c>
      <c r="H289" s="598">
        <v>276.85054106300936</v>
      </c>
      <c r="I289" s="598">
        <v>212.64320409159021</v>
      </c>
      <c r="J289" s="601"/>
    </row>
    <row r="290" spans="1:10">
      <c r="A290" s="587">
        <v>13</v>
      </c>
      <c r="B290" s="616">
        <v>1370</v>
      </c>
      <c r="C290" s="610">
        <v>272.79999999999995</v>
      </c>
      <c r="D290" s="598">
        <v>306.1001876029178</v>
      </c>
      <c r="E290" s="598">
        <v>239.13280406910133</v>
      </c>
      <c r="F290" s="599">
        <v>509.23726113792731</v>
      </c>
      <c r="G290" s="600">
        <v>241.56354676268288</v>
      </c>
      <c r="H290" s="598">
        <v>276.85054106300936</v>
      </c>
      <c r="I290" s="598">
        <v>212.64320409159021</v>
      </c>
      <c r="J290" s="601"/>
    </row>
    <row r="291" spans="1:10">
      <c r="A291" s="587">
        <v>13</v>
      </c>
      <c r="B291" s="616">
        <v>1429</v>
      </c>
      <c r="C291" s="610">
        <v>261.10000000000002</v>
      </c>
      <c r="D291" s="598">
        <v>306.2710502869341</v>
      </c>
      <c r="E291" s="598">
        <v>239.13280407418321</v>
      </c>
      <c r="F291" s="599">
        <v>509.87574378034617</v>
      </c>
      <c r="G291" s="600">
        <v>241.68701174137746</v>
      </c>
      <c r="H291" s="598">
        <v>276.85054106300936</v>
      </c>
      <c r="I291" s="598">
        <v>212.64320409159021</v>
      </c>
      <c r="J291" s="601"/>
    </row>
    <row r="292" spans="1:10">
      <c r="A292" s="587">
        <v>13</v>
      </c>
      <c r="B292" s="616">
        <v>1528</v>
      </c>
      <c r="C292" s="610">
        <v>261.10000000000002</v>
      </c>
      <c r="D292" s="598">
        <v>306.50646939629019</v>
      </c>
      <c r="E292" s="598">
        <v>239.13280407843632</v>
      </c>
      <c r="F292" s="599">
        <v>510.84034172189871</v>
      </c>
      <c r="G292" s="600">
        <v>241.87301803188876</v>
      </c>
      <c r="H292" s="598">
        <v>276.85054106300936</v>
      </c>
      <c r="I292" s="598">
        <v>212.64320409159021</v>
      </c>
      <c r="J292" s="601"/>
    </row>
    <row r="293" spans="1:10">
      <c r="A293" s="587">
        <v>13</v>
      </c>
      <c r="B293" s="616">
        <v>1619</v>
      </c>
      <c r="C293" s="610">
        <v>248.89999999999998</v>
      </c>
      <c r="D293" s="598">
        <v>306.67805433933302</v>
      </c>
      <c r="E293" s="598">
        <v>239.13280408011929</v>
      </c>
      <c r="F293" s="599">
        <v>511.62651847021687</v>
      </c>
      <c r="G293" s="600">
        <v>242.02415701834639</v>
      </c>
      <c r="H293" s="598">
        <v>276.85054106300936</v>
      </c>
      <c r="I293" s="598">
        <v>212.64320409159021</v>
      </c>
      <c r="J293" s="601"/>
    </row>
    <row r="294" spans="1:10">
      <c r="A294" s="587">
        <v>13</v>
      </c>
      <c r="B294" s="616">
        <v>1711</v>
      </c>
      <c r="C294" s="610">
        <v>246.70000000000002</v>
      </c>
      <c r="D294" s="598">
        <v>306.81786998934211</v>
      </c>
      <c r="E294" s="598">
        <v>239.1328040808981</v>
      </c>
      <c r="F294" s="599">
        <v>512.33910030789605</v>
      </c>
      <c r="G294" s="600">
        <v>242.16079051132832</v>
      </c>
      <c r="H294" s="598">
        <v>276.85054106300936</v>
      </c>
      <c r="I294" s="598">
        <v>212.64320409159021</v>
      </c>
      <c r="J294" s="601"/>
    </row>
    <row r="295" spans="1:10">
      <c r="A295" s="587">
        <v>13</v>
      </c>
      <c r="B295" s="616">
        <v>1803</v>
      </c>
      <c r="C295" s="610">
        <v>247.8</v>
      </c>
      <c r="D295" s="598">
        <v>306.93116819491979</v>
      </c>
      <c r="E295" s="598">
        <v>239.13280408126087</v>
      </c>
      <c r="F295" s="599">
        <v>512.98122016947377</v>
      </c>
      <c r="G295" s="600">
        <v>242.28362318205646</v>
      </c>
      <c r="H295" s="598">
        <v>276.85054106300936</v>
      </c>
      <c r="I295" s="598">
        <v>212.64320409159021</v>
      </c>
      <c r="J295" s="601"/>
    </row>
    <row r="296" spans="1:10">
      <c r="A296" s="587">
        <v>13</v>
      </c>
      <c r="B296" s="616">
        <v>1934</v>
      </c>
      <c r="C296" s="610">
        <v>257.8</v>
      </c>
      <c r="D296" s="598">
        <v>307.05746284809908</v>
      </c>
      <c r="E296" s="598">
        <v>239.13280408147614</v>
      </c>
      <c r="F296" s="599">
        <v>513.79317831990295</v>
      </c>
      <c r="G296" s="600">
        <v>242.43855193105637</v>
      </c>
      <c r="H296" s="598">
        <v>276.85054106300936</v>
      </c>
      <c r="I296" s="598">
        <v>212.64320409159021</v>
      </c>
      <c r="J296" s="601"/>
    </row>
    <row r="297" spans="1:10">
      <c r="A297" s="587">
        <v>13</v>
      </c>
      <c r="B297" s="616">
        <v>2025</v>
      </c>
      <c r="C297" s="610">
        <v>252.2</v>
      </c>
      <c r="D297" s="598">
        <v>307.126503384329</v>
      </c>
      <c r="E297" s="598">
        <v>239.13280408153759</v>
      </c>
      <c r="F297" s="599">
        <v>514.29709403515926</v>
      </c>
      <c r="G297" s="600">
        <v>242.53448347811184</v>
      </c>
      <c r="H297" s="598">
        <v>276.85054106300936</v>
      </c>
      <c r="I297" s="598">
        <v>212.64320409159021</v>
      </c>
      <c r="J297" s="601"/>
    </row>
    <row r="298" spans="1:10">
      <c r="A298" s="587">
        <v>13</v>
      </c>
      <c r="B298" s="616">
        <v>2128</v>
      </c>
      <c r="C298" s="610">
        <v>253.29999999999998</v>
      </c>
      <c r="D298" s="598">
        <v>307.1904098907649</v>
      </c>
      <c r="E298" s="598">
        <v>239.13280408157092</v>
      </c>
      <c r="F298" s="599">
        <v>514.81684032086946</v>
      </c>
      <c r="G298" s="600">
        <v>242.6332526208964</v>
      </c>
      <c r="H298" s="598">
        <v>276.85054106300936</v>
      </c>
      <c r="I298" s="598">
        <v>212.64320409159021</v>
      </c>
      <c r="J298" s="601"/>
    </row>
    <row r="299" spans="1:10">
      <c r="A299" s="587">
        <v>13</v>
      </c>
      <c r="B299" s="616">
        <v>2226</v>
      </c>
      <c r="C299" s="610">
        <v>255.6</v>
      </c>
      <c r="D299" s="598">
        <v>307.24001217796331</v>
      </c>
      <c r="E299" s="598">
        <v>239.13280408158604</v>
      </c>
      <c r="F299" s="599">
        <v>515.26783619017363</v>
      </c>
      <c r="G299" s="600">
        <v>242.71881225369589</v>
      </c>
      <c r="H299" s="598">
        <v>276.85054106300936</v>
      </c>
      <c r="I299" s="598">
        <v>212.64320409159021</v>
      </c>
      <c r="J299" s="601"/>
    </row>
    <row r="300" spans="1:10">
      <c r="A300" s="587">
        <v>13</v>
      </c>
      <c r="B300" s="616">
        <v>2332</v>
      </c>
      <c r="C300" s="610">
        <v>260</v>
      </c>
      <c r="D300" s="598">
        <v>307.28389928646749</v>
      </c>
      <c r="E300" s="598">
        <v>239.1328040815938</v>
      </c>
      <c r="F300" s="599">
        <v>515.71401027725358</v>
      </c>
      <c r="G300" s="600">
        <v>242.80332512903837</v>
      </c>
      <c r="H300" s="598">
        <v>276.85054106300936</v>
      </c>
      <c r="I300" s="598">
        <v>212.64320409159021</v>
      </c>
      <c r="J300" s="601"/>
    </row>
    <row r="301" spans="1:10">
      <c r="A301" s="587">
        <v>13</v>
      </c>
      <c r="B301" s="616">
        <v>2495</v>
      </c>
      <c r="C301" s="610">
        <v>260</v>
      </c>
      <c r="D301" s="598">
        <v>307.33618340327996</v>
      </c>
      <c r="E301" s="598">
        <v>239.13280408159864</v>
      </c>
      <c r="F301" s="599">
        <v>516.3278170933487</v>
      </c>
      <c r="G301" s="600">
        <v>242.91937632384764</v>
      </c>
      <c r="H301" s="598">
        <v>276.85054106300936</v>
      </c>
      <c r="I301" s="598">
        <v>212.64320409159021</v>
      </c>
      <c r="J301" s="601"/>
    </row>
    <row r="302" spans="1:10">
      <c r="A302" s="587">
        <v>13</v>
      </c>
      <c r="B302" s="616">
        <v>2605</v>
      </c>
      <c r="C302" s="610">
        <v>250</v>
      </c>
      <c r="D302" s="598">
        <v>307.36349802644486</v>
      </c>
      <c r="E302" s="598">
        <v>239.13280408159989</v>
      </c>
      <c r="F302" s="599">
        <v>516.69957859425438</v>
      </c>
      <c r="G302" s="600">
        <v>242.98954413830876</v>
      </c>
      <c r="H302" s="598">
        <v>276.85054106300936</v>
      </c>
      <c r="I302" s="598">
        <v>212.64320409159021</v>
      </c>
      <c r="J302" s="601"/>
    </row>
    <row r="303" spans="1:10">
      <c r="A303" s="587">
        <v>13</v>
      </c>
      <c r="B303" s="616">
        <v>2759</v>
      </c>
      <c r="C303" s="610">
        <v>260</v>
      </c>
      <c r="D303" s="598">
        <v>307.39368552553066</v>
      </c>
      <c r="E303" s="598">
        <v>239.1328040816006</v>
      </c>
      <c r="F303" s="599">
        <v>517.17126969102139</v>
      </c>
      <c r="G303" s="600">
        <v>243.07844262348561</v>
      </c>
      <c r="H303" s="598">
        <v>276.85054106300936</v>
      </c>
      <c r="I303" s="598">
        <v>212.64320409159021</v>
      </c>
      <c r="J303" s="601"/>
    </row>
    <row r="304" spans="1:10">
      <c r="A304" s="587">
        <v>13</v>
      </c>
      <c r="B304" s="616">
        <v>2874</v>
      </c>
      <c r="C304" s="610">
        <v>258.89999999999998</v>
      </c>
      <c r="D304" s="598">
        <v>307.41145976273015</v>
      </c>
      <c r="E304" s="598">
        <v>239.1328040816008</v>
      </c>
      <c r="F304" s="599">
        <v>517.49119128735401</v>
      </c>
      <c r="G304" s="600">
        <v>243.13865455683577</v>
      </c>
      <c r="H304" s="598">
        <v>276.85054106300936</v>
      </c>
      <c r="I304" s="598">
        <v>212.64320409159021</v>
      </c>
      <c r="J304" s="601"/>
    </row>
    <row r="305" spans="1:11">
      <c r="A305" s="587">
        <v>13</v>
      </c>
      <c r="B305" s="616">
        <v>2978</v>
      </c>
      <c r="C305" s="610">
        <v>258.89999999999998</v>
      </c>
      <c r="D305" s="598">
        <v>307.42477917292149</v>
      </c>
      <c r="E305" s="598">
        <v>239.13280408160091</v>
      </c>
      <c r="F305" s="599">
        <v>517.75964261048784</v>
      </c>
      <c r="G305" s="600">
        <v>243.18912770740738</v>
      </c>
      <c r="H305" s="598">
        <v>276.85054106300936</v>
      </c>
      <c r="I305" s="598">
        <v>212.64320409159021</v>
      </c>
      <c r="J305" s="601"/>
    </row>
    <row r="306" spans="1:11">
      <c r="A306" s="587">
        <v>13</v>
      </c>
      <c r="B306" s="616">
        <v>3060</v>
      </c>
      <c r="C306" s="610">
        <v>258.89999999999998</v>
      </c>
      <c r="D306" s="598">
        <v>307.43375620409387</v>
      </c>
      <c r="E306" s="598">
        <v>239.13280408160094</v>
      </c>
      <c r="F306" s="599">
        <v>517.95868023880712</v>
      </c>
      <c r="G306" s="600">
        <v>243.22651957797146</v>
      </c>
      <c r="H306" s="598">
        <v>276.85054106300936</v>
      </c>
      <c r="I306" s="598">
        <v>212.64320409159021</v>
      </c>
      <c r="J306" s="601"/>
    </row>
    <row r="307" spans="1:11">
      <c r="A307" s="587">
        <v>13</v>
      </c>
      <c r="B307" s="616">
        <v>3223</v>
      </c>
      <c r="C307" s="610">
        <v>260</v>
      </c>
      <c r="D307" s="598">
        <v>307.44837338062257</v>
      </c>
      <c r="E307" s="598">
        <v>239.13280408160102</v>
      </c>
      <c r="F307" s="599">
        <v>518.32478569742</v>
      </c>
      <c r="G307" s="600">
        <v>243.29522985681811</v>
      </c>
      <c r="H307" s="598">
        <v>276.85054106300936</v>
      </c>
      <c r="I307" s="598">
        <v>212.64320409159021</v>
      </c>
      <c r="J307" s="601"/>
    </row>
    <row r="308" spans="1:11">
      <c r="A308" s="587">
        <v>13</v>
      </c>
      <c r="B308" s="616">
        <v>3309</v>
      </c>
      <c r="C308" s="610">
        <v>264.40000000000003</v>
      </c>
      <c r="D308" s="598">
        <v>307.45466736848584</v>
      </c>
      <c r="E308" s="598">
        <v>239.13280408160102</v>
      </c>
      <c r="F308" s="599">
        <v>518.50366161524948</v>
      </c>
      <c r="G308" s="600">
        <v>243.32876931928249</v>
      </c>
      <c r="H308" s="598">
        <v>276.85054106300936</v>
      </c>
      <c r="I308" s="598">
        <v>212.64320409159021</v>
      </c>
      <c r="J308" s="601"/>
    </row>
    <row r="309" spans="1:11">
      <c r="A309" s="619">
        <v>14</v>
      </c>
      <c r="B309" s="620">
        <v>8</v>
      </c>
      <c r="C309" s="621">
        <v>56.699999999999996</v>
      </c>
      <c r="D309" s="622"/>
      <c r="E309" s="622">
        <v>19.544358427899663</v>
      </c>
      <c r="F309" s="623"/>
      <c r="G309" s="624">
        <v>36.744792728176883</v>
      </c>
      <c r="H309" s="622"/>
      <c r="I309" s="622">
        <v>28.816095847712027</v>
      </c>
      <c r="J309" s="625"/>
      <c r="K309" t="s">
        <v>3774</v>
      </c>
    </row>
    <row r="310" spans="1:11">
      <c r="A310" s="585">
        <v>14</v>
      </c>
      <c r="B310" s="614">
        <v>15</v>
      </c>
      <c r="C310" s="608">
        <v>83.300000000000011</v>
      </c>
      <c r="D310" s="590"/>
      <c r="E310" s="590">
        <v>53.968575950116907</v>
      </c>
      <c r="F310" s="591"/>
      <c r="G310" s="592">
        <v>94.964458063069372</v>
      </c>
      <c r="H310" s="590"/>
      <c r="I310" s="590">
        <v>84.697868325026093</v>
      </c>
      <c r="J310" s="593"/>
    </row>
    <row r="311" spans="1:11">
      <c r="A311" s="585">
        <v>14</v>
      </c>
      <c r="B311" s="614">
        <v>22</v>
      </c>
      <c r="C311" s="608">
        <v>106.70000000000002</v>
      </c>
      <c r="D311" s="590"/>
      <c r="E311" s="590">
        <v>72.20339115748078</v>
      </c>
      <c r="F311" s="591"/>
      <c r="G311" s="592">
        <v>120.47094797307969</v>
      </c>
      <c r="H311" s="590"/>
      <c r="I311" s="590">
        <v>112.35392468870037</v>
      </c>
      <c r="J311" s="593"/>
    </row>
    <row r="312" spans="1:11">
      <c r="A312" s="585">
        <v>14</v>
      </c>
      <c r="B312" s="614">
        <v>29</v>
      </c>
      <c r="C312" s="608">
        <v>140</v>
      </c>
      <c r="D312" s="590"/>
      <c r="E312" s="590">
        <v>85.499009618905305</v>
      </c>
      <c r="F312" s="591"/>
      <c r="G312" s="592">
        <v>136.54406280920205</v>
      </c>
      <c r="H312" s="590"/>
      <c r="I312" s="590">
        <v>130.55739745671349</v>
      </c>
      <c r="J312" s="593"/>
    </row>
    <row r="313" spans="1:11">
      <c r="A313" s="585">
        <v>14</v>
      </c>
      <c r="B313" s="614">
        <v>44</v>
      </c>
      <c r="C313" s="608">
        <v>140</v>
      </c>
      <c r="D313" s="590"/>
      <c r="E313" s="590">
        <v>105.90902508113932</v>
      </c>
      <c r="F313" s="591"/>
      <c r="G313" s="592">
        <v>157.38163886899162</v>
      </c>
      <c r="H313" s="590"/>
      <c r="I313" s="590">
        <v>154.0227227910415</v>
      </c>
      <c r="J313" s="593"/>
    </row>
    <row r="314" spans="1:11">
      <c r="A314" s="585">
        <v>14</v>
      </c>
      <c r="B314" s="614">
        <v>62</v>
      </c>
      <c r="C314" s="608">
        <v>183.29999999999998</v>
      </c>
      <c r="D314" s="590"/>
      <c r="E314" s="590">
        <v>122.66952681593249</v>
      </c>
      <c r="F314" s="591"/>
      <c r="G314" s="592">
        <v>171.48094088090065</v>
      </c>
      <c r="H314" s="590"/>
      <c r="I314" s="590">
        <v>168.30583011547509</v>
      </c>
      <c r="J314" s="593"/>
    </row>
    <row r="315" spans="1:11">
      <c r="A315" s="585">
        <v>14</v>
      </c>
      <c r="B315" s="614">
        <v>74</v>
      </c>
      <c r="C315" s="608">
        <v>190</v>
      </c>
      <c r="D315" s="590"/>
      <c r="E315" s="590">
        <v>131.1054958880311</v>
      </c>
      <c r="F315" s="591"/>
      <c r="G315" s="592">
        <v>177.71420752614316</v>
      </c>
      <c r="H315" s="590"/>
      <c r="I315" s="590">
        <v>173.60229107008922</v>
      </c>
      <c r="J315" s="593"/>
    </row>
    <row r="316" spans="1:11">
      <c r="A316" s="585">
        <v>14</v>
      </c>
      <c r="B316" s="614">
        <v>95</v>
      </c>
      <c r="C316" s="608">
        <v>196.70000000000002</v>
      </c>
      <c r="D316" s="590"/>
      <c r="E316" s="590">
        <v>142.51943628068429</v>
      </c>
      <c r="F316" s="591"/>
      <c r="G316" s="592">
        <v>185.37660818012733</v>
      </c>
      <c r="H316" s="590"/>
      <c r="I316" s="590">
        <v>178.7340295355427</v>
      </c>
      <c r="J316" s="593"/>
    </row>
    <row r="317" spans="1:11">
      <c r="A317" s="586">
        <v>14</v>
      </c>
      <c r="B317" s="615">
        <v>102</v>
      </c>
      <c r="C317" s="609">
        <v>196.70000000000002</v>
      </c>
      <c r="D317" s="594"/>
      <c r="E317" s="594">
        <v>145.62356809014179</v>
      </c>
      <c r="F317" s="595"/>
      <c r="G317" s="596">
        <v>187.32645744920961</v>
      </c>
      <c r="H317" s="594"/>
      <c r="I317" s="594">
        <v>179.7427757673702</v>
      </c>
      <c r="J317" s="597"/>
    </row>
    <row r="318" spans="1:11">
      <c r="A318" s="586">
        <v>14</v>
      </c>
      <c r="B318" s="615">
        <v>110</v>
      </c>
      <c r="C318" s="609">
        <v>183.29999999999998</v>
      </c>
      <c r="D318" s="594"/>
      <c r="E318" s="594">
        <v>148.83569352026265</v>
      </c>
      <c r="F318" s="595"/>
      <c r="G318" s="596">
        <v>189.29095212298489</v>
      </c>
      <c r="H318" s="594"/>
      <c r="I318" s="594">
        <v>180.62455905913737</v>
      </c>
      <c r="J318" s="597"/>
    </row>
    <row r="319" spans="1:11">
      <c r="A319" s="586">
        <v>14</v>
      </c>
      <c r="B319" s="615">
        <v>123</v>
      </c>
      <c r="C319" s="609">
        <v>163.30000000000001</v>
      </c>
      <c r="D319" s="594"/>
      <c r="E319" s="594">
        <v>153.41050028655727</v>
      </c>
      <c r="F319" s="595"/>
      <c r="G319" s="596">
        <v>192.00383425117695</v>
      </c>
      <c r="H319" s="594"/>
      <c r="I319" s="594">
        <v>181.61515949662893</v>
      </c>
      <c r="J319" s="597"/>
    </row>
    <row r="320" spans="1:11">
      <c r="A320" s="586">
        <v>14</v>
      </c>
      <c r="B320" s="615">
        <v>130</v>
      </c>
      <c r="C320" s="609">
        <v>160</v>
      </c>
      <c r="D320" s="594"/>
      <c r="E320" s="594">
        <v>155.59221685757973</v>
      </c>
      <c r="F320" s="595"/>
      <c r="G320" s="596">
        <v>193.26584856743736</v>
      </c>
      <c r="H320" s="594"/>
      <c r="I320" s="594">
        <v>181.98656592458977</v>
      </c>
      <c r="J320" s="597"/>
    </row>
    <row r="321" spans="1:10">
      <c r="A321" s="586">
        <v>14</v>
      </c>
      <c r="B321" s="615">
        <v>137</v>
      </c>
      <c r="C321" s="609">
        <v>163.30000000000001</v>
      </c>
      <c r="D321" s="594"/>
      <c r="E321" s="594">
        <v>157.60390224502387</v>
      </c>
      <c r="F321" s="595"/>
      <c r="G321" s="596">
        <v>194.41321773895902</v>
      </c>
      <c r="H321" s="594"/>
      <c r="I321" s="594">
        <v>182.27628766130826</v>
      </c>
      <c r="J321" s="597"/>
    </row>
    <row r="322" spans="1:10">
      <c r="A322" s="586">
        <v>14</v>
      </c>
      <c r="B322" s="615">
        <v>144</v>
      </c>
      <c r="C322" s="609">
        <v>176.70000000000002</v>
      </c>
      <c r="D322" s="594"/>
      <c r="E322" s="594">
        <v>159.46310022862147</v>
      </c>
      <c r="F322" s="595"/>
      <c r="G322" s="596">
        <v>195.46093800816192</v>
      </c>
      <c r="H322" s="594"/>
      <c r="I322" s="594">
        <v>182.5023640923194</v>
      </c>
      <c r="J322" s="597"/>
    </row>
    <row r="323" spans="1:10">
      <c r="A323" s="586">
        <v>14</v>
      </c>
      <c r="B323" s="615">
        <v>151</v>
      </c>
      <c r="C323" s="609">
        <v>190</v>
      </c>
      <c r="D323" s="594"/>
      <c r="E323" s="594">
        <v>161.18502586388647</v>
      </c>
      <c r="F323" s="595"/>
      <c r="G323" s="596">
        <v>196.4214909178292</v>
      </c>
      <c r="H323" s="594"/>
      <c r="I323" s="594">
        <v>182.67882165327018</v>
      </c>
      <c r="J323" s="597"/>
    </row>
    <row r="324" spans="1:10">
      <c r="A324" s="586">
        <v>14</v>
      </c>
      <c r="B324" s="615">
        <v>158</v>
      </c>
      <c r="C324" s="609">
        <v>179.99999999999997</v>
      </c>
      <c r="D324" s="594"/>
      <c r="E324" s="594">
        <v>162.78295057679631</v>
      </c>
      <c r="F324" s="595"/>
      <c r="G324" s="596">
        <v>197.30535085533765</v>
      </c>
      <c r="H324" s="594"/>
      <c r="I324" s="594">
        <v>182.81657794433423</v>
      </c>
      <c r="J324" s="597"/>
    </row>
    <row r="325" spans="1:10">
      <c r="A325" s="586">
        <v>14</v>
      </c>
      <c r="B325" s="615">
        <v>165</v>
      </c>
      <c r="C325" s="609">
        <v>183.29999999999998</v>
      </c>
      <c r="D325" s="594"/>
      <c r="E325" s="594">
        <v>164.26851046601033</v>
      </c>
      <c r="F325" s="595"/>
      <c r="G325" s="596">
        <v>198.12137407409065</v>
      </c>
      <c r="H325" s="594"/>
      <c r="I325" s="594">
        <v>182.9241376800328</v>
      </c>
      <c r="J325" s="597"/>
    </row>
    <row r="326" spans="1:10">
      <c r="A326" s="586">
        <v>14</v>
      </c>
      <c r="B326" s="615">
        <v>172</v>
      </c>
      <c r="C326" s="609">
        <v>173.3</v>
      </c>
      <c r="D326" s="594"/>
      <c r="E326" s="594">
        <v>165.6519557243883</v>
      </c>
      <c r="F326" s="595"/>
      <c r="G326" s="596">
        <v>198.8771003649295</v>
      </c>
      <c r="H326" s="594"/>
      <c r="I326" s="594">
        <v>183.0081301423493</v>
      </c>
      <c r="J326" s="597"/>
    </row>
    <row r="327" spans="1:10">
      <c r="A327" s="586">
        <v>14</v>
      </c>
      <c r="B327" s="615">
        <v>179</v>
      </c>
      <c r="C327" s="609">
        <v>170.00000000000003</v>
      </c>
      <c r="D327" s="594"/>
      <c r="E327" s="594">
        <v>166.94235433253107</v>
      </c>
      <c r="F327" s="595"/>
      <c r="G327" s="596">
        <v>199.57898949422892</v>
      </c>
      <c r="H327" s="594"/>
      <c r="I327" s="594">
        <v>183.07372528487335</v>
      </c>
      <c r="J327" s="597"/>
    </row>
    <row r="328" spans="1:10">
      <c r="A328" s="586">
        <v>14</v>
      </c>
      <c r="B328" s="615">
        <v>240</v>
      </c>
      <c r="C328" s="609">
        <v>176.70000000000002</v>
      </c>
      <c r="D328" s="594"/>
      <c r="E328" s="594">
        <v>175.25064450338201</v>
      </c>
      <c r="F328" s="595"/>
      <c r="G328" s="596">
        <v>204.08123780272996</v>
      </c>
      <c r="H328" s="594"/>
      <c r="I328" s="594">
        <v>183.28059005714411</v>
      </c>
      <c r="J328" s="597"/>
    </row>
    <row r="329" spans="1:10">
      <c r="A329" s="586">
        <v>14</v>
      </c>
      <c r="B329" s="615">
        <v>301</v>
      </c>
      <c r="C329" s="609">
        <v>213.3</v>
      </c>
      <c r="D329" s="594"/>
      <c r="E329" s="594">
        <v>180.23129633992107</v>
      </c>
      <c r="F329" s="595"/>
      <c r="G329" s="596">
        <v>206.86077593026459</v>
      </c>
      <c r="H329" s="594"/>
      <c r="I329" s="594">
        <v>183.30463844763068</v>
      </c>
      <c r="J329" s="597"/>
    </row>
    <row r="330" spans="1:10">
      <c r="A330" s="586">
        <v>14</v>
      </c>
      <c r="B330" s="615">
        <v>363</v>
      </c>
      <c r="C330" s="609">
        <v>206.70000000000002</v>
      </c>
      <c r="D330" s="594"/>
      <c r="E330" s="594">
        <v>183.44677220400098</v>
      </c>
      <c r="F330" s="595"/>
      <c r="G330" s="596">
        <v>208.77395492897969</v>
      </c>
      <c r="H330" s="594"/>
      <c r="I330" s="594">
        <v>183.30744814536774</v>
      </c>
      <c r="J330" s="597"/>
    </row>
    <row r="331" spans="1:10">
      <c r="A331" s="586">
        <v>14</v>
      </c>
      <c r="B331" s="615">
        <v>422</v>
      </c>
      <c r="C331" s="609">
        <v>206.70000000000002</v>
      </c>
      <c r="D331" s="594"/>
      <c r="E331" s="594">
        <v>185.49040875547078</v>
      </c>
      <c r="F331" s="595"/>
      <c r="G331" s="596">
        <v>210.09409848640149</v>
      </c>
      <c r="H331" s="594"/>
      <c r="I331" s="594">
        <v>183.30775916476873</v>
      </c>
      <c r="J331" s="597"/>
    </row>
    <row r="332" spans="1:10">
      <c r="A332" s="586">
        <v>14</v>
      </c>
      <c r="B332" s="615">
        <v>483</v>
      </c>
      <c r="C332" s="609">
        <v>200</v>
      </c>
      <c r="D332" s="594"/>
      <c r="E332" s="594">
        <v>186.95587399833192</v>
      </c>
      <c r="F332" s="595"/>
      <c r="G332" s="596">
        <v>211.13224882483854</v>
      </c>
      <c r="H332" s="594"/>
      <c r="I332" s="594">
        <v>183.30779836094018</v>
      </c>
      <c r="J332" s="597"/>
    </row>
    <row r="333" spans="1:10">
      <c r="A333" s="587">
        <v>14</v>
      </c>
      <c r="B333" s="616">
        <v>544</v>
      </c>
      <c r="C333" s="610">
        <v>176.70000000000002</v>
      </c>
      <c r="D333" s="598"/>
      <c r="E333" s="598">
        <v>187.99332163219322</v>
      </c>
      <c r="F333" s="599"/>
      <c r="G333" s="600">
        <v>211.94517121958046</v>
      </c>
      <c r="H333" s="598"/>
      <c r="I333" s="598">
        <v>183.30780291991002</v>
      </c>
      <c r="J333" s="601"/>
    </row>
    <row r="334" spans="1:10">
      <c r="A334" s="587">
        <v>14</v>
      </c>
      <c r="B334" s="616">
        <v>605</v>
      </c>
      <c r="C334" s="610">
        <v>203.29999999999998</v>
      </c>
      <c r="D334" s="598"/>
      <c r="E334" s="598">
        <v>188.7444498207899</v>
      </c>
      <c r="F334" s="599"/>
      <c r="G334" s="600">
        <v>212.59900162670979</v>
      </c>
      <c r="H334" s="598"/>
      <c r="I334" s="598">
        <v>183.30780345017121</v>
      </c>
      <c r="J334" s="601"/>
    </row>
    <row r="335" spans="1:10">
      <c r="A335" s="587">
        <v>14</v>
      </c>
      <c r="B335" s="616">
        <v>666</v>
      </c>
      <c r="C335" s="610">
        <v>196.70000000000002</v>
      </c>
      <c r="D335" s="598"/>
      <c r="E335" s="598">
        <v>189.29863363275973</v>
      </c>
      <c r="F335" s="599"/>
      <c r="G335" s="600">
        <v>213.13628692624303</v>
      </c>
      <c r="H335" s="598"/>
      <c r="I335" s="598">
        <v>183.30780351184674</v>
      </c>
      <c r="J335" s="601"/>
    </row>
    <row r="336" spans="1:10">
      <c r="A336" s="587">
        <v>14</v>
      </c>
      <c r="B336" s="616">
        <v>728</v>
      </c>
      <c r="C336" s="610">
        <v>193.3</v>
      </c>
      <c r="D336" s="598"/>
      <c r="E336" s="598">
        <v>189.7200467407842</v>
      </c>
      <c r="F336" s="599"/>
      <c r="G336" s="600">
        <v>213.59239701964657</v>
      </c>
      <c r="H336" s="598"/>
      <c r="I336" s="598">
        <v>183.30780351905304</v>
      </c>
      <c r="J336" s="601"/>
    </row>
    <row r="337" spans="1:10">
      <c r="A337" s="587">
        <v>14</v>
      </c>
      <c r="B337" s="616">
        <v>788</v>
      </c>
      <c r="C337" s="610">
        <v>203.29999999999998</v>
      </c>
      <c r="D337" s="598"/>
      <c r="E337" s="598">
        <v>190.03007751338149</v>
      </c>
      <c r="F337" s="599"/>
      <c r="G337" s="600">
        <v>213.96702298826145</v>
      </c>
      <c r="H337" s="598"/>
      <c r="I337" s="598">
        <v>183.3078035198547</v>
      </c>
      <c r="J337" s="601"/>
    </row>
    <row r="338" spans="1:10">
      <c r="A338" s="587">
        <v>14</v>
      </c>
      <c r="B338" s="616">
        <v>1142</v>
      </c>
      <c r="C338" s="610">
        <v>207.79999999999998</v>
      </c>
      <c r="D338" s="598"/>
      <c r="E338" s="598">
        <v>190.88492158055985</v>
      </c>
      <c r="F338" s="599"/>
      <c r="G338" s="600">
        <v>215.38883829562189</v>
      </c>
      <c r="H338" s="598"/>
      <c r="I338" s="598">
        <v>183.30780351996452</v>
      </c>
      <c r="J338" s="601"/>
    </row>
    <row r="339" spans="1:10">
      <c r="A339" s="587">
        <v>14</v>
      </c>
      <c r="B339" s="616">
        <v>1170</v>
      </c>
      <c r="C339" s="610">
        <v>203.29999999999998</v>
      </c>
      <c r="D339" s="598"/>
      <c r="E339" s="598">
        <v>190.9158847734987</v>
      </c>
      <c r="F339" s="599"/>
      <c r="G339" s="600">
        <v>215.46515453295825</v>
      </c>
      <c r="H339" s="598"/>
      <c r="I339" s="598">
        <v>183.30780351996452</v>
      </c>
      <c r="J339" s="601"/>
    </row>
    <row r="340" spans="1:10">
      <c r="A340" s="587">
        <v>14</v>
      </c>
      <c r="B340" s="616">
        <v>1231</v>
      </c>
      <c r="C340" s="610">
        <v>210</v>
      </c>
      <c r="D340" s="598"/>
      <c r="E340" s="598">
        <v>190.97391378891641</v>
      </c>
      <c r="F340" s="599"/>
      <c r="G340" s="600">
        <v>215.61957350585601</v>
      </c>
      <c r="H340" s="598"/>
      <c r="I340" s="598">
        <v>183.30780351996452</v>
      </c>
      <c r="J340" s="601"/>
    </row>
    <row r="341" spans="1:10">
      <c r="A341" s="587">
        <v>14</v>
      </c>
      <c r="B341" s="616">
        <v>1296</v>
      </c>
      <c r="C341" s="610">
        <v>206.70000000000002</v>
      </c>
      <c r="D341" s="598"/>
      <c r="E341" s="598">
        <v>191.02404119325442</v>
      </c>
      <c r="F341" s="599"/>
      <c r="G341" s="600">
        <v>215.76834749767858</v>
      </c>
      <c r="H341" s="598"/>
      <c r="I341" s="598">
        <v>183.30780351996452</v>
      </c>
      <c r="J341" s="601"/>
    </row>
    <row r="342" spans="1:10">
      <c r="A342" s="587">
        <v>14</v>
      </c>
      <c r="B342" s="616">
        <v>1370</v>
      </c>
      <c r="C342" s="610">
        <v>201.7</v>
      </c>
      <c r="D342" s="598"/>
      <c r="E342" s="598">
        <v>191.06963180967261</v>
      </c>
      <c r="F342" s="599"/>
      <c r="G342" s="600">
        <v>215.92076691142515</v>
      </c>
      <c r="H342" s="598"/>
      <c r="I342" s="598">
        <v>183.30780351996452</v>
      </c>
      <c r="J342" s="601"/>
    </row>
    <row r="343" spans="1:10">
      <c r="A343" s="587">
        <v>14</v>
      </c>
      <c r="B343" s="616">
        <v>1429</v>
      </c>
      <c r="C343" s="610">
        <v>201.10000000000002</v>
      </c>
      <c r="D343" s="598"/>
      <c r="E343" s="598">
        <v>191.09908726561522</v>
      </c>
      <c r="F343" s="599"/>
      <c r="G343" s="600">
        <v>216.03112566895999</v>
      </c>
      <c r="H343" s="598"/>
      <c r="I343" s="598">
        <v>183.30780351996452</v>
      </c>
      <c r="J343" s="601"/>
    </row>
    <row r="344" spans="1:10">
      <c r="A344" s="587">
        <v>14</v>
      </c>
      <c r="B344" s="616">
        <v>1528</v>
      </c>
      <c r="C344" s="610">
        <v>194.4</v>
      </c>
      <c r="D344" s="598"/>
      <c r="E344" s="598">
        <v>191.13800889769271</v>
      </c>
      <c r="F344" s="599"/>
      <c r="G344" s="600">
        <v>216.19738676851654</v>
      </c>
      <c r="H344" s="598"/>
      <c r="I344" s="598">
        <v>183.30780351996452</v>
      </c>
      <c r="J344" s="601"/>
    </row>
    <row r="345" spans="1:10">
      <c r="A345" s="587">
        <v>14</v>
      </c>
      <c r="B345" s="616">
        <v>1619</v>
      </c>
      <c r="C345" s="610">
        <v>193.3</v>
      </c>
      <c r="D345" s="598"/>
      <c r="E345" s="598">
        <v>191.16499468706067</v>
      </c>
      <c r="F345" s="599"/>
      <c r="G345" s="600">
        <v>216.33248184516819</v>
      </c>
      <c r="H345" s="598"/>
      <c r="I345" s="598">
        <v>183.30780351996452</v>
      </c>
      <c r="J345" s="601"/>
    </row>
    <row r="346" spans="1:10">
      <c r="A346" s="587">
        <v>14</v>
      </c>
      <c r="B346" s="616">
        <v>1711</v>
      </c>
      <c r="C346" s="610">
        <v>191.1</v>
      </c>
      <c r="D346" s="598"/>
      <c r="E346" s="598">
        <v>191.18598675248953</v>
      </c>
      <c r="F346" s="599"/>
      <c r="G346" s="600">
        <v>216.45461123507744</v>
      </c>
      <c r="H346" s="598"/>
      <c r="I346" s="598">
        <v>183.30780351996452</v>
      </c>
      <c r="J346" s="601"/>
    </row>
    <row r="347" spans="1:10">
      <c r="A347" s="587">
        <v>14</v>
      </c>
      <c r="B347" s="616">
        <v>1803</v>
      </c>
      <c r="C347" s="610">
        <v>182.20000000000002</v>
      </c>
      <c r="D347" s="598"/>
      <c r="E347" s="598">
        <v>191.20224326553</v>
      </c>
      <c r="F347" s="599"/>
      <c r="G347" s="600">
        <v>216.56440480625506</v>
      </c>
      <c r="H347" s="598"/>
      <c r="I347" s="598">
        <v>183.30780351996452</v>
      </c>
      <c r="J347" s="601"/>
    </row>
    <row r="348" spans="1:10">
      <c r="A348" s="587">
        <v>14</v>
      </c>
      <c r="B348" s="616">
        <v>1934</v>
      </c>
      <c r="C348" s="610">
        <v>174.4</v>
      </c>
      <c r="D348" s="598"/>
      <c r="E348" s="598">
        <v>191.21943848547704</v>
      </c>
      <c r="F348" s="599"/>
      <c r="G348" s="600">
        <v>216.70288734945746</v>
      </c>
      <c r="H348" s="598"/>
      <c r="I348" s="598">
        <v>183.30780351996452</v>
      </c>
      <c r="J348" s="601"/>
    </row>
    <row r="349" spans="1:10">
      <c r="A349" s="587">
        <v>14</v>
      </c>
      <c r="B349" s="616">
        <v>2025</v>
      </c>
      <c r="C349" s="610">
        <v>181.10000000000002</v>
      </c>
      <c r="D349" s="598"/>
      <c r="E349" s="598">
        <v>191.22835906481657</v>
      </c>
      <c r="F349" s="599"/>
      <c r="G349" s="600">
        <v>216.78863544137283</v>
      </c>
      <c r="H349" s="598"/>
      <c r="I349" s="598">
        <v>183.30780351996452</v>
      </c>
      <c r="J349" s="601"/>
    </row>
    <row r="350" spans="1:10">
      <c r="A350" s="587">
        <v>14</v>
      </c>
      <c r="B350" s="616">
        <v>2128</v>
      </c>
      <c r="C350" s="610">
        <v>175.6</v>
      </c>
      <c r="D350" s="598"/>
      <c r="E350" s="598">
        <v>191.23626438807941</v>
      </c>
      <c r="F350" s="599"/>
      <c r="G350" s="600">
        <v>216.87691990872327</v>
      </c>
      <c r="H350" s="598"/>
      <c r="I350" s="598">
        <v>183.30780351996452</v>
      </c>
      <c r="J350" s="601"/>
    </row>
    <row r="351" spans="1:10">
      <c r="A351" s="587">
        <v>14</v>
      </c>
      <c r="B351" s="616">
        <v>2226</v>
      </c>
      <c r="C351" s="610">
        <v>174.4</v>
      </c>
      <c r="D351" s="598"/>
      <c r="E351" s="598">
        <v>191.24213417301098</v>
      </c>
      <c r="F351" s="599"/>
      <c r="G351" s="600">
        <v>216.95339709983222</v>
      </c>
      <c r="H351" s="598"/>
      <c r="I351" s="598">
        <v>183.30780351996452</v>
      </c>
      <c r="J351" s="601"/>
    </row>
    <row r="352" spans="1:10">
      <c r="A352" s="587">
        <v>14</v>
      </c>
      <c r="B352" s="616">
        <v>2332</v>
      </c>
      <c r="C352" s="610">
        <v>166.70000000000002</v>
      </c>
      <c r="D352" s="598"/>
      <c r="E352" s="598">
        <v>191.24710551086207</v>
      </c>
      <c r="F352" s="599"/>
      <c r="G352" s="600">
        <v>217.0289386502954</v>
      </c>
      <c r="H352" s="598"/>
      <c r="I352" s="598">
        <v>183.30780351996452</v>
      </c>
      <c r="J352" s="601"/>
    </row>
    <row r="353" spans="1:10">
      <c r="A353" s="587">
        <v>14</v>
      </c>
      <c r="B353" s="616">
        <v>2495</v>
      </c>
      <c r="C353" s="610">
        <v>170.00000000000003</v>
      </c>
      <c r="D353" s="598"/>
      <c r="E353" s="598">
        <v>191.25271020910472</v>
      </c>
      <c r="F353" s="599"/>
      <c r="G353" s="600">
        <v>217.13267062194436</v>
      </c>
      <c r="H353" s="598"/>
      <c r="I353" s="598">
        <v>183.30780351996452</v>
      </c>
      <c r="J353" s="601"/>
    </row>
    <row r="354" spans="1:10">
      <c r="A354" s="587">
        <v>14</v>
      </c>
      <c r="B354" s="616">
        <v>2605</v>
      </c>
      <c r="C354" s="610">
        <v>170.00000000000003</v>
      </c>
      <c r="D354" s="598"/>
      <c r="E354" s="598">
        <v>191.25547705659517</v>
      </c>
      <c r="F354" s="599"/>
      <c r="G354" s="600">
        <v>217.19538988780207</v>
      </c>
      <c r="H354" s="598"/>
      <c r="I354" s="598">
        <v>183.30780351996452</v>
      </c>
      <c r="J354" s="601"/>
    </row>
    <row r="355" spans="1:10">
      <c r="A355" s="587">
        <v>14</v>
      </c>
      <c r="B355" s="616">
        <v>2759</v>
      </c>
      <c r="C355" s="610">
        <v>173.3</v>
      </c>
      <c r="D355" s="598"/>
      <c r="E355" s="598">
        <v>191.25838141978232</v>
      </c>
      <c r="F355" s="599"/>
      <c r="G355" s="600">
        <v>217.27485150092167</v>
      </c>
      <c r="H355" s="598"/>
      <c r="I355" s="598">
        <v>183.30780351996452</v>
      </c>
      <c r="J355" s="601"/>
    </row>
    <row r="356" spans="1:10">
      <c r="A356" s="587">
        <v>14</v>
      </c>
      <c r="B356" s="616">
        <v>2874</v>
      </c>
      <c r="C356" s="610">
        <v>167.79999999999998</v>
      </c>
      <c r="D356" s="598"/>
      <c r="E356" s="598">
        <v>191.26000378296217</v>
      </c>
      <c r="F356" s="599"/>
      <c r="G356" s="600">
        <v>217.3286717358057</v>
      </c>
      <c r="H356" s="598"/>
      <c r="I356" s="598">
        <v>183.30780351996452</v>
      </c>
      <c r="J356" s="601"/>
    </row>
    <row r="357" spans="1:10">
      <c r="A357" s="587">
        <v>14</v>
      </c>
      <c r="B357" s="616">
        <v>2978</v>
      </c>
      <c r="C357" s="610">
        <v>168.89999999999998</v>
      </c>
      <c r="D357" s="598"/>
      <c r="E357" s="598">
        <v>191.26117008723952</v>
      </c>
      <c r="F357" s="599"/>
      <c r="G357" s="600">
        <v>217.37378699233304</v>
      </c>
      <c r="H357" s="598"/>
      <c r="I357" s="598">
        <v>183.30780351996452</v>
      </c>
      <c r="J357" s="601"/>
    </row>
    <row r="358" spans="1:10">
      <c r="A358" s="587">
        <v>14</v>
      </c>
      <c r="B358" s="616">
        <v>3060</v>
      </c>
      <c r="C358" s="610">
        <v>168.89999999999998</v>
      </c>
      <c r="D358" s="598"/>
      <c r="E358" s="598">
        <v>191.26192929961579</v>
      </c>
      <c r="F358" s="599"/>
      <c r="G358" s="600">
        <v>217.40720959055471</v>
      </c>
      <c r="H358" s="598"/>
      <c r="I358" s="598">
        <v>183.30780351996452</v>
      </c>
      <c r="J358" s="601"/>
    </row>
    <row r="359" spans="1:10">
      <c r="A359" s="587">
        <v>14</v>
      </c>
      <c r="B359" s="616">
        <v>3223</v>
      </c>
      <c r="C359" s="610">
        <v>170.00000000000003</v>
      </c>
      <c r="D359" s="598"/>
      <c r="E359" s="598">
        <v>191.26311286867968</v>
      </c>
      <c r="F359" s="599"/>
      <c r="G359" s="600">
        <v>217.46862604308694</v>
      </c>
      <c r="H359" s="598"/>
      <c r="I359" s="598">
        <v>183.30780351996452</v>
      </c>
      <c r="J359" s="601"/>
    </row>
    <row r="360" spans="1:10">
      <c r="A360" s="587">
        <v>14</v>
      </c>
      <c r="B360" s="616">
        <v>3309</v>
      </c>
      <c r="C360" s="610">
        <v>170.00000000000003</v>
      </c>
      <c r="D360" s="598"/>
      <c r="E360" s="598">
        <v>191.26359979531915</v>
      </c>
      <c r="F360" s="599"/>
      <c r="G360" s="600">
        <v>217.49860517923625</v>
      </c>
      <c r="H360" s="598"/>
      <c r="I360" s="598">
        <v>183.30780351996452</v>
      </c>
      <c r="J360" s="601"/>
    </row>
    <row r="361" spans="1:10">
      <c r="A361" s="619">
        <v>15</v>
      </c>
      <c r="B361" s="620">
        <v>7</v>
      </c>
      <c r="C361" s="621">
        <v>13.3</v>
      </c>
      <c r="D361" s="622"/>
      <c r="E361" s="622"/>
      <c r="F361" s="623"/>
      <c r="G361" s="624"/>
      <c r="H361" s="622"/>
      <c r="I361" s="622"/>
      <c r="J361" s="625"/>
    </row>
    <row r="362" spans="1:10">
      <c r="A362" s="585">
        <v>15</v>
      </c>
      <c r="B362" s="614">
        <v>14</v>
      </c>
      <c r="C362" s="608">
        <v>60</v>
      </c>
      <c r="D362" s="590">
        <v>65.966144723751057</v>
      </c>
      <c r="E362" s="590">
        <v>132.49906471227101</v>
      </c>
      <c r="F362" s="591">
        <v>142.97635730462096</v>
      </c>
      <c r="G362" s="592">
        <v>79.221273184247579</v>
      </c>
      <c r="H362" s="590">
        <v>65.084959731118389</v>
      </c>
      <c r="I362" s="590">
        <v>70.411821230506362</v>
      </c>
      <c r="J362" s="593"/>
    </row>
    <row r="363" spans="1:10">
      <c r="A363" s="585">
        <v>15</v>
      </c>
      <c r="B363" s="614">
        <v>22</v>
      </c>
      <c r="C363" s="608">
        <v>60</v>
      </c>
      <c r="D363" s="590">
        <v>94.891350781255866</v>
      </c>
      <c r="E363" s="590">
        <v>161.34175212830684</v>
      </c>
      <c r="F363" s="591">
        <v>200.96240023252926</v>
      </c>
      <c r="G363" s="592">
        <v>106.16380169190118</v>
      </c>
      <c r="H363" s="590">
        <v>131.31782238591808</v>
      </c>
      <c r="I363" s="590">
        <v>99.596628809619958</v>
      </c>
      <c r="J363" s="593"/>
    </row>
    <row r="364" spans="1:10">
      <c r="A364" s="585">
        <v>15</v>
      </c>
      <c r="B364" s="614">
        <v>28</v>
      </c>
      <c r="C364" s="608">
        <v>80</v>
      </c>
      <c r="D364" s="590">
        <v>110.84543579042271</v>
      </c>
      <c r="E364" s="590">
        <v>171.02231421964512</v>
      </c>
      <c r="F364" s="591">
        <v>231.11380652746081</v>
      </c>
      <c r="G364" s="592">
        <v>118.61778836112869</v>
      </c>
      <c r="H364" s="590">
        <v>168.55647096754095</v>
      </c>
      <c r="I364" s="590">
        <v>113.76983803137141</v>
      </c>
      <c r="J364" s="593"/>
    </row>
    <row r="365" spans="1:10">
      <c r="A365" s="585">
        <v>15</v>
      </c>
      <c r="B365" s="614">
        <v>36</v>
      </c>
      <c r="C365" s="608">
        <v>86.700000000000017</v>
      </c>
      <c r="D365" s="590">
        <v>128.09466851451751</v>
      </c>
      <c r="E365" s="590">
        <v>178.00405552333055</v>
      </c>
      <c r="F365" s="591">
        <v>262.10007704165474</v>
      </c>
      <c r="G365" s="592">
        <v>130.30173749654028</v>
      </c>
      <c r="H365" s="590">
        <v>204.5027665278358</v>
      </c>
      <c r="I365" s="590">
        <v>127.15681843121175</v>
      </c>
      <c r="J365" s="593"/>
    </row>
    <row r="366" spans="1:10">
      <c r="A366" s="585">
        <v>15</v>
      </c>
      <c r="B366" s="614">
        <v>42</v>
      </c>
      <c r="C366" s="608">
        <v>86.700000000000017</v>
      </c>
      <c r="D366" s="590">
        <v>139.00187788861129</v>
      </c>
      <c r="E366" s="590">
        <v>181.04117786668644</v>
      </c>
      <c r="F366" s="591">
        <v>280.79999140177631</v>
      </c>
      <c r="G366" s="592">
        <v>136.82031640931368</v>
      </c>
      <c r="H366" s="590">
        <v>223.61110228985368</v>
      </c>
      <c r="I366" s="590">
        <v>134.47831246645387</v>
      </c>
      <c r="J366" s="593"/>
    </row>
    <row r="367" spans="1:10">
      <c r="A367" s="585">
        <v>15</v>
      </c>
      <c r="B367" s="614">
        <v>60</v>
      </c>
      <c r="C367" s="608">
        <v>150</v>
      </c>
      <c r="D367" s="590">
        <v>165.056076554051</v>
      </c>
      <c r="E367" s="590">
        <v>185.42368837594975</v>
      </c>
      <c r="F367" s="591">
        <v>322.64941722564265</v>
      </c>
      <c r="G367" s="592">
        <v>150.03049341899455</v>
      </c>
      <c r="H367" s="590">
        <v>255.86470419571751</v>
      </c>
      <c r="I367" s="590">
        <v>148.18546760513044</v>
      </c>
      <c r="J367" s="593"/>
    </row>
    <row r="368" spans="1:10">
      <c r="A368" s="585">
        <v>15</v>
      </c>
      <c r="B368" s="614">
        <v>72</v>
      </c>
      <c r="C368" s="608">
        <v>160</v>
      </c>
      <c r="D368" s="590">
        <v>178.66821155467244</v>
      </c>
      <c r="E368" s="590">
        <v>186.6521864619732</v>
      </c>
      <c r="F368" s="591">
        <v>342.9674218764336</v>
      </c>
      <c r="G368" s="592">
        <v>155.7977846358765</v>
      </c>
      <c r="H368" s="590">
        <v>265.61941633718266</v>
      </c>
      <c r="I368" s="590">
        <v>153.24628110720002</v>
      </c>
      <c r="J368" s="593"/>
    </row>
    <row r="369" spans="1:10">
      <c r="A369" s="585">
        <v>15</v>
      </c>
      <c r="B369" s="614">
        <v>93</v>
      </c>
      <c r="C369" s="608">
        <v>150</v>
      </c>
      <c r="D369" s="590">
        <v>197.81673015411295</v>
      </c>
      <c r="E369" s="590">
        <v>187.65894017797436</v>
      </c>
      <c r="F369" s="591">
        <v>369.85423709181651</v>
      </c>
      <c r="G369" s="592">
        <v>162.82998186261801</v>
      </c>
      <c r="H369" s="590">
        <v>273.10233532926742</v>
      </c>
      <c r="I369" s="590">
        <v>158.13990747643797</v>
      </c>
      <c r="J369" s="593"/>
    </row>
    <row r="370" spans="1:10">
      <c r="A370" s="586">
        <v>15</v>
      </c>
      <c r="B370" s="615">
        <v>100</v>
      </c>
      <c r="C370" s="609">
        <v>146.70000000000002</v>
      </c>
      <c r="D370" s="594">
        <v>203.20271243603136</v>
      </c>
      <c r="E370" s="594">
        <v>187.83766245088759</v>
      </c>
      <c r="F370" s="595">
        <v>377.08042117638348</v>
      </c>
      <c r="G370" s="596">
        <v>164.60965655586782</v>
      </c>
      <c r="H370" s="594">
        <v>274.25183667339746</v>
      </c>
      <c r="I370" s="594">
        <v>159.10078722175143</v>
      </c>
      <c r="J370" s="597"/>
    </row>
    <row r="371" spans="1:10">
      <c r="A371" s="586">
        <v>15</v>
      </c>
      <c r="B371" s="615">
        <v>121</v>
      </c>
      <c r="C371" s="609">
        <v>133.29999999999998</v>
      </c>
      <c r="D371" s="594">
        <v>217.12950025074775</v>
      </c>
      <c r="E371" s="594">
        <v>188.15751629757997</v>
      </c>
      <c r="F371" s="595">
        <v>395.13546650477286</v>
      </c>
      <c r="G371" s="596">
        <v>168.86296237235237</v>
      </c>
      <c r="H371" s="594">
        <v>275.98496252102467</v>
      </c>
      <c r="I371" s="594">
        <v>160.88344079318503</v>
      </c>
      <c r="J371" s="597"/>
    </row>
    <row r="372" spans="1:10">
      <c r="A372" s="586">
        <v>15</v>
      </c>
      <c r="B372" s="615">
        <v>128</v>
      </c>
      <c r="C372" s="609">
        <v>120</v>
      </c>
      <c r="D372" s="594">
        <v>221.15373229397369</v>
      </c>
      <c r="E372" s="594">
        <v>188.22035782966796</v>
      </c>
      <c r="F372" s="595">
        <v>400.19417945676696</v>
      </c>
      <c r="G372" s="596">
        <v>170.00676776647441</v>
      </c>
      <c r="H372" s="594">
        <v>276.2505967210123</v>
      </c>
      <c r="I372" s="594">
        <v>161.23691440173661</v>
      </c>
      <c r="J372" s="597"/>
    </row>
    <row r="373" spans="1:10">
      <c r="A373" s="586">
        <v>15</v>
      </c>
      <c r="B373" s="615">
        <v>135</v>
      </c>
      <c r="C373" s="609">
        <v>126.70000000000002</v>
      </c>
      <c r="D373" s="594">
        <v>224.91849751802468</v>
      </c>
      <c r="E373" s="594">
        <v>188.26984745062776</v>
      </c>
      <c r="F373" s="595">
        <v>404.86707484187741</v>
      </c>
      <c r="G373" s="596">
        <v>171.04528217530773</v>
      </c>
      <c r="H373" s="594">
        <v>276.43472273461293</v>
      </c>
      <c r="I373" s="594">
        <v>161.51261699306212</v>
      </c>
      <c r="J373" s="597"/>
    </row>
    <row r="374" spans="1:10">
      <c r="A374" s="586">
        <v>15</v>
      </c>
      <c r="B374" s="615">
        <v>142</v>
      </c>
      <c r="C374" s="609">
        <v>150</v>
      </c>
      <c r="D374" s="594">
        <v>228.44760150680835</v>
      </c>
      <c r="E374" s="594">
        <v>188.30911027945987</v>
      </c>
      <c r="F374" s="595">
        <v>409.19751621161123</v>
      </c>
      <c r="G374" s="596">
        <v>171.99245507644326</v>
      </c>
      <c r="H374" s="594">
        <v>276.56234495432415</v>
      </c>
      <c r="I374" s="594">
        <v>161.72773557933891</v>
      </c>
      <c r="J374" s="597"/>
    </row>
    <row r="375" spans="1:10">
      <c r="A375" s="586">
        <v>15</v>
      </c>
      <c r="B375" s="615">
        <v>149</v>
      </c>
      <c r="C375" s="609">
        <v>143.30000000000001</v>
      </c>
      <c r="D375" s="594">
        <v>231.76185786031797</v>
      </c>
      <c r="E375" s="594">
        <v>188.34047077777859</v>
      </c>
      <c r="F375" s="595">
        <v>413.22247975907089</v>
      </c>
      <c r="G375" s="596">
        <v>172.85986779588507</v>
      </c>
      <c r="H375" s="594">
        <v>276.65080019671547</v>
      </c>
      <c r="I375" s="594">
        <v>161.89562914654184</v>
      </c>
      <c r="J375" s="597"/>
    </row>
    <row r="376" spans="1:10">
      <c r="A376" s="586">
        <v>15</v>
      </c>
      <c r="B376" s="615">
        <v>156</v>
      </c>
      <c r="C376" s="609">
        <v>150</v>
      </c>
      <c r="D376" s="594">
        <v>234.87957744673716</v>
      </c>
      <c r="E376" s="594">
        <v>188.36567575248188</v>
      </c>
      <c r="F376" s="595">
        <v>416.97371022425818</v>
      </c>
      <c r="G376" s="596">
        <v>173.65721719753077</v>
      </c>
      <c r="H376" s="594">
        <v>276.71210736546851</v>
      </c>
      <c r="I376" s="594">
        <v>162.02669294852049</v>
      </c>
      <c r="J376" s="597"/>
    </row>
    <row r="377" spans="1:10">
      <c r="A377" s="586">
        <v>15</v>
      </c>
      <c r="B377" s="615">
        <v>163</v>
      </c>
      <c r="C377" s="609">
        <v>140</v>
      </c>
      <c r="D377" s="594">
        <v>237.81695891242671</v>
      </c>
      <c r="E377" s="594">
        <v>188.38605030096093</v>
      </c>
      <c r="F377" s="595">
        <v>420.47863019870738</v>
      </c>
      <c r="G377" s="596">
        <v>174.39268511183295</v>
      </c>
      <c r="H377" s="594">
        <v>276.75459790970098</v>
      </c>
      <c r="I377" s="594">
        <v>162.12902308389425</v>
      </c>
      <c r="J377" s="597"/>
    </row>
    <row r="378" spans="1:10">
      <c r="A378" s="586">
        <v>15</v>
      </c>
      <c r="B378" s="615">
        <v>170</v>
      </c>
      <c r="C378" s="609">
        <v>130</v>
      </c>
      <c r="D378" s="594">
        <v>240.58840397273315</v>
      </c>
      <c r="E378" s="594">
        <v>188.40260832304989</v>
      </c>
      <c r="F378" s="595">
        <v>423.76106308106824</v>
      </c>
      <c r="G378" s="596">
        <v>175.07322389270678</v>
      </c>
      <c r="H378" s="594">
        <v>276.78404678546178</v>
      </c>
      <c r="I378" s="594">
        <v>162.20892928725195</v>
      </c>
      <c r="J378" s="597"/>
    </row>
    <row r="379" spans="1:10">
      <c r="A379" s="586">
        <v>15</v>
      </c>
      <c r="B379" s="615">
        <v>177</v>
      </c>
      <c r="C379" s="609">
        <v>130</v>
      </c>
      <c r="D379" s="594">
        <v>243.2067746129496</v>
      </c>
      <c r="E379" s="594">
        <v>188.41613179293751</v>
      </c>
      <c r="F379" s="595">
        <v>426.84181343519543</v>
      </c>
      <c r="G379" s="596">
        <v>175.70477956730906</v>
      </c>
      <c r="H379" s="594">
        <v>276.80445673606204</v>
      </c>
      <c r="I379" s="594">
        <v>162.27133167770259</v>
      </c>
      <c r="J379" s="597"/>
    </row>
    <row r="380" spans="1:10">
      <c r="A380" s="586">
        <v>15</v>
      </c>
      <c r="B380" s="615">
        <v>184</v>
      </c>
      <c r="C380" s="609">
        <v>140</v>
      </c>
      <c r="D380" s="594">
        <v>245.68360486921728</v>
      </c>
      <c r="E380" s="594">
        <v>188.42722825874682</v>
      </c>
      <c r="F380" s="595">
        <v>429.7391369828344</v>
      </c>
      <c r="G380" s="596">
        <v>176.2924679706903</v>
      </c>
      <c r="H380" s="594">
        <v>276.81860206252679</v>
      </c>
      <c r="I380" s="594">
        <v>162.32006837612431</v>
      </c>
      <c r="J380" s="597"/>
    </row>
    <row r="381" spans="1:10">
      <c r="A381" s="586">
        <v>15</v>
      </c>
      <c r="B381" s="615">
        <v>245</v>
      </c>
      <c r="C381" s="609">
        <v>146.70000000000002</v>
      </c>
      <c r="D381" s="594">
        <v>262.59524894500498</v>
      </c>
      <c r="E381" s="594">
        <v>188.47086117601188</v>
      </c>
      <c r="F381" s="595">
        <v>449.2044960320693</v>
      </c>
      <c r="G381" s="596">
        <v>180.08805407520489</v>
      </c>
      <c r="H381" s="594">
        <v>276.84923273867901</v>
      </c>
      <c r="I381" s="594">
        <v>162.47378248086923</v>
      </c>
      <c r="J381" s="597"/>
    </row>
    <row r="382" spans="1:10">
      <c r="A382" s="586">
        <v>15</v>
      </c>
      <c r="B382" s="615">
        <v>306</v>
      </c>
      <c r="C382" s="609">
        <v>163.30000000000001</v>
      </c>
      <c r="D382" s="594">
        <v>273.81945685474062</v>
      </c>
      <c r="E382" s="594">
        <v>188.48095421749349</v>
      </c>
      <c r="F382" s="595">
        <v>462.05317342871945</v>
      </c>
      <c r="G382" s="596">
        <v>182.45383857661182</v>
      </c>
      <c r="H382" s="594">
        <v>276.85048747035466</v>
      </c>
      <c r="I382" s="594">
        <v>162.49165350253631</v>
      </c>
      <c r="J382" s="597"/>
    </row>
    <row r="383" spans="1:10">
      <c r="A383" s="586">
        <v>15</v>
      </c>
      <c r="B383" s="615">
        <v>368</v>
      </c>
      <c r="C383" s="609">
        <v>163.30000000000001</v>
      </c>
      <c r="D383" s="594">
        <v>281.73505239646846</v>
      </c>
      <c r="E383" s="594">
        <v>188.48377086235757</v>
      </c>
      <c r="F383" s="595">
        <v>471.30656538019559</v>
      </c>
      <c r="G383" s="596">
        <v>184.09230595328069</v>
      </c>
      <c r="H383" s="594">
        <v>276.85053897973131</v>
      </c>
      <c r="I383" s="594">
        <v>162.49374148656446</v>
      </c>
      <c r="J383" s="597"/>
    </row>
    <row r="384" spans="1:10">
      <c r="A384" s="586">
        <v>15</v>
      </c>
      <c r="B384" s="615">
        <v>427</v>
      </c>
      <c r="C384" s="609">
        <v>153.29999999999998</v>
      </c>
      <c r="D384" s="594">
        <v>287.17008321575685</v>
      </c>
      <c r="E384" s="594">
        <v>188.48461651109915</v>
      </c>
      <c r="F384" s="595">
        <v>477.90077437808264</v>
      </c>
      <c r="G384" s="596">
        <v>185.22771342114146</v>
      </c>
      <c r="H384" s="594">
        <v>276.85054096824774</v>
      </c>
      <c r="I384" s="594">
        <v>162.49397261614951</v>
      </c>
      <c r="J384" s="597"/>
    </row>
    <row r="385" spans="1:10">
      <c r="A385" s="586">
        <v>15</v>
      </c>
      <c r="B385" s="615">
        <v>488</v>
      </c>
      <c r="C385" s="609">
        <v>136.69999999999999</v>
      </c>
      <c r="D385" s="594">
        <v>291.34514200623187</v>
      </c>
      <c r="E385" s="594">
        <v>188.48492490609917</v>
      </c>
      <c r="F385" s="595">
        <v>483.21278448910869</v>
      </c>
      <c r="G385" s="596">
        <v>186.12336764974415</v>
      </c>
      <c r="H385" s="594">
        <v>276.85054105912764</v>
      </c>
      <c r="I385" s="594">
        <v>162.49400174422306</v>
      </c>
      <c r="J385" s="597"/>
    </row>
    <row r="386" spans="1:10">
      <c r="A386" s="587">
        <v>15</v>
      </c>
      <c r="B386" s="616">
        <v>549</v>
      </c>
      <c r="C386" s="610">
        <v>136.69999999999999</v>
      </c>
      <c r="D386" s="598">
        <v>294.49680798256162</v>
      </c>
      <c r="E386" s="598">
        <v>188.48503975079277</v>
      </c>
      <c r="F386" s="599">
        <v>487.45315804339373</v>
      </c>
      <c r="G386" s="600">
        <v>186.82642276947658</v>
      </c>
      <c r="H386" s="598">
        <v>276.85054106285037</v>
      </c>
      <c r="I386" s="598">
        <v>162.49400513215627</v>
      </c>
      <c r="J386" s="601"/>
    </row>
    <row r="387" spans="1:10">
      <c r="A387" s="587">
        <v>15</v>
      </c>
      <c r="B387" s="616">
        <v>610</v>
      </c>
      <c r="C387" s="610">
        <v>140</v>
      </c>
      <c r="D387" s="598">
        <v>296.91835993081531</v>
      </c>
      <c r="E387" s="598">
        <v>188.48508524548217</v>
      </c>
      <c r="F387" s="599">
        <v>490.91683651606553</v>
      </c>
      <c r="G387" s="600">
        <v>187.39298294912842</v>
      </c>
      <c r="H387" s="598">
        <v>276.85054106300282</v>
      </c>
      <c r="I387" s="598">
        <v>162.49400552621228</v>
      </c>
      <c r="J387" s="601"/>
    </row>
    <row r="388" spans="1:10">
      <c r="A388" s="587">
        <v>15</v>
      </c>
      <c r="B388" s="616">
        <v>671</v>
      </c>
      <c r="C388" s="610">
        <v>146.70000000000002</v>
      </c>
      <c r="D388" s="598">
        <v>298.80692941017998</v>
      </c>
      <c r="E388" s="598">
        <v>188.48510422269027</v>
      </c>
      <c r="F388" s="599">
        <v>493.79951558713265</v>
      </c>
      <c r="G388" s="600">
        <v>187.85928676886672</v>
      </c>
      <c r="H388" s="598">
        <v>276.85054106300908</v>
      </c>
      <c r="I388" s="598">
        <v>162.49400557204558</v>
      </c>
      <c r="J388" s="601"/>
    </row>
    <row r="389" spans="1:10">
      <c r="A389" s="587">
        <v>15</v>
      </c>
      <c r="B389" s="616">
        <v>733</v>
      </c>
      <c r="C389" s="610">
        <v>146.70000000000002</v>
      </c>
      <c r="D389" s="598">
        <v>300.32057901268877</v>
      </c>
      <c r="E389" s="598">
        <v>188.4851125821933</v>
      </c>
      <c r="F389" s="599">
        <v>496.27299569597352</v>
      </c>
      <c r="G389" s="600">
        <v>188.25565942595293</v>
      </c>
      <c r="H389" s="598">
        <v>276.85054106300936</v>
      </c>
      <c r="I389" s="598">
        <v>162.49400557740083</v>
      </c>
      <c r="J389" s="601"/>
    </row>
    <row r="390" spans="1:10">
      <c r="A390" s="587">
        <v>15</v>
      </c>
      <c r="B390" s="616">
        <v>793</v>
      </c>
      <c r="C390" s="610">
        <v>156.69999999999999</v>
      </c>
      <c r="D390" s="598">
        <v>301.49064810002017</v>
      </c>
      <c r="E390" s="598">
        <v>188.48511623946649</v>
      </c>
      <c r="F390" s="599">
        <v>498.32299803197185</v>
      </c>
      <c r="G390" s="600">
        <v>188.58157773204999</v>
      </c>
      <c r="H390" s="598">
        <v>276.85054106300936</v>
      </c>
      <c r="I390" s="598">
        <v>162.49400557799655</v>
      </c>
      <c r="J390" s="601"/>
    </row>
    <row r="391" spans="1:10">
      <c r="A391" s="587">
        <v>15</v>
      </c>
      <c r="B391" s="616">
        <v>1140</v>
      </c>
      <c r="C391" s="610">
        <v>171.1</v>
      </c>
      <c r="D391" s="598">
        <v>305.10784046731641</v>
      </c>
      <c r="E391" s="598">
        <v>188.48511962126082</v>
      </c>
      <c r="F391" s="599">
        <v>506.1475924180254</v>
      </c>
      <c r="G391" s="600">
        <v>189.80430219543456</v>
      </c>
      <c r="H391" s="598">
        <v>276.85054106300936</v>
      </c>
      <c r="I391" s="598">
        <v>162.49400557807817</v>
      </c>
      <c r="J391" s="601"/>
    </row>
    <row r="392" spans="1:10">
      <c r="A392" s="587">
        <v>15</v>
      </c>
      <c r="B392" s="616">
        <v>1168</v>
      </c>
      <c r="C392" s="610">
        <v>173.3</v>
      </c>
      <c r="D392" s="598">
        <v>305.26488833489384</v>
      </c>
      <c r="E392" s="598">
        <v>188.4851196414761</v>
      </c>
      <c r="F392" s="599">
        <v>506.58572634097999</v>
      </c>
      <c r="G392" s="600">
        <v>189.87178474720406</v>
      </c>
      <c r="H392" s="598">
        <v>276.85054106300936</v>
      </c>
      <c r="I392" s="598">
        <v>162.49400557807817</v>
      </c>
      <c r="J392" s="601"/>
    </row>
    <row r="393" spans="1:10">
      <c r="A393" s="587">
        <v>15</v>
      </c>
      <c r="B393" s="616">
        <v>1229</v>
      </c>
      <c r="C393" s="610">
        <v>176.70000000000002</v>
      </c>
      <c r="D393" s="598">
        <v>305.56702027276413</v>
      </c>
      <c r="E393" s="598">
        <v>188.48511966995389</v>
      </c>
      <c r="F393" s="599">
        <v>507.47419567912084</v>
      </c>
      <c r="G393" s="600">
        <v>190.00831277197781</v>
      </c>
      <c r="H393" s="598">
        <v>276.85054106300936</v>
      </c>
      <c r="I393" s="598">
        <v>162.49400557807817</v>
      </c>
      <c r="J393" s="601"/>
    </row>
    <row r="394" spans="1:10">
      <c r="A394" s="587">
        <v>15</v>
      </c>
      <c r="B394" s="616">
        <v>1294</v>
      </c>
      <c r="C394" s="610">
        <v>168.3</v>
      </c>
      <c r="D394" s="598">
        <v>305.83778792032598</v>
      </c>
      <c r="E394" s="598">
        <v>188.48511968629214</v>
      </c>
      <c r="F394" s="599">
        <v>508.33265999590117</v>
      </c>
      <c r="G394" s="600">
        <v>190.13982859336619</v>
      </c>
      <c r="H394" s="598">
        <v>276.85054106300936</v>
      </c>
      <c r="I394" s="598">
        <v>162.49400557807817</v>
      </c>
      <c r="J394" s="601"/>
    </row>
    <row r="395" spans="1:10">
      <c r="A395" s="587">
        <v>15</v>
      </c>
      <c r="B395" s="616">
        <v>1368</v>
      </c>
      <c r="C395" s="610">
        <v>175.00000000000003</v>
      </c>
      <c r="D395" s="598">
        <v>306.09392974425367</v>
      </c>
      <c r="E395" s="598">
        <v>188.48511969588725</v>
      </c>
      <c r="F395" s="599">
        <v>509.21469155698327</v>
      </c>
      <c r="G395" s="600">
        <v>190.27454533846031</v>
      </c>
      <c r="H395" s="598">
        <v>276.85054106300936</v>
      </c>
      <c r="I395" s="598">
        <v>162.49400557807817</v>
      </c>
      <c r="J395" s="601"/>
    </row>
    <row r="396" spans="1:10">
      <c r="A396" s="587">
        <v>15</v>
      </c>
      <c r="B396" s="616">
        <v>1427</v>
      </c>
      <c r="C396" s="610">
        <v>174.4</v>
      </c>
      <c r="D396" s="598">
        <v>306.26566904558132</v>
      </c>
      <c r="E396" s="598">
        <v>188.48511969996727</v>
      </c>
      <c r="F396" s="599">
        <v>509.85493127552553</v>
      </c>
      <c r="G396" s="600">
        <v>190.37207288516882</v>
      </c>
      <c r="H396" s="598">
        <v>276.85054106300936</v>
      </c>
      <c r="I396" s="598">
        <v>162.49400557807817</v>
      </c>
      <c r="J396" s="601"/>
    </row>
    <row r="397" spans="1:10">
      <c r="A397" s="587">
        <v>15</v>
      </c>
      <c r="B397" s="616">
        <v>1526</v>
      </c>
      <c r="C397" s="610">
        <v>182.20000000000002</v>
      </c>
      <c r="D397" s="598">
        <v>306.50225985917677</v>
      </c>
      <c r="E397" s="598">
        <v>188.48511970338029</v>
      </c>
      <c r="F397" s="599">
        <v>510.82204846337441</v>
      </c>
      <c r="G397" s="600">
        <v>190.51898146257963</v>
      </c>
      <c r="H397" s="598">
        <v>276.85054106300936</v>
      </c>
      <c r="I397" s="598">
        <v>162.49400557807817</v>
      </c>
      <c r="J397" s="601"/>
    </row>
    <row r="398" spans="1:10">
      <c r="A398" s="587">
        <v>15</v>
      </c>
      <c r="B398" s="616">
        <v>1617</v>
      </c>
      <c r="C398" s="610">
        <v>175.6</v>
      </c>
      <c r="D398" s="598">
        <v>306.67466919897129</v>
      </c>
      <c r="E398" s="598">
        <v>188.48511970473004</v>
      </c>
      <c r="F398" s="599">
        <v>511.61015809638434</v>
      </c>
      <c r="G398" s="600">
        <v>190.63833253294442</v>
      </c>
      <c r="H398" s="598">
        <v>276.85054106300936</v>
      </c>
      <c r="I398" s="598">
        <v>162.49400557807817</v>
      </c>
      <c r="J398" s="601"/>
    </row>
    <row r="399" spans="1:10">
      <c r="A399" s="587">
        <v>15</v>
      </c>
      <c r="B399" s="616">
        <v>1709</v>
      </c>
      <c r="C399" s="610">
        <v>181.10000000000002</v>
      </c>
      <c r="D399" s="598">
        <v>306.81513556342287</v>
      </c>
      <c r="E399" s="598">
        <v>188.48511970535432</v>
      </c>
      <c r="F399" s="599">
        <v>512.32439850850744</v>
      </c>
      <c r="G399" s="600">
        <v>190.74621416035774</v>
      </c>
      <c r="H399" s="598">
        <v>276.85054106300936</v>
      </c>
      <c r="I399" s="598">
        <v>162.49400557807817</v>
      </c>
      <c r="J399" s="601"/>
    </row>
    <row r="400" spans="1:10">
      <c r="A400" s="587">
        <v>15</v>
      </c>
      <c r="B400" s="616">
        <v>1801</v>
      </c>
      <c r="C400" s="610">
        <v>179.99999999999997</v>
      </c>
      <c r="D400" s="598">
        <v>306.92894535309085</v>
      </c>
      <c r="E400" s="598">
        <v>188.48511970564499</v>
      </c>
      <c r="F400" s="599">
        <v>512.96793691211121</v>
      </c>
      <c r="G400" s="600">
        <v>190.84318710310885</v>
      </c>
      <c r="H400" s="598">
        <v>276.85054106300936</v>
      </c>
      <c r="I400" s="598">
        <v>162.49400557807817</v>
      </c>
      <c r="J400" s="601"/>
    </row>
    <row r="401" spans="1:10">
      <c r="A401" s="587">
        <v>15</v>
      </c>
      <c r="B401" s="616">
        <v>1932</v>
      </c>
      <c r="C401" s="610">
        <v>184.4</v>
      </c>
      <c r="D401" s="598">
        <v>307.05579121365469</v>
      </c>
      <c r="E401" s="598">
        <v>188.48511970581737</v>
      </c>
      <c r="F401" s="599">
        <v>513.78158564431521</v>
      </c>
      <c r="G401" s="600">
        <v>190.96548282901858</v>
      </c>
      <c r="H401" s="598">
        <v>276.85054106300936</v>
      </c>
      <c r="I401" s="598">
        <v>162.49400557807817</v>
      </c>
      <c r="J401" s="601"/>
    </row>
    <row r="402" spans="1:10">
      <c r="A402" s="587">
        <v>15</v>
      </c>
      <c r="B402" s="616">
        <v>2023</v>
      </c>
      <c r="C402" s="610">
        <v>177.8</v>
      </c>
      <c r="D402" s="598">
        <v>307.12512331263741</v>
      </c>
      <c r="E402" s="598">
        <v>188.48511970586651</v>
      </c>
      <c r="F402" s="599">
        <v>514.28649264247747</v>
      </c>
      <c r="G402" s="600">
        <v>191.04119903819407</v>
      </c>
      <c r="H402" s="598">
        <v>276.85054106300936</v>
      </c>
      <c r="I402" s="598">
        <v>162.49400557807817</v>
      </c>
      <c r="J402" s="601"/>
    </row>
    <row r="403" spans="1:10">
      <c r="A403" s="587">
        <v>15</v>
      </c>
      <c r="B403" s="616">
        <v>2126</v>
      </c>
      <c r="C403" s="610">
        <v>174.4</v>
      </c>
      <c r="D403" s="598">
        <v>307.18929260301945</v>
      </c>
      <c r="E403" s="598">
        <v>188.48511970589325</v>
      </c>
      <c r="F403" s="599">
        <v>514.80721488826521</v>
      </c>
      <c r="G403" s="600">
        <v>191.11914766313177</v>
      </c>
      <c r="H403" s="598">
        <v>276.85054106300936</v>
      </c>
      <c r="I403" s="598">
        <v>162.49400557807817</v>
      </c>
      <c r="J403" s="601"/>
    </row>
    <row r="404" spans="1:10">
      <c r="A404" s="587">
        <v>15</v>
      </c>
      <c r="B404" s="616">
        <v>2224</v>
      </c>
      <c r="C404" s="610">
        <v>170.00000000000003</v>
      </c>
      <c r="D404" s="598">
        <v>307.23909352630017</v>
      </c>
      <c r="E404" s="598">
        <v>188.48511970590525</v>
      </c>
      <c r="F404" s="599">
        <v>515.25901939426308</v>
      </c>
      <c r="G404" s="600">
        <v>191.18666541779862</v>
      </c>
      <c r="H404" s="598">
        <v>276.85054106300936</v>
      </c>
      <c r="I404" s="598">
        <v>162.49400557807817</v>
      </c>
      <c r="J404" s="601"/>
    </row>
    <row r="405" spans="1:10">
      <c r="A405" s="587">
        <v>15</v>
      </c>
      <c r="B405" s="616">
        <v>2330</v>
      </c>
      <c r="C405" s="610">
        <v>168.89999999999998</v>
      </c>
      <c r="D405" s="598">
        <v>307.28315196310029</v>
      </c>
      <c r="E405" s="598">
        <v>188.4851197059115</v>
      </c>
      <c r="F405" s="599">
        <v>515.70595852728582</v>
      </c>
      <c r="G405" s="600">
        <v>191.25335174675863</v>
      </c>
      <c r="H405" s="598">
        <v>276.85054106300936</v>
      </c>
      <c r="I405" s="598">
        <v>162.49400557807817</v>
      </c>
      <c r="J405" s="601"/>
    </row>
    <row r="406" spans="1:10">
      <c r="A406" s="587">
        <v>15</v>
      </c>
      <c r="B406" s="616">
        <v>2493</v>
      </c>
      <c r="C406" s="610">
        <v>173.3</v>
      </c>
      <c r="D406" s="598">
        <v>307.33563389995601</v>
      </c>
      <c r="E406" s="598">
        <v>188.48511970591539</v>
      </c>
      <c r="F406" s="599">
        <v>516.32076103773431</v>
      </c>
      <c r="G406" s="600">
        <v>191.34491518735354</v>
      </c>
      <c r="H406" s="598">
        <v>276.85054106300936</v>
      </c>
      <c r="I406" s="598">
        <v>162.49400557807817</v>
      </c>
      <c r="J406" s="601"/>
    </row>
    <row r="407" spans="1:10">
      <c r="A407" s="587">
        <v>15</v>
      </c>
      <c r="B407" s="616">
        <v>2603</v>
      </c>
      <c r="C407" s="610">
        <v>176.70000000000002</v>
      </c>
      <c r="D407" s="598">
        <v>307.36304869447798</v>
      </c>
      <c r="E407" s="598">
        <v>188.48511970591639</v>
      </c>
      <c r="F407" s="599">
        <v>516.69309362174522</v>
      </c>
      <c r="G407" s="600">
        <v>191.40027211234028</v>
      </c>
      <c r="H407" s="598">
        <v>276.85054106300936</v>
      </c>
      <c r="I407" s="598">
        <v>162.49400557807817</v>
      </c>
      <c r="J407" s="601"/>
    </row>
    <row r="408" spans="1:10">
      <c r="A408" s="587">
        <v>15</v>
      </c>
      <c r="B408" s="616">
        <v>2757</v>
      </c>
      <c r="C408" s="610">
        <v>176.70000000000002</v>
      </c>
      <c r="D408" s="598">
        <v>307.393343887811</v>
      </c>
      <c r="E408" s="598">
        <v>188.48511970591696</v>
      </c>
      <c r="F408" s="599">
        <v>517.16547459579101</v>
      </c>
      <c r="G408" s="600">
        <v>191.47040076607905</v>
      </c>
      <c r="H408" s="598">
        <v>276.85054106300936</v>
      </c>
      <c r="I408" s="598">
        <v>162.49400557807817</v>
      </c>
      <c r="J408" s="601"/>
    </row>
    <row r="409" spans="1:10">
      <c r="A409" s="587">
        <v>15</v>
      </c>
      <c r="B409" s="616">
        <v>2872</v>
      </c>
      <c r="C409" s="610">
        <v>174.4</v>
      </c>
      <c r="D409" s="598">
        <v>307.41117981612825</v>
      </c>
      <c r="E409" s="598">
        <v>188.4851197059171</v>
      </c>
      <c r="F409" s="599">
        <v>517.48584200330026</v>
      </c>
      <c r="G409" s="600">
        <v>191.51789631428849</v>
      </c>
      <c r="H409" s="598">
        <v>276.85054106300936</v>
      </c>
      <c r="I409" s="598">
        <v>162.49400557807817</v>
      </c>
      <c r="J409" s="601"/>
    </row>
    <row r="410" spans="1:10">
      <c r="A410" s="587">
        <v>15</v>
      </c>
      <c r="B410" s="616">
        <v>2976</v>
      </c>
      <c r="C410" s="610">
        <v>175.6</v>
      </c>
      <c r="D410" s="598">
        <v>307.42454448737692</v>
      </c>
      <c r="E410" s="598">
        <v>188.48511970591719</v>
      </c>
      <c r="F410" s="599">
        <v>517.75465363592889</v>
      </c>
      <c r="G410" s="600">
        <v>191.55770775357595</v>
      </c>
      <c r="H410" s="598">
        <v>276.85054106300936</v>
      </c>
      <c r="I410" s="598">
        <v>162.49400557807817</v>
      </c>
      <c r="J410" s="601"/>
    </row>
    <row r="411" spans="1:10">
      <c r="A411" s="587">
        <v>15</v>
      </c>
      <c r="B411" s="616">
        <v>3058</v>
      </c>
      <c r="C411" s="610">
        <v>170.00000000000003</v>
      </c>
      <c r="D411" s="598">
        <v>307.43355149761197</v>
      </c>
      <c r="E411" s="598">
        <v>188.48511970591721</v>
      </c>
      <c r="F411" s="599">
        <v>517.95395029246151</v>
      </c>
      <c r="G411" s="600">
        <v>191.58719990823897</v>
      </c>
      <c r="H411" s="598">
        <v>276.85054106300936</v>
      </c>
      <c r="I411" s="598">
        <v>162.49400557807817</v>
      </c>
      <c r="J411" s="601"/>
    </row>
    <row r="412" spans="1:10">
      <c r="A412" s="587">
        <v>15</v>
      </c>
      <c r="B412" s="616">
        <v>3221</v>
      </c>
      <c r="C412" s="610">
        <v>170.00000000000003</v>
      </c>
      <c r="D412" s="598">
        <v>307.44821645626234</v>
      </c>
      <c r="E412" s="598">
        <v>188.48511970591721</v>
      </c>
      <c r="F412" s="599">
        <v>518.32051415741921</v>
      </c>
      <c r="G412" s="600">
        <v>191.64139114989288</v>
      </c>
      <c r="H412" s="598">
        <v>276.85054106300936</v>
      </c>
      <c r="I412" s="598">
        <v>162.49400557807817</v>
      </c>
      <c r="J412" s="601"/>
    </row>
    <row r="413" spans="1:10">
      <c r="A413" s="587">
        <v>15</v>
      </c>
      <c r="B413" s="616">
        <v>3305</v>
      </c>
      <c r="C413" s="610">
        <v>163.30000000000001</v>
      </c>
      <c r="D413" s="598">
        <v>307.45439334230832</v>
      </c>
      <c r="E413" s="598">
        <v>188.48511970591727</v>
      </c>
      <c r="F413" s="599">
        <v>518.49554465556957</v>
      </c>
      <c r="G413" s="600">
        <v>191.66724257267717</v>
      </c>
      <c r="H413" s="598">
        <v>276.85054106300936</v>
      </c>
      <c r="I413" s="598">
        <v>162.49400557807817</v>
      </c>
      <c r="J413" s="601"/>
    </row>
    <row r="414" spans="1:10">
      <c r="A414" s="619">
        <v>16</v>
      </c>
      <c r="B414" s="620">
        <v>7</v>
      </c>
      <c r="C414" s="621">
        <v>26.700000000000003</v>
      </c>
      <c r="D414" s="622"/>
      <c r="E414" s="622"/>
      <c r="F414" s="623"/>
      <c r="G414" s="624"/>
      <c r="H414" s="622"/>
      <c r="I414" s="622"/>
      <c r="J414" s="625"/>
    </row>
    <row r="415" spans="1:10">
      <c r="A415" s="585">
        <v>16</v>
      </c>
      <c r="B415" s="614">
        <v>14</v>
      </c>
      <c r="C415" s="608">
        <v>63.3</v>
      </c>
      <c r="D415" s="590">
        <v>65.966144723751057</v>
      </c>
      <c r="E415" s="590">
        <v>117.63370324521662</v>
      </c>
      <c r="F415" s="591">
        <v>142.97635730462096</v>
      </c>
      <c r="G415" s="592">
        <v>68.545032074141417</v>
      </c>
      <c r="H415" s="590">
        <v>65.084959731118389</v>
      </c>
      <c r="I415" s="590">
        <v>63.416122324196536</v>
      </c>
      <c r="J415" s="593"/>
    </row>
    <row r="416" spans="1:10">
      <c r="A416" s="585">
        <v>16</v>
      </c>
      <c r="B416" s="614">
        <v>22</v>
      </c>
      <c r="C416" s="608">
        <v>66.699999999999989</v>
      </c>
      <c r="D416" s="590">
        <v>94.891350781255866</v>
      </c>
      <c r="E416" s="590">
        <v>143.24046612811176</v>
      </c>
      <c r="F416" s="591">
        <v>200.96240023252926</v>
      </c>
      <c r="G416" s="592">
        <v>91.856655410722695</v>
      </c>
      <c r="H416" s="590">
        <v>131.31782238591808</v>
      </c>
      <c r="I416" s="590">
        <v>89.701301362334263</v>
      </c>
      <c r="J416" s="593"/>
    </row>
    <row r="417" spans="1:10">
      <c r="A417" s="585">
        <v>16</v>
      </c>
      <c r="B417" s="614">
        <v>28</v>
      </c>
      <c r="C417" s="608">
        <v>89.999999999999986</v>
      </c>
      <c r="D417" s="590">
        <v>110.84543579042271</v>
      </c>
      <c r="E417" s="590">
        <v>151.83494466856234</v>
      </c>
      <c r="F417" s="591">
        <v>231.11380652746081</v>
      </c>
      <c r="G417" s="592">
        <v>102.63228273127517</v>
      </c>
      <c r="H417" s="590">
        <v>168.55647096754095</v>
      </c>
      <c r="I417" s="590">
        <v>102.46634498747494</v>
      </c>
      <c r="J417" s="593"/>
    </row>
    <row r="418" spans="1:10">
      <c r="A418" s="585">
        <v>16</v>
      </c>
      <c r="B418" s="614">
        <v>36</v>
      </c>
      <c r="C418" s="608">
        <v>86.700000000000017</v>
      </c>
      <c r="D418" s="590">
        <v>128.09466851451751</v>
      </c>
      <c r="E418" s="590">
        <v>158.03338906087617</v>
      </c>
      <c r="F418" s="591">
        <v>262.10007704165474</v>
      </c>
      <c r="G418" s="592">
        <v>112.74164649240532</v>
      </c>
      <c r="H418" s="590">
        <v>204.5027665278358</v>
      </c>
      <c r="I418" s="590">
        <v>114.52327480056267</v>
      </c>
      <c r="J418" s="593"/>
    </row>
    <row r="419" spans="1:10">
      <c r="A419" s="585">
        <v>16</v>
      </c>
      <c r="B419" s="614">
        <v>42</v>
      </c>
      <c r="C419" s="608">
        <v>89.999999999999986</v>
      </c>
      <c r="D419" s="590">
        <v>139.00187788861129</v>
      </c>
      <c r="E419" s="590">
        <v>160.72976996917592</v>
      </c>
      <c r="F419" s="591">
        <v>280.79999140177631</v>
      </c>
      <c r="G419" s="592">
        <v>118.38175025108511</v>
      </c>
      <c r="H419" s="590">
        <v>223.61110228985368</v>
      </c>
      <c r="I419" s="590">
        <v>121.11734882422432</v>
      </c>
      <c r="J419" s="593"/>
    </row>
    <row r="420" spans="1:10">
      <c r="A420" s="585">
        <v>16</v>
      </c>
      <c r="B420" s="614">
        <v>58</v>
      </c>
      <c r="C420" s="608">
        <v>140</v>
      </c>
      <c r="D420" s="590">
        <v>162.54042333539974</v>
      </c>
      <c r="E420" s="590">
        <v>164.36238415144987</v>
      </c>
      <c r="F420" s="591">
        <v>318.78018158875739</v>
      </c>
      <c r="G420" s="592">
        <v>128.82126107583844</v>
      </c>
      <c r="H420" s="590">
        <v>253.56588684103539</v>
      </c>
      <c r="I420" s="590">
        <v>132.48086213969933</v>
      </c>
      <c r="J420" s="593"/>
    </row>
    <row r="421" spans="1:10">
      <c r="A421" s="585">
        <v>16</v>
      </c>
      <c r="B421" s="614">
        <v>70</v>
      </c>
      <c r="C421" s="608">
        <v>146.70000000000002</v>
      </c>
      <c r="D421" s="590">
        <v>176.55857747947633</v>
      </c>
      <c r="E421" s="590">
        <v>165.57204866571487</v>
      </c>
      <c r="F421" s="591">
        <v>339.88589110437243</v>
      </c>
      <c r="G421" s="592">
        <v>134.06724457574217</v>
      </c>
      <c r="H421" s="590">
        <v>264.38432354210164</v>
      </c>
      <c r="I421" s="590">
        <v>137.39578756932218</v>
      </c>
      <c r="J421" s="593"/>
    </row>
    <row r="422" spans="1:10">
      <c r="A422" s="585">
        <v>16</v>
      </c>
      <c r="B422" s="614">
        <v>91</v>
      </c>
      <c r="C422" s="608">
        <v>153.29999999999998</v>
      </c>
      <c r="D422" s="590">
        <v>196.19723816985729</v>
      </c>
      <c r="E422" s="590">
        <v>166.55076171468389</v>
      </c>
      <c r="F422" s="591">
        <v>367.65349021188257</v>
      </c>
      <c r="G422" s="592">
        <v>140.40943842582789</v>
      </c>
      <c r="H422" s="590">
        <v>272.68895854326757</v>
      </c>
      <c r="I422" s="590">
        <v>142.13799379817922</v>
      </c>
      <c r="J422" s="593"/>
    </row>
    <row r="423" spans="1:10">
      <c r="A423" s="585">
        <v>16</v>
      </c>
      <c r="B423" s="614">
        <v>98</v>
      </c>
      <c r="C423" s="608">
        <v>140</v>
      </c>
      <c r="D423" s="590">
        <v>201.70682124821883</v>
      </c>
      <c r="E423" s="590">
        <v>166.72286880679829</v>
      </c>
      <c r="F423" s="591">
        <v>375.08759239970647</v>
      </c>
      <c r="G423" s="592">
        <v>142.00531508496218</v>
      </c>
      <c r="H423" s="590">
        <v>273.96511079523731</v>
      </c>
      <c r="I423" s="590">
        <v>143.06802908350167</v>
      </c>
      <c r="J423" s="593"/>
    </row>
    <row r="424" spans="1:10">
      <c r="A424" s="586">
        <v>16</v>
      </c>
      <c r="B424" s="615">
        <v>119</v>
      </c>
      <c r="C424" s="609">
        <v>126.70000000000002</v>
      </c>
      <c r="D424" s="594">
        <v>215.92832791747401</v>
      </c>
      <c r="E424" s="594">
        <v>167.02909627641367</v>
      </c>
      <c r="F424" s="595">
        <v>393.61231124615136</v>
      </c>
      <c r="G424" s="596">
        <v>145.80470426004197</v>
      </c>
      <c r="H424" s="594">
        <v>275.88939794155533</v>
      </c>
      <c r="I424" s="594">
        <v>144.79253799948941</v>
      </c>
      <c r="J424" s="597"/>
    </row>
    <row r="425" spans="1:10">
      <c r="A425" s="586">
        <v>16</v>
      </c>
      <c r="B425" s="615">
        <v>126</v>
      </c>
      <c r="C425" s="609">
        <v>120</v>
      </c>
      <c r="D425" s="594">
        <v>220.03155320586822</v>
      </c>
      <c r="E425" s="594">
        <v>167.08891446767862</v>
      </c>
      <c r="F425" s="595">
        <v>398.79028058335433</v>
      </c>
      <c r="G425" s="596">
        <v>146.82295850574377</v>
      </c>
      <c r="H425" s="594">
        <v>276.18435307807232</v>
      </c>
      <c r="I425" s="594">
        <v>145.13434293659199</v>
      </c>
      <c r="J425" s="597"/>
    </row>
    <row r="426" spans="1:10">
      <c r="A426" s="586">
        <v>16</v>
      </c>
      <c r="B426" s="615">
        <v>133</v>
      </c>
      <c r="C426" s="609">
        <v>136.69999999999999</v>
      </c>
      <c r="D426" s="594">
        <v>223.86787762190372</v>
      </c>
      <c r="E426" s="594">
        <v>167.13591814455228</v>
      </c>
      <c r="F426" s="595">
        <v>403.56867154027941</v>
      </c>
      <c r="G426" s="596">
        <v>147.74621301134346</v>
      </c>
      <c r="H426" s="594">
        <v>276.38880647631044</v>
      </c>
      <c r="I426" s="594">
        <v>145.40091263253717</v>
      </c>
      <c r="J426" s="597"/>
    </row>
    <row r="427" spans="1:10">
      <c r="A427" s="586">
        <v>16</v>
      </c>
      <c r="B427" s="615">
        <v>140</v>
      </c>
      <c r="C427" s="609">
        <v>150</v>
      </c>
      <c r="D427" s="594">
        <v>227.462068859911</v>
      </c>
      <c r="E427" s="594">
        <v>167.17313278304835</v>
      </c>
      <c r="F427" s="595">
        <v>407.99292862247756</v>
      </c>
      <c r="G427" s="596">
        <v>148.58721758831197</v>
      </c>
      <c r="H427" s="594">
        <v>276.53051972902438</v>
      </c>
      <c r="I427" s="594">
        <v>145.60888611556632</v>
      </c>
      <c r="J427" s="597"/>
    </row>
    <row r="428" spans="1:10">
      <c r="A428" s="586">
        <v>16</v>
      </c>
      <c r="B428" s="615">
        <v>147</v>
      </c>
      <c r="C428" s="609">
        <v>170.00000000000003</v>
      </c>
      <c r="D428" s="594">
        <v>230.83574040707407</v>
      </c>
      <c r="E428" s="594">
        <v>167.20280171822</v>
      </c>
      <c r="F428" s="595">
        <v>412.101722393378</v>
      </c>
      <c r="G428" s="596">
        <v>149.35653038656244</v>
      </c>
      <c r="H428" s="594">
        <v>276.62874227897078</v>
      </c>
      <c r="I428" s="594">
        <v>145.77119155565236</v>
      </c>
      <c r="J428" s="597"/>
    </row>
    <row r="429" spans="1:10">
      <c r="A429" s="586">
        <v>16</v>
      </c>
      <c r="B429" s="615">
        <v>154</v>
      </c>
      <c r="C429" s="609">
        <v>160</v>
      </c>
      <c r="D429" s="594">
        <v>234.00787453884124</v>
      </c>
      <c r="E429" s="594">
        <v>167.22660600663914</v>
      </c>
      <c r="F429" s="595">
        <v>415.92819002358749</v>
      </c>
      <c r="G429" s="596">
        <v>150.06297096554954</v>
      </c>
      <c r="H429" s="594">
        <v>276.69681941568496</v>
      </c>
      <c r="I429" s="594">
        <v>145.89788602385553</v>
      </c>
      <c r="J429" s="597"/>
    </row>
    <row r="430" spans="1:10">
      <c r="A430" s="586">
        <v>16</v>
      </c>
      <c r="B430" s="615">
        <v>161</v>
      </c>
      <c r="C430" s="609">
        <v>160</v>
      </c>
      <c r="D430" s="594">
        <v>236.99523829839472</v>
      </c>
      <c r="E430" s="594">
        <v>167.24581755636049</v>
      </c>
      <c r="F430" s="595">
        <v>419.50090802220905</v>
      </c>
      <c r="G430" s="596">
        <v>150.71396508181124</v>
      </c>
      <c r="H430" s="594">
        <v>276.74400224423351</v>
      </c>
      <c r="I430" s="594">
        <v>145.99680045276358</v>
      </c>
      <c r="J430" s="597"/>
    </row>
    <row r="431" spans="1:10">
      <c r="A431" s="586">
        <v>16</v>
      </c>
      <c r="B431" s="615">
        <v>168</v>
      </c>
      <c r="C431" s="609">
        <v>140</v>
      </c>
      <c r="D431" s="594">
        <v>239.81271829429781</v>
      </c>
      <c r="E431" s="594">
        <v>167.26140724584857</v>
      </c>
      <c r="F431" s="595">
        <v>422.84466335991686</v>
      </c>
      <c r="G431" s="596">
        <v>151.31581031946143</v>
      </c>
      <c r="H431" s="594">
        <v>276.77670328293425</v>
      </c>
      <c r="I431" s="594">
        <v>146.07403683988755</v>
      </c>
      <c r="J431" s="597"/>
    </row>
    <row r="432" spans="1:10">
      <c r="A432" s="586">
        <v>16</v>
      </c>
      <c r="B432" s="615">
        <v>175</v>
      </c>
      <c r="C432" s="609">
        <v>146.70000000000002</v>
      </c>
      <c r="D432" s="594">
        <v>242.47359303935337</v>
      </c>
      <c r="E432" s="594">
        <v>167.2741222191799</v>
      </c>
      <c r="F432" s="595">
        <v>425.98107085039385</v>
      </c>
      <c r="G432" s="596">
        <v>151.87388304229742</v>
      </c>
      <c r="H432" s="594">
        <v>276.79936723157499</v>
      </c>
      <c r="I432" s="594">
        <v>146.13435266340474</v>
      </c>
      <c r="J432" s="597"/>
    </row>
    <row r="433" spans="1:10">
      <c r="A433" s="586">
        <v>16</v>
      </c>
      <c r="B433" s="615">
        <v>182</v>
      </c>
      <c r="C433" s="609">
        <v>163.30000000000001</v>
      </c>
      <c r="D433" s="594">
        <v>244.98975661977988</v>
      </c>
      <c r="E433" s="594">
        <v>167.28454177908026</v>
      </c>
      <c r="F433" s="595">
        <v>428.92907191386297</v>
      </c>
      <c r="G433" s="596">
        <v>152.39280129128852</v>
      </c>
      <c r="H433" s="594">
        <v>276.81507473454582</v>
      </c>
      <c r="I433" s="594">
        <v>146.18145877242881</v>
      </c>
      <c r="J433" s="597"/>
    </row>
    <row r="434" spans="1:10">
      <c r="A434" s="586">
        <v>16</v>
      </c>
      <c r="B434" s="615">
        <v>245</v>
      </c>
      <c r="C434" s="609">
        <v>160</v>
      </c>
      <c r="D434" s="594">
        <v>262.59524894500498</v>
      </c>
      <c r="E434" s="594">
        <v>167.32590076838594</v>
      </c>
      <c r="F434" s="595">
        <v>449.2044960320693</v>
      </c>
      <c r="G434" s="596">
        <v>155.8185187714094</v>
      </c>
      <c r="H434" s="594">
        <v>276.84923273867901</v>
      </c>
      <c r="I434" s="594">
        <v>146.33135578969609</v>
      </c>
      <c r="J434" s="597"/>
    </row>
    <row r="435" spans="1:10">
      <c r="A435" s="586">
        <v>16</v>
      </c>
      <c r="B435" s="615">
        <v>306</v>
      </c>
      <c r="C435" s="609">
        <v>163.30000000000001</v>
      </c>
      <c r="D435" s="594">
        <v>273.81945685474062</v>
      </c>
      <c r="E435" s="594">
        <v>167.33486144934673</v>
      </c>
      <c r="F435" s="595">
        <v>462.05317342871945</v>
      </c>
      <c r="G435" s="596">
        <v>157.86547873571467</v>
      </c>
      <c r="H435" s="594">
        <v>276.85048747035466</v>
      </c>
      <c r="I435" s="594">
        <v>146.34745125316078</v>
      </c>
      <c r="J435" s="597"/>
    </row>
    <row r="436" spans="1:10">
      <c r="A436" s="586">
        <v>16</v>
      </c>
      <c r="B436" s="615">
        <v>368</v>
      </c>
      <c r="C436" s="609">
        <v>173.3</v>
      </c>
      <c r="D436" s="594">
        <v>281.73505239646846</v>
      </c>
      <c r="E436" s="594">
        <v>167.33736208862899</v>
      </c>
      <c r="F436" s="595">
        <v>471.30656538019559</v>
      </c>
      <c r="G436" s="596">
        <v>159.28313834117191</v>
      </c>
      <c r="H436" s="594">
        <v>276.85053897973131</v>
      </c>
      <c r="I436" s="594">
        <v>146.34933178754019</v>
      </c>
      <c r="J436" s="597"/>
    </row>
    <row r="437" spans="1:10">
      <c r="A437" s="586">
        <v>16</v>
      </c>
      <c r="B437" s="615">
        <v>427</v>
      </c>
      <c r="C437" s="609">
        <v>170.00000000000003</v>
      </c>
      <c r="D437" s="594">
        <v>287.17008321575685</v>
      </c>
      <c r="E437" s="594">
        <v>167.33811286217849</v>
      </c>
      <c r="F437" s="595">
        <v>477.90077437808264</v>
      </c>
      <c r="G437" s="596">
        <v>160.26553281898765</v>
      </c>
      <c r="H437" s="594">
        <v>276.85054096824774</v>
      </c>
      <c r="I437" s="594">
        <v>146.34953995346717</v>
      </c>
      <c r="J437" s="597"/>
    </row>
    <row r="438" spans="1:10">
      <c r="A438" s="586">
        <v>16</v>
      </c>
      <c r="B438" s="615">
        <v>488</v>
      </c>
      <c r="C438" s="609">
        <v>170.00000000000003</v>
      </c>
      <c r="D438" s="594">
        <v>291.34514200623187</v>
      </c>
      <c r="E438" s="594">
        <v>167.33838665766524</v>
      </c>
      <c r="F438" s="595">
        <v>483.21278448910869</v>
      </c>
      <c r="G438" s="596">
        <v>161.04048436115903</v>
      </c>
      <c r="H438" s="594">
        <v>276.85054105912764</v>
      </c>
      <c r="I438" s="594">
        <v>146.34956618754896</v>
      </c>
      <c r="J438" s="597"/>
    </row>
    <row r="439" spans="1:10">
      <c r="A439" s="587">
        <v>16</v>
      </c>
      <c r="B439" s="616">
        <v>549</v>
      </c>
      <c r="C439" s="610">
        <v>176.70000000000002</v>
      </c>
      <c r="D439" s="598">
        <v>294.49680798256162</v>
      </c>
      <c r="E439" s="598">
        <v>167.33848861768007</v>
      </c>
      <c r="F439" s="599">
        <v>487.45315804339373</v>
      </c>
      <c r="G439" s="600">
        <v>161.64879237988868</v>
      </c>
      <c r="H439" s="598">
        <v>276.85054106285037</v>
      </c>
      <c r="I439" s="598">
        <v>146.34956923887731</v>
      </c>
      <c r="J439" s="601"/>
    </row>
    <row r="440" spans="1:10">
      <c r="A440" s="587">
        <v>16</v>
      </c>
      <c r="B440" s="616">
        <v>610</v>
      </c>
      <c r="C440" s="610">
        <v>156.69999999999999</v>
      </c>
      <c r="D440" s="598">
        <v>296.91835993081531</v>
      </c>
      <c r="E440" s="598">
        <v>167.33852900822023</v>
      </c>
      <c r="F440" s="599">
        <v>490.91683651606553</v>
      </c>
      <c r="G440" s="600">
        <v>162.13900017541155</v>
      </c>
      <c r="H440" s="598">
        <v>276.85054106300282</v>
      </c>
      <c r="I440" s="598">
        <v>146.34956959378226</v>
      </c>
      <c r="J440" s="601"/>
    </row>
    <row r="441" spans="1:10">
      <c r="A441" s="587">
        <v>16</v>
      </c>
      <c r="B441" s="616">
        <v>671</v>
      </c>
      <c r="C441" s="610">
        <v>170.00000000000003</v>
      </c>
      <c r="D441" s="598">
        <v>298.80692941017998</v>
      </c>
      <c r="E441" s="598">
        <v>167.33854585633361</v>
      </c>
      <c r="F441" s="599">
        <v>493.79951558713265</v>
      </c>
      <c r="G441" s="600">
        <v>162.54246264193768</v>
      </c>
      <c r="H441" s="598">
        <v>276.85054106300908</v>
      </c>
      <c r="I441" s="598">
        <v>146.34956963506184</v>
      </c>
      <c r="J441" s="601"/>
    </row>
    <row r="442" spans="1:10">
      <c r="A442" s="587">
        <v>16</v>
      </c>
      <c r="B442" s="616">
        <v>733</v>
      </c>
      <c r="C442" s="610">
        <v>163.30000000000001</v>
      </c>
      <c r="D442" s="598">
        <v>300.32057901268877</v>
      </c>
      <c r="E442" s="598">
        <v>167.33855327796559</v>
      </c>
      <c r="F442" s="599">
        <v>496.27299569597352</v>
      </c>
      <c r="G442" s="600">
        <v>162.88541820679077</v>
      </c>
      <c r="H442" s="598">
        <v>276.85054106300936</v>
      </c>
      <c r="I442" s="598">
        <v>146.34956963988503</v>
      </c>
      <c r="J442" s="601"/>
    </row>
    <row r="443" spans="1:10">
      <c r="A443" s="587">
        <v>16</v>
      </c>
      <c r="B443" s="616">
        <v>793</v>
      </c>
      <c r="C443" s="610">
        <v>166.70000000000002</v>
      </c>
      <c r="D443" s="598">
        <v>301.49064810002017</v>
      </c>
      <c r="E443" s="598">
        <v>167.33855652492127</v>
      </c>
      <c r="F443" s="599">
        <v>498.32299803197185</v>
      </c>
      <c r="G443" s="600">
        <v>163.16741418901915</v>
      </c>
      <c r="H443" s="598">
        <v>276.85054106300936</v>
      </c>
      <c r="I443" s="598">
        <v>146.34956964042158</v>
      </c>
      <c r="J443" s="601"/>
    </row>
    <row r="444" spans="1:10">
      <c r="A444" s="587">
        <v>16</v>
      </c>
      <c r="B444" s="616">
        <v>1140</v>
      </c>
      <c r="C444" s="610">
        <v>183.29999999999998</v>
      </c>
      <c r="D444" s="598">
        <v>305.10784046731641</v>
      </c>
      <c r="E444" s="598">
        <v>167.33855952730468</v>
      </c>
      <c r="F444" s="599">
        <v>506.1475924180254</v>
      </c>
      <c r="G444" s="600">
        <v>164.22535840263473</v>
      </c>
      <c r="H444" s="598">
        <v>276.85054106300936</v>
      </c>
      <c r="I444" s="598">
        <v>146.34956964049508</v>
      </c>
      <c r="J444" s="601"/>
    </row>
    <row r="445" spans="1:10">
      <c r="A445" s="587">
        <v>16</v>
      </c>
      <c r="B445" s="616">
        <v>1168</v>
      </c>
      <c r="C445" s="610">
        <v>176.70000000000002</v>
      </c>
      <c r="D445" s="598">
        <v>305.26488833489384</v>
      </c>
      <c r="E445" s="598">
        <v>167.33855954525197</v>
      </c>
      <c r="F445" s="599">
        <v>506.58572634097999</v>
      </c>
      <c r="G445" s="600">
        <v>164.28374668004511</v>
      </c>
      <c r="H445" s="598">
        <v>276.85054106300936</v>
      </c>
      <c r="I445" s="598">
        <v>146.34956964049508</v>
      </c>
      <c r="J445" s="601"/>
    </row>
    <row r="446" spans="1:10">
      <c r="A446" s="587">
        <v>16</v>
      </c>
      <c r="B446" s="616">
        <v>1229</v>
      </c>
      <c r="C446" s="610">
        <v>183.29999999999998</v>
      </c>
      <c r="D446" s="598">
        <v>305.56702027276413</v>
      </c>
      <c r="E446" s="598">
        <v>167.33855957053473</v>
      </c>
      <c r="F446" s="599">
        <v>507.47419567912084</v>
      </c>
      <c r="G446" s="600">
        <v>164.40187552929206</v>
      </c>
      <c r="H446" s="598">
        <v>276.85054106300936</v>
      </c>
      <c r="I446" s="598">
        <v>146.34956964049508</v>
      </c>
      <c r="J446" s="601"/>
    </row>
    <row r="447" spans="1:10">
      <c r="A447" s="587">
        <v>16</v>
      </c>
      <c r="B447" s="616">
        <v>1294</v>
      </c>
      <c r="C447" s="610">
        <v>190</v>
      </c>
      <c r="D447" s="598">
        <v>305.83778792032598</v>
      </c>
      <c r="E447" s="598">
        <v>167.33855958503997</v>
      </c>
      <c r="F447" s="599">
        <v>508.33265999590117</v>
      </c>
      <c r="G447" s="600">
        <v>164.51566764387167</v>
      </c>
      <c r="H447" s="598">
        <v>276.85054106300936</v>
      </c>
      <c r="I447" s="598">
        <v>146.34956964049508</v>
      </c>
      <c r="J447" s="601"/>
    </row>
    <row r="448" spans="1:10">
      <c r="A448" s="587">
        <v>16</v>
      </c>
      <c r="B448" s="616">
        <v>1368</v>
      </c>
      <c r="C448" s="610">
        <v>193.3</v>
      </c>
      <c r="D448" s="598">
        <v>306.09392974425367</v>
      </c>
      <c r="E448" s="598">
        <v>167.33855959355859</v>
      </c>
      <c r="F448" s="599">
        <v>509.21469155698327</v>
      </c>
      <c r="G448" s="600">
        <v>164.6322293102302</v>
      </c>
      <c r="H448" s="598">
        <v>276.85054106300936</v>
      </c>
      <c r="I448" s="598">
        <v>146.34956964049508</v>
      </c>
      <c r="J448" s="601"/>
    </row>
    <row r="449" spans="1:10">
      <c r="A449" s="587">
        <v>16</v>
      </c>
      <c r="B449" s="616">
        <v>1427</v>
      </c>
      <c r="C449" s="610">
        <v>176.70000000000002</v>
      </c>
      <c r="D449" s="598">
        <v>306.26566904558132</v>
      </c>
      <c r="E449" s="598">
        <v>167.33855959718085</v>
      </c>
      <c r="F449" s="599">
        <v>509.85493127552553</v>
      </c>
      <c r="G449" s="600">
        <v>164.71661357405918</v>
      </c>
      <c r="H449" s="598">
        <v>276.85054106300936</v>
      </c>
      <c r="I449" s="598">
        <v>146.34956964049508</v>
      </c>
      <c r="J449" s="601"/>
    </row>
    <row r="450" spans="1:10">
      <c r="A450" s="587">
        <v>16</v>
      </c>
      <c r="B450" s="616">
        <v>1526</v>
      </c>
      <c r="C450" s="610">
        <v>184.4</v>
      </c>
      <c r="D450" s="598">
        <v>306.50225985917677</v>
      </c>
      <c r="E450" s="598">
        <v>167.33855960021097</v>
      </c>
      <c r="F450" s="599">
        <v>510.82204846337441</v>
      </c>
      <c r="G450" s="600">
        <v>164.84372404257147</v>
      </c>
      <c r="H450" s="598">
        <v>276.85054106300936</v>
      </c>
      <c r="I450" s="598">
        <v>146.34956964049508</v>
      </c>
      <c r="J450" s="601"/>
    </row>
    <row r="451" spans="1:10">
      <c r="A451" s="587">
        <v>16</v>
      </c>
      <c r="B451" s="616">
        <v>1617</v>
      </c>
      <c r="C451" s="610">
        <v>179.99999999999997</v>
      </c>
      <c r="D451" s="598">
        <v>306.67466919897129</v>
      </c>
      <c r="E451" s="598">
        <v>167.33855960140929</v>
      </c>
      <c r="F451" s="599">
        <v>511.61015809638434</v>
      </c>
      <c r="G451" s="600">
        <v>164.94699078668467</v>
      </c>
      <c r="H451" s="598">
        <v>276.85054106300936</v>
      </c>
      <c r="I451" s="598">
        <v>146.34956964049508</v>
      </c>
      <c r="J451" s="601"/>
    </row>
    <row r="452" spans="1:10">
      <c r="A452" s="587">
        <v>16</v>
      </c>
      <c r="B452" s="616">
        <v>1709</v>
      </c>
      <c r="C452" s="610">
        <v>182.20000000000002</v>
      </c>
      <c r="D452" s="598">
        <v>306.81513556342287</v>
      </c>
      <c r="E452" s="598">
        <v>167.33855960196354</v>
      </c>
      <c r="F452" s="599">
        <v>512.32439850850744</v>
      </c>
      <c r="G452" s="600">
        <v>165.04033376533204</v>
      </c>
      <c r="H452" s="598">
        <v>276.85054106300936</v>
      </c>
      <c r="I452" s="598">
        <v>146.34956964049508</v>
      </c>
      <c r="J452" s="601"/>
    </row>
    <row r="453" spans="1:10">
      <c r="A453" s="587">
        <v>16</v>
      </c>
      <c r="B453" s="616">
        <v>1801</v>
      </c>
      <c r="C453" s="610">
        <v>185.60000000000002</v>
      </c>
      <c r="D453" s="598">
        <v>306.92894535309085</v>
      </c>
      <c r="E453" s="598">
        <v>167.33855960222158</v>
      </c>
      <c r="F453" s="599">
        <v>512.96793691211121</v>
      </c>
      <c r="G453" s="600">
        <v>165.12423816630954</v>
      </c>
      <c r="H453" s="598">
        <v>276.85054106300936</v>
      </c>
      <c r="I453" s="598">
        <v>146.34956964049508</v>
      </c>
      <c r="J453" s="601"/>
    </row>
    <row r="454" spans="1:10">
      <c r="A454" s="587">
        <v>16</v>
      </c>
      <c r="B454" s="616">
        <v>1932</v>
      </c>
      <c r="C454" s="610">
        <v>192.20000000000002</v>
      </c>
      <c r="D454" s="598">
        <v>307.05579121365469</v>
      </c>
      <c r="E454" s="598">
        <v>167.33855960237463</v>
      </c>
      <c r="F454" s="599">
        <v>513.78158564431521</v>
      </c>
      <c r="G454" s="600">
        <v>165.230052729975</v>
      </c>
      <c r="H454" s="598">
        <v>276.85054106300936</v>
      </c>
      <c r="I454" s="598">
        <v>146.34956964049508</v>
      </c>
      <c r="J454" s="601"/>
    </row>
    <row r="455" spans="1:10">
      <c r="A455" s="587">
        <v>16</v>
      </c>
      <c r="B455" s="616">
        <v>2023</v>
      </c>
      <c r="C455" s="610">
        <v>184.4</v>
      </c>
      <c r="D455" s="598">
        <v>307.12512331263741</v>
      </c>
      <c r="E455" s="598">
        <v>167.33855960241826</v>
      </c>
      <c r="F455" s="599">
        <v>514.28649264247747</v>
      </c>
      <c r="G455" s="600">
        <v>165.29556505738225</v>
      </c>
      <c r="H455" s="598">
        <v>276.85054106300936</v>
      </c>
      <c r="I455" s="598">
        <v>146.34956964049508</v>
      </c>
      <c r="J455" s="601"/>
    </row>
    <row r="456" spans="1:10">
      <c r="A456" s="587">
        <v>16</v>
      </c>
      <c r="B456" s="616">
        <v>2126</v>
      </c>
      <c r="C456" s="610">
        <v>183.29999999999998</v>
      </c>
      <c r="D456" s="598">
        <v>307.18929260301945</v>
      </c>
      <c r="E456" s="598">
        <v>167.33855960244199</v>
      </c>
      <c r="F456" s="599">
        <v>514.80721488826521</v>
      </c>
      <c r="G456" s="600">
        <v>165.36300894942957</v>
      </c>
      <c r="H456" s="598">
        <v>276.85054106300936</v>
      </c>
      <c r="I456" s="598">
        <v>146.34956964049508</v>
      </c>
      <c r="J456" s="601"/>
    </row>
    <row r="457" spans="1:10">
      <c r="A457" s="587">
        <v>16</v>
      </c>
      <c r="B457" s="616">
        <v>2224</v>
      </c>
      <c r="C457" s="610">
        <v>178.9</v>
      </c>
      <c r="D457" s="598">
        <v>307.23909352630017</v>
      </c>
      <c r="E457" s="598">
        <v>167.33855960245265</v>
      </c>
      <c r="F457" s="599">
        <v>515.25901939426308</v>
      </c>
      <c r="G457" s="600">
        <v>165.42142768562496</v>
      </c>
      <c r="H457" s="598">
        <v>276.85054106300936</v>
      </c>
      <c r="I457" s="598">
        <v>146.34956964049508</v>
      </c>
      <c r="J457" s="601"/>
    </row>
    <row r="458" spans="1:10">
      <c r="A458" s="587">
        <v>16</v>
      </c>
      <c r="B458" s="616">
        <v>2330</v>
      </c>
      <c r="C458" s="610">
        <v>182.20000000000002</v>
      </c>
      <c r="D458" s="598">
        <v>307.28315196310029</v>
      </c>
      <c r="E458" s="598">
        <v>167.33855960245822</v>
      </c>
      <c r="F458" s="599">
        <v>515.70595852728582</v>
      </c>
      <c r="G458" s="600">
        <v>165.47912704305438</v>
      </c>
      <c r="H458" s="598">
        <v>276.85054106300936</v>
      </c>
      <c r="I458" s="598">
        <v>146.34956964049508</v>
      </c>
      <c r="J458" s="601"/>
    </row>
    <row r="459" spans="1:10">
      <c r="A459" s="587">
        <v>16</v>
      </c>
      <c r="B459" s="616">
        <v>2493</v>
      </c>
      <c r="C459" s="610">
        <v>183.29999999999998</v>
      </c>
      <c r="D459" s="598">
        <v>307.33563389995601</v>
      </c>
      <c r="E459" s="598">
        <v>167.33855960246166</v>
      </c>
      <c r="F459" s="599">
        <v>516.32076103773431</v>
      </c>
      <c r="G459" s="600">
        <v>165.55835095249344</v>
      </c>
      <c r="H459" s="598">
        <v>276.85054106300936</v>
      </c>
      <c r="I459" s="598">
        <v>146.34956964049508</v>
      </c>
      <c r="J459" s="601"/>
    </row>
    <row r="460" spans="1:10">
      <c r="A460" s="587">
        <v>16</v>
      </c>
      <c r="B460" s="616">
        <v>2603</v>
      </c>
      <c r="C460" s="610">
        <v>173.3</v>
      </c>
      <c r="D460" s="598">
        <v>307.36304869447798</v>
      </c>
      <c r="E460" s="598">
        <v>167.33855960246254</v>
      </c>
      <c r="F460" s="599">
        <v>516.69309362174522</v>
      </c>
      <c r="G460" s="600">
        <v>165.6062477111067</v>
      </c>
      <c r="H460" s="598">
        <v>276.85054106300936</v>
      </c>
      <c r="I460" s="598">
        <v>146.34956964049508</v>
      </c>
      <c r="J460" s="601"/>
    </row>
    <row r="461" spans="1:10">
      <c r="A461" s="587">
        <v>16</v>
      </c>
      <c r="B461" s="616">
        <v>2757</v>
      </c>
      <c r="C461" s="610">
        <v>186.7</v>
      </c>
      <c r="D461" s="598">
        <v>307.393343887811</v>
      </c>
      <c r="E461" s="598">
        <v>167.33855960246302</v>
      </c>
      <c r="F461" s="599">
        <v>517.16547459579101</v>
      </c>
      <c r="G461" s="600">
        <v>165.66692548901443</v>
      </c>
      <c r="H461" s="598">
        <v>276.85054106300936</v>
      </c>
      <c r="I461" s="598">
        <v>146.34956964049508</v>
      </c>
      <c r="J461" s="601"/>
    </row>
    <row r="462" spans="1:10">
      <c r="A462" s="587">
        <v>16</v>
      </c>
      <c r="B462" s="616">
        <v>2872</v>
      </c>
      <c r="C462" s="610">
        <v>186.7</v>
      </c>
      <c r="D462" s="598">
        <v>307.41117981612825</v>
      </c>
      <c r="E462" s="598">
        <v>167.33855960246316</v>
      </c>
      <c r="F462" s="599">
        <v>517.48584200330026</v>
      </c>
      <c r="G462" s="600">
        <v>165.7080203079253</v>
      </c>
      <c r="H462" s="598">
        <v>276.85054106300936</v>
      </c>
      <c r="I462" s="598">
        <v>146.34956964049508</v>
      </c>
      <c r="J462" s="601"/>
    </row>
    <row r="463" spans="1:10">
      <c r="A463" s="587">
        <v>16</v>
      </c>
      <c r="B463" s="616">
        <v>2976</v>
      </c>
      <c r="C463" s="610">
        <v>183.29999999999998</v>
      </c>
      <c r="D463" s="598">
        <v>307.42454448737692</v>
      </c>
      <c r="E463" s="598">
        <v>167.33855960246325</v>
      </c>
      <c r="F463" s="599">
        <v>517.75465363592889</v>
      </c>
      <c r="G463" s="600">
        <v>165.74246656551736</v>
      </c>
      <c r="H463" s="598">
        <v>276.85054106300936</v>
      </c>
      <c r="I463" s="598">
        <v>146.34956964049508</v>
      </c>
      <c r="J463" s="601"/>
    </row>
    <row r="464" spans="1:10">
      <c r="A464" s="587">
        <v>16</v>
      </c>
      <c r="B464" s="616">
        <v>3058</v>
      </c>
      <c r="C464" s="610">
        <v>183.29999999999998</v>
      </c>
      <c r="D464" s="598">
        <v>307.43355149761197</v>
      </c>
      <c r="E464" s="598">
        <v>167.33855960246328</v>
      </c>
      <c r="F464" s="599">
        <v>517.95395029246151</v>
      </c>
      <c r="G464" s="600">
        <v>165.76798421508369</v>
      </c>
      <c r="H464" s="598">
        <v>276.85054106300936</v>
      </c>
      <c r="I464" s="598">
        <v>146.34956964049508</v>
      </c>
      <c r="J464" s="601"/>
    </row>
    <row r="465" spans="1:10">
      <c r="A465" s="587">
        <v>16</v>
      </c>
      <c r="B465" s="616">
        <v>3221</v>
      </c>
      <c r="C465" s="610">
        <v>181.10000000000002</v>
      </c>
      <c r="D465" s="598">
        <v>307.44821645626234</v>
      </c>
      <c r="E465" s="598">
        <v>167.33855960246331</v>
      </c>
      <c r="F465" s="599">
        <v>518.32051415741921</v>
      </c>
      <c r="G465" s="600">
        <v>165.81487238347586</v>
      </c>
      <c r="H465" s="598">
        <v>276.85054106300936</v>
      </c>
      <c r="I465" s="598">
        <v>146.34956964049508</v>
      </c>
      <c r="J465" s="601"/>
    </row>
    <row r="466" spans="1:10">
      <c r="A466" s="619">
        <v>17</v>
      </c>
      <c r="B466" s="620">
        <v>6</v>
      </c>
      <c r="C466" s="621">
        <v>210</v>
      </c>
      <c r="D466" s="622"/>
      <c r="E466" s="622"/>
      <c r="F466" s="623"/>
      <c r="G466" s="624"/>
      <c r="H466" s="622"/>
      <c r="I466" s="622"/>
      <c r="J466" s="625">
        <v>218.54393368793805</v>
      </c>
    </row>
    <row r="467" spans="1:10">
      <c r="A467" s="585">
        <v>17</v>
      </c>
      <c r="B467" s="614">
        <v>13</v>
      </c>
      <c r="C467" s="608">
        <v>253.29999999999998</v>
      </c>
      <c r="D467" s="590">
        <v>60.49813215711535</v>
      </c>
      <c r="E467" s="590">
        <v>194.90596713382365</v>
      </c>
      <c r="F467" s="591">
        <v>138.94304517869068</v>
      </c>
      <c r="G467" s="592">
        <v>277.51944808483006</v>
      </c>
      <c r="H467" s="590">
        <v>55.707636837912567</v>
      </c>
      <c r="I467" s="590">
        <v>165.57209637854794</v>
      </c>
      <c r="J467" s="593">
        <v>270.72685682783145</v>
      </c>
    </row>
    <row r="468" spans="1:10">
      <c r="A468" s="585">
        <v>17</v>
      </c>
      <c r="B468" s="614">
        <v>22</v>
      </c>
      <c r="C468" s="608">
        <v>316.7</v>
      </c>
      <c r="D468" s="590">
        <v>93.803462202924905</v>
      </c>
      <c r="E468" s="590">
        <v>277.88768981843077</v>
      </c>
      <c r="F468" s="591">
        <v>209.82183944490819</v>
      </c>
      <c r="G468" s="592">
        <v>346.001914213335</v>
      </c>
      <c r="H468" s="590">
        <v>130.43956382124594</v>
      </c>
      <c r="I468" s="590">
        <v>251.34479109054945</v>
      </c>
      <c r="J468" s="593">
        <v>314.35374356862934</v>
      </c>
    </row>
    <row r="469" spans="1:10">
      <c r="A469" s="585">
        <v>17</v>
      </c>
      <c r="B469" s="614">
        <v>44</v>
      </c>
      <c r="C469" s="608">
        <v>386.70000000000005</v>
      </c>
      <c r="D469" s="590">
        <v>140.75134184746759</v>
      </c>
      <c r="E469" s="590">
        <v>356.96491523107846</v>
      </c>
      <c r="F469" s="591">
        <v>299.00825573059382</v>
      </c>
      <c r="G469" s="592">
        <v>391.71293002524334</v>
      </c>
      <c r="H469" s="590">
        <v>225.88785567703368</v>
      </c>
      <c r="I469" s="590">
        <v>343.34030506132456</v>
      </c>
      <c r="J469" s="593">
        <v>381.59159137312031</v>
      </c>
    </row>
    <row r="470" spans="1:10">
      <c r="A470" s="585">
        <v>17</v>
      </c>
      <c r="B470" s="614">
        <v>62</v>
      </c>
      <c r="C470" s="608">
        <v>413.3</v>
      </c>
      <c r="D470" s="590">
        <v>165.66287012946989</v>
      </c>
      <c r="E470" s="590">
        <v>383.05423946957302</v>
      </c>
      <c r="F470" s="591">
        <v>340.75395543673307</v>
      </c>
      <c r="G470" s="592">
        <v>404.63571025525226</v>
      </c>
      <c r="H470" s="590">
        <v>254.32439739297217</v>
      </c>
      <c r="I470" s="590">
        <v>374.81767617092885</v>
      </c>
      <c r="J470" s="593">
        <v>414.1323146166722</v>
      </c>
    </row>
    <row r="471" spans="1:10">
      <c r="A471" s="585">
        <v>17</v>
      </c>
      <c r="B471" s="614">
        <v>74</v>
      </c>
      <c r="C471" s="608">
        <v>430</v>
      </c>
      <c r="D471" s="590">
        <v>178.76898449173072</v>
      </c>
      <c r="E471" s="590">
        <v>393.22909373681762</v>
      </c>
      <c r="F471" s="591">
        <v>361.19368836061034</v>
      </c>
      <c r="G471" s="592">
        <v>409.72583575691561</v>
      </c>
      <c r="H471" s="590">
        <v>262.90800765013535</v>
      </c>
      <c r="I471" s="590">
        <v>386.48629429307653</v>
      </c>
      <c r="J471" s="593">
        <v>427.4558257005167</v>
      </c>
    </row>
    <row r="472" spans="1:10">
      <c r="A472" s="585">
        <v>17</v>
      </c>
      <c r="B472" s="614">
        <v>95</v>
      </c>
      <c r="C472" s="608">
        <v>436.7</v>
      </c>
      <c r="D472" s="590">
        <v>197.28876290510942</v>
      </c>
      <c r="E472" s="590">
        <v>404.16486203743392</v>
      </c>
      <c r="F472" s="591">
        <v>388.39154662342162</v>
      </c>
      <c r="G472" s="592">
        <v>415.51925226358668</v>
      </c>
      <c r="H472" s="590">
        <v>269.49017157657437</v>
      </c>
      <c r="I472" s="590">
        <v>397.79227909871952</v>
      </c>
      <c r="J472" s="593">
        <v>436.65219924999491</v>
      </c>
    </row>
    <row r="473" spans="1:10">
      <c r="A473" s="586">
        <v>17</v>
      </c>
      <c r="B473" s="615">
        <v>102</v>
      </c>
      <c r="C473" s="609">
        <v>439.99999999999994</v>
      </c>
      <c r="D473" s="594">
        <v>202.51345484194783</v>
      </c>
      <c r="E473" s="594">
        <v>406.61770652910747</v>
      </c>
      <c r="F473" s="595">
        <v>395.72852968332779</v>
      </c>
      <c r="G473" s="596">
        <v>416.91725999242487</v>
      </c>
      <c r="H473" s="594">
        <v>270.50144484235432</v>
      </c>
      <c r="I473" s="594">
        <v>400.01507085402608</v>
      </c>
      <c r="J473" s="597">
        <v>436.03959657104781</v>
      </c>
    </row>
    <row r="474" spans="1:10">
      <c r="A474" s="586">
        <v>17</v>
      </c>
      <c r="B474" s="615">
        <v>111</v>
      </c>
      <c r="C474" s="609">
        <v>413.3</v>
      </c>
      <c r="D474" s="594">
        <v>208.67486330260422</v>
      </c>
      <c r="E474" s="594">
        <v>409.19480029276355</v>
      </c>
      <c r="F474" s="595">
        <v>404.20275910678976</v>
      </c>
      <c r="G474" s="596">
        <v>418.45431212277856</v>
      </c>
      <c r="H474" s="594">
        <v>271.36047389209125</v>
      </c>
      <c r="I474" s="594">
        <v>402.16448097988388</v>
      </c>
      <c r="J474" s="597">
        <v>432.76134617809197</v>
      </c>
    </row>
    <row r="475" spans="1:10">
      <c r="A475" s="586">
        <v>17</v>
      </c>
      <c r="B475" s="615">
        <v>124</v>
      </c>
      <c r="C475" s="609">
        <v>410.00000000000006</v>
      </c>
      <c r="D475" s="594">
        <v>216.6283988080007</v>
      </c>
      <c r="E475" s="594">
        <v>412.05757213286904</v>
      </c>
      <c r="F475" s="595">
        <v>414.87118125757183</v>
      </c>
      <c r="G475" s="596">
        <v>420.27887324932686</v>
      </c>
      <c r="H475" s="594">
        <v>272.0655282671018</v>
      </c>
      <c r="I475" s="594">
        <v>404.27162575297291</v>
      </c>
      <c r="J475" s="597">
        <v>423.611770408533</v>
      </c>
    </row>
    <row r="476" spans="1:10">
      <c r="A476" s="586">
        <v>17</v>
      </c>
      <c r="B476" s="615">
        <v>131</v>
      </c>
      <c r="C476" s="609">
        <v>400</v>
      </c>
      <c r="D476" s="594">
        <v>220.51084384567477</v>
      </c>
      <c r="E476" s="594">
        <v>413.28010410803228</v>
      </c>
      <c r="F476" s="595">
        <v>419.97423717572445</v>
      </c>
      <c r="G476" s="596">
        <v>421.11072888464525</v>
      </c>
      <c r="H476" s="594">
        <v>272.28748885447601</v>
      </c>
      <c r="I476" s="594">
        <v>405.06191614812747</v>
      </c>
      <c r="J476" s="597">
        <v>418.37152709287682</v>
      </c>
    </row>
    <row r="477" spans="1:10">
      <c r="A477" s="586">
        <v>17</v>
      </c>
      <c r="B477" s="615">
        <v>138</v>
      </c>
      <c r="C477" s="609">
        <v>410.00000000000006</v>
      </c>
      <c r="D477" s="594">
        <v>224.14696925745329</v>
      </c>
      <c r="E477" s="594">
        <v>414.32837609811804</v>
      </c>
      <c r="F477" s="595">
        <v>424.69477740804933</v>
      </c>
      <c r="G477" s="596">
        <v>421.85787487953439</v>
      </c>
      <c r="H477" s="594">
        <v>272.44137881464792</v>
      </c>
      <c r="I477" s="594">
        <v>405.67852356643681</v>
      </c>
      <c r="J477" s="597">
        <v>415.72434466266662</v>
      </c>
    </row>
    <row r="478" spans="1:10">
      <c r="A478" s="586">
        <v>17</v>
      </c>
      <c r="B478" s="615">
        <v>145</v>
      </c>
      <c r="C478" s="609">
        <v>413.3</v>
      </c>
      <c r="D478" s="594">
        <v>227.55895968866744</v>
      </c>
      <c r="E478" s="594">
        <v>415.23137816729854</v>
      </c>
      <c r="F478" s="595">
        <v>429.07505151621433</v>
      </c>
      <c r="G478" s="596">
        <v>422.53262662713854</v>
      </c>
      <c r="H478" s="594">
        <v>272.54807002246167</v>
      </c>
      <c r="I478" s="594">
        <v>406.15977328625775</v>
      </c>
      <c r="J478" s="597">
        <v>414.10270347450728</v>
      </c>
    </row>
    <row r="479" spans="1:10">
      <c r="A479" s="586">
        <v>17</v>
      </c>
      <c r="B479" s="615">
        <v>152</v>
      </c>
      <c r="C479" s="609">
        <v>436.7</v>
      </c>
      <c r="D479" s="594">
        <v>230.76626700660086</v>
      </c>
      <c r="E479" s="594">
        <v>416.01255371066634</v>
      </c>
      <c r="F479" s="595">
        <v>433.15119382339043</v>
      </c>
      <c r="G479" s="596">
        <v>423.14502206917422</v>
      </c>
      <c r="H479" s="594">
        <v>272.62203665374307</v>
      </c>
      <c r="I479" s="594">
        <v>406.53547297777982</v>
      </c>
      <c r="J479" s="597">
        <v>412.69644342741441</v>
      </c>
    </row>
    <row r="480" spans="1:10">
      <c r="A480" s="586">
        <v>17</v>
      </c>
      <c r="B480" s="615">
        <v>159</v>
      </c>
      <c r="C480" s="609">
        <v>423.29999999999995</v>
      </c>
      <c r="D480" s="594">
        <v>233.78604807822686</v>
      </c>
      <c r="E480" s="594">
        <v>416.69100160600163</v>
      </c>
      <c r="F480" s="595">
        <v>436.95431084018389</v>
      </c>
      <c r="G480" s="596">
        <v>423.70332499222246</v>
      </c>
      <c r="H480" s="594">
        <v>272.67331515603837</v>
      </c>
      <c r="I480" s="594">
        <v>406.82882947471546</v>
      </c>
      <c r="J480" s="597">
        <v>411.41245581405127</v>
      </c>
    </row>
    <row r="481" spans="1:10">
      <c r="A481" s="586">
        <v>17</v>
      </c>
      <c r="B481" s="615">
        <v>166</v>
      </c>
      <c r="C481" s="609">
        <v>436.7</v>
      </c>
      <c r="D481" s="594">
        <v>236.63351595734756</v>
      </c>
      <c r="E481" s="594">
        <v>417.28238742173056</v>
      </c>
      <c r="F481" s="595">
        <v>440.51134071778051</v>
      </c>
      <c r="G481" s="596">
        <v>424.21440047960402</v>
      </c>
      <c r="H481" s="594">
        <v>272.70886432706459</v>
      </c>
      <c r="I481" s="594">
        <v>407.05792490323546</v>
      </c>
      <c r="J481" s="597">
        <v>410.23864521121942</v>
      </c>
    </row>
    <row r="482" spans="1:10">
      <c r="A482" s="586">
        <v>17</v>
      </c>
      <c r="B482" s="615">
        <v>173</v>
      </c>
      <c r="C482" s="609">
        <v>420</v>
      </c>
      <c r="D482" s="594">
        <v>239.32222471351861</v>
      </c>
      <c r="E482" s="594">
        <v>417.79964130700989</v>
      </c>
      <c r="F482" s="595">
        <v>443.84573947199038</v>
      </c>
      <c r="G482" s="596">
        <v>424.68399887334459</v>
      </c>
      <c r="H482" s="594">
        <v>272.73350882176578</v>
      </c>
      <c r="I482" s="594">
        <v>407.23685708450176</v>
      </c>
      <c r="J482" s="597">
        <v>409.17088236960183</v>
      </c>
    </row>
    <row r="483" spans="1:10">
      <c r="A483" s="586">
        <v>17</v>
      </c>
      <c r="B483" s="615">
        <v>180</v>
      </c>
      <c r="C483" s="609">
        <v>423.29999999999995</v>
      </c>
      <c r="D483" s="594">
        <v>241.86430273674557</v>
      </c>
      <c r="E483" s="594">
        <v>418.25349761121316</v>
      </c>
      <c r="F483" s="595">
        <v>446.97803398415351</v>
      </c>
      <c r="G483" s="596">
        <v>425.11697324521435</v>
      </c>
      <c r="H483" s="594">
        <v>272.75059353878794</v>
      </c>
      <c r="I483" s="594">
        <v>407.37662275558273</v>
      </c>
      <c r="J483" s="597">
        <v>408.20636785528802</v>
      </c>
    </row>
    <row r="484" spans="1:10">
      <c r="A484" s="586">
        <v>17</v>
      </c>
      <c r="B484" s="615">
        <v>240</v>
      </c>
      <c r="C484" s="609">
        <v>383.3</v>
      </c>
      <c r="D484" s="594">
        <v>258.96254826728062</v>
      </c>
      <c r="E484" s="594">
        <v>420.52200688590045</v>
      </c>
      <c r="F484" s="595">
        <v>467.66076612878084</v>
      </c>
      <c r="G484" s="596">
        <v>427.79005766634867</v>
      </c>
      <c r="H484" s="594">
        <v>272.78753269965421</v>
      </c>
      <c r="I484" s="594">
        <v>407.8155871376303</v>
      </c>
      <c r="J484" s="597">
        <v>403.91447584494284</v>
      </c>
    </row>
    <row r="485" spans="1:10">
      <c r="A485" s="586">
        <v>17</v>
      </c>
      <c r="B485" s="615">
        <v>301</v>
      </c>
      <c r="C485" s="609">
        <v>406.70000000000005</v>
      </c>
      <c r="D485" s="594">
        <v>270.50840699091503</v>
      </c>
      <c r="E485" s="594">
        <v>421.41554595149523</v>
      </c>
      <c r="F485" s="595">
        <v>481.4967801469765</v>
      </c>
      <c r="G485" s="596">
        <v>429.41352027383221</v>
      </c>
      <c r="H485" s="594">
        <v>272.78913456033189</v>
      </c>
      <c r="I485" s="594">
        <v>407.86878315250084</v>
      </c>
      <c r="J485" s="597">
        <v>405.05895015162292</v>
      </c>
    </row>
    <row r="486" spans="1:10">
      <c r="A486" s="586">
        <v>17</v>
      </c>
      <c r="B486" s="615">
        <v>363</v>
      </c>
      <c r="C486" s="609">
        <v>416.7</v>
      </c>
      <c r="D486" s="594">
        <v>278.63448390181321</v>
      </c>
      <c r="E486" s="594">
        <v>421.80660306835784</v>
      </c>
      <c r="F486" s="595">
        <v>491.41134667641052</v>
      </c>
      <c r="G486" s="596">
        <v>430.50377987701194</v>
      </c>
      <c r="H486" s="594">
        <v>272.78920047363238</v>
      </c>
      <c r="I486" s="594">
        <v>407.87500809254112</v>
      </c>
      <c r="J486" s="597">
        <v>406.18294597557042</v>
      </c>
    </row>
    <row r="487" spans="1:10">
      <c r="A487" s="586">
        <v>17</v>
      </c>
      <c r="B487" s="615">
        <v>422</v>
      </c>
      <c r="C487" s="609">
        <v>420</v>
      </c>
      <c r="D487" s="594">
        <v>284.20669603311688</v>
      </c>
      <c r="E487" s="594">
        <v>421.9828312729615</v>
      </c>
      <c r="F487" s="595">
        <v>498.45161620626169</v>
      </c>
      <c r="G487" s="596">
        <v>431.24348719984653</v>
      </c>
      <c r="H487" s="594">
        <v>272.78920302421096</v>
      </c>
      <c r="I487" s="594">
        <v>407.87569825079066</v>
      </c>
      <c r="J487" s="597">
        <v>406.18314929117525</v>
      </c>
    </row>
    <row r="488" spans="1:10">
      <c r="A488" s="586">
        <v>17</v>
      </c>
      <c r="B488" s="615">
        <v>483</v>
      </c>
      <c r="C488" s="609">
        <v>420</v>
      </c>
      <c r="D488" s="594">
        <v>288.48330095359142</v>
      </c>
      <c r="E488" s="594">
        <v>422.07563079884704</v>
      </c>
      <c r="F488" s="595">
        <v>504.10790690382811</v>
      </c>
      <c r="G488" s="596">
        <v>431.81808855114934</v>
      </c>
      <c r="H488" s="594">
        <v>272.78920314104215</v>
      </c>
      <c r="I488" s="594">
        <v>407.87578536073704</v>
      </c>
      <c r="J488" s="597">
        <v>405.93406197255234</v>
      </c>
    </row>
    <row r="489" spans="1:10">
      <c r="A489" s="587">
        <v>17</v>
      </c>
      <c r="B489" s="616">
        <v>544</v>
      </c>
      <c r="C489" s="610">
        <v>386.70000000000005</v>
      </c>
      <c r="D489" s="598">
        <v>291.70955086293787</v>
      </c>
      <c r="E489" s="598">
        <v>422.12470591698224</v>
      </c>
      <c r="F489" s="599">
        <v>508.6135367026389</v>
      </c>
      <c r="G489" s="600">
        <v>432.26372412777374</v>
      </c>
      <c r="H489" s="598">
        <v>272.78920314583905</v>
      </c>
      <c r="I489" s="598">
        <v>407.87579550853343</v>
      </c>
      <c r="J489" s="601">
        <v>405.63729951682427</v>
      </c>
    </row>
    <row r="490" spans="1:10">
      <c r="A490" s="587">
        <v>17</v>
      </c>
      <c r="B490" s="616">
        <v>605</v>
      </c>
      <c r="C490" s="610">
        <v>410.00000000000006</v>
      </c>
      <c r="D490" s="598">
        <v>294.18729431426959</v>
      </c>
      <c r="E490" s="598">
        <v>422.15175262211483</v>
      </c>
      <c r="F490" s="599">
        <v>512.2876139180504</v>
      </c>
      <c r="G490" s="600">
        <v>432.61943196389717</v>
      </c>
      <c r="H490" s="598">
        <v>272.78920314603596</v>
      </c>
      <c r="I490" s="598">
        <v>407.87579669069214</v>
      </c>
      <c r="J490" s="601">
        <v>405.33058190045887</v>
      </c>
    </row>
    <row r="491" spans="1:10">
      <c r="A491" s="587">
        <v>17</v>
      </c>
      <c r="B491" s="616">
        <v>666</v>
      </c>
      <c r="C491" s="610">
        <v>410.00000000000006</v>
      </c>
      <c r="D491" s="598">
        <v>296.11908915072866</v>
      </c>
      <c r="E491" s="598">
        <v>422.16718016846892</v>
      </c>
      <c r="F491" s="599">
        <v>515.34111701835093</v>
      </c>
      <c r="G491" s="600">
        <v>432.90993820281648</v>
      </c>
      <c r="H491" s="598">
        <v>272.78920314604409</v>
      </c>
      <c r="I491" s="598">
        <v>407.87579682840669</v>
      </c>
      <c r="J491" s="601">
        <v>405.02144968342481</v>
      </c>
    </row>
    <row r="492" spans="1:10">
      <c r="A492" s="587">
        <v>17</v>
      </c>
      <c r="B492" s="616">
        <v>728</v>
      </c>
      <c r="C492" s="610">
        <v>413.3</v>
      </c>
      <c r="D492" s="598">
        <v>297.66706455965448</v>
      </c>
      <c r="E492" s="598">
        <v>422.17635376391053</v>
      </c>
      <c r="F492" s="599">
        <v>517.95808133061325</v>
      </c>
      <c r="G492" s="600">
        <v>433.1552902267008</v>
      </c>
      <c r="H492" s="598">
        <v>272.78920314604443</v>
      </c>
      <c r="I492" s="598">
        <v>407.87579684452282</v>
      </c>
      <c r="J492" s="601">
        <v>404.70656980957148</v>
      </c>
    </row>
    <row r="493" spans="1:10">
      <c r="A493" s="587">
        <v>17</v>
      </c>
      <c r="B493" s="616">
        <v>788</v>
      </c>
      <c r="C493" s="610">
        <v>410.00000000000006</v>
      </c>
      <c r="D493" s="598">
        <v>298.86352031540639</v>
      </c>
      <c r="E493" s="598">
        <v>422.18169731711004</v>
      </c>
      <c r="F493" s="599">
        <v>520.12484425121488</v>
      </c>
      <c r="G493" s="600">
        <v>433.35594726599874</v>
      </c>
      <c r="H493" s="598">
        <v>272.78920314604443</v>
      </c>
      <c r="I493" s="598">
        <v>407.87579684631851</v>
      </c>
      <c r="J493" s="601">
        <v>404.40164658813762</v>
      </c>
    </row>
    <row r="494" spans="1:10">
      <c r="A494" s="587">
        <v>17</v>
      </c>
      <c r="B494" s="616">
        <v>1142</v>
      </c>
      <c r="C494" s="610">
        <v>416.7</v>
      </c>
      <c r="D494" s="598">
        <v>302.60364844432092</v>
      </c>
      <c r="E494" s="598">
        <v>422.19027927612245</v>
      </c>
      <c r="F494" s="599">
        <v>528.49452199473296</v>
      </c>
      <c r="G494" s="600">
        <v>434.11048443804168</v>
      </c>
      <c r="H494" s="598">
        <v>272.78920314604443</v>
      </c>
      <c r="I494" s="598">
        <v>407.87579684656492</v>
      </c>
      <c r="J494" s="601">
        <v>402.60202834241568</v>
      </c>
    </row>
    <row r="495" spans="1:10">
      <c r="A495" s="587">
        <v>17</v>
      </c>
      <c r="B495" s="616">
        <v>1170</v>
      </c>
      <c r="C495" s="610">
        <v>403.29999999999995</v>
      </c>
      <c r="D495" s="598">
        <v>302.76112045801392</v>
      </c>
      <c r="E495" s="598">
        <v>422.19042076356749</v>
      </c>
      <c r="F495" s="599">
        <v>528.95046412558088</v>
      </c>
      <c r="G495" s="600">
        <v>434.15067281510022</v>
      </c>
      <c r="H495" s="598">
        <v>272.78920314604443</v>
      </c>
      <c r="I495" s="598">
        <v>407.87579684656492</v>
      </c>
      <c r="J495" s="601">
        <v>402.45968008183399</v>
      </c>
    </row>
    <row r="496" spans="1:10">
      <c r="A496" s="587">
        <v>17</v>
      </c>
      <c r="B496" s="616">
        <v>1231</v>
      </c>
      <c r="C496" s="610">
        <v>416.7</v>
      </c>
      <c r="D496" s="598">
        <v>303.06422401907605</v>
      </c>
      <c r="E496" s="598">
        <v>422.19065397265649</v>
      </c>
      <c r="F496" s="599">
        <v>529.87515259806355</v>
      </c>
      <c r="G496" s="600">
        <v>434.23189391756944</v>
      </c>
      <c r="H496" s="598">
        <v>272.78920314604443</v>
      </c>
      <c r="I496" s="598">
        <v>407.87579684656492</v>
      </c>
      <c r="J496" s="601">
        <v>402.1495640213077</v>
      </c>
    </row>
    <row r="497" spans="1:10">
      <c r="A497" s="587">
        <v>17</v>
      </c>
      <c r="B497" s="616">
        <v>1296</v>
      </c>
      <c r="C497" s="610">
        <v>403.29999999999995</v>
      </c>
      <c r="D497" s="598">
        <v>303.33605621181744</v>
      </c>
      <c r="E497" s="598">
        <v>422.19082184314453</v>
      </c>
      <c r="F497" s="599">
        <v>530.76874874252667</v>
      </c>
      <c r="G497" s="600">
        <v>434.31002399620161</v>
      </c>
      <c r="H497" s="598">
        <v>272.78920314604443</v>
      </c>
      <c r="I497" s="598">
        <v>407.87579684656492</v>
      </c>
      <c r="J497" s="601">
        <v>401.8191123022109</v>
      </c>
    </row>
    <row r="498" spans="1:10">
      <c r="A498" s="587">
        <v>17</v>
      </c>
      <c r="B498" s="616">
        <v>1370</v>
      </c>
      <c r="C498" s="610">
        <v>405.6</v>
      </c>
      <c r="D498" s="598">
        <v>303.59339888631825</v>
      </c>
      <c r="E498" s="598">
        <v>422.19094745054724</v>
      </c>
      <c r="F498" s="599">
        <v>531.68701569156315</v>
      </c>
      <c r="G498" s="600">
        <v>434.38994469150646</v>
      </c>
      <c r="H498" s="598">
        <v>272.78920314604443</v>
      </c>
      <c r="I498" s="598">
        <v>407.87579684656492</v>
      </c>
      <c r="J498" s="601">
        <v>401.442905618937</v>
      </c>
    </row>
    <row r="499" spans="1:10">
      <c r="A499" s="587">
        <v>17</v>
      </c>
      <c r="B499" s="616">
        <v>1429</v>
      </c>
      <c r="C499" s="610">
        <v>401.1</v>
      </c>
      <c r="D499" s="598">
        <v>303.76606433027155</v>
      </c>
      <c r="E499" s="598">
        <v>422.19101487028939</v>
      </c>
      <c r="F499" s="599">
        <v>532.35364587875711</v>
      </c>
      <c r="G499" s="600">
        <v>434.44773292123233</v>
      </c>
      <c r="H499" s="598">
        <v>272.78920314604443</v>
      </c>
      <c r="I499" s="598">
        <v>407.87579684656492</v>
      </c>
      <c r="J499" s="601">
        <v>401.14295700427243</v>
      </c>
    </row>
    <row r="500" spans="1:10">
      <c r="A500" s="587">
        <v>17</v>
      </c>
      <c r="B500" s="616">
        <v>1528</v>
      </c>
      <c r="C500" s="610">
        <v>398.90000000000003</v>
      </c>
      <c r="D500" s="598">
        <v>304.00411673989544</v>
      </c>
      <c r="E500" s="598">
        <v>422.19108739195997</v>
      </c>
      <c r="F500" s="599">
        <v>533.36076817719277</v>
      </c>
      <c r="G500" s="600">
        <v>434.5346702353084</v>
      </c>
      <c r="H500" s="598">
        <v>272.78920314604443</v>
      </c>
      <c r="I500" s="598">
        <v>407.87579684656492</v>
      </c>
      <c r="J500" s="601">
        <v>400.63965335577967</v>
      </c>
    </row>
    <row r="501" spans="1:10">
      <c r="A501" s="587">
        <v>17</v>
      </c>
      <c r="B501" s="616">
        <v>1619</v>
      </c>
      <c r="C501" s="610">
        <v>390</v>
      </c>
      <c r="D501" s="598">
        <v>304.17775065416373</v>
      </c>
      <c r="E501" s="598">
        <v>422.19112658107406</v>
      </c>
      <c r="F501" s="599">
        <v>534.18160357361546</v>
      </c>
      <c r="G501" s="600">
        <v>434.60520172441539</v>
      </c>
      <c r="H501" s="598">
        <v>272.78920314604443</v>
      </c>
      <c r="I501" s="598">
        <v>407.87579684656492</v>
      </c>
      <c r="J501" s="601">
        <v>400.17702068775583</v>
      </c>
    </row>
    <row r="502" spans="1:10">
      <c r="A502" s="587">
        <v>17</v>
      </c>
      <c r="B502" s="616">
        <v>1711</v>
      </c>
      <c r="C502" s="610">
        <v>393.29999999999995</v>
      </c>
      <c r="D502" s="598">
        <v>304.319334113222</v>
      </c>
      <c r="E502" s="598">
        <v>422.19115076920775</v>
      </c>
      <c r="F502" s="599">
        <v>534.92559962344308</v>
      </c>
      <c r="G502" s="600">
        <v>434.66887985189521</v>
      </c>
      <c r="H502" s="598">
        <v>272.78920314604443</v>
      </c>
      <c r="I502" s="598">
        <v>407.87579684656492</v>
      </c>
      <c r="J502" s="601">
        <v>399.70930413511866</v>
      </c>
    </row>
    <row r="503" spans="1:10">
      <c r="A503" s="587">
        <v>17</v>
      </c>
      <c r="B503" s="616">
        <v>1803</v>
      </c>
      <c r="C503" s="610">
        <v>387.8</v>
      </c>
      <c r="D503" s="598">
        <v>304.43414259149813</v>
      </c>
      <c r="E503" s="598">
        <v>422.19116570595952</v>
      </c>
      <c r="F503" s="599">
        <v>535.59602737681621</v>
      </c>
      <c r="G503" s="600">
        <v>434.72605800444853</v>
      </c>
      <c r="H503" s="598">
        <v>272.78920314604443</v>
      </c>
      <c r="I503" s="598">
        <v>407.87579684656492</v>
      </c>
      <c r="J503" s="601">
        <v>399.24158757816269</v>
      </c>
    </row>
    <row r="504" spans="1:10">
      <c r="A504" s="587">
        <v>17</v>
      </c>
      <c r="B504" s="616">
        <v>1934</v>
      </c>
      <c r="C504" s="610">
        <v>398.90000000000003</v>
      </c>
      <c r="D504" s="598">
        <v>304.56222115485951</v>
      </c>
      <c r="E504" s="598">
        <v>422.19117789081537</v>
      </c>
      <c r="F504" s="599">
        <v>536.44378074997553</v>
      </c>
      <c r="G504" s="600">
        <v>434.79808496268737</v>
      </c>
      <c r="H504" s="598">
        <v>272.78920314604443</v>
      </c>
      <c r="I504" s="598">
        <v>407.87579684656492</v>
      </c>
      <c r="J504" s="601">
        <v>398.57559986870888</v>
      </c>
    </row>
    <row r="505" spans="1:10">
      <c r="A505" s="587">
        <v>17</v>
      </c>
      <c r="B505" s="616">
        <v>2025</v>
      </c>
      <c r="C505" s="610">
        <v>391.1</v>
      </c>
      <c r="D505" s="598">
        <v>304.6322914887121</v>
      </c>
      <c r="E505" s="598">
        <v>422.19118274426762</v>
      </c>
      <c r="F505" s="599">
        <v>536.96991161912285</v>
      </c>
      <c r="G505" s="600">
        <v>434.84263263408661</v>
      </c>
      <c r="H505" s="598">
        <v>272.78920314604443</v>
      </c>
      <c r="I505" s="598">
        <v>407.87579684656492</v>
      </c>
      <c r="J505" s="601">
        <v>398.11296718396875</v>
      </c>
    </row>
    <row r="506" spans="1:10">
      <c r="A506" s="587">
        <v>17</v>
      </c>
      <c r="B506" s="616">
        <v>2128</v>
      </c>
      <c r="C506" s="610">
        <v>390</v>
      </c>
      <c r="D506" s="598">
        <v>304.69719335297299</v>
      </c>
      <c r="E506" s="598">
        <v>422.19118620490872</v>
      </c>
      <c r="F506" s="599">
        <v>537.51257095035191</v>
      </c>
      <c r="G506" s="600">
        <v>434.88845708534762</v>
      </c>
      <c r="H506" s="598">
        <v>272.78920314604443</v>
      </c>
      <c r="I506" s="598">
        <v>407.87579684656492</v>
      </c>
      <c r="J506" s="601">
        <v>397.58932799085909</v>
      </c>
    </row>
    <row r="507" spans="1:10">
      <c r="A507" s="587">
        <v>17</v>
      </c>
      <c r="B507" s="616">
        <v>2226</v>
      </c>
      <c r="C507" s="610">
        <v>387.8</v>
      </c>
      <c r="D507" s="598">
        <v>304.74760148530459</v>
      </c>
      <c r="E507" s="598">
        <v>422.19118826233409</v>
      </c>
      <c r="F507" s="599">
        <v>537.98344899903157</v>
      </c>
      <c r="G507" s="600">
        <v>434.92811939855727</v>
      </c>
      <c r="H507" s="598">
        <v>272.78920314604443</v>
      </c>
      <c r="I507" s="598">
        <v>407.87579684656492</v>
      </c>
      <c r="J507" s="601">
        <v>397.09110817580063</v>
      </c>
    </row>
    <row r="508" spans="1:10">
      <c r="A508" s="587">
        <v>17</v>
      </c>
      <c r="B508" s="616">
        <v>2332</v>
      </c>
      <c r="C508" s="610">
        <v>387.8</v>
      </c>
      <c r="D508" s="598">
        <v>304.7922306412475</v>
      </c>
      <c r="E508" s="598">
        <v>422.19118966261209</v>
      </c>
      <c r="F508" s="599">
        <v>538.44929269693444</v>
      </c>
      <c r="G508" s="600">
        <v>434.96726595651461</v>
      </c>
      <c r="H508" s="598">
        <v>272.78920314604443</v>
      </c>
      <c r="I508" s="598">
        <v>407.87579684656492</v>
      </c>
      <c r="J508" s="601">
        <v>396.55221735528471</v>
      </c>
    </row>
    <row r="509" spans="1:10">
      <c r="A509" s="587">
        <v>17</v>
      </c>
      <c r="B509" s="616">
        <v>2495</v>
      </c>
      <c r="C509" s="610">
        <v>380</v>
      </c>
      <c r="D509" s="598">
        <v>304.84544254077798</v>
      </c>
      <c r="E509" s="598">
        <v>422.19119086380402</v>
      </c>
      <c r="F509" s="599">
        <v>539.09015922255264</v>
      </c>
      <c r="G509" s="600">
        <v>435.02097177103104</v>
      </c>
      <c r="H509" s="598">
        <v>272.78920314604443</v>
      </c>
      <c r="I509" s="598">
        <v>407.87579684656492</v>
      </c>
      <c r="J509" s="601">
        <v>395.72354562170415</v>
      </c>
    </row>
    <row r="510" spans="1:10">
      <c r="A510" s="587">
        <v>17</v>
      </c>
      <c r="B510" s="616">
        <v>2605</v>
      </c>
      <c r="C510" s="610">
        <v>383.3</v>
      </c>
      <c r="D510" s="598">
        <v>304.87326525347851</v>
      </c>
      <c r="E510" s="598">
        <v>422.19119130883723</v>
      </c>
      <c r="F510" s="599">
        <v>539.47830985105111</v>
      </c>
      <c r="G510" s="600">
        <v>435.05341613105475</v>
      </c>
      <c r="H510" s="598">
        <v>272.78920314604443</v>
      </c>
      <c r="I510" s="598">
        <v>407.87579684656492</v>
      </c>
      <c r="J510" s="601">
        <v>395.16431929838035</v>
      </c>
    </row>
    <row r="511" spans="1:10">
      <c r="A511" s="587">
        <v>17</v>
      </c>
      <c r="B511" s="616">
        <v>2759</v>
      </c>
      <c r="C511" s="610">
        <v>390</v>
      </c>
      <c r="D511" s="598">
        <v>304.90403788022132</v>
      </c>
      <c r="E511" s="598">
        <v>422.19119167042288</v>
      </c>
      <c r="F511" s="599">
        <v>539.97079547751116</v>
      </c>
      <c r="G511" s="600">
        <v>435.09449129256012</v>
      </c>
      <c r="H511" s="598">
        <v>272.78920314604443</v>
      </c>
      <c r="I511" s="598">
        <v>407.87579684656492</v>
      </c>
      <c r="J511" s="601">
        <v>394.38140244569695</v>
      </c>
    </row>
    <row r="512" spans="1:10">
      <c r="A512" s="587">
        <v>17</v>
      </c>
      <c r="B512" s="616">
        <v>2874</v>
      </c>
      <c r="C512" s="610">
        <v>387.8</v>
      </c>
      <c r="D512" s="598">
        <v>304.92217081165541</v>
      </c>
      <c r="E512" s="598">
        <v>422.19119182519802</v>
      </c>
      <c r="F512" s="599">
        <v>540.30482083620007</v>
      </c>
      <c r="G512" s="600">
        <v>435.12229296871328</v>
      </c>
      <c r="H512" s="598">
        <v>272.78920314604443</v>
      </c>
      <c r="I512" s="598">
        <v>407.87579684656492</v>
      </c>
      <c r="J512" s="601">
        <v>393.79675674400573</v>
      </c>
    </row>
    <row r="513" spans="1:10">
      <c r="A513" s="587">
        <v>17</v>
      </c>
      <c r="B513" s="616">
        <v>2978</v>
      </c>
      <c r="C513" s="610">
        <v>388.90000000000003</v>
      </c>
      <c r="D513" s="598">
        <v>304.93576740215588</v>
      </c>
      <c r="E513" s="598">
        <v>422.19119191549879</v>
      </c>
      <c r="F513" s="599">
        <v>540.5851068516746</v>
      </c>
      <c r="G513" s="600">
        <v>435.14558614716117</v>
      </c>
      <c r="H513" s="598">
        <v>272.78920314604443</v>
      </c>
      <c r="I513" s="598">
        <v>407.87579684656492</v>
      </c>
      <c r="J513" s="601">
        <v>393.26803367464549</v>
      </c>
    </row>
    <row r="514" spans="1:10">
      <c r="A514" s="587">
        <v>17</v>
      </c>
      <c r="B514" s="616">
        <v>3060</v>
      </c>
      <c r="C514" s="610">
        <v>388.90000000000003</v>
      </c>
      <c r="D514" s="598">
        <v>304.94493598097483</v>
      </c>
      <c r="E514" s="598">
        <v>422.19119196483581</v>
      </c>
      <c r="F514" s="599">
        <v>540.79291906552351</v>
      </c>
      <c r="G514" s="600">
        <v>435.16283542234765</v>
      </c>
      <c r="H514" s="598">
        <v>272.78920314604443</v>
      </c>
      <c r="I514" s="598">
        <v>407.87579684656492</v>
      </c>
      <c r="J514" s="601">
        <v>392.85115586995573</v>
      </c>
    </row>
    <row r="515" spans="1:10">
      <c r="A515" s="587">
        <v>17</v>
      </c>
      <c r="B515" s="616">
        <v>3223</v>
      </c>
      <c r="C515" s="610">
        <v>390</v>
      </c>
      <c r="D515" s="598">
        <v>304.95987473631089</v>
      </c>
      <c r="E515" s="598">
        <v>422.19119202685698</v>
      </c>
      <c r="F515" s="599">
        <v>541.17516430477258</v>
      </c>
      <c r="G515" s="600">
        <v>435.19451682948647</v>
      </c>
      <c r="H515" s="598">
        <v>272.78920314604443</v>
      </c>
      <c r="I515" s="598">
        <v>407.87579684656492</v>
      </c>
      <c r="J515" s="601">
        <v>392.02248413624</v>
      </c>
    </row>
    <row r="516" spans="1:10">
      <c r="A516" s="587">
        <v>17</v>
      </c>
      <c r="B516" s="616">
        <v>3309</v>
      </c>
      <c r="C516" s="610">
        <v>386.70000000000005</v>
      </c>
      <c r="D516" s="598">
        <v>304.96631154052051</v>
      </c>
      <c r="E516" s="598">
        <v>422.19119204709222</v>
      </c>
      <c r="F516" s="599">
        <v>541.36192597794104</v>
      </c>
      <c r="G516" s="600">
        <v>435.20997419968819</v>
      </c>
      <c r="H516" s="598">
        <v>272.78920314604443</v>
      </c>
      <c r="I516" s="598">
        <v>407.87579684656492</v>
      </c>
      <c r="J516" s="601">
        <v>391.58527082887974</v>
      </c>
    </row>
    <row r="517" spans="1:10">
      <c r="A517" s="619">
        <v>19</v>
      </c>
      <c r="B517" s="620">
        <v>6</v>
      </c>
      <c r="C517" s="621">
        <v>103.30000000000001</v>
      </c>
      <c r="D517" s="622"/>
      <c r="E517" s="622"/>
      <c r="F517" s="623"/>
      <c r="G517" s="624"/>
      <c r="H517" s="622"/>
      <c r="I517" s="622"/>
      <c r="J517" s="625"/>
    </row>
    <row r="518" spans="1:10">
      <c r="A518" s="585">
        <v>19</v>
      </c>
      <c r="B518" s="614">
        <v>13</v>
      </c>
      <c r="C518" s="608">
        <v>136.69999999999999</v>
      </c>
      <c r="D518" s="590">
        <v>61.208236173762828</v>
      </c>
      <c r="E518" s="590">
        <v>132.80033512411001</v>
      </c>
      <c r="F518" s="591">
        <v>133.07636578058811</v>
      </c>
      <c r="G518" s="592">
        <v>112.15952014193716</v>
      </c>
      <c r="H518" s="590">
        <v>55.535265235619597</v>
      </c>
      <c r="I518" s="590">
        <v>96.741654674317644</v>
      </c>
      <c r="J518" s="593"/>
    </row>
    <row r="519" spans="1:10">
      <c r="A519" s="585">
        <v>19</v>
      </c>
      <c r="B519" s="614">
        <v>22</v>
      </c>
      <c r="C519" s="608">
        <v>213.3</v>
      </c>
      <c r="D519" s="590">
        <v>94.891350781255866</v>
      </c>
      <c r="E519" s="590">
        <v>189.22196312951024</v>
      </c>
      <c r="F519" s="591">
        <v>200.96240023252926</v>
      </c>
      <c r="G519" s="592">
        <v>162.19184541067642</v>
      </c>
      <c r="H519" s="590">
        <v>131.31782238591808</v>
      </c>
      <c r="I519" s="590">
        <v>152.00098310277616</v>
      </c>
      <c r="J519" s="593"/>
    </row>
    <row r="520" spans="1:10">
      <c r="A520" s="585">
        <v>19</v>
      </c>
      <c r="B520" s="614">
        <v>44</v>
      </c>
      <c r="C520" s="608">
        <v>246.70000000000002</v>
      </c>
      <c r="D520" s="590">
        <v>142.33980971126849</v>
      </c>
      <c r="E520" s="590">
        <v>242.83597225499696</v>
      </c>
      <c r="F520" s="591">
        <v>286.38304248943268</v>
      </c>
      <c r="G520" s="592">
        <v>215.30651784066424</v>
      </c>
      <c r="H520" s="590">
        <v>228.81071812543524</v>
      </c>
      <c r="I520" s="590">
        <v>221.44511294102321</v>
      </c>
      <c r="J520" s="593"/>
    </row>
    <row r="521" spans="1:10">
      <c r="A521" s="585">
        <v>19</v>
      </c>
      <c r="B521" s="614">
        <v>62</v>
      </c>
      <c r="C521" s="608">
        <v>266.7</v>
      </c>
      <c r="D521" s="590">
        <v>167.49489356403893</v>
      </c>
      <c r="E521" s="590">
        <v>260.46673139330477</v>
      </c>
      <c r="F521" s="591">
        <v>326.36608731701773</v>
      </c>
      <c r="G521" s="592">
        <v>236.34081201651799</v>
      </c>
      <c r="H521" s="590">
        <v>257.93815067888778</v>
      </c>
      <c r="I521" s="590">
        <v>251.49526870913559</v>
      </c>
      <c r="J521" s="593"/>
    </row>
    <row r="522" spans="1:10">
      <c r="A522" s="585">
        <v>19</v>
      </c>
      <c r="B522" s="614">
        <v>74</v>
      </c>
      <c r="C522" s="608">
        <v>290.00000000000006</v>
      </c>
      <c r="D522" s="590">
        <v>180.72111488925955</v>
      </c>
      <c r="E522" s="590">
        <v>267.32964405406346</v>
      </c>
      <c r="F522" s="591">
        <v>345.94278056954619</v>
      </c>
      <c r="G522" s="592">
        <v>245.79502683986951</v>
      </c>
      <c r="H522" s="590">
        <v>266.7325770536242</v>
      </c>
      <c r="I522" s="590">
        <v>264.85110338407094</v>
      </c>
      <c r="J522" s="593"/>
    </row>
    <row r="523" spans="1:10">
      <c r="A523" s="585">
        <v>19</v>
      </c>
      <c r="B523" s="614">
        <v>95</v>
      </c>
      <c r="C523" s="608">
        <v>303.3</v>
      </c>
      <c r="D523" s="590">
        <v>199.39930996258423</v>
      </c>
      <c r="E523" s="590">
        <v>274.69375229247754</v>
      </c>
      <c r="F523" s="591">
        <v>371.99224659338108</v>
      </c>
      <c r="G523" s="592">
        <v>257.55787790178846</v>
      </c>
      <c r="H523" s="590">
        <v>273.47469767670628</v>
      </c>
      <c r="I523" s="590">
        <v>280.49240013028657</v>
      </c>
      <c r="J523" s="593"/>
    </row>
    <row r="524" spans="1:10">
      <c r="A524" s="586">
        <v>19</v>
      </c>
      <c r="B524" s="615">
        <v>102</v>
      </c>
      <c r="C524" s="609">
        <v>300</v>
      </c>
      <c r="D524" s="594">
        <v>204.66599280934278</v>
      </c>
      <c r="E524" s="594">
        <v>276.34321513649422</v>
      </c>
      <c r="F524" s="595">
        <v>379.01943561281246</v>
      </c>
      <c r="G524" s="596">
        <v>260.57712445674463</v>
      </c>
      <c r="H524" s="594">
        <v>274.51009299710756</v>
      </c>
      <c r="I524" s="594">
        <v>284.18723345589376</v>
      </c>
      <c r="J524" s="597"/>
    </row>
    <row r="525" spans="1:10">
      <c r="A525" s="586">
        <v>19</v>
      </c>
      <c r="B525" s="615">
        <v>110</v>
      </c>
      <c r="C525" s="609">
        <v>300</v>
      </c>
      <c r="D525" s="594">
        <v>210.21404267652841</v>
      </c>
      <c r="E525" s="594">
        <v>277.90110942390515</v>
      </c>
      <c r="F525" s="595">
        <v>386.28001062718397</v>
      </c>
      <c r="G525" s="596">
        <v>263.63004914373499</v>
      </c>
      <c r="H525" s="594">
        <v>275.31084997408971</v>
      </c>
      <c r="I525" s="594">
        <v>287.73162762813843</v>
      </c>
      <c r="J525" s="597"/>
    </row>
    <row r="526" spans="1:10">
      <c r="A526" s="586">
        <v>19</v>
      </c>
      <c r="B526" s="615">
        <v>123</v>
      </c>
      <c r="C526" s="609">
        <v>276.7</v>
      </c>
      <c r="D526" s="594">
        <v>218.30728074742422</v>
      </c>
      <c r="E526" s="594">
        <v>279.86915511307558</v>
      </c>
      <c r="F526" s="595">
        <v>396.62300457964011</v>
      </c>
      <c r="G526" s="596">
        <v>267.86449866919838</v>
      </c>
      <c r="H526" s="594">
        <v>276.07102777580963</v>
      </c>
      <c r="I526" s="594">
        <v>292.26083507467149</v>
      </c>
      <c r="J526" s="597"/>
    </row>
    <row r="527" spans="1:10">
      <c r="A527" s="586">
        <v>19</v>
      </c>
      <c r="B527" s="615">
        <v>130</v>
      </c>
      <c r="C527" s="609">
        <v>263.3</v>
      </c>
      <c r="D527" s="594">
        <v>222.25475284519973</v>
      </c>
      <c r="E527" s="594">
        <v>280.70799581031434</v>
      </c>
      <c r="F527" s="595">
        <v>401.56663185050809</v>
      </c>
      <c r="G527" s="596">
        <v>269.84176879774026</v>
      </c>
      <c r="H527" s="594">
        <v>276.31025449138417</v>
      </c>
      <c r="I527" s="594">
        <v>294.19570971589434</v>
      </c>
      <c r="J527" s="597"/>
    </row>
    <row r="528" spans="1:10">
      <c r="A528" s="586">
        <v>19</v>
      </c>
      <c r="B528" s="615">
        <v>137</v>
      </c>
      <c r="C528" s="609">
        <v>266.7</v>
      </c>
      <c r="D528" s="594">
        <v>225.94989834875977</v>
      </c>
      <c r="E528" s="594">
        <v>281.42640838211469</v>
      </c>
      <c r="F528" s="595">
        <v>406.13756235249105</v>
      </c>
      <c r="G528" s="596">
        <v>271.64357296872635</v>
      </c>
      <c r="H528" s="594">
        <v>276.47607351384431</v>
      </c>
      <c r="I528" s="594">
        <v>295.84619512753591</v>
      </c>
      <c r="J528" s="597"/>
    </row>
    <row r="529" spans="1:10">
      <c r="A529" s="586">
        <v>19</v>
      </c>
      <c r="B529" s="615">
        <v>144</v>
      </c>
      <c r="C529" s="609">
        <v>280</v>
      </c>
      <c r="D529" s="594">
        <v>229.41561112739919</v>
      </c>
      <c r="E529" s="594">
        <v>282.0445680046999</v>
      </c>
      <c r="F529" s="595">
        <v>410.37719932043814</v>
      </c>
      <c r="G529" s="596">
        <v>273.29238091759464</v>
      </c>
      <c r="H529" s="594">
        <v>276.5910055237681</v>
      </c>
      <c r="I529" s="594">
        <v>297.25515374236818</v>
      </c>
      <c r="J529" s="597"/>
    </row>
    <row r="530" spans="1:10">
      <c r="A530" s="586">
        <v>19</v>
      </c>
      <c r="B530" s="615">
        <v>151</v>
      </c>
      <c r="C530" s="609">
        <v>300</v>
      </c>
      <c r="D530" s="594">
        <v>232.67194463115899</v>
      </c>
      <c r="E530" s="594">
        <v>282.57876339384399</v>
      </c>
      <c r="F530" s="595">
        <v>414.32091841923346</v>
      </c>
      <c r="G530" s="596">
        <v>274.80696614849268</v>
      </c>
      <c r="H530" s="594">
        <v>276.67066458309375</v>
      </c>
      <c r="I530" s="594">
        <v>298.4586934390739</v>
      </c>
      <c r="J530" s="597"/>
    </row>
    <row r="531" spans="1:10">
      <c r="A531" s="586">
        <v>19</v>
      </c>
      <c r="B531" s="615">
        <v>158</v>
      </c>
      <c r="C531" s="609">
        <v>293.29999999999995</v>
      </c>
      <c r="D531" s="594">
        <v>235.73657005469596</v>
      </c>
      <c r="E531" s="594">
        <v>283.04224470542169</v>
      </c>
      <c r="F531" s="595">
        <v>417.99914581678291</v>
      </c>
      <c r="G531" s="596">
        <v>276.20313913317835</v>
      </c>
      <c r="H531" s="594">
        <v>276.72587495873546</v>
      </c>
      <c r="I531" s="594">
        <v>299.48731379780872</v>
      </c>
      <c r="J531" s="597"/>
    </row>
    <row r="532" spans="1:10">
      <c r="A532" s="586">
        <v>19</v>
      </c>
      <c r="B532" s="615">
        <v>165</v>
      </c>
      <c r="C532" s="609">
        <v>290.00000000000006</v>
      </c>
      <c r="D532" s="594">
        <v>238.62514328009266</v>
      </c>
      <c r="E532" s="594">
        <v>283.44586491420017</v>
      </c>
      <c r="F532" s="595">
        <v>421.43820893444797</v>
      </c>
      <c r="G532" s="596">
        <v>277.49431193925864</v>
      </c>
      <c r="H532" s="594">
        <v>276.76413982875681</v>
      </c>
      <c r="I532" s="594">
        <v>300.36683522325575</v>
      </c>
      <c r="J532" s="597"/>
    </row>
    <row r="533" spans="1:10">
      <c r="A533" s="586">
        <v>19</v>
      </c>
      <c r="B533" s="615">
        <v>172</v>
      </c>
      <c r="C533" s="609">
        <v>286.7</v>
      </c>
      <c r="D533" s="594">
        <v>241.35160204735035</v>
      </c>
      <c r="E533" s="594">
        <v>283.79857011330802</v>
      </c>
      <c r="F533" s="595">
        <v>424.66101477631594</v>
      </c>
      <c r="G533" s="596">
        <v>278.69193800844067</v>
      </c>
      <c r="H533" s="594">
        <v>276.7906599578709</v>
      </c>
      <c r="I533" s="594">
        <v>301.11915819410279</v>
      </c>
      <c r="J533" s="597"/>
    </row>
    <row r="534" spans="1:10">
      <c r="A534" s="586">
        <v>19</v>
      </c>
      <c r="B534" s="615">
        <v>179</v>
      </c>
      <c r="C534" s="609">
        <v>296.7</v>
      </c>
      <c r="D534" s="594">
        <v>243.92840904381163</v>
      </c>
      <c r="E534" s="594">
        <v>284.10777795416499</v>
      </c>
      <c r="F534" s="595">
        <v>427.6875958746848</v>
      </c>
      <c r="G534" s="596">
        <v>279.80585826178049</v>
      </c>
      <c r="H534" s="594">
        <v>276.80904006976874</v>
      </c>
      <c r="I534" s="594">
        <v>301.76288800227303</v>
      </c>
      <c r="J534" s="597"/>
    </row>
    <row r="535" spans="1:10">
      <c r="A535" s="586">
        <v>19</v>
      </c>
      <c r="B535" s="615">
        <v>240</v>
      </c>
      <c r="C535" s="609">
        <v>276.7</v>
      </c>
      <c r="D535" s="594">
        <v>261.46527824075355</v>
      </c>
      <c r="E535" s="594">
        <v>285.66344313538337</v>
      </c>
      <c r="F535" s="595">
        <v>447.9144320937084</v>
      </c>
      <c r="G535" s="596">
        <v>286.98860027152335</v>
      </c>
      <c r="H535" s="594">
        <v>276.84884104347071</v>
      </c>
      <c r="I535" s="594">
        <v>304.6056157704985</v>
      </c>
      <c r="J535" s="597"/>
    </row>
    <row r="536" spans="1:10">
      <c r="A536" s="586">
        <v>19</v>
      </c>
      <c r="B536" s="615">
        <v>301</v>
      </c>
      <c r="C536" s="609">
        <v>313.29999999999995</v>
      </c>
      <c r="D536" s="594">
        <v>273.04986685958062</v>
      </c>
      <c r="E536" s="594">
        <v>286.25821528251629</v>
      </c>
      <c r="F536" s="595">
        <v>461.16623940844499</v>
      </c>
      <c r="G536" s="596">
        <v>291.45613464919296</v>
      </c>
      <c r="H536" s="594">
        <v>276.85047142540549</v>
      </c>
      <c r="I536" s="594">
        <v>305.34496831954664</v>
      </c>
      <c r="J536" s="597"/>
    </row>
    <row r="537" spans="1:10">
      <c r="A537" s="586">
        <v>19</v>
      </c>
      <c r="B537" s="615">
        <v>363</v>
      </c>
      <c r="C537" s="609">
        <v>320</v>
      </c>
      <c r="D537" s="594">
        <v>281.19272410769901</v>
      </c>
      <c r="E537" s="594">
        <v>286.5178039556173</v>
      </c>
      <c r="F537" s="595">
        <v>470.66217697286288</v>
      </c>
      <c r="G537" s="596">
        <v>294.54625854373376</v>
      </c>
      <c r="H537" s="594">
        <v>276.85053835602474</v>
      </c>
      <c r="I537" s="594">
        <v>305.53943542201688</v>
      </c>
      <c r="J537" s="597"/>
    </row>
    <row r="538" spans="1:10">
      <c r="A538" s="586">
        <v>19</v>
      </c>
      <c r="B538" s="615">
        <v>422</v>
      </c>
      <c r="C538" s="609">
        <v>320</v>
      </c>
      <c r="D538" s="594">
        <v>286.77009956205887</v>
      </c>
      <c r="E538" s="594">
        <v>286.63449997225257</v>
      </c>
      <c r="F538" s="595">
        <v>477.40518078383803</v>
      </c>
      <c r="G538" s="596">
        <v>296.6858163169772</v>
      </c>
      <c r="H538" s="594">
        <v>276.85054093987736</v>
      </c>
      <c r="I538" s="594">
        <v>305.58797103337673</v>
      </c>
      <c r="J538" s="597"/>
    </row>
    <row r="539" spans="1:10">
      <c r="A539" s="586">
        <v>19</v>
      </c>
      <c r="B539" s="615">
        <v>483</v>
      </c>
      <c r="C539" s="609">
        <v>316.7</v>
      </c>
      <c r="D539" s="594">
        <v>291.04630537276518</v>
      </c>
      <c r="E539" s="594">
        <v>286.69581478422452</v>
      </c>
      <c r="F539" s="595">
        <v>482.82264236935771</v>
      </c>
      <c r="G539" s="596">
        <v>298.37257938250445</v>
      </c>
      <c r="H539" s="594">
        <v>276.85054105796553</v>
      </c>
      <c r="I539" s="594">
        <v>305.60143913758651</v>
      </c>
      <c r="J539" s="597"/>
    </row>
    <row r="540" spans="1:10">
      <c r="A540" s="587">
        <v>19</v>
      </c>
      <c r="B540" s="616">
        <v>544</v>
      </c>
      <c r="C540" s="610">
        <v>320</v>
      </c>
      <c r="D540" s="598">
        <v>294.26917557287663</v>
      </c>
      <c r="E540" s="598">
        <v>286.72817173188474</v>
      </c>
      <c r="F540" s="599">
        <v>487.13802813341192</v>
      </c>
      <c r="G540" s="600">
        <v>299.6960212348165</v>
      </c>
      <c r="H540" s="598">
        <v>276.85054106280273</v>
      </c>
      <c r="I540" s="598">
        <v>305.60495882113622</v>
      </c>
      <c r="J540" s="601"/>
    </row>
    <row r="541" spans="1:10">
      <c r="A541" s="587">
        <v>19</v>
      </c>
      <c r="B541" s="616">
        <v>605</v>
      </c>
      <c r="C541" s="610">
        <v>310</v>
      </c>
      <c r="D541" s="598">
        <v>296.74213250263654</v>
      </c>
      <c r="E541" s="598">
        <v>286.74596937679223</v>
      </c>
      <c r="F541" s="599">
        <v>490.65697248068335</v>
      </c>
      <c r="G541" s="600">
        <v>300.76214446904612</v>
      </c>
      <c r="H541" s="598">
        <v>276.85054106300089</v>
      </c>
      <c r="I541" s="598">
        <v>305.60587865216456</v>
      </c>
      <c r="J541" s="601"/>
    </row>
    <row r="542" spans="1:10">
      <c r="A542" s="587">
        <v>19</v>
      </c>
      <c r="B542" s="616">
        <v>666</v>
      </c>
      <c r="C542" s="610">
        <v>316.7</v>
      </c>
      <c r="D542" s="598">
        <v>298.66859971429579</v>
      </c>
      <c r="E542" s="598">
        <v>286.7561022644901</v>
      </c>
      <c r="F542" s="599">
        <v>493.58154560318229</v>
      </c>
      <c r="G542" s="600">
        <v>301.63936150363088</v>
      </c>
      <c r="H542" s="598">
        <v>276.85054106300902</v>
      </c>
      <c r="I542" s="598">
        <v>305.60611904105707</v>
      </c>
      <c r="J542" s="601"/>
    </row>
    <row r="543" spans="1:10">
      <c r="A543" s="587">
        <v>19</v>
      </c>
      <c r="B543" s="616">
        <v>728</v>
      </c>
      <c r="C543" s="610">
        <v>320</v>
      </c>
      <c r="D543" s="598">
        <v>300.21109452882456</v>
      </c>
      <c r="E543" s="598">
        <v>286.76211674927214</v>
      </c>
      <c r="F543" s="599">
        <v>496.08801218886481</v>
      </c>
      <c r="G543" s="600">
        <v>302.38484878951772</v>
      </c>
      <c r="H543" s="598">
        <v>276.85054106300936</v>
      </c>
      <c r="I543" s="598">
        <v>305.60618234806105</v>
      </c>
      <c r="J543" s="601"/>
    </row>
    <row r="544" spans="1:10">
      <c r="A544" s="587">
        <v>19</v>
      </c>
      <c r="B544" s="616">
        <v>788</v>
      </c>
      <c r="C544" s="610">
        <v>313.29999999999995</v>
      </c>
      <c r="D544" s="598">
        <v>301.40243397642604</v>
      </c>
      <c r="E544" s="598">
        <v>286.76561417690789</v>
      </c>
      <c r="F544" s="599">
        <v>498.16328651879593</v>
      </c>
      <c r="G544" s="600">
        <v>302.99770880579604</v>
      </c>
      <c r="H544" s="598">
        <v>276.85054106300936</v>
      </c>
      <c r="I544" s="598">
        <v>305.60619828272866</v>
      </c>
      <c r="J544" s="601"/>
    </row>
    <row r="545" spans="1:10">
      <c r="A545" s="587">
        <v>19</v>
      </c>
      <c r="B545" s="616">
        <v>1142</v>
      </c>
      <c r="C545" s="610">
        <v>340.00000000000006</v>
      </c>
      <c r="D545" s="598">
        <v>305.11947928265471</v>
      </c>
      <c r="E545" s="598">
        <v>286.771210909719</v>
      </c>
      <c r="F545" s="599">
        <v>506.17956610608735</v>
      </c>
      <c r="G545" s="600">
        <v>305.32826844294982</v>
      </c>
      <c r="H545" s="598">
        <v>276.85054106300936</v>
      </c>
      <c r="I545" s="598">
        <v>305.60620408918038</v>
      </c>
      <c r="J545" s="601"/>
    </row>
    <row r="546" spans="1:10">
      <c r="A546" s="587">
        <v>19</v>
      </c>
      <c r="B546" s="616">
        <v>1170</v>
      </c>
      <c r="C546" s="610">
        <v>318.89999999999998</v>
      </c>
      <c r="D546" s="598">
        <v>305.27563501684477</v>
      </c>
      <c r="E546" s="598">
        <v>286.77130261867251</v>
      </c>
      <c r="F546" s="599">
        <v>506.61625670619242</v>
      </c>
      <c r="G546" s="600">
        <v>305.45356763580156</v>
      </c>
      <c r="H546" s="598">
        <v>276.85054106300936</v>
      </c>
      <c r="I546" s="598">
        <v>305.6062040902886</v>
      </c>
      <c r="J546" s="601"/>
    </row>
    <row r="547" spans="1:10">
      <c r="A547" s="587">
        <v>19</v>
      </c>
      <c r="B547" s="616">
        <v>1231</v>
      </c>
      <c r="C547" s="610">
        <v>335.59999999999997</v>
      </c>
      <c r="D547" s="598">
        <v>305.57608598529754</v>
      </c>
      <c r="E547" s="598">
        <v>286.77145363838224</v>
      </c>
      <c r="F547" s="599">
        <v>507.50190147696122</v>
      </c>
      <c r="G547" s="600">
        <v>305.70716363273937</v>
      </c>
      <c r="H547" s="598">
        <v>276.85054106300936</v>
      </c>
      <c r="I547" s="598">
        <v>305.60620409125005</v>
      </c>
      <c r="J547" s="601"/>
    </row>
    <row r="548" spans="1:10">
      <c r="A548" s="587">
        <v>19</v>
      </c>
      <c r="B548" s="616">
        <v>1296</v>
      </c>
      <c r="C548" s="610">
        <v>330</v>
      </c>
      <c r="D548" s="598">
        <v>305.84538974575526</v>
      </c>
      <c r="E548" s="598">
        <v>286.77156220139096</v>
      </c>
      <c r="F548" s="599">
        <v>508.35776675059009</v>
      </c>
      <c r="G548" s="600">
        <v>305.95157080340101</v>
      </c>
      <c r="H548" s="598">
        <v>276.85054106300936</v>
      </c>
      <c r="I548" s="598">
        <v>305.6062040915088</v>
      </c>
      <c r="J548" s="601"/>
    </row>
    <row r="549" spans="1:10">
      <c r="A549" s="587">
        <v>19</v>
      </c>
      <c r="B549" s="616">
        <v>1370</v>
      </c>
      <c r="C549" s="610">
        <v>333.90000000000003</v>
      </c>
      <c r="D549" s="598">
        <v>306.1001876029178</v>
      </c>
      <c r="E549" s="598">
        <v>286.77164331652438</v>
      </c>
      <c r="F549" s="599">
        <v>509.23726113792731</v>
      </c>
      <c r="G549" s="600">
        <v>306.20204995535482</v>
      </c>
      <c r="H549" s="598">
        <v>276.85054106300936</v>
      </c>
      <c r="I549" s="598">
        <v>305.60620409157423</v>
      </c>
      <c r="J549" s="601"/>
    </row>
    <row r="550" spans="1:10">
      <c r="A550" s="587">
        <v>19</v>
      </c>
      <c r="B550" s="616">
        <v>1429</v>
      </c>
      <c r="C550" s="610">
        <v>326.7</v>
      </c>
      <c r="D550" s="598">
        <v>306.2710502869341</v>
      </c>
      <c r="E550" s="598">
        <v>286.77168679562919</v>
      </c>
      <c r="F550" s="599">
        <v>509.87574378034617</v>
      </c>
      <c r="G550" s="600">
        <v>306.38346118227383</v>
      </c>
      <c r="H550" s="598">
        <v>276.85054106300936</v>
      </c>
      <c r="I550" s="598">
        <v>305.60620409158582</v>
      </c>
      <c r="J550" s="601"/>
    </row>
    <row r="551" spans="1:10">
      <c r="A551" s="587">
        <v>19</v>
      </c>
      <c r="B551" s="616">
        <v>1528</v>
      </c>
      <c r="C551" s="610">
        <v>322.2</v>
      </c>
      <c r="D551" s="598">
        <v>306.50646939629019</v>
      </c>
      <c r="E551" s="598">
        <v>286.77173349501129</v>
      </c>
      <c r="F551" s="599">
        <v>510.84034172189871</v>
      </c>
      <c r="G551" s="600">
        <v>306.65685004969333</v>
      </c>
      <c r="H551" s="598">
        <v>276.85054106300936</v>
      </c>
      <c r="I551" s="598">
        <v>305.60620409158975</v>
      </c>
      <c r="J551" s="601"/>
    </row>
    <row r="552" spans="1:10">
      <c r="A552" s="587">
        <v>19</v>
      </c>
      <c r="B552" s="616">
        <v>1619</v>
      </c>
      <c r="C552" s="610">
        <v>307.8</v>
      </c>
      <c r="D552" s="598">
        <v>306.67805433933302</v>
      </c>
      <c r="E552" s="598">
        <v>286.77175868408602</v>
      </c>
      <c r="F552" s="599">
        <v>511.62651847021687</v>
      </c>
      <c r="G552" s="600">
        <v>306.87906563476827</v>
      </c>
      <c r="H552" s="598">
        <v>276.85054106300936</v>
      </c>
      <c r="I552" s="598">
        <v>305.60620409159014</v>
      </c>
      <c r="J552" s="601"/>
    </row>
    <row r="553" spans="1:10">
      <c r="A553" s="587">
        <v>19</v>
      </c>
      <c r="B553" s="616">
        <v>1711</v>
      </c>
      <c r="C553" s="610">
        <v>302.20000000000005</v>
      </c>
      <c r="D553" s="598">
        <v>306.81786998934211</v>
      </c>
      <c r="E553" s="598">
        <v>286.7717742047775</v>
      </c>
      <c r="F553" s="599">
        <v>512.33910030789605</v>
      </c>
      <c r="G553" s="600">
        <v>307.08001141719552</v>
      </c>
      <c r="H553" s="598">
        <v>276.85054106300936</v>
      </c>
      <c r="I553" s="598">
        <v>305.6062040915902</v>
      </c>
      <c r="J553" s="601"/>
    </row>
    <row r="554" spans="1:10">
      <c r="A554" s="587">
        <v>19</v>
      </c>
      <c r="B554" s="616">
        <v>1803</v>
      </c>
      <c r="C554" s="610">
        <v>300</v>
      </c>
      <c r="D554" s="598">
        <v>306.93116819491979</v>
      </c>
      <c r="E554" s="598">
        <v>286.77178377324742</v>
      </c>
      <c r="F554" s="599">
        <v>512.98122016947377</v>
      </c>
      <c r="G554" s="600">
        <v>307.2607068802202</v>
      </c>
      <c r="H554" s="598">
        <v>276.85054106300936</v>
      </c>
      <c r="I554" s="598">
        <v>305.6062040915902</v>
      </c>
      <c r="J554" s="601"/>
    </row>
    <row r="555" spans="1:10">
      <c r="A555" s="587">
        <v>19</v>
      </c>
      <c r="B555" s="616">
        <v>1934</v>
      </c>
      <c r="C555" s="610">
        <v>308.89999999999998</v>
      </c>
      <c r="D555" s="598">
        <v>307.05746284809908</v>
      </c>
      <c r="E555" s="598">
        <v>286.7717915640838</v>
      </c>
      <c r="F555" s="599">
        <v>513.79317831990295</v>
      </c>
      <c r="G555" s="600">
        <v>307.48868069094851</v>
      </c>
      <c r="H555" s="598">
        <v>276.85054106300936</v>
      </c>
      <c r="I555" s="598">
        <v>305.6062040915902</v>
      </c>
      <c r="J555" s="601"/>
    </row>
    <row r="556" spans="1:10">
      <c r="A556" s="587">
        <v>19</v>
      </c>
      <c r="B556" s="616">
        <v>2025</v>
      </c>
      <c r="C556" s="610">
        <v>312.20000000000005</v>
      </c>
      <c r="D556" s="598">
        <v>307.126503384329</v>
      </c>
      <c r="E556" s="598">
        <v>286.77179466125239</v>
      </c>
      <c r="F556" s="599">
        <v>514.29709403515926</v>
      </c>
      <c r="G556" s="600">
        <v>307.62987671691445</v>
      </c>
      <c r="H556" s="598">
        <v>276.85054106300936</v>
      </c>
      <c r="I556" s="598">
        <v>305.6062040915902</v>
      </c>
      <c r="J556" s="601"/>
    </row>
    <row r="557" spans="1:10">
      <c r="A557" s="587">
        <v>19</v>
      </c>
      <c r="B557" s="616">
        <v>2128</v>
      </c>
      <c r="C557" s="610">
        <v>308.89999999999998</v>
      </c>
      <c r="D557" s="598">
        <v>307.1904098907649</v>
      </c>
      <c r="E557" s="598">
        <v>286.77179686609878</v>
      </c>
      <c r="F557" s="599">
        <v>514.81684032086946</v>
      </c>
      <c r="G557" s="600">
        <v>307.77527733363996</v>
      </c>
      <c r="H557" s="598">
        <v>276.85054106300936</v>
      </c>
      <c r="I557" s="598">
        <v>305.6062040915902</v>
      </c>
      <c r="J557" s="601"/>
    </row>
    <row r="558" spans="1:10">
      <c r="A558" s="587">
        <v>19</v>
      </c>
      <c r="B558" s="616">
        <v>2226</v>
      </c>
      <c r="C558" s="610">
        <v>304.39999999999998</v>
      </c>
      <c r="D558" s="598">
        <v>307.24001217796331</v>
      </c>
      <c r="E558" s="598">
        <v>286.77179817478589</v>
      </c>
      <c r="F558" s="599">
        <v>515.26783619017363</v>
      </c>
      <c r="G558" s="600">
        <v>307.90125494910455</v>
      </c>
      <c r="H558" s="598">
        <v>276.85054106300936</v>
      </c>
      <c r="I558" s="598">
        <v>305.6062040915902</v>
      </c>
      <c r="J558" s="601"/>
    </row>
    <row r="559" spans="1:10">
      <c r="A559" s="587">
        <v>19</v>
      </c>
      <c r="B559" s="616">
        <v>2332</v>
      </c>
      <c r="C559" s="610">
        <v>308.89999999999998</v>
      </c>
      <c r="D559" s="598">
        <v>307.28389928646749</v>
      </c>
      <c r="E559" s="598">
        <v>286.77179906404672</v>
      </c>
      <c r="F559" s="599">
        <v>515.71401027725358</v>
      </c>
      <c r="G559" s="600">
        <v>308.02571235473692</v>
      </c>
      <c r="H559" s="598">
        <v>276.85054106300936</v>
      </c>
      <c r="I559" s="598">
        <v>305.6062040915902</v>
      </c>
      <c r="J559" s="601"/>
    </row>
    <row r="560" spans="1:10">
      <c r="A560" s="587">
        <v>19</v>
      </c>
      <c r="B560" s="616">
        <v>2495</v>
      </c>
      <c r="C560" s="610">
        <v>320</v>
      </c>
      <c r="D560" s="598">
        <v>307.33618340327996</v>
      </c>
      <c r="E560" s="598">
        <v>286.7717998253604</v>
      </c>
      <c r="F560" s="599">
        <v>516.3278170933487</v>
      </c>
      <c r="G560" s="600">
        <v>308.19664856857696</v>
      </c>
      <c r="H560" s="598">
        <v>276.85054106300936</v>
      </c>
      <c r="I560" s="598">
        <v>305.6062040915902</v>
      </c>
      <c r="J560" s="601"/>
    </row>
    <row r="561" spans="1:11">
      <c r="A561" s="587">
        <v>19</v>
      </c>
      <c r="B561" s="616">
        <v>2605</v>
      </c>
      <c r="C561" s="610">
        <v>306.7</v>
      </c>
      <c r="D561" s="598">
        <v>307.36349802644486</v>
      </c>
      <c r="E561" s="598">
        <v>286.7718001068223</v>
      </c>
      <c r="F561" s="599">
        <v>516.69957859425438</v>
      </c>
      <c r="G561" s="600">
        <v>308.30002055378031</v>
      </c>
      <c r="H561" s="598">
        <v>276.85054106300936</v>
      </c>
      <c r="I561" s="598">
        <v>305.6062040915902</v>
      </c>
      <c r="J561" s="601"/>
    </row>
    <row r="562" spans="1:11">
      <c r="A562" s="587">
        <v>19</v>
      </c>
      <c r="B562" s="616">
        <v>2759</v>
      </c>
      <c r="C562" s="610">
        <v>303.3</v>
      </c>
      <c r="D562" s="598">
        <v>307.39368552553066</v>
      </c>
      <c r="E562" s="598">
        <v>286.77180033508057</v>
      </c>
      <c r="F562" s="599">
        <v>517.17126969102139</v>
      </c>
      <c r="G562" s="600">
        <v>308.43100749971353</v>
      </c>
      <c r="H562" s="598">
        <v>276.85054106300936</v>
      </c>
      <c r="I562" s="598">
        <v>305.6062040915902</v>
      </c>
      <c r="J562" s="601"/>
    </row>
    <row r="563" spans="1:11">
      <c r="A563" s="587">
        <v>19</v>
      </c>
      <c r="B563" s="616">
        <v>2874</v>
      </c>
      <c r="C563" s="610">
        <v>310</v>
      </c>
      <c r="D563" s="598">
        <v>307.41145976273015</v>
      </c>
      <c r="E563" s="598">
        <v>286.77180043259335</v>
      </c>
      <c r="F563" s="599">
        <v>517.49119128735401</v>
      </c>
      <c r="G563" s="600">
        <v>308.51973958717196</v>
      </c>
      <c r="H563" s="598">
        <v>276.85054106300936</v>
      </c>
      <c r="I563" s="598">
        <v>305.6062040915902</v>
      </c>
      <c r="J563" s="601"/>
    </row>
    <row r="564" spans="1:11">
      <c r="A564" s="587">
        <v>19</v>
      </c>
      <c r="B564" s="616">
        <v>2978</v>
      </c>
      <c r="C564" s="610">
        <v>310</v>
      </c>
      <c r="D564" s="598">
        <v>307.42477917292149</v>
      </c>
      <c r="E564" s="598">
        <v>286.77180048939812</v>
      </c>
      <c r="F564" s="599">
        <v>517.75964261048784</v>
      </c>
      <c r="G564" s="600">
        <v>308.59412819228993</v>
      </c>
      <c r="H564" s="598">
        <v>276.85054106300936</v>
      </c>
      <c r="I564" s="598">
        <v>305.6062040915902</v>
      </c>
      <c r="J564" s="601"/>
    </row>
    <row r="565" spans="1:11">
      <c r="A565" s="587">
        <v>19</v>
      </c>
      <c r="B565" s="616">
        <v>3060</v>
      </c>
      <c r="C565" s="610">
        <v>310</v>
      </c>
      <c r="D565" s="598">
        <v>307.43375620409387</v>
      </c>
      <c r="E565" s="598">
        <v>286.77180052039409</v>
      </c>
      <c r="F565" s="599">
        <v>517.95868023880712</v>
      </c>
      <c r="G565" s="600">
        <v>308.64924210023526</v>
      </c>
      <c r="H565" s="598">
        <v>276.85054106300936</v>
      </c>
      <c r="I565" s="598">
        <v>305.6062040915902</v>
      </c>
      <c r="J565" s="601"/>
    </row>
    <row r="566" spans="1:11">
      <c r="A566" s="587">
        <v>19</v>
      </c>
      <c r="B566" s="616">
        <v>3223</v>
      </c>
      <c r="C566" s="610">
        <v>314.40000000000003</v>
      </c>
      <c r="D566" s="598">
        <v>307.44837338062257</v>
      </c>
      <c r="E566" s="598">
        <v>286.77180055929801</v>
      </c>
      <c r="F566" s="599">
        <v>518.32478569742</v>
      </c>
      <c r="G566" s="600">
        <v>308.75052861875423</v>
      </c>
      <c r="H566" s="598">
        <v>276.85054106300936</v>
      </c>
      <c r="I566" s="598">
        <v>305.6062040915902</v>
      </c>
      <c r="J566" s="601"/>
    </row>
    <row r="567" spans="1:11">
      <c r="A567" s="619">
        <v>20</v>
      </c>
      <c r="B567" s="620">
        <v>7</v>
      </c>
      <c r="C567" s="621">
        <v>43.3</v>
      </c>
      <c r="D567" s="622"/>
      <c r="E567" s="622"/>
      <c r="F567" s="623"/>
      <c r="G567" s="624"/>
      <c r="H567" s="622"/>
      <c r="I567" s="622"/>
      <c r="J567" s="625"/>
      <c r="K567" t="s">
        <v>3774</v>
      </c>
    </row>
    <row r="568" spans="1:11">
      <c r="A568" s="585">
        <v>20</v>
      </c>
      <c r="B568" s="614">
        <v>15</v>
      </c>
      <c r="C568" s="608">
        <v>70</v>
      </c>
      <c r="D568" s="590"/>
      <c r="E568" s="590">
        <v>123.286947200505</v>
      </c>
      <c r="F568" s="591"/>
      <c r="G568" s="592">
        <v>109.06320271511854</v>
      </c>
      <c r="H568" s="590"/>
      <c r="I568" s="590">
        <v>119.30539926354338</v>
      </c>
      <c r="J568" s="593"/>
    </row>
    <row r="569" spans="1:11">
      <c r="A569" s="585">
        <v>20</v>
      </c>
      <c r="B569" s="614">
        <v>21</v>
      </c>
      <c r="C569" s="608">
        <v>126.70000000000002</v>
      </c>
      <c r="D569" s="590"/>
      <c r="E569" s="590">
        <v>152.25632464473048</v>
      </c>
      <c r="F569" s="591"/>
      <c r="G569" s="592">
        <v>136.03086872569011</v>
      </c>
      <c r="H569" s="590"/>
      <c r="I569" s="590">
        <v>153.72494769916165</v>
      </c>
      <c r="J569" s="593"/>
    </row>
    <row r="570" spans="1:11">
      <c r="A570" s="585">
        <v>20</v>
      </c>
      <c r="B570" s="614">
        <v>29</v>
      </c>
      <c r="C570" s="608">
        <v>133.29999999999998</v>
      </c>
      <c r="D570" s="590"/>
      <c r="E570" s="590">
        <v>175.83135302778172</v>
      </c>
      <c r="F570" s="591"/>
      <c r="G570" s="592">
        <v>159.14860023312355</v>
      </c>
      <c r="H570" s="590"/>
      <c r="I570" s="590">
        <v>183.90312222037295</v>
      </c>
      <c r="J570" s="593"/>
    </row>
    <row r="571" spans="1:11">
      <c r="A571" s="585">
        <v>20</v>
      </c>
      <c r="B571" s="614">
        <v>35</v>
      </c>
      <c r="C571" s="608">
        <v>156.69999999999999</v>
      </c>
      <c r="D571" s="590"/>
      <c r="E571" s="590">
        <v>187.6540173415043</v>
      </c>
      <c r="F571" s="591"/>
      <c r="G571" s="592">
        <v>171.4438887068244</v>
      </c>
      <c r="H571" s="590"/>
      <c r="I571" s="590">
        <v>199.80419739873165</v>
      </c>
      <c r="J571" s="593"/>
    </row>
    <row r="572" spans="1:11">
      <c r="A572" s="585">
        <v>20</v>
      </c>
      <c r="B572" s="614">
        <v>53</v>
      </c>
      <c r="C572" s="608">
        <v>206.70000000000002</v>
      </c>
      <c r="D572" s="590"/>
      <c r="E572" s="590">
        <v>208.55044779364931</v>
      </c>
      <c r="F572" s="591"/>
      <c r="G572" s="592">
        <v>195.4110116623452</v>
      </c>
      <c r="H572" s="590"/>
      <c r="I572" s="590">
        <v>228.77581251563399</v>
      </c>
      <c r="J572" s="593"/>
    </row>
    <row r="573" spans="1:11">
      <c r="A573" s="585">
        <v>20</v>
      </c>
      <c r="B573" s="614">
        <v>65</v>
      </c>
      <c r="C573" s="608">
        <v>206.70000000000002</v>
      </c>
      <c r="D573" s="590"/>
      <c r="E573" s="590">
        <v>216.21762482580993</v>
      </c>
      <c r="F573" s="591"/>
      <c r="G573" s="592">
        <v>205.55612881458089</v>
      </c>
      <c r="H573" s="590"/>
      <c r="I573" s="590">
        <v>239.26589678595147</v>
      </c>
      <c r="J573" s="593"/>
    </row>
    <row r="574" spans="1:11">
      <c r="A574" s="585">
        <v>20</v>
      </c>
      <c r="B574" s="614">
        <v>86</v>
      </c>
      <c r="C574" s="608">
        <v>223.3</v>
      </c>
      <c r="D574" s="590"/>
      <c r="E574" s="590">
        <v>224.14206053211089</v>
      </c>
      <c r="F574" s="591"/>
      <c r="G574" s="592">
        <v>217.71198931839515</v>
      </c>
      <c r="H574" s="590"/>
      <c r="I574" s="590">
        <v>249.32297143389619</v>
      </c>
      <c r="J574" s="593"/>
    </row>
    <row r="575" spans="1:11">
      <c r="A575" s="585">
        <v>20</v>
      </c>
      <c r="B575" s="614">
        <v>93</v>
      </c>
      <c r="C575" s="608">
        <v>203.29999999999998</v>
      </c>
      <c r="D575" s="590"/>
      <c r="E575" s="590">
        <v>225.87044306538681</v>
      </c>
      <c r="F575" s="591"/>
      <c r="G575" s="592">
        <v>220.75449502174081</v>
      </c>
      <c r="H575" s="590"/>
      <c r="I575" s="590">
        <v>251.28855429330298</v>
      </c>
      <c r="J575" s="593"/>
    </row>
    <row r="576" spans="1:11">
      <c r="A576" s="586">
        <v>20</v>
      </c>
      <c r="B576" s="615">
        <v>102</v>
      </c>
      <c r="C576" s="609">
        <v>210</v>
      </c>
      <c r="D576" s="594"/>
      <c r="E576" s="594">
        <v>227.66495489623256</v>
      </c>
      <c r="F576" s="595"/>
      <c r="G576" s="596">
        <v>224.15286024379208</v>
      </c>
      <c r="H576" s="594"/>
      <c r="I576" s="594">
        <v>253.18563562156859</v>
      </c>
      <c r="J576" s="597"/>
    </row>
    <row r="577" spans="1:10">
      <c r="A577" s="586">
        <v>20</v>
      </c>
      <c r="B577" s="615">
        <v>114</v>
      </c>
      <c r="C577" s="609">
        <v>196.70000000000002</v>
      </c>
      <c r="D577" s="594"/>
      <c r="E577" s="594">
        <v>229.50047607484319</v>
      </c>
      <c r="F577" s="595"/>
      <c r="G577" s="596">
        <v>227.97482444411682</v>
      </c>
      <c r="H577" s="594"/>
      <c r="I577" s="594">
        <v>254.92765547727123</v>
      </c>
      <c r="J577" s="597"/>
    </row>
    <row r="578" spans="1:10">
      <c r="A578" s="586">
        <v>20</v>
      </c>
      <c r="B578" s="615">
        <v>121</v>
      </c>
      <c r="C578" s="609">
        <v>200</v>
      </c>
      <c r="D578" s="594"/>
      <c r="E578" s="594">
        <v>230.34983632448029</v>
      </c>
      <c r="F578" s="595"/>
      <c r="G578" s="596">
        <v>229.90474439360682</v>
      </c>
      <c r="H578" s="594"/>
      <c r="I578" s="594">
        <v>255.64810231519365</v>
      </c>
      <c r="J578" s="597"/>
    </row>
    <row r="579" spans="1:10">
      <c r="A579" s="586">
        <v>20</v>
      </c>
      <c r="B579" s="615">
        <v>128</v>
      </c>
      <c r="C579" s="609">
        <v>206.70000000000002</v>
      </c>
      <c r="D579" s="594"/>
      <c r="E579" s="594">
        <v>231.07242326055851</v>
      </c>
      <c r="F579" s="595"/>
      <c r="G579" s="596">
        <v>231.65283744685198</v>
      </c>
      <c r="H579" s="594"/>
      <c r="I579" s="594">
        <v>256.20978135934632</v>
      </c>
      <c r="J579" s="597"/>
    </row>
    <row r="580" spans="1:10">
      <c r="A580" s="586">
        <v>20</v>
      </c>
      <c r="B580" s="615">
        <v>135</v>
      </c>
      <c r="C580" s="609">
        <v>229.99999999999997</v>
      </c>
      <c r="D580" s="594"/>
      <c r="E580" s="594">
        <v>231.69038383697924</v>
      </c>
      <c r="F580" s="595"/>
      <c r="G580" s="596">
        <v>233.24377522011895</v>
      </c>
      <c r="H580" s="594"/>
      <c r="I580" s="594">
        <v>256.64788017130769</v>
      </c>
      <c r="J580" s="597"/>
    </row>
    <row r="581" spans="1:10">
      <c r="A581" s="586">
        <v>20</v>
      </c>
      <c r="B581" s="615">
        <v>142</v>
      </c>
      <c r="C581" s="609">
        <v>243.30000000000004</v>
      </c>
      <c r="D581" s="594"/>
      <c r="E581" s="594">
        <v>232.22140729555468</v>
      </c>
      <c r="F581" s="595"/>
      <c r="G581" s="596">
        <v>234.69793695755419</v>
      </c>
      <c r="H581" s="594"/>
      <c r="I581" s="594">
        <v>256.98970937438321</v>
      </c>
      <c r="J581" s="597"/>
    </row>
    <row r="582" spans="1:10">
      <c r="A582" s="586">
        <v>20</v>
      </c>
      <c r="B582" s="615">
        <v>149</v>
      </c>
      <c r="C582" s="609">
        <v>236.7</v>
      </c>
      <c r="D582" s="594"/>
      <c r="E582" s="594">
        <v>232.67974249166687</v>
      </c>
      <c r="F582" s="595"/>
      <c r="G582" s="596">
        <v>236.03230852118361</v>
      </c>
      <c r="H582" s="594"/>
      <c r="I582" s="594">
        <v>257.25649675557514</v>
      </c>
      <c r="J582" s="597"/>
    </row>
    <row r="583" spans="1:10">
      <c r="A583" s="586">
        <v>20</v>
      </c>
      <c r="B583" s="615">
        <v>156</v>
      </c>
      <c r="C583" s="609">
        <v>236.7</v>
      </c>
      <c r="D583" s="594"/>
      <c r="E583" s="594">
        <v>233.07695588398676</v>
      </c>
      <c r="F583" s="595"/>
      <c r="G583" s="596">
        <v>237.26116350448027</v>
      </c>
      <c r="H583" s="594"/>
      <c r="I583" s="594">
        <v>257.46476065205115</v>
      </c>
      <c r="J583" s="597"/>
    </row>
    <row r="584" spans="1:10">
      <c r="A584" s="586">
        <v>20</v>
      </c>
      <c r="B584" s="615">
        <v>163</v>
      </c>
      <c r="C584" s="609">
        <v>226.7</v>
      </c>
      <c r="D584" s="594"/>
      <c r="E584" s="594">
        <v>233.42250305974929</v>
      </c>
      <c r="F584" s="595"/>
      <c r="G584" s="596">
        <v>238.39658594641799</v>
      </c>
      <c r="H584" s="594"/>
      <c r="I584" s="594">
        <v>257.62736598165486</v>
      </c>
      <c r="J584" s="597"/>
    </row>
    <row r="585" spans="1:10">
      <c r="A585" s="586">
        <v>20</v>
      </c>
      <c r="B585" s="615">
        <v>170</v>
      </c>
      <c r="C585" s="609">
        <v>226.7</v>
      </c>
      <c r="D585" s="594"/>
      <c r="E585" s="594">
        <v>233.72416435366466</v>
      </c>
      <c r="F585" s="595"/>
      <c r="G585" s="596">
        <v>239.44887618835355</v>
      </c>
      <c r="H585" s="594"/>
      <c r="I585" s="594">
        <v>257.75433908187512</v>
      </c>
      <c r="J585" s="597"/>
    </row>
    <row r="586" spans="1:10">
      <c r="A586" s="586">
        <v>20</v>
      </c>
      <c r="B586" s="615">
        <v>177</v>
      </c>
      <c r="C586" s="609">
        <v>243.30000000000004</v>
      </c>
      <c r="D586" s="594"/>
      <c r="E586" s="594">
        <v>233.98838017796643</v>
      </c>
      <c r="F586" s="595"/>
      <c r="G586" s="596">
        <v>240.4268693677472</v>
      </c>
      <c r="H586" s="594"/>
      <c r="I586" s="594">
        <v>257.85349815393363</v>
      </c>
      <c r="J586" s="597"/>
    </row>
    <row r="587" spans="1:10">
      <c r="A587" s="586">
        <v>20</v>
      </c>
      <c r="B587" s="615">
        <v>184</v>
      </c>
      <c r="C587" s="609">
        <v>226.7</v>
      </c>
      <c r="D587" s="594"/>
      <c r="E587" s="594">
        <v>234.22051150637083</v>
      </c>
      <c r="F587" s="595"/>
      <c r="G587" s="596">
        <v>241.33818780189216</v>
      </c>
      <c r="H587" s="594"/>
      <c r="I587" s="594">
        <v>257.93094207484432</v>
      </c>
      <c r="J587" s="597"/>
    </row>
    <row r="588" spans="1:10">
      <c r="A588" s="586">
        <v>20</v>
      </c>
      <c r="B588" s="615">
        <v>191</v>
      </c>
      <c r="C588" s="609">
        <v>223.3</v>
      </c>
      <c r="D588" s="594"/>
      <c r="E588" s="594">
        <v>234.42504391830448</v>
      </c>
      <c r="F588" s="595"/>
      <c r="G588" s="596">
        <v>242.18944278543535</v>
      </c>
      <c r="H588" s="594"/>
      <c r="I588" s="594">
        <v>257.99143002334898</v>
      </c>
      <c r="J588" s="597"/>
    </row>
    <row r="589" spans="1:10">
      <c r="A589" s="586">
        <v>20</v>
      </c>
      <c r="B589" s="615">
        <v>245</v>
      </c>
      <c r="C589" s="609">
        <v>236.7</v>
      </c>
      <c r="D589" s="594"/>
      <c r="E589" s="594">
        <v>235.39703973394603</v>
      </c>
      <c r="F589" s="595"/>
      <c r="G589" s="596">
        <v>247.25356158255696</v>
      </c>
      <c r="H589" s="594"/>
      <c r="I589" s="594">
        <v>258.17519790989718</v>
      </c>
      <c r="J589" s="597"/>
    </row>
    <row r="590" spans="1:10">
      <c r="A590" s="586">
        <v>20</v>
      </c>
      <c r="B590" s="615">
        <v>306</v>
      </c>
      <c r="C590" s="609">
        <v>243.30000000000004</v>
      </c>
      <c r="D590" s="594"/>
      <c r="E590" s="594">
        <v>235.85218028926133</v>
      </c>
      <c r="F590" s="595"/>
      <c r="G590" s="596">
        <v>250.96711953294374</v>
      </c>
      <c r="H590" s="594"/>
      <c r="I590" s="594">
        <v>258.20359544262709</v>
      </c>
      <c r="J590" s="597"/>
    </row>
    <row r="591" spans="1:10">
      <c r="A591" s="586">
        <v>20</v>
      </c>
      <c r="B591" s="615">
        <v>365</v>
      </c>
      <c r="C591" s="609">
        <v>243.30000000000004</v>
      </c>
      <c r="D591" s="594"/>
      <c r="E591" s="594">
        <v>236.04591403835911</v>
      </c>
      <c r="F591" s="595"/>
      <c r="G591" s="596">
        <v>253.44525792550439</v>
      </c>
      <c r="H591" s="594"/>
      <c r="I591" s="594">
        <v>258.20686646768922</v>
      </c>
      <c r="J591" s="597"/>
    </row>
    <row r="592" spans="1:10">
      <c r="A592" s="586">
        <v>20</v>
      </c>
      <c r="B592" s="615">
        <v>426</v>
      </c>
      <c r="C592" s="609">
        <v>240</v>
      </c>
      <c r="D592" s="594"/>
      <c r="E592" s="594">
        <v>236.14189449750762</v>
      </c>
      <c r="F592" s="595"/>
      <c r="G592" s="596">
        <v>255.32141177905757</v>
      </c>
      <c r="H592" s="594"/>
      <c r="I592" s="594">
        <v>258.20727869603104</v>
      </c>
      <c r="J592" s="597"/>
    </row>
    <row r="593" spans="1:10">
      <c r="A593" s="586">
        <v>20</v>
      </c>
      <c r="B593" s="615">
        <v>487</v>
      </c>
      <c r="C593" s="609">
        <v>240</v>
      </c>
      <c r="D593" s="594"/>
      <c r="E593" s="594">
        <v>236.19019929331827</v>
      </c>
      <c r="F593" s="595"/>
      <c r="G593" s="596">
        <v>256.74815642765009</v>
      </c>
      <c r="H593" s="594"/>
      <c r="I593" s="594">
        <v>258.20732664294343</v>
      </c>
      <c r="J593" s="597"/>
    </row>
    <row r="594" spans="1:10">
      <c r="A594" s="587">
        <v>20</v>
      </c>
      <c r="B594" s="616">
        <v>549</v>
      </c>
      <c r="C594" s="610">
        <v>240</v>
      </c>
      <c r="D594" s="598"/>
      <c r="E594" s="598">
        <v>236.21606729668039</v>
      </c>
      <c r="F594" s="599"/>
      <c r="G594" s="600">
        <v>257.88613636342063</v>
      </c>
      <c r="H594" s="598"/>
      <c r="I594" s="598">
        <v>258.20733224516391</v>
      </c>
      <c r="J594" s="601"/>
    </row>
    <row r="595" spans="1:10">
      <c r="A595" s="587">
        <v>20</v>
      </c>
      <c r="B595" s="616">
        <v>610</v>
      </c>
      <c r="C595" s="610">
        <v>216.7</v>
      </c>
      <c r="D595" s="598"/>
      <c r="E595" s="598">
        <v>236.23002938427749</v>
      </c>
      <c r="F595" s="599"/>
      <c r="G595" s="600">
        <v>258.78802379803062</v>
      </c>
      <c r="H595" s="598"/>
      <c r="I595" s="598">
        <v>258.20733287132947</v>
      </c>
      <c r="J595" s="601"/>
    </row>
    <row r="596" spans="1:10">
      <c r="A596" s="587">
        <v>20</v>
      </c>
      <c r="B596" s="616">
        <v>671</v>
      </c>
      <c r="C596" s="610">
        <v>236.7</v>
      </c>
      <c r="D596" s="598"/>
      <c r="E596" s="598">
        <v>236.23799833061284</v>
      </c>
      <c r="F596" s="599"/>
      <c r="G596" s="600">
        <v>259.53125900750416</v>
      </c>
      <c r="H596" s="598"/>
      <c r="I596" s="598">
        <v>258.20733294415982</v>
      </c>
      <c r="J596" s="601"/>
    </row>
    <row r="597" spans="1:10">
      <c r="A597" s="587">
        <v>20</v>
      </c>
      <c r="B597" s="616">
        <v>731</v>
      </c>
      <c r="C597" s="610">
        <v>233.3</v>
      </c>
      <c r="D597" s="598"/>
      <c r="E597" s="598">
        <v>236.24262107573324</v>
      </c>
      <c r="F597" s="599"/>
      <c r="G597" s="600">
        <v>260.14492684262757</v>
      </c>
      <c r="H597" s="598"/>
      <c r="I597" s="598">
        <v>258.20733295259078</v>
      </c>
      <c r="J597" s="601"/>
    </row>
    <row r="598" spans="1:10">
      <c r="A598" s="587">
        <v>20</v>
      </c>
      <c r="B598" s="616">
        <v>1133</v>
      </c>
      <c r="C598" s="610">
        <v>268.89999999999998</v>
      </c>
      <c r="D598" s="598"/>
      <c r="E598" s="598">
        <v>236.24989178647201</v>
      </c>
      <c r="F598" s="599"/>
      <c r="G598" s="600">
        <v>262.61279888327584</v>
      </c>
      <c r="H598" s="598"/>
      <c r="I598" s="598">
        <v>258.20733295374578</v>
      </c>
      <c r="J598" s="601"/>
    </row>
    <row r="599" spans="1:10">
      <c r="A599" s="587">
        <v>20</v>
      </c>
      <c r="B599" s="616">
        <v>1161</v>
      </c>
      <c r="C599" s="610">
        <v>244.4</v>
      </c>
      <c r="D599" s="598"/>
      <c r="E599" s="598">
        <v>236.24997170107383</v>
      </c>
      <c r="F599" s="599"/>
      <c r="G599" s="600">
        <v>262.72224854927754</v>
      </c>
      <c r="H599" s="598"/>
      <c r="I599" s="598">
        <v>258.20733295374578</v>
      </c>
      <c r="J599" s="601"/>
    </row>
    <row r="600" spans="1:10">
      <c r="A600" s="587">
        <v>20</v>
      </c>
      <c r="B600" s="616">
        <v>1222</v>
      </c>
      <c r="C600" s="610">
        <v>258.89999999999998</v>
      </c>
      <c r="D600" s="598"/>
      <c r="E600" s="598">
        <v>236.25010314378443</v>
      </c>
      <c r="F600" s="599"/>
      <c r="G600" s="600">
        <v>262.94364390736808</v>
      </c>
      <c r="H600" s="598"/>
      <c r="I600" s="598">
        <v>258.20733295374578</v>
      </c>
      <c r="J600" s="601"/>
    </row>
    <row r="601" spans="1:10">
      <c r="A601" s="587">
        <v>20</v>
      </c>
      <c r="B601" s="616">
        <v>1287</v>
      </c>
      <c r="C601" s="610">
        <v>253.29999999999998</v>
      </c>
      <c r="D601" s="598"/>
      <c r="E601" s="598">
        <v>236.25019748103421</v>
      </c>
      <c r="F601" s="599"/>
      <c r="G601" s="600">
        <v>263.15686229026932</v>
      </c>
      <c r="H601" s="598"/>
      <c r="I601" s="598">
        <v>258.20733295374578</v>
      </c>
      <c r="J601" s="601"/>
    </row>
    <row r="602" spans="1:10">
      <c r="A602" s="587">
        <v>20</v>
      </c>
      <c r="B602" s="616">
        <v>1361</v>
      </c>
      <c r="C602" s="610">
        <v>271.09999999999997</v>
      </c>
      <c r="D602" s="598"/>
      <c r="E602" s="598">
        <v>236.2502678518288</v>
      </c>
      <c r="F602" s="599"/>
      <c r="G602" s="600">
        <v>263.37522022204297</v>
      </c>
      <c r="H602" s="598"/>
      <c r="I602" s="598">
        <v>258.20733295374578</v>
      </c>
      <c r="J602" s="601"/>
    </row>
    <row r="603" spans="1:10">
      <c r="A603" s="587">
        <v>20</v>
      </c>
      <c r="B603" s="616">
        <v>1420</v>
      </c>
      <c r="C603" s="610">
        <v>265.60000000000002</v>
      </c>
      <c r="D603" s="598"/>
      <c r="E603" s="598">
        <v>236.25030551578581</v>
      </c>
      <c r="F603" s="599"/>
      <c r="G603" s="600">
        <v>263.53326793351681</v>
      </c>
      <c r="H603" s="598"/>
      <c r="I603" s="598">
        <v>258.20733295374578</v>
      </c>
      <c r="J603" s="601"/>
    </row>
    <row r="604" spans="1:10">
      <c r="A604" s="587">
        <v>20</v>
      </c>
      <c r="B604" s="616">
        <v>1519</v>
      </c>
      <c r="C604" s="610">
        <v>262.2</v>
      </c>
      <c r="D604" s="598"/>
      <c r="E604" s="598">
        <v>236.25034590705678</v>
      </c>
      <c r="F604" s="599"/>
      <c r="G604" s="600">
        <v>263.77128996654272</v>
      </c>
      <c r="H604" s="598"/>
      <c r="I604" s="598">
        <v>258.20733295374578</v>
      </c>
      <c r="J604" s="601"/>
    </row>
    <row r="605" spans="1:10">
      <c r="A605" s="587">
        <v>20</v>
      </c>
      <c r="B605" s="616">
        <v>1610</v>
      </c>
      <c r="C605" s="610">
        <v>256.7</v>
      </c>
      <c r="D605" s="598"/>
      <c r="E605" s="598">
        <v>236.25036765476412</v>
      </c>
      <c r="F605" s="599"/>
      <c r="G605" s="600">
        <v>263.96461915178855</v>
      </c>
      <c r="H605" s="598"/>
      <c r="I605" s="598">
        <v>258.20733295374578</v>
      </c>
      <c r="J605" s="601"/>
    </row>
    <row r="606" spans="1:10">
      <c r="A606" s="587">
        <v>20</v>
      </c>
      <c r="B606" s="616">
        <v>1702</v>
      </c>
      <c r="C606" s="610">
        <v>271.09999999999997</v>
      </c>
      <c r="D606" s="598"/>
      <c r="E606" s="598">
        <v>236.25038103416458</v>
      </c>
      <c r="F606" s="599"/>
      <c r="G606" s="600">
        <v>264.13933579897258</v>
      </c>
      <c r="H606" s="598"/>
      <c r="I606" s="598">
        <v>258.20733295374578</v>
      </c>
      <c r="J606" s="601"/>
    </row>
    <row r="607" spans="1:10">
      <c r="A607" s="587">
        <v>20</v>
      </c>
      <c r="B607" s="616">
        <v>1794</v>
      </c>
      <c r="C607" s="610">
        <v>267.8</v>
      </c>
      <c r="D607" s="598"/>
      <c r="E607" s="598">
        <v>236.2503892706612</v>
      </c>
      <c r="F607" s="599"/>
      <c r="G607" s="600">
        <v>264.29635814088971</v>
      </c>
      <c r="H607" s="598"/>
      <c r="I607" s="598">
        <v>258.20733295374578</v>
      </c>
      <c r="J607" s="601"/>
    </row>
    <row r="608" spans="1:10">
      <c r="A608" s="587">
        <v>20</v>
      </c>
      <c r="B608" s="616">
        <v>1925</v>
      </c>
      <c r="C608" s="610">
        <v>273.3</v>
      </c>
      <c r="D608" s="598"/>
      <c r="E608" s="598">
        <v>236.25039596661259</v>
      </c>
      <c r="F608" s="599"/>
      <c r="G608" s="600">
        <v>264.49434710197329</v>
      </c>
      <c r="H608" s="598"/>
      <c r="I608" s="598">
        <v>258.20733295374578</v>
      </c>
      <c r="J608" s="601"/>
    </row>
    <row r="609" spans="1:10">
      <c r="A609" s="587">
        <v>20</v>
      </c>
      <c r="B609" s="616">
        <v>2016</v>
      </c>
      <c r="C609" s="610">
        <v>271.09999999999997</v>
      </c>
      <c r="D609" s="598"/>
      <c r="E609" s="598">
        <v>236.25039862450208</v>
      </c>
      <c r="F609" s="599"/>
      <c r="G609" s="600">
        <v>264.61690613360764</v>
      </c>
      <c r="H609" s="598"/>
      <c r="I609" s="598">
        <v>258.20733295374578</v>
      </c>
      <c r="J609" s="601"/>
    </row>
    <row r="610" spans="1:10">
      <c r="A610" s="587">
        <v>20</v>
      </c>
      <c r="B610" s="616">
        <v>2119</v>
      </c>
      <c r="C610" s="610">
        <v>270</v>
      </c>
      <c r="D610" s="598"/>
      <c r="E610" s="598">
        <v>236.25040051442741</v>
      </c>
      <c r="F610" s="599"/>
      <c r="G610" s="600">
        <v>264.74306219783966</v>
      </c>
      <c r="H610" s="598"/>
      <c r="I610" s="598">
        <v>258.20733295374578</v>
      </c>
      <c r="J610" s="601"/>
    </row>
    <row r="611" spans="1:10">
      <c r="A611" s="587">
        <v>20</v>
      </c>
      <c r="B611" s="616">
        <v>2217</v>
      </c>
      <c r="C611" s="610">
        <v>267.8</v>
      </c>
      <c r="D611" s="598"/>
      <c r="E611" s="598">
        <v>236.25040163491434</v>
      </c>
      <c r="F611" s="599"/>
      <c r="G611" s="600">
        <v>264.85232288989579</v>
      </c>
      <c r="H611" s="598"/>
      <c r="I611" s="598">
        <v>258.20733295374578</v>
      </c>
      <c r="J611" s="601"/>
    </row>
    <row r="612" spans="1:10">
      <c r="A612" s="587">
        <v>20</v>
      </c>
      <c r="B612" s="616">
        <v>2323</v>
      </c>
      <c r="C612" s="610">
        <v>266.7</v>
      </c>
      <c r="D612" s="598"/>
      <c r="E612" s="598">
        <v>236.25040239547855</v>
      </c>
      <c r="F612" s="599"/>
      <c r="G612" s="600">
        <v>264.96022582087761</v>
      </c>
      <c r="H612" s="598"/>
      <c r="I612" s="598">
        <v>258.20733295374578</v>
      </c>
      <c r="J612" s="601"/>
    </row>
    <row r="613" spans="1:10">
      <c r="A613" s="587">
        <v>20</v>
      </c>
      <c r="B613" s="616">
        <v>2486</v>
      </c>
      <c r="C613" s="610">
        <v>256.7</v>
      </c>
      <c r="D613" s="598"/>
      <c r="E613" s="598">
        <v>236.25040304579312</v>
      </c>
      <c r="F613" s="599"/>
      <c r="G613" s="600">
        <v>265.1083616726898</v>
      </c>
      <c r="H613" s="598"/>
      <c r="I613" s="598">
        <v>258.20733295374578</v>
      </c>
      <c r="J613" s="601"/>
    </row>
    <row r="614" spans="1:10">
      <c r="A614" s="587">
        <v>20</v>
      </c>
      <c r="B614" s="616">
        <v>2596</v>
      </c>
      <c r="C614" s="610">
        <v>253.29999999999998</v>
      </c>
      <c r="D614" s="598"/>
      <c r="E614" s="598">
        <v>236.25040328591029</v>
      </c>
      <c r="F614" s="599"/>
      <c r="G614" s="600">
        <v>265.19790967303237</v>
      </c>
      <c r="H614" s="598"/>
      <c r="I614" s="598">
        <v>258.20733295374578</v>
      </c>
      <c r="J614" s="601"/>
    </row>
    <row r="615" spans="1:10">
      <c r="A615" s="587">
        <v>20</v>
      </c>
      <c r="B615" s="616">
        <v>2750</v>
      </c>
      <c r="C615" s="610">
        <v>263.3</v>
      </c>
      <c r="D615" s="598"/>
      <c r="E615" s="598">
        <v>236.25040348043183</v>
      </c>
      <c r="F615" s="599"/>
      <c r="G615" s="600">
        <v>265.31134105593196</v>
      </c>
      <c r="H615" s="598"/>
      <c r="I615" s="598">
        <v>258.20733295374578</v>
      </c>
      <c r="J615" s="601"/>
    </row>
    <row r="616" spans="1:10">
      <c r="A616" s="587">
        <v>20</v>
      </c>
      <c r="B616" s="616">
        <v>2865</v>
      </c>
      <c r="C616" s="610">
        <v>267.8</v>
      </c>
      <c r="D616" s="598"/>
      <c r="E616" s="598">
        <v>236.25040356344306</v>
      </c>
      <c r="F616" s="599"/>
      <c r="G616" s="600">
        <v>265.38815628655908</v>
      </c>
      <c r="H616" s="598"/>
      <c r="I616" s="598">
        <v>258.20733295374578</v>
      </c>
      <c r="J616" s="601"/>
    </row>
    <row r="617" spans="1:10">
      <c r="A617" s="587">
        <v>20</v>
      </c>
      <c r="B617" s="616">
        <v>2969</v>
      </c>
      <c r="C617" s="610">
        <v>267.8</v>
      </c>
      <c r="D617" s="598"/>
      <c r="E617" s="598">
        <v>236.25040361176127</v>
      </c>
      <c r="F617" s="599"/>
      <c r="G617" s="600">
        <v>265.45253913635503</v>
      </c>
      <c r="H617" s="598"/>
      <c r="I617" s="598">
        <v>258.20733295374578</v>
      </c>
      <c r="J617" s="601"/>
    </row>
    <row r="618" spans="1:10">
      <c r="A618" s="587">
        <v>20</v>
      </c>
      <c r="B618" s="616">
        <v>3051</v>
      </c>
      <c r="C618" s="610">
        <v>267.8</v>
      </c>
      <c r="D618" s="598"/>
      <c r="E618" s="598">
        <v>236.25040363810939</v>
      </c>
      <c r="F618" s="599"/>
      <c r="G618" s="600">
        <v>265.50023089480248</v>
      </c>
      <c r="H618" s="598"/>
      <c r="I618" s="598">
        <v>258.20733295374578</v>
      </c>
      <c r="J618" s="601"/>
    </row>
    <row r="619" spans="1:10">
      <c r="A619" s="587">
        <v>20</v>
      </c>
      <c r="B619" s="616">
        <v>3214</v>
      </c>
      <c r="C619" s="610">
        <v>267.8</v>
      </c>
      <c r="D619" s="598"/>
      <c r="E619" s="598">
        <v>236.25040367115446</v>
      </c>
      <c r="F619" s="599"/>
      <c r="G619" s="600">
        <v>265.5878573361839</v>
      </c>
      <c r="H619" s="598"/>
      <c r="I619" s="598">
        <v>258.20733295374578</v>
      </c>
      <c r="J619" s="601"/>
    </row>
    <row r="620" spans="1:10">
      <c r="A620" s="619">
        <v>21</v>
      </c>
      <c r="B620" s="620">
        <v>7</v>
      </c>
      <c r="C620" s="621">
        <v>30</v>
      </c>
      <c r="D620" s="622"/>
      <c r="E620" s="622"/>
      <c r="F620" s="623"/>
      <c r="G620" s="624"/>
      <c r="H620" s="622"/>
      <c r="I620" s="622"/>
      <c r="J620" s="625"/>
    </row>
    <row r="621" spans="1:10">
      <c r="A621" s="585">
        <v>21</v>
      </c>
      <c r="B621" s="614">
        <v>15</v>
      </c>
      <c r="C621" s="608">
        <v>66.699999999999989</v>
      </c>
      <c r="D621" s="590">
        <v>69.55104568090141</v>
      </c>
      <c r="E621" s="590">
        <v>106.45063651767512</v>
      </c>
      <c r="F621" s="591">
        <v>158.95902313528825</v>
      </c>
      <c r="G621" s="592">
        <v>100.87605761751726</v>
      </c>
      <c r="H621" s="590">
        <v>74.375087764144908</v>
      </c>
      <c r="I621" s="590">
        <v>102.77107257980465</v>
      </c>
      <c r="J621" s="593"/>
    </row>
    <row r="622" spans="1:10">
      <c r="A622" s="585">
        <v>21</v>
      </c>
      <c r="B622" s="614">
        <v>21</v>
      </c>
      <c r="C622" s="608">
        <v>100</v>
      </c>
      <c r="D622" s="590">
        <v>90.817481406816214</v>
      </c>
      <c r="E622" s="590">
        <v>131.52027112252085</v>
      </c>
      <c r="F622" s="591">
        <v>203.97308958536439</v>
      </c>
      <c r="G622" s="592">
        <v>125.81931769578816</v>
      </c>
      <c r="H622" s="590">
        <v>123.35339047672917</v>
      </c>
      <c r="I622" s="590">
        <v>132.03662929610144</v>
      </c>
      <c r="J622" s="593"/>
    </row>
    <row r="623" spans="1:10">
      <c r="A623" s="585">
        <v>21</v>
      </c>
      <c r="B623" s="614">
        <v>29</v>
      </c>
      <c r="C623" s="608">
        <v>109.99999999999999</v>
      </c>
      <c r="D623" s="590">
        <v>111.92761465451282</v>
      </c>
      <c r="E623" s="590">
        <v>151.95373235426564</v>
      </c>
      <c r="F623" s="591">
        <v>246.17625369760529</v>
      </c>
      <c r="G623" s="592">
        <v>147.20164975164738</v>
      </c>
      <c r="H623" s="590">
        <v>172.12872040728141</v>
      </c>
      <c r="I623" s="590">
        <v>157.63609696959062</v>
      </c>
      <c r="J623" s="593"/>
    </row>
    <row r="624" spans="1:10">
      <c r="A624" s="585">
        <v>21</v>
      </c>
      <c r="B624" s="614">
        <v>35</v>
      </c>
      <c r="C624" s="608">
        <v>133.29999999999998</v>
      </c>
      <c r="D624" s="590">
        <v>124.70522536645973</v>
      </c>
      <c r="E624" s="590">
        <v>162.21555360710775</v>
      </c>
      <c r="F624" s="591">
        <v>270.41445373049504</v>
      </c>
      <c r="G624" s="592">
        <v>158.5739567958189</v>
      </c>
      <c r="H624" s="590">
        <v>198.44761852638882</v>
      </c>
      <c r="I624" s="590">
        <v>171.1065068408729</v>
      </c>
      <c r="J624" s="593"/>
    </row>
    <row r="625" spans="1:10">
      <c r="A625" s="585">
        <v>21</v>
      </c>
      <c r="B625" s="614">
        <v>53</v>
      </c>
      <c r="C625" s="608">
        <v>176.70000000000002</v>
      </c>
      <c r="D625" s="590">
        <v>154.16284624378747</v>
      </c>
      <c r="E625" s="590">
        <v>180.38679384850454</v>
      </c>
      <c r="F625" s="591">
        <v>322.38895943043428</v>
      </c>
      <c r="G625" s="592">
        <v>180.74191827135419</v>
      </c>
      <c r="H625" s="590">
        <v>243.32496339835799</v>
      </c>
      <c r="I625" s="590">
        <v>195.62407712765614</v>
      </c>
      <c r="J625" s="593"/>
    </row>
    <row r="626" spans="1:10">
      <c r="A626" s="585">
        <v>21</v>
      </c>
      <c r="B626" s="614">
        <v>65</v>
      </c>
      <c r="C626" s="608">
        <v>173.3</v>
      </c>
      <c r="D626" s="590">
        <v>169.15328520201922</v>
      </c>
      <c r="E626" s="590">
        <v>187.0690156261457</v>
      </c>
      <c r="F626" s="591">
        <v>346.75631387267401</v>
      </c>
      <c r="G626" s="592">
        <v>190.12546282999503</v>
      </c>
      <c r="H626" s="590">
        <v>256.99348189968708</v>
      </c>
      <c r="I626" s="590">
        <v>204.49543813011752</v>
      </c>
      <c r="J626" s="593"/>
    </row>
    <row r="627" spans="1:10">
      <c r="A627" s="585">
        <v>21</v>
      </c>
      <c r="B627" s="614">
        <v>86</v>
      </c>
      <c r="C627" s="608">
        <v>186.7</v>
      </c>
      <c r="D627" s="590">
        <v>189.92841200884314</v>
      </c>
      <c r="E627" s="590">
        <v>193.98830883366784</v>
      </c>
      <c r="F627" s="591">
        <v>378.31042066789587</v>
      </c>
      <c r="G627" s="592">
        <v>201.36880846854459</v>
      </c>
      <c r="H627" s="590">
        <v>267.50854413321406</v>
      </c>
      <c r="I627" s="590">
        <v>212.99948101207821</v>
      </c>
      <c r="J627" s="593"/>
    </row>
    <row r="628" spans="1:10">
      <c r="A628" s="585">
        <v>21</v>
      </c>
      <c r="B628" s="614">
        <v>93</v>
      </c>
      <c r="C628" s="608">
        <v>170.00000000000003</v>
      </c>
      <c r="D628" s="590">
        <v>195.7190444689038</v>
      </c>
      <c r="E628" s="590">
        <v>195.49981522279805</v>
      </c>
      <c r="F628" s="591">
        <v>386.67078808351857</v>
      </c>
      <c r="G628" s="592">
        <v>204.1829196718806</v>
      </c>
      <c r="H628" s="590">
        <v>269.12653366132247</v>
      </c>
      <c r="I628" s="590">
        <v>214.66167100209884</v>
      </c>
      <c r="J628" s="593"/>
    </row>
    <row r="629" spans="1:10">
      <c r="A629" s="586">
        <v>21</v>
      </c>
      <c r="B629" s="615">
        <v>102</v>
      </c>
      <c r="C629" s="609">
        <v>173.3</v>
      </c>
      <c r="D629" s="594">
        <v>202.51345484194781</v>
      </c>
      <c r="E629" s="594">
        <v>197.07032344971256</v>
      </c>
      <c r="F629" s="595">
        <v>396.25271031028927</v>
      </c>
      <c r="G629" s="596">
        <v>207.32617676878127</v>
      </c>
      <c r="H629" s="594">
        <v>270.50144484235432</v>
      </c>
      <c r="I629" s="594">
        <v>216.26609951535076</v>
      </c>
      <c r="J629" s="597"/>
    </row>
    <row r="630" spans="1:10">
      <c r="A630" s="586">
        <v>21</v>
      </c>
      <c r="B630" s="615">
        <v>114</v>
      </c>
      <c r="C630" s="609">
        <v>156.69999999999999</v>
      </c>
      <c r="D630" s="594">
        <v>210.60343817373672</v>
      </c>
      <c r="E630" s="594">
        <v>198.67819430034359</v>
      </c>
      <c r="F630" s="595">
        <v>407.35585558588161</v>
      </c>
      <c r="G630" s="596">
        <v>210.86123416014655</v>
      </c>
      <c r="H630" s="594">
        <v>271.5680068230443</v>
      </c>
      <c r="I630" s="594">
        <v>217.73963905671269</v>
      </c>
      <c r="J630" s="597"/>
    </row>
    <row r="631" spans="1:10">
      <c r="A631" s="586">
        <v>21</v>
      </c>
      <c r="B631" s="615">
        <v>121</v>
      </c>
      <c r="C631" s="609">
        <v>176.70000000000002</v>
      </c>
      <c r="D631" s="594">
        <v>214.88291033104079</v>
      </c>
      <c r="E631" s="594">
        <v>199.4228139518124</v>
      </c>
      <c r="F631" s="595">
        <v>413.10150570269053</v>
      </c>
      <c r="G631" s="596">
        <v>212.64627908066362</v>
      </c>
      <c r="H631" s="594">
        <v>271.94252224934581</v>
      </c>
      <c r="I631" s="594">
        <v>218.34916464519634</v>
      </c>
      <c r="J631" s="597"/>
    </row>
    <row r="632" spans="1:10">
      <c r="A632" s="586">
        <v>21</v>
      </c>
      <c r="B632" s="615">
        <v>128</v>
      </c>
      <c r="C632" s="609">
        <v>176.70000000000002</v>
      </c>
      <c r="D632" s="594">
        <v>218.87850326818764</v>
      </c>
      <c r="E632" s="594">
        <v>200.05664527318021</v>
      </c>
      <c r="F632" s="595">
        <v>418.39022846876298</v>
      </c>
      <c r="G632" s="596">
        <v>214.26314646737112</v>
      </c>
      <c r="H632" s="594">
        <v>272.20220328552898</v>
      </c>
      <c r="I632" s="594">
        <v>218.82443607286049</v>
      </c>
      <c r="J632" s="597"/>
    </row>
    <row r="633" spans="1:10">
      <c r="A633" s="586">
        <v>21</v>
      </c>
      <c r="B633" s="615">
        <v>135</v>
      </c>
      <c r="C633" s="609">
        <v>196.70000000000002</v>
      </c>
      <c r="D633" s="594">
        <v>222.6173003384898</v>
      </c>
      <c r="E633" s="594">
        <v>200.59899164865234</v>
      </c>
      <c r="F633" s="595">
        <v>423.27559129548098</v>
      </c>
      <c r="G633" s="596">
        <v>215.73465589022541</v>
      </c>
      <c r="H633" s="594">
        <v>272.38224932593562</v>
      </c>
      <c r="I633" s="594">
        <v>219.19519547762235</v>
      </c>
      <c r="J633" s="597"/>
    </row>
    <row r="634" spans="1:10">
      <c r="A634" s="586">
        <v>21</v>
      </c>
      <c r="B634" s="615">
        <v>142</v>
      </c>
      <c r="C634" s="609">
        <v>206.70000000000002</v>
      </c>
      <c r="D634" s="594">
        <v>226.12281855934324</v>
      </c>
      <c r="E634" s="594">
        <v>201.06527964192355</v>
      </c>
      <c r="F634" s="595">
        <v>427.80292939048502</v>
      </c>
      <c r="G634" s="596">
        <v>217.07965676640427</v>
      </c>
      <c r="H634" s="594">
        <v>272.50707619988987</v>
      </c>
      <c r="I634" s="594">
        <v>219.48452872016193</v>
      </c>
      <c r="J634" s="597"/>
    </row>
    <row r="635" spans="1:10">
      <c r="A635" s="586">
        <v>21</v>
      </c>
      <c r="B635" s="615">
        <v>149</v>
      </c>
      <c r="C635" s="609">
        <v>206.70000000000002</v>
      </c>
      <c r="D635" s="594">
        <v>229.41562144785692</v>
      </c>
      <c r="E635" s="594">
        <v>201.46794212429265</v>
      </c>
      <c r="F635" s="595">
        <v>432.0109001822791</v>
      </c>
      <c r="G635" s="596">
        <v>218.31385986501911</v>
      </c>
      <c r="H635" s="594">
        <v>272.59361673586307</v>
      </c>
      <c r="I635" s="594">
        <v>219.71038150703706</v>
      </c>
      <c r="J635" s="597"/>
    </row>
    <row r="636" spans="1:10">
      <c r="A636" s="586">
        <v>21</v>
      </c>
      <c r="B636" s="615">
        <v>156</v>
      </c>
      <c r="C636" s="609">
        <v>206.70000000000002</v>
      </c>
      <c r="D636" s="594">
        <v>232.5138019275638</v>
      </c>
      <c r="E636" s="594">
        <v>201.81707662468671</v>
      </c>
      <c r="F636" s="595">
        <v>435.9326917822948</v>
      </c>
      <c r="G636" s="596">
        <v>219.45046729092067</v>
      </c>
      <c r="H636" s="594">
        <v>272.65361270003388</v>
      </c>
      <c r="I636" s="594">
        <v>219.88671981627638</v>
      </c>
      <c r="J636" s="597"/>
    </row>
    <row r="637" spans="1:10">
      <c r="A637" s="586">
        <v>21</v>
      </c>
      <c r="B637" s="615">
        <v>163</v>
      </c>
      <c r="C637" s="609">
        <v>196.70000000000002</v>
      </c>
      <c r="D637" s="594">
        <v>235.43336775944977</v>
      </c>
      <c r="E637" s="594">
        <v>202.12094198025179</v>
      </c>
      <c r="F637" s="595">
        <v>439.59697363383265</v>
      </c>
      <c r="G637" s="596">
        <v>220.50065595970852</v>
      </c>
      <c r="H637" s="594">
        <v>272.69520550761223</v>
      </c>
      <c r="I637" s="594">
        <v>220.02442210664842</v>
      </c>
      <c r="J637" s="597"/>
    </row>
    <row r="638" spans="1:10">
      <c r="A638" s="586">
        <v>21</v>
      </c>
      <c r="B638" s="615">
        <v>170</v>
      </c>
      <c r="C638" s="609">
        <v>200</v>
      </c>
      <c r="D638" s="594">
        <v>238.18855272303037</v>
      </c>
      <c r="E638" s="594">
        <v>202.38633707254581</v>
      </c>
      <c r="F638" s="595">
        <v>443.02865233902656</v>
      </c>
      <c r="G638" s="596">
        <v>221.47395298779159</v>
      </c>
      <c r="H638" s="594">
        <v>272.72403985329441</v>
      </c>
      <c r="I638" s="594">
        <v>220.13196773334286</v>
      </c>
      <c r="J638" s="597"/>
    </row>
    <row r="639" spans="1:10">
      <c r="A639" s="586">
        <v>21</v>
      </c>
      <c r="B639" s="615">
        <v>177</v>
      </c>
      <c r="C639" s="609">
        <v>210</v>
      </c>
      <c r="D639" s="594">
        <v>240.79207045932949</v>
      </c>
      <c r="E639" s="594">
        <v>202.6188925098989</v>
      </c>
      <c r="F639" s="595">
        <v>446.24947840468343</v>
      </c>
      <c r="G639" s="596">
        <v>222.37853027745493</v>
      </c>
      <c r="H639" s="594">
        <v>272.74402921650761</v>
      </c>
      <c r="I639" s="594">
        <v>220.21596958658026</v>
      </c>
      <c r="J639" s="597"/>
    </row>
    <row r="640" spans="1:10">
      <c r="A640" s="586">
        <v>21</v>
      </c>
      <c r="B640" s="615">
        <v>184</v>
      </c>
      <c r="C640" s="609">
        <v>196.70000000000002</v>
      </c>
      <c r="D640" s="594">
        <v>243.25532348392309</v>
      </c>
      <c r="E640" s="594">
        <v>202.8232973108434</v>
      </c>
      <c r="F640" s="595">
        <v>449.27853760461994</v>
      </c>
      <c r="G640" s="596">
        <v>223.2214379546744</v>
      </c>
      <c r="H640" s="594">
        <v>272.75788674355567</v>
      </c>
      <c r="I640" s="594">
        <v>220.28158709135403</v>
      </c>
      <c r="J640" s="597"/>
    </row>
    <row r="641" spans="1:10">
      <c r="A641" s="586">
        <v>21</v>
      </c>
      <c r="B641" s="615">
        <v>191</v>
      </c>
      <c r="C641" s="609">
        <v>200</v>
      </c>
      <c r="D641" s="594">
        <v>245.58857675316295</v>
      </c>
      <c r="E641" s="594">
        <v>203.00347655120962</v>
      </c>
      <c r="F641" s="595">
        <v>452.13265211043483</v>
      </c>
      <c r="G641" s="596">
        <v>224.00879101812151</v>
      </c>
      <c r="H641" s="594">
        <v>272.76749337361252</v>
      </c>
      <c r="I641" s="594">
        <v>220.33284698002268</v>
      </c>
      <c r="J641" s="597"/>
    </row>
    <row r="642" spans="1:10">
      <c r="A642" s="586">
        <v>21</v>
      </c>
      <c r="B642" s="615">
        <v>245</v>
      </c>
      <c r="C642" s="609">
        <v>203.29999999999998</v>
      </c>
      <c r="D642" s="594">
        <v>260.08808157000777</v>
      </c>
      <c r="E642" s="594">
        <v>203.86104522915232</v>
      </c>
      <c r="F642" s="595">
        <v>469.62894857484173</v>
      </c>
      <c r="G642" s="596">
        <v>228.69275707489294</v>
      </c>
      <c r="H642" s="594">
        <v>272.78791733565356</v>
      </c>
      <c r="I642" s="594">
        <v>220.48866836123409</v>
      </c>
      <c r="J642" s="597"/>
    </row>
    <row r="643" spans="1:10">
      <c r="A643" s="586">
        <v>21</v>
      </c>
      <c r="B643" s="615">
        <v>306</v>
      </c>
      <c r="C643" s="609">
        <v>203.29999999999998</v>
      </c>
      <c r="D643" s="594">
        <v>271.27600240767441</v>
      </c>
      <c r="E643" s="594">
        <v>204.26379843239656</v>
      </c>
      <c r="F643" s="595">
        <v>483.06183027942598</v>
      </c>
      <c r="G643" s="596">
        <v>232.12754604535547</v>
      </c>
      <c r="H643" s="594">
        <v>272.78915035284376</v>
      </c>
      <c r="I643" s="594">
        <v>220.51278150787002</v>
      </c>
      <c r="J643" s="597"/>
    </row>
    <row r="644" spans="1:10">
      <c r="A644" s="586">
        <v>21</v>
      </c>
      <c r="B644" s="615">
        <v>365</v>
      </c>
      <c r="C644" s="609">
        <v>213.3</v>
      </c>
      <c r="D644" s="594">
        <v>278.85285805036631</v>
      </c>
      <c r="E644" s="594">
        <v>204.43571392176725</v>
      </c>
      <c r="F644" s="595">
        <v>492.33366893764997</v>
      </c>
      <c r="G644" s="596">
        <v>234.41965580418136</v>
      </c>
      <c r="H644" s="594">
        <v>272.78920073923803</v>
      </c>
      <c r="I644" s="594">
        <v>220.51556335544359</v>
      </c>
      <c r="J644" s="597"/>
    </row>
    <row r="645" spans="1:10">
      <c r="A645" s="586">
        <v>21</v>
      </c>
      <c r="B645" s="615">
        <v>426</v>
      </c>
      <c r="C645" s="609">
        <v>223.3</v>
      </c>
      <c r="D645" s="594">
        <v>284.52736136635031</v>
      </c>
      <c r="E645" s="594">
        <v>204.52109905647731</v>
      </c>
      <c r="F645" s="595">
        <v>499.52722639257615</v>
      </c>
      <c r="G645" s="596">
        <v>236.15497073642959</v>
      </c>
      <c r="H645" s="594">
        <v>272.78920304722504</v>
      </c>
      <c r="I645" s="594">
        <v>220.51591447106577</v>
      </c>
      <c r="J645" s="597"/>
    </row>
    <row r="646" spans="1:10">
      <c r="A646" s="586">
        <v>21</v>
      </c>
      <c r="B646" s="615">
        <v>487</v>
      </c>
      <c r="C646" s="609">
        <v>210</v>
      </c>
      <c r="D646" s="594">
        <v>288.7230723938149</v>
      </c>
      <c r="E646" s="594">
        <v>204.56417289745536</v>
      </c>
      <c r="F646" s="595">
        <v>505.1025525687316</v>
      </c>
      <c r="G646" s="596">
        <v>237.47461266692417</v>
      </c>
      <c r="H646" s="594">
        <v>272.78920314198706</v>
      </c>
      <c r="I646" s="594">
        <v>220.515955373944</v>
      </c>
      <c r="J646" s="597"/>
    </row>
    <row r="647" spans="1:10">
      <c r="A647" s="587">
        <v>21</v>
      </c>
      <c r="B647" s="616">
        <v>549</v>
      </c>
      <c r="C647" s="610">
        <v>216.7</v>
      </c>
      <c r="D647" s="598">
        <v>291.93753789960982</v>
      </c>
      <c r="E647" s="598">
        <v>204.58729064699696</v>
      </c>
      <c r="F647" s="599">
        <v>509.61670266778032</v>
      </c>
      <c r="G647" s="600">
        <v>238.52716684386527</v>
      </c>
      <c r="H647" s="598">
        <v>272.78920314588635</v>
      </c>
      <c r="I647" s="598">
        <v>220.51596016064644</v>
      </c>
      <c r="J647" s="601"/>
    </row>
    <row r="648" spans="1:10">
      <c r="A648" s="587">
        <v>21</v>
      </c>
      <c r="B648" s="616">
        <v>610</v>
      </c>
      <c r="C648" s="610">
        <v>219.99999999999997</v>
      </c>
      <c r="D648" s="598">
        <v>294.3639464663803</v>
      </c>
      <c r="E648" s="598">
        <v>204.59979431068837</v>
      </c>
      <c r="F648" s="599">
        <v>513.2378678468707</v>
      </c>
      <c r="G648" s="600">
        <v>239.36135148683667</v>
      </c>
      <c r="H648" s="598">
        <v>272.78920314603795</v>
      </c>
      <c r="I648" s="598">
        <v>220.51596069651148</v>
      </c>
      <c r="J648" s="601"/>
    </row>
    <row r="649" spans="1:10">
      <c r="A649" s="587">
        <v>21</v>
      </c>
      <c r="B649" s="616">
        <v>671</v>
      </c>
      <c r="C649" s="610">
        <v>203.29999999999998</v>
      </c>
      <c r="D649" s="598">
        <v>296.25786301711344</v>
      </c>
      <c r="E649" s="598">
        <v>204.60694479014023</v>
      </c>
      <c r="F649" s="599">
        <v>516.25161671444062</v>
      </c>
      <c r="G649" s="600">
        <v>240.04879359331926</v>
      </c>
      <c r="H649" s="598">
        <v>272.7892031460442</v>
      </c>
      <c r="I649" s="598">
        <v>220.51596075893661</v>
      </c>
      <c r="J649" s="601"/>
    </row>
    <row r="650" spans="1:10">
      <c r="A650" s="587">
        <v>21</v>
      </c>
      <c r="B650" s="616">
        <v>731</v>
      </c>
      <c r="C650" s="610">
        <v>223.3</v>
      </c>
      <c r="D650" s="598">
        <v>297.73325851091988</v>
      </c>
      <c r="E650" s="598">
        <v>204.61110040684781</v>
      </c>
      <c r="F650" s="599">
        <v>518.76049802378293</v>
      </c>
      <c r="G650" s="600">
        <v>240.61639467556176</v>
      </c>
      <c r="H650" s="598">
        <v>272.78920314604443</v>
      </c>
      <c r="I650" s="598">
        <v>220.5159607661744</v>
      </c>
      <c r="J650" s="601"/>
    </row>
    <row r="651" spans="1:10">
      <c r="A651" s="587">
        <v>21</v>
      </c>
      <c r="B651" s="616">
        <v>1133</v>
      </c>
      <c r="C651" s="610">
        <v>215.60000000000002</v>
      </c>
      <c r="D651" s="598">
        <v>302.55030637537408</v>
      </c>
      <c r="E651" s="598">
        <v>204.61766290056246</v>
      </c>
      <c r="F651" s="599">
        <v>529.04325581685941</v>
      </c>
      <c r="G651" s="600">
        <v>242.89900875590712</v>
      </c>
      <c r="H651" s="598">
        <v>272.78920314604443</v>
      </c>
      <c r="I651" s="598">
        <v>220.51596076716766</v>
      </c>
      <c r="J651" s="601"/>
    </row>
    <row r="652" spans="1:10">
      <c r="A652" s="587">
        <v>21</v>
      </c>
      <c r="B652" s="616">
        <v>1161</v>
      </c>
      <c r="C652" s="610">
        <v>213.3</v>
      </c>
      <c r="D652" s="598">
        <v>302.71186125070443</v>
      </c>
      <c r="E652" s="598">
        <v>204.61773558173019</v>
      </c>
      <c r="F652" s="599">
        <v>529.50665151346641</v>
      </c>
      <c r="G652" s="600">
        <v>243.00024226582562</v>
      </c>
      <c r="H652" s="598">
        <v>272.78920314604443</v>
      </c>
      <c r="I652" s="598">
        <v>220.51596076716766</v>
      </c>
      <c r="J652" s="601"/>
    </row>
    <row r="653" spans="1:10">
      <c r="A653" s="587">
        <v>21</v>
      </c>
      <c r="B653" s="616">
        <v>1222</v>
      </c>
      <c r="C653" s="610">
        <v>218.9</v>
      </c>
      <c r="D653" s="598">
        <v>303.02265877478391</v>
      </c>
      <c r="E653" s="598">
        <v>204.61785524450974</v>
      </c>
      <c r="F653" s="599">
        <v>530.44596538461883</v>
      </c>
      <c r="G653" s="600">
        <v>243.2050179403245</v>
      </c>
      <c r="H653" s="598">
        <v>272.78920314604443</v>
      </c>
      <c r="I653" s="598">
        <v>220.51596076716766</v>
      </c>
      <c r="J653" s="601"/>
    </row>
    <row r="654" spans="1:10">
      <c r="A654" s="587">
        <v>21</v>
      </c>
      <c r="B654" s="616">
        <v>1287</v>
      </c>
      <c r="C654" s="610">
        <v>213.3</v>
      </c>
      <c r="D654" s="598">
        <v>303.30119263161254</v>
      </c>
      <c r="E654" s="598">
        <v>204.61794124812201</v>
      </c>
      <c r="F654" s="599">
        <v>531.35307082342683</v>
      </c>
      <c r="G654" s="600">
        <v>243.40223046795251</v>
      </c>
      <c r="H654" s="598">
        <v>272.78920314604443</v>
      </c>
      <c r="I654" s="598">
        <v>220.51596076716766</v>
      </c>
      <c r="J654" s="601"/>
    </row>
    <row r="655" spans="1:10">
      <c r="A655" s="587">
        <v>21</v>
      </c>
      <c r="B655" s="616">
        <v>1361</v>
      </c>
      <c r="C655" s="610">
        <v>214.4</v>
      </c>
      <c r="D655" s="598">
        <v>303.56468938521874</v>
      </c>
      <c r="E655" s="598">
        <v>204.61800549899368</v>
      </c>
      <c r="F655" s="599">
        <v>532.28458151348082</v>
      </c>
      <c r="G655" s="600">
        <v>243.60419672933563</v>
      </c>
      <c r="H655" s="598">
        <v>272.78920314604443</v>
      </c>
      <c r="I655" s="598">
        <v>220.51596076716766</v>
      </c>
      <c r="J655" s="601"/>
    </row>
    <row r="656" spans="1:10">
      <c r="A656" s="587">
        <v>21</v>
      </c>
      <c r="B656" s="616">
        <v>1420</v>
      </c>
      <c r="C656" s="610">
        <v>214.4</v>
      </c>
      <c r="D656" s="598">
        <v>303.74136983201959</v>
      </c>
      <c r="E656" s="598">
        <v>204.61803993687187</v>
      </c>
      <c r="F656" s="599">
        <v>532.96042116411468</v>
      </c>
      <c r="G656" s="600">
        <v>243.75038013173028</v>
      </c>
      <c r="H656" s="598">
        <v>272.78920314604443</v>
      </c>
      <c r="I656" s="598">
        <v>220.51596076716766</v>
      </c>
      <c r="J656" s="601"/>
    </row>
    <row r="657" spans="1:10">
      <c r="A657" s="587">
        <v>21</v>
      </c>
      <c r="B657" s="616">
        <v>1519</v>
      </c>
      <c r="C657" s="610">
        <v>225.60000000000002</v>
      </c>
      <c r="D657" s="598">
        <v>303.98479028890921</v>
      </c>
      <c r="E657" s="598">
        <v>204.61807692663632</v>
      </c>
      <c r="F657" s="599">
        <v>533.98081131837512</v>
      </c>
      <c r="G657" s="600">
        <v>243.97053435166896</v>
      </c>
      <c r="H657" s="598">
        <v>272.78920314604443</v>
      </c>
      <c r="I657" s="598">
        <v>220.51596076716766</v>
      </c>
      <c r="J657" s="601"/>
    </row>
    <row r="658" spans="1:10">
      <c r="A658" s="587">
        <v>21</v>
      </c>
      <c r="B658" s="616">
        <v>1610</v>
      </c>
      <c r="C658" s="610">
        <v>231.1</v>
      </c>
      <c r="D658" s="598">
        <v>304.16220245686588</v>
      </c>
      <c r="E658" s="598">
        <v>204.61809688132902</v>
      </c>
      <c r="F658" s="599">
        <v>534.8118864802542</v>
      </c>
      <c r="G658" s="600">
        <v>244.14935072185153</v>
      </c>
      <c r="H658" s="598">
        <v>272.78920314604443</v>
      </c>
      <c r="I658" s="598">
        <v>220.51596076716766</v>
      </c>
      <c r="J658" s="601"/>
    </row>
    <row r="659" spans="1:10">
      <c r="A659" s="587">
        <v>21</v>
      </c>
      <c r="B659" s="616">
        <v>1702</v>
      </c>
      <c r="C659" s="610">
        <v>237.8</v>
      </c>
      <c r="D659" s="598">
        <v>304.30676923918065</v>
      </c>
      <c r="E659" s="598">
        <v>204.61810917960037</v>
      </c>
      <c r="F659" s="599">
        <v>535.56471890033674</v>
      </c>
      <c r="G659" s="600">
        <v>244.31095175803344</v>
      </c>
      <c r="H659" s="598">
        <v>272.78920314604443</v>
      </c>
      <c r="I659" s="598">
        <v>220.51596076716766</v>
      </c>
      <c r="J659" s="601"/>
    </row>
    <row r="660" spans="1:10">
      <c r="A660" s="587">
        <v>21</v>
      </c>
      <c r="B660" s="616">
        <v>1794</v>
      </c>
      <c r="C660" s="610">
        <v>232.20000000000002</v>
      </c>
      <c r="D660" s="598">
        <v>304.42392403358281</v>
      </c>
      <c r="E660" s="598">
        <v>204.61811676378997</v>
      </c>
      <c r="F660" s="599">
        <v>536.24274728301987</v>
      </c>
      <c r="G660" s="600">
        <v>244.45618676320598</v>
      </c>
      <c r="H660" s="598">
        <v>272.78920314604443</v>
      </c>
      <c r="I660" s="598">
        <v>220.51596076716766</v>
      </c>
      <c r="J660" s="601"/>
    </row>
    <row r="661" spans="1:10">
      <c r="A661" s="587">
        <v>21</v>
      </c>
      <c r="B661" s="616">
        <v>1925</v>
      </c>
      <c r="C661" s="610">
        <v>231.1</v>
      </c>
      <c r="D661" s="598">
        <v>304.55453177030734</v>
      </c>
      <c r="E661" s="598">
        <v>204.6181229417254</v>
      </c>
      <c r="F661" s="599">
        <v>537.09962079899879</v>
      </c>
      <c r="G661" s="600">
        <v>244.639313109661</v>
      </c>
      <c r="H661" s="598">
        <v>272.78920314604443</v>
      </c>
      <c r="I661" s="598">
        <v>220.51596076716766</v>
      </c>
      <c r="J661" s="601"/>
    </row>
    <row r="662" spans="1:10">
      <c r="A662" s="587">
        <v>21</v>
      </c>
      <c r="B662" s="616">
        <v>2016</v>
      </c>
      <c r="C662" s="610">
        <v>234.39999999999998</v>
      </c>
      <c r="D662" s="598">
        <v>304.62594054135087</v>
      </c>
      <c r="E662" s="598">
        <v>204.6181253990402</v>
      </c>
      <c r="F662" s="599">
        <v>537.63113636690218</v>
      </c>
      <c r="G662" s="600">
        <v>244.75267189272361</v>
      </c>
      <c r="H662" s="598">
        <v>272.78920314604443</v>
      </c>
      <c r="I662" s="598">
        <v>220.51596076716766</v>
      </c>
      <c r="J662" s="601"/>
    </row>
    <row r="663" spans="1:10">
      <c r="A663" s="587">
        <v>21</v>
      </c>
      <c r="B663" s="616">
        <v>2119</v>
      </c>
      <c r="C663" s="610">
        <v>237.8</v>
      </c>
      <c r="D663" s="598">
        <v>304.69204921787832</v>
      </c>
      <c r="E663" s="598">
        <v>204.61812714927308</v>
      </c>
      <c r="F663" s="599">
        <v>538.17912874216768</v>
      </c>
      <c r="G663" s="600">
        <v>244.86935768671691</v>
      </c>
      <c r="H663" s="598">
        <v>272.78920314604443</v>
      </c>
      <c r="I663" s="598">
        <v>220.51596076716766</v>
      </c>
      <c r="J663" s="601"/>
    </row>
    <row r="664" spans="1:10">
      <c r="A664" s="587">
        <v>21</v>
      </c>
      <c r="B664" s="616">
        <v>2217</v>
      </c>
      <c r="C664" s="610">
        <v>240</v>
      </c>
      <c r="D664" s="598">
        <v>304.74336995456116</v>
      </c>
      <c r="E664" s="598">
        <v>204.6181281887236</v>
      </c>
      <c r="F664" s="599">
        <v>538.65445281153927</v>
      </c>
      <c r="G664" s="600">
        <v>244.97041640856622</v>
      </c>
      <c r="H664" s="598">
        <v>272.78920314604443</v>
      </c>
      <c r="I664" s="598">
        <v>220.51596076716766</v>
      </c>
      <c r="J664" s="601"/>
    </row>
    <row r="665" spans="1:10">
      <c r="A665" s="587">
        <v>21</v>
      </c>
      <c r="B665" s="616">
        <v>2323</v>
      </c>
      <c r="C665" s="610">
        <v>241.1</v>
      </c>
      <c r="D665" s="598">
        <v>304.78878659047518</v>
      </c>
      <c r="E665" s="598">
        <v>204.61812889547207</v>
      </c>
      <c r="F665" s="599">
        <v>539.12452906929559</v>
      </c>
      <c r="G665" s="600">
        <v>245.07021929360766</v>
      </c>
      <c r="H665" s="598">
        <v>272.78920314604443</v>
      </c>
      <c r="I665" s="598">
        <v>220.51596076716766</v>
      </c>
      <c r="J665" s="601"/>
    </row>
    <row r="666" spans="1:10">
      <c r="A666" s="587">
        <v>21</v>
      </c>
      <c r="B666" s="616">
        <v>2486</v>
      </c>
      <c r="C666" s="610">
        <v>240</v>
      </c>
      <c r="D666" s="598">
        <v>304.84290824035969</v>
      </c>
      <c r="E666" s="598">
        <v>204.6181295010353</v>
      </c>
      <c r="F666" s="599">
        <v>539.77094886042187</v>
      </c>
      <c r="G666" s="600">
        <v>245.20723489878526</v>
      </c>
      <c r="H666" s="598">
        <v>272.78920314604443</v>
      </c>
      <c r="I666" s="598">
        <v>220.51596076716766</v>
      </c>
      <c r="J666" s="601"/>
    </row>
    <row r="667" spans="1:10">
      <c r="A667" s="587">
        <v>21</v>
      </c>
      <c r="B667" s="616">
        <v>2596</v>
      </c>
      <c r="C667" s="610">
        <v>233.3</v>
      </c>
      <c r="D667" s="598">
        <v>304.87119189919997</v>
      </c>
      <c r="E667" s="598">
        <v>204.61812972512914</v>
      </c>
      <c r="F667" s="599">
        <v>540.16231122556269</v>
      </c>
      <c r="G667" s="600">
        <v>245.29006071920139</v>
      </c>
      <c r="H667" s="598">
        <v>272.78920314604443</v>
      </c>
      <c r="I667" s="598">
        <v>220.51596076716766</v>
      </c>
      <c r="J667" s="601"/>
    </row>
    <row r="668" spans="1:10">
      <c r="A668" s="587">
        <v>21</v>
      </c>
      <c r="B668" s="616">
        <v>2750</v>
      </c>
      <c r="C668" s="610">
        <v>226.7</v>
      </c>
      <c r="D668" s="598">
        <v>304.90246036050081</v>
      </c>
      <c r="E668" s="598">
        <v>204.61812990702649</v>
      </c>
      <c r="F668" s="599">
        <v>540.65870730204517</v>
      </c>
      <c r="G668" s="600">
        <v>245.39497704691004</v>
      </c>
      <c r="H668" s="598">
        <v>272.78920314604443</v>
      </c>
      <c r="I668" s="598">
        <v>220.51596076716766</v>
      </c>
      <c r="J668" s="601"/>
    </row>
    <row r="669" spans="1:10">
      <c r="A669" s="587">
        <v>21</v>
      </c>
      <c r="B669" s="616">
        <v>2865</v>
      </c>
      <c r="C669" s="610">
        <v>228.9</v>
      </c>
      <c r="D669" s="598">
        <v>304.9208774859236</v>
      </c>
      <c r="E669" s="598">
        <v>204.61812998481105</v>
      </c>
      <c r="F669" s="599">
        <v>540.99528017236184</v>
      </c>
      <c r="G669" s="600">
        <v>245.46602591983637</v>
      </c>
      <c r="H669" s="598">
        <v>272.78920314604443</v>
      </c>
      <c r="I669" s="598">
        <v>220.51596076716766</v>
      </c>
      <c r="J669" s="601"/>
    </row>
    <row r="670" spans="1:10">
      <c r="A670" s="587">
        <v>21</v>
      </c>
      <c r="B670" s="616">
        <v>2969</v>
      </c>
      <c r="C670" s="610">
        <v>228.9</v>
      </c>
      <c r="D670" s="598">
        <v>304.9346826772321</v>
      </c>
      <c r="E670" s="598">
        <v>204.61813003016016</v>
      </c>
      <c r="F670" s="599">
        <v>541.27763855862065</v>
      </c>
      <c r="G670" s="600">
        <v>245.52557568459579</v>
      </c>
      <c r="H670" s="598">
        <v>272.78920314604443</v>
      </c>
      <c r="I670" s="598">
        <v>220.51596076716766</v>
      </c>
      <c r="J670" s="601"/>
    </row>
    <row r="671" spans="1:10">
      <c r="A671" s="587">
        <v>21</v>
      </c>
      <c r="B671" s="616">
        <v>3051</v>
      </c>
      <c r="C671" s="610">
        <v>228.9</v>
      </c>
      <c r="D671" s="598">
        <v>304.94398947837203</v>
      </c>
      <c r="E671" s="598">
        <v>204.61813005492266</v>
      </c>
      <c r="F671" s="599">
        <v>541.48694884083272</v>
      </c>
      <c r="G671" s="600">
        <v>245.5696873231069</v>
      </c>
      <c r="H671" s="598">
        <v>272.78920314604443</v>
      </c>
      <c r="I671" s="598">
        <v>220.51596076716766</v>
      </c>
      <c r="J671" s="601"/>
    </row>
    <row r="672" spans="1:10">
      <c r="A672" s="587">
        <v>21</v>
      </c>
      <c r="B672" s="616">
        <v>3214</v>
      </c>
      <c r="C672" s="610">
        <v>226.7</v>
      </c>
      <c r="D672" s="598">
        <v>304.95914864805292</v>
      </c>
      <c r="E672" s="598">
        <v>204.61813008603019</v>
      </c>
      <c r="F672" s="599">
        <v>541.87186413169502</v>
      </c>
      <c r="G672" s="600">
        <v>245.65073583194899</v>
      </c>
      <c r="H672" s="598">
        <v>272.78920314604443</v>
      </c>
      <c r="I672" s="598">
        <v>220.51596076716766</v>
      </c>
      <c r="J672" s="601"/>
    </row>
    <row r="673" spans="1:10">
      <c r="A673" s="587">
        <v>21</v>
      </c>
      <c r="B673" s="616">
        <v>3300</v>
      </c>
      <c r="C673" s="610">
        <v>231.1</v>
      </c>
      <c r="D673" s="598">
        <v>304.96567835137836</v>
      </c>
      <c r="E673" s="598">
        <v>204.61813009617205</v>
      </c>
      <c r="F673" s="599">
        <v>542.05989011466966</v>
      </c>
      <c r="G673" s="600">
        <v>245.69029331584997</v>
      </c>
      <c r="H673" s="598">
        <v>272.78920314604443</v>
      </c>
      <c r="I673" s="598">
        <v>220.51596076716766</v>
      </c>
      <c r="J673" s="601"/>
    </row>
    <row r="674" spans="1:10">
      <c r="A674" s="619">
        <v>22</v>
      </c>
      <c r="B674" s="620">
        <v>8</v>
      </c>
      <c r="C674" s="621">
        <v>53.29999999999999</v>
      </c>
      <c r="D674" s="622">
        <v>25.269138155074174</v>
      </c>
      <c r="E674" s="622">
        <v>37.97046072926446</v>
      </c>
      <c r="F674" s="623">
        <v>55.8418087604813</v>
      </c>
      <c r="G674" s="624">
        <v>33.178390782282172</v>
      </c>
      <c r="H674" s="622">
        <v>7.2157536499259134</v>
      </c>
      <c r="I674" s="622">
        <v>31.203031890928877</v>
      </c>
      <c r="J674" s="625"/>
    </row>
    <row r="675" spans="1:10">
      <c r="A675" s="585">
        <v>22</v>
      </c>
      <c r="B675" s="614">
        <v>15</v>
      </c>
      <c r="C675" s="608">
        <v>76.7</v>
      </c>
      <c r="D675" s="590">
        <v>70.365197027569792</v>
      </c>
      <c r="E675" s="590">
        <v>98.167347397956021</v>
      </c>
      <c r="F675" s="591">
        <v>152.0457972063403</v>
      </c>
      <c r="G675" s="592">
        <v>86.735505393638178</v>
      </c>
      <c r="H675" s="590">
        <v>74.393730518783343</v>
      </c>
      <c r="I675" s="590">
        <v>91.713683227817342</v>
      </c>
      <c r="J675" s="593"/>
    </row>
    <row r="676" spans="1:10">
      <c r="A676" s="585">
        <v>22</v>
      </c>
      <c r="B676" s="614">
        <v>22</v>
      </c>
      <c r="C676" s="608">
        <v>93.3</v>
      </c>
      <c r="D676" s="590">
        <v>94.891350781255866</v>
      </c>
      <c r="E676" s="590">
        <v>124.14211492005562</v>
      </c>
      <c r="F676" s="591">
        <v>200.96240023252926</v>
      </c>
      <c r="G676" s="592">
        <v>110.95724870736085</v>
      </c>
      <c r="H676" s="590">
        <v>131.31782238591808</v>
      </c>
      <c r="I676" s="590">
        <v>121.66058558591638</v>
      </c>
      <c r="J676" s="593"/>
    </row>
    <row r="677" spans="1:10">
      <c r="A677" s="585">
        <v>22</v>
      </c>
      <c r="B677" s="614">
        <v>28</v>
      </c>
      <c r="C677" s="608">
        <v>116.7</v>
      </c>
      <c r="D677" s="590">
        <v>110.84543579042271</v>
      </c>
      <c r="E677" s="590">
        <v>138.12849143212173</v>
      </c>
      <c r="F677" s="591">
        <v>231.11380652746081</v>
      </c>
      <c r="G677" s="592">
        <v>124.66623490368934</v>
      </c>
      <c r="H677" s="590">
        <v>168.55647096754095</v>
      </c>
      <c r="I677" s="590">
        <v>138.97363075781723</v>
      </c>
      <c r="J677" s="593"/>
    </row>
    <row r="678" spans="1:10">
      <c r="A678" s="585">
        <v>22</v>
      </c>
      <c r="B678" s="614">
        <v>33</v>
      </c>
      <c r="C678" s="608">
        <v>113.3</v>
      </c>
      <c r="D678" s="590">
        <v>122.0469720823216</v>
      </c>
      <c r="E678" s="590">
        <v>146.60491850848697</v>
      </c>
      <c r="F678" s="591">
        <v>251.4315979810076</v>
      </c>
      <c r="G678" s="592">
        <v>133.36063437382785</v>
      </c>
      <c r="H678" s="590">
        <v>192.61165861737874</v>
      </c>
      <c r="I678" s="590">
        <v>149.89215674858588</v>
      </c>
      <c r="J678" s="593"/>
    </row>
    <row r="679" spans="1:10">
      <c r="A679" s="585">
        <v>22</v>
      </c>
      <c r="B679" s="614">
        <v>49</v>
      </c>
      <c r="C679" s="608">
        <v>176.70000000000002</v>
      </c>
      <c r="D679" s="590">
        <v>150.13832395775898</v>
      </c>
      <c r="E679" s="590">
        <v>163.36360546234661</v>
      </c>
      <c r="F679" s="591">
        <v>299.17195079138656</v>
      </c>
      <c r="G679" s="592">
        <v>152.07285299751479</v>
      </c>
      <c r="H679" s="590">
        <v>239.72839351293746</v>
      </c>
      <c r="I679" s="590">
        <v>172.22921234443393</v>
      </c>
      <c r="J679" s="593"/>
    </row>
    <row r="680" spans="1:10">
      <c r="A680" s="585">
        <v>22</v>
      </c>
      <c r="B680" s="614">
        <v>61</v>
      </c>
      <c r="C680" s="608">
        <v>156.69999999999999</v>
      </c>
      <c r="D680" s="590">
        <v>166.28482604863797</v>
      </c>
      <c r="E680" s="590">
        <v>170.42117916151221</v>
      </c>
      <c r="F680" s="591">
        <v>324.52620585286689</v>
      </c>
      <c r="G680" s="592">
        <v>161.05640543681304</v>
      </c>
      <c r="H680" s="590">
        <v>256.92818717437444</v>
      </c>
      <c r="I680" s="590">
        <v>181.64205446758237</v>
      </c>
      <c r="J680" s="593"/>
    </row>
    <row r="681" spans="1:10">
      <c r="A681" s="585">
        <v>22</v>
      </c>
      <c r="B681" s="614">
        <v>82</v>
      </c>
      <c r="C681" s="608">
        <v>196.70000000000002</v>
      </c>
      <c r="D681" s="590">
        <v>188.41355766827544</v>
      </c>
      <c r="E681" s="590">
        <v>177.57569800834017</v>
      </c>
      <c r="F681" s="591">
        <v>356.89056053598779</v>
      </c>
      <c r="G681" s="592">
        <v>171.60920518143467</v>
      </c>
      <c r="H681" s="590">
        <v>270.18828107805098</v>
      </c>
      <c r="I681" s="590">
        <v>190.60992555823293</v>
      </c>
      <c r="J681" s="593"/>
    </row>
    <row r="682" spans="1:10">
      <c r="A682" s="585">
        <v>22</v>
      </c>
      <c r="B682" s="614">
        <v>89</v>
      </c>
      <c r="C682" s="608">
        <v>183.29999999999998</v>
      </c>
      <c r="D682" s="590">
        <v>194.53944673275677</v>
      </c>
      <c r="E682" s="590">
        <v>179.11542088656572</v>
      </c>
      <c r="F682" s="591">
        <v>365.38708043597984</v>
      </c>
      <c r="G682" s="592">
        <v>174.21655778628144</v>
      </c>
      <c r="H682" s="590">
        <v>272.23006331771739</v>
      </c>
      <c r="I682" s="590">
        <v>192.35680749782</v>
      </c>
      <c r="J682" s="593"/>
    </row>
    <row r="683" spans="1:10">
      <c r="A683" s="585">
        <v>22</v>
      </c>
      <c r="B683" s="614">
        <v>97</v>
      </c>
      <c r="C683" s="608">
        <v>186.7</v>
      </c>
      <c r="D683" s="590">
        <v>200.94629004589032</v>
      </c>
      <c r="E683" s="590">
        <v>180.54687548838152</v>
      </c>
      <c r="F683" s="591">
        <v>374.07026589267059</v>
      </c>
      <c r="G683" s="592">
        <v>176.81356665872346</v>
      </c>
      <c r="H683" s="590">
        <v>273.81010602820118</v>
      </c>
      <c r="I683" s="590">
        <v>193.8797825596622</v>
      </c>
      <c r="J683" s="593"/>
    </row>
    <row r="684" spans="1:10">
      <c r="A684" s="586">
        <v>22</v>
      </c>
      <c r="B684" s="615">
        <v>110</v>
      </c>
      <c r="C684" s="609">
        <v>170.00000000000003</v>
      </c>
      <c r="D684" s="594">
        <v>210.21404267652841</v>
      </c>
      <c r="E684" s="594">
        <v>182.32149636298234</v>
      </c>
      <c r="F684" s="595">
        <v>386.28001062718397</v>
      </c>
      <c r="G684" s="596">
        <v>180.3522541808976</v>
      </c>
      <c r="H684" s="594">
        <v>275.31084997408971</v>
      </c>
      <c r="I684" s="594">
        <v>195.58631073385763</v>
      </c>
      <c r="J684" s="597"/>
    </row>
    <row r="685" spans="1:10">
      <c r="A685" s="586">
        <v>22</v>
      </c>
      <c r="B685" s="615">
        <v>117</v>
      </c>
      <c r="C685" s="609">
        <v>176.70000000000002</v>
      </c>
      <c r="D685" s="594">
        <v>214.70306306145926</v>
      </c>
      <c r="E685" s="594">
        <v>183.06564306129275</v>
      </c>
      <c r="F685" s="595">
        <v>392.05220874832207</v>
      </c>
      <c r="G685" s="596">
        <v>181.98014887239339</v>
      </c>
      <c r="H685" s="594">
        <v>275.78328627596807</v>
      </c>
      <c r="I685" s="594">
        <v>196.22496451231271</v>
      </c>
      <c r="J685" s="597"/>
    </row>
    <row r="686" spans="1:10">
      <c r="A686" s="586">
        <v>22</v>
      </c>
      <c r="B686" s="615">
        <v>124</v>
      </c>
      <c r="C686" s="609">
        <v>176.70000000000002</v>
      </c>
      <c r="D686" s="594">
        <v>218.88761000332553</v>
      </c>
      <c r="E686" s="594">
        <v>183.69670626599677</v>
      </c>
      <c r="F686" s="595">
        <v>397.35381499558952</v>
      </c>
      <c r="G686" s="596">
        <v>183.45034054868873</v>
      </c>
      <c r="H686" s="594">
        <v>276.11079686204351</v>
      </c>
      <c r="I686" s="594">
        <v>196.72271762309347</v>
      </c>
      <c r="J686" s="597"/>
    </row>
    <row r="687" spans="1:10">
      <c r="A687" s="586">
        <v>22</v>
      </c>
      <c r="B687" s="615">
        <v>131</v>
      </c>
      <c r="C687" s="609">
        <v>196.70000000000002</v>
      </c>
      <c r="D687" s="594">
        <v>222.79751134268801</v>
      </c>
      <c r="E687" s="594">
        <v>184.23482850103341</v>
      </c>
      <c r="F687" s="595">
        <v>402.24140138100029</v>
      </c>
      <c r="G687" s="596">
        <v>184.78481113004639</v>
      </c>
      <c r="H687" s="594">
        <v>276.3378208350257</v>
      </c>
      <c r="I687" s="594">
        <v>197.11086007001128</v>
      </c>
      <c r="J687" s="597"/>
    </row>
    <row r="688" spans="1:10">
      <c r="A688" s="586">
        <v>22</v>
      </c>
      <c r="B688" s="615">
        <v>138</v>
      </c>
      <c r="C688" s="609">
        <v>196.70000000000002</v>
      </c>
      <c r="D688" s="594">
        <v>226.45855095781505</v>
      </c>
      <c r="E688" s="594">
        <v>184.6960146862375</v>
      </c>
      <c r="F688" s="595">
        <v>406.76262328045516</v>
      </c>
      <c r="G688" s="596">
        <v>186.00161723644081</v>
      </c>
      <c r="H688" s="594">
        <v>276.49518049014955</v>
      </c>
      <c r="I688" s="594">
        <v>197.41365279736044</v>
      </c>
      <c r="J688" s="597"/>
    </row>
    <row r="689" spans="1:10">
      <c r="A689" s="586">
        <v>22</v>
      </c>
      <c r="B689" s="615">
        <v>145</v>
      </c>
      <c r="C689" s="609">
        <v>200</v>
      </c>
      <c r="D689" s="594">
        <v>229.89318469401087</v>
      </c>
      <c r="E689" s="594">
        <v>185.09309633656821</v>
      </c>
      <c r="F689" s="595">
        <v>410.95794632586376</v>
      </c>
      <c r="G689" s="596">
        <v>187.11573329753094</v>
      </c>
      <c r="H689" s="594">
        <v>276.60424864622235</v>
      </c>
      <c r="I689" s="594">
        <v>197.64993838370145</v>
      </c>
      <c r="J689" s="597"/>
    </row>
    <row r="690" spans="1:10">
      <c r="A690" s="586">
        <v>22</v>
      </c>
      <c r="B690" s="615">
        <v>152</v>
      </c>
      <c r="C690" s="609">
        <v>196.70000000000002</v>
      </c>
      <c r="D690" s="594">
        <v>233.1211000327356</v>
      </c>
      <c r="E690" s="594">
        <v>185.43644472076804</v>
      </c>
      <c r="F690" s="595">
        <v>414.86197911819153</v>
      </c>
      <c r="G690" s="596">
        <v>188.13968527029274</v>
      </c>
      <c r="H690" s="594">
        <v>276.67984323442442</v>
      </c>
      <c r="I690" s="594">
        <v>197.83437021843272</v>
      </c>
      <c r="J690" s="597"/>
    </row>
    <row r="691" spans="1:10">
      <c r="A691" s="586">
        <v>22</v>
      </c>
      <c r="B691" s="615">
        <v>159</v>
      </c>
      <c r="C691" s="609">
        <v>179.99999999999997</v>
      </c>
      <c r="D691" s="594">
        <v>236.15965962916516</v>
      </c>
      <c r="E691" s="594">
        <v>185.73450502874306</v>
      </c>
      <c r="F691" s="595">
        <v>418.50451473832493</v>
      </c>
      <c r="G691" s="596">
        <v>189.08403349791584</v>
      </c>
      <c r="H691" s="594">
        <v>276.73223647228377</v>
      </c>
      <c r="I691" s="594">
        <v>197.97835536744086</v>
      </c>
      <c r="J691" s="597"/>
    </row>
    <row r="692" spans="1:10">
      <c r="A692" s="586">
        <v>22</v>
      </c>
      <c r="B692" s="615">
        <v>166</v>
      </c>
      <c r="C692" s="609">
        <v>186.7</v>
      </c>
      <c r="D692" s="594">
        <v>239.02425713182757</v>
      </c>
      <c r="E692" s="594">
        <v>185.99420106567268</v>
      </c>
      <c r="F692" s="595">
        <v>421.91135391098567</v>
      </c>
      <c r="G692" s="596">
        <v>189.957745182037</v>
      </c>
      <c r="H692" s="594">
        <v>276.76854879997677</v>
      </c>
      <c r="I692" s="594">
        <v>198.09078072508271</v>
      </c>
      <c r="J692" s="597"/>
    </row>
    <row r="693" spans="1:10">
      <c r="A693" s="586">
        <v>22</v>
      </c>
      <c r="B693" s="615">
        <v>173</v>
      </c>
      <c r="C693" s="609">
        <v>203.29999999999998</v>
      </c>
      <c r="D693" s="594">
        <v>241.72860577615077</v>
      </c>
      <c r="E693" s="594">
        <v>186.22124506141904</v>
      </c>
      <c r="F693" s="595">
        <v>425.10496225390705</v>
      </c>
      <c r="G693" s="596">
        <v>190.76848494093693</v>
      </c>
      <c r="H693" s="594">
        <v>276.79371565820674</v>
      </c>
      <c r="I693" s="594">
        <v>198.17857401606267</v>
      </c>
      <c r="J693" s="597"/>
    </row>
    <row r="694" spans="1:10">
      <c r="A694" s="586">
        <v>22</v>
      </c>
      <c r="B694" s="615">
        <v>180</v>
      </c>
      <c r="C694" s="609">
        <v>186.7</v>
      </c>
      <c r="D694" s="594">
        <v>244.28497477706293</v>
      </c>
      <c r="E694" s="594">
        <v>186.42037711226178</v>
      </c>
      <c r="F694" s="595">
        <v>428.1049999290355</v>
      </c>
      <c r="G694" s="596">
        <v>191.52284380104305</v>
      </c>
      <c r="H694" s="594">
        <v>276.81115785525003</v>
      </c>
      <c r="I694" s="594">
        <v>198.24713826731366</v>
      </c>
      <c r="J694" s="597"/>
    </row>
    <row r="695" spans="1:10">
      <c r="A695" s="586">
        <v>22</v>
      </c>
      <c r="B695" s="615">
        <v>187</v>
      </c>
      <c r="C695" s="609">
        <v>190</v>
      </c>
      <c r="D695" s="594">
        <v>246.70438470356478</v>
      </c>
      <c r="E695" s="594">
        <v>186.5955518664465</v>
      </c>
      <c r="F695" s="595">
        <v>430.92875208699087</v>
      </c>
      <c r="G695" s="596">
        <v>192.2265213714538</v>
      </c>
      <c r="H695" s="594">
        <v>276.82324632933262</v>
      </c>
      <c r="I695" s="594">
        <v>198.30068892982769</v>
      </c>
      <c r="J695" s="597"/>
    </row>
    <row r="696" spans="1:10">
      <c r="A696" s="586">
        <v>22</v>
      </c>
      <c r="B696" s="615">
        <v>243</v>
      </c>
      <c r="C696" s="609">
        <v>200</v>
      </c>
      <c r="D696" s="594">
        <v>262.14779402716238</v>
      </c>
      <c r="E696" s="594">
        <v>187.4426211295617</v>
      </c>
      <c r="F696" s="595">
        <v>448.69369955106691</v>
      </c>
      <c r="G696" s="596">
        <v>196.51532188857365</v>
      </c>
      <c r="H696" s="594">
        <v>276.84908824632868</v>
      </c>
      <c r="I696" s="594">
        <v>198.46530874849944</v>
      </c>
      <c r="J696" s="597"/>
    </row>
    <row r="697" spans="1:10">
      <c r="A697" s="586">
        <v>22</v>
      </c>
      <c r="B697" s="615">
        <v>304</v>
      </c>
      <c r="C697" s="609">
        <v>210</v>
      </c>
      <c r="D697" s="594">
        <v>273.51435994260999</v>
      </c>
      <c r="E697" s="594">
        <v>187.81612052140224</v>
      </c>
      <c r="F697" s="595">
        <v>461.7013718025118</v>
      </c>
      <c r="G697" s="596">
        <v>199.50918622941992</v>
      </c>
      <c r="H697" s="594">
        <v>276.85048155153777</v>
      </c>
      <c r="I697" s="594">
        <v>198.48873440416466</v>
      </c>
      <c r="J697" s="597"/>
    </row>
    <row r="698" spans="1:10">
      <c r="A698" s="586">
        <v>22</v>
      </c>
      <c r="B698" s="615">
        <v>363</v>
      </c>
      <c r="C698" s="609">
        <v>210</v>
      </c>
      <c r="D698" s="594">
        <v>281.19272410769901</v>
      </c>
      <c r="E698" s="594">
        <v>187.97461751813435</v>
      </c>
      <c r="F698" s="595">
        <v>470.66217697286288</v>
      </c>
      <c r="G698" s="596">
        <v>201.5023775227873</v>
      </c>
      <c r="H698" s="594">
        <v>276.85053835602474</v>
      </c>
      <c r="I698" s="594">
        <v>198.49143272400809</v>
      </c>
      <c r="J698" s="597"/>
    </row>
    <row r="699" spans="1:10">
      <c r="A699" s="586">
        <v>22</v>
      </c>
      <c r="B699" s="615">
        <v>424</v>
      </c>
      <c r="C699" s="609">
        <v>216.7</v>
      </c>
      <c r="D699" s="594">
        <v>286.93128443783797</v>
      </c>
      <c r="E699" s="594">
        <v>188.05296684569896</v>
      </c>
      <c r="F699" s="595">
        <v>477.60465886890501</v>
      </c>
      <c r="G699" s="596">
        <v>203.00890774319615</v>
      </c>
      <c r="H699" s="594">
        <v>276.85054095212371</v>
      </c>
      <c r="I699" s="594">
        <v>198.49177277748365</v>
      </c>
      <c r="J699" s="597"/>
    </row>
    <row r="700" spans="1:10">
      <c r="A700" s="586">
        <v>22</v>
      </c>
      <c r="B700" s="615">
        <v>485</v>
      </c>
      <c r="C700" s="609">
        <v>213.3</v>
      </c>
      <c r="D700" s="594">
        <v>291.16666746939524</v>
      </c>
      <c r="E700" s="594">
        <v>188.09232971862454</v>
      </c>
      <c r="F700" s="595">
        <v>482.97956498917864</v>
      </c>
      <c r="G700" s="596">
        <v>204.15314237402171</v>
      </c>
      <c r="H700" s="594">
        <v>276.85054105846717</v>
      </c>
      <c r="I700" s="594">
        <v>198.49181232962422</v>
      </c>
      <c r="J700" s="597"/>
    </row>
    <row r="701" spans="1:10">
      <c r="A701" s="587">
        <v>22</v>
      </c>
      <c r="B701" s="616">
        <v>547</v>
      </c>
      <c r="C701" s="610">
        <v>193.3</v>
      </c>
      <c r="D701" s="598">
        <v>294.40634470753537</v>
      </c>
      <c r="E701" s="598">
        <v>188.11337990925475</v>
      </c>
      <c r="F701" s="599">
        <v>487.32773313233776</v>
      </c>
      <c r="G701" s="600">
        <v>205.06491019541261</v>
      </c>
      <c r="H701" s="598">
        <v>276.8505410628328</v>
      </c>
      <c r="I701" s="598">
        <v>198.49181695098147</v>
      </c>
      <c r="J701" s="601"/>
    </row>
    <row r="702" spans="1:10">
      <c r="A702" s="587">
        <v>22</v>
      </c>
      <c r="B702" s="616">
        <v>608</v>
      </c>
      <c r="C702" s="610">
        <v>206.70000000000002</v>
      </c>
      <c r="D702" s="598">
        <v>296.84829968463305</v>
      </c>
      <c r="E702" s="598">
        <v>188.12472871282242</v>
      </c>
      <c r="F702" s="599">
        <v>490.81336031017577</v>
      </c>
      <c r="G702" s="600">
        <v>205.78696293688623</v>
      </c>
      <c r="H702" s="598">
        <v>276.85054106300214</v>
      </c>
      <c r="I702" s="598">
        <v>198.49181746751501</v>
      </c>
      <c r="J702" s="601"/>
    </row>
    <row r="703" spans="1:10">
      <c r="A703" s="587">
        <v>22</v>
      </c>
      <c r="B703" s="616">
        <v>669</v>
      </c>
      <c r="C703" s="610">
        <v>200</v>
      </c>
      <c r="D703" s="598">
        <v>298.75191821979342</v>
      </c>
      <c r="E703" s="598">
        <v>188.13120004759421</v>
      </c>
      <c r="F703" s="599">
        <v>493.71268811048157</v>
      </c>
      <c r="G703" s="600">
        <v>206.38163076252914</v>
      </c>
      <c r="H703" s="598">
        <v>276.85054106300908</v>
      </c>
      <c r="I703" s="598">
        <v>198.49181752759387</v>
      </c>
      <c r="J703" s="601"/>
    </row>
    <row r="704" spans="1:10">
      <c r="A704" s="587">
        <v>22</v>
      </c>
      <c r="B704" s="616">
        <v>729</v>
      </c>
      <c r="C704" s="610">
        <v>210</v>
      </c>
      <c r="D704" s="598">
        <v>300.23315298926246</v>
      </c>
      <c r="E704" s="598">
        <v>188.13495107426769</v>
      </c>
      <c r="F704" s="599">
        <v>496.12519724109347</v>
      </c>
      <c r="G704" s="600">
        <v>206.87238070712954</v>
      </c>
      <c r="H704" s="598">
        <v>276.85054106300936</v>
      </c>
      <c r="I704" s="598">
        <v>198.49181753454869</v>
      </c>
      <c r="J704" s="601"/>
    </row>
    <row r="705" spans="1:10">
      <c r="A705" s="587">
        <v>22</v>
      </c>
      <c r="B705" s="616">
        <v>1131</v>
      </c>
      <c r="C705" s="610">
        <v>205.6</v>
      </c>
      <c r="D705" s="598">
        <v>305.05463038593388</v>
      </c>
      <c r="E705" s="598">
        <v>188.14084243071125</v>
      </c>
      <c r="F705" s="599">
        <v>506.00237901010581</v>
      </c>
      <c r="G705" s="600">
        <v>208.84365718005867</v>
      </c>
      <c r="H705" s="598">
        <v>276.85054106300936</v>
      </c>
      <c r="I705" s="598">
        <v>198.49181753550147</v>
      </c>
      <c r="J705" s="601"/>
    </row>
    <row r="706" spans="1:10">
      <c r="A706" s="587">
        <v>22</v>
      </c>
      <c r="B706" s="616">
        <v>1159</v>
      </c>
      <c r="C706" s="610">
        <v>217.44</v>
      </c>
      <c r="D706" s="598">
        <v>305.21576745843333</v>
      </c>
      <c r="E706" s="598">
        <v>188.14090705018393</v>
      </c>
      <c r="F706" s="599">
        <v>506.44709730856511</v>
      </c>
      <c r="G706" s="600">
        <v>208.9309984816596</v>
      </c>
      <c r="H706" s="598">
        <v>276.85054106300936</v>
      </c>
      <c r="I706" s="598">
        <v>198.49181753550147</v>
      </c>
      <c r="J706" s="601"/>
    </row>
    <row r="707" spans="1:10">
      <c r="A707" s="587">
        <v>22</v>
      </c>
      <c r="B707" s="616">
        <v>1220</v>
      </c>
      <c r="C707" s="610">
        <v>222.2</v>
      </c>
      <c r="D707" s="598">
        <v>305.52560106989165</v>
      </c>
      <c r="E707" s="598">
        <v>188.14101331348647</v>
      </c>
      <c r="F707" s="599">
        <v>507.34844603066102</v>
      </c>
      <c r="G707" s="600">
        <v>209.10765102518391</v>
      </c>
      <c r="H707" s="598">
        <v>276.85054106300936</v>
      </c>
      <c r="I707" s="598">
        <v>198.49181753550147</v>
      </c>
      <c r="J707" s="601"/>
    </row>
    <row r="708" spans="1:10">
      <c r="A708" s="587">
        <v>22</v>
      </c>
      <c r="B708" s="616">
        <v>1285</v>
      </c>
      <c r="C708" s="610">
        <v>223.3</v>
      </c>
      <c r="D708" s="598">
        <v>305.80307197792303</v>
      </c>
      <c r="E708" s="598">
        <v>188.14108955779236</v>
      </c>
      <c r="F708" s="599">
        <v>508.21875389398406</v>
      </c>
      <c r="G708" s="600">
        <v>209.27775141767819</v>
      </c>
      <c r="H708" s="598">
        <v>276.85054106300936</v>
      </c>
      <c r="I708" s="598">
        <v>198.49181753550147</v>
      </c>
      <c r="J708" s="601"/>
    </row>
    <row r="709" spans="1:10">
      <c r="A709" s="587">
        <v>22</v>
      </c>
      <c r="B709" s="616">
        <v>1359</v>
      </c>
      <c r="C709" s="610">
        <v>215.60000000000002</v>
      </c>
      <c r="D709" s="598">
        <v>306.06536441024457</v>
      </c>
      <c r="E709" s="598">
        <v>188.14114641616518</v>
      </c>
      <c r="F709" s="599">
        <v>509.11233978964111</v>
      </c>
      <c r="G709" s="600">
        <v>209.45192385603434</v>
      </c>
      <c r="H709" s="598">
        <v>276.85054106300936</v>
      </c>
      <c r="I709" s="598">
        <v>198.49181753550147</v>
      </c>
      <c r="J709" s="601"/>
    </row>
    <row r="710" spans="1:10">
      <c r="A710" s="587">
        <v>22</v>
      </c>
      <c r="B710" s="616">
        <v>1418</v>
      </c>
      <c r="C710" s="610">
        <v>221.10000000000002</v>
      </c>
      <c r="D710" s="598">
        <v>306.24111346434796</v>
      </c>
      <c r="E710" s="598">
        <v>188.14117684033562</v>
      </c>
      <c r="F710" s="599">
        <v>509.76057684741818</v>
      </c>
      <c r="G710" s="600">
        <v>209.5779722865295</v>
      </c>
      <c r="H710" s="598">
        <v>276.85054106300936</v>
      </c>
      <c r="I710" s="598">
        <v>198.49181753550147</v>
      </c>
      <c r="J710" s="601"/>
    </row>
    <row r="711" spans="1:10">
      <c r="A711" s="587">
        <v>22</v>
      </c>
      <c r="B711" s="616">
        <v>1517</v>
      </c>
      <c r="C711" s="610">
        <v>216.7</v>
      </c>
      <c r="D711" s="598">
        <v>306.48306090148498</v>
      </c>
      <c r="E711" s="598">
        <v>188.14120945923185</v>
      </c>
      <c r="F711" s="599">
        <v>510.73915375655605</v>
      </c>
      <c r="G711" s="600">
        <v>209.76777480513249</v>
      </c>
      <c r="H711" s="598">
        <v>276.85054106300936</v>
      </c>
      <c r="I711" s="598">
        <v>198.49181753550147</v>
      </c>
      <c r="J711" s="601"/>
    </row>
    <row r="712" spans="1:10">
      <c r="A712" s="587">
        <v>22</v>
      </c>
      <c r="B712" s="616">
        <v>1608</v>
      </c>
      <c r="C712" s="610">
        <v>213.3</v>
      </c>
      <c r="D712" s="598">
        <v>306.65923681280549</v>
      </c>
      <c r="E712" s="598">
        <v>188.14122701699313</v>
      </c>
      <c r="F712" s="599">
        <v>511.53605024190256</v>
      </c>
      <c r="G712" s="600">
        <v>209.92191364278062</v>
      </c>
      <c r="H712" s="598">
        <v>276.85054106300936</v>
      </c>
      <c r="I712" s="598">
        <v>198.49181753550147</v>
      </c>
      <c r="J712" s="601"/>
    </row>
    <row r="713" spans="1:10">
      <c r="A713" s="587">
        <v>22</v>
      </c>
      <c r="B713" s="616">
        <v>1700</v>
      </c>
      <c r="C713" s="610">
        <v>218.9</v>
      </c>
      <c r="D713" s="598">
        <v>306.80267465221789</v>
      </c>
      <c r="E713" s="598">
        <v>188.1412378160303</v>
      </c>
      <c r="F713" s="599">
        <v>512.25782640355294</v>
      </c>
      <c r="G713" s="600">
        <v>210.06119375119752</v>
      </c>
      <c r="H713" s="598">
        <v>276.85054106300936</v>
      </c>
      <c r="I713" s="598">
        <v>198.49181753550147</v>
      </c>
      <c r="J713" s="601"/>
    </row>
    <row r="714" spans="1:10">
      <c r="A714" s="587">
        <v>22</v>
      </c>
      <c r="B714" s="616">
        <v>1792</v>
      </c>
      <c r="C714" s="610">
        <v>221.10000000000002</v>
      </c>
      <c r="D714" s="598">
        <v>306.91881945436847</v>
      </c>
      <c r="E714" s="598">
        <v>188.14124446254445</v>
      </c>
      <c r="F714" s="599">
        <v>512.9078068050884</v>
      </c>
      <c r="G714" s="600">
        <v>210.18635281866145</v>
      </c>
      <c r="H714" s="598">
        <v>276.85054106300936</v>
      </c>
      <c r="I714" s="598">
        <v>198.49181753550147</v>
      </c>
      <c r="J714" s="601"/>
    </row>
    <row r="715" spans="1:10">
      <c r="A715" s="587">
        <v>22</v>
      </c>
      <c r="B715" s="616">
        <v>1923</v>
      </c>
      <c r="C715" s="610">
        <v>213.3</v>
      </c>
      <c r="D715" s="598">
        <v>307.04817986836878</v>
      </c>
      <c r="E715" s="598">
        <v>188.14124986464117</v>
      </c>
      <c r="F715" s="599">
        <v>513.72912891701844</v>
      </c>
      <c r="G715" s="600">
        <v>210.34414450784047</v>
      </c>
      <c r="H715" s="598">
        <v>276.85054106300936</v>
      </c>
      <c r="I715" s="598">
        <v>198.49181753550147</v>
      </c>
      <c r="J715" s="601"/>
    </row>
    <row r="716" spans="1:10">
      <c r="A716" s="587">
        <v>22</v>
      </c>
      <c r="B716" s="616">
        <v>2014</v>
      </c>
      <c r="C716" s="610">
        <v>226.7</v>
      </c>
      <c r="D716" s="598">
        <v>307.11884139898615</v>
      </c>
      <c r="E716" s="598">
        <v>188.14125200847326</v>
      </c>
      <c r="F716" s="599">
        <v>514.23853309873823</v>
      </c>
      <c r="G716" s="600">
        <v>210.44180892368658</v>
      </c>
      <c r="H716" s="598">
        <v>276.85054106300936</v>
      </c>
      <c r="I716" s="598">
        <v>198.49181753550147</v>
      </c>
      <c r="J716" s="601"/>
    </row>
    <row r="717" spans="1:10">
      <c r="A717" s="587">
        <v>22</v>
      </c>
      <c r="B717" s="616">
        <v>2117</v>
      </c>
      <c r="C717" s="610">
        <v>229.99999999999997</v>
      </c>
      <c r="D717" s="598">
        <v>307.18420844319013</v>
      </c>
      <c r="E717" s="598">
        <v>188.14125353261932</v>
      </c>
      <c r="F717" s="599">
        <v>514.76368137531529</v>
      </c>
      <c r="G717" s="600">
        <v>210.54233037173839</v>
      </c>
      <c r="H717" s="598">
        <v>276.85054106300936</v>
      </c>
      <c r="I717" s="598">
        <v>198.49181753550147</v>
      </c>
      <c r="J717" s="601"/>
    </row>
    <row r="718" spans="1:10">
      <c r="A718" s="587">
        <v>22</v>
      </c>
      <c r="B718" s="616">
        <v>2215</v>
      </c>
      <c r="C718" s="610">
        <v>228.9</v>
      </c>
      <c r="D718" s="598">
        <v>307.23491440597513</v>
      </c>
      <c r="E718" s="598">
        <v>188.14125443610268</v>
      </c>
      <c r="F718" s="599">
        <v>515.21915180446649</v>
      </c>
      <c r="G718" s="600">
        <v>210.62938187679603</v>
      </c>
      <c r="H718" s="598">
        <v>276.85054106300936</v>
      </c>
      <c r="I718" s="598">
        <v>198.49181753550147</v>
      </c>
      <c r="J718" s="601"/>
    </row>
    <row r="719" spans="1:10">
      <c r="A719" s="587">
        <v>22</v>
      </c>
      <c r="B719" s="616">
        <v>2321</v>
      </c>
      <c r="C719" s="610">
        <v>225.60000000000002</v>
      </c>
      <c r="D719" s="598">
        <v>307.27975319332808</v>
      </c>
      <c r="E719" s="598">
        <v>188.14125504928111</v>
      </c>
      <c r="F719" s="599">
        <v>515.66955812002971</v>
      </c>
      <c r="G719" s="600">
        <v>210.71534462284615</v>
      </c>
      <c r="H719" s="598">
        <v>276.85054106300936</v>
      </c>
      <c r="I719" s="598">
        <v>198.49181753550147</v>
      </c>
      <c r="J719" s="601"/>
    </row>
    <row r="720" spans="1:10">
      <c r="A720" s="587">
        <v>22</v>
      </c>
      <c r="B720" s="616">
        <v>2484</v>
      </c>
      <c r="C720" s="610">
        <v>226.7</v>
      </c>
      <c r="D720" s="598">
        <v>307.33313577675506</v>
      </c>
      <c r="E720" s="598">
        <v>188.14125557348908</v>
      </c>
      <c r="F720" s="599">
        <v>516.28887138872733</v>
      </c>
      <c r="G720" s="600">
        <v>210.83334831696826</v>
      </c>
      <c r="H720" s="598">
        <v>276.85054106300936</v>
      </c>
      <c r="I720" s="598">
        <v>198.49181753550147</v>
      </c>
      <c r="J720" s="601"/>
    </row>
    <row r="721" spans="1:10">
      <c r="A721" s="587">
        <v>22</v>
      </c>
      <c r="B721" s="616">
        <v>2594</v>
      </c>
      <c r="C721" s="610">
        <v>226.7</v>
      </c>
      <c r="D721" s="598">
        <v>307.36100645811894</v>
      </c>
      <c r="E721" s="598">
        <v>188.14125576701261</v>
      </c>
      <c r="F721" s="599">
        <v>516.66379020589045</v>
      </c>
      <c r="G721" s="600">
        <v>210.90467510816541</v>
      </c>
      <c r="H721" s="598">
        <v>276.85054106300936</v>
      </c>
      <c r="I721" s="598">
        <v>198.49181753550147</v>
      </c>
      <c r="J721" s="601"/>
    </row>
    <row r="722" spans="1:10">
      <c r="A722" s="587">
        <v>22</v>
      </c>
      <c r="B722" s="616">
        <v>2748</v>
      </c>
      <c r="C722" s="610">
        <v>226.7</v>
      </c>
      <c r="D722" s="598">
        <v>307.39179161153828</v>
      </c>
      <c r="E722" s="598">
        <v>188.14125592376826</v>
      </c>
      <c r="F722" s="599">
        <v>517.13929444119958</v>
      </c>
      <c r="G722" s="600">
        <v>210.99501863363074</v>
      </c>
      <c r="H722" s="598">
        <v>276.85054106300936</v>
      </c>
      <c r="I722" s="598">
        <v>198.49181753550147</v>
      </c>
      <c r="J722" s="601"/>
    </row>
    <row r="723" spans="1:10">
      <c r="A723" s="587">
        <v>22</v>
      </c>
      <c r="B723" s="616">
        <v>2863</v>
      </c>
      <c r="C723" s="610">
        <v>212.2</v>
      </c>
      <c r="D723" s="598">
        <v>307.40990811564058</v>
      </c>
      <c r="E723" s="598">
        <v>188.14125599065486</v>
      </c>
      <c r="F723" s="599">
        <v>517.46167957869841</v>
      </c>
      <c r="G723" s="600">
        <v>211.05619451417516</v>
      </c>
      <c r="H723" s="598">
        <v>276.85054106300936</v>
      </c>
      <c r="I723" s="598">
        <v>198.49181753550147</v>
      </c>
      <c r="J723" s="601"/>
    </row>
    <row r="724" spans="1:10">
      <c r="A724" s="587">
        <v>22</v>
      </c>
      <c r="B724" s="616">
        <v>2967</v>
      </c>
      <c r="C724" s="610">
        <v>212.2</v>
      </c>
      <c r="D724" s="598">
        <v>307.42347858765959</v>
      </c>
      <c r="E724" s="598">
        <v>188.14125602958404</v>
      </c>
      <c r="F724" s="599">
        <v>517.73212161655158</v>
      </c>
      <c r="G724" s="600">
        <v>211.10746650033801</v>
      </c>
      <c r="H724" s="598">
        <v>276.85054106300936</v>
      </c>
      <c r="I724" s="598">
        <v>198.49181753550147</v>
      </c>
      <c r="J724" s="601"/>
    </row>
    <row r="725" spans="1:10">
      <c r="A725" s="587">
        <v>22</v>
      </c>
      <c r="B725" s="616">
        <v>3049</v>
      </c>
      <c r="C725" s="610">
        <v>212.2</v>
      </c>
      <c r="D725" s="598">
        <v>307.43262188529599</v>
      </c>
      <c r="E725" s="598">
        <v>188.14125605081074</v>
      </c>
      <c r="F725" s="599">
        <v>517.93259018132255</v>
      </c>
      <c r="G725" s="600">
        <v>211.14544476083492</v>
      </c>
      <c r="H725" s="598">
        <v>276.85054106300936</v>
      </c>
      <c r="I725" s="598">
        <v>198.49181753550147</v>
      </c>
      <c r="J725" s="601"/>
    </row>
    <row r="726" spans="1:10">
      <c r="A726" s="587">
        <v>22</v>
      </c>
      <c r="B726" s="616">
        <v>3212</v>
      </c>
      <c r="C726" s="610">
        <v>211.10000000000002</v>
      </c>
      <c r="D726" s="598">
        <v>307.44750401487534</v>
      </c>
      <c r="E726" s="598">
        <v>188.14125607743074</v>
      </c>
      <c r="F726" s="599">
        <v>518.30122757006882</v>
      </c>
      <c r="G726" s="600">
        <v>211.21522057617909</v>
      </c>
      <c r="H726" s="598">
        <v>276.85054106300936</v>
      </c>
      <c r="I726" s="598">
        <v>198.49181753550147</v>
      </c>
      <c r="J726" s="601"/>
    </row>
    <row r="727" spans="1:10">
      <c r="A727" s="587">
        <v>22</v>
      </c>
      <c r="B727" s="616">
        <v>3298</v>
      </c>
      <c r="C727" s="610">
        <v>206.70000000000002</v>
      </c>
      <c r="D727" s="598">
        <v>307.453909593964</v>
      </c>
      <c r="E727" s="598">
        <v>188.14125608609322</v>
      </c>
      <c r="F727" s="599">
        <v>518.48129341995752</v>
      </c>
      <c r="G727" s="600">
        <v>211.24927451593359</v>
      </c>
      <c r="H727" s="598">
        <v>276.85054106300936</v>
      </c>
      <c r="I727" s="598">
        <v>198.49181753550147</v>
      </c>
      <c r="J727" s="601"/>
    </row>
    <row r="728" spans="1:10">
      <c r="A728" s="619">
        <v>25</v>
      </c>
      <c r="B728" s="620">
        <v>6</v>
      </c>
      <c r="C728" s="621">
        <v>179.99999999999997</v>
      </c>
      <c r="D728" s="622"/>
      <c r="E728" s="622"/>
      <c r="F728" s="623"/>
      <c r="G728" s="624"/>
      <c r="H728" s="622"/>
      <c r="I728" s="622"/>
      <c r="J728" s="625">
        <v>218.54393368793805</v>
      </c>
    </row>
    <row r="729" spans="1:10">
      <c r="A729" s="585">
        <v>25</v>
      </c>
      <c r="B729" s="614">
        <v>14</v>
      </c>
      <c r="C729" s="608">
        <v>266.7</v>
      </c>
      <c r="D729" s="590">
        <v>65.965947167986258</v>
      </c>
      <c r="E729" s="590">
        <v>212.51520180492412</v>
      </c>
      <c r="F729" s="591">
        <v>142.97635730462096</v>
      </c>
      <c r="G729" s="592">
        <v>277.86169522177329</v>
      </c>
      <c r="H729" s="590">
        <v>65.084959731118389</v>
      </c>
      <c r="I729" s="590">
        <v>178.50039321751893</v>
      </c>
      <c r="J729" s="593">
        <v>276.43908220044818</v>
      </c>
    </row>
    <row r="730" spans="1:10">
      <c r="A730" s="585">
        <v>25</v>
      </c>
      <c r="B730" s="614">
        <v>20</v>
      </c>
      <c r="C730" s="608">
        <v>343.29999999999995</v>
      </c>
      <c r="D730" s="590">
        <v>88.72207507429566</v>
      </c>
      <c r="E730" s="590">
        <v>270.05671981011449</v>
      </c>
      <c r="F730" s="591">
        <v>188.93819306566508</v>
      </c>
      <c r="G730" s="592">
        <v>322.35396626817419</v>
      </c>
      <c r="H730" s="590">
        <v>116.58660016571342</v>
      </c>
      <c r="I730" s="590">
        <v>237.56215005460567</v>
      </c>
      <c r="J730" s="593">
        <v>305.91003075685944</v>
      </c>
    </row>
    <row r="731" spans="1:10">
      <c r="A731" s="585">
        <v>25</v>
      </c>
      <c r="B731" s="614">
        <v>38</v>
      </c>
      <c r="C731" s="608">
        <v>386.70000000000005</v>
      </c>
      <c r="D731" s="590">
        <v>131.89228421332987</v>
      </c>
      <c r="E731" s="590">
        <v>350.22614346636783</v>
      </c>
      <c r="F731" s="591">
        <v>268.69079237637089</v>
      </c>
      <c r="G731" s="592">
        <v>368.38906581958781</v>
      </c>
      <c r="H731" s="590">
        <v>211.51317692575859</v>
      </c>
      <c r="I731" s="590">
        <v>329.08034156028339</v>
      </c>
      <c r="J731" s="593">
        <v>366.8511945310064</v>
      </c>
    </row>
    <row r="732" spans="1:10">
      <c r="A732" s="585">
        <v>25</v>
      </c>
      <c r="B732" s="614">
        <v>46</v>
      </c>
      <c r="C732" s="608">
        <v>396.7</v>
      </c>
      <c r="D732" s="590">
        <v>145.54778661217168</v>
      </c>
      <c r="E732" s="590">
        <v>368.18070160904648</v>
      </c>
      <c r="F732" s="591">
        <v>291.68772490570029</v>
      </c>
      <c r="G732" s="592">
        <v>377.03466585392977</v>
      </c>
      <c r="H732" s="590">
        <v>233.51191268961125</v>
      </c>
      <c r="I732" s="590">
        <v>350.92605623115725</v>
      </c>
      <c r="J732" s="593">
        <v>386.03334571810012</v>
      </c>
    </row>
    <row r="733" spans="1:10">
      <c r="A733" s="585">
        <v>25</v>
      </c>
      <c r="B733" s="614">
        <v>77</v>
      </c>
      <c r="C733" s="608">
        <v>403.29999999999995</v>
      </c>
      <c r="D733" s="590">
        <v>183.69907975462365</v>
      </c>
      <c r="E733" s="590">
        <v>403.01160965473213</v>
      </c>
      <c r="F733" s="591">
        <v>350.21912067817181</v>
      </c>
      <c r="G733" s="592">
        <v>393.40515371976016</v>
      </c>
      <c r="H733" s="590">
        <v>268.19952523572221</v>
      </c>
      <c r="I733" s="590">
        <v>392.36102057971954</v>
      </c>
      <c r="J733" s="593">
        <v>429.83516099076502</v>
      </c>
    </row>
    <row r="734" spans="1:10">
      <c r="A734" s="585">
        <v>25</v>
      </c>
      <c r="B734" s="614">
        <v>78</v>
      </c>
      <c r="C734" s="608">
        <v>406.70000000000005</v>
      </c>
      <c r="D734" s="590">
        <v>184.66617102872513</v>
      </c>
      <c r="E734" s="590">
        <v>403.6450011807496</v>
      </c>
      <c r="F734" s="591">
        <v>351.59739881299828</v>
      </c>
      <c r="G734" s="592">
        <v>393.71475648394437</v>
      </c>
      <c r="H734" s="590">
        <v>268.63976155001995</v>
      </c>
      <c r="I734" s="590">
        <v>393.05273108774247</v>
      </c>
      <c r="J734" s="593">
        <v>430.54663460587005</v>
      </c>
    </row>
    <row r="735" spans="1:10">
      <c r="A735" s="585">
        <v>25</v>
      </c>
      <c r="B735" s="614">
        <v>86</v>
      </c>
      <c r="C735" s="608">
        <v>433.3</v>
      </c>
      <c r="D735" s="590">
        <v>191.97718315259755</v>
      </c>
      <c r="E735" s="590">
        <v>408.09543801751823</v>
      </c>
      <c r="F735" s="591">
        <v>361.85746721003136</v>
      </c>
      <c r="G735" s="592">
        <v>395.93056674302602</v>
      </c>
      <c r="H735" s="590">
        <v>271.44529871678037</v>
      </c>
      <c r="I735" s="590">
        <v>397.76325989009314</v>
      </c>
      <c r="J735" s="593">
        <v>434.80404316443747</v>
      </c>
    </row>
    <row r="736" spans="1:10">
      <c r="A736" s="585">
        <v>25</v>
      </c>
      <c r="B736" s="614">
        <v>99</v>
      </c>
      <c r="C736" s="608">
        <v>393.29999999999995</v>
      </c>
      <c r="D736" s="590">
        <v>202.45836212072382</v>
      </c>
      <c r="E736" s="590">
        <v>413.50727232214336</v>
      </c>
      <c r="F736" s="591">
        <v>376.09087775358569</v>
      </c>
      <c r="G736" s="592">
        <v>398.76297010517516</v>
      </c>
      <c r="H736" s="590">
        <v>274.11222054515429</v>
      </c>
      <c r="I736" s="590">
        <v>403.02341805471912</v>
      </c>
      <c r="J736" s="593">
        <v>436.51568721730951</v>
      </c>
    </row>
    <row r="737" spans="1:10">
      <c r="A737" s="586">
        <v>25</v>
      </c>
      <c r="B737" s="615">
        <v>106</v>
      </c>
      <c r="C737" s="609">
        <v>393.29999999999995</v>
      </c>
      <c r="D737" s="594">
        <v>207.49846973796164</v>
      </c>
      <c r="E737" s="594">
        <v>415.73941169334017</v>
      </c>
      <c r="F737" s="595">
        <v>382.7447933977727</v>
      </c>
      <c r="G737" s="596">
        <v>399.99881347376999</v>
      </c>
      <c r="H737" s="594">
        <v>274.95220808764378</v>
      </c>
      <c r="I737" s="594">
        <v>404.98720315085268</v>
      </c>
      <c r="J737" s="597">
        <v>434.91912420201243</v>
      </c>
    </row>
    <row r="738" spans="1:10">
      <c r="A738" s="586">
        <v>25</v>
      </c>
      <c r="B738" s="615">
        <v>113</v>
      </c>
      <c r="C738" s="609">
        <v>406.70000000000005</v>
      </c>
      <c r="D738" s="594">
        <v>212.17672567317183</v>
      </c>
      <c r="E738" s="594">
        <v>417.61385818824334</v>
      </c>
      <c r="F738" s="595">
        <v>388.8154916611557</v>
      </c>
      <c r="G738" s="596">
        <v>401.0807980996658</v>
      </c>
      <c r="H738" s="594">
        <v>275.53464096975654</v>
      </c>
      <c r="I738" s="594">
        <v>406.51596403192156</v>
      </c>
      <c r="J738" s="597">
        <v>431.66997332821802</v>
      </c>
    </row>
    <row r="739" spans="1:10">
      <c r="A739" s="586">
        <v>25</v>
      </c>
      <c r="B739" s="615">
        <v>120</v>
      </c>
      <c r="C739" s="609">
        <v>426.70000000000005</v>
      </c>
      <c r="D739" s="594">
        <v>216.53130209218895</v>
      </c>
      <c r="E739" s="594">
        <v>419.19807337967296</v>
      </c>
      <c r="F739" s="595">
        <v>394.37842258498483</v>
      </c>
      <c r="G739" s="596">
        <v>402.03598259032515</v>
      </c>
      <c r="H739" s="594">
        <v>275.93843056692867</v>
      </c>
      <c r="I739" s="594">
        <v>407.7070097265717</v>
      </c>
      <c r="J739" s="597">
        <v>426.88765003198682</v>
      </c>
    </row>
    <row r="740" spans="1:10">
      <c r="A740" s="586">
        <v>25</v>
      </c>
      <c r="B740" s="615">
        <v>127</v>
      </c>
      <c r="C740" s="609">
        <v>423.29999999999995</v>
      </c>
      <c r="D740" s="594">
        <v>220.59473830137432</v>
      </c>
      <c r="E740" s="594">
        <v>420.54480705572735</v>
      </c>
      <c r="F740" s="595">
        <v>399.49622958800899</v>
      </c>
      <c r="G740" s="596">
        <v>402.88542997528555</v>
      </c>
      <c r="H740" s="594">
        <v>276.21834177200481</v>
      </c>
      <c r="I740" s="594">
        <v>408.63551020084202</v>
      </c>
      <c r="J740" s="597">
        <v>421.126077886178</v>
      </c>
    </row>
    <row r="741" spans="1:10">
      <c r="A741" s="586">
        <v>25</v>
      </c>
      <c r="B741" s="615">
        <v>134</v>
      </c>
      <c r="C741" s="609">
        <v>416.7</v>
      </c>
      <c r="D741" s="594">
        <v>224.39502911854717</v>
      </c>
      <c r="E741" s="594">
        <v>421.69574212179845</v>
      </c>
      <c r="F741" s="595">
        <v>404.22142108783771</v>
      </c>
      <c r="G741" s="596">
        <v>403.64578163008593</v>
      </c>
      <c r="H741" s="594">
        <v>276.41236554914775</v>
      </c>
      <c r="I741" s="594">
        <v>409.35968056302931</v>
      </c>
      <c r="J741" s="597">
        <v>416.97835439715823</v>
      </c>
    </row>
    <row r="742" spans="1:10">
      <c r="A742" s="586">
        <v>25</v>
      </c>
      <c r="B742" s="615">
        <v>141</v>
      </c>
      <c r="C742" s="609">
        <v>416.7</v>
      </c>
      <c r="D742" s="594">
        <v>227.95645458485694</v>
      </c>
      <c r="E742" s="594">
        <v>422.68412995999938</v>
      </c>
      <c r="F742" s="595">
        <v>408.59838547268197</v>
      </c>
      <c r="G742" s="596">
        <v>404.3303599895155</v>
      </c>
      <c r="H742" s="594">
        <v>276.54684890184296</v>
      </c>
      <c r="I742" s="594">
        <v>409.92469330828982</v>
      </c>
      <c r="J742" s="597">
        <v>414.98477729257121</v>
      </c>
    </row>
    <row r="743" spans="1:10">
      <c r="A743" s="586">
        <v>25</v>
      </c>
      <c r="B743" s="615">
        <v>148</v>
      </c>
      <c r="C743" s="609">
        <v>413.3</v>
      </c>
      <c r="D743" s="594">
        <v>231.30022304522501</v>
      </c>
      <c r="E743" s="594">
        <v>423.5367244785366</v>
      </c>
      <c r="F743" s="595">
        <v>412.66493397557639</v>
      </c>
      <c r="G743" s="596">
        <v>404.94995685425192</v>
      </c>
      <c r="H743" s="594">
        <v>276.64005997172711</v>
      </c>
      <c r="I743" s="594">
        <v>410.36565325086639</v>
      </c>
      <c r="J743" s="597">
        <v>413.48315517528943</v>
      </c>
    </row>
    <row r="744" spans="1:10">
      <c r="A744" s="586">
        <v>25</v>
      </c>
      <c r="B744" s="615">
        <v>155</v>
      </c>
      <c r="C744" s="609">
        <v>416.7</v>
      </c>
      <c r="D744" s="594">
        <v>234.44497692205354</v>
      </c>
      <c r="E744" s="594">
        <v>424.27522058017018</v>
      </c>
      <c r="F744" s="595">
        <v>416.45349800785328</v>
      </c>
      <c r="G744" s="596">
        <v>405.51340715410572</v>
      </c>
      <c r="H744" s="594">
        <v>276.70466351550107</v>
      </c>
      <c r="I744" s="594">
        <v>410.70987316825045</v>
      </c>
      <c r="J744" s="597">
        <v>412.13227613679777</v>
      </c>
    </row>
    <row r="745" spans="1:10">
      <c r="A745" s="586">
        <v>25</v>
      </c>
      <c r="B745" s="615">
        <v>162</v>
      </c>
      <c r="C745" s="609">
        <v>410.00000000000006</v>
      </c>
      <c r="D745" s="594">
        <v>237.40719570963978</v>
      </c>
      <c r="E745" s="594">
        <v>424.91733702848904</v>
      </c>
      <c r="F745" s="595">
        <v>419.99206953924914</v>
      </c>
      <c r="G745" s="596">
        <v>406.02801334683801</v>
      </c>
      <c r="H745" s="594">
        <v>276.74943878228834</v>
      </c>
      <c r="I745" s="594">
        <v>410.97862259980917</v>
      </c>
      <c r="J745" s="597">
        <v>410.89619418218064</v>
      </c>
    </row>
    <row r="746" spans="1:10">
      <c r="A746" s="586">
        <v>25</v>
      </c>
      <c r="B746" s="615">
        <v>169</v>
      </c>
      <c r="C746" s="609">
        <v>393.29999999999995</v>
      </c>
      <c r="D746" s="594">
        <v>240.20152083626499</v>
      </c>
      <c r="E746" s="594">
        <v>425.47764060674911</v>
      </c>
      <c r="F746" s="595">
        <v>423.30494767462687</v>
      </c>
      <c r="G746" s="596">
        <v>406.4998639382253</v>
      </c>
      <c r="H746" s="594">
        <v>276.78047116821858</v>
      </c>
      <c r="I746" s="594">
        <v>411.1884766278647</v>
      </c>
      <c r="J746" s="597">
        <v>409.76822703821864</v>
      </c>
    </row>
    <row r="747" spans="1:10">
      <c r="A747" s="586">
        <v>25</v>
      </c>
      <c r="B747" s="615">
        <v>176</v>
      </c>
      <c r="C747" s="609">
        <v>403.29999999999995</v>
      </c>
      <c r="D747" s="594">
        <v>242.84102029947164</v>
      </c>
      <c r="E747" s="594">
        <v>425.96817968914019</v>
      </c>
      <c r="F747" s="595">
        <v>426.41333718333061</v>
      </c>
      <c r="G747" s="596">
        <v>406.93407571535374</v>
      </c>
      <c r="H747" s="594">
        <v>276.80197861163441</v>
      </c>
      <c r="I747" s="594">
        <v>411.35235907179072</v>
      </c>
      <c r="J747" s="597">
        <v>408.74501629430472</v>
      </c>
    </row>
    <row r="748" spans="1:10">
      <c r="A748" s="586">
        <v>25</v>
      </c>
      <c r="B748" s="615">
        <v>183</v>
      </c>
      <c r="C748" s="609">
        <v>393.29999999999995</v>
      </c>
      <c r="D748" s="594">
        <v>245.33740629015455</v>
      </c>
      <c r="E748" s="594">
        <v>426.39897579322928</v>
      </c>
      <c r="F748" s="595">
        <v>429.33583262349089</v>
      </c>
      <c r="G748" s="596">
        <v>407.33498019437428</v>
      </c>
      <c r="H748" s="594">
        <v>276.81688457601615</v>
      </c>
      <c r="I748" s="594">
        <v>411.48035110430851</v>
      </c>
      <c r="J748" s="597">
        <v>407.82404658319115</v>
      </c>
    </row>
    <row r="749" spans="1:10">
      <c r="A749" s="586">
        <v>25</v>
      </c>
      <c r="B749" s="615">
        <v>237</v>
      </c>
      <c r="C749" s="609">
        <v>400</v>
      </c>
      <c r="D749" s="594">
        <v>260.76818890071155</v>
      </c>
      <c r="E749" s="594">
        <v>428.4247839006203</v>
      </c>
      <c r="F749" s="595">
        <v>447.11904142612303</v>
      </c>
      <c r="G749" s="596">
        <v>409.63004766452281</v>
      </c>
      <c r="H749" s="594">
        <v>276.84855177803644</v>
      </c>
      <c r="I749" s="594">
        <v>411.86915342668817</v>
      </c>
      <c r="J749" s="597">
        <v>403.9697437106517</v>
      </c>
    </row>
    <row r="750" spans="1:10">
      <c r="A750" s="586">
        <v>25</v>
      </c>
      <c r="B750" s="615">
        <v>298</v>
      </c>
      <c r="C750" s="609">
        <v>400</v>
      </c>
      <c r="D750" s="594">
        <v>272.5763298423517</v>
      </c>
      <c r="E750" s="594">
        <v>429.35712670980541</v>
      </c>
      <c r="F750" s="595">
        <v>460.62198751418777</v>
      </c>
      <c r="G750" s="596">
        <v>411.22055903434097</v>
      </c>
      <c r="H750" s="594">
        <v>276.85045957626841</v>
      </c>
      <c r="I750" s="594">
        <v>411.92922821513145</v>
      </c>
      <c r="J750" s="597">
        <v>404.96177045998621</v>
      </c>
    </row>
    <row r="751" spans="1:10">
      <c r="A751" s="586">
        <v>25</v>
      </c>
      <c r="B751" s="615">
        <v>357</v>
      </c>
      <c r="C751" s="609">
        <v>403.29999999999995</v>
      </c>
      <c r="D751" s="594">
        <v>280.52164644765651</v>
      </c>
      <c r="E751" s="594">
        <v>429.74892177125037</v>
      </c>
      <c r="F751" s="595">
        <v>469.86825651395668</v>
      </c>
      <c r="G751" s="596">
        <v>412.24116606526945</v>
      </c>
      <c r="H751" s="594">
        <v>276.85053735644067</v>
      </c>
      <c r="I751" s="594">
        <v>411.93614793345972</v>
      </c>
      <c r="J751" s="597">
        <v>406.1460254414153</v>
      </c>
    </row>
    <row r="752" spans="1:10">
      <c r="A752" s="586">
        <v>25</v>
      </c>
      <c r="B752" s="615">
        <v>418</v>
      </c>
      <c r="C752" s="609">
        <v>410.00000000000006</v>
      </c>
      <c r="D752" s="594">
        <v>286.44221244434652</v>
      </c>
      <c r="E752" s="594">
        <v>429.94122057924244</v>
      </c>
      <c r="F752" s="595">
        <v>477.00116742921836</v>
      </c>
      <c r="G752" s="596">
        <v>412.99311732623806</v>
      </c>
      <c r="H752" s="594">
        <v>276.85054091117792</v>
      </c>
      <c r="I752" s="594">
        <v>411.93701998382249</v>
      </c>
      <c r="J752" s="597">
        <v>406.19496739206613</v>
      </c>
    </row>
    <row r="753" spans="1:10">
      <c r="A753" s="586">
        <v>25</v>
      </c>
      <c r="B753" s="615">
        <v>479</v>
      </c>
      <c r="C753" s="609">
        <v>410.00000000000006</v>
      </c>
      <c r="D753" s="594">
        <v>290.80155243668656</v>
      </c>
      <c r="E753" s="594">
        <v>430.03728912685557</v>
      </c>
      <c r="F753" s="595">
        <v>482.50527564361653</v>
      </c>
      <c r="G753" s="596">
        <v>413.5533728306429</v>
      </c>
      <c r="H753" s="594">
        <v>276.85054105678989</v>
      </c>
      <c r="I753" s="594">
        <v>411.93712141331724</v>
      </c>
      <c r="J753" s="597">
        <v>405.95265097921657</v>
      </c>
    </row>
    <row r="754" spans="1:10">
      <c r="A754" s="587">
        <v>25</v>
      </c>
      <c r="B754" s="616">
        <v>541</v>
      </c>
      <c r="C754" s="610">
        <v>393.29999999999995</v>
      </c>
      <c r="D754" s="598">
        <v>294.12955150659269</v>
      </c>
      <c r="E754" s="598">
        <v>430.08843157287407</v>
      </c>
      <c r="F754" s="599">
        <v>486.94641673141763</v>
      </c>
      <c r="G754" s="600">
        <v>413.99324273376516</v>
      </c>
      <c r="H754" s="598">
        <v>276.8505410627676</v>
      </c>
      <c r="I754" s="598">
        <v>411.93713326455742</v>
      </c>
      <c r="J754" s="601">
        <v>405.65224072171242</v>
      </c>
    </row>
    <row r="755" spans="1:10">
      <c r="A755" s="587">
        <v>25</v>
      </c>
      <c r="B755" s="616">
        <v>602</v>
      </c>
      <c r="C755" s="610">
        <v>416.7</v>
      </c>
      <c r="D755" s="598">
        <v>296.63399654386916</v>
      </c>
      <c r="E755" s="598">
        <v>430.11590111226224</v>
      </c>
      <c r="F755" s="599">
        <v>490.49915929192383</v>
      </c>
      <c r="G755" s="600">
        <v>414.33753043495773</v>
      </c>
      <c r="H755" s="598">
        <v>276.85054106299947</v>
      </c>
      <c r="I755" s="598">
        <v>411.93713458918194</v>
      </c>
      <c r="J755" s="601">
        <v>405.34574807773936</v>
      </c>
    </row>
    <row r="756" spans="1:10">
      <c r="A756" s="587">
        <v>25</v>
      </c>
      <c r="B756" s="616">
        <v>663</v>
      </c>
      <c r="C756" s="610">
        <v>410.00000000000006</v>
      </c>
      <c r="D756" s="598">
        <v>298.58364910217932</v>
      </c>
      <c r="E756" s="598">
        <v>430.13151617555525</v>
      </c>
      <c r="F756" s="599">
        <v>493.4493095074148</v>
      </c>
      <c r="G756" s="600">
        <v>414.61842410680782</v>
      </c>
      <c r="H756" s="598">
        <v>276.85054106300896</v>
      </c>
      <c r="I756" s="598">
        <v>411.93713474325119</v>
      </c>
      <c r="J756" s="601">
        <v>405.03667491346016</v>
      </c>
    </row>
    <row r="757" spans="1:10">
      <c r="A757" s="587">
        <v>25</v>
      </c>
      <c r="B757" s="616">
        <v>723</v>
      </c>
      <c r="C757" s="610">
        <v>400</v>
      </c>
      <c r="D757" s="598">
        <v>300.09891585317774</v>
      </c>
      <c r="E757" s="598">
        <v>430.14054331702573</v>
      </c>
      <c r="F757" s="599">
        <v>495.90065616308311</v>
      </c>
      <c r="G757" s="600">
        <v>414.84844649842489</v>
      </c>
      <c r="H757" s="598">
        <v>276.85054106300936</v>
      </c>
      <c r="I757" s="598">
        <v>411.93713476108655</v>
      </c>
      <c r="J757" s="601">
        <v>404.73197420781327</v>
      </c>
    </row>
    <row r="758" spans="1:10">
      <c r="A758" s="587">
        <v>25</v>
      </c>
      <c r="B758" s="616">
        <v>1118</v>
      </c>
      <c r="C758" s="610">
        <v>403.29999999999995</v>
      </c>
      <c r="D758" s="598">
        <v>304.97464224733079</v>
      </c>
      <c r="E758" s="598">
        <v>430.15461017635988</v>
      </c>
      <c r="F758" s="599">
        <v>505.7887002636981</v>
      </c>
      <c r="G758" s="600">
        <v>415.74623719196813</v>
      </c>
      <c r="H758" s="598">
        <v>276.85054106300936</v>
      </c>
      <c r="I758" s="598">
        <v>411.93713476352985</v>
      </c>
      <c r="J758" s="601">
        <v>402.72404106456173</v>
      </c>
    </row>
    <row r="759" spans="1:10">
      <c r="A759" s="587">
        <v>25</v>
      </c>
      <c r="B759" s="616">
        <v>1146</v>
      </c>
      <c r="C759" s="610">
        <v>380</v>
      </c>
      <c r="D759" s="598">
        <v>305.1419086746713</v>
      </c>
      <c r="E759" s="598">
        <v>430.15477100316701</v>
      </c>
      <c r="F759" s="599">
        <v>506.2431946446718</v>
      </c>
      <c r="G759" s="600">
        <v>415.78637898533447</v>
      </c>
      <c r="H759" s="598">
        <v>276.85054106300936</v>
      </c>
      <c r="I759" s="598">
        <v>411.93713476352985</v>
      </c>
      <c r="J759" s="601">
        <v>402.58169288159712</v>
      </c>
    </row>
    <row r="760" spans="1:10">
      <c r="A760" s="587">
        <v>25</v>
      </c>
      <c r="B760" s="616">
        <v>1207</v>
      </c>
      <c r="C760" s="610">
        <v>402.20000000000005</v>
      </c>
      <c r="D760" s="598">
        <v>305.46327659721823</v>
      </c>
      <c r="E760" s="598">
        <v>430.1550350345421</v>
      </c>
      <c r="F760" s="599">
        <v>507.16364737508013</v>
      </c>
      <c r="G760" s="600">
        <v>415.86738013442618</v>
      </c>
      <c r="H760" s="598">
        <v>276.85054106300936</v>
      </c>
      <c r="I760" s="598">
        <v>411.93713476352985</v>
      </c>
      <c r="J760" s="601">
        <v>402.2715769237434</v>
      </c>
    </row>
    <row r="761" spans="1:10">
      <c r="A761" s="587">
        <v>25</v>
      </c>
      <c r="B761" s="616">
        <v>1272</v>
      </c>
      <c r="C761" s="610">
        <v>397.8</v>
      </c>
      <c r="D761" s="598">
        <v>305.75077510669888</v>
      </c>
      <c r="E761" s="598">
        <v>430.15522404707889</v>
      </c>
      <c r="F761" s="599">
        <v>508.05150030815173</v>
      </c>
      <c r="G761" s="600">
        <v>415.94514019587228</v>
      </c>
      <c r="H761" s="598">
        <v>276.85054106300936</v>
      </c>
      <c r="I761" s="598">
        <v>411.93713476352985</v>
      </c>
      <c r="J761" s="601">
        <v>401.94112525908366</v>
      </c>
    </row>
    <row r="762" spans="1:10">
      <c r="A762" s="587">
        <v>25</v>
      </c>
      <c r="B762" s="616">
        <v>1346</v>
      </c>
      <c r="C762" s="610">
        <v>392.2</v>
      </c>
      <c r="D762" s="598">
        <v>306.02225783739937</v>
      </c>
      <c r="E762" s="598">
        <v>430.15536467734216</v>
      </c>
      <c r="F762" s="599">
        <v>508.96218104936293</v>
      </c>
      <c r="G762" s="600">
        <v>416.02452214131392</v>
      </c>
      <c r="H762" s="598">
        <v>276.85054106300936</v>
      </c>
      <c r="I762" s="598">
        <v>411.93713476352985</v>
      </c>
      <c r="J762" s="601">
        <v>401.56491860572419</v>
      </c>
    </row>
    <row r="763" spans="1:10">
      <c r="A763" s="587">
        <v>25</v>
      </c>
      <c r="B763" s="616">
        <v>1405</v>
      </c>
      <c r="C763" s="610">
        <v>393.29999999999995</v>
      </c>
      <c r="D763" s="598">
        <v>306.2039921681573</v>
      </c>
      <c r="E763" s="598">
        <v>430.15543977028415</v>
      </c>
      <c r="F763" s="599">
        <v>509.62223711887708</v>
      </c>
      <c r="G763" s="600">
        <v>416.08182013486896</v>
      </c>
      <c r="H763" s="598">
        <v>276.85054106300936</v>
      </c>
      <c r="I763" s="598">
        <v>411.93713476352985</v>
      </c>
      <c r="J763" s="601">
        <v>401.26497000317943</v>
      </c>
    </row>
    <row r="764" spans="1:10">
      <c r="A764" s="587">
        <v>25</v>
      </c>
      <c r="B764" s="616">
        <v>1504</v>
      </c>
      <c r="C764" s="610">
        <v>405.6</v>
      </c>
      <c r="D764" s="598">
        <v>306.45392669415423</v>
      </c>
      <c r="E764" s="598">
        <v>430.1555201073316</v>
      </c>
      <c r="F764" s="599">
        <v>510.61773018606794</v>
      </c>
      <c r="G764" s="600">
        <v>416.16786120132741</v>
      </c>
      <c r="H764" s="598">
        <v>276.85054106300936</v>
      </c>
      <c r="I764" s="598">
        <v>411.93713476352985</v>
      </c>
      <c r="J764" s="601">
        <v>400.76166636449244</v>
      </c>
    </row>
    <row r="765" spans="1:10">
      <c r="A765" s="587">
        <v>25</v>
      </c>
      <c r="B765" s="616">
        <v>1595</v>
      </c>
      <c r="C765" s="610">
        <v>400</v>
      </c>
      <c r="D765" s="598">
        <v>306.63571201849555</v>
      </c>
      <c r="E765" s="598">
        <v>430.15556324309404</v>
      </c>
      <c r="F765" s="599">
        <v>511.42758066673537</v>
      </c>
      <c r="G765" s="600">
        <v>416.23752584062515</v>
      </c>
      <c r="H765" s="598">
        <v>276.85054106300936</v>
      </c>
      <c r="I765" s="598">
        <v>411.93713476352985</v>
      </c>
      <c r="J765" s="601">
        <v>400.29903370027091</v>
      </c>
    </row>
    <row r="766" spans="1:10">
      <c r="A766" s="587">
        <v>25</v>
      </c>
      <c r="B766" s="616">
        <v>1687</v>
      </c>
      <c r="C766" s="610">
        <v>401.1</v>
      </c>
      <c r="D766" s="598">
        <v>306.78357052103621</v>
      </c>
      <c r="E766" s="598">
        <v>430.15558971695867</v>
      </c>
      <c r="F766" s="599">
        <v>512.16045421985825</v>
      </c>
      <c r="G766" s="600">
        <v>416.30031412937421</v>
      </c>
      <c r="H766" s="598">
        <v>276.85054106300936</v>
      </c>
      <c r="I766" s="598">
        <v>411.93713476352985</v>
      </c>
      <c r="J766" s="601">
        <v>399.83131714939958</v>
      </c>
    </row>
    <row r="767" spans="1:10">
      <c r="A767" s="587">
        <v>25</v>
      </c>
      <c r="B767" s="616">
        <v>1779</v>
      </c>
      <c r="C767" s="610">
        <v>403.29999999999995</v>
      </c>
      <c r="D767" s="598">
        <v>306.90318578227874</v>
      </c>
      <c r="E767" s="598">
        <v>430.15560597854898</v>
      </c>
      <c r="F767" s="599">
        <v>512.8199119348925</v>
      </c>
      <c r="G767" s="600">
        <v>416.35660678941787</v>
      </c>
      <c r="H767" s="598">
        <v>276.85054106300936</v>
      </c>
      <c r="I767" s="598">
        <v>411.93713476352985</v>
      </c>
      <c r="J767" s="601">
        <v>399.36360059328513</v>
      </c>
    </row>
    <row r="768" spans="1:10">
      <c r="A768" s="587">
        <v>25</v>
      </c>
      <c r="B768" s="616">
        <v>1910</v>
      </c>
      <c r="C768" s="610">
        <v>407.79999999999995</v>
      </c>
      <c r="D768" s="598">
        <v>307.03627962630969</v>
      </c>
      <c r="E768" s="598">
        <v>430.15561916744406</v>
      </c>
      <c r="F768" s="599">
        <v>513.65251100702051</v>
      </c>
      <c r="G768" s="600">
        <v>416.42740211345387</v>
      </c>
      <c r="H768" s="598">
        <v>276.85054106300936</v>
      </c>
      <c r="I768" s="598">
        <v>411.93713476352985</v>
      </c>
      <c r="J768" s="601">
        <v>398.69761288435512</v>
      </c>
    </row>
    <row r="769" spans="1:10">
      <c r="A769" s="587">
        <v>25</v>
      </c>
      <c r="B769" s="616">
        <v>2001</v>
      </c>
      <c r="C769" s="610">
        <v>406.70000000000005</v>
      </c>
      <c r="D769" s="598">
        <v>307.10891308916217</v>
      </c>
      <c r="E769" s="598">
        <v>430.15562439067287</v>
      </c>
      <c r="F769" s="599">
        <v>514.16851798406719</v>
      </c>
      <c r="G769" s="600">
        <v>416.47112334491487</v>
      </c>
      <c r="H769" s="598">
        <v>276.85054106300936</v>
      </c>
      <c r="I769" s="598">
        <v>411.93713476352985</v>
      </c>
      <c r="J769" s="601">
        <v>398.23498019977569</v>
      </c>
    </row>
    <row r="770" spans="1:10">
      <c r="A770" s="587">
        <v>25</v>
      </c>
      <c r="B770" s="616">
        <v>2104</v>
      </c>
      <c r="C770" s="610">
        <v>410.00000000000006</v>
      </c>
      <c r="D770" s="598">
        <v>307.1760554084301</v>
      </c>
      <c r="E770" s="598">
        <v>430.15562809821375</v>
      </c>
      <c r="F770" s="599">
        <v>514.7001597502383</v>
      </c>
      <c r="G770" s="600">
        <v>416.51604618781681</v>
      </c>
      <c r="H770" s="598">
        <v>276.85054106300936</v>
      </c>
      <c r="I770" s="598">
        <v>411.93713476352985</v>
      </c>
      <c r="J770" s="601">
        <v>397.71134100676039</v>
      </c>
    </row>
    <row r="771" spans="1:10">
      <c r="A771" s="587">
        <v>25</v>
      </c>
      <c r="B771" s="616">
        <v>2202</v>
      </c>
      <c r="C771" s="610">
        <v>400</v>
      </c>
      <c r="D771" s="598">
        <v>307.22810181896233</v>
      </c>
      <c r="E771" s="598">
        <v>430.15563029257083</v>
      </c>
      <c r="F771" s="599">
        <v>515.16100470438562</v>
      </c>
      <c r="G771" s="600">
        <v>416.55488605363945</v>
      </c>
      <c r="H771" s="598">
        <v>276.85054106300936</v>
      </c>
      <c r="I771" s="598">
        <v>411.93713476352985</v>
      </c>
      <c r="J771" s="601">
        <v>397.21312119174871</v>
      </c>
    </row>
    <row r="772" spans="1:10">
      <c r="A772" s="587">
        <v>25</v>
      </c>
      <c r="B772" s="616">
        <v>2308</v>
      </c>
      <c r="C772" s="610">
        <v>398.90000000000003</v>
      </c>
      <c r="D772" s="598">
        <v>307.2740955952421</v>
      </c>
      <c r="E772" s="598">
        <v>430.15563177969284</v>
      </c>
      <c r="F772" s="599">
        <v>515.61649086171622</v>
      </c>
      <c r="G772" s="600">
        <v>416.59318263034095</v>
      </c>
      <c r="H772" s="598">
        <v>276.85054106300936</v>
      </c>
      <c r="I772" s="598">
        <v>411.93713476352985</v>
      </c>
      <c r="J772" s="601">
        <v>396.67423037125957</v>
      </c>
    </row>
    <row r="773" spans="1:10">
      <c r="A773" s="587">
        <v>25</v>
      </c>
      <c r="B773" s="616">
        <v>2471</v>
      </c>
      <c r="C773" s="610">
        <v>396.7</v>
      </c>
      <c r="D773" s="598">
        <v>307.32881014699649</v>
      </c>
      <c r="E773" s="598">
        <v>430.15563304888587</v>
      </c>
      <c r="F773" s="599">
        <v>516.24240786564178</v>
      </c>
      <c r="G773" s="600">
        <v>416.64566065259885</v>
      </c>
      <c r="H773" s="598">
        <v>276.85054106300936</v>
      </c>
      <c r="I773" s="598">
        <v>411.93713476352985</v>
      </c>
      <c r="J773" s="601">
        <v>395.84555863769816</v>
      </c>
    </row>
    <row r="774" spans="1:10">
      <c r="A774" s="587">
        <v>25</v>
      </c>
      <c r="B774" s="616">
        <v>2581</v>
      </c>
      <c r="C774" s="610">
        <v>396.7</v>
      </c>
      <c r="D774" s="598">
        <v>307.35735451875121</v>
      </c>
      <c r="E774" s="598">
        <v>430.15563351663525</v>
      </c>
      <c r="F774" s="599">
        <v>516.62111019964993</v>
      </c>
      <c r="G774" s="600">
        <v>416.6773287655916</v>
      </c>
      <c r="H774" s="598">
        <v>276.85054106300936</v>
      </c>
      <c r="I774" s="598">
        <v>411.93713476352985</v>
      </c>
      <c r="J774" s="601">
        <v>395.28633231438027</v>
      </c>
    </row>
    <row r="775" spans="1:10">
      <c r="A775" s="587">
        <v>25</v>
      </c>
      <c r="B775" s="616">
        <v>2735</v>
      </c>
      <c r="C775" s="610">
        <v>393.29999999999995</v>
      </c>
      <c r="D775" s="598">
        <v>307.38886323851443</v>
      </c>
      <c r="E775" s="598">
        <v>430.15563389497862</v>
      </c>
      <c r="F775" s="599">
        <v>517.10118080491145</v>
      </c>
      <c r="G775" s="600">
        <v>416.71738394592785</v>
      </c>
      <c r="H775" s="598">
        <v>276.85054106300936</v>
      </c>
      <c r="I775" s="598">
        <v>411.93713476352985</v>
      </c>
      <c r="J775" s="601">
        <v>394.50341546170102</v>
      </c>
    </row>
    <row r="776" spans="1:10">
      <c r="A776" s="587">
        <v>25</v>
      </c>
      <c r="B776" s="616">
        <v>2850</v>
      </c>
      <c r="C776" s="610">
        <v>407.79999999999995</v>
      </c>
      <c r="D776" s="598">
        <v>307.40739382993542</v>
      </c>
      <c r="E776" s="598">
        <v>430.15563405618605</v>
      </c>
      <c r="F776" s="599">
        <v>517.42651427020769</v>
      </c>
      <c r="G776" s="600">
        <v>416.74447166633644</v>
      </c>
      <c r="H776" s="598">
        <v>276.85054106300936</v>
      </c>
      <c r="I776" s="598">
        <v>411.93713476352985</v>
      </c>
      <c r="J776" s="601">
        <v>393.9187697600114</v>
      </c>
    </row>
    <row r="777" spans="1:10">
      <c r="A777" s="587">
        <v>25</v>
      </c>
      <c r="B777" s="616">
        <v>2954</v>
      </c>
      <c r="C777" s="610">
        <v>407.79999999999995</v>
      </c>
      <c r="D777" s="598">
        <v>307.42126788865119</v>
      </c>
      <c r="E777" s="598">
        <v>430.15563414991226</v>
      </c>
      <c r="F777" s="599">
        <v>517.69933765603844</v>
      </c>
      <c r="G777" s="600">
        <v>416.76715202841729</v>
      </c>
      <c r="H777" s="598">
        <v>276.85054106300936</v>
      </c>
      <c r="I777" s="598">
        <v>411.93713476352985</v>
      </c>
      <c r="J777" s="601">
        <v>393.39004669065201</v>
      </c>
    </row>
    <row r="778" spans="1:10">
      <c r="A778" s="587">
        <v>25</v>
      </c>
      <c r="B778" s="616">
        <v>3036</v>
      </c>
      <c r="C778" s="610">
        <v>407.79999999999995</v>
      </c>
      <c r="D778" s="598">
        <v>307.43061215390594</v>
      </c>
      <c r="E778" s="598">
        <v>430.15563420097413</v>
      </c>
      <c r="F778" s="599">
        <v>517.90151731363903</v>
      </c>
      <c r="G778" s="600">
        <v>416.78393890022994</v>
      </c>
      <c r="H778" s="598">
        <v>276.85054106300936</v>
      </c>
      <c r="I778" s="598">
        <v>411.93713476352985</v>
      </c>
      <c r="J778" s="601">
        <v>392.97316888596259</v>
      </c>
    </row>
    <row r="779" spans="1:10">
      <c r="A779" s="587">
        <v>25</v>
      </c>
      <c r="B779" s="616">
        <v>3199</v>
      </c>
      <c r="C779" s="610">
        <v>403.29999999999995</v>
      </c>
      <c r="D779" s="598">
        <v>307.44581437515069</v>
      </c>
      <c r="E779" s="598">
        <v>430.15563426494606</v>
      </c>
      <c r="F779" s="599">
        <v>518.273181001848</v>
      </c>
      <c r="G779" s="600">
        <v>416.8147519849141</v>
      </c>
      <c r="H779" s="598">
        <v>276.85054106300936</v>
      </c>
      <c r="I779" s="598">
        <v>411.93713476352985</v>
      </c>
      <c r="J779" s="601">
        <v>392.14449715224737</v>
      </c>
    </row>
    <row r="780" spans="1:10">
      <c r="A780" s="619">
        <v>27</v>
      </c>
      <c r="B780" s="620">
        <v>6</v>
      </c>
      <c r="C780" s="621">
        <v>136.69999999999999</v>
      </c>
      <c r="D780" s="622"/>
      <c r="E780" s="622"/>
      <c r="F780" s="623"/>
      <c r="G780" s="624"/>
      <c r="H780" s="622"/>
      <c r="I780" s="622"/>
      <c r="J780" s="625"/>
    </row>
    <row r="781" spans="1:10">
      <c r="A781" s="585">
        <v>27</v>
      </c>
      <c r="B781" s="614">
        <v>15</v>
      </c>
      <c r="C781" s="608">
        <v>126.70000000000002</v>
      </c>
      <c r="D781" s="590">
        <v>70.365197027569792</v>
      </c>
      <c r="E781" s="590">
        <v>46.797226443994987</v>
      </c>
      <c r="F781" s="591">
        <v>152.0457972063403</v>
      </c>
      <c r="G781" s="592">
        <v>107.17733857450914</v>
      </c>
      <c r="H781" s="590">
        <v>74.393730518783343</v>
      </c>
      <c r="I781" s="590">
        <v>92.809547870723918</v>
      </c>
      <c r="J781" s="593"/>
    </row>
    <row r="782" spans="1:10">
      <c r="A782" s="585">
        <v>27</v>
      </c>
      <c r="B782" s="614">
        <v>24</v>
      </c>
      <c r="C782" s="608">
        <v>160</v>
      </c>
      <c r="D782" s="590">
        <v>100.5857792850275</v>
      </c>
      <c r="E782" s="590">
        <v>67.45311912497526</v>
      </c>
      <c r="F782" s="591">
        <v>211.88364127982263</v>
      </c>
      <c r="G782" s="592">
        <v>145.04476065998469</v>
      </c>
      <c r="H782" s="590">
        <v>144.85098275101862</v>
      </c>
      <c r="I782" s="590">
        <v>133.64224338472033</v>
      </c>
      <c r="J782" s="593"/>
    </row>
    <row r="783" spans="1:10">
      <c r="A783" s="585">
        <v>27</v>
      </c>
      <c r="B783" s="614">
        <v>32</v>
      </c>
      <c r="C783" s="608">
        <v>190</v>
      </c>
      <c r="D783" s="590">
        <v>119.92741265550761</v>
      </c>
      <c r="E783" s="590">
        <v>80.995062510294602</v>
      </c>
      <c r="F783" s="591">
        <v>247.64231513272509</v>
      </c>
      <c r="G783" s="592">
        <v>165.99651017393171</v>
      </c>
      <c r="H783" s="590">
        <v>188.24782882438771</v>
      </c>
      <c r="I783" s="590">
        <v>158.25128258861</v>
      </c>
      <c r="J783" s="593"/>
    </row>
    <row r="784" spans="1:10">
      <c r="A784" s="585">
        <v>27</v>
      </c>
      <c r="B784" s="614">
        <v>57</v>
      </c>
      <c r="C784" s="608">
        <v>240</v>
      </c>
      <c r="D784" s="590">
        <v>161.25240397751006</v>
      </c>
      <c r="E784" s="590">
        <v>111.15882271107547</v>
      </c>
      <c r="F784" s="591">
        <v>316.78511391755296</v>
      </c>
      <c r="G784" s="592">
        <v>202.66498195669769</v>
      </c>
      <c r="H784" s="590">
        <v>252.32455060289638</v>
      </c>
      <c r="I784" s="590">
        <v>204.1601843576282</v>
      </c>
      <c r="J784" s="593"/>
    </row>
    <row r="785" spans="1:10">
      <c r="A785" s="585">
        <v>27</v>
      </c>
      <c r="B785" s="614">
        <v>64</v>
      </c>
      <c r="C785" s="608">
        <v>236.7</v>
      </c>
      <c r="D785" s="590">
        <v>169.86095596704718</v>
      </c>
      <c r="E785" s="590">
        <v>117.71869724712764</v>
      </c>
      <c r="F785" s="591">
        <v>329.93973148574446</v>
      </c>
      <c r="G785" s="592">
        <v>209.06059798774146</v>
      </c>
      <c r="H785" s="590">
        <v>259.80801084597067</v>
      </c>
      <c r="I785" s="590">
        <v>212.24432158398994</v>
      </c>
      <c r="J785" s="593"/>
    </row>
    <row r="786" spans="1:10">
      <c r="A786" s="585">
        <v>27</v>
      </c>
      <c r="B786" s="614">
        <v>72</v>
      </c>
      <c r="C786" s="608">
        <v>250</v>
      </c>
      <c r="D786" s="590">
        <v>178.66821155467244</v>
      </c>
      <c r="E786" s="590">
        <v>124.55369086702964</v>
      </c>
      <c r="F786" s="591">
        <v>342.9674218764336</v>
      </c>
      <c r="G786" s="592">
        <v>215.21340974928989</v>
      </c>
      <c r="H786" s="590">
        <v>265.61941633718266</v>
      </c>
      <c r="I786" s="590">
        <v>219.8922294195238</v>
      </c>
      <c r="J786" s="593"/>
    </row>
    <row r="787" spans="1:10">
      <c r="A787" s="585">
        <v>27</v>
      </c>
      <c r="B787" s="614">
        <v>85</v>
      </c>
      <c r="C787" s="608">
        <v>236.7</v>
      </c>
      <c r="D787" s="590">
        <v>191.10300470271395</v>
      </c>
      <c r="E787" s="590">
        <v>134.44508277243071</v>
      </c>
      <c r="F787" s="591">
        <v>360.64458407502224</v>
      </c>
      <c r="G787" s="592">
        <v>223.27717117359808</v>
      </c>
      <c r="H787" s="590">
        <v>271.15519172422989</v>
      </c>
      <c r="I787" s="590">
        <v>229.54515915267069</v>
      </c>
      <c r="J787" s="593"/>
    </row>
    <row r="788" spans="1:10">
      <c r="A788" s="585">
        <v>27</v>
      </c>
      <c r="B788" s="614">
        <v>92</v>
      </c>
      <c r="C788" s="608">
        <v>236.7</v>
      </c>
      <c r="D788" s="590">
        <v>197.01168306609097</v>
      </c>
      <c r="E788" s="590">
        <v>139.25634873354181</v>
      </c>
      <c r="F788" s="591">
        <v>368.76188431602907</v>
      </c>
      <c r="G788" s="592">
        <v>226.87145344017193</v>
      </c>
      <c r="H788" s="590">
        <v>272.90104430799147</v>
      </c>
      <c r="I788" s="590">
        <v>233.63857456360017</v>
      </c>
      <c r="J788" s="593"/>
    </row>
    <row r="789" spans="1:10">
      <c r="A789" s="585">
        <v>27</v>
      </c>
      <c r="B789" s="614">
        <v>99</v>
      </c>
      <c r="C789" s="608">
        <v>243.30000000000004</v>
      </c>
      <c r="D789" s="590">
        <v>202.458913579295</v>
      </c>
      <c r="E789" s="590">
        <v>143.76232707793039</v>
      </c>
      <c r="F789" s="591">
        <v>376.09087775358569</v>
      </c>
      <c r="G789" s="592">
        <v>230.05868563888339</v>
      </c>
      <c r="H789" s="590">
        <v>274.11222054515429</v>
      </c>
      <c r="I789" s="590">
        <v>237.12104977173749</v>
      </c>
      <c r="J789" s="593"/>
    </row>
    <row r="790" spans="1:10">
      <c r="A790" s="586">
        <v>27</v>
      </c>
      <c r="B790" s="615">
        <v>106</v>
      </c>
      <c r="C790" s="609">
        <v>276.7</v>
      </c>
      <c r="D790" s="594">
        <v>207.49903137186669</v>
      </c>
      <c r="E790" s="594">
        <v>147.99648034045168</v>
      </c>
      <c r="F790" s="595">
        <v>382.7447933977727</v>
      </c>
      <c r="G790" s="596">
        <v>232.90510259187684</v>
      </c>
      <c r="H790" s="594">
        <v>274.95220808764378</v>
      </c>
      <c r="I790" s="594">
        <v>240.09009971109273</v>
      </c>
      <c r="J790" s="597"/>
    </row>
    <row r="791" spans="1:10">
      <c r="A791" s="586">
        <v>27</v>
      </c>
      <c r="B791" s="615">
        <v>113</v>
      </c>
      <c r="C791" s="609">
        <v>293.29999999999995</v>
      </c>
      <c r="D791" s="594">
        <v>212.1772964670586</v>
      </c>
      <c r="E791" s="594">
        <v>151.98669580937474</v>
      </c>
      <c r="F791" s="595">
        <v>388.8154916611557</v>
      </c>
      <c r="G791" s="596">
        <v>235.4631505668186</v>
      </c>
      <c r="H791" s="594">
        <v>275.53464096975654</v>
      </c>
      <c r="I791" s="594">
        <v>242.62585474977882</v>
      </c>
      <c r="J791" s="597"/>
    </row>
    <row r="792" spans="1:10">
      <c r="A792" s="586">
        <v>27</v>
      </c>
      <c r="B792" s="615">
        <v>120</v>
      </c>
      <c r="C792" s="609">
        <v>280</v>
      </c>
      <c r="D792" s="594">
        <v>216.53188115309806</v>
      </c>
      <c r="E792" s="594">
        <v>155.75652443771219</v>
      </c>
      <c r="F792" s="595">
        <v>394.37842258498483</v>
      </c>
      <c r="G792" s="596">
        <v>237.77493499552489</v>
      </c>
      <c r="H792" s="594">
        <v>275.93843056692867</v>
      </c>
      <c r="I792" s="594">
        <v>244.79468466642544</v>
      </c>
      <c r="J792" s="597"/>
    </row>
    <row r="793" spans="1:10">
      <c r="A793" s="586">
        <v>27</v>
      </c>
      <c r="B793" s="615">
        <v>127</v>
      </c>
      <c r="C793" s="609">
        <v>270</v>
      </c>
      <c r="D793" s="594">
        <v>220.59532484000047</v>
      </c>
      <c r="E793" s="594">
        <v>159.32608338468609</v>
      </c>
      <c r="F793" s="595">
        <v>399.49622958800899</v>
      </c>
      <c r="G793" s="596">
        <v>239.87467298845593</v>
      </c>
      <c r="H793" s="594">
        <v>276.21834177200481</v>
      </c>
      <c r="I793" s="594">
        <v>246.65191799809898</v>
      </c>
      <c r="J793" s="597"/>
    </row>
    <row r="794" spans="1:10">
      <c r="A794" s="586">
        <v>27</v>
      </c>
      <c r="B794" s="615">
        <v>134</v>
      </c>
      <c r="C794" s="609">
        <v>266.7</v>
      </c>
      <c r="D794" s="594">
        <v>224.39562243410705</v>
      </c>
      <c r="E794" s="594">
        <v>162.71272801713718</v>
      </c>
      <c r="F794" s="595">
        <v>404.22142108783771</v>
      </c>
      <c r="G794" s="596">
        <v>241.79047339427871</v>
      </c>
      <c r="H794" s="594">
        <v>276.41236554914775</v>
      </c>
      <c r="I794" s="594">
        <v>248.24392405074704</v>
      </c>
      <c r="J794" s="597"/>
    </row>
    <row r="795" spans="1:10">
      <c r="A795" s="586">
        <v>27</v>
      </c>
      <c r="B795" s="615">
        <v>141</v>
      </c>
      <c r="C795" s="609">
        <v>266.7</v>
      </c>
      <c r="D795" s="594">
        <v>227.95705405271909</v>
      </c>
      <c r="E795" s="594">
        <v>165.93156187560743</v>
      </c>
      <c r="F795" s="595">
        <v>408.59838547268197</v>
      </c>
      <c r="G795" s="596">
        <v>243.54565185580029</v>
      </c>
      <c r="H795" s="594">
        <v>276.54684890184296</v>
      </c>
      <c r="I795" s="594">
        <v>249.60973432203426</v>
      </c>
      <c r="J795" s="597"/>
    </row>
    <row r="796" spans="1:10">
      <c r="A796" s="586">
        <v>27</v>
      </c>
      <c r="B796" s="615">
        <v>148</v>
      </c>
      <c r="C796" s="609">
        <v>283.3</v>
      </c>
      <c r="D796" s="594">
        <v>231.30082810668975</v>
      </c>
      <c r="E796" s="594">
        <v>168.99583021604872</v>
      </c>
      <c r="F796" s="595">
        <v>412.66493397557639</v>
      </c>
      <c r="G796" s="596">
        <v>245.15971771380822</v>
      </c>
      <c r="H796" s="594">
        <v>276.64005997172711</v>
      </c>
      <c r="I796" s="594">
        <v>250.78232363213993</v>
      </c>
      <c r="J796" s="597"/>
    </row>
    <row r="797" spans="1:10">
      <c r="A797" s="586">
        <v>27</v>
      </c>
      <c r="B797" s="615">
        <v>155</v>
      </c>
      <c r="C797" s="609">
        <v>263.3</v>
      </c>
      <c r="D797" s="594">
        <v>234.44558707582837</v>
      </c>
      <c r="E797" s="594">
        <v>171.91722825551579</v>
      </c>
      <c r="F797" s="595">
        <v>416.45349800785328</v>
      </c>
      <c r="G797" s="596">
        <v>246.64912512222045</v>
      </c>
      <c r="H797" s="594">
        <v>276.70466351550107</v>
      </c>
      <c r="I797" s="594">
        <v>251.78963494146055</v>
      </c>
      <c r="J797" s="597"/>
    </row>
    <row r="798" spans="1:10">
      <c r="A798" s="586">
        <v>27</v>
      </c>
      <c r="B798" s="615">
        <v>162</v>
      </c>
      <c r="C798" s="609">
        <v>266.7</v>
      </c>
      <c r="D798" s="594">
        <v>237.40781050467135</v>
      </c>
      <c r="E798" s="594">
        <v>174.70614583621159</v>
      </c>
      <c r="F798" s="595">
        <v>419.99206953924914</v>
      </c>
      <c r="G798" s="596">
        <v>248.0278519877152</v>
      </c>
      <c r="H798" s="594">
        <v>276.74943878228834</v>
      </c>
      <c r="I798" s="594">
        <v>252.65540781861415</v>
      </c>
      <c r="J798" s="597"/>
    </row>
    <row r="799" spans="1:10">
      <c r="A799" s="586">
        <v>27</v>
      </c>
      <c r="B799" s="615">
        <v>169</v>
      </c>
      <c r="C799" s="609">
        <v>266.7</v>
      </c>
      <c r="D799" s="594">
        <v>240.20213986566569</v>
      </c>
      <c r="E799" s="594">
        <v>177.37186395373553</v>
      </c>
      <c r="F799" s="595">
        <v>423.30494767462687</v>
      </c>
      <c r="G799" s="596">
        <v>249.30785134670049</v>
      </c>
      <c r="H799" s="594">
        <v>276.78047116821858</v>
      </c>
      <c r="I799" s="594">
        <v>253.39985424576363</v>
      </c>
      <c r="J799" s="597"/>
    </row>
    <row r="800" spans="1:10">
      <c r="A800" s="586">
        <v>27</v>
      </c>
      <c r="B800" s="615">
        <v>176</v>
      </c>
      <c r="C800" s="609">
        <v>280</v>
      </c>
      <c r="D800" s="594">
        <v>242.84164319534023</v>
      </c>
      <c r="E800" s="594">
        <v>179.92271433053764</v>
      </c>
      <c r="F800" s="595">
        <v>426.41333718333061</v>
      </c>
      <c r="G800" s="596">
        <v>250.49940698171253</v>
      </c>
      <c r="H800" s="594">
        <v>276.80197861163441</v>
      </c>
      <c r="I800" s="594">
        <v>254.04021417064337</v>
      </c>
      <c r="J800" s="597"/>
    </row>
    <row r="801" spans="1:10">
      <c r="A801" s="586">
        <v>27</v>
      </c>
      <c r="B801" s="615">
        <v>192</v>
      </c>
      <c r="C801" s="609">
        <v>283.3</v>
      </c>
      <c r="D801" s="594">
        <v>248.35422415743164</v>
      </c>
      <c r="E801" s="594">
        <v>185.36097843163935</v>
      </c>
      <c r="F801" s="595">
        <v>432.84631369395464</v>
      </c>
      <c r="G801" s="596">
        <v>252.93659632290948</v>
      </c>
      <c r="H801" s="594">
        <v>276.8295351666556</v>
      </c>
      <c r="I801" s="594">
        <v>255.18840402193513</v>
      </c>
      <c r="J801" s="597"/>
    </row>
    <row r="802" spans="1:10">
      <c r="A802" s="586">
        <v>27</v>
      </c>
      <c r="B802" s="615">
        <v>244</v>
      </c>
      <c r="C802" s="609">
        <v>276.7</v>
      </c>
      <c r="D802" s="594">
        <v>262.37226811547964</v>
      </c>
      <c r="E802" s="594">
        <v>199.98910472805341</v>
      </c>
      <c r="F802" s="595">
        <v>448.94995748783123</v>
      </c>
      <c r="G802" s="596">
        <v>258.86993674477225</v>
      </c>
      <c r="H802" s="594">
        <v>276.84916238414422</v>
      </c>
      <c r="I802" s="594">
        <v>257.07848881127711</v>
      </c>
      <c r="J802" s="597"/>
    </row>
    <row r="803" spans="1:10">
      <c r="A803" s="586">
        <v>27</v>
      </c>
      <c r="B803" s="615">
        <v>306</v>
      </c>
      <c r="C803" s="609">
        <v>276.7</v>
      </c>
      <c r="D803" s="594">
        <v>273.81945685474062</v>
      </c>
      <c r="E803" s="594">
        <v>213.04965130927303</v>
      </c>
      <c r="F803" s="595">
        <v>462.05317342871945</v>
      </c>
      <c r="G803" s="596">
        <v>263.52488699622955</v>
      </c>
      <c r="H803" s="594">
        <v>276.85048747035466</v>
      </c>
      <c r="I803" s="594">
        <v>257.76305978316043</v>
      </c>
      <c r="J803" s="597"/>
    </row>
    <row r="804" spans="1:10">
      <c r="A804" s="586">
        <v>27</v>
      </c>
      <c r="B804" s="615">
        <v>365</v>
      </c>
      <c r="C804" s="609">
        <v>283.3</v>
      </c>
      <c r="D804" s="594">
        <v>281.41140683215167</v>
      </c>
      <c r="E804" s="594">
        <v>222.49154250173464</v>
      </c>
      <c r="F804" s="595">
        <v>470.9217741067597</v>
      </c>
      <c r="G804" s="596">
        <v>266.58962324585593</v>
      </c>
      <c r="H804" s="594">
        <v>276.85053862525263</v>
      </c>
      <c r="I804" s="594">
        <v>257.94231418317582</v>
      </c>
      <c r="J804" s="597"/>
    </row>
    <row r="805" spans="1:10">
      <c r="A805" s="586">
        <v>27</v>
      </c>
      <c r="B805" s="615">
        <v>426</v>
      </c>
      <c r="C805" s="609">
        <v>293.29999999999995</v>
      </c>
      <c r="D805" s="594">
        <v>287.09087746961785</v>
      </c>
      <c r="E805" s="594">
        <v>230.12053881011815</v>
      </c>
      <c r="F805" s="595">
        <v>477.80247931248425</v>
      </c>
      <c r="G805" s="596">
        <v>268.92058340707757</v>
      </c>
      <c r="H805" s="594">
        <v>276.85054096315201</v>
      </c>
      <c r="I805" s="594">
        <v>257.99447583472056</v>
      </c>
      <c r="J805" s="597"/>
    </row>
    <row r="806" spans="1:10">
      <c r="A806" s="586">
        <v>27</v>
      </c>
      <c r="B806" s="615">
        <v>487</v>
      </c>
      <c r="C806" s="609">
        <v>276.7</v>
      </c>
      <c r="D806" s="594">
        <v>291.28592420557766</v>
      </c>
      <c r="E806" s="594">
        <v>236.17511870921726</v>
      </c>
      <c r="F806" s="595">
        <v>483.13533111553954</v>
      </c>
      <c r="G806" s="596">
        <v>270.69945502344535</v>
      </c>
      <c r="H806" s="594">
        <v>276.85054105891891</v>
      </c>
      <c r="I806" s="594">
        <v>258.00878987616397</v>
      </c>
      <c r="J806" s="597"/>
    </row>
    <row r="807" spans="1:10">
      <c r="A807" s="587">
        <v>27</v>
      </c>
      <c r="B807" s="616">
        <v>548</v>
      </c>
      <c r="C807" s="610">
        <v>293.29999999999995</v>
      </c>
      <c r="D807" s="598">
        <v>294.45167393029732</v>
      </c>
      <c r="E807" s="598">
        <v>241.05727578070781</v>
      </c>
      <c r="F807" s="599">
        <v>487.39054940361024</v>
      </c>
      <c r="G807" s="600">
        <v>272.1016973861561</v>
      </c>
      <c r="H807" s="598">
        <v>276.85054106284184</v>
      </c>
      <c r="I807" s="598">
        <v>258.01271819189606</v>
      </c>
      <c r="J807" s="601"/>
    </row>
    <row r="808" spans="1:10">
      <c r="A808" s="587">
        <v>27</v>
      </c>
      <c r="B808" s="616">
        <v>609</v>
      </c>
      <c r="C808" s="610">
        <v>290.00000000000006</v>
      </c>
      <c r="D808" s="598">
        <v>296.883401119111</v>
      </c>
      <c r="E808" s="598">
        <v>245.04601028546855</v>
      </c>
      <c r="F808" s="599">
        <v>490.86517617689367</v>
      </c>
      <c r="G808" s="600">
        <v>273.23551444924863</v>
      </c>
      <c r="H808" s="598">
        <v>276.85054106300248</v>
      </c>
      <c r="I808" s="598">
        <v>258.01379629328642</v>
      </c>
      <c r="J808" s="601"/>
    </row>
    <row r="809" spans="1:10">
      <c r="A809" s="587">
        <v>27</v>
      </c>
      <c r="B809" s="616">
        <v>671</v>
      </c>
      <c r="C809" s="610">
        <v>263.3</v>
      </c>
      <c r="D809" s="598">
        <v>298.80692941017998</v>
      </c>
      <c r="E809" s="598">
        <v>248.39021741572981</v>
      </c>
      <c r="F809" s="599">
        <v>493.79951558713265</v>
      </c>
      <c r="G809" s="600">
        <v>274.18525192188599</v>
      </c>
      <c r="H809" s="598">
        <v>276.85054106300908</v>
      </c>
      <c r="I809" s="598">
        <v>258.0140945204339</v>
      </c>
      <c r="J809" s="601"/>
    </row>
    <row r="810" spans="1:10">
      <c r="A810" s="587">
        <v>27</v>
      </c>
      <c r="B810" s="616">
        <v>731</v>
      </c>
      <c r="C810" s="610">
        <v>283.3</v>
      </c>
      <c r="D810" s="598">
        <v>300.27702684752023</v>
      </c>
      <c r="E810" s="598">
        <v>251.08921264607298</v>
      </c>
      <c r="F810" s="599">
        <v>496.19928410137658</v>
      </c>
      <c r="G810" s="600">
        <v>274.95670949505887</v>
      </c>
      <c r="H810" s="598">
        <v>276.85054106300936</v>
      </c>
      <c r="I810" s="598">
        <v>258.01417337602703</v>
      </c>
      <c r="J810" s="601"/>
    </row>
    <row r="811" spans="1:10">
      <c r="A811" s="587">
        <v>27</v>
      </c>
      <c r="B811" s="616">
        <v>1104</v>
      </c>
      <c r="C811" s="610">
        <v>290.00000000000006</v>
      </c>
      <c r="D811" s="598">
        <v>304.88643627138623</v>
      </c>
      <c r="E811" s="598">
        <v>260.87775385591817</v>
      </c>
      <c r="F811" s="599">
        <v>505.55323481230215</v>
      </c>
      <c r="G811" s="600">
        <v>277.91906134031564</v>
      </c>
      <c r="H811" s="598">
        <v>276.85054106300936</v>
      </c>
      <c r="I811" s="598">
        <v>258.01420408027508</v>
      </c>
      <c r="J811" s="601"/>
    </row>
    <row r="812" spans="1:10">
      <c r="A812" s="587">
        <v>27</v>
      </c>
      <c r="B812" s="616">
        <v>1132</v>
      </c>
      <c r="C812" s="610">
        <v>272.2</v>
      </c>
      <c r="D812" s="598">
        <v>305.06061088702074</v>
      </c>
      <c r="E812" s="598">
        <v>261.31411083492884</v>
      </c>
      <c r="F812" s="599">
        <v>506.01862235953109</v>
      </c>
      <c r="G812" s="600">
        <v>278.06460731233921</v>
      </c>
      <c r="H812" s="598">
        <v>276.85054106300936</v>
      </c>
      <c r="I812" s="598">
        <v>258.01420408533994</v>
      </c>
      <c r="J812" s="601"/>
    </row>
    <row r="813" spans="1:10">
      <c r="A813" s="587">
        <v>27</v>
      </c>
      <c r="B813" s="616">
        <v>1193</v>
      </c>
      <c r="C813" s="610">
        <v>291.10000000000002</v>
      </c>
      <c r="D813" s="598">
        <v>305.39496480476316</v>
      </c>
      <c r="E813" s="598">
        <v>262.17566461501474</v>
      </c>
      <c r="F813" s="599">
        <v>506.96033628325853</v>
      </c>
      <c r="G813" s="600">
        <v>278.35859106568688</v>
      </c>
      <c r="H813" s="598">
        <v>276.85054106300936</v>
      </c>
      <c r="I813" s="598">
        <v>258.01420408987485</v>
      </c>
      <c r="J813" s="601"/>
    </row>
    <row r="814" spans="1:10">
      <c r="A814" s="587">
        <v>27</v>
      </c>
      <c r="B814" s="616">
        <v>1258</v>
      </c>
      <c r="C814" s="610">
        <v>288.3</v>
      </c>
      <c r="D814" s="598">
        <v>305.69373672384131</v>
      </c>
      <c r="E814" s="598">
        <v>262.97639089856193</v>
      </c>
      <c r="F814" s="599">
        <v>507.86768422720502</v>
      </c>
      <c r="G814" s="600">
        <v>278.64117758693129</v>
      </c>
      <c r="H814" s="598">
        <v>276.85054106300936</v>
      </c>
      <c r="I814" s="598">
        <v>258.01420409115769</v>
      </c>
      <c r="J814" s="601"/>
    </row>
    <row r="815" spans="1:10">
      <c r="A815" s="587">
        <v>27</v>
      </c>
      <c r="B815" s="616">
        <v>1332</v>
      </c>
      <c r="C815" s="610">
        <v>272.79999999999995</v>
      </c>
      <c r="D815" s="598">
        <v>305.97553654509136</v>
      </c>
      <c r="E815" s="598">
        <v>263.7639491957807</v>
      </c>
      <c r="F815" s="599">
        <v>508.79732954621079</v>
      </c>
      <c r="G815" s="600">
        <v>278.93002905439982</v>
      </c>
      <c r="H815" s="598">
        <v>276.85054106300936</v>
      </c>
      <c r="I815" s="598">
        <v>258.01420409150012</v>
      </c>
      <c r="J815" s="601"/>
    </row>
    <row r="816" spans="1:10">
      <c r="A816" s="587">
        <v>27</v>
      </c>
      <c r="B816" s="616">
        <v>1391</v>
      </c>
      <c r="C816" s="610">
        <v>285.70000000000005</v>
      </c>
      <c r="D816" s="598">
        <v>306.16398129527369</v>
      </c>
      <c r="E816" s="598">
        <v>264.31169596992942</v>
      </c>
      <c r="F816" s="599">
        <v>509.47047908433996</v>
      </c>
      <c r="G816" s="600">
        <v>279.138755933835</v>
      </c>
      <c r="H816" s="598">
        <v>276.85054106300936</v>
      </c>
      <c r="I816" s="598">
        <v>258.01420409156441</v>
      </c>
      <c r="J816" s="601"/>
    </row>
    <row r="817" spans="1:10">
      <c r="A817" s="587">
        <v>27</v>
      </c>
      <c r="B817" s="616">
        <v>1490</v>
      </c>
      <c r="C817" s="610">
        <v>286.60000000000002</v>
      </c>
      <c r="D817" s="598">
        <v>306.42285835291892</v>
      </c>
      <c r="E817" s="598">
        <v>265.09817370218974</v>
      </c>
      <c r="F817" s="599">
        <v>510.48468510403114</v>
      </c>
      <c r="G817" s="600">
        <v>279.45255776796921</v>
      </c>
      <c r="H817" s="598">
        <v>276.85054106300936</v>
      </c>
      <c r="I817" s="598">
        <v>258.01420409158703</v>
      </c>
      <c r="J817" s="601"/>
    </row>
    <row r="818" spans="1:10">
      <c r="A818" s="587">
        <v>27</v>
      </c>
      <c r="B818" s="616">
        <v>1581</v>
      </c>
      <c r="C818" s="610">
        <v>288.89999999999998</v>
      </c>
      <c r="D818" s="598">
        <v>306.61091447758639</v>
      </c>
      <c r="E818" s="598">
        <v>265.70021723084619</v>
      </c>
      <c r="F818" s="599">
        <v>511.30884264401624</v>
      </c>
      <c r="G818" s="600">
        <v>279.70695814964762</v>
      </c>
      <c r="H818" s="598">
        <v>276.85054106300936</v>
      </c>
      <c r="I818" s="598">
        <v>258.01420409158976</v>
      </c>
      <c r="J818" s="601"/>
    </row>
    <row r="819" spans="1:10">
      <c r="A819" s="587">
        <v>27</v>
      </c>
      <c r="B819" s="616">
        <v>1673</v>
      </c>
      <c r="C819" s="610">
        <v>294.39999999999998</v>
      </c>
      <c r="D819" s="598">
        <v>306.76370829324924</v>
      </c>
      <c r="E819" s="598">
        <v>266.2136989286571</v>
      </c>
      <c r="F819" s="599">
        <v>512.05395602689975</v>
      </c>
      <c r="G819" s="600">
        <v>279.93649769108976</v>
      </c>
      <c r="H819" s="598">
        <v>276.85054106300936</v>
      </c>
      <c r="I819" s="598">
        <v>258.01420409159016</v>
      </c>
      <c r="J819" s="601"/>
    </row>
    <row r="820" spans="1:10">
      <c r="A820" s="587">
        <v>27</v>
      </c>
      <c r="B820" s="616">
        <v>1765</v>
      </c>
      <c r="C820" s="610">
        <v>291.10000000000002</v>
      </c>
      <c r="D820" s="598">
        <v>306.88719330984384</v>
      </c>
      <c r="E820" s="598">
        <v>266.64877554086621</v>
      </c>
      <c r="F820" s="599">
        <v>512.72385385921177</v>
      </c>
      <c r="G820" s="600">
        <v>280.14249282054351</v>
      </c>
      <c r="H820" s="598">
        <v>276.85054106300936</v>
      </c>
      <c r="I820" s="598">
        <v>258.01420409159016</v>
      </c>
      <c r="J820" s="601"/>
    </row>
    <row r="821" spans="1:10">
      <c r="A821" s="587">
        <v>27</v>
      </c>
      <c r="B821" s="616">
        <v>1896</v>
      </c>
      <c r="C821" s="610">
        <v>290.00000000000006</v>
      </c>
      <c r="D821" s="598">
        <v>307.02444463969488</v>
      </c>
      <c r="E821" s="598">
        <v>267.15953385696048</v>
      </c>
      <c r="F821" s="599">
        <v>513.56885921155026</v>
      </c>
      <c r="G821" s="600">
        <v>280.40183038121722</v>
      </c>
      <c r="H821" s="598">
        <v>276.85054106300936</v>
      </c>
      <c r="I821" s="598">
        <v>258.01420409159022</v>
      </c>
      <c r="J821" s="601"/>
    </row>
    <row r="822" spans="1:10">
      <c r="A822" s="587">
        <v>27</v>
      </c>
      <c r="B822" s="616">
        <v>1987</v>
      </c>
      <c r="C822" s="610">
        <v>290.00000000000006</v>
      </c>
      <c r="D822" s="598">
        <v>307.09927129626533</v>
      </c>
      <c r="E822" s="598">
        <v>267.45346726353739</v>
      </c>
      <c r="F822" s="599">
        <v>514.09212153585531</v>
      </c>
      <c r="G822" s="600">
        <v>280.5621417589382</v>
      </c>
      <c r="H822" s="598">
        <v>276.85054106300936</v>
      </c>
      <c r="I822" s="598">
        <v>258.01420409159022</v>
      </c>
      <c r="J822" s="601"/>
    </row>
    <row r="823" spans="1:10">
      <c r="A823" s="587">
        <v>27</v>
      </c>
      <c r="B823" s="616">
        <v>2090</v>
      </c>
      <c r="C823" s="610">
        <v>294.39999999999998</v>
      </c>
      <c r="D823" s="598">
        <v>307.16838617855831</v>
      </c>
      <c r="E823" s="598">
        <v>267.7374797495541</v>
      </c>
      <c r="F823" s="599">
        <v>514.63089194935333</v>
      </c>
      <c r="G823" s="600">
        <v>280.72697994615999</v>
      </c>
      <c r="H823" s="598">
        <v>276.85054106300936</v>
      </c>
      <c r="I823" s="598">
        <v>258.01420409159022</v>
      </c>
      <c r="J823" s="601"/>
    </row>
    <row r="824" spans="1:10">
      <c r="A824" s="587">
        <v>27</v>
      </c>
      <c r="B824" s="616">
        <v>2188</v>
      </c>
      <c r="C824" s="610">
        <v>300</v>
      </c>
      <c r="D824" s="598">
        <v>307.22192061278338</v>
      </c>
      <c r="E824" s="598">
        <v>267.96776189110506</v>
      </c>
      <c r="F824" s="599">
        <v>515.09763196513632</v>
      </c>
      <c r="G824" s="600">
        <v>280.86959642289514</v>
      </c>
      <c r="H824" s="598">
        <v>276.85054106300936</v>
      </c>
      <c r="I824" s="598">
        <v>258.01420409159022</v>
      </c>
      <c r="J824" s="601"/>
    </row>
    <row r="825" spans="1:10">
      <c r="A825" s="587">
        <v>27</v>
      </c>
      <c r="B825" s="616">
        <v>2294</v>
      </c>
      <c r="C825" s="610">
        <v>293.29999999999995</v>
      </c>
      <c r="D825" s="598">
        <v>307.26919541802681</v>
      </c>
      <c r="E825" s="598">
        <v>268.18048821512485</v>
      </c>
      <c r="F825" s="599">
        <v>515.55868545726173</v>
      </c>
      <c r="G825" s="600">
        <v>281.01030797209847</v>
      </c>
      <c r="H825" s="598">
        <v>276.85054106300936</v>
      </c>
      <c r="I825" s="598">
        <v>258.01420409159022</v>
      </c>
      <c r="J825" s="601"/>
    </row>
    <row r="826" spans="1:10">
      <c r="A826" s="587">
        <v>27</v>
      </c>
      <c r="B826" s="616">
        <v>2457</v>
      </c>
      <c r="C826" s="610">
        <v>303.3</v>
      </c>
      <c r="D826" s="598">
        <v>307.325385760183</v>
      </c>
      <c r="E826" s="598">
        <v>268.4481411589548</v>
      </c>
      <c r="F826" s="599">
        <v>516.19183305211209</v>
      </c>
      <c r="G826" s="600">
        <v>281.20327117992883</v>
      </c>
      <c r="H826" s="598">
        <v>276.85054106300936</v>
      </c>
      <c r="I826" s="598">
        <v>258.01420409159022</v>
      </c>
      <c r="J826" s="601"/>
    </row>
    <row r="827" spans="1:10">
      <c r="A827" s="587">
        <v>27</v>
      </c>
      <c r="B827" s="616">
        <v>2567</v>
      </c>
      <c r="C827" s="610">
        <v>293.29999999999995</v>
      </c>
      <c r="D827" s="598">
        <v>307.35467581619656</v>
      </c>
      <c r="E827" s="598">
        <v>268.59597690188104</v>
      </c>
      <c r="F827" s="599">
        <v>516.57467436581055</v>
      </c>
      <c r="G827" s="600">
        <v>281.31979718932723</v>
      </c>
      <c r="H827" s="598">
        <v>276.85054106300936</v>
      </c>
      <c r="I827" s="598">
        <v>258.01420409159022</v>
      </c>
      <c r="J827" s="601"/>
    </row>
    <row r="828" spans="1:10">
      <c r="A828" s="587">
        <v>27</v>
      </c>
      <c r="B828" s="616">
        <v>2721</v>
      </c>
      <c r="C828" s="610">
        <v>293.29999999999995</v>
      </c>
      <c r="D828" s="598">
        <v>307.38698473985966</v>
      </c>
      <c r="E828" s="598">
        <v>268.7679098822523</v>
      </c>
      <c r="F828" s="599">
        <v>517.05973657885988</v>
      </c>
      <c r="G828" s="600">
        <v>281.46727220415278</v>
      </c>
      <c r="H828" s="598">
        <v>276.85054106300936</v>
      </c>
      <c r="I828" s="598">
        <v>258.01420409159022</v>
      </c>
      <c r="J828" s="601"/>
    </row>
    <row r="829" spans="1:10">
      <c r="A829" s="587">
        <v>27</v>
      </c>
      <c r="B829" s="616">
        <v>2836</v>
      </c>
      <c r="C829" s="610">
        <v>292.2</v>
      </c>
      <c r="D829" s="598">
        <v>307.40597289645018</v>
      </c>
      <c r="E829" s="598">
        <v>268.87453449370435</v>
      </c>
      <c r="F829" s="599">
        <v>517.38829063625451</v>
      </c>
      <c r="G829" s="600">
        <v>281.56705942293854</v>
      </c>
      <c r="H829" s="598">
        <v>276.85054106300936</v>
      </c>
      <c r="I829" s="598">
        <v>258.01420409159022</v>
      </c>
      <c r="J829" s="601"/>
    </row>
    <row r="830" spans="1:10">
      <c r="A830" s="587">
        <v>27</v>
      </c>
      <c r="B830" s="616">
        <v>2940</v>
      </c>
      <c r="C830" s="610">
        <v>292.2</v>
      </c>
      <c r="D830" s="598">
        <v>307.42018220824235</v>
      </c>
      <c r="E830" s="598">
        <v>268.95778019181097</v>
      </c>
      <c r="F830" s="599">
        <v>517.66371390319694</v>
      </c>
      <c r="G830" s="600">
        <v>281.65064521631791</v>
      </c>
      <c r="H830" s="598">
        <v>276.85054106300936</v>
      </c>
      <c r="I830" s="598">
        <v>258.01420409159022</v>
      </c>
      <c r="J830" s="601"/>
    </row>
    <row r="831" spans="1:10">
      <c r="A831" s="587">
        <v>27</v>
      </c>
      <c r="B831" s="616">
        <v>3022</v>
      </c>
      <c r="C831" s="610">
        <v>292.2</v>
      </c>
      <c r="D831" s="598">
        <v>307.42974829198391</v>
      </c>
      <c r="E831" s="598">
        <v>269.01584575503381</v>
      </c>
      <c r="F831" s="599">
        <v>517.86776089481521</v>
      </c>
      <c r="G831" s="600">
        <v>281.71253159878688</v>
      </c>
      <c r="H831" s="598">
        <v>276.85054106300936</v>
      </c>
      <c r="I831" s="598">
        <v>258.01420409159022</v>
      </c>
      <c r="J831" s="601"/>
    </row>
    <row r="832" spans="1:10">
      <c r="A832" s="587">
        <v>27</v>
      </c>
      <c r="B832" s="616">
        <v>3185</v>
      </c>
      <c r="C832" s="610">
        <v>292</v>
      </c>
      <c r="D832" s="598">
        <v>307.44530360188742</v>
      </c>
      <c r="E832" s="598">
        <v>269.11457395023052</v>
      </c>
      <c r="F832" s="599">
        <v>518.24272555199434</v>
      </c>
      <c r="G832" s="600">
        <v>281.82617202918578</v>
      </c>
      <c r="H832" s="598">
        <v>276.85054106300936</v>
      </c>
      <c r="I832" s="598">
        <v>258.01420409159022</v>
      </c>
      <c r="J832" s="601"/>
    </row>
    <row r="833" spans="1:10">
      <c r="A833" s="587">
        <v>27</v>
      </c>
      <c r="B833" s="616">
        <v>3271</v>
      </c>
      <c r="C833" s="610">
        <v>292.2</v>
      </c>
      <c r="D833" s="598">
        <v>307.45199247486045</v>
      </c>
      <c r="E833" s="598">
        <v>269.15903771699567</v>
      </c>
      <c r="F833" s="599">
        <v>518.42576298632025</v>
      </c>
      <c r="G833" s="600">
        <v>281.88160545828367</v>
      </c>
      <c r="H833" s="598">
        <v>276.85054106300936</v>
      </c>
      <c r="I833" s="598">
        <v>258.01420409159022</v>
      </c>
      <c r="J833" s="601"/>
    </row>
    <row r="834" spans="1:10">
      <c r="A834" s="619">
        <v>28</v>
      </c>
      <c r="B834" s="620">
        <v>7</v>
      </c>
      <c r="C834" s="621">
        <v>50</v>
      </c>
      <c r="D834" s="622"/>
      <c r="E834" s="622"/>
      <c r="F834" s="623"/>
      <c r="G834" s="624"/>
      <c r="H834" s="622"/>
      <c r="I834" s="622"/>
      <c r="J834" s="625"/>
    </row>
    <row r="835" spans="1:10">
      <c r="A835" s="585">
        <v>28</v>
      </c>
      <c r="B835" s="614">
        <v>13</v>
      </c>
      <c r="C835" s="608">
        <v>73.3</v>
      </c>
      <c r="D835" s="590">
        <v>61.208236173762828</v>
      </c>
      <c r="E835" s="590">
        <v>36.786300037620066</v>
      </c>
      <c r="F835" s="591">
        <v>133.07636578058811</v>
      </c>
      <c r="G835" s="592">
        <v>86.017598072314868</v>
      </c>
      <c r="H835" s="590">
        <v>55.535265235619597</v>
      </c>
      <c r="I835" s="590">
        <v>95.067509774812763</v>
      </c>
      <c r="J835" s="593"/>
    </row>
    <row r="836" spans="1:10">
      <c r="A836" s="585">
        <v>28</v>
      </c>
      <c r="B836" s="614">
        <v>18</v>
      </c>
      <c r="C836" s="608">
        <v>100</v>
      </c>
      <c r="D836" s="590">
        <v>81.968976108482835</v>
      </c>
      <c r="E836" s="590">
        <v>49.495613020491021</v>
      </c>
      <c r="F836" s="591">
        <v>175.55343826373721</v>
      </c>
      <c r="G836" s="592">
        <v>111.43743713057616</v>
      </c>
      <c r="H836" s="590">
        <v>100.62304630543412</v>
      </c>
      <c r="I836" s="590">
        <v>126.72697901458781</v>
      </c>
      <c r="J836" s="593"/>
    </row>
    <row r="837" spans="1:10">
      <c r="A837" s="585">
        <v>28</v>
      </c>
      <c r="B837" s="614">
        <v>27</v>
      </c>
      <c r="C837" s="608">
        <v>83.300000000000011</v>
      </c>
      <c r="D837" s="590">
        <v>108.4039154640904</v>
      </c>
      <c r="E837" s="590">
        <v>65.995386997261804</v>
      </c>
      <c r="F837" s="591">
        <v>226.59059406958158</v>
      </c>
      <c r="G837" s="592">
        <v>139.98966541182165</v>
      </c>
      <c r="H837" s="590">
        <v>163.02908410774629</v>
      </c>
      <c r="I837" s="590">
        <v>162.64879609419077</v>
      </c>
      <c r="J837" s="593"/>
    </row>
    <row r="838" spans="1:10">
      <c r="A838" s="585">
        <v>28</v>
      </c>
      <c r="B838" s="614">
        <v>36</v>
      </c>
      <c r="C838" s="608">
        <v>116.7</v>
      </c>
      <c r="D838" s="590">
        <v>128.09466851451751</v>
      </c>
      <c r="E838" s="590">
        <v>78.596215369524785</v>
      </c>
      <c r="F838" s="591">
        <v>262.10007704165474</v>
      </c>
      <c r="G838" s="592">
        <v>158.43323543154003</v>
      </c>
      <c r="H838" s="590">
        <v>204.5027665278358</v>
      </c>
      <c r="I838" s="590">
        <v>185.14523016952222</v>
      </c>
      <c r="J838" s="593"/>
    </row>
    <row r="839" spans="1:10">
      <c r="A839" s="585">
        <v>28</v>
      </c>
      <c r="B839" s="614">
        <v>48</v>
      </c>
      <c r="C839" s="608">
        <v>160</v>
      </c>
      <c r="D839" s="590">
        <v>148.636532696226</v>
      </c>
      <c r="E839" s="590">
        <v>92.111595903263733</v>
      </c>
      <c r="F839" s="591">
        <v>296.7368463948269</v>
      </c>
      <c r="G839" s="592">
        <v>175.2459087148064</v>
      </c>
      <c r="H839" s="590">
        <v>237.76052504221232</v>
      </c>
      <c r="I839" s="590">
        <v>204.09707174135855</v>
      </c>
      <c r="J839" s="593"/>
    </row>
    <row r="840" spans="1:10">
      <c r="A840" s="585">
        <v>28</v>
      </c>
      <c r="B840" s="614">
        <v>69</v>
      </c>
      <c r="C840" s="608">
        <v>170.00000000000003</v>
      </c>
      <c r="D840" s="590">
        <v>175.48164316574142</v>
      </c>
      <c r="E840" s="590">
        <v>110.51698220369371</v>
      </c>
      <c r="F840" s="591">
        <v>338.30339861249746</v>
      </c>
      <c r="G840" s="592">
        <v>193.87504575878324</v>
      </c>
      <c r="H840" s="590">
        <v>263.71697209361997</v>
      </c>
      <c r="I840" s="590">
        <v>221.58835052694511</v>
      </c>
      <c r="J840" s="593"/>
    </row>
    <row r="841" spans="1:10">
      <c r="A841" s="585">
        <v>28</v>
      </c>
      <c r="B841" s="614">
        <v>76</v>
      </c>
      <c r="C841" s="608">
        <v>170.00000000000003</v>
      </c>
      <c r="D841" s="590">
        <v>182.71981956662532</v>
      </c>
      <c r="E841" s="590">
        <v>115.65821470372239</v>
      </c>
      <c r="F841" s="591">
        <v>348.81767799910796</v>
      </c>
      <c r="G841" s="592">
        <v>198.32257194802139</v>
      </c>
      <c r="H841" s="590">
        <v>267.73575941599353</v>
      </c>
      <c r="I841" s="590">
        <v>224.94177404590548</v>
      </c>
      <c r="J841" s="593"/>
    </row>
    <row r="842" spans="1:10">
      <c r="A842" s="585">
        <v>28</v>
      </c>
      <c r="B842" s="614">
        <v>84</v>
      </c>
      <c r="C842" s="608">
        <v>170.00000000000003</v>
      </c>
      <c r="D842" s="590">
        <v>190.21755472878863</v>
      </c>
      <c r="E842" s="590">
        <v>121.07851666249651</v>
      </c>
      <c r="F842" s="591">
        <v>359.41278669238392</v>
      </c>
      <c r="G842" s="592">
        <v>202.69783633043795</v>
      </c>
      <c r="H842" s="590">
        <v>270.84954621655089</v>
      </c>
      <c r="I842" s="590">
        <v>227.85242901082563</v>
      </c>
      <c r="J842" s="593"/>
    </row>
    <row r="843" spans="1:10">
      <c r="A843" s="585">
        <v>28</v>
      </c>
      <c r="B843" s="614">
        <v>97</v>
      </c>
      <c r="C843" s="608">
        <v>173.3</v>
      </c>
      <c r="D843" s="590">
        <v>200.94629004589032</v>
      </c>
      <c r="E843" s="590">
        <v>129.02189606930202</v>
      </c>
      <c r="F843" s="591">
        <v>374.07026589267059</v>
      </c>
      <c r="G843" s="592">
        <v>208.57659831458122</v>
      </c>
      <c r="H843" s="590">
        <v>273.81010602820118</v>
      </c>
      <c r="I843" s="590">
        <v>231.10010081535455</v>
      </c>
      <c r="J843" s="593"/>
    </row>
    <row r="844" spans="1:10">
      <c r="A844" s="586">
        <v>28</v>
      </c>
      <c r="B844" s="615">
        <v>104</v>
      </c>
      <c r="C844" s="609">
        <v>173.3</v>
      </c>
      <c r="D844" s="594">
        <v>206.09775333605336</v>
      </c>
      <c r="E844" s="594">
        <v>132.92300598611649</v>
      </c>
      <c r="F844" s="595">
        <v>380.90685999677476</v>
      </c>
      <c r="G844" s="596">
        <v>211.2503282544902</v>
      </c>
      <c r="H844" s="594">
        <v>274.74270229810429</v>
      </c>
      <c r="I844" s="594">
        <v>232.31187770192909</v>
      </c>
      <c r="J844" s="597"/>
    </row>
    <row r="845" spans="1:10">
      <c r="A845" s="586">
        <v>28</v>
      </c>
      <c r="B845" s="615">
        <v>111</v>
      </c>
      <c r="C845" s="609">
        <v>183.29999999999998</v>
      </c>
      <c r="D845" s="594">
        <v>210.87523087639215</v>
      </c>
      <c r="E845" s="594">
        <v>136.59648566324151</v>
      </c>
      <c r="F845" s="595">
        <v>387.13585232884833</v>
      </c>
      <c r="G845" s="596">
        <v>213.64906012734315</v>
      </c>
      <c r="H845" s="594">
        <v>275.38938273995251</v>
      </c>
      <c r="I845" s="594">
        <v>233.25496633479622</v>
      </c>
      <c r="J845" s="597"/>
    </row>
    <row r="846" spans="1:10">
      <c r="A846" s="586">
        <v>28</v>
      </c>
      <c r="B846" s="615">
        <v>118</v>
      </c>
      <c r="C846" s="609">
        <v>203.29999999999998</v>
      </c>
      <c r="D846" s="594">
        <v>215.31875203417317</v>
      </c>
      <c r="E846" s="594">
        <v>140.06468513817961</v>
      </c>
      <c r="F846" s="595">
        <v>392.83696417636656</v>
      </c>
      <c r="G846" s="596">
        <v>215.81354130835484</v>
      </c>
      <c r="H846" s="594">
        <v>275.83773034534426</v>
      </c>
      <c r="I846" s="594">
        <v>233.98956857484009</v>
      </c>
      <c r="J846" s="597"/>
    </row>
    <row r="847" spans="1:10">
      <c r="A847" s="586">
        <v>28</v>
      </c>
      <c r="B847" s="615">
        <v>125</v>
      </c>
      <c r="C847" s="609">
        <v>203.29999999999998</v>
      </c>
      <c r="D847" s="594">
        <v>219.4623409376787</v>
      </c>
      <c r="E847" s="594">
        <v>143.34663675632621</v>
      </c>
      <c r="F847" s="595">
        <v>398.07619076395946</v>
      </c>
      <c r="G847" s="596">
        <v>217.77677534375056</v>
      </c>
      <c r="H847" s="594">
        <v>276.14853749082704</v>
      </c>
      <c r="I847" s="594">
        <v>234.56214980930457</v>
      </c>
      <c r="J847" s="597"/>
    </row>
    <row r="848" spans="1:10">
      <c r="A848" s="586">
        <v>28</v>
      </c>
      <c r="B848" s="615">
        <v>132</v>
      </c>
      <c r="C848" s="609">
        <v>193.3</v>
      </c>
      <c r="D848" s="594">
        <v>223.33519653996163</v>
      </c>
      <c r="E848" s="594">
        <v>146.45871573331348</v>
      </c>
      <c r="F848" s="595">
        <v>402.90870597760488</v>
      </c>
      <c r="G848" s="596">
        <v>219.56579390073011</v>
      </c>
      <c r="H848" s="594">
        <v>276.36398092496677</v>
      </c>
      <c r="I848" s="594">
        <v>235.00867135003656</v>
      </c>
      <c r="J848" s="597"/>
    </row>
    <row r="849" spans="1:10">
      <c r="A849" s="586">
        <v>28</v>
      </c>
      <c r="B849" s="615">
        <v>139</v>
      </c>
      <c r="C849" s="609">
        <v>193.3</v>
      </c>
      <c r="D849" s="594">
        <v>226.96258762548413</v>
      </c>
      <c r="E849" s="594">
        <v>149.41513884662359</v>
      </c>
      <c r="F849" s="595">
        <v>407.38104290573011</v>
      </c>
      <c r="G849" s="596">
        <v>221.20295951616936</v>
      </c>
      <c r="H849" s="594">
        <v>276.51331265431088</v>
      </c>
      <c r="I849" s="594">
        <v>235.35702354132718</v>
      </c>
      <c r="J849" s="597"/>
    </row>
    <row r="850" spans="1:10">
      <c r="A850" s="586">
        <v>28</v>
      </c>
      <c r="B850" s="615">
        <v>146</v>
      </c>
      <c r="C850" s="609">
        <v>196.70000000000002</v>
      </c>
      <c r="D850" s="594">
        <v>230.36654337180119</v>
      </c>
      <c r="E850" s="594">
        <v>152.22834751817794</v>
      </c>
      <c r="F850" s="595">
        <v>411.53275660722051</v>
      </c>
      <c r="G850" s="596">
        <v>222.70693906438538</v>
      </c>
      <c r="H850" s="594">
        <v>276.61681607455284</v>
      </c>
      <c r="I850" s="594">
        <v>235.62887226424493</v>
      </c>
      <c r="J850" s="597"/>
    </row>
    <row r="851" spans="1:10">
      <c r="A851" s="586">
        <v>28</v>
      </c>
      <c r="B851" s="615">
        <v>153</v>
      </c>
      <c r="C851" s="609">
        <v>193.3</v>
      </c>
      <c r="D851" s="594">
        <v>233.56639429705112</v>
      </c>
      <c r="E851" s="594">
        <v>154.90930664795599</v>
      </c>
      <c r="F851" s="595">
        <v>415.39770975514261</v>
      </c>
      <c r="G851" s="596">
        <v>224.09344179120194</v>
      </c>
      <c r="H851" s="594">
        <v>276.68855354716948</v>
      </c>
      <c r="I851" s="594">
        <v>235.84106921831156</v>
      </c>
      <c r="J851" s="597"/>
    </row>
    <row r="852" spans="1:10">
      <c r="A852" s="586">
        <v>28</v>
      </c>
      <c r="B852" s="615">
        <v>160</v>
      </c>
      <c r="C852" s="609">
        <v>206.70000000000002</v>
      </c>
      <c r="D852" s="594">
        <v>236.57920174494151</v>
      </c>
      <c r="E852" s="594">
        <v>157.46774094394863</v>
      </c>
      <c r="F852" s="595">
        <v>419.00507905662738</v>
      </c>
      <c r="G852" s="596">
        <v>225.37578619160934</v>
      </c>
      <c r="H852" s="594">
        <v>276.73827338001848</v>
      </c>
      <c r="I852" s="594">
        <v>236.006734395731</v>
      </c>
      <c r="J852" s="597"/>
    </row>
    <row r="853" spans="1:10">
      <c r="A853" s="586">
        <v>28</v>
      </c>
      <c r="B853" s="615">
        <v>167</v>
      </c>
      <c r="C853" s="609">
        <v>196.70000000000002</v>
      </c>
      <c r="D853" s="594">
        <v>239.42010299542719</v>
      </c>
      <c r="E853" s="594">
        <v>159.91232413368255</v>
      </c>
      <c r="F853" s="595">
        <v>422.38015189007058</v>
      </c>
      <c r="G853" s="596">
        <v>226.56534058582167</v>
      </c>
      <c r="H853" s="594">
        <v>276.7727327914962</v>
      </c>
      <c r="I853" s="594">
        <v>236.13609016709623</v>
      </c>
      <c r="J853" s="597"/>
    </row>
    <row r="854" spans="1:10">
      <c r="A854" s="586">
        <v>28</v>
      </c>
      <c r="B854" s="615">
        <v>174</v>
      </c>
      <c r="C854" s="609">
        <v>196.70000000000002</v>
      </c>
      <c r="D854" s="594">
        <v>242.10259158530724</v>
      </c>
      <c r="E854" s="594">
        <v>162.25083214092274</v>
      </c>
      <c r="F854" s="595">
        <v>425.54496324937185</v>
      </c>
      <c r="G854" s="596">
        <v>227.67186922497174</v>
      </c>
      <c r="H854" s="594">
        <v>276.79661543060922</v>
      </c>
      <c r="I854" s="594">
        <v>236.23710591884628</v>
      </c>
      <c r="J854" s="597"/>
    </row>
    <row r="855" spans="1:10">
      <c r="A855" s="586">
        <v>28</v>
      </c>
      <c r="B855" s="615">
        <v>181</v>
      </c>
      <c r="C855" s="609">
        <v>190</v>
      </c>
      <c r="D855" s="594">
        <v>244.63874723043799</v>
      </c>
      <c r="E855" s="594">
        <v>164.49026834317471</v>
      </c>
      <c r="F855" s="595">
        <v>428.51880967563937</v>
      </c>
      <c r="G855" s="596">
        <v>228.70380686121254</v>
      </c>
      <c r="H855" s="594">
        <v>276.81316757200295</v>
      </c>
      <c r="I855" s="594">
        <v>236.31599744813292</v>
      </c>
      <c r="J855" s="597"/>
    </row>
    <row r="856" spans="1:10">
      <c r="A856" s="586">
        <v>28</v>
      </c>
      <c r="B856" s="615">
        <v>242</v>
      </c>
      <c r="C856" s="609">
        <v>200</v>
      </c>
      <c r="D856" s="594">
        <v>261.92181336108627</v>
      </c>
      <c r="E856" s="594">
        <v>180.62403066940217</v>
      </c>
      <c r="F856" s="595">
        <v>448.43570461455948</v>
      </c>
      <c r="G856" s="596">
        <v>235.42270266941003</v>
      </c>
      <c r="H856" s="594">
        <v>276.84901012178858</v>
      </c>
      <c r="I856" s="594">
        <v>236.56480482289041</v>
      </c>
      <c r="J856" s="597"/>
    </row>
    <row r="857" spans="1:10">
      <c r="A857" s="586">
        <v>28</v>
      </c>
      <c r="B857" s="615">
        <v>303</v>
      </c>
      <c r="C857" s="609">
        <v>206.70000000000002</v>
      </c>
      <c r="D857" s="594">
        <v>273.36044898441537</v>
      </c>
      <c r="E857" s="594">
        <v>192.39695620335721</v>
      </c>
      <c r="F857" s="595">
        <v>461.52399335997887</v>
      </c>
      <c r="G857" s="596">
        <v>239.65977935868366</v>
      </c>
      <c r="H857" s="594">
        <v>276.85047835133452</v>
      </c>
      <c r="I857" s="594">
        <v>236.59373012942078</v>
      </c>
      <c r="J857" s="597"/>
    </row>
    <row r="858" spans="1:10">
      <c r="A858" s="586">
        <v>28</v>
      </c>
      <c r="B858" s="615">
        <v>362</v>
      </c>
      <c r="C858" s="609">
        <v>213.3</v>
      </c>
      <c r="D858" s="594">
        <v>281.08249495871087</v>
      </c>
      <c r="E858" s="594">
        <v>201.05687692274893</v>
      </c>
      <c r="F858" s="595">
        <v>470.53144422088718</v>
      </c>
      <c r="G858" s="596">
        <v>242.49588110907675</v>
      </c>
      <c r="H858" s="594">
        <v>276.85053821045784</v>
      </c>
      <c r="I858" s="594">
        <v>236.59706192849598</v>
      </c>
      <c r="J858" s="597"/>
    </row>
    <row r="859" spans="1:10">
      <c r="A859" s="586">
        <v>28</v>
      </c>
      <c r="B859" s="615">
        <v>423</v>
      </c>
      <c r="C859" s="609">
        <v>223.3</v>
      </c>
      <c r="D859" s="594">
        <v>286.85089222433828</v>
      </c>
      <c r="E859" s="594">
        <v>208.04638883193314</v>
      </c>
      <c r="F859" s="595">
        <v>477.50512833428837</v>
      </c>
      <c r="G859" s="596">
        <v>244.64777303118606</v>
      </c>
      <c r="H859" s="594">
        <v>276.85054094616083</v>
      </c>
      <c r="I859" s="594">
        <v>236.59748181556148</v>
      </c>
      <c r="J859" s="597"/>
    </row>
    <row r="860" spans="1:10">
      <c r="A860" s="586">
        <v>28</v>
      </c>
      <c r="B860" s="615">
        <v>484</v>
      </c>
      <c r="C860" s="609">
        <v>193.3</v>
      </c>
      <c r="D860" s="594">
        <v>291.10662538523098</v>
      </c>
      <c r="E860" s="594">
        <v>213.58861161790622</v>
      </c>
      <c r="F860" s="595">
        <v>482.90124904598292</v>
      </c>
      <c r="G860" s="596">
        <v>246.28699557207142</v>
      </c>
      <c r="H860" s="594">
        <v>276.85054105822292</v>
      </c>
      <c r="I860" s="594">
        <v>236.59753065326782</v>
      </c>
      <c r="J860" s="597"/>
    </row>
    <row r="861" spans="1:10">
      <c r="A861" s="587">
        <v>28</v>
      </c>
      <c r="B861" s="616">
        <v>546</v>
      </c>
      <c r="C861" s="610">
        <v>223.3</v>
      </c>
      <c r="D861" s="598">
        <v>294.36081927331679</v>
      </c>
      <c r="E861" s="598">
        <v>218.12025554697499</v>
      </c>
      <c r="F861" s="599">
        <v>487.26470819342308</v>
      </c>
      <c r="G861" s="600">
        <v>247.59620555826203</v>
      </c>
      <c r="H861" s="598">
        <v>276.85054106282331</v>
      </c>
      <c r="I861" s="598">
        <v>236.59753635957054</v>
      </c>
      <c r="J861" s="601"/>
    </row>
    <row r="862" spans="1:10">
      <c r="A862" s="587">
        <v>28</v>
      </c>
      <c r="B862" s="616">
        <v>607</v>
      </c>
      <c r="C862" s="610">
        <v>206.70000000000002</v>
      </c>
      <c r="D862" s="598">
        <v>296.81305491533845</v>
      </c>
      <c r="E862" s="598">
        <v>221.75495940133163</v>
      </c>
      <c r="F862" s="599">
        <v>490.76138821164074</v>
      </c>
      <c r="G862" s="600">
        <v>248.63491988596004</v>
      </c>
      <c r="H862" s="598">
        <v>276.85054106300174</v>
      </c>
      <c r="I862" s="598">
        <v>236.59753699736947</v>
      </c>
      <c r="J862" s="601"/>
    </row>
    <row r="863" spans="1:10">
      <c r="A863" s="587">
        <v>28</v>
      </c>
      <c r="B863" s="616">
        <v>668</v>
      </c>
      <c r="C863" s="610">
        <v>190</v>
      </c>
      <c r="D863" s="598">
        <v>298.72425278298761</v>
      </c>
      <c r="E863" s="598">
        <v>224.75657475156751</v>
      </c>
      <c r="F863" s="599">
        <v>493.66909461179296</v>
      </c>
      <c r="G863" s="600">
        <v>249.49166536765838</v>
      </c>
      <c r="H863" s="598">
        <v>276.85054106300908</v>
      </c>
      <c r="I863" s="598">
        <v>236.59753707155289</v>
      </c>
      <c r="J863" s="601"/>
    </row>
    <row r="864" spans="1:10">
      <c r="A864" s="587">
        <v>28</v>
      </c>
      <c r="B864" s="616">
        <v>728</v>
      </c>
      <c r="C864" s="610">
        <v>200</v>
      </c>
      <c r="D864" s="598">
        <v>300.21109452882456</v>
      </c>
      <c r="E864" s="598">
        <v>227.22162484926224</v>
      </c>
      <c r="F864" s="599">
        <v>496.08801218886481</v>
      </c>
      <c r="G864" s="600">
        <v>250.19957217546656</v>
      </c>
      <c r="H864" s="598">
        <v>276.85054106300936</v>
      </c>
      <c r="I864" s="598">
        <v>236.59753708014051</v>
      </c>
      <c r="J864" s="601"/>
    </row>
    <row r="865" spans="1:10">
      <c r="A865" s="587">
        <v>28</v>
      </c>
      <c r="B865" s="616">
        <v>1116</v>
      </c>
      <c r="C865" s="610">
        <v>213.3</v>
      </c>
      <c r="D865" s="598">
        <v>304.96281850543954</v>
      </c>
      <c r="E865" s="598">
        <v>236.36886653882337</v>
      </c>
      <c r="F865" s="599">
        <v>505.75540636085498</v>
      </c>
      <c r="G865" s="600">
        <v>252.98556377660742</v>
      </c>
      <c r="H865" s="598">
        <v>276.85054106300936</v>
      </c>
      <c r="I865" s="598">
        <v>236.59753708131697</v>
      </c>
      <c r="J865" s="601"/>
    </row>
    <row r="866" spans="1:10">
      <c r="A866" s="587">
        <v>28</v>
      </c>
      <c r="B866" s="616">
        <v>1144</v>
      </c>
      <c r="C866" s="610">
        <v>200</v>
      </c>
      <c r="D866" s="598">
        <v>305.13105156863867</v>
      </c>
      <c r="E866" s="598">
        <v>236.75343983413876</v>
      </c>
      <c r="F866" s="599">
        <v>506.21143333797863</v>
      </c>
      <c r="G866" s="600">
        <v>253.11529224284936</v>
      </c>
      <c r="H866" s="598">
        <v>276.85054106300936</v>
      </c>
      <c r="I866" s="598">
        <v>236.59753708131697</v>
      </c>
      <c r="J866" s="601"/>
    </row>
    <row r="867" spans="1:10">
      <c r="A867" s="587">
        <v>28</v>
      </c>
      <c r="B867" s="616">
        <v>1205</v>
      </c>
      <c r="C867" s="610">
        <v>208.9</v>
      </c>
      <c r="D867" s="598">
        <v>305.45423740352447</v>
      </c>
      <c r="E867" s="598">
        <v>237.51317731910189</v>
      </c>
      <c r="F867" s="599">
        <v>507.13487901141042</v>
      </c>
      <c r="G867" s="600">
        <v>253.3775270291037</v>
      </c>
      <c r="H867" s="598">
        <v>276.85054106300936</v>
      </c>
      <c r="I867" s="598">
        <v>236.59753708131697</v>
      </c>
      <c r="J867" s="601"/>
    </row>
    <row r="868" spans="1:10">
      <c r="A868" s="587">
        <v>28</v>
      </c>
      <c r="B868" s="616">
        <v>1270</v>
      </c>
      <c r="C868" s="610">
        <v>206.70000000000002</v>
      </c>
      <c r="D868" s="598">
        <v>305.74331504596734</v>
      </c>
      <c r="E868" s="598">
        <v>238.21980802581967</v>
      </c>
      <c r="F868" s="599">
        <v>508.02547824062782</v>
      </c>
      <c r="G868" s="600">
        <v>253.62984832608399</v>
      </c>
      <c r="H868" s="598">
        <v>276.85054106300936</v>
      </c>
      <c r="I868" s="598">
        <v>236.59753708131697</v>
      </c>
      <c r="J868" s="601"/>
    </row>
    <row r="869" spans="1:10">
      <c r="A869" s="587">
        <v>28</v>
      </c>
      <c r="B869" s="616">
        <v>1344</v>
      </c>
      <c r="C869" s="610">
        <v>210</v>
      </c>
      <c r="D869" s="598">
        <v>306.01624383789914</v>
      </c>
      <c r="E869" s="598">
        <v>238.91535013751809</v>
      </c>
      <c r="F869" s="599">
        <v>508.93883246807502</v>
      </c>
      <c r="G869" s="600">
        <v>253.88802015631481</v>
      </c>
      <c r="H869" s="598">
        <v>276.85054106300936</v>
      </c>
      <c r="I869" s="598">
        <v>236.59753708131697</v>
      </c>
      <c r="J869" s="601"/>
    </row>
    <row r="870" spans="1:10">
      <c r="A870" s="587">
        <v>28</v>
      </c>
      <c r="B870" s="616">
        <v>1403</v>
      </c>
      <c r="C870" s="610">
        <v>206.70000000000002</v>
      </c>
      <c r="D870" s="598">
        <v>306.19891922263162</v>
      </c>
      <c r="E870" s="598">
        <v>239.39943036211537</v>
      </c>
      <c r="F870" s="599">
        <v>509.60073551469657</v>
      </c>
      <c r="G870" s="600">
        <v>254.07473927743783</v>
      </c>
      <c r="H870" s="598">
        <v>276.85054106300936</v>
      </c>
      <c r="I870" s="598">
        <v>236.59753708131697</v>
      </c>
      <c r="J870" s="601"/>
    </row>
    <row r="871" spans="1:10">
      <c r="A871" s="587">
        <v>28</v>
      </c>
      <c r="B871" s="616">
        <v>1502</v>
      </c>
      <c r="C871" s="610">
        <v>212.2</v>
      </c>
      <c r="D871" s="598">
        <v>306.45010854037167</v>
      </c>
      <c r="E871" s="598">
        <v>240.09500208242585</v>
      </c>
      <c r="F871" s="599">
        <v>510.59886997948712</v>
      </c>
      <c r="G871" s="600">
        <v>254.35571000686937</v>
      </c>
      <c r="H871" s="598">
        <v>276.85054106300936</v>
      </c>
      <c r="I871" s="598">
        <v>236.59753708131697</v>
      </c>
      <c r="J871" s="601"/>
    </row>
    <row r="872" spans="1:10">
      <c r="A872" s="587">
        <v>28</v>
      </c>
      <c r="B872" s="616">
        <v>1593</v>
      </c>
      <c r="C872" s="610">
        <v>213.3</v>
      </c>
      <c r="D872" s="598">
        <v>306.63277432134362</v>
      </c>
      <c r="E872" s="598">
        <v>240.62789473580034</v>
      </c>
      <c r="F872" s="599">
        <v>511.41074140166234</v>
      </c>
      <c r="G872" s="600">
        <v>254.58371966487422</v>
      </c>
      <c r="H872" s="598">
        <v>276.85054106300936</v>
      </c>
      <c r="I872" s="598">
        <v>236.59753708131697</v>
      </c>
      <c r="J872" s="601"/>
    </row>
    <row r="873" spans="1:10">
      <c r="A873" s="587">
        <v>28</v>
      </c>
      <c r="B873" s="616">
        <v>1685</v>
      </c>
      <c r="C873" s="610">
        <v>213.3</v>
      </c>
      <c r="D873" s="598">
        <v>306.78132614504705</v>
      </c>
      <c r="E873" s="598">
        <v>241.08272400639842</v>
      </c>
      <c r="F873" s="599">
        <v>512.14534494932093</v>
      </c>
      <c r="G873" s="600">
        <v>254.78962105775605</v>
      </c>
      <c r="H873" s="598">
        <v>276.85054106300936</v>
      </c>
      <c r="I873" s="598">
        <v>236.59753708131697</v>
      </c>
      <c r="J873" s="601"/>
    </row>
    <row r="874" spans="1:10">
      <c r="A874" s="587">
        <v>28</v>
      </c>
      <c r="B874" s="616">
        <v>1777</v>
      </c>
      <c r="C874" s="610">
        <v>214.4</v>
      </c>
      <c r="D874" s="598">
        <v>306.90148530252088</v>
      </c>
      <c r="E874" s="598">
        <v>241.46835919138658</v>
      </c>
      <c r="F874" s="599">
        <v>512.80627910029818</v>
      </c>
      <c r="G874" s="600">
        <v>254.9745430228412</v>
      </c>
      <c r="H874" s="598">
        <v>276.85054106300936</v>
      </c>
      <c r="I874" s="598">
        <v>236.59753708131697</v>
      </c>
      <c r="J874" s="601"/>
    </row>
    <row r="875" spans="1:10">
      <c r="A875" s="587">
        <v>28</v>
      </c>
      <c r="B875" s="616">
        <v>1908</v>
      </c>
      <c r="C875" s="610">
        <v>217.79999999999998</v>
      </c>
      <c r="D875" s="598">
        <v>307.0351637885708</v>
      </c>
      <c r="E875" s="598">
        <v>241.92140320573048</v>
      </c>
      <c r="F875" s="599">
        <v>513.64063369662881</v>
      </c>
      <c r="G875" s="600">
        <v>255.20753954712953</v>
      </c>
      <c r="H875" s="598">
        <v>276.85054106300936</v>
      </c>
      <c r="I875" s="598">
        <v>236.59753708131697</v>
      </c>
      <c r="J875" s="601"/>
    </row>
    <row r="876" spans="1:10">
      <c r="A876" s="587">
        <v>28</v>
      </c>
      <c r="B876" s="616">
        <v>1999</v>
      </c>
      <c r="C876" s="610">
        <v>212.2</v>
      </c>
      <c r="D876" s="598">
        <v>307.10810581552346</v>
      </c>
      <c r="E876" s="598">
        <v>242.18229870398361</v>
      </c>
      <c r="F876" s="599">
        <v>514.15766787663483</v>
      </c>
      <c r="G876" s="600">
        <v>255.35167351051021</v>
      </c>
      <c r="H876" s="598">
        <v>276.85054106300936</v>
      </c>
      <c r="I876" s="598">
        <v>236.59753708131697</v>
      </c>
      <c r="J876" s="601"/>
    </row>
    <row r="877" spans="1:10">
      <c r="A877" s="587">
        <v>28</v>
      </c>
      <c r="B877" s="616">
        <v>2102</v>
      </c>
      <c r="C877" s="610">
        <v>212.2</v>
      </c>
      <c r="D877" s="598">
        <v>307.1755257605447</v>
      </c>
      <c r="E877" s="598">
        <v>242.43452251426774</v>
      </c>
      <c r="F877" s="599">
        <v>514.69031932593703</v>
      </c>
      <c r="G877" s="600">
        <v>255.49996159593181</v>
      </c>
      <c r="H877" s="598">
        <v>276.85054106300936</v>
      </c>
      <c r="I877" s="598">
        <v>236.59753708131697</v>
      </c>
      <c r="J877" s="601"/>
    </row>
    <row r="878" spans="1:10">
      <c r="A878" s="587">
        <v>28</v>
      </c>
      <c r="B878" s="616">
        <v>2200</v>
      </c>
      <c r="C878" s="610">
        <v>210</v>
      </c>
      <c r="D878" s="598">
        <v>307.22778167450764</v>
      </c>
      <c r="E878" s="598">
        <v>242.63913503566857</v>
      </c>
      <c r="F878" s="599">
        <v>515.15199956935908</v>
      </c>
      <c r="G878" s="600">
        <v>255.62832795472227</v>
      </c>
      <c r="H878" s="598">
        <v>276.85054106300936</v>
      </c>
      <c r="I878" s="598">
        <v>236.59753708131697</v>
      </c>
      <c r="J878" s="601"/>
    </row>
    <row r="879" spans="1:10">
      <c r="A879" s="587">
        <v>28</v>
      </c>
      <c r="B879" s="616">
        <v>2306</v>
      </c>
      <c r="C879" s="610">
        <v>217.79999999999998</v>
      </c>
      <c r="D879" s="598">
        <v>307.27395586892618</v>
      </c>
      <c r="E879" s="598">
        <v>242.82823996364459</v>
      </c>
      <c r="F879" s="599">
        <v>515.60827486504525</v>
      </c>
      <c r="G879" s="600">
        <v>255.75504239711714</v>
      </c>
      <c r="H879" s="598">
        <v>276.85054106300936</v>
      </c>
      <c r="I879" s="598">
        <v>236.59753708131697</v>
      </c>
      <c r="J879" s="601"/>
    </row>
    <row r="880" spans="1:10">
      <c r="A880" s="587">
        <v>28</v>
      </c>
      <c r="B880" s="616">
        <v>2469</v>
      </c>
      <c r="C880" s="610">
        <v>213.3</v>
      </c>
      <c r="D880" s="598">
        <v>307.3288783466129</v>
      </c>
      <c r="E880" s="598">
        <v>243.06631007216626</v>
      </c>
      <c r="F880" s="599">
        <v>516.23521720098358</v>
      </c>
      <c r="G880" s="600">
        <v>255.92891212892442</v>
      </c>
      <c r="H880" s="598">
        <v>276.85054106300936</v>
      </c>
      <c r="I880" s="598">
        <v>236.59753708131697</v>
      </c>
      <c r="J880" s="601"/>
    </row>
    <row r="881" spans="1:10">
      <c r="A881" s="587">
        <v>28</v>
      </c>
      <c r="B881" s="616">
        <v>2579</v>
      </c>
      <c r="C881" s="610">
        <v>216.7</v>
      </c>
      <c r="D881" s="598">
        <v>307.35752781594874</v>
      </c>
      <c r="E881" s="598">
        <v>243.1978790018417</v>
      </c>
      <c r="F881" s="599">
        <v>516.61450669573321</v>
      </c>
      <c r="G881" s="600">
        <v>256.0339648129642</v>
      </c>
      <c r="H881" s="598">
        <v>276.85054106300936</v>
      </c>
      <c r="I881" s="598">
        <v>236.59753708131697</v>
      </c>
      <c r="J881" s="601"/>
    </row>
    <row r="882" spans="1:10">
      <c r="A882" s="587">
        <v>28</v>
      </c>
      <c r="B882" s="616">
        <v>2733</v>
      </c>
      <c r="C882" s="610">
        <v>216.7</v>
      </c>
      <c r="D882" s="598">
        <v>307.38914935044761</v>
      </c>
      <c r="E882" s="598">
        <v>243.35096709154325</v>
      </c>
      <c r="F882" s="599">
        <v>517.09528565609833</v>
      </c>
      <c r="G882" s="600">
        <v>256.16698056620982</v>
      </c>
      <c r="H882" s="598">
        <v>276.85054106300936</v>
      </c>
      <c r="I882" s="598">
        <v>236.59753708131697</v>
      </c>
      <c r="J882" s="601"/>
    </row>
    <row r="883" spans="1:10">
      <c r="A883" s="587">
        <v>28</v>
      </c>
      <c r="B883" s="616">
        <v>2848</v>
      </c>
      <c r="C883" s="610">
        <v>205.6</v>
      </c>
      <c r="D883" s="598">
        <v>307.40774446840766</v>
      </c>
      <c r="E883" s="598">
        <v>243.44594889632685</v>
      </c>
      <c r="F883" s="599">
        <v>517.42107629871668</v>
      </c>
      <c r="G883" s="600">
        <v>256.25702300071089</v>
      </c>
      <c r="H883" s="598">
        <v>276.85054106300936</v>
      </c>
      <c r="I883" s="598">
        <v>236.59753708131697</v>
      </c>
      <c r="J883" s="601"/>
    </row>
    <row r="884" spans="1:10">
      <c r="A884" s="587">
        <v>28</v>
      </c>
      <c r="B884" s="616">
        <v>2952</v>
      </c>
      <c r="C884" s="610">
        <v>205.6</v>
      </c>
      <c r="D884" s="598">
        <v>307.42166581455962</v>
      </c>
      <c r="E884" s="598">
        <v>243.52013045144074</v>
      </c>
      <c r="F884" s="599">
        <v>517.69426883634287</v>
      </c>
      <c r="G884" s="600">
        <v>256.33247035108718</v>
      </c>
      <c r="H884" s="598">
        <v>276.85054106300936</v>
      </c>
      <c r="I884" s="598">
        <v>236.59753708131697</v>
      </c>
      <c r="J884" s="601"/>
    </row>
    <row r="885" spans="1:10">
      <c r="A885" s="587">
        <v>28</v>
      </c>
      <c r="B885" s="616">
        <v>3041</v>
      </c>
      <c r="C885" s="610">
        <v>205.6</v>
      </c>
      <c r="D885" s="598">
        <v>307.4317838426428</v>
      </c>
      <c r="E885" s="598">
        <v>243.57605695985973</v>
      </c>
      <c r="F885" s="599">
        <v>517.9134992665555</v>
      </c>
      <c r="G885" s="600">
        <v>256.3929768244966</v>
      </c>
      <c r="H885" s="598">
        <v>276.85054106300936</v>
      </c>
      <c r="I885" s="598">
        <v>236.59753708131697</v>
      </c>
      <c r="J885" s="601"/>
    </row>
    <row r="886" spans="1:10">
      <c r="A886" s="587">
        <v>28</v>
      </c>
      <c r="B886" s="616">
        <v>3204</v>
      </c>
      <c r="C886" s="610">
        <v>207.79999999999998</v>
      </c>
      <c r="D886" s="598">
        <v>307.44686200619901</v>
      </c>
      <c r="E886" s="598">
        <v>243.6633103308649</v>
      </c>
      <c r="F886" s="599">
        <v>518.28399459730144</v>
      </c>
      <c r="G886" s="600">
        <v>256.49515435661351</v>
      </c>
      <c r="H886" s="598">
        <v>276.85054106300936</v>
      </c>
      <c r="I886" s="598">
        <v>236.59753708131697</v>
      </c>
      <c r="J886" s="601"/>
    </row>
    <row r="887" spans="1:10">
      <c r="A887" s="587">
        <v>28</v>
      </c>
      <c r="B887" s="616">
        <v>3290</v>
      </c>
      <c r="C887" s="610">
        <v>204.4</v>
      </c>
      <c r="D887" s="598">
        <v>307.45335011615384</v>
      </c>
      <c r="E887" s="598">
        <v>243.70262722056287</v>
      </c>
      <c r="F887" s="599">
        <v>518.46493332672378</v>
      </c>
      <c r="G887" s="600">
        <v>256.54501950902272</v>
      </c>
      <c r="H887" s="598">
        <v>276.85054106300936</v>
      </c>
      <c r="I887" s="598">
        <v>236.59753708131697</v>
      </c>
      <c r="J887" s="601"/>
    </row>
    <row r="888" spans="1:10">
      <c r="A888" s="619">
        <v>29</v>
      </c>
      <c r="B888" s="620">
        <v>6</v>
      </c>
      <c r="C888" s="621">
        <v>43.3</v>
      </c>
      <c r="D888" s="622"/>
      <c r="E888" s="622"/>
      <c r="F888" s="623"/>
      <c r="G888" s="624"/>
      <c r="H888" s="622"/>
      <c r="I888" s="622"/>
      <c r="J888" s="625"/>
    </row>
    <row r="889" spans="1:10">
      <c r="A889" s="585">
        <v>29</v>
      </c>
      <c r="B889" s="614">
        <v>14</v>
      </c>
      <c r="C889" s="608">
        <v>80</v>
      </c>
      <c r="D889" s="590">
        <v>65.966144723751057</v>
      </c>
      <c r="E889" s="590">
        <v>36.741324496990053</v>
      </c>
      <c r="F889" s="591">
        <v>142.97635730462096</v>
      </c>
      <c r="G889" s="592">
        <v>85.609409412200719</v>
      </c>
      <c r="H889" s="590">
        <v>65.084959731118389</v>
      </c>
      <c r="I889" s="590">
        <v>95.937877582877562</v>
      </c>
      <c r="J889" s="593"/>
    </row>
    <row r="890" spans="1:10">
      <c r="A890" s="585">
        <v>29</v>
      </c>
      <c r="B890" s="614">
        <v>20</v>
      </c>
      <c r="C890" s="608">
        <v>130</v>
      </c>
      <c r="D890" s="590">
        <v>88.722338662071962</v>
      </c>
      <c r="E890" s="590">
        <v>49.693322133732181</v>
      </c>
      <c r="F890" s="591">
        <v>188.93819306566508</v>
      </c>
      <c r="G890" s="592">
        <v>110.79498107898397</v>
      </c>
      <c r="H890" s="590">
        <v>116.58660016571342</v>
      </c>
      <c r="I890" s="590">
        <v>127.68155889993358</v>
      </c>
      <c r="J890" s="593"/>
    </row>
    <row r="891" spans="1:10">
      <c r="A891" s="585">
        <v>29</v>
      </c>
      <c r="B891" s="614">
        <v>29</v>
      </c>
      <c r="C891" s="608">
        <v>109.99999999999999</v>
      </c>
      <c r="D891" s="590">
        <v>113.21408745787619</v>
      </c>
      <c r="E891" s="590">
        <v>63.926797992624856</v>
      </c>
      <c r="F891" s="591">
        <v>235.46989663409269</v>
      </c>
      <c r="G891" s="592">
        <v>134.56923984656598</v>
      </c>
      <c r="H891" s="590">
        <v>173.83287377379116</v>
      </c>
      <c r="I891" s="590">
        <v>157.68936484584793</v>
      </c>
      <c r="J891" s="593"/>
    </row>
    <row r="892" spans="1:10">
      <c r="A892" s="585">
        <v>29</v>
      </c>
      <c r="B892" s="614">
        <v>38</v>
      </c>
      <c r="C892" s="608">
        <v>140</v>
      </c>
      <c r="D892" s="590">
        <v>131.89266727285738</v>
      </c>
      <c r="E892" s="590">
        <v>75.053867235547543</v>
      </c>
      <c r="F892" s="591">
        <v>268.69079237637089</v>
      </c>
      <c r="G892" s="592">
        <v>150.38515294170918</v>
      </c>
      <c r="H892" s="590">
        <v>211.51317692575859</v>
      </c>
      <c r="I892" s="590">
        <v>176.86946764912472</v>
      </c>
      <c r="J892" s="593"/>
    </row>
    <row r="893" spans="1:10">
      <c r="A893" s="585">
        <v>29</v>
      </c>
      <c r="B893" s="614">
        <v>46</v>
      </c>
      <c r="C893" s="608">
        <v>133.29999999999998</v>
      </c>
      <c r="D893" s="590">
        <v>145.54820534664194</v>
      </c>
      <c r="E893" s="590">
        <v>83.375368609986594</v>
      </c>
      <c r="F893" s="591">
        <v>291.68772490570029</v>
      </c>
      <c r="G893" s="592">
        <v>160.74930234546548</v>
      </c>
      <c r="H893" s="590">
        <v>233.51191268961125</v>
      </c>
      <c r="I893" s="590">
        <v>188.61079472424663</v>
      </c>
      <c r="J893" s="593"/>
    </row>
    <row r="894" spans="1:10">
      <c r="A894" s="585">
        <v>29</v>
      </c>
      <c r="B894" s="614">
        <v>71</v>
      </c>
      <c r="C894" s="608">
        <v>183.29999999999998</v>
      </c>
      <c r="D894" s="590">
        <v>177.62065138341103</v>
      </c>
      <c r="E894" s="590">
        <v>103.72172113045391</v>
      </c>
      <c r="F894" s="591">
        <v>341.44030281323887</v>
      </c>
      <c r="G894" s="592">
        <v>181.5276785759614</v>
      </c>
      <c r="H894" s="590">
        <v>265.0179068713922</v>
      </c>
      <c r="I894" s="590">
        <v>208.33803414380031</v>
      </c>
      <c r="J894" s="593"/>
    </row>
    <row r="895" spans="1:10">
      <c r="A895" s="585">
        <v>29</v>
      </c>
      <c r="B895" s="614">
        <v>77</v>
      </c>
      <c r="C895" s="608">
        <v>170.00000000000003</v>
      </c>
      <c r="D895" s="590">
        <v>183.6995908026459</v>
      </c>
      <c r="E895" s="590">
        <v>107.73384456373029</v>
      </c>
      <c r="F895" s="591">
        <v>350.21912067817181</v>
      </c>
      <c r="G895" s="592">
        <v>184.9630677268465</v>
      </c>
      <c r="H895" s="590">
        <v>268.19952523572221</v>
      </c>
      <c r="I895" s="590">
        <v>210.88067584702461</v>
      </c>
      <c r="J895" s="593"/>
    </row>
    <row r="896" spans="1:10">
      <c r="A896" s="585">
        <v>29</v>
      </c>
      <c r="B896" s="614">
        <v>85</v>
      </c>
      <c r="C896" s="608">
        <v>203.29999999999998</v>
      </c>
      <c r="D896" s="590">
        <v>191.10300470271395</v>
      </c>
      <c r="E896" s="590">
        <v>112.70069575753033</v>
      </c>
      <c r="F896" s="591">
        <v>360.64458407502224</v>
      </c>
      <c r="G896" s="592">
        <v>188.95437850133447</v>
      </c>
      <c r="H896" s="590">
        <v>271.15519172422989</v>
      </c>
      <c r="I896" s="590">
        <v>213.50659251024774</v>
      </c>
      <c r="J896" s="593"/>
    </row>
    <row r="897" spans="1:10">
      <c r="A897" s="585">
        <v>29</v>
      </c>
      <c r="B897" s="614">
        <v>98</v>
      </c>
      <c r="C897" s="608">
        <v>176.70000000000002</v>
      </c>
      <c r="D897" s="590">
        <v>201.70682124821883</v>
      </c>
      <c r="E897" s="590">
        <v>119.9859693681431</v>
      </c>
      <c r="F897" s="591">
        <v>375.08759239970647</v>
      </c>
      <c r="G897" s="592">
        <v>194.32691707684339</v>
      </c>
      <c r="H897" s="590">
        <v>273.96511079523731</v>
      </c>
      <c r="I897" s="590">
        <v>216.4377536372877</v>
      </c>
      <c r="J897" s="593"/>
    </row>
    <row r="898" spans="1:10">
      <c r="A898" s="586">
        <v>29</v>
      </c>
      <c r="B898" s="615">
        <v>105</v>
      </c>
      <c r="C898" s="609">
        <v>176.70000000000002</v>
      </c>
      <c r="D898" s="594">
        <v>206.80213982392399</v>
      </c>
      <c r="E898" s="594">
        <v>123.5663388852082</v>
      </c>
      <c r="F898" s="595">
        <v>381.83188651802129</v>
      </c>
      <c r="G898" s="596">
        <v>196.77402509319811</v>
      </c>
      <c r="H898" s="594">
        <v>274.85019429274587</v>
      </c>
      <c r="I898" s="594">
        <v>217.53174753709763</v>
      </c>
      <c r="J898" s="597"/>
    </row>
    <row r="899" spans="1:10">
      <c r="A899" s="586">
        <v>29</v>
      </c>
      <c r="B899" s="615">
        <v>112</v>
      </c>
      <c r="C899" s="609">
        <v>186.7</v>
      </c>
      <c r="D899" s="594">
        <v>211.5296135568336</v>
      </c>
      <c r="E899" s="594">
        <v>126.93912737019944</v>
      </c>
      <c r="F899" s="595">
        <v>387.98094360372323</v>
      </c>
      <c r="G899" s="596">
        <v>198.9713455760475</v>
      </c>
      <c r="H899" s="594">
        <v>275.46391176092686</v>
      </c>
      <c r="I899" s="594">
        <v>218.38328490868201</v>
      </c>
      <c r="J899" s="597"/>
    </row>
    <row r="900" spans="1:10">
      <c r="A900" s="586">
        <v>29</v>
      </c>
      <c r="B900" s="615">
        <v>119</v>
      </c>
      <c r="C900" s="609">
        <v>210</v>
      </c>
      <c r="D900" s="594">
        <v>215.92832791747401</v>
      </c>
      <c r="E900" s="594">
        <v>130.12454431267298</v>
      </c>
      <c r="F900" s="595">
        <v>393.61231124615136</v>
      </c>
      <c r="G900" s="596">
        <v>200.95561838491935</v>
      </c>
      <c r="H900" s="594">
        <v>275.88939794155533</v>
      </c>
      <c r="I900" s="594">
        <v>219.04664423496283</v>
      </c>
      <c r="J900" s="597"/>
    </row>
    <row r="901" spans="1:10">
      <c r="A901" s="586">
        <v>29</v>
      </c>
      <c r="B901" s="615">
        <v>126</v>
      </c>
      <c r="C901" s="609">
        <v>213.3</v>
      </c>
      <c r="D901" s="594">
        <v>220.03155320586822</v>
      </c>
      <c r="E901" s="594">
        <v>133.13982617843672</v>
      </c>
      <c r="F901" s="595">
        <v>398.79028058335433</v>
      </c>
      <c r="G901" s="596">
        <v>202.75665109917176</v>
      </c>
      <c r="H901" s="594">
        <v>276.18435307807232</v>
      </c>
      <c r="I901" s="594">
        <v>219.56373734963375</v>
      </c>
      <c r="J901" s="597"/>
    </row>
    <row r="902" spans="1:10">
      <c r="A902" s="586">
        <v>29</v>
      </c>
      <c r="B902" s="615">
        <v>133</v>
      </c>
      <c r="C902" s="609">
        <v>203.29999999999998</v>
      </c>
      <c r="D902" s="594">
        <v>223.86787762190372</v>
      </c>
      <c r="E902" s="594">
        <v>135.99982324951168</v>
      </c>
      <c r="F902" s="595">
        <v>403.56867154027941</v>
      </c>
      <c r="G902" s="596">
        <v>204.39889422147064</v>
      </c>
      <c r="H902" s="594">
        <v>276.38880647631044</v>
      </c>
      <c r="I902" s="594">
        <v>219.96701225701699</v>
      </c>
      <c r="J902" s="597"/>
    </row>
    <row r="903" spans="1:10">
      <c r="A903" s="586">
        <v>29</v>
      </c>
      <c r="B903" s="615">
        <v>140</v>
      </c>
      <c r="C903" s="609">
        <v>203.29999999999998</v>
      </c>
      <c r="D903" s="594">
        <v>227.462068859911</v>
      </c>
      <c r="E903" s="594">
        <v>138.71744382018966</v>
      </c>
      <c r="F903" s="595">
        <v>407.99292862247756</v>
      </c>
      <c r="G903" s="596">
        <v>205.90260210541956</v>
      </c>
      <c r="H903" s="594">
        <v>276.53051972902438</v>
      </c>
      <c r="I903" s="594">
        <v>220.28164099532631</v>
      </c>
      <c r="J903" s="597"/>
    </row>
    <row r="904" spans="1:10">
      <c r="A904" s="586">
        <v>29</v>
      </c>
      <c r="B904" s="615">
        <v>147</v>
      </c>
      <c r="C904" s="609">
        <v>190</v>
      </c>
      <c r="D904" s="594">
        <v>230.83574040707407</v>
      </c>
      <c r="E904" s="594">
        <v>141.3039962065439</v>
      </c>
      <c r="F904" s="595">
        <v>412.101722393378</v>
      </c>
      <c r="G904" s="596">
        <v>207.28470233311819</v>
      </c>
      <c r="H904" s="594">
        <v>276.62874227897078</v>
      </c>
      <c r="I904" s="594">
        <v>220.52718170124348</v>
      </c>
      <c r="J904" s="597"/>
    </row>
    <row r="905" spans="1:10">
      <c r="A905" s="586">
        <v>29</v>
      </c>
      <c r="B905" s="615">
        <v>154</v>
      </c>
      <c r="C905" s="609">
        <v>206.70000000000002</v>
      </c>
      <c r="D905" s="594">
        <v>234.00787453884124</v>
      </c>
      <c r="E905" s="594">
        <v>143.76945608832204</v>
      </c>
      <c r="F905" s="595">
        <v>415.92819002358749</v>
      </c>
      <c r="G905" s="596">
        <v>208.55945611657933</v>
      </c>
      <c r="H905" s="594">
        <v>276.69681941568496</v>
      </c>
      <c r="I905" s="594">
        <v>220.71884902392782</v>
      </c>
      <c r="J905" s="597"/>
    </row>
    <row r="906" spans="1:10">
      <c r="A906" s="586">
        <v>29</v>
      </c>
      <c r="B906" s="615">
        <v>163</v>
      </c>
      <c r="C906" s="609">
        <v>213.3</v>
      </c>
      <c r="D906" s="594">
        <v>237.81695891242671</v>
      </c>
      <c r="E906" s="594">
        <v>146.77553991387211</v>
      </c>
      <c r="F906" s="595">
        <v>420.47863019870738</v>
      </c>
      <c r="G906" s="596">
        <v>210.05996133614389</v>
      </c>
      <c r="H906" s="594">
        <v>276.75459790970098</v>
      </c>
      <c r="I906" s="594">
        <v>220.90487218522867</v>
      </c>
      <c r="J906" s="597"/>
    </row>
    <row r="907" spans="1:10">
      <c r="A907" s="586">
        <v>29</v>
      </c>
      <c r="B907" s="615">
        <v>170</v>
      </c>
      <c r="C907" s="609">
        <v>190</v>
      </c>
      <c r="D907" s="594">
        <v>240.58840397273315</v>
      </c>
      <c r="E907" s="594">
        <v>148.99595368391897</v>
      </c>
      <c r="F907" s="595">
        <v>423.76106308106824</v>
      </c>
      <c r="G907" s="596">
        <v>211.13199992514788</v>
      </c>
      <c r="H907" s="594">
        <v>276.78404678546178</v>
      </c>
      <c r="I907" s="594">
        <v>221.01374639728388</v>
      </c>
      <c r="J907" s="597"/>
    </row>
    <row r="908" spans="1:10">
      <c r="A908" s="586">
        <v>29</v>
      </c>
      <c r="B908" s="615">
        <v>177</v>
      </c>
      <c r="C908" s="609">
        <v>196.70000000000002</v>
      </c>
      <c r="D908" s="594">
        <v>243.2067746129496</v>
      </c>
      <c r="E908" s="594">
        <v>151.12101720792811</v>
      </c>
      <c r="F908" s="595">
        <v>426.84181343519543</v>
      </c>
      <c r="G908" s="596">
        <v>212.13033316975211</v>
      </c>
      <c r="H908" s="594">
        <v>276.80445673606204</v>
      </c>
      <c r="I908" s="594">
        <v>221.09877122395798</v>
      </c>
      <c r="J908" s="597"/>
    </row>
    <row r="909" spans="1:10">
      <c r="A909" s="586">
        <v>29</v>
      </c>
      <c r="B909" s="615">
        <v>184</v>
      </c>
      <c r="C909" s="609">
        <v>193.3</v>
      </c>
      <c r="D909" s="594">
        <v>245.68360486921728</v>
      </c>
      <c r="E909" s="594">
        <v>153.15693840585473</v>
      </c>
      <c r="F909" s="595">
        <v>429.7391369828344</v>
      </c>
      <c r="G909" s="596">
        <v>213.06233975682275</v>
      </c>
      <c r="H909" s="594">
        <v>276.81860206252679</v>
      </c>
      <c r="I909" s="594">
        <v>221.16517620149253</v>
      </c>
      <c r="J909" s="597"/>
    </row>
    <row r="910" spans="1:10">
      <c r="A910" s="586">
        <v>29</v>
      </c>
      <c r="B910" s="615">
        <v>244</v>
      </c>
      <c r="C910" s="609">
        <v>200</v>
      </c>
      <c r="D910" s="594">
        <v>262.37226811547964</v>
      </c>
      <c r="E910" s="594">
        <v>167.64399844156324</v>
      </c>
      <c r="F910" s="595">
        <v>448.94995748783123</v>
      </c>
      <c r="G910" s="596">
        <v>219.07572437066162</v>
      </c>
      <c r="H910" s="594">
        <v>276.84916238414422</v>
      </c>
      <c r="I910" s="594">
        <v>221.37362628964786</v>
      </c>
      <c r="J910" s="597"/>
    </row>
    <row r="911" spans="1:10">
      <c r="A911" s="586">
        <v>29</v>
      </c>
      <c r="B911" s="615">
        <v>305</v>
      </c>
      <c r="C911" s="609">
        <v>219.99999999999997</v>
      </c>
      <c r="D911" s="594">
        <v>273.66736024202646</v>
      </c>
      <c r="E911" s="594">
        <v>178.43970407414787</v>
      </c>
      <c r="F911" s="595">
        <v>461.87776240292931</v>
      </c>
      <c r="G911" s="596">
        <v>222.96321738794546</v>
      </c>
      <c r="H911" s="594">
        <v>276.85048458843323</v>
      </c>
      <c r="I911" s="594">
        <v>221.39885020202928</v>
      </c>
      <c r="J911" s="597"/>
    </row>
    <row r="912" spans="1:10">
      <c r="A912" s="586">
        <v>29</v>
      </c>
      <c r="B912" s="615">
        <v>364</v>
      </c>
      <c r="C912" s="609">
        <v>223.3</v>
      </c>
      <c r="D912" s="594">
        <v>281.30236004483396</v>
      </c>
      <c r="E912" s="594">
        <v>186.38866722793242</v>
      </c>
      <c r="F912" s="595">
        <v>470.79228544288424</v>
      </c>
      <c r="G912" s="596">
        <v>225.57126588367728</v>
      </c>
      <c r="H912" s="594">
        <v>276.85053849416329</v>
      </c>
      <c r="I912" s="594">
        <v>221.40175566222851</v>
      </c>
      <c r="J912" s="597"/>
    </row>
    <row r="913" spans="1:10">
      <c r="A913" s="586">
        <v>29</v>
      </c>
      <c r="B913" s="615">
        <v>425</v>
      </c>
      <c r="C913" s="609">
        <v>233.3</v>
      </c>
      <c r="D913" s="594">
        <v>287.01127869512578</v>
      </c>
      <c r="E913" s="594">
        <v>192.8090527372043</v>
      </c>
      <c r="F913" s="595">
        <v>477.7037749986012</v>
      </c>
      <c r="G913" s="596">
        <v>227.55330186277735</v>
      </c>
      <c r="H913" s="594">
        <v>276.85054095778224</v>
      </c>
      <c r="I913" s="594">
        <v>221.40212182047148</v>
      </c>
      <c r="J913" s="597"/>
    </row>
    <row r="914" spans="1:10">
      <c r="A914" s="586">
        <v>29</v>
      </c>
      <c r="B914" s="615">
        <v>486</v>
      </c>
      <c r="C914" s="609">
        <v>193.3</v>
      </c>
      <c r="D914" s="594">
        <v>291.22643321623121</v>
      </c>
      <c r="E914" s="594">
        <v>197.90296768712651</v>
      </c>
      <c r="F914" s="595">
        <v>483.05759181199289</v>
      </c>
      <c r="G914" s="596">
        <v>229.06497670060639</v>
      </c>
      <c r="H914" s="594">
        <v>276.85054105869898</v>
      </c>
      <c r="I914" s="594">
        <v>221.40216440889873</v>
      </c>
      <c r="J914" s="597"/>
    </row>
    <row r="915" spans="1:10">
      <c r="A915" s="587">
        <v>29</v>
      </c>
      <c r="B915" s="616">
        <v>548</v>
      </c>
      <c r="C915" s="610">
        <v>219.99999999999997</v>
      </c>
      <c r="D915" s="598">
        <v>294.45167393029732</v>
      </c>
      <c r="E915" s="598">
        <v>202.07003586650742</v>
      </c>
      <c r="F915" s="599">
        <v>487.39054940361024</v>
      </c>
      <c r="G915" s="600">
        <v>230.27346167326837</v>
      </c>
      <c r="H915" s="598">
        <v>276.85054106284184</v>
      </c>
      <c r="I915" s="598">
        <v>221.40216938502223</v>
      </c>
      <c r="J915" s="601"/>
    </row>
    <row r="916" spans="1:10">
      <c r="A916" s="587">
        <v>29</v>
      </c>
      <c r="B916" s="616">
        <v>609</v>
      </c>
      <c r="C916" s="610">
        <v>196.70000000000002</v>
      </c>
      <c r="D916" s="598">
        <v>296.883401119111</v>
      </c>
      <c r="E916" s="598">
        <v>205.41365502020682</v>
      </c>
      <c r="F916" s="599">
        <v>490.86517617689367</v>
      </c>
      <c r="G916" s="600">
        <v>231.23298519895957</v>
      </c>
      <c r="H916" s="598">
        <v>276.85054106300248</v>
      </c>
      <c r="I916" s="598">
        <v>221.40216994120834</v>
      </c>
      <c r="J916" s="601"/>
    </row>
    <row r="917" spans="1:10">
      <c r="A917" s="587">
        <v>29</v>
      </c>
      <c r="B917" s="616">
        <v>670</v>
      </c>
      <c r="C917" s="610">
        <v>233.3</v>
      </c>
      <c r="D917" s="598">
        <v>298.77947692900824</v>
      </c>
      <c r="E917" s="598">
        <v>208.17581511482831</v>
      </c>
      <c r="F917" s="599">
        <v>493.75616160381037</v>
      </c>
      <c r="G917" s="600">
        <v>232.02489498666304</v>
      </c>
      <c r="H917" s="598">
        <v>276.85054106300908</v>
      </c>
      <c r="I917" s="598">
        <v>221.40217000589925</v>
      </c>
      <c r="J917" s="601"/>
    </row>
    <row r="918" spans="1:10">
      <c r="A918" s="587">
        <v>29</v>
      </c>
      <c r="B918" s="616">
        <v>730</v>
      </c>
      <c r="C918" s="610">
        <v>193.3</v>
      </c>
      <c r="D918" s="598">
        <v>300.25513030883241</v>
      </c>
      <c r="E918" s="598">
        <v>210.44487121226209</v>
      </c>
      <c r="F918" s="599">
        <v>496.16228775847964</v>
      </c>
      <c r="G918" s="600">
        <v>232.67955858248374</v>
      </c>
      <c r="H918" s="598">
        <v>276.85054106300936</v>
      </c>
      <c r="I918" s="598">
        <v>221.402170013388</v>
      </c>
      <c r="J918" s="601"/>
    </row>
    <row r="919" spans="1:10">
      <c r="A919" s="587">
        <v>29</v>
      </c>
      <c r="B919" s="616">
        <v>1118</v>
      </c>
      <c r="C919" s="610">
        <v>213.3</v>
      </c>
      <c r="D919" s="598">
        <v>304.97529169599886</v>
      </c>
      <c r="E919" s="598">
        <v>218.87063550993801</v>
      </c>
      <c r="F919" s="599">
        <v>505.7887002636981</v>
      </c>
      <c r="G919" s="600">
        <v>235.25890213429574</v>
      </c>
      <c r="H919" s="598">
        <v>276.85054106300936</v>
      </c>
      <c r="I919" s="598">
        <v>221.40217001441391</v>
      </c>
      <c r="J919" s="601"/>
    </row>
    <row r="920" spans="1:10">
      <c r="A920" s="587">
        <v>29</v>
      </c>
      <c r="B920" s="616">
        <v>1146</v>
      </c>
      <c r="C920" s="610">
        <v>196.70000000000002</v>
      </c>
      <c r="D920" s="598">
        <v>305.14255777039551</v>
      </c>
      <c r="E920" s="598">
        <v>219.22510690378681</v>
      </c>
      <c r="F920" s="599">
        <v>506.2431946446718</v>
      </c>
      <c r="G920" s="600">
        <v>235.37912060829939</v>
      </c>
      <c r="H920" s="598">
        <v>276.85054106300936</v>
      </c>
      <c r="I920" s="598">
        <v>221.40217001441391</v>
      </c>
      <c r="J920" s="601"/>
    </row>
    <row r="921" spans="1:10">
      <c r="A921" s="587">
        <v>29</v>
      </c>
      <c r="B921" s="616">
        <v>1207</v>
      </c>
      <c r="C921" s="610">
        <v>208.9</v>
      </c>
      <c r="D921" s="598">
        <v>305.46392498169445</v>
      </c>
      <c r="E921" s="598">
        <v>219.9254420414637</v>
      </c>
      <c r="F921" s="599">
        <v>507.16364737508013</v>
      </c>
      <c r="G921" s="600">
        <v>235.6221623623143</v>
      </c>
      <c r="H921" s="598">
        <v>276.85054106300936</v>
      </c>
      <c r="I921" s="598">
        <v>221.40217001441391</v>
      </c>
      <c r="J921" s="601"/>
    </row>
    <row r="922" spans="1:10">
      <c r="A922" s="587">
        <v>29</v>
      </c>
      <c r="B922" s="616">
        <v>1272</v>
      </c>
      <c r="C922" s="610">
        <v>203.29999999999998</v>
      </c>
      <c r="D922" s="598">
        <v>305.75142281335184</v>
      </c>
      <c r="E922" s="598">
        <v>220.57690381033359</v>
      </c>
      <c r="F922" s="599">
        <v>508.05150030815173</v>
      </c>
      <c r="G922" s="600">
        <v>235.85605484090166</v>
      </c>
      <c r="H922" s="598">
        <v>276.85054106300936</v>
      </c>
      <c r="I922" s="598">
        <v>221.40217001441391</v>
      </c>
      <c r="J922" s="601"/>
    </row>
    <row r="923" spans="1:10">
      <c r="A923" s="587">
        <v>29</v>
      </c>
      <c r="B923" s="616">
        <v>1346</v>
      </c>
      <c r="C923" s="610">
        <v>192.79999999999998</v>
      </c>
      <c r="D923" s="598">
        <v>306.02290486210688</v>
      </c>
      <c r="E923" s="598">
        <v>221.21822380552641</v>
      </c>
      <c r="F923" s="599">
        <v>508.96218104936293</v>
      </c>
      <c r="G923" s="600">
        <v>236.09540978089066</v>
      </c>
      <c r="H923" s="598">
        <v>276.85054106300936</v>
      </c>
      <c r="I923" s="598">
        <v>221.40217001441391</v>
      </c>
      <c r="J923" s="601"/>
    </row>
    <row r="924" spans="1:10">
      <c r="A924" s="587">
        <v>29</v>
      </c>
      <c r="B924" s="616">
        <v>1405</v>
      </c>
      <c r="C924" s="610">
        <v>198.9</v>
      </c>
      <c r="D924" s="598">
        <v>306.20463871001397</v>
      </c>
      <c r="E924" s="598">
        <v>221.66461720607009</v>
      </c>
      <c r="F924" s="599">
        <v>509.62223711887708</v>
      </c>
      <c r="G924" s="600">
        <v>236.26854458592612</v>
      </c>
      <c r="H924" s="598">
        <v>276.85054106300936</v>
      </c>
      <c r="I924" s="598">
        <v>221.40217001441391</v>
      </c>
      <c r="J924" s="601"/>
    </row>
    <row r="925" spans="1:10">
      <c r="A925" s="587">
        <v>29</v>
      </c>
      <c r="B925" s="616">
        <v>1504</v>
      </c>
      <c r="C925" s="610">
        <v>207.79999999999998</v>
      </c>
      <c r="D925" s="598">
        <v>306.45457253119548</v>
      </c>
      <c r="E925" s="598">
        <v>222.30611466318109</v>
      </c>
      <c r="F925" s="599">
        <v>510.61773018606794</v>
      </c>
      <c r="G925" s="600">
        <v>236.52911307503828</v>
      </c>
      <c r="H925" s="598">
        <v>276.85054106300936</v>
      </c>
      <c r="I925" s="598">
        <v>221.40217001441391</v>
      </c>
      <c r="J925" s="601"/>
    </row>
    <row r="926" spans="1:10">
      <c r="A926" s="587">
        <v>29</v>
      </c>
      <c r="B926" s="616">
        <v>1595</v>
      </c>
      <c r="C926" s="610">
        <v>207.79999999999998</v>
      </c>
      <c r="D926" s="598">
        <v>306.63635730762843</v>
      </c>
      <c r="E926" s="598">
        <v>222.79764657998055</v>
      </c>
      <c r="F926" s="599">
        <v>511.42758066673537</v>
      </c>
      <c r="G926" s="600">
        <v>236.74060074249141</v>
      </c>
      <c r="H926" s="598">
        <v>276.85054106300936</v>
      </c>
      <c r="I926" s="598">
        <v>221.40217001441391</v>
      </c>
      <c r="J926" s="601"/>
    </row>
    <row r="927" spans="1:10">
      <c r="A927" s="587">
        <v>29</v>
      </c>
      <c r="B927" s="616">
        <v>1687</v>
      </c>
      <c r="C927" s="610">
        <v>222.00000000000003</v>
      </c>
      <c r="D927" s="598">
        <v>306.78421533789111</v>
      </c>
      <c r="E927" s="598">
        <v>223.21722387517156</v>
      </c>
      <c r="F927" s="599">
        <v>512.16045421985825</v>
      </c>
      <c r="G927" s="600">
        <v>236.93160876526738</v>
      </c>
      <c r="H927" s="598">
        <v>276.85054106300936</v>
      </c>
      <c r="I927" s="598">
        <v>221.40217001441391</v>
      </c>
      <c r="J927" s="601"/>
    </row>
    <row r="928" spans="1:10">
      <c r="A928" s="587">
        <v>29</v>
      </c>
      <c r="B928" s="616">
        <v>1779</v>
      </c>
      <c r="C928" s="610">
        <v>227.8</v>
      </c>
      <c r="D928" s="598">
        <v>306.90383019604917</v>
      </c>
      <c r="E928" s="598">
        <v>223.57300903620421</v>
      </c>
      <c r="F928" s="599">
        <v>512.8199119348925</v>
      </c>
      <c r="G928" s="600">
        <v>237.10317638915558</v>
      </c>
      <c r="H928" s="598">
        <v>276.85054106300936</v>
      </c>
      <c r="I928" s="598">
        <v>221.40217001441391</v>
      </c>
      <c r="J928" s="601"/>
    </row>
    <row r="929" spans="1:10">
      <c r="A929" s="587">
        <v>29</v>
      </c>
      <c r="B929" s="616">
        <v>1910</v>
      </c>
      <c r="C929" s="610">
        <v>234.39999999999998</v>
      </c>
      <c r="D929" s="598">
        <v>307.03692356451938</v>
      </c>
      <c r="E929" s="598">
        <v>223.99103533027417</v>
      </c>
      <c r="F929" s="599">
        <v>513.65251100702051</v>
      </c>
      <c r="G929" s="600">
        <v>237.31937583322957</v>
      </c>
      <c r="H929" s="598">
        <v>276.85054106300936</v>
      </c>
      <c r="I929" s="598">
        <v>221.40217001441391</v>
      </c>
      <c r="J929" s="601"/>
    </row>
    <row r="930" spans="1:10">
      <c r="A930" s="587">
        <v>29</v>
      </c>
      <c r="B930" s="616">
        <v>2001</v>
      </c>
      <c r="C930" s="610">
        <v>226.7</v>
      </c>
      <c r="D930" s="598">
        <v>307.10955675316802</v>
      </c>
      <c r="E930" s="598">
        <v>224.23179197871281</v>
      </c>
      <c r="F930" s="599">
        <v>514.16851798406719</v>
      </c>
      <c r="G930" s="600">
        <v>237.45313515713127</v>
      </c>
      <c r="H930" s="598">
        <v>276.85054106300936</v>
      </c>
      <c r="I930" s="598">
        <v>221.40217001441391</v>
      </c>
      <c r="J930" s="601"/>
    </row>
    <row r="931" spans="1:10">
      <c r="A931" s="587">
        <v>29</v>
      </c>
      <c r="B931" s="616">
        <v>2104</v>
      </c>
      <c r="C931" s="610">
        <v>225.60000000000002</v>
      </c>
      <c r="D931" s="598">
        <v>307.1766988076655</v>
      </c>
      <c r="E931" s="598">
        <v>224.46456684108131</v>
      </c>
      <c r="F931" s="599">
        <v>514.7001597502383</v>
      </c>
      <c r="G931" s="600">
        <v>237.59076251896559</v>
      </c>
      <c r="H931" s="598">
        <v>276.85054106300936</v>
      </c>
      <c r="I931" s="598">
        <v>221.40217001441391</v>
      </c>
      <c r="J931" s="601"/>
    </row>
    <row r="932" spans="1:10">
      <c r="A932" s="587">
        <v>29</v>
      </c>
      <c r="B932" s="616">
        <v>2202</v>
      </c>
      <c r="C932" s="610">
        <v>231.1</v>
      </c>
      <c r="D932" s="598">
        <v>307.22874500405538</v>
      </c>
      <c r="E932" s="598">
        <v>224.65341781394389</v>
      </c>
      <c r="F932" s="599">
        <v>515.16100470438562</v>
      </c>
      <c r="G932" s="600">
        <v>237.70991095385472</v>
      </c>
      <c r="H932" s="598">
        <v>276.85054106300936</v>
      </c>
      <c r="I932" s="598">
        <v>221.40217001441391</v>
      </c>
      <c r="J932" s="601"/>
    </row>
    <row r="933" spans="1:10">
      <c r="A933" s="587">
        <v>29</v>
      </c>
      <c r="B933" s="616">
        <v>2308</v>
      </c>
      <c r="C933" s="610">
        <v>228.9</v>
      </c>
      <c r="D933" s="598">
        <v>307.27473858334224</v>
      </c>
      <c r="E933" s="598">
        <v>224.82796973636798</v>
      </c>
      <c r="F933" s="599">
        <v>515.61649086171622</v>
      </c>
      <c r="G933" s="600">
        <v>237.82753573286223</v>
      </c>
      <c r="H933" s="598">
        <v>276.85054106300936</v>
      </c>
      <c r="I933" s="598">
        <v>221.40217001441391</v>
      </c>
      <c r="J933" s="601"/>
    </row>
    <row r="934" spans="1:10">
      <c r="A934" s="587">
        <v>29</v>
      </c>
      <c r="B934" s="616">
        <v>2471</v>
      </c>
      <c r="C934" s="610">
        <v>223.3</v>
      </c>
      <c r="D934" s="598">
        <v>307.32945288910361</v>
      </c>
      <c r="E934" s="598">
        <v>225.04773969950827</v>
      </c>
      <c r="F934" s="599">
        <v>516.24240786564178</v>
      </c>
      <c r="G934" s="600">
        <v>237.98894877436612</v>
      </c>
      <c r="H934" s="598">
        <v>276.85054106300936</v>
      </c>
      <c r="I934" s="598">
        <v>221.40217001441391</v>
      </c>
      <c r="J934" s="601"/>
    </row>
    <row r="935" spans="1:10">
      <c r="A935" s="587">
        <v>29</v>
      </c>
      <c r="B935" s="616">
        <v>2581</v>
      </c>
      <c r="C935" s="610">
        <v>219.99999999999997</v>
      </c>
      <c r="D935" s="598">
        <v>307.35799712631217</v>
      </c>
      <c r="E935" s="598">
        <v>225.16920627863792</v>
      </c>
      <c r="F935" s="599">
        <v>516.62111019964993</v>
      </c>
      <c r="G935" s="600">
        <v>238.08648382227574</v>
      </c>
      <c r="H935" s="598">
        <v>276.85054106300936</v>
      </c>
      <c r="I935" s="598">
        <v>221.40217001441391</v>
      </c>
      <c r="J935" s="601"/>
    </row>
    <row r="936" spans="1:10">
      <c r="A936" s="587">
        <v>29</v>
      </c>
      <c r="B936" s="616">
        <v>2735</v>
      </c>
      <c r="C936" s="610">
        <v>216.7</v>
      </c>
      <c r="D936" s="598">
        <v>307.38950569130441</v>
      </c>
      <c r="E936" s="598">
        <v>225.3105509483847</v>
      </c>
      <c r="F936" s="599">
        <v>517.10118080491145</v>
      </c>
      <c r="G936" s="600">
        <v>238.20999032965116</v>
      </c>
      <c r="H936" s="598">
        <v>276.85054106300936</v>
      </c>
      <c r="I936" s="598">
        <v>221.40217001441391</v>
      </c>
      <c r="J936" s="601"/>
    </row>
    <row r="937" spans="1:10">
      <c r="A937" s="587">
        <v>29</v>
      </c>
      <c r="B937" s="616">
        <v>2850</v>
      </c>
      <c r="C937" s="610">
        <v>215.60000000000002</v>
      </c>
      <c r="D937" s="598">
        <v>307.40803618795525</v>
      </c>
      <c r="E937" s="598">
        <v>225.39825340737087</v>
      </c>
      <c r="F937" s="599">
        <v>517.42651427020769</v>
      </c>
      <c r="G937" s="600">
        <v>238.2936016556807</v>
      </c>
      <c r="H937" s="598">
        <v>276.85054106300936</v>
      </c>
      <c r="I937" s="598">
        <v>221.40217001441391</v>
      </c>
      <c r="J937" s="601"/>
    </row>
    <row r="938" spans="1:10">
      <c r="A938" s="587">
        <v>29</v>
      </c>
      <c r="B938" s="616">
        <v>3036</v>
      </c>
      <c r="C938" s="610">
        <v>215.60000000000002</v>
      </c>
      <c r="D938" s="598">
        <v>307.43125438822966</v>
      </c>
      <c r="E938" s="598">
        <v>225.51454965782654</v>
      </c>
      <c r="F938" s="599">
        <v>517.90151731363903</v>
      </c>
      <c r="G938" s="600">
        <v>238.41555317578684</v>
      </c>
      <c r="H938" s="598">
        <v>276.85054106300936</v>
      </c>
      <c r="I938" s="598">
        <v>221.40217001441391</v>
      </c>
      <c r="J938" s="601"/>
    </row>
    <row r="939" spans="1:10">
      <c r="A939" s="587">
        <v>29</v>
      </c>
      <c r="B939" s="616">
        <v>3199</v>
      </c>
      <c r="C939" s="610">
        <v>217.79999999999998</v>
      </c>
      <c r="D939" s="598">
        <v>307.44645652472366</v>
      </c>
      <c r="E939" s="598">
        <v>225.59584879919962</v>
      </c>
      <c r="F939" s="599">
        <v>518.273181001848</v>
      </c>
      <c r="G939" s="600">
        <v>238.51086999770808</v>
      </c>
      <c r="H939" s="598">
        <v>276.85054106300936</v>
      </c>
      <c r="I939" s="598">
        <v>221.40217001441391</v>
      </c>
      <c r="J939" s="601"/>
    </row>
    <row r="940" spans="1:10">
      <c r="A940" s="587">
        <v>29</v>
      </c>
      <c r="B940" s="616">
        <v>3285</v>
      </c>
      <c r="C940" s="610">
        <v>221.10000000000002</v>
      </c>
      <c r="D940" s="598">
        <v>307.45299681310388</v>
      </c>
      <c r="E940" s="598">
        <v>225.63247754851491</v>
      </c>
      <c r="F940" s="599">
        <v>518.45466850830508</v>
      </c>
      <c r="G940" s="600">
        <v>238.55738126190695</v>
      </c>
      <c r="H940" s="598">
        <v>276.85054106300936</v>
      </c>
      <c r="I940" s="598">
        <v>221.40217001441391</v>
      </c>
      <c r="J940" s="601"/>
    </row>
    <row r="941" spans="1:10">
      <c r="A941" s="619">
        <v>30</v>
      </c>
      <c r="B941" s="620">
        <v>8</v>
      </c>
      <c r="C941" s="621">
        <v>40</v>
      </c>
      <c r="D941" s="622">
        <v>24.973973188716791</v>
      </c>
      <c r="E941" s="622">
        <v>12.838302533384132</v>
      </c>
      <c r="F941" s="623">
        <v>57.895003746252776</v>
      </c>
      <c r="G941" s="624">
        <v>33.457563439310263</v>
      </c>
      <c r="H941" s="622">
        <v>7.410682872190602</v>
      </c>
      <c r="I941" s="622">
        <v>33.001223793424444</v>
      </c>
      <c r="J941" s="625"/>
    </row>
    <row r="942" spans="1:10">
      <c r="A942" s="585">
        <v>30</v>
      </c>
      <c r="B942" s="614">
        <v>14</v>
      </c>
      <c r="C942" s="608">
        <v>83.300000000000011</v>
      </c>
      <c r="D942" s="590">
        <v>65.201870239517092</v>
      </c>
      <c r="E942" s="590">
        <v>33.71056049145006</v>
      </c>
      <c r="F942" s="591">
        <v>148.2333206161222</v>
      </c>
      <c r="G942" s="592">
        <v>83.566858861875758</v>
      </c>
      <c r="H942" s="590">
        <v>65.168286264969424</v>
      </c>
      <c r="I942" s="590">
        <v>89.907288798170882</v>
      </c>
      <c r="J942" s="593"/>
    </row>
    <row r="943" spans="1:10">
      <c r="A943" s="585">
        <v>30</v>
      </c>
      <c r="B943" s="614">
        <v>22</v>
      </c>
      <c r="C943" s="608">
        <v>93.3</v>
      </c>
      <c r="D943" s="590">
        <v>93.803462202924891</v>
      </c>
      <c r="E943" s="590">
        <v>48.85722430263553</v>
      </c>
      <c r="F943" s="591">
        <v>208.35139786073705</v>
      </c>
      <c r="G943" s="592">
        <v>114.31904286765956</v>
      </c>
      <c r="H943" s="590">
        <v>130.43956382124594</v>
      </c>
      <c r="I943" s="590">
        <v>126.66852394923616</v>
      </c>
      <c r="J943" s="593"/>
    </row>
    <row r="944" spans="1:10">
      <c r="A944" s="585">
        <v>30</v>
      </c>
      <c r="B944" s="614">
        <v>28</v>
      </c>
      <c r="C944" s="608">
        <v>126.70000000000002</v>
      </c>
      <c r="D944" s="590">
        <v>109.58430191313145</v>
      </c>
      <c r="E944" s="590">
        <v>57.382825440483423</v>
      </c>
      <c r="F944" s="591">
        <v>239.61141287721352</v>
      </c>
      <c r="G944" s="592">
        <v>129.26301043941771</v>
      </c>
      <c r="H944" s="590">
        <v>166.96124311061948</v>
      </c>
      <c r="I944" s="590">
        <v>144.47594775620027</v>
      </c>
      <c r="J944" s="593"/>
    </row>
    <row r="945" spans="1:10">
      <c r="A945" s="585">
        <v>30</v>
      </c>
      <c r="B945" s="614">
        <v>46</v>
      </c>
      <c r="C945" s="608">
        <v>179.99999999999997</v>
      </c>
      <c r="D945" s="590">
        <v>143.92768851408474</v>
      </c>
      <c r="E945" s="590">
        <v>76.518821690555086</v>
      </c>
      <c r="F945" s="591">
        <v>302.41251673248843</v>
      </c>
      <c r="G945" s="592">
        <v>156.91399290664938</v>
      </c>
      <c r="H945" s="590">
        <v>230.47903949605339</v>
      </c>
      <c r="I945" s="590">
        <v>175.40363694307123</v>
      </c>
      <c r="J945" s="593"/>
    </row>
    <row r="946" spans="1:10">
      <c r="A946" s="585">
        <v>30</v>
      </c>
      <c r="B946" s="614">
        <v>58</v>
      </c>
      <c r="C946" s="608">
        <v>186.7</v>
      </c>
      <c r="D946" s="590">
        <v>160.75489250937699</v>
      </c>
      <c r="E946" s="590">
        <v>86.275576314885072</v>
      </c>
      <c r="F946" s="591">
        <v>330.50111049363471</v>
      </c>
      <c r="G946" s="592">
        <v>168.22978496081845</v>
      </c>
      <c r="H946" s="590">
        <v>250.05693023338634</v>
      </c>
      <c r="I946" s="590">
        <v>186.26377696616632</v>
      </c>
      <c r="J946" s="593"/>
    </row>
    <row r="947" spans="1:10">
      <c r="A947" s="585">
        <v>30</v>
      </c>
      <c r="B947" s="614">
        <v>79</v>
      </c>
      <c r="C947" s="608">
        <v>213.3</v>
      </c>
      <c r="D947" s="590">
        <v>183.62633472595351</v>
      </c>
      <c r="E947" s="590">
        <v>100.07470658633099</v>
      </c>
      <c r="F947" s="591">
        <v>365.93051445974493</v>
      </c>
      <c r="G947" s="592">
        <v>181.5807943316492</v>
      </c>
      <c r="H947" s="590">
        <v>265.1775923865402</v>
      </c>
      <c r="I947" s="590">
        <v>196.55001455047866</v>
      </c>
      <c r="J947" s="593"/>
    </row>
    <row r="948" spans="1:10">
      <c r="A948" s="585">
        <v>30</v>
      </c>
      <c r="B948" s="614">
        <v>86</v>
      </c>
      <c r="C948" s="608">
        <v>203.29999999999998</v>
      </c>
      <c r="D948" s="590">
        <v>189.92841200884314</v>
      </c>
      <c r="E948" s="590">
        <v>104.00841021914597</v>
      </c>
      <c r="F948" s="591">
        <v>375.16226434556739</v>
      </c>
      <c r="G948" s="592">
        <v>184.89334332716965</v>
      </c>
      <c r="H948" s="590">
        <v>267.50854413321406</v>
      </c>
      <c r="I948" s="590">
        <v>198.54788822161828</v>
      </c>
      <c r="J948" s="593"/>
    </row>
    <row r="949" spans="1:10">
      <c r="A949" s="586">
        <v>30</v>
      </c>
      <c r="B949" s="615">
        <v>107</v>
      </c>
      <c r="C949" s="609">
        <v>190</v>
      </c>
      <c r="D949" s="594">
        <v>206.00864811377261</v>
      </c>
      <c r="E949" s="594">
        <v>114.3588423103764</v>
      </c>
      <c r="F949" s="595">
        <v>397.75173771380435</v>
      </c>
      <c r="G949" s="596">
        <v>192.71519702787373</v>
      </c>
      <c r="H949" s="594">
        <v>271.027924586908</v>
      </c>
      <c r="I949" s="594">
        <v>202.23733410814785</v>
      </c>
      <c r="J949" s="597"/>
    </row>
    <row r="950" spans="1:10">
      <c r="A950" s="586">
        <v>30</v>
      </c>
      <c r="B950" s="615">
        <v>114</v>
      </c>
      <c r="C950" s="609">
        <v>203.29999999999998</v>
      </c>
      <c r="D950" s="594">
        <v>210.60343817373672</v>
      </c>
      <c r="E950" s="594">
        <v>117.4101347239318</v>
      </c>
      <c r="F950" s="595">
        <v>403.96599413311975</v>
      </c>
      <c r="G950" s="596">
        <v>194.79734362418625</v>
      </c>
      <c r="H950" s="594">
        <v>271.5680068230443</v>
      </c>
      <c r="I950" s="594">
        <v>202.96643593416189</v>
      </c>
      <c r="J950" s="597"/>
    </row>
    <row r="951" spans="1:10">
      <c r="A951" s="586">
        <v>30</v>
      </c>
      <c r="B951" s="615">
        <v>121</v>
      </c>
      <c r="C951" s="609">
        <v>203.29999999999998</v>
      </c>
      <c r="D951" s="594">
        <v>214.88291033104079</v>
      </c>
      <c r="E951" s="594">
        <v>120.29430526239724</v>
      </c>
      <c r="F951" s="595">
        <v>409.66383112146872</v>
      </c>
      <c r="G951" s="596">
        <v>196.68045302541822</v>
      </c>
      <c r="H951" s="594">
        <v>271.94252224934581</v>
      </c>
      <c r="I951" s="594">
        <v>203.53460641906369</v>
      </c>
      <c r="J951" s="597"/>
    </row>
    <row r="952" spans="1:10">
      <c r="A952" s="586">
        <v>30</v>
      </c>
      <c r="B952" s="615">
        <v>128</v>
      </c>
      <c r="C952" s="609">
        <v>223.3</v>
      </c>
      <c r="D952" s="594">
        <v>218.87850326818764</v>
      </c>
      <c r="E952" s="594">
        <v>123.02647998973295</v>
      </c>
      <c r="F952" s="595">
        <v>414.90854313577904</v>
      </c>
      <c r="G952" s="596">
        <v>198.39199110760478</v>
      </c>
      <c r="H952" s="594">
        <v>272.20220328552898</v>
      </c>
      <c r="I952" s="594">
        <v>203.97763162197222</v>
      </c>
      <c r="J952" s="597"/>
    </row>
    <row r="953" spans="1:10">
      <c r="A953" s="586">
        <v>30</v>
      </c>
      <c r="B953" s="615">
        <v>135</v>
      </c>
      <c r="C953" s="609">
        <v>240</v>
      </c>
      <c r="D953" s="594">
        <v>222.6173003384898</v>
      </c>
      <c r="E953" s="594">
        <v>125.61972543751962</v>
      </c>
      <c r="F953" s="595">
        <v>419.75325181968316</v>
      </c>
      <c r="G953" s="596">
        <v>199.95455336575142</v>
      </c>
      <c r="H953" s="594">
        <v>272.38224932593562</v>
      </c>
      <c r="I953" s="594">
        <v>204.3232357356724</v>
      </c>
      <c r="J953" s="597"/>
    </row>
    <row r="954" spans="1:10">
      <c r="A954" s="586">
        <v>30</v>
      </c>
      <c r="B954" s="615">
        <v>142</v>
      </c>
      <c r="C954" s="609">
        <v>229.99999999999997</v>
      </c>
      <c r="D954" s="594">
        <v>226.12281855934324</v>
      </c>
      <c r="E954" s="594">
        <v>128.08542593100537</v>
      </c>
      <c r="F954" s="595">
        <v>424.24291511836009</v>
      </c>
      <c r="G954" s="596">
        <v>201.38690665570286</v>
      </c>
      <c r="H954" s="594">
        <v>272.50707619988987</v>
      </c>
      <c r="I954" s="594">
        <v>204.59293829093491</v>
      </c>
      <c r="J954" s="597"/>
    </row>
    <row r="955" spans="1:10">
      <c r="A955" s="586">
        <v>30</v>
      </c>
      <c r="B955" s="615">
        <v>149</v>
      </c>
      <c r="C955" s="609">
        <v>226.7</v>
      </c>
      <c r="D955" s="594">
        <v>229.41562144785692</v>
      </c>
      <c r="E955" s="594">
        <v>130.43357540882559</v>
      </c>
      <c r="F955" s="595">
        <v>428.41586876780593</v>
      </c>
      <c r="G955" s="596">
        <v>202.70477262997454</v>
      </c>
      <c r="H955" s="594">
        <v>272.59361673586307</v>
      </c>
      <c r="I955" s="594">
        <v>204.80346741368183</v>
      </c>
      <c r="J955" s="597"/>
    </row>
    <row r="956" spans="1:10">
      <c r="A956" s="586">
        <v>30</v>
      </c>
      <c r="B956" s="615">
        <v>156</v>
      </c>
      <c r="C956" s="609">
        <v>216.7</v>
      </c>
      <c r="D956" s="594">
        <v>232.5138019275638</v>
      </c>
      <c r="E956" s="594">
        <v>132.67300643777119</v>
      </c>
      <c r="F956" s="595">
        <v>432.30502470053369</v>
      </c>
      <c r="G956" s="596">
        <v>203.92142512355531</v>
      </c>
      <c r="H956" s="594">
        <v>272.65361270003388</v>
      </c>
      <c r="I956" s="594">
        <v>204.96784151800207</v>
      </c>
      <c r="J956" s="597"/>
    </row>
    <row r="957" spans="1:10">
      <c r="A957" s="586">
        <v>30</v>
      </c>
      <c r="B957" s="615">
        <v>163</v>
      </c>
      <c r="C957" s="609">
        <v>219.99999999999997</v>
      </c>
      <c r="D957" s="594">
        <v>235.43336775944977</v>
      </c>
      <c r="E957" s="594">
        <v>134.81157230442062</v>
      </c>
      <c r="F957" s="595">
        <v>435.93881378357383</v>
      </c>
      <c r="G957" s="596">
        <v>205.04815138938312</v>
      </c>
      <c r="H957" s="594">
        <v>272.69520550761223</v>
      </c>
      <c r="I957" s="594">
        <v>205.09620098078921</v>
      </c>
      <c r="J957" s="597"/>
    </row>
    <row r="958" spans="1:10">
      <c r="A958" s="586">
        <v>30</v>
      </c>
      <c r="B958" s="615">
        <v>170</v>
      </c>
      <c r="C958" s="609">
        <v>233.3</v>
      </c>
      <c r="D958" s="594">
        <v>238.18855272303037</v>
      </c>
      <c r="E958" s="594">
        <v>136.85629350993958</v>
      </c>
      <c r="F958" s="595">
        <v>439.34193535573166</v>
      </c>
      <c r="G958" s="596">
        <v>206.09461226415016</v>
      </c>
      <c r="H958" s="594">
        <v>272.72403985329441</v>
      </c>
      <c r="I958" s="594">
        <v>205.19644984978265</v>
      </c>
      <c r="J958" s="597"/>
    </row>
    <row r="959" spans="1:10">
      <c r="A959" s="586">
        <v>30</v>
      </c>
      <c r="B959" s="615">
        <v>177</v>
      </c>
      <c r="C959" s="609">
        <v>213.3</v>
      </c>
      <c r="D959" s="594">
        <v>240.79207045932949</v>
      </c>
      <c r="E959" s="594">
        <v>138.81347688606812</v>
      </c>
      <c r="F959" s="595">
        <v>442.53595892431792</v>
      </c>
      <c r="G959" s="596">
        <v>207.06912632658535</v>
      </c>
      <c r="H959" s="594">
        <v>272.74402921650761</v>
      </c>
      <c r="I959" s="594">
        <v>205.274752343703</v>
      </c>
      <c r="J959" s="597"/>
    </row>
    <row r="960" spans="1:10">
      <c r="A960" s="586">
        <v>30</v>
      </c>
      <c r="B960" s="615">
        <v>184</v>
      </c>
      <c r="C960" s="609">
        <v>216.7</v>
      </c>
      <c r="D960" s="594">
        <v>243.25532348392309</v>
      </c>
      <c r="E960" s="594">
        <v>140.68881338867166</v>
      </c>
      <c r="F960" s="595">
        <v>445.53981143855401</v>
      </c>
      <c r="G960" s="596">
        <v>207.97889621583971</v>
      </c>
      <c r="H960" s="594">
        <v>272.75788674355567</v>
      </c>
      <c r="I960" s="594">
        <v>205.33591783077981</v>
      </c>
      <c r="J960" s="597"/>
    </row>
    <row r="961" spans="1:10">
      <c r="A961" s="586">
        <v>30</v>
      </c>
      <c r="B961" s="615">
        <v>245</v>
      </c>
      <c r="C961" s="609">
        <v>226.7</v>
      </c>
      <c r="D961" s="594">
        <v>260.08808157000777</v>
      </c>
      <c r="E961" s="594">
        <v>154.22933077446788</v>
      </c>
      <c r="F961" s="595">
        <v>465.72087398098262</v>
      </c>
      <c r="G961" s="596">
        <v>213.92471468232867</v>
      </c>
      <c r="H961" s="594">
        <v>272.78791733565356</v>
      </c>
      <c r="I961" s="594">
        <v>205.5289490467695</v>
      </c>
      <c r="J961" s="597"/>
    </row>
    <row r="962" spans="1:10">
      <c r="A962" s="586">
        <v>30</v>
      </c>
      <c r="B962" s="615">
        <v>306</v>
      </c>
      <c r="C962" s="609">
        <v>226.7</v>
      </c>
      <c r="D962" s="594">
        <v>271.27600240767441</v>
      </c>
      <c r="E962" s="594">
        <v>164.14227715270741</v>
      </c>
      <c r="F962" s="595">
        <v>479.04197232154866</v>
      </c>
      <c r="G962" s="596">
        <v>217.6941966155546</v>
      </c>
      <c r="H962" s="594">
        <v>272.78915035284376</v>
      </c>
      <c r="I962" s="594">
        <v>205.55142616417933</v>
      </c>
      <c r="J962" s="597"/>
    </row>
    <row r="963" spans="1:10">
      <c r="A963" s="586">
        <v>30</v>
      </c>
      <c r="B963" s="615">
        <v>365</v>
      </c>
      <c r="C963" s="609">
        <v>243.30000000000004</v>
      </c>
      <c r="D963" s="594">
        <v>278.85285805036631</v>
      </c>
      <c r="E963" s="594">
        <v>171.45171807324505</v>
      </c>
      <c r="F963" s="595">
        <v>488.23665424314368</v>
      </c>
      <c r="G963" s="596">
        <v>220.2259320554432</v>
      </c>
      <c r="H963" s="594">
        <v>272.78920073923803</v>
      </c>
      <c r="I963" s="594">
        <v>205.55401926890644</v>
      </c>
      <c r="J963" s="597"/>
    </row>
    <row r="964" spans="1:10">
      <c r="A964" s="586">
        <v>30</v>
      </c>
      <c r="B964" s="615">
        <v>426</v>
      </c>
      <c r="C964" s="609">
        <v>250</v>
      </c>
      <c r="D964" s="594">
        <v>284.52736136635031</v>
      </c>
      <c r="E964" s="594">
        <v>177.36278721115889</v>
      </c>
      <c r="F964" s="595">
        <v>495.37034963204007</v>
      </c>
      <c r="G964" s="596">
        <v>222.15150540611981</v>
      </c>
      <c r="H964" s="594">
        <v>272.78920304722504</v>
      </c>
      <c r="I964" s="594">
        <v>205.55434656202928</v>
      </c>
      <c r="J964" s="597"/>
    </row>
    <row r="965" spans="1:10">
      <c r="A965" s="586">
        <v>30</v>
      </c>
      <c r="B965" s="615">
        <v>487</v>
      </c>
      <c r="C965" s="609">
        <v>216.7</v>
      </c>
      <c r="D965" s="594">
        <v>288.7230723938149</v>
      </c>
      <c r="E965" s="594">
        <v>182.05776797394986</v>
      </c>
      <c r="F965" s="595">
        <v>500.89928005118855</v>
      </c>
      <c r="G965" s="596">
        <v>223.62100618770231</v>
      </c>
      <c r="H965" s="594">
        <v>272.78920314198706</v>
      </c>
      <c r="I965" s="594">
        <v>205.55438468972827</v>
      </c>
      <c r="J965" s="597"/>
    </row>
    <row r="966" spans="1:10">
      <c r="A966" s="587">
        <v>30</v>
      </c>
      <c r="B966" s="616">
        <v>549</v>
      </c>
      <c r="C966" s="610">
        <v>226.7</v>
      </c>
      <c r="D966" s="598">
        <v>291.93753789960982</v>
      </c>
      <c r="E966" s="598">
        <v>185.90230843769348</v>
      </c>
      <c r="F966" s="599">
        <v>505.37586509942753</v>
      </c>
      <c r="G966" s="600">
        <v>224.79632912541777</v>
      </c>
      <c r="H966" s="598">
        <v>272.78920314588635</v>
      </c>
      <c r="I966" s="598">
        <v>205.55438915166246</v>
      </c>
      <c r="J966" s="601"/>
    </row>
    <row r="967" spans="1:10">
      <c r="A967" s="587">
        <v>30</v>
      </c>
      <c r="B967" s="616">
        <v>610</v>
      </c>
      <c r="C967" s="610">
        <v>226.7</v>
      </c>
      <c r="D967" s="598">
        <v>294.3639464663803</v>
      </c>
      <c r="E967" s="598">
        <v>188.98993081851825</v>
      </c>
      <c r="F967" s="599">
        <v>508.96689631067045</v>
      </c>
      <c r="G967" s="600">
        <v>225.72987249909437</v>
      </c>
      <c r="H967" s="598">
        <v>272.78920314603795</v>
      </c>
      <c r="I967" s="598">
        <v>205.55438965117011</v>
      </c>
      <c r="J967" s="601"/>
    </row>
    <row r="968" spans="1:10">
      <c r="A968" s="587">
        <v>30</v>
      </c>
      <c r="B968" s="616">
        <v>671</v>
      </c>
      <c r="C968" s="610">
        <v>250</v>
      </c>
      <c r="D968" s="598">
        <v>296.25786301711344</v>
      </c>
      <c r="E968" s="598">
        <v>191.54272193082556</v>
      </c>
      <c r="F968" s="599">
        <v>511.95556589933864</v>
      </c>
      <c r="G968" s="600">
        <v>226.5005738976844</v>
      </c>
      <c r="H968" s="598">
        <v>272.7892031460442</v>
      </c>
      <c r="I968" s="598">
        <v>205.55438970935981</v>
      </c>
      <c r="J968" s="601"/>
    </row>
    <row r="969" spans="1:10">
      <c r="A969" s="587">
        <v>30</v>
      </c>
      <c r="B969" s="616">
        <v>731</v>
      </c>
      <c r="C969" s="610">
        <v>226.7</v>
      </c>
      <c r="D969" s="598">
        <v>297.73325851091988</v>
      </c>
      <c r="E969" s="598">
        <v>193.6413845615011</v>
      </c>
      <c r="F969" s="599">
        <v>514.44356924676276</v>
      </c>
      <c r="G969" s="600">
        <v>227.13786413060751</v>
      </c>
      <c r="H969" s="598">
        <v>272.78920314604443</v>
      </c>
      <c r="I969" s="598">
        <v>205.55438971610653</v>
      </c>
      <c r="J969" s="601"/>
    </row>
    <row r="970" spans="1:10">
      <c r="A970" s="587">
        <v>30</v>
      </c>
      <c r="B970" s="616">
        <v>1126</v>
      </c>
      <c r="C970" s="610">
        <v>231.1</v>
      </c>
      <c r="D970" s="598">
        <v>302.50785535349991</v>
      </c>
      <c r="E970" s="598">
        <v>201.53498180836939</v>
      </c>
      <c r="F970" s="599">
        <v>524.52247507886216</v>
      </c>
      <c r="G970" s="600">
        <v>229.67998128104264</v>
      </c>
      <c r="H970" s="598">
        <v>272.78920314604443</v>
      </c>
      <c r="I970" s="598">
        <v>205.55438971703239</v>
      </c>
      <c r="J970" s="601"/>
    </row>
    <row r="971" spans="1:10">
      <c r="A971" s="587">
        <v>30</v>
      </c>
      <c r="B971" s="616">
        <v>1154</v>
      </c>
      <c r="C971" s="610">
        <v>219.99999999999997</v>
      </c>
      <c r="D971" s="598">
        <v>302.67267171698609</v>
      </c>
      <c r="E971" s="598">
        <v>201.85917449314459</v>
      </c>
      <c r="F971" s="599">
        <v>524.98740401475391</v>
      </c>
      <c r="G971" s="600">
        <v>229.79573021006124</v>
      </c>
      <c r="H971" s="598">
        <v>272.78920314604443</v>
      </c>
      <c r="I971" s="598">
        <v>205.55438971703239</v>
      </c>
      <c r="J971" s="601"/>
    </row>
    <row r="972" spans="1:10">
      <c r="A972" s="587">
        <v>30</v>
      </c>
      <c r="B972" s="616">
        <v>1215</v>
      </c>
      <c r="C972" s="610">
        <v>236.7</v>
      </c>
      <c r="D972" s="598">
        <v>302.98961158943484</v>
      </c>
      <c r="E972" s="598">
        <v>202.50012772385074</v>
      </c>
      <c r="F972" s="599">
        <v>525.92943777654966</v>
      </c>
      <c r="G972" s="600">
        <v>230.02985288698375</v>
      </c>
      <c r="H972" s="598">
        <v>272.78920314604443</v>
      </c>
      <c r="I972" s="598">
        <v>205.55438971703239</v>
      </c>
      <c r="J972" s="601"/>
    </row>
    <row r="973" spans="1:10">
      <c r="A973" s="587">
        <v>30</v>
      </c>
      <c r="B973" s="616">
        <v>1280</v>
      </c>
      <c r="C973" s="610">
        <v>244.4</v>
      </c>
      <c r="D973" s="598">
        <v>303.27349119798475</v>
      </c>
      <c r="E973" s="598">
        <v>203.09691151517947</v>
      </c>
      <c r="F973" s="599">
        <v>526.83867700900407</v>
      </c>
      <c r="G973" s="600">
        <v>230.2553098070812</v>
      </c>
      <c r="H973" s="598">
        <v>272.78920314604443</v>
      </c>
      <c r="I973" s="598">
        <v>205.55438971703239</v>
      </c>
      <c r="J973" s="601"/>
    </row>
    <row r="974" spans="1:10">
      <c r="A974" s="587">
        <v>30</v>
      </c>
      <c r="B974" s="616">
        <v>1354</v>
      </c>
      <c r="C974" s="610">
        <v>248.89999999999998</v>
      </c>
      <c r="D974" s="598">
        <v>303.54189282555939</v>
      </c>
      <c r="E974" s="598">
        <v>203.68497833785912</v>
      </c>
      <c r="F974" s="599">
        <v>527.7718754506958</v>
      </c>
      <c r="G974" s="600">
        <v>230.48618236171203</v>
      </c>
      <c r="H974" s="598">
        <v>272.78920314604443</v>
      </c>
      <c r="I974" s="598">
        <v>205.55438971703239</v>
      </c>
      <c r="J974" s="601"/>
    </row>
    <row r="975" spans="1:10">
      <c r="A975" s="587">
        <v>30</v>
      </c>
      <c r="B975" s="616">
        <v>1413</v>
      </c>
      <c r="C975" s="610">
        <v>246.70000000000002</v>
      </c>
      <c r="D975" s="598">
        <v>303.72177090416858</v>
      </c>
      <c r="E975" s="598">
        <v>204.09466986281325</v>
      </c>
      <c r="F975" s="599">
        <v>528.44862057859336</v>
      </c>
      <c r="G975" s="600">
        <v>230.65327629037256</v>
      </c>
      <c r="H975" s="598">
        <v>272.78920314604443</v>
      </c>
      <c r="I975" s="598">
        <v>205.55438971703239</v>
      </c>
      <c r="J975" s="601"/>
    </row>
    <row r="976" spans="1:10">
      <c r="A976" s="587">
        <v>30</v>
      </c>
      <c r="B976" s="616">
        <v>1512</v>
      </c>
      <c r="C976" s="610">
        <v>247.8</v>
      </c>
      <c r="D976" s="598">
        <v>303.96946323786381</v>
      </c>
      <c r="E976" s="598">
        <v>204.68400200277952</v>
      </c>
      <c r="F976" s="599">
        <v>529.46986998051921</v>
      </c>
      <c r="G976" s="600">
        <v>230.90490332760959</v>
      </c>
      <c r="H976" s="598">
        <v>272.78920314604443</v>
      </c>
      <c r="I976" s="598">
        <v>205.55438971703239</v>
      </c>
      <c r="J976" s="601"/>
    </row>
    <row r="977" spans="1:10">
      <c r="A977" s="587">
        <v>30</v>
      </c>
      <c r="B977" s="616">
        <v>1603</v>
      </c>
      <c r="C977" s="610">
        <v>244.4</v>
      </c>
      <c r="D977" s="598">
        <v>304.14987948661945</v>
      </c>
      <c r="E977" s="598">
        <v>205.13607386305526</v>
      </c>
      <c r="F977" s="599">
        <v>530.30119388700575</v>
      </c>
      <c r="G977" s="600">
        <v>231.10926646171129</v>
      </c>
      <c r="H977" s="598">
        <v>272.78920314604443</v>
      </c>
      <c r="I977" s="598">
        <v>205.55438971703239</v>
      </c>
      <c r="J977" s="601"/>
    </row>
    <row r="978" spans="1:10">
      <c r="A978" s="587">
        <v>30</v>
      </c>
      <c r="B978" s="616">
        <v>1695</v>
      </c>
      <c r="C978" s="610">
        <v>243.30000000000004</v>
      </c>
      <c r="D978" s="598">
        <v>304.29681649364471</v>
      </c>
      <c r="E978" s="598">
        <v>205.52236080923711</v>
      </c>
      <c r="F978" s="599">
        <v>531.05390238094515</v>
      </c>
      <c r="G978" s="600">
        <v>231.29394214271812</v>
      </c>
      <c r="H978" s="598">
        <v>272.78920314604443</v>
      </c>
      <c r="I978" s="598">
        <v>205.55438971703239</v>
      </c>
      <c r="J978" s="601"/>
    </row>
    <row r="979" spans="1:10">
      <c r="A979" s="587">
        <v>30</v>
      </c>
      <c r="B979" s="616">
        <v>1787</v>
      </c>
      <c r="C979" s="610">
        <v>251.10000000000002</v>
      </c>
      <c r="D979" s="598">
        <v>304.41583411211423</v>
      </c>
      <c r="E979" s="598">
        <v>205.85023406838695</v>
      </c>
      <c r="F979" s="599">
        <v>531.73153521576705</v>
      </c>
      <c r="G979" s="600">
        <v>231.45990473776715</v>
      </c>
      <c r="H979" s="598">
        <v>272.78920314604443</v>
      </c>
      <c r="I979" s="598">
        <v>205.55438971703239</v>
      </c>
      <c r="J979" s="601"/>
    </row>
    <row r="980" spans="1:10">
      <c r="A980" s="587">
        <v>30</v>
      </c>
      <c r="B980" s="616">
        <v>1918</v>
      </c>
      <c r="C980" s="610">
        <v>256.7</v>
      </c>
      <c r="D980" s="598">
        <v>304.54844833210342</v>
      </c>
      <c r="E980" s="598">
        <v>206.23588621522023</v>
      </c>
      <c r="F980" s="599">
        <v>532.58752422732846</v>
      </c>
      <c r="G980" s="600">
        <v>231.66915275544406</v>
      </c>
      <c r="H980" s="598">
        <v>272.78920314604443</v>
      </c>
      <c r="I980" s="598">
        <v>205.55438971703239</v>
      </c>
      <c r="J980" s="601"/>
    </row>
    <row r="981" spans="1:10">
      <c r="A981" s="587">
        <v>30</v>
      </c>
      <c r="B981" s="616">
        <v>2009</v>
      </c>
      <c r="C981" s="610">
        <v>245.6</v>
      </c>
      <c r="D981" s="598">
        <v>304.62091818179374</v>
      </c>
      <c r="E981" s="598">
        <v>206.45823071356301</v>
      </c>
      <c r="F981" s="599">
        <v>533.118275484371</v>
      </c>
      <c r="G981" s="600">
        <v>231.79867375003238</v>
      </c>
      <c r="H981" s="598">
        <v>272.78920314604443</v>
      </c>
      <c r="I981" s="598">
        <v>205.55438971703239</v>
      </c>
      <c r="J981" s="601"/>
    </row>
    <row r="982" spans="1:10">
      <c r="A982" s="587">
        <v>30</v>
      </c>
      <c r="B982" s="616">
        <v>2112</v>
      </c>
      <c r="C982" s="610">
        <v>246.70000000000002</v>
      </c>
      <c r="D982" s="598">
        <v>304.68798306022438</v>
      </c>
      <c r="E982" s="598">
        <v>206.67338791424362</v>
      </c>
      <c r="F982" s="599">
        <v>533.66530709138112</v>
      </c>
      <c r="G982" s="600">
        <v>231.93199005095977</v>
      </c>
      <c r="H982" s="598">
        <v>272.78920314604443</v>
      </c>
      <c r="I982" s="598">
        <v>205.55438971703239</v>
      </c>
      <c r="J982" s="601"/>
    </row>
    <row r="983" spans="1:10">
      <c r="A983" s="587">
        <v>30</v>
      </c>
      <c r="B983" s="616">
        <v>2210</v>
      </c>
      <c r="C983" s="610">
        <v>245.6</v>
      </c>
      <c r="D983" s="598">
        <v>304.74002650229249</v>
      </c>
      <c r="E983" s="598">
        <v>206.84809421344022</v>
      </c>
      <c r="F983" s="599">
        <v>534.13965581790364</v>
      </c>
      <c r="G983" s="600">
        <v>232.04744710141276</v>
      </c>
      <c r="H983" s="598">
        <v>272.78920314604443</v>
      </c>
      <c r="I983" s="598">
        <v>205.55438971703239</v>
      </c>
      <c r="J983" s="601"/>
    </row>
    <row r="984" spans="1:10">
      <c r="A984" s="587">
        <v>30</v>
      </c>
      <c r="B984" s="616">
        <v>2316</v>
      </c>
      <c r="C984" s="610">
        <v>248.89999999999998</v>
      </c>
      <c r="D984" s="598">
        <v>304.786066445936</v>
      </c>
      <c r="E984" s="598">
        <v>207.00970529752163</v>
      </c>
      <c r="F984" s="599">
        <v>534.60863784333878</v>
      </c>
      <c r="G984" s="600">
        <v>232.16146489623867</v>
      </c>
      <c r="H984" s="598">
        <v>272.78920314604443</v>
      </c>
      <c r="I984" s="598">
        <v>205.55438971703239</v>
      </c>
      <c r="J984" s="601"/>
    </row>
    <row r="985" spans="1:10">
      <c r="A985" s="587">
        <v>30</v>
      </c>
      <c r="B985" s="616">
        <v>2479</v>
      </c>
      <c r="C985" s="610">
        <v>246.70000000000002</v>
      </c>
      <c r="D985" s="598">
        <v>304.84090775880043</v>
      </c>
      <c r="E985" s="598">
        <v>207.2133895098992</v>
      </c>
      <c r="F985" s="599">
        <v>535.25334245884778</v>
      </c>
      <c r="G985" s="600">
        <v>232.31798836397729</v>
      </c>
      <c r="H985" s="598">
        <v>272.78920314604443</v>
      </c>
      <c r="I985" s="598">
        <v>205.55438971703239</v>
      </c>
      <c r="J985" s="601"/>
    </row>
    <row r="986" spans="1:10">
      <c r="A986" s="587">
        <v>30</v>
      </c>
      <c r="B986" s="616">
        <v>2589</v>
      </c>
      <c r="C986" s="610">
        <v>243.30000000000004</v>
      </c>
      <c r="D986" s="598">
        <v>304.86955584391325</v>
      </c>
      <c r="E986" s="598">
        <v>207.32607943220253</v>
      </c>
      <c r="F986" s="599">
        <v>535.64354802934758</v>
      </c>
      <c r="G986" s="600">
        <v>232.41260261599774</v>
      </c>
      <c r="H986" s="598">
        <v>272.78920314604443</v>
      </c>
      <c r="I986" s="598">
        <v>205.55438971703239</v>
      </c>
      <c r="J986" s="601"/>
    </row>
    <row r="987" spans="1:10">
      <c r="A987" s="587">
        <v>30</v>
      </c>
      <c r="B987" s="616">
        <v>2743</v>
      </c>
      <c r="C987" s="610">
        <v>250</v>
      </c>
      <c r="D987" s="598">
        <v>304.90121612426884</v>
      </c>
      <c r="E987" s="598">
        <v>207.45733020196852</v>
      </c>
      <c r="F987" s="599">
        <v>536.13834847593807</v>
      </c>
      <c r="G987" s="600">
        <v>232.53244709983846</v>
      </c>
      <c r="H987" s="598">
        <v>272.78920314604443</v>
      </c>
      <c r="I987" s="598">
        <v>205.55438971703239</v>
      </c>
      <c r="J987" s="601"/>
    </row>
    <row r="988" spans="1:10">
      <c r="A988" s="587">
        <v>30</v>
      </c>
      <c r="B988" s="616">
        <v>2858</v>
      </c>
      <c r="C988" s="610">
        <v>238.90000000000003</v>
      </c>
      <c r="D988" s="598">
        <v>304.91985772040022</v>
      </c>
      <c r="E988" s="598">
        <v>207.53884311950338</v>
      </c>
      <c r="F988" s="599">
        <v>536.47375781842015</v>
      </c>
      <c r="G988" s="600">
        <v>232.61360248571029</v>
      </c>
      <c r="H988" s="598">
        <v>272.78920314604443</v>
      </c>
      <c r="I988" s="598">
        <v>205.55438971703239</v>
      </c>
      <c r="J988" s="601"/>
    </row>
    <row r="989" spans="1:10">
      <c r="A989" s="587">
        <v>30</v>
      </c>
      <c r="B989" s="616">
        <v>2962</v>
      </c>
      <c r="C989" s="610">
        <v>238.90000000000003</v>
      </c>
      <c r="D989" s="598">
        <v>304.93382761722751</v>
      </c>
      <c r="E989" s="598">
        <v>207.60255374413327</v>
      </c>
      <c r="F989" s="599">
        <v>536.75508922421795</v>
      </c>
      <c r="G989" s="600">
        <v>232.68162132783513</v>
      </c>
      <c r="H989" s="598">
        <v>272.78920314604443</v>
      </c>
      <c r="I989" s="598">
        <v>205.55438971703239</v>
      </c>
      <c r="J989" s="601"/>
    </row>
    <row r="990" spans="1:10">
      <c r="A990" s="587">
        <v>30</v>
      </c>
      <c r="B990" s="616">
        <v>3050</v>
      </c>
      <c r="C990" s="610">
        <v>238.90000000000003</v>
      </c>
      <c r="D990" s="598">
        <v>304.9438834409072</v>
      </c>
      <c r="E990" s="598">
        <v>207.65010722286257</v>
      </c>
      <c r="F990" s="599">
        <v>536.97843377513436</v>
      </c>
      <c r="G990" s="600">
        <v>232.7355867234786</v>
      </c>
      <c r="H990" s="598">
        <v>272.78920314604443</v>
      </c>
      <c r="I990" s="598">
        <v>205.55438971703239</v>
      </c>
      <c r="J990" s="601"/>
    </row>
    <row r="991" spans="1:10">
      <c r="A991" s="587">
        <v>30</v>
      </c>
      <c r="B991" s="616">
        <v>3213</v>
      </c>
      <c r="C991" s="610">
        <v>234.39999999999998</v>
      </c>
      <c r="D991" s="598">
        <v>304.95906732265627</v>
      </c>
      <c r="E991" s="598">
        <v>207.72524810730104</v>
      </c>
      <c r="F991" s="599">
        <v>537.3603854832071</v>
      </c>
      <c r="G991" s="600">
        <v>232.82780636015301</v>
      </c>
      <c r="H991" s="598">
        <v>272.78920314604443</v>
      </c>
      <c r="I991" s="598">
        <v>205.55438971703239</v>
      </c>
      <c r="J991" s="601"/>
    </row>
    <row r="992" spans="1:10">
      <c r="A992" s="587">
        <v>30</v>
      </c>
      <c r="B992" s="616">
        <v>3214</v>
      </c>
      <c r="C992" s="610">
        <v>234.39999999999998</v>
      </c>
      <c r="D992" s="598">
        <v>304.95914864805292</v>
      </c>
      <c r="E992" s="598">
        <v>207.72566321871105</v>
      </c>
      <c r="F992" s="599">
        <v>537.36261130184596</v>
      </c>
      <c r="G992" s="600">
        <v>232.82834351362081</v>
      </c>
      <c r="H992" s="598">
        <v>272.78920314604443</v>
      </c>
      <c r="I992" s="598">
        <v>205.55438971703239</v>
      </c>
      <c r="J992" s="601"/>
    </row>
    <row r="993" spans="1:10">
      <c r="A993" s="619">
        <v>31</v>
      </c>
      <c r="B993" s="620">
        <v>10</v>
      </c>
      <c r="C993" s="621">
        <v>176.70000000000002</v>
      </c>
      <c r="D993" s="622">
        <v>30.969310026453247</v>
      </c>
      <c r="E993" s="622">
        <v>144.4271262664416</v>
      </c>
      <c r="F993" s="623">
        <v>64.313810119526579</v>
      </c>
      <c r="G993" s="624">
        <v>202.86890902886012</v>
      </c>
      <c r="H993" s="622">
        <v>32.853603826281272</v>
      </c>
      <c r="I993" s="622">
        <v>181.29126022699802</v>
      </c>
      <c r="J993" s="625">
        <v>134.10103654214652</v>
      </c>
    </row>
    <row r="994" spans="1:10">
      <c r="A994" s="585">
        <v>31</v>
      </c>
      <c r="B994" s="614">
        <v>22</v>
      </c>
      <c r="C994" s="608">
        <v>260</v>
      </c>
      <c r="D994" s="590">
        <v>68.447508253964742</v>
      </c>
      <c r="E994" s="590">
        <v>273.6773125477099</v>
      </c>
      <c r="F994" s="591">
        <v>139.67819746516355</v>
      </c>
      <c r="G994" s="592">
        <v>309.35679013010792</v>
      </c>
      <c r="H994" s="590">
        <v>127.55108335513158</v>
      </c>
      <c r="I994" s="590">
        <v>286.63762226474984</v>
      </c>
      <c r="J994" s="593">
        <v>219.3735229521323</v>
      </c>
    </row>
    <row r="995" spans="1:10">
      <c r="A995" s="585">
        <v>31</v>
      </c>
      <c r="B995" s="614">
        <v>43</v>
      </c>
      <c r="C995" s="608">
        <v>336.7</v>
      </c>
      <c r="D995" s="590">
        <v>103.94530737898299</v>
      </c>
      <c r="E995" s="590">
        <v>341.23364813716478</v>
      </c>
      <c r="F995" s="591">
        <v>206.40141321297668</v>
      </c>
      <c r="G995" s="592">
        <v>344.42787680981053</v>
      </c>
      <c r="H995" s="590">
        <v>229.25408918304277</v>
      </c>
      <c r="I995" s="590">
        <v>339.53730245074922</v>
      </c>
      <c r="J995" s="593">
        <v>312.29173247567223</v>
      </c>
    </row>
    <row r="996" spans="1:10">
      <c r="A996" s="585">
        <v>31</v>
      </c>
      <c r="B996" s="614">
        <v>50</v>
      </c>
      <c r="C996" s="608">
        <v>350.00000000000006</v>
      </c>
      <c r="D996" s="590">
        <v>112.86389930979156</v>
      </c>
      <c r="E996" s="590">
        <v>351.71363679365936</v>
      </c>
      <c r="F996" s="591">
        <v>222.26167555871876</v>
      </c>
      <c r="G996" s="592">
        <v>349.32822264349647</v>
      </c>
      <c r="H996" s="590">
        <v>251.92798498317072</v>
      </c>
      <c r="I996" s="590">
        <v>347.37965507156935</v>
      </c>
      <c r="J996" s="593">
        <v>333.15561414001741</v>
      </c>
    </row>
    <row r="997" spans="1:10">
      <c r="A997" s="585">
        <v>31</v>
      </c>
      <c r="B997" s="614">
        <v>59</v>
      </c>
      <c r="C997" s="608">
        <v>343.29999999999995</v>
      </c>
      <c r="D997" s="590">
        <v>123.08874158019361</v>
      </c>
      <c r="E997" s="590">
        <v>361.35311126092245</v>
      </c>
      <c r="F997" s="591">
        <v>239.95725513546174</v>
      </c>
      <c r="G997" s="592">
        <v>353.87068747149544</v>
      </c>
      <c r="H997" s="590">
        <v>275.41602528703959</v>
      </c>
      <c r="I997" s="590">
        <v>354.26209290402613</v>
      </c>
      <c r="J997" s="593">
        <v>354.34148802986192</v>
      </c>
    </row>
    <row r="998" spans="1:10">
      <c r="A998" s="585">
        <v>31</v>
      </c>
      <c r="B998" s="614">
        <v>71</v>
      </c>
      <c r="C998" s="608">
        <v>340.00000000000006</v>
      </c>
      <c r="D998" s="590">
        <v>135.07226972168908</v>
      </c>
      <c r="E998" s="590">
        <v>369.9996835197374</v>
      </c>
      <c r="F998" s="591">
        <v>260.01392434641991</v>
      </c>
      <c r="G998" s="592">
        <v>358.09411925009681</v>
      </c>
      <c r="H998" s="590">
        <v>299.0768001071873</v>
      </c>
      <c r="I998" s="590">
        <v>359.94289203854379</v>
      </c>
      <c r="J998" s="593">
        <v>374.26532143964278</v>
      </c>
    </row>
    <row r="999" spans="1:10">
      <c r="A999" s="585">
        <v>31</v>
      </c>
      <c r="B999" s="614">
        <v>78</v>
      </c>
      <c r="C999" s="608">
        <v>333.29999999999995</v>
      </c>
      <c r="D999" s="590">
        <v>141.37536567700371</v>
      </c>
      <c r="E999" s="590">
        <v>373.60352594088607</v>
      </c>
      <c r="F999" s="591">
        <v>270.26258877692243</v>
      </c>
      <c r="G999" s="592">
        <v>359.94518196451702</v>
      </c>
      <c r="H999" s="590">
        <v>309.75545642493353</v>
      </c>
      <c r="I999" s="590">
        <v>362.08743581140322</v>
      </c>
      <c r="J999" s="593">
        <v>382.20371960295199</v>
      </c>
    </row>
    <row r="1000" spans="1:10">
      <c r="A1000" s="585">
        <v>31</v>
      </c>
      <c r="B1000" s="614">
        <v>85</v>
      </c>
      <c r="C1000" s="608">
        <v>350.00000000000006</v>
      </c>
      <c r="D1000" s="590">
        <v>147.25990078760191</v>
      </c>
      <c r="E1000" s="590">
        <v>376.47514763081602</v>
      </c>
      <c r="F1000" s="591">
        <v>279.64208417655294</v>
      </c>
      <c r="G1000" s="592">
        <v>361.48563241934181</v>
      </c>
      <c r="H1000" s="590">
        <v>318.61990935391134</v>
      </c>
      <c r="I1000" s="590">
        <v>363.66099147972915</v>
      </c>
      <c r="J1000" s="593">
        <v>387.87990533200019</v>
      </c>
    </row>
    <row r="1001" spans="1:10">
      <c r="A1001" s="585">
        <v>31</v>
      </c>
      <c r="B1001" s="614">
        <v>92</v>
      </c>
      <c r="C1001" s="608">
        <v>380</v>
      </c>
      <c r="D1001" s="590">
        <v>152.77883455521334</v>
      </c>
      <c r="E1001" s="590">
        <v>378.78942028483817</v>
      </c>
      <c r="F1001" s="591">
        <v>288.27304355293643</v>
      </c>
      <c r="G1001" s="592">
        <v>362.78763430273926</v>
      </c>
      <c r="H1001" s="590">
        <v>325.98174170889956</v>
      </c>
      <c r="I1001" s="590">
        <v>364.81875781382246</v>
      </c>
      <c r="J1001" s="593">
        <v>391.64466632001421</v>
      </c>
    </row>
    <row r="1002" spans="1:10">
      <c r="A1002" s="585">
        <v>31</v>
      </c>
      <c r="B1002" s="614">
        <v>99</v>
      </c>
      <c r="C1002" s="608">
        <v>386.70000000000005</v>
      </c>
      <c r="D1002" s="590">
        <v>157.97475333525432</v>
      </c>
      <c r="E1002" s="590">
        <v>380.67311075905258</v>
      </c>
      <c r="F1002" s="591">
        <v>296.25233669791498</v>
      </c>
      <c r="G1002" s="592">
        <v>363.90259548427684</v>
      </c>
      <c r="H1002" s="590">
        <v>332.09786509248852</v>
      </c>
      <c r="I1002" s="590">
        <v>365.67229542715631</v>
      </c>
      <c r="J1002" s="593">
        <v>393.83506154895582</v>
      </c>
    </row>
    <row r="1003" spans="1:10">
      <c r="A1003" s="586">
        <v>31</v>
      </c>
      <c r="B1003" s="615">
        <v>106</v>
      </c>
      <c r="C1003" s="609">
        <v>386.70000000000005</v>
      </c>
      <c r="D1003" s="594">
        <v>162.88254907904903</v>
      </c>
      <c r="E1003" s="594">
        <v>382.21983140220846</v>
      </c>
      <c r="F1003" s="595">
        <v>303.6591079924882</v>
      </c>
      <c r="G1003" s="596">
        <v>364.86813220487471</v>
      </c>
      <c r="H1003" s="594">
        <v>337.18052299855896</v>
      </c>
      <c r="I1003" s="594">
        <v>366.30245892408817</v>
      </c>
      <c r="J1003" s="597">
        <v>394.76814934600435</v>
      </c>
    </row>
    <row r="1004" spans="1:10">
      <c r="A1004" s="586">
        <v>31</v>
      </c>
      <c r="B1004" s="615">
        <v>113</v>
      </c>
      <c r="C1004" s="609">
        <v>380</v>
      </c>
      <c r="D1004" s="594">
        <v>167.53126395559943</v>
      </c>
      <c r="E1004" s="594">
        <v>383.49983006059176</v>
      </c>
      <c r="F1004" s="595">
        <v>310.55896392570276</v>
      </c>
      <c r="G1004" s="596">
        <v>365.71240472942833</v>
      </c>
      <c r="H1004" s="594">
        <v>341.4053140087297</v>
      </c>
      <c r="I1004" s="594">
        <v>366.76819956159443</v>
      </c>
      <c r="J1004" s="597">
        <v>394.7332666484499</v>
      </c>
    </row>
    <row r="1005" spans="1:10">
      <c r="A1005" s="586">
        <v>31</v>
      </c>
      <c r="B1005" s="615">
        <v>120</v>
      </c>
      <c r="C1005" s="609">
        <v>380</v>
      </c>
      <c r="D1005" s="594">
        <v>171.94539872130724</v>
      </c>
      <c r="E1005" s="594">
        <v>384.56656936507136</v>
      </c>
      <c r="F1005" s="595">
        <v>317.00696332386906</v>
      </c>
      <c r="G1005" s="596">
        <v>366.45691372924966</v>
      </c>
      <c r="H1005" s="594">
        <v>344.91768258904892</v>
      </c>
      <c r="I1005" s="594">
        <v>367.11268676681073</v>
      </c>
      <c r="J1005" s="597">
        <v>393.98522935277288</v>
      </c>
    </row>
    <row r="1006" spans="1:10">
      <c r="A1006" s="586">
        <v>31</v>
      </c>
      <c r="B1006" s="615">
        <v>127</v>
      </c>
      <c r="C1006" s="609">
        <v>380</v>
      </c>
      <c r="D1006" s="594">
        <v>176.14586445144289</v>
      </c>
      <c r="E1006" s="594">
        <v>385.46124843310423</v>
      </c>
      <c r="F1006" s="595">
        <v>323.04980616779994</v>
      </c>
      <c r="G1006" s="596">
        <v>367.11835949067006</v>
      </c>
      <c r="H1006" s="594">
        <v>347.83820327017003</v>
      </c>
      <c r="I1006" s="594">
        <v>367.36763438354677</v>
      </c>
      <c r="J1006" s="597">
        <v>392.7400624161142</v>
      </c>
    </row>
    <row r="1007" spans="1:10">
      <c r="A1007" s="586">
        <v>31</v>
      </c>
      <c r="B1007" s="615">
        <v>134</v>
      </c>
      <c r="C1007" s="609">
        <v>380</v>
      </c>
      <c r="D1007" s="594">
        <v>180.15069010219713</v>
      </c>
      <c r="E1007" s="594">
        <v>386.21597193528464</v>
      </c>
      <c r="F1007" s="595">
        <v>328.72747024421415</v>
      </c>
      <c r="G1007" s="596">
        <v>367.70991107290814</v>
      </c>
      <c r="H1007" s="594">
        <v>350.26690269366657</v>
      </c>
      <c r="I1007" s="594">
        <v>367.55639543566446</v>
      </c>
      <c r="J1007" s="597">
        <v>391.17389973728041</v>
      </c>
    </row>
    <row r="1008" spans="1:10">
      <c r="A1008" s="586">
        <v>31</v>
      </c>
      <c r="B1008" s="615">
        <v>141</v>
      </c>
      <c r="C1008" s="609">
        <v>359.99999999999994</v>
      </c>
      <c r="D1008" s="594">
        <v>183.97555864699743</v>
      </c>
      <c r="E1008" s="594">
        <v>386.85600993438493</v>
      </c>
      <c r="F1008" s="595">
        <v>334.07445773443794</v>
      </c>
      <c r="G1008" s="596">
        <v>368.24209295436589</v>
      </c>
      <c r="H1008" s="594">
        <v>352.28680726033417</v>
      </c>
      <c r="I1008" s="594">
        <v>367.69619615085719</v>
      </c>
      <c r="J1008" s="597">
        <v>389.42482313251077</v>
      </c>
    </row>
    <row r="1009" spans="1:10">
      <c r="A1009" s="586">
        <v>31</v>
      </c>
      <c r="B1009" s="615">
        <v>148</v>
      </c>
      <c r="C1009" s="609">
        <v>370</v>
      </c>
      <c r="D1009" s="594">
        <v>187.63422018043076</v>
      </c>
      <c r="E1009" s="594">
        <v>387.40143441791645</v>
      </c>
      <c r="F1009" s="595">
        <v>339.12076018081751</v>
      </c>
      <c r="G1009" s="596">
        <v>368.72341725697879</v>
      </c>
      <c r="H1009" s="594">
        <v>353.96686307706415</v>
      </c>
      <c r="I1009" s="594">
        <v>367.79975962612377</v>
      </c>
      <c r="J1009" s="597">
        <v>387.5968580221795</v>
      </c>
    </row>
    <row r="1010" spans="1:10">
      <c r="A1010" s="586">
        <v>31</v>
      </c>
      <c r="B1010" s="615">
        <v>155</v>
      </c>
      <c r="C1010" s="609">
        <v>356.70000000000005</v>
      </c>
      <c r="D1010" s="594">
        <v>191.13881498913335</v>
      </c>
      <c r="E1010" s="594">
        <v>387.86832098334668</v>
      </c>
      <c r="F1010" s="595">
        <v>343.89261618654893</v>
      </c>
      <c r="G1010" s="596">
        <v>369.16084284816986</v>
      </c>
      <c r="H1010" s="594">
        <v>355.36434436633613</v>
      </c>
      <c r="I1010" s="594">
        <v>367.87649188372183</v>
      </c>
      <c r="J1010" s="597">
        <v>385.76516139309598</v>
      </c>
    </row>
    <row r="1011" spans="1:10">
      <c r="A1011" s="586">
        <v>31</v>
      </c>
      <c r="B1011" s="615">
        <v>162</v>
      </c>
      <c r="C1011" s="609">
        <v>363.3</v>
      </c>
      <c r="D1011" s="594">
        <v>194.50012958922937</v>
      </c>
      <c r="E1011" s="594">
        <v>388.26964234598989</v>
      </c>
      <c r="F1011" s="595">
        <v>348.41311395771493</v>
      </c>
      <c r="G1011" s="596">
        <v>369.56011422158889</v>
      </c>
      <c r="H1011" s="594">
        <v>356.52684326996655</v>
      </c>
      <c r="I1011" s="594">
        <v>367.9333515374488</v>
      </c>
      <c r="J1011" s="597">
        <v>383.98153735824832</v>
      </c>
    </row>
    <row r="1012" spans="1:10">
      <c r="A1012" s="586">
        <v>31</v>
      </c>
      <c r="B1012" s="615">
        <v>178</v>
      </c>
      <c r="C1012" s="609">
        <v>370</v>
      </c>
      <c r="D1012" s="594">
        <v>201.69512607260788</v>
      </c>
      <c r="E1012" s="594">
        <v>388.99402376895364</v>
      </c>
      <c r="F1012" s="595">
        <v>357.90747409708933</v>
      </c>
      <c r="G1012" s="596">
        <v>370.35381595218144</v>
      </c>
      <c r="H1012" s="594">
        <v>358.50240540499067</v>
      </c>
      <c r="I1012" s="594">
        <v>368.01405370873647</v>
      </c>
      <c r="J1012" s="597">
        <v>380.24281543996489</v>
      </c>
    </row>
    <row r="1013" spans="1:10">
      <c r="A1013" s="586">
        <v>31</v>
      </c>
      <c r="B1013" s="615">
        <v>184</v>
      </c>
      <c r="C1013" s="609">
        <v>353.3</v>
      </c>
      <c r="D1013" s="594">
        <v>204.23335700946691</v>
      </c>
      <c r="E1013" s="594">
        <v>389.21079723064577</v>
      </c>
      <c r="F1013" s="595">
        <v>361.19877627377923</v>
      </c>
      <c r="G1013" s="596">
        <v>370.61557705628422</v>
      </c>
      <c r="H1013" s="594">
        <v>359.05373237409754</v>
      </c>
      <c r="I1013" s="594">
        <v>368.03264194314357</v>
      </c>
      <c r="J1013" s="597">
        <v>378.98861965880843</v>
      </c>
    </row>
    <row r="1014" spans="1:10">
      <c r="A1014" s="586">
        <v>31</v>
      </c>
      <c r="B1014" s="615">
        <v>244</v>
      </c>
      <c r="C1014" s="609">
        <v>373.3</v>
      </c>
      <c r="D1014" s="594">
        <v>225.78324858547421</v>
      </c>
      <c r="E1014" s="594">
        <v>390.4426723946994</v>
      </c>
      <c r="F1014" s="595">
        <v>387.98479831510014</v>
      </c>
      <c r="G1014" s="596">
        <v>372.5208275415394</v>
      </c>
      <c r="H1014" s="594">
        <v>361.61515522311737</v>
      </c>
      <c r="I1014" s="594">
        <v>368.09128880183169</v>
      </c>
      <c r="J1014" s="597">
        <v>370.68086077591687</v>
      </c>
    </row>
    <row r="1015" spans="1:10">
      <c r="A1015" s="586">
        <v>31</v>
      </c>
      <c r="B1015" s="615">
        <v>306</v>
      </c>
      <c r="C1015" s="609">
        <v>366.70000000000005</v>
      </c>
      <c r="D1015" s="594">
        <v>242.6541081159115</v>
      </c>
      <c r="E1015" s="594">
        <v>390.89882414000618</v>
      </c>
      <c r="F1015" s="595">
        <v>407.63581808202349</v>
      </c>
      <c r="G1015" s="596">
        <v>373.70086592879545</v>
      </c>
      <c r="H1015" s="594">
        <v>362.15192561749734</v>
      </c>
      <c r="I1015" s="594">
        <v>368.09582501074834</v>
      </c>
      <c r="J1015" s="597">
        <v>367.63535397844851</v>
      </c>
    </row>
    <row r="1016" spans="1:10">
      <c r="A1016" s="586">
        <v>31</v>
      </c>
      <c r="B1016" s="615">
        <v>365</v>
      </c>
      <c r="C1016" s="609">
        <v>363.3</v>
      </c>
      <c r="D1016" s="594">
        <v>255.24861230799806</v>
      </c>
      <c r="E1016" s="594">
        <v>391.07563150655596</v>
      </c>
      <c r="F1016" s="595">
        <v>421.66425259338041</v>
      </c>
      <c r="G1016" s="596">
        <v>374.4500475220899</v>
      </c>
      <c r="H1016" s="594">
        <v>362.25516766662639</v>
      </c>
      <c r="I1016" s="594">
        <v>368.09614165615039</v>
      </c>
      <c r="J1016" s="597">
        <v>366.96898400637599</v>
      </c>
    </row>
    <row r="1017" spans="1:10">
      <c r="A1017" s="586">
        <v>31</v>
      </c>
      <c r="B1017" s="615">
        <v>426</v>
      </c>
      <c r="C1017" s="609">
        <v>356.70000000000005</v>
      </c>
      <c r="D1017" s="594">
        <v>265.72670295894807</v>
      </c>
      <c r="E1017" s="594">
        <v>391.15803569364749</v>
      </c>
      <c r="F1017" s="595">
        <v>432.99569050468392</v>
      </c>
      <c r="G1017" s="596">
        <v>375.00568663549546</v>
      </c>
      <c r="H1017" s="594">
        <v>362.27739545446468</v>
      </c>
      <c r="I1017" s="594">
        <v>368.09616723075072</v>
      </c>
      <c r="J1017" s="597">
        <v>366.65022699622131</v>
      </c>
    </row>
    <row r="1018" spans="1:10">
      <c r="A1018" s="586">
        <v>31</v>
      </c>
      <c r="B1018" s="615">
        <v>487</v>
      </c>
      <c r="C1018" s="609">
        <v>353.3</v>
      </c>
      <c r="D1018" s="594">
        <v>274.27512704050503</v>
      </c>
      <c r="E1018" s="594">
        <v>391.19719303591182</v>
      </c>
      <c r="F1018" s="595">
        <v>442.06815580856829</v>
      </c>
      <c r="G1018" s="596">
        <v>375.42171496060746</v>
      </c>
      <c r="H1018" s="594">
        <v>362.28187443540577</v>
      </c>
      <c r="I1018" s="594">
        <v>368.0961691135505</v>
      </c>
      <c r="J1018" s="597">
        <v>366.36122075399959</v>
      </c>
    </row>
    <row r="1019" spans="1:10">
      <c r="A1019" s="587">
        <v>31</v>
      </c>
      <c r="B1019" s="616">
        <v>548</v>
      </c>
      <c r="C1019" s="610">
        <v>373.3</v>
      </c>
      <c r="D1019" s="598">
        <v>281.34792526680036</v>
      </c>
      <c r="E1019" s="598">
        <v>391.21683713498356</v>
      </c>
      <c r="F1019" s="599">
        <v>449.5004020824357</v>
      </c>
      <c r="G1019" s="600">
        <v>375.74487861413957</v>
      </c>
      <c r="H1019" s="598">
        <v>362.28277696851654</v>
      </c>
      <c r="I1019" s="598">
        <v>368.09616925216199</v>
      </c>
      <c r="J1019" s="601">
        <v>366.07437724372085</v>
      </c>
    </row>
    <row r="1020" spans="1:10">
      <c r="A1020" s="587">
        <v>31</v>
      </c>
      <c r="B1020" s="616">
        <v>609</v>
      </c>
      <c r="C1020" s="610">
        <v>363.3</v>
      </c>
      <c r="D1020" s="598">
        <v>287.26753040517821</v>
      </c>
      <c r="E1020" s="598">
        <v>391.22713656170004</v>
      </c>
      <c r="F1020" s="599">
        <v>455.70278259391756</v>
      </c>
      <c r="G1020" s="600">
        <v>376.00314947505581</v>
      </c>
      <c r="H1020" s="598">
        <v>362.28295883273711</v>
      </c>
      <c r="I1020" s="598">
        <v>368.09616926236657</v>
      </c>
      <c r="J1020" s="601">
        <v>365.78768524679464</v>
      </c>
    </row>
    <row r="1021" spans="1:10">
      <c r="A1021" s="587">
        <v>31</v>
      </c>
      <c r="B1021" s="616">
        <v>671</v>
      </c>
      <c r="C1021" s="610">
        <v>370</v>
      </c>
      <c r="D1021" s="598">
        <v>292.34553486278764</v>
      </c>
      <c r="E1021" s="598">
        <v>391.23280611299214</v>
      </c>
      <c r="F1021" s="599">
        <v>461.03812654760048</v>
      </c>
      <c r="G1021" s="600">
        <v>376.2174312446956</v>
      </c>
      <c r="H1021" s="598">
        <v>362.2829957188477</v>
      </c>
      <c r="I1021" s="598">
        <v>368.09616926312032</v>
      </c>
      <c r="J1021" s="601">
        <v>365.49629403568275</v>
      </c>
    </row>
    <row r="1022" spans="1:10">
      <c r="A1022" s="587">
        <v>31</v>
      </c>
      <c r="B1022" s="616">
        <v>731</v>
      </c>
      <c r="C1022" s="610">
        <v>356.70000000000005</v>
      </c>
      <c r="D1022" s="598">
        <v>296.53291828822307</v>
      </c>
      <c r="E1022" s="598">
        <v>391.23588304405035</v>
      </c>
      <c r="F1022" s="599">
        <v>465.47010317668884</v>
      </c>
      <c r="G1022" s="600">
        <v>376.39012348394152</v>
      </c>
      <c r="H1022" s="598">
        <v>362.28300286355278</v>
      </c>
      <c r="I1022" s="598">
        <v>368.09616926317318</v>
      </c>
      <c r="J1022" s="601">
        <v>365.21429769639929</v>
      </c>
    </row>
    <row r="1023" spans="1:10">
      <c r="A1023" s="587">
        <v>31</v>
      </c>
      <c r="B1023" s="616">
        <v>1090</v>
      </c>
      <c r="C1023" s="610">
        <v>375.6</v>
      </c>
      <c r="D1023" s="598">
        <v>312.24877051573986</v>
      </c>
      <c r="E1023" s="598">
        <v>391.24019698394341</v>
      </c>
      <c r="F1023" s="599">
        <v>482.89565800118157</v>
      </c>
      <c r="G1023" s="600">
        <v>377.02567904667825</v>
      </c>
      <c r="H1023" s="598">
        <v>362.28300472689318</v>
      </c>
      <c r="I1023" s="598">
        <v>368.09616926317756</v>
      </c>
      <c r="J1023" s="601">
        <v>363.52699999726985</v>
      </c>
    </row>
    <row r="1024" spans="1:10">
      <c r="A1024" s="587">
        <v>31</v>
      </c>
      <c r="B1024" s="616">
        <v>1118</v>
      </c>
      <c r="C1024" s="610">
        <v>353.3</v>
      </c>
      <c r="D1024" s="598">
        <v>313.03630124620446</v>
      </c>
      <c r="E1024" s="598">
        <v>391.2402514037729</v>
      </c>
      <c r="F1024" s="599">
        <v>483.83441951692936</v>
      </c>
      <c r="G1024" s="600">
        <v>377.05806799128914</v>
      </c>
      <c r="H1024" s="598">
        <v>362.28300472697128</v>
      </c>
      <c r="I1024" s="598">
        <v>368.09616926317756</v>
      </c>
      <c r="J1024" s="601">
        <v>363.39539999965109</v>
      </c>
    </row>
    <row r="1025" spans="1:10">
      <c r="A1025" s="587">
        <v>31</v>
      </c>
      <c r="B1025" s="616">
        <v>1179</v>
      </c>
      <c r="C1025" s="610">
        <v>359.99999999999994</v>
      </c>
      <c r="D1025" s="598">
        <v>314.60776719780642</v>
      </c>
      <c r="E1025" s="598">
        <v>391.24033827086572</v>
      </c>
      <c r="F1025" s="599">
        <v>485.74099709182366</v>
      </c>
      <c r="G1025" s="600">
        <v>377.12329659623708</v>
      </c>
      <c r="H1025" s="598">
        <v>362.28300472702864</v>
      </c>
      <c r="I1025" s="598">
        <v>368.09616926317756</v>
      </c>
      <c r="J1025" s="601">
        <v>363.10870000184826</v>
      </c>
    </row>
    <row r="1026" spans="1:10">
      <c r="A1026" s="587">
        <v>31</v>
      </c>
      <c r="B1026" s="616">
        <v>1244</v>
      </c>
      <c r="C1026" s="610">
        <v>361.1</v>
      </c>
      <c r="D1026" s="598">
        <v>316.09001318311948</v>
      </c>
      <c r="E1026" s="598">
        <v>391.24039801724035</v>
      </c>
      <c r="F1026" s="599">
        <v>487.58692765204898</v>
      </c>
      <c r="G1026" s="600">
        <v>377.18575437533178</v>
      </c>
      <c r="H1026" s="598">
        <v>362.28300472704052</v>
      </c>
      <c r="I1026" s="598">
        <v>368.09616926317756</v>
      </c>
      <c r="J1026" s="601">
        <v>362.80320000218876</v>
      </c>
    </row>
    <row r="1027" spans="1:10">
      <c r="A1027" s="587">
        <v>31</v>
      </c>
      <c r="B1027" s="616">
        <v>1318</v>
      </c>
      <c r="C1027" s="610">
        <v>347.79999999999995</v>
      </c>
      <c r="D1027" s="598">
        <v>317.57104987772493</v>
      </c>
      <c r="E1027" s="598">
        <v>391.24044062353306</v>
      </c>
      <c r="F1027" s="599">
        <v>489.48740960877132</v>
      </c>
      <c r="G1027" s="600">
        <v>377.24935297207719</v>
      </c>
      <c r="H1027" s="598">
        <v>362.28300472704279</v>
      </c>
      <c r="I1027" s="598">
        <v>368.09616926317756</v>
      </c>
      <c r="J1027" s="601">
        <v>362.45540000183058</v>
      </c>
    </row>
    <row r="1028" spans="1:10">
      <c r="A1028" s="587">
        <v>31</v>
      </c>
      <c r="B1028" s="616">
        <v>1377</v>
      </c>
      <c r="C1028" s="610">
        <v>350.00000000000006</v>
      </c>
      <c r="D1028" s="598">
        <v>318.61642814217373</v>
      </c>
      <c r="E1028" s="598">
        <v>391.240462475774</v>
      </c>
      <c r="F1028" s="599">
        <v>490.86939808572475</v>
      </c>
      <c r="G1028" s="600">
        <v>377.29515723321634</v>
      </c>
      <c r="H1028" s="598">
        <v>362.28300472704308</v>
      </c>
      <c r="I1028" s="598">
        <v>368.09616926317756</v>
      </c>
      <c r="J1028" s="601">
        <v>362.17810000144652</v>
      </c>
    </row>
    <row r="1029" spans="1:10">
      <c r="A1029" s="587">
        <v>31</v>
      </c>
      <c r="B1029" s="616">
        <v>1476</v>
      </c>
      <c r="C1029" s="610">
        <v>348.9</v>
      </c>
      <c r="D1029" s="598">
        <v>320.14267790123773</v>
      </c>
      <c r="E1029" s="598">
        <v>391.24048485469655</v>
      </c>
      <c r="F1029" s="599">
        <v>492.96097806689511</v>
      </c>
      <c r="G1029" s="600">
        <v>377.36377988944201</v>
      </c>
      <c r="H1029" s="598">
        <v>362.28300472704314</v>
      </c>
      <c r="I1029" s="598">
        <v>368.09616926317756</v>
      </c>
      <c r="J1029" s="601">
        <v>361.71280000090701</v>
      </c>
    </row>
    <row r="1030" spans="1:10">
      <c r="A1030" s="587">
        <v>31</v>
      </c>
      <c r="B1030" s="616">
        <v>1567</v>
      </c>
      <c r="C1030" s="610">
        <v>354.4</v>
      </c>
      <c r="D1030" s="598">
        <v>321.33426916467414</v>
      </c>
      <c r="E1030" s="598">
        <v>391.24049624720055</v>
      </c>
      <c r="F1030" s="599">
        <v>494.66902623776633</v>
      </c>
      <c r="G1030" s="600">
        <v>377.41920209868846</v>
      </c>
      <c r="H1030" s="598">
        <v>362.28300472704314</v>
      </c>
      <c r="I1030" s="598">
        <v>368.09616926317756</v>
      </c>
      <c r="J1030" s="601">
        <v>361.2851000005731</v>
      </c>
    </row>
    <row r="1031" spans="1:10">
      <c r="A1031" s="587">
        <v>31</v>
      </c>
      <c r="B1031" s="616">
        <v>1659</v>
      </c>
      <c r="C1031" s="610">
        <v>356.70000000000005</v>
      </c>
      <c r="D1031" s="598">
        <v>322.36931966340944</v>
      </c>
      <c r="E1031" s="598">
        <v>391.24050290498167</v>
      </c>
      <c r="F1031" s="599">
        <v>496.21980823584965</v>
      </c>
      <c r="G1031" s="600">
        <v>377.46904734187876</v>
      </c>
      <c r="H1031" s="598">
        <v>362.28300472704314</v>
      </c>
      <c r="I1031" s="598">
        <v>368.09616926317756</v>
      </c>
      <c r="J1031" s="601">
        <v>360.85270000035808</v>
      </c>
    </row>
    <row r="1032" spans="1:10">
      <c r="A1032" s="587">
        <v>31</v>
      </c>
      <c r="B1032" s="616">
        <v>1751</v>
      </c>
      <c r="C1032" s="610">
        <v>357.8</v>
      </c>
      <c r="D1032" s="598">
        <v>323.26207424398808</v>
      </c>
      <c r="E1032" s="598">
        <v>391.24050680433544</v>
      </c>
      <c r="F1032" s="599">
        <v>497.61940475695582</v>
      </c>
      <c r="G1032" s="600">
        <v>377.51365042078118</v>
      </c>
      <c r="H1032" s="598">
        <v>362.28300472704314</v>
      </c>
      <c r="I1032" s="598">
        <v>368.09616926317756</v>
      </c>
      <c r="J1032" s="601">
        <v>360.4203000002247</v>
      </c>
    </row>
    <row r="1033" spans="1:10">
      <c r="A1033" s="587">
        <v>31</v>
      </c>
      <c r="B1033" s="616">
        <v>1882</v>
      </c>
      <c r="C1033" s="610">
        <v>361.1</v>
      </c>
      <c r="D1033" s="598">
        <v>324.33196290911792</v>
      </c>
      <c r="E1033" s="598">
        <v>391.24050980129425</v>
      </c>
      <c r="F1033" s="599">
        <v>499.39214971760964</v>
      </c>
      <c r="G1033" s="600">
        <v>377.56963013043088</v>
      </c>
      <c r="H1033" s="598">
        <v>362.28300472704314</v>
      </c>
      <c r="I1033" s="598">
        <v>368.09616926317756</v>
      </c>
      <c r="J1033" s="601">
        <v>359.8046000001176</v>
      </c>
    </row>
    <row r="1034" spans="1:10">
      <c r="A1034" s="587">
        <v>31</v>
      </c>
      <c r="B1034" s="616">
        <v>1973</v>
      </c>
      <c r="C1034" s="610">
        <v>356.70000000000005</v>
      </c>
      <c r="D1034" s="598">
        <v>324.96029729930098</v>
      </c>
      <c r="E1034" s="598">
        <v>391.24051092419916</v>
      </c>
      <c r="F1034" s="599">
        <v>500.49402421019875</v>
      </c>
      <c r="G1034" s="600">
        <v>377.60413813397497</v>
      </c>
      <c r="H1034" s="598">
        <v>362.28300472704314</v>
      </c>
      <c r="I1034" s="598">
        <v>368.09616926317756</v>
      </c>
      <c r="J1034" s="601">
        <v>359.37690000007603</v>
      </c>
    </row>
    <row r="1035" spans="1:10">
      <c r="A1035" s="587">
        <v>31</v>
      </c>
      <c r="B1035" s="616">
        <v>2076</v>
      </c>
      <c r="C1035" s="610">
        <v>363.3</v>
      </c>
      <c r="D1035" s="598">
        <v>325.57780745070477</v>
      </c>
      <c r="E1035" s="598">
        <v>391.24051168633599</v>
      </c>
      <c r="F1035" s="599">
        <v>501.63187114229504</v>
      </c>
      <c r="G1035" s="600">
        <v>377.63954415012159</v>
      </c>
      <c r="H1035" s="598">
        <v>362.28300472704314</v>
      </c>
      <c r="I1035" s="598">
        <v>368.09616926317756</v>
      </c>
      <c r="J1035" s="601">
        <v>358.89280000004715</v>
      </c>
    </row>
    <row r="1036" spans="1:10">
      <c r="A1036" s="587">
        <v>31</v>
      </c>
      <c r="B1036" s="616">
        <v>2174</v>
      </c>
      <c r="C1036" s="610">
        <v>363.3</v>
      </c>
      <c r="D1036" s="598">
        <v>326.08717357285497</v>
      </c>
      <c r="E1036" s="598">
        <v>391.2405121172302</v>
      </c>
      <c r="F1036" s="599">
        <v>502.620331141029</v>
      </c>
      <c r="G1036" s="600">
        <v>377.67011477592587</v>
      </c>
      <c r="H1036" s="598">
        <v>362.28300472704314</v>
      </c>
      <c r="I1036" s="598">
        <v>368.09616926317756</v>
      </c>
      <c r="J1036" s="601">
        <v>358.43220000003032</v>
      </c>
    </row>
    <row r="1037" spans="1:10">
      <c r="A1037" s="587">
        <v>31</v>
      </c>
      <c r="B1037" s="616">
        <v>2280</v>
      </c>
      <c r="C1037" s="610">
        <v>358.9</v>
      </c>
      <c r="D1037" s="598">
        <v>326.56574219510037</v>
      </c>
      <c r="E1037" s="598">
        <v>391.24051239647741</v>
      </c>
      <c r="F1037" s="599">
        <v>503.59925719456339</v>
      </c>
      <c r="G1037" s="600">
        <v>377.70022055249933</v>
      </c>
      <c r="H1037" s="598">
        <v>362.28300472704314</v>
      </c>
      <c r="I1037" s="598">
        <v>368.09616926317756</v>
      </c>
      <c r="J1037" s="601">
        <v>357.93400000001913</v>
      </c>
    </row>
    <row r="1038" spans="1:10">
      <c r="A1038" s="587">
        <v>31</v>
      </c>
      <c r="B1038" s="616">
        <v>2443</v>
      </c>
      <c r="C1038" s="610">
        <v>353.3</v>
      </c>
      <c r="D1038" s="598">
        <v>327.18092257278693</v>
      </c>
      <c r="E1038" s="598">
        <v>391.24051262203267</v>
      </c>
      <c r="F1038" s="599">
        <v>504.94766901401238</v>
      </c>
      <c r="G1038" s="600">
        <v>377.7414147620525</v>
      </c>
      <c r="H1038" s="598">
        <v>362.28300472704314</v>
      </c>
      <c r="I1038" s="598">
        <v>368.09616926317756</v>
      </c>
      <c r="J1038" s="601">
        <v>357.16790000000975</v>
      </c>
    </row>
    <row r="1039" spans="1:10">
      <c r="A1039" s="587">
        <v>31</v>
      </c>
      <c r="B1039" s="616">
        <v>2553</v>
      </c>
      <c r="C1039" s="610">
        <v>350.00000000000006</v>
      </c>
      <c r="D1039" s="598">
        <v>327.52815824983946</v>
      </c>
      <c r="E1039" s="598">
        <v>391.24051270040184</v>
      </c>
      <c r="F1039" s="599">
        <v>505.76531414546389</v>
      </c>
      <c r="G1039" s="600">
        <v>377.76624015602755</v>
      </c>
      <c r="H1039" s="598">
        <v>362.28300472704314</v>
      </c>
      <c r="I1039" s="598">
        <v>368.09616926317756</v>
      </c>
      <c r="J1039" s="601">
        <v>356.65090000000629</v>
      </c>
    </row>
    <row r="1040" spans="1:10">
      <c r="A1040" s="587">
        <v>31</v>
      </c>
      <c r="B1040" s="616">
        <v>2707</v>
      </c>
      <c r="C1040" s="610">
        <v>359.99999999999994</v>
      </c>
      <c r="D1040" s="598">
        <v>327.94010459242975</v>
      </c>
      <c r="E1040" s="598">
        <v>391.24051276061823</v>
      </c>
      <c r="F1040" s="599">
        <v>506.80379034654129</v>
      </c>
      <c r="G1040" s="600">
        <v>377.79760438390036</v>
      </c>
      <c r="H1040" s="598">
        <v>362.28300472704314</v>
      </c>
      <c r="I1040" s="598">
        <v>368.09616926317756</v>
      </c>
      <c r="J1040" s="601">
        <v>355.92710000000352</v>
      </c>
    </row>
    <row r="1041" spans="1:10">
      <c r="A1041" s="587">
        <v>31</v>
      </c>
      <c r="B1041" s="616">
        <v>2823</v>
      </c>
      <c r="C1041" s="610">
        <v>343.29999999999995</v>
      </c>
      <c r="D1041" s="598">
        <v>328.2028765775932</v>
      </c>
      <c r="E1041" s="598">
        <v>391.24051278508722</v>
      </c>
      <c r="F1041" s="599">
        <v>507.51469122729554</v>
      </c>
      <c r="G1041" s="600">
        <v>377.81896867760008</v>
      </c>
      <c r="H1041" s="598">
        <v>362.28300472704314</v>
      </c>
      <c r="I1041" s="598">
        <v>368.09616926317756</v>
      </c>
      <c r="J1041" s="601">
        <v>355.3819000000023</v>
      </c>
    </row>
    <row r="1042" spans="1:10">
      <c r="A1042" s="587">
        <v>31</v>
      </c>
      <c r="B1042" s="616">
        <v>2926</v>
      </c>
      <c r="C1042" s="610">
        <v>343.29999999999995</v>
      </c>
      <c r="D1042" s="598">
        <v>328.40752981211222</v>
      </c>
      <c r="E1042" s="598">
        <v>391.24051279847595</v>
      </c>
      <c r="F1042" s="599">
        <v>508.10080649741934</v>
      </c>
      <c r="G1042" s="600">
        <v>377.83651816923356</v>
      </c>
      <c r="H1042" s="598">
        <v>362.28300472704314</v>
      </c>
      <c r="I1042" s="598">
        <v>368.09616926317756</v>
      </c>
      <c r="J1042" s="601">
        <v>354.89780000000155</v>
      </c>
    </row>
    <row r="1043" spans="1:10">
      <c r="A1043" s="587">
        <v>31</v>
      </c>
      <c r="B1043" s="616">
        <v>3014</v>
      </c>
      <c r="C1043" s="610">
        <v>343.29999999999995</v>
      </c>
      <c r="D1043" s="598">
        <v>328.56383857901153</v>
      </c>
      <c r="E1043" s="598">
        <v>391.24051280603243</v>
      </c>
      <c r="F1043" s="599">
        <v>508.57122292308941</v>
      </c>
      <c r="G1043" s="600">
        <v>377.85056129161507</v>
      </c>
      <c r="H1043" s="598">
        <v>362.28300472704314</v>
      </c>
      <c r="I1043" s="598">
        <v>368.09616926317756</v>
      </c>
      <c r="J1043" s="601">
        <v>354.48420000000118</v>
      </c>
    </row>
    <row r="1044" spans="1:10">
      <c r="A1044" s="587">
        <v>31</v>
      </c>
      <c r="B1044" s="616">
        <v>3177</v>
      </c>
      <c r="C1044" s="610">
        <v>343.29999999999995</v>
      </c>
      <c r="D1044" s="598">
        <v>328.81482365570224</v>
      </c>
      <c r="E1044" s="598">
        <v>391.24051281437767</v>
      </c>
      <c r="F1044" s="599">
        <v>509.37659358321019</v>
      </c>
      <c r="G1044" s="600">
        <v>377.8745169966694</v>
      </c>
      <c r="H1044" s="598">
        <v>362.28300472704314</v>
      </c>
      <c r="I1044" s="598">
        <v>368.09616926317756</v>
      </c>
      <c r="J1044" s="601">
        <v>353.71810000000067</v>
      </c>
    </row>
    <row r="1045" spans="1:10">
      <c r="A1045" s="587">
        <v>31</v>
      </c>
      <c r="B1045" s="616">
        <v>3263</v>
      </c>
      <c r="C1045" s="610">
        <v>338.90000000000003</v>
      </c>
      <c r="D1045" s="598">
        <v>328.92984560061052</v>
      </c>
      <c r="E1045" s="598">
        <v>391.24051281696768</v>
      </c>
      <c r="F1045" s="599">
        <v>509.77040657817474</v>
      </c>
      <c r="G1045" s="600">
        <v>377.88619128088067</v>
      </c>
      <c r="H1045" s="598">
        <v>362.28300472704314</v>
      </c>
      <c r="I1045" s="598">
        <v>368.09616926317756</v>
      </c>
      <c r="J1045" s="601">
        <v>353.3139000000005</v>
      </c>
    </row>
    <row r="1046" spans="1:10">
      <c r="A1046" s="619">
        <v>33</v>
      </c>
      <c r="B1046" s="620">
        <v>10</v>
      </c>
      <c r="C1046" s="621">
        <v>190</v>
      </c>
      <c r="D1046" s="622">
        <v>29.785767779068117</v>
      </c>
      <c r="E1046" s="622">
        <v>131.73789392223898</v>
      </c>
      <c r="F1046" s="623">
        <v>60.785285479132355</v>
      </c>
      <c r="G1046" s="624">
        <v>191.73867210232959</v>
      </c>
      <c r="H1046" s="622">
        <v>29.547713553452766</v>
      </c>
      <c r="I1046" s="622">
        <v>173.10986558894126</v>
      </c>
      <c r="J1046" s="625">
        <v>134.10103654214652</v>
      </c>
    </row>
    <row r="1047" spans="1:10">
      <c r="A1047" s="585">
        <v>33</v>
      </c>
      <c r="B1047" s="614">
        <v>22</v>
      </c>
      <c r="C1047" s="608">
        <v>276.7</v>
      </c>
      <c r="D1047" s="590">
        <v>65.812063455959091</v>
      </c>
      <c r="E1047" s="590">
        <v>248.75172484267537</v>
      </c>
      <c r="F1047" s="591">
        <v>132.0148672944629</v>
      </c>
      <c r="G1047" s="592">
        <v>292.38418261985976</v>
      </c>
      <c r="H1047" s="590">
        <v>119.31506552328311</v>
      </c>
      <c r="I1047" s="590">
        <v>277.5643675024026</v>
      </c>
      <c r="J1047" s="593">
        <v>219.3735229521323</v>
      </c>
    </row>
    <row r="1048" spans="1:10">
      <c r="A1048" s="585">
        <v>33</v>
      </c>
      <c r="B1048" s="614">
        <v>43</v>
      </c>
      <c r="C1048" s="608">
        <v>346.7</v>
      </c>
      <c r="D1048" s="590">
        <v>99.893281733627347</v>
      </c>
      <c r="E1048" s="590">
        <v>309.10667218054925</v>
      </c>
      <c r="F1048" s="591">
        <v>195.07736833084866</v>
      </c>
      <c r="G1048" s="592">
        <v>325.53112278601037</v>
      </c>
      <c r="H1048" s="590">
        <v>218.90733887283378</v>
      </c>
      <c r="I1048" s="590">
        <v>331.08584059201729</v>
      </c>
      <c r="J1048" s="593">
        <v>312.29173247567223</v>
      </c>
    </row>
    <row r="1049" spans="1:10">
      <c r="A1049" s="585">
        <v>33</v>
      </c>
      <c r="B1049" s="614">
        <v>50</v>
      </c>
      <c r="C1049" s="608">
        <v>350.00000000000006</v>
      </c>
      <c r="D1049" s="590">
        <v>108.44685836899251</v>
      </c>
      <c r="E1049" s="590">
        <v>318.37571273408366</v>
      </c>
      <c r="F1049" s="591">
        <v>210.0674703426584</v>
      </c>
      <c r="G1049" s="592">
        <v>330.16261514967982</v>
      </c>
      <c r="H1049" s="590">
        <v>241.50650119010803</v>
      </c>
      <c r="I1049" s="590">
        <v>339.14717092261668</v>
      </c>
      <c r="J1049" s="593">
        <v>333.15561414001741</v>
      </c>
    </row>
    <row r="1050" spans="1:10">
      <c r="A1050" s="585">
        <v>33</v>
      </c>
      <c r="B1050" s="614">
        <v>59</v>
      </c>
      <c r="C1050" s="608">
        <v>346.7</v>
      </c>
      <c r="D1050" s="590">
        <v>118.24773443579086</v>
      </c>
      <c r="E1050" s="590">
        <v>326.86665288602455</v>
      </c>
      <c r="F1050" s="591">
        <v>226.79219640525639</v>
      </c>
      <c r="G1050" s="592">
        <v>334.45586135660926</v>
      </c>
      <c r="H1050" s="590">
        <v>265.09212608838368</v>
      </c>
      <c r="I1050" s="590">
        <v>346.27568880308326</v>
      </c>
      <c r="J1050" s="593">
        <v>354.34148802986192</v>
      </c>
    </row>
    <row r="1051" spans="1:10">
      <c r="A1051" s="585">
        <v>33</v>
      </c>
      <c r="B1051" s="614">
        <v>71</v>
      </c>
      <c r="C1051" s="608">
        <v>333.29999999999995</v>
      </c>
      <c r="D1051" s="590">
        <v>129.72608775335144</v>
      </c>
      <c r="E1051" s="590">
        <v>334.44681600469471</v>
      </c>
      <c r="F1051" s="591">
        <v>245.74847284857145</v>
      </c>
      <c r="G1051" s="592">
        <v>338.44757800170936</v>
      </c>
      <c r="H1051" s="590">
        <v>289.06217328787807</v>
      </c>
      <c r="I1051" s="590">
        <v>352.21835822914062</v>
      </c>
      <c r="J1051" s="593">
        <v>374.26532143964278</v>
      </c>
    </row>
    <row r="1052" spans="1:10">
      <c r="A1052" s="585">
        <v>33</v>
      </c>
      <c r="B1052" s="614">
        <v>78</v>
      </c>
      <c r="C1052" s="608">
        <v>343.29999999999995</v>
      </c>
      <c r="D1052" s="590">
        <v>135.75954126642154</v>
      </c>
      <c r="E1052" s="590">
        <v>337.59332326089435</v>
      </c>
      <c r="F1052" s="591">
        <v>255.4348526794374</v>
      </c>
      <c r="G1052" s="592">
        <v>340.19708367283505</v>
      </c>
      <c r="H1052" s="590">
        <v>299.96412574135974</v>
      </c>
      <c r="I1052" s="590">
        <v>354.48346009394965</v>
      </c>
      <c r="J1052" s="593">
        <v>382.20371960295199</v>
      </c>
    </row>
    <row r="1053" spans="1:10">
      <c r="A1053" s="585">
        <v>33</v>
      </c>
      <c r="B1053" s="614">
        <v>85</v>
      </c>
      <c r="C1053" s="608">
        <v>356.70000000000005</v>
      </c>
      <c r="D1053" s="590">
        <v>141.38970481016898</v>
      </c>
      <c r="E1053" s="590">
        <v>340.09380770641314</v>
      </c>
      <c r="F1053" s="591">
        <v>264.29974972809862</v>
      </c>
      <c r="G1053" s="592">
        <v>341.65301857218191</v>
      </c>
      <c r="H1053" s="590">
        <v>309.0619258673936</v>
      </c>
      <c r="I1053" s="590">
        <v>356.15700547707559</v>
      </c>
      <c r="J1053" s="593">
        <v>387.87990533200019</v>
      </c>
    </row>
    <row r="1054" spans="1:10">
      <c r="A1054" s="585">
        <v>33</v>
      </c>
      <c r="B1054" s="614">
        <v>92</v>
      </c>
      <c r="C1054" s="608">
        <v>380</v>
      </c>
      <c r="D1054" s="590">
        <v>146.66763154178525</v>
      </c>
      <c r="E1054" s="590">
        <v>342.1038806472273</v>
      </c>
      <c r="F1054" s="591">
        <v>272.45717857078779</v>
      </c>
      <c r="G1054" s="592">
        <v>342.88358718613273</v>
      </c>
      <c r="H1054" s="590">
        <v>316.65641896355606</v>
      </c>
      <c r="I1054" s="590">
        <v>357.39695628351353</v>
      </c>
      <c r="J1054" s="593">
        <v>391.64466632001421</v>
      </c>
    </row>
    <row r="1055" spans="1:10">
      <c r="A1055" s="585">
        <v>33</v>
      </c>
      <c r="B1055" s="614">
        <v>99</v>
      </c>
      <c r="C1055" s="608">
        <v>396.7</v>
      </c>
      <c r="D1055" s="590">
        <v>151.63438170286341</v>
      </c>
      <c r="E1055" s="590">
        <v>343.7360470117211</v>
      </c>
      <c r="F1055" s="591">
        <v>279.99869431737153</v>
      </c>
      <c r="G1055" s="592">
        <v>343.93737693349732</v>
      </c>
      <c r="H1055" s="590">
        <v>322.99751014590299</v>
      </c>
      <c r="I1055" s="590">
        <v>358.3175290943322</v>
      </c>
      <c r="J1055" s="593">
        <v>393.83506154895582</v>
      </c>
    </row>
    <row r="1056" spans="1:10">
      <c r="A1056" s="586">
        <v>33</v>
      </c>
      <c r="B1056" s="615">
        <v>106</v>
      </c>
      <c r="C1056" s="609">
        <v>383.3</v>
      </c>
      <c r="D1056" s="594">
        <v>156.32360194991082</v>
      </c>
      <c r="E1056" s="594">
        <v>345.07317868992737</v>
      </c>
      <c r="F1056" s="595">
        <v>286.99909915705592</v>
      </c>
      <c r="G1056" s="596">
        <v>344.84994027087464</v>
      </c>
      <c r="H1056" s="594">
        <v>328.29306168193301</v>
      </c>
      <c r="I1056" s="594">
        <v>359.0020110510049</v>
      </c>
      <c r="J1056" s="597">
        <v>394.76814934600435</v>
      </c>
    </row>
    <row r="1057" spans="1:10">
      <c r="A1057" s="586">
        <v>33</v>
      </c>
      <c r="B1057" s="615">
        <v>113</v>
      </c>
      <c r="C1057" s="609">
        <v>390</v>
      </c>
      <c r="D1057" s="594">
        <v>160.76330172623145</v>
      </c>
      <c r="E1057" s="594">
        <v>346.17731574942206</v>
      </c>
      <c r="F1057" s="595">
        <v>293.52040013247415</v>
      </c>
      <c r="G1057" s="596">
        <v>345.64789247323682</v>
      </c>
      <c r="H1057" s="594">
        <v>332.71613721593457</v>
      </c>
      <c r="I1057" s="594">
        <v>359.51151183046449</v>
      </c>
      <c r="J1057" s="597">
        <v>394.7332666484499</v>
      </c>
    </row>
    <row r="1058" spans="1:10">
      <c r="A1058" s="586">
        <v>33</v>
      </c>
      <c r="B1058" s="615">
        <v>120</v>
      </c>
      <c r="C1058" s="609">
        <v>386.70000000000005</v>
      </c>
      <c r="D1058" s="594">
        <v>164.97711337296516</v>
      </c>
      <c r="E1058" s="594">
        <v>347.09556733879646</v>
      </c>
      <c r="F1058" s="595">
        <v>299.61463531242055</v>
      </c>
      <c r="G1058" s="596">
        <v>346.35155459513288</v>
      </c>
      <c r="H1058" s="594">
        <v>336.41093720650946</v>
      </c>
      <c r="I1058" s="594">
        <v>359.89107302787301</v>
      </c>
      <c r="J1058" s="597">
        <v>393.98522935277288</v>
      </c>
    </row>
    <row r="1059" spans="1:10">
      <c r="A1059" s="586">
        <v>33</v>
      </c>
      <c r="B1059" s="615">
        <v>127</v>
      </c>
      <c r="C1059" s="609">
        <v>383.3</v>
      </c>
      <c r="D1059" s="594">
        <v>168.98520886810346</v>
      </c>
      <c r="E1059" s="594">
        <v>347.86415805255626</v>
      </c>
      <c r="F1059" s="595">
        <v>305.32594252141996</v>
      </c>
      <c r="G1059" s="596">
        <v>346.97671067533054</v>
      </c>
      <c r="H1059" s="594">
        <v>339.49768410325788</v>
      </c>
      <c r="I1059" s="594">
        <v>360.17400447626653</v>
      </c>
      <c r="J1059" s="597">
        <v>392.7400624161142</v>
      </c>
    </row>
    <row r="1060" spans="1:10">
      <c r="A1060" s="586">
        <v>33</v>
      </c>
      <c r="B1060" s="615">
        <v>134</v>
      </c>
      <c r="C1060" s="609">
        <v>386.70000000000005</v>
      </c>
      <c r="D1060" s="594">
        <v>172.80498145827431</v>
      </c>
      <c r="E1060" s="594">
        <v>348.51125775445058</v>
      </c>
      <c r="F1060" s="595">
        <v>310.69210619758928</v>
      </c>
      <c r="G1060" s="596">
        <v>347.53580726337509</v>
      </c>
      <c r="H1060" s="594">
        <v>342.07665655085555</v>
      </c>
      <c r="I1060" s="594">
        <v>360.38500111675063</v>
      </c>
      <c r="J1060" s="597">
        <v>391.17389973728041</v>
      </c>
    </row>
    <row r="1061" spans="1:10">
      <c r="A1061" s="586">
        <v>33</v>
      </c>
      <c r="B1061" s="615">
        <v>141</v>
      </c>
      <c r="C1061" s="609">
        <v>370</v>
      </c>
      <c r="D1061" s="594">
        <v>176.45156221242976</v>
      </c>
      <c r="E1061" s="594">
        <v>349.05899534420553</v>
      </c>
      <c r="F1061" s="595">
        <v>315.74573558826847</v>
      </c>
      <c r="G1061" s="596">
        <v>348.03879142076079</v>
      </c>
      <c r="H1061" s="594">
        <v>344.23152922766053</v>
      </c>
      <c r="I1061" s="594">
        <v>360.54240476648215</v>
      </c>
      <c r="J1061" s="597">
        <v>389.42482313251077</v>
      </c>
    </row>
    <row r="1062" spans="1:10">
      <c r="A1062" s="586">
        <v>33</v>
      </c>
      <c r="B1062" s="615">
        <v>148</v>
      </c>
      <c r="C1062" s="609">
        <v>366.70000000000005</v>
      </c>
      <c r="D1062" s="594">
        <v>179.93821808801911</v>
      </c>
      <c r="E1062" s="594">
        <v>349.52491420345444</v>
      </c>
      <c r="F1062" s="595">
        <v>320.51517677433958</v>
      </c>
      <c r="G1062" s="596">
        <v>348.49370825880834</v>
      </c>
      <c r="H1062" s="594">
        <v>346.03214314157083</v>
      </c>
      <c r="I1062" s="594">
        <v>360.6598571824174</v>
      </c>
      <c r="J1062" s="597">
        <v>387.5968580221795</v>
      </c>
    </row>
    <row r="1063" spans="1:10">
      <c r="A1063" s="586">
        <v>33</v>
      </c>
      <c r="B1063" s="615">
        <v>155</v>
      </c>
      <c r="C1063" s="609">
        <v>363.3</v>
      </c>
      <c r="D1063" s="594">
        <v>183.27666328187644</v>
      </c>
      <c r="E1063" s="594">
        <v>349.92303887843826</v>
      </c>
      <c r="F1063" s="595">
        <v>325.02522879947423</v>
      </c>
      <c r="G1063" s="596">
        <v>348.90713485236597</v>
      </c>
      <c r="H1063" s="594">
        <v>347.53680692613193</v>
      </c>
      <c r="I1063" s="594">
        <v>360.74751476652739</v>
      </c>
      <c r="J1063" s="597">
        <v>385.76516139309598</v>
      </c>
    </row>
    <row r="1064" spans="1:10">
      <c r="A1064" s="586">
        <v>33</v>
      </c>
      <c r="B1064" s="615">
        <v>162</v>
      </c>
      <c r="C1064" s="609">
        <v>373.3</v>
      </c>
      <c r="D1064" s="594">
        <v>186.47730601168087</v>
      </c>
      <c r="E1064" s="594">
        <v>350.26466675466924</v>
      </c>
      <c r="F1064" s="595">
        <v>329.29771315419418</v>
      </c>
      <c r="G1064" s="596">
        <v>349.28450052813326</v>
      </c>
      <c r="H1064" s="594">
        <v>348.79421076725481</v>
      </c>
      <c r="I1064" s="594">
        <v>360.81294477312196</v>
      </c>
      <c r="J1064" s="597">
        <v>383.98153735824832</v>
      </c>
    </row>
    <row r="1065" spans="1:10">
      <c r="A1065" s="586">
        <v>33</v>
      </c>
      <c r="B1065" s="615">
        <v>178</v>
      </c>
      <c r="C1065" s="609">
        <v>373.3</v>
      </c>
      <c r="D1065" s="594">
        <v>193.32386818356218</v>
      </c>
      <c r="E1065" s="594">
        <v>350.87967678722561</v>
      </c>
      <c r="F1065" s="595">
        <v>338.27117298251102</v>
      </c>
      <c r="G1065" s="596">
        <v>350.03465646182286</v>
      </c>
      <c r="H1065" s="594">
        <v>350.9464969133997</v>
      </c>
      <c r="I1065" s="594">
        <v>360.90685938978993</v>
      </c>
      <c r="J1065" s="597">
        <v>380.24281543996489</v>
      </c>
    </row>
    <row r="1066" spans="1:10">
      <c r="A1066" s="586">
        <v>33</v>
      </c>
      <c r="B1066" s="615">
        <v>184</v>
      </c>
      <c r="C1066" s="609">
        <v>356.70000000000005</v>
      </c>
      <c r="D1066" s="594">
        <v>195.73765393723775</v>
      </c>
      <c r="E1066" s="594">
        <v>351.06324187152018</v>
      </c>
      <c r="F1066" s="595">
        <v>341.38190055465094</v>
      </c>
      <c r="G1066" s="596">
        <v>350.28205625683808</v>
      </c>
      <c r="H1066" s="594">
        <v>351.55163432422034</v>
      </c>
      <c r="I1066" s="594">
        <v>360.92875798869011</v>
      </c>
      <c r="J1066" s="597">
        <v>378.98861965880843</v>
      </c>
    </row>
    <row r="1067" spans="1:10">
      <c r="A1067" s="586">
        <v>33</v>
      </c>
      <c r="B1067" s="615">
        <v>244</v>
      </c>
      <c r="C1067" s="609">
        <v>376.70000000000005</v>
      </c>
      <c r="D1067" s="594">
        <v>216.19570177876619</v>
      </c>
      <c r="E1067" s="594">
        <v>352.10029008592932</v>
      </c>
      <c r="F1067" s="595">
        <v>366.69832938394961</v>
      </c>
      <c r="G1067" s="596">
        <v>352.08277673102947</v>
      </c>
      <c r="H1067" s="594">
        <v>354.40992589689466</v>
      </c>
      <c r="I1067" s="594">
        <v>360.99942809064601</v>
      </c>
      <c r="J1067" s="597">
        <v>370.68086077591687</v>
      </c>
    </row>
    <row r="1068" spans="1:10">
      <c r="A1068" s="586">
        <v>33</v>
      </c>
      <c r="B1068" s="615">
        <v>306</v>
      </c>
      <c r="C1068" s="609">
        <v>370</v>
      </c>
      <c r="D1068" s="594">
        <v>232.16148953677342</v>
      </c>
      <c r="E1068" s="594">
        <v>352.47979783369857</v>
      </c>
      <c r="F1068" s="595">
        <v>385.27121200851434</v>
      </c>
      <c r="G1068" s="596">
        <v>353.19807327639643</v>
      </c>
      <c r="H1068" s="594">
        <v>355.03270752213706</v>
      </c>
      <c r="I1068" s="594">
        <v>361.00525000664447</v>
      </c>
      <c r="J1068" s="597">
        <v>367.63535397844851</v>
      </c>
    </row>
    <row r="1069" spans="1:10">
      <c r="A1069" s="586">
        <v>33</v>
      </c>
      <c r="B1069" s="615">
        <v>365</v>
      </c>
      <c r="C1069" s="609">
        <v>370</v>
      </c>
      <c r="D1069" s="594">
        <v>244.0460562348716</v>
      </c>
      <c r="E1069" s="594">
        <v>352.6253734042819</v>
      </c>
      <c r="F1069" s="595">
        <v>398.52998792325747</v>
      </c>
      <c r="G1069" s="596">
        <v>353.90615163374275</v>
      </c>
      <c r="H1069" s="594">
        <v>355.15730034933569</v>
      </c>
      <c r="I1069" s="594">
        <v>361.00568342980205</v>
      </c>
      <c r="J1069" s="597">
        <v>366.96898400637599</v>
      </c>
    </row>
    <row r="1070" spans="1:10">
      <c r="A1070" s="586">
        <v>33</v>
      </c>
      <c r="B1070" s="615">
        <v>426</v>
      </c>
      <c r="C1070" s="609">
        <v>373.3</v>
      </c>
      <c r="D1070" s="594">
        <v>253.90747638144865</v>
      </c>
      <c r="E1070" s="594">
        <v>352.69259794868162</v>
      </c>
      <c r="F1070" s="595">
        <v>409.23973575265131</v>
      </c>
      <c r="G1070" s="596">
        <v>354.43130606121269</v>
      </c>
      <c r="H1070" s="594">
        <v>355.18517054486267</v>
      </c>
      <c r="I1070" s="594">
        <v>361.00572067690371</v>
      </c>
      <c r="J1070" s="597">
        <v>366.65022699622131</v>
      </c>
    </row>
    <row r="1071" spans="1:10">
      <c r="A1071" s="586">
        <v>33</v>
      </c>
      <c r="B1071" s="615">
        <v>487</v>
      </c>
      <c r="C1071" s="609">
        <v>373.3</v>
      </c>
      <c r="D1071" s="594">
        <v>261.93270238188586</v>
      </c>
      <c r="E1071" s="594">
        <v>352.72426585723298</v>
      </c>
      <c r="F1071" s="595">
        <v>417.81444766089044</v>
      </c>
      <c r="G1071" s="596">
        <v>354.8245093322106</v>
      </c>
      <c r="H1071" s="594">
        <v>355.19101094118253</v>
      </c>
      <c r="I1071" s="594">
        <v>361.00572359973756</v>
      </c>
      <c r="J1071" s="597">
        <v>366.36122075399959</v>
      </c>
    </row>
    <row r="1072" spans="1:10">
      <c r="A1072" s="587">
        <v>33</v>
      </c>
      <c r="B1072" s="616">
        <v>548</v>
      </c>
      <c r="C1072" s="610">
        <v>356.70000000000005</v>
      </c>
      <c r="D1072" s="598">
        <v>268.55709428654751</v>
      </c>
      <c r="E1072" s="598">
        <v>352.74002468396435</v>
      </c>
      <c r="F1072" s="599">
        <v>424.83892981594602</v>
      </c>
      <c r="G1072" s="600">
        <v>355.1299428759537</v>
      </c>
      <c r="H1072" s="598">
        <v>355.19223483964845</v>
      </c>
      <c r="I1072" s="598">
        <v>361.00572382909655</v>
      </c>
      <c r="J1072" s="601">
        <v>366.07437724372085</v>
      </c>
    </row>
    <row r="1073" spans="1:10">
      <c r="A1073" s="587">
        <v>33</v>
      </c>
      <c r="B1073" s="616">
        <v>609</v>
      </c>
      <c r="C1073" s="610">
        <v>370</v>
      </c>
      <c r="D1073" s="598">
        <v>274.0892166811559</v>
      </c>
      <c r="E1073" s="598">
        <v>352.7482244378055</v>
      </c>
      <c r="F1073" s="599">
        <v>430.70102178872691</v>
      </c>
      <c r="G1073" s="600">
        <v>355.37404391712289</v>
      </c>
      <c r="H1073" s="598">
        <v>355.19249131676548</v>
      </c>
      <c r="I1073" s="598">
        <v>361.00572384709471</v>
      </c>
      <c r="J1073" s="601">
        <v>365.78768524679464</v>
      </c>
    </row>
    <row r="1074" spans="1:10">
      <c r="A1074" s="587">
        <v>33</v>
      </c>
      <c r="B1074" s="616">
        <v>671</v>
      </c>
      <c r="C1074" s="610">
        <v>370</v>
      </c>
      <c r="D1074" s="598">
        <v>278.82490452561757</v>
      </c>
      <c r="E1074" s="598">
        <v>352.75270557943509</v>
      </c>
      <c r="F1074" s="599">
        <v>435.74364645598348</v>
      </c>
      <c r="G1074" s="600">
        <v>355.57656929256439</v>
      </c>
      <c r="H1074" s="598">
        <v>355.19254542388484</v>
      </c>
      <c r="I1074" s="598">
        <v>361.00572384851199</v>
      </c>
      <c r="J1074" s="601">
        <v>365.49629403568275</v>
      </c>
    </row>
    <row r="1075" spans="1:10">
      <c r="A1075" s="587">
        <v>33</v>
      </c>
      <c r="B1075" s="616">
        <v>731</v>
      </c>
      <c r="C1075" s="610">
        <v>376.70000000000005</v>
      </c>
      <c r="D1075" s="598">
        <v>282.72232357319638</v>
      </c>
      <c r="E1075" s="598">
        <v>352.75512088219654</v>
      </c>
      <c r="F1075" s="599">
        <v>439.93246630875387</v>
      </c>
      <c r="G1075" s="600">
        <v>355.73978691321355</v>
      </c>
      <c r="H1075" s="598">
        <v>355.19255632650408</v>
      </c>
      <c r="I1075" s="598">
        <v>361.00572384861789</v>
      </c>
      <c r="J1075" s="601">
        <v>365.21429769639929</v>
      </c>
    </row>
    <row r="1076" spans="1:10">
      <c r="A1076" s="587">
        <v>33</v>
      </c>
      <c r="B1076" s="616">
        <v>1090</v>
      </c>
      <c r="C1076" s="610">
        <v>363.3</v>
      </c>
      <c r="D1076" s="598">
        <v>297.27175091722808</v>
      </c>
      <c r="E1076" s="598">
        <v>352.75846058070533</v>
      </c>
      <c r="F1076" s="599">
        <v>456.40198230649241</v>
      </c>
      <c r="G1076" s="600">
        <v>356.3404732393231</v>
      </c>
      <c r="H1076" s="598">
        <v>355.19255931219038</v>
      </c>
      <c r="I1076" s="598">
        <v>361.00572384862733</v>
      </c>
      <c r="J1076" s="601">
        <v>363.52699999726985</v>
      </c>
    </row>
    <row r="1077" spans="1:10">
      <c r="A1077" s="587">
        <v>33</v>
      </c>
      <c r="B1077" s="616">
        <v>1118</v>
      </c>
      <c r="C1077" s="610">
        <v>361.1</v>
      </c>
      <c r="D1077" s="598">
        <v>297.99673049127705</v>
      </c>
      <c r="E1077" s="598">
        <v>352.75850165274176</v>
      </c>
      <c r="F1077" s="599">
        <v>457.28923943875537</v>
      </c>
      <c r="G1077" s="600">
        <v>356.37108519095341</v>
      </c>
      <c r="H1077" s="598">
        <v>355.19255931234528</v>
      </c>
      <c r="I1077" s="598">
        <v>361.00572384862733</v>
      </c>
      <c r="J1077" s="601">
        <v>363.39539999965109</v>
      </c>
    </row>
    <row r="1078" spans="1:10">
      <c r="A1078" s="587">
        <v>33</v>
      </c>
      <c r="B1078" s="616">
        <v>1179</v>
      </c>
      <c r="C1078" s="610">
        <v>361.1</v>
      </c>
      <c r="D1078" s="598">
        <v>299.44188048311082</v>
      </c>
      <c r="E1078" s="598">
        <v>352.75856697281347</v>
      </c>
      <c r="F1078" s="599">
        <v>459.09121419289727</v>
      </c>
      <c r="G1078" s="600">
        <v>356.43273508179016</v>
      </c>
      <c r="H1078" s="598">
        <v>355.19255931246192</v>
      </c>
      <c r="I1078" s="598">
        <v>361.00572384862733</v>
      </c>
      <c r="J1078" s="601">
        <v>363.10870000184826</v>
      </c>
    </row>
    <row r="1079" spans="1:10">
      <c r="A1079" s="587">
        <v>33</v>
      </c>
      <c r="B1079" s="616">
        <v>1244</v>
      </c>
      <c r="C1079" s="610">
        <v>365.6</v>
      </c>
      <c r="D1079" s="598">
        <v>300.80301729434291</v>
      </c>
      <c r="E1079" s="598">
        <v>352.75861166268612</v>
      </c>
      <c r="F1079" s="599">
        <v>460.83586928127431</v>
      </c>
      <c r="G1079" s="600">
        <v>356.49176616587005</v>
      </c>
      <c r="H1079" s="598">
        <v>355.19255931248705</v>
      </c>
      <c r="I1079" s="598">
        <v>361.00572384862733</v>
      </c>
      <c r="J1079" s="601">
        <v>362.80320000218876</v>
      </c>
    </row>
    <row r="1080" spans="1:10">
      <c r="A1080" s="587">
        <v>33</v>
      </c>
      <c r="B1080" s="616">
        <v>1318</v>
      </c>
      <c r="C1080" s="610">
        <v>363.3</v>
      </c>
      <c r="D1080" s="598">
        <v>302.1609567811492</v>
      </c>
      <c r="E1080" s="598">
        <v>352.75864335272257</v>
      </c>
      <c r="F1080" s="599">
        <v>462.6320828483544</v>
      </c>
      <c r="G1080" s="600">
        <v>356.55187547757242</v>
      </c>
      <c r="H1080" s="598">
        <v>355.19255931249205</v>
      </c>
      <c r="I1080" s="598">
        <v>361.00572384862733</v>
      </c>
      <c r="J1080" s="601">
        <v>362.45540000183058</v>
      </c>
    </row>
    <row r="1081" spans="1:10">
      <c r="A1081" s="587">
        <v>33</v>
      </c>
      <c r="B1081" s="616">
        <v>1377</v>
      </c>
      <c r="C1081" s="610">
        <v>366.70000000000005</v>
      </c>
      <c r="D1081" s="598">
        <v>303.11807503730313</v>
      </c>
      <c r="E1081" s="598">
        <v>352.7586595186919</v>
      </c>
      <c r="F1081" s="599">
        <v>463.93824965676413</v>
      </c>
      <c r="G1081" s="600">
        <v>356.59516672535159</v>
      </c>
      <c r="H1081" s="598">
        <v>355.19255931249273</v>
      </c>
      <c r="I1081" s="598">
        <v>361.00572384862733</v>
      </c>
      <c r="J1081" s="601">
        <v>362.17810000144652</v>
      </c>
    </row>
    <row r="1082" spans="1:10">
      <c r="A1082" s="587">
        <v>33</v>
      </c>
      <c r="B1082" s="616">
        <v>1476</v>
      </c>
      <c r="C1082" s="610">
        <v>370</v>
      </c>
      <c r="D1082" s="598">
        <v>304.51320813413145</v>
      </c>
      <c r="E1082" s="598">
        <v>352.75867597737209</v>
      </c>
      <c r="F1082" s="599">
        <v>465.91507681133004</v>
      </c>
      <c r="G1082" s="600">
        <v>356.66002445561605</v>
      </c>
      <c r="H1082" s="598">
        <v>355.1925593124929</v>
      </c>
      <c r="I1082" s="598">
        <v>361.00572384862733</v>
      </c>
      <c r="J1082" s="601">
        <v>361.71280000090701</v>
      </c>
    </row>
    <row r="1083" spans="1:10">
      <c r="A1083" s="587">
        <v>33</v>
      </c>
      <c r="B1083" s="616">
        <v>1567</v>
      </c>
      <c r="C1083" s="610">
        <v>362.20000000000005</v>
      </c>
      <c r="D1083" s="598">
        <v>305.60036179897054</v>
      </c>
      <c r="E1083" s="598">
        <v>352.75868429571761</v>
      </c>
      <c r="F1083" s="599">
        <v>467.52941431497908</v>
      </c>
      <c r="G1083" s="600">
        <v>356.71240597063854</v>
      </c>
      <c r="H1083" s="598">
        <v>355.1925593124929</v>
      </c>
      <c r="I1083" s="598">
        <v>361.00572384862733</v>
      </c>
      <c r="J1083" s="601">
        <v>361.2851000005731</v>
      </c>
    </row>
    <row r="1084" spans="1:10">
      <c r="A1084" s="587">
        <v>33</v>
      </c>
      <c r="B1084" s="616">
        <v>1659</v>
      </c>
      <c r="C1084" s="610">
        <v>362.20000000000005</v>
      </c>
      <c r="D1084" s="598">
        <v>306.5430350706738</v>
      </c>
      <c r="E1084" s="598">
        <v>352.75868912458861</v>
      </c>
      <c r="F1084" s="599">
        <v>468.99511392590563</v>
      </c>
      <c r="G1084" s="600">
        <v>356.75951649529054</v>
      </c>
      <c r="H1084" s="598">
        <v>355.1925593124929</v>
      </c>
      <c r="I1084" s="598">
        <v>361.00572384862733</v>
      </c>
      <c r="J1084" s="601">
        <v>360.85270000035808</v>
      </c>
    </row>
    <row r="1085" spans="1:10">
      <c r="A1085" s="587">
        <v>33</v>
      </c>
      <c r="B1085" s="616">
        <v>1751</v>
      </c>
      <c r="C1085" s="610">
        <v>365.6</v>
      </c>
      <c r="D1085" s="598">
        <v>307.35472442060774</v>
      </c>
      <c r="E1085" s="598">
        <v>352.75869193436074</v>
      </c>
      <c r="F1085" s="599">
        <v>470.31792272751341</v>
      </c>
      <c r="G1085" s="600">
        <v>356.80167246271486</v>
      </c>
      <c r="H1085" s="598">
        <v>355.1925593124929</v>
      </c>
      <c r="I1085" s="598">
        <v>361.00572384862733</v>
      </c>
      <c r="J1085" s="601">
        <v>360.4203000002247</v>
      </c>
    </row>
    <row r="1086" spans="1:10">
      <c r="A1086" s="587">
        <v>33</v>
      </c>
      <c r="B1086" s="616">
        <v>1882</v>
      </c>
      <c r="C1086" s="610">
        <v>367.8</v>
      </c>
      <c r="D1086" s="598">
        <v>308.32554458326211</v>
      </c>
      <c r="E1086" s="598">
        <v>352.75869407795392</v>
      </c>
      <c r="F1086" s="599">
        <v>471.99340748443842</v>
      </c>
      <c r="G1086" s="600">
        <v>356.85458089133647</v>
      </c>
      <c r="H1086" s="598">
        <v>355.1925593124929</v>
      </c>
      <c r="I1086" s="598">
        <v>361.00572384862733</v>
      </c>
      <c r="J1086" s="601">
        <v>359.8046000001176</v>
      </c>
    </row>
    <row r="1087" spans="1:10">
      <c r="A1087" s="587">
        <v>33</v>
      </c>
      <c r="B1087" s="616">
        <v>1973</v>
      </c>
      <c r="C1087" s="610">
        <v>363.3</v>
      </c>
      <c r="D1087" s="598">
        <v>308.8945939536199</v>
      </c>
      <c r="E1087" s="598">
        <v>352.75869487495913</v>
      </c>
      <c r="F1087" s="599">
        <v>473.03482853335038</v>
      </c>
      <c r="G1087" s="600">
        <v>356.88719564146322</v>
      </c>
      <c r="H1087" s="598">
        <v>355.1925593124929</v>
      </c>
      <c r="I1087" s="598">
        <v>361.00572384862733</v>
      </c>
      <c r="J1087" s="601">
        <v>359.37690000007603</v>
      </c>
    </row>
    <row r="1088" spans="1:10">
      <c r="A1088" s="587">
        <v>33</v>
      </c>
      <c r="B1088" s="616">
        <v>2076</v>
      </c>
      <c r="C1088" s="610">
        <v>364.40000000000003</v>
      </c>
      <c r="D1088" s="598">
        <v>309.4529383802311</v>
      </c>
      <c r="E1088" s="598">
        <v>352.75869541253689</v>
      </c>
      <c r="F1088" s="599">
        <v>474.11024842326958</v>
      </c>
      <c r="G1088" s="600">
        <v>356.92065913546475</v>
      </c>
      <c r="H1088" s="598">
        <v>355.1925593124929</v>
      </c>
      <c r="I1088" s="598">
        <v>361.00572384862733</v>
      </c>
      <c r="J1088" s="601">
        <v>358.89280000004715</v>
      </c>
    </row>
    <row r="1089" spans="1:11">
      <c r="A1089" s="587">
        <v>33</v>
      </c>
      <c r="B1089" s="616">
        <v>2174</v>
      </c>
      <c r="C1089" s="610">
        <v>371.09999999999997</v>
      </c>
      <c r="D1089" s="598">
        <v>309.9127495085275</v>
      </c>
      <c r="E1089" s="598">
        <v>352.75869571453046</v>
      </c>
      <c r="F1089" s="599">
        <v>475.04447737185905</v>
      </c>
      <c r="G1089" s="600">
        <v>356.94955252886399</v>
      </c>
      <c r="H1089" s="598">
        <v>355.1925593124929</v>
      </c>
      <c r="I1089" s="598">
        <v>361.00572384862733</v>
      </c>
      <c r="J1089" s="601">
        <v>358.43220000003032</v>
      </c>
    </row>
    <row r="1090" spans="1:11">
      <c r="A1090" s="587">
        <v>33</v>
      </c>
      <c r="B1090" s="616">
        <v>2280</v>
      </c>
      <c r="C1090" s="610">
        <v>366.70000000000005</v>
      </c>
      <c r="D1090" s="598">
        <v>310.34406675047296</v>
      </c>
      <c r="E1090" s="598">
        <v>352.75869590901726</v>
      </c>
      <c r="F1090" s="599">
        <v>475.96969544736197</v>
      </c>
      <c r="G1090" s="600">
        <v>356.97800657660559</v>
      </c>
      <c r="H1090" s="598">
        <v>355.1925593124929</v>
      </c>
      <c r="I1090" s="598">
        <v>361.00572384862733</v>
      </c>
      <c r="J1090" s="601">
        <v>357.93400000001913</v>
      </c>
    </row>
    <row r="1091" spans="1:11">
      <c r="A1091" s="587">
        <v>33</v>
      </c>
      <c r="B1091" s="616">
        <v>2443</v>
      </c>
      <c r="C1091" s="610">
        <v>363.3</v>
      </c>
      <c r="D1091" s="598">
        <v>310.89738454539412</v>
      </c>
      <c r="E1091" s="598">
        <v>352.75869606489778</v>
      </c>
      <c r="F1091" s="599">
        <v>477.24412775414515</v>
      </c>
      <c r="G1091" s="600">
        <v>357.01694069951208</v>
      </c>
      <c r="H1091" s="598">
        <v>355.1925593124929</v>
      </c>
      <c r="I1091" s="598">
        <v>361.00572384862733</v>
      </c>
      <c r="J1091" s="601">
        <v>357.16790000000975</v>
      </c>
    </row>
    <row r="1092" spans="1:11">
      <c r="A1092" s="587">
        <v>33</v>
      </c>
      <c r="B1092" s="616">
        <v>2553</v>
      </c>
      <c r="C1092" s="610">
        <v>366.70000000000005</v>
      </c>
      <c r="D1092" s="598">
        <v>311.20906469798911</v>
      </c>
      <c r="E1092" s="598">
        <v>352.75869611860804</v>
      </c>
      <c r="F1092" s="599">
        <v>478.01691345357011</v>
      </c>
      <c r="G1092" s="600">
        <v>357.04040406853193</v>
      </c>
      <c r="H1092" s="598">
        <v>355.1925593124929</v>
      </c>
      <c r="I1092" s="598">
        <v>361.00572384862733</v>
      </c>
      <c r="J1092" s="601">
        <v>356.65090000000629</v>
      </c>
    </row>
    <row r="1093" spans="1:11">
      <c r="A1093" s="587">
        <v>33</v>
      </c>
      <c r="B1093" s="616">
        <v>2707</v>
      </c>
      <c r="C1093" s="610">
        <v>359.99999999999994</v>
      </c>
      <c r="D1093" s="598">
        <v>311.57813781974392</v>
      </c>
      <c r="E1093" s="598">
        <v>352.75869615957811</v>
      </c>
      <c r="F1093" s="599">
        <v>478.99841450643044</v>
      </c>
      <c r="G1093" s="600">
        <v>357.07004752367072</v>
      </c>
      <c r="H1093" s="598">
        <v>355.1925593124929</v>
      </c>
      <c r="I1093" s="598">
        <v>361.00572384862733</v>
      </c>
      <c r="J1093" s="601">
        <v>355.92710000000352</v>
      </c>
    </row>
    <row r="1094" spans="1:11">
      <c r="A1094" s="587">
        <v>33</v>
      </c>
      <c r="B1094" s="616">
        <v>2823</v>
      </c>
      <c r="C1094" s="610">
        <v>358.9</v>
      </c>
      <c r="D1094" s="598">
        <v>311.81311625107708</v>
      </c>
      <c r="E1094" s="598">
        <v>352.75869617609806</v>
      </c>
      <c r="F1094" s="599">
        <v>479.67031239125026</v>
      </c>
      <c r="G1094" s="600">
        <v>357.09023968285368</v>
      </c>
      <c r="H1094" s="598">
        <v>355.1925593124929</v>
      </c>
      <c r="I1094" s="598">
        <v>361.00572384862733</v>
      </c>
      <c r="J1094" s="601">
        <v>355.3819000000023</v>
      </c>
    </row>
    <row r="1095" spans="1:11">
      <c r="A1095" s="587">
        <v>33</v>
      </c>
      <c r="B1095" s="616">
        <v>2926</v>
      </c>
      <c r="C1095" s="610">
        <v>358.9</v>
      </c>
      <c r="D1095" s="598">
        <v>311.99585078674932</v>
      </c>
      <c r="E1095" s="598">
        <v>352.75869618508329</v>
      </c>
      <c r="F1095" s="599">
        <v>480.22427092600265</v>
      </c>
      <c r="G1095" s="600">
        <v>357.10682633596866</v>
      </c>
      <c r="H1095" s="598">
        <v>355.1925593124929</v>
      </c>
      <c r="I1095" s="598">
        <v>361.00572384862733</v>
      </c>
      <c r="J1095" s="601">
        <v>354.89780000000155</v>
      </c>
    </row>
    <row r="1096" spans="1:11">
      <c r="A1096" s="587">
        <v>33</v>
      </c>
      <c r="B1096" s="616">
        <v>3013</v>
      </c>
      <c r="C1096" s="610">
        <v>358.9</v>
      </c>
      <c r="D1096" s="598">
        <v>312.1337363482221</v>
      </c>
      <c r="E1096" s="598">
        <v>352.75869619008114</v>
      </c>
      <c r="F1096" s="599">
        <v>480.66396546763195</v>
      </c>
      <c r="G1096" s="600">
        <v>357.11995252539543</v>
      </c>
      <c r="H1096" s="598">
        <v>355.1925593124929</v>
      </c>
      <c r="I1096" s="598">
        <v>361.00572384862733</v>
      </c>
      <c r="J1096" s="601">
        <v>354.48890000000119</v>
      </c>
    </row>
    <row r="1097" spans="1:11">
      <c r="A1097" s="587">
        <v>33</v>
      </c>
      <c r="B1097" s="616">
        <v>3176</v>
      </c>
      <c r="C1097" s="610">
        <v>359.99999999999994</v>
      </c>
      <c r="D1097" s="598">
        <v>312.35745211008981</v>
      </c>
      <c r="E1097" s="598">
        <v>352.75869619564168</v>
      </c>
      <c r="F1097" s="599">
        <v>481.42562140505032</v>
      </c>
      <c r="G1097" s="600">
        <v>357.14260857287928</v>
      </c>
      <c r="H1097" s="598">
        <v>355.1925593124929</v>
      </c>
      <c r="I1097" s="598">
        <v>361.00572384862733</v>
      </c>
      <c r="J1097" s="601">
        <v>353.72280000000063</v>
      </c>
    </row>
    <row r="1098" spans="1:11">
      <c r="A1098" s="587">
        <v>33</v>
      </c>
      <c r="B1098" s="616">
        <v>3262</v>
      </c>
      <c r="C1098" s="610">
        <v>361.1</v>
      </c>
      <c r="D1098" s="598">
        <v>312.45980947027488</v>
      </c>
      <c r="E1098" s="598">
        <v>352.75869619735556</v>
      </c>
      <c r="F1098" s="599">
        <v>481.79804996263829</v>
      </c>
      <c r="G1098" s="600">
        <v>357.15364921777257</v>
      </c>
      <c r="H1098" s="598">
        <v>355.1925593124929</v>
      </c>
      <c r="I1098" s="598">
        <v>361.00572384862733</v>
      </c>
      <c r="J1098" s="601">
        <v>353.31860000000052</v>
      </c>
    </row>
    <row r="1099" spans="1:11">
      <c r="A1099" s="619" t="s">
        <v>3635</v>
      </c>
      <c r="B1099" s="620">
        <v>1</v>
      </c>
      <c r="C1099" s="621">
        <v>61</v>
      </c>
      <c r="D1099" s="622"/>
      <c r="E1099" s="622"/>
      <c r="F1099" s="623"/>
      <c r="G1099" s="624"/>
      <c r="H1099" s="622"/>
      <c r="I1099" s="622"/>
      <c r="J1099" s="625"/>
      <c r="K1099" s="67" t="s">
        <v>3774</v>
      </c>
    </row>
    <row r="1100" spans="1:11">
      <c r="A1100" s="585" t="s">
        <v>3635</v>
      </c>
      <c r="B1100" s="614">
        <v>2</v>
      </c>
      <c r="C1100" s="608">
        <v>86</v>
      </c>
      <c r="D1100" s="590"/>
      <c r="E1100" s="590"/>
      <c r="F1100" s="591"/>
      <c r="G1100" s="592"/>
      <c r="H1100" s="590"/>
      <c r="I1100" s="590"/>
      <c r="J1100" s="593"/>
    </row>
    <row r="1101" spans="1:11">
      <c r="A1101" s="585" t="s">
        <v>3635</v>
      </c>
      <c r="B1101" s="614">
        <v>3</v>
      </c>
      <c r="C1101" s="608">
        <v>103</v>
      </c>
      <c r="D1101" s="590"/>
      <c r="E1101" s="590"/>
      <c r="F1101" s="591"/>
      <c r="G1101" s="592"/>
      <c r="H1101" s="590"/>
      <c r="I1101" s="590"/>
      <c r="J1101" s="593"/>
    </row>
    <row r="1102" spans="1:11">
      <c r="A1102" s="585" t="s">
        <v>3635</v>
      </c>
      <c r="B1102" s="614">
        <v>7</v>
      </c>
      <c r="C1102" s="608">
        <v>122</v>
      </c>
      <c r="D1102" s="590"/>
      <c r="E1102" s="590"/>
      <c r="F1102" s="591"/>
      <c r="G1102" s="592"/>
      <c r="H1102" s="590"/>
      <c r="I1102" s="590"/>
      <c r="J1102" s="593"/>
    </row>
    <row r="1103" spans="1:11">
      <c r="A1103" s="585" t="s">
        <v>3635</v>
      </c>
      <c r="B1103" s="614">
        <v>14</v>
      </c>
      <c r="C1103" s="608">
        <v>153</v>
      </c>
      <c r="D1103" s="590"/>
      <c r="E1103" s="590"/>
      <c r="F1103" s="591"/>
      <c r="G1103" s="592"/>
      <c r="H1103" s="590"/>
      <c r="I1103" s="590"/>
      <c r="J1103" s="593"/>
    </row>
    <row r="1104" spans="1:11">
      <c r="A1104" s="585" t="s">
        <v>3635</v>
      </c>
      <c r="B1104" s="614">
        <v>21</v>
      </c>
      <c r="C1104" s="608">
        <v>200</v>
      </c>
      <c r="D1104" s="590"/>
      <c r="E1104" s="590"/>
      <c r="F1104" s="591"/>
      <c r="G1104" s="592"/>
      <c r="H1104" s="590"/>
      <c r="I1104" s="590"/>
      <c r="J1104" s="593"/>
    </row>
    <row r="1105" spans="1:10">
      <c r="A1105" s="585" t="s">
        <v>3635</v>
      </c>
      <c r="B1105" s="614">
        <v>28</v>
      </c>
      <c r="C1105" s="608">
        <v>239</v>
      </c>
      <c r="D1105" s="590"/>
      <c r="E1105" s="590"/>
      <c r="F1105" s="591"/>
      <c r="G1105" s="592"/>
      <c r="H1105" s="590"/>
      <c r="I1105" s="590"/>
      <c r="J1105" s="593"/>
    </row>
    <row r="1106" spans="1:10">
      <c r="A1106" s="585" t="s">
        <v>3635</v>
      </c>
      <c r="B1106" s="614">
        <v>56</v>
      </c>
      <c r="C1106" s="608">
        <v>284</v>
      </c>
      <c r="D1106" s="590"/>
      <c r="E1106" s="590">
        <v>266.22802979809677</v>
      </c>
      <c r="F1106" s="591"/>
      <c r="G1106" s="592">
        <v>250.86805515877103</v>
      </c>
      <c r="H1106" s="590"/>
      <c r="I1106" s="590">
        <v>267.42059250921443</v>
      </c>
      <c r="J1106" s="593"/>
    </row>
    <row r="1107" spans="1:10">
      <c r="A1107" s="585" t="s">
        <v>3635</v>
      </c>
      <c r="B1107" s="614">
        <v>84</v>
      </c>
      <c r="C1107" s="608">
        <v>337</v>
      </c>
      <c r="D1107" s="590"/>
      <c r="E1107" s="590">
        <v>322.26405277603516</v>
      </c>
      <c r="F1107" s="591"/>
      <c r="G1107" s="592">
        <v>300.11427609777684</v>
      </c>
      <c r="H1107" s="590"/>
      <c r="I1107" s="590">
        <v>369.51895677527119</v>
      </c>
      <c r="J1107" s="593"/>
    </row>
    <row r="1108" spans="1:10">
      <c r="A1108" s="586" t="s">
        <v>3635</v>
      </c>
      <c r="B1108" s="615">
        <v>112</v>
      </c>
      <c r="C1108" s="609">
        <v>345</v>
      </c>
      <c r="D1108" s="594"/>
      <c r="E1108" s="594">
        <v>345.33198718285092</v>
      </c>
      <c r="F1108" s="595"/>
      <c r="G1108" s="596">
        <v>322.32517802582419</v>
      </c>
      <c r="H1108" s="594"/>
      <c r="I1108" s="594">
        <v>402.52680040718576</v>
      </c>
      <c r="J1108" s="597"/>
    </row>
    <row r="1109" spans="1:10">
      <c r="A1109" s="586" t="s">
        <v>3635</v>
      </c>
      <c r="B1109" s="615">
        <v>140</v>
      </c>
      <c r="C1109" s="609">
        <v>370</v>
      </c>
      <c r="D1109" s="594"/>
      <c r="E1109" s="594">
        <v>356.84745380948453</v>
      </c>
      <c r="F1109" s="595"/>
      <c r="G1109" s="596">
        <v>335.07156096986034</v>
      </c>
      <c r="H1109" s="594"/>
      <c r="I1109" s="594">
        <v>413.2258841808063</v>
      </c>
      <c r="J1109" s="597"/>
    </row>
    <row r="1110" spans="1:10">
      <c r="A1110" s="586" t="s">
        <v>3635</v>
      </c>
      <c r="B1110" s="615">
        <v>168</v>
      </c>
      <c r="C1110" s="609">
        <v>409</v>
      </c>
      <c r="D1110" s="594"/>
      <c r="E1110" s="594">
        <v>363.24063610146459</v>
      </c>
      <c r="F1110" s="595"/>
      <c r="G1110" s="596">
        <v>343.35824021562121</v>
      </c>
      <c r="H1110" s="594"/>
      <c r="I1110" s="594">
        <v>416.69630117822715</v>
      </c>
      <c r="J1110" s="597"/>
    </row>
    <row r="1111" spans="1:10">
      <c r="A1111" s="619" t="s">
        <v>3637</v>
      </c>
      <c r="B1111" s="620">
        <v>2</v>
      </c>
      <c r="C1111" s="621">
        <v>103</v>
      </c>
      <c r="D1111" s="622"/>
      <c r="E1111" s="622"/>
      <c r="F1111" s="623"/>
      <c r="G1111" s="624"/>
      <c r="H1111" s="622"/>
      <c r="I1111" s="622"/>
      <c r="J1111" s="625"/>
    </row>
    <row r="1112" spans="1:10">
      <c r="A1112" s="585" t="s">
        <v>3637</v>
      </c>
      <c r="B1112" s="614">
        <v>3</v>
      </c>
      <c r="C1112" s="608">
        <v>156</v>
      </c>
      <c r="D1112" s="590"/>
      <c r="E1112" s="590"/>
      <c r="F1112" s="591"/>
      <c r="G1112" s="592"/>
      <c r="H1112" s="590"/>
      <c r="I1112" s="590"/>
      <c r="J1112" s="593"/>
    </row>
    <row r="1113" spans="1:10">
      <c r="A1113" s="585" t="s">
        <v>3637</v>
      </c>
      <c r="B1113" s="614">
        <v>7</v>
      </c>
      <c r="C1113" s="608">
        <v>186</v>
      </c>
      <c r="D1113" s="590"/>
      <c r="E1113" s="590"/>
      <c r="F1113" s="591"/>
      <c r="G1113" s="592"/>
      <c r="H1113" s="590"/>
      <c r="I1113" s="590"/>
      <c r="J1113" s="593"/>
    </row>
    <row r="1114" spans="1:10">
      <c r="A1114" s="585" t="s">
        <v>3637</v>
      </c>
      <c r="B1114" s="614">
        <v>14</v>
      </c>
      <c r="C1114" s="608">
        <v>181</v>
      </c>
      <c r="D1114" s="590"/>
      <c r="E1114" s="590"/>
      <c r="F1114" s="591"/>
      <c r="G1114" s="592"/>
      <c r="H1114" s="590"/>
      <c r="I1114" s="590"/>
      <c r="J1114" s="593"/>
    </row>
    <row r="1115" spans="1:10">
      <c r="A1115" s="585" t="s">
        <v>3637</v>
      </c>
      <c r="B1115" s="614">
        <v>21</v>
      </c>
      <c r="C1115" s="608">
        <v>214</v>
      </c>
      <c r="D1115" s="590"/>
      <c r="E1115" s="590"/>
      <c r="F1115" s="591"/>
      <c r="G1115" s="592"/>
      <c r="H1115" s="590"/>
      <c r="I1115" s="590"/>
      <c r="J1115" s="593"/>
    </row>
    <row r="1116" spans="1:10">
      <c r="A1116" s="585" t="s">
        <v>3637</v>
      </c>
      <c r="B1116" s="614">
        <v>28</v>
      </c>
      <c r="C1116" s="608">
        <v>231</v>
      </c>
      <c r="D1116" s="590"/>
      <c r="E1116" s="590"/>
      <c r="F1116" s="591"/>
      <c r="G1116" s="592"/>
      <c r="H1116" s="590"/>
      <c r="I1116" s="590"/>
      <c r="J1116" s="593"/>
    </row>
    <row r="1117" spans="1:10">
      <c r="A1117" s="585" t="s">
        <v>3637</v>
      </c>
      <c r="B1117" s="614">
        <v>56</v>
      </c>
      <c r="C1117" s="608">
        <v>289</v>
      </c>
      <c r="D1117" s="590">
        <v>389.69794040317856</v>
      </c>
      <c r="E1117" s="590">
        <v>280.20905633402981</v>
      </c>
      <c r="F1117" s="591">
        <v>199.58838533543644</v>
      </c>
      <c r="G1117" s="592">
        <v>274.24318688022584</v>
      </c>
      <c r="H1117" s="590">
        <v>256.62074133437483</v>
      </c>
      <c r="I1117" s="590">
        <v>282.21155183983763</v>
      </c>
      <c r="J1117" s="593"/>
    </row>
    <row r="1118" spans="1:10">
      <c r="A1118" s="585" t="s">
        <v>3637</v>
      </c>
      <c r="B1118" s="614">
        <v>84</v>
      </c>
      <c r="C1118" s="608">
        <v>328</v>
      </c>
      <c r="D1118" s="590">
        <v>394.95670180785032</v>
      </c>
      <c r="E1118" s="590">
        <v>336.7177218264373</v>
      </c>
      <c r="F1118" s="591">
        <v>257.61146150811891</v>
      </c>
      <c r="G1118" s="592">
        <v>325.62304837543655</v>
      </c>
      <c r="H1118" s="590">
        <v>354.95193403115121</v>
      </c>
      <c r="I1118" s="590">
        <v>382.00965580393716</v>
      </c>
      <c r="J1118" s="593"/>
    </row>
    <row r="1119" spans="1:10">
      <c r="A1119" s="586" t="s">
        <v>3637</v>
      </c>
      <c r="B1119" s="615">
        <v>112</v>
      </c>
      <c r="C1119" s="609">
        <v>365</v>
      </c>
      <c r="D1119" s="594">
        <v>395.51654097963626</v>
      </c>
      <c r="E1119" s="594">
        <v>360.31174996767351</v>
      </c>
      <c r="F1119" s="595">
        <v>290.04714599218806</v>
      </c>
      <c r="G1119" s="596">
        <v>349.09205129723279</v>
      </c>
      <c r="H1119" s="594">
        <v>386.90003188911197</v>
      </c>
      <c r="I1119" s="594">
        <v>414.01101417983045</v>
      </c>
      <c r="J1119" s="597"/>
    </row>
    <row r="1120" spans="1:10">
      <c r="A1120" s="586" t="s">
        <v>3637</v>
      </c>
      <c r="B1120" s="615">
        <v>140</v>
      </c>
      <c r="C1120" s="609">
        <v>406</v>
      </c>
      <c r="D1120" s="594">
        <v>395.61789952833527</v>
      </c>
      <c r="E1120" s="594">
        <v>372.18446221219733</v>
      </c>
      <c r="F1120" s="595">
        <v>311.21413513499516</v>
      </c>
      <c r="G1120" s="596">
        <v>362.63825629525883</v>
      </c>
      <c r="H1120" s="594">
        <v>397.21650712158134</v>
      </c>
      <c r="I1120" s="594">
        <v>424.30643733509129</v>
      </c>
      <c r="J1120" s="597"/>
    </row>
    <row r="1121" spans="1:10">
      <c r="A1121" s="586" t="s">
        <v>3637</v>
      </c>
      <c r="B1121" s="615">
        <v>168</v>
      </c>
      <c r="C1121" s="609">
        <v>459</v>
      </c>
      <c r="D1121" s="594">
        <v>395.64203612513614</v>
      </c>
      <c r="E1121" s="594">
        <v>378.81341712498897</v>
      </c>
      <c r="F1121" s="595">
        <v>326.2216587198472</v>
      </c>
      <c r="G1121" s="596">
        <v>371.47482713394152</v>
      </c>
      <c r="H1121" s="594">
        <v>400.54229064354627</v>
      </c>
      <c r="I1121" s="594">
        <v>427.62161923908013</v>
      </c>
      <c r="J1121" s="597"/>
    </row>
    <row r="1122" spans="1:10">
      <c r="A1122" s="619" t="s">
        <v>3641</v>
      </c>
      <c r="B1122" s="620">
        <v>1</v>
      </c>
      <c r="C1122" s="621">
        <v>17</v>
      </c>
      <c r="D1122" s="622"/>
      <c r="E1122" s="622"/>
      <c r="F1122" s="623"/>
      <c r="G1122" s="624"/>
      <c r="H1122" s="622"/>
      <c r="I1122" s="622"/>
      <c r="J1122" s="625"/>
    </row>
    <row r="1123" spans="1:10">
      <c r="A1123" s="585" t="s">
        <v>3641</v>
      </c>
      <c r="B1123" s="614">
        <v>2</v>
      </c>
      <c r="C1123" s="608">
        <v>28</v>
      </c>
      <c r="D1123" s="590"/>
      <c r="E1123" s="590"/>
      <c r="F1123" s="591"/>
      <c r="G1123" s="592"/>
      <c r="H1123" s="590"/>
      <c r="I1123" s="590"/>
      <c r="J1123" s="593"/>
    </row>
    <row r="1124" spans="1:10">
      <c r="A1124" s="585" t="s">
        <v>3641</v>
      </c>
      <c r="B1124" s="614">
        <v>3</v>
      </c>
      <c r="C1124" s="608">
        <v>39</v>
      </c>
      <c r="D1124" s="590"/>
      <c r="E1124" s="590"/>
      <c r="F1124" s="591"/>
      <c r="G1124" s="592"/>
      <c r="H1124" s="590"/>
      <c r="I1124" s="590"/>
      <c r="J1124" s="593"/>
    </row>
    <row r="1125" spans="1:10">
      <c r="A1125" s="585" t="s">
        <v>3641</v>
      </c>
      <c r="B1125" s="614">
        <v>7</v>
      </c>
      <c r="C1125" s="608">
        <v>86</v>
      </c>
      <c r="D1125" s="590"/>
      <c r="E1125" s="590"/>
      <c r="F1125" s="591"/>
      <c r="G1125" s="592"/>
      <c r="H1125" s="590"/>
      <c r="I1125" s="590"/>
      <c r="J1125" s="593"/>
    </row>
    <row r="1126" spans="1:10">
      <c r="A1126" s="585" t="s">
        <v>3641</v>
      </c>
      <c r="B1126" s="614">
        <v>14</v>
      </c>
      <c r="C1126" s="608">
        <v>125</v>
      </c>
      <c r="D1126" s="590"/>
      <c r="E1126" s="590"/>
      <c r="F1126" s="591"/>
      <c r="G1126" s="592"/>
      <c r="H1126" s="590"/>
      <c r="I1126" s="590"/>
      <c r="J1126" s="593"/>
    </row>
    <row r="1127" spans="1:10">
      <c r="A1127" s="585" t="s">
        <v>3641</v>
      </c>
      <c r="B1127" s="614">
        <v>21</v>
      </c>
      <c r="C1127" s="608">
        <v>159</v>
      </c>
      <c r="D1127" s="590"/>
      <c r="E1127" s="590"/>
      <c r="F1127" s="591"/>
      <c r="G1127" s="592"/>
      <c r="H1127" s="590"/>
      <c r="I1127" s="590"/>
      <c r="J1127" s="593"/>
    </row>
    <row r="1128" spans="1:10">
      <c r="A1128" s="585" t="s">
        <v>3641</v>
      </c>
      <c r="B1128" s="614">
        <v>28</v>
      </c>
      <c r="C1128" s="608">
        <v>206</v>
      </c>
      <c r="D1128" s="590"/>
      <c r="E1128" s="590"/>
      <c r="F1128" s="591"/>
      <c r="G1128" s="592"/>
      <c r="H1128" s="590"/>
      <c r="I1128" s="590"/>
      <c r="J1128" s="593"/>
    </row>
    <row r="1129" spans="1:10">
      <c r="A1129" s="585" t="s">
        <v>3641</v>
      </c>
      <c r="B1129" s="614">
        <v>56</v>
      </c>
      <c r="C1129" s="608">
        <v>287</v>
      </c>
      <c r="D1129" s="590">
        <v>384.45964291910803</v>
      </c>
      <c r="E1129" s="590">
        <v>265.19885031018498</v>
      </c>
      <c r="F1129" s="591">
        <v>189.17438733927924</v>
      </c>
      <c r="G1129" s="592">
        <v>264.40577006206183</v>
      </c>
      <c r="H1129" s="590">
        <v>229.72099388571382</v>
      </c>
      <c r="I1129" s="590">
        <v>254.77957256029902</v>
      </c>
      <c r="J1129" s="593"/>
    </row>
    <row r="1130" spans="1:10">
      <c r="A1130" s="585" t="s">
        <v>3641</v>
      </c>
      <c r="B1130" s="614">
        <v>84</v>
      </c>
      <c r="C1130" s="608">
        <v>342</v>
      </c>
      <c r="D1130" s="590">
        <v>392.27704265533032</v>
      </c>
      <c r="E1130" s="590">
        <v>330.85449484816894</v>
      </c>
      <c r="F1130" s="591">
        <v>254.50229817139265</v>
      </c>
      <c r="G1130" s="592">
        <v>324.6495316690565</v>
      </c>
      <c r="H1130" s="590">
        <v>300.69128950046672</v>
      </c>
      <c r="I1130" s="590">
        <v>327.56793854886581</v>
      </c>
      <c r="J1130" s="593"/>
    </row>
    <row r="1131" spans="1:10">
      <c r="A1131" s="586" t="s">
        <v>3641</v>
      </c>
      <c r="B1131" s="615">
        <v>112</v>
      </c>
      <c r="C1131" s="609">
        <v>354</v>
      </c>
      <c r="D1131" s="594">
        <v>393.01122257901898</v>
      </c>
      <c r="E1131" s="594">
        <v>357.1408876166783</v>
      </c>
      <c r="F1131" s="595">
        <v>289.73860019838963</v>
      </c>
      <c r="G1131" s="596">
        <v>350.72574370062728</v>
      </c>
      <c r="H1131" s="594">
        <v>311.539953222311</v>
      </c>
      <c r="I1131" s="594">
        <v>338.58645824013013</v>
      </c>
      <c r="J1131" s="597"/>
    </row>
    <row r="1132" spans="1:10">
      <c r="A1132" s="586" t="s">
        <v>3641</v>
      </c>
      <c r="B1132" s="615">
        <v>140</v>
      </c>
      <c r="C1132" s="609">
        <v>351</v>
      </c>
      <c r="D1132" s="594">
        <v>393.13723633427139</v>
      </c>
      <c r="E1132" s="594">
        <v>370.11201151928435</v>
      </c>
      <c r="F1132" s="595">
        <v>312.37085281146813</v>
      </c>
      <c r="G1132" s="596">
        <v>365.42215385253127</v>
      </c>
      <c r="H1132" s="594">
        <v>313.15991358399032</v>
      </c>
      <c r="I1132" s="594">
        <v>340.2295693466163</v>
      </c>
      <c r="J1132" s="597"/>
    </row>
    <row r="1133" spans="1:10">
      <c r="A1133" s="586" t="s">
        <v>3641</v>
      </c>
      <c r="B1133" s="615">
        <v>168</v>
      </c>
      <c r="C1133" s="609">
        <v>353</v>
      </c>
      <c r="D1133" s="594">
        <v>393.16631978088253</v>
      </c>
      <c r="E1133" s="594">
        <v>377.26664453151227</v>
      </c>
      <c r="F1133" s="595">
        <v>328.26425094893364</v>
      </c>
      <c r="G1133" s="596">
        <v>374.87664646191979</v>
      </c>
      <c r="H1133" s="594">
        <v>313.40104196458793</v>
      </c>
      <c r="I1133" s="594">
        <v>340.47409522973186</v>
      </c>
      <c r="J1133" s="597"/>
    </row>
    <row r="1134" spans="1:10">
      <c r="A1134" s="619" t="s">
        <v>3642</v>
      </c>
      <c r="B1134" s="620">
        <v>1</v>
      </c>
      <c r="C1134" s="621">
        <v>14</v>
      </c>
      <c r="D1134" s="622"/>
      <c r="E1134" s="622"/>
      <c r="F1134" s="623"/>
      <c r="G1134" s="624"/>
      <c r="H1134" s="622"/>
      <c r="I1134" s="622"/>
      <c r="J1134" s="625"/>
    </row>
    <row r="1135" spans="1:10">
      <c r="A1135" s="585" t="s">
        <v>3642</v>
      </c>
      <c r="B1135" s="614">
        <v>2</v>
      </c>
      <c r="C1135" s="608">
        <v>25</v>
      </c>
      <c r="D1135" s="590"/>
      <c r="E1135" s="590"/>
      <c r="F1135" s="591"/>
      <c r="G1135" s="592"/>
      <c r="H1135" s="590"/>
      <c r="I1135" s="590"/>
      <c r="J1135" s="593"/>
    </row>
    <row r="1136" spans="1:10">
      <c r="A1136" s="585" t="s">
        <v>3642</v>
      </c>
      <c r="B1136" s="614">
        <v>3</v>
      </c>
      <c r="C1136" s="608">
        <v>39</v>
      </c>
      <c r="D1136" s="590"/>
      <c r="E1136" s="590"/>
      <c r="F1136" s="591"/>
      <c r="G1136" s="592"/>
      <c r="H1136" s="590"/>
      <c r="I1136" s="590"/>
      <c r="J1136" s="593"/>
    </row>
    <row r="1137" spans="1:10">
      <c r="A1137" s="585" t="s">
        <v>3642</v>
      </c>
      <c r="B1137" s="614">
        <v>7</v>
      </c>
      <c r="C1137" s="608">
        <v>81</v>
      </c>
      <c r="D1137" s="590"/>
      <c r="E1137" s="590"/>
      <c r="F1137" s="591"/>
      <c r="G1137" s="592"/>
      <c r="H1137" s="590"/>
      <c r="I1137" s="590"/>
      <c r="J1137" s="593"/>
    </row>
    <row r="1138" spans="1:10">
      <c r="A1138" s="585" t="s">
        <v>3642</v>
      </c>
      <c r="B1138" s="614">
        <v>14</v>
      </c>
      <c r="C1138" s="608">
        <v>120</v>
      </c>
      <c r="D1138" s="590"/>
      <c r="E1138" s="590"/>
      <c r="F1138" s="591"/>
      <c r="G1138" s="592"/>
      <c r="H1138" s="590"/>
      <c r="I1138" s="590"/>
      <c r="J1138" s="593"/>
    </row>
    <row r="1139" spans="1:10">
      <c r="A1139" s="585" t="s">
        <v>3642</v>
      </c>
      <c r="B1139" s="614">
        <v>21</v>
      </c>
      <c r="C1139" s="608">
        <v>148</v>
      </c>
      <c r="D1139" s="590"/>
      <c r="E1139" s="590"/>
      <c r="F1139" s="591"/>
      <c r="G1139" s="592"/>
      <c r="H1139" s="590"/>
      <c r="I1139" s="590"/>
      <c r="J1139" s="593"/>
    </row>
    <row r="1140" spans="1:10">
      <c r="A1140" s="585" t="s">
        <v>3642</v>
      </c>
      <c r="B1140" s="614">
        <v>28</v>
      </c>
      <c r="C1140" s="608">
        <v>184</v>
      </c>
      <c r="D1140" s="590"/>
      <c r="E1140" s="590"/>
      <c r="F1140" s="591"/>
      <c r="G1140" s="592"/>
      <c r="H1140" s="590"/>
      <c r="I1140" s="590"/>
      <c r="J1140" s="593"/>
    </row>
    <row r="1141" spans="1:10">
      <c r="A1141" s="585" t="s">
        <v>3642</v>
      </c>
      <c r="B1141" s="614">
        <v>56</v>
      </c>
      <c r="C1141" s="608">
        <v>248</v>
      </c>
      <c r="D1141" s="590">
        <v>378.15282763880987</v>
      </c>
      <c r="E1141" s="590">
        <v>261.62579331077131</v>
      </c>
      <c r="F1141" s="591">
        <v>196.04606740963374</v>
      </c>
      <c r="G1141" s="592">
        <v>272.79738009198257</v>
      </c>
      <c r="H1141" s="590">
        <v>225.42536759985498</v>
      </c>
      <c r="I1141" s="590">
        <v>250.47088187025565</v>
      </c>
      <c r="J1141" s="593"/>
    </row>
    <row r="1142" spans="1:10">
      <c r="A1142" s="585" t="s">
        <v>3642</v>
      </c>
      <c r="B1142" s="614">
        <v>84</v>
      </c>
      <c r="C1142" s="608">
        <v>312</v>
      </c>
      <c r="D1142" s="590">
        <v>384.99129376963498</v>
      </c>
      <c r="E1142" s="590">
        <v>322.82575788447861</v>
      </c>
      <c r="F1142" s="591">
        <v>260.75674871443613</v>
      </c>
      <c r="G1142" s="592">
        <v>331.84624090000494</v>
      </c>
      <c r="H1142" s="590">
        <v>289.75436159919292</v>
      </c>
      <c r="I1142" s="590">
        <v>316.61136288579058</v>
      </c>
      <c r="J1142" s="593"/>
    </row>
    <row r="1143" spans="1:10">
      <c r="A1143" s="586" t="s">
        <v>3642</v>
      </c>
      <c r="B1143" s="615">
        <v>112</v>
      </c>
      <c r="C1143" s="609">
        <v>315</v>
      </c>
      <c r="D1143" s="594">
        <v>385.6515643885848</v>
      </c>
      <c r="E1143" s="594">
        <v>347.54504902176313</v>
      </c>
      <c r="F1143" s="595">
        <v>295.99323326019521</v>
      </c>
      <c r="G1143" s="596">
        <v>357.77225607895087</v>
      </c>
      <c r="H1143" s="594">
        <v>299.64874570882523</v>
      </c>
      <c r="I1143" s="594">
        <v>326.69179201588696</v>
      </c>
      <c r="J1143" s="597"/>
    </row>
    <row r="1144" spans="1:10">
      <c r="A1144" s="586" t="s">
        <v>3642</v>
      </c>
      <c r="B1144" s="615">
        <v>140</v>
      </c>
      <c r="C1144" s="609">
        <v>337</v>
      </c>
      <c r="D1144" s="594">
        <v>385.76598735496907</v>
      </c>
      <c r="E1144" s="594">
        <v>359.7831136771959</v>
      </c>
      <c r="F1144" s="595">
        <v>318.71862416442929</v>
      </c>
      <c r="G1144" s="596">
        <v>372.47439561130716</v>
      </c>
      <c r="H1144" s="594">
        <v>301.1372888069651</v>
      </c>
      <c r="I1144" s="594">
        <v>328.20638948503859</v>
      </c>
      <c r="J1144" s="597"/>
    </row>
    <row r="1145" spans="1:10">
      <c r="A1145" s="586" t="s">
        <v>3642</v>
      </c>
      <c r="B1145" s="615">
        <v>168</v>
      </c>
      <c r="C1145" s="609">
        <v>340</v>
      </c>
      <c r="D1145" s="594">
        <v>385.79251476687119</v>
      </c>
      <c r="E1145" s="594">
        <v>366.54468043722221</v>
      </c>
      <c r="F1145" s="595">
        <v>334.71658550910865</v>
      </c>
      <c r="G1145" s="596">
        <v>381.96633976609286</v>
      </c>
      <c r="H1145" s="594">
        <v>301.36054771743335</v>
      </c>
      <c r="I1145" s="594">
        <v>328.43351311752889</v>
      </c>
      <c r="J1145" s="597"/>
    </row>
    <row r="1146" spans="1:10">
      <c r="A1146" s="619" t="s">
        <v>3646</v>
      </c>
      <c r="B1146" s="620">
        <v>1</v>
      </c>
      <c r="C1146" s="621">
        <v>42</v>
      </c>
      <c r="D1146" s="622"/>
      <c r="E1146" s="622"/>
      <c r="F1146" s="623"/>
      <c r="G1146" s="624"/>
      <c r="H1146" s="622"/>
      <c r="I1146" s="622"/>
      <c r="J1146" s="625"/>
    </row>
    <row r="1147" spans="1:10">
      <c r="A1147" s="585" t="s">
        <v>3646</v>
      </c>
      <c r="B1147" s="614">
        <v>2</v>
      </c>
      <c r="C1147" s="608">
        <v>56</v>
      </c>
      <c r="D1147" s="590"/>
      <c r="E1147" s="590"/>
      <c r="F1147" s="591"/>
      <c r="G1147" s="592"/>
      <c r="H1147" s="590"/>
      <c r="I1147" s="590"/>
      <c r="J1147" s="593"/>
    </row>
    <row r="1148" spans="1:10">
      <c r="A1148" s="585" t="s">
        <v>3646</v>
      </c>
      <c r="B1148" s="614">
        <v>3</v>
      </c>
      <c r="C1148" s="608">
        <v>70</v>
      </c>
      <c r="D1148" s="590"/>
      <c r="E1148" s="590"/>
      <c r="F1148" s="591"/>
      <c r="G1148" s="592"/>
      <c r="H1148" s="590"/>
      <c r="I1148" s="590"/>
      <c r="J1148" s="593"/>
    </row>
    <row r="1149" spans="1:10">
      <c r="A1149" s="585" t="s">
        <v>3646</v>
      </c>
      <c r="B1149" s="614">
        <v>7</v>
      </c>
      <c r="C1149" s="608">
        <v>134</v>
      </c>
      <c r="D1149" s="590"/>
      <c r="E1149" s="590"/>
      <c r="F1149" s="591"/>
      <c r="G1149" s="592"/>
      <c r="H1149" s="590"/>
      <c r="I1149" s="590"/>
      <c r="J1149" s="593"/>
    </row>
    <row r="1150" spans="1:10">
      <c r="A1150" s="585" t="s">
        <v>3646</v>
      </c>
      <c r="B1150" s="614">
        <v>14</v>
      </c>
      <c r="C1150" s="608">
        <v>150</v>
      </c>
      <c r="D1150" s="590"/>
      <c r="E1150" s="590"/>
      <c r="F1150" s="591"/>
      <c r="G1150" s="592"/>
      <c r="H1150" s="590"/>
      <c r="I1150" s="590"/>
      <c r="J1150" s="593"/>
    </row>
    <row r="1151" spans="1:10">
      <c r="A1151" s="585" t="s">
        <v>3646</v>
      </c>
      <c r="B1151" s="614">
        <v>21</v>
      </c>
      <c r="C1151" s="608">
        <v>189</v>
      </c>
      <c r="D1151" s="590"/>
      <c r="E1151" s="590"/>
      <c r="F1151" s="591"/>
      <c r="G1151" s="592"/>
      <c r="H1151" s="590"/>
      <c r="I1151" s="590"/>
      <c r="J1151" s="593"/>
    </row>
    <row r="1152" spans="1:10">
      <c r="A1152" s="585" t="s">
        <v>3646</v>
      </c>
      <c r="B1152" s="614">
        <v>28</v>
      </c>
      <c r="C1152" s="608">
        <v>212</v>
      </c>
      <c r="D1152" s="590"/>
      <c r="E1152" s="590"/>
      <c r="F1152" s="591"/>
      <c r="G1152" s="592"/>
      <c r="H1152" s="590"/>
      <c r="I1152" s="590"/>
      <c r="J1152" s="593"/>
    </row>
    <row r="1153" spans="1:10">
      <c r="A1153" s="585" t="s">
        <v>3646</v>
      </c>
      <c r="B1153" s="614">
        <v>56</v>
      </c>
      <c r="C1153" s="608">
        <v>239</v>
      </c>
      <c r="D1153" s="590">
        <v>289.22793064685732</v>
      </c>
      <c r="E1153" s="590">
        <v>327.29306189561748</v>
      </c>
      <c r="F1153" s="591">
        <v>230.11456924212263</v>
      </c>
      <c r="G1153" s="592">
        <v>332.68616835502928</v>
      </c>
      <c r="H1153" s="590">
        <v>382.02771579239197</v>
      </c>
      <c r="I1153" s="590">
        <v>380.80579065700744</v>
      </c>
      <c r="J1153" s="593"/>
    </row>
    <row r="1154" spans="1:10">
      <c r="A1154" s="585" t="s">
        <v>3646</v>
      </c>
      <c r="B1154" s="614">
        <v>84</v>
      </c>
      <c r="C1154" s="608">
        <v>278</v>
      </c>
      <c r="D1154" s="590">
        <v>369.94404042734931</v>
      </c>
      <c r="E1154" s="590">
        <v>424.2380406014862</v>
      </c>
      <c r="F1154" s="591">
        <v>291.96053811674477</v>
      </c>
      <c r="G1154" s="592">
        <v>394.87610295884485</v>
      </c>
      <c r="H1154" s="590">
        <v>501.17644611109301</v>
      </c>
      <c r="I1154" s="590">
        <v>435.54185476580074</v>
      </c>
      <c r="J1154" s="593"/>
    </row>
    <row r="1155" spans="1:10">
      <c r="A1155" s="586" t="s">
        <v>3646</v>
      </c>
      <c r="B1155" s="615">
        <v>112</v>
      </c>
      <c r="C1155" s="609">
        <v>376</v>
      </c>
      <c r="D1155" s="594">
        <v>415.18487704760651</v>
      </c>
      <c r="E1155" s="594">
        <v>480.97945016590654</v>
      </c>
      <c r="F1155" s="595">
        <v>327.08729355873351</v>
      </c>
      <c r="G1155" s="596">
        <v>424.88538452171548</v>
      </c>
      <c r="H1155" s="594">
        <v>551.71210619428325</v>
      </c>
      <c r="I1155" s="594">
        <v>469.3310278015648</v>
      </c>
      <c r="J1155" s="597"/>
    </row>
    <row r="1156" spans="1:10">
      <c r="A1156" s="586" t="s">
        <v>3646</v>
      </c>
      <c r="B1156" s="615">
        <v>140</v>
      </c>
      <c r="C1156" s="609">
        <v>395</v>
      </c>
      <c r="D1156" s="594">
        <v>443.85684173932827</v>
      </c>
      <c r="E1156" s="594">
        <v>518.2850017877787</v>
      </c>
      <c r="F1156" s="595">
        <v>350.18186696039271</v>
      </c>
      <c r="G1156" s="596">
        <v>442.70531451380174</v>
      </c>
      <c r="H1156" s="594">
        <v>574.05776492458483</v>
      </c>
      <c r="I1156" s="594">
        <v>493.59864464385402</v>
      </c>
      <c r="J1156" s="597"/>
    </row>
    <row r="1157" spans="1:10">
      <c r="A1157" s="586" t="s">
        <v>3646</v>
      </c>
      <c r="B1157" s="615">
        <v>168</v>
      </c>
      <c r="C1157" s="609">
        <v>412</v>
      </c>
      <c r="D1157" s="594">
        <v>463.26934494588676</v>
      </c>
      <c r="E1157" s="594">
        <v>544.36435764020632</v>
      </c>
      <c r="F1157" s="595">
        <v>366.63119115463797</v>
      </c>
      <c r="G1157" s="596">
        <v>454.53730233258233</v>
      </c>
      <c r="H1157" s="594">
        <v>584.08413460912061</v>
      </c>
      <c r="I1157" s="594">
        <v>512.28973087049428</v>
      </c>
      <c r="J1157" s="597"/>
    </row>
    <row r="1158" spans="1:10">
      <c r="A1158" s="619" t="s">
        <v>3647</v>
      </c>
      <c r="B1158" s="620">
        <v>1</v>
      </c>
      <c r="C1158" s="621">
        <v>39</v>
      </c>
      <c r="D1158" s="622"/>
      <c r="E1158" s="622"/>
      <c r="F1158" s="623"/>
      <c r="G1158" s="624"/>
      <c r="H1158" s="622"/>
      <c r="I1158" s="622"/>
      <c r="J1158" s="625"/>
    </row>
    <row r="1159" spans="1:10">
      <c r="A1159" s="585" t="s">
        <v>3647</v>
      </c>
      <c r="B1159" s="614">
        <v>2</v>
      </c>
      <c r="C1159" s="608">
        <v>86</v>
      </c>
      <c r="D1159" s="590"/>
      <c r="E1159" s="590"/>
      <c r="F1159" s="591"/>
      <c r="G1159" s="592"/>
      <c r="H1159" s="590"/>
      <c r="I1159" s="590"/>
      <c r="J1159" s="593"/>
    </row>
    <row r="1160" spans="1:10">
      <c r="A1160" s="585" t="s">
        <v>3647</v>
      </c>
      <c r="B1160" s="614">
        <v>3</v>
      </c>
      <c r="C1160" s="608">
        <v>136</v>
      </c>
      <c r="D1160" s="590"/>
      <c r="E1160" s="590"/>
      <c r="F1160" s="591"/>
      <c r="G1160" s="592"/>
      <c r="H1160" s="590"/>
      <c r="I1160" s="590"/>
      <c r="J1160" s="593"/>
    </row>
    <row r="1161" spans="1:10">
      <c r="A1161" s="585" t="s">
        <v>3647</v>
      </c>
      <c r="B1161" s="614">
        <v>7</v>
      </c>
      <c r="C1161" s="608">
        <v>192</v>
      </c>
      <c r="D1161" s="590"/>
      <c r="E1161" s="590"/>
      <c r="F1161" s="591"/>
      <c r="G1161" s="592"/>
      <c r="H1161" s="590"/>
      <c r="I1161" s="590"/>
      <c r="J1161" s="593"/>
    </row>
    <row r="1162" spans="1:10">
      <c r="A1162" s="585" t="s">
        <v>3647</v>
      </c>
      <c r="B1162" s="614">
        <v>14</v>
      </c>
      <c r="C1162" s="608">
        <v>253</v>
      </c>
      <c r="D1162" s="590"/>
      <c r="E1162" s="590"/>
      <c r="F1162" s="591"/>
      <c r="G1162" s="592"/>
      <c r="H1162" s="590"/>
      <c r="I1162" s="590"/>
      <c r="J1162" s="593"/>
    </row>
    <row r="1163" spans="1:10">
      <c r="A1163" s="585" t="s">
        <v>3647</v>
      </c>
      <c r="B1163" s="614">
        <v>21</v>
      </c>
      <c r="C1163" s="608">
        <v>292</v>
      </c>
      <c r="D1163" s="590"/>
      <c r="E1163" s="590"/>
      <c r="F1163" s="591"/>
      <c r="G1163" s="592"/>
      <c r="H1163" s="590"/>
      <c r="I1163" s="590"/>
      <c r="J1163" s="593"/>
    </row>
    <row r="1164" spans="1:10">
      <c r="A1164" s="585" t="s">
        <v>3647</v>
      </c>
      <c r="B1164" s="614">
        <v>28</v>
      </c>
      <c r="C1164" s="608">
        <v>353</v>
      </c>
      <c r="D1164" s="590"/>
      <c r="E1164" s="590"/>
      <c r="F1164" s="591"/>
      <c r="G1164" s="592"/>
      <c r="H1164" s="590"/>
      <c r="I1164" s="590"/>
      <c r="J1164" s="593"/>
    </row>
    <row r="1165" spans="1:10">
      <c r="A1165" s="585" t="s">
        <v>3647</v>
      </c>
      <c r="B1165" s="614">
        <v>56</v>
      </c>
      <c r="C1165" s="608">
        <v>406</v>
      </c>
      <c r="D1165" s="590">
        <v>265.46145625639673</v>
      </c>
      <c r="E1165" s="590">
        <v>294.11589365927097</v>
      </c>
      <c r="F1165" s="591">
        <v>231.07477130200112</v>
      </c>
      <c r="G1165" s="592">
        <v>335.14593110966985</v>
      </c>
      <c r="H1165" s="590">
        <v>357.3127698180773</v>
      </c>
      <c r="I1165" s="590">
        <v>361.73583211449483</v>
      </c>
      <c r="J1165" s="593"/>
    </row>
    <row r="1166" spans="1:10">
      <c r="A1166" s="585" t="s">
        <v>3647</v>
      </c>
      <c r="B1166" s="614">
        <v>84</v>
      </c>
      <c r="C1166" s="608">
        <v>462</v>
      </c>
      <c r="D1166" s="590">
        <v>341.95455889263349</v>
      </c>
      <c r="E1166" s="590">
        <v>384.05133841150359</v>
      </c>
      <c r="F1166" s="591">
        <v>295.62918473385287</v>
      </c>
      <c r="G1166" s="592">
        <v>400.56231520931783</v>
      </c>
      <c r="H1166" s="590">
        <v>477.29670168354238</v>
      </c>
      <c r="I1166" s="590">
        <v>416.09045638149155</v>
      </c>
      <c r="J1166" s="593"/>
    </row>
    <row r="1167" spans="1:10">
      <c r="A1167" s="586" t="s">
        <v>3647</v>
      </c>
      <c r="B1167" s="615">
        <v>112</v>
      </c>
      <c r="C1167" s="609">
        <v>493</v>
      </c>
      <c r="D1167" s="594">
        <v>384.32396902753936</v>
      </c>
      <c r="E1167" s="594">
        <v>436.1167127189413</v>
      </c>
      <c r="F1167" s="595">
        <v>332.00929896951101</v>
      </c>
      <c r="G1167" s="596">
        <v>431.78260091016762</v>
      </c>
      <c r="H1167" s="594">
        <v>528.66070360230083</v>
      </c>
      <c r="I1167" s="594">
        <v>449.41929370653622</v>
      </c>
      <c r="J1167" s="597"/>
    </row>
    <row r="1168" spans="1:10">
      <c r="A1168" s="586" t="s">
        <v>3647</v>
      </c>
      <c r="B1168" s="615">
        <v>140</v>
      </c>
      <c r="C1168" s="609">
        <v>518</v>
      </c>
      <c r="D1168" s="594">
        <v>410.97912656636635</v>
      </c>
      <c r="E1168" s="594">
        <v>470.1179992411918</v>
      </c>
      <c r="F1168" s="595">
        <v>355.83988645233671</v>
      </c>
      <c r="G1168" s="596">
        <v>450.22541642014102</v>
      </c>
      <c r="H1168" s="594">
        <v>551.59754208623735</v>
      </c>
      <c r="I1168" s="594">
        <v>473.31216523543191</v>
      </c>
      <c r="J1168" s="597"/>
    </row>
    <row r="1169" spans="1:11">
      <c r="A1169" s="586" t="s">
        <v>3647</v>
      </c>
      <c r="B1169" s="615">
        <v>168</v>
      </c>
      <c r="C1169" s="609">
        <v>585</v>
      </c>
      <c r="D1169" s="594">
        <v>428.92516086780239</v>
      </c>
      <c r="E1169" s="594">
        <v>493.76560070109741</v>
      </c>
      <c r="F1169" s="595">
        <v>372.77492378946664</v>
      </c>
      <c r="G1169" s="596">
        <v>462.43277872446174</v>
      </c>
      <c r="H1169" s="594">
        <v>561.99278914131651</v>
      </c>
      <c r="I1169" s="594">
        <v>491.70582872198275</v>
      </c>
      <c r="J1169" s="597"/>
    </row>
    <row r="1170" spans="1:11">
      <c r="A1170" s="619" t="s">
        <v>3648</v>
      </c>
      <c r="B1170" s="620">
        <v>1</v>
      </c>
      <c r="C1170" s="621">
        <v>14</v>
      </c>
      <c r="D1170" s="622"/>
      <c r="E1170" s="622"/>
      <c r="F1170" s="623"/>
      <c r="G1170" s="624"/>
      <c r="H1170" s="622"/>
      <c r="I1170" s="622"/>
      <c r="J1170" s="625"/>
    </row>
    <row r="1171" spans="1:11">
      <c r="A1171" s="585" t="s">
        <v>3648</v>
      </c>
      <c r="B1171" s="614">
        <v>2</v>
      </c>
      <c r="C1171" s="608">
        <v>61</v>
      </c>
      <c r="D1171" s="590"/>
      <c r="E1171" s="590"/>
      <c r="F1171" s="591"/>
      <c r="G1171" s="592"/>
      <c r="H1171" s="590"/>
      <c r="I1171" s="590"/>
      <c r="J1171" s="593"/>
    </row>
    <row r="1172" spans="1:11">
      <c r="A1172" s="585" t="s">
        <v>3648</v>
      </c>
      <c r="B1172" s="614">
        <v>3</v>
      </c>
      <c r="C1172" s="608">
        <v>89</v>
      </c>
      <c r="D1172" s="590"/>
      <c r="E1172" s="590"/>
      <c r="F1172" s="591"/>
      <c r="G1172" s="592"/>
      <c r="H1172" s="590"/>
      <c r="I1172" s="590"/>
      <c r="J1172" s="593"/>
    </row>
    <row r="1173" spans="1:11">
      <c r="A1173" s="585" t="s">
        <v>3648</v>
      </c>
      <c r="B1173" s="614">
        <v>7</v>
      </c>
      <c r="C1173" s="608">
        <v>159</v>
      </c>
      <c r="D1173" s="590"/>
      <c r="E1173" s="590"/>
      <c r="F1173" s="591"/>
      <c r="G1173" s="592"/>
      <c r="H1173" s="590"/>
      <c r="I1173" s="590"/>
      <c r="J1173" s="593"/>
    </row>
    <row r="1174" spans="1:11">
      <c r="A1174" s="585" t="s">
        <v>3648</v>
      </c>
      <c r="B1174" s="614">
        <v>14</v>
      </c>
      <c r="C1174" s="608">
        <v>206</v>
      </c>
      <c r="D1174" s="590"/>
      <c r="E1174" s="590"/>
      <c r="F1174" s="591"/>
      <c r="G1174" s="592"/>
      <c r="H1174" s="590"/>
      <c r="I1174" s="590"/>
      <c r="J1174" s="593"/>
    </row>
    <row r="1175" spans="1:11">
      <c r="A1175" s="585" t="s">
        <v>3648</v>
      </c>
      <c r="B1175" s="614">
        <v>21</v>
      </c>
      <c r="C1175" s="608">
        <v>251</v>
      </c>
      <c r="D1175" s="590"/>
      <c r="E1175" s="590"/>
      <c r="F1175" s="591"/>
      <c r="G1175" s="592"/>
      <c r="H1175" s="590"/>
      <c r="I1175" s="590"/>
      <c r="J1175" s="593"/>
    </row>
    <row r="1176" spans="1:11">
      <c r="A1176" s="585" t="s">
        <v>3648</v>
      </c>
      <c r="B1176" s="614">
        <v>28</v>
      </c>
      <c r="C1176" s="608">
        <v>315</v>
      </c>
      <c r="D1176" s="590"/>
      <c r="E1176" s="590"/>
      <c r="F1176" s="591"/>
      <c r="G1176" s="592"/>
      <c r="H1176" s="590"/>
      <c r="I1176" s="590"/>
      <c r="J1176" s="593"/>
    </row>
    <row r="1177" spans="1:11">
      <c r="A1177" s="585" t="s">
        <v>3648</v>
      </c>
      <c r="B1177" s="614">
        <v>56</v>
      </c>
      <c r="C1177" s="608">
        <v>381</v>
      </c>
      <c r="D1177" s="590">
        <v>285.0569498752406</v>
      </c>
      <c r="E1177" s="590">
        <v>322.41189833778736</v>
      </c>
      <c r="F1177" s="591">
        <v>221.57061525418686</v>
      </c>
      <c r="G1177" s="592">
        <v>321.36130542289015</v>
      </c>
      <c r="H1177" s="590">
        <v>375.41459308381894</v>
      </c>
      <c r="I1177" s="590">
        <v>378.07193888856483</v>
      </c>
      <c r="J1177" s="593"/>
    </row>
    <row r="1178" spans="1:11">
      <c r="A1178" s="585" t="s">
        <v>3648</v>
      </c>
      <c r="B1178" s="614">
        <v>84</v>
      </c>
      <c r="C1178" s="608">
        <v>437</v>
      </c>
      <c r="D1178" s="590">
        <v>367.77386036026587</v>
      </c>
      <c r="E1178" s="590">
        <v>421.59538503160638</v>
      </c>
      <c r="F1178" s="591">
        <v>283.46989149657202</v>
      </c>
      <c r="G1178" s="592">
        <v>384.08709929036502</v>
      </c>
      <c r="H1178" s="590">
        <v>498.4755990578808</v>
      </c>
      <c r="I1178" s="590">
        <v>434.0634341700918</v>
      </c>
      <c r="J1178" s="593"/>
    </row>
    <row r="1179" spans="1:11">
      <c r="A1179" s="586" t="s">
        <v>3648</v>
      </c>
      <c r="B1179" s="615">
        <v>112</v>
      </c>
      <c r="C1179" s="609">
        <v>473</v>
      </c>
      <c r="D1179" s="594">
        <v>413.82703259508639</v>
      </c>
      <c r="E1179" s="594">
        <v>479.27659401051875</v>
      </c>
      <c r="F1179" s="595">
        <v>318.35368365091944</v>
      </c>
      <c r="G1179" s="596">
        <v>414.02328778974908</v>
      </c>
      <c r="H1179" s="594">
        <v>550.53156519918173</v>
      </c>
      <c r="I1179" s="594">
        <v>468.32256414486528</v>
      </c>
      <c r="J1179" s="597"/>
    </row>
    <row r="1180" spans="1:11">
      <c r="A1180" s="586" t="s">
        <v>3648</v>
      </c>
      <c r="B1180" s="615">
        <v>140</v>
      </c>
      <c r="C1180" s="609">
        <v>493</v>
      </c>
      <c r="D1180" s="594">
        <v>442.92497316467001</v>
      </c>
      <c r="E1180" s="594">
        <v>517.09201482945764</v>
      </c>
      <c r="F1180" s="595">
        <v>341.20411384148997</v>
      </c>
      <c r="G1180" s="596">
        <v>431.70754625093616</v>
      </c>
      <c r="H1180" s="594">
        <v>573.53044469443671</v>
      </c>
      <c r="I1180" s="594">
        <v>492.84300491848978</v>
      </c>
      <c r="J1180" s="597"/>
    </row>
    <row r="1181" spans="1:11">
      <c r="A1181" s="586" t="s">
        <v>3648</v>
      </c>
      <c r="B1181" s="615">
        <v>168</v>
      </c>
      <c r="C1181" s="609">
        <v>534</v>
      </c>
      <c r="D1181" s="594">
        <v>462.58889872716685</v>
      </c>
      <c r="E1181" s="594">
        <v>543.4820250730811</v>
      </c>
      <c r="F1181" s="595">
        <v>357.44260937693053</v>
      </c>
      <c r="G1181" s="596">
        <v>443.41281706504896</v>
      </c>
      <c r="H1181" s="594">
        <v>583.84656086346797</v>
      </c>
      <c r="I1181" s="594">
        <v>511.69389392865332</v>
      </c>
      <c r="J1181" s="597"/>
    </row>
    <row r="1182" spans="1:11">
      <c r="A1182" s="619" t="s">
        <v>3649</v>
      </c>
      <c r="B1182" s="620">
        <v>1</v>
      </c>
      <c r="C1182" s="621">
        <v>57</v>
      </c>
      <c r="D1182" s="622"/>
      <c r="E1182" s="622"/>
      <c r="F1182" s="623"/>
      <c r="G1182" s="624"/>
      <c r="H1182" s="622"/>
      <c r="I1182" s="622"/>
      <c r="J1182" s="625"/>
      <c r="K1182" s="67" t="s">
        <v>3774</v>
      </c>
    </row>
    <row r="1183" spans="1:11">
      <c r="A1183" s="585" t="s">
        <v>3649</v>
      </c>
      <c r="B1183" s="614">
        <v>2</v>
      </c>
      <c r="C1183" s="608">
        <v>81</v>
      </c>
      <c r="D1183" s="590"/>
      <c r="E1183" s="590"/>
      <c r="F1183" s="591"/>
      <c r="G1183" s="592"/>
      <c r="H1183" s="590"/>
      <c r="I1183" s="590"/>
      <c r="J1183" s="593"/>
    </row>
    <row r="1184" spans="1:11">
      <c r="A1184" s="585" t="s">
        <v>3649</v>
      </c>
      <c r="B1184" s="614">
        <v>3</v>
      </c>
      <c r="C1184" s="608">
        <v>90</v>
      </c>
      <c r="D1184" s="590"/>
      <c r="E1184" s="590"/>
      <c r="F1184" s="591"/>
      <c r="G1184" s="592"/>
      <c r="H1184" s="590"/>
      <c r="I1184" s="590"/>
      <c r="J1184" s="593"/>
    </row>
    <row r="1185" spans="1:10">
      <c r="A1185" s="585" t="s">
        <v>3649</v>
      </c>
      <c r="B1185" s="614">
        <v>5</v>
      </c>
      <c r="C1185" s="608">
        <v>107</v>
      </c>
      <c r="D1185" s="590"/>
      <c r="E1185" s="590"/>
      <c r="F1185" s="591"/>
      <c r="G1185" s="592"/>
      <c r="H1185" s="590"/>
      <c r="I1185" s="590"/>
      <c r="J1185" s="593"/>
    </row>
    <row r="1186" spans="1:10">
      <c r="A1186" s="585" t="s">
        <v>3649</v>
      </c>
      <c r="B1186" s="614">
        <v>7</v>
      </c>
      <c r="C1186" s="608">
        <v>122</v>
      </c>
      <c r="D1186" s="590"/>
      <c r="E1186" s="590"/>
      <c r="F1186" s="591"/>
      <c r="G1186" s="592"/>
      <c r="H1186" s="590"/>
      <c r="I1186" s="590"/>
      <c r="J1186" s="593"/>
    </row>
    <row r="1187" spans="1:10">
      <c r="A1187" s="585" t="s">
        <v>3649</v>
      </c>
      <c r="B1187" s="614">
        <v>11</v>
      </c>
      <c r="C1187" s="608">
        <v>148</v>
      </c>
      <c r="D1187" s="590"/>
      <c r="E1187" s="590"/>
      <c r="F1187" s="591"/>
      <c r="G1187" s="592"/>
      <c r="H1187" s="590"/>
      <c r="I1187" s="590"/>
      <c r="J1187" s="593"/>
    </row>
    <row r="1188" spans="1:10">
      <c r="A1188" s="585" t="s">
        <v>3649</v>
      </c>
      <c r="B1188" s="614">
        <v>15</v>
      </c>
      <c r="C1188" s="608">
        <v>171</v>
      </c>
      <c r="D1188" s="590"/>
      <c r="E1188" s="590"/>
      <c r="F1188" s="591"/>
      <c r="G1188" s="592"/>
      <c r="H1188" s="590"/>
      <c r="I1188" s="590"/>
      <c r="J1188" s="593"/>
    </row>
    <row r="1189" spans="1:10">
      <c r="A1189" s="585" t="s">
        <v>3649</v>
      </c>
      <c r="B1189" s="614">
        <v>19</v>
      </c>
      <c r="C1189" s="608">
        <v>187</v>
      </c>
      <c r="D1189" s="590"/>
      <c r="E1189" s="590"/>
      <c r="F1189" s="591"/>
      <c r="G1189" s="592"/>
      <c r="H1189" s="590"/>
      <c r="I1189" s="590"/>
      <c r="J1189" s="593"/>
    </row>
    <row r="1190" spans="1:10">
      <c r="A1190" s="585" t="s">
        <v>3649</v>
      </c>
      <c r="B1190" s="614">
        <v>25</v>
      </c>
      <c r="C1190" s="608">
        <v>218</v>
      </c>
      <c r="D1190" s="590"/>
      <c r="E1190" s="590"/>
      <c r="F1190" s="591"/>
      <c r="G1190" s="592"/>
      <c r="H1190" s="590"/>
      <c r="I1190" s="590"/>
      <c r="J1190" s="593"/>
    </row>
    <row r="1191" spans="1:10">
      <c r="A1191" s="585" t="s">
        <v>3649</v>
      </c>
      <c r="B1191" s="614">
        <v>32</v>
      </c>
      <c r="C1191" s="608">
        <v>246</v>
      </c>
      <c r="D1191" s="590"/>
      <c r="E1191" s="590"/>
      <c r="F1191" s="591"/>
      <c r="G1191" s="592"/>
      <c r="H1191" s="590"/>
      <c r="I1191" s="590"/>
      <c r="J1191" s="593"/>
    </row>
    <row r="1192" spans="1:10">
      <c r="A1192" s="585" t="s">
        <v>3649</v>
      </c>
      <c r="B1192" s="614">
        <v>39</v>
      </c>
      <c r="C1192" s="608">
        <v>269</v>
      </c>
      <c r="D1192" s="590"/>
      <c r="E1192" s="590"/>
      <c r="F1192" s="591"/>
      <c r="G1192" s="592"/>
      <c r="H1192" s="590"/>
      <c r="I1192" s="590"/>
      <c r="J1192" s="593"/>
    </row>
    <row r="1193" spans="1:10">
      <c r="A1193" s="585" t="s">
        <v>3649</v>
      </c>
      <c r="B1193" s="614">
        <v>46</v>
      </c>
      <c r="C1193" s="608">
        <v>281</v>
      </c>
      <c r="D1193" s="590"/>
      <c r="E1193" s="590"/>
      <c r="F1193" s="591"/>
      <c r="G1193" s="592"/>
      <c r="H1193" s="590"/>
      <c r="I1193" s="590"/>
      <c r="J1193" s="593"/>
    </row>
    <row r="1194" spans="1:10">
      <c r="A1194" s="585" t="s">
        <v>3649</v>
      </c>
      <c r="B1194" s="614">
        <v>56</v>
      </c>
      <c r="C1194" s="608">
        <v>337</v>
      </c>
      <c r="D1194" s="590"/>
      <c r="E1194" s="590">
        <v>171.92886965723687</v>
      </c>
      <c r="F1194" s="591"/>
      <c r="G1194" s="592">
        <v>243.46649223299221</v>
      </c>
      <c r="H1194" s="590"/>
      <c r="I1194" s="590">
        <v>146.15499050138826</v>
      </c>
      <c r="J1194" s="593"/>
    </row>
    <row r="1195" spans="1:10">
      <c r="A1195" s="585" t="s">
        <v>3649</v>
      </c>
      <c r="B1195" s="614">
        <v>92</v>
      </c>
      <c r="C1195" s="608">
        <v>356</v>
      </c>
      <c r="D1195" s="590"/>
      <c r="E1195" s="590">
        <v>377.06447167381128</v>
      </c>
      <c r="F1195" s="591"/>
      <c r="G1195" s="592">
        <v>454.33850650953372</v>
      </c>
      <c r="H1195" s="590"/>
      <c r="I1195" s="590">
        <v>261.48546730606324</v>
      </c>
      <c r="J1195" s="593"/>
    </row>
    <row r="1196" spans="1:10">
      <c r="A1196" s="586" t="s">
        <v>3649</v>
      </c>
      <c r="B1196" s="615">
        <v>123</v>
      </c>
      <c r="C1196" s="609">
        <v>401</v>
      </c>
      <c r="D1196" s="594"/>
      <c r="E1196" s="594">
        <v>451.94979760917528</v>
      </c>
      <c r="F1196" s="595"/>
      <c r="G1196" s="596">
        <v>508.66860793803482</v>
      </c>
      <c r="H1196" s="594"/>
      <c r="I1196" s="594">
        <v>303.44048828798242</v>
      </c>
      <c r="J1196" s="597"/>
    </row>
    <row r="1197" spans="1:10">
      <c r="A1197" s="619" t="s">
        <v>3714</v>
      </c>
      <c r="B1197" s="620">
        <v>1</v>
      </c>
      <c r="C1197" s="621">
        <v>75</v>
      </c>
      <c r="D1197" s="622"/>
      <c r="E1197" s="622"/>
      <c r="F1197" s="623"/>
      <c r="G1197" s="624"/>
      <c r="H1197" s="622"/>
      <c r="I1197" s="622"/>
      <c r="J1197" s="625"/>
    </row>
    <row r="1198" spans="1:10">
      <c r="A1198" s="585" t="s">
        <v>3714</v>
      </c>
      <c r="B1198" s="614">
        <v>2</v>
      </c>
      <c r="C1198" s="608">
        <v>117</v>
      </c>
      <c r="D1198" s="590"/>
      <c r="E1198" s="590"/>
      <c r="F1198" s="591"/>
      <c r="G1198" s="592"/>
      <c r="H1198" s="590"/>
      <c r="I1198" s="590"/>
      <c r="J1198" s="593"/>
    </row>
    <row r="1199" spans="1:10">
      <c r="A1199" s="585" t="s">
        <v>3714</v>
      </c>
      <c r="B1199" s="614">
        <v>3</v>
      </c>
      <c r="C1199" s="608">
        <v>141</v>
      </c>
      <c r="D1199" s="590"/>
      <c r="E1199" s="590"/>
      <c r="F1199" s="591"/>
      <c r="G1199" s="592"/>
      <c r="H1199" s="590"/>
      <c r="I1199" s="590"/>
      <c r="J1199" s="593"/>
    </row>
    <row r="1200" spans="1:10">
      <c r="A1200" s="585" t="s">
        <v>3714</v>
      </c>
      <c r="B1200" s="614">
        <v>5</v>
      </c>
      <c r="C1200" s="608">
        <v>164</v>
      </c>
      <c r="D1200" s="590"/>
      <c r="E1200" s="590"/>
      <c r="F1200" s="591"/>
      <c r="G1200" s="592"/>
      <c r="H1200" s="590"/>
      <c r="I1200" s="590"/>
      <c r="J1200" s="593"/>
    </row>
    <row r="1201" spans="1:10">
      <c r="A1201" s="585" t="s">
        <v>3714</v>
      </c>
      <c r="B1201" s="614">
        <v>7</v>
      </c>
      <c r="C1201" s="608">
        <v>178</v>
      </c>
      <c r="D1201" s="590"/>
      <c r="E1201" s="590"/>
      <c r="F1201" s="591"/>
      <c r="G1201" s="592"/>
      <c r="H1201" s="590"/>
      <c r="I1201" s="590"/>
      <c r="J1201" s="593"/>
    </row>
    <row r="1202" spans="1:10">
      <c r="A1202" s="585" t="s">
        <v>3714</v>
      </c>
      <c r="B1202" s="614">
        <v>11</v>
      </c>
      <c r="C1202" s="608">
        <v>219</v>
      </c>
      <c r="D1202" s="590"/>
      <c r="E1202" s="590"/>
      <c r="F1202" s="591"/>
      <c r="G1202" s="592"/>
      <c r="H1202" s="590"/>
      <c r="I1202" s="590"/>
      <c r="J1202" s="593"/>
    </row>
    <row r="1203" spans="1:10">
      <c r="A1203" s="585" t="s">
        <v>3714</v>
      </c>
      <c r="B1203" s="614">
        <v>15</v>
      </c>
      <c r="C1203" s="608">
        <v>251</v>
      </c>
      <c r="D1203" s="590"/>
      <c r="E1203" s="590"/>
      <c r="F1203" s="591"/>
      <c r="G1203" s="592"/>
      <c r="H1203" s="590"/>
      <c r="I1203" s="590"/>
      <c r="J1203" s="593"/>
    </row>
    <row r="1204" spans="1:10">
      <c r="A1204" s="585" t="s">
        <v>3714</v>
      </c>
      <c r="B1204" s="614">
        <v>19</v>
      </c>
      <c r="C1204" s="608">
        <v>269</v>
      </c>
      <c r="D1204" s="590"/>
      <c r="E1204" s="590"/>
      <c r="F1204" s="591"/>
      <c r="G1204" s="592"/>
      <c r="H1204" s="590"/>
      <c r="I1204" s="590"/>
      <c r="J1204" s="593"/>
    </row>
    <row r="1205" spans="1:10">
      <c r="A1205" s="585" t="s">
        <v>3714</v>
      </c>
      <c r="B1205" s="614">
        <v>25</v>
      </c>
      <c r="C1205" s="608">
        <v>309</v>
      </c>
      <c r="D1205" s="590"/>
      <c r="E1205" s="590"/>
      <c r="F1205" s="591"/>
      <c r="G1205" s="592"/>
      <c r="H1205" s="590"/>
      <c r="I1205" s="590"/>
      <c r="J1205" s="593"/>
    </row>
    <row r="1206" spans="1:10">
      <c r="A1206" s="585" t="s">
        <v>3714</v>
      </c>
      <c r="B1206" s="614">
        <v>32</v>
      </c>
      <c r="C1206" s="608">
        <v>346</v>
      </c>
      <c r="D1206" s="590"/>
      <c r="E1206" s="590"/>
      <c r="F1206" s="591"/>
      <c r="G1206" s="592"/>
      <c r="H1206" s="590"/>
      <c r="I1206" s="590"/>
      <c r="J1206" s="593"/>
    </row>
    <row r="1207" spans="1:10">
      <c r="A1207" s="585" t="s">
        <v>3714</v>
      </c>
      <c r="B1207" s="614">
        <v>39</v>
      </c>
      <c r="C1207" s="608">
        <v>373</v>
      </c>
      <c r="D1207" s="590"/>
      <c r="E1207" s="590"/>
      <c r="F1207" s="591"/>
      <c r="G1207" s="592"/>
      <c r="H1207" s="590"/>
      <c r="I1207" s="590"/>
      <c r="J1207" s="593"/>
    </row>
    <row r="1208" spans="1:10">
      <c r="A1208" s="585" t="s">
        <v>3714</v>
      </c>
      <c r="B1208" s="614">
        <v>46</v>
      </c>
      <c r="C1208" s="608">
        <v>390</v>
      </c>
      <c r="D1208" s="590"/>
      <c r="E1208" s="590"/>
      <c r="F1208" s="591"/>
      <c r="G1208" s="592"/>
      <c r="H1208" s="590"/>
      <c r="I1208" s="590"/>
      <c r="J1208" s="593"/>
    </row>
    <row r="1209" spans="1:10">
      <c r="A1209" s="585" t="s">
        <v>3714</v>
      </c>
      <c r="B1209" s="614">
        <v>56</v>
      </c>
      <c r="C1209" s="608">
        <v>460</v>
      </c>
      <c r="D1209" s="590">
        <v>164.5426535866419</v>
      </c>
      <c r="E1209" s="590">
        <v>239.88643745644478</v>
      </c>
      <c r="F1209" s="591">
        <v>160.2001147853365</v>
      </c>
      <c r="G1209" s="592">
        <v>451.72146451412931</v>
      </c>
      <c r="H1209" s="590">
        <v>251.92422009724694</v>
      </c>
      <c r="I1209" s="590">
        <v>446.01596544148867</v>
      </c>
      <c r="J1209" s="593"/>
    </row>
    <row r="1210" spans="1:10">
      <c r="A1210" s="585" t="s">
        <v>3714</v>
      </c>
      <c r="B1210" s="614">
        <v>92</v>
      </c>
      <c r="C1210" s="608">
        <v>463</v>
      </c>
      <c r="D1210" s="590">
        <v>329.3671249845811</v>
      </c>
      <c r="E1210" s="590">
        <v>480.18373659094249</v>
      </c>
      <c r="F1210" s="591">
        <v>339.57014333229733</v>
      </c>
      <c r="G1210" s="592">
        <v>470.31059240506562</v>
      </c>
      <c r="H1210" s="590">
        <v>688.91147107040831</v>
      </c>
      <c r="I1210" s="590">
        <v>497.66225038937688</v>
      </c>
      <c r="J1210" s="593"/>
    </row>
    <row r="1211" spans="1:10">
      <c r="A1211" s="586" t="s">
        <v>3714</v>
      </c>
      <c r="B1211" s="615">
        <v>123</v>
      </c>
      <c r="C1211" s="609">
        <v>515</v>
      </c>
      <c r="D1211" s="594">
        <v>375.15013529681534</v>
      </c>
      <c r="E1211" s="594">
        <v>546.93070462893184</v>
      </c>
      <c r="F1211" s="595">
        <v>401.4506917652065</v>
      </c>
      <c r="G1211" s="596">
        <v>471.92785108736246</v>
      </c>
      <c r="H1211" s="594">
        <v>791.04979574032723</v>
      </c>
      <c r="I1211" s="594">
        <v>514.23880682485583</v>
      </c>
      <c r="J1211" s="597"/>
    </row>
    <row r="1212" spans="1:10">
      <c r="A1212" s="619" t="s">
        <v>3650</v>
      </c>
      <c r="B1212" s="620">
        <v>1</v>
      </c>
      <c r="C1212" s="621">
        <v>35</v>
      </c>
      <c r="D1212" s="622"/>
      <c r="E1212" s="622"/>
      <c r="F1212" s="623"/>
      <c r="G1212" s="624"/>
      <c r="H1212" s="622"/>
      <c r="I1212" s="622"/>
      <c r="J1212" s="625"/>
    </row>
    <row r="1213" spans="1:10">
      <c r="A1213" s="585" t="s">
        <v>3650</v>
      </c>
      <c r="B1213" s="614">
        <v>2</v>
      </c>
      <c r="C1213" s="608">
        <v>60</v>
      </c>
      <c r="D1213" s="590"/>
      <c r="E1213" s="590"/>
      <c r="F1213" s="591"/>
      <c r="G1213" s="592"/>
      <c r="H1213" s="590"/>
      <c r="I1213" s="590"/>
      <c r="J1213" s="593"/>
    </row>
    <row r="1214" spans="1:10">
      <c r="A1214" s="585" t="s">
        <v>3650</v>
      </c>
      <c r="B1214" s="614">
        <v>3</v>
      </c>
      <c r="C1214" s="608">
        <v>77</v>
      </c>
      <c r="D1214" s="590"/>
      <c r="E1214" s="590"/>
      <c r="F1214" s="591"/>
      <c r="G1214" s="592"/>
      <c r="H1214" s="590"/>
      <c r="I1214" s="590"/>
      <c r="J1214" s="593"/>
    </row>
    <row r="1215" spans="1:10">
      <c r="A1215" s="585" t="s">
        <v>3650</v>
      </c>
      <c r="B1215" s="614">
        <v>4</v>
      </c>
      <c r="C1215" s="608">
        <v>93</v>
      </c>
      <c r="D1215" s="590"/>
      <c r="E1215" s="590"/>
      <c r="F1215" s="591"/>
      <c r="G1215" s="592"/>
      <c r="H1215" s="590"/>
      <c r="I1215" s="590"/>
      <c r="J1215" s="593"/>
    </row>
    <row r="1216" spans="1:10">
      <c r="A1216" s="585" t="s">
        <v>3650</v>
      </c>
      <c r="B1216" s="614">
        <v>5</v>
      </c>
      <c r="C1216" s="608">
        <v>112</v>
      </c>
      <c r="D1216" s="590"/>
      <c r="E1216" s="590"/>
      <c r="F1216" s="591"/>
      <c r="G1216" s="592"/>
      <c r="H1216" s="590"/>
      <c r="I1216" s="590"/>
      <c r="J1216" s="593"/>
    </row>
    <row r="1217" spans="1:10">
      <c r="A1217" s="585" t="s">
        <v>3650</v>
      </c>
      <c r="B1217" s="614">
        <v>6</v>
      </c>
      <c r="C1217" s="608">
        <v>122</v>
      </c>
      <c r="D1217" s="590"/>
      <c r="E1217" s="590"/>
      <c r="F1217" s="591"/>
      <c r="G1217" s="592"/>
      <c r="H1217" s="590"/>
      <c r="I1217" s="590"/>
      <c r="J1217" s="593"/>
    </row>
    <row r="1218" spans="1:10">
      <c r="A1218" s="585" t="s">
        <v>3650</v>
      </c>
      <c r="B1218" s="614">
        <v>7</v>
      </c>
      <c r="C1218" s="608">
        <v>133</v>
      </c>
      <c r="D1218" s="590"/>
      <c r="E1218" s="590"/>
      <c r="F1218" s="591"/>
      <c r="G1218" s="592"/>
      <c r="H1218" s="590"/>
      <c r="I1218" s="590"/>
      <c r="J1218" s="593"/>
    </row>
    <row r="1219" spans="1:10">
      <c r="A1219" s="585" t="s">
        <v>3650</v>
      </c>
      <c r="B1219" s="614">
        <v>10</v>
      </c>
      <c r="C1219" s="611">
        <v>165</v>
      </c>
      <c r="D1219" s="590"/>
      <c r="E1219" s="590"/>
      <c r="F1219" s="591"/>
      <c r="G1219" s="592"/>
      <c r="H1219" s="590"/>
      <c r="I1219" s="590"/>
      <c r="J1219" s="593"/>
    </row>
    <row r="1220" spans="1:10">
      <c r="A1220" s="585" t="s">
        <v>3650</v>
      </c>
      <c r="B1220" s="614">
        <v>14</v>
      </c>
      <c r="C1220" s="608">
        <v>197</v>
      </c>
      <c r="D1220" s="590"/>
      <c r="E1220" s="590"/>
      <c r="F1220" s="591"/>
      <c r="G1220" s="592"/>
      <c r="H1220" s="590"/>
      <c r="I1220" s="590"/>
      <c r="J1220" s="593"/>
    </row>
    <row r="1221" spans="1:10">
      <c r="A1221" s="585" t="s">
        <v>3650</v>
      </c>
      <c r="B1221" s="614">
        <v>21</v>
      </c>
      <c r="C1221" s="608">
        <v>242</v>
      </c>
      <c r="D1221" s="590">
        <v>181.05402761703192</v>
      </c>
      <c r="E1221" s="590">
        <v>173.44017174035201</v>
      </c>
      <c r="F1221" s="591">
        <v>131.07444958462628</v>
      </c>
      <c r="G1221" s="592">
        <v>196.8705117626908</v>
      </c>
      <c r="H1221" s="590">
        <v>138.88828421088536</v>
      </c>
      <c r="I1221" s="590">
        <v>209.51710827452044</v>
      </c>
      <c r="J1221" s="593"/>
    </row>
    <row r="1222" spans="1:10">
      <c r="A1222" s="585" t="s">
        <v>3650</v>
      </c>
      <c r="B1222" s="614">
        <v>28</v>
      </c>
      <c r="C1222" s="608">
        <v>282</v>
      </c>
      <c r="D1222" s="590">
        <v>249.07370638198398</v>
      </c>
      <c r="E1222" s="590">
        <v>232.26165832585571</v>
      </c>
      <c r="F1222" s="591">
        <v>178.86111082791624</v>
      </c>
      <c r="G1222" s="592">
        <v>253.01921220806622</v>
      </c>
      <c r="H1222" s="590">
        <v>240.34122024278275</v>
      </c>
      <c r="I1222" s="590">
        <v>279.01691041987266</v>
      </c>
      <c r="J1222" s="593"/>
    </row>
    <row r="1223" spans="1:10">
      <c r="A1223" s="585" t="s">
        <v>3650</v>
      </c>
      <c r="B1223" s="614">
        <v>42</v>
      </c>
      <c r="C1223" s="608">
        <v>332</v>
      </c>
      <c r="D1223" s="590">
        <v>334.33517357868965</v>
      </c>
      <c r="E1223" s="590">
        <v>297.91656705199529</v>
      </c>
      <c r="F1223" s="591">
        <v>237.12260120430579</v>
      </c>
      <c r="G1223" s="592">
        <v>308.16556262576654</v>
      </c>
      <c r="H1223" s="590">
        <v>340.56674929640161</v>
      </c>
      <c r="I1223" s="590">
        <v>347.03987339838244</v>
      </c>
      <c r="J1223" s="593"/>
    </row>
    <row r="1224" spans="1:10">
      <c r="A1224" s="585" t="s">
        <v>3650</v>
      </c>
      <c r="B1224" s="614">
        <v>56</v>
      </c>
      <c r="C1224" s="608">
        <v>353</v>
      </c>
      <c r="D1224" s="590">
        <v>390.07994176202374</v>
      </c>
      <c r="E1224" s="590">
        <v>335.05653063161566</v>
      </c>
      <c r="F1224" s="591">
        <v>274.26771474945468</v>
      </c>
      <c r="G1224" s="592">
        <v>336.4639209260389</v>
      </c>
      <c r="H1224" s="590">
        <v>375.68691859014109</v>
      </c>
      <c r="I1224" s="590">
        <v>377.28639704083685</v>
      </c>
      <c r="J1224" s="593"/>
    </row>
    <row r="1225" spans="1:10">
      <c r="A1225" s="585" t="s">
        <v>3650</v>
      </c>
      <c r="B1225" s="614">
        <v>84</v>
      </c>
      <c r="C1225" s="608">
        <v>398</v>
      </c>
      <c r="D1225" s="590">
        <v>461.27774725351838</v>
      </c>
      <c r="E1225" s="590">
        <v>374.947067753829</v>
      </c>
      <c r="F1225" s="591">
        <v>321.06551979849291</v>
      </c>
      <c r="G1225" s="592">
        <v>365.73709016222404</v>
      </c>
      <c r="H1225" s="590">
        <v>391.76844153859616</v>
      </c>
      <c r="I1225" s="590">
        <v>398.93611424721968</v>
      </c>
      <c r="J1225" s="593"/>
    </row>
    <row r="1226" spans="1:10">
      <c r="A1226" s="586" t="s">
        <v>3650</v>
      </c>
      <c r="B1226" s="615">
        <v>112</v>
      </c>
      <c r="C1226" s="609">
        <v>423</v>
      </c>
      <c r="D1226" s="594">
        <v>505.06853683533757</v>
      </c>
      <c r="E1226" s="594">
        <v>394.90013641710374</v>
      </c>
      <c r="F1226" s="595">
        <v>350.04671613347625</v>
      </c>
      <c r="G1226" s="596">
        <v>380.85579893624356</v>
      </c>
      <c r="H1226" s="594">
        <v>393.6157269054508</v>
      </c>
      <c r="I1226" s="594">
        <v>404.29887608874861</v>
      </c>
      <c r="J1226" s="597"/>
    </row>
    <row r="1227" spans="1:10">
      <c r="A1227" s="619" t="s">
        <v>3671</v>
      </c>
      <c r="B1227" s="620">
        <v>3</v>
      </c>
      <c r="C1227" s="621">
        <v>38</v>
      </c>
      <c r="D1227" s="622"/>
      <c r="E1227" s="622"/>
      <c r="F1227" s="623"/>
      <c r="G1227" s="624"/>
      <c r="H1227" s="622"/>
      <c r="I1227" s="622"/>
      <c r="J1227" s="625"/>
    </row>
    <row r="1228" spans="1:10">
      <c r="A1228" s="585" t="s">
        <v>3671</v>
      </c>
      <c r="B1228" s="614">
        <v>7</v>
      </c>
      <c r="C1228" s="608">
        <v>100</v>
      </c>
      <c r="D1228" s="590"/>
      <c r="E1228" s="590"/>
      <c r="F1228" s="591"/>
      <c r="G1228" s="592"/>
      <c r="H1228" s="590"/>
      <c r="I1228" s="590"/>
      <c r="J1228" s="593"/>
    </row>
    <row r="1229" spans="1:10">
      <c r="A1229" s="585" t="s">
        <v>3671</v>
      </c>
      <c r="B1229" s="614">
        <v>13</v>
      </c>
      <c r="C1229" s="608">
        <v>154</v>
      </c>
      <c r="D1229" s="590"/>
      <c r="E1229" s="590"/>
      <c r="F1229" s="591"/>
      <c r="G1229" s="592"/>
      <c r="H1229" s="590"/>
      <c r="I1229" s="590"/>
      <c r="J1229" s="593"/>
    </row>
    <row r="1230" spans="1:10">
      <c r="A1230" s="585" t="s">
        <v>3671</v>
      </c>
      <c r="B1230" s="614">
        <v>28</v>
      </c>
      <c r="C1230" s="608">
        <v>269</v>
      </c>
      <c r="D1230" s="590"/>
      <c r="E1230" s="590"/>
      <c r="F1230" s="591"/>
      <c r="G1230" s="592"/>
      <c r="H1230" s="590"/>
      <c r="I1230" s="590"/>
      <c r="J1230" s="593"/>
    </row>
    <row r="1231" spans="1:10">
      <c r="A1231" s="585" t="s">
        <v>3671</v>
      </c>
      <c r="B1231" s="614">
        <v>55</v>
      </c>
      <c r="C1231" s="608">
        <v>312</v>
      </c>
      <c r="D1231" s="590">
        <v>152.72949352116936</v>
      </c>
      <c r="E1231" s="590">
        <v>243.37668992668827</v>
      </c>
      <c r="F1231" s="591">
        <v>236.62144869883269</v>
      </c>
      <c r="G1231" s="592">
        <v>330.15477352359119</v>
      </c>
      <c r="H1231" s="590">
        <v>323.35014357893277</v>
      </c>
      <c r="I1231" s="590">
        <v>315.58044123611478</v>
      </c>
      <c r="J1231" s="593"/>
    </row>
    <row r="1232" spans="1:10">
      <c r="A1232" s="585" t="s">
        <v>3671</v>
      </c>
      <c r="B1232" s="614">
        <v>85</v>
      </c>
      <c r="C1232" s="608">
        <v>327</v>
      </c>
      <c r="D1232" s="590">
        <v>215.00572491718094</v>
      </c>
      <c r="E1232" s="590">
        <v>342.61477884347619</v>
      </c>
      <c r="F1232" s="591">
        <v>306.04019817597805</v>
      </c>
      <c r="G1232" s="592">
        <v>389.74201742137205</v>
      </c>
      <c r="H1232" s="590">
        <v>442.77058661223515</v>
      </c>
      <c r="I1232" s="590">
        <v>357.88923508810694</v>
      </c>
      <c r="J1232" s="593"/>
    </row>
    <row r="1233" spans="1:10">
      <c r="A1233" s="586" t="s">
        <v>3671</v>
      </c>
      <c r="B1233" s="615">
        <v>170</v>
      </c>
      <c r="C1233" s="609">
        <v>381</v>
      </c>
      <c r="D1233" s="594">
        <v>312.48294980347072</v>
      </c>
      <c r="E1233" s="594">
        <v>497.94616762187445</v>
      </c>
      <c r="F1233" s="595">
        <v>383.2902725196621</v>
      </c>
      <c r="G1233" s="596">
        <v>439.05362221111068</v>
      </c>
      <c r="H1233" s="594">
        <v>493.66563480935423</v>
      </c>
      <c r="I1233" s="594">
        <v>414.41911089894336</v>
      </c>
      <c r="J1233" s="597"/>
    </row>
    <row r="1234" spans="1:10">
      <c r="A1234" s="619" t="s">
        <v>3715</v>
      </c>
      <c r="B1234" s="620">
        <v>1</v>
      </c>
      <c r="C1234" s="621">
        <v>33</v>
      </c>
      <c r="D1234" s="622"/>
      <c r="E1234" s="622"/>
      <c r="F1234" s="623"/>
      <c r="G1234" s="624"/>
      <c r="H1234" s="622"/>
      <c r="I1234" s="622"/>
      <c r="J1234" s="625"/>
    </row>
    <row r="1235" spans="1:10">
      <c r="A1235" s="585" t="s">
        <v>3715</v>
      </c>
      <c r="B1235" s="614">
        <v>2</v>
      </c>
      <c r="C1235" s="608">
        <v>22</v>
      </c>
      <c r="D1235" s="590"/>
      <c r="E1235" s="590"/>
      <c r="F1235" s="591"/>
      <c r="G1235" s="592"/>
      <c r="H1235" s="590"/>
      <c r="I1235" s="590"/>
      <c r="J1235" s="593"/>
    </row>
    <row r="1236" spans="1:10">
      <c r="A1236" s="585" t="s">
        <v>3715</v>
      </c>
      <c r="B1236" s="614">
        <v>3</v>
      </c>
      <c r="C1236" s="608">
        <v>30</v>
      </c>
      <c r="D1236" s="590"/>
      <c r="E1236" s="590"/>
      <c r="F1236" s="591"/>
      <c r="G1236" s="592"/>
      <c r="H1236" s="590"/>
      <c r="I1236" s="590"/>
      <c r="J1236" s="593"/>
    </row>
    <row r="1237" spans="1:10">
      <c r="A1237" s="585" t="s">
        <v>3715</v>
      </c>
      <c r="B1237" s="614">
        <v>5</v>
      </c>
      <c r="C1237" s="608">
        <v>33</v>
      </c>
      <c r="D1237" s="590"/>
      <c r="E1237" s="590"/>
      <c r="F1237" s="591"/>
      <c r="G1237" s="592"/>
      <c r="H1237" s="590"/>
      <c r="I1237" s="590"/>
      <c r="J1237" s="593"/>
    </row>
    <row r="1238" spans="1:10">
      <c r="A1238" s="585" t="s">
        <v>3715</v>
      </c>
      <c r="B1238" s="614">
        <v>6</v>
      </c>
      <c r="C1238" s="608">
        <v>75</v>
      </c>
      <c r="D1238" s="590"/>
      <c r="E1238" s="590"/>
      <c r="F1238" s="591"/>
      <c r="G1238" s="592"/>
      <c r="H1238" s="590"/>
      <c r="I1238" s="590"/>
      <c r="J1238" s="593"/>
    </row>
    <row r="1239" spans="1:10">
      <c r="A1239" s="585" t="s">
        <v>3715</v>
      </c>
      <c r="B1239" s="614">
        <v>7</v>
      </c>
      <c r="C1239" s="608">
        <v>64</v>
      </c>
      <c r="D1239" s="590"/>
      <c r="E1239" s="590"/>
      <c r="F1239" s="591"/>
      <c r="G1239" s="592"/>
      <c r="H1239" s="590"/>
      <c r="I1239" s="590"/>
      <c r="J1239" s="593"/>
    </row>
    <row r="1240" spans="1:10">
      <c r="A1240" s="585" t="s">
        <v>3715</v>
      </c>
      <c r="B1240" s="614">
        <v>14</v>
      </c>
      <c r="C1240" s="608">
        <v>97</v>
      </c>
      <c r="D1240" s="590"/>
      <c r="E1240" s="590"/>
      <c r="F1240" s="591"/>
      <c r="G1240" s="592"/>
      <c r="H1240" s="590"/>
      <c r="I1240" s="590"/>
      <c r="J1240" s="593"/>
    </row>
    <row r="1241" spans="1:10">
      <c r="A1241" s="585" t="s">
        <v>3715</v>
      </c>
      <c r="B1241" s="614">
        <v>21</v>
      </c>
      <c r="C1241" s="608">
        <v>167</v>
      </c>
      <c r="D1241" s="590"/>
      <c r="E1241" s="590"/>
      <c r="F1241" s="591"/>
      <c r="G1241" s="592"/>
      <c r="H1241" s="590"/>
      <c r="I1241" s="590"/>
      <c r="J1241" s="593"/>
    </row>
    <row r="1242" spans="1:10">
      <c r="A1242" s="585" t="s">
        <v>3715</v>
      </c>
      <c r="B1242" s="614">
        <v>28</v>
      </c>
      <c r="C1242" s="608">
        <v>217</v>
      </c>
      <c r="D1242" s="590"/>
      <c r="E1242" s="590"/>
      <c r="F1242" s="591"/>
      <c r="G1242" s="592"/>
      <c r="H1242" s="590"/>
      <c r="I1242" s="590"/>
      <c r="J1242" s="593"/>
    </row>
    <row r="1243" spans="1:10">
      <c r="A1243" s="585" t="s">
        <v>3715</v>
      </c>
      <c r="B1243" s="614">
        <v>56</v>
      </c>
      <c r="C1243" s="608">
        <v>284</v>
      </c>
      <c r="D1243" s="590">
        <v>204.54468914051685</v>
      </c>
      <c r="E1243" s="590">
        <v>267.80148495860072</v>
      </c>
      <c r="F1243" s="591">
        <v>211.91960985991776</v>
      </c>
      <c r="G1243" s="592">
        <v>340.27538749129167</v>
      </c>
      <c r="H1243" s="590">
        <v>413.63115733626222</v>
      </c>
      <c r="I1243" s="590">
        <v>295.99881588550187</v>
      </c>
      <c r="J1243" s="593"/>
    </row>
    <row r="1244" spans="1:10">
      <c r="A1244" s="586" t="s">
        <v>3715</v>
      </c>
      <c r="B1244" s="615">
        <v>112</v>
      </c>
      <c r="C1244" s="609">
        <v>331</v>
      </c>
      <c r="D1244" s="594">
        <v>271.98097513233478</v>
      </c>
      <c r="E1244" s="594">
        <v>356.09288770577894</v>
      </c>
      <c r="F1244" s="595">
        <v>302.40478580104804</v>
      </c>
      <c r="G1244" s="596">
        <v>343.12275717209246</v>
      </c>
      <c r="H1244" s="594">
        <v>609.99900416082426</v>
      </c>
      <c r="I1244" s="594">
        <v>323.36299169345307</v>
      </c>
      <c r="J1244" s="597"/>
    </row>
    <row r="1245" spans="1:10">
      <c r="A1245" s="586" t="s">
        <v>3715</v>
      </c>
      <c r="B1245" s="615">
        <v>140</v>
      </c>
      <c r="C1245" s="609">
        <v>370</v>
      </c>
      <c r="D1245" s="594">
        <v>284.21148173854192</v>
      </c>
      <c r="E1245" s="594">
        <v>372.10575924353941</v>
      </c>
      <c r="F1245" s="595">
        <v>324.12508408697727</v>
      </c>
      <c r="G1245" s="596">
        <v>343.48372710039035</v>
      </c>
      <c r="H1245" s="594">
        <v>626.76837730827413</v>
      </c>
      <c r="I1245" s="594">
        <v>330.93736735279549</v>
      </c>
      <c r="J1245" s="597"/>
    </row>
    <row r="1246" spans="1:10">
      <c r="A1246" s="586" t="s">
        <v>3715</v>
      </c>
      <c r="B1246" s="615">
        <v>168</v>
      </c>
      <c r="C1246" s="609">
        <v>325</v>
      </c>
      <c r="D1246" s="594">
        <v>291.65035656459804</v>
      </c>
      <c r="E1246" s="594">
        <v>381.84515523181869</v>
      </c>
      <c r="F1246" s="595">
        <v>339.64212102069195</v>
      </c>
      <c r="G1246" s="596">
        <v>343.70085665887308</v>
      </c>
      <c r="H1246" s="594">
        <v>632.41332011120278</v>
      </c>
      <c r="I1246" s="594">
        <v>336.93447811556899</v>
      </c>
      <c r="J1246" s="597"/>
    </row>
    <row r="1247" spans="1:10">
      <c r="A1247" s="619" t="s">
        <v>3716</v>
      </c>
      <c r="B1247" s="620">
        <v>1</v>
      </c>
      <c r="C1247" s="621">
        <v>11</v>
      </c>
      <c r="D1247" s="622"/>
      <c r="E1247" s="622"/>
      <c r="F1247" s="623"/>
      <c r="G1247" s="624"/>
      <c r="H1247" s="622"/>
      <c r="I1247" s="622"/>
      <c r="J1247" s="625"/>
    </row>
    <row r="1248" spans="1:10">
      <c r="A1248" s="585" t="s">
        <v>3716</v>
      </c>
      <c r="B1248" s="614">
        <v>2</v>
      </c>
      <c r="C1248" s="608">
        <v>14</v>
      </c>
      <c r="D1248" s="590"/>
      <c r="E1248" s="590"/>
      <c r="F1248" s="591"/>
      <c r="G1248" s="592"/>
      <c r="H1248" s="590"/>
      <c r="I1248" s="590"/>
      <c r="J1248" s="593"/>
    </row>
    <row r="1249" spans="1:10">
      <c r="A1249" s="585" t="s">
        <v>3716</v>
      </c>
      <c r="B1249" s="614">
        <v>3</v>
      </c>
      <c r="C1249" s="608">
        <v>42</v>
      </c>
      <c r="D1249" s="590"/>
      <c r="E1249" s="590"/>
      <c r="F1249" s="591"/>
      <c r="G1249" s="592"/>
      <c r="H1249" s="590"/>
      <c r="I1249" s="590"/>
      <c r="J1249" s="593"/>
    </row>
    <row r="1250" spans="1:10">
      <c r="A1250" s="585" t="s">
        <v>3716</v>
      </c>
      <c r="B1250" s="614">
        <v>4</v>
      </c>
      <c r="C1250" s="608">
        <v>89</v>
      </c>
      <c r="D1250" s="590"/>
      <c r="E1250" s="590"/>
      <c r="F1250" s="591"/>
      <c r="G1250" s="592"/>
      <c r="H1250" s="590"/>
      <c r="I1250" s="590"/>
      <c r="J1250" s="593"/>
    </row>
    <row r="1251" spans="1:10">
      <c r="A1251" s="585" t="s">
        <v>3716</v>
      </c>
      <c r="B1251" s="614">
        <v>5</v>
      </c>
      <c r="C1251" s="608">
        <v>78</v>
      </c>
      <c r="D1251" s="590"/>
      <c r="E1251" s="590"/>
      <c r="F1251" s="591"/>
      <c r="G1251" s="592"/>
      <c r="H1251" s="590"/>
      <c r="I1251" s="590"/>
      <c r="J1251" s="593"/>
    </row>
    <row r="1252" spans="1:10">
      <c r="A1252" s="585" t="s">
        <v>3716</v>
      </c>
      <c r="B1252" s="614">
        <v>6</v>
      </c>
      <c r="C1252" s="608">
        <v>89</v>
      </c>
      <c r="D1252" s="590"/>
      <c r="E1252" s="590"/>
      <c r="F1252" s="591"/>
      <c r="G1252" s="592"/>
      <c r="H1252" s="590"/>
      <c r="I1252" s="590"/>
      <c r="J1252" s="593"/>
    </row>
    <row r="1253" spans="1:10">
      <c r="A1253" s="585" t="s">
        <v>3716</v>
      </c>
      <c r="B1253" s="614">
        <v>7</v>
      </c>
      <c r="C1253" s="608">
        <v>89</v>
      </c>
      <c r="D1253" s="590"/>
      <c r="E1253" s="590"/>
      <c r="F1253" s="591"/>
      <c r="G1253" s="592"/>
      <c r="H1253" s="590"/>
      <c r="I1253" s="590"/>
      <c r="J1253" s="593"/>
    </row>
    <row r="1254" spans="1:10">
      <c r="A1254" s="585" t="s">
        <v>3716</v>
      </c>
      <c r="B1254" s="614">
        <v>14</v>
      </c>
      <c r="C1254" s="608">
        <v>133</v>
      </c>
      <c r="D1254" s="590"/>
      <c r="E1254" s="590"/>
      <c r="F1254" s="591"/>
      <c r="G1254" s="592"/>
      <c r="H1254" s="590"/>
      <c r="I1254" s="590"/>
      <c r="J1254" s="593"/>
    </row>
    <row r="1255" spans="1:10">
      <c r="A1255" s="585" t="s">
        <v>3716</v>
      </c>
      <c r="B1255" s="614">
        <v>21</v>
      </c>
      <c r="C1255" s="608">
        <v>195</v>
      </c>
      <c r="D1255" s="590"/>
      <c r="E1255" s="590"/>
      <c r="F1255" s="591"/>
      <c r="G1255" s="592"/>
      <c r="H1255" s="590"/>
      <c r="I1255" s="590"/>
      <c r="J1255" s="593"/>
    </row>
    <row r="1256" spans="1:10">
      <c r="A1256" s="585" t="s">
        <v>3716</v>
      </c>
      <c r="B1256" s="614">
        <v>28</v>
      </c>
      <c r="C1256" s="608">
        <v>234</v>
      </c>
      <c r="D1256" s="590"/>
      <c r="E1256" s="590"/>
      <c r="F1256" s="591"/>
      <c r="G1256" s="592"/>
      <c r="H1256" s="590"/>
      <c r="I1256" s="590"/>
      <c r="J1256" s="593"/>
    </row>
    <row r="1257" spans="1:10">
      <c r="A1257" s="585" t="s">
        <v>3716</v>
      </c>
      <c r="B1257" s="614">
        <v>56</v>
      </c>
      <c r="C1257" s="608">
        <v>309</v>
      </c>
      <c r="D1257" s="590">
        <v>117.7623373232293</v>
      </c>
      <c r="E1257" s="590">
        <v>197.31184276075143</v>
      </c>
      <c r="F1257" s="591">
        <v>190.17946738447498</v>
      </c>
      <c r="G1257" s="592">
        <v>265.51167716190594</v>
      </c>
      <c r="H1257" s="590">
        <v>326.1330467468818</v>
      </c>
      <c r="I1257" s="590">
        <v>288.7473529567572</v>
      </c>
      <c r="J1257" s="593"/>
    </row>
    <row r="1258" spans="1:10">
      <c r="A1258" s="586" t="s">
        <v>3716</v>
      </c>
      <c r="B1258" s="615">
        <v>112</v>
      </c>
      <c r="C1258" s="609">
        <v>376</v>
      </c>
      <c r="D1258" s="594">
        <v>192.52431973660896</v>
      </c>
      <c r="E1258" s="594">
        <v>322.57620871793955</v>
      </c>
      <c r="F1258" s="595">
        <v>271.38206386929158</v>
      </c>
      <c r="G1258" s="596">
        <v>330.92188585328392</v>
      </c>
      <c r="H1258" s="594">
        <v>442.79776492084721</v>
      </c>
      <c r="I1258" s="594">
        <v>351.91854011070501</v>
      </c>
      <c r="J1258" s="597"/>
    </row>
    <row r="1259" spans="1:10">
      <c r="A1259" s="586" t="s">
        <v>3716</v>
      </c>
      <c r="B1259" s="615">
        <v>140</v>
      </c>
      <c r="C1259" s="609">
        <v>392</v>
      </c>
      <c r="D1259" s="594">
        <v>216.34696637620956</v>
      </c>
      <c r="E1259" s="594">
        <v>362.49126487885889</v>
      </c>
      <c r="F1259" s="595">
        <v>290.8741475050648</v>
      </c>
      <c r="G1259" s="596">
        <v>342.9979431991672</v>
      </c>
      <c r="H1259" s="594">
        <v>448.90701272351214</v>
      </c>
      <c r="I1259" s="594">
        <v>369.6721150563589</v>
      </c>
      <c r="J1259" s="597"/>
    </row>
    <row r="1260" spans="1:10">
      <c r="A1260" s="586" t="s">
        <v>3716</v>
      </c>
      <c r="B1260" s="615">
        <v>168</v>
      </c>
      <c r="C1260" s="609">
        <v>387</v>
      </c>
      <c r="D1260" s="594">
        <v>235.63942593341488</v>
      </c>
      <c r="E1260" s="594">
        <v>394.81595232261407</v>
      </c>
      <c r="F1260" s="595">
        <v>304.79934216444417</v>
      </c>
      <c r="G1260" s="596">
        <v>350.91063924737563</v>
      </c>
      <c r="H1260" s="594">
        <v>450.46291184921023</v>
      </c>
      <c r="I1260" s="594">
        <v>383.60269709606843</v>
      </c>
      <c r="J1260" s="597"/>
    </row>
    <row r="1261" spans="1:10">
      <c r="A1261" s="619" t="s">
        <v>3717</v>
      </c>
      <c r="B1261" s="620">
        <v>1</v>
      </c>
      <c r="C1261" s="621">
        <v>8</v>
      </c>
      <c r="D1261" s="622"/>
      <c r="E1261" s="622"/>
      <c r="F1261" s="623"/>
      <c r="G1261" s="624"/>
      <c r="H1261" s="622"/>
      <c r="I1261" s="622"/>
      <c r="J1261" s="625"/>
    </row>
    <row r="1262" spans="1:10">
      <c r="A1262" s="585" t="s">
        <v>3717</v>
      </c>
      <c r="B1262" s="614">
        <v>2</v>
      </c>
      <c r="C1262" s="608">
        <v>61</v>
      </c>
      <c r="D1262" s="590"/>
      <c r="E1262" s="590"/>
      <c r="F1262" s="591"/>
      <c r="G1262" s="592"/>
      <c r="H1262" s="590"/>
      <c r="I1262" s="590"/>
      <c r="J1262" s="593"/>
    </row>
    <row r="1263" spans="1:10">
      <c r="A1263" s="585" t="s">
        <v>3717</v>
      </c>
      <c r="B1263" s="614">
        <v>3</v>
      </c>
      <c r="C1263" s="608">
        <v>66</v>
      </c>
      <c r="D1263" s="590"/>
      <c r="E1263" s="590"/>
      <c r="F1263" s="591"/>
      <c r="G1263" s="592"/>
      <c r="H1263" s="590"/>
      <c r="I1263" s="590"/>
      <c r="J1263" s="593"/>
    </row>
    <row r="1264" spans="1:10">
      <c r="A1264" s="585" t="s">
        <v>3717</v>
      </c>
      <c r="B1264" s="614">
        <v>4</v>
      </c>
      <c r="C1264" s="608">
        <v>80</v>
      </c>
      <c r="D1264" s="590"/>
      <c r="E1264" s="590"/>
      <c r="F1264" s="591"/>
      <c r="G1264" s="592"/>
      <c r="H1264" s="590"/>
      <c r="I1264" s="590"/>
      <c r="J1264" s="593"/>
    </row>
    <row r="1265" spans="1:10">
      <c r="A1265" s="585" t="s">
        <v>3717</v>
      </c>
      <c r="B1265" s="614">
        <v>5</v>
      </c>
      <c r="C1265" s="608">
        <v>83</v>
      </c>
      <c r="D1265" s="590"/>
      <c r="E1265" s="590"/>
      <c r="F1265" s="591"/>
      <c r="G1265" s="592"/>
      <c r="H1265" s="590"/>
      <c r="I1265" s="590"/>
      <c r="J1265" s="593"/>
    </row>
    <row r="1266" spans="1:10">
      <c r="A1266" s="585" t="s">
        <v>3717</v>
      </c>
      <c r="B1266" s="614">
        <v>6</v>
      </c>
      <c r="C1266" s="608">
        <v>94</v>
      </c>
      <c r="D1266" s="590"/>
      <c r="E1266" s="590"/>
      <c r="F1266" s="591"/>
      <c r="G1266" s="592"/>
      <c r="H1266" s="590"/>
      <c r="I1266" s="590"/>
      <c r="J1266" s="593"/>
    </row>
    <row r="1267" spans="1:10">
      <c r="A1267" s="585" t="s">
        <v>3717</v>
      </c>
      <c r="B1267" s="614">
        <v>7</v>
      </c>
      <c r="C1267" s="608">
        <v>103</v>
      </c>
      <c r="D1267" s="590"/>
      <c r="E1267" s="590"/>
      <c r="F1267" s="591"/>
      <c r="G1267" s="592"/>
      <c r="H1267" s="590"/>
      <c r="I1267" s="590"/>
      <c r="J1267" s="593"/>
    </row>
    <row r="1268" spans="1:10">
      <c r="A1268" s="585" t="s">
        <v>3717</v>
      </c>
      <c r="B1268" s="614">
        <v>14</v>
      </c>
      <c r="C1268" s="608">
        <v>142</v>
      </c>
      <c r="D1268" s="590"/>
      <c r="E1268" s="590"/>
      <c r="F1268" s="591"/>
      <c r="G1268" s="592"/>
      <c r="H1268" s="590"/>
      <c r="I1268" s="590"/>
      <c r="J1268" s="593"/>
    </row>
    <row r="1269" spans="1:10">
      <c r="A1269" s="585" t="s">
        <v>3717</v>
      </c>
      <c r="B1269" s="614">
        <v>21</v>
      </c>
      <c r="C1269" s="608">
        <v>183</v>
      </c>
      <c r="D1269" s="590"/>
      <c r="E1269" s="590"/>
      <c r="F1269" s="591"/>
      <c r="G1269" s="592"/>
      <c r="H1269" s="590"/>
      <c r="I1269" s="590"/>
      <c r="J1269" s="593"/>
    </row>
    <row r="1270" spans="1:10">
      <c r="A1270" s="585" t="s">
        <v>3717</v>
      </c>
      <c r="B1270" s="614">
        <v>28</v>
      </c>
      <c r="C1270" s="608">
        <v>225</v>
      </c>
      <c r="D1270" s="590"/>
      <c r="E1270" s="590"/>
      <c r="F1270" s="591"/>
      <c r="G1270" s="592"/>
      <c r="H1270" s="590"/>
      <c r="I1270" s="590"/>
      <c r="J1270" s="593"/>
    </row>
    <row r="1271" spans="1:10">
      <c r="A1271" s="585" t="s">
        <v>3717</v>
      </c>
      <c r="B1271" s="614">
        <v>56</v>
      </c>
      <c r="C1271" s="608">
        <v>289</v>
      </c>
      <c r="D1271" s="590">
        <v>203.9557826988576</v>
      </c>
      <c r="E1271" s="590">
        <v>200.44137118606758</v>
      </c>
      <c r="F1271" s="591">
        <v>180.76381444375335</v>
      </c>
      <c r="G1271" s="592">
        <v>254.71267311991389</v>
      </c>
      <c r="H1271" s="590">
        <v>289.32277242328081</v>
      </c>
      <c r="I1271" s="590">
        <v>236.37252191996214</v>
      </c>
      <c r="J1271" s="593"/>
    </row>
    <row r="1272" spans="1:10">
      <c r="A1272" s="586" t="s">
        <v>3717</v>
      </c>
      <c r="B1272" s="615">
        <v>112</v>
      </c>
      <c r="C1272" s="609">
        <v>345</v>
      </c>
      <c r="D1272" s="594">
        <v>292.45467775141464</v>
      </c>
      <c r="E1272" s="594">
        <v>294.26471598532652</v>
      </c>
      <c r="F1272" s="595">
        <v>256.4055296095928</v>
      </c>
      <c r="G1272" s="596">
        <v>326.53168591915789</v>
      </c>
      <c r="H1272" s="594">
        <v>384.7479543458345</v>
      </c>
      <c r="I1272" s="594">
        <v>318.70281715350058</v>
      </c>
      <c r="J1272" s="597"/>
    </row>
    <row r="1273" spans="1:10">
      <c r="A1273" s="586" t="s">
        <v>3717</v>
      </c>
      <c r="B1273" s="615">
        <v>140</v>
      </c>
      <c r="C1273" s="609">
        <v>370</v>
      </c>
      <c r="D1273" s="594">
        <v>312.5381944693271</v>
      </c>
      <c r="E1273" s="594">
        <v>316.97720173640164</v>
      </c>
      <c r="F1273" s="595">
        <v>274.57490595583374</v>
      </c>
      <c r="G1273" s="596">
        <v>340.51202486120161</v>
      </c>
      <c r="H1273" s="594">
        <v>389.08578229938797</v>
      </c>
      <c r="I1273" s="594">
        <v>340.77668819845712</v>
      </c>
      <c r="J1273" s="597"/>
    </row>
    <row r="1274" spans="1:10">
      <c r="A1274" s="586" t="s">
        <v>3717</v>
      </c>
      <c r="B1274" s="615">
        <v>168</v>
      </c>
      <c r="C1274" s="609">
        <v>348</v>
      </c>
      <c r="D1274" s="594">
        <v>326.11535248475559</v>
      </c>
      <c r="E1274" s="594">
        <v>332.8330807810932</v>
      </c>
      <c r="F1274" s="595">
        <v>287.55478760168523</v>
      </c>
      <c r="G1274" s="596">
        <v>349.81439113068768</v>
      </c>
      <c r="H1274" s="594">
        <v>390.10677228814177</v>
      </c>
      <c r="I1274" s="594">
        <v>357.21841425623671</v>
      </c>
      <c r="J1274" s="597"/>
    </row>
    <row r="1275" spans="1:10">
      <c r="A1275" s="619" t="s">
        <v>3672</v>
      </c>
      <c r="B1275" s="620">
        <v>1</v>
      </c>
      <c r="C1275" s="621">
        <v>3</v>
      </c>
      <c r="D1275" s="622"/>
      <c r="E1275" s="622"/>
      <c r="F1275" s="623"/>
      <c r="G1275" s="624"/>
      <c r="H1275" s="622"/>
      <c r="I1275" s="622"/>
      <c r="J1275" s="625"/>
    </row>
    <row r="1276" spans="1:10">
      <c r="A1276" s="585" t="s">
        <v>3672</v>
      </c>
      <c r="B1276" s="614">
        <v>2</v>
      </c>
      <c r="C1276" s="608">
        <v>23</v>
      </c>
      <c r="D1276" s="590"/>
      <c r="E1276" s="590"/>
      <c r="F1276" s="591"/>
      <c r="G1276" s="592"/>
      <c r="H1276" s="590"/>
      <c r="I1276" s="590"/>
      <c r="J1276" s="593"/>
    </row>
    <row r="1277" spans="1:10">
      <c r="A1277" s="585" t="s">
        <v>3672</v>
      </c>
      <c r="B1277" s="614">
        <v>3</v>
      </c>
      <c r="C1277" s="608">
        <v>57</v>
      </c>
      <c r="D1277" s="590"/>
      <c r="E1277" s="590"/>
      <c r="F1277" s="591"/>
      <c r="G1277" s="592"/>
      <c r="H1277" s="590"/>
      <c r="I1277" s="590"/>
      <c r="J1277" s="593"/>
    </row>
    <row r="1278" spans="1:10">
      <c r="A1278" s="585" t="s">
        <v>3672</v>
      </c>
      <c r="B1278" s="614">
        <v>4</v>
      </c>
      <c r="C1278" s="608">
        <v>68</v>
      </c>
      <c r="D1278" s="590"/>
      <c r="E1278" s="590"/>
      <c r="F1278" s="591"/>
      <c r="G1278" s="592"/>
      <c r="H1278" s="590"/>
      <c r="I1278" s="590"/>
      <c r="J1278" s="593"/>
    </row>
    <row r="1279" spans="1:10">
      <c r="A1279" s="585" t="s">
        <v>3672</v>
      </c>
      <c r="B1279" s="614">
        <v>5</v>
      </c>
      <c r="C1279" s="608">
        <v>100</v>
      </c>
      <c r="D1279" s="590"/>
      <c r="E1279" s="590"/>
      <c r="F1279" s="591"/>
      <c r="G1279" s="592"/>
      <c r="H1279" s="590"/>
      <c r="I1279" s="590"/>
      <c r="J1279" s="593"/>
    </row>
    <row r="1280" spans="1:10">
      <c r="A1280" s="585" t="s">
        <v>3672</v>
      </c>
      <c r="B1280" s="614">
        <v>6</v>
      </c>
      <c r="C1280" s="608">
        <v>108</v>
      </c>
      <c r="D1280" s="590"/>
      <c r="E1280" s="590"/>
      <c r="F1280" s="591"/>
      <c r="G1280" s="592"/>
      <c r="H1280" s="590"/>
      <c r="I1280" s="590"/>
      <c r="J1280" s="593"/>
    </row>
    <row r="1281" spans="1:10">
      <c r="A1281" s="585" t="s">
        <v>3672</v>
      </c>
      <c r="B1281" s="614">
        <v>7</v>
      </c>
      <c r="C1281" s="608">
        <v>120</v>
      </c>
      <c r="D1281" s="590"/>
      <c r="E1281" s="590"/>
      <c r="F1281" s="591"/>
      <c r="G1281" s="592"/>
      <c r="H1281" s="590"/>
      <c r="I1281" s="590"/>
      <c r="J1281" s="593"/>
    </row>
    <row r="1282" spans="1:10">
      <c r="A1282" s="585" t="s">
        <v>3672</v>
      </c>
      <c r="B1282" s="614">
        <v>9</v>
      </c>
      <c r="C1282" s="608">
        <v>132</v>
      </c>
      <c r="D1282" s="590"/>
      <c r="E1282" s="590"/>
      <c r="F1282" s="591"/>
      <c r="G1282" s="592"/>
      <c r="H1282" s="590"/>
      <c r="I1282" s="590"/>
      <c r="J1282" s="593"/>
    </row>
    <row r="1283" spans="1:10">
      <c r="A1283" s="585" t="s">
        <v>3672</v>
      </c>
      <c r="B1283" s="614">
        <v>15</v>
      </c>
      <c r="C1283" s="608">
        <v>173</v>
      </c>
      <c r="D1283" s="590"/>
      <c r="E1283" s="590"/>
      <c r="F1283" s="591"/>
      <c r="G1283" s="592"/>
      <c r="H1283" s="590"/>
      <c r="I1283" s="590"/>
      <c r="J1283" s="593"/>
    </row>
    <row r="1284" spans="1:10">
      <c r="A1284" s="585" t="s">
        <v>3672</v>
      </c>
      <c r="B1284" s="614">
        <v>19</v>
      </c>
      <c r="C1284" s="608">
        <v>180</v>
      </c>
      <c r="D1284" s="590"/>
      <c r="E1284" s="590"/>
      <c r="F1284" s="591"/>
      <c r="G1284" s="592"/>
      <c r="H1284" s="590"/>
      <c r="I1284" s="590"/>
      <c r="J1284" s="593"/>
    </row>
    <row r="1285" spans="1:10">
      <c r="A1285" s="585" t="s">
        <v>3672</v>
      </c>
      <c r="B1285" s="614">
        <v>22</v>
      </c>
      <c r="C1285" s="608">
        <v>185</v>
      </c>
      <c r="D1285" s="590"/>
      <c r="E1285" s="590"/>
      <c r="F1285" s="591"/>
      <c r="G1285" s="592"/>
      <c r="H1285" s="590"/>
      <c r="I1285" s="590"/>
      <c r="J1285" s="593"/>
    </row>
    <row r="1286" spans="1:10">
      <c r="A1286" s="585" t="s">
        <v>3672</v>
      </c>
      <c r="B1286" s="614">
        <v>26</v>
      </c>
      <c r="C1286" s="608">
        <v>217</v>
      </c>
      <c r="D1286" s="590"/>
      <c r="E1286" s="590"/>
      <c r="F1286" s="591"/>
      <c r="G1286" s="592"/>
      <c r="H1286" s="590"/>
      <c r="I1286" s="590"/>
      <c r="J1286" s="593"/>
    </row>
    <row r="1287" spans="1:10">
      <c r="A1287" s="585" t="s">
        <v>3672</v>
      </c>
      <c r="B1287" s="614">
        <v>28</v>
      </c>
      <c r="C1287" s="608">
        <v>218</v>
      </c>
      <c r="D1287" s="590"/>
      <c r="E1287" s="590"/>
      <c r="F1287" s="591"/>
      <c r="G1287" s="592"/>
      <c r="H1287" s="590"/>
      <c r="I1287" s="590"/>
      <c r="J1287" s="593"/>
    </row>
    <row r="1288" spans="1:10">
      <c r="A1288" s="585" t="s">
        <v>3672</v>
      </c>
      <c r="B1288" s="614">
        <v>39</v>
      </c>
      <c r="C1288" s="608">
        <v>263</v>
      </c>
      <c r="D1288" s="590">
        <v>218.58281420082395</v>
      </c>
      <c r="E1288" s="590">
        <v>213.60616276007221</v>
      </c>
      <c r="F1288" s="591">
        <v>176.36660438227295</v>
      </c>
      <c r="G1288" s="592">
        <v>272.76711695493236</v>
      </c>
      <c r="H1288" s="590">
        <v>143.8993279907852</v>
      </c>
      <c r="I1288" s="590">
        <v>215.06448267650433</v>
      </c>
      <c r="J1288" s="593"/>
    </row>
    <row r="1289" spans="1:10">
      <c r="A1289" s="585" t="s">
        <v>3672</v>
      </c>
      <c r="B1289" s="614">
        <v>46</v>
      </c>
      <c r="C1289" s="608">
        <v>280</v>
      </c>
      <c r="D1289" s="590">
        <v>265.75351309121487</v>
      </c>
      <c r="E1289" s="590">
        <v>261.58561937081652</v>
      </c>
      <c r="F1289" s="591">
        <v>217.99581127484251</v>
      </c>
      <c r="G1289" s="592">
        <v>326.6867923163141</v>
      </c>
      <c r="H1289" s="590">
        <v>212.39227279213563</v>
      </c>
      <c r="I1289" s="590">
        <v>246.22584823999117</v>
      </c>
      <c r="J1289" s="593"/>
    </row>
    <row r="1290" spans="1:10">
      <c r="A1290" s="585" t="s">
        <v>3672</v>
      </c>
      <c r="B1290" s="614">
        <v>53</v>
      </c>
      <c r="C1290" s="608">
        <v>310</v>
      </c>
      <c r="D1290" s="590">
        <v>298.71487975977226</v>
      </c>
      <c r="E1290" s="590">
        <v>295.89111123767896</v>
      </c>
      <c r="F1290" s="591">
        <v>248.7893979934957</v>
      </c>
      <c r="G1290" s="592">
        <v>363.24301857442458</v>
      </c>
      <c r="H1290" s="590">
        <v>267.66623569874042</v>
      </c>
      <c r="I1290" s="590">
        <v>269.17138472408851</v>
      </c>
      <c r="J1290" s="593"/>
    </row>
    <row r="1291" spans="1:10">
      <c r="A1291" s="585" t="s">
        <v>3672</v>
      </c>
      <c r="B1291" s="614">
        <v>56</v>
      </c>
      <c r="C1291" s="608">
        <v>315</v>
      </c>
      <c r="D1291" s="590">
        <v>310.08185060151249</v>
      </c>
      <c r="E1291" s="590">
        <v>307.90779631527374</v>
      </c>
      <c r="F1291" s="591">
        <v>259.85205137602156</v>
      </c>
      <c r="G1291" s="592">
        <v>375.67887855254594</v>
      </c>
      <c r="H1291" s="590">
        <v>287.98088263810484</v>
      </c>
      <c r="I1291" s="590">
        <v>277.49336333845355</v>
      </c>
      <c r="J1291" s="593"/>
    </row>
    <row r="1292" spans="1:10">
      <c r="A1292" s="586" t="s">
        <v>3672</v>
      </c>
      <c r="B1292" s="615">
        <v>239</v>
      </c>
      <c r="C1292" s="609">
        <v>472</v>
      </c>
      <c r="D1292" s="594">
        <v>441.24687859115647</v>
      </c>
      <c r="E1292" s="594">
        <v>460.68655384385363</v>
      </c>
      <c r="F1292" s="595">
        <v>443.71814225036258</v>
      </c>
      <c r="G1292" s="596">
        <v>533.0771917758459</v>
      </c>
      <c r="H1292" s="594">
        <v>501.77029177159187</v>
      </c>
      <c r="I1292" s="594">
        <v>449.79412593284468</v>
      </c>
      <c r="J1292" s="597"/>
    </row>
    <row r="1293" spans="1:10">
      <c r="A1293" s="586" t="s">
        <v>3672</v>
      </c>
      <c r="B1293" s="615">
        <v>259</v>
      </c>
      <c r="C1293" s="609">
        <v>482</v>
      </c>
      <c r="D1293" s="594">
        <v>442.88586401571825</v>
      </c>
      <c r="E1293" s="594">
        <v>463.03591475947218</v>
      </c>
      <c r="F1293" s="595">
        <v>449.45829266013777</v>
      </c>
      <c r="G1293" s="596">
        <v>536.69211514199594</v>
      </c>
      <c r="H1293" s="594">
        <v>502.16899561268747</v>
      </c>
      <c r="I1293" s="594">
        <v>457.36833249098231</v>
      </c>
      <c r="J1293" s="597"/>
    </row>
    <row r="1294" spans="1:10">
      <c r="A1294" s="586" t="s">
        <v>3672</v>
      </c>
      <c r="B1294" s="615">
        <v>324</v>
      </c>
      <c r="C1294" s="609">
        <v>502</v>
      </c>
      <c r="D1294" s="594">
        <v>446.13498474667057</v>
      </c>
      <c r="E1294" s="594">
        <v>467.86526767881304</v>
      </c>
      <c r="F1294" s="595">
        <v>463.66177931281135</v>
      </c>
      <c r="G1294" s="596">
        <v>545.35771829704993</v>
      </c>
      <c r="H1294" s="594">
        <v>502.5850450628663</v>
      </c>
      <c r="I1294" s="594">
        <v>476.99133744028467</v>
      </c>
      <c r="J1294" s="597"/>
    </row>
    <row r="1295" spans="1:10">
      <c r="A1295" s="586" t="s">
        <v>3672</v>
      </c>
      <c r="B1295" s="615">
        <v>428</v>
      </c>
      <c r="C1295" s="609">
        <v>495</v>
      </c>
      <c r="D1295" s="594">
        <v>448.28152558242647</v>
      </c>
      <c r="E1295" s="594">
        <v>471.27227233160056</v>
      </c>
      <c r="F1295" s="595">
        <v>478.05824384373028</v>
      </c>
      <c r="G1295" s="596">
        <v>553.74950111983685</v>
      </c>
      <c r="H1295" s="594">
        <v>502.65103642437521</v>
      </c>
      <c r="I1295" s="594">
        <v>497.84384351663965</v>
      </c>
      <c r="J1295" s="597"/>
    </row>
    <row r="1296" spans="1:10">
      <c r="A1296" s="619" t="s">
        <v>3673</v>
      </c>
      <c r="B1296" s="620">
        <v>1</v>
      </c>
      <c r="C1296" s="621">
        <v>20</v>
      </c>
      <c r="D1296" s="622"/>
      <c r="E1296" s="622"/>
      <c r="F1296" s="623"/>
      <c r="G1296" s="624"/>
      <c r="H1296" s="622"/>
      <c r="I1296" s="622"/>
      <c r="J1296" s="625"/>
    </row>
    <row r="1297" spans="1:10">
      <c r="A1297" s="585" t="s">
        <v>3673</v>
      </c>
      <c r="B1297" s="614">
        <v>2</v>
      </c>
      <c r="C1297" s="608">
        <v>40</v>
      </c>
      <c r="D1297" s="590"/>
      <c r="E1297" s="590"/>
      <c r="F1297" s="591"/>
      <c r="G1297" s="592"/>
      <c r="H1297" s="590"/>
      <c r="I1297" s="590"/>
      <c r="J1297" s="593"/>
    </row>
    <row r="1298" spans="1:10">
      <c r="A1298" s="585" t="s">
        <v>3673</v>
      </c>
      <c r="B1298" s="614">
        <v>3</v>
      </c>
      <c r="C1298" s="608">
        <v>78</v>
      </c>
      <c r="D1298" s="590"/>
      <c r="E1298" s="590"/>
      <c r="F1298" s="591"/>
      <c r="G1298" s="592"/>
      <c r="H1298" s="590"/>
      <c r="I1298" s="590"/>
      <c r="J1298" s="593"/>
    </row>
    <row r="1299" spans="1:10">
      <c r="A1299" s="585" t="s">
        <v>3673</v>
      </c>
      <c r="B1299" s="614">
        <v>4</v>
      </c>
      <c r="C1299" s="608">
        <v>95</v>
      </c>
      <c r="D1299" s="590"/>
      <c r="E1299" s="590"/>
      <c r="F1299" s="591"/>
      <c r="G1299" s="592"/>
      <c r="H1299" s="590"/>
      <c r="I1299" s="590"/>
      <c r="J1299" s="593"/>
    </row>
    <row r="1300" spans="1:10">
      <c r="A1300" s="585" t="s">
        <v>3673</v>
      </c>
      <c r="B1300" s="614">
        <v>5</v>
      </c>
      <c r="C1300" s="608">
        <v>115</v>
      </c>
      <c r="D1300" s="590"/>
      <c r="E1300" s="590"/>
      <c r="F1300" s="591"/>
      <c r="G1300" s="592"/>
      <c r="H1300" s="590"/>
      <c r="I1300" s="590"/>
      <c r="J1300" s="593"/>
    </row>
    <row r="1301" spans="1:10">
      <c r="A1301" s="585" t="s">
        <v>3673</v>
      </c>
      <c r="B1301" s="614">
        <v>7</v>
      </c>
      <c r="C1301" s="608">
        <v>128</v>
      </c>
      <c r="D1301" s="590"/>
      <c r="E1301" s="590"/>
      <c r="F1301" s="591"/>
      <c r="G1301" s="592"/>
      <c r="H1301" s="590"/>
      <c r="I1301" s="590"/>
      <c r="J1301" s="593"/>
    </row>
    <row r="1302" spans="1:10">
      <c r="A1302" s="585" t="s">
        <v>3673</v>
      </c>
      <c r="B1302" s="614">
        <v>9</v>
      </c>
      <c r="C1302" s="608">
        <v>147</v>
      </c>
      <c r="D1302" s="590"/>
      <c r="E1302" s="590"/>
      <c r="F1302" s="591"/>
      <c r="G1302" s="592"/>
      <c r="H1302" s="590"/>
      <c r="I1302" s="590"/>
      <c r="J1302" s="593"/>
    </row>
    <row r="1303" spans="1:10">
      <c r="A1303" s="585" t="s">
        <v>3673</v>
      </c>
      <c r="B1303" s="614">
        <v>13</v>
      </c>
      <c r="C1303" s="608">
        <v>187</v>
      </c>
      <c r="D1303" s="590"/>
      <c r="E1303" s="590"/>
      <c r="F1303" s="591"/>
      <c r="G1303" s="592"/>
      <c r="H1303" s="590"/>
      <c r="I1303" s="590"/>
      <c r="J1303" s="593"/>
    </row>
    <row r="1304" spans="1:10">
      <c r="A1304" s="585" t="s">
        <v>3673</v>
      </c>
      <c r="B1304" s="614">
        <v>16</v>
      </c>
      <c r="C1304" s="608">
        <v>190</v>
      </c>
      <c r="D1304" s="590"/>
      <c r="E1304" s="590"/>
      <c r="F1304" s="591"/>
      <c r="G1304" s="592"/>
      <c r="H1304" s="590"/>
      <c r="I1304" s="590"/>
      <c r="J1304" s="593"/>
    </row>
    <row r="1305" spans="1:10">
      <c r="A1305" s="585" t="s">
        <v>3673</v>
      </c>
      <c r="B1305" s="614">
        <v>20</v>
      </c>
      <c r="C1305" s="608">
        <v>230</v>
      </c>
      <c r="D1305" s="590"/>
      <c r="E1305" s="590"/>
      <c r="F1305" s="591"/>
      <c r="G1305" s="592"/>
      <c r="H1305" s="590"/>
      <c r="I1305" s="590"/>
      <c r="J1305" s="593"/>
    </row>
    <row r="1306" spans="1:10">
      <c r="A1306" s="585" t="s">
        <v>3673</v>
      </c>
      <c r="B1306" s="614">
        <v>23</v>
      </c>
      <c r="C1306" s="608">
        <v>235</v>
      </c>
      <c r="D1306" s="590"/>
      <c r="E1306" s="590"/>
      <c r="F1306" s="591"/>
      <c r="G1306" s="592"/>
      <c r="H1306" s="590"/>
      <c r="I1306" s="590"/>
      <c r="J1306" s="593"/>
    </row>
    <row r="1307" spans="1:10">
      <c r="A1307" s="585" t="s">
        <v>3673</v>
      </c>
      <c r="B1307" s="614">
        <v>28</v>
      </c>
      <c r="C1307" s="608">
        <v>260</v>
      </c>
      <c r="D1307" s="590"/>
      <c r="E1307" s="590"/>
      <c r="F1307" s="591"/>
      <c r="G1307" s="592"/>
      <c r="H1307" s="590"/>
      <c r="I1307" s="590"/>
      <c r="J1307" s="593"/>
    </row>
    <row r="1308" spans="1:10">
      <c r="A1308" s="585" t="s">
        <v>3673</v>
      </c>
      <c r="B1308" s="614">
        <v>34</v>
      </c>
      <c r="C1308" s="608">
        <v>270</v>
      </c>
      <c r="D1308" s="590">
        <v>195.44666455053817</v>
      </c>
      <c r="E1308" s="590">
        <v>171.0317206418429</v>
      </c>
      <c r="F1308" s="591">
        <v>128.50402698457404</v>
      </c>
      <c r="G1308" s="592">
        <v>168.30548923468947</v>
      </c>
      <c r="H1308" s="590">
        <v>88.052133481201437</v>
      </c>
      <c r="I1308" s="590">
        <v>215.36938272842013</v>
      </c>
      <c r="J1308" s="593"/>
    </row>
    <row r="1309" spans="1:10">
      <c r="A1309" s="585" t="s">
        <v>3673</v>
      </c>
      <c r="B1309" s="614">
        <v>41</v>
      </c>
      <c r="C1309" s="608">
        <v>287</v>
      </c>
      <c r="D1309" s="590">
        <v>272.9564615183769</v>
      </c>
      <c r="E1309" s="590">
        <v>236.75215915572375</v>
      </c>
      <c r="F1309" s="591">
        <v>182.44651120213052</v>
      </c>
      <c r="G1309" s="592">
        <v>228.10655115845145</v>
      </c>
      <c r="H1309" s="590">
        <v>167.04063101105629</v>
      </c>
      <c r="I1309" s="590">
        <v>249.59117060071418</v>
      </c>
      <c r="J1309" s="593"/>
    </row>
    <row r="1310" spans="1:10">
      <c r="A1310" s="585" t="s">
        <v>3673</v>
      </c>
      <c r="B1310" s="614">
        <v>44</v>
      </c>
      <c r="C1310" s="608">
        <v>322</v>
      </c>
      <c r="D1310" s="590">
        <v>296.41549422881343</v>
      </c>
      <c r="E1310" s="590">
        <v>256.23258837890609</v>
      </c>
      <c r="F1310" s="591">
        <v>199.45123703155863</v>
      </c>
      <c r="G1310" s="592">
        <v>245.19045051849713</v>
      </c>
      <c r="H1310" s="590">
        <v>195.59871261685248</v>
      </c>
      <c r="I1310" s="590">
        <v>259.6328666709926</v>
      </c>
      <c r="J1310" s="593"/>
    </row>
    <row r="1311" spans="1:10">
      <c r="A1311" s="585" t="s">
        <v>3673</v>
      </c>
      <c r="B1311" s="614">
        <v>52</v>
      </c>
      <c r="C1311" s="608">
        <v>332</v>
      </c>
      <c r="D1311" s="590">
        <v>343.96992601323495</v>
      </c>
      <c r="E1311" s="590">
        <v>294.97607737865076</v>
      </c>
      <c r="F1311" s="591">
        <v>235.35048897675802</v>
      </c>
      <c r="G1311" s="592">
        <v>278.42131580652386</v>
      </c>
      <c r="H1311" s="590">
        <v>259.5797030871986</v>
      </c>
      <c r="I1311" s="590">
        <v>280.33654246021035</v>
      </c>
      <c r="J1311" s="593"/>
    </row>
    <row r="1312" spans="1:10">
      <c r="A1312" s="585" t="s">
        <v>3673</v>
      </c>
      <c r="B1312" s="614">
        <v>56</v>
      </c>
      <c r="C1312" s="608">
        <v>337</v>
      </c>
      <c r="D1312" s="590">
        <v>362.19399858017482</v>
      </c>
      <c r="E1312" s="590">
        <v>309.5167657687827</v>
      </c>
      <c r="F1312" s="591">
        <v>249.76693321365121</v>
      </c>
      <c r="G1312" s="592">
        <v>290.70028003461454</v>
      </c>
      <c r="H1312" s="590">
        <v>286.01177683829826</v>
      </c>
      <c r="I1312" s="590">
        <v>288.59501399549322</v>
      </c>
      <c r="J1312" s="593"/>
    </row>
    <row r="1313" spans="1:11">
      <c r="A1313" s="586" t="s">
        <v>3673</v>
      </c>
      <c r="B1313" s="615">
        <v>233</v>
      </c>
      <c r="C1313" s="609">
        <v>473</v>
      </c>
      <c r="D1313" s="594">
        <v>517.90262070343078</v>
      </c>
      <c r="E1313" s="594">
        <v>422.0286631723979</v>
      </c>
      <c r="F1313" s="595">
        <v>424.67912425415898</v>
      </c>
      <c r="G1313" s="596">
        <v>398.18847434679736</v>
      </c>
      <c r="H1313" s="594">
        <v>489.21328005448748</v>
      </c>
      <c r="I1313" s="594">
        <v>412.74225144123579</v>
      </c>
      <c r="J1313" s="597"/>
    </row>
    <row r="1314" spans="1:11">
      <c r="A1314" s="586" t="s">
        <v>3673</v>
      </c>
      <c r="B1314" s="615">
        <v>253</v>
      </c>
      <c r="C1314" s="609">
        <v>487</v>
      </c>
      <c r="D1314" s="594">
        <v>520.07167907001804</v>
      </c>
      <c r="E1314" s="594">
        <v>423.29062015567513</v>
      </c>
      <c r="F1314" s="595">
        <v>430.4405384638498</v>
      </c>
      <c r="G1314" s="596">
        <v>400.66444784811279</v>
      </c>
      <c r="H1314" s="594">
        <v>489.66795224733607</v>
      </c>
      <c r="I1314" s="594">
        <v>419.05524580977908</v>
      </c>
      <c r="J1314" s="597"/>
    </row>
    <row r="1315" spans="1:11">
      <c r="A1315" s="586" t="s">
        <v>3673</v>
      </c>
      <c r="B1315" s="615">
        <v>318</v>
      </c>
      <c r="C1315" s="609">
        <v>502</v>
      </c>
      <c r="D1315" s="594">
        <v>524.36340684101276</v>
      </c>
      <c r="E1315" s="594">
        <v>425.6940039863461</v>
      </c>
      <c r="F1315" s="595">
        <v>444.61840744104285</v>
      </c>
      <c r="G1315" s="596">
        <v>406.53238592941932</v>
      </c>
      <c r="H1315" s="594">
        <v>490.14345289507571</v>
      </c>
      <c r="I1315" s="594">
        <v>436.1862065654754</v>
      </c>
      <c r="J1315" s="597"/>
    </row>
    <row r="1316" spans="1:11">
      <c r="A1316" s="586" t="s">
        <v>3673</v>
      </c>
      <c r="B1316" s="615">
        <v>421</v>
      </c>
      <c r="C1316" s="609">
        <v>473</v>
      </c>
      <c r="D1316" s="594">
        <v>527.17919973598498</v>
      </c>
      <c r="E1316" s="594">
        <v>427.16556126121787</v>
      </c>
      <c r="F1316" s="595">
        <v>458.77157007861246</v>
      </c>
      <c r="G1316" s="596">
        <v>412.08516117339428</v>
      </c>
      <c r="H1316" s="594">
        <v>490.21912399959166</v>
      </c>
      <c r="I1316" s="594">
        <v>456.23199118899242</v>
      </c>
      <c r="J1316" s="597"/>
    </row>
    <row r="1317" spans="1:11">
      <c r="A1317" s="619" t="s">
        <v>3674</v>
      </c>
      <c r="B1317" s="620">
        <v>1</v>
      </c>
      <c r="C1317" s="621">
        <v>8</v>
      </c>
      <c r="D1317" s="622"/>
      <c r="E1317" s="622"/>
      <c r="F1317" s="623"/>
      <c r="G1317" s="624"/>
      <c r="H1317" s="622"/>
      <c r="I1317" s="622"/>
      <c r="J1317" s="625"/>
      <c r="K1317" s="67" t="s">
        <v>3774</v>
      </c>
    </row>
    <row r="1318" spans="1:11">
      <c r="A1318" s="585" t="s">
        <v>3674</v>
      </c>
      <c r="B1318" s="614">
        <v>2</v>
      </c>
      <c r="C1318" s="608">
        <v>17</v>
      </c>
      <c r="D1318" s="590"/>
      <c r="E1318" s="590"/>
      <c r="F1318" s="591"/>
      <c r="G1318" s="592"/>
      <c r="H1318" s="590"/>
      <c r="I1318" s="590"/>
      <c r="J1318" s="593"/>
    </row>
    <row r="1319" spans="1:11">
      <c r="A1319" s="585" t="s">
        <v>3674</v>
      </c>
      <c r="B1319" s="614">
        <v>3</v>
      </c>
      <c r="C1319" s="608">
        <v>25</v>
      </c>
      <c r="D1319" s="590"/>
      <c r="E1319" s="590"/>
      <c r="F1319" s="591"/>
      <c r="G1319" s="592"/>
      <c r="H1319" s="590"/>
      <c r="I1319" s="590"/>
      <c r="J1319" s="593"/>
    </row>
    <row r="1320" spans="1:11">
      <c r="A1320" s="585" t="s">
        <v>3674</v>
      </c>
      <c r="B1320" s="614">
        <v>4</v>
      </c>
      <c r="C1320" s="608">
        <v>55</v>
      </c>
      <c r="D1320" s="590"/>
      <c r="E1320" s="590"/>
      <c r="F1320" s="591"/>
      <c r="G1320" s="592"/>
      <c r="H1320" s="590"/>
      <c r="I1320" s="590"/>
      <c r="J1320" s="593"/>
    </row>
    <row r="1321" spans="1:11">
      <c r="A1321" s="585" t="s">
        <v>3674</v>
      </c>
      <c r="B1321" s="614">
        <v>7</v>
      </c>
      <c r="C1321" s="608">
        <v>112</v>
      </c>
      <c r="D1321" s="590"/>
      <c r="E1321" s="590"/>
      <c r="F1321" s="591"/>
      <c r="G1321" s="592"/>
      <c r="H1321" s="590"/>
      <c r="I1321" s="590"/>
      <c r="J1321" s="593"/>
    </row>
    <row r="1322" spans="1:11">
      <c r="A1322" s="585" t="s">
        <v>3674</v>
      </c>
      <c r="B1322" s="614">
        <v>9</v>
      </c>
      <c r="C1322" s="608">
        <v>140</v>
      </c>
      <c r="D1322" s="590"/>
      <c r="E1322" s="590"/>
      <c r="F1322" s="591"/>
      <c r="G1322" s="592"/>
      <c r="H1322" s="590"/>
      <c r="I1322" s="590"/>
      <c r="J1322" s="593"/>
    </row>
    <row r="1323" spans="1:11">
      <c r="A1323" s="585" t="s">
        <v>3674</v>
      </c>
      <c r="B1323" s="614">
        <v>13</v>
      </c>
      <c r="C1323" s="608">
        <v>167</v>
      </c>
      <c r="D1323" s="590"/>
      <c r="E1323" s="590"/>
      <c r="F1323" s="591"/>
      <c r="G1323" s="592"/>
      <c r="H1323" s="590"/>
      <c r="I1323" s="590"/>
      <c r="J1323" s="593"/>
    </row>
    <row r="1324" spans="1:11">
      <c r="A1324" s="585" t="s">
        <v>3674</v>
      </c>
      <c r="B1324" s="614">
        <v>16</v>
      </c>
      <c r="C1324" s="608">
        <v>182</v>
      </c>
      <c r="D1324" s="590"/>
      <c r="E1324" s="590"/>
      <c r="F1324" s="591"/>
      <c r="G1324" s="592"/>
      <c r="H1324" s="590"/>
      <c r="I1324" s="590"/>
      <c r="J1324" s="593"/>
    </row>
    <row r="1325" spans="1:11">
      <c r="A1325" s="585" t="s">
        <v>3674</v>
      </c>
      <c r="B1325" s="614">
        <v>20</v>
      </c>
      <c r="C1325" s="608">
        <v>197</v>
      </c>
      <c r="D1325" s="590"/>
      <c r="E1325" s="590"/>
      <c r="F1325" s="591"/>
      <c r="G1325" s="592"/>
      <c r="H1325" s="590"/>
      <c r="I1325" s="590"/>
      <c r="J1325" s="593"/>
    </row>
    <row r="1326" spans="1:11">
      <c r="A1326" s="585" t="s">
        <v>3674</v>
      </c>
      <c r="B1326" s="614">
        <v>23</v>
      </c>
      <c r="C1326" s="608">
        <v>208</v>
      </c>
      <c r="D1326" s="590"/>
      <c r="E1326" s="590"/>
      <c r="F1326" s="591"/>
      <c r="G1326" s="592"/>
      <c r="H1326" s="590"/>
      <c r="I1326" s="590"/>
      <c r="J1326" s="593"/>
    </row>
    <row r="1327" spans="1:11">
      <c r="A1327" s="585" t="s">
        <v>3674</v>
      </c>
      <c r="B1327" s="614">
        <v>27</v>
      </c>
      <c r="C1327" s="608">
        <v>218</v>
      </c>
      <c r="D1327" s="590"/>
      <c r="E1327" s="590"/>
      <c r="F1327" s="591"/>
      <c r="G1327" s="592"/>
      <c r="H1327" s="590"/>
      <c r="I1327" s="590"/>
      <c r="J1327" s="593"/>
    </row>
    <row r="1328" spans="1:11">
      <c r="A1328" s="585" t="s">
        <v>3674</v>
      </c>
      <c r="B1328" s="614">
        <v>28</v>
      </c>
      <c r="C1328" s="608">
        <v>223</v>
      </c>
      <c r="D1328" s="590"/>
      <c r="E1328" s="590"/>
      <c r="F1328" s="591"/>
      <c r="G1328" s="592"/>
      <c r="H1328" s="590"/>
      <c r="I1328" s="590"/>
      <c r="J1328" s="593"/>
    </row>
    <row r="1329" spans="1:10">
      <c r="A1329" s="585" t="s">
        <v>3674</v>
      </c>
      <c r="B1329" s="614">
        <v>34</v>
      </c>
      <c r="C1329" s="608">
        <v>227</v>
      </c>
      <c r="D1329" s="590"/>
      <c r="E1329" s="590">
        <v>146.29332314236572</v>
      </c>
      <c r="F1329" s="591"/>
      <c r="G1329" s="592">
        <v>130.85568973741579</v>
      </c>
      <c r="H1329" s="590"/>
      <c r="I1329" s="590">
        <v>186.83462455949163</v>
      </c>
      <c r="J1329" s="593"/>
    </row>
    <row r="1330" spans="1:10">
      <c r="A1330" s="585" t="s">
        <v>3674</v>
      </c>
      <c r="B1330" s="614">
        <v>40</v>
      </c>
      <c r="C1330" s="608">
        <v>255</v>
      </c>
      <c r="D1330" s="590"/>
      <c r="E1330" s="590">
        <v>198.7299700497563</v>
      </c>
      <c r="F1330" s="591"/>
      <c r="G1330" s="592">
        <v>175.32232469060156</v>
      </c>
      <c r="H1330" s="590"/>
      <c r="I1330" s="590">
        <v>216.85466100562758</v>
      </c>
      <c r="J1330" s="593"/>
    </row>
    <row r="1331" spans="1:10">
      <c r="A1331" s="585" t="s">
        <v>3674</v>
      </c>
      <c r="B1331" s="614">
        <v>48</v>
      </c>
      <c r="C1331" s="608">
        <v>263</v>
      </c>
      <c r="D1331" s="590"/>
      <c r="E1331" s="590">
        <v>243.97874520435553</v>
      </c>
      <c r="F1331" s="591"/>
      <c r="G1331" s="592">
        <v>212.30394820973842</v>
      </c>
      <c r="H1331" s="590"/>
      <c r="I1331" s="590">
        <v>241.98988110193716</v>
      </c>
      <c r="J1331" s="593"/>
    </row>
    <row r="1332" spans="1:10">
      <c r="A1332" s="585" t="s">
        <v>3674</v>
      </c>
      <c r="B1332" s="614">
        <v>54</v>
      </c>
      <c r="C1332" s="608">
        <v>278</v>
      </c>
      <c r="D1332" s="590"/>
      <c r="E1332" s="590">
        <v>268.49272376083246</v>
      </c>
      <c r="F1332" s="591"/>
      <c r="G1332" s="592">
        <v>231.84051837141064</v>
      </c>
      <c r="H1332" s="590"/>
      <c r="I1332" s="590">
        <v>255.99237229698863</v>
      </c>
      <c r="J1332" s="593"/>
    </row>
    <row r="1333" spans="1:10">
      <c r="A1333" s="585" t="s">
        <v>3674</v>
      </c>
      <c r="B1333" s="614">
        <v>56</v>
      </c>
      <c r="C1333" s="608">
        <v>295</v>
      </c>
      <c r="D1333" s="590"/>
      <c r="E1333" s="590">
        <v>275.46536915243939</v>
      </c>
      <c r="F1333" s="591"/>
      <c r="G1333" s="592">
        <v>237.34376982811671</v>
      </c>
      <c r="H1333" s="590"/>
      <c r="I1333" s="590">
        <v>260.08917368711963</v>
      </c>
      <c r="J1333" s="593"/>
    </row>
    <row r="1334" spans="1:10">
      <c r="A1334" s="586" t="s">
        <v>3674</v>
      </c>
      <c r="B1334" s="615">
        <v>226</v>
      </c>
      <c r="C1334" s="609">
        <v>408</v>
      </c>
      <c r="D1334" s="594"/>
      <c r="E1334" s="594">
        <v>407.56485818159325</v>
      </c>
      <c r="F1334" s="595"/>
      <c r="G1334" s="596">
        <v>348.50053908624403</v>
      </c>
      <c r="H1334" s="594"/>
      <c r="I1334" s="594">
        <v>393.65685963862649</v>
      </c>
      <c r="J1334" s="597"/>
    </row>
    <row r="1335" spans="1:10">
      <c r="A1335" s="586" t="s">
        <v>3674</v>
      </c>
      <c r="B1335" s="615">
        <v>246</v>
      </c>
      <c r="C1335" s="609">
        <v>428</v>
      </c>
      <c r="D1335" s="594"/>
      <c r="E1335" s="594">
        <v>409.90635887456716</v>
      </c>
      <c r="F1335" s="595"/>
      <c r="G1335" s="596">
        <v>351.58482273840212</v>
      </c>
      <c r="H1335" s="594"/>
      <c r="I1335" s="594">
        <v>401.58302028124399</v>
      </c>
      <c r="J1335" s="597"/>
    </row>
    <row r="1336" spans="1:10">
      <c r="A1336" s="586" t="s">
        <v>3674</v>
      </c>
      <c r="B1336" s="615">
        <v>311</v>
      </c>
      <c r="C1336" s="609">
        <v>445</v>
      </c>
      <c r="D1336" s="594"/>
      <c r="E1336" s="594">
        <v>414.62975982738556</v>
      </c>
      <c r="F1336" s="595"/>
      <c r="G1336" s="596">
        <v>358.91439561224922</v>
      </c>
      <c r="H1336" s="594"/>
      <c r="I1336" s="594">
        <v>423.71368526223108</v>
      </c>
      <c r="J1336" s="597"/>
    </row>
    <row r="1337" spans="1:10">
      <c r="A1337" s="586" t="s">
        <v>3674</v>
      </c>
      <c r="B1337" s="615">
        <v>415</v>
      </c>
      <c r="C1337" s="609">
        <v>447</v>
      </c>
      <c r="D1337" s="594"/>
      <c r="E1337" s="594">
        <v>417.86484430415601</v>
      </c>
      <c r="F1337" s="595"/>
      <c r="G1337" s="596">
        <v>365.92889746299539</v>
      </c>
      <c r="H1337" s="594"/>
      <c r="I1337" s="594">
        <v>451.42066317884854</v>
      </c>
      <c r="J1337" s="597"/>
    </row>
    <row r="1338" spans="1:10">
      <c r="A1338" s="619" t="s">
        <v>3675</v>
      </c>
      <c r="B1338" s="620">
        <v>1</v>
      </c>
      <c r="C1338" s="621">
        <v>20</v>
      </c>
      <c r="D1338" s="622"/>
      <c r="E1338" s="622"/>
      <c r="F1338" s="623"/>
      <c r="G1338" s="624"/>
      <c r="H1338" s="622"/>
      <c r="I1338" s="622"/>
      <c r="J1338" s="625"/>
    </row>
    <row r="1339" spans="1:10">
      <c r="A1339" s="585" t="s">
        <v>3675</v>
      </c>
      <c r="B1339" s="614">
        <v>3</v>
      </c>
      <c r="C1339" s="608">
        <v>92</v>
      </c>
      <c r="D1339" s="590"/>
      <c r="E1339" s="590"/>
      <c r="F1339" s="591"/>
      <c r="G1339" s="592"/>
      <c r="H1339" s="590"/>
      <c r="I1339" s="590"/>
      <c r="J1339" s="593"/>
    </row>
    <row r="1340" spans="1:10">
      <c r="A1340" s="585" t="s">
        <v>3675</v>
      </c>
      <c r="B1340" s="614">
        <v>4</v>
      </c>
      <c r="C1340" s="608">
        <v>103</v>
      </c>
      <c r="D1340" s="590"/>
      <c r="E1340" s="590"/>
      <c r="F1340" s="591"/>
      <c r="G1340" s="592"/>
      <c r="H1340" s="590"/>
      <c r="I1340" s="590"/>
      <c r="J1340" s="593"/>
    </row>
    <row r="1341" spans="1:10">
      <c r="A1341" s="585" t="s">
        <v>3675</v>
      </c>
      <c r="B1341" s="614">
        <v>6</v>
      </c>
      <c r="C1341" s="608">
        <v>137</v>
      </c>
      <c r="D1341" s="590"/>
      <c r="E1341" s="590"/>
      <c r="F1341" s="591"/>
      <c r="G1341" s="592"/>
      <c r="H1341" s="590"/>
      <c r="I1341" s="590"/>
      <c r="J1341" s="593"/>
    </row>
    <row r="1342" spans="1:10">
      <c r="A1342" s="585" t="s">
        <v>3675</v>
      </c>
      <c r="B1342" s="614">
        <v>8</v>
      </c>
      <c r="C1342" s="608">
        <v>152</v>
      </c>
      <c r="D1342" s="590"/>
      <c r="E1342" s="590"/>
      <c r="F1342" s="591"/>
      <c r="G1342" s="592"/>
      <c r="H1342" s="590"/>
      <c r="I1342" s="590"/>
      <c r="J1342" s="593"/>
    </row>
    <row r="1343" spans="1:10">
      <c r="A1343" s="585" t="s">
        <v>3675</v>
      </c>
      <c r="B1343" s="614">
        <v>9</v>
      </c>
      <c r="C1343" s="608">
        <v>172</v>
      </c>
      <c r="D1343" s="590"/>
      <c r="E1343" s="590"/>
      <c r="F1343" s="591"/>
      <c r="G1343" s="592"/>
      <c r="H1343" s="590"/>
      <c r="I1343" s="590"/>
      <c r="J1343" s="593"/>
    </row>
    <row r="1344" spans="1:10">
      <c r="A1344" s="585" t="s">
        <v>3675</v>
      </c>
      <c r="B1344" s="614">
        <v>13</v>
      </c>
      <c r="C1344" s="608">
        <v>212</v>
      </c>
      <c r="D1344" s="590"/>
      <c r="E1344" s="590"/>
      <c r="F1344" s="591"/>
      <c r="G1344" s="592"/>
      <c r="H1344" s="590"/>
      <c r="I1344" s="590"/>
      <c r="J1344" s="593"/>
    </row>
    <row r="1345" spans="1:10">
      <c r="A1345" s="585" t="s">
        <v>3675</v>
      </c>
      <c r="B1345" s="614">
        <v>16</v>
      </c>
      <c r="C1345" s="608">
        <v>228</v>
      </c>
      <c r="D1345" s="590"/>
      <c r="E1345" s="590"/>
      <c r="F1345" s="591"/>
      <c r="G1345" s="592"/>
      <c r="H1345" s="590"/>
      <c r="I1345" s="590"/>
      <c r="J1345" s="593"/>
    </row>
    <row r="1346" spans="1:10">
      <c r="A1346" s="585" t="s">
        <v>3675</v>
      </c>
      <c r="B1346" s="614">
        <v>20</v>
      </c>
      <c r="C1346" s="608">
        <v>230</v>
      </c>
      <c r="D1346" s="590"/>
      <c r="E1346" s="590"/>
      <c r="F1346" s="591"/>
      <c r="G1346" s="592"/>
      <c r="H1346" s="590"/>
      <c r="I1346" s="590"/>
      <c r="J1346" s="593"/>
    </row>
    <row r="1347" spans="1:10">
      <c r="A1347" s="585" t="s">
        <v>3675</v>
      </c>
      <c r="B1347" s="614">
        <v>23</v>
      </c>
      <c r="C1347" s="608">
        <v>237</v>
      </c>
      <c r="D1347" s="590"/>
      <c r="E1347" s="590"/>
      <c r="F1347" s="591"/>
      <c r="G1347" s="592"/>
      <c r="H1347" s="590"/>
      <c r="I1347" s="590"/>
      <c r="J1347" s="593"/>
    </row>
    <row r="1348" spans="1:10">
      <c r="A1348" s="585" t="s">
        <v>3675</v>
      </c>
      <c r="B1348" s="614">
        <v>27</v>
      </c>
      <c r="C1348" s="608">
        <v>252</v>
      </c>
      <c r="D1348" s="590"/>
      <c r="E1348" s="590"/>
      <c r="F1348" s="591"/>
      <c r="G1348" s="592"/>
      <c r="H1348" s="590"/>
      <c r="I1348" s="590"/>
      <c r="J1348" s="593"/>
    </row>
    <row r="1349" spans="1:10">
      <c r="A1349" s="585" t="s">
        <v>3675</v>
      </c>
      <c r="B1349" s="614">
        <v>28</v>
      </c>
      <c r="C1349" s="608">
        <v>268</v>
      </c>
      <c r="D1349" s="590"/>
      <c r="E1349" s="590"/>
      <c r="F1349" s="591"/>
      <c r="G1349" s="592"/>
      <c r="H1349" s="590"/>
      <c r="I1349" s="590"/>
      <c r="J1349" s="593"/>
    </row>
    <row r="1350" spans="1:10">
      <c r="A1350" s="585" t="s">
        <v>3675</v>
      </c>
      <c r="B1350" s="614">
        <v>34</v>
      </c>
      <c r="C1350" s="608">
        <v>287</v>
      </c>
      <c r="D1350" s="590">
        <v>181.51777874351478</v>
      </c>
      <c r="E1350" s="590">
        <v>196.31560425931951</v>
      </c>
      <c r="F1350" s="591">
        <v>133.07636578058811</v>
      </c>
      <c r="G1350" s="592">
        <v>198.97321549013077</v>
      </c>
      <c r="H1350" s="590">
        <v>94.031634855300183</v>
      </c>
      <c r="I1350" s="590">
        <v>247.72150694864666</v>
      </c>
      <c r="J1350" s="593"/>
    </row>
    <row r="1351" spans="1:10">
      <c r="A1351" s="585" t="s">
        <v>3675</v>
      </c>
      <c r="B1351" s="614">
        <v>42</v>
      </c>
      <c r="C1351" s="608">
        <v>298</v>
      </c>
      <c r="D1351" s="590">
        <v>261.83154750362655</v>
      </c>
      <c r="E1351" s="590">
        <v>271.05343697093269</v>
      </c>
      <c r="F1351" s="591">
        <v>195.10217415120854</v>
      </c>
      <c r="G1351" s="592">
        <v>264.33334668246476</v>
      </c>
      <c r="H1351" s="590">
        <v>179.65705828472915</v>
      </c>
      <c r="I1351" s="590">
        <v>278.17854857688496</v>
      </c>
      <c r="J1351" s="593"/>
    </row>
    <row r="1352" spans="1:10">
      <c r="A1352" s="585" t="s">
        <v>3675</v>
      </c>
      <c r="B1352" s="614">
        <v>48</v>
      </c>
      <c r="C1352" s="608">
        <v>305</v>
      </c>
      <c r="D1352" s="590">
        <v>300.65518292263528</v>
      </c>
      <c r="E1352" s="590">
        <v>302.97287124102468</v>
      </c>
      <c r="F1352" s="591">
        <v>226.59059406958158</v>
      </c>
      <c r="G1352" s="592">
        <v>290.51085632454738</v>
      </c>
      <c r="H1352" s="590">
        <v>228.93469808552121</v>
      </c>
      <c r="I1352" s="590">
        <v>292.08754843395326</v>
      </c>
      <c r="J1352" s="593"/>
    </row>
    <row r="1353" spans="1:10">
      <c r="A1353" s="585" t="s">
        <v>3675</v>
      </c>
      <c r="B1353" s="614">
        <v>51</v>
      </c>
      <c r="C1353" s="608">
        <v>310</v>
      </c>
      <c r="D1353" s="590">
        <v>316.28723599828942</v>
      </c>
      <c r="E1353" s="590">
        <v>314.94159655553466</v>
      </c>
      <c r="F1353" s="591">
        <v>239.67011890091462</v>
      </c>
      <c r="G1353" s="592">
        <v>300.1608633538072</v>
      </c>
      <c r="H1353" s="590">
        <v>250.00325698649434</v>
      </c>
      <c r="I1353" s="590">
        <v>297.72383640971702</v>
      </c>
      <c r="J1353" s="593"/>
    </row>
    <row r="1354" spans="1:10">
      <c r="A1354" s="585" t="s">
        <v>3675</v>
      </c>
      <c r="B1354" s="614">
        <v>56</v>
      </c>
      <c r="C1354" s="608">
        <v>322</v>
      </c>
      <c r="D1354" s="590">
        <v>338.38010364639371</v>
      </c>
      <c r="E1354" s="590">
        <v>330.93391997431496</v>
      </c>
      <c r="F1354" s="591">
        <v>258.65396240248214</v>
      </c>
      <c r="G1354" s="592">
        <v>313.0078181097353</v>
      </c>
      <c r="H1354" s="590">
        <v>280.76672183176566</v>
      </c>
      <c r="I1354" s="590">
        <v>305.83941325153671</v>
      </c>
      <c r="J1354" s="593"/>
    </row>
    <row r="1355" spans="1:10">
      <c r="A1355" s="586" t="s">
        <v>3675</v>
      </c>
      <c r="B1355" s="615">
        <v>219</v>
      </c>
      <c r="C1355" s="609">
        <v>445</v>
      </c>
      <c r="D1355" s="594">
        <v>488.25451978701329</v>
      </c>
      <c r="E1355" s="594">
        <v>404.76125866558863</v>
      </c>
      <c r="F1355" s="595">
        <v>435.04601631172062</v>
      </c>
      <c r="G1355" s="596">
        <v>386.23198208534598</v>
      </c>
      <c r="H1355" s="594">
        <v>462.65444781579549</v>
      </c>
      <c r="I1355" s="594">
        <v>397.25653012422401</v>
      </c>
      <c r="J1355" s="597"/>
    </row>
    <row r="1356" spans="1:10">
      <c r="A1356" s="586" t="s">
        <v>3675</v>
      </c>
      <c r="B1356" s="615">
        <v>239</v>
      </c>
      <c r="C1356" s="609">
        <v>467</v>
      </c>
      <c r="D1356" s="594">
        <v>490.93040205534453</v>
      </c>
      <c r="E1356" s="594">
        <v>405.32013826047603</v>
      </c>
      <c r="F1356" s="595">
        <v>441.67230958991428</v>
      </c>
      <c r="G1356" s="596">
        <v>387.88580454156312</v>
      </c>
      <c r="H1356" s="594">
        <v>463.27590117458828</v>
      </c>
      <c r="I1356" s="594">
        <v>402.64154812903161</v>
      </c>
      <c r="J1356" s="597"/>
    </row>
    <row r="1357" spans="1:10">
      <c r="A1357" s="586" t="s">
        <v>3675</v>
      </c>
      <c r="B1357" s="615">
        <v>304</v>
      </c>
      <c r="C1357" s="609">
        <v>482</v>
      </c>
      <c r="D1357" s="594">
        <v>496.19231933963721</v>
      </c>
      <c r="E1357" s="594">
        <v>406.25644587146388</v>
      </c>
      <c r="F1357" s="595">
        <v>457.75536788081649</v>
      </c>
      <c r="G1357" s="596">
        <v>391.68441228730643</v>
      </c>
      <c r="H1357" s="594">
        <v>463.92880518023691</v>
      </c>
      <c r="I1357" s="594">
        <v>417.48991984238683</v>
      </c>
      <c r="J1357" s="597"/>
    </row>
    <row r="1358" spans="1:10">
      <c r="A1358" s="586" t="s">
        <v>3675</v>
      </c>
      <c r="B1358" s="615">
        <v>408</v>
      </c>
      <c r="C1358" s="609">
        <v>497</v>
      </c>
      <c r="D1358" s="594">
        <v>499.64376858554709</v>
      </c>
      <c r="E1358" s="594">
        <v>406.71506246601012</v>
      </c>
      <c r="F1358" s="595">
        <v>473.622256978427</v>
      </c>
      <c r="G1358" s="596">
        <v>395.15448655712169</v>
      </c>
      <c r="H1358" s="594">
        <v>464.0338891410691</v>
      </c>
      <c r="I1358" s="594">
        <v>435.787483704061</v>
      </c>
      <c r="J1358" s="597"/>
    </row>
    <row r="1359" spans="1:10">
      <c r="A1359" s="619" t="s">
        <v>3676</v>
      </c>
      <c r="B1359" s="620">
        <v>1</v>
      </c>
      <c r="C1359" s="621">
        <v>32</v>
      </c>
      <c r="D1359" s="622"/>
      <c r="E1359" s="622"/>
      <c r="F1359" s="623"/>
      <c r="G1359" s="624"/>
      <c r="H1359" s="622"/>
      <c r="I1359" s="622"/>
      <c r="J1359" s="625"/>
    </row>
    <row r="1360" spans="1:10">
      <c r="A1360" s="585" t="s">
        <v>3676</v>
      </c>
      <c r="B1360" s="614">
        <v>2</v>
      </c>
      <c r="C1360" s="608">
        <v>42</v>
      </c>
      <c r="D1360" s="590"/>
      <c r="E1360" s="590"/>
      <c r="F1360" s="591"/>
      <c r="G1360" s="592"/>
      <c r="H1360" s="590"/>
      <c r="I1360" s="590"/>
      <c r="J1360" s="593"/>
    </row>
    <row r="1361" spans="1:10">
      <c r="A1361" s="585" t="s">
        <v>3676</v>
      </c>
      <c r="B1361" s="614">
        <v>5</v>
      </c>
      <c r="C1361" s="608">
        <v>62</v>
      </c>
      <c r="D1361" s="590"/>
      <c r="E1361" s="590"/>
      <c r="F1361" s="591"/>
      <c r="G1361" s="592"/>
      <c r="H1361" s="590"/>
      <c r="I1361" s="590"/>
      <c r="J1361" s="593"/>
    </row>
    <row r="1362" spans="1:10">
      <c r="A1362" s="585" t="s">
        <v>3676</v>
      </c>
      <c r="B1362" s="614">
        <v>6</v>
      </c>
      <c r="C1362" s="608">
        <v>110</v>
      </c>
      <c r="D1362" s="590"/>
      <c r="E1362" s="590"/>
      <c r="F1362" s="591"/>
      <c r="G1362" s="592"/>
      <c r="H1362" s="590"/>
      <c r="I1362" s="590"/>
      <c r="J1362" s="593"/>
    </row>
    <row r="1363" spans="1:10">
      <c r="A1363" s="585" t="s">
        <v>3676</v>
      </c>
      <c r="B1363" s="614">
        <v>8</v>
      </c>
      <c r="C1363" s="608">
        <v>125</v>
      </c>
      <c r="D1363" s="590"/>
      <c r="E1363" s="590"/>
      <c r="F1363" s="591"/>
      <c r="G1363" s="592"/>
      <c r="H1363" s="590"/>
      <c r="I1363" s="590"/>
      <c r="J1363" s="593"/>
    </row>
    <row r="1364" spans="1:10">
      <c r="A1364" s="585" t="s">
        <v>3676</v>
      </c>
      <c r="B1364" s="614">
        <v>13</v>
      </c>
      <c r="C1364" s="608">
        <v>135</v>
      </c>
      <c r="D1364" s="590"/>
      <c r="E1364" s="590"/>
      <c r="F1364" s="591"/>
      <c r="G1364" s="592"/>
      <c r="H1364" s="590"/>
      <c r="I1364" s="590"/>
      <c r="J1364" s="593"/>
    </row>
    <row r="1365" spans="1:10">
      <c r="A1365" s="585" t="s">
        <v>3676</v>
      </c>
      <c r="B1365" s="614">
        <v>15</v>
      </c>
      <c r="C1365" s="608">
        <v>145</v>
      </c>
      <c r="D1365" s="590"/>
      <c r="E1365" s="590"/>
      <c r="F1365" s="591"/>
      <c r="G1365" s="592"/>
      <c r="H1365" s="590"/>
      <c r="I1365" s="590"/>
      <c r="J1365" s="593"/>
    </row>
    <row r="1366" spans="1:10">
      <c r="A1366" s="585" t="s">
        <v>3676</v>
      </c>
      <c r="B1366" s="614">
        <v>19</v>
      </c>
      <c r="C1366" s="608">
        <v>172</v>
      </c>
      <c r="D1366" s="590"/>
      <c r="E1366" s="590"/>
      <c r="F1366" s="591"/>
      <c r="G1366" s="592"/>
      <c r="H1366" s="590"/>
      <c r="I1366" s="590"/>
      <c r="J1366" s="593"/>
    </row>
    <row r="1367" spans="1:10">
      <c r="A1367" s="585" t="s">
        <v>3676</v>
      </c>
      <c r="B1367" s="614">
        <v>22</v>
      </c>
      <c r="C1367" s="608">
        <v>172</v>
      </c>
      <c r="D1367" s="590"/>
      <c r="E1367" s="590"/>
      <c r="F1367" s="591"/>
      <c r="G1367" s="592"/>
      <c r="H1367" s="590"/>
      <c r="I1367" s="590"/>
      <c r="J1367" s="593"/>
    </row>
    <row r="1368" spans="1:10">
      <c r="A1368" s="585" t="s">
        <v>3676</v>
      </c>
      <c r="B1368" s="614">
        <v>28</v>
      </c>
      <c r="C1368" s="608">
        <v>188</v>
      </c>
      <c r="D1368" s="590"/>
      <c r="E1368" s="590"/>
      <c r="F1368" s="591"/>
      <c r="G1368" s="592"/>
      <c r="H1368" s="590"/>
      <c r="I1368" s="590"/>
      <c r="J1368" s="593"/>
    </row>
    <row r="1369" spans="1:10">
      <c r="A1369" s="585" t="s">
        <v>3676</v>
      </c>
      <c r="B1369" s="614">
        <v>33</v>
      </c>
      <c r="C1369" s="608">
        <v>200</v>
      </c>
      <c r="D1369" s="590">
        <v>179.82223404929144</v>
      </c>
      <c r="E1369" s="590">
        <v>157.57812672923819</v>
      </c>
      <c r="F1369" s="591">
        <v>130.28965401821836</v>
      </c>
      <c r="G1369" s="592">
        <v>171.94864690285428</v>
      </c>
      <c r="H1369" s="590">
        <v>75.068819747463948</v>
      </c>
      <c r="I1369" s="590">
        <v>207.98966553008793</v>
      </c>
      <c r="J1369" s="593"/>
    </row>
    <row r="1370" spans="1:10">
      <c r="A1370" s="585" t="s">
        <v>3676</v>
      </c>
      <c r="B1370" s="614">
        <v>40</v>
      </c>
      <c r="C1370" s="608">
        <v>235</v>
      </c>
      <c r="D1370" s="590">
        <v>264.16213282316363</v>
      </c>
      <c r="E1370" s="590">
        <v>229.39445981051412</v>
      </c>
      <c r="F1370" s="591">
        <v>194.61435789166006</v>
      </c>
      <c r="G1370" s="592">
        <v>244.7819975676139</v>
      </c>
      <c r="H1370" s="590">
        <v>156.87841418084616</v>
      </c>
      <c r="I1370" s="590">
        <v>245.81931903368681</v>
      </c>
      <c r="J1370" s="593"/>
    </row>
    <row r="1371" spans="1:10">
      <c r="A1371" s="585" t="s">
        <v>3676</v>
      </c>
      <c r="B1371" s="614">
        <v>47</v>
      </c>
      <c r="C1371" s="608">
        <v>252</v>
      </c>
      <c r="D1371" s="590">
        <v>316.38475824288281</v>
      </c>
      <c r="E1371" s="590">
        <v>272.63234834487031</v>
      </c>
      <c r="F1371" s="591">
        <v>236.69974584763634</v>
      </c>
      <c r="G1371" s="592">
        <v>286.52505239868691</v>
      </c>
      <c r="H1371" s="590">
        <v>221.51589188639161</v>
      </c>
      <c r="I1371" s="590">
        <v>268.2290287366157</v>
      </c>
      <c r="J1371" s="593"/>
    </row>
    <row r="1372" spans="1:10">
      <c r="A1372" s="585" t="s">
        <v>3676</v>
      </c>
      <c r="B1372" s="614">
        <v>50</v>
      </c>
      <c r="C1372" s="608">
        <v>258</v>
      </c>
      <c r="D1372" s="590">
        <v>333.66591564216117</v>
      </c>
      <c r="E1372" s="590">
        <v>286.67473122792961</v>
      </c>
      <c r="F1372" s="591">
        <v>251.18868701956509</v>
      </c>
      <c r="G1372" s="592">
        <v>299.78837632757148</v>
      </c>
      <c r="H1372" s="590">
        <v>245.07048719721445</v>
      </c>
      <c r="I1372" s="590">
        <v>275.76978179997161</v>
      </c>
      <c r="J1372" s="593"/>
    </row>
    <row r="1373" spans="1:10">
      <c r="A1373" s="585" t="s">
        <v>3676</v>
      </c>
      <c r="B1373" s="614">
        <v>56</v>
      </c>
      <c r="C1373" s="608">
        <v>263</v>
      </c>
      <c r="D1373" s="590">
        <v>362.19399858017482</v>
      </c>
      <c r="E1373" s="590">
        <v>309.5167657687827</v>
      </c>
      <c r="F1373" s="591">
        <v>275.92040484584209</v>
      </c>
      <c r="G1373" s="592">
        <v>321.13994404270716</v>
      </c>
      <c r="H1373" s="590">
        <v>286.01177683829826</v>
      </c>
      <c r="I1373" s="590">
        <v>288.59501399549322</v>
      </c>
      <c r="J1373" s="593"/>
    </row>
    <row r="1374" spans="1:10">
      <c r="A1374" s="586" t="s">
        <v>3676</v>
      </c>
      <c r="B1374" s="615">
        <v>147</v>
      </c>
      <c r="C1374" s="609">
        <v>310</v>
      </c>
      <c r="D1374" s="594">
        <v>496.69639468815416</v>
      </c>
      <c r="E1374" s="594">
        <v>408.75385662699517</v>
      </c>
      <c r="F1374" s="595">
        <v>425.41152142075271</v>
      </c>
      <c r="G1374" s="596">
        <v>419.37917843725751</v>
      </c>
      <c r="H1374" s="594">
        <v>476.9749735970039</v>
      </c>
      <c r="I1374" s="594">
        <v>376.20661845679001</v>
      </c>
      <c r="J1374" s="597"/>
    </row>
    <row r="1375" spans="1:10">
      <c r="A1375" s="586" t="s">
        <v>3676</v>
      </c>
      <c r="B1375" s="615">
        <v>201</v>
      </c>
      <c r="C1375" s="609">
        <v>388</v>
      </c>
      <c r="D1375" s="594">
        <v>512.95649614658248</v>
      </c>
      <c r="E1375" s="594">
        <v>419.06557531220562</v>
      </c>
      <c r="F1375" s="595">
        <v>456.68314453710889</v>
      </c>
      <c r="G1375" s="596">
        <v>434.3503917758664</v>
      </c>
      <c r="H1375" s="594">
        <v>487.59220986993614</v>
      </c>
      <c r="I1375" s="594">
        <v>401.24670280825438</v>
      </c>
      <c r="J1375" s="597"/>
    </row>
    <row r="1376" spans="1:10">
      <c r="A1376" s="586" t="s">
        <v>3676</v>
      </c>
      <c r="B1376" s="615">
        <v>274</v>
      </c>
      <c r="C1376" s="609">
        <v>408</v>
      </c>
      <c r="D1376" s="594">
        <v>521.831133554693</v>
      </c>
      <c r="E1376" s="594">
        <v>424.29314735720487</v>
      </c>
      <c r="F1376" s="595">
        <v>481.29952099034233</v>
      </c>
      <c r="G1376" s="596">
        <v>445.0542845686071</v>
      </c>
      <c r="H1376" s="594">
        <v>489.92682612543751</v>
      </c>
      <c r="I1376" s="594">
        <v>425.09873789470936</v>
      </c>
      <c r="J1376" s="597"/>
    </row>
    <row r="1377" spans="1:10">
      <c r="A1377" s="586" t="s">
        <v>3676</v>
      </c>
      <c r="B1377" s="615">
        <v>379</v>
      </c>
      <c r="C1377" s="609">
        <v>393</v>
      </c>
      <c r="D1377" s="594">
        <v>526.36255273990821</v>
      </c>
      <c r="E1377" s="594">
        <v>426.75160815911488</v>
      </c>
      <c r="F1377" s="595">
        <v>501.37716971276944</v>
      </c>
      <c r="G1377" s="596">
        <v>453.14060395881017</v>
      </c>
      <c r="H1377" s="594">
        <v>490.20998131466121</v>
      </c>
      <c r="I1377" s="594">
        <v>448.868395246798</v>
      </c>
      <c r="J1377" s="597"/>
    </row>
    <row r="1378" spans="1:10">
      <c r="A1378" s="619" t="s">
        <v>3677</v>
      </c>
      <c r="B1378" s="620">
        <v>1</v>
      </c>
      <c r="C1378" s="621">
        <v>48</v>
      </c>
      <c r="D1378" s="622"/>
      <c r="E1378" s="622"/>
      <c r="F1378" s="623"/>
      <c r="G1378" s="624"/>
      <c r="H1378" s="622"/>
      <c r="I1378" s="622"/>
      <c r="J1378" s="625"/>
    </row>
    <row r="1379" spans="1:10">
      <c r="A1379" s="585" t="s">
        <v>3677</v>
      </c>
      <c r="B1379" s="614">
        <v>2</v>
      </c>
      <c r="C1379" s="608">
        <v>52</v>
      </c>
      <c r="D1379" s="590"/>
      <c r="E1379" s="590"/>
      <c r="F1379" s="591"/>
      <c r="G1379" s="592"/>
      <c r="H1379" s="590"/>
      <c r="I1379" s="590"/>
      <c r="J1379" s="593"/>
    </row>
    <row r="1380" spans="1:10">
      <c r="A1380" s="585" t="s">
        <v>3677</v>
      </c>
      <c r="B1380" s="614">
        <v>6</v>
      </c>
      <c r="C1380" s="608">
        <v>72</v>
      </c>
      <c r="D1380" s="590"/>
      <c r="E1380" s="590"/>
      <c r="F1380" s="591"/>
      <c r="G1380" s="592"/>
      <c r="H1380" s="590"/>
      <c r="I1380" s="590"/>
      <c r="J1380" s="593"/>
    </row>
    <row r="1381" spans="1:10">
      <c r="A1381" s="585" t="s">
        <v>3677</v>
      </c>
      <c r="B1381" s="614">
        <v>8</v>
      </c>
      <c r="C1381" s="608">
        <v>100</v>
      </c>
      <c r="D1381" s="590"/>
      <c r="E1381" s="590"/>
      <c r="F1381" s="591"/>
      <c r="G1381" s="592"/>
      <c r="H1381" s="590"/>
      <c r="I1381" s="590"/>
      <c r="J1381" s="593"/>
    </row>
    <row r="1382" spans="1:10">
      <c r="A1382" s="585" t="s">
        <v>3677</v>
      </c>
      <c r="B1382" s="614">
        <v>9</v>
      </c>
      <c r="C1382" s="608">
        <v>107</v>
      </c>
      <c r="D1382" s="590"/>
      <c r="E1382" s="590"/>
      <c r="F1382" s="591"/>
      <c r="G1382" s="592"/>
      <c r="H1382" s="590"/>
      <c r="I1382" s="590"/>
      <c r="J1382" s="593"/>
    </row>
    <row r="1383" spans="1:10">
      <c r="A1383" s="585" t="s">
        <v>3677</v>
      </c>
      <c r="B1383" s="614">
        <v>13</v>
      </c>
      <c r="C1383" s="608">
        <v>130</v>
      </c>
      <c r="D1383" s="590"/>
      <c r="E1383" s="590"/>
      <c r="F1383" s="591"/>
      <c r="G1383" s="592"/>
      <c r="H1383" s="590"/>
      <c r="I1383" s="590"/>
      <c r="J1383" s="593"/>
    </row>
    <row r="1384" spans="1:10">
      <c r="A1384" s="585" t="s">
        <v>3677</v>
      </c>
      <c r="B1384" s="614">
        <v>16</v>
      </c>
      <c r="C1384" s="608">
        <v>143</v>
      </c>
      <c r="D1384" s="590"/>
      <c r="E1384" s="590"/>
      <c r="F1384" s="591"/>
      <c r="G1384" s="592"/>
      <c r="H1384" s="590"/>
      <c r="I1384" s="590"/>
      <c r="J1384" s="593"/>
    </row>
    <row r="1385" spans="1:10">
      <c r="A1385" s="585" t="s">
        <v>3677</v>
      </c>
      <c r="B1385" s="614">
        <v>20</v>
      </c>
      <c r="C1385" s="608">
        <v>172</v>
      </c>
      <c r="D1385" s="590"/>
      <c r="E1385" s="590"/>
      <c r="F1385" s="591"/>
      <c r="G1385" s="592"/>
      <c r="H1385" s="590"/>
      <c r="I1385" s="590"/>
      <c r="J1385" s="593"/>
    </row>
    <row r="1386" spans="1:10">
      <c r="A1386" s="585" t="s">
        <v>3677</v>
      </c>
      <c r="B1386" s="614">
        <v>23</v>
      </c>
      <c r="C1386" s="608">
        <v>178</v>
      </c>
      <c r="D1386" s="590"/>
      <c r="E1386" s="590"/>
      <c r="F1386" s="591"/>
      <c r="G1386" s="592"/>
      <c r="H1386" s="590"/>
      <c r="I1386" s="590"/>
      <c r="J1386" s="593"/>
    </row>
    <row r="1387" spans="1:10">
      <c r="A1387" s="585" t="s">
        <v>3677</v>
      </c>
      <c r="B1387" s="614">
        <v>28</v>
      </c>
      <c r="C1387" s="608">
        <v>182</v>
      </c>
      <c r="D1387" s="590"/>
      <c r="E1387" s="590"/>
      <c r="F1387" s="591"/>
      <c r="G1387" s="592"/>
      <c r="H1387" s="590"/>
      <c r="I1387" s="590"/>
      <c r="J1387" s="593"/>
    </row>
    <row r="1388" spans="1:10">
      <c r="A1388" s="585" t="s">
        <v>3677</v>
      </c>
      <c r="B1388" s="614">
        <v>30</v>
      </c>
      <c r="C1388" s="608">
        <v>190</v>
      </c>
      <c r="D1388" s="590">
        <v>112.68612209920992</v>
      </c>
      <c r="E1388" s="590">
        <v>86.874925105200489</v>
      </c>
      <c r="F1388" s="591">
        <v>86.323314964738245</v>
      </c>
      <c r="G1388" s="592">
        <v>93.537461381375053</v>
      </c>
      <c r="H1388" s="590">
        <v>34.874828495947554</v>
      </c>
      <c r="I1388" s="590">
        <v>147.50177905527309</v>
      </c>
      <c r="J1388" s="593"/>
    </row>
    <row r="1389" spans="1:10">
      <c r="A1389" s="585" t="s">
        <v>3677</v>
      </c>
      <c r="B1389" s="614">
        <v>34</v>
      </c>
      <c r="C1389" s="608">
        <v>228</v>
      </c>
      <c r="D1389" s="590">
        <v>189.16804003673289</v>
      </c>
      <c r="E1389" s="590">
        <v>146.29332314236572</v>
      </c>
      <c r="F1389" s="591">
        <v>146.28319902709362</v>
      </c>
      <c r="G1389" s="592">
        <v>155.72554189127419</v>
      </c>
      <c r="H1389" s="590">
        <v>90.777297796849055</v>
      </c>
      <c r="I1389" s="590">
        <v>186.83462455949163</v>
      </c>
      <c r="J1389" s="593"/>
    </row>
    <row r="1390" spans="1:10">
      <c r="A1390" s="585" t="s">
        <v>3677</v>
      </c>
      <c r="B1390" s="614">
        <v>41</v>
      </c>
      <c r="C1390" s="608">
        <v>240</v>
      </c>
      <c r="D1390" s="590">
        <v>264.44507502723525</v>
      </c>
      <c r="E1390" s="590">
        <v>205.50714083229877</v>
      </c>
      <c r="F1390" s="591">
        <v>207.68889455257246</v>
      </c>
      <c r="G1390" s="592">
        <v>215.33224384933777</v>
      </c>
      <c r="H1390" s="590">
        <v>168.67523862327323</v>
      </c>
      <c r="I1390" s="590">
        <v>220.61557120460114</v>
      </c>
      <c r="J1390" s="593"/>
    </row>
    <row r="1391" spans="1:10">
      <c r="A1391" s="585" t="s">
        <v>3677</v>
      </c>
      <c r="B1391" s="614">
        <v>44</v>
      </c>
      <c r="C1391" s="608">
        <v>242</v>
      </c>
      <c r="D1391" s="590">
        <v>287.28027763300577</v>
      </c>
      <c r="E1391" s="590">
        <v>223.67473594143385</v>
      </c>
      <c r="F1391" s="591">
        <v>227.0463088786309</v>
      </c>
      <c r="G1391" s="592">
        <v>233.09200350438522</v>
      </c>
      <c r="H1391" s="590">
        <v>196.51118934868168</v>
      </c>
      <c r="I1391" s="590">
        <v>230.67493697106593</v>
      </c>
      <c r="J1391" s="593"/>
    </row>
    <row r="1392" spans="1:10">
      <c r="A1392" s="585" t="s">
        <v>3677</v>
      </c>
      <c r="B1392" s="614">
        <v>48</v>
      </c>
      <c r="C1392" s="608">
        <v>245</v>
      </c>
      <c r="D1392" s="590">
        <v>312.62188038342879</v>
      </c>
      <c r="E1392" s="590">
        <v>243.97874520435553</v>
      </c>
      <c r="F1392" s="591">
        <v>249.07801453338951</v>
      </c>
      <c r="G1392" s="592">
        <v>252.65349521263724</v>
      </c>
      <c r="H1392" s="590">
        <v>229.50463504834241</v>
      </c>
      <c r="I1392" s="590">
        <v>241.98988110193716</v>
      </c>
      <c r="J1392" s="593"/>
    </row>
    <row r="1393" spans="1:10">
      <c r="A1393" s="585" t="s">
        <v>3677</v>
      </c>
      <c r="B1393" s="614">
        <v>51</v>
      </c>
      <c r="C1393" s="608">
        <v>250</v>
      </c>
      <c r="D1393" s="590">
        <v>328.74278187152191</v>
      </c>
      <c r="E1393" s="590">
        <v>256.98382148450736</v>
      </c>
      <c r="F1393" s="591">
        <v>263.45558430589375</v>
      </c>
      <c r="G1393" s="592">
        <v>265.0342012951271</v>
      </c>
      <c r="H1393" s="590">
        <v>251.55193860400755</v>
      </c>
      <c r="I1393" s="590">
        <v>249.35288197407465</v>
      </c>
      <c r="J1393" s="593"/>
    </row>
    <row r="1394" spans="1:10">
      <c r="A1394" s="585" t="s">
        <v>3677</v>
      </c>
      <c r="B1394" s="614">
        <v>56</v>
      </c>
      <c r="C1394" s="608">
        <v>255</v>
      </c>
      <c r="D1394" s="590">
        <v>351.48549129184198</v>
      </c>
      <c r="E1394" s="590">
        <v>275.46536915243939</v>
      </c>
      <c r="F1394" s="591">
        <v>284.32343218368794</v>
      </c>
      <c r="G1394" s="592">
        <v>282.45227429673736</v>
      </c>
      <c r="H1394" s="590">
        <v>283.87664200958591</v>
      </c>
      <c r="I1394" s="590">
        <v>260.08917368711963</v>
      </c>
      <c r="J1394" s="593"/>
    </row>
    <row r="1395" spans="1:10">
      <c r="A1395" s="586" t="s">
        <v>3677</v>
      </c>
      <c r="B1395" s="615">
        <v>141</v>
      </c>
      <c r="C1395" s="609">
        <v>337</v>
      </c>
      <c r="D1395" s="594">
        <v>481.28372258506749</v>
      </c>
      <c r="E1395" s="594">
        <v>385.86136677639763</v>
      </c>
      <c r="F1395" s="595">
        <v>433.51752916148519</v>
      </c>
      <c r="G1395" s="596">
        <v>387.88703373831925</v>
      </c>
      <c r="H1395" s="594">
        <v>463.5657906725412</v>
      </c>
      <c r="I1395" s="594">
        <v>350.04452552001663</v>
      </c>
      <c r="J1395" s="597"/>
    </row>
    <row r="1396" spans="1:10">
      <c r="A1396" s="586" t="s">
        <v>3677</v>
      </c>
      <c r="B1396" s="615">
        <v>195</v>
      </c>
      <c r="C1396" s="609">
        <v>400</v>
      </c>
      <c r="D1396" s="594">
        <v>499.27813861333175</v>
      </c>
      <c r="E1396" s="594">
        <v>402.50011585093847</v>
      </c>
      <c r="F1396" s="595">
        <v>467.77711570979449</v>
      </c>
      <c r="G1396" s="596">
        <v>407.59452330028699</v>
      </c>
      <c r="H1396" s="594">
        <v>475.65053363607871</v>
      </c>
      <c r="I1396" s="594">
        <v>379.94841800335689</v>
      </c>
      <c r="J1396" s="597"/>
    </row>
    <row r="1397" spans="1:10">
      <c r="A1397" s="586" t="s">
        <v>3677</v>
      </c>
      <c r="B1397" s="615">
        <v>268</v>
      </c>
      <c r="C1397" s="609">
        <v>418</v>
      </c>
      <c r="D1397" s="594">
        <v>509.00814790332527</v>
      </c>
      <c r="E1397" s="594">
        <v>411.90555196606869</v>
      </c>
      <c r="F1397" s="595">
        <v>494.3386852336663</v>
      </c>
      <c r="G1397" s="596">
        <v>421.82217540434681</v>
      </c>
      <c r="H1397" s="594">
        <v>478.31565829004171</v>
      </c>
      <c r="I1397" s="594">
        <v>409.62968475215757</v>
      </c>
      <c r="J1397" s="597"/>
    </row>
    <row r="1398" spans="1:10">
      <c r="A1398" s="586" t="s">
        <v>3677</v>
      </c>
      <c r="B1398" s="615">
        <v>373</v>
      </c>
      <c r="C1398" s="609">
        <v>407</v>
      </c>
      <c r="D1398" s="594">
        <v>513.95225647952429</v>
      </c>
      <c r="E1398" s="594">
        <v>416.92468645426891</v>
      </c>
      <c r="F1398" s="595">
        <v>515.75223792520001</v>
      </c>
      <c r="G1398" s="596">
        <v>432.65641035413353</v>
      </c>
      <c r="H1398" s="594">
        <v>478.64041491654314</v>
      </c>
      <c r="I1398" s="594">
        <v>441.11048573812815</v>
      </c>
      <c r="J1398" s="597"/>
    </row>
    <row r="1399" spans="1:10">
      <c r="A1399" s="619" t="s">
        <v>3678</v>
      </c>
      <c r="B1399" s="620">
        <v>1</v>
      </c>
      <c r="C1399" s="621">
        <v>27</v>
      </c>
      <c r="D1399" s="622"/>
      <c r="E1399" s="622"/>
      <c r="F1399" s="623"/>
      <c r="G1399" s="624"/>
      <c r="H1399" s="622"/>
      <c r="I1399" s="622"/>
      <c r="J1399" s="625"/>
    </row>
    <row r="1400" spans="1:10">
      <c r="A1400" s="585" t="s">
        <v>3678</v>
      </c>
      <c r="B1400" s="614">
        <v>5</v>
      </c>
      <c r="C1400" s="608">
        <v>97</v>
      </c>
      <c r="D1400" s="590"/>
      <c r="E1400" s="590"/>
      <c r="F1400" s="591"/>
      <c r="G1400" s="592"/>
      <c r="H1400" s="590"/>
      <c r="I1400" s="590"/>
      <c r="J1400" s="593"/>
    </row>
    <row r="1401" spans="1:10">
      <c r="A1401" s="585" t="s">
        <v>3678</v>
      </c>
      <c r="B1401" s="614">
        <v>7</v>
      </c>
      <c r="C1401" s="608">
        <v>112</v>
      </c>
      <c r="D1401" s="590"/>
      <c r="E1401" s="590"/>
      <c r="F1401" s="591"/>
      <c r="G1401" s="592"/>
      <c r="H1401" s="590"/>
      <c r="I1401" s="590"/>
      <c r="J1401" s="593"/>
    </row>
    <row r="1402" spans="1:10">
      <c r="A1402" s="585" t="s">
        <v>3678</v>
      </c>
      <c r="B1402" s="614">
        <v>8</v>
      </c>
      <c r="C1402" s="608">
        <v>117</v>
      </c>
      <c r="D1402" s="590"/>
      <c r="E1402" s="590"/>
      <c r="F1402" s="591"/>
      <c r="G1402" s="592"/>
      <c r="H1402" s="590"/>
      <c r="I1402" s="590"/>
      <c r="J1402" s="593"/>
    </row>
    <row r="1403" spans="1:10">
      <c r="A1403" s="585" t="s">
        <v>3678</v>
      </c>
      <c r="B1403" s="614">
        <v>12</v>
      </c>
      <c r="C1403" s="608">
        <v>125</v>
      </c>
      <c r="D1403" s="590"/>
      <c r="E1403" s="590"/>
      <c r="F1403" s="591"/>
      <c r="G1403" s="592"/>
      <c r="H1403" s="590"/>
      <c r="I1403" s="590"/>
      <c r="J1403" s="593"/>
    </row>
    <row r="1404" spans="1:10">
      <c r="A1404" s="585" t="s">
        <v>3678</v>
      </c>
      <c r="B1404" s="614">
        <v>15</v>
      </c>
      <c r="C1404" s="608">
        <v>143</v>
      </c>
      <c r="D1404" s="590"/>
      <c r="E1404" s="590"/>
      <c r="F1404" s="591"/>
      <c r="G1404" s="592"/>
      <c r="H1404" s="590"/>
      <c r="I1404" s="590"/>
      <c r="J1404" s="593"/>
    </row>
    <row r="1405" spans="1:10">
      <c r="A1405" s="585" t="s">
        <v>3678</v>
      </c>
      <c r="B1405" s="614">
        <v>19</v>
      </c>
      <c r="C1405" s="608">
        <v>162</v>
      </c>
      <c r="D1405" s="590"/>
      <c r="E1405" s="590"/>
      <c r="F1405" s="591"/>
      <c r="G1405" s="592"/>
      <c r="H1405" s="590"/>
      <c r="I1405" s="590"/>
      <c r="J1405" s="593"/>
    </row>
    <row r="1406" spans="1:10">
      <c r="A1406" s="585" t="s">
        <v>3678</v>
      </c>
      <c r="B1406" s="614">
        <v>22</v>
      </c>
      <c r="C1406" s="608">
        <v>175</v>
      </c>
      <c r="D1406" s="590"/>
      <c r="E1406" s="590"/>
      <c r="F1406" s="591"/>
      <c r="G1406" s="592"/>
      <c r="H1406" s="590"/>
      <c r="I1406" s="590"/>
      <c r="J1406" s="593"/>
    </row>
    <row r="1407" spans="1:10">
      <c r="A1407" s="585" t="s">
        <v>3678</v>
      </c>
      <c r="B1407" s="614">
        <v>26</v>
      </c>
      <c r="C1407" s="608">
        <v>198</v>
      </c>
      <c r="D1407" s="590"/>
      <c r="E1407" s="590"/>
      <c r="F1407" s="591"/>
      <c r="G1407" s="592"/>
      <c r="H1407" s="590"/>
      <c r="I1407" s="590"/>
      <c r="J1407" s="593"/>
    </row>
    <row r="1408" spans="1:10">
      <c r="A1408" s="585" t="s">
        <v>3678</v>
      </c>
      <c r="B1408" s="614">
        <v>28</v>
      </c>
      <c r="C1408" s="608">
        <v>197</v>
      </c>
      <c r="D1408" s="590"/>
      <c r="E1408" s="590"/>
      <c r="F1408" s="591"/>
      <c r="G1408" s="592"/>
      <c r="H1408" s="590"/>
      <c r="I1408" s="590"/>
      <c r="J1408" s="593"/>
    </row>
    <row r="1409" spans="1:10">
      <c r="A1409" s="585" t="s">
        <v>3678</v>
      </c>
      <c r="B1409" s="614">
        <v>36</v>
      </c>
      <c r="C1409" s="608">
        <v>203</v>
      </c>
      <c r="D1409" s="590">
        <v>222.2275050839504</v>
      </c>
      <c r="E1409" s="590">
        <v>193.94605718946929</v>
      </c>
      <c r="F1409" s="591">
        <v>152.7500755843474</v>
      </c>
      <c r="G1409" s="592">
        <v>197.19506371302404</v>
      </c>
      <c r="H1409" s="590">
        <v>112.61896349241655</v>
      </c>
      <c r="I1409" s="590">
        <v>227.53624461667582</v>
      </c>
      <c r="J1409" s="593"/>
    </row>
    <row r="1410" spans="1:10">
      <c r="A1410" s="585" t="s">
        <v>3678</v>
      </c>
      <c r="B1410" s="614">
        <v>43</v>
      </c>
      <c r="C1410" s="608">
        <v>210</v>
      </c>
      <c r="D1410" s="590">
        <v>289.03365611045473</v>
      </c>
      <c r="E1410" s="590">
        <v>250.12659926433346</v>
      </c>
      <c r="F1410" s="591">
        <v>201.89326103813315</v>
      </c>
      <c r="G1410" s="592">
        <v>249.55076458810626</v>
      </c>
      <c r="H1410" s="590">
        <v>186.3879777762171</v>
      </c>
      <c r="I1410" s="590">
        <v>256.47162373975198</v>
      </c>
      <c r="J1410" s="593"/>
    </row>
    <row r="1411" spans="1:10">
      <c r="A1411" s="585" t="s">
        <v>3678</v>
      </c>
      <c r="B1411" s="614">
        <v>47</v>
      </c>
      <c r="C1411" s="608">
        <v>225</v>
      </c>
      <c r="D1411" s="590">
        <v>316.38475824288281</v>
      </c>
      <c r="E1411" s="590">
        <v>272.63234834487025</v>
      </c>
      <c r="F1411" s="591">
        <v>222.91542574770946</v>
      </c>
      <c r="G1411" s="592">
        <v>269.83913233245181</v>
      </c>
      <c r="H1411" s="590">
        <v>221.51589188639161</v>
      </c>
      <c r="I1411" s="590">
        <v>268.2290287366157</v>
      </c>
      <c r="J1411" s="593"/>
    </row>
    <row r="1412" spans="1:10">
      <c r="A1412" s="585" t="s">
        <v>3678</v>
      </c>
      <c r="B1412" s="614">
        <v>50</v>
      </c>
      <c r="C1412" s="608">
        <v>240</v>
      </c>
      <c r="D1412" s="590">
        <v>333.66591564216117</v>
      </c>
      <c r="E1412" s="590">
        <v>286.67473122792956</v>
      </c>
      <c r="F1412" s="591">
        <v>236.56059667262056</v>
      </c>
      <c r="G1412" s="592">
        <v>282.33006040611463</v>
      </c>
      <c r="H1412" s="590">
        <v>245.07048719721445</v>
      </c>
      <c r="I1412" s="590">
        <v>275.76978179997161</v>
      </c>
      <c r="J1412" s="593"/>
    </row>
    <row r="1413" spans="1:10">
      <c r="A1413" s="585" t="s">
        <v>3678</v>
      </c>
      <c r="B1413" s="614">
        <v>56</v>
      </c>
      <c r="C1413" s="608">
        <v>267</v>
      </c>
      <c r="D1413" s="590">
        <v>362.19399858017482</v>
      </c>
      <c r="E1413" s="590">
        <v>309.51676576878259</v>
      </c>
      <c r="F1413" s="591">
        <v>259.85205137602156</v>
      </c>
      <c r="G1413" s="592">
        <v>302.43820961665182</v>
      </c>
      <c r="H1413" s="590">
        <v>286.01177683829826</v>
      </c>
      <c r="I1413" s="590">
        <v>288.59501399549322</v>
      </c>
      <c r="J1413" s="593"/>
    </row>
    <row r="1414" spans="1:10">
      <c r="A1414" s="586" t="s">
        <v>3678</v>
      </c>
      <c r="B1414" s="615">
        <v>211</v>
      </c>
      <c r="C1414" s="609">
        <v>395</v>
      </c>
      <c r="D1414" s="594">
        <v>514.74536601257751</v>
      </c>
      <c r="E1414" s="594">
        <v>420.14938152895633</v>
      </c>
      <c r="F1414" s="595">
        <v>434.09025489029892</v>
      </c>
      <c r="G1414" s="596">
        <v>410.8574846362954</v>
      </c>
      <c r="H1414" s="594">
        <v>488.27265251572396</v>
      </c>
      <c r="I1414" s="594">
        <v>405.04818820118606</v>
      </c>
      <c r="J1414" s="597"/>
    </row>
    <row r="1415" spans="1:10">
      <c r="A1415" s="586" t="s">
        <v>3678</v>
      </c>
      <c r="B1415" s="615">
        <v>231</v>
      </c>
      <c r="C1415" s="609">
        <v>412</v>
      </c>
      <c r="D1415" s="594">
        <v>517.6529181096821</v>
      </c>
      <c r="E1415" s="594">
        <v>421.88175516993351</v>
      </c>
      <c r="F1415" s="595">
        <v>441.17721692075321</v>
      </c>
      <c r="G1415" s="596">
        <v>413.98399363535816</v>
      </c>
      <c r="H1415" s="594">
        <v>489.15100973077045</v>
      </c>
      <c r="I1415" s="594">
        <v>412.07735847846146</v>
      </c>
      <c r="J1415" s="597"/>
    </row>
    <row r="1416" spans="1:10">
      <c r="A1416" s="586" t="s">
        <v>3678</v>
      </c>
      <c r="B1416" s="615">
        <v>296</v>
      </c>
      <c r="C1416" s="609">
        <v>415</v>
      </c>
      <c r="D1416" s="594">
        <v>523.25578780372678</v>
      </c>
      <c r="E1416" s="594">
        <v>425.08823943042847</v>
      </c>
      <c r="F1416" s="595">
        <v>458.23232320644502</v>
      </c>
      <c r="G1416" s="596">
        <v>421.18543665156233</v>
      </c>
      <c r="H1416" s="594">
        <v>490.06956223304445</v>
      </c>
      <c r="I1416" s="594">
        <v>430.88277108178602</v>
      </c>
      <c r="J1416" s="597"/>
    </row>
    <row r="1417" spans="1:10">
      <c r="A1417" s="586" t="s">
        <v>3678</v>
      </c>
      <c r="B1417" s="615">
        <v>401</v>
      </c>
      <c r="C1417" s="609">
        <v>418</v>
      </c>
      <c r="D1417" s="594">
        <v>526.83076175253473</v>
      </c>
      <c r="E1417" s="594">
        <v>426.99056905256202</v>
      </c>
      <c r="F1417" s="595">
        <v>474.98262658400296</v>
      </c>
      <c r="G1417" s="596">
        <v>427.83706191840372</v>
      </c>
      <c r="H1417" s="594">
        <v>490.21614461833849</v>
      </c>
      <c r="I1417" s="594">
        <v>452.84531067924775</v>
      </c>
      <c r="J1417" s="597"/>
    </row>
    <row r="1418" spans="1:10">
      <c r="A1418" s="619" t="s">
        <v>3679</v>
      </c>
      <c r="B1418" s="620">
        <v>2</v>
      </c>
      <c r="C1418" s="621">
        <v>18</v>
      </c>
      <c r="D1418" s="622"/>
      <c r="E1418" s="622"/>
      <c r="F1418" s="623"/>
      <c r="G1418" s="624"/>
      <c r="H1418" s="622"/>
      <c r="I1418" s="622"/>
      <c r="J1418" s="625"/>
    </row>
    <row r="1419" spans="1:10">
      <c r="A1419" s="585" t="s">
        <v>3679</v>
      </c>
      <c r="B1419" s="614">
        <v>5</v>
      </c>
      <c r="C1419" s="608">
        <v>65</v>
      </c>
      <c r="D1419" s="590"/>
      <c r="E1419" s="590"/>
      <c r="F1419" s="591"/>
      <c r="G1419" s="592"/>
      <c r="H1419" s="590"/>
      <c r="I1419" s="590"/>
      <c r="J1419" s="593"/>
    </row>
    <row r="1420" spans="1:10">
      <c r="A1420" s="585" t="s">
        <v>3679</v>
      </c>
      <c r="B1420" s="614">
        <v>7</v>
      </c>
      <c r="C1420" s="608">
        <v>72</v>
      </c>
      <c r="D1420" s="590"/>
      <c r="E1420" s="590"/>
      <c r="F1420" s="591"/>
      <c r="G1420" s="592"/>
      <c r="H1420" s="590"/>
      <c r="I1420" s="590"/>
      <c r="J1420" s="593"/>
    </row>
    <row r="1421" spans="1:10">
      <c r="A1421" s="585" t="s">
        <v>3679</v>
      </c>
      <c r="B1421" s="614">
        <v>8</v>
      </c>
      <c r="C1421" s="608">
        <v>100</v>
      </c>
      <c r="D1421" s="590"/>
      <c r="E1421" s="590"/>
      <c r="F1421" s="591"/>
      <c r="G1421" s="592"/>
      <c r="H1421" s="590"/>
      <c r="I1421" s="590"/>
      <c r="J1421" s="593"/>
    </row>
    <row r="1422" spans="1:10">
      <c r="A1422" s="585" t="s">
        <v>3679</v>
      </c>
      <c r="B1422" s="614">
        <v>12</v>
      </c>
      <c r="C1422" s="608">
        <v>125</v>
      </c>
      <c r="D1422" s="590"/>
      <c r="E1422" s="590"/>
      <c r="F1422" s="591"/>
      <c r="G1422" s="592"/>
      <c r="H1422" s="590"/>
      <c r="I1422" s="590"/>
      <c r="J1422" s="593"/>
    </row>
    <row r="1423" spans="1:10">
      <c r="A1423" s="585" t="s">
        <v>3679</v>
      </c>
      <c r="B1423" s="614">
        <v>15</v>
      </c>
      <c r="C1423" s="608">
        <v>148</v>
      </c>
      <c r="D1423" s="590"/>
      <c r="E1423" s="590"/>
      <c r="F1423" s="591"/>
      <c r="G1423" s="592"/>
      <c r="H1423" s="590"/>
      <c r="I1423" s="590"/>
      <c r="J1423" s="593"/>
    </row>
    <row r="1424" spans="1:10">
      <c r="A1424" s="585" t="s">
        <v>3679</v>
      </c>
      <c r="B1424" s="614">
        <v>19</v>
      </c>
      <c r="C1424" s="608">
        <v>162</v>
      </c>
      <c r="D1424" s="590"/>
      <c r="E1424" s="590"/>
      <c r="F1424" s="591"/>
      <c r="G1424" s="592"/>
      <c r="H1424" s="590"/>
      <c r="I1424" s="590"/>
      <c r="J1424" s="593"/>
    </row>
    <row r="1425" spans="1:10">
      <c r="A1425" s="585" t="s">
        <v>3679</v>
      </c>
      <c r="B1425" s="614">
        <v>22</v>
      </c>
      <c r="C1425" s="608">
        <v>170</v>
      </c>
      <c r="D1425" s="590"/>
      <c r="E1425" s="590"/>
      <c r="F1425" s="591"/>
      <c r="G1425" s="592"/>
      <c r="H1425" s="590"/>
      <c r="I1425" s="590"/>
      <c r="J1425" s="593"/>
    </row>
    <row r="1426" spans="1:10">
      <c r="A1426" s="585" t="s">
        <v>3679</v>
      </c>
      <c r="B1426" s="614">
        <v>28</v>
      </c>
      <c r="C1426" s="608">
        <v>178</v>
      </c>
      <c r="D1426" s="590"/>
      <c r="E1426" s="590"/>
      <c r="F1426" s="591"/>
      <c r="G1426" s="592"/>
      <c r="H1426" s="590"/>
      <c r="I1426" s="590"/>
      <c r="J1426" s="593"/>
    </row>
    <row r="1427" spans="1:10">
      <c r="A1427" s="585" t="s">
        <v>3679</v>
      </c>
      <c r="B1427" s="614">
        <v>36</v>
      </c>
      <c r="C1427" s="608">
        <v>192</v>
      </c>
      <c r="D1427" s="590">
        <v>215.1516272891443</v>
      </c>
      <c r="E1427" s="590">
        <v>166.63129590705202</v>
      </c>
      <c r="F1427" s="591">
        <v>158.34925890644422</v>
      </c>
      <c r="G1427" s="592">
        <v>167.21248354518582</v>
      </c>
      <c r="H1427" s="590">
        <v>115.18071550092074</v>
      </c>
      <c r="I1427" s="590">
        <v>198.75747343517475</v>
      </c>
      <c r="J1427" s="593"/>
    </row>
    <row r="1428" spans="1:10">
      <c r="A1428" s="585" t="s">
        <v>3679</v>
      </c>
      <c r="B1428" s="614">
        <v>40</v>
      </c>
      <c r="C1428" s="608">
        <v>202</v>
      </c>
      <c r="D1428" s="590">
        <v>255.89163779555449</v>
      </c>
      <c r="E1428" s="590">
        <v>198.72997004975628</v>
      </c>
      <c r="F1428" s="591">
        <v>189.99921652333913</v>
      </c>
      <c r="G1428" s="592">
        <v>197.67536910023028</v>
      </c>
      <c r="H1428" s="590">
        <v>158.73484313541289</v>
      </c>
      <c r="I1428" s="590">
        <v>216.85466100562758</v>
      </c>
      <c r="J1428" s="593"/>
    </row>
    <row r="1429" spans="1:10">
      <c r="A1429" s="585" t="s">
        <v>3679</v>
      </c>
      <c r="B1429" s="614">
        <v>43</v>
      </c>
      <c r="C1429" s="608">
        <v>210</v>
      </c>
      <c r="D1429" s="590">
        <v>280.09166028137929</v>
      </c>
      <c r="E1429" s="590">
        <v>217.94323524284849</v>
      </c>
      <c r="F1429" s="591">
        <v>209.29382942229893</v>
      </c>
      <c r="G1429" s="592">
        <v>215.55586638183493</v>
      </c>
      <c r="H1429" s="590">
        <v>187.54833027867758</v>
      </c>
      <c r="I1429" s="590">
        <v>227.50071858605762</v>
      </c>
      <c r="J1429" s="593"/>
    </row>
    <row r="1430" spans="1:10">
      <c r="A1430" s="585" t="s">
        <v>3679</v>
      </c>
      <c r="B1430" s="614">
        <v>47</v>
      </c>
      <c r="C1430" s="608">
        <v>213</v>
      </c>
      <c r="D1430" s="590">
        <v>306.74221542154277</v>
      </c>
      <c r="E1430" s="590">
        <v>239.25336900283364</v>
      </c>
      <c r="F1430" s="591">
        <v>231.08657937437638</v>
      </c>
      <c r="G1430" s="592">
        <v>235.08347692707636</v>
      </c>
      <c r="H1430" s="590">
        <v>221.66194848503849</v>
      </c>
      <c r="I1430" s="590">
        <v>239.34155004395558</v>
      </c>
      <c r="J1430" s="593"/>
    </row>
    <row r="1431" spans="1:10">
      <c r="A1431" s="585" t="s">
        <v>3679</v>
      </c>
      <c r="B1431" s="614">
        <v>54</v>
      </c>
      <c r="C1431" s="608">
        <v>223</v>
      </c>
      <c r="D1431" s="590">
        <v>342.92948007313061</v>
      </c>
      <c r="E1431" s="590">
        <v>268.4927237608324</v>
      </c>
      <c r="F1431" s="591">
        <v>261.8553615916411</v>
      </c>
      <c r="G1431" s="592">
        <v>261.39945453229592</v>
      </c>
      <c r="H1431" s="590">
        <v>271.56283382524867</v>
      </c>
      <c r="I1431" s="590">
        <v>255.99237229698863</v>
      </c>
      <c r="J1431" s="593"/>
    </row>
    <row r="1432" spans="1:10">
      <c r="A1432" s="585" t="s">
        <v>3679</v>
      </c>
      <c r="B1432" s="614">
        <v>56</v>
      </c>
      <c r="C1432" s="608">
        <v>228</v>
      </c>
      <c r="D1432" s="590">
        <v>351.48549129184204</v>
      </c>
      <c r="E1432" s="590">
        <v>275.46536915243928</v>
      </c>
      <c r="F1432" s="591">
        <v>269.37714828161262</v>
      </c>
      <c r="G1432" s="592">
        <v>267.60435322318159</v>
      </c>
      <c r="H1432" s="590">
        <v>283.87664200958591</v>
      </c>
      <c r="I1432" s="590">
        <v>260.08917368711963</v>
      </c>
      <c r="J1432" s="593"/>
    </row>
    <row r="1433" spans="1:10">
      <c r="A1433" s="586" t="s">
        <v>3679</v>
      </c>
      <c r="B1433" s="615">
        <v>204</v>
      </c>
      <c r="C1433" s="609">
        <v>392</v>
      </c>
      <c r="D1433" s="594">
        <v>501.06055441652626</v>
      </c>
      <c r="E1433" s="594">
        <v>404.1933892383056</v>
      </c>
      <c r="F1433" s="595">
        <v>447.13508802646464</v>
      </c>
      <c r="G1433" s="596">
        <v>388.33915000819894</v>
      </c>
      <c r="H1433" s="594">
        <v>476.35885630761982</v>
      </c>
      <c r="I1433" s="594">
        <v>384.13093812253413</v>
      </c>
      <c r="J1433" s="597"/>
    </row>
    <row r="1434" spans="1:10">
      <c r="A1434" s="586" t="s">
        <v>3679</v>
      </c>
      <c r="B1434" s="615">
        <v>224</v>
      </c>
      <c r="C1434" s="609">
        <v>405</v>
      </c>
      <c r="D1434" s="594">
        <v>504.29577923422573</v>
      </c>
      <c r="E1434" s="594">
        <v>407.29675679517987</v>
      </c>
      <c r="F1434" s="595">
        <v>454.90868832464457</v>
      </c>
      <c r="G1434" s="596">
        <v>392.55210524665711</v>
      </c>
      <c r="H1434" s="594">
        <v>477.39164312119215</v>
      </c>
      <c r="I1434" s="594">
        <v>392.82812696862345</v>
      </c>
      <c r="J1434" s="597"/>
    </row>
    <row r="1435" spans="1:10">
      <c r="A1435" s="586" t="s">
        <v>3679</v>
      </c>
      <c r="B1435" s="615">
        <v>289</v>
      </c>
      <c r="C1435" s="609">
        <v>438</v>
      </c>
      <c r="D1435" s="594">
        <v>510.50167741846951</v>
      </c>
      <c r="E1435" s="594">
        <v>413.39579259005512</v>
      </c>
      <c r="F1435" s="595">
        <v>473.46904439341188</v>
      </c>
      <c r="G1435" s="596">
        <v>402.28635082568906</v>
      </c>
      <c r="H1435" s="594">
        <v>478.47383913105892</v>
      </c>
      <c r="I1435" s="594">
        <v>416.7526357873549</v>
      </c>
      <c r="J1435" s="597"/>
    </row>
    <row r="1436" spans="1:10">
      <c r="A1436" s="586" t="s">
        <v>3679</v>
      </c>
      <c r="B1436" s="615">
        <v>394</v>
      </c>
      <c r="C1436" s="609">
        <v>467</v>
      </c>
      <c r="D1436" s="594">
        <v>514.44157479109242</v>
      </c>
      <c r="E1436" s="594">
        <v>417.43940310159269</v>
      </c>
      <c r="F1436" s="595">
        <v>491.5012474849832</v>
      </c>
      <c r="G1436" s="596">
        <v>411.31827061241864</v>
      </c>
      <c r="H1436" s="594">
        <v>478.64728962773154</v>
      </c>
      <c r="I1436" s="594">
        <v>446.39399980241581</v>
      </c>
      <c r="J1436" s="597"/>
    </row>
    <row r="1437" spans="1:10">
      <c r="A1437" s="619" t="s">
        <v>3680</v>
      </c>
      <c r="B1437" s="620">
        <v>1</v>
      </c>
      <c r="C1437" s="621">
        <v>8</v>
      </c>
      <c r="D1437" s="622"/>
      <c r="E1437" s="622"/>
      <c r="F1437" s="623"/>
      <c r="G1437" s="624"/>
      <c r="H1437" s="622"/>
      <c r="I1437" s="622"/>
      <c r="J1437" s="625"/>
    </row>
    <row r="1438" spans="1:10">
      <c r="A1438" s="585" t="s">
        <v>3680</v>
      </c>
      <c r="B1438" s="614">
        <v>2</v>
      </c>
      <c r="C1438" s="608">
        <v>20</v>
      </c>
      <c r="D1438" s="590"/>
      <c r="E1438" s="590"/>
      <c r="F1438" s="591"/>
      <c r="G1438" s="592"/>
      <c r="H1438" s="590"/>
      <c r="I1438" s="590"/>
      <c r="J1438" s="593"/>
    </row>
    <row r="1439" spans="1:10">
      <c r="A1439" s="585" t="s">
        <v>3680</v>
      </c>
      <c r="B1439" s="614">
        <v>5</v>
      </c>
      <c r="C1439" s="608">
        <v>70</v>
      </c>
      <c r="D1439" s="590"/>
      <c r="E1439" s="590"/>
      <c r="F1439" s="591"/>
      <c r="G1439" s="592"/>
      <c r="H1439" s="590"/>
      <c r="I1439" s="590"/>
      <c r="J1439" s="593"/>
    </row>
    <row r="1440" spans="1:10">
      <c r="A1440" s="585" t="s">
        <v>3680</v>
      </c>
      <c r="B1440" s="614">
        <v>8</v>
      </c>
      <c r="C1440" s="608">
        <v>122</v>
      </c>
      <c r="D1440" s="590"/>
      <c r="E1440" s="590"/>
      <c r="F1440" s="591"/>
      <c r="G1440" s="592"/>
      <c r="H1440" s="590"/>
      <c r="I1440" s="590"/>
      <c r="J1440" s="593"/>
    </row>
    <row r="1441" spans="1:10">
      <c r="A1441" s="585" t="s">
        <v>3680</v>
      </c>
      <c r="B1441" s="614">
        <v>12</v>
      </c>
      <c r="C1441" s="608">
        <v>152</v>
      </c>
      <c r="D1441" s="590"/>
      <c r="E1441" s="590"/>
      <c r="F1441" s="591"/>
      <c r="G1441" s="592"/>
      <c r="H1441" s="590"/>
      <c r="I1441" s="590"/>
      <c r="J1441" s="593"/>
    </row>
    <row r="1442" spans="1:10">
      <c r="A1442" s="585" t="s">
        <v>3680</v>
      </c>
      <c r="B1442" s="614">
        <v>15</v>
      </c>
      <c r="C1442" s="608">
        <v>183</v>
      </c>
      <c r="D1442" s="590"/>
      <c r="E1442" s="590"/>
      <c r="F1442" s="591"/>
      <c r="G1442" s="592"/>
      <c r="H1442" s="590"/>
      <c r="I1442" s="590"/>
      <c r="J1442" s="593"/>
    </row>
    <row r="1443" spans="1:10">
      <c r="A1443" s="585" t="s">
        <v>3680</v>
      </c>
      <c r="B1443" s="614">
        <v>20</v>
      </c>
      <c r="C1443" s="608">
        <v>188</v>
      </c>
      <c r="D1443" s="590"/>
      <c r="E1443" s="590"/>
      <c r="F1443" s="591"/>
      <c r="G1443" s="592"/>
      <c r="H1443" s="590"/>
      <c r="I1443" s="590"/>
      <c r="J1443" s="593"/>
    </row>
    <row r="1444" spans="1:10">
      <c r="A1444" s="585" t="s">
        <v>3680</v>
      </c>
      <c r="B1444" s="614">
        <v>22</v>
      </c>
      <c r="C1444" s="608">
        <v>190</v>
      </c>
      <c r="D1444" s="590"/>
      <c r="E1444" s="590"/>
      <c r="F1444" s="591"/>
      <c r="G1444" s="592"/>
      <c r="H1444" s="590"/>
      <c r="I1444" s="590"/>
      <c r="J1444" s="593"/>
    </row>
    <row r="1445" spans="1:10">
      <c r="A1445" s="585" t="s">
        <v>3680</v>
      </c>
      <c r="B1445" s="614">
        <v>28</v>
      </c>
      <c r="C1445" s="608">
        <v>207</v>
      </c>
      <c r="D1445" s="590"/>
      <c r="E1445" s="590"/>
      <c r="F1445" s="591"/>
      <c r="G1445" s="592"/>
      <c r="H1445" s="590"/>
      <c r="I1445" s="590"/>
      <c r="J1445" s="593"/>
    </row>
    <row r="1446" spans="1:10">
      <c r="A1446" s="585" t="s">
        <v>3680</v>
      </c>
      <c r="B1446" s="614">
        <v>36</v>
      </c>
      <c r="C1446" s="608">
        <v>243</v>
      </c>
      <c r="D1446" s="590">
        <v>206.52552964610572</v>
      </c>
      <c r="E1446" s="590">
        <v>220.71609602403933</v>
      </c>
      <c r="F1446" s="591">
        <v>163.17171178832476</v>
      </c>
      <c r="G1446" s="592">
        <v>237.20146215676979</v>
      </c>
      <c r="H1446" s="590">
        <v>118.1554024913064</v>
      </c>
      <c r="I1446" s="590">
        <v>257.67070941270578</v>
      </c>
      <c r="J1446" s="593"/>
    </row>
    <row r="1447" spans="1:10">
      <c r="A1447" s="585" t="s">
        <v>3680</v>
      </c>
      <c r="B1447" s="614">
        <v>40</v>
      </c>
      <c r="C1447" s="608">
        <v>257</v>
      </c>
      <c r="D1447" s="590">
        <v>245.79966340455371</v>
      </c>
      <c r="E1447" s="590">
        <v>257.01719357410497</v>
      </c>
      <c r="F1447" s="591">
        <v>195.78555411409076</v>
      </c>
      <c r="G1447" s="592">
        <v>271.01570701009194</v>
      </c>
      <c r="H1447" s="590">
        <v>160.72145474057064</v>
      </c>
      <c r="I1447" s="590">
        <v>272.37271335556369</v>
      </c>
      <c r="J1447" s="593"/>
    </row>
    <row r="1448" spans="1:10">
      <c r="A1448" s="585" t="s">
        <v>3680</v>
      </c>
      <c r="B1448" s="614">
        <v>47</v>
      </c>
      <c r="C1448" s="608">
        <v>267</v>
      </c>
      <c r="D1448" s="590">
        <v>294.95912962666773</v>
      </c>
      <c r="E1448" s="590">
        <v>298.48192483565043</v>
      </c>
      <c r="F1448" s="591">
        <v>238.12421345213542</v>
      </c>
      <c r="G1448" s="592">
        <v>307.86408784449611</v>
      </c>
      <c r="H1448" s="590">
        <v>221.4215860738025</v>
      </c>
      <c r="I1448" s="590">
        <v>290.04562437139231</v>
      </c>
      <c r="J1448" s="593"/>
    </row>
    <row r="1449" spans="1:10">
      <c r="A1449" s="585" t="s">
        <v>3680</v>
      </c>
      <c r="B1449" s="614">
        <v>54</v>
      </c>
      <c r="C1449" s="608">
        <v>278</v>
      </c>
      <c r="D1449" s="590">
        <v>330.06275366232251</v>
      </c>
      <c r="E1449" s="590">
        <v>325.0432589969393</v>
      </c>
      <c r="F1449" s="591">
        <v>269.83004459214419</v>
      </c>
      <c r="G1449" s="592">
        <v>330.83347510049208</v>
      </c>
      <c r="H1449" s="590">
        <v>269.06421748578941</v>
      </c>
      <c r="I1449" s="590">
        <v>302.75663064054703</v>
      </c>
      <c r="J1449" s="593"/>
    </row>
    <row r="1450" spans="1:10">
      <c r="A1450" s="585" t="s">
        <v>3680</v>
      </c>
      <c r="B1450" s="614">
        <v>56</v>
      </c>
      <c r="C1450" s="608">
        <v>288</v>
      </c>
      <c r="D1450" s="590">
        <v>338.38010364639371</v>
      </c>
      <c r="E1450" s="590">
        <v>330.9339199743149</v>
      </c>
      <c r="F1450" s="591">
        <v>277.58090379025657</v>
      </c>
      <c r="G1450" s="592">
        <v>335.91208979477346</v>
      </c>
      <c r="H1450" s="590">
        <v>280.76672183176566</v>
      </c>
      <c r="I1450" s="590">
        <v>305.83941325153671</v>
      </c>
      <c r="J1450" s="593"/>
    </row>
    <row r="1451" spans="1:10">
      <c r="A1451" s="586" t="s">
        <v>3680</v>
      </c>
      <c r="B1451" s="615">
        <v>155</v>
      </c>
      <c r="C1451" s="609">
        <v>323</v>
      </c>
      <c r="D1451" s="594">
        <v>472.17417578322875</v>
      </c>
      <c r="E1451" s="594">
        <v>400.52914149984139</v>
      </c>
      <c r="F1451" s="595">
        <v>433.80022619698752</v>
      </c>
      <c r="G1451" s="596">
        <v>405.42525233681079</v>
      </c>
      <c r="H1451" s="594">
        <v>454.71300041706934</v>
      </c>
      <c r="I1451" s="594">
        <v>375.87329300148872</v>
      </c>
      <c r="J1451" s="597"/>
    </row>
    <row r="1452" spans="1:10">
      <c r="A1452" s="586" t="s">
        <v>3680</v>
      </c>
      <c r="B1452" s="615">
        <v>209</v>
      </c>
      <c r="C1452" s="609">
        <v>352</v>
      </c>
      <c r="D1452" s="594">
        <v>486.62277536194387</v>
      </c>
      <c r="E1452" s="594">
        <v>404.39704287159037</v>
      </c>
      <c r="F1452" s="595">
        <v>462.88030698652119</v>
      </c>
      <c r="G1452" s="596">
        <v>413.47032252910543</v>
      </c>
      <c r="H1452" s="594">
        <v>462.17394795583346</v>
      </c>
      <c r="I1452" s="594">
        <v>394.37588291342445</v>
      </c>
      <c r="J1452" s="597"/>
    </row>
    <row r="1453" spans="1:10">
      <c r="A1453" s="586" t="s">
        <v>3680</v>
      </c>
      <c r="B1453" s="615">
        <v>282</v>
      </c>
      <c r="C1453" s="609">
        <v>349</v>
      </c>
      <c r="D1453" s="594">
        <v>494.83832075829412</v>
      </c>
      <c r="E1453" s="594">
        <v>406.03895636144756</v>
      </c>
      <c r="F1453" s="595">
        <v>486.20908128013349</v>
      </c>
      <c r="G1453" s="596">
        <v>419.18755755001405</v>
      </c>
      <c r="H1453" s="594">
        <v>463.82692173716976</v>
      </c>
      <c r="I1453" s="594">
        <v>412.84609916075999</v>
      </c>
      <c r="J1453" s="597"/>
    </row>
    <row r="1454" spans="1:10">
      <c r="A1454" s="586" t="s">
        <v>3680</v>
      </c>
      <c r="B1454" s="615">
        <v>386</v>
      </c>
      <c r="C1454" s="609">
        <v>356</v>
      </c>
      <c r="D1454" s="594">
        <v>499.17693270818148</v>
      </c>
      <c r="E1454" s="594">
        <v>406.66275160458542</v>
      </c>
      <c r="F1454" s="595">
        <v>505.38136147962206</v>
      </c>
      <c r="G1454" s="596">
        <v>423.4557328690064</v>
      </c>
      <c r="H1454" s="594">
        <v>464.02928965453958</v>
      </c>
      <c r="I1454" s="594">
        <v>432.32472992585127</v>
      </c>
      <c r="J1454" s="597"/>
    </row>
    <row r="1455" spans="1:10">
      <c r="A1455" s="619" t="s">
        <v>3681</v>
      </c>
      <c r="B1455" s="620">
        <v>1</v>
      </c>
      <c r="C1455" s="621">
        <v>28</v>
      </c>
      <c r="D1455" s="622"/>
      <c r="E1455" s="622"/>
      <c r="F1455" s="623"/>
      <c r="G1455" s="624"/>
      <c r="H1455" s="622"/>
      <c r="I1455" s="622"/>
      <c r="J1455" s="625"/>
    </row>
    <row r="1456" spans="1:10">
      <c r="A1456" s="585" t="s">
        <v>3681</v>
      </c>
      <c r="B1456" s="614">
        <v>2</v>
      </c>
      <c r="C1456" s="608">
        <v>65</v>
      </c>
      <c r="D1456" s="590"/>
      <c r="E1456" s="590"/>
      <c r="F1456" s="591"/>
      <c r="G1456" s="592"/>
      <c r="H1456" s="590"/>
      <c r="I1456" s="590"/>
      <c r="J1456" s="593"/>
    </row>
    <row r="1457" spans="1:11">
      <c r="A1457" s="585" t="s">
        <v>3681</v>
      </c>
      <c r="B1457" s="614">
        <v>3</v>
      </c>
      <c r="C1457" s="608">
        <v>97</v>
      </c>
      <c r="D1457" s="590"/>
      <c r="E1457" s="590"/>
      <c r="F1457" s="591"/>
      <c r="G1457" s="592"/>
      <c r="H1457" s="590"/>
      <c r="I1457" s="590"/>
      <c r="J1457" s="593"/>
    </row>
    <row r="1458" spans="1:11">
      <c r="A1458" s="585" t="s">
        <v>3681</v>
      </c>
      <c r="B1458" s="614">
        <v>7</v>
      </c>
      <c r="C1458" s="608">
        <v>145</v>
      </c>
      <c r="D1458" s="590"/>
      <c r="E1458" s="590"/>
      <c r="F1458" s="591"/>
      <c r="G1458" s="592"/>
      <c r="H1458" s="590"/>
      <c r="I1458" s="590"/>
      <c r="J1458" s="593"/>
    </row>
    <row r="1459" spans="1:11">
      <c r="A1459" s="585" t="s">
        <v>3681</v>
      </c>
      <c r="B1459" s="614">
        <v>14</v>
      </c>
      <c r="C1459" s="608">
        <v>197</v>
      </c>
      <c r="D1459" s="590">
        <v>206.44507844933574</v>
      </c>
      <c r="E1459" s="590">
        <v>258.30880475861352</v>
      </c>
      <c r="F1459" s="591">
        <v>187.7995845787795</v>
      </c>
      <c r="G1459" s="592">
        <v>260.80052828497492</v>
      </c>
      <c r="H1459" s="590">
        <v>129.7760982744542</v>
      </c>
      <c r="I1459" s="590">
        <v>208.76318244534255</v>
      </c>
      <c r="J1459" s="593"/>
    </row>
    <row r="1460" spans="1:11">
      <c r="A1460" s="585" t="s">
        <v>3681</v>
      </c>
      <c r="B1460" s="614">
        <v>21</v>
      </c>
      <c r="C1460" s="608">
        <v>252</v>
      </c>
      <c r="D1460" s="590">
        <v>282.64232193883845</v>
      </c>
      <c r="E1460" s="590">
        <v>326.78061591249337</v>
      </c>
      <c r="F1460" s="591">
        <v>250.45359238010298</v>
      </c>
      <c r="G1460" s="592">
        <v>323.11500458460415</v>
      </c>
      <c r="H1460" s="590">
        <v>236.82299318574164</v>
      </c>
      <c r="I1460" s="590">
        <v>284.4906907574445</v>
      </c>
      <c r="J1460" s="593"/>
    </row>
    <row r="1461" spans="1:11">
      <c r="A1461" s="585" t="s">
        <v>3681</v>
      </c>
      <c r="B1461" s="614">
        <v>28</v>
      </c>
      <c r="C1461" s="608">
        <v>328</v>
      </c>
      <c r="D1461" s="590">
        <v>335.60064368677149</v>
      </c>
      <c r="E1461" s="590">
        <v>363.78506652458231</v>
      </c>
      <c r="F1461" s="591">
        <v>291.05113691047671</v>
      </c>
      <c r="G1461" s="592">
        <v>356.45593282669427</v>
      </c>
      <c r="H1461" s="590">
        <v>307.98273351385552</v>
      </c>
      <c r="I1461" s="590">
        <v>331.18390278819675</v>
      </c>
      <c r="J1461" s="593"/>
    </row>
    <row r="1462" spans="1:11">
      <c r="A1462" s="585" t="s">
        <v>3681</v>
      </c>
      <c r="B1462" s="614">
        <v>35</v>
      </c>
      <c r="C1462" s="608">
        <v>378</v>
      </c>
      <c r="D1462" s="590">
        <v>376.18935405781275</v>
      </c>
      <c r="E1462" s="590">
        <v>386.53460363147082</v>
      </c>
      <c r="F1462" s="591">
        <v>320.48213996572662</v>
      </c>
      <c r="G1462" s="592">
        <v>377.52656500455066</v>
      </c>
      <c r="H1462" s="590">
        <v>353.22634917754897</v>
      </c>
      <c r="I1462" s="590">
        <v>362.3732973867821</v>
      </c>
      <c r="J1462" s="593"/>
    </row>
    <row r="1463" spans="1:11">
      <c r="A1463" s="585" t="s">
        <v>3681</v>
      </c>
      <c r="B1463" s="614">
        <v>42</v>
      </c>
      <c r="C1463" s="608">
        <v>417</v>
      </c>
      <c r="D1463" s="590">
        <v>408.7968112069002</v>
      </c>
      <c r="E1463" s="590">
        <v>401.53864052370312</v>
      </c>
      <c r="F1463" s="591">
        <v>343.09613547631625</v>
      </c>
      <c r="G1463" s="592">
        <v>392.11615653282115</v>
      </c>
      <c r="H1463" s="590">
        <v>381.45853330799224</v>
      </c>
      <c r="I1463" s="590">
        <v>383.96170777509747</v>
      </c>
      <c r="J1463" s="593"/>
    </row>
    <row r="1464" spans="1:11">
      <c r="A1464" s="586" t="s">
        <v>3681</v>
      </c>
      <c r="B1464" s="615">
        <v>321</v>
      </c>
      <c r="C1464" s="609">
        <v>425</v>
      </c>
      <c r="D1464" s="594">
        <v>643.74690739194648</v>
      </c>
      <c r="E1464" s="594">
        <v>445.14529703680893</v>
      </c>
      <c r="F1464" s="595">
        <v>494.84238801274444</v>
      </c>
      <c r="G1464" s="596">
        <v>462.11617363992144</v>
      </c>
      <c r="H1464" s="594">
        <v>426.57210969723496</v>
      </c>
      <c r="I1464" s="594">
        <v>438.83977311657242</v>
      </c>
      <c r="J1464" s="597"/>
    </row>
    <row r="1465" spans="1:11">
      <c r="A1465" s="619" t="s">
        <v>3682</v>
      </c>
      <c r="B1465" s="620">
        <v>1</v>
      </c>
      <c r="C1465" s="621">
        <v>20</v>
      </c>
      <c r="D1465" s="622"/>
      <c r="E1465" s="622"/>
      <c r="F1465" s="623"/>
      <c r="G1465" s="624"/>
      <c r="H1465" s="622"/>
      <c r="I1465" s="622"/>
      <c r="J1465" s="625"/>
      <c r="K1465" s="67" t="s">
        <v>3774</v>
      </c>
    </row>
    <row r="1466" spans="1:11">
      <c r="A1466" s="585" t="s">
        <v>3682</v>
      </c>
      <c r="B1466" s="614">
        <v>2</v>
      </c>
      <c r="C1466" s="608">
        <v>42</v>
      </c>
      <c r="D1466" s="590"/>
      <c r="E1466" s="590"/>
      <c r="F1466" s="591"/>
      <c r="G1466" s="592"/>
      <c r="H1466" s="590"/>
      <c r="I1466" s="590"/>
      <c r="J1466" s="593"/>
    </row>
    <row r="1467" spans="1:11">
      <c r="A1467" s="585" t="s">
        <v>3682</v>
      </c>
      <c r="B1467" s="614">
        <v>3</v>
      </c>
      <c r="C1467" s="608">
        <v>108</v>
      </c>
      <c r="D1467" s="590"/>
      <c r="E1467" s="590"/>
      <c r="F1467" s="591"/>
      <c r="G1467" s="592"/>
      <c r="H1467" s="590"/>
      <c r="I1467" s="590"/>
      <c r="J1467" s="593"/>
    </row>
    <row r="1468" spans="1:11">
      <c r="A1468" s="585" t="s">
        <v>3682</v>
      </c>
      <c r="B1468" s="614">
        <v>7</v>
      </c>
      <c r="C1468" s="608">
        <v>157</v>
      </c>
      <c r="D1468" s="590"/>
      <c r="E1468" s="590"/>
      <c r="F1468" s="591"/>
      <c r="G1468" s="592"/>
      <c r="H1468" s="590"/>
      <c r="I1468" s="590"/>
      <c r="J1468" s="593"/>
    </row>
    <row r="1469" spans="1:11">
      <c r="A1469" s="585" t="s">
        <v>3682</v>
      </c>
      <c r="B1469" s="614">
        <v>14</v>
      </c>
      <c r="C1469" s="608">
        <v>193</v>
      </c>
      <c r="D1469" s="590"/>
      <c r="E1469" s="590">
        <v>283.67849013465081</v>
      </c>
      <c r="F1469" s="591"/>
      <c r="G1469" s="592">
        <v>274.94081482431892</v>
      </c>
      <c r="H1469" s="590"/>
      <c r="I1469" s="590">
        <v>136.99288844873362</v>
      </c>
      <c r="J1469" s="593"/>
    </row>
    <row r="1470" spans="1:11">
      <c r="A1470" s="585" t="s">
        <v>3682</v>
      </c>
      <c r="B1470" s="614">
        <v>21</v>
      </c>
      <c r="C1470" s="608">
        <v>205</v>
      </c>
      <c r="D1470" s="590"/>
      <c r="E1470" s="590">
        <v>359.54906999800096</v>
      </c>
      <c r="F1470" s="591"/>
      <c r="G1470" s="592">
        <v>340.6339060225464</v>
      </c>
      <c r="H1470" s="590"/>
      <c r="I1470" s="590">
        <v>245.56070499165247</v>
      </c>
      <c r="J1470" s="593"/>
    </row>
    <row r="1471" spans="1:11">
      <c r="A1471" s="585" t="s">
        <v>3682</v>
      </c>
      <c r="B1471" s="614">
        <v>28</v>
      </c>
      <c r="C1471" s="608">
        <v>265</v>
      </c>
      <c r="D1471" s="590"/>
      <c r="E1471" s="590">
        <v>400.80944581941003</v>
      </c>
      <c r="F1471" s="591"/>
      <c r="G1471" s="592">
        <v>375.78253872724292</v>
      </c>
      <c r="H1471" s="590"/>
      <c r="I1471" s="590">
        <v>316.31128520149514</v>
      </c>
      <c r="J1471" s="593"/>
    </row>
    <row r="1472" spans="1:11">
      <c r="A1472" s="585" t="s">
        <v>3682</v>
      </c>
      <c r="B1472" s="614">
        <v>35</v>
      </c>
      <c r="C1472" s="608">
        <v>313</v>
      </c>
      <c r="D1472" s="590"/>
      <c r="E1472" s="590">
        <v>426.30746466513341</v>
      </c>
      <c r="F1472" s="591"/>
      <c r="G1472" s="592">
        <v>397.99559488145894</v>
      </c>
      <c r="H1472" s="590"/>
      <c r="I1472" s="590">
        <v>360.62040567967716</v>
      </c>
      <c r="J1472" s="593"/>
    </row>
    <row r="1473" spans="1:10">
      <c r="A1473" s="585" t="s">
        <v>3682</v>
      </c>
      <c r="B1473" s="614">
        <v>42</v>
      </c>
      <c r="C1473" s="608">
        <v>342</v>
      </c>
      <c r="D1473" s="590"/>
      <c r="E1473" s="590">
        <v>443.19937426920427</v>
      </c>
      <c r="F1473" s="591"/>
      <c r="G1473" s="592">
        <v>413.37621626713951</v>
      </c>
      <c r="H1473" s="590"/>
      <c r="I1473" s="590">
        <v>387.91217799222005</v>
      </c>
      <c r="J1473" s="593"/>
    </row>
    <row r="1474" spans="1:10">
      <c r="A1474" s="586" t="s">
        <v>3682</v>
      </c>
      <c r="B1474" s="615">
        <v>321</v>
      </c>
      <c r="C1474" s="609">
        <v>417</v>
      </c>
      <c r="D1474" s="594"/>
      <c r="E1474" s="594">
        <v>493.02411169424761</v>
      </c>
      <c r="F1474" s="595"/>
      <c r="G1474" s="596">
        <v>487.17154892119225</v>
      </c>
      <c r="H1474" s="594"/>
      <c r="I1474" s="594">
        <v>430.2840662510697</v>
      </c>
      <c r="J1474" s="597"/>
    </row>
    <row r="1475" spans="1:10">
      <c r="A1475" s="619" t="s">
        <v>3683</v>
      </c>
      <c r="B1475" s="620">
        <v>1</v>
      </c>
      <c r="C1475" s="621">
        <v>55</v>
      </c>
      <c r="D1475" s="622"/>
      <c r="E1475" s="622"/>
      <c r="F1475" s="623"/>
      <c r="G1475" s="624"/>
      <c r="H1475" s="622"/>
      <c r="I1475" s="622"/>
      <c r="J1475" s="625"/>
    </row>
    <row r="1476" spans="1:10">
      <c r="A1476" s="585" t="s">
        <v>3683</v>
      </c>
      <c r="B1476" s="614">
        <v>2</v>
      </c>
      <c r="C1476" s="608">
        <v>93</v>
      </c>
      <c r="D1476" s="590"/>
      <c r="E1476" s="590"/>
      <c r="F1476" s="591"/>
      <c r="G1476" s="592"/>
      <c r="H1476" s="590"/>
      <c r="I1476" s="590"/>
      <c r="J1476" s="593"/>
    </row>
    <row r="1477" spans="1:10">
      <c r="A1477" s="585" t="s">
        <v>3683</v>
      </c>
      <c r="B1477" s="614">
        <v>3</v>
      </c>
      <c r="C1477" s="608">
        <v>95</v>
      </c>
      <c r="D1477" s="590"/>
      <c r="E1477" s="590"/>
      <c r="F1477" s="591"/>
      <c r="G1477" s="592"/>
      <c r="H1477" s="590"/>
      <c r="I1477" s="590"/>
      <c r="J1477" s="593"/>
    </row>
    <row r="1478" spans="1:10">
      <c r="A1478" s="585" t="s">
        <v>3683</v>
      </c>
      <c r="B1478" s="614">
        <v>7</v>
      </c>
      <c r="C1478" s="608">
        <v>172</v>
      </c>
      <c r="D1478" s="590"/>
      <c r="E1478" s="590"/>
      <c r="F1478" s="591"/>
      <c r="G1478" s="592"/>
      <c r="H1478" s="590"/>
      <c r="I1478" s="590"/>
      <c r="J1478" s="593"/>
    </row>
    <row r="1479" spans="1:10">
      <c r="A1479" s="585" t="s">
        <v>3683</v>
      </c>
      <c r="B1479" s="614">
        <v>14</v>
      </c>
      <c r="C1479" s="608">
        <v>213</v>
      </c>
      <c r="D1479" s="590"/>
      <c r="E1479" s="590"/>
      <c r="F1479" s="591"/>
      <c r="G1479" s="592"/>
      <c r="H1479" s="590"/>
      <c r="I1479" s="590"/>
      <c r="J1479" s="593"/>
    </row>
    <row r="1480" spans="1:10">
      <c r="A1480" s="585" t="s">
        <v>3683</v>
      </c>
      <c r="B1480" s="614">
        <v>21</v>
      </c>
      <c r="C1480" s="608">
        <v>250</v>
      </c>
      <c r="D1480" s="590">
        <v>321.2576328629745</v>
      </c>
      <c r="E1480" s="590">
        <v>263.99335634490672</v>
      </c>
      <c r="F1480" s="591">
        <v>255.92223873684895</v>
      </c>
      <c r="G1480" s="592">
        <v>294.93046922381797</v>
      </c>
      <c r="H1480" s="590">
        <v>268.66951384221267</v>
      </c>
      <c r="I1480" s="590">
        <v>280.25238223471177</v>
      </c>
      <c r="J1480" s="593"/>
    </row>
    <row r="1481" spans="1:10">
      <c r="A1481" s="585" t="s">
        <v>3683</v>
      </c>
      <c r="B1481" s="614">
        <v>28</v>
      </c>
      <c r="C1481" s="608">
        <v>303</v>
      </c>
      <c r="D1481" s="590">
        <v>381.90792435863546</v>
      </c>
      <c r="E1481" s="590">
        <v>313.83271384918663</v>
      </c>
      <c r="F1481" s="591">
        <v>297.40622938236532</v>
      </c>
      <c r="G1481" s="592">
        <v>340.23678546815444</v>
      </c>
      <c r="H1481" s="590">
        <v>343.26911215177103</v>
      </c>
      <c r="I1481" s="590">
        <v>342.79619386472484</v>
      </c>
      <c r="J1481" s="593"/>
    </row>
    <row r="1482" spans="1:10">
      <c r="A1482" s="585" t="s">
        <v>3683</v>
      </c>
      <c r="B1482" s="614">
        <v>35</v>
      </c>
      <c r="C1482" s="608">
        <v>408</v>
      </c>
      <c r="D1482" s="590">
        <v>428.56709431136443</v>
      </c>
      <c r="E1482" s="590">
        <v>352.17487173136897</v>
      </c>
      <c r="F1482" s="591">
        <v>327.47985746887935</v>
      </c>
      <c r="G1482" s="592">
        <v>372.43136185746721</v>
      </c>
      <c r="H1482" s="590">
        <v>389.36985389244279</v>
      </c>
      <c r="I1482" s="590">
        <v>388.6145985854522</v>
      </c>
      <c r="J1482" s="593"/>
    </row>
    <row r="1483" spans="1:10">
      <c r="A1483" s="585" t="s">
        <v>3683</v>
      </c>
      <c r="B1483" s="614">
        <v>42</v>
      </c>
      <c r="C1483" s="608">
        <v>435</v>
      </c>
      <c r="D1483" s="590">
        <v>466.1844032786446</v>
      </c>
      <c r="E1483" s="590">
        <v>383.08688326066823</v>
      </c>
      <c r="F1483" s="591">
        <v>350.58762886419566</v>
      </c>
      <c r="G1483" s="592">
        <v>396.77000724441643</v>
      </c>
      <c r="H1483" s="590">
        <v>417.43846136914425</v>
      </c>
      <c r="I1483" s="590">
        <v>423.12684509069851</v>
      </c>
      <c r="J1483" s="593"/>
    </row>
    <row r="1484" spans="1:10">
      <c r="A1484" s="586" t="s">
        <v>3683</v>
      </c>
      <c r="B1484" s="615">
        <v>320</v>
      </c>
      <c r="C1484" s="609">
        <v>560</v>
      </c>
      <c r="D1484" s="594">
        <v>743.88907410171112</v>
      </c>
      <c r="E1484" s="594">
        <v>611.29060707540657</v>
      </c>
      <c r="F1484" s="595">
        <v>505.5378365966655</v>
      </c>
      <c r="G1484" s="596">
        <v>549.96587959521139</v>
      </c>
      <c r="H1484" s="594">
        <v>459.91807338395841</v>
      </c>
      <c r="I1484" s="594">
        <v>544.42171883391006</v>
      </c>
      <c r="J1484" s="597"/>
    </row>
    <row r="1485" spans="1:10">
      <c r="A1485" s="619" t="s">
        <v>3684</v>
      </c>
      <c r="B1485" s="620">
        <v>1</v>
      </c>
      <c r="C1485" s="621">
        <v>67</v>
      </c>
      <c r="D1485" s="622"/>
      <c r="E1485" s="622"/>
      <c r="F1485" s="623"/>
      <c r="G1485" s="624"/>
      <c r="H1485" s="622"/>
      <c r="I1485" s="622"/>
      <c r="J1485" s="625"/>
    </row>
    <row r="1486" spans="1:10">
      <c r="A1486" s="585" t="s">
        <v>3684</v>
      </c>
      <c r="B1486" s="614">
        <v>2</v>
      </c>
      <c r="C1486" s="608">
        <v>108</v>
      </c>
      <c r="D1486" s="590"/>
      <c r="E1486" s="590"/>
      <c r="F1486" s="591"/>
      <c r="G1486" s="592"/>
      <c r="H1486" s="590"/>
      <c r="I1486" s="590"/>
      <c r="J1486" s="593"/>
    </row>
    <row r="1487" spans="1:10">
      <c r="A1487" s="585" t="s">
        <v>3684</v>
      </c>
      <c r="B1487" s="614">
        <v>3</v>
      </c>
      <c r="C1487" s="608">
        <v>120</v>
      </c>
      <c r="D1487" s="590"/>
      <c r="E1487" s="590"/>
      <c r="F1487" s="591"/>
      <c r="G1487" s="592"/>
      <c r="H1487" s="590"/>
      <c r="I1487" s="590"/>
      <c r="J1487" s="593"/>
    </row>
    <row r="1488" spans="1:10">
      <c r="A1488" s="585" t="s">
        <v>3684</v>
      </c>
      <c r="B1488" s="614">
        <v>7</v>
      </c>
      <c r="C1488" s="608">
        <v>187</v>
      </c>
      <c r="D1488" s="590"/>
      <c r="E1488" s="590"/>
      <c r="F1488" s="591"/>
      <c r="G1488" s="592"/>
      <c r="H1488" s="590"/>
      <c r="I1488" s="590"/>
      <c r="J1488" s="593"/>
    </row>
    <row r="1489" spans="1:10">
      <c r="A1489" s="585" t="s">
        <v>3684</v>
      </c>
      <c r="B1489" s="614">
        <v>14</v>
      </c>
      <c r="C1489" s="608">
        <v>240</v>
      </c>
      <c r="D1489" s="590">
        <v>234.82360638111419</v>
      </c>
      <c r="E1489" s="590">
        <v>197.50144662987171</v>
      </c>
      <c r="F1489" s="591">
        <v>198.93444627090884</v>
      </c>
      <c r="G1489" s="592">
        <v>231.39852589441884</v>
      </c>
      <c r="H1489" s="590">
        <v>154.65441252978718</v>
      </c>
      <c r="I1489" s="590">
        <v>191.88816275589596</v>
      </c>
      <c r="J1489" s="593"/>
    </row>
    <row r="1490" spans="1:10">
      <c r="A1490" s="585" t="s">
        <v>3684</v>
      </c>
      <c r="B1490" s="614">
        <v>21</v>
      </c>
      <c r="C1490" s="608">
        <v>260</v>
      </c>
      <c r="D1490" s="590">
        <v>321.83330632932666</v>
      </c>
      <c r="E1490" s="590">
        <v>270.68208581447249</v>
      </c>
      <c r="F1490" s="591">
        <v>265.3032850336005</v>
      </c>
      <c r="G1490" s="592">
        <v>305.74139522918227</v>
      </c>
      <c r="H1490" s="590">
        <v>275.02238822525345</v>
      </c>
      <c r="I1490" s="590">
        <v>285.15642805328679</v>
      </c>
      <c r="J1490" s="593"/>
    </row>
    <row r="1491" spans="1:10">
      <c r="A1491" s="585" t="s">
        <v>3684</v>
      </c>
      <c r="B1491" s="614">
        <v>28</v>
      </c>
      <c r="C1491" s="608">
        <v>330</v>
      </c>
      <c r="D1491" s="590">
        <v>382.50220867458017</v>
      </c>
      <c r="E1491" s="590">
        <v>321.70845476984539</v>
      </c>
      <c r="F1491" s="591">
        <v>308.30790647204981</v>
      </c>
      <c r="G1491" s="592">
        <v>352.70845284684043</v>
      </c>
      <c r="H1491" s="590">
        <v>352.54268514980419</v>
      </c>
      <c r="I1491" s="590">
        <v>349.68727719700428</v>
      </c>
      <c r="J1491" s="593"/>
    </row>
    <row r="1492" spans="1:10">
      <c r="A1492" s="585" t="s">
        <v>3684</v>
      </c>
      <c r="B1492" s="614">
        <v>35</v>
      </c>
      <c r="C1492" s="608">
        <v>450</v>
      </c>
      <c r="D1492" s="590">
        <v>429.14120074838388</v>
      </c>
      <c r="E1492" s="590">
        <v>360.93478531595593</v>
      </c>
      <c r="F1492" s="591">
        <v>339.48390885312824</v>
      </c>
      <c r="G1492" s="592">
        <v>386.08314868612013</v>
      </c>
      <c r="H1492" s="590">
        <v>400.5966757513454</v>
      </c>
      <c r="I1492" s="590">
        <v>397.0699256588033</v>
      </c>
      <c r="J1492" s="593"/>
    </row>
    <row r="1493" spans="1:10">
      <c r="A1493" s="585" t="s">
        <v>3684</v>
      </c>
      <c r="B1493" s="614">
        <v>42</v>
      </c>
      <c r="C1493" s="608">
        <v>425</v>
      </c>
      <c r="D1493" s="590">
        <v>466.71602951998312</v>
      </c>
      <c r="E1493" s="590">
        <v>392.53758349126508</v>
      </c>
      <c r="F1493" s="591">
        <v>363.43871516945865</v>
      </c>
      <c r="G1493" s="592">
        <v>411.31394772217038</v>
      </c>
      <c r="H1493" s="590">
        <v>429.91445614631135</v>
      </c>
      <c r="I1493" s="590">
        <v>432.81779714935931</v>
      </c>
      <c r="J1493" s="593"/>
    </row>
    <row r="1494" spans="1:10">
      <c r="A1494" s="586" t="s">
        <v>3684</v>
      </c>
      <c r="B1494" s="615">
        <v>320</v>
      </c>
      <c r="C1494" s="609">
        <v>538</v>
      </c>
      <c r="D1494" s="594">
        <v>742.74663539885671</v>
      </c>
      <c r="E1494" s="594">
        <v>624.69671270043989</v>
      </c>
      <c r="F1494" s="595">
        <v>524.06875393030668</v>
      </c>
      <c r="G1494" s="596">
        <v>570.1253444528993</v>
      </c>
      <c r="H1494" s="594">
        <v>474.42421090744818</v>
      </c>
      <c r="I1494" s="594">
        <v>558.92720938947423</v>
      </c>
      <c r="J1494" s="597"/>
    </row>
    <row r="1495" spans="1:10">
      <c r="A1495" s="619" t="s">
        <v>1908</v>
      </c>
      <c r="B1495" s="620">
        <v>0.57077599999999995</v>
      </c>
      <c r="C1495" s="621">
        <v>34.656999999999996</v>
      </c>
      <c r="D1495" s="622"/>
      <c r="E1495" s="622"/>
      <c r="F1495" s="623"/>
      <c r="G1495" s="624"/>
      <c r="H1495" s="622"/>
      <c r="I1495" s="622"/>
      <c r="J1495" s="625"/>
    </row>
    <row r="1496" spans="1:10">
      <c r="A1496" s="585" t="s">
        <v>1908</v>
      </c>
      <c r="B1496" s="614">
        <v>2.2831100000000002</v>
      </c>
      <c r="C1496" s="608">
        <v>190.614</v>
      </c>
      <c r="D1496" s="590">
        <v>38.592381384762305</v>
      </c>
      <c r="E1496" s="590">
        <v>96.115021295382761</v>
      </c>
      <c r="F1496" s="591">
        <v>14.951751060484586</v>
      </c>
      <c r="G1496" s="592">
        <v>123.3088181800359</v>
      </c>
      <c r="H1496" s="590">
        <v>22.111329348338085</v>
      </c>
      <c r="I1496" s="590">
        <v>63.533825092101345</v>
      </c>
      <c r="J1496" s="593"/>
    </row>
    <row r="1497" spans="1:10">
      <c r="A1497" s="585" t="s">
        <v>1908</v>
      </c>
      <c r="B1497" s="614">
        <v>2.8538800000000002</v>
      </c>
      <c r="C1497" s="608">
        <v>210.108</v>
      </c>
      <c r="D1497" s="590">
        <v>46.126775220222306</v>
      </c>
      <c r="E1497" s="590">
        <v>114.87956491665217</v>
      </c>
      <c r="F1497" s="591">
        <v>17.963986776197977</v>
      </c>
      <c r="G1497" s="592">
        <v>146.28925856448532</v>
      </c>
      <c r="H1497" s="590">
        <v>34.184365861371788</v>
      </c>
      <c r="I1497" s="590">
        <v>77.209833157097933</v>
      </c>
      <c r="J1497" s="593"/>
    </row>
    <row r="1498" spans="1:10">
      <c r="A1498" s="585" t="s">
        <v>1908</v>
      </c>
      <c r="B1498" s="614">
        <v>5.7077600000000004</v>
      </c>
      <c r="C1498" s="608">
        <v>266.42599999999999</v>
      </c>
      <c r="D1498" s="590">
        <v>71.502017141976822</v>
      </c>
      <c r="E1498" s="590">
        <v>178.07706219905387</v>
      </c>
      <c r="F1498" s="591">
        <v>28.561485386568769</v>
      </c>
      <c r="G1498" s="592">
        <v>219.36557310254204</v>
      </c>
      <c r="H1498" s="590">
        <v>97.06005958542643</v>
      </c>
      <c r="I1498" s="590">
        <v>125.73082485069266</v>
      </c>
      <c r="J1498" s="593"/>
    </row>
    <row r="1499" spans="1:10">
      <c r="A1499" s="585" t="s">
        <v>1908</v>
      </c>
      <c r="B1499" s="614">
        <v>9.7032000000000007</v>
      </c>
      <c r="C1499" s="608">
        <v>283.755</v>
      </c>
      <c r="D1499" s="590">
        <v>93.691963810907268</v>
      </c>
      <c r="E1499" s="590">
        <v>233.34152425346758</v>
      </c>
      <c r="F1499" s="591">
        <v>38.711234988016507</v>
      </c>
      <c r="G1499" s="592">
        <v>276.89217122179758</v>
      </c>
      <c r="H1499" s="590">
        <v>177.51663835594823</v>
      </c>
      <c r="I1499" s="590">
        <v>171.8505421952095</v>
      </c>
      <c r="J1499" s="593"/>
    </row>
    <row r="1500" spans="1:10">
      <c r="A1500" s="585" t="s">
        <v>1908</v>
      </c>
      <c r="B1500" s="614">
        <v>19.406400000000001</v>
      </c>
      <c r="C1500" s="608">
        <v>331.40800000000002</v>
      </c>
      <c r="D1500" s="590">
        <v>125.4857369135953</v>
      </c>
      <c r="E1500" s="590">
        <v>312.52448910756158</v>
      </c>
      <c r="F1500" s="591">
        <v>55.869644930400916</v>
      </c>
      <c r="G1500" s="592">
        <v>348.43617380292483</v>
      </c>
      <c r="H1500" s="590">
        <v>313.92672923295606</v>
      </c>
      <c r="I1500" s="590">
        <v>246.52987049796297</v>
      </c>
      <c r="J1500" s="593"/>
    </row>
    <row r="1501" spans="1:10">
      <c r="A1501" s="585" t="s">
        <v>1908</v>
      </c>
      <c r="B1501" s="614">
        <v>27.397300000000001</v>
      </c>
      <c r="C1501" s="608">
        <v>357.40100000000001</v>
      </c>
      <c r="D1501" s="590">
        <v>141.3748238524893</v>
      </c>
      <c r="E1501" s="590">
        <v>352.09654645924837</v>
      </c>
      <c r="F1501" s="591">
        <v>66.494524228556969</v>
      </c>
      <c r="G1501" s="592">
        <v>379.82212040496995</v>
      </c>
      <c r="H1501" s="590">
        <v>377.26808994724513</v>
      </c>
      <c r="I1501" s="590">
        <v>289.4554963981231</v>
      </c>
      <c r="J1501" s="593"/>
    </row>
    <row r="1502" spans="1:10">
      <c r="A1502" s="585" t="s">
        <v>1908</v>
      </c>
      <c r="B1502" s="614">
        <v>29.680399999999999</v>
      </c>
      <c r="C1502" s="608">
        <v>366.065</v>
      </c>
      <c r="D1502" s="590">
        <v>144.95409750732784</v>
      </c>
      <c r="E1502" s="590">
        <v>361.0107919971681</v>
      </c>
      <c r="F1502" s="591">
        <v>69.189079350324832</v>
      </c>
      <c r="G1502" s="592">
        <v>386.55287215595177</v>
      </c>
      <c r="H1502" s="590">
        <v>389.87115204714109</v>
      </c>
      <c r="I1502" s="590">
        <v>299.8363610814414</v>
      </c>
      <c r="J1502" s="593"/>
    </row>
    <row r="1503" spans="1:10">
      <c r="A1503" s="585" t="s">
        <v>1908</v>
      </c>
      <c r="B1503" s="614">
        <v>34.817399999999999</v>
      </c>
      <c r="C1503" s="608">
        <v>376.89499999999998</v>
      </c>
      <c r="D1503" s="590">
        <v>151.89036377661711</v>
      </c>
      <c r="E1503" s="590">
        <v>378.28568813629073</v>
      </c>
      <c r="F1503" s="591">
        <v>74.8362623920804</v>
      </c>
      <c r="G1503" s="592">
        <v>399.29363286762276</v>
      </c>
      <c r="H1503" s="590">
        <v>411.86459727483481</v>
      </c>
      <c r="I1503" s="590">
        <v>320.85886187809689</v>
      </c>
      <c r="J1503" s="593"/>
    </row>
    <row r="1504" spans="1:10">
      <c r="A1504" s="585" t="s">
        <v>1908</v>
      </c>
      <c r="B1504" s="614">
        <v>39.383600000000001</v>
      </c>
      <c r="C1504" s="608">
        <v>387.726</v>
      </c>
      <c r="D1504" s="590">
        <v>157.01586582987082</v>
      </c>
      <c r="E1504" s="590">
        <v>391.05084336437727</v>
      </c>
      <c r="F1504" s="591">
        <v>79.453351882312489</v>
      </c>
      <c r="G1504" s="592">
        <v>408.48674981848012</v>
      </c>
      <c r="H1504" s="590">
        <v>425.74780115790054</v>
      </c>
      <c r="I1504" s="590">
        <v>337.26672549717352</v>
      </c>
      <c r="J1504" s="593"/>
    </row>
    <row r="1505" spans="1:10">
      <c r="A1505" s="585" t="s">
        <v>1908</v>
      </c>
      <c r="B1505" s="614">
        <v>45.091299999999997</v>
      </c>
      <c r="C1505" s="608">
        <v>387.726</v>
      </c>
      <c r="D1505" s="590">
        <v>162.36475351602894</v>
      </c>
      <c r="E1505" s="590">
        <v>404.3723445367483</v>
      </c>
      <c r="F1505" s="591">
        <v>84.791453594033328</v>
      </c>
      <c r="G1505" s="592">
        <v>417.92440557286579</v>
      </c>
      <c r="H1505" s="590">
        <v>437.8332627469245</v>
      </c>
      <c r="I1505" s="590">
        <v>355.3120839412349</v>
      </c>
      <c r="J1505" s="593"/>
    </row>
    <row r="1506" spans="1:10">
      <c r="A1506" s="585" t="s">
        <v>1908</v>
      </c>
      <c r="B1506" s="614">
        <v>50.799100000000003</v>
      </c>
      <c r="C1506" s="608">
        <v>392.05799999999999</v>
      </c>
      <c r="D1506" s="590">
        <v>166.79659443433985</v>
      </c>
      <c r="E1506" s="590">
        <v>415.40992420809221</v>
      </c>
      <c r="F1506" s="591">
        <v>89.730163912249708</v>
      </c>
      <c r="G1506" s="592">
        <v>425.66255683293474</v>
      </c>
      <c r="H1506" s="590">
        <v>445.87780853901506</v>
      </c>
      <c r="I1506" s="590">
        <v>371.0853468907527</v>
      </c>
      <c r="J1506" s="593"/>
    </row>
    <row r="1507" spans="1:10">
      <c r="A1507" s="585" t="s">
        <v>1908</v>
      </c>
      <c r="B1507" s="614">
        <v>59.9315</v>
      </c>
      <c r="C1507" s="608">
        <v>398.55599999999998</v>
      </c>
      <c r="D1507" s="590">
        <v>172.45881798032778</v>
      </c>
      <c r="E1507" s="590">
        <v>429.51179398585941</v>
      </c>
      <c r="F1507" s="591">
        <v>96.956548937448403</v>
      </c>
      <c r="G1507" s="592">
        <v>435.51647434851031</v>
      </c>
      <c r="H1507" s="590">
        <v>453.52483067908588</v>
      </c>
      <c r="I1507" s="590">
        <v>392.50533888406039</v>
      </c>
      <c r="J1507" s="593"/>
    </row>
    <row r="1508" spans="1:10">
      <c r="A1508" s="585" t="s">
        <v>1908</v>
      </c>
      <c r="B1508" s="614">
        <v>70.205500000000001</v>
      </c>
      <c r="C1508" s="608">
        <v>411.55200000000002</v>
      </c>
      <c r="D1508" s="590">
        <v>177.30351217061843</v>
      </c>
      <c r="E1508" s="590">
        <v>441.57759217091927</v>
      </c>
      <c r="F1508" s="591">
        <v>104.28701480264077</v>
      </c>
      <c r="G1508" s="592">
        <v>444.01514703372004</v>
      </c>
      <c r="H1508" s="590">
        <v>457.8293952891845</v>
      </c>
      <c r="I1508" s="590">
        <v>412.15989124675843</v>
      </c>
      <c r="J1508" s="593"/>
    </row>
    <row r="1509" spans="1:10">
      <c r="A1509" s="585" t="s">
        <v>1908</v>
      </c>
      <c r="B1509" s="614">
        <v>79.908699999999996</v>
      </c>
      <c r="C1509" s="608">
        <v>426.71499999999997</v>
      </c>
      <c r="D1509" s="590">
        <v>180.82727276788958</v>
      </c>
      <c r="E1509" s="590">
        <v>450.35358143859042</v>
      </c>
      <c r="F1509" s="591">
        <v>110.58671526410525</v>
      </c>
      <c r="G1509" s="592">
        <v>450.3179040129956</v>
      </c>
      <c r="H1509" s="590">
        <v>459.80526693344973</v>
      </c>
      <c r="I1509" s="590">
        <v>427.35438782600681</v>
      </c>
      <c r="J1509" s="593"/>
    </row>
    <row r="1510" spans="1:10">
      <c r="A1510" s="585" t="s">
        <v>1908</v>
      </c>
      <c r="B1510" s="614">
        <v>89.611900000000006</v>
      </c>
      <c r="C1510" s="608">
        <v>428.88099999999997</v>
      </c>
      <c r="D1510" s="590">
        <v>183.61020356912934</v>
      </c>
      <c r="E1510" s="590">
        <v>457.28452074907176</v>
      </c>
      <c r="F1510" s="591">
        <v>116.38808745918067</v>
      </c>
      <c r="G1510" s="592">
        <v>455.43143406878028</v>
      </c>
      <c r="H1510" s="590">
        <v>460.78723418840929</v>
      </c>
      <c r="I1510" s="590">
        <v>439.95823283152004</v>
      </c>
      <c r="J1510" s="593"/>
    </row>
    <row r="1511" spans="1:10">
      <c r="A1511" s="585" t="s">
        <v>1908</v>
      </c>
      <c r="B1511" s="614">
        <v>99.885800000000003</v>
      </c>
      <c r="C1511" s="608">
        <v>454.87400000000002</v>
      </c>
      <c r="D1511" s="590">
        <v>185.95622134817887</v>
      </c>
      <c r="E1511" s="590">
        <v>463.12732030436746</v>
      </c>
      <c r="F1511" s="591">
        <v>122.0731644938153</v>
      </c>
      <c r="G1511" s="592">
        <v>459.89042531484967</v>
      </c>
      <c r="H1511" s="590">
        <v>461.29450634076926</v>
      </c>
      <c r="I1511" s="590">
        <v>451.0317191787654</v>
      </c>
      <c r="J1511" s="593"/>
    </row>
    <row r="1512" spans="1:10">
      <c r="A1512" s="586" t="s">
        <v>1908</v>
      </c>
      <c r="B1512" s="615">
        <v>119.863</v>
      </c>
      <c r="C1512" s="609">
        <v>474.36799999999999</v>
      </c>
      <c r="D1512" s="594">
        <v>189.28278394100866</v>
      </c>
      <c r="E1512" s="594">
        <v>471.41218438835745</v>
      </c>
      <c r="F1512" s="595">
        <v>132.02472634738155</v>
      </c>
      <c r="G1512" s="596">
        <v>466.59309803448457</v>
      </c>
      <c r="H1512" s="594">
        <v>461.6471828187407</v>
      </c>
      <c r="I1512" s="594">
        <v>467.46038321332287</v>
      </c>
      <c r="J1512" s="597"/>
    </row>
    <row r="1513" spans="1:10">
      <c r="A1513" s="586" t="s">
        <v>1908</v>
      </c>
      <c r="B1513" s="615">
        <v>139.84</v>
      </c>
      <c r="C1513" s="609">
        <v>476.53399999999999</v>
      </c>
      <c r="D1513" s="594">
        <v>191.53170331497242</v>
      </c>
      <c r="E1513" s="594">
        <v>477.01315861601864</v>
      </c>
      <c r="F1513" s="595">
        <v>140.80730160909772</v>
      </c>
      <c r="G1513" s="596">
        <v>471.54962937295039</v>
      </c>
      <c r="H1513" s="594">
        <v>461.73067556991572</v>
      </c>
      <c r="I1513" s="594">
        <v>479.00452494600768</v>
      </c>
      <c r="J1513" s="597"/>
    </row>
    <row r="1514" spans="1:10">
      <c r="A1514" s="586" t="s">
        <v>1908</v>
      </c>
      <c r="B1514" s="615">
        <v>160.38800000000001</v>
      </c>
      <c r="C1514" s="609">
        <v>487.36500000000001</v>
      </c>
      <c r="D1514" s="594">
        <v>193.13920739215141</v>
      </c>
      <c r="E1514" s="594">
        <v>481.0166764883694</v>
      </c>
      <c r="F1514" s="595">
        <v>148.87518113977546</v>
      </c>
      <c r="G1514" s="596">
        <v>475.46051200934005</v>
      </c>
      <c r="H1514" s="594">
        <v>461.75068793644135</v>
      </c>
      <c r="I1514" s="594">
        <v>487.37771216741743</v>
      </c>
      <c r="J1514" s="597"/>
    </row>
    <row r="1515" spans="1:10">
      <c r="A1515" s="586" t="s">
        <v>1908</v>
      </c>
      <c r="B1515" s="615">
        <v>179.79499999999999</v>
      </c>
      <c r="C1515" s="609">
        <v>493.863</v>
      </c>
      <c r="D1515" s="594">
        <v>194.22648404675806</v>
      </c>
      <c r="E1515" s="594">
        <v>483.72455859001013</v>
      </c>
      <c r="F1515" s="595">
        <v>155.76031687734994</v>
      </c>
      <c r="G1515" s="596">
        <v>478.39146288882023</v>
      </c>
      <c r="H1515" s="594">
        <v>461.75511956233214</v>
      </c>
      <c r="I1515" s="594">
        <v>493.00732413613531</v>
      </c>
      <c r="J1515" s="597"/>
    </row>
    <row r="1516" spans="1:10">
      <c r="A1516" s="586" t="s">
        <v>1908</v>
      </c>
      <c r="B1516" s="615">
        <v>199.77199999999999</v>
      </c>
      <c r="C1516" s="609">
        <v>498.19499999999999</v>
      </c>
      <c r="D1516" s="594">
        <v>195.04951517896399</v>
      </c>
      <c r="E1516" s="594">
        <v>485.77433245625741</v>
      </c>
      <c r="F1516" s="595">
        <v>162.22503075935413</v>
      </c>
      <c r="G1516" s="596">
        <v>480.85198275091108</v>
      </c>
      <c r="H1516" s="594">
        <v>461.75622707165189</v>
      </c>
      <c r="I1516" s="594">
        <v>497.17098630365348</v>
      </c>
      <c r="J1516" s="597"/>
    </row>
    <row r="1517" spans="1:10">
      <c r="A1517" s="619" t="s">
        <v>2271</v>
      </c>
      <c r="B1517" s="620">
        <v>0.57077599999999995</v>
      </c>
      <c r="C1517" s="621">
        <v>0.57077599999999995</v>
      </c>
      <c r="D1517" s="622"/>
      <c r="E1517" s="622"/>
      <c r="F1517" s="623"/>
      <c r="G1517" s="624"/>
      <c r="H1517" s="622"/>
      <c r="I1517" s="622"/>
      <c r="J1517" s="625"/>
    </row>
    <row r="1518" spans="1:10">
      <c r="A1518" s="585" t="s">
        <v>2271</v>
      </c>
      <c r="B1518" s="614">
        <v>0.57077599999999995</v>
      </c>
      <c r="C1518" s="608">
        <v>0.57077599999999995</v>
      </c>
      <c r="D1518" s="590"/>
      <c r="E1518" s="590"/>
      <c r="F1518" s="591"/>
      <c r="G1518" s="592"/>
      <c r="H1518" s="590"/>
      <c r="I1518" s="590"/>
      <c r="J1518" s="593"/>
    </row>
    <row r="1519" spans="1:10">
      <c r="A1519" s="585" t="s">
        <v>2271</v>
      </c>
      <c r="B1519" s="614">
        <v>2.2831100000000002</v>
      </c>
      <c r="C1519" s="608">
        <v>207.94200000000001</v>
      </c>
      <c r="D1519" s="590">
        <v>39.906650790398771</v>
      </c>
      <c r="E1519" s="590">
        <v>98.756006562558653</v>
      </c>
      <c r="F1519" s="591">
        <v>12.869091399280904</v>
      </c>
      <c r="G1519" s="592">
        <v>158.39531518914271</v>
      </c>
      <c r="H1519" s="590">
        <v>22.432327741318705</v>
      </c>
      <c r="I1519" s="590">
        <v>203.53335171112647</v>
      </c>
      <c r="J1519" s="593"/>
    </row>
    <row r="1520" spans="1:10">
      <c r="A1520" s="585" t="s">
        <v>2271</v>
      </c>
      <c r="B1520" s="614">
        <v>5.1369899999999999</v>
      </c>
      <c r="C1520" s="608">
        <v>253.43</v>
      </c>
      <c r="D1520" s="590">
        <v>69.65815431352604</v>
      </c>
      <c r="E1520" s="590">
        <v>171.48944655052966</v>
      </c>
      <c r="F1520" s="591">
        <v>23.055205159527759</v>
      </c>
      <c r="G1520" s="592">
        <v>245.5767785503684</v>
      </c>
      <c r="H1520" s="590">
        <v>85.310956930228883</v>
      </c>
      <c r="I1520" s="590">
        <v>246.80201218695061</v>
      </c>
      <c r="J1520" s="593"/>
    </row>
    <row r="1521" spans="1:10">
      <c r="A1521" s="585" t="s">
        <v>2271</v>
      </c>
      <c r="B1521" s="614">
        <v>13.698600000000001</v>
      </c>
      <c r="C1521" s="608">
        <v>316.245</v>
      </c>
      <c r="D1521" s="590">
        <v>112.81592412502499</v>
      </c>
      <c r="E1521" s="590">
        <v>274.10452896073741</v>
      </c>
      <c r="F1521" s="591">
        <v>40.120273553368776</v>
      </c>
      <c r="G1521" s="592">
        <v>324.00323298326714</v>
      </c>
      <c r="H1521" s="590">
        <v>244.50774396609083</v>
      </c>
      <c r="I1521" s="590">
        <v>296.16238060235105</v>
      </c>
      <c r="J1521" s="593"/>
    </row>
    <row r="1522" spans="1:10">
      <c r="A1522" s="585" t="s">
        <v>2271</v>
      </c>
      <c r="B1522" s="614">
        <v>20.547899999999998</v>
      </c>
      <c r="C1522" s="608">
        <v>329.24200000000002</v>
      </c>
      <c r="D1522" s="590">
        <v>132.21333235471712</v>
      </c>
      <c r="E1522" s="590">
        <v>318.51891558443066</v>
      </c>
      <c r="F1522" s="591">
        <v>49.512142946205344</v>
      </c>
      <c r="G1522" s="592">
        <v>346.45438502997507</v>
      </c>
      <c r="H1522" s="590">
        <v>326.37490687143998</v>
      </c>
      <c r="I1522" s="590">
        <v>317.22796335271579</v>
      </c>
      <c r="J1522" s="593"/>
    </row>
    <row r="1523" spans="1:10">
      <c r="A1523" s="585" t="s">
        <v>2271</v>
      </c>
      <c r="B1523" s="614">
        <v>23.401800000000001</v>
      </c>
      <c r="C1523" s="608">
        <v>340.072</v>
      </c>
      <c r="D1523" s="590">
        <v>138.39758710316951</v>
      </c>
      <c r="E1523" s="590">
        <v>332.3831791528026</v>
      </c>
      <c r="F1523" s="591">
        <v>52.886150609846837</v>
      </c>
      <c r="G1523" s="592">
        <v>352.47442027673674</v>
      </c>
      <c r="H1523" s="590">
        <v>351.08253244229508</v>
      </c>
      <c r="I1523" s="590">
        <v>324.10117853164365</v>
      </c>
      <c r="J1523" s="593"/>
    </row>
    <row r="1524" spans="1:10">
      <c r="A1524" s="585" t="s">
        <v>2271</v>
      </c>
      <c r="B1524" s="614">
        <v>29.1096</v>
      </c>
      <c r="C1524" s="608">
        <v>346.57</v>
      </c>
      <c r="D1524" s="590">
        <v>148.54549864218092</v>
      </c>
      <c r="E1524" s="590">
        <v>354.76982781848477</v>
      </c>
      <c r="F1524" s="591">
        <v>58.981819182516638</v>
      </c>
      <c r="G1524" s="592">
        <v>361.39431136920768</v>
      </c>
      <c r="H1524" s="590">
        <v>388.23239721579336</v>
      </c>
      <c r="I1524" s="590">
        <v>335.75599010077104</v>
      </c>
      <c r="J1524" s="593"/>
    </row>
    <row r="1525" spans="1:10">
      <c r="A1525" s="585" t="s">
        <v>2271</v>
      </c>
      <c r="B1525" s="614">
        <v>35.388100000000001</v>
      </c>
      <c r="C1525" s="608">
        <v>344.404</v>
      </c>
      <c r="D1525" s="590">
        <v>157.22163299894137</v>
      </c>
      <c r="E1525" s="590">
        <v>373.50429984606251</v>
      </c>
      <c r="F1525" s="591">
        <v>64.925234784011266</v>
      </c>
      <c r="G1525" s="592">
        <v>368.21934564944132</v>
      </c>
      <c r="H1525" s="590">
        <v>415.27311369094065</v>
      </c>
      <c r="I1525" s="590">
        <v>346.29711119208099</v>
      </c>
      <c r="J1525" s="593"/>
    </row>
    <row r="1526" spans="1:10">
      <c r="A1526" s="585" t="s">
        <v>2271</v>
      </c>
      <c r="B1526" s="614">
        <v>39.954300000000003</v>
      </c>
      <c r="C1526" s="608">
        <v>348.73599999999999</v>
      </c>
      <c r="D1526" s="590">
        <v>162.3449798431937</v>
      </c>
      <c r="E1526" s="590">
        <v>384.36767637703872</v>
      </c>
      <c r="F1526" s="591">
        <v>68.862982481576395</v>
      </c>
      <c r="G1526" s="592">
        <v>371.95948754903645</v>
      </c>
      <c r="H1526" s="590">
        <v>428.66676754198045</v>
      </c>
      <c r="I1526" s="590">
        <v>352.88882343162936</v>
      </c>
      <c r="J1526" s="593"/>
    </row>
    <row r="1527" spans="1:10">
      <c r="A1527" s="585" t="s">
        <v>2271</v>
      </c>
      <c r="B1527" s="614">
        <v>45.662100000000002</v>
      </c>
      <c r="C1527" s="608">
        <v>355.23500000000001</v>
      </c>
      <c r="D1527" s="590">
        <v>167.69178892411392</v>
      </c>
      <c r="E1527" s="590">
        <v>395.52753281689706</v>
      </c>
      <c r="F1527" s="591">
        <v>73.420192508407439</v>
      </c>
      <c r="G1527" s="592">
        <v>375.66902114612611</v>
      </c>
      <c r="H1527" s="590">
        <v>440.33523818053879</v>
      </c>
      <c r="I1527" s="590">
        <v>360.16668391728774</v>
      </c>
      <c r="J1527" s="593"/>
    </row>
    <row r="1528" spans="1:10">
      <c r="A1528" s="585" t="s">
        <v>2271</v>
      </c>
      <c r="B1528" s="614">
        <v>49.657499999999999</v>
      </c>
      <c r="C1528" s="608">
        <v>361.733</v>
      </c>
      <c r="D1528" s="590">
        <v>170.87544964633852</v>
      </c>
      <c r="E1528" s="590">
        <v>402.07810127854174</v>
      </c>
      <c r="F1528" s="591">
        <v>76.405879176024939</v>
      </c>
      <c r="G1528" s="592">
        <v>377.79698538560382</v>
      </c>
      <c r="H1528" s="590">
        <v>446.09979084108267</v>
      </c>
      <c r="I1528" s="590">
        <v>364.74589975366035</v>
      </c>
      <c r="J1528" s="593"/>
    </row>
    <row r="1529" spans="1:10">
      <c r="A1529" s="585" t="s">
        <v>2271</v>
      </c>
      <c r="B1529" s="614">
        <v>59.9315</v>
      </c>
      <c r="C1529" s="608">
        <v>368.23099999999999</v>
      </c>
      <c r="D1529" s="590">
        <v>177.46656793850386</v>
      </c>
      <c r="E1529" s="590">
        <v>415.38795017396177</v>
      </c>
      <c r="F1529" s="591">
        <v>83.451275037108331</v>
      </c>
      <c r="G1529" s="592">
        <v>382.05005527968927</v>
      </c>
      <c r="H1529" s="590">
        <v>455.17627284491374</v>
      </c>
      <c r="I1529" s="590">
        <v>375.00901494206386</v>
      </c>
      <c r="J1529" s="593"/>
    </row>
    <row r="1530" spans="1:10">
      <c r="A1530" s="585" t="s">
        <v>2271</v>
      </c>
      <c r="B1530" s="614">
        <v>70.776300000000006</v>
      </c>
      <c r="C1530" s="608">
        <v>385.56</v>
      </c>
      <c r="D1530" s="590">
        <v>182.61399633078818</v>
      </c>
      <c r="E1530" s="590">
        <v>425.51176328146602</v>
      </c>
      <c r="F1530" s="591">
        <v>90.092977367840135</v>
      </c>
      <c r="G1530" s="592">
        <v>385.274064384219</v>
      </c>
      <c r="H1530" s="590">
        <v>459.68517794447916</v>
      </c>
      <c r="I1530" s="590">
        <v>384.04653387870633</v>
      </c>
      <c r="J1530" s="593"/>
    </row>
    <row r="1531" spans="1:10">
      <c r="A1531" s="585" t="s">
        <v>2271</v>
      </c>
      <c r="B1531" s="614">
        <v>79.908699999999996</v>
      </c>
      <c r="C1531" s="608">
        <v>400.72199999999998</v>
      </c>
      <c r="D1531" s="590">
        <v>185.9446266955145</v>
      </c>
      <c r="E1531" s="590">
        <v>431.91343315607185</v>
      </c>
      <c r="F1531" s="591">
        <v>95.182867914462108</v>
      </c>
      <c r="G1531" s="592">
        <v>387.34396411759951</v>
      </c>
      <c r="H1531" s="590">
        <v>461.5257281674493</v>
      </c>
      <c r="I1531" s="590">
        <v>390.5901356037254</v>
      </c>
      <c r="J1531" s="593"/>
    </row>
    <row r="1532" spans="1:10">
      <c r="A1532" s="585" t="s">
        <v>2271</v>
      </c>
      <c r="B1532" s="614">
        <v>89.611900000000006</v>
      </c>
      <c r="C1532" s="608">
        <v>413.71800000000002</v>
      </c>
      <c r="D1532" s="590">
        <v>188.75566863660433</v>
      </c>
      <c r="E1532" s="590">
        <v>437.21052579487474</v>
      </c>
      <c r="F1532" s="591">
        <v>100.17615523697407</v>
      </c>
      <c r="G1532" s="592">
        <v>389.10162710927756</v>
      </c>
      <c r="H1532" s="590">
        <v>462.52217840395195</v>
      </c>
      <c r="I1532" s="590">
        <v>396.70908062425389</v>
      </c>
      <c r="J1532" s="593"/>
    </row>
    <row r="1533" spans="1:10">
      <c r="A1533" s="585" t="s">
        <v>2271</v>
      </c>
      <c r="B1533" s="614">
        <v>99.885800000000003</v>
      </c>
      <c r="C1533" s="608">
        <v>422.38299999999998</v>
      </c>
      <c r="D1533" s="590">
        <v>191.12131069749816</v>
      </c>
      <c r="E1533" s="590">
        <v>441.58192609855121</v>
      </c>
      <c r="F1533" s="591">
        <v>105.069346387275</v>
      </c>
      <c r="G1533" s="592">
        <v>390.60549454292413</v>
      </c>
      <c r="H1533" s="590">
        <v>463.03808000682295</v>
      </c>
      <c r="I1533" s="590">
        <v>402.43205875890135</v>
      </c>
      <c r="J1533" s="593"/>
    </row>
    <row r="1534" spans="1:10">
      <c r="A1534" s="586" t="s">
        <v>2271</v>
      </c>
      <c r="B1534" s="615">
        <v>120.434</v>
      </c>
      <c r="C1534" s="609">
        <v>433.21300000000002</v>
      </c>
      <c r="D1534" s="594">
        <v>194.54504783477356</v>
      </c>
      <c r="E1534" s="594">
        <v>447.74137924960274</v>
      </c>
      <c r="F1534" s="595">
        <v>113.86358502188149</v>
      </c>
      <c r="G1534" s="596">
        <v>392.86956048291466</v>
      </c>
      <c r="H1534" s="594">
        <v>463.40235525248761</v>
      </c>
      <c r="I1534" s="594">
        <v>412.07567492376813</v>
      </c>
      <c r="J1534" s="597"/>
    </row>
    <row r="1535" spans="1:10">
      <c r="A1535" s="586" t="s">
        <v>2271</v>
      </c>
      <c r="B1535" s="615">
        <v>139.26900000000001</v>
      </c>
      <c r="C1535" s="609">
        <v>439.71100000000001</v>
      </c>
      <c r="D1535" s="594">
        <v>196.67030386334756</v>
      </c>
      <c r="E1535" s="594">
        <v>451.44193745914339</v>
      </c>
      <c r="F1535" s="595">
        <v>120.98980001213745</v>
      </c>
      <c r="G1535" s="596">
        <v>394.37529382846168</v>
      </c>
      <c r="H1535" s="594">
        <v>463.4822748185249</v>
      </c>
      <c r="I1535" s="594">
        <v>419.315920890158</v>
      </c>
      <c r="J1535" s="597"/>
    </row>
    <row r="1536" spans="1:10">
      <c r="A1536" s="586" t="s">
        <v>2271</v>
      </c>
      <c r="B1536" s="615">
        <v>160.959</v>
      </c>
      <c r="C1536" s="609">
        <v>439.71100000000001</v>
      </c>
      <c r="D1536" s="594">
        <v>198.36915888129337</v>
      </c>
      <c r="E1536" s="594">
        <v>454.31262055972945</v>
      </c>
      <c r="F1536" s="595">
        <v>128.32060478532213</v>
      </c>
      <c r="G1536" s="596">
        <v>395.68390764726001</v>
      </c>
      <c r="H1536" s="594">
        <v>463.50423762061376</v>
      </c>
      <c r="I1536" s="594">
        <v>426.25099666351252</v>
      </c>
      <c r="J1536" s="597"/>
    </row>
    <row r="1537" spans="1:10">
      <c r="A1537" s="586" t="s">
        <v>2271</v>
      </c>
      <c r="B1537" s="615">
        <v>179.79499999999999</v>
      </c>
      <c r="C1537" s="609">
        <v>448.375</v>
      </c>
      <c r="D1537" s="594">
        <v>199.41719697411222</v>
      </c>
      <c r="E1537" s="594">
        <v>456.03449351783843</v>
      </c>
      <c r="F1537" s="595">
        <v>134.06414714682967</v>
      </c>
      <c r="G1537" s="596">
        <v>396.57009551655955</v>
      </c>
      <c r="H1537" s="594">
        <v>463.50857495673745</v>
      </c>
      <c r="I1537" s="594">
        <v>431.33068548175044</v>
      </c>
      <c r="J1537" s="597"/>
    </row>
    <row r="1538" spans="1:10">
      <c r="A1538" s="586" t="s">
        <v>2271</v>
      </c>
      <c r="B1538" s="615">
        <v>199.20099999999999</v>
      </c>
      <c r="C1538" s="609">
        <v>457.04</v>
      </c>
      <c r="D1538" s="594">
        <v>200.21663730707391</v>
      </c>
      <c r="E1538" s="594">
        <v>457.31624666356561</v>
      </c>
      <c r="F1538" s="595">
        <v>139.47610213416587</v>
      </c>
      <c r="G1538" s="596">
        <v>397.31149140798601</v>
      </c>
      <c r="H1538" s="594">
        <v>463.50971014342764</v>
      </c>
      <c r="I1538" s="594">
        <v>435.83719691431594</v>
      </c>
      <c r="J1538" s="597"/>
    </row>
    <row r="1539" spans="1:10">
      <c r="A1539" s="619" t="s">
        <v>2272</v>
      </c>
      <c r="B1539" s="620">
        <v>0.57077599999999995</v>
      </c>
      <c r="C1539" s="621">
        <v>0.57077599999999995</v>
      </c>
      <c r="D1539" s="622"/>
      <c r="E1539" s="622"/>
      <c r="F1539" s="623"/>
      <c r="G1539" s="624"/>
      <c r="H1539" s="622"/>
      <c r="I1539" s="622"/>
      <c r="J1539" s="625"/>
    </row>
    <row r="1540" spans="1:10">
      <c r="A1540" s="585" t="s">
        <v>2272</v>
      </c>
      <c r="B1540" s="614">
        <v>1.1415500000000001</v>
      </c>
      <c r="C1540" s="608">
        <v>97.472899999999996</v>
      </c>
      <c r="D1540" s="590">
        <v>13.752798477011879</v>
      </c>
      <c r="E1540" s="590">
        <v>32.708994838377734</v>
      </c>
      <c r="F1540" s="591">
        <v>4.3040131161756792</v>
      </c>
      <c r="G1540" s="592">
        <v>56.956941284905334</v>
      </c>
      <c r="H1540" s="590">
        <v>1.5161306138896113</v>
      </c>
      <c r="I1540" s="590">
        <v>141.83895083330239</v>
      </c>
      <c r="J1540" s="593"/>
    </row>
    <row r="1541" spans="1:10">
      <c r="A1541" s="585" t="s">
        <v>2272</v>
      </c>
      <c r="B1541" s="614">
        <v>2.2831100000000002</v>
      </c>
      <c r="C1541" s="608">
        <v>155.95699999999999</v>
      </c>
      <c r="D1541" s="590">
        <v>40.919029834688374</v>
      </c>
      <c r="E1541" s="590">
        <v>97.1016048579488</v>
      </c>
      <c r="F1541" s="591">
        <v>12.946538055304831</v>
      </c>
      <c r="G1541" s="592">
        <v>159.34854390674596</v>
      </c>
      <c r="H1541" s="590">
        <v>22.438704082724826</v>
      </c>
      <c r="I1541" s="590">
        <v>204.16400388479261</v>
      </c>
      <c r="J1541" s="593"/>
    </row>
    <row r="1542" spans="1:10">
      <c r="A1542" s="585" t="s">
        <v>2272</v>
      </c>
      <c r="B1542" s="614">
        <v>2.8538800000000002</v>
      </c>
      <c r="C1542" s="608">
        <v>225.27099999999999</v>
      </c>
      <c r="D1542" s="590">
        <v>48.898391835997771</v>
      </c>
      <c r="E1542" s="590">
        <v>115.91009038756687</v>
      </c>
      <c r="F1542" s="591">
        <v>15.554796055807408</v>
      </c>
      <c r="G1542" s="592">
        <v>185.31818288994967</v>
      </c>
      <c r="H1542" s="590">
        <v>34.608297458294928</v>
      </c>
      <c r="I1542" s="590">
        <v>216.92993114455098</v>
      </c>
      <c r="J1542" s="593"/>
    </row>
    <row r="1543" spans="1:10">
      <c r="A1543" s="585" t="s">
        <v>2272</v>
      </c>
      <c r="B1543" s="614">
        <v>4.5662099999999999</v>
      </c>
      <c r="C1543" s="608">
        <v>251.26400000000001</v>
      </c>
      <c r="D1543" s="590">
        <v>66.659407917667949</v>
      </c>
      <c r="E1543" s="590">
        <v>157.51241024862159</v>
      </c>
      <c r="F1543" s="591">
        <v>21.54435305825298</v>
      </c>
      <c r="G1543" s="592">
        <v>235.44890571205568</v>
      </c>
      <c r="H1543" s="590">
        <v>72.601281175038437</v>
      </c>
      <c r="I1543" s="590">
        <v>241.56049589721289</v>
      </c>
      <c r="J1543" s="593"/>
    </row>
    <row r="1544" spans="1:10">
      <c r="A1544" s="585" t="s">
        <v>2272</v>
      </c>
      <c r="B1544" s="614">
        <v>5.1369899999999999</v>
      </c>
      <c r="C1544" s="608">
        <v>268.59199999999998</v>
      </c>
      <c r="D1544" s="590">
        <v>71.390708301868301</v>
      </c>
      <c r="E1544" s="590">
        <v>168.52068407418446</v>
      </c>
      <c r="F1544" s="591">
        <v>23.19395221541166</v>
      </c>
      <c r="G1544" s="592">
        <v>247.05466845772565</v>
      </c>
      <c r="H1544" s="590">
        <v>85.251801570646066</v>
      </c>
      <c r="I1544" s="590">
        <v>247.51040768882748</v>
      </c>
      <c r="J1544" s="593"/>
    </row>
    <row r="1545" spans="1:10">
      <c r="A1545" s="585" t="s">
        <v>2272</v>
      </c>
      <c r="B1545" s="614">
        <v>5.7077600000000004</v>
      </c>
      <c r="C1545" s="608">
        <v>277.25599999999997</v>
      </c>
      <c r="D1545" s="590">
        <v>75.729949644945393</v>
      </c>
      <c r="E1545" s="590">
        <v>178.58503914150461</v>
      </c>
      <c r="F1545" s="591">
        <v>24.731040262601933</v>
      </c>
      <c r="G1545" s="592">
        <v>257.08630403385797</v>
      </c>
      <c r="H1545" s="590">
        <v>97.755852082057245</v>
      </c>
      <c r="I1545" s="590">
        <v>252.80172512379394</v>
      </c>
      <c r="J1545" s="593"/>
    </row>
    <row r="1546" spans="1:10">
      <c r="A1546" s="585" t="s">
        <v>2272</v>
      </c>
      <c r="B1546" s="614">
        <v>7.4200900000000001</v>
      </c>
      <c r="C1546" s="608">
        <v>292.41899999999998</v>
      </c>
      <c r="D1546" s="590">
        <v>86.981862683988595</v>
      </c>
      <c r="E1546" s="590">
        <v>204.52577362825735</v>
      </c>
      <c r="F1546" s="591">
        <v>28.841308885367528</v>
      </c>
      <c r="G1546" s="592">
        <v>280.53415191130421</v>
      </c>
      <c r="H1546" s="590">
        <v>133.96424374366325</v>
      </c>
      <c r="I1546" s="590">
        <v>265.93218337083204</v>
      </c>
      <c r="J1546" s="593"/>
    </row>
    <row r="1547" spans="1:10">
      <c r="A1547" s="585" t="s">
        <v>2272</v>
      </c>
      <c r="B1547" s="614">
        <v>9.7032000000000007</v>
      </c>
      <c r="C1547" s="608">
        <v>307.58100000000002</v>
      </c>
      <c r="D1547" s="590">
        <v>99.117858374339221</v>
      </c>
      <c r="E1547" s="590">
        <v>232.21541298335703</v>
      </c>
      <c r="F1547" s="591">
        <v>33.519584088364333</v>
      </c>
      <c r="G1547" s="592">
        <v>302.07971902548132</v>
      </c>
      <c r="H1547" s="590">
        <v>178.3786477769865</v>
      </c>
      <c r="I1547" s="590">
        <v>279.40535248512776</v>
      </c>
      <c r="J1547" s="593"/>
    </row>
    <row r="1548" spans="1:10">
      <c r="A1548" s="585" t="s">
        <v>2272</v>
      </c>
      <c r="B1548" s="614">
        <v>14.269399999999999</v>
      </c>
      <c r="C1548" s="608">
        <v>311.91300000000001</v>
      </c>
      <c r="D1548" s="590">
        <v>117.45485655387961</v>
      </c>
      <c r="E1548" s="590">
        <v>273.36804963989425</v>
      </c>
      <c r="F1548" s="591">
        <v>41.240385940279623</v>
      </c>
      <c r="G1548" s="592">
        <v>328.4916129362295</v>
      </c>
      <c r="H1548" s="590">
        <v>252.684428185108</v>
      </c>
      <c r="I1548" s="590">
        <v>299.05217725857813</v>
      </c>
      <c r="J1548" s="593"/>
    </row>
    <row r="1549" spans="1:10">
      <c r="A1549" s="585" t="s">
        <v>2272</v>
      </c>
      <c r="B1549" s="614">
        <v>19.9772</v>
      </c>
      <c r="C1549" s="608">
        <v>311.91300000000001</v>
      </c>
      <c r="D1549" s="590">
        <v>133.85373053669429</v>
      </c>
      <c r="E1549" s="590">
        <v>309.31906602929513</v>
      </c>
      <c r="F1549" s="591">
        <v>49.09940416655958</v>
      </c>
      <c r="G1549" s="592">
        <v>347.15444224779361</v>
      </c>
      <c r="H1549" s="590">
        <v>320.94657844166102</v>
      </c>
      <c r="I1549" s="590">
        <v>316.56850942478843</v>
      </c>
      <c r="J1549" s="593"/>
    </row>
    <row r="1550" spans="1:10">
      <c r="A1550" s="585" t="s">
        <v>2272</v>
      </c>
      <c r="B1550" s="614">
        <v>23.9726</v>
      </c>
      <c r="C1550" s="608">
        <v>316.245</v>
      </c>
      <c r="D1550" s="590">
        <v>142.66002464536302</v>
      </c>
      <c r="E1550" s="590">
        <v>328.22638188011382</v>
      </c>
      <c r="F1550" s="591">
        <v>53.854203954905998</v>
      </c>
      <c r="G1550" s="592">
        <v>355.6581191642602</v>
      </c>
      <c r="H1550" s="590">
        <v>355.73069012773823</v>
      </c>
      <c r="I1550" s="590">
        <v>326.21848604938515</v>
      </c>
      <c r="J1550" s="593"/>
    </row>
    <row r="1551" spans="1:10">
      <c r="A1551" s="585" t="s">
        <v>2272</v>
      </c>
      <c r="B1551" s="614">
        <v>28.538799999999998</v>
      </c>
      <c r="C1551" s="608">
        <v>318.41199999999998</v>
      </c>
      <c r="D1551" s="590">
        <v>150.88242614722549</v>
      </c>
      <c r="E1551" s="590">
        <v>345.58856711162264</v>
      </c>
      <c r="F1551" s="591">
        <v>58.75696069768729</v>
      </c>
      <c r="G1551" s="592">
        <v>362.8136206309598</v>
      </c>
      <c r="H1551" s="590">
        <v>385.56316729841677</v>
      </c>
      <c r="I1551" s="590">
        <v>335.54601223219879</v>
      </c>
      <c r="J1551" s="593"/>
    </row>
    <row r="1552" spans="1:10">
      <c r="A1552" s="585" t="s">
        <v>2272</v>
      </c>
      <c r="B1552" s="614">
        <v>29.680399999999999</v>
      </c>
      <c r="C1552" s="608">
        <v>331.40800000000002</v>
      </c>
      <c r="D1552" s="590">
        <v>152.69307594893556</v>
      </c>
      <c r="E1552" s="590">
        <v>349.37054633867876</v>
      </c>
      <c r="F1552" s="591">
        <v>59.909976108942423</v>
      </c>
      <c r="G1552" s="592">
        <v>364.29915546764494</v>
      </c>
      <c r="H1552" s="590">
        <v>391.67651682843893</v>
      </c>
      <c r="I1552" s="590">
        <v>337.65667252237961</v>
      </c>
      <c r="J1552" s="593"/>
    </row>
    <row r="1553" spans="1:10">
      <c r="A1553" s="585" t="s">
        <v>2272</v>
      </c>
      <c r="B1553" s="614">
        <v>34.817399999999999</v>
      </c>
      <c r="C1553" s="608">
        <v>333.57400000000001</v>
      </c>
      <c r="D1553" s="590">
        <v>159.86972334362341</v>
      </c>
      <c r="E1553" s="590">
        <v>364.20048678920858</v>
      </c>
      <c r="F1553" s="591">
        <v>64.799802715846283</v>
      </c>
      <c r="G1553" s="592">
        <v>369.90289210585394</v>
      </c>
      <c r="H1553" s="590">
        <v>413.92727807860052</v>
      </c>
      <c r="I1553" s="590">
        <v>346.28812948867682</v>
      </c>
      <c r="J1553" s="593"/>
    </row>
    <row r="1554" spans="1:10">
      <c r="A1554" s="585" t="s">
        <v>2272</v>
      </c>
      <c r="B1554" s="614">
        <v>39.383600000000001</v>
      </c>
      <c r="C1554" s="608">
        <v>329.24200000000002</v>
      </c>
      <c r="D1554" s="590">
        <v>165.15720494159365</v>
      </c>
      <c r="E1554" s="590">
        <v>374.94942638130129</v>
      </c>
      <c r="F1554" s="591">
        <v>68.797683937131168</v>
      </c>
      <c r="G1554" s="592">
        <v>373.77092701410811</v>
      </c>
      <c r="H1554" s="590">
        <v>428.01289233187708</v>
      </c>
      <c r="I1554" s="590">
        <v>352.98998744610077</v>
      </c>
      <c r="J1554" s="593"/>
    </row>
    <row r="1555" spans="1:10">
      <c r="A1555" s="585" t="s">
        <v>2272</v>
      </c>
      <c r="B1555" s="614">
        <v>44.520499999999998</v>
      </c>
      <c r="C1555" s="608">
        <v>340.072</v>
      </c>
      <c r="D1555" s="590">
        <v>170.15608466673484</v>
      </c>
      <c r="E1555" s="590">
        <v>384.95818666784476</v>
      </c>
      <c r="F1555" s="591">
        <v>72.974281413580698</v>
      </c>
      <c r="G1555" s="592">
        <v>377.25351796459182</v>
      </c>
      <c r="H1555" s="590">
        <v>439.29242424481026</v>
      </c>
      <c r="I1555" s="590">
        <v>359.68153990348338</v>
      </c>
      <c r="J1555" s="593"/>
    </row>
    <row r="1556" spans="1:10">
      <c r="A1556" s="585" t="s">
        <v>2272</v>
      </c>
      <c r="B1556" s="614">
        <v>49.657499999999999</v>
      </c>
      <c r="C1556" s="608">
        <v>348.73599999999999</v>
      </c>
      <c r="D1556" s="590">
        <v>174.36031494554666</v>
      </c>
      <c r="E1556" s="590">
        <v>393.2486520675165</v>
      </c>
      <c r="F1556" s="591">
        <v>76.865692511648774</v>
      </c>
      <c r="G1556" s="592">
        <v>380.07058126477148</v>
      </c>
      <c r="H1556" s="590">
        <v>447.1379046067396</v>
      </c>
      <c r="I1556" s="590">
        <v>365.65350178492207</v>
      </c>
      <c r="J1556" s="593"/>
    </row>
    <row r="1557" spans="1:10">
      <c r="A1557" s="585" t="s">
        <v>2272</v>
      </c>
      <c r="B1557" s="614">
        <v>59.9315</v>
      </c>
      <c r="C1557" s="608">
        <v>357.40100000000001</v>
      </c>
      <c r="D1557" s="590">
        <v>180.98911456398309</v>
      </c>
      <c r="E1557" s="590">
        <v>406.05339516354212</v>
      </c>
      <c r="F1557" s="591">
        <v>83.953487819039324</v>
      </c>
      <c r="G1557" s="592">
        <v>384.34924628682001</v>
      </c>
      <c r="H1557" s="590">
        <v>456.36880104436466</v>
      </c>
      <c r="I1557" s="590">
        <v>375.93717175254847</v>
      </c>
      <c r="J1557" s="593"/>
    </row>
    <row r="1558" spans="1:10">
      <c r="A1558" s="585" t="s">
        <v>2272</v>
      </c>
      <c r="B1558" s="614">
        <v>70.776300000000006</v>
      </c>
      <c r="C1558" s="608">
        <v>366.065</v>
      </c>
      <c r="D1558" s="590">
        <v>186.15273451799663</v>
      </c>
      <c r="E1558" s="590">
        <v>415.76611976227861</v>
      </c>
      <c r="F1558" s="591">
        <v>90.635160153857839</v>
      </c>
      <c r="G1558" s="592">
        <v>387.59265759437943</v>
      </c>
      <c r="H1558" s="590">
        <v>460.97317320549013</v>
      </c>
      <c r="I1558" s="590">
        <v>384.99407425496491</v>
      </c>
      <c r="J1558" s="593"/>
    </row>
    <row r="1559" spans="1:10">
      <c r="A1559" s="585" t="s">
        <v>2272</v>
      </c>
      <c r="B1559" s="614">
        <v>79.908699999999996</v>
      </c>
      <c r="C1559" s="608">
        <v>392.05799999999999</v>
      </c>
      <c r="D1559" s="590">
        <v>189.4863835099313</v>
      </c>
      <c r="E1559" s="590">
        <v>421.8930886311191</v>
      </c>
      <c r="F1559" s="591">
        <v>95.755681845300629</v>
      </c>
      <c r="G1559" s="592">
        <v>389.67501405898372</v>
      </c>
      <c r="H1559" s="590">
        <v>462.86014141531456</v>
      </c>
      <c r="I1559" s="590">
        <v>391.55263919713138</v>
      </c>
      <c r="J1559" s="593"/>
    </row>
    <row r="1560" spans="1:10">
      <c r="A1560" s="585" t="s">
        <v>2272</v>
      </c>
      <c r="B1560" s="614">
        <v>89.611900000000006</v>
      </c>
      <c r="C1560" s="608">
        <v>385.56</v>
      </c>
      <c r="D1560" s="590">
        <v>192.29455676536557</v>
      </c>
      <c r="E1560" s="590">
        <v>426.95241306579067</v>
      </c>
      <c r="F1560" s="591">
        <v>100.77901895094777</v>
      </c>
      <c r="G1560" s="592">
        <v>391.44325472991653</v>
      </c>
      <c r="H1560" s="590">
        <v>463.88543049871799</v>
      </c>
      <c r="I1560" s="590">
        <v>397.6864214348293</v>
      </c>
      <c r="J1560" s="593"/>
    </row>
    <row r="1561" spans="1:10">
      <c r="A1561" s="586" t="s">
        <v>2272</v>
      </c>
      <c r="B1561" s="615">
        <v>100.45699999999999</v>
      </c>
      <c r="C1561" s="609">
        <v>400.72199999999998</v>
      </c>
      <c r="D1561" s="594">
        <v>194.76924738577918</v>
      </c>
      <c r="E1561" s="594">
        <v>431.32177135499711</v>
      </c>
      <c r="F1561" s="595">
        <v>105.9646339481283</v>
      </c>
      <c r="G1561" s="596">
        <v>393.0315711508739</v>
      </c>
      <c r="H1561" s="594">
        <v>464.43796620174169</v>
      </c>
      <c r="I1561" s="594">
        <v>403.72330500548549</v>
      </c>
      <c r="J1561" s="597"/>
    </row>
    <row r="1562" spans="1:10">
      <c r="A1562" s="586" t="s">
        <v>2272</v>
      </c>
      <c r="B1562" s="615">
        <v>120.434</v>
      </c>
      <c r="C1562" s="609">
        <v>398.55599999999998</v>
      </c>
      <c r="D1562" s="594">
        <v>198.05810133571103</v>
      </c>
      <c r="E1562" s="594">
        <v>436.97371782629494</v>
      </c>
      <c r="F1562" s="595">
        <v>114.54882018178824</v>
      </c>
      <c r="G1562" s="596">
        <v>395.23386366244551</v>
      </c>
      <c r="H1562" s="594">
        <v>464.79654751612344</v>
      </c>
      <c r="I1562" s="594">
        <v>413.09488051631331</v>
      </c>
      <c r="J1562" s="597"/>
    </row>
    <row r="1563" spans="1:10">
      <c r="A1563" s="586" t="s">
        <v>2272</v>
      </c>
      <c r="B1563" s="615">
        <v>139.84</v>
      </c>
      <c r="C1563" s="609">
        <v>413.71800000000002</v>
      </c>
      <c r="D1563" s="594">
        <v>200.21788477162792</v>
      </c>
      <c r="E1563" s="594">
        <v>440.56595553176692</v>
      </c>
      <c r="F1563" s="595">
        <v>121.92331730059493</v>
      </c>
      <c r="G1563" s="596">
        <v>396.78839562326732</v>
      </c>
      <c r="H1563" s="594">
        <v>464.88135324992004</v>
      </c>
      <c r="I1563" s="594">
        <v>420.55857965909331</v>
      </c>
      <c r="J1563" s="597"/>
    </row>
    <row r="1564" spans="1:10">
      <c r="A1564" s="586" t="s">
        <v>2272</v>
      </c>
      <c r="B1564" s="615">
        <v>159.81700000000001</v>
      </c>
      <c r="C1564" s="609">
        <v>415.88400000000001</v>
      </c>
      <c r="D1564" s="594">
        <v>201.77050567461777</v>
      </c>
      <c r="E1564" s="594">
        <v>443.07307948565222</v>
      </c>
      <c r="F1564" s="595">
        <v>128.72501730283031</v>
      </c>
      <c r="G1564" s="596">
        <v>398.00451439180597</v>
      </c>
      <c r="H1564" s="594">
        <v>464.90280443317835</v>
      </c>
      <c r="I1564" s="594">
        <v>426.98193943761532</v>
      </c>
      <c r="J1564" s="597"/>
    </row>
    <row r="1565" spans="1:10">
      <c r="A1565" s="586" t="s">
        <v>2272</v>
      </c>
      <c r="B1565" s="615">
        <v>179.79499999999999</v>
      </c>
      <c r="C1565" s="609">
        <v>420.21699999999998</v>
      </c>
      <c r="D1565" s="594">
        <v>202.87714774129122</v>
      </c>
      <c r="E1565" s="594">
        <v>444.81125142635375</v>
      </c>
      <c r="F1565" s="595">
        <v>134.87095001791675</v>
      </c>
      <c r="G1565" s="596">
        <v>398.95666864934219</v>
      </c>
      <c r="H1565" s="594">
        <v>464.90794490189512</v>
      </c>
      <c r="I1565" s="594">
        <v>432.41609081374094</v>
      </c>
      <c r="J1565" s="597"/>
    </row>
    <row r="1566" spans="1:10">
      <c r="A1566" s="586" t="s">
        <v>2272</v>
      </c>
      <c r="B1566" s="615">
        <v>200.34200000000001</v>
      </c>
      <c r="C1566" s="609">
        <v>407.22</v>
      </c>
      <c r="D1566" s="594">
        <v>203.70268844983977</v>
      </c>
      <c r="E1566" s="594">
        <v>446.07452820409299</v>
      </c>
      <c r="F1566" s="595">
        <v>140.62121240878139</v>
      </c>
      <c r="G1566" s="596">
        <v>399.74197595533462</v>
      </c>
      <c r="H1566" s="594">
        <v>464.90919209756362</v>
      </c>
      <c r="I1566" s="594">
        <v>437.18750294713766</v>
      </c>
      <c r="J1566" s="597"/>
    </row>
    <row r="1567" spans="1:10">
      <c r="A1567" s="619" t="s">
        <v>2273</v>
      </c>
      <c r="B1567" s="620">
        <v>0.57077599999999995</v>
      </c>
      <c r="C1567" s="621">
        <v>56.317700000000002</v>
      </c>
      <c r="D1567" s="622"/>
      <c r="E1567" s="622"/>
      <c r="F1567" s="623"/>
      <c r="G1567" s="624"/>
      <c r="H1567" s="622"/>
      <c r="I1567" s="622"/>
      <c r="J1567" s="625"/>
    </row>
    <row r="1568" spans="1:10">
      <c r="A1568" s="585" t="s">
        <v>2273</v>
      </c>
      <c r="B1568" s="614">
        <v>1.7123299999999999</v>
      </c>
      <c r="C1568" s="608">
        <v>162.45500000000001</v>
      </c>
      <c r="D1568" s="590">
        <v>28.923364139309538</v>
      </c>
      <c r="E1568" s="590">
        <v>79.047327951996238</v>
      </c>
      <c r="F1568" s="591">
        <v>11.763891563738568</v>
      </c>
      <c r="G1568" s="592">
        <v>98.287553395947427</v>
      </c>
      <c r="H1568" s="590">
        <v>10.768396902508522</v>
      </c>
      <c r="I1568" s="590">
        <v>46.391278529234654</v>
      </c>
      <c r="J1568" s="593"/>
    </row>
    <row r="1569" spans="1:10">
      <c r="A1569" s="585" t="s">
        <v>2273</v>
      </c>
      <c r="B1569" s="614">
        <v>2.2831100000000002</v>
      </c>
      <c r="C1569" s="608">
        <v>188.44800000000001</v>
      </c>
      <c r="D1569" s="590">
        <v>38.600858186842558</v>
      </c>
      <c r="E1569" s="590">
        <v>105.49584348581533</v>
      </c>
      <c r="F1569" s="591">
        <v>15.781343019597374</v>
      </c>
      <c r="G1569" s="592">
        <v>130.15055889896831</v>
      </c>
      <c r="H1569" s="590">
        <v>22.042357673185126</v>
      </c>
      <c r="I1569" s="590">
        <v>63.587996593398444</v>
      </c>
      <c r="J1569" s="593"/>
    </row>
    <row r="1570" spans="1:10">
      <c r="A1570" s="585" t="s">
        <v>2273</v>
      </c>
      <c r="B1570" s="614">
        <v>5.7077600000000004</v>
      </c>
      <c r="C1570" s="608">
        <v>229.60300000000001</v>
      </c>
      <c r="D1570" s="590">
        <v>71.549450975235828</v>
      </c>
      <c r="E1570" s="590">
        <v>195.5440898501152</v>
      </c>
      <c r="F1570" s="591">
        <v>30.14620804020068</v>
      </c>
      <c r="G1570" s="592">
        <v>231.53698465265774</v>
      </c>
      <c r="H1570" s="590">
        <v>97.679144808441137</v>
      </c>
      <c r="I1570" s="590">
        <v>126.39922114476637</v>
      </c>
      <c r="J1570" s="593"/>
    </row>
    <row r="1571" spans="1:10">
      <c r="A1571" s="585" t="s">
        <v>2273</v>
      </c>
      <c r="B1571" s="614">
        <v>6.8493199999999996</v>
      </c>
      <c r="C1571" s="608">
        <v>255.596</v>
      </c>
      <c r="D1571" s="590">
        <v>78.911466723721247</v>
      </c>
      <c r="E1571" s="590">
        <v>215.66442130448317</v>
      </c>
      <c r="F1571" s="591">
        <v>33.572537267455964</v>
      </c>
      <c r="G1571" s="592">
        <v>252.37129930278707</v>
      </c>
      <c r="H1571" s="590">
        <v>122.33392911602046</v>
      </c>
      <c r="I1571" s="590">
        <v>141.41839199589083</v>
      </c>
      <c r="J1571" s="593"/>
    </row>
    <row r="1572" spans="1:10">
      <c r="A1572" s="585" t="s">
        <v>2273</v>
      </c>
      <c r="B1572" s="614">
        <v>10.273999999999999</v>
      </c>
      <c r="C1572" s="608">
        <v>285.92099999999999</v>
      </c>
      <c r="D1572" s="590">
        <v>96.336331951336447</v>
      </c>
      <c r="E1572" s="590">
        <v>263.28644167294493</v>
      </c>
      <c r="F1572" s="591">
        <v>42.158690306486925</v>
      </c>
      <c r="G1572" s="592">
        <v>298.75276926084513</v>
      </c>
      <c r="H1572" s="590">
        <v>189.81600191727549</v>
      </c>
      <c r="I1572" s="590">
        <v>178.71512848781126</v>
      </c>
      <c r="J1572" s="593"/>
    </row>
    <row r="1573" spans="1:10">
      <c r="A1573" s="585" t="s">
        <v>2273</v>
      </c>
      <c r="B1573" s="614">
        <v>13.698600000000001</v>
      </c>
      <c r="C1573" s="608">
        <v>316.245</v>
      </c>
      <c r="D1573" s="590">
        <v>109.4395442432879</v>
      </c>
      <c r="E1573" s="590">
        <v>299.0974183725329</v>
      </c>
      <c r="F1573" s="591">
        <v>49.199417374654168</v>
      </c>
      <c r="G1573" s="592">
        <v>330.90019014477639</v>
      </c>
      <c r="H1573" s="590">
        <v>246.35729686459302</v>
      </c>
      <c r="I1573" s="590">
        <v>208.68462704873087</v>
      </c>
      <c r="J1573" s="593"/>
    </row>
    <row r="1574" spans="1:10">
      <c r="A1574" s="585" t="s">
        <v>2273</v>
      </c>
      <c r="B1574" s="614">
        <v>17.694099999999999</v>
      </c>
      <c r="C1574" s="608">
        <v>350.90300000000002</v>
      </c>
      <c r="D1574" s="590">
        <v>121.40555280707531</v>
      </c>
      <c r="E1574" s="590">
        <v>331.80042617834204</v>
      </c>
      <c r="F1574" s="591">
        <v>56.234735641552383</v>
      </c>
      <c r="G1574" s="592">
        <v>358.27792349588856</v>
      </c>
      <c r="H1574" s="590">
        <v>299.27492527404837</v>
      </c>
      <c r="I1574" s="590">
        <v>237.83928673147238</v>
      </c>
      <c r="J1574" s="593"/>
    </row>
    <row r="1575" spans="1:10">
      <c r="A1575" s="585" t="s">
        <v>2273</v>
      </c>
      <c r="B1575" s="614">
        <v>23.9726</v>
      </c>
      <c r="C1575" s="608">
        <v>381.22699999999998</v>
      </c>
      <c r="D1575" s="590">
        <v>135.6254256759301</v>
      </c>
      <c r="E1575" s="590">
        <v>370.66322750000364</v>
      </c>
      <c r="F1575" s="591">
        <v>65.646249370231189</v>
      </c>
      <c r="G1575" s="592">
        <v>388.53396808848157</v>
      </c>
      <c r="H1575" s="590">
        <v>359.23585069206928</v>
      </c>
      <c r="I1575" s="590">
        <v>275.26341664431732</v>
      </c>
      <c r="J1575" s="593"/>
    </row>
    <row r="1576" spans="1:10">
      <c r="A1576" s="585" t="s">
        <v>2273</v>
      </c>
      <c r="B1576" s="614">
        <v>28.538799999999998</v>
      </c>
      <c r="C1576" s="608">
        <v>400.72199999999998</v>
      </c>
      <c r="D1576" s="590">
        <v>143.60992199713783</v>
      </c>
      <c r="E1576" s="590">
        <v>392.48479349053173</v>
      </c>
      <c r="F1576" s="591">
        <v>71.622525465737084</v>
      </c>
      <c r="G1576" s="592">
        <v>404.54884879335651</v>
      </c>
      <c r="H1576" s="590">
        <v>389.39168046948515</v>
      </c>
      <c r="I1576" s="590">
        <v>297.91926862496217</v>
      </c>
      <c r="J1576" s="593"/>
    </row>
    <row r="1577" spans="1:10">
      <c r="A1577" s="585" t="s">
        <v>2273</v>
      </c>
      <c r="B1577" s="614">
        <v>30.251100000000001</v>
      </c>
      <c r="C1577" s="608">
        <v>402.88799999999998</v>
      </c>
      <c r="D1577" s="590">
        <v>146.22383423281806</v>
      </c>
      <c r="E1577" s="590">
        <v>399.62859518442701</v>
      </c>
      <c r="F1577" s="591">
        <v>73.718773226086157</v>
      </c>
      <c r="G1577" s="592">
        <v>409.6560404567195</v>
      </c>
      <c r="H1577" s="590">
        <v>398.46670500201509</v>
      </c>
      <c r="I1577" s="590">
        <v>305.64008567624421</v>
      </c>
      <c r="J1577" s="593"/>
    </row>
    <row r="1578" spans="1:10">
      <c r="A1578" s="585" t="s">
        <v>2273</v>
      </c>
      <c r="B1578" s="614">
        <v>34.246600000000001</v>
      </c>
      <c r="C1578" s="608">
        <v>415.88400000000001</v>
      </c>
      <c r="D1578" s="590">
        <v>151.6688191095925</v>
      </c>
      <c r="E1578" s="590">
        <v>414.50969626156905</v>
      </c>
      <c r="F1578" s="591">
        <v>78.35307961820935</v>
      </c>
      <c r="G1578" s="592">
        <v>420.10131716397188</v>
      </c>
      <c r="H1578" s="590">
        <v>415.86506525373738</v>
      </c>
      <c r="I1578" s="590">
        <v>322.26595653443587</v>
      </c>
      <c r="J1578" s="593"/>
    </row>
    <row r="1579" spans="1:10">
      <c r="A1579" s="585" t="s">
        <v>2273</v>
      </c>
      <c r="B1579" s="614">
        <v>39.383600000000001</v>
      </c>
      <c r="C1579" s="608">
        <v>420.21699999999998</v>
      </c>
      <c r="D1579" s="590">
        <v>157.56459636709013</v>
      </c>
      <c r="E1579" s="590">
        <v>430.62280938909549</v>
      </c>
      <c r="F1579" s="591">
        <v>83.861789501390192</v>
      </c>
      <c r="G1579" s="592">
        <v>431.15147461778025</v>
      </c>
      <c r="H1579" s="590">
        <v>432.12171455081153</v>
      </c>
      <c r="I1579" s="590">
        <v>341.19393817590412</v>
      </c>
      <c r="J1579" s="593"/>
    </row>
    <row r="1580" spans="1:10">
      <c r="A1580" s="585" t="s">
        <v>2273</v>
      </c>
      <c r="B1580" s="614">
        <v>44.520499999999998</v>
      </c>
      <c r="C1580" s="608">
        <v>433.21300000000002</v>
      </c>
      <c r="D1580" s="590">
        <v>162.48500747317607</v>
      </c>
      <c r="E1580" s="590">
        <v>444.0702544542014</v>
      </c>
      <c r="F1580" s="591">
        <v>88.952904759312545</v>
      </c>
      <c r="G1580" s="592">
        <v>440.20629471078797</v>
      </c>
      <c r="H1580" s="590">
        <v>443.41337845478017</v>
      </c>
      <c r="I1580" s="590">
        <v>357.83635351147404</v>
      </c>
      <c r="J1580" s="593"/>
    </row>
    <row r="1581" spans="1:10">
      <c r="A1581" s="585" t="s">
        <v>2273</v>
      </c>
      <c r="B1581" s="614">
        <v>49.657499999999999</v>
      </c>
      <c r="C1581" s="608">
        <v>439.71100000000001</v>
      </c>
      <c r="D1581" s="590">
        <v>166.63944234415365</v>
      </c>
      <c r="E1581" s="590">
        <v>455.42429246028007</v>
      </c>
      <c r="F1581" s="591">
        <v>93.696388546757703</v>
      </c>
      <c r="G1581" s="592">
        <v>447.76633744874277</v>
      </c>
      <c r="H1581" s="590">
        <v>451.23988929516685</v>
      </c>
      <c r="I1581" s="590">
        <v>372.57375416253177</v>
      </c>
      <c r="J1581" s="593"/>
    </row>
    <row r="1582" spans="1:10">
      <c r="A1582" s="585" t="s">
        <v>2273</v>
      </c>
      <c r="B1582" s="614">
        <v>60.502299999999998</v>
      </c>
      <c r="C1582" s="608">
        <v>452.70800000000003</v>
      </c>
      <c r="D1582" s="590">
        <v>173.5361618778168</v>
      </c>
      <c r="E1582" s="590">
        <v>474.27297299912084</v>
      </c>
      <c r="F1582" s="591">
        <v>102.78759467733789</v>
      </c>
      <c r="G1582" s="592">
        <v>460.2450684372788</v>
      </c>
      <c r="H1582" s="590">
        <v>460.73926845646821</v>
      </c>
      <c r="I1582" s="590">
        <v>398.65898381484288</v>
      </c>
      <c r="J1582" s="593"/>
    </row>
    <row r="1583" spans="1:10">
      <c r="A1583" s="585" t="s">
        <v>2273</v>
      </c>
      <c r="B1583" s="614">
        <v>70.776300000000006</v>
      </c>
      <c r="C1583" s="608">
        <v>465.70400000000001</v>
      </c>
      <c r="D1583" s="590">
        <v>178.38963692724715</v>
      </c>
      <c r="E1583" s="590">
        <v>487.53748234496595</v>
      </c>
      <c r="F1583" s="591">
        <v>110.48085178555453</v>
      </c>
      <c r="G1583" s="592">
        <v>469.08506102336452</v>
      </c>
      <c r="H1583" s="590">
        <v>464.9386919115646</v>
      </c>
      <c r="I1583" s="590">
        <v>418.44352399897673</v>
      </c>
      <c r="J1583" s="593"/>
    </row>
    <row r="1584" spans="1:10">
      <c r="A1584" s="585" t="s">
        <v>2273</v>
      </c>
      <c r="B1584" s="614">
        <v>79.337900000000005</v>
      </c>
      <c r="C1584" s="608">
        <v>480.86599999999999</v>
      </c>
      <c r="D1584" s="590">
        <v>181.55596327766267</v>
      </c>
      <c r="E1584" s="590">
        <v>496.19102749340794</v>
      </c>
      <c r="F1584" s="591">
        <v>116.34690674280087</v>
      </c>
      <c r="G1584" s="592">
        <v>474.95089430199693</v>
      </c>
      <c r="H1584" s="590">
        <v>466.70121069791696</v>
      </c>
      <c r="I1584" s="590">
        <v>432.09311164536575</v>
      </c>
      <c r="J1584" s="593"/>
    </row>
    <row r="1585" spans="1:10">
      <c r="A1585" s="585" t="s">
        <v>2273</v>
      </c>
      <c r="B1585" s="614">
        <v>90.182599999999994</v>
      </c>
      <c r="C1585" s="608">
        <v>480.86599999999999</v>
      </c>
      <c r="D1585" s="590">
        <v>184.7327479530758</v>
      </c>
      <c r="E1585" s="590">
        <v>504.87315516226255</v>
      </c>
      <c r="F1585" s="591">
        <v>123.19145536529291</v>
      </c>
      <c r="G1585" s="592">
        <v>480.98679639136526</v>
      </c>
      <c r="H1585" s="590">
        <v>467.82024769404529</v>
      </c>
      <c r="I1585" s="590">
        <v>446.44654259021297</v>
      </c>
      <c r="J1585" s="593"/>
    </row>
    <row r="1586" spans="1:10">
      <c r="A1586" s="585" t="s">
        <v>2273</v>
      </c>
      <c r="B1586" s="614">
        <v>99.885800000000003</v>
      </c>
      <c r="C1586" s="608">
        <v>491.697</v>
      </c>
      <c r="D1586" s="590">
        <v>186.9827955716047</v>
      </c>
      <c r="E1586" s="590">
        <v>511.02251770365984</v>
      </c>
      <c r="F1586" s="591">
        <v>128.84634545956632</v>
      </c>
      <c r="G1586" s="592">
        <v>485.4072625983747</v>
      </c>
      <c r="H1586" s="590">
        <v>468.2947270541697</v>
      </c>
      <c r="I1586" s="590">
        <v>457.04050372619031</v>
      </c>
      <c r="J1586" s="593"/>
    </row>
    <row r="1587" spans="1:10">
      <c r="A1587" s="586" t="s">
        <v>2273</v>
      </c>
      <c r="B1587" s="615">
        <v>119.863</v>
      </c>
      <c r="C1587" s="609">
        <v>506.85899999999998</v>
      </c>
      <c r="D1587" s="594">
        <v>190.39005868766466</v>
      </c>
      <c r="E1587" s="594">
        <v>520.33454114798246</v>
      </c>
      <c r="F1587" s="595">
        <v>139.35006576339936</v>
      </c>
      <c r="G1587" s="596">
        <v>492.48183044723424</v>
      </c>
      <c r="H1587" s="594">
        <v>468.65165951708747</v>
      </c>
      <c r="I1587" s="594">
        <v>473.77131279921741</v>
      </c>
      <c r="J1587" s="597"/>
    </row>
    <row r="1588" spans="1:10">
      <c r="A1588" s="586" t="s">
        <v>2273</v>
      </c>
      <c r="B1588" s="615">
        <v>139.26900000000001</v>
      </c>
      <c r="C1588" s="609">
        <v>509.02499999999998</v>
      </c>
      <c r="D1588" s="594">
        <v>192.64438862561573</v>
      </c>
      <c r="E1588" s="594">
        <v>526.49560723486388</v>
      </c>
      <c r="F1588" s="595">
        <v>148.36956834192034</v>
      </c>
      <c r="G1588" s="596">
        <v>497.58282313686823</v>
      </c>
      <c r="H1588" s="594">
        <v>468.73488736188398</v>
      </c>
      <c r="I1588" s="594">
        <v>485.24268755618567</v>
      </c>
      <c r="J1588" s="597"/>
    </row>
    <row r="1589" spans="1:10">
      <c r="A1589" s="586" t="s">
        <v>2273</v>
      </c>
      <c r="B1589" s="615">
        <v>159.81700000000001</v>
      </c>
      <c r="C1589" s="609">
        <v>539.35</v>
      </c>
      <c r="D1589" s="594">
        <v>194.31516560413161</v>
      </c>
      <c r="E1589" s="594">
        <v>531.06182764820414</v>
      </c>
      <c r="F1589" s="595">
        <v>156.91095523619043</v>
      </c>
      <c r="G1589" s="596">
        <v>501.73974998707041</v>
      </c>
      <c r="H1589" s="594">
        <v>468.75590669317461</v>
      </c>
      <c r="I1589" s="594">
        <v>493.84910955675855</v>
      </c>
      <c r="J1589" s="597"/>
    </row>
    <row r="1590" spans="1:10">
      <c r="A1590" s="586" t="s">
        <v>2273</v>
      </c>
      <c r="B1590" s="615">
        <v>179.22399999999999</v>
      </c>
      <c r="C1590" s="609">
        <v>552.34699999999998</v>
      </c>
      <c r="D1590" s="594">
        <v>195.44686215703155</v>
      </c>
      <c r="E1590" s="594">
        <v>534.15474547506392</v>
      </c>
      <c r="F1590" s="595">
        <v>164.19830867826451</v>
      </c>
      <c r="G1590" s="596">
        <v>504.8526881005435</v>
      </c>
      <c r="H1590" s="594">
        <v>468.7605515757208</v>
      </c>
      <c r="I1590" s="594">
        <v>499.63281469382014</v>
      </c>
      <c r="J1590" s="597"/>
    </row>
    <row r="1591" spans="1:10">
      <c r="A1591" s="586" t="s">
        <v>2273</v>
      </c>
      <c r="B1591" s="615">
        <v>199.77199999999999</v>
      </c>
      <c r="C1591" s="609">
        <v>558.84500000000003</v>
      </c>
      <c r="D1591" s="594">
        <v>196.32565041288993</v>
      </c>
      <c r="E1591" s="594">
        <v>536.55646690437686</v>
      </c>
      <c r="F1591" s="595">
        <v>171.22602205063254</v>
      </c>
      <c r="G1591" s="596">
        <v>507.53186370932684</v>
      </c>
      <c r="H1591" s="594">
        <v>468.76172451069277</v>
      </c>
      <c r="I1591" s="594">
        <v>504.0109284386138</v>
      </c>
      <c r="J1591" s="597"/>
    </row>
    <row r="1592" spans="1:10">
      <c r="A1592" s="619" t="s">
        <v>2216</v>
      </c>
      <c r="B1592" s="620">
        <v>9.2725700000000002E-4</v>
      </c>
      <c r="C1592" s="621">
        <v>2.87079</v>
      </c>
      <c r="D1592" s="622"/>
      <c r="E1592" s="622"/>
      <c r="F1592" s="623"/>
      <c r="G1592" s="624"/>
      <c r="H1592" s="622"/>
      <c r="I1592" s="622"/>
      <c r="J1592" s="625"/>
    </row>
    <row r="1593" spans="1:10">
      <c r="A1593" s="585" t="s">
        <v>2216</v>
      </c>
      <c r="B1593" s="614">
        <v>0.39872000000000002</v>
      </c>
      <c r="C1593" s="608">
        <v>34.438299999999998</v>
      </c>
      <c r="D1593" s="590"/>
      <c r="E1593" s="590"/>
      <c r="F1593" s="591"/>
      <c r="G1593" s="592"/>
      <c r="H1593" s="590"/>
      <c r="I1593" s="590"/>
      <c r="J1593" s="593"/>
    </row>
    <row r="1594" spans="1:10">
      <c r="A1594" s="585" t="s">
        <v>2216</v>
      </c>
      <c r="B1594" s="614">
        <v>0.60457099999999997</v>
      </c>
      <c r="C1594" s="608">
        <v>71.753</v>
      </c>
      <c r="D1594" s="590">
        <v>10.71725528260489</v>
      </c>
      <c r="E1594" s="590">
        <v>34.543008066017151</v>
      </c>
      <c r="F1594" s="591">
        <v>14.446750134486757</v>
      </c>
      <c r="G1594" s="592">
        <v>35.540640145859079</v>
      </c>
      <c r="H1594" s="590">
        <v>0.40805997377795727</v>
      </c>
      <c r="I1594" s="590">
        <v>15.251509992831098</v>
      </c>
      <c r="J1594" s="593"/>
    </row>
    <row r="1595" spans="1:10">
      <c r="A1595" s="585" t="s">
        <v>2216</v>
      </c>
      <c r="B1595" s="614">
        <v>0.61477099999999996</v>
      </c>
      <c r="C1595" s="608">
        <v>103.33199999999999</v>
      </c>
      <c r="D1595" s="590">
        <v>11.22768252305228</v>
      </c>
      <c r="E1595" s="590">
        <v>36.176546521613574</v>
      </c>
      <c r="F1595" s="591">
        <v>15.134055846834956</v>
      </c>
      <c r="G1595" s="592">
        <v>37.216746804061323</v>
      </c>
      <c r="H1595" s="590">
        <v>0.46390619995775895</v>
      </c>
      <c r="I1595" s="590">
        <v>16.278024506175008</v>
      </c>
      <c r="J1595" s="593"/>
    </row>
    <row r="1596" spans="1:10">
      <c r="A1596" s="585" t="s">
        <v>2216</v>
      </c>
      <c r="B1596" s="614">
        <v>1.0172000000000001</v>
      </c>
      <c r="C1596" s="608">
        <v>149.25299999999999</v>
      </c>
      <c r="D1596" s="590">
        <v>23.8258998149132</v>
      </c>
      <c r="E1596" s="590">
        <v>75.810801357325829</v>
      </c>
      <c r="F1596" s="591">
        <v>32.053347970434224</v>
      </c>
      <c r="G1596" s="592">
        <v>77.626034570578312</v>
      </c>
      <c r="H1596" s="590">
        <v>3.6282131604371202</v>
      </c>
      <c r="I1596" s="590">
        <v>46.224360808379686</v>
      </c>
      <c r="J1596" s="593"/>
    </row>
    <row r="1597" spans="1:10">
      <c r="A1597" s="585" t="s">
        <v>2216</v>
      </c>
      <c r="B1597" s="614">
        <v>1.8025899999999999</v>
      </c>
      <c r="C1597" s="608">
        <v>180.809</v>
      </c>
      <c r="D1597" s="590">
        <v>37.785364555543744</v>
      </c>
      <c r="E1597" s="590">
        <v>117.39347841465128</v>
      </c>
      <c r="F1597" s="591">
        <v>50.642946771097449</v>
      </c>
      <c r="G1597" s="592">
        <v>119.2330290458859</v>
      </c>
      <c r="H1597" s="590">
        <v>12.310367096423088</v>
      </c>
      <c r="I1597" s="590">
        <v>85.767981771408216</v>
      </c>
      <c r="J1597" s="593"/>
    </row>
    <row r="1598" spans="1:10">
      <c r="A1598" s="585" t="s">
        <v>2216</v>
      </c>
      <c r="B1598" s="614">
        <v>2.77528</v>
      </c>
      <c r="C1598" s="608">
        <v>192.26499999999999</v>
      </c>
      <c r="D1598" s="590">
        <v>49.89599075493603</v>
      </c>
      <c r="E1598" s="590">
        <v>150.67710035479305</v>
      </c>
      <c r="F1598" s="591">
        <v>66.568221641323547</v>
      </c>
      <c r="G1598" s="592">
        <v>151.75269989375295</v>
      </c>
      <c r="H1598" s="590">
        <v>24.826385488879026</v>
      </c>
      <c r="I1598" s="590">
        <v>122.1130859775361</v>
      </c>
      <c r="J1598" s="593"/>
    </row>
    <row r="1599" spans="1:10">
      <c r="A1599" s="585" t="s">
        <v>2216</v>
      </c>
      <c r="B1599" s="614">
        <v>3.5569600000000001</v>
      </c>
      <c r="C1599" s="608">
        <v>212.33799999999999</v>
      </c>
      <c r="D1599" s="590">
        <v>57.795611354699055</v>
      </c>
      <c r="E1599" s="590">
        <v>170.73852078880964</v>
      </c>
      <c r="F1599" s="591">
        <v>76.826646247666588</v>
      </c>
      <c r="G1599" s="592">
        <v>170.98006838652628</v>
      </c>
      <c r="H1599" s="590">
        <v>35.324610809346588</v>
      </c>
      <c r="I1599" s="590">
        <v>145.72627358580934</v>
      </c>
      <c r="J1599" s="593"/>
    </row>
    <row r="1600" spans="1:10">
      <c r="A1600" s="585" t="s">
        <v>2216</v>
      </c>
      <c r="B1600" s="614">
        <v>4.5315000000000003</v>
      </c>
      <c r="C1600" s="608">
        <v>229.535</v>
      </c>
      <c r="D1600" s="590">
        <v>66.315017991920968</v>
      </c>
      <c r="E1600" s="590">
        <v>190.8010979720529</v>
      </c>
      <c r="F1600" s="591">
        <v>87.75582568168879</v>
      </c>
      <c r="G1600" s="592">
        <v>189.93048116732461</v>
      </c>
      <c r="H1600" s="590">
        <v>48.358677806380108</v>
      </c>
      <c r="I1600" s="590">
        <v>170.44511153587229</v>
      </c>
      <c r="J1600" s="593"/>
    </row>
    <row r="1601" spans="1:10">
      <c r="A1601" s="585" t="s">
        <v>2216</v>
      </c>
      <c r="B1601" s="614">
        <v>5.8945699999999999</v>
      </c>
      <c r="C1601" s="608">
        <v>249.59200000000001</v>
      </c>
      <c r="D1601" s="590">
        <v>76.619306711444409</v>
      </c>
      <c r="E1601" s="590">
        <v>212.82079874010157</v>
      </c>
      <c r="F1601" s="591">
        <v>100.76533812979856</v>
      </c>
      <c r="G1601" s="592">
        <v>210.4409792652674</v>
      </c>
      <c r="H1601" s="590">
        <v>65.846594835868444</v>
      </c>
      <c r="I1601" s="590">
        <v>198.62390491855635</v>
      </c>
      <c r="J1601" s="593"/>
    </row>
    <row r="1602" spans="1:10">
      <c r="A1602" s="585" t="s">
        <v>2216</v>
      </c>
      <c r="B1602" s="614">
        <v>7.45329</v>
      </c>
      <c r="C1602" s="608">
        <v>275.38400000000001</v>
      </c>
      <c r="D1602" s="590">
        <v>86.868598880637762</v>
      </c>
      <c r="E1602" s="590">
        <v>232.28711254834738</v>
      </c>
      <c r="F1602" s="591">
        <v>113.45262295845836</v>
      </c>
      <c r="G1602" s="592">
        <v>228.380293305782</v>
      </c>
      <c r="H1602" s="590">
        <v>84.233207949319976</v>
      </c>
      <c r="I1602" s="590">
        <v>224.17661093740114</v>
      </c>
      <c r="J1602" s="593"/>
    </row>
    <row r="1603" spans="1:10">
      <c r="A1603" s="585" t="s">
        <v>2216</v>
      </c>
      <c r="B1603" s="614">
        <v>8.8145000000000007</v>
      </c>
      <c r="C1603" s="608">
        <v>289.69900000000001</v>
      </c>
      <c r="D1603" s="590">
        <v>94.878872770105701</v>
      </c>
      <c r="E1603" s="590">
        <v>245.85760712417394</v>
      </c>
      <c r="F1603" s="591">
        <v>123.17721043905244</v>
      </c>
      <c r="G1603" s="592">
        <v>240.83015886269322</v>
      </c>
      <c r="H1603" s="590">
        <v>98.682769372652658</v>
      </c>
      <c r="I1603" s="590">
        <v>242.14547529355346</v>
      </c>
      <c r="J1603" s="593"/>
    </row>
    <row r="1604" spans="1:10">
      <c r="A1604" s="585" t="s">
        <v>2216</v>
      </c>
      <c r="B1604" s="614">
        <v>9.4023800000000008</v>
      </c>
      <c r="C1604" s="608">
        <v>309.77800000000002</v>
      </c>
      <c r="D1604" s="590">
        <v>98.125490733766782</v>
      </c>
      <c r="E1604" s="590">
        <v>250.96207173504646</v>
      </c>
      <c r="F1604" s="591">
        <v>127.06826517095847</v>
      </c>
      <c r="G1604" s="592">
        <v>245.51255168218466</v>
      </c>
      <c r="H1604" s="590">
        <v>104.45160724027451</v>
      </c>
      <c r="I1604" s="590">
        <v>248.89548912181019</v>
      </c>
      <c r="J1604" s="593"/>
    </row>
    <row r="1605" spans="1:10">
      <c r="A1605" s="585" t="s">
        <v>2216</v>
      </c>
      <c r="B1605" s="614">
        <v>9.7918299999999991</v>
      </c>
      <c r="C1605" s="608">
        <v>315.50799999999998</v>
      </c>
      <c r="D1605" s="590">
        <v>100.21482729868909</v>
      </c>
      <c r="E1605" s="590">
        <v>254.12974287638386</v>
      </c>
      <c r="F1605" s="591">
        <v>129.556495480232</v>
      </c>
      <c r="G1605" s="592">
        <v>248.42054435332216</v>
      </c>
      <c r="H1605" s="590">
        <v>108.11882178698848</v>
      </c>
      <c r="I1605" s="590">
        <v>253.07336323093404</v>
      </c>
      <c r="J1605" s="593"/>
    </row>
    <row r="1606" spans="1:10">
      <c r="A1606" s="585" t="s">
        <v>2216</v>
      </c>
      <c r="B1606" s="614">
        <v>10.7645</v>
      </c>
      <c r="C1606" s="608">
        <v>326.964</v>
      </c>
      <c r="D1606" s="590">
        <v>105.24036962890584</v>
      </c>
      <c r="E1606" s="590">
        <v>261.38249569786581</v>
      </c>
      <c r="F1606" s="591">
        <v>135.48968162900377</v>
      </c>
      <c r="G1606" s="592">
        <v>255.09134391373939</v>
      </c>
      <c r="H1606" s="590">
        <v>116.75290564616198</v>
      </c>
      <c r="I1606" s="590">
        <v>262.58616693836154</v>
      </c>
      <c r="J1606" s="593"/>
    </row>
    <row r="1607" spans="1:10">
      <c r="A1607" s="585" t="s">
        <v>2216</v>
      </c>
      <c r="B1607" s="614">
        <v>11.5434</v>
      </c>
      <c r="C1607" s="608">
        <v>338.42500000000001</v>
      </c>
      <c r="D1607" s="590">
        <v>109.0863928512611</v>
      </c>
      <c r="E1607" s="590">
        <v>266.59348007499608</v>
      </c>
      <c r="F1607" s="591">
        <v>139.97985674421065</v>
      </c>
      <c r="G1607" s="592">
        <v>259.90132282764176</v>
      </c>
      <c r="H1607" s="590">
        <v>123.14439279619873</v>
      </c>
      <c r="I1607" s="590">
        <v>269.35414667658796</v>
      </c>
      <c r="J1607" s="593"/>
    </row>
    <row r="1608" spans="1:10">
      <c r="A1608" s="585" t="s">
        <v>2216</v>
      </c>
      <c r="B1608" s="614">
        <v>12.513299999999999</v>
      </c>
      <c r="C1608" s="608">
        <v>341.26799999999997</v>
      </c>
      <c r="D1608" s="590">
        <v>113.68005693734064</v>
      </c>
      <c r="E1608" s="590">
        <v>272.44672008113753</v>
      </c>
      <c r="F1608" s="591">
        <v>145.28424192102386</v>
      </c>
      <c r="G1608" s="592">
        <v>265.33002044730125</v>
      </c>
      <c r="H1608" s="590">
        <v>130.48643293858188</v>
      </c>
      <c r="I1608" s="590">
        <v>276.86048869501911</v>
      </c>
      <c r="J1608" s="593"/>
    </row>
    <row r="1609" spans="1:10">
      <c r="A1609" s="585" t="s">
        <v>2216</v>
      </c>
      <c r="B1609" s="614">
        <v>14.260300000000001</v>
      </c>
      <c r="C1609" s="608">
        <v>349.83</v>
      </c>
      <c r="D1609" s="590">
        <v>121.48112705434002</v>
      </c>
      <c r="E1609" s="590">
        <v>281.50960836983694</v>
      </c>
      <c r="F1609" s="591">
        <v>154.14245117142187</v>
      </c>
      <c r="G1609" s="592">
        <v>273.81557821837089</v>
      </c>
      <c r="H1609" s="590">
        <v>142.11569012449931</v>
      </c>
      <c r="I1609" s="590">
        <v>288.20063789405475</v>
      </c>
      <c r="J1609" s="593"/>
    </row>
    <row r="1610" spans="1:10">
      <c r="A1610" s="585" t="s">
        <v>2216</v>
      </c>
      <c r="B1610" s="614">
        <v>16.202000000000002</v>
      </c>
      <c r="C1610" s="608">
        <v>361.25700000000001</v>
      </c>
      <c r="D1610" s="590">
        <v>129.55147637993559</v>
      </c>
      <c r="E1610" s="590">
        <v>289.80457709309576</v>
      </c>
      <c r="F1610" s="591">
        <v>163.10277275299563</v>
      </c>
      <c r="G1610" s="592">
        <v>281.70981776443864</v>
      </c>
      <c r="H1610" s="590">
        <v>152.90333271539029</v>
      </c>
      <c r="I1610" s="590">
        <v>298.15239687617208</v>
      </c>
      <c r="J1610" s="593"/>
    </row>
    <row r="1611" spans="1:10">
      <c r="A1611" s="585" t="s">
        <v>2216</v>
      </c>
      <c r="B1611" s="614">
        <v>17.948899999999998</v>
      </c>
      <c r="C1611" s="608">
        <v>369.82</v>
      </c>
      <c r="D1611" s="590">
        <v>136.36208431057361</v>
      </c>
      <c r="E1611" s="590">
        <v>296.02144661761781</v>
      </c>
      <c r="F1611" s="591">
        <v>170.49945529413966</v>
      </c>
      <c r="G1611" s="592">
        <v>287.74370305742178</v>
      </c>
      <c r="H1611" s="590">
        <v>160.95931164876359</v>
      </c>
      <c r="I1611" s="590">
        <v>305.24043047873056</v>
      </c>
      <c r="J1611" s="593"/>
    </row>
    <row r="1612" spans="1:10">
      <c r="A1612" s="585" t="s">
        <v>2216</v>
      </c>
      <c r="B1612" s="614">
        <v>19.8887</v>
      </c>
      <c r="C1612" s="608">
        <v>375.50599999999997</v>
      </c>
      <c r="D1612" s="590">
        <v>143.50199537641694</v>
      </c>
      <c r="E1612" s="590">
        <v>301.83666905545402</v>
      </c>
      <c r="F1612" s="591">
        <v>178.08869946065769</v>
      </c>
      <c r="G1612" s="592">
        <v>293.51451085399771</v>
      </c>
      <c r="H1612" s="590">
        <v>168.36190014013872</v>
      </c>
      <c r="I1612" s="590">
        <v>311.49521144397471</v>
      </c>
      <c r="J1612" s="593"/>
    </row>
    <row r="1613" spans="1:10">
      <c r="A1613" s="585" t="s">
        <v>2216</v>
      </c>
      <c r="B1613" s="614">
        <v>21.8276</v>
      </c>
      <c r="C1613" s="608">
        <v>378.32100000000003</v>
      </c>
      <c r="D1613" s="590">
        <v>150.25558268065492</v>
      </c>
      <c r="E1613" s="590">
        <v>306.73367019763015</v>
      </c>
      <c r="F1613" s="591">
        <v>185.10978744293519</v>
      </c>
      <c r="G1613" s="592">
        <v>298.50079034238962</v>
      </c>
      <c r="H1613" s="590">
        <v>174.40462698318785</v>
      </c>
      <c r="I1613" s="590">
        <v>316.41262070106319</v>
      </c>
      <c r="J1613" s="593"/>
    </row>
    <row r="1614" spans="1:10">
      <c r="A1614" s="585" t="s">
        <v>2216</v>
      </c>
      <c r="B1614" s="614">
        <v>23.573599999999999</v>
      </c>
      <c r="C1614" s="608">
        <v>384.012</v>
      </c>
      <c r="D1614" s="590">
        <v>156.05109113646935</v>
      </c>
      <c r="E1614" s="590">
        <v>310.50906500049535</v>
      </c>
      <c r="F1614" s="591">
        <v>191.01165591015834</v>
      </c>
      <c r="G1614" s="592">
        <v>302.44750251485635</v>
      </c>
      <c r="H1614" s="590">
        <v>178.88246504146099</v>
      </c>
      <c r="I1614" s="590">
        <v>319.9416090645679</v>
      </c>
      <c r="J1614" s="593"/>
    </row>
    <row r="1615" spans="1:10">
      <c r="A1615" s="585" t="s">
        <v>2216</v>
      </c>
      <c r="B1615" s="614">
        <v>25.512499999999999</v>
      </c>
      <c r="C1615" s="608">
        <v>386.827</v>
      </c>
      <c r="D1615" s="590">
        <v>162.20600324456208</v>
      </c>
      <c r="E1615" s="590">
        <v>314.1241553929197</v>
      </c>
      <c r="F1615" s="591">
        <v>197.15422026002531</v>
      </c>
      <c r="G1615" s="592">
        <v>306.33261560010476</v>
      </c>
      <c r="H1615" s="590">
        <v>182.97013144516836</v>
      </c>
      <c r="I1615" s="590">
        <v>323.07124934676204</v>
      </c>
      <c r="J1615" s="593"/>
    </row>
    <row r="1616" spans="1:10">
      <c r="A1616" s="585" t="s">
        <v>2216</v>
      </c>
      <c r="B1616" s="614">
        <v>27.4514</v>
      </c>
      <c r="C1616" s="608">
        <v>389.64299999999997</v>
      </c>
      <c r="D1616" s="590">
        <v>168.0969992141153</v>
      </c>
      <c r="E1616" s="590">
        <v>317.23611825238481</v>
      </c>
      <c r="F1616" s="591">
        <v>202.91213694800831</v>
      </c>
      <c r="G1616" s="592">
        <v>309.78044471203128</v>
      </c>
      <c r="H1616" s="590">
        <v>186.29025076851954</v>
      </c>
      <c r="I1616" s="590">
        <v>325.5426082130171</v>
      </c>
      <c r="J1616" s="593"/>
    </row>
    <row r="1617" spans="1:10">
      <c r="A1617" s="585" t="s">
        <v>2216</v>
      </c>
      <c r="B1617" s="614">
        <v>29.1965</v>
      </c>
      <c r="C1617" s="608">
        <v>392.46300000000002</v>
      </c>
      <c r="D1617" s="590">
        <v>173.19605275777121</v>
      </c>
      <c r="E1617" s="590">
        <v>319.67799720037232</v>
      </c>
      <c r="F1617" s="591">
        <v>207.80014991115692</v>
      </c>
      <c r="G1617" s="592">
        <v>312.56829066195468</v>
      </c>
      <c r="H1617" s="590">
        <v>188.73931411021897</v>
      </c>
      <c r="I1617" s="590">
        <v>327.32045162338221</v>
      </c>
      <c r="J1617" s="593"/>
    </row>
    <row r="1618" spans="1:10">
      <c r="A1618" s="585" t="s">
        <v>2216</v>
      </c>
      <c r="B1618" s="614">
        <v>31.134499999999999</v>
      </c>
      <c r="C1618" s="608">
        <v>392.40800000000002</v>
      </c>
      <c r="D1618" s="590">
        <v>178.65424985915683</v>
      </c>
      <c r="E1618" s="590">
        <v>322.05445373731231</v>
      </c>
      <c r="F1618" s="591">
        <v>212.93396395555047</v>
      </c>
      <c r="G1618" s="592">
        <v>315.36607521214808</v>
      </c>
      <c r="H1618" s="590">
        <v>190.96811990854266</v>
      </c>
      <c r="I1618" s="590">
        <v>328.90085719249805</v>
      </c>
      <c r="J1618" s="593"/>
    </row>
    <row r="1619" spans="1:10">
      <c r="A1619" s="585" t="s">
        <v>2216</v>
      </c>
      <c r="B1619" s="614">
        <v>33.073399999999999</v>
      </c>
      <c r="C1619" s="608">
        <v>395.22300000000001</v>
      </c>
      <c r="D1619" s="590">
        <v>183.91843223003082</v>
      </c>
      <c r="E1619" s="590">
        <v>324.13279999479067</v>
      </c>
      <c r="F1619" s="591">
        <v>217.78905805426405</v>
      </c>
      <c r="G1619" s="592">
        <v>317.89532325311808</v>
      </c>
      <c r="H1619" s="590">
        <v>192.77446155301234</v>
      </c>
      <c r="I1619" s="590">
        <v>330.15178353891207</v>
      </c>
      <c r="J1619" s="593"/>
    </row>
    <row r="1620" spans="1:10">
      <c r="A1620" s="585" t="s">
        <v>2216</v>
      </c>
      <c r="B1620" s="614">
        <v>35.011400000000002</v>
      </c>
      <c r="C1620" s="608">
        <v>395.16699999999997</v>
      </c>
      <c r="D1620" s="590">
        <v>189.00040676259846</v>
      </c>
      <c r="E1620" s="590">
        <v>325.95666865625799</v>
      </c>
      <c r="F1620" s="591">
        <v>222.38679606341893</v>
      </c>
      <c r="G1620" s="592">
        <v>320.191102286795</v>
      </c>
      <c r="H1620" s="590">
        <v>194.23619954263964</v>
      </c>
      <c r="I1620" s="590">
        <v>331.1413749320518</v>
      </c>
      <c r="J1620" s="593"/>
    </row>
    <row r="1621" spans="1:10">
      <c r="A1621" s="585" t="s">
        <v>2216</v>
      </c>
      <c r="B1621" s="614">
        <v>36.949300000000001</v>
      </c>
      <c r="C1621" s="608">
        <v>395.11200000000002</v>
      </c>
      <c r="D1621" s="590">
        <v>193.91681431307009</v>
      </c>
      <c r="E1621" s="590">
        <v>327.5643331206652</v>
      </c>
      <c r="F1621" s="591">
        <v>226.75165804818073</v>
      </c>
      <c r="G1621" s="592">
        <v>322.28529481754822</v>
      </c>
      <c r="H1621" s="590">
        <v>195.41907970198588</v>
      </c>
      <c r="I1621" s="590">
        <v>331.92483461097356</v>
      </c>
      <c r="J1621" s="593"/>
    </row>
    <row r="1622" spans="1:10">
      <c r="A1622" s="585" t="s">
        <v>2216</v>
      </c>
      <c r="B1622" s="614">
        <v>38.887300000000003</v>
      </c>
      <c r="C1622" s="608">
        <v>395.05599999999998</v>
      </c>
      <c r="D1622" s="590">
        <v>198.68069847213584</v>
      </c>
      <c r="E1622" s="590">
        <v>328.98678038435594</v>
      </c>
      <c r="F1622" s="591">
        <v>230.90361826524602</v>
      </c>
      <c r="G1622" s="592">
        <v>324.20364270640698</v>
      </c>
      <c r="H1622" s="590">
        <v>196.37604337461482</v>
      </c>
      <c r="I1622" s="590">
        <v>332.54531048113444</v>
      </c>
      <c r="J1622" s="593"/>
    </row>
    <row r="1623" spans="1:10">
      <c r="A1623" s="585" t="s">
        <v>2216</v>
      </c>
      <c r="B1623" s="614">
        <v>40.825299999999999</v>
      </c>
      <c r="C1623" s="608">
        <v>395</v>
      </c>
      <c r="D1623" s="590">
        <v>203.30279641453745</v>
      </c>
      <c r="E1623" s="590">
        <v>330.24955731607594</v>
      </c>
      <c r="F1623" s="591">
        <v>234.85959501770802</v>
      </c>
      <c r="G1623" s="592">
        <v>325.96740394130359</v>
      </c>
      <c r="H1623" s="590">
        <v>197.14996303491858</v>
      </c>
      <c r="I1623" s="590">
        <v>333.03677113514681</v>
      </c>
      <c r="J1623" s="593"/>
    </row>
    <row r="1624" spans="1:10">
      <c r="A1624" s="585" t="s">
        <v>2216</v>
      </c>
      <c r="B1624" s="614">
        <v>42.764200000000002</v>
      </c>
      <c r="C1624" s="608">
        <v>397.815</v>
      </c>
      <c r="D1624" s="590">
        <v>207.79487235024339</v>
      </c>
      <c r="E1624" s="590">
        <v>331.37461497164162</v>
      </c>
      <c r="F1624" s="591">
        <v>238.63645787487746</v>
      </c>
      <c r="G1624" s="592">
        <v>327.59533618790721</v>
      </c>
      <c r="H1624" s="590">
        <v>197.77596169214829</v>
      </c>
      <c r="I1624" s="590">
        <v>333.42626028413321</v>
      </c>
      <c r="J1624" s="593"/>
    </row>
    <row r="1625" spans="1:10">
      <c r="A1625" s="585" t="s">
        <v>2216</v>
      </c>
      <c r="B1625" s="614">
        <v>44.702100000000002</v>
      </c>
      <c r="C1625" s="608">
        <v>397.76</v>
      </c>
      <c r="D1625" s="590">
        <v>212.16116171868268</v>
      </c>
      <c r="E1625" s="590">
        <v>332.37893374454404</v>
      </c>
      <c r="F1625" s="591">
        <v>242.24399267619015</v>
      </c>
      <c r="G1625" s="592">
        <v>329.10118055055989</v>
      </c>
      <c r="H1625" s="590">
        <v>198.28171943162164</v>
      </c>
      <c r="I1625" s="590">
        <v>333.73466944805699</v>
      </c>
      <c r="J1625" s="593"/>
    </row>
    <row r="1626" spans="1:10">
      <c r="A1626" s="585" t="s">
        <v>2216</v>
      </c>
      <c r="B1626" s="614">
        <v>46.640099999999997</v>
      </c>
      <c r="C1626" s="608">
        <v>397.70400000000001</v>
      </c>
      <c r="D1626" s="590">
        <v>216.41193444301524</v>
      </c>
      <c r="E1626" s="590">
        <v>333.27846378661184</v>
      </c>
      <c r="F1626" s="591">
        <v>245.69639496641338</v>
      </c>
      <c r="G1626" s="592">
        <v>330.49898174957065</v>
      </c>
      <c r="H1626" s="590">
        <v>198.69052178041716</v>
      </c>
      <c r="I1626" s="590">
        <v>333.97905187631028</v>
      </c>
      <c r="J1626" s="593"/>
    </row>
    <row r="1627" spans="1:10">
      <c r="A1627" s="585" t="s">
        <v>2216</v>
      </c>
      <c r="B1627" s="614">
        <v>48.578099999999999</v>
      </c>
      <c r="C1627" s="608">
        <v>397.64800000000002</v>
      </c>
      <c r="D1627" s="590">
        <v>220.5538797999221</v>
      </c>
      <c r="E1627" s="590">
        <v>334.08616321712208</v>
      </c>
      <c r="F1627" s="591">
        <v>249.00426796516436</v>
      </c>
      <c r="G1627" s="592">
        <v>331.79993423584085</v>
      </c>
      <c r="H1627" s="590">
        <v>199.02089536547331</v>
      </c>
      <c r="I1627" s="590">
        <v>334.17270253410669</v>
      </c>
      <c r="J1627" s="593"/>
    </row>
    <row r="1628" spans="1:10">
      <c r="A1628" s="585" t="s">
        <v>2216</v>
      </c>
      <c r="B1628" s="614">
        <v>50.515099999999997</v>
      </c>
      <c r="C1628" s="608">
        <v>394.72199999999998</v>
      </c>
      <c r="D1628" s="590">
        <v>224.5911789964089</v>
      </c>
      <c r="E1628" s="590">
        <v>334.81279936671228</v>
      </c>
      <c r="F1628" s="591">
        <v>252.17573234727396</v>
      </c>
      <c r="G1628" s="592">
        <v>333.01318828418835</v>
      </c>
      <c r="H1628" s="590">
        <v>199.28773639620675</v>
      </c>
      <c r="I1628" s="590">
        <v>334.32609136353113</v>
      </c>
      <c r="J1628" s="593"/>
    </row>
    <row r="1629" spans="1:10">
      <c r="A1629" s="585" t="s">
        <v>2216</v>
      </c>
      <c r="B1629" s="614">
        <v>52.453099999999999</v>
      </c>
      <c r="C1629" s="608">
        <v>394.666</v>
      </c>
      <c r="D1629" s="590">
        <v>228.53365111900087</v>
      </c>
      <c r="E1629" s="590">
        <v>335.46866820192571</v>
      </c>
      <c r="F1629" s="591">
        <v>255.2228543252871</v>
      </c>
      <c r="G1629" s="592">
        <v>334.14847776117387</v>
      </c>
      <c r="H1629" s="590">
        <v>199.50346852838987</v>
      </c>
      <c r="I1629" s="590">
        <v>334.44772073897332</v>
      </c>
      <c r="J1629" s="593"/>
    </row>
    <row r="1630" spans="1:10">
      <c r="A1630" s="585" t="s">
        <v>2216</v>
      </c>
      <c r="B1630" s="614">
        <v>54.390099999999997</v>
      </c>
      <c r="C1630" s="608">
        <v>391.74</v>
      </c>
      <c r="D1630" s="590">
        <v>232.38236296747783</v>
      </c>
      <c r="E1630" s="590">
        <v>336.06131576242302</v>
      </c>
      <c r="F1630" s="591">
        <v>258.150463069946</v>
      </c>
      <c r="G1630" s="592">
        <v>335.21203765550024</v>
      </c>
      <c r="H1630" s="590">
        <v>199.6776888420155</v>
      </c>
      <c r="I1630" s="590">
        <v>334.54407001704504</v>
      </c>
      <c r="J1630" s="593"/>
    </row>
    <row r="1631" spans="1:10">
      <c r="A1631" s="585" t="s">
        <v>2216</v>
      </c>
      <c r="B1631" s="614">
        <v>56.133299999999998</v>
      </c>
      <c r="C1631" s="608">
        <v>388.81900000000002</v>
      </c>
      <c r="D1631" s="590">
        <v>235.77148732129788</v>
      </c>
      <c r="E1631" s="590">
        <v>336.54682030372061</v>
      </c>
      <c r="F1631" s="591">
        <v>260.69036687100601</v>
      </c>
      <c r="G1631" s="592">
        <v>336.11376776830252</v>
      </c>
      <c r="H1631" s="590">
        <v>199.80568669027127</v>
      </c>
      <c r="I1631" s="590">
        <v>334.6135728629572</v>
      </c>
      <c r="J1631" s="593"/>
    </row>
    <row r="1632" spans="1:10">
      <c r="A1632" s="585" t="s">
        <v>2216</v>
      </c>
      <c r="B1632" s="614">
        <v>58.070399999999999</v>
      </c>
      <c r="C1632" s="608">
        <v>385.89299999999997</v>
      </c>
      <c r="D1632" s="590">
        <v>239.45874052990567</v>
      </c>
      <c r="E1632" s="590">
        <v>337.03886779639589</v>
      </c>
      <c r="F1632" s="591">
        <v>263.41356358107413</v>
      </c>
      <c r="G1632" s="592">
        <v>337.0595073506417</v>
      </c>
      <c r="H1632" s="590">
        <v>199.92188155989331</v>
      </c>
      <c r="I1632" s="590">
        <v>334.67553433157821</v>
      </c>
      <c r="J1632" s="593"/>
    </row>
    <row r="1633" spans="1:10">
      <c r="A1633" s="585" t="s">
        <v>2216</v>
      </c>
      <c r="B1633" s="614">
        <v>60.007399999999997</v>
      </c>
      <c r="C1633" s="608">
        <v>382.96600000000001</v>
      </c>
      <c r="D1633" s="590">
        <v>243.06663939514993</v>
      </c>
      <c r="E1633" s="590">
        <v>337.4861871859714</v>
      </c>
      <c r="F1633" s="591">
        <v>266.03807941486917</v>
      </c>
      <c r="G1633" s="592">
        <v>337.9508895959458</v>
      </c>
      <c r="H1633" s="590">
        <v>200.01575445637141</v>
      </c>
      <c r="I1633" s="590">
        <v>334.72464625062747</v>
      </c>
      <c r="J1633" s="593"/>
    </row>
    <row r="1634" spans="1:10">
      <c r="A1634" s="585" t="s">
        <v>2216</v>
      </c>
      <c r="B1634" s="614">
        <v>62.332999999999998</v>
      </c>
      <c r="C1634" s="608">
        <v>382.9</v>
      </c>
      <c r="D1634" s="590">
        <v>247.29891746291284</v>
      </c>
      <c r="E1634" s="590">
        <v>337.97087022703937</v>
      </c>
      <c r="F1634" s="591">
        <v>269.06684017819947</v>
      </c>
      <c r="G1634" s="592">
        <v>338.95574328122137</v>
      </c>
      <c r="H1634" s="590">
        <v>200.10495794873242</v>
      </c>
      <c r="I1634" s="590">
        <v>334.77035490568011</v>
      </c>
      <c r="J1634" s="593"/>
    </row>
    <row r="1635" spans="1:10">
      <c r="A1635" s="585" t="s">
        <v>2216</v>
      </c>
      <c r="B1635" s="614">
        <v>64.27</v>
      </c>
      <c r="C1635" s="608">
        <v>379.97300000000001</v>
      </c>
      <c r="D1635" s="590">
        <v>250.7451164102267</v>
      </c>
      <c r="E1635" s="590">
        <v>338.33578159636699</v>
      </c>
      <c r="F1635" s="591">
        <v>271.49367704883042</v>
      </c>
      <c r="G1635" s="592">
        <v>339.74296577670032</v>
      </c>
      <c r="H1635" s="590">
        <v>200.16366293272472</v>
      </c>
      <c r="I1635" s="590">
        <v>334.79980884456432</v>
      </c>
      <c r="J1635" s="593"/>
    </row>
    <row r="1636" spans="1:10">
      <c r="A1636" s="585" t="s">
        <v>2216</v>
      </c>
      <c r="B1636" s="614">
        <v>66.207999999999998</v>
      </c>
      <c r="C1636" s="608">
        <v>379.91699999999997</v>
      </c>
      <c r="D1636" s="590">
        <v>254.12465841232438</v>
      </c>
      <c r="E1636" s="590">
        <v>338.66945461799014</v>
      </c>
      <c r="F1636" s="591">
        <v>273.83964120331808</v>
      </c>
      <c r="G1636" s="592">
        <v>340.48918121250057</v>
      </c>
      <c r="H1636" s="590">
        <v>200.21111145712399</v>
      </c>
      <c r="I1636" s="590">
        <v>334.8231675457194</v>
      </c>
      <c r="J1636" s="593"/>
    </row>
    <row r="1637" spans="1:10">
      <c r="A1637" s="585" t="s">
        <v>2216</v>
      </c>
      <c r="B1637" s="614">
        <v>68.144999999999996</v>
      </c>
      <c r="C1637" s="608">
        <v>376.99099999999999</v>
      </c>
      <c r="D1637" s="590">
        <v>257.43692280451467</v>
      </c>
      <c r="E1637" s="590">
        <v>338.9747021286671</v>
      </c>
      <c r="F1637" s="591">
        <v>276.10665412173847</v>
      </c>
      <c r="G1637" s="592">
        <v>341.1968051945131</v>
      </c>
      <c r="H1637" s="590">
        <v>200.24942164383094</v>
      </c>
      <c r="I1637" s="590">
        <v>334.84167329441533</v>
      </c>
      <c r="J1637" s="593"/>
    </row>
    <row r="1638" spans="1:10">
      <c r="A1638" s="585" t="s">
        <v>2216</v>
      </c>
      <c r="B1638" s="614">
        <v>70.082999999999998</v>
      </c>
      <c r="C1638" s="608">
        <v>376.935</v>
      </c>
      <c r="D1638" s="590">
        <v>260.68800005018181</v>
      </c>
      <c r="E1638" s="590">
        <v>339.254632024768</v>
      </c>
      <c r="F1638" s="591">
        <v>278.30108245495632</v>
      </c>
      <c r="G1638" s="592">
        <v>341.86943678005468</v>
      </c>
      <c r="H1638" s="590">
        <v>200.28038520067187</v>
      </c>
      <c r="I1638" s="590">
        <v>334.8563496191174</v>
      </c>
      <c r="J1638" s="593"/>
    </row>
    <row r="1639" spans="1:10">
      <c r="A1639" s="585" t="s">
        <v>2216</v>
      </c>
      <c r="B1639" s="614">
        <v>72.601399999999998</v>
      </c>
      <c r="C1639" s="608">
        <v>373.99200000000002</v>
      </c>
      <c r="D1639" s="590">
        <v>264.82279983548653</v>
      </c>
      <c r="E1639" s="590">
        <v>339.58435748130449</v>
      </c>
      <c r="F1639" s="591">
        <v>281.0485926903695</v>
      </c>
      <c r="G1639" s="592">
        <v>342.69489312168741</v>
      </c>
      <c r="H1639" s="590">
        <v>200.31190539567902</v>
      </c>
      <c r="I1639" s="590">
        <v>334.87097163765139</v>
      </c>
      <c r="J1639" s="593"/>
    </row>
    <row r="1640" spans="1:10">
      <c r="A1640" s="585" t="s">
        <v>2216</v>
      </c>
      <c r="B1640" s="614">
        <v>75.120800000000003</v>
      </c>
      <c r="C1640" s="608">
        <v>373.92</v>
      </c>
      <c r="D1640" s="590">
        <v>268.86219981191374</v>
      </c>
      <c r="E1640" s="590">
        <v>339.88006401998922</v>
      </c>
      <c r="F1640" s="591">
        <v>283.68638673691589</v>
      </c>
      <c r="G1640" s="592">
        <v>343.47034215461787</v>
      </c>
      <c r="H1640" s="590">
        <v>200.33579724700891</v>
      </c>
      <c r="I1640" s="590">
        <v>334.88178570815779</v>
      </c>
      <c r="J1640" s="593"/>
    </row>
    <row r="1641" spans="1:10">
      <c r="A1641" s="585" t="s">
        <v>2216</v>
      </c>
      <c r="B1641" s="614">
        <v>77.251599999999996</v>
      </c>
      <c r="C1641" s="608">
        <v>370.988</v>
      </c>
      <c r="D1641" s="590">
        <v>272.20624966019659</v>
      </c>
      <c r="E1641" s="590">
        <v>340.10654246354511</v>
      </c>
      <c r="F1641" s="591">
        <v>285.83593634211093</v>
      </c>
      <c r="G1641" s="592">
        <v>344.09021443578564</v>
      </c>
      <c r="H1641" s="590">
        <v>200.35142349672122</v>
      </c>
      <c r="I1641" s="590">
        <v>334.88869873939296</v>
      </c>
      <c r="J1641" s="593"/>
    </row>
    <row r="1642" spans="1:10">
      <c r="A1642" s="585" t="s">
        <v>2216</v>
      </c>
      <c r="B1642" s="614">
        <v>79.1905</v>
      </c>
      <c r="C1642" s="608">
        <v>373.803</v>
      </c>
      <c r="D1642" s="590">
        <v>275.19390764834662</v>
      </c>
      <c r="E1642" s="590">
        <v>340.29576500366568</v>
      </c>
      <c r="F1642" s="591">
        <v>287.73054590519945</v>
      </c>
      <c r="G1642" s="592">
        <v>344.62779575466612</v>
      </c>
      <c r="H1642" s="590">
        <v>200.36278240670413</v>
      </c>
      <c r="I1642" s="590">
        <v>334.8936247971547</v>
      </c>
      <c r="J1642" s="593"/>
    </row>
    <row r="1643" spans="1:10">
      <c r="A1643" s="585" t="s">
        <v>2216</v>
      </c>
      <c r="B1643" s="614">
        <v>80.933700000000002</v>
      </c>
      <c r="C1643" s="608">
        <v>370.88200000000001</v>
      </c>
      <c r="D1643" s="590">
        <v>277.83666610252533</v>
      </c>
      <c r="E1643" s="590">
        <v>340.45341475487641</v>
      </c>
      <c r="F1643" s="591">
        <v>289.3863283561252</v>
      </c>
      <c r="G1643" s="592">
        <v>345.09100516802164</v>
      </c>
      <c r="H1643" s="590">
        <v>200.37111695362535</v>
      </c>
      <c r="I1643" s="590">
        <v>334.89717472313089</v>
      </c>
      <c r="J1643" s="593"/>
    </row>
    <row r="1644" spans="1:10">
      <c r="A1644" s="585" t="s">
        <v>2216</v>
      </c>
      <c r="B1644" s="614">
        <v>83.066400000000002</v>
      </c>
      <c r="C1644" s="608">
        <v>373.69200000000001</v>
      </c>
      <c r="D1644" s="590">
        <v>281.01601400698229</v>
      </c>
      <c r="E1644" s="590">
        <v>340.63165364557358</v>
      </c>
      <c r="F1644" s="591">
        <v>291.35356052969166</v>
      </c>
      <c r="G1644" s="592">
        <v>345.63347687808761</v>
      </c>
      <c r="H1644" s="590">
        <v>200.3793596637276</v>
      </c>
      <c r="I1644" s="590">
        <v>334.90062031255428</v>
      </c>
      <c r="J1644" s="593"/>
    </row>
    <row r="1645" spans="1:10">
      <c r="A1645" s="585" t="s">
        <v>2216</v>
      </c>
      <c r="B1645" s="614">
        <v>85.197299999999998</v>
      </c>
      <c r="C1645" s="608">
        <v>370.76</v>
      </c>
      <c r="D1645" s="590">
        <v>284.13547543082962</v>
      </c>
      <c r="E1645" s="590">
        <v>340.79510836080402</v>
      </c>
      <c r="F1645" s="591">
        <v>293.2577706391379</v>
      </c>
      <c r="G1645" s="592">
        <v>346.1505786456554</v>
      </c>
      <c r="H1645" s="590">
        <v>200.3858714400773</v>
      </c>
      <c r="I1645" s="590">
        <v>334.9032863638156</v>
      </c>
      <c r="J1645" s="593"/>
    </row>
    <row r="1646" spans="1:10">
      <c r="A1646" s="585" t="s">
        <v>2216</v>
      </c>
      <c r="B1646" s="614">
        <v>87.135199999999998</v>
      </c>
      <c r="C1646" s="608">
        <v>370.70400000000001</v>
      </c>
      <c r="D1646" s="590">
        <v>286.92448599937444</v>
      </c>
      <c r="E1646" s="590">
        <v>340.93222654832897</v>
      </c>
      <c r="F1646" s="591">
        <v>294.93874037324611</v>
      </c>
      <c r="G1646" s="592">
        <v>346.6006420036872</v>
      </c>
      <c r="H1646" s="590">
        <v>200.39060243819901</v>
      </c>
      <c r="I1646" s="590">
        <v>334.90518516434105</v>
      </c>
      <c r="J1646" s="593"/>
    </row>
    <row r="1647" spans="1:10">
      <c r="A1647" s="585" t="s">
        <v>2216</v>
      </c>
      <c r="B1647" s="614">
        <v>89.266999999999996</v>
      </c>
      <c r="C1647" s="608">
        <v>370.64299999999997</v>
      </c>
      <c r="D1647" s="590">
        <v>289.94162917036158</v>
      </c>
      <c r="E1647" s="590">
        <v>341.07152481861715</v>
      </c>
      <c r="F1647" s="591">
        <v>296.73459327797212</v>
      </c>
      <c r="G1647" s="592">
        <v>347.07493208567041</v>
      </c>
      <c r="H1647" s="590">
        <v>200.39476323195734</v>
      </c>
      <c r="I1647" s="590">
        <v>334.90682244498475</v>
      </c>
      <c r="J1647" s="593"/>
    </row>
    <row r="1648" spans="1:10">
      <c r="A1648" s="619" t="s">
        <v>2218</v>
      </c>
      <c r="B1648" s="620">
        <v>0.967109</v>
      </c>
      <c r="C1648" s="621">
        <v>2.7897399999999999E-2</v>
      </c>
      <c r="D1648" s="622"/>
      <c r="E1648" s="622"/>
      <c r="F1648" s="623"/>
      <c r="G1648" s="624"/>
      <c r="H1648" s="622"/>
      <c r="I1648" s="622"/>
      <c r="J1648" s="625"/>
    </row>
    <row r="1649" spans="1:10">
      <c r="A1649" s="585" t="s">
        <v>2218</v>
      </c>
      <c r="B1649" s="614">
        <v>1.1568099999999999</v>
      </c>
      <c r="C1649" s="608">
        <v>11.5718</v>
      </c>
      <c r="D1649" s="590">
        <v>13.123248210219355</v>
      </c>
      <c r="E1649" s="590">
        <v>41.943126223081045</v>
      </c>
      <c r="F1649" s="591">
        <v>17.685688074048986</v>
      </c>
      <c r="G1649" s="592">
        <v>43.420814184221669</v>
      </c>
      <c r="H1649" s="590">
        <v>0.7128012425297543</v>
      </c>
      <c r="I1649" s="590">
        <v>20.245029091805002</v>
      </c>
      <c r="J1649" s="593"/>
    </row>
    <row r="1650" spans="1:10">
      <c r="A1650" s="585" t="s">
        <v>2218</v>
      </c>
      <c r="B1650" s="614">
        <v>1.73336</v>
      </c>
      <c r="C1650" s="608">
        <v>23.126899999999999</v>
      </c>
      <c r="D1650" s="590">
        <v>28.365634027169968</v>
      </c>
      <c r="E1650" s="590">
        <v>89.051793574985112</v>
      </c>
      <c r="F1650" s="591">
        <v>38.121511751935508</v>
      </c>
      <c r="G1650" s="592">
        <v>91.588136592934262</v>
      </c>
      <c r="H1650" s="590">
        <v>5.7926918638209868</v>
      </c>
      <c r="I1650" s="590">
        <v>58.586157178643916</v>
      </c>
      <c r="J1650" s="593"/>
    </row>
    <row r="1651" spans="1:10">
      <c r="A1651" s="585" t="s">
        <v>2218</v>
      </c>
      <c r="B1651" s="614">
        <v>2.1127600000000002</v>
      </c>
      <c r="C1651" s="608">
        <v>46.214799999999997</v>
      </c>
      <c r="D1651" s="590">
        <v>34.929275030825586</v>
      </c>
      <c r="E1651" s="590">
        <v>108.40212021709458</v>
      </c>
      <c r="F1651" s="591">
        <v>46.857653396693578</v>
      </c>
      <c r="G1651" s="592">
        <v>111.05500559408064</v>
      </c>
      <c r="H1651" s="590">
        <v>10.036511113341346</v>
      </c>
      <c r="I1651" s="590">
        <v>77.362941686502239</v>
      </c>
      <c r="J1651" s="593"/>
    </row>
    <row r="1652" spans="1:10">
      <c r="A1652" s="585" t="s">
        <v>2218</v>
      </c>
      <c r="B1652" s="614">
        <v>3.0724300000000002</v>
      </c>
      <c r="C1652" s="608">
        <v>69.319400000000002</v>
      </c>
      <c r="D1652" s="590">
        <v>47.627975061040843</v>
      </c>
      <c r="E1652" s="590">
        <v>143.69138829318496</v>
      </c>
      <c r="F1652" s="591">
        <v>63.603449723732865</v>
      </c>
      <c r="G1652" s="592">
        <v>145.93961574250676</v>
      </c>
      <c r="H1652" s="590">
        <v>22.138304917608004</v>
      </c>
      <c r="I1652" s="590">
        <v>115.27945393297635</v>
      </c>
      <c r="J1652" s="593"/>
    </row>
    <row r="1653" spans="1:10">
      <c r="A1653" s="585" t="s">
        <v>2218</v>
      </c>
      <c r="B1653" s="614">
        <v>4.6067900000000002</v>
      </c>
      <c r="C1653" s="608">
        <v>109.748</v>
      </c>
      <c r="D1653" s="590">
        <v>62.747628472488422</v>
      </c>
      <c r="E1653" s="590">
        <v>181.36940023896619</v>
      </c>
      <c r="F1653" s="591">
        <v>83.198016078882603</v>
      </c>
      <c r="G1653" s="592">
        <v>182.22031682804385</v>
      </c>
      <c r="H1653" s="590">
        <v>42.711620426627782</v>
      </c>
      <c r="I1653" s="590">
        <v>160.22290612451746</v>
      </c>
      <c r="J1653" s="593"/>
    </row>
    <row r="1654" spans="1:10">
      <c r="A1654" s="585" t="s">
        <v>2218</v>
      </c>
      <c r="B1654" s="614">
        <v>5.5627399999999998</v>
      </c>
      <c r="C1654" s="608">
        <v>144.39099999999999</v>
      </c>
      <c r="D1654" s="590">
        <v>70.515672469094739</v>
      </c>
      <c r="E1654" s="590">
        <v>198.72457482742257</v>
      </c>
      <c r="F1654" s="591">
        <v>93.089099098298306</v>
      </c>
      <c r="G1654" s="592">
        <v>198.60471561408482</v>
      </c>
      <c r="H1654" s="590">
        <v>55.306311622900708</v>
      </c>
      <c r="I1654" s="590">
        <v>182.19833149320752</v>
      </c>
      <c r="J1654" s="593"/>
    </row>
    <row r="1655" spans="1:10">
      <c r="A1655" s="585" t="s">
        <v>2218</v>
      </c>
      <c r="B1655" s="614">
        <v>6.7186199999999996</v>
      </c>
      <c r="C1655" s="608">
        <v>158.84800000000001</v>
      </c>
      <c r="D1655" s="590">
        <v>78.863988161943354</v>
      </c>
      <c r="E1655" s="590">
        <v>215.8222760940927</v>
      </c>
      <c r="F1655" s="591">
        <v>103.56719146513282</v>
      </c>
      <c r="G1655" s="592">
        <v>214.57401614843198</v>
      </c>
      <c r="H1655" s="590">
        <v>69.823278947442546</v>
      </c>
      <c r="I1655" s="590">
        <v>204.45124795465136</v>
      </c>
      <c r="J1655" s="593"/>
    </row>
    <row r="1656" spans="1:10">
      <c r="A1656" s="585" t="s">
        <v>2218</v>
      </c>
      <c r="B1656" s="614">
        <v>7.4867299999999997</v>
      </c>
      <c r="C1656" s="608">
        <v>176.178</v>
      </c>
      <c r="D1656" s="590">
        <v>83.937145783630854</v>
      </c>
      <c r="E1656" s="590">
        <v>225.43087582304082</v>
      </c>
      <c r="F1656" s="591">
        <v>109.85189555775102</v>
      </c>
      <c r="G1656" s="592">
        <v>223.48922840575014</v>
      </c>
      <c r="H1656" s="590">
        <v>78.930388420494609</v>
      </c>
      <c r="I1656" s="590">
        <v>217.15094312504371</v>
      </c>
      <c r="J1656" s="593"/>
    </row>
    <row r="1657" spans="1:10">
      <c r="A1657" s="585" t="s">
        <v>2218</v>
      </c>
      <c r="B1657" s="614">
        <v>9.0248000000000008</v>
      </c>
      <c r="C1657" s="608">
        <v>205.06800000000001</v>
      </c>
      <c r="D1657" s="590">
        <v>93.234116197059748</v>
      </c>
      <c r="E1657" s="590">
        <v>241.54263658242783</v>
      </c>
      <c r="F1657" s="591">
        <v>121.19562834769999</v>
      </c>
      <c r="G1657" s="592">
        <v>238.38103347485062</v>
      </c>
      <c r="H1657" s="590">
        <v>95.735686499713026</v>
      </c>
      <c r="I1657" s="590">
        <v>238.60873318041732</v>
      </c>
      <c r="J1657" s="593"/>
    </row>
    <row r="1658" spans="1:10">
      <c r="A1658" s="585" t="s">
        <v>2218</v>
      </c>
      <c r="B1658" s="614">
        <v>10.7591</v>
      </c>
      <c r="C1658" s="608">
        <v>225.31</v>
      </c>
      <c r="D1658" s="590">
        <v>102.66111209714781</v>
      </c>
      <c r="E1658" s="590">
        <v>255.98271172273795</v>
      </c>
      <c r="F1658" s="591">
        <v>132.45479211311391</v>
      </c>
      <c r="G1658" s="592">
        <v>251.72486769967762</v>
      </c>
      <c r="H1658" s="590">
        <v>112.35905800841772</v>
      </c>
      <c r="I1658" s="590">
        <v>257.80026438446492</v>
      </c>
      <c r="J1658" s="593"/>
    </row>
    <row r="1659" spans="1:10">
      <c r="A1659" s="585" t="s">
        <v>2218</v>
      </c>
      <c r="B1659" s="614">
        <v>12.688700000000001</v>
      </c>
      <c r="C1659" s="608">
        <v>239.78899999999999</v>
      </c>
      <c r="D1659" s="590">
        <v>112.16444285676414</v>
      </c>
      <c r="E1659" s="590">
        <v>268.7309691646455</v>
      </c>
      <c r="F1659" s="591">
        <v>143.54230686196198</v>
      </c>
      <c r="G1659" s="592">
        <v>263.57685547253516</v>
      </c>
      <c r="H1659" s="590">
        <v>128.10312822946432</v>
      </c>
      <c r="I1659" s="590">
        <v>274.45428347567207</v>
      </c>
      <c r="J1659" s="593"/>
    </row>
    <row r="1660" spans="1:10">
      <c r="A1660" s="585" t="s">
        <v>2218</v>
      </c>
      <c r="B1660" s="614">
        <v>14.810700000000001</v>
      </c>
      <c r="C1660" s="608">
        <v>257.15800000000002</v>
      </c>
      <c r="D1660" s="590">
        <v>121.69710624775564</v>
      </c>
      <c r="E1660" s="590">
        <v>279.84157641259287</v>
      </c>
      <c r="F1660" s="591">
        <v>154.38606648255742</v>
      </c>
      <c r="G1660" s="592">
        <v>274.03911946940872</v>
      </c>
      <c r="H1660" s="590">
        <v>142.42277071685882</v>
      </c>
      <c r="I1660" s="590">
        <v>288.49133428301957</v>
      </c>
      <c r="J1660" s="593"/>
    </row>
    <row r="1661" spans="1:10">
      <c r="A1661" s="585" t="s">
        <v>2218</v>
      </c>
      <c r="B1661" s="614">
        <v>16.9346</v>
      </c>
      <c r="C1661" s="608">
        <v>268.75799999999998</v>
      </c>
      <c r="D1661" s="590">
        <v>130.48020998999348</v>
      </c>
      <c r="E1661" s="590">
        <v>288.72855653636452</v>
      </c>
      <c r="F1661" s="591">
        <v>164.12153789762581</v>
      </c>
      <c r="G1661" s="592">
        <v>282.5659888796427</v>
      </c>
      <c r="H1661" s="590">
        <v>154.06039625191613</v>
      </c>
      <c r="I1661" s="590">
        <v>299.18838410207098</v>
      </c>
      <c r="J1661" s="593"/>
    </row>
    <row r="1662" spans="1:10">
      <c r="A1662" s="585" t="s">
        <v>2218</v>
      </c>
      <c r="B1662" s="614">
        <v>19.058599999999998</v>
      </c>
      <c r="C1662" s="608">
        <v>280.35700000000003</v>
      </c>
      <c r="D1662" s="590">
        <v>138.64997029815669</v>
      </c>
      <c r="E1662" s="590">
        <v>295.94637527941359</v>
      </c>
      <c r="F1662" s="591">
        <v>172.95102606640626</v>
      </c>
      <c r="G1662" s="592">
        <v>289.65290541201159</v>
      </c>
      <c r="H1662" s="590">
        <v>163.44824020363663</v>
      </c>
      <c r="I1662" s="590">
        <v>307.37124680828384</v>
      </c>
      <c r="J1662" s="593"/>
    </row>
    <row r="1663" spans="1:10">
      <c r="A1663" s="585" t="s">
        <v>2218</v>
      </c>
      <c r="B1663" s="614">
        <v>21.377800000000001</v>
      </c>
      <c r="C1663" s="608">
        <v>286.19400000000002</v>
      </c>
      <c r="D1663" s="590">
        <v>146.99048459220148</v>
      </c>
      <c r="E1663" s="590">
        <v>302.37837295651474</v>
      </c>
      <c r="F1663" s="591">
        <v>181.73581448265119</v>
      </c>
      <c r="G1663" s="592">
        <v>296.14536249964249</v>
      </c>
      <c r="H1663" s="590">
        <v>171.59814564064433</v>
      </c>
      <c r="I1663" s="590">
        <v>314.15035239618419</v>
      </c>
      <c r="J1663" s="593"/>
    </row>
    <row r="1664" spans="1:10">
      <c r="A1664" s="585" t="s">
        <v>2218</v>
      </c>
      <c r="B1664" s="614">
        <v>23.116700000000002</v>
      </c>
      <c r="C1664" s="608">
        <v>292.01299999999998</v>
      </c>
      <c r="D1664" s="590">
        <v>152.9051603702323</v>
      </c>
      <c r="E1664" s="590">
        <v>306.4213445166136</v>
      </c>
      <c r="F1664" s="591">
        <v>187.82340792050047</v>
      </c>
      <c r="G1664" s="592">
        <v>300.3423057899256</v>
      </c>
      <c r="H1664" s="590">
        <v>176.53135600196893</v>
      </c>
      <c r="I1664" s="590">
        <v>318.10131892453825</v>
      </c>
      <c r="J1664" s="593"/>
    </row>
    <row r="1665" spans="1:10">
      <c r="A1665" s="585" t="s">
        <v>2218</v>
      </c>
      <c r="B1665" s="614">
        <v>24.854700000000001</v>
      </c>
      <c r="C1665" s="608">
        <v>300.71699999999998</v>
      </c>
      <c r="D1665" s="590">
        <v>158.56307475086174</v>
      </c>
      <c r="E1665" s="590">
        <v>309.92256659435861</v>
      </c>
      <c r="F1665" s="591">
        <v>193.53549071415517</v>
      </c>
      <c r="G1665" s="592">
        <v>304.07049642121882</v>
      </c>
      <c r="H1665" s="590">
        <v>180.63172089949435</v>
      </c>
      <c r="I1665" s="590">
        <v>321.29206457427239</v>
      </c>
      <c r="J1665" s="593"/>
    </row>
    <row r="1666" spans="1:10">
      <c r="A1666" s="585" t="s">
        <v>2218</v>
      </c>
      <c r="B1666" s="614">
        <v>27.3673</v>
      </c>
      <c r="C1666" s="608">
        <v>306.55900000000003</v>
      </c>
      <c r="D1666" s="590">
        <v>166.34704409768889</v>
      </c>
      <c r="E1666" s="590">
        <v>314.20718397582283</v>
      </c>
      <c r="F1666" s="591">
        <v>201.21540786674683</v>
      </c>
      <c r="G1666" s="592">
        <v>308.78328203488962</v>
      </c>
      <c r="H1666" s="590">
        <v>185.36191536850893</v>
      </c>
      <c r="I1666" s="590">
        <v>324.85838489425572</v>
      </c>
      <c r="J1666" s="593"/>
    </row>
    <row r="1667" spans="1:10">
      <c r="A1667" s="585" t="s">
        <v>2218</v>
      </c>
      <c r="B1667" s="614">
        <v>29.493099999999998</v>
      </c>
      <c r="C1667" s="608">
        <v>312.38900000000001</v>
      </c>
      <c r="D1667" s="590">
        <v>172.60965643367589</v>
      </c>
      <c r="E1667" s="590">
        <v>317.24944864834009</v>
      </c>
      <c r="F1667" s="591">
        <v>207.24386731797841</v>
      </c>
      <c r="G1667" s="592">
        <v>312.25723858410964</v>
      </c>
      <c r="H1667" s="590">
        <v>188.47707903691497</v>
      </c>
      <c r="I1667" s="590">
        <v>327.1320635033311</v>
      </c>
      <c r="J1667" s="593"/>
    </row>
    <row r="1668" spans="1:10">
      <c r="A1668" s="585" t="s">
        <v>2218</v>
      </c>
      <c r="B1668" s="614">
        <v>31.8123</v>
      </c>
      <c r="C1668" s="608">
        <v>318.22500000000002</v>
      </c>
      <c r="D1668" s="590">
        <v>179.14346097716449</v>
      </c>
      <c r="E1668" s="590">
        <v>320.07786856582487</v>
      </c>
      <c r="F1668" s="591">
        <v>213.39047234955885</v>
      </c>
      <c r="G1668" s="592">
        <v>315.60862855746296</v>
      </c>
      <c r="H1668" s="590">
        <v>191.15008120190876</v>
      </c>
      <c r="I1668" s="590">
        <v>329.02815137338234</v>
      </c>
      <c r="J1668" s="593"/>
    </row>
    <row r="1669" spans="1:10">
      <c r="A1669" s="585" t="s">
        <v>2218</v>
      </c>
      <c r="B1669" s="614">
        <v>34.131500000000003</v>
      </c>
      <c r="C1669" s="608">
        <v>324.06099999999998</v>
      </c>
      <c r="D1669" s="590">
        <v>185.39818996795455</v>
      </c>
      <c r="E1669" s="590">
        <v>322.48695909253894</v>
      </c>
      <c r="F1669" s="591">
        <v>219.13820490481177</v>
      </c>
      <c r="G1669" s="592">
        <v>318.57880007898075</v>
      </c>
      <c r="H1669" s="590">
        <v>193.22753641777319</v>
      </c>
      <c r="I1669" s="590">
        <v>330.46084054640943</v>
      </c>
      <c r="J1669" s="593"/>
    </row>
    <row r="1670" spans="1:10">
      <c r="A1670" s="585" t="s">
        <v>2218</v>
      </c>
      <c r="B1670" s="614">
        <v>36.450699999999998</v>
      </c>
      <c r="C1670" s="608">
        <v>329.89800000000002</v>
      </c>
      <c r="D1670" s="590">
        <v>191.40168186771166</v>
      </c>
      <c r="E1670" s="590">
        <v>324.55152017665171</v>
      </c>
      <c r="F1670" s="591">
        <v>224.53022894688399</v>
      </c>
      <c r="G1670" s="592">
        <v>321.22963060525313</v>
      </c>
      <c r="H1670" s="590">
        <v>194.84083657512778</v>
      </c>
      <c r="I1670" s="590">
        <v>331.54395352917845</v>
      </c>
      <c r="J1670" s="593"/>
    </row>
    <row r="1671" spans="1:10">
      <c r="A1671" s="585" t="s">
        <v>2218</v>
      </c>
      <c r="B1671" s="614">
        <v>39.351999999999997</v>
      </c>
      <c r="C1671" s="608">
        <v>329.98099999999999</v>
      </c>
      <c r="D1671" s="590">
        <v>198.59363105210525</v>
      </c>
      <c r="E1671" s="590">
        <v>326.73815332921924</v>
      </c>
      <c r="F1671" s="591">
        <v>230.82979296101135</v>
      </c>
      <c r="G1671" s="592">
        <v>324.17014229268545</v>
      </c>
      <c r="H1671" s="590">
        <v>196.36036646337817</v>
      </c>
      <c r="I1671" s="590">
        <v>332.53525378384143</v>
      </c>
      <c r="J1671" s="593"/>
    </row>
    <row r="1672" spans="1:10">
      <c r="A1672" s="585" t="s">
        <v>2218</v>
      </c>
      <c r="B1672" s="614">
        <v>42.058999999999997</v>
      </c>
      <c r="C1672" s="608">
        <v>332.94400000000002</v>
      </c>
      <c r="D1672" s="590">
        <v>205.01605854055703</v>
      </c>
      <c r="E1672" s="590">
        <v>328.45461508458783</v>
      </c>
      <c r="F1672" s="591">
        <v>236.30932280008392</v>
      </c>
      <c r="G1672" s="592">
        <v>326.59862258998533</v>
      </c>
      <c r="H1672" s="590">
        <v>197.40263044193111</v>
      </c>
      <c r="I1672" s="590">
        <v>333.19492052218095</v>
      </c>
      <c r="J1672" s="593"/>
    </row>
    <row r="1673" spans="1:10">
      <c r="A1673" s="585" t="s">
        <v>2218</v>
      </c>
      <c r="B1673" s="614">
        <v>44.185699999999997</v>
      </c>
      <c r="C1673" s="608">
        <v>335.89</v>
      </c>
      <c r="D1673" s="590">
        <v>209.88432292577977</v>
      </c>
      <c r="E1673" s="590">
        <v>329.62231666134659</v>
      </c>
      <c r="F1673" s="591">
        <v>240.37199171109623</v>
      </c>
      <c r="G1673" s="592">
        <v>328.32565239688597</v>
      </c>
      <c r="H1673" s="590">
        <v>198.02988863625632</v>
      </c>
      <c r="I1673" s="590">
        <v>333.5818727138074</v>
      </c>
      <c r="J1673" s="593"/>
    </row>
    <row r="1674" spans="1:10">
      <c r="A1674" s="585" t="s">
        <v>2218</v>
      </c>
      <c r="B1674" s="614">
        <v>46.120899999999999</v>
      </c>
      <c r="C1674" s="608">
        <v>333.06099999999998</v>
      </c>
      <c r="D1674" s="590">
        <v>214.1887097196948</v>
      </c>
      <c r="E1674" s="590">
        <v>330.56734014005144</v>
      </c>
      <c r="F1674" s="591">
        <v>243.89944155190074</v>
      </c>
      <c r="G1674" s="592">
        <v>329.77662363484416</v>
      </c>
      <c r="H1674" s="590">
        <v>198.48639377444692</v>
      </c>
      <c r="I1674" s="590">
        <v>333.85762641635756</v>
      </c>
      <c r="J1674" s="593"/>
    </row>
    <row r="1675" spans="1:10">
      <c r="A1675" s="585" t="s">
        <v>2218</v>
      </c>
      <c r="B1675" s="614">
        <v>48.828800000000001</v>
      </c>
      <c r="C1675" s="608">
        <v>333.13900000000001</v>
      </c>
      <c r="D1675" s="590">
        <v>220.02517812142943</v>
      </c>
      <c r="E1675" s="590">
        <v>331.72881418542391</v>
      </c>
      <c r="F1675" s="591">
        <v>248.5865010230101</v>
      </c>
      <c r="G1675" s="592">
        <v>331.63765596203632</v>
      </c>
      <c r="H1675" s="590">
        <v>198.98223647498767</v>
      </c>
      <c r="I1675" s="590">
        <v>334.15024272320471</v>
      </c>
      <c r="J1675" s="593"/>
    </row>
    <row r="1676" spans="1:10">
      <c r="A1676" s="585" t="s">
        <v>2218</v>
      </c>
      <c r="B1676" s="614">
        <v>50.762099999999997</v>
      </c>
      <c r="C1676" s="608">
        <v>336.08</v>
      </c>
      <c r="D1676" s="590">
        <v>224.06766483981022</v>
      </c>
      <c r="E1676" s="590">
        <v>332.45895660800852</v>
      </c>
      <c r="F1676" s="591">
        <v>251.76882023234745</v>
      </c>
      <c r="G1676" s="592">
        <v>332.85934850325498</v>
      </c>
      <c r="H1676" s="590">
        <v>199.25602499347076</v>
      </c>
      <c r="I1676" s="590">
        <v>334.3080222467475</v>
      </c>
      <c r="J1676" s="593"/>
    </row>
    <row r="1677" spans="1:10">
      <c r="A1677" s="585" t="s">
        <v>2218</v>
      </c>
      <c r="B1677" s="614">
        <v>53.276499999999999</v>
      </c>
      <c r="C1677" s="608">
        <v>336.15199999999999</v>
      </c>
      <c r="D1677" s="590">
        <v>229.18063465051395</v>
      </c>
      <c r="E1677" s="590">
        <v>333.30287821920854</v>
      </c>
      <c r="F1677" s="591">
        <v>255.71964054308339</v>
      </c>
      <c r="G1677" s="592">
        <v>334.33080877838023</v>
      </c>
      <c r="H1677" s="590">
        <v>199.53519855542584</v>
      </c>
      <c r="I1677" s="590">
        <v>334.46540349370457</v>
      </c>
      <c r="J1677" s="593"/>
    </row>
    <row r="1678" spans="1:10">
      <c r="A1678" s="585" t="s">
        <v>2218</v>
      </c>
      <c r="B1678" s="614">
        <v>55.017299999999999</v>
      </c>
      <c r="C1678" s="608">
        <v>336.202</v>
      </c>
      <c r="D1678" s="590">
        <v>232.63014169130403</v>
      </c>
      <c r="E1678" s="590">
        <v>333.82574737989921</v>
      </c>
      <c r="F1678" s="591">
        <v>258.33876778166359</v>
      </c>
      <c r="G1678" s="592">
        <v>335.27955260619302</v>
      </c>
      <c r="H1678" s="590">
        <v>199.68788193293872</v>
      </c>
      <c r="I1678" s="590">
        <v>334.54964770822568</v>
      </c>
      <c r="J1678" s="593"/>
    </row>
    <row r="1679" spans="1:10">
      <c r="A1679" s="585" t="s">
        <v>2218</v>
      </c>
      <c r="B1679" s="614">
        <v>57.531799999999997</v>
      </c>
      <c r="C1679" s="608">
        <v>336.27499999999998</v>
      </c>
      <c r="D1679" s="590">
        <v>237.48995809329935</v>
      </c>
      <c r="E1679" s="590">
        <v>334.50385945889502</v>
      </c>
      <c r="F1679" s="591">
        <v>261.96611971835551</v>
      </c>
      <c r="G1679" s="592">
        <v>336.559503333127</v>
      </c>
      <c r="H1679" s="590">
        <v>199.86266859010945</v>
      </c>
      <c r="I1679" s="590">
        <v>334.64410629409952</v>
      </c>
      <c r="J1679" s="593"/>
    </row>
    <row r="1680" spans="1:10">
      <c r="A1680" s="585" t="s">
        <v>2218</v>
      </c>
      <c r="B1680" s="614">
        <v>59.0792</v>
      </c>
      <c r="C1680" s="608">
        <v>336.32</v>
      </c>
      <c r="D1680" s="590">
        <v>240.41202435744543</v>
      </c>
      <c r="E1680" s="590">
        <v>334.8808439141406</v>
      </c>
      <c r="F1680" s="591">
        <v>264.11226097385827</v>
      </c>
      <c r="G1680" s="592">
        <v>337.2987143042962</v>
      </c>
      <c r="H1680" s="590">
        <v>199.94850964982081</v>
      </c>
      <c r="I1680" s="590">
        <v>334.68955910600528</v>
      </c>
      <c r="J1680" s="593"/>
    </row>
    <row r="1681" spans="1:10">
      <c r="A1681" s="585" t="s">
        <v>2218</v>
      </c>
      <c r="B1681" s="614">
        <v>61.401200000000003</v>
      </c>
      <c r="C1681" s="608">
        <v>333.50200000000001</v>
      </c>
      <c r="D1681" s="590">
        <v>244.70381906636902</v>
      </c>
      <c r="E1681" s="590">
        <v>335.39571414931794</v>
      </c>
      <c r="F1681" s="591">
        <v>267.21747080684764</v>
      </c>
      <c r="G1681" s="592">
        <v>338.34517327429376</v>
      </c>
      <c r="H1681" s="590">
        <v>200.05276413154832</v>
      </c>
      <c r="I1681" s="590">
        <v>334.74373584225464</v>
      </c>
      <c r="J1681" s="593"/>
    </row>
    <row r="1682" spans="1:10">
      <c r="A1682" s="585" t="s">
        <v>2218</v>
      </c>
      <c r="B1682" s="614">
        <v>62.561700000000002</v>
      </c>
      <c r="C1682" s="608">
        <v>333.53500000000003</v>
      </c>
      <c r="D1682" s="590">
        <v>246.80862254419344</v>
      </c>
      <c r="E1682" s="590">
        <v>335.6322929252504</v>
      </c>
      <c r="F1682" s="591">
        <v>268.72011805777078</v>
      </c>
      <c r="G1682" s="592">
        <v>338.84198215634314</v>
      </c>
      <c r="H1682" s="590">
        <v>200.09568964087075</v>
      </c>
      <c r="I1682" s="590">
        <v>334.76565574293647</v>
      </c>
      <c r="J1682" s="593"/>
    </row>
    <row r="1683" spans="1:10">
      <c r="A1683" s="585" t="s">
        <v>2218</v>
      </c>
      <c r="B1683" s="614">
        <v>65.0762</v>
      </c>
      <c r="C1683" s="608">
        <v>333.608</v>
      </c>
      <c r="D1683" s="590">
        <v>251.28153740441979</v>
      </c>
      <c r="E1683" s="590">
        <v>336.10254351272533</v>
      </c>
      <c r="F1683" s="591">
        <v>271.86968315383587</v>
      </c>
      <c r="G1683" s="592">
        <v>339.86353578144849</v>
      </c>
      <c r="H1683" s="590">
        <v>200.17184944527446</v>
      </c>
      <c r="I1683" s="590">
        <v>334.80386995779696</v>
      </c>
      <c r="J1683" s="593"/>
    </row>
    <row r="1684" spans="1:10">
      <c r="A1684" s="585" t="s">
        <v>2218</v>
      </c>
      <c r="B1684" s="614">
        <v>67.784999999999997</v>
      </c>
      <c r="C1684" s="608">
        <v>330.80099999999999</v>
      </c>
      <c r="D1684" s="590">
        <v>255.97218241446529</v>
      </c>
      <c r="E1684" s="590">
        <v>336.5514577919011</v>
      </c>
      <c r="F1684" s="591">
        <v>275.10946177174912</v>
      </c>
      <c r="G1684" s="592">
        <v>340.88715464148174</v>
      </c>
      <c r="H1684" s="590">
        <v>200.23341644049108</v>
      </c>
      <c r="I1684" s="590">
        <v>334.83398475474837</v>
      </c>
      <c r="J1684" s="593"/>
    </row>
    <row r="1685" spans="1:10">
      <c r="A1685" s="585" t="s">
        <v>2218</v>
      </c>
      <c r="B1685" s="614">
        <v>70.491100000000003</v>
      </c>
      <c r="C1685" s="608">
        <v>336.649</v>
      </c>
      <c r="D1685" s="590">
        <v>260.53312643200576</v>
      </c>
      <c r="E1685" s="590">
        <v>336.94817637127579</v>
      </c>
      <c r="F1685" s="591">
        <v>278.19863286429398</v>
      </c>
      <c r="G1685" s="592">
        <v>341.83830031055032</v>
      </c>
      <c r="H1685" s="590">
        <v>200.2790613752158</v>
      </c>
      <c r="I1685" s="590">
        <v>334.85572799504661</v>
      </c>
      <c r="J1685" s="593"/>
    </row>
    <row r="1686" spans="1:10">
      <c r="A1686" s="585" t="s">
        <v>2218</v>
      </c>
      <c r="B1686" s="614">
        <v>72.618700000000004</v>
      </c>
      <c r="C1686" s="608">
        <v>336.71</v>
      </c>
      <c r="D1686" s="590">
        <v>264.03582912982421</v>
      </c>
      <c r="E1686" s="590">
        <v>337.22831291185929</v>
      </c>
      <c r="F1686" s="591">
        <v>280.53078068604589</v>
      </c>
      <c r="G1686" s="592">
        <v>342.54072250270315</v>
      </c>
      <c r="H1686" s="590">
        <v>200.30652140717453</v>
      </c>
      <c r="I1686" s="590">
        <v>334.86850015153715</v>
      </c>
      <c r="J1686" s="593"/>
    </row>
    <row r="1687" spans="1:10">
      <c r="A1687" s="585" t="s">
        <v>2218</v>
      </c>
      <c r="B1687" s="614">
        <v>74.938900000000004</v>
      </c>
      <c r="C1687" s="608">
        <v>339.66199999999998</v>
      </c>
      <c r="D1687" s="590">
        <v>267.77605601687094</v>
      </c>
      <c r="E1687" s="590">
        <v>337.50564181735427</v>
      </c>
      <c r="F1687" s="591">
        <v>282.98297775381224</v>
      </c>
      <c r="G1687" s="592">
        <v>343.26516408329422</v>
      </c>
      <c r="H1687" s="590">
        <v>200.32997051081637</v>
      </c>
      <c r="I1687" s="590">
        <v>334.87917335251461</v>
      </c>
      <c r="J1687" s="593"/>
    </row>
    <row r="1688" spans="1:10">
      <c r="A1688" s="585" t="s">
        <v>2218</v>
      </c>
      <c r="B1688" s="614">
        <v>77.259</v>
      </c>
      <c r="C1688" s="608">
        <v>342.613</v>
      </c>
      <c r="D1688" s="590">
        <v>271.43672467326911</v>
      </c>
      <c r="E1688" s="590">
        <v>337.75675467784703</v>
      </c>
      <c r="F1688" s="591">
        <v>285.34540191427067</v>
      </c>
      <c r="G1688" s="592">
        <v>343.9496966072137</v>
      </c>
      <c r="H1688" s="590">
        <v>200.34812988295229</v>
      </c>
      <c r="I1688" s="590">
        <v>334.88725382505947</v>
      </c>
      <c r="J1688" s="593"/>
    </row>
    <row r="1689" spans="1:10">
      <c r="A1689" s="585" t="s">
        <v>2218</v>
      </c>
      <c r="B1689" s="614">
        <v>78.806399999999996</v>
      </c>
      <c r="C1689" s="608">
        <v>342.65800000000002</v>
      </c>
      <c r="D1689" s="590">
        <v>273.83579541829744</v>
      </c>
      <c r="E1689" s="590">
        <v>337.91109900614515</v>
      </c>
      <c r="F1689" s="591">
        <v>286.87370424086157</v>
      </c>
      <c r="G1689" s="592">
        <v>344.3856808554703</v>
      </c>
      <c r="H1689" s="590">
        <v>200.35790268898748</v>
      </c>
      <c r="I1689" s="590">
        <v>334.89152003446759</v>
      </c>
      <c r="J1689" s="593"/>
    </row>
    <row r="1690" spans="1:10">
      <c r="A1690" s="585" t="s">
        <v>2218</v>
      </c>
      <c r="B1690" s="614">
        <v>80.933999999999997</v>
      </c>
      <c r="C1690" s="608">
        <v>342.71899999999999</v>
      </c>
      <c r="D1690" s="590">
        <v>277.08099351718897</v>
      </c>
      <c r="E1690" s="590">
        <v>338.10775701830977</v>
      </c>
      <c r="F1690" s="591">
        <v>288.91617813199252</v>
      </c>
      <c r="G1690" s="592">
        <v>344.9600995754638</v>
      </c>
      <c r="H1690" s="590">
        <v>200.3688891198959</v>
      </c>
      <c r="I1690" s="590">
        <v>334.89623180425536</v>
      </c>
      <c r="J1690" s="593"/>
    </row>
    <row r="1691" spans="1:10">
      <c r="A1691" s="585" t="s">
        <v>2218</v>
      </c>
      <c r="B1691" s="614">
        <v>82.868200000000002</v>
      </c>
      <c r="C1691" s="608">
        <v>342.77499999999998</v>
      </c>
      <c r="D1691" s="590">
        <v>279.97932670119764</v>
      </c>
      <c r="E1691" s="590">
        <v>338.27225462179075</v>
      </c>
      <c r="F1691" s="591">
        <v>290.71644511098475</v>
      </c>
      <c r="G1691" s="592">
        <v>345.458716140869</v>
      </c>
      <c r="H1691" s="590">
        <v>200.37687132313056</v>
      </c>
      <c r="I1691" s="590">
        <v>334.89958778353673</v>
      </c>
      <c r="J1691" s="593"/>
    </row>
    <row r="1692" spans="1:10">
      <c r="A1692" s="585" t="s">
        <v>2218</v>
      </c>
      <c r="B1692" s="614">
        <v>84.801500000000004</v>
      </c>
      <c r="C1692" s="608">
        <v>345.71499999999997</v>
      </c>
      <c r="D1692" s="590">
        <v>282.8286598078052</v>
      </c>
      <c r="E1692" s="590">
        <v>338.42431603225612</v>
      </c>
      <c r="F1692" s="591">
        <v>292.46454697032152</v>
      </c>
      <c r="G1692" s="592">
        <v>345.93611887796988</v>
      </c>
      <c r="H1692" s="590">
        <v>200.3833188671658</v>
      </c>
      <c r="I1692" s="590">
        <v>334.90224792309505</v>
      </c>
      <c r="J1692" s="593"/>
    </row>
    <row r="1693" spans="1:10">
      <c r="A1693" s="585" t="s">
        <v>2218</v>
      </c>
      <c r="B1693" s="614">
        <v>86.929100000000005</v>
      </c>
      <c r="C1693" s="608">
        <v>345.77699999999999</v>
      </c>
      <c r="D1693" s="590">
        <v>285.91116348823743</v>
      </c>
      <c r="E1693" s="590">
        <v>338.57865434445881</v>
      </c>
      <c r="F1693" s="591">
        <v>294.33171494082347</v>
      </c>
      <c r="G1693" s="592">
        <v>346.43880415711681</v>
      </c>
      <c r="H1693" s="590">
        <v>200.38899437679683</v>
      </c>
      <c r="I1693" s="590">
        <v>334.90454382108493</v>
      </c>
      <c r="J1693" s="593"/>
    </row>
    <row r="1694" spans="1:10">
      <c r="A1694" s="585" t="s">
        <v>2218</v>
      </c>
      <c r="B1694" s="614">
        <v>89.249300000000005</v>
      </c>
      <c r="C1694" s="608">
        <v>348.72800000000001</v>
      </c>
      <c r="D1694" s="590">
        <v>289.21141540991624</v>
      </c>
      <c r="E1694" s="590">
        <v>338.7328809384619</v>
      </c>
      <c r="F1694" s="591">
        <v>296.30347656790963</v>
      </c>
      <c r="G1694" s="592">
        <v>346.96168235255089</v>
      </c>
      <c r="H1694" s="590">
        <v>200.39384076128974</v>
      </c>
      <c r="I1694" s="590">
        <v>334.90646243802826</v>
      </c>
      <c r="J1694" s="593"/>
    </row>
    <row r="1695" spans="1:10">
      <c r="A1695" s="619" t="s">
        <v>2219</v>
      </c>
      <c r="B1695" s="620">
        <v>0.77275700000000003</v>
      </c>
      <c r="C1695" s="621">
        <v>2.9069099999999999</v>
      </c>
      <c r="D1695" s="622"/>
      <c r="E1695" s="622"/>
      <c r="F1695" s="623"/>
      <c r="G1695" s="624"/>
      <c r="H1695" s="622"/>
      <c r="I1695" s="622"/>
      <c r="J1695" s="625"/>
    </row>
    <row r="1696" spans="1:10">
      <c r="A1696" s="585" t="s">
        <v>2219</v>
      </c>
      <c r="B1696" s="614">
        <v>1.5427200000000001</v>
      </c>
      <c r="C1696" s="608">
        <v>14.467599999999999</v>
      </c>
      <c r="D1696" s="590">
        <v>24.405893846020344</v>
      </c>
      <c r="E1696" s="590">
        <v>77.071013996967224</v>
      </c>
      <c r="F1696" s="591">
        <v>32.829865388559206</v>
      </c>
      <c r="G1696" s="592">
        <v>79.431041306275532</v>
      </c>
      <c r="H1696" s="590">
        <v>3.87129679993375</v>
      </c>
      <c r="I1696" s="590">
        <v>47.768704326075451</v>
      </c>
      <c r="J1696" s="593"/>
    </row>
    <row r="1697" spans="1:10">
      <c r="A1697" s="585" t="s">
        <v>2219</v>
      </c>
      <c r="B1697" s="614">
        <v>2.1155499999999998</v>
      </c>
      <c r="C1697" s="608">
        <v>37.561</v>
      </c>
      <c r="D1697" s="590">
        <v>34.972950453849677</v>
      </c>
      <c r="E1697" s="590">
        <v>108.52855266253839</v>
      </c>
      <c r="F1697" s="591">
        <v>46.915620660998528</v>
      </c>
      <c r="G1697" s="592">
        <v>111.18146002449042</v>
      </c>
      <c r="H1697" s="590">
        <v>10.069316379250461</v>
      </c>
      <c r="I1697" s="590">
        <v>77.490609208985504</v>
      </c>
      <c r="J1697" s="593"/>
    </row>
    <row r="1698" spans="1:10">
      <c r="A1698" s="585" t="s">
        <v>2219</v>
      </c>
      <c r="B1698" s="614">
        <v>2.6874500000000001</v>
      </c>
      <c r="C1698" s="608">
        <v>63.539099999999998</v>
      </c>
      <c r="D1698" s="590">
        <v>42.991704735898701</v>
      </c>
      <c r="E1698" s="590">
        <v>131.16464456079686</v>
      </c>
      <c r="F1698" s="591">
        <v>57.51637381748715</v>
      </c>
      <c r="G1698" s="592">
        <v>133.65379608403424</v>
      </c>
      <c r="H1698" s="590">
        <v>17.128927379488257</v>
      </c>
      <c r="I1698" s="590">
        <v>101.31537327897753</v>
      </c>
      <c r="J1698" s="593"/>
    </row>
    <row r="1699" spans="1:10">
      <c r="A1699" s="585" t="s">
        <v>2219</v>
      </c>
      <c r="B1699" s="614">
        <v>3.4537</v>
      </c>
      <c r="C1699" s="608">
        <v>86.638099999999994</v>
      </c>
      <c r="D1699" s="590">
        <v>51.80687209288476</v>
      </c>
      <c r="E1699" s="590">
        <v>154.6034487585197</v>
      </c>
      <c r="F1699" s="591">
        <v>69.06040647221991</v>
      </c>
      <c r="G1699" s="592">
        <v>156.55100366220464</v>
      </c>
      <c r="H1699" s="590">
        <v>27.20886746884138</v>
      </c>
      <c r="I1699" s="590">
        <v>127.86185775428351</v>
      </c>
      <c r="J1699" s="593"/>
    </row>
    <row r="1700" spans="1:10">
      <c r="A1700" s="585" t="s">
        <v>2219</v>
      </c>
      <c r="B1700" s="614">
        <v>4.0265199999999997</v>
      </c>
      <c r="C1700" s="608">
        <v>109.732</v>
      </c>
      <c r="D1700" s="590">
        <v>57.508214106205791</v>
      </c>
      <c r="E1700" s="590">
        <v>168.88435776958087</v>
      </c>
      <c r="F1700" s="591">
        <v>76.45603569671492</v>
      </c>
      <c r="G1700" s="592">
        <v>170.30964017813903</v>
      </c>
      <c r="H1700" s="590">
        <v>34.914417800594258</v>
      </c>
      <c r="I1700" s="590">
        <v>144.87738491475568</v>
      </c>
      <c r="J1700" s="593"/>
    </row>
    <row r="1701" spans="1:10">
      <c r="A1701" s="585" t="s">
        <v>2219</v>
      </c>
      <c r="B1701" s="614">
        <v>5.3720999999999997</v>
      </c>
      <c r="C1701" s="608">
        <v>135.732</v>
      </c>
      <c r="D1701" s="590">
        <v>69.038351075836431</v>
      </c>
      <c r="E1701" s="590">
        <v>195.53119335656933</v>
      </c>
      <c r="F1701" s="591">
        <v>91.218123963552202</v>
      </c>
      <c r="G1701" s="592">
        <v>195.60415919146732</v>
      </c>
      <c r="H1701" s="590">
        <v>52.830187393496963</v>
      </c>
      <c r="I1701" s="590">
        <v>178.10369538849235</v>
      </c>
      <c r="J1701" s="593"/>
    </row>
    <row r="1702" spans="1:10">
      <c r="A1702" s="585" t="s">
        <v>2219</v>
      </c>
      <c r="B1702" s="614">
        <v>6.7195499999999999</v>
      </c>
      <c r="C1702" s="608">
        <v>155.96299999999999</v>
      </c>
      <c r="D1702" s="590">
        <v>78.87033639605275</v>
      </c>
      <c r="E1702" s="590">
        <v>215.83466661413541</v>
      </c>
      <c r="F1702" s="591">
        <v>103.57509585570558</v>
      </c>
      <c r="G1702" s="592">
        <v>214.58553637204196</v>
      </c>
      <c r="H1702" s="590">
        <v>69.834580116271994</v>
      </c>
      <c r="I1702" s="590">
        <v>204.46754938440793</v>
      </c>
      <c r="J1702" s="593"/>
    </row>
    <row r="1703" spans="1:10">
      <c r="A1703" s="585" t="s">
        <v>2219</v>
      </c>
      <c r="B1703" s="614">
        <v>8.0669900000000005</v>
      </c>
      <c r="C1703" s="608">
        <v>176.19399999999999</v>
      </c>
      <c r="D1703" s="590">
        <v>87.566551661438439</v>
      </c>
      <c r="E1703" s="590">
        <v>231.94823457504839</v>
      </c>
      <c r="F1703" s="591">
        <v>114.30766935160111</v>
      </c>
      <c r="G1703" s="592">
        <v>229.51900800123397</v>
      </c>
      <c r="H1703" s="590">
        <v>85.498631618292421</v>
      </c>
      <c r="I1703" s="590">
        <v>225.81656029284304</v>
      </c>
      <c r="J1703" s="593"/>
    </row>
    <row r="1704" spans="1:10">
      <c r="A1704" s="585" t="s">
        <v>2219</v>
      </c>
      <c r="B1704" s="614">
        <v>9.41629</v>
      </c>
      <c r="C1704" s="608">
        <v>190.65600000000001</v>
      </c>
      <c r="D1704" s="590">
        <v>95.448639234493328</v>
      </c>
      <c r="E1704" s="590">
        <v>245.1023659715749</v>
      </c>
      <c r="F1704" s="591">
        <v>123.86313680622969</v>
      </c>
      <c r="G1704" s="592">
        <v>241.66770077801573</v>
      </c>
      <c r="H1704" s="590">
        <v>99.701868812980464</v>
      </c>
      <c r="I1704" s="590">
        <v>243.35427973191722</v>
      </c>
      <c r="J1704" s="593"/>
    </row>
    <row r="1705" spans="1:10">
      <c r="A1705" s="585" t="s">
        <v>2219</v>
      </c>
      <c r="B1705" s="614">
        <v>10.764699999999999</v>
      </c>
      <c r="C1705" s="608">
        <v>208.00299999999999</v>
      </c>
      <c r="D1705" s="590">
        <v>102.69006171372826</v>
      </c>
      <c r="E1705" s="590">
        <v>256.0242338941311</v>
      </c>
      <c r="F1705" s="591">
        <v>132.48897531212239</v>
      </c>
      <c r="G1705" s="592">
        <v>251.76331465052235</v>
      </c>
      <c r="H1705" s="590">
        <v>112.40883073001635</v>
      </c>
      <c r="I1705" s="590">
        <v>257.85510817154716</v>
      </c>
      <c r="J1705" s="593"/>
    </row>
    <row r="1706" spans="1:10">
      <c r="A1706" s="585" t="s">
        <v>2219</v>
      </c>
      <c r="B1706" s="614">
        <v>12.6942</v>
      </c>
      <c r="C1706" s="608">
        <v>222.482</v>
      </c>
      <c r="D1706" s="590">
        <v>112.19029254518962</v>
      </c>
      <c r="E1706" s="590">
        <v>268.76329879234601</v>
      </c>
      <c r="F1706" s="591">
        <v>143.57209361183607</v>
      </c>
      <c r="G1706" s="592">
        <v>263.6070749644137</v>
      </c>
      <c r="H1706" s="590">
        <v>128.14412084747863</v>
      </c>
      <c r="I1706" s="590">
        <v>274.49591396922744</v>
      </c>
      <c r="J1706" s="593"/>
    </row>
    <row r="1707" spans="1:10">
      <c r="A1707" s="585" t="s">
        <v>2219</v>
      </c>
      <c r="B1707" s="614">
        <v>14.4313</v>
      </c>
      <c r="C1707" s="608">
        <v>234.07</v>
      </c>
      <c r="D1707" s="590">
        <v>120.05334318854663</v>
      </c>
      <c r="E1707" s="590">
        <v>278.03873611264515</v>
      </c>
      <c r="F1707" s="591">
        <v>152.53658030148864</v>
      </c>
      <c r="G1707" s="592">
        <v>272.32915842758092</v>
      </c>
      <c r="H1707" s="590">
        <v>140.0734207543062</v>
      </c>
      <c r="I1707" s="590">
        <v>286.25608464512351</v>
      </c>
      <c r="J1707" s="593"/>
    </row>
    <row r="1708" spans="1:10">
      <c r="A1708" s="585" t="s">
        <v>2219</v>
      </c>
      <c r="B1708" s="614">
        <v>16.360900000000001</v>
      </c>
      <c r="C1708" s="608">
        <v>248.54900000000001</v>
      </c>
      <c r="D1708" s="590">
        <v>128.17337995080334</v>
      </c>
      <c r="E1708" s="590">
        <v>286.5123850786506</v>
      </c>
      <c r="F1708" s="591">
        <v>161.58873663473889</v>
      </c>
      <c r="G1708" s="592">
        <v>280.42217572474584</v>
      </c>
      <c r="H1708" s="590">
        <v>151.15663603597272</v>
      </c>
      <c r="I1708" s="590">
        <v>296.57703589843356</v>
      </c>
      <c r="J1708" s="593"/>
    </row>
    <row r="1709" spans="1:10">
      <c r="A1709" s="585" t="s">
        <v>2219</v>
      </c>
      <c r="B1709" s="614">
        <v>18.485700000000001</v>
      </c>
      <c r="C1709" s="608">
        <v>257.26400000000001</v>
      </c>
      <c r="D1709" s="590">
        <v>136.50037379473437</v>
      </c>
      <c r="E1709" s="590">
        <v>294.13933920821739</v>
      </c>
      <c r="F1709" s="591">
        <v>170.64923740614361</v>
      </c>
      <c r="G1709" s="592">
        <v>287.86161174377446</v>
      </c>
      <c r="H1709" s="590">
        <v>161.11401388261348</v>
      </c>
      <c r="I1709" s="590">
        <v>305.3736888373881</v>
      </c>
      <c r="J1709" s="593"/>
    </row>
    <row r="1710" spans="1:10">
      <c r="A1710" s="585" t="s">
        <v>2219</v>
      </c>
      <c r="B1710" s="614">
        <v>20.417200000000001</v>
      </c>
      <c r="C1710" s="608">
        <v>265.97399999999999</v>
      </c>
      <c r="D1710" s="590">
        <v>143.60274997041364</v>
      </c>
      <c r="E1710" s="590">
        <v>299.87343927053024</v>
      </c>
      <c r="F1710" s="591">
        <v>178.19578540223304</v>
      </c>
      <c r="G1710" s="592">
        <v>293.59304115450487</v>
      </c>
      <c r="H1710" s="590">
        <v>168.45991531899557</v>
      </c>
      <c r="I1710" s="590">
        <v>311.57634542836081</v>
      </c>
      <c r="J1710" s="593"/>
    </row>
    <row r="1711" spans="1:10">
      <c r="A1711" s="585" t="s">
        <v>2219</v>
      </c>
      <c r="B1711" s="614">
        <v>22.542899999999999</v>
      </c>
      <c r="C1711" s="608">
        <v>271.80399999999997</v>
      </c>
      <c r="D1711" s="590">
        <v>150.98295940522078</v>
      </c>
      <c r="E1711" s="590">
        <v>305.15192851674192</v>
      </c>
      <c r="F1711" s="591">
        <v>185.85801766611326</v>
      </c>
      <c r="G1711" s="592">
        <v>299.01319867129109</v>
      </c>
      <c r="H1711" s="590">
        <v>175.00262267630148</v>
      </c>
      <c r="I1711" s="590">
        <v>316.88971474186246</v>
      </c>
      <c r="J1711" s="593"/>
    </row>
    <row r="1712" spans="1:10">
      <c r="A1712" s="585" t="s">
        <v>2219</v>
      </c>
      <c r="B1712" s="614">
        <v>25.2499</v>
      </c>
      <c r="C1712" s="608">
        <v>274.767</v>
      </c>
      <c r="D1712" s="590">
        <v>159.81706369666944</v>
      </c>
      <c r="E1712" s="590">
        <v>310.65303175802865</v>
      </c>
      <c r="F1712" s="591">
        <v>194.78670848502196</v>
      </c>
      <c r="G1712" s="592">
        <v>304.86119690622479</v>
      </c>
      <c r="H1712" s="590">
        <v>181.46269446327744</v>
      </c>
      <c r="I1712" s="590">
        <v>321.92780227980614</v>
      </c>
      <c r="J1712" s="593"/>
    </row>
    <row r="1713" spans="1:10">
      <c r="A1713" s="585" t="s">
        <v>2219</v>
      </c>
      <c r="B1713" s="614">
        <v>27.3766</v>
      </c>
      <c r="C1713" s="608">
        <v>277.71300000000002</v>
      </c>
      <c r="D1713" s="590">
        <v>166.37505691048889</v>
      </c>
      <c r="E1713" s="590">
        <v>314.22156374236528</v>
      </c>
      <c r="F1713" s="591">
        <v>201.24267206083903</v>
      </c>
      <c r="G1713" s="592">
        <v>308.79942779775934</v>
      </c>
      <c r="H1713" s="590">
        <v>185.3771587098926</v>
      </c>
      <c r="I1713" s="590">
        <v>324.86966365276209</v>
      </c>
      <c r="J1713" s="593"/>
    </row>
    <row r="1714" spans="1:10">
      <c r="A1714" s="585" t="s">
        <v>2219</v>
      </c>
      <c r="B1714" s="614">
        <v>29.695799999999998</v>
      </c>
      <c r="C1714" s="608">
        <v>283.54899999999998</v>
      </c>
      <c r="D1714" s="590">
        <v>173.19265342533629</v>
      </c>
      <c r="E1714" s="590">
        <v>317.51564281812671</v>
      </c>
      <c r="F1714" s="591">
        <v>207.79824135656395</v>
      </c>
      <c r="G1714" s="592">
        <v>312.56722615622482</v>
      </c>
      <c r="H1714" s="590">
        <v>188.73842149755717</v>
      </c>
      <c r="I1714" s="590">
        <v>327.31981121169906</v>
      </c>
      <c r="J1714" s="593"/>
    </row>
    <row r="1715" spans="1:10">
      <c r="A1715" s="585" t="s">
        <v>2219</v>
      </c>
      <c r="B1715" s="614">
        <v>31.6282</v>
      </c>
      <c r="C1715" s="608">
        <v>289.37400000000002</v>
      </c>
      <c r="D1715" s="590">
        <v>178.63540065570496</v>
      </c>
      <c r="E1715" s="590">
        <v>319.86977908865231</v>
      </c>
      <c r="F1715" s="591">
        <v>212.91774526816394</v>
      </c>
      <c r="G1715" s="592">
        <v>315.35743946225324</v>
      </c>
      <c r="H1715" s="590">
        <v>190.96160773834853</v>
      </c>
      <c r="I1715" s="590">
        <v>328.89629640719255</v>
      </c>
      <c r="J1715" s="593"/>
    </row>
    <row r="1716" spans="1:10">
      <c r="A1716" s="585" t="s">
        <v>2219</v>
      </c>
      <c r="B1716" s="614">
        <v>34.528599999999997</v>
      </c>
      <c r="C1716" s="608">
        <v>292.34199999999998</v>
      </c>
      <c r="D1716" s="590">
        <v>186.44325222862517</v>
      </c>
      <c r="E1716" s="590">
        <v>322.86309281248998</v>
      </c>
      <c r="F1716" s="591">
        <v>220.08559571078382</v>
      </c>
      <c r="G1716" s="592">
        <v>319.0538390229795</v>
      </c>
      <c r="H1716" s="590">
        <v>193.53352748834263</v>
      </c>
      <c r="I1716" s="590">
        <v>330.66841336997715</v>
      </c>
      <c r="J1716" s="593"/>
    </row>
    <row r="1717" spans="1:10">
      <c r="A1717" s="585" t="s">
        <v>2219</v>
      </c>
      <c r="B1717" s="614">
        <v>37.816800000000001</v>
      </c>
      <c r="C1717" s="608">
        <v>292.43700000000001</v>
      </c>
      <c r="D1717" s="590">
        <v>194.83000302262593</v>
      </c>
      <c r="E1717" s="590">
        <v>325.63078368828144</v>
      </c>
      <c r="F1717" s="591">
        <v>227.5548112651434</v>
      </c>
      <c r="G1717" s="592">
        <v>322.66188497940971</v>
      </c>
      <c r="H1717" s="590">
        <v>195.61647799111421</v>
      </c>
      <c r="I1717" s="590">
        <v>332.05387256726232</v>
      </c>
      <c r="J1717" s="593"/>
    </row>
    <row r="1718" spans="1:10">
      <c r="A1718" s="585" t="s">
        <v>2219</v>
      </c>
      <c r="B1718" s="614">
        <v>40.524700000000003</v>
      </c>
      <c r="C1718" s="608">
        <v>292.51499999999999</v>
      </c>
      <c r="D1718" s="590">
        <v>201.40830098740551</v>
      </c>
      <c r="E1718" s="590">
        <v>327.51627845242336</v>
      </c>
      <c r="F1718" s="591">
        <v>233.24810103611202</v>
      </c>
      <c r="G1718" s="592">
        <v>325.25629904566762</v>
      </c>
      <c r="H1718" s="590">
        <v>196.85004175565646</v>
      </c>
      <c r="I1718" s="590">
        <v>332.84751948591457</v>
      </c>
      <c r="J1718" s="593"/>
    </row>
    <row r="1719" spans="1:10">
      <c r="A1719" s="585" t="s">
        <v>2219</v>
      </c>
      <c r="B1719" s="614">
        <v>42.846600000000002</v>
      </c>
      <c r="C1719" s="608">
        <v>289.697</v>
      </c>
      <c r="D1719" s="590">
        <v>206.83643073395223</v>
      </c>
      <c r="E1719" s="590">
        <v>328.90407341944979</v>
      </c>
      <c r="F1719" s="591">
        <v>237.83758953376955</v>
      </c>
      <c r="G1719" s="592">
        <v>327.25545337700709</v>
      </c>
      <c r="H1719" s="590">
        <v>197.65215386377716</v>
      </c>
      <c r="I1719" s="590">
        <v>333.34986482018525</v>
      </c>
      <c r="J1719" s="593"/>
    </row>
    <row r="1720" spans="1:10">
      <c r="A1720" s="585" t="s">
        <v>2219</v>
      </c>
      <c r="B1720" s="614">
        <v>45.167700000000004</v>
      </c>
      <c r="C1720" s="608">
        <v>289.76400000000001</v>
      </c>
      <c r="D1720" s="590">
        <v>212.08298322532607</v>
      </c>
      <c r="E1720" s="590">
        <v>330.11485876926133</v>
      </c>
      <c r="F1720" s="591">
        <v>242.1813423224946</v>
      </c>
      <c r="G1720" s="592">
        <v>329.07542844197224</v>
      </c>
      <c r="H1720" s="590">
        <v>198.27364789769328</v>
      </c>
      <c r="I1720" s="590">
        <v>333.72979722026275</v>
      </c>
      <c r="J1720" s="593"/>
    </row>
    <row r="1721" spans="1:10">
      <c r="A1721" s="585" t="s">
        <v>2219</v>
      </c>
      <c r="B1721" s="614">
        <v>47.682200000000002</v>
      </c>
      <c r="C1721" s="608">
        <v>289.83699999999999</v>
      </c>
      <c r="D1721" s="590">
        <v>217.57946194288849</v>
      </c>
      <c r="E1721" s="590">
        <v>331.25814999668569</v>
      </c>
      <c r="F1721" s="591">
        <v>246.63580101447124</v>
      </c>
      <c r="G1721" s="592">
        <v>330.87219735109937</v>
      </c>
      <c r="H1721" s="590">
        <v>198.79013051667559</v>
      </c>
      <c r="I1721" s="590">
        <v>334.03783197892432</v>
      </c>
      <c r="J1721" s="593"/>
    </row>
    <row r="1722" spans="1:10">
      <c r="A1722" s="585" t="s">
        <v>2219</v>
      </c>
      <c r="B1722" s="614">
        <v>50.004199999999997</v>
      </c>
      <c r="C1722" s="608">
        <v>287.01900000000001</v>
      </c>
      <c r="D1722" s="590">
        <v>222.49479494408334</v>
      </c>
      <c r="E1722" s="590">
        <v>332.1817419413174</v>
      </c>
      <c r="F1722" s="591">
        <v>250.53681917085655</v>
      </c>
      <c r="G1722" s="592">
        <v>332.39031035900314</v>
      </c>
      <c r="H1722" s="590">
        <v>199.15557160826469</v>
      </c>
      <c r="I1722" s="590">
        <v>334.25049074870986</v>
      </c>
      <c r="J1722" s="593"/>
    </row>
    <row r="1723" spans="1:10">
      <c r="A1723" s="585" t="s">
        <v>2219</v>
      </c>
      <c r="B1723" s="614">
        <v>52.3262</v>
      </c>
      <c r="C1723" s="608">
        <v>284.202</v>
      </c>
      <c r="D1723" s="590">
        <v>227.26680761626244</v>
      </c>
      <c r="E1723" s="590">
        <v>332.99694612464447</v>
      </c>
      <c r="F1723" s="591">
        <v>254.25046294772721</v>
      </c>
      <c r="G1723" s="592">
        <v>333.7893654456625</v>
      </c>
      <c r="H1723" s="590">
        <v>199.43865007279027</v>
      </c>
      <c r="I1723" s="590">
        <v>334.41142598490012</v>
      </c>
      <c r="J1723" s="593"/>
    </row>
    <row r="1724" spans="1:10">
      <c r="A1724" s="585" t="s">
        <v>2219</v>
      </c>
      <c r="B1724" s="614">
        <v>54.454700000000003</v>
      </c>
      <c r="C1724" s="608">
        <v>281.37900000000002</v>
      </c>
      <c r="D1724" s="590">
        <v>231.52313051205235</v>
      </c>
      <c r="E1724" s="590">
        <v>333.66184658328973</v>
      </c>
      <c r="F1724" s="591">
        <v>257.50228190124335</v>
      </c>
      <c r="G1724" s="592">
        <v>334.97881881167342</v>
      </c>
      <c r="H1724" s="590">
        <v>199.64169804181796</v>
      </c>
      <c r="I1724" s="590">
        <v>334.52432043228072</v>
      </c>
      <c r="J1724" s="593"/>
    </row>
    <row r="1725" spans="1:10">
      <c r="A1725" s="585" t="s">
        <v>2219</v>
      </c>
      <c r="B1725" s="614">
        <v>56.1965</v>
      </c>
      <c r="C1725" s="608">
        <v>278.54399999999998</v>
      </c>
      <c r="D1725" s="590">
        <v>234.92681695769946</v>
      </c>
      <c r="E1725" s="590">
        <v>334.15444502015811</v>
      </c>
      <c r="F1725" s="591">
        <v>260.06207536125038</v>
      </c>
      <c r="G1725" s="592">
        <v>335.89249353649728</v>
      </c>
      <c r="H1725" s="590">
        <v>199.77588184865451</v>
      </c>
      <c r="I1725" s="590">
        <v>334.59749738803748</v>
      </c>
      <c r="J1725" s="593"/>
    </row>
    <row r="1726" spans="1:10">
      <c r="A1726" s="585" t="s">
        <v>2219</v>
      </c>
      <c r="B1726" s="614">
        <v>58.7119</v>
      </c>
      <c r="C1726" s="608">
        <v>275.73200000000003</v>
      </c>
      <c r="D1726" s="590">
        <v>239.72301156108193</v>
      </c>
      <c r="E1726" s="590">
        <v>334.79394217311813</v>
      </c>
      <c r="F1726" s="591">
        <v>263.60855273947709</v>
      </c>
      <c r="G1726" s="592">
        <v>337.12640418081759</v>
      </c>
      <c r="H1726" s="590">
        <v>199.92943733046357</v>
      </c>
      <c r="I1726" s="590">
        <v>334.67952100203263</v>
      </c>
      <c r="J1726" s="593"/>
    </row>
    <row r="1727" spans="1:10">
      <c r="A1727" s="585" t="s">
        <v>2219</v>
      </c>
      <c r="B1727" s="614">
        <v>60.646999999999998</v>
      </c>
      <c r="C1727" s="608">
        <v>272.90300000000002</v>
      </c>
      <c r="D1727" s="590">
        <v>243.32174976729351</v>
      </c>
      <c r="E1727" s="590">
        <v>335.2347740465728</v>
      </c>
      <c r="F1727" s="591">
        <v>266.22357497190836</v>
      </c>
      <c r="G1727" s="592">
        <v>338.01315851602521</v>
      </c>
      <c r="H1727" s="590">
        <v>200.02177761088879</v>
      </c>
      <c r="I1727" s="590">
        <v>334.72776429805083</v>
      </c>
      <c r="J1727" s="593"/>
    </row>
    <row r="1728" spans="1:10">
      <c r="A1728" s="585" t="s">
        <v>2219</v>
      </c>
      <c r="B1728" s="614">
        <v>63.161499999999997</v>
      </c>
      <c r="C1728" s="608">
        <v>272.976</v>
      </c>
      <c r="D1728" s="590">
        <v>247.88632103053251</v>
      </c>
      <c r="E1728" s="590">
        <v>335.7495556138004</v>
      </c>
      <c r="F1728" s="591">
        <v>269.4843881241751</v>
      </c>
      <c r="G1728" s="592">
        <v>339.09231150702851</v>
      </c>
      <c r="H1728" s="590">
        <v>200.11581593884628</v>
      </c>
      <c r="I1728" s="590">
        <v>334.77584390725264</v>
      </c>
      <c r="J1728" s="593"/>
    </row>
    <row r="1729" spans="1:10">
      <c r="A1729" s="585" t="s">
        <v>2219</v>
      </c>
      <c r="B1729" s="614">
        <v>65.483500000000006</v>
      </c>
      <c r="C1729" s="608">
        <v>270.15800000000002</v>
      </c>
      <c r="D1729" s="590">
        <v>251.99512141636203</v>
      </c>
      <c r="E1729" s="590">
        <v>336.17366071369105</v>
      </c>
      <c r="F1729" s="591">
        <v>272.36669102960542</v>
      </c>
      <c r="G1729" s="592">
        <v>340.0223362472392</v>
      </c>
      <c r="H1729" s="590">
        <v>200.18231974602273</v>
      </c>
      <c r="I1729" s="590">
        <v>334.80904591827408</v>
      </c>
      <c r="J1729" s="593"/>
    </row>
    <row r="1730" spans="1:10">
      <c r="A1730" s="585" t="s">
        <v>2219</v>
      </c>
      <c r="B1730" s="614">
        <v>67.226200000000006</v>
      </c>
      <c r="C1730" s="608">
        <v>264.43900000000002</v>
      </c>
      <c r="D1730" s="590">
        <v>255.01503742777246</v>
      </c>
      <c r="E1730" s="590">
        <v>336.46334345705014</v>
      </c>
      <c r="F1730" s="591">
        <v>274.45357152814705</v>
      </c>
      <c r="G1730" s="592">
        <v>340.68210819313339</v>
      </c>
      <c r="H1730" s="590">
        <v>200.22217396811897</v>
      </c>
      <c r="I1730" s="590">
        <v>334.82854674585934</v>
      </c>
      <c r="J1730" s="593"/>
    </row>
    <row r="1731" spans="1:10">
      <c r="A1731" s="585" t="s">
        <v>2219</v>
      </c>
      <c r="B1731" s="614">
        <v>69.547200000000004</v>
      </c>
      <c r="C1731" s="608">
        <v>264.50599999999997</v>
      </c>
      <c r="D1731" s="590">
        <v>258.95599453609833</v>
      </c>
      <c r="E1731" s="590">
        <v>336.81521679316785</v>
      </c>
      <c r="F1731" s="591">
        <v>277.13717397483936</v>
      </c>
      <c r="G1731" s="592">
        <v>341.51417279102111</v>
      </c>
      <c r="H1731" s="590">
        <v>200.26465974009722</v>
      </c>
      <c r="I1731" s="590">
        <v>334.84893060327227</v>
      </c>
      <c r="J1731" s="593"/>
    </row>
    <row r="1732" spans="1:10">
      <c r="A1732" s="585" t="s">
        <v>2219</v>
      </c>
      <c r="B1732" s="614">
        <v>71.287099999999995</v>
      </c>
      <c r="C1732" s="608">
        <v>267.44099999999997</v>
      </c>
      <c r="D1732" s="590">
        <v>261.85196647476187</v>
      </c>
      <c r="E1732" s="590">
        <v>337.05606149588112</v>
      </c>
      <c r="F1732" s="591">
        <v>279.08081325012546</v>
      </c>
      <c r="G1732" s="592">
        <v>342.10556661685558</v>
      </c>
      <c r="H1732" s="590">
        <v>200.29009512037572</v>
      </c>
      <c r="I1732" s="590">
        <v>334.86089158759592</v>
      </c>
      <c r="J1732" s="593"/>
    </row>
    <row r="1733" spans="1:10">
      <c r="A1733" s="585" t="s">
        <v>2219</v>
      </c>
      <c r="B1733" s="614">
        <v>72.836299999999994</v>
      </c>
      <c r="C1733" s="608">
        <v>261.71600000000001</v>
      </c>
      <c r="D1733" s="590">
        <v>264.39007852688042</v>
      </c>
      <c r="E1733" s="590">
        <v>337.2555210294754</v>
      </c>
      <c r="F1733" s="591">
        <v>280.76471571950151</v>
      </c>
      <c r="G1733" s="592">
        <v>342.61045294561956</v>
      </c>
      <c r="H1733" s="590">
        <v>200.30898396575301</v>
      </c>
      <c r="I1733" s="590">
        <v>334.86963201765371</v>
      </c>
      <c r="J1733" s="593"/>
    </row>
    <row r="1734" spans="1:10">
      <c r="A1734" s="585" t="s">
        <v>2219</v>
      </c>
      <c r="B1734" s="614">
        <v>75.157399999999996</v>
      </c>
      <c r="C1734" s="608">
        <v>261.78300000000002</v>
      </c>
      <c r="D1734" s="590">
        <v>268.12413785897201</v>
      </c>
      <c r="E1734" s="590">
        <v>337.53036111870875</v>
      </c>
      <c r="F1734" s="591">
        <v>283.20920644032458</v>
      </c>
      <c r="G1734" s="592">
        <v>343.33127958706376</v>
      </c>
      <c r="H1734" s="590">
        <v>200.33188542853563</v>
      </c>
      <c r="I1734" s="590">
        <v>334.880033795207</v>
      </c>
      <c r="J1734" s="593"/>
    </row>
    <row r="1735" spans="1:10">
      <c r="A1735" s="585" t="s">
        <v>2219</v>
      </c>
      <c r="B1735" s="614">
        <v>76.703800000000001</v>
      </c>
      <c r="C1735" s="608">
        <v>264.71300000000002</v>
      </c>
      <c r="D1735" s="590">
        <v>270.56776516991829</v>
      </c>
      <c r="E1735" s="590">
        <v>337.69888910406837</v>
      </c>
      <c r="F1735" s="591">
        <v>284.78795766163711</v>
      </c>
      <c r="G1735" s="592">
        <v>343.78934018348804</v>
      </c>
      <c r="H1735" s="590">
        <v>200.34419702231554</v>
      </c>
      <c r="I1735" s="590">
        <v>334.88551962209726</v>
      </c>
      <c r="J1735" s="593"/>
    </row>
    <row r="1736" spans="1:10">
      <c r="A1736" s="585" t="s">
        <v>2219</v>
      </c>
      <c r="B1736" s="614">
        <v>79.218299999999999</v>
      </c>
      <c r="C1736" s="608">
        <v>264.78500000000003</v>
      </c>
      <c r="D1736" s="590">
        <v>274.46883001731294</v>
      </c>
      <c r="E1736" s="590">
        <v>337.95053330222731</v>
      </c>
      <c r="F1736" s="591">
        <v>287.27436022284769</v>
      </c>
      <c r="G1736" s="592">
        <v>344.49909900369931</v>
      </c>
      <c r="H1736" s="590">
        <v>200.36023532672633</v>
      </c>
      <c r="I1736" s="590">
        <v>334.89252842962094</v>
      </c>
      <c r="J1736" s="593"/>
    </row>
    <row r="1737" spans="1:10">
      <c r="A1737" s="585" t="s">
        <v>2219</v>
      </c>
      <c r="B1737" s="614">
        <v>80.959999999999994</v>
      </c>
      <c r="C1737" s="608">
        <v>261.95100000000002</v>
      </c>
      <c r="D1737" s="590">
        <v>277.12027701261394</v>
      </c>
      <c r="E1737" s="590">
        <v>338.1100553397012</v>
      </c>
      <c r="F1737" s="591">
        <v>288.94072873603051</v>
      </c>
      <c r="G1737" s="592">
        <v>344.96694740968513</v>
      </c>
      <c r="H1737" s="590">
        <v>200.36900808640186</v>
      </c>
      <c r="I1737" s="590">
        <v>334.89628227142828</v>
      </c>
      <c r="J1737" s="593"/>
    </row>
    <row r="1738" spans="1:10">
      <c r="A1738" s="585" t="s">
        <v>2219</v>
      </c>
      <c r="B1738" s="614">
        <v>83.086799999999997</v>
      </c>
      <c r="C1738" s="608">
        <v>264.89699999999999</v>
      </c>
      <c r="D1738" s="590">
        <v>280.30386226970768</v>
      </c>
      <c r="E1738" s="590">
        <v>338.29004701519204</v>
      </c>
      <c r="F1738" s="591">
        <v>290.91663448603475</v>
      </c>
      <c r="G1738" s="592">
        <v>345.51372320537843</v>
      </c>
      <c r="H1738" s="590">
        <v>200.37767107907135</v>
      </c>
      <c r="I1738" s="590">
        <v>334.89992040264843</v>
      </c>
      <c r="J1738" s="593"/>
    </row>
    <row r="1739" spans="1:10">
      <c r="A1739" s="585" t="s">
        <v>2219</v>
      </c>
      <c r="B1739" s="614">
        <v>85.021000000000001</v>
      </c>
      <c r="C1739" s="608">
        <v>264.95299999999997</v>
      </c>
      <c r="D1739" s="590">
        <v>283.14922213505378</v>
      </c>
      <c r="E1739" s="590">
        <v>338.44084823838045</v>
      </c>
      <c r="F1739" s="591">
        <v>292.65987821307738</v>
      </c>
      <c r="G1739" s="592">
        <v>345.98905437362532</v>
      </c>
      <c r="H1739" s="590">
        <v>200.38396782405474</v>
      </c>
      <c r="I1739" s="590">
        <v>334.90251278534265</v>
      </c>
      <c r="J1739" s="593"/>
    </row>
    <row r="1740" spans="1:10">
      <c r="A1740" s="585" t="s">
        <v>2219</v>
      </c>
      <c r="B1740" s="614">
        <v>86.956100000000006</v>
      </c>
      <c r="C1740" s="608">
        <v>262.12400000000002</v>
      </c>
      <c r="D1740" s="590">
        <v>285.94993162410361</v>
      </c>
      <c r="E1740" s="590">
        <v>338.58053078293125</v>
      </c>
      <c r="F1740" s="591">
        <v>294.35504048762908</v>
      </c>
      <c r="G1740" s="592">
        <v>346.44503723865188</v>
      </c>
      <c r="H1740" s="590">
        <v>200.38905819400841</v>
      </c>
      <c r="I1740" s="590">
        <v>334.90456935647848</v>
      </c>
      <c r="J1740" s="593"/>
    </row>
    <row r="1741" spans="1:10" ht="15.75" thickBot="1">
      <c r="A1741" s="588" t="s">
        <v>2219</v>
      </c>
      <c r="B1741" s="617">
        <v>89.082800000000006</v>
      </c>
      <c r="C1741" s="612">
        <v>265.07</v>
      </c>
      <c r="D1741" s="604">
        <v>288.97666570712408</v>
      </c>
      <c r="E1741" s="604">
        <v>338.72227171206242</v>
      </c>
      <c r="F1741" s="605">
        <v>296.16414872231428</v>
      </c>
      <c r="G1741" s="606">
        <v>346.92500041886655</v>
      </c>
      <c r="H1741" s="604">
        <v>200.39353272281258</v>
      </c>
      <c r="I1741" s="604">
        <v>334.90634182305593</v>
      </c>
      <c r="J1741" s="607"/>
    </row>
    <row r="1743" spans="1:10">
      <c r="A1743" s="576" t="s">
        <v>3772</v>
      </c>
      <c r="C1743" s="613">
        <f>COUNT(C2:C1741)</f>
        <v>1740</v>
      </c>
    </row>
  </sheetData>
  <conditionalFormatting sqref="B1:B1048576">
    <cfRule type="cellIs" dxfId="5" priority="4" operator="lessThan">
      <formula>0</formula>
    </cfRule>
  </conditionalFormatting>
  <conditionalFormatting sqref="D2:I1741">
    <cfRule type="cellIs" dxfId="4" priority="2" operator="lessThan">
      <formula>0</formula>
    </cfRule>
  </conditionalFormatting>
  <conditionalFormatting sqref="J2:J1741">
    <cfRule type="cellIs" dxfId="3" priority="1" operator="lessThan">
      <formula>0</formula>
    </cfRule>
  </conditionalFormatting>
  <pageMargins left="0.7" right="0.7" top="0.75" bottom="0.75"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9"/>
  <sheetViews>
    <sheetView workbookViewId="0"/>
  </sheetViews>
  <sheetFormatPr defaultRowHeight="15"/>
  <cols>
    <col min="1" max="1" width="8.85546875" style="638" customWidth="1"/>
    <col min="2" max="2" width="14.140625" style="638" customWidth="1"/>
    <col min="3" max="3" width="9.140625" style="629"/>
    <col min="4" max="4" width="10.5703125" style="652" customWidth="1"/>
    <col min="5" max="5" width="9.42578125" style="653" customWidth="1"/>
    <col min="6" max="6" width="9.85546875" style="653" customWidth="1"/>
    <col min="7" max="7" width="10.5703125" style="653" bestFit="1" customWidth="1"/>
    <col min="8" max="8" width="9.85546875" style="652" customWidth="1"/>
  </cols>
  <sheetData>
    <row r="1" spans="1:8" ht="43.5" customHeight="1" thickBot="1">
      <c r="A1" s="575" t="s">
        <v>3788</v>
      </c>
      <c r="B1" s="639" t="s">
        <v>3432</v>
      </c>
      <c r="C1" s="579" t="s">
        <v>3729</v>
      </c>
      <c r="D1" s="589" t="s">
        <v>3789</v>
      </c>
      <c r="E1" s="581" t="s">
        <v>3766</v>
      </c>
      <c r="F1" s="582" t="s">
        <v>3767</v>
      </c>
      <c r="G1" s="584" t="s">
        <v>3768</v>
      </c>
      <c r="H1" s="582" t="s">
        <v>3769</v>
      </c>
    </row>
    <row r="2" spans="1:8">
      <c r="A2" s="678" t="s">
        <v>3775</v>
      </c>
      <c r="B2" s="683" t="s">
        <v>2245</v>
      </c>
      <c r="C2" s="679">
        <v>0</v>
      </c>
      <c r="D2" s="682">
        <v>80</v>
      </c>
      <c r="E2" s="681"/>
      <c r="F2" s="682"/>
      <c r="G2" s="680"/>
      <c r="H2" s="682"/>
    </row>
    <row r="3" spans="1:8">
      <c r="A3" s="654" t="s">
        <v>3775</v>
      </c>
      <c r="B3" s="684" t="s">
        <v>2245</v>
      </c>
      <c r="C3" s="626">
        <v>7.0620999999999992</v>
      </c>
      <c r="D3" s="655">
        <v>169.23099999999999</v>
      </c>
      <c r="E3" s="670">
        <v>146.23809334157511</v>
      </c>
      <c r="F3" s="655"/>
      <c r="G3" s="641">
        <v>253.77638322897275</v>
      </c>
      <c r="H3" s="655">
        <v>149.27610331947321</v>
      </c>
    </row>
    <row r="4" spans="1:8">
      <c r="A4" s="654" t="s">
        <v>3775</v>
      </c>
      <c r="B4" s="684" t="s">
        <v>2245</v>
      </c>
      <c r="C4" s="626">
        <v>13.916499999999999</v>
      </c>
      <c r="D4" s="655">
        <v>193.846</v>
      </c>
      <c r="E4" s="670">
        <v>168.66651552506971</v>
      </c>
      <c r="F4" s="655"/>
      <c r="G4" s="641">
        <v>323.6499914738319</v>
      </c>
      <c r="H4" s="655">
        <v>177.81902329290222</v>
      </c>
    </row>
    <row r="5" spans="1:8">
      <c r="A5" s="654" t="s">
        <v>3775</v>
      </c>
      <c r="B5" s="684" t="s">
        <v>2245</v>
      </c>
      <c r="C5" s="626">
        <v>20.770900000000001</v>
      </c>
      <c r="D5" s="655">
        <v>205.38499999999999</v>
      </c>
      <c r="E5" s="670">
        <v>183.44661376328614</v>
      </c>
      <c r="F5" s="655"/>
      <c r="G5" s="641">
        <v>368.15088121932899</v>
      </c>
      <c r="H5" s="655">
        <v>193.0839286786659</v>
      </c>
    </row>
    <row r="6" spans="1:8">
      <c r="A6" s="654" t="s">
        <v>3775</v>
      </c>
      <c r="B6" s="684" t="s">
        <v>2245</v>
      </c>
      <c r="C6" s="626">
        <v>27.625299999999999</v>
      </c>
      <c r="D6" s="655">
        <v>215.38499999999999</v>
      </c>
      <c r="E6" s="670">
        <v>194.61253836434463</v>
      </c>
      <c r="F6" s="655"/>
      <c r="G6" s="641">
        <v>400.40620207063398</v>
      </c>
      <c r="H6" s="655">
        <v>202.708079185006</v>
      </c>
    </row>
    <row r="7" spans="1:8">
      <c r="A7" s="654" t="s">
        <v>3775</v>
      </c>
      <c r="B7" s="684" t="s">
        <v>2245</v>
      </c>
      <c r="C7" s="626">
        <v>34.479700000000001</v>
      </c>
      <c r="D7" s="655">
        <v>224.61500000000001</v>
      </c>
      <c r="E7" s="670">
        <v>203.63942952000372</v>
      </c>
      <c r="F7" s="655"/>
      <c r="G7" s="641">
        <v>425.34337869580486</v>
      </c>
      <c r="H7" s="655">
        <v>209.30800345255079</v>
      </c>
    </row>
    <row r="8" spans="1:8">
      <c r="A8" s="654" t="s">
        <v>3775</v>
      </c>
      <c r="B8" s="684" t="s">
        <v>2245</v>
      </c>
      <c r="C8" s="626">
        <v>41.334000000000003</v>
      </c>
      <c r="D8" s="655">
        <v>229.23099999999999</v>
      </c>
      <c r="E8" s="670">
        <v>211.24185762559117</v>
      </c>
      <c r="F8" s="655"/>
      <c r="G8" s="641">
        <v>445.40245622589794</v>
      </c>
      <c r="H8" s="655">
        <v>214.07870367421302</v>
      </c>
    </row>
    <row r="9" spans="1:8">
      <c r="A9" s="654" t="s">
        <v>3775</v>
      </c>
      <c r="B9" s="684" t="s">
        <v>2245</v>
      </c>
      <c r="C9" s="626">
        <v>48.811599999999999</v>
      </c>
      <c r="D9" s="655">
        <v>233.077</v>
      </c>
      <c r="E9" s="670">
        <v>218.38068445642898</v>
      </c>
      <c r="F9" s="655"/>
      <c r="G9" s="641">
        <v>463.35124895101603</v>
      </c>
      <c r="H9" s="655">
        <v>217.93641351323654</v>
      </c>
    </row>
    <row r="10" spans="1:8">
      <c r="A10" s="654" t="s">
        <v>3775</v>
      </c>
      <c r="B10" s="684" t="s">
        <v>2245</v>
      </c>
      <c r="C10" s="626">
        <v>55.458199999999998</v>
      </c>
      <c r="D10" s="655">
        <v>239.23099999999999</v>
      </c>
      <c r="E10" s="670">
        <v>223.96668312646673</v>
      </c>
      <c r="F10" s="655"/>
      <c r="G10" s="641">
        <v>476.74292409762256</v>
      </c>
      <c r="H10" s="655">
        <v>220.55930010678981</v>
      </c>
    </row>
    <row r="11" spans="1:8">
      <c r="A11" s="654" t="s">
        <v>3775</v>
      </c>
      <c r="B11" s="684" t="s">
        <v>2245</v>
      </c>
      <c r="C11" s="626">
        <v>62.312600000000003</v>
      </c>
      <c r="D11" s="655">
        <v>242.30799999999999</v>
      </c>
      <c r="E11" s="670">
        <v>229.14368971141187</v>
      </c>
      <c r="F11" s="655"/>
      <c r="G11" s="641">
        <v>488.60923719384243</v>
      </c>
      <c r="H11" s="655">
        <v>222.6994199844126</v>
      </c>
    </row>
    <row r="12" spans="1:8">
      <c r="A12" s="654" t="s">
        <v>3775</v>
      </c>
      <c r="B12" s="684" t="s">
        <v>2245</v>
      </c>
      <c r="C12" s="626">
        <v>69.374700000000004</v>
      </c>
      <c r="D12" s="655">
        <v>246.154</v>
      </c>
      <c r="E12" s="670">
        <v>233.97752918793663</v>
      </c>
      <c r="F12" s="655"/>
      <c r="G12" s="641">
        <v>499.19401818759354</v>
      </c>
      <c r="H12" s="655">
        <v>224.46131407999007</v>
      </c>
    </row>
    <row r="13" spans="1:8">
      <c r="A13" s="654" t="s">
        <v>3775</v>
      </c>
      <c r="B13" s="684" t="s">
        <v>2245</v>
      </c>
      <c r="C13" s="626">
        <v>76.0214</v>
      </c>
      <c r="D13" s="655">
        <v>250.76900000000001</v>
      </c>
      <c r="E13" s="670">
        <v>238.14487643344057</v>
      </c>
      <c r="F13" s="655"/>
      <c r="G13" s="641">
        <v>507.92256865430943</v>
      </c>
      <c r="H13" s="655">
        <v>225.80906482302635</v>
      </c>
    </row>
    <row r="14" spans="1:8">
      <c r="A14" s="654" t="s">
        <v>3775</v>
      </c>
      <c r="B14" s="684" t="s">
        <v>2245</v>
      </c>
      <c r="C14" s="626">
        <v>82.668099999999995</v>
      </c>
      <c r="D14" s="655">
        <v>255.38499999999999</v>
      </c>
      <c r="E14" s="670">
        <v>242.00071492190304</v>
      </c>
      <c r="F14" s="655"/>
      <c r="G14" s="641">
        <v>515.66322891155812</v>
      </c>
      <c r="H14" s="655">
        <v>226.92416551815589</v>
      </c>
    </row>
    <row r="15" spans="1:8">
      <c r="A15" s="654" t="s">
        <v>3775</v>
      </c>
      <c r="B15" s="684" t="s">
        <v>2245</v>
      </c>
      <c r="C15" s="626">
        <v>90.145600000000002</v>
      </c>
      <c r="D15" s="655">
        <v>260.76900000000001</v>
      </c>
      <c r="E15" s="670">
        <v>246.02171271632375</v>
      </c>
      <c r="F15" s="655"/>
      <c r="G15" s="641">
        <v>523.38572177022365</v>
      </c>
      <c r="H15" s="655">
        <v>227.96107175354229</v>
      </c>
    </row>
    <row r="16" spans="1:8">
      <c r="A16" s="656" t="s">
        <v>3775</v>
      </c>
      <c r="B16" s="685" t="s">
        <v>2245</v>
      </c>
      <c r="C16" s="627">
        <v>97.207700000000003</v>
      </c>
      <c r="D16" s="657">
        <v>265.38499999999999</v>
      </c>
      <c r="E16" s="671">
        <v>249.55474039008223</v>
      </c>
      <c r="F16" s="657"/>
      <c r="G16" s="642">
        <v>529.87250128127471</v>
      </c>
      <c r="H16" s="657">
        <v>228.77331426224373</v>
      </c>
    </row>
    <row r="17" spans="1:8">
      <c r="A17" s="658" t="s">
        <v>3775</v>
      </c>
      <c r="B17" s="686" t="s">
        <v>2246</v>
      </c>
      <c r="C17" s="628">
        <v>0</v>
      </c>
      <c r="D17" s="659">
        <v>56.25</v>
      </c>
      <c r="E17" s="672"/>
      <c r="F17" s="659"/>
      <c r="G17" s="643"/>
      <c r="H17" s="659"/>
    </row>
    <row r="18" spans="1:8">
      <c r="A18" s="654" t="s">
        <v>3775</v>
      </c>
      <c r="B18" s="684" t="s">
        <v>2246</v>
      </c>
      <c r="C18" s="626">
        <v>6.8543900000000004</v>
      </c>
      <c r="D18" s="655">
        <v>150</v>
      </c>
      <c r="E18" s="670">
        <v>128.89045045800728</v>
      </c>
      <c r="F18" s="655"/>
      <c r="G18" s="641">
        <v>261.51530763569446</v>
      </c>
      <c r="H18" s="655">
        <v>154.24132236516539</v>
      </c>
    </row>
    <row r="19" spans="1:8">
      <c r="A19" s="654" t="s">
        <v>3775</v>
      </c>
      <c r="B19" s="684" t="s">
        <v>2246</v>
      </c>
      <c r="C19" s="626">
        <v>13.501099999999999</v>
      </c>
      <c r="D19" s="655">
        <v>174.21899999999999</v>
      </c>
      <c r="E19" s="670">
        <v>151.78700692721256</v>
      </c>
      <c r="F19" s="655"/>
      <c r="G19" s="641">
        <v>333.88867894116794</v>
      </c>
      <c r="H19" s="655">
        <v>184.05825989119018</v>
      </c>
    </row>
    <row r="20" spans="1:8">
      <c r="A20" s="654" t="s">
        <v>3775</v>
      </c>
      <c r="B20" s="684" t="s">
        <v>2246</v>
      </c>
      <c r="C20" s="626">
        <v>20.770900000000001</v>
      </c>
      <c r="D20" s="655">
        <v>184.375</v>
      </c>
      <c r="E20" s="670">
        <v>168.25022926247325</v>
      </c>
      <c r="F20" s="655"/>
      <c r="G20" s="641">
        <v>383.70196350048855</v>
      </c>
      <c r="H20" s="655">
        <v>201.23999787536735</v>
      </c>
    </row>
    <row r="21" spans="1:8">
      <c r="A21" s="654" t="s">
        <v>3775</v>
      </c>
      <c r="B21" s="684" t="s">
        <v>2246</v>
      </c>
      <c r="C21" s="626">
        <v>27.625299999999999</v>
      </c>
      <c r="D21" s="655">
        <v>192.18799999999999</v>
      </c>
      <c r="E21" s="670">
        <v>179.90678367048281</v>
      </c>
      <c r="F21" s="655"/>
      <c r="G21" s="641">
        <v>417.3197831916782</v>
      </c>
      <c r="H21" s="655">
        <v>211.27068266980871</v>
      </c>
    </row>
    <row r="22" spans="1:8">
      <c r="A22" s="654" t="s">
        <v>3775</v>
      </c>
      <c r="B22" s="684" t="s">
        <v>2246</v>
      </c>
      <c r="C22" s="626">
        <v>34.687399999999997</v>
      </c>
      <c r="D22" s="655">
        <v>196.875</v>
      </c>
      <c r="E22" s="670">
        <v>189.62188509458977</v>
      </c>
      <c r="F22" s="655"/>
      <c r="G22" s="641">
        <v>444.00927252111808</v>
      </c>
      <c r="H22" s="655">
        <v>218.32373857417338</v>
      </c>
    </row>
    <row r="23" spans="1:8">
      <c r="A23" s="654" t="s">
        <v>3775</v>
      </c>
      <c r="B23" s="684" t="s">
        <v>2246</v>
      </c>
      <c r="C23" s="626">
        <v>41.126300000000001</v>
      </c>
      <c r="D23" s="655">
        <v>201.56200000000001</v>
      </c>
      <c r="E23" s="670">
        <v>197.11699912054837</v>
      </c>
      <c r="F23" s="655"/>
      <c r="G23" s="641">
        <v>463.64216363965312</v>
      </c>
      <c r="H23" s="655">
        <v>222.99169656541883</v>
      </c>
    </row>
    <row r="24" spans="1:8">
      <c r="A24" s="654" t="s">
        <v>3775</v>
      </c>
      <c r="B24" s="684" t="s">
        <v>2246</v>
      </c>
      <c r="C24" s="626">
        <v>48.603900000000003</v>
      </c>
      <c r="D24" s="655">
        <v>203.90600000000001</v>
      </c>
      <c r="E24" s="670">
        <v>204.6540801228029</v>
      </c>
      <c r="F24" s="655"/>
      <c r="G24" s="641">
        <v>482.45089629680552</v>
      </c>
      <c r="H24" s="655">
        <v>227.04567892683181</v>
      </c>
    </row>
    <row r="25" spans="1:8">
      <c r="A25" s="654" t="s">
        <v>3775</v>
      </c>
      <c r="B25" s="684" t="s">
        <v>2246</v>
      </c>
      <c r="C25" s="626">
        <v>55.250500000000002</v>
      </c>
      <c r="D25" s="655">
        <v>205.46899999999999</v>
      </c>
      <c r="E25" s="670">
        <v>210.5565101002164</v>
      </c>
      <c r="F25" s="655"/>
      <c r="G25" s="641">
        <v>496.47660217999572</v>
      </c>
      <c r="H25" s="655">
        <v>229.79996349260142</v>
      </c>
    </row>
    <row r="26" spans="1:8">
      <c r="A26" s="654" t="s">
        <v>3775</v>
      </c>
      <c r="B26" s="684" t="s">
        <v>2246</v>
      </c>
      <c r="C26" s="626">
        <v>62.520299999999999</v>
      </c>
      <c r="D26" s="655">
        <v>207.81200000000001</v>
      </c>
      <c r="E26" s="670">
        <v>216.34467082169201</v>
      </c>
      <c r="F26" s="655"/>
      <c r="G26" s="641">
        <v>509.59598510371711</v>
      </c>
      <c r="H26" s="655">
        <v>232.16651245780983</v>
      </c>
    </row>
    <row r="27" spans="1:8">
      <c r="A27" s="654" t="s">
        <v>3775</v>
      </c>
      <c r="B27" s="684" t="s">
        <v>2246</v>
      </c>
      <c r="C27" s="626">
        <v>69.167000000000002</v>
      </c>
      <c r="D27" s="655">
        <v>210.93799999999999</v>
      </c>
      <c r="E27" s="670">
        <v>221.14361925102418</v>
      </c>
      <c r="F27" s="655"/>
      <c r="G27" s="641">
        <v>519.97747666860039</v>
      </c>
      <c r="H27" s="655">
        <v>233.89429850524644</v>
      </c>
    </row>
    <row r="28" spans="1:8">
      <c r="A28" s="654" t="s">
        <v>3775</v>
      </c>
      <c r="B28" s="684" t="s">
        <v>2246</v>
      </c>
      <c r="C28" s="626">
        <v>76.0214</v>
      </c>
      <c r="D28" s="655">
        <v>211.71899999999999</v>
      </c>
      <c r="E28" s="670">
        <v>225.68611165114481</v>
      </c>
      <c r="F28" s="655"/>
      <c r="G28" s="641">
        <v>529.37775472215242</v>
      </c>
      <c r="H28" s="655">
        <v>235.34747835408751</v>
      </c>
    </row>
    <row r="29" spans="1:8">
      <c r="A29" s="654" t="s">
        <v>3775</v>
      </c>
      <c r="B29" s="684" t="s">
        <v>2246</v>
      </c>
      <c r="C29" s="626">
        <v>82.875799999999998</v>
      </c>
      <c r="D29" s="655">
        <v>213.28100000000001</v>
      </c>
      <c r="E29" s="670">
        <v>229.88113178968294</v>
      </c>
      <c r="F29" s="655"/>
      <c r="G29" s="641">
        <v>537.68279683108778</v>
      </c>
      <c r="H29" s="655">
        <v>236.54268796332741</v>
      </c>
    </row>
    <row r="30" spans="1:8">
      <c r="A30" s="654" t="s">
        <v>3775</v>
      </c>
      <c r="B30" s="684" t="s">
        <v>2246</v>
      </c>
      <c r="C30" s="626">
        <v>90.353300000000004</v>
      </c>
      <c r="D30" s="655">
        <v>217.18799999999999</v>
      </c>
      <c r="E30" s="670">
        <v>234.1210133151047</v>
      </c>
      <c r="F30" s="655"/>
      <c r="G30" s="641">
        <v>545.70388139642296</v>
      </c>
      <c r="H30" s="655">
        <v>237.61750025913301</v>
      </c>
    </row>
    <row r="31" spans="1:8">
      <c r="A31" s="656" t="s">
        <v>3775</v>
      </c>
      <c r="B31" s="685" t="s">
        <v>2246</v>
      </c>
      <c r="C31" s="627">
        <v>97</v>
      </c>
      <c r="D31" s="657">
        <v>218.75</v>
      </c>
      <c r="E31" s="671">
        <v>237.63596888834434</v>
      </c>
      <c r="F31" s="657"/>
      <c r="G31" s="642">
        <v>552.0664524057529</v>
      </c>
      <c r="H31" s="657">
        <v>238.41410822208508</v>
      </c>
    </row>
    <row r="32" spans="1:8">
      <c r="A32" s="654" t="s">
        <v>3776</v>
      </c>
      <c r="B32" s="684" t="s">
        <v>1904</v>
      </c>
      <c r="C32" s="626">
        <v>0.56403599999999998</v>
      </c>
      <c r="D32" s="655">
        <v>-1.99203</v>
      </c>
      <c r="E32" s="670"/>
      <c r="F32" s="655"/>
      <c r="G32" s="641"/>
      <c r="H32" s="655"/>
    </row>
    <row r="33" spans="1:8">
      <c r="A33" s="654" t="s">
        <v>3776</v>
      </c>
      <c r="B33" s="684" t="s">
        <v>1904</v>
      </c>
      <c r="C33" s="626">
        <v>0.88186600000000004</v>
      </c>
      <c r="D33" s="655">
        <v>215.13900000000001</v>
      </c>
      <c r="E33" s="670">
        <v>250.10383579807961</v>
      </c>
      <c r="F33" s="655">
        <v>226.68324178241406</v>
      </c>
      <c r="G33" s="641">
        <v>105.22685268471483</v>
      </c>
      <c r="H33" s="655">
        <v>243.90371175224303</v>
      </c>
    </row>
    <row r="34" spans="1:8">
      <c r="A34" s="654" t="s">
        <v>3776</v>
      </c>
      <c r="B34" s="684" t="s">
        <v>1904</v>
      </c>
      <c r="C34" s="626">
        <v>1.38771</v>
      </c>
      <c r="D34" s="655">
        <v>264.94</v>
      </c>
      <c r="E34" s="670">
        <v>298.02321845217256</v>
      </c>
      <c r="F34" s="655">
        <v>263.53287021208416</v>
      </c>
      <c r="G34" s="641">
        <v>128.99228662434399</v>
      </c>
      <c r="H34" s="655">
        <v>279.79238804223041</v>
      </c>
    </row>
    <row r="35" spans="1:8">
      <c r="A35" s="654" t="s">
        <v>3776</v>
      </c>
      <c r="B35" s="684" t="s">
        <v>1904</v>
      </c>
      <c r="C35" s="626">
        <v>1.8957900000000001</v>
      </c>
      <c r="D35" s="655">
        <v>312.74900000000002</v>
      </c>
      <c r="E35" s="670">
        <v>337.87038991357923</v>
      </c>
      <c r="F35" s="655">
        <v>290.47416028024588</v>
      </c>
      <c r="G35" s="641">
        <v>147.92453763887846</v>
      </c>
      <c r="H35" s="655">
        <v>304.39116922602261</v>
      </c>
    </row>
    <row r="36" spans="1:8">
      <c r="A36" s="654" t="s">
        <v>3776</v>
      </c>
      <c r="B36" s="684" t="s">
        <v>1904</v>
      </c>
      <c r="C36" s="626">
        <v>5.2329999999999997</v>
      </c>
      <c r="D36" s="655">
        <v>342.62900000000002</v>
      </c>
      <c r="E36" s="670">
        <v>492.17266986704021</v>
      </c>
      <c r="F36" s="655">
        <v>367.7447911628405</v>
      </c>
      <c r="G36" s="641">
        <v>225.62082659924477</v>
      </c>
      <c r="H36" s="655">
        <v>375.14589017060973</v>
      </c>
    </row>
    <row r="37" spans="1:8">
      <c r="A37" s="654" t="s">
        <v>3776</v>
      </c>
      <c r="B37" s="684" t="s">
        <v>1904</v>
      </c>
      <c r="C37" s="626">
        <v>5.7768899999999999</v>
      </c>
      <c r="D37" s="655">
        <v>358.56599999999997</v>
      </c>
      <c r="E37" s="670">
        <v>507.7303585267228</v>
      </c>
      <c r="F37" s="655">
        <v>373.50961567182588</v>
      </c>
      <c r="G37" s="641">
        <v>234.53510448845748</v>
      </c>
      <c r="H37" s="655">
        <v>380.71734639387455</v>
      </c>
    </row>
    <row r="38" spans="1:8">
      <c r="A38" s="654" t="s">
        <v>3776</v>
      </c>
      <c r="B38" s="684" t="s">
        <v>1904</v>
      </c>
      <c r="C38" s="626">
        <v>8.01065</v>
      </c>
      <c r="D38" s="655">
        <v>370.51799999999997</v>
      </c>
      <c r="E38" s="670">
        <v>557.83596185337308</v>
      </c>
      <c r="F38" s="655">
        <v>389.97248870855452</v>
      </c>
      <c r="G38" s="641">
        <v>265.62489053995188</v>
      </c>
      <c r="H38" s="655">
        <v>396.93929494113286</v>
      </c>
    </row>
    <row r="39" spans="1:8">
      <c r="A39" s="654" t="s">
        <v>3776</v>
      </c>
      <c r="B39" s="684" t="s">
        <v>1904</v>
      </c>
      <c r="C39" s="626">
        <v>10.812900000000001</v>
      </c>
      <c r="D39" s="655">
        <v>376.49400000000003</v>
      </c>
      <c r="E39" s="670">
        <v>600.94185364064174</v>
      </c>
      <c r="F39" s="655">
        <v>401.77714656492975</v>
      </c>
      <c r="G39" s="641">
        <v>296.16349663954719</v>
      </c>
      <c r="H39" s="655">
        <v>408.7210437099622</v>
      </c>
    </row>
    <row r="40" spans="1:8">
      <c r="A40" s="654" t="s">
        <v>3776</v>
      </c>
      <c r="B40" s="684" t="s">
        <v>1904</v>
      </c>
      <c r="C40" s="626">
        <v>14.736599999999999</v>
      </c>
      <c r="D40" s="655">
        <v>384.46199999999999</v>
      </c>
      <c r="E40" s="670">
        <v>641.53497629063008</v>
      </c>
      <c r="F40" s="655">
        <v>411.09206377237444</v>
      </c>
      <c r="G40" s="641">
        <v>329.35633481179917</v>
      </c>
      <c r="H40" s="655">
        <v>417.81535774730594</v>
      </c>
    </row>
    <row r="41" spans="1:8">
      <c r="A41" s="654" t="s">
        <v>3776</v>
      </c>
      <c r="B41" s="684" t="s">
        <v>1904</v>
      </c>
      <c r="C41" s="626">
        <v>18.6647</v>
      </c>
      <c r="D41" s="655">
        <v>388.44600000000003</v>
      </c>
      <c r="E41" s="670">
        <v>669.49660953724026</v>
      </c>
      <c r="F41" s="655">
        <v>416.56909463516081</v>
      </c>
      <c r="G41" s="641">
        <v>355.53419536454419</v>
      </c>
      <c r="H41" s="655">
        <v>422.84267691548416</v>
      </c>
    </row>
    <row r="42" spans="1:8">
      <c r="A42" s="654" t="s">
        <v>3776</v>
      </c>
      <c r="B42" s="684" t="s">
        <v>1904</v>
      </c>
      <c r="C42" s="626">
        <v>20.905100000000001</v>
      </c>
      <c r="D42" s="655">
        <v>394.42200000000003</v>
      </c>
      <c r="E42" s="670">
        <v>681.94407028532214</v>
      </c>
      <c r="F42" s="655">
        <v>418.77340886608897</v>
      </c>
      <c r="G42" s="641">
        <v>368.26114319345805</v>
      </c>
      <c r="H42" s="655">
        <v>424.73448468179731</v>
      </c>
    </row>
    <row r="43" spans="1:8">
      <c r="A43" s="654" t="s">
        <v>3776</v>
      </c>
      <c r="B43" s="684" t="s">
        <v>1904</v>
      </c>
      <c r="C43" s="626">
        <v>23.7074</v>
      </c>
      <c r="D43" s="655">
        <v>400.39800000000002</v>
      </c>
      <c r="E43" s="670">
        <v>695.02071116414459</v>
      </c>
      <c r="F43" s="655">
        <v>420.93877014594619</v>
      </c>
      <c r="G43" s="641">
        <v>382.454750975357</v>
      </c>
      <c r="H43" s="655">
        <v>426.48441406262674</v>
      </c>
    </row>
    <row r="44" spans="1:8">
      <c r="A44" s="654" t="s">
        <v>3776</v>
      </c>
      <c r="B44" s="684" t="s">
        <v>1904</v>
      </c>
      <c r="C44" s="626">
        <v>28.1951</v>
      </c>
      <c r="D44" s="655">
        <v>406.375</v>
      </c>
      <c r="E44" s="670">
        <v>711.78700261581207</v>
      </c>
      <c r="F44" s="655">
        <v>423.49465866911066</v>
      </c>
      <c r="G44" s="641">
        <v>402.04174480529991</v>
      </c>
      <c r="H44" s="655">
        <v>428.36669794019616</v>
      </c>
    </row>
    <row r="45" spans="1:8">
      <c r="A45" s="654" t="s">
        <v>3776</v>
      </c>
      <c r="B45" s="684" t="s">
        <v>1904</v>
      </c>
      <c r="C45" s="626">
        <v>30.435600000000001</v>
      </c>
      <c r="D45" s="655">
        <v>412.351</v>
      </c>
      <c r="E45" s="670">
        <v>718.72841413482593</v>
      </c>
      <c r="F45" s="655">
        <v>424.48158872991826</v>
      </c>
      <c r="G45" s="641">
        <v>410.65661197746158</v>
      </c>
      <c r="H45" s="655">
        <v>429.02686791132584</v>
      </c>
    </row>
    <row r="46" spans="1:8">
      <c r="A46" s="654" t="s">
        <v>3776</v>
      </c>
      <c r="B46" s="684" t="s">
        <v>1904</v>
      </c>
      <c r="C46" s="626">
        <v>34.918799999999997</v>
      </c>
      <c r="D46" s="655">
        <v>422.31099999999998</v>
      </c>
      <c r="E46" s="670">
        <v>730.52330294753642</v>
      </c>
      <c r="F46" s="655">
        <v>426.06435169063315</v>
      </c>
      <c r="G46" s="641">
        <v>426.04334125627935</v>
      </c>
      <c r="H46" s="655">
        <v>429.9906438518434</v>
      </c>
    </row>
    <row r="47" spans="1:8">
      <c r="A47" s="654" t="s">
        <v>3776</v>
      </c>
      <c r="B47" s="684" t="s">
        <v>1904</v>
      </c>
      <c r="C47" s="626">
        <v>41.096299999999999</v>
      </c>
      <c r="D47" s="655">
        <v>424.303</v>
      </c>
      <c r="E47" s="670">
        <v>743.41214923972166</v>
      </c>
      <c r="F47" s="655">
        <v>427.65975684835291</v>
      </c>
      <c r="G47" s="641">
        <v>444.02855335967854</v>
      </c>
      <c r="H47" s="655">
        <v>430.82282363386383</v>
      </c>
    </row>
    <row r="48" spans="1:8">
      <c r="A48" s="654" t="s">
        <v>3776</v>
      </c>
      <c r="B48" s="684" t="s">
        <v>1904</v>
      </c>
      <c r="C48" s="626">
        <v>45.026600000000002</v>
      </c>
      <c r="D48" s="655">
        <v>426.29500000000002</v>
      </c>
      <c r="E48" s="670">
        <v>750.14091731251642</v>
      </c>
      <c r="F48" s="655">
        <v>428.43749343063109</v>
      </c>
      <c r="G48" s="641">
        <v>453.94303481738137</v>
      </c>
      <c r="H48" s="655">
        <v>431.16985277489033</v>
      </c>
    </row>
    <row r="49" spans="1:8">
      <c r="A49" s="654" t="s">
        <v>3776</v>
      </c>
      <c r="B49" s="684" t="s">
        <v>1904</v>
      </c>
      <c r="C49" s="626">
        <v>50.644599999999997</v>
      </c>
      <c r="D49" s="655">
        <v>426.29500000000002</v>
      </c>
      <c r="E49" s="670">
        <v>758.29888128010714</v>
      </c>
      <c r="F49" s="655">
        <v>429.32996299275999</v>
      </c>
      <c r="G49" s="641">
        <v>466.47641960894106</v>
      </c>
      <c r="H49" s="655">
        <v>431.51521183051875</v>
      </c>
    </row>
    <row r="50" spans="1:8">
      <c r="A50" s="654" t="s">
        <v>3776</v>
      </c>
      <c r="B50" s="684" t="s">
        <v>1904</v>
      </c>
      <c r="C50" s="626">
        <v>60.747999999999998</v>
      </c>
      <c r="D50" s="655">
        <v>434.26299999999998</v>
      </c>
      <c r="E50" s="670">
        <v>769.8575658756472</v>
      </c>
      <c r="F50" s="655">
        <v>430.5000571499383</v>
      </c>
      <c r="G50" s="641">
        <v>485.24002000248447</v>
      </c>
      <c r="H50" s="655">
        <v>431.87526101987396</v>
      </c>
    </row>
    <row r="51" spans="1:8">
      <c r="A51" s="654" t="s">
        <v>3776</v>
      </c>
      <c r="B51" s="684" t="s">
        <v>1904</v>
      </c>
      <c r="C51" s="626">
        <v>70.298599999999993</v>
      </c>
      <c r="D51" s="655">
        <v>434.26299999999998</v>
      </c>
      <c r="E51" s="670">
        <v>778.26028389412602</v>
      </c>
      <c r="F51" s="655">
        <v>431.28120242801555</v>
      </c>
      <c r="G51" s="641">
        <v>499.63762294429472</v>
      </c>
      <c r="H51" s="655">
        <v>432.0536719784987</v>
      </c>
    </row>
    <row r="52" spans="1:8">
      <c r="A52" s="654" t="s">
        <v>3776</v>
      </c>
      <c r="B52" s="684" t="s">
        <v>1904</v>
      </c>
      <c r="C52" s="626">
        <v>80.397499999999994</v>
      </c>
      <c r="D52" s="655">
        <v>446.21499999999997</v>
      </c>
      <c r="E52" s="670">
        <v>785.34426208472712</v>
      </c>
      <c r="F52" s="655">
        <v>431.89417049088337</v>
      </c>
      <c r="G52" s="641">
        <v>512.26254150451246</v>
      </c>
      <c r="H52" s="655">
        <v>432.15838374899187</v>
      </c>
    </row>
    <row r="53" spans="1:8">
      <c r="A53" s="654" t="s">
        <v>3776</v>
      </c>
      <c r="B53" s="684" t="s">
        <v>1904</v>
      </c>
      <c r="C53" s="626">
        <v>89.954800000000006</v>
      </c>
      <c r="D53" s="655">
        <v>440.23899999999998</v>
      </c>
      <c r="E53" s="670">
        <v>790.83014204527808</v>
      </c>
      <c r="F53" s="655">
        <v>432.34004903312166</v>
      </c>
      <c r="G53" s="641">
        <v>522.32650732477896</v>
      </c>
      <c r="H53" s="655">
        <v>432.21554611952462</v>
      </c>
    </row>
    <row r="54" spans="1:8">
      <c r="A54" s="660" t="s">
        <v>3776</v>
      </c>
      <c r="B54" s="687" t="s">
        <v>1904</v>
      </c>
      <c r="C54" s="630">
        <v>100.047</v>
      </c>
      <c r="D54" s="661">
        <v>458.16699999999997</v>
      </c>
      <c r="E54" s="673">
        <v>795.67424400765844</v>
      </c>
      <c r="F54" s="661">
        <v>432.71271520232688</v>
      </c>
      <c r="G54" s="644">
        <v>531.39863646906633</v>
      </c>
      <c r="H54" s="661">
        <v>432.25169526401936</v>
      </c>
    </row>
    <row r="55" spans="1:8">
      <c r="A55" s="660" t="s">
        <v>3776</v>
      </c>
      <c r="B55" s="687" t="s">
        <v>1904</v>
      </c>
      <c r="C55" s="630">
        <v>120.254</v>
      </c>
      <c r="D55" s="661">
        <v>474.10399999999998</v>
      </c>
      <c r="E55" s="673">
        <v>803.30873081707887</v>
      </c>
      <c r="F55" s="661">
        <v>433.25956945387338</v>
      </c>
      <c r="G55" s="644">
        <v>545.97113520662731</v>
      </c>
      <c r="H55" s="661">
        <v>432.28738395791646</v>
      </c>
    </row>
    <row r="56" spans="1:8">
      <c r="A56" s="660" t="s">
        <v>3776</v>
      </c>
      <c r="B56" s="687" t="s">
        <v>1904</v>
      </c>
      <c r="C56" s="630">
        <v>139.91200000000001</v>
      </c>
      <c r="D56" s="661">
        <v>478.08800000000002</v>
      </c>
      <c r="E56" s="673">
        <v>808.9383400285634</v>
      </c>
      <c r="F56" s="661">
        <v>433.6306544022097</v>
      </c>
      <c r="G56" s="644">
        <v>556.8320645529144</v>
      </c>
      <c r="H56" s="661">
        <v>432.30154247059858</v>
      </c>
    </row>
    <row r="57" spans="1:8">
      <c r="A57" s="660" t="s">
        <v>3776</v>
      </c>
      <c r="B57" s="687" t="s">
        <v>1904</v>
      </c>
      <c r="C57" s="630">
        <v>159.571</v>
      </c>
      <c r="D57" s="661">
        <v>482.072</v>
      </c>
      <c r="E57" s="673">
        <v>813.38921111330956</v>
      </c>
      <c r="F57" s="661">
        <v>433.90438540080316</v>
      </c>
      <c r="G57" s="644">
        <v>565.39895608902725</v>
      </c>
      <c r="H57" s="661">
        <v>432.30783839976078</v>
      </c>
    </row>
    <row r="58" spans="1:8">
      <c r="A58" s="660" t="s">
        <v>3776</v>
      </c>
      <c r="B58" s="687" t="s">
        <v>1904</v>
      </c>
      <c r="C58" s="630">
        <v>180.35499999999999</v>
      </c>
      <c r="D58" s="661">
        <v>484.06400000000002</v>
      </c>
      <c r="E58" s="673">
        <v>817.19656399856456</v>
      </c>
      <c r="F58" s="661">
        <v>434.124531924378</v>
      </c>
      <c r="G58" s="644">
        <v>572.64177727881668</v>
      </c>
      <c r="H58" s="661">
        <v>432.31091482289548</v>
      </c>
    </row>
    <row r="59" spans="1:8">
      <c r="A59" s="662" t="s">
        <v>3776</v>
      </c>
      <c r="B59" s="688" t="s">
        <v>1904</v>
      </c>
      <c r="C59" s="631">
        <v>198.892</v>
      </c>
      <c r="D59" s="663">
        <v>486.05599999999998</v>
      </c>
      <c r="E59" s="674">
        <v>820.02092755291699</v>
      </c>
      <c r="F59" s="663">
        <v>434.2793610349816</v>
      </c>
      <c r="G59" s="645">
        <v>577.91855783944425</v>
      </c>
      <c r="H59" s="663">
        <v>432.31226220129548</v>
      </c>
    </row>
    <row r="60" spans="1:8">
      <c r="A60" s="658" t="s">
        <v>3776</v>
      </c>
      <c r="B60" s="686" t="s">
        <v>1907</v>
      </c>
      <c r="C60" s="628">
        <v>1.1235999999999999</v>
      </c>
      <c r="D60" s="659">
        <v>249.00399999999999</v>
      </c>
      <c r="E60" s="672">
        <v>261.42328736345593</v>
      </c>
      <c r="F60" s="659">
        <v>248.76236332945243</v>
      </c>
      <c r="G60" s="643">
        <v>120.36238822144894</v>
      </c>
      <c r="H60" s="659">
        <v>269.65847989561081</v>
      </c>
    </row>
    <row r="61" spans="1:8">
      <c r="A61" s="654" t="s">
        <v>3776</v>
      </c>
      <c r="B61" s="684" t="s">
        <v>1907</v>
      </c>
      <c r="C61" s="626">
        <v>1.32504</v>
      </c>
      <c r="D61" s="655">
        <v>300.79700000000003</v>
      </c>
      <c r="E61" s="670">
        <v>279.32418133942792</v>
      </c>
      <c r="F61" s="655">
        <v>263.08290533820792</v>
      </c>
      <c r="G61" s="641">
        <v>129.56524639255559</v>
      </c>
      <c r="H61" s="655">
        <v>283.09562634814762</v>
      </c>
    </row>
    <row r="62" spans="1:8">
      <c r="A62" s="654" t="s">
        <v>3776</v>
      </c>
      <c r="B62" s="684" t="s">
        <v>1907</v>
      </c>
      <c r="C62" s="626">
        <v>1.3474200000000001</v>
      </c>
      <c r="D62" s="655">
        <v>320.71699999999998</v>
      </c>
      <c r="E62" s="670">
        <v>281.23040030897749</v>
      </c>
      <c r="F62" s="655">
        <v>264.56312493084306</v>
      </c>
      <c r="G62" s="641">
        <v>130.53329350237897</v>
      </c>
      <c r="H62" s="655">
        <v>284.46081370894859</v>
      </c>
    </row>
    <row r="63" spans="1:8">
      <c r="A63" s="654" t="s">
        <v>3776</v>
      </c>
      <c r="B63" s="684" t="s">
        <v>1907</v>
      </c>
      <c r="C63" s="626">
        <v>1.8420700000000001</v>
      </c>
      <c r="D63" s="655">
        <v>360.55799999999999</v>
      </c>
      <c r="E63" s="670">
        <v>319.65936639200049</v>
      </c>
      <c r="F63" s="655">
        <v>292.62466025451573</v>
      </c>
      <c r="G63" s="641">
        <v>149.77835139663998</v>
      </c>
      <c r="H63" s="655">
        <v>309.78281271042789</v>
      </c>
    </row>
    <row r="64" spans="1:8">
      <c r="A64" s="654" t="s">
        <v>3776</v>
      </c>
      <c r="B64" s="684" t="s">
        <v>1907</v>
      </c>
      <c r="C64" s="626">
        <v>2.9276200000000001</v>
      </c>
      <c r="D64" s="655">
        <v>394.42200000000003</v>
      </c>
      <c r="E64" s="670">
        <v>384.96746702129633</v>
      </c>
      <c r="F64" s="655">
        <v>333.06290918716104</v>
      </c>
      <c r="G64" s="641">
        <v>182.58810870280388</v>
      </c>
      <c r="H64" s="655">
        <v>345.639242853459</v>
      </c>
    </row>
    <row r="65" spans="1:8">
      <c r="A65" s="654" t="s">
        <v>3776</v>
      </c>
      <c r="B65" s="684" t="s">
        <v>1907</v>
      </c>
      <c r="C65" s="626">
        <v>2.9432800000000001</v>
      </c>
      <c r="D65" s="655">
        <v>380.47800000000001</v>
      </c>
      <c r="E65" s="670">
        <v>385.76318053728619</v>
      </c>
      <c r="F65" s="655">
        <v>333.5035529614151</v>
      </c>
      <c r="G65" s="641">
        <v>182.99691297005231</v>
      </c>
      <c r="H65" s="655">
        <v>346.0329196098478</v>
      </c>
    </row>
    <row r="66" spans="1:8">
      <c r="A66" s="654" t="s">
        <v>3776</v>
      </c>
      <c r="B66" s="684" t="s">
        <v>1907</v>
      </c>
      <c r="C66" s="626">
        <v>6.2939299999999996</v>
      </c>
      <c r="D66" s="655">
        <v>398.40600000000001</v>
      </c>
      <c r="E66" s="670">
        <v>502.25700177782352</v>
      </c>
      <c r="F66" s="655">
        <v>386.3536905388051</v>
      </c>
      <c r="G66" s="641">
        <v>248.57632971832251</v>
      </c>
      <c r="H66" s="655">
        <v>395.03854724776824</v>
      </c>
    </row>
    <row r="67" spans="1:8">
      <c r="A67" s="654" t="s">
        <v>3776</v>
      </c>
      <c r="B67" s="684" t="s">
        <v>1907</v>
      </c>
      <c r="C67" s="626">
        <v>10.2265</v>
      </c>
      <c r="D67" s="655">
        <v>398.40600000000001</v>
      </c>
      <c r="E67" s="670">
        <v>572.51797883906124</v>
      </c>
      <c r="F67" s="655">
        <v>408.6387780118032</v>
      </c>
      <c r="G67" s="641">
        <v>297.69065074623552</v>
      </c>
      <c r="H67" s="655">
        <v>417.03413131779132</v>
      </c>
    </row>
    <row r="68" spans="1:8">
      <c r="A68" s="654" t="s">
        <v>3776</v>
      </c>
      <c r="B68" s="684" t="s">
        <v>1907</v>
      </c>
      <c r="C68" s="626">
        <v>14.1569</v>
      </c>
      <c r="D68" s="655">
        <v>400.39800000000002</v>
      </c>
      <c r="E68" s="670">
        <v>614.66892257541224</v>
      </c>
      <c r="F68" s="655">
        <v>419.14294603792132</v>
      </c>
      <c r="G68" s="641">
        <v>333.1841059222175</v>
      </c>
      <c r="H68" s="655">
        <v>427.33455144429308</v>
      </c>
    </row>
    <row r="69" spans="1:8">
      <c r="A69" s="654" t="s">
        <v>3776</v>
      </c>
      <c r="B69" s="684" t="s">
        <v>1907</v>
      </c>
      <c r="C69" s="626">
        <v>18.082699999999999</v>
      </c>
      <c r="D69" s="655">
        <v>406.375</v>
      </c>
      <c r="E69" s="670">
        <v>643.20342559245046</v>
      </c>
      <c r="F69" s="655">
        <v>425.15743396408158</v>
      </c>
      <c r="G69" s="641">
        <v>360.88693601688402</v>
      </c>
      <c r="H69" s="655">
        <v>432.92515879487735</v>
      </c>
    </row>
    <row r="70" spans="1:8">
      <c r="A70" s="654" t="s">
        <v>3776</v>
      </c>
      <c r="B70" s="684" t="s">
        <v>1907</v>
      </c>
      <c r="C70" s="626">
        <v>25.368200000000002</v>
      </c>
      <c r="D70" s="655">
        <v>422.31099999999998</v>
      </c>
      <c r="E70" s="670">
        <v>677.92966975831894</v>
      </c>
      <c r="F70" s="655">
        <v>431.36370512513412</v>
      </c>
      <c r="G70" s="641">
        <v>399.9639219768344</v>
      </c>
      <c r="H70" s="655">
        <v>438.08348592353371</v>
      </c>
    </row>
    <row r="71" spans="1:8">
      <c r="A71" s="654" t="s">
        <v>3776</v>
      </c>
      <c r="B71" s="684" t="s">
        <v>1907</v>
      </c>
      <c r="C71" s="626">
        <v>29.8581</v>
      </c>
      <c r="D71" s="655">
        <v>426.29500000000002</v>
      </c>
      <c r="E71" s="670">
        <v>692.70260316171459</v>
      </c>
      <c r="F71" s="655">
        <v>433.64963041213923</v>
      </c>
      <c r="G71" s="641">
        <v>418.82201498063392</v>
      </c>
      <c r="H71" s="655">
        <v>439.70605628035958</v>
      </c>
    </row>
    <row r="72" spans="1:8">
      <c r="A72" s="654" t="s">
        <v>3776</v>
      </c>
      <c r="B72" s="684" t="s">
        <v>1907</v>
      </c>
      <c r="C72" s="626">
        <v>34.916499999999999</v>
      </c>
      <c r="D72" s="655">
        <v>424.303</v>
      </c>
      <c r="E72" s="670">
        <v>705.74548027892081</v>
      </c>
      <c r="F72" s="655">
        <v>435.49728774791924</v>
      </c>
      <c r="G72" s="641">
        <v>436.80007790670811</v>
      </c>
      <c r="H72" s="655">
        <v>440.85422344200856</v>
      </c>
    </row>
    <row r="73" spans="1:8">
      <c r="A73" s="654" t="s">
        <v>3776</v>
      </c>
      <c r="B73" s="684" t="s">
        <v>1907</v>
      </c>
      <c r="C73" s="626">
        <v>39.410899999999998</v>
      </c>
      <c r="D73" s="655">
        <v>424.303</v>
      </c>
      <c r="E73" s="670">
        <v>715.09589649648422</v>
      </c>
      <c r="F73" s="655">
        <v>436.72481255523525</v>
      </c>
      <c r="G73" s="641">
        <v>450.54111068140668</v>
      </c>
      <c r="H73" s="655">
        <v>441.51727104574741</v>
      </c>
    </row>
    <row r="74" spans="1:8">
      <c r="A74" s="654" t="s">
        <v>3776</v>
      </c>
      <c r="B74" s="684" t="s">
        <v>1907</v>
      </c>
      <c r="C74" s="626">
        <v>41.103000000000002</v>
      </c>
      <c r="D74" s="655">
        <v>418.327</v>
      </c>
      <c r="E74" s="670">
        <v>718.19607989880785</v>
      </c>
      <c r="F74" s="655">
        <v>437.11405413770319</v>
      </c>
      <c r="G74" s="641">
        <v>455.26548768406167</v>
      </c>
      <c r="H74" s="655">
        <v>441.70854515108647</v>
      </c>
    </row>
    <row r="75" spans="1:8">
      <c r="A75" s="654" t="s">
        <v>3776</v>
      </c>
      <c r="B75" s="684" t="s">
        <v>1907</v>
      </c>
      <c r="C75" s="626">
        <v>46.154699999999998</v>
      </c>
      <c r="D75" s="655">
        <v>422.31099999999998</v>
      </c>
      <c r="E75" s="670">
        <v>726.36663868511721</v>
      </c>
      <c r="F75" s="655">
        <v>438.09776211883133</v>
      </c>
      <c r="G75" s="641">
        <v>468.14012441536141</v>
      </c>
      <c r="H75" s="655">
        <v>442.14717398361125</v>
      </c>
    </row>
    <row r="76" spans="1:8">
      <c r="A76" s="654" t="s">
        <v>3776</v>
      </c>
      <c r="B76" s="684" t="s">
        <v>1907</v>
      </c>
      <c r="C76" s="626">
        <v>50.649099999999997</v>
      </c>
      <c r="D76" s="655">
        <v>422.31099999999998</v>
      </c>
      <c r="E76" s="670">
        <v>732.52825472100983</v>
      </c>
      <c r="F76" s="655">
        <v>438.79931097933468</v>
      </c>
      <c r="G76" s="641">
        <v>478.27184348432496</v>
      </c>
      <c r="H76" s="655">
        <v>442.41794956881807</v>
      </c>
    </row>
    <row r="77" spans="1:8">
      <c r="A77" s="654" t="s">
        <v>3776</v>
      </c>
      <c r="B77" s="684" t="s">
        <v>1907</v>
      </c>
      <c r="C77" s="626">
        <v>60.7592</v>
      </c>
      <c r="D77" s="655">
        <v>424.303</v>
      </c>
      <c r="E77" s="670">
        <v>743.64728187123694</v>
      </c>
      <c r="F77" s="655">
        <v>439.97784906815849</v>
      </c>
      <c r="G77" s="641">
        <v>497.51896600271579</v>
      </c>
      <c r="H77" s="655">
        <v>442.78715237105371</v>
      </c>
    </row>
    <row r="78" spans="1:8">
      <c r="A78" s="654" t="s">
        <v>3776</v>
      </c>
      <c r="B78" s="684" t="s">
        <v>1907</v>
      </c>
      <c r="C78" s="626">
        <v>70.869299999999996</v>
      </c>
      <c r="D78" s="655">
        <v>426.29500000000002</v>
      </c>
      <c r="E78" s="670">
        <v>752.13021949993254</v>
      </c>
      <c r="F78" s="655">
        <v>440.80126271303209</v>
      </c>
      <c r="G78" s="641">
        <v>513.05872581731978</v>
      </c>
      <c r="H78" s="655">
        <v>442.97768107235339</v>
      </c>
    </row>
    <row r="79" spans="1:8">
      <c r="A79" s="654" t="s">
        <v>3776</v>
      </c>
      <c r="B79" s="684" t="s">
        <v>1907</v>
      </c>
      <c r="C79" s="626">
        <v>80.415400000000005</v>
      </c>
      <c r="D79" s="655">
        <v>430.279</v>
      </c>
      <c r="E79" s="670">
        <v>758.50865358917656</v>
      </c>
      <c r="F79" s="655">
        <v>441.37706722547858</v>
      </c>
      <c r="G79" s="641">
        <v>525.22611124092577</v>
      </c>
      <c r="H79" s="655">
        <v>443.0772834004016</v>
      </c>
    </row>
    <row r="80" spans="1:8">
      <c r="A80" s="654" t="s">
        <v>3776</v>
      </c>
      <c r="B80" s="684" t="s">
        <v>1907</v>
      </c>
      <c r="C80" s="626">
        <v>91.087299999999999</v>
      </c>
      <c r="D80" s="655">
        <v>432.27100000000002</v>
      </c>
      <c r="E80" s="670">
        <v>764.31505330463483</v>
      </c>
      <c r="F80" s="655">
        <v>441.86868688580677</v>
      </c>
      <c r="G80" s="641">
        <v>536.64196204563609</v>
      </c>
      <c r="H80" s="655">
        <v>443.1409208097345</v>
      </c>
    </row>
    <row r="81" spans="1:8">
      <c r="A81" s="654" t="s">
        <v>3776</v>
      </c>
      <c r="B81" s="684" t="s">
        <v>1907</v>
      </c>
      <c r="C81" s="626">
        <v>99.505300000000005</v>
      </c>
      <c r="D81" s="655">
        <v>440.23899999999998</v>
      </c>
      <c r="E81" s="670">
        <v>768.15960792819556</v>
      </c>
      <c r="F81" s="655">
        <v>442.17700835121599</v>
      </c>
      <c r="G81" s="641">
        <v>544.36130852543715</v>
      </c>
      <c r="H81" s="655">
        <v>443.17126342873195</v>
      </c>
    </row>
    <row r="82" spans="1:8">
      <c r="A82" s="660" t="s">
        <v>3776</v>
      </c>
      <c r="B82" s="687" t="s">
        <v>1907</v>
      </c>
      <c r="C82" s="630">
        <v>119.16800000000001</v>
      </c>
      <c r="D82" s="661">
        <v>440.23899999999998</v>
      </c>
      <c r="E82" s="673">
        <v>775.34587970949303</v>
      </c>
      <c r="F82" s="661">
        <v>442.71621110375804</v>
      </c>
      <c r="G82" s="644">
        <v>559.06431368689823</v>
      </c>
      <c r="H82" s="661">
        <v>443.20818153316549</v>
      </c>
    </row>
    <row r="83" spans="1:8">
      <c r="A83" s="660" t="s">
        <v>3776</v>
      </c>
      <c r="B83" s="687" t="s">
        <v>1907</v>
      </c>
      <c r="C83" s="630">
        <v>140.517</v>
      </c>
      <c r="D83" s="661">
        <v>440.23899999999998</v>
      </c>
      <c r="E83" s="673">
        <v>781.20300665019442</v>
      </c>
      <c r="F83" s="661">
        <v>443.11941749759222</v>
      </c>
      <c r="G83" s="644">
        <v>571.20223877494527</v>
      </c>
      <c r="H83" s="661">
        <v>443.22420186761036</v>
      </c>
    </row>
    <row r="84" spans="1:8">
      <c r="A84" s="660" t="s">
        <v>3776</v>
      </c>
      <c r="B84" s="687" t="s">
        <v>1907</v>
      </c>
      <c r="C84" s="630">
        <v>160.18</v>
      </c>
      <c r="D84" s="661">
        <v>440.23899999999998</v>
      </c>
      <c r="E84" s="673">
        <v>785.41725106571653</v>
      </c>
      <c r="F84" s="661">
        <v>443.38901142511077</v>
      </c>
      <c r="G84" s="644">
        <v>579.92613977973474</v>
      </c>
      <c r="H84" s="661">
        <v>443.23050476573496</v>
      </c>
    </row>
    <row r="85" spans="1:8">
      <c r="A85" s="660" t="s">
        <v>3776</v>
      </c>
      <c r="B85" s="687" t="s">
        <v>1907</v>
      </c>
      <c r="C85" s="630">
        <v>179.83799999999999</v>
      </c>
      <c r="D85" s="661">
        <v>444.22300000000001</v>
      </c>
      <c r="E85" s="673">
        <v>788.84297287796437</v>
      </c>
      <c r="F85" s="661">
        <v>443.59528403554731</v>
      </c>
      <c r="G85" s="644">
        <v>586.94418341833023</v>
      </c>
      <c r="H85" s="661">
        <v>443.23347466804483</v>
      </c>
    </row>
    <row r="86" spans="1:8">
      <c r="A86" s="660" t="s">
        <v>3776</v>
      </c>
      <c r="B86" s="687" t="s">
        <v>1907</v>
      </c>
      <c r="C86" s="630">
        <v>201.184</v>
      </c>
      <c r="D86" s="661">
        <v>446.21499999999997</v>
      </c>
      <c r="E86" s="673">
        <v>791.91367991974971</v>
      </c>
      <c r="F86" s="661">
        <v>443.77019670326416</v>
      </c>
      <c r="G86" s="644">
        <v>593.12337836540883</v>
      </c>
      <c r="H86" s="661">
        <v>443.23502636871501</v>
      </c>
    </row>
    <row r="87" spans="1:8">
      <c r="A87" s="658" t="s">
        <v>3777</v>
      </c>
      <c r="B87" s="686" t="s">
        <v>2247</v>
      </c>
      <c r="C87" s="628">
        <v>0.20771000000000006</v>
      </c>
      <c r="D87" s="659">
        <v>36.153799999999997</v>
      </c>
      <c r="E87" s="672">
        <v>57.467204302865255</v>
      </c>
      <c r="F87" s="659">
        <v>45.823231270656812</v>
      </c>
      <c r="G87" s="643">
        <v>59.95998374341125</v>
      </c>
      <c r="H87" s="659">
        <v>12.706758689695421</v>
      </c>
    </row>
    <row r="88" spans="1:8">
      <c r="A88" s="654" t="s">
        <v>3777</v>
      </c>
      <c r="B88" s="684" t="s">
        <v>2247</v>
      </c>
      <c r="C88" s="626">
        <v>6.8543900000000004</v>
      </c>
      <c r="D88" s="655">
        <v>98.461500000000001</v>
      </c>
      <c r="E88" s="670">
        <v>112.10295893439543</v>
      </c>
      <c r="F88" s="655">
        <v>94.20311089656839</v>
      </c>
      <c r="G88" s="641">
        <v>280.54844326187407</v>
      </c>
      <c r="H88" s="655">
        <v>68.90556552120411</v>
      </c>
    </row>
    <row r="89" spans="1:8">
      <c r="A89" s="654" t="s">
        <v>3777</v>
      </c>
      <c r="B89" s="684" t="s">
        <v>2247</v>
      </c>
      <c r="C89" s="626">
        <v>13.916499999999999</v>
      </c>
      <c r="D89" s="655">
        <v>124.61499999999999</v>
      </c>
      <c r="E89" s="670">
        <v>136.82422874597975</v>
      </c>
      <c r="F89" s="655">
        <v>116.78999741865411</v>
      </c>
      <c r="G89" s="641">
        <v>361.87162049894891</v>
      </c>
      <c r="H89" s="655">
        <v>95.355957737121926</v>
      </c>
    </row>
    <row r="90" spans="1:8">
      <c r="A90" s="654" t="s">
        <v>3777</v>
      </c>
      <c r="B90" s="684" t="s">
        <v>2247</v>
      </c>
      <c r="C90" s="626">
        <v>20.9786</v>
      </c>
      <c r="D90" s="655">
        <v>138.46199999999999</v>
      </c>
      <c r="E90" s="670">
        <v>153.25065647661927</v>
      </c>
      <c r="F90" s="655">
        <v>131.98075897030066</v>
      </c>
      <c r="G90" s="641">
        <v>412.88252685370611</v>
      </c>
      <c r="H90" s="655">
        <v>114.51633616230066</v>
      </c>
    </row>
    <row r="91" spans="1:8">
      <c r="A91" s="654" t="s">
        <v>3777</v>
      </c>
      <c r="B91" s="684" t="s">
        <v>2247</v>
      </c>
      <c r="C91" s="626">
        <v>27.832999999999998</v>
      </c>
      <c r="D91" s="655">
        <v>147.69200000000001</v>
      </c>
      <c r="E91" s="670">
        <v>165.40338078983959</v>
      </c>
      <c r="F91" s="655">
        <v>143.30275695301316</v>
      </c>
      <c r="G91" s="641">
        <v>448.63935546155631</v>
      </c>
      <c r="H91" s="655">
        <v>129.55556701779739</v>
      </c>
    </row>
    <row r="92" spans="1:8">
      <c r="A92" s="654" t="s">
        <v>3777</v>
      </c>
      <c r="B92" s="684" t="s">
        <v>2247</v>
      </c>
      <c r="C92" s="626">
        <v>34.687399999999997</v>
      </c>
      <c r="D92" s="655">
        <v>158.46199999999999</v>
      </c>
      <c r="E92" s="670">
        <v>175.31592639633581</v>
      </c>
      <c r="F92" s="655">
        <v>152.58644605683889</v>
      </c>
      <c r="G92" s="641">
        <v>476.3243548754877</v>
      </c>
      <c r="H92" s="655">
        <v>142.36926678543716</v>
      </c>
    </row>
    <row r="93" spans="1:8">
      <c r="A93" s="654" t="s">
        <v>3777</v>
      </c>
      <c r="B93" s="684" t="s">
        <v>2247</v>
      </c>
      <c r="C93" s="626">
        <v>41.541800000000002</v>
      </c>
      <c r="D93" s="655">
        <v>166.154</v>
      </c>
      <c r="E93" s="670">
        <v>183.71578460167672</v>
      </c>
      <c r="F93" s="655">
        <v>160.48584147823897</v>
      </c>
      <c r="G93" s="641">
        <v>498.61565581503322</v>
      </c>
      <c r="H93" s="655">
        <v>153.60687430090866</v>
      </c>
    </row>
    <row r="94" spans="1:8">
      <c r="A94" s="654" t="s">
        <v>3777</v>
      </c>
      <c r="B94" s="684" t="s">
        <v>2247</v>
      </c>
      <c r="C94" s="626">
        <v>48.603900000000003</v>
      </c>
      <c r="D94" s="655">
        <v>173.077</v>
      </c>
      <c r="E94" s="670">
        <v>191.22757889349475</v>
      </c>
      <c r="F94" s="655">
        <v>167.57418674678041</v>
      </c>
      <c r="G94" s="641">
        <v>517.56376760520641</v>
      </c>
      <c r="H94" s="655">
        <v>163.94434397102066</v>
      </c>
    </row>
    <row r="95" spans="1:8">
      <c r="A95" s="654" t="s">
        <v>3777</v>
      </c>
      <c r="B95" s="684" t="s">
        <v>2247</v>
      </c>
      <c r="C95" s="626">
        <v>55.458199999999998</v>
      </c>
      <c r="D95" s="655">
        <v>178.46199999999999</v>
      </c>
      <c r="E95" s="670">
        <v>197.67745749758978</v>
      </c>
      <c r="F95" s="655">
        <v>173.67798129874535</v>
      </c>
      <c r="G95" s="641">
        <v>533.04414969701247</v>
      </c>
      <c r="H95" s="655">
        <v>173.03107637134215</v>
      </c>
    </row>
    <row r="96" spans="1:8">
      <c r="A96" s="654" t="s">
        <v>3777</v>
      </c>
      <c r="B96" s="684" t="s">
        <v>2247</v>
      </c>
      <c r="C96" s="626">
        <v>62.520299999999999</v>
      </c>
      <c r="D96" s="655">
        <v>186.923</v>
      </c>
      <c r="E96" s="670">
        <v>203.64338043874912</v>
      </c>
      <c r="F96" s="655">
        <v>179.33773804052106</v>
      </c>
      <c r="G96" s="641">
        <v>546.68448132492949</v>
      </c>
      <c r="H96" s="655">
        <v>181.60342608183717</v>
      </c>
    </row>
    <row r="97" spans="1:8">
      <c r="A97" s="654" t="s">
        <v>3777</v>
      </c>
      <c r="B97" s="684" t="s">
        <v>2247</v>
      </c>
      <c r="C97" s="626">
        <v>69.374700000000004</v>
      </c>
      <c r="D97" s="655">
        <v>192.30799999999999</v>
      </c>
      <c r="E97" s="670">
        <v>208.9007650968064</v>
      </c>
      <c r="F97" s="655">
        <v>184.33613335521326</v>
      </c>
      <c r="G97" s="641">
        <v>558.14661845752539</v>
      </c>
      <c r="H97" s="655">
        <v>189.28616491461406</v>
      </c>
    </row>
    <row r="98" spans="1:8">
      <c r="A98" s="654" t="s">
        <v>3777</v>
      </c>
      <c r="B98" s="684" t="s">
        <v>2247</v>
      </c>
      <c r="C98" s="626">
        <v>76.436800000000005</v>
      </c>
      <c r="D98" s="655">
        <v>196.154</v>
      </c>
      <c r="E98" s="670">
        <v>213.86457322541216</v>
      </c>
      <c r="F98" s="655">
        <v>189.06449199180963</v>
      </c>
      <c r="G98" s="641">
        <v>568.47718018638659</v>
      </c>
      <c r="H98" s="655">
        <v>196.64595839580369</v>
      </c>
    </row>
    <row r="99" spans="1:8">
      <c r="A99" s="654" t="s">
        <v>3777</v>
      </c>
      <c r="B99" s="684" t="s">
        <v>2247</v>
      </c>
      <c r="C99" s="626">
        <v>83.083500000000001</v>
      </c>
      <c r="D99" s="655">
        <v>202.30799999999999</v>
      </c>
      <c r="E99" s="670">
        <v>218.18274909832854</v>
      </c>
      <c r="F99" s="655">
        <v>193.18486395758086</v>
      </c>
      <c r="G99" s="641">
        <v>577.06924491563518</v>
      </c>
      <c r="H99" s="655">
        <v>203.12878051808462</v>
      </c>
    </row>
    <row r="100" spans="1:8">
      <c r="A100" s="654" t="s">
        <v>3777</v>
      </c>
      <c r="B100" s="684" t="s">
        <v>2247</v>
      </c>
      <c r="C100" s="626">
        <v>89.730199999999996</v>
      </c>
      <c r="D100" s="655">
        <v>207.69200000000001</v>
      </c>
      <c r="E100" s="670">
        <v>222.20747263471719</v>
      </c>
      <c r="F100" s="655">
        <v>197.03099736209276</v>
      </c>
      <c r="G100" s="641">
        <v>584.7428677472443</v>
      </c>
      <c r="H100" s="655">
        <v>209.23538957725404</v>
      </c>
    </row>
    <row r="101" spans="1:8">
      <c r="A101" s="654" t="s">
        <v>3777</v>
      </c>
      <c r="B101" s="684" t="s">
        <v>2247</v>
      </c>
      <c r="C101" s="626">
        <v>96.792299999999997</v>
      </c>
      <c r="D101" s="655">
        <v>215.38499999999999</v>
      </c>
      <c r="E101" s="670">
        <v>226.20520693963508</v>
      </c>
      <c r="F101" s="655">
        <v>200.85675761834091</v>
      </c>
      <c r="G101" s="641">
        <v>592.04317711260398</v>
      </c>
      <c r="H101" s="655">
        <v>215.35969869285552</v>
      </c>
    </row>
    <row r="102" spans="1:8">
      <c r="A102" s="658" t="s">
        <v>3777</v>
      </c>
      <c r="B102" s="686" t="s">
        <v>2457</v>
      </c>
      <c r="C102" s="628">
        <v>2.0428199999999999</v>
      </c>
      <c r="D102" s="659">
        <v>10.943899999999999</v>
      </c>
      <c r="E102" s="672">
        <v>82.973155905564582</v>
      </c>
      <c r="F102" s="659">
        <v>86.198364132907145</v>
      </c>
      <c r="G102" s="643">
        <v>144.86320830350465</v>
      </c>
      <c r="H102" s="659">
        <v>32.866284821120153</v>
      </c>
    </row>
    <row r="103" spans="1:8">
      <c r="A103" s="654" t="s">
        <v>3777</v>
      </c>
      <c r="B103" s="684" t="s">
        <v>2457</v>
      </c>
      <c r="C103" s="626">
        <v>85.9</v>
      </c>
      <c r="D103" s="655">
        <v>203.511</v>
      </c>
      <c r="E103" s="670">
        <v>207.15489395647506</v>
      </c>
      <c r="F103" s="655">
        <v>231.23416864419642</v>
      </c>
      <c r="G103" s="641">
        <v>491.36930373190705</v>
      </c>
      <c r="H103" s="655">
        <v>174.18975691450169</v>
      </c>
    </row>
    <row r="104" spans="1:8">
      <c r="A104" s="660" t="s">
        <v>3777</v>
      </c>
      <c r="B104" s="687" t="s">
        <v>2457</v>
      </c>
      <c r="C104" s="630">
        <v>109.548</v>
      </c>
      <c r="D104" s="661">
        <v>232.15799999999999</v>
      </c>
      <c r="E104" s="673">
        <v>218.52070847238349</v>
      </c>
      <c r="F104" s="661">
        <v>244.94612404836161</v>
      </c>
      <c r="G104" s="644">
        <v>510.82159200285304</v>
      </c>
      <c r="H104" s="661">
        <v>190.98723300871819</v>
      </c>
    </row>
    <row r="105" spans="1:8">
      <c r="A105" s="660" t="s">
        <v>3777</v>
      </c>
      <c r="B105" s="687" t="s">
        <v>2457</v>
      </c>
      <c r="C105" s="630">
        <v>189.334</v>
      </c>
      <c r="D105" s="661">
        <v>274.00400000000002</v>
      </c>
      <c r="E105" s="673">
        <v>245.15742738307654</v>
      </c>
      <c r="F105" s="661">
        <v>277.29666732080943</v>
      </c>
      <c r="G105" s="644">
        <v>545.47611000994152</v>
      </c>
      <c r="H105" s="661">
        <v>231.92092733732875</v>
      </c>
    </row>
    <row r="106" spans="1:8">
      <c r="A106" s="660" t="s">
        <v>3777</v>
      </c>
      <c r="B106" s="687" t="s">
        <v>2457</v>
      </c>
      <c r="C106" s="630">
        <v>230.69399999999999</v>
      </c>
      <c r="D106" s="661">
        <v>281.70100000000002</v>
      </c>
      <c r="E106" s="673">
        <v>255.10507557452308</v>
      </c>
      <c r="F106" s="661">
        <v>289.45085011614026</v>
      </c>
      <c r="G106" s="644">
        <v>554.7156964757454</v>
      </c>
      <c r="H106" s="661">
        <v>247.53407283755004</v>
      </c>
    </row>
    <row r="107" spans="1:8">
      <c r="A107" s="660" t="s">
        <v>3777</v>
      </c>
      <c r="B107" s="687" t="s">
        <v>2457</v>
      </c>
      <c r="C107" s="630">
        <v>294.20299999999997</v>
      </c>
      <c r="D107" s="661">
        <v>331.30500000000001</v>
      </c>
      <c r="E107" s="673">
        <v>267.56352414137672</v>
      </c>
      <c r="F107" s="661">
        <v>304.72518380347918</v>
      </c>
      <c r="G107" s="644">
        <v>563.78884168976754</v>
      </c>
      <c r="H107" s="661">
        <v>267.11725970024895</v>
      </c>
    </row>
    <row r="108" spans="1:8">
      <c r="A108" s="660" t="s">
        <v>3777</v>
      </c>
      <c r="B108" s="687" t="s">
        <v>2457</v>
      </c>
      <c r="C108" s="630">
        <v>464.15899999999999</v>
      </c>
      <c r="D108" s="661">
        <v>354.41199999999998</v>
      </c>
      <c r="E108" s="673">
        <v>291.49479274945497</v>
      </c>
      <c r="F108" s="661">
        <v>334.22044356560212</v>
      </c>
      <c r="G108" s="644">
        <v>574.81433474305334</v>
      </c>
      <c r="H108" s="661">
        <v>304.07093821033453</v>
      </c>
    </row>
    <row r="109" spans="1:8">
      <c r="A109" s="664" t="s">
        <v>3777</v>
      </c>
      <c r="B109" s="689" t="s">
        <v>2457</v>
      </c>
      <c r="C109" s="632">
        <v>678.70799999999997</v>
      </c>
      <c r="D109" s="665">
        <v>365.39600000000002</v>
      </c>
      <c r="E109" s="675">
        <v>311.92472823725109</v>
      </c>
      <c r="F109" s="665">
        <v>359.55192370904138</v>
      </c>
      <c r="G109" s="646">
        <v>579.46928886176158</v>
      </c>
      <c r="H109" s="665">
        <v>333.89123955248658</v>
      </c>
    </row>
    <row r="110" spans="1:8">
      <c r="A110" s="664" t="s">
        <v>3777</v>
      </c>
      <c r="B110" s="689" t="s">
        <v>2457</v>
      </c>
      <c r="C110" s="632">
        <v>802.21400000000006</v>
      </c>
      <c r="D110" s="665">
        <v>387.43400000000003</v>
      </c>
      <c r="E110" s="675">
        <v>321.03197728652816</v>
      </c>
      <c r="F110" s="665">
        <v>370.88675583572405</v>
      </c>
      <c r="G110" s="646">
        <v>580.63062349377446</v>
      </c>
      <c r="H110" s="665">
        <v>346.37805308963283</v>
      </c>
    </row>
    <row r="111" spans="1:8">
      <c r="A111" s="664" t="s">
        <v>3777</v>
      </c>
      <c r="B111" s="689" t="s">
        <v>2457</v>
      </c>
      <c r="C111" s="632">
        <v>852.49699999999996</v>
      </c>
      <c r="D111" s="665">
        <v>391.839</v>
      </c>
      <c r="E111" s="675">
        <v>324.35953780402133</v>
      </c>
      <c r="F111" s="665">
        <v>375.03455875414977</v>
      </c>
      <c r="G111" s="646">
        <v>580.95457779550338</v>
      </c>
      <c r="H111" s="665">
        <v>350.78966837364567</v>
      </c>
    </row>
    <row r="112" spans="1:8">
      <c r="A112" s="664" t="s">
        <v>3777</v>
      </c>
      <c r="B112" s="689" t="s">
        <v>2457</v>
      </c>
      <c r="C112" s="632">
        <v>1227.75</v>
      </c>
      <c r="D112" s="665">
        <v>385.178</v>
      </c>
      <c r="E112" s="675">
        <v>344.48006012483853</v>
      </c>
      <c r="F112" s="665">
        <v>400.18488136102604</v>
      </c>
      <c r="G112" s="646">
        <v>582.12309354528088</v>
      </c>
      <c r="H112" s="665">
        <v>375.47594281428303</v>
      </c>
    </row>
    <row r="113" spans="1:8" s="49" customFormat="1">
      <c r="A113" s="664" t="s">
        <v>3777</v>
      </c>
      <c r="B113" s="689" t="s">
        <v>2457</v>
      </c>
      <c r="C113" s="632">
        <v>2058.41</v>
      </c>
      <c r="D113" s="665">
        <v>428.13</v>
      </c>
      <c r="E113" s="675">
        <v>373.33496048678211</v>
      </c>
      <c r="F113" s="665">
        <v>436.45338105705389</v>
      </c>
      <c r="G113" s="646">
        <v>582.58346604328267</v>
      </c>
      <c r="H113" s="665">
        <v>403.91963630180686</v>
      </c>
    </row>
    <row r="114" spans="1:8">
      <c r="A114" s="664" t="s">
        <v>3777</v>
      </c>
      <c r="B114" s="689" t="s">
        <v>2457</v>
      </c>
      <c r="C114" s="632">
        <v>2919.76</v>
      </c>
      <c r="D114" s="665">
        <v>460.07400000000001</v>
      </c>
      <c r="E114" s="675">
        <v>392.99913114654902</v>
      </c>
      <c r="F114" s="665">
        <v>461.29733441251352</v>
      </c>
      <c r="G114" s="646">
        <v>582.63844258165932</v>
      </c>
      <c r="H114" s="665">
        <v>418.14129530059756</v>
      </c>
    </row>
    <row r="115" spans="1:8">
      <c r="A115" s="658" t="s">
        <v>3777</v>
      </c>
      <c r="B115" s="686" t="s">
        <v>2461</v>
      </c>
      <c r="C115" s="628">
        <v>38.9726</v>
      </c>
      <c r="D115" s="659">
        <v>102.13500000000001</v>
      </c>
      <c r="E115" s="672">
        <v>195.17912884837889</v>
      </c>
      <c r="F115" s="659">
        <v>171.57252517831353</v>
      </c>
      <c r="G115" s="643">
        <v>415.47772916240922</v>
      </c>
      <c r="H115" s="659">
        <v>126.60528522476507</v>
      </c>
    </row>
    <row r="116" spans="1:8">
      <c r="A116" s="654" t="s">
        <v>3777</v>
      </c>
      <c r="B116" s="684" t="s">
        <v>2461</v>
      </c>
      <c r="C116" s="626">
        <v>95.5428</v>
      </c>
      <c r="D116" s="655">
        <v>163.792</v>
      </c>
      <c r="E116" s="670">
        <v>223.86183760277615</v>
      </c>
      <c r="F116" s="655">
        <v>198.91579543665523</v>
      </c>
      <c r="G116" s="641">
        <v>500.16106552823362</v>
      </c>
      <c r="H116" s="655">
        <v>181.4210209065526</v>
      </c>
    </row>
    <row r="117" spans="1:8">
      <c r="A117" s="660" t="s">
        <v>3777</v>
      </c>
      <c r="B117" s="687" t="s">
        <v>2461</v>
      </c>
      <c r="C117" s="630">
        <v>157.768</v>
      </c>
      <c r="D117" s="661">
        <v>190.203</v>
      </c>
      <c r="E117" s="673">
        <v>243.93982168689931</v>
      </c>
      <c r="F117" s="661">
        <v>218.22295416365012</v>
      </c>
      <c r="G117" s="644">
        <v>535.39931110448777</v>
      </c>
      <c r="H117" s="661">
        <v>217.85120005737829</v>
      </c>
    </row>
    <row r="118" spans="1:8">
      <c r="A118" s="660" t="s">
        <v>3777</v>
      </c>
      <c r="B118" s="687" t="s">
        <v>2461</v>
      </c>
      <c r="C118" s="630">
        <v>180.89500000000001</v>
      </c>
      <c r="D118" s="661">
        <v>194.59800000000001</v>
      </c>
      <c r="E118" s="673">
        <v>249.84564027979317</v>
      </c>
      <c r="F118" s="661">
        <v>223.92630833541145</v>
      </c>
      <c r="G118" s="644">
        <v>543.09719437156718</v>
      </c>
      <c r="H118" s="661">
        <v>228.36937746476852</v>
      </c>
    </row>
    <row r="119" spans="1:8">
      <c r="A119" s="660" t="s">
        <v>3777</v>
      </c>
      <c r="B119" s="687" t="s">
        <v>2461</v>
      </c>
      <c r="C119" s="630">
        <v>245.154</v>
      </c>
      <c r="D119" s="661">
        <v>225.44399999999999</v>
      </c>
      <c r="E119" s="673">
        <v>263.54773454240717</v>
      </c>
      <c r="F119" s="661">
        <v>237.19908898775782</v>
      </c>
      <c r="G119" s="644">
        <v>557.21570315320525</v>
      </c>
      <c r="H119" s="661">
        <v>252.3996014845921</v>
      </c>
    </row>
    <row r="120" spans="1:8">
      <c r="A120" s="660" t="s">
        <v>3777</v>
      </c>
      <c r="B120" s="687" t="s">
        <v>2461</v>
      </c>
      <c r="C120" s="630">
        <v>298.70800000000003</v>
      </c>
      <c r="D120" s="661">
        <v>184.61199999999999</v>
      </c>
      <c r="E120" s="673">
        <v>272.84130525476417</v>
      </c>
      <c r="F120" s="661">
        <v>246.23254001350239</v>
      </c>
      <c r="G120" s="644">
        <v>564.27594710775486</v>
      </c>
      <c r="H120" s="661">
        <v>268.3494964921328</v>
      </c>
    </row>
    <row r="121" spans="1:8">
      <c r="A121" s="660" t="s">
        <v>3777</v>
      </c>
      <c r="B121" s="687" t="s">
        <v>2461</v>
      </c>
      <c r="C121" s="630">
        <v>380.94099999999997</v>
      </c>
      <c r="D121" s="661">
        <v>229.803</v>
      </c>
      <c r="E121" s="673">
        <v>284.648710030237</v>
      </c>
      <c r="F121" s="661">
        <v>257.74426273878117</v>
      </c>
      <c r="G121" s="644">
        <v>570.89799130269546</v>
      </c>
      <c r="H121" s="661">
        <v>288.10488944575667</v>
      </c>
    </row>
    <row r="122" spans="1:8">
      <c r="A122" s="664" t="s">
        <v>3777</v>
      </c>
      <c r="B122" s="689" t="s">
        <v>2461</v>
      </c>
      <c r="C122" s="632">
        <v>524.16999999999996</v>
      </c>
      <c r="D122" s="665">
        <v>255.13200000000001</v>
      </c>
      <c r="E122" s="675">
        <v>300.6835972390594</v>
      </c>
      <c r="F122" s="665">
        <v>273.43747436572374</v>
      </c>
      <c r="G122" s="646">
        <v>576.66896203478791</v>
      </c>
      <c r="H122" s="665">
        <v>313.77863272039468</v>
      </c>
    </row>
    <row r="123" spans="1:8">
      <c r="A123" s="664" t="s">
        <v>3777</v>
      </c>
      <c r="B123" s="689" t="s">
        <v>2461</v>
      </c>
      <c r="C123" s="632">
        <v>790.11400000000003</v>
      </c>
      <c r="D123" s="665">
        <v>276.03899999999999</v>
      </c>
      <c r="E123" s="675">
        <v>322.03841668854852</v>
      </c>
      <c r="F123" s="665">
        <v>294.43899724814645</v>
      </c>
      <c r="G123" s="646">
        <v>580.54213176776454</v>
      </c>
      <c r="H123" s="665">
        <v>345.26375195502305</v>
      </c>
    </row>
    <row r="124" spans="1:8">
      <c r="A124" s="664" t="s">
        <v>3777</v>
      </c>
      <c r="B124" s="689" t="s">
        <v>2461</v>
      </c>
      <c r="C124" s="632">
        <v>865.553</v>
      </c>
      <c r="D124" s="665">
        <v>291.46899999999999</v>
      </c>
      <c r="E124" s="675">
        <v>326.8780219365857</v>
      </c>
      <c r="F124" s="665">
        <v>299.21402106056928</v>
      </c>
      <c r="G124" s="646">
        <v>581.02845561326012</v>
      </c>
      <c r="H124" s="665">
        <v>351.88077298460689</v>
      </c>
    </row>
    <row r="125" spans="1:8">
      <c r="A125" s="664" t="s">
        <v>3777</v>
      </c>
      <c r="B125" s="689" t="s">
        <v>2461</v>
      </c>
      <c r="C125" s="632">
        <v>1429.27</v>
      </c>
      <c r="D125" s="665">
        <v>316.77699999999999</v>
      </c>
      <c r="E125" s="675">
        <v>353.97359862646829</v>
      </c>
      <c r="F125" s="665">
        <v>326.04854805150103</v>
      </c>
      <c r="G125" s="646">
        <v>582.34710283766219</v>
      </c>
      <c r="H125" s="665">
        <v>384.70947710286407</v>
      </c>
    </row>
    <row r="126" spans="1:8">
      <c r="A126" s="664" t="s">
        <v>3777</v>
      </c>
      <c r="B126" s="689" t="s">
        <v>2461</v>
      </c>
      <c r="C126" s="632">
        <v>1518.86</v>
      </c>
      <c r="D126" s="665">
        <v>367.505</v>
      </c>
      <c r="E126" s="675">
        <v>357.30381373033651</v>
      </c>
      <c r="F126" s="665">
        <v>329.35808011211333</v>
      </c>
      <c r="G126" s="646">
        <v>582.41019969421757</v>
      </c>
      <c r="H126" s="665">
        <v>388.2085870168379</v>
      </c>
    </row>
    <row r="127" spans="1:8">
      <c r="A127" s="664" t="s">
        <v>3777</v>
      </c>
      <c r="B127" s="689" t="s">
        <v>2461</v>
      </c>
      <c r="C127" s="632">
        <v>1907.78</v>
      </c>
      <c r="D127" s="665">
        <v>406.08100000000002</v>
      </c>
      <c r="E127" s="675">
        <v>369.86009021696668</v>
      </c>
      <c r="F127" s="665">
        <v>341.85798970308042</v>
      </c>
      <c r="G127" s="646">
        <v>582.55658188705036</v>
      </c>
      <c r="H127" s="665">
        <v>400.27841010771834</v>
      </c>
    </row>
    <row r="128" spans="1:8">
      <c r="A128" s="664" t="s">
        <v>3777</v>
      </c>
      <c r="B128" s="689" t="s">
        <v>2461</v>
      </c>
      <c r="C128" s="632">
        <v>2220.9299999999998</v>
      </c>
      <c r="D128" s="665">
        <v>389.51799999999997</v>
      </c>
      <c r="E128" s="675">
        <v>378.28175585874698</v>
      </c>
      <c r="F128" s="665">
        <v>350.26060703717519</v>
      </c>
      <c r="G128" s="646">
        <v>582.60325315026739</v>
      </c>
      <c r="H128" s="665">
        <v>407.36522677937518</v>
      </c>
    </row>
    <row r="129" spans="1:8">
      <c r="A129" s="664" t="s">
        <v>3777</v>
      </c>
      <c r="B129" s="689" t="s">
        <v>2461</v>
      </c>
      <c r="C129" s="632">
        <v>2832.34</v>
      </c>
      <c r="D129" s="665">
        <v>460.07799999999997</v>
      </c>
      <c r="E129" s="675">
        <v>391.82092719315358</v>
      </c>
      <c r="F129" s="665">
        <v>363.7998423744603</v>
      </c>
      <c r="G129" s="646">
        <v>582.63635276363402</v>
      </c>
      <c r="H129" s="665">
        <v>417.06909507981004</v>
      </c>
    </row>
    <row r="130" spans="1:8">
      <c r="A130" s="658" t="s">
        <v>3778</v>
      </c>
      <c r="B130" s="686" t="s">
        <v>2162</v>
      </c>
      <c r="C130" s="634">
        <v>0.369811</v>
      </c>
      <c r="D130" s="659">
        <v>0</v>
      </c>
      <c r="E130" s="672">
        <v>55.25833453448395</v>
      </c>
      <c r="F130" s="659">
        <v>62.970496568953465</v>
      </c>
      <c r="G130" s="643">
        <v>81.475018578166669</v>
      </c>
      <c r="H130" s="659">
        <v>140.97239756930097</v>
      </c>
    </row>
    <row r="131" spans="1:8">
      <c r="A131" s="654" t="s">
        <v>3778</v>
      </c>
      <c r="B131" s="684" t="s">
        <v>2162</v>
      </c>
      <c r="C131" s="633">
        <v>0.95514600000000005</v>
      </c>
      <c r="D131" s="655">
        <v>264.935</v>
      </c>
      <c r="E131" s="670">
        <v>77.820639558776094</v>
      </c>
      <c r="F131" s="655">
        <v>152.92275586338434</v>
      </c>
      <c r="G131" s="641">
        <v>126.31618507416688</v>
      </c>
      <c r="H131" s="655">
        <v>212.3989061291455</v>
      </c>
    </row>
    <row r="132" spans="1:8">
      <c r="A132" s="654" t="s">
        <v>3778</v>
      </c>
      <c r="B132" s="684" t="s">
        <v>2162</v>
      </c>
      <c r="C132" s="633">
        <v>2.0723799999999999</v>
      </c>
      <c r="D132" s="655">
        <v>332.46800000000002</v>
      </c>
      <c r="E132" s="670">
        <v>100.47406209096454</v>
      </c>
      <c r="F132" s="655">
        <v>296.49192930769595</v>
      </c>
      <c r="G132" s="641">
        <v>177.98809673594957</v>
      </c>
      <c r="H132" s="655">
        <v>289.19622283102512</v>
      </c>
    </row>
    <row r="133" spans="1:8">
      <c r="A133" s="654" t="s">
        <v>3778</v>
      </c>
      <c r="B133" s="684" t="s">
        <v>2162</v>
      </c>
      <c r="C133" s="633">
        <v>3.0041199999999999</v>
      </c>
      <c r="D133" s="655">
        <v>394.80500000000001</v>
      </c>
      <c r="E133" s="670">
        <v>109.90943930617108</v>
      </c>
      <c r="F133" s="655">
        <v>374.13534258645313</v>
      </c>
      <c r="G133" s="641">
        <v>208.41767106569461</v>
      </c>
      <c r="H133" s="655">
        <v>331.62789212773822</v>
      </c>
    </row>
    <row r="134" spans="1:8">
      <c r="A134" s="654" t="s">
        <v>3778</v>
      </c>
      <c r="B134" s="684" t="s">
        <v>2162</v>
      </c>
      <c r="C134" s="633">
        <v>5.0362799999999996</v>
      </c>
      <c r="D134" s="655">
        <v>379.221</v>
      </c>
      <c r="E134" s="670">
        <v>119.81135797021435</v>
      </c>
      <c r="F134" s="655">
        <v>467.85443158237905</v>
      </c>
      <c r="G134" s="641">
        <v>257.28152308663226</v>
      </c>
      <c r="H134" s="655">
        <v>395.3712453735086</v>
      </c>
    </row>
    <row r="135" spans="1:8">
      <c r="A135" s="654" t="s">
        <v>3778</v>
      </c>
      <c r="B135" s="684" t="s">
        <v>2162</v>
      </c>
      <c r="C135" s="633">
        <v>7.0798500000000004</v>
      </c>
      <c r="D135" s="655">
        <v>462.33800000000002</v>
      </c>
      <c r="E135" s="670">
        <v>124.25364900096699</v>
      </c>
      <c r="F135" s="655">
        <v>514.14303686026199</v>
      </c>
      <c r="G135" s="641">
        <v>293.5923924042288</v>
      </c>
      <c r="H135" s="655">
        <v>439.18558382801746</v>
      </c>
    </row>
    <row r="136" spans="1:8">
      <c r="A136" s="654" t="s">
        <v>3778</v>
      </c>
      <c r="B136" s="684" t="s">
        <v>2162</v>
      </c>
      <c r="C136" s="633">
        <v>8.9270999999999994</v>
      </c>
      <c r="D136" s="655">
        <v>446.75299999999999</v>
      </c>
      <c r="E136" s="670">
        <v>126.477310184532</v>
      </c>
      <c r="F136" s="655">
        <v>538.32780282489171</v>
      </c>
      <c r="G136" s="641">
        <v>320.04820169692027</v>
      </c>
      <c r="H136" s="655">
        <v>469.17401038649837</v>
      </c>
    </row>
    <row r="137" spans="1:8">
      <c r="A137" s="654" t="s">
        <v>3778</v>
      </c>
      <c r="B137" s="684" t="s">
        <v>2162</v>
      </c>
      <c r="C137" s="633">
        <v>10.7822</v>
      </c>
      <c r="D137" s="655">
        <v>498.70100000000002</v>
      </c>
      <c r="E137" s="670">
        <v>127.89473220116676</v>
      </c>
      <c r="F137" s="655">
        <v>554.10150685221322</v>
      </c>
      <c r="G137" s="641">
        <v>342.53223362420817</v>
      </c>
      <c r="H137" s="655">
        <v>493.36386374324678</v>
      </c>
    </row>
    <row r="138" spans="1:8">
      <c r="A138" s="654" t="s">
        <v>3778</v>
      </c>
      <c r="B138" s="684" t="s">
        <v>2162</v>
      </c>
      <c r="C138" s="633">
        <v>13.9208</v>
      </c>
      <c r="D138" s="655">
        <v>457.14299999999997</v>
      </c>
      <c r="E138" s="670">
        <v>129.35767887880681</v>
      </c>
      <c r="F138" s="655">
        <v>570.67618937117084</v>
      </c>
      <c r="G138" s="641">
        <v>374.11179350086724</v>
      </c>
      <c r="H138" s="655">
        <v>525.30436486550991</v>
      </c>
    </row>
    <row r="139" spans="1:8">
      <c r="A139" s="654" t="s">
        <v>3778</v>
      </c>
      <c r="B139" s="684" t="s">
        <v>2162</v>
      </c>
      <c r="C139" s="633">
        <v>16.881</v>
      </c>
      <c r="D139" s="655">
        <v>472.72699999999998</v>
      </c>
      <c r="E139" s="670">
        <v>130.18475590982226</v>
      </c>
      <c r="F139" s="655">
        <v>580.17975073733271</v>
      </c>
      <c r="G139" s="641">
        <v>398.6491294636383</v>
      </c>
      <c r="H139" s="655">
        <v>548.46091979030064</v>
      </c>
    </row>
    <row r="140" spans="1:8">
      <c r="A140" s="654" t="s">
        <v>3778</v>
      </c>
      <c r="B140" s="684" t="s">
        <v>2162</v>
      </c>
      <c r="C140" s="633">
        <v>21.142299999999999</v>
      </c>
      <c r="D140" s="655">
        <v>545.45500000000004</v>
      </c>
      <c r="E140" s="670">
        <v>130.91749890024849</v>
      </c>
      <c r="F140" s="655">
        <v>588.68002983297652</v>
      </c>
      <c r="G140" s="641">
        <v>427.8173305432274</v>
      </c>
      <c r="H140" s="655">
        <v>574.07071682417313</v>
      </c>
    </row>
    <row r="141" spans="1:8">
      <c r="A141" s="654" t="s">
        <v>3778</v>
      </c>
      <c r="B141" s="684" t="s">
        <v>2162</v>
      </c>
      <c r="C141" s="633">
        <v>24.8446</v>
      </c>
      <c r="D141" s="655">
        <v>581.81799999999998</v>
      </c>
      <c r="E141" s="670">
        <v>131.32088653057818</v>
      </c>
      <c r="F141" s="655">
        <v>593.39202180466179</v>
      </c>
      <c r="G141" s="641">
        <v>448.90916636569369</v>
      </c>
      <c r="H141" s="655">
        <v>591.27435999200793</v>
      </c>
    </row>
    <row r="142" spans="1:8">
      <c r="A142" s="654" t="s">
        <v>3778</v>
      </c>
      <c r="B142" s="684" t="s">
        <v>2162</v>
      </c>
      <c r="C142" s="633">
        <v>28.3626</v>
      </c>
      <c r="D142" s="655">
        <v>623.37699999999995</v>
      </c>
      <c r="E142" s="670">
        <v>131.59098472906945</v>
      </c>
      <c r="F142" s="655">
        <v>596.55995700557355</v>
      </c>
      <c r="G142" s="641">
        <v>466.22858615718201</v>
      </c>
      <c r="H142" s="655">
        <v>604.56466618339562</v>
      </c>
    </row>
    <row r="143" spans="1:8">
      <c r="A143" s="654" t="s">
        <v>3778</v>
      </c>
      <c r="B143" s="684" t="s">
        <v>2162</v>
      </c>
      <c r="C143" s="633">
        <v>34.094099999999997</v>
      </c>
      <c r="D143" s="655">
        <v>618.18200000000002</v>
      </c>
      <c r="E143" s="670">
        <v>131.89222727750186</v>
      </c>
      <c r="F143" s="655">
        <v>600.10540597742568</v>
      </c>
      <c r="G143" s="641">
        <v>490.15705636685061</v>
      </c>
      <c r="H143" s="655">
        <v>621.66894546313097</v>
      </c>
    </row>
    <row r="144" spans="1:8">
      <c r="A144" s="654" t="s">
        <v>3778</v>
      </c>
      <c r="B144" s="684" t="s">
        <v>2162</v>
      </c>
      <c r="C144" s="633">
        <v>38.348700000000001</v>
      </c>
      <c r="D144" s="655">
        <v>633.76599999999996</v>
      </c>
      <c r="E144" s="670">
        <v>132.04749582130185</v>
      </c>
      <c r="F144" s="655">
        <v>601.93786712490601</v>
      </c>
      <c r="G144" s="641">
        <v>505.26737256455488</v>
      </c>
      <c r="H144" s="655">
        <v>631.70840413105054</v>
      </c>
    </row>
    <row r="145" spans="1:8">
      <c r="A145" s="654" t="s">
        <v>3778</v>
      </c>
      <c r="B145" s="684" t="s">
        <v>2162</v>
      </c>
      <c r="C145" s="633">
        <v>40.753100000000003</v>
      </c>
      <c r="D145" s="655">
        <v>638.96100000000001</v>
      </c>
      <c r="E145" s="670">
        <v>132.11815212093484</v>
      </c>
      <c r="F145" s="655">
        <v>602.77288064904246</v>
      </c>
      <c r="G145" s="641">
        <v>513.00244221347327</v>
      </c>
      <c r="H145" s="655">
        <v>636.61686206765853</v>
      </c>
    </row>
    <row r="146" spans="1:8">
      <c r="A146" s="654" t="s">
        <v>3778</v>
      </c>
      <c r="B146" s="684" t="s">
        <v>2162</v>
      </c>
      <c r="C146" s="633">
        <v>47.967399999999998</v>
      </c>
      <c r="D146" s="655">
        <v>664.93499999999995</v>
      </c>
      <c r="E146" s="670">
        <v>132.27980323540407</v>
      </c>
      <c r="F146" s="655">
        <v>604.68594186255643</v>
      </c>
      <c r="G146" s="641">
        <v>533.39095395490244</v>
      </c>
      <c r="H146" s="655">
        <v>648.79708946935943</v>
      </c>
    </row>
    <row r="147" spans="1:8">
      <c r="A147" s="654" t="s">
        <v>3778</v>
      </c>
      <c r="B147" s="684" t="s">
        <v>2162</v>
      </c>
      <c r="C147" s="633">
        <v>59.0642</v>
      </c>
      <c r="D147" s="655">
        <v>685.71400000000006</v>
      </c>
      <c r="E147" s="670">
        <v>132.4379949558693</v>
      </c>
      <c r="F147" s="655">
        <v>606.56166822063335</v>
      </c>
      <c r="G147" s="641">
        <v>558.48392712836335</v>
      </c>
      <c r="H147" s="655">
        <v>662.25560433012981</v>
      </c>
    </row>
    <row r="148" spans="1:8">
      <c r="A148" s="654" t="s">
        <v>3778</v>
      </c>
      <c r="B148" s="684" t="s">
        <v>2162</v>
      </c>
      <c r="C148" s="633">
        <v>81.0655</v>
      </c>
      <c r="D148" s="655">
        <v>664.93499999999995</v>
      </c>
      <c r="E148" s="670">
        <v>132.60319886190379</v>
      </c>
      <c r="F148" s="655">
        <v>608.52434990873269</v>
      </c>
      <c r="G148" s="641">
        <v>593.93759136842834</v>
      </c>
      <c r="H148" s="655">
        <v>678.30897702435766</v>
      </c>
    </row>
    <row r="149" spans="1:8">
      <c r="A149" s="654" t="s">
        <v>3778</v>
      </c>
      <c r="B149" s="684" t="s">
        <v>2162</v>
      </c>
      <c r="C149" s="633">
        <v>96.231399999999994</v>
      </c>
      <c r="D149" s="655">
        <v>696.10400000000004</v>
      </c>
      <c r="E149" s="670">
        <v>132.66540873492889</v>
      </c>
      <c r="F149" s="655">
        <v>609.26443493565046</v>
      </c>
      <c r="G149" s="641">
        <v>611.43577375552195</v>
      </c>
      <c r="H149" s="655">
        <v>684.91301732423608</v>
      </c>
    </row>
    <row r="150" spans="1:8">
      <c r="A150" s="658" t="s">
        <v>3778</v>
      </c>
      <c r="B150" s="686" t="s">
        <v>2179</v>
      </c>
      <c r="C150" s="634">
        <v>1.36212</v>
      </c>
      <c r="D150" s="659">
        <v>277.24599999999998</v>
      </c>
      <c r="E150" s="672">
        <v>88.300604501416259</v>
      </c>
      <c r="F150" s="659">
        <v>212.15824669563062</v>
      </c>
      <c r="G150" s="643">
        <v>148.10986065959941</v>
      </c>
      <c r="H150" s="659">
        <v>245.51365486455131</v>
      </c>
    </row>
    <row r="151" spans="1:8">
      <c r="A151" s="654" t="s">
        <v>3778</v>
      </c>
      <c r="B151" s="684" t="s">
        <v>2179</v>
      </c>
      <c r="C151" s="633">
        <v>2.04949</v>
      </c>
      <c r="D151" s="655">
        <v>342.97800000000001</v>
      </c>
      <c r="E151" s="670">
        <v>100.16743806916402</v>
      </c>
      <c r="F151" s="655">
        <v>294.1528439072008</v>
      </c>
      <c r="G151" s="641">
        <v>177.13682373917965</v>
      </c>
      <c r="H151" s="655">
        <v>287.97925344805486</v>
      </c>
    </row>
    <row r="152" spans="1:8">
      <c r="A152" s="654" t="s">
        <v>3778</v>
      </c>
      <c r="B152" s="684" t="s">
        <v>2179</v>
      </c>
      <c r="C152" s="633">
        <v>2.7374999999999998</v>
      </c>
      <c r="D152" s="655">
        <v>401.42</v>
      </c>
      <c r="E152" s="670">
        <v>107.71244379499109</v>
      </c>
      <c r="F152" s="655">
        <v>355.06213725996622</v>
      </c>
      <c r="G152" s="641">
        <v>200.43717227811823</v>
      </c>
      <c r="H152" s="655">
        <v>320.70160325282842</v>
      </c>
    </row>
    <row r="153" spans="1:8">
      <c r="A153" s="654" t="s">
        <v>3778</v>
      </c>
      <c r="B153" s="684" t="s">
        <v>2179</v>
      </c>
      <c r="C153" s="633">
        <v>4.9571800000000001</v>
      </c>
      <c r="D153" s="655">
        <v>379.96499999999997</v>
      </c>
      <c r="E153" s="670">
        <v>119.56661817847959</v>
      </c>
      <c r="F153" s="655">
        <v>465.38186844819523</v>
      </c>
      <c r="G153" s="641">
        <v>255.67151860986766</v>
      </c>
      <c r="H153" s="655">
        <v>393.35799869203242</v>
      </c>
    </row>
    <row r="154" spans="1:8">
      <c r="A154" s="654" t="s">
        <v>3778</v>
      </c>
      <c r="B154" s="684" t="s">
        <v>2179</v>
      </c>
      <c r="C154" s="633">
        <v>7.0290900000000001</v>
      </c>
      <c r="D154" s="655">
        <v>464.17700000000002</v>
      </c>
      <c r="E154" s="670">
        <v>124.17504915152713</v>
      </c>
      <c r="F154" s="655">
        <v>513.30064506211909</v>
      </c>
      <c r="G154" s="641">
        <v>292.7930397726999</v>
      </c>
      <c r="H154" s="655">
        <v>438.25399905283433</v>
      </c>
    </row>
    <row r="155" spans="1:8">
      <c r="A155" s="654" t="s">
        <v>3778</v>
      </c>
      <c r="B155" s="684" t="s">
        <v>2179</v>
      </c>
      <c r="C155" s="633">
        <v>8.8316800000000004</v>
      </c>
      <c r="D155" s="655">
        <v>457.22300000000001</v>
      </c>
      <c r="E155" s="670">
        <v>126.38669350083983</v>
      </c>
      <c r="F155" s="655">
        <v>537.32888223564214</v>
      </c>
      <c r="G155" s="641">
        <v>318.79282804049819</v>
      </c>
      <c r="H155" s="655">
        <v>467.78815893981778</v>
      </c>
    </row>
    <row r="156" spans="1:8">
      <c r="A156" s="654" t="s">
        <v>3778</v>
      </c>
      <c r="B156" s="684" t="s">
        <v>2179</v>
      </c>
      <c r="C156" s="633">
        <v>10.6295</v>
      </c>
      <c r="D156" s="655">
        <v>504.93799999999999</v>
      </c>
      <c r="E156" s="670">
        <v>127.7985390771061</v>
      </c>
      <c r="F156" s="655">
        <v>553.02217004445424</v>
      </c>
      <c r="G156" s="641">
        <v>340.80647457017574</v>
      </c>
      <c r="H156" s="655">
        <v>491.54966253570126</v>
      </c>
    </row>
    <row r="157" spans="1:8">
      <c r="A157" s="654" t="s">
        <v>3778</v>
      </c>
      <c r="B157" s="684" t="s">
        <v>2179</v>
      </c>
      <c r="C157" s="633">
        <v>13.6821</v>
      </c>
      <c r="D157" s="655">
        <v>469.05900000000003</v>
      </c>
      <c r="E157" s="670">
        <v>129.27286220644922</v>
      </c>
      <c r="F157" s="655">
        <v>569.70704519086189</v>
      </c>
      <c r="G157" s="641">
        <v>371.93728193159421</v>
      </c>
      <c r="H157" s="655">
        <v>523.18181202621736</v>
      </c>
    </row>
    <row r="158" spans="1:8">
      <c r="A158" s="654" t="s">
        <v>3778</v>
      </c>
      <c r="B158" s="684" t="s">
        <v>2179</v>
      </c>
      <c r="C158" s="633">
        <v>17.1465</v>
      </c>
      <c r="D158" s="655">
        <v>480.637</v>
      </c>
      <c r="E158" s="670">
        <v>130.24298133092216</v>
      </c>
      <c r="F158" s="655">
        <v>580.8524266109672</v>
      </c>
      <c r="G158" s="641">
        <v>400.65612009724043</v>
      </c>
      <c r="H158" s="655">
        <v>550.29008570783822</v>
      </c>
    </row>
    <row r="159" spans="1:8">
      <c r="A159" s="654" t="s">
        <v>3778</v>
      </c>
      <c r="B159" s="684" t="s">
        <v>2179</v>
      </c>
      <c r="C159" s="633">
        <v>21.1599</v>
      </c>
      <c r="D159" s="655">
        <v>554.27599999999995</v>
      </c>
      <c r="E159" s="670">
        <v>130.91981583516355</v>
      </c>
      <c r="F159" s="655">
        <v>588.70702821818429</v>
      </c>
      <c r="G159" s="641">
        <v>427.92585474250444</v>
      </c>
      <c r="H159" s="655">
        <v>574.16207575461465</v>
      </c>
    </row>
    <row r="160" spans="1:8">
      <c r="A160" s="654" t="s">
        <v>3778</v>
      </c>
      <c r="B160" s="684" t="s">
        <v>2179</v>
      </c>
      <c r="C160" s="633">
        <v>24.8996</v>
      </c>
      <c r="D160" s="655">
        <v>587.774</v>
      </c>
      <c r="E160" s="670">
        <v>131.32581613189626</v>
      </c>
      <c r="F160" s="655">
        <v>593.44974746402215</v>
      </c>
      <c r="G160" s="641">
        <v>449.19854852524736</v>
      </c>
      <c r="H160" s="655">
        <v>591.50264450973418</v>
      </c>
    </row>
    <row r="161" spans="1:8">
      <c r="A161" s="654" t="s">
        <v>3778</v>
      </c>
      <c r="B161" s="684" t="s">
        <v>2179</v>
      </c>
      <c r="C161" s="633">
        <v>28.084499999999998</v>
      </c>
      <c r="D161" s="655">
        <v>624.81200000000001</v>
      </c>
      <c r="E161" s="670">
        <v>131.57255775645041</v>
      </c>
      <c r="F161" s="655">
        <v>596.34350092208047</v>
      </c>
      <c r="G161" s="641">
        <v>464.94152122194248</v>
      </c>
      <c r="H161" s="655">
        <v>603.603162170769</v>
      </c>
    </row>
    <row r="162" spans="1:8">
      <c r="A162" s="654" t="s">
        <v>3778</v>
      </c>
      <c r="B162" s="684" t="s">
        <v>2179</v>
      </c>
      <c r="C162" s="633">
        <v>34.322299999999998</v>
      </c>
      <c r="D162" s="655">
        <v>622.32799999999997</v>
      </c>
      <c r="E162" s="670">
        <v>131.90174545706088</v>
      </c>
      <c r="F162" s="655">
        <v>600.21763970946415</v>
      </c>
      <c r="G162" s="641">
        <v>491.0188058105341</v>
      </c>
      <c r="H162" s="655">
        <v>622.25744835099033</v>
      </c>
    </row>
    <row r="163" spans="1:8">
      <c r="A163" s="654" t="s">
        <v>3778</v>
      </c>
      <c r="B163" s="684" t="s">
        <v>2179</v>
      </c>
      <c r="C163" s="633">
        <v>38.063600000000001</v>
      </c>
      <c r="D163" s="655">
        <v>637.60199999999998</v>
      </c>
      <c r="E163" s="670">
        <v>132.03839567598456</v>
      </c>
      <c r="F163" s="655">
        <v>601.83037361507309</v>
      </c>
      <c r="G163" s="641">
        <v>504.31414778172939</v>
      </c>
      <c r="H163" s="655">
        <v>631.09265727058437</v>
      </c>
    </row>
    <row r="164" spans="1:8">
      <c r="A164" s="654" t="s">
        <v>3778</v>
      </c>
      <c r="B164" s="684" t="s">
        <v>2179</v>
      </c>
      <c r="C164" s="633">
        <v>40.834499999999998</v>
      </c>
      <c r="D164" s="655">
        <v>652.69600000000003</v>
      </c>
      <c r="E164" s="670">
        <v>132.12036817461501</v>
      </c>
      <c r="F164" s="655">
        <v>602.79908138693816</v>
      </c>
      <c r="G164" s="641">
        <v>513.25520129182939</v>
      </c>
      <c r="H164" s="655">
        <v>636.77460271032396</v>
      </c>
    </row>
    <row r="165" spans="1:8">
      <c r="A165" s="654" t="s">
        <v>3778</v>
      </c>
      <c r="B165" s="684" t="s">
        <v>2179</v>
      </c>
      <c r="C165" s="633">
        <v>47.902200000000001</v>
      </c>
      <c r="D165" s="655">
        <v>672.23299999999995</v>
      </c>
      <c r="E165" s="670">
        <v>132.2786048942946</v>
      </c>
      <c r="F165" s="655">
        <v>604.67174638866129</v>
      </c>
      <c r="G165" s="641">
        <v>533.22318861566032</v>
      </c>
      <c r="H165" s="655">
        <v>648.70138433438603</v>
      </c>
    </row>
    <row r="166" spans="1:8">
      <c r="A166" s="654" t="s">
        <v>3778</v>
      </c>
      <c r="B166" s="684" t="s">
        <v>2179</v>
      </c>
      <c r="C166" s="633">
        <v>59.128799999999998</v>
      </c>
      <c r="D166" s="655">
        <v>685.255</v>
      </c>
      <c r="E166" s="670">
        <v>132.43870637429691</v>
      </c>
      <c r="F166" s="655">
        <v>606.57011178011453</v>
      </c>
      <c r="G166" s="641">
        <v>558.61241961291091</v>
      </c>
      <c r="H166" s="655">
        <v>662.32010617444143</v>
      </c>
    </row>
    <row r="167" spans="1:8">
      <c r="A167" s="654" t="s">
        <v>3778</v>
      </c>
      <c r="B167" s="684" t="s">
        <v>2179</v>
      </c>
      <c r="C167" s="633">
        <v>81.030699999999996</v>
      </c>
      <c r="D167" s="655">
        <v>674.74900000000002</v>
      </c>
      <c r="E167" s="670">
        <v>132.60302263052191</v>
      </c>
      <c r="F167" s="655">
        <v>608.5222541418002</v>
      </c>
      <c r="G167" s="641">
        <v>593.89215611401448</v>
      </c>
      <c r="H167" s="655">
        <v>678.29067634563057</v>
      </c>
    </row>
    <row r="168" spans="1:8">
      <c r="A168" s="654" t="s">
        <v>3778</v>
      </c>
      <c r="B168" s="684" t="s">
        <v>2179</v>
      </c>
      <c r="C168" s="633">
        <v>95.860200000000006</v>
      </c>
      <c r="D168" s="655">
        <v>699.37400000000002</v>
      </c>
      <c r="E168" s="670">
        <v>132.66417252973758</v>
      </c>
      <c r="F168" s="655">
        <v>609.24972293596147</v>
      </c>
      <c r="G168" s="641">
        <v>611.05621936485215</v>
      </c>
      <c r="H168" s="655">
        <v>684.77924665327873</v>
      </c>
    </row>
    <row r="169" spans="1:8">
      <c r="A169" s="658" t="s">
        <v>3779</v>
      </c>
      <c r="B169" s="686" t="s">
        <v>319</v>
      </c>
      <c r="C169" s="628">
        <v>2.8461500000000002</v>
      </c>
      <c r="D169" s="659">
        <v>0</v>
      </c>
      <c r="E169" s="672">
        <v>148.38891307764183</v>
      </c>
      <c r="F169" s="659">
        <v>20.584817028401115</v>
      </c>
      <c r="G169" s="643">
        <v>193.98744074579994</v>
      </c>
      <c r="H169" s="659">
        <v>18.863128320679156</v>
      </c>
    </row>
    <row r="170" spans="1:8">
      <c r="A170" s="654" t="s">
        <v>3779</v>
      </c>
      <c r="B170" s="684" t="s">
        <v>319</v>
      </c>
      <c r="C170" s="626">
        <v>3.7692300000000003</v>
      </c>
      <c r="D170" s="655">
        <v>16</v>
      </c>
      <c r="E170" s="670">
        <v>173.2739929833964</v>
      </c>
      <c r="F170" s="655">
        <v>24.984813739597147</v>
      </c>
      <c r="G170" s="641">
        <v>217.96632652683422</v>
      </c>
      <c r="H170" s="655">
        <v>21.644751795183691</v>
      </c>
    </row>
    <row r="171" spans="1:8">
      <c r="A171" s="654" t="s">
        <v>3779</v>
      </c>
      <c r="B171" s="684" t="s">
        <v>319</v>
      </c>
      <c r="C171" s="626">
        <v>5.9393099999999999</v>
      </c>
      <c r="D171" s="655">
        <v>28.354399999999998</v>
      </c>
      <c r="E171" s="670">
        <v>214.8656724244546</v>
      </c>
      <c r="F171" s="655">
        <v>33.219184642099897</v>
      </c>
      <c r="G171" s="641">
        <v>261.31978896287904</v>
      </c>
      <c r="H171" s="655">
        <v>27.017547859648737</v>
      </c>
    </row>
    <row r="172" spans="1:8">
      <c r="A172" s="654" t="s">
        <v>3779</v>
      </c>
      <c r="B172" s="684" t="s">
        <v>319</v>
      </c>
      <c r="C172" s="626">
        <v>5.9763099999999998</v>
      </c>
      <c r="D172" s="655">
        <v>32.202500000000001</v>
      </c>
      <c r="E172" s="670">
        <v>215.42697881129772</v>
      </c>
      <c r="F172" s="655">
        <v>33.338903230054406</v>
      </c>
      <c r="G172" s="641">
        <v>261.94998107891922</v>
      </c>
      <c r="H172" s="655">
        <v>27.099238405932741</v>
      </c>
    </row>
    <row r="173" spans="1:8">
      <c r="A173" s="654" t="s">
        <v>3779</v>
      </c>
      <c r="B173" s="684" t="s">
        <v>319</v>
      </c>
      <c r="C173" s="626">
        <v>7.0389499999999998</v>
      </c>
      <c r="D173" s="655">
        <v>36.050600000000003</v>
      </c>
      <c r="E173" s="670">
        <v>230.01626405106143</v>
      </c>
      <c r="F173" s="655">
        <v>36.541360575672009</v>
      </c>
      <c r="G173" s="641">
        <v>278.91290915126541</v>
      </c>
      <c r="H173" s="655">
        <v>29.340407389689354</v>
      </c>
    </row>
    <row r="174" spans="1:8">
      <c r="A174" s="654" t="s">
        <v>3779</v>
      </c>
      <c r="B174" s="684" t="s">
        <v>319</v>
      </c>
      <c r="C174" s="626">
        <v>8.0840599999999991</v>
      </c>
      <c r="D174" s="655">
        <v>38.075899999999997</v>
      </c>
      <c r="E174" s="670">
        <v>241.96522260445167</v>
      </c>
      <c r="F174" s="655">
        <v>39.303406650504975</v>
      </c>
      <c r="G174" s="641">
        <v>293.78132509213748</v>
      </c>
      <c r="H174" s="655">
        <v>31.375428546211566</v>
      </c>
    </row>
    <row r="175" spans="1:8">
      <c r="A175" s="654" t="s">
        <v>3779</v>
      </c>
      <c r="B175" s="684" t="s">
        <v>319</v>
      </c>
      <c r="C175" s="626">
        <v>9.1311</v>
      </c>
      <c r="D175" s="655">
        <v>40.303800000000003</v>
      </c>
      <c r="E175" s="670">
        <v>252.1000533256701</v>
      </c>
      <c r="F175" s="655">
        <v>41.754071335812355</v>
      </c>
      <c r="G175" s="641">
        <v>307.2354895203402</v>
      </c>
      <c r="H175" s="655">
        <v>33.277989218583933</v>
      </c>
    </row>
    <row r="176" spans="1:8">
      <c r="A176" s="654" t="s">
        <v>3779</v>
      </c>
      <c r="B176" s="684" t="s">
        <v>319</v>
      </c>
      <c r="C176" s="626">
        <v>9.9159000000000006</v>
      </c>
      <c r="D176" s="655">
        <v>41.924100000000003</v>
      </c>
      <c r="E176" s="670">
        <v>258.73208087443061</v>
      </c>
      <c r="F176" s="655">
        <v>43.415822548113674</v>
      </c>
      <c r="G176" s="641">
        <v>316.53152773877224</v>
      </c>
      <c r="H176" s="655">
        <v>34.62864452858345</v>
      </c>
    </row>
    <row r="177" spans="1:8">
      <c r="A177" s="654" t="s">
        <v>3779</v>
      </c>
      <c r="B177" s="684" t="s">
        <v>319</v>
      </c>
      <c r="C177" s="626">
        <v>10.962999999999999</v>
      </c>
      <c r="D177" s="655">
        <v>44.151899999999998</v>
      </c>
      <c r="E177" s="670">
        <v>266.53412699220502</v>
      </c>
      <c r="F177" s="655">
        <v>45.434024387301598</v>
      </c>
      <c r="G177" s="641">
        <v>328.04153025287832</v>
      </c>
      <c r="H177" s="655">
        <v>36.344325997161882</v>
      </c>
    </row>
    <row r="178" spans="1:8">
      <c r="A178" s="654" t="s">
        <v>3779</v>
      </c>
      <c r="B178" s="684" t="s">
        <v>319</v>
      </c>
      <c r="C178" s="626">
        <v>14.117800000000001</v>
      </c>
      <c r="D178" s="655">
        <v>52.2532</v>
      </c>
      <c r="E178" s="670">
        <v>284.75248364710808</v>
      </c>
      <c r="F178" s="655">
        <v>50.443250405015291</v>
      </c>
      <c r="G178" s="641">
        <v>357.87279647184079</v>
      </c>
      <c r="H178" s="655">
        <v>41.035716251034422</v>
      </c>
    </row>
    <row r="179" spans="1:8">
      <c r="A179" s="654" t="s">
        <v>3779</v>
      </c>
      <c r="B179" s="684" t="s">
        <v>319</v>
      </c>
      <c r="C179" s="626">
        <v>18.809200000000001</v>
      </c>
      <c r="D179" s="655">
        <v>60.151899999999998</v>
      </c>
      <c r="E179" s="670">
        <v>302.77930787740377</v>
      </c>
      <c r="F179" s="655">
        <v>55.881039344001486</v>
      </c>
      <c r="G179" s="641">
        <v>392.84213282039144</v>
      </c>
      <c r="H179" s="655">
        <v>47.056648791539999</v>
      </c>
    </row>
    <row r="180" spans="1:8">
      <c r="A180" s="654" t="s">
        <v>3779</v>
      </c>
      <c r="B180" s="684" t="s">
        <v>319</v>
      </c>
      <c r="C180" s="626">
        <v>22.692299999999999</v>
      </c>
      <c r="D180" s="655">
        <v>64</v>
      </c>
      <c r="E180" s="670">
        <v>313.04279496635093</v>
      </c>
      <c r="F180" s="655">
        <v>59.237043821531849</v>
      </c>
      <c r="G180" s="641">
        <v>416.11557175222612</v>
      </c>
      <c r="H180" s="655">
        <v>51.438281057859967</v>
      </c>
    </row>
    <row r="181" spans="1:8">
      <c r="A181" s="654" t="s">
        <v>3779</v>
      </c>
      <c r="B181" s="684" t="s">
        <v>319</v>
      </c>
      <c r="C181" s="626">
        <v>24.467700000000001</v>
      </c>
      <c r="D181" s="655">
        <v>61.974699999999999</v>
      </c>
      <c r="E181" s="670">
        <v>316.83186447133301</v>
      </c>
      <c r="F181" s="655">
        <v>60.531679867875653</v>
      </c>
      <c r="G181" s="641">
        <v>425.49646945031662</v>
      </c>
      <c r="H181" s="655">
        <v>53.302774394768718</v>
      </c>
    </row>
    <row r="182" spans="1:8">
      <c r="A182" s="654" t="s">
        <v>3779</v>
      </c>
      <c r="B182" s="684" t="s">
        <v>319</v>
      </c>
      <c r="C182" s="626">
        <v>27.0318</v>
      </c>
      <c r="D182" s="655">
        <v>61.974699999999999</v>
      </c>
      <c r="E182" s="670">
        <v>321.56362040600226</v>
      </c>
      <c r="F182" s="655">
        <v>62.195164753112678</v>
      </c>
      <c r="G182" s="641">
        <v>437.91104322326754</v>
      </c>
      <c r="H182" s="655">
        <v>55.867099676563384</v>
      </c>
    </row>
    <row r="183" spans="1:8">
      <c r="A183" s="654" t="s">
        <v>3779</v>
      </c>
      <c r="B183" s="684" t="s">
        <v>319</v>
      </c>
      <c r="C183" s="626">
        <v>31.155799999999999</v>
      </c>
      <c r="D183" s="655">
        <v>64.202500000000001</v>
      </c>
      <c r="E183" s="670">
        <v>327.77191658397982</v>
      </c>
      <c r="F183" s="655">
        <v>64.463979045947951</v>
      </c>
      <c r="G183" s="641">
        <v>455.54749562067809</v>
      </c>
      <c r="H183" s="655">
        <v>59.720265905306455</v>
      </c>
    </row>
    <row r="184" spans="1:8">
      <c r="A184" s="654" t="s">
        <v>3779</v>
      </c>
      <c r="B184" s="684" t="s">
        <v>319</v>
      </c>
      <c r="C184" s="626">
        <v>32.179499999999997</v>
      </c>
      <c r="D184" s="655">
        <v>64</v>
      </c>
      <c r="E184" s="670">
        <v>329.10108889311027</v>
      </c>
      <c r="F184" s="655">
        <v>64.963507567394998</v>
      </c>
      <c r="G184" s="641">
        <v>459.54634818209445</v>
      </c>
      <c r="H184" s="655">
        <v>60.631531549278897</v>
      </c>
    </row>
    <row r="185" spans="1:8">
      <c r="A185" s="654" t="s">
        <v>3779</v>
      </c>
      <c r="B185" s="684" t="s">
        <v>319</v>
      </c>
      <c r="C185" s="626">
        <v>33.976300000000002</v>
      </c>
      <c r="D185" s="655">
        <v>64.202500000000001</v>
      </c>
      <c r="E185" s="670">
        <v>331.2667589923048</v>
      </c>
      <c r="F185" s="655">
        <v>65.78855124503032</v>
      </c>
      <c r="G185" s="641">
        <v>466.24679843302073</v>
      </c>
      <c r="H185" s="655">
        <v>62.192181961955953</v>
      </c>
    </row>
    <row r="186" spans="1:8">
      <c r="A186" s="654" t="s">
        <v>3779</v>
      </c>
      <c r="B186" s="684" t="s">
        <v>319</v>
      </c>
      <c r="C186" s="626">
        <v>37.585500000000003</v>
      </c>
      <c r="D186" s="655">
        <v>66.227800000000002</v>
      </c>
      <c r="E186" s="670">
        <v>335.07036166177119</v>
      </c>
      <c r="F186" s="655">
        <v>67.272912226376135</v>
      </c>
      <c r="G186" s="641">
        <v>478.61236732363733</v>
      </c>
      <c r="H186" s="655">
        <v>65.191187992307547</v>
      </c>
    </row>
    <row r="187" spans="1:8">
      <c r="A187" s="654" t="s">
        <v>3779</v>
      </c>
      <c r="B187" s="684" t="s">
        <v>319</v>
      </c>
      <c r="C187" s="626">
        <v>38.865600000000001</v>
      </c>
      <c r="D187" s="655">
        <v>66.025300000000001</v>
      </c>
      <c r="E187" s="670">
        <v>336.27086537072432</v>
      </c>
      <c r="F187" s="655">
        <v>67.751298073329778</v>
      </c>
      <c r="G187" s="641">
        <v>482.68534764968035</v>
      </c>
      <c r="H187" s="655">
        <v>66.215226195675513</v>
      </c>
    </row>
    <row r="188" spans="1:8">
      <c r="A188" s="654" t="s">
        <v>3779</v>
      </c>
      <c r="B188" s="684" t="s">
        <v>319</v>
      </c>
      <c r="C188" s="626">
        <v>41.686100000000003</v>
      </c>
      <c r="D188" s="655">
        <v>66.025300000000001</v>
      </c>
      <c r="E188" s="670">
        <v>338.68683207421708</v>
      </c>
      <c r="F188" s="655">
        <v>68.729323260429666</v>
      </c>
      <c r="G188" s="641">
        <v>491.14943476944887</v>
      </c>
      <c r="H188" s="655">
        <v>68.405415724190377</v>
      </c>
    </row>
    <row r="189" spans="1:8">
      <c r="A189" s="654" t="s">
        <v>3779</v>
      </c>
      <c r="B189" s="684" t="s">
        <v>319</v>
      </c>
      <c r="C189" s="626">
        <v>46.045099999999998</v>
      </c>
      <c r="D189" s="655">
        <v>66.025300000000001</v>
      </c>
      <c r="E189" s="670">
        <v>341.90320044930456</v>
      </c>
      <c r="F189" s="655">
        <v>70.065058567868718</v>
      </c>
      <c r="G189" s="641">
        <v>503.01431387928056</v>
      </c>
      <c r="H189" s="655">
        <v>71.628887432717491</v>
      </c>
    </row>
    <row r="190" spans="1:8">
      <c r="A190" s="654" t="s">
        <v>3779</v>
      </c>
      <c r="B190" s="684" t="s">
        <v>319</v>
      </c>
      <c r="C190" s="626">
        <v>50.662399999999998</v>
      </c>
      <c r="D190" s="655">
        <v>66.227800000000002</v>
      </c>
      <c r="E190" s="670">
        <v>344.76972385983709</v>
      </c>
      <c r="F190" s="655">
        <v>71.290645914921342</v>
      </c>
      <c r="G190" s="641">
        <v>514.21858993332728</v>
      </c>
      <c r="H190" s="655">
        <v>74.85639677074532</v>
      </c>
    </row>
    <row r="191" spans="1:8">
      <c r="A191" s="654" t="s">
        <v>3779</v>
      </c>
      <c r="B191" s="684" t="s">
        <v>319</v>
      </c>
      <c r="C191" s="626">
        <v>57.583599999999997</v>
      </c>
      <c r="D191" s="655">
        <v>66.025300000000001</v>
      </c>
      <c r="E191" s="670">
        <v>348.2885764140288</v>
      </c>
      <c r="F191" s="655">
        <v>72.845109477884577</v>
      </c>
      <c r="G191" s="641">
        <v>528.87467447768938</v>
      </c>
      <c r="H191" s="655">
        <v>79.388350636170784</v>
      </c>
    </row>
    <row r="192" spans="1:8">
      <c r="A192" s="654" t="s">
        <v>3779</v>
      </c>
      <c r="B192" s="684" t="s">
        <v>319</v>
      </c>
      <c r="C192" s="626">
        <v>72.218400000000003</v>
      </c>
      <c r="D192" s="655">
        <v>68.050600000000003</v>
      </c>
      <c r="E192" s="670">
        <v>353.69127255436882</v>
      </c>
      <c r="F192" s="655">
        <v>75.354705463174739</v>
      </c>
      <c r="G192" s="641">
        <v>553.57762337328359</v>
      </c>
      <c r="H192" s="655">
        <v>88.011309821218902</v>
      </c>
    </row>
    <row r="193" spans="1:8">
      <c r="A193" s="654" t="s">
        <v>3779</v>
      </c>
      <c r="B193" s="684" t="s">
        <v>319</v>
      </c>
      <c r="C193" s="626">
        <v>77.109700000000004</v>
      </c>
      <c r="D193" s="655">
        <v>70.075900000000004</v>
      </c>
      <c r="E193" s="670">
        <v>355.07709545784235</v>
      </c>
      <c r="F193" s="655">
        <v>76.025818715107064</v>
      </c>
      <c r="G193" s="641">
        <v>560.39121914520842</v>
      </c>
      <c r="H193" s="655">
        <v>90.657854369980399</v>
      </c>
    </row>
    <row r="194" spans="1:8">
      <c r="A194" s="654" t="s">
        <v>3779</v>
      </c>
      <c r="B194" s="684" t="s">
        <v>319</v>
      </c>
      <c r="C194" s="626">
        <v>84.565100000000001</v>
      </c>
      <c r="D194" s="655">
        <v>72.101299999999995</v>
      </c>
      <c r="E194" s="670">
        <v>356.90536662134514</v>
      </c>
      <c r="F194" s="655">
        <v>76.93054709656974</v>
      </c>
      <c r="G194" s="641">
        <v>569.70212293105806</v>
      </c>
      <c r="H194" s="655">
        <v>94.504280836982417</v>
      </c>
    </row>
    <row r="195" spans="1:8">
      <c r="A195" s="654" t="s">
        <v>3779</v>
      </c>
      <c r="B195" s="684" t="s">
        <v>319</v>
      </c>
      <c r="C195" s="626">
        <v>94.069800000000001</v>
      </c>
      <c r="D195" s="655">
        <v>73.924099999999996</v>
      </c>
      <c r="E195" s="670">
        <v>358.8471915705328</v>
      </c>
      <c r="F195" s="655">
        <v>77.917679058065744</v>
      </c>
      <c r="G195" s="641">
        <v>580.00686433724354</v>
      </c>
      <c r="H195" s="655">
        <v>99.120964015090379</v>
      </c>
    </row>
    <row r="196" spans="1:8">
      <c r="A196" s="658" t="s">
        <v>3779</v>
      </c>
      <c r="B196" s="686" t="s">
        <v>321</v>
      </c>
      <c r="C196" s="628">
        <v>2.04569</v>
      </c>
      <c r="D196" s="659">
        <v>-2.8400000000000001E-14</v>
      </c>
      <c r="E196" s="672"/>
      <c r="F196" s="659"/>
      <c r="G196" s="643"/>
      <c r="H196" s="659"/>
    </row>
    <row r="197" spans="1:8">
      <c r="A197" s="654" t="s">
        <v>3779</v>
      </c>
      <c r="B197" s="684" t="s">
        <v>321</v>
      </c>
      <c r="C197" s="626">
        <v>2.29949</v>
      </c>
      <c r="D197" s="655">
        <v>5.8227799999999998</v>
      </c>
      <c r="E197" s="670">
        <v>130.71039379481709</v>
      </c>
      <c r="F197" s="655">
        <v>17.664765467169964</v>
      </c>
      <c r="G197" s="641">
        <v>177.20524301515007</v>
      </c>
      <c r="H197" s="655">
        <v>16.988126757385082</v>
      </c>
    </row>
    <row r="198" spans="1:8">
      <c r="A198" s="654" t="s">
        <v>3779</v>
      </c>
      <c r="B198" s="684" t="s">
        <v>321</v>
      </c>
      <c r="C198" s="626">
        <v>2.5533000000000001</v>
      </c>
      <c r="D198" s="655">
        <v>8.1012699999999995</v>
      </c>
      <c r="E198" s="670">
        <v>139.22664943248114</v>
      </c>
      <c r="F198" s="655">
        <v>19.051281708189343</v>
      </c>
      <c r="G198" s="641">
        <v>185.29160108510439</v>
      </c>
      <c r="H198" s="655">
        <v>17.884511085688306</v>
      </c>
    </row>
    <row r="199" spans="1:8">
      <c r="A199" s="654" t="s">
        <v>3779</v>
      </c>
      <c r="B199" s="684" t="s">
        <v>321</v>
      </c>
      <c r="C199" s="626">
        <v>3.0609099999999998</v>
      </c>
      <c r="D199" s="655">
        <v>24.050599999999999</v>
      </c>
      <c r="E199" s="670">
        <v>154.69043383150421</v>
      </c>
      <c r="F199" s="655">
        <v>21.665700018068872</v>
      </c>
      <c r="G199" s="641">
        <v>199.99132183581747</v>
      </c>
      <c r="H199" s="655">
        <v>19.547932738781942</v>
      </c>
    </row>
    <row r="200" spans="1:8">
      <c r="A200" s="654" t="s">
        <v>3779</v>
      </c>
      <c r="B200" s="684" t="s">
        <v>321</v>
      </c>
      <c r="C200" s="626">
        <v>4.0761399999999997</v>
      </c>
      <c r="D200" s="655">
        <v>32.151899999999998</v>
      </c>
      <c r="E200" s="670">
        <v>180.40854979625001</v>
      </c>
      <c r="F200" s="655">
        <v>26.314290121963587</v>
      </c>
      <c r="G200" s="641">
        <v>225.03167140598174</v>
      </c>
      <c r="H200" s="655">
        <v>22.488873629903885</v>
      </c>
    </row>
    <row r="201" spans="1:8">
      <c r="A201" s="654" t="s">
        <v>3779</v>
      </c>
      <c r="B201" s="684" t="s">
        <v>321</v>
      </c>
      <c r="C201" s="626">
        <v>5.0913700000000004</v>
      </c>
      <c r="D201" s="655">
        <v>42.278500000000001</v>
      </c>
      <c r="E201" s="670">
        <v>200.82337296129626</v>
      </c>
      <c r="F201" s="655">
        <v>30.302944342832284</v>
      </c>
      <c r="G201" s="641">
        <v>246.01196750502527</v>
      </c>
      <c r="H201" s="655">
        <v>25.066124784479726</v>
      </c>
    </row>
    <row r="202" spans="1:8">
      <c r="A202" s="654" t="s">
        <v>3779</v>
      </c>
      <c r="B202" s="684" t="s">
        <v>321</v>
      </c>
      <c r="C202" s="626">
        <v>6.1066000000000003</v>
      </c>
      <c r="D202" s="655">
        <v>44.050600000000003</v>
      </c>
      <c r="E202" s="670">
        <v>217.37250001102709</v>
      </c>
      <c r="F202" s="655">
        <v>33.755798863592801</v>
      </c>
      <c r="G202" s="641">
        <v>264.14622666140002</v>
      </c>
      <c r="H202" s="655">
        <v>27.384793369315609</v>
      </c>
    </row>
    <row r="203" spans="1:8">
      <c r="A203" s="654" t="s">
        <v>3779</v>
      </c>
      <c r="B203" s="684" t="s">
        <v>321</v>
      </c>
      <c r="C203" s="626">
        <v>7.1218299999999992</v>
      </c>
      <c r="D203" s="655">
        <v>48.101300000000002</v>
      </c>
      <c r="E203" s="670">
        <v>231.04222574271662</v>
      </c>
      <c r="F203" s="655">
        <v>36.773405295821519</v>
      </c>
      <c r="G203" s="641">
        <v>280.15206432223175</v>
      </c>
      <c r="H203" s="655">
        <v>29.5074178428351</v>
      </c>
    </row>
    <row r="204" spans="1:8">
      <c r="A204" s="654" t="s">
        <v>3779</v>
      </c>
      <c r="B204" s="684" t="s">
        <v>321</v>
      </c>
      <c r="C204" s="626">
        <v>8.8984799999999993</v>
      </c>
      <c r="D204" s="655">
        <v>50.126600000000003</v>
      </c>
      <c r="E204" s="670">
        <v>249.98517389242718</v>
      </c>
      <c r="F204" s="655">
        <v>41.234043490035212</v>
      </c>
      <c r="G204" s="641">
        <v>304.35664334833967</v>
      </c>
      <c r="H204" s="655">
        <v>32.865800299546862</v>
      </c>
    </row>
    <row r="205" spans="1:8">
      <c r="A205" s="654" t="s">
        <v>3779</v>
      </c>
      <c r="B205" s="684" t="s">
        <v>321</v>
      </c>
      <c r="C205" s="626">
        <v>10.4213</v>
      </c>
      <c r="D205" s="655">
        <v>57.974699999999999</v>
      </c>
      <c r="E205" s="670">
        <v>262.63427309495893</v>
      </c>
      <c r="F205" s="655">
        <v>44.416392486904435</v>
      </c>
      <c r="G205" s="641">
        <v>322.20580745639575</v>
      </c>
      <c r="H205" s="655">
        <v>35.468300375759689</v>
      </c>
    </row>
    <row r="206" spans="1:8">
      <c r="A206" s="654" t="s">
        <v>3779</v>
      </c>
      <c r="B206" s="684" t="s">
        <v>321</v>
      </c>
      <c r="C206" s="626">
        <v>12.7056</v>
      </c>
      <c r="D206" s="655">
        <v>66.329099999999997</v>
      </c>
      <c r="E206" s="670">
        <v>277.41917782511933</v>
      </c>
      <c r="F206" s="655">
        <v>48.373715827258977</v>
      </c>
      <c r="G206" s="641">
        <v>345.30752187563661</v>
      </c>
      <c r="H206" s="655">
        <v>39.014270323466192</v>
      </c>
    </row>
    <row r="207" spans="1:8">
      <c r="A207" s="654" t="s">
        <v>3779</v>
      </c>
      <c r="B207" s="684" t="s">
        <v>321</v>
      </c>
      <c r="C207" s="626">
        <v>13.720800000000001</v>
      </c>
      <c r="D207" s="655">
        <v>68.101299999999995</v>
      </c>
      <c r="E207" s="670">
        <v>282.80507871654743</v>
      </c>
      <c r="F207" s="655">
        <v>49.88626136845879</v>
      </c>
      <c r="G207" s="641">
        <v>354.45481803132918</v>
      </c>
      <c r="H207" s="655">
        <v>40.478974302382689</v>
      </c>
    </row>
    <row r="208" spans="1:8">
      <c r="A208" s="654" t="s">
        <v>3779</v>
      </c>
      <c r="B208" s="684" t="s">
        <v>321</v>
      </c>
      <c r="C208" s="626">
        <v>17.527899999999999</v>
      </c>
      <c r="D208" s="655">
        <v>70.126599999999996</v>
      </c>
      <c r="E208" s="670">
        <v>298.61042779046426</v>
      </c>
      <c r="F208" s="655">
        <v>54.575185154759851</v>
      </c>
      <c r="G208" s="641">
        <v>384.15804713475137</v>
      </c>
      <c r="H208" s="655">
        <v>45.502728915387621</v>
      </c>
    </row>
    <row r="209" spans="1:8">
      <c r="A209" s="654" t="s">
        <v>3779</v>
      </c>
      <c r="B209" s="684" t="s">
        <v>321</v>
      </c>
      <c r="C209" s="626">
        <v>19.558399999999999</v>
      </c>
      <c r="D209" s="655">
        <v>68.101299999999995</v>
      </c>
      <c r="E209" s="670">
        <v>305.01368648652596</v>
      </c>
      <c r="F209" s="655">
        <v>56.594022952800664</v>
      </c>
      <c r="G209" s="641">
        <v>397.66786191754153</v>
      </c>
      <c r="H209" s="655">
        <v>47.938400787088007</v>
      </c>
    </row>
    <row r="210" spans="1:8">
      <c r="A210" s="654" t="s">
        <v>3779</v>
      </c>
      <c r="B210" s="684" t="s">
        <v>321</v>
      </c>
      <c r="C210" s="626">
        <v>22.096399999999999</v>
      </c>
      <c r="D210" s="655">
        <v>68.101299999999995</v>
      </c>
      <c r="E210" s="670">
        <v>311.65960041654876</v>
      </c>
      <c r="F210" s="655">
        <v>58.772274641105398</v>
      </c>
      <c r="G210" s="641">
        <v>412.804941930665</v>
      </c>
      <c r="H210" s="655">
        <v>50.794412021191349</v>
      </c>
    </row>
    <row r="211" spans="1:8">
      <c r="A211" s="654" t="s">
        <v>3779</v>
      </c>
      <c r="B211" s="684" t="s">
        <v>321</v>
      </c>
      <c r="C211" s="626">
        <v>26.157399999999999</v>
      </c>
      <c r="D211" s="655">
        <v>70.126599999999996</v>
      </c>
      <c r="E211" s="670">
        <v>320.03728687438621</v>
      </c>
      <c r="F211" s="655">
        <v>61.652658586388263</v>
      </c>
      <c r="G211" s="641">
        <v>433.81615658465699</v>
      </c>
      <c r="H211" s="655">
        <v>55.008519502797306</v>
      </c>
    </row>
    <row r="212" spans="1:8">
      <c r="A212" s="654" t="s">
        <v>3779</v>
      </c>
      <c r="B212" s="684" t="s">
        <v>321</v>
      </c>
      <c r="C212" s="626">
        <v>32.248699999999999</v>
      </c>
      <c r="D212" s="655">
        <v>66.329099999999997</v>
      </c>
      <c r="E212" s="670">
        <v>329.18832530696466</v>
      </c>
      <c r="F212" s="655">
        <v>64.996471854517267</v>
      </c>
      <c r="G212" s="641">
        <v>459.81175894909285</v>
      </c>
      <c r="H212" s="655">
        <v>60.69253657340623</v>
      </c>
    </row>
    <row r="213" spans="1:8">
      <c r="A213" s="654" t="s">
        <v>3779</v>
      </c>
      <c r="B213" s="684" t="s">
        <v>321</v>
      </c>
      <c r="C213" s="626">
        <v>36.309600000000003</v>
      </c>
      <c r="D213" s="655">
        <v>74.430400000000006</v>
      </c>
      <c r="E213" s="670">
        <v>333.80077250784785</v>
      </c>
      <c r="F213" s="655">
        <v>66.77226357333879</v>
      </c>
      <c r="G213" s="641">
        <v>474.3961343800022</v>
      </c>
      <c r="H213" s="655">
        <v>64.15051923799993</v>
      </c>
    </row>
    <row r="214" spans="1:8">
      <c r="A214" s="654" t="s">
        <v>3779</v>
      </c>
      <c r="B214" s="684" t="s">
        <v>321</v>
      </c>
      <c r="C214" s="626">
        <v>40.624400000000001</v>
      </c>
      <c r="D214" s="655">
        <v>76.202500000000001</v>
      </c>
      <c r="E214" s="670">
        <v>337.81194273559657</v>
      </c>
      <c r="F214" s="655">
        <v>68.372736860732189</v>
      </c>
      <c r="G214" s="641">
        <v>488.04187960034096</v>
      </c>
      <c r="H214" s="655">
        <v>67.59124732175205</v>
      </c>
    </row>
    <row r="215" spans="1:8">
      <c r="A215" s="654" t="s">
        <v>3779</v>
      </c>
      <c r="B215" s="684" t="s">
        <v>321</v>
      </c>
      <c r="C215" s="626">
        <v>51.791899999999998</v>
      </c>
      <c r="D215" s="655">
        <v>80.253200000000007</v>
      </c>
      <c r="E215" s="670">
        <v>345.40130005510542</v>
      </c>
      <c r="F215" s="655">
        <v>71.56543799488567</v>
      </c>
      <c r="G215" s="641">
        <v>516.77308240758248</v>
      </c>
      <c r="H215" s="655">
        <v>75.619643376178686</v>
      </c>
    </row>
    <row r="216" spans="1:8">
      <c r="A216" s="654" t="s">
        <v>3779</v>
      </c>
      <c r="B216" s="684" t="s">
        <v>321</v>
      </c>
      <c r="C216" s="626">
        <v>63.974599999999995</v>
      </c>
      <c r="D216" s="655">
        <v>80.253200000000007</v>
      </c>
      <c r="E216" s="670">
        <v>350.92316016962252</v>
      </c>
      <c r="F216" s="655">
        <v>74.048847704846068</v>
      </c>
      <c r="G216" s="641">
        <v>540.56595044925859</v>
      </c>
      <c r="H216" s="655">
        <v>83.297002094134584</v>
      </c>
    </row>
    <row r="217" spans="1:8">
      <c r="A217" s="654" t="s">
        <v>3779</v>
      </c>
      <c r="B217" s="684" t="s">
        <v>321</v>
      </c>
      <c r="C217" s="626">
        <v>71.334999999999994</v>
      </c>
      <c r="D217" s="655">
        <v>82.278499999999994</v>
      </c>
      <c r="E217" s="670">
        <v>353.42255241020689</v>
      </c>
      <c r="F217" s="655">
        <v>75.225960276595004</v>
      </c>
      <c r="G217" s="641">
        <v>552.28008820081561</v>
      </c>
      <c r="H217" s="655">
        <v>87.521993969890914</v>
      </c>
    </row>
    <row r="218" spans="1:8">
      <c r="A218" s="654" t="s">
        <v>3779</v>
      </c>
      <c r="B218" s="684" t="s">
        <v>321</v>
      </c>
      <c r="C218" s="626">
        <v>78.441599999999994</v>
      </c>
      <c r="D218" s="655">
        <v>84.303799999999995</v>
      </c>
      <c r="E218" s="670">
        <v>355.42702718897766</v>
      </c>
      <c r="F218" s="655">
        <v>76.197234429926937</v>
      </c>
      <c r="G218" s="641">
        <v>562.14460020164461</v>
      </c>
      <c r="H218" s="655">
        <v>91.360957635256085</v>
      </c>
    </row>
    <row r="219" spans="1:8">
      <c r="A219" s="654" t="s">
        <v>3779</v>
      </c>
      <c r="B219" s="684" t="s">
        <v>321</v>
      </c>
      <c r="C219" s="626">
        <v>88.340100000000007</v>
      </c>
      <c r="D219" s="655">
        <v>86.329099999999997</v>
      </c>
      <c r="E219" s="670">
        <v>357.72260652231176</v>
      </c>
      <c r="F219" s="655">
        <v>77.342553742189722</v>
      </c>
      <c r="G219" s="641">
        <v>573.98605992387911</v>
      </c>
      <c r="H219" s="655">
        <v>96.373896553408713</v>
      </c>
    </row>
    <row r="220" spans="1:8">
      <c r="A220" s="658" t="s">
        <v>3780</v>
      </c>
      <c r="B220" s="686" t="s">
        <v>2503</v>
      </c>
      <c r="C220" s="628">
        <v>2.1180500000000002</v>
      </c>
      <c r="D220" s="659">
        <v>63.996000000000002</v>
      </c>
      <c r="E220" s="672">
        <v>176.20703579537357</v>
      </c>
      <c r="F220" s="659">
        <v>86.8149558850414</v>
      </c>
      <c r="G220" s="643">
        <v>125.86686700702256</v>
      </c>
      <c r="H220" s="659">
        <v>80.781062324214389</v>
      </c>
    </row>
    <row r="221" spans="1:8">
      <c r="A221" s="654" t="s">
        <v>3780</v>
      </c>
      <c r="B221" s="684" t="s">
        <v>2503</v>
      </c>
      <c r="C221" s="626">
        <v>4.8865800000000004</v>
      </c>
      <c r="D221" s="655">
        <v>125.292</v>
      </c>
      <c r="E221" s="670">
        <v>215.54132175858896</v>
      </c>
      <c r="F221" s="655">
        <v>120.4365582254418</v>
      </c>
      <c r="G221" s="641">
        <v>178.09297488343856</v>
      </c>
      <c r="H221" s="655">
        <v>116.79300406089297</v>
      </c>
    </row>
    <row r="222" spans="1:8">
      <c r="A222" s="654" t="s">
        <v>3780</v>
      </c>
      <c r="B222" s="684" t="s">
        <v>2503</v>
      </c>
      <c r="C222" s="626">
        <v>8.8797200000000007</v>
      </c>
      <c r="D222" s="655">
        <v>162.57599999999999</v>
      </c>
      <c r="E222" s="670">
        <v>250.75859451721288</v>
      </c>
      <c r="F222" s="655">
        <v>154.0051375175405</v>
      </c>
      <c r="G222" s="641">
        <v>223.77404845524609</v>
      </c>
      <c r="H222" s="655">
        <v>149.85766478988506</v>
      </c>
    </row>
    <row r="223" spans="1:8">
      <c r="A223" s="654" t="s">
        <v>3780</v>
      </c>
      <c r="B223" s="684" t="s">
        <v>2503</v>
      </c>
      <c r="C223" s="626">
        <v>12.281499999999999</v>
      </c>
      <c r="D223" s="655">
        <v>178.536</v>
      </c>
      <c r="E223" s="670">
        <v>271.35602188472336</v>
      </c>
      <c r="F223" s="655">
        <v>175.0782444970398</v>
      </c>
      <c r="G223" s="641">
        <v>251.12925662606088</v>
      </c>
      <c r="H223" s="655">
        <v>170.49623319660822</v>
      </c>
    </row>
    <row r="224" spans="1:8">
      <c r="A224" s="654" t="s">
        <v>3780</v>
      </c>
      <c r="B224" s="684" t="s">
        <v>2503</v>
      </c>
      <c r="C224" s="626">
        <v>23.8855</v>
      </c>
      <c r="D224" s="655">
        <v>237.20500000000001</v>
      </c>
      <c r="E224" s="670">
        <v>314.42405456663221</v>
      </c>
      <c r="F224" s="655">
        <v>222.41683988518164</v>
      </c>
      <c r="G224" s="641">
        <v>310.87447688264945</v>
      </c>
      <c r="H224" s="655">
        <v>218.32393504236163</v>
      </c>
    </row>
    <row r="225" spans="1:8">
      <c r="A225" s="654" t="s">
        <v>3780</v>
      </c>
      <c r="B225" s="684" t="s">
        <v>2503</v>
      </c>
      <c r="C225" s="626">
        <v>30.3324</v>
      </c>
      <c r="D225" s="655">
        <v>250.51400000000001</v>
      </c>
      <c r="E225" s="670">
        <v>329.60506579991426</v>
      </c>
      <c r="F225" s="655">
        <v>240.12439168304161</v>
      </c>
      <c r="G225" s="641">
        <v>332.75169843403722</v>
      </c>
      <c r="H225" s="655">
        <v>237.0157621199715</v>
      </c>
    </row>
    <row r="226" spans="1:8">
      <c r="A226" s="654" t="s">
        <v>3780</v>
      </c>
      <c r="B226" s="684" t="s">
        <v>2503</v>
      </c>
      <c r="C226" s="626">
        <v>35.927199999999999</v>
      </c>
      <c r="D226" s="655">
        <v>325.38099999999997</v>
      </c>
      <c r="E226" s="670">
        <v>340.13656052627357</v>
      </c>
      <c r="F226" s="655">
        <v>252.71284213069558</v>
      </c>
      <c r="G226" s="641">
        <v>348.10920845133199</v>
      </c>
      <c r="H226" s="655">
        <v>250.60945909340862</v>
      </c>
    </row>
    <row r="227" spans="1:8">
      <c r="A227" s="654" t="s">
        <v>3780</v>
      </c>
      <c r="B227" s="684" t="s">
        <v>2503</v>
      </c>
      <c r="C227" s="626">
        <v>48.851799999999997</v>
      </c>
      <c r="D227" s="655">
        <v>338.67</v>
      </c>
      <c r="E227" s="670">
        <v>358.64016327546062</v>
      </c>
      <c r="F227" s="655">
        <v>275.42418533509499</v>
      </c>
      <c r="G227" s="641">
        <v>375.24266700550805</v>
      </c>
      <c r="H227" s="655">
        <v>275.76987908592889</v>
      </c>
    </row>
    <row r="228" spans="1:8">
      <c r="A228" s="654" t="s">
        <v>3780</v>
      </c>
      <c r="B228" s="684" t="s">
        <v>2503</v>
      </c>
      <c r="C228" s="626">
        <v>73.593699999999998</v>
      </c>
      <c r="D228" s="655">
        <v>354.60399999999998</v>
      </c>
      <c r="E228" s="670">
        <v>381.81784904451717</v>
      </c>
      <c r="F228" s="655">
        <v>304.9205090670776</v>
      </c>
      <c r="G228" s="641">
        <v>408.77994127937035</v>
      </c>
      <c r="H228" s="655">
        <v>309.48943442161851</v>
      </c>
    </row>
    <row r="229" spans="1:8">
      <c r="A229" s="660" t="s">
        <v>3780</v>
      </c>
      <c r="B229" s="687" t="s">
        <v>2503</v>
      </c>
      <c r="C229" s="630">
        <v>175.852</v>
      </c>
      <c r="D229" s="661">
        <v>373.08</v>
      </c>
      <c r="E229" s="673">
        <v>424.42952366806139</v>
      </c>
      <c r="F229" s="661">
        <v>362.10595580687601</v>
      </c>
      <c r="G229" s="644">
        <v>463.27323405108223</v>
      </c>
      <c r="H229" s="661">
        <v>375.25142068713456</v>
      </c>
    </row>
    <row r="230" spans="1:8">
      <c r="A230" s="660" t="s">
        <v>3780</v>
      </c>
      <c r="B230" s="687" t="s">
        <v>2503</v>
      </c>
      <c r="C230" s="630">
        <v>336.553</v>
      </c>
      <c r="D230" s="661">
        <v>383.59399999999999</v>
      </c>
      <c r="E230" s="673">
        <v>450.08234618734349</v>
      </c>
      <c r="F230" s="661">
        <v>398.32787219664334</v>
      </c>
      <c r="G230" s="644">
        <v>485.70020450110258</v>
      </c>
      <c r="H230" s="661">
        <v>412.05949223505536</v>
      </c>
    </row>
    <row r="231" spans="1:8">
      <c r="A231" s="660" t="s">
        <v>3780</v>
      </c>
      <c r="B231" s="687" t="s">
        <v>2503</v>
      </c>
      <c r="C231" s="630">
        <v>441.87200000000001</v>
      </c>
      <c r="D231" s="661">
        <v>437.02699999999999</v>
      </c>
      <c r="E231" s="673">
        <v>459.37217443247988</v>
      </c>
      <c r="F231" s="661">
        <v>411.77050759246697</v>
      </c>
      <c r="G231" s="644">
        <v>490.96667376258785</v>
      </c>
      <c r="H231" s="661">
        <v>423.30823129419582</v>
      </c>
    </row>
    <row r="232" spans="1:8">
      <c r="A232" s="664" t="s">
        <v>3780</v>
      </c>
      <c r="B232" s="689" t="s">
        <v>2503</v>
      </c>
      <c r="C232" s="632">
        <v>570.93899999999996</v>
      </c>
      <c r="D232" s="665">
        <v>439.62799999999999</v>
      </c>
      <c r="E232" s="675">
        <v>467.37639431674967</v>
      </c>
      <c r="F232" s="665">
        <v>423.48992468968061</v>
      </c>
      <c r="G232" s="646">
        <v>494.22026388107713</v>
      </c>
      <c r="H232" s="665">
        <v>431.59223606630485</v>
      </c>
    </row>
    <row r="233" spans="1:8">
      <c r="A233" s="664" t="s">
        <v>3780</v>
      </c>
      <c r="B233" s="689" t="s">
        <v>2503</v>
      </c>
      <c r="C233" s="632">
        <v>1036.6600000000001</v>
      </c>
      <c r="D233" s="665">
        <v>514.37099999999998</v>
      </c>
      <c r="E233" s="675">
        <v>483.45903152697861</v>
      </c>
      <c r="F233" s="665">
        <v>447.41761562485868</v>
      </c>
      <c r="G233" s="646">
        <v>497.6135496185604</v>
      </c>
      <c r="H233" s="665">
        <v>443.2965697343563</v>
      </c>
    </row>
    <row r="234" spans="1:8">
      <c r="A234" s="664" t="s">
        <v>3780</v>
      </c>
      <c r="B234" s="689" t="s">
        <v>2503</v>
      </c>
      <c r="C234" s="632">
        <v>1616.27</v>
      </c>
      <c r="D234" s="665">
        <v>522.26900000000001</v>
      </c>
      <c r="E234" s="675">
        <v>493.36926328710393</v>
      </c>
      <c r="F234" s="665">
        <v>462.41260740391277</v>
      </c>
      <c r="G234" s="646">
        <v>498.24910903906164</v>
      </c>
      <c r="H234" s="665">
        <v>446.99585880168468</v>
      </c>
    </row>
    <row r="235" spans="1:8">
      <c r="A235" s="664" t="s">
        <v>3780</v>
      </c>
      <c r="B235" s="689" t="s">
        <v>2503</v>
      </c>
      <c r="C235" s="632">
        <v>2123.27</v>
      </c>
      <c r="D235" s="665">
        <v>548.94500000000005</v>
      </c>
      <c r="E235" s="675">
        <v>498.69025642611473</v>
      </c>
      <c r="F235" s="665">
        <v>470.54191082396812</v>
      </c>
      <c r="G235" s="646">
        <v>498.3600890025462</v>
      </c>
      <c r="H235" s="665">
        <v>448.02638583918224</v>
      </c>
    </row>
    <row r="236" spans="1:8">
      <c r="A236" s="658" t="s">
        <v>3780</v>
      </c>
      <c r="B236" s="686" t="s">
        <v>2505</v>
      </c>
      <c r="C236" s="628">
        <v>1</v>
      </c>
      <c r="D236" s="659">
        <v>2.2699999999999999E-13</v>
      </c>
      <c r="E236" s="672">
        <v>124.47943770399</v>
      </c>
      <c r="F236" s="659">
        <v>49.36302337869693</v>
      </c>
      <c r="G236" s="643">
        <v>90.34634355519978</v>
      </c>
      <c r="H236" s="659">
        <v>57.206567324420035</v>
      </c>
    </row>
    <row r="237" spans="1:8">
      <c r="A237" s="654" t="s">
        <v>3780</v>
      </c>
      <c r="B237" s="684" t="s">
        <v>2505</v>
      </c>
      <c r="C237" s="626">
        <v>2.08264</v>
      </c>
      <c r="D237" s="655">
        <v>53.2986</v>
      </c>
      <c r="E237" s="670">
        <v>154.76816813184919</v>
      </c>
      <c r="F237" s="655">
        <v>70.31732565772478</v>
      </c>
      <c r="G237" s="641">
        <v>124.95550419340302</v>
      </c>
      <c r="H237" s="655">
        <v>80.16749654268402</v>
      </c>
    </row>
    <row r="238" spans="1:8">
      <c r="A238" s="654" t="s">
        <v>3780</v>
      </c>
      <c r="B238" s="684" t="s">
        <v>2505</v>
      </c>
      <c r="C238" s="626">
        <v>8.4490099999999995</v>
      </c>
      <c r="D238" s="655">
        <v>90.35</v>
      </c>
      <c r="E238" s="670">
        <v>239.94896204025025</v>
      </c>
      <c r="F238" s="655">
        <v>143.36576009355642</v>
      </c>
      <c r="G238" s="641">
        <v>219.72560112805616</v>
      </c>
      <c r="H238" s="655">
        <v>146.86010341277139</v>
      </c>
    </row>
    <row r="239" spans="1:8">
      <c r="A239" s="654" t="s">
        <v>3780</v>
      </c>
      <c r="B239" s="684" t="s">
        <v>2505</v>
      </c>
      <c r="C239" s="626">
        <v>30.872800000000002</v>
      </c>
      <c r="D239" s="655">
        <v>223.75299999999999</v>
      </c>
      <c r="E239" s="670">
        <v>328.64512357459876</v>
      </c>
      <c r="F239" s="655">
        <v>238.98928446785217</v>
      </c>
      <c r="G239" s="641">
        <v>334.36209628749293</v>
      </c>
      <c r="H239" s="655">
        <v>238.42177963986347</v>
      </c>
    </row>
    <row r="240" spans="1:8">
      <c r="A240" s="654" t="s">
        <v>3780</v>
      </c>
      <c r="B240" s="684" t="s">
        <v>2505</v>
      </c>
      <c r="C240" s="626">
        <v>53.291400000000003</v>
      </c>
      <c r="D240" s="655">
        <v>266.404</v>
      </c>
      <c r="E240" s="670">
        <v>362.61457917995892</v>
      </c>
      <c r="F240" s="655">
        <v>280.39994667089888</v>
      </c>
      <c r="G240" s="641">
        <v>382.66307634939625</v>
      </c>
      <c r="H240" s="655">
        <v>282.94856927217359</v>
      </c>
    </row>
    <row r="241" spans="1:8">
      <c r="A241" s="660" t="s">
        <v>3780</v>
      </c>
      <c r="B241" s="687" t="s">
        <v>2505</v>
      </c>
      <c r="C241" s="630">
        <v>148.357</v>
      </c>
      <c r="D241" s="661">
        <v>332.99599999999998</v>
      </c>
      <c r="E241" s="673">
        <v>416.54694421052062</v>
      </c>
      <c r="F241" s="661">
        <v>351.24392633766217</v>
      </c>
      <c r="G241" s="644">
        <v>454.79538074512124</v>
      </c>
      <c r="H241" s="661">
        <v>363.56549051130003</v>
      </c>
    </row>
    <row r="242" spans="1:8">
      <c r="A242" s="660" t="s">
        <v>3780</v>
      </c>
      <c r="B242" s="687" t="s">
        <v>2505</v>
      </c>
      <c r="C242" s="630">
        <v>314.60500000000002</v>
      </c>
      <c r="D242" s="661">
        <v>340.80399999999997</v>
      </c>
      <c r="E242" s="673">
        <v>447.53512545545323</v>
      </c>
      <c r="F242" s="661">
        <v>394.67199829956752</v>
      </c>
      <c r="G242" s="644">
        <v>484.05605953051241</v>
      </c>
      <c r="H242" s="661">
        <v>408.87714637594456</v>
      </c>
    </row>
    <row r="243" spans="1:8">
      <c r="A243" s="660" t="s">
        <v>3780</v>
      </c>
      <c r="B243" s="687" t="s">
        <v>2505</v>
      </c>
      <c r="C243" s="630">
        <v>498.84399999999999</v>
      </c>
      <c r="D243" s="661">
        <v>359.399</v>
      </c>
      <c r="E243" s="673">
        <v>463.18416294076508</v>
      </c>
      <c r="F243" s="661">
        <v>417.33607846863134</v>
      </c>
      <c r="G243" s="644">
        <v>492.68685346149476</v>
      </c>
      <c r="H243" s="661">
        <v>427.50011098532354</v>
      </c>
    </row>
    <row r="244" spans="1:8">
      <c r="A244" s="664" t="s">
        <v>3780</v>
      </c>
      <c r="B244" s="689" t="s">
        <v>2505</v>
      </c>
      <c r="C244" s="632">
        <v>612.76199999999994</v>
      </c>
      <c r="D244" s="665">
        <v>329.90800000000002</v>
      </c>
      <c r="E244" s="675">
        <v>469.41603908280268</v>
      </c>
      <c r="F244" s="665">
        <v>426.49646288083551</v>
      </c>
      <c r="G244" s="646">
        <v>494.88206399380675</v>
      </c>
      <c r="H244" s="665">
        <v>433.50261201142138</v>
      </c>
    </row>
    <row r="245" spans="1:8">
      <c r="A245" s="664" t="s">
        <v>3780</v>
      </c>
      <c r="B245" s="689" t="s">
        <v>2505</v>
      </c>
      <c r="C245" s="632">
        <v>1212.05</v>
      </c>
      <c r="D245" s="665">
        <v>396.6</v>
      </c>
      <c r="E245" s="675">
        <v>487.11488232404622</v>
      </c>
      <c r="F245" s="665">
        <v>452.92708805030969</v>
      </c>
      <c r="G245" s="646">
        <v>497.93799077748872</v>
      </c>
      <c r="H245" s="665">
        <v>444.96784732829013</v>
      </c>
    </row>
    <row r="246" spans="1:8">
      <c r="A246" s="664" t="s">
        <v>3780</v>
      </c>
      <c r="B246" s="689" t="s">
        <v>2505</v>
      </c>
      <c r="C246" s="632">
        <v>1592.34</v>
      </c>
      <c r="D246" s="665">
        <v>420.601</v>
      </c>
      <c r="E246" s="675">
        <v>493.04930162842595</v>
      </c>
      <c r="F246" s="665">
        <v>461.92551398714511</v>
      </c>
      <c r="G246" s="646">
        <v>498.23922463092254</v>
      </c>
      <c r="H246" s="665">
        <v>446.91814085526335</v>
      </c>
    </row>
    <row r="247" spans="1:8">
      <c r="A247" s="664" t="s">
        <v>3780</v>
      </c>
      <c r="B247" s="689" t="s">
        <v>2505</v>
      </c>
      <c r="C247" s="632">
        <v>2278.2800000000002</v>
      </c>
      <c r="D247" s="665">
        <v>449.928</v>
      </c>
      <c r="E247" s="675">
        <v>499.96930402599651</v>
      </c>
      <c r="F247" s="665">
        <v>472.50412525781456</v>
      </c>
      <c r="G247" s="646">
        <v>498.37403890830086</v>
      </c>
      <c r="H247" s="665">
        <v>448.19565304053953</v>
      </c>
    </row>
    <row r="248" spans="1:8">
      <c r="A248" s="658" t="s">
        <v>3781</v>
      </c>
      <c r="B248" s="686" t="s">
        <v>2493</v>
      </c>
      <c r="C248" s="628">
        <v>5.0499599999999996</v>
      </c>
      <c r="D248" s="659">
        <v>27.412099999999999</v>
      </c>
      <c r="E248" s="672">
        <v>177.69005859266943</v>
      </c>
      <c r="F248" s="659">
        <v>18.82730936699279</v>
      </c>
      <c r="G248" s="643">
        <v>187.525600746772</v>
      </c>
      <c r="H248" s="659">
        <v>72.629876444290005</v>
      </c>
    </row>
    <row r="249" spans="1:8">
      <c r="A249" s="654" t="s">
        <v>3781</v>
      </c>
      <c r="B249" s="684" t="s">
        <v>2493</v>
      </c>
      <c r="C249" s="626">
        <v>46.370899999999999</v>
      </c>
      <c r="D249" s="655">
        <v>250.238</v>
      </c>
      <c r="E249" s="670">
        <v>291.8196294035493</v>
      </c>
      <c r="F249" s="655">
        <v>153.89321151345877</v>
      </c>
      <c r="G249" s="641">
        <v>385.30774985594815</v>
      </c>
      <c r="H249" s="655">
        <v>194.11121986957593</v>
      </c>
    </row>
    <row r="250" spans="1:8">
      <c r="A250" s="660" t="s">
        <v>3781</v>
      </c>
      <c r="B250" s="687" t="s">
        <v>2493</v>
      </c>
      <c r="C250" s="630">
        <v>147.37799999999999</v>
      </c>
      <c r="D250" s="661">
        <v>289.137</v>
      </c>
      <c r="E250" s="673">
        <v>339.3768472786453</v>
      </c>
      <c r="F250" s="661">
        <v>291.67357362714012</v>
      </c>
      <c r="G250" s="644">
        <v>472.30812197684224</v>
      </c>
      <c r="H250" s="661">
        <v>300.99052926624046</v>
      </c>
    </row>
    <row r="251" spans="1:8">
      <c r="A251" s="660" t="s">
        <v>3781</v>
      </c>
      <c r="B251" s="687" t="s">
        <v>2493</v>
      </c>
      <c r="C251" s="630">
        <v>182.90899999999999</v>
      </c>
      <c r="D251" s="661">
        <v>289.09899999999999</v>
      </c>
      <c r="E251" s="673">
        <v>346.43154315120103</v>
      </c>
      <c r="F251" s="661">
        <v>318.22735331384411</v>
      </c>
      <c r="G251" s="644">
        <v>483.36008754553734</v>
      </c>
      <c r="H251" s="661">
        <v>323.7895966564223</v>
      </c>
    </row>
    <row r="252" spans="1:8">
      <c r="A252" s="660" t="s">
        <v>3781</v>
      </c>
      <c r="B252" s="687" t="s">
        <v>2493</v>
      </c>
      <c r="C252" s="630">
        <v>237.55799999999999</v>
      </c>
      <c r="D252" s="661">
        <v>333.04399999999998</v>
      </c>
      <c r="E252" s="673">
        <v>354.2316961559427</v>
      </c>
      <c r="F252" s="661">
        <v>349.69520351101397</v>
      </c>
      <c r="G252" s="644">
        <v>494.25777183112854</v>
      </c>
      <c r="H252" s="661">
        <v>352.10090308074177</v>
      </c>
    </row>
    <row r="253" spans="1:8">
      <c r="A253" s="660" t="s">
        <v>3781</v>
      </c>
      <c r="B253" s="687" t="s">
        <v>2493</v>
      </c>
      <c r="C253" s="630">
        <v>420.55900000000003</v>
      </c>
      <c r="D253" s="661">
        <v>315.02100000000002</v>
      </c>
      <c r="E253" s="673">
        <v>368.66811655627077</v>
      </c>
      <c r="F253" s="661">
        <v>414.1509947241824</v>
      </c>
      <c r="G253" s="644">
        <v>509.43162645444488</v>
      </c>
      <c r="H253" s="661">
        <v>414.76511226023638</v>
      </c>
    </row>
    <row r="254" spans="1:8">
      <c r="A254" s="664" t="s">
        <v>3781</v>
      </c>
      <c r="B254" s="689" t="s">
        <v>2493</v>
      </c>
      <c r="C254" s="632">
        <v>618.13900000000001</v>
      </c>
      <c r="D254" s="665">
        <v>344.28100000000001</v>
      </c>
      <c r="E254" s="675">
        <v>376.60149342740169</v>
      </c>
      <c r="F254" s="665">
        <v>453.22851653512197</v>
      </c>
      <c r="G254" s="646">
        <v>514.41573604220332</v>
      </c>
      <c r="H254" s="665">
        <v>455.53822009028642</v>
      </c>
    </row>
    <row r="255" spans="1:8">
      <c r="A255" s="664" t="s">
        <v>3781</v>
      </c>
      <c r="B255" s="689" t="s">
        <v>2493</v>
      </c>
      <c r="C255" s="632">
        <v>754.47199999999998</v>
      </c>
      <c r="D255" s="665">
        <v>409.41800000000001</v>
      </c>
      <c r="E255" s="675">
        <v>380.20586969382566</v>
      </c>
      <c r="F255" s="665">
        <v>471.88523127274135</v>
      </c>
      <c r="G255" s="646">
        <v>515.87269985715636</v>
      </c>
      <c r="H255" s="665">
        <v>475.46966099382138</v>
      </c>
    </row>
    <row r="256" spans="1:8">
      <c r="A256" s="664" t="s">
        <v>3781</v>
      </c>
      <c r="B256" s="689" t="s">
        <v>2493</v>
      </c>
      <c r="C256" s="632">
        <v>1354.01</v>
      </c>
      <c r="D256" s="665">
        <v>484.26400000000001</v>
      </c>
      <c r="E256" s="675">
        <v>389.07381931669528</v>
      </c>
      <c r="F256" s="665">
        <v>520.28583243613321</v>
      </c>
      <c r="G256" s="646">
        <v>517.6736419188569</v>
      </c>
      <c r="H256" s="665">
        <v>526.65976954366602</v>
      </c>
    </row>
    <row r="257" spans="1:8">
      <c r="A257" s="658" t="s">
        <v>3781</v>
      </c>
      <c r="B257" s="686" t="s">
        <v>2495</v>
      </c>
      <c r="C257" s="628">
        <v>13.5482</v>
      </c>
      <c r="D257" s="659">
        <v>53.306800000000003</v>
      </c>
      <c r="E257" s="672">
        <v>282.77954820246674</v>
      </c>
      <c r="F257" s="659">
        <v>134.69210873876551</v>
      </c>
      <c r="G257" s="643">
        <v>269.90530503517545</v>
      </c>
      <c r="H257" s="659">
        <v>114.28935298667702</v>
      </c>
    </row>
    <row r="258" spans="1:8">
      <c r="A258" s="654" t="s">
        <v>3781</v>
      </c>
      <c r="B258" s="684" t="s">
        <v>2495</v>
      </c>
      <c r="C258" s="626">
        <v>31.1052</v>
      </c>
      <c r="D258" s="655">
        <v>155.80699999999999</v>
      </c>
      <c r="E258" s="670">
        <v>300.76475545918407</v>
      </c>
      <c r="F258" s="655">
        <v>174.88409991081349</v>
      </c>
      <c r="G258" s="641">
        <v>348.21701600173174</v>
      </c>
      <c r="H258" s="655">
        <v>164.37391449955089</v>
      </c>
    </row>
    <row r="259" spans="1:8">
      <c r="A259" s="654" t="s">
        <v>3781</v>
      </c>
      <c r="B259" s="684" t="s">
        <v>2495</v>
      </c>
      <c r="C259" s="626">
        <v>70.300799999999995</v>
      </c>
      <c r="D259" s="655">
        <v>272.97500000000002</v>
      </c>
      <c r="E259" s="670">
        <v>323.38329660006599</v>
      </c>
      <c r="F259" s="655">
        <v>237.74555646072375</v>
      </c>
      <c r="G259" s="641">
        <v>421.16241034797247</v>
      </c>
      <c r="H259" s="655">
        <v>229.16885238417768</v>
      </c>
    </row>
    <row r="260" spans="1:8">
      <c r="A260" s="660" t="s">
        <v>3781</v>
      </c>
      <c r="B260" s="687" t="s">
        <v>2495</v>
      </c>
      <c r="C260" s="630">
        <v>100.22</v>
      </c>
      <c r="D260" s="661">
        <v>285.947</v>
      </c>
      <c r="E260" s="673">
        <v>333.67747088095354</v>
      </c>
      <c r="F260" s="661">
        <v>271.48601376782426</v>
      </c>
      <c r="G260" s="644">
        <v>448.05323897316106</v>
      </c>
      <c r="H260" s="661">
        <v>262.18741900965534</v>
      </c>
    </row>
    <row r="261" spans="1:8">
      <c r="A261" s="660" t="s">
        <v>3781</v>
      </c>
      <c r="B261" s="687" t="s">
        <v>2495</v>
      </c>
      <c r="C261" s="630">
        <v>149.58500000000001</v>
      </c>
      <c r="D261" s="661">
        <v>318.46199999999999</v>
      </c>
      <c r="E261" s="673">
        <v>344.9577705933886</v>
      </c>
      <c r="F261" s="661">
        <v>312.53342219469698</v>
      </c>
      <c r="G261" s="644">
        <v>473.12831001644054</v>
      </c>
      <c r="H261" s="661">
        <v>302.53804107732924</v>
      </c>
    </row>
    <row r="262" spans="1:8">
      <c r="A262" s="660" t="s">
        <v>3781</v>
      </c>
      <c r="B262" s="687" t="s">
        <v>2495</v>
      </c>
      <c r="C262" s="630">
        <v>185.584</v>
      </c>
      <c r="D262" s="661">
        <v>336.34699999999998</v>
      </c>
      <c r="E262" s="673">
        <v>350.73375084351517</v>
      </c>
      <c r="F262" s="661">
        <v>335.30307012900704</v>
      </c>
      <c r="G262" s="644">
        <v>484.03613018616704</v>
      </c>
      <c r="H262" s="661">
        <v>325.34409122562926</v>
      </c>
    </row>
    <row r="263" spans="1:8">
      <c r="A263" s="660" t="s">
        <v>3781</v>
      </c>
      <c r="B263" s="687" t="s">
        <v>2495</v>
      </c>
      <c r="C263" s="630">
        <v>240.941</v>
      </c>
      <c r="D263" s="661">
        <v>399.84399999999999</v>
      </c>
      <c r="E263" s="673">
        <v>357.35890732982949</v>
      </c>
      <c r="F263" s="661">
        <v>362.95718047709414</v>
      </c>
      <c r="G263" s="644">
        <v>494.77148675841278</v>
      </c>
      <c r="H263" s="661">
        <v>353.64795267116654</v>
      </c>
    </row>
    <row r="264" spans="1:8">
      <c r="A264" s="660" t="s">
        <v>3781</v>
      </c>
      <c r="B264" s="687" t="s">
        <v>2495</v>
      </c>
      <c r="C264" s="630">
        <v>299.02</v>
      </c>
      <c r="D264" s="661">
        <v>401.43599999999998</v>
      </c>
      <c r="E264" s="673">
        <v>362.49890240647136</v>
      </c>
      <c r="F264" s="661">
        <v>385.58583027987083</v>
      </c>
      <c r="G264" s="644">
        <v>501.69724251008353</v>
      </c>
      <c r="H264" s="661">
        <v>377.37864567404745</v>
      </c>
    </row>
    <row r="265" spans="1:8">
      <c r="A265" s="660" t="s">
        <v>3781</v>
      </c>
      <c r="B265" s="687" t="s">
        <v>2495</v>
      </c>
      <c r="C265" s="630">
        <v>370.65499999999997</v>
      </c>
      <c r="D265" s="661">
        <v>464.94099999999997</v>
      </c>
      <c r="E265" s="673">
        <v>367.28454203003588</v>
      </c>
      <c r="F265" s="661">
        <v>407.60855633099158</v>
      </c>
      <c r="G265" s="644">
        <v>506.98572023424992</v>
      </c>
      <c r="H265" s="661">
        <v>400.98809122577183</v>
      </c>
    </row>
    <row r="266" spans="1:8">
      <c r="A266" s="660" t="s">
        <v>3781</v>
      </c>
      <c r="B266" s="687" t="s">
        <v>2495</v>
      </c>
      <c r="C266" s="630">
        <v>419.649</v>
      </c>
      <c r="D266" s="661">
        <v>427.44499999999999</v>
      </c>
      <c r="E266" s="673">
        <v>369.89940022265893</v>
      </c>
      <c r="F266" s="661">
        <v>420.0404851311061</v>
      </c>
      <c r="G266" s="644">
        <v>509.39348491392923</v>
      </c>
      <c r="H266" s="661">
        <v>414.52998860644516</v>
      </c>
    </row>
    <row r="267" spans="1:8">
      <c r="A267" s="664" t="s">
        <v>3781</v>
      </c>
      <c r="B267" s="689" t="s">
        <v>2495</v>
      </c>
      <c r="C267" s="632">
        <v>645.61300000000006</v>
      </c>
      <c r="D267" s="665">
        <v>489.28300000000002</v>
      </c>
      <c r="E267" s="675">
        <v>378.11405647923328</v>
      </c>
      <c r="F267" s="665">
        <v>460.98777404450732</v>
      </c>
      <c r="G267" s="646">
        <v>514.78720698218524</v>
      </c>
      <c r="H267" s="665">
        <v>459.97052680881956</v>
      </c>
    </row>
    <row r="268" spans="1:8">
      <c r="A268" s="664" t="s">
        <v>3781</v>
      </c>
      <c r="B268" s="689" t="s">
        <v>2495</v>
      </c>
      <c r="C268" s="632">
        <v>776.77099999999996</v>
      </c>
      <c r="D268" s="665">
        <v>499.02600000000001</v>
      </c>
      <c r="E268" s="675">
        <v>381.24260062599393</v>
      </c>
      <c r="F268" s="665">
        <v>477.35853582705329</v>
      </c>
      <c r="G268" s="646">
        <v>516.03767922820145</v>
      </c>
      <c r="H268" s="665">
        <v>478.29426826418819</v>
      </c>
    </row>
    <row r="269" spans="1:8">
      <c r="A269" s="664" t="s">
        <v>3781</v>
      </c>
      <c r="B269" s="689" t="s">
        <v>2495</v>
      </c>
      <c r="C269" s="632">
        <v>851.43799999999999</v>
      </c>
      <c r="D269" s="665">
        <v>539.74300000000005</v>
      </c>
      <c r="E269" s="675">
        <v>382.71001359839374</v>
      </c>
      <c r="F269" s="665">
        <v>485.18831715345908</v>
      </c>
      <c r="G269" s="646">
        <v>516.49039296522733</v>
      </c>
      <c r="H269" s="665">
        <v>487.02945457072451</v>
      </c>
    </row>
    <row r="270" spans="1:8">
      <c r="A270" s="664" t="s">
        <v>3781</v>
      </c>
      <c r="B270" s="689" t="s">
        <v>2495</v>
      </c>
      <c r="C270" s="632">
        <v>1124.08</v>
      </c>
      <c r="D270" s="665">
        <v>534.80600000000004</v>
      </c>
      <c r="E270" s="675">
        <v>386.82221661129421</v>
      </c>
      <c r="F270" s="665">
        <v>507.6534313609186</v>
      </c>
      <c r="G270" s="646">
        <v>517.36925656855442</v>
      </c>
      <c r="H270" s="665">
        <v>511.74760510697928</v>
      </c>
    </row>
    <row r="271" spans="1:8">
      <c r="A271" s="664" t="s">
        <v>3781</v>
      </c>
      <c r="B271" s="689" t="s">
        <v>2495</v>
      </c>
      <c r="C271" s="632">
        <v>2112.89</v>
      </c>
      <c r="D271" s="665">
        <v>609.64400000000001</v>
      </c>
      <c r="E271" s="675">
        <v>394.49700203622717</v>
      </c>
      <c r="F271" s="665">
        <v>551.69798241557544</v>
      </c>
      <c r="G271" s="646">
        <v>517.95070698914628</v>
      </c>
      <c r="H271" s="665">
        <v>556.19390034109074</v>
      </c>
    </row>
    <row r="272" spans="1:8">
      <c r="A272" s="664" t="s">
        <v>3781</v>
      </c>
      <c r="B272" s="689" t="s">
        <v>2495</v>
      </c>
      <c r="C272" s="632">
        <v>2706.92</v>
      </c>
      <c r="D272" s="665">
        <v>562.34900000000005</v>
      </c>
      <c r="E272" s="675">
        <v>396.9558064816423</v>
      </c>
      <c r="F272" s="665">
        <v>566.40786101307424</v>
      </c>
      <c r="G272" s="646">
        <v>517.98772504842327</v>
      </c>
      <c r="H272" s="665">
        <v>568.70868834967268</v>
      </c>
    </row>
    <row r="273" spans="1:8">
      <c r="A273" s="658" t="s">
        <v>3782</v>
      </c>
      <c r="B273" s="686" t="s">
        <v>2473</v>
      </c>
      <c r="C273" s="628">
        <v>1.0351600000000001</v>
      </c>
      <c r="D273" s="659">
        <v>32.056800000000003</v>
      </c>
      <c r="E273" s="672">
        <v>82.668472788239441</v>
      </c>
      <c r="F273" s="659">
        <v>5.0577576937342252</v>
      </c>
      <c r="G273" s="643">
        <v>95.903971743286405</v>
      </c>
      <c r="H273" s="659">
        <v>23.394898926945277</v>
      </c>
    </row>
    <row r="274" spans="1:8">
      <c r="A274" s="654" t="s">
        <v>3782</v>
      </c>
      <c r="B274" s="684" t="s">
        <v>2473</v>
      </c>
      <c r="C274" s="626">
        <v>1.96193</v>
      </c>
      <c r="D274" s="655">
        <v>6.7864500000000003</v>
      </c>
      <c r="E274" s="670">
        <v>106.3338511437547</v>
      </c>
      <c r="F274" s="655">
        <v>9.9715967646747554</v>
      </c>
      <c r="G274" s="641">
        <v>127.26235117015163</v>
      </c>
      <c r="H274" s="655">
        <v>31.898251622395328</v>
      </c>
    </row>
    <row r="275" spans="1:8">
      <c r="A275" s="654" t="s">
        <v>3782</v>
      </c>
      <c r="B275" s="684" t="s">
        <v>2473</v>
      </c>
      <c r="C275" s="626">
        <v>3.9845100000000002</v>
      </c>
      <c r="D275" s="655">
        <v>43.339599999999997</v>
      </c>
      <c r="E275" s="670">
        <v>142.52466413721388</v>
      </c>
      <c r="F275" s="655">
        <v>21.968596393038691</v>
      </c>
      <c r="G275" s="641">
        <v>171.45389303536868</v>
      </c>
      <c r="H275" s="655">
        <v>44.784396125115705</v>
      </c>
    </row>
    <row r="276" spans="1:8">
      <c r="A276" s="654" t="s">
        <v>3782</v>
      </c>
      <c r="B276" s="684" t="s">
        <v>2473</v>
      </c>
      <c r="C276" s="626">
        <v>6.3533400000000002</v>
      </c>
      <c r="D276" s="655">
        <v>54.731999999999999</v>
      </c>
      <c r="E276" s="670">
        <v>170.80149200141176</v>
      </c>
      <c r="F276" s="655">
        <v>35.788810781836425</v>
      </c>
      <c r="G276" s="641">
        <v>206.2493974214434</v>
      </c>
      <c r="H276" s="655">
        <v>55.815532373764022</v>
      </c>
    </row>
    <row r="277" spans="1:8">
      <c r="A277" s="654" t="s">
        <v>3782</v>
      </c>
      <c r="B277" s="684" t="s">
        <v>2473</v>
      </c>
      <c r="C277" s="626">
        <v>7.8173199999999996</v>
      </c>
      <c r="D277" s="655">
        <v>68.446600000000004</v>
      </c>
      <c r="E277" s="670">
        <v>184.03802281803786</v>
      </c>
      <c r="F277" s="655">
        <v>43.767823000100471</v>
      </c>
      <c r="G277" s="641">
        <v>223.10863500969108</v>
      </c>
      <c r="H277" s="655">
        <v>61.490537387236465</v>
      </c>
    </row>
    <row r="278" spans="1:8">
      <c r="A278" s="654" t="s">
        <v>3782</v>
      </c>
      <c r="B278" s="684" t="s">
        <v>2473</v>
      </c>
      <c r="C278" s="626">
        <v>10.669499999999999</v>
      </c>
      <c r="D278" s="655">
        <v>62.6828</v>
      </c>
      <c r="E278" s="670">
        <v>204.21447979967317</v>
      </c>
      <c r="F278" s="655">
        <v>57.939874280752434</v>
      </c>
      <c r="G278" s="641">
        <v>249.84976902128832</v>
      </c>
      <c r="H278" s="655">
        <v>71.004425477072758</v>
      </c>
    </row>
    <row r="279" spans="1:8">
      <c r="A279" s="654" t="s">
        <v>3782</v>
      </c>
      <c r="B279" s="684" t="s">
        <v>2473</v>
      </c>
      <c r="C279" s="626">
        <v>11.835100000000001</v>
      </c>
      <c r="D279" s="655">
        <v>94.730999999999995</v>
      </c>
      <c r="E279" s="670">
        <v>210.95024683578336</v>
      </c>
      <c r="F279" s="655">
        <v>63.23825920734712</v>
      </c>
      <c r="G279" s="641">
        <v>259.10891903314683</v>
      </c>
      <c r="H279" s="655">
        <v>74.461738164055305</v>
      </c>
    </row>
    <row r="280" spans="1:8">
      <c r="A280" s="654" t="s">
        <v>3782</v>
      </c>
      <c r="B280" s="684" t="s">
        <v>2473</v>
      </c>
      <c r="C280" s="626">
        <v>28.080500000000001</v>
      </c>
      <c r="D280" s="655">
        <v>122.104</v>
      </c>
      <c r="E280" s="670">
        <v>264.68940582571599</v>
      </c>
      <c r="F280" s="655">
        <v>116.60901146950657</v>
      </c>
      <c r="G280" s="641">
        <v>340.38770529027136</v>
      </c>
      <c r="H280" s="655">
        <v>109.5888374684277</v>
      </c>
    </row>
    <row r="281" spans="1:8">
      <c r="A281" s="660" t="s">
        <v>3782</v>
      </c>
      <c r="B281" s="687" t="s">
        <v>2473</v>
      </c>
      <c r="C281" s="630">
        <v>184.679</v>
      </c>
      <c r="D281" s="661">
        <v>124.16</v>
      </c>
      <c r="E281" s="673">
        <v>349.00373979163777</v>
      </c>
      <c r="F281" s="661">
        <v>245.78628851968395</v>
      </c>
      <c r="G281" s="644">
        <v>486.49896306742988</v>
      </c>
      <c r="H281" s="661">
        <v>231.4480636278663</v>
      </c>
    </row>
    <row r="282" spans="1:8">
      <c r="A282" s="660" t="s">
        <v>3782</v>
      </c>
      <c r="B282" s="687" t="s">
        <v>2473</v>
      </c>
      <c r="C282" s="630">
        <v>310.14</v>
      </c>
      <c r="D282" s="661">
        <v>189.363</v>
      </c>
      <c r="E282" s="673">
        <v>363.61066280692745</v>
      </c>
      <c r="F282" s="661">
        <v>274.51872533325189</v>
      </c>
      <c r="G282" s="644">
        <v>505.49839970790174</v>
      </c>
      <c r="H282" s="661">
        <v>274.4111860740947</v>
      </c>
    </row>
    <row r="283" spans="1:8">
      <c r="A283" s="660" t="s">
        <v>3782</v>
      </c>
      <c r="B283" s="687" t="s">
        <v>2473</v>
      </c>
      <c r="C283" s="630">
        <v>356.11900000000003</v>
      </c>
      <c r="D283" s="661">
        <v>213.392</v>
      </c>
      <c r="E283" s="673">
        <v>366.98156239634966</v>
      </c>
      <c r="F283" s="661">
        <v>281.43515114571824</v>
      </c>
      <c r="G283" s="644">
        <v>508.9261736141143</v>
      </c>
      <c r="H283" s="661">
        <v>286.16495058657392</v>
      </c>
    </row>
    <row r="284" spans="1:8">
      <c r="A284" s="664" t="s">
        <v>3782</v>
      </c>
      <c r="B284" s="689" t="s">
        <v>2473</v>
      </c>
      <c r="C284" s="632">
        <v>587.80200000000002</v>
      </c>
      <c r="D284" s="665">
        <v>206.459</v>
      </c>
      <c r="E284" s="675">
        <v>377.57679575840274</v>
      </c>
      <c r="F284" s="665">
        <v>303.88497702444477</v>
      </c>
      <c r="G284" s="646">
        <v>516.80094789785403</v>
      </c>
      <c r="H284" s="665">
        <v>328.61862287563883</v>
      </c>
    </row>
    <row r="285" spans="1:8">
      <c r="A285" s="664" t="s">
        <v>3782</v>
      </c>
      <c r="B285" s="689" t="s">
        <v>2473</v>
      </c>
      <c r="C285" s="632">
        <v>629.86800000000005</v>
      </c>
      <c r="D285" s="665">
        <v>310.649</v>
      </c>
      <c r="E285" s="675">
        <v>378.85513808956119</v>
      </c>
      <c r="F285" s="665">
        <v>306.66718126871331</v>
      </c>
      <c r="G285" s="646">
        <v>517.44086727426179</v>
      </c>
      <c r="H285" s="665">
        <v>334.34981762439111</v>
      </c>
    </row>
    <row r="286" spans="1:8">
      <c r="A286" s="664" t="s">
        <v>3782</v>
      </c>
      <c r="B286" s="689" t="s">
        <v>2473</v>
      </c>
      <c r="C286" s="632">
        <v>686.70899999999995</v>
      </c>
      <c r="D286" s="665">
        <v>327.81400000000002</v>
      </c>
      <c r="E286" s="675">
        <v>380.39581187745381</v>
      </c>
      <c r="F286" s="665">
        <v>310.04155536021801</v>
      </c>
      <c r="G286" s="646">
        <v>518.12501902331144</v>
      </c>
      <c r="H286" s="665">
        <v>341.43596242322872</v>
      </c>
    </row>
    <row r="287" spans="1:8">
      <c r="A287" s="664" t="s">
        <v>3782</v>
      </c>
      <c r="B287" s="689" t="s">
        <v>2473</v>
      </c>
      <c r="C287" s="632">
        <v>921.197</v>
      </c>
      <c r="D287" s="665">
        <v>379.30399999999997</v>
      </c>
      <c r="E287" s="675">
        <v>385.18616175136418</v>
      </c>
      <c r="F287" s="665">
        <v>320.68226876623686</v>
      </c>
      <c r="G287" s="646">
        <v>519.67944449146387</v>
      </c>
      <c r="H287" s="665">
        <v>364.67430824239659</v>
      </c>
    </row>
    <row r="288" spans="1:8">
      <c r="A288" s="664" t="s">
        <v>3782</v>
      </c>
      <c r="B288" s="689" t="s">
        <v>2473</v>
      </c>
      <c r="C288" s="632">
        <v>1235.76</v>
      </c>
      <c r="D288" s="665">
        <v>364.38200000000001</v>
      </c>
      <c r="E288" s="675">
        <v>389.34595962194686</v>
      </c>
      <c r="F288" s="665">
        <v>330.10632917143386</v>
      </c>
      <c r="G288" s="646">
        <v>520.42236526939541</v>
      </c>
      <c r="H288" s="665">
        <v>386.12207392318032</v>
      </c>
    </row>
    <row r="289" spans="1:8">
      <c r="A289" s="664" t="s">
        <v>3782</v>
      </c>
      <c r="B289" s="689" t="s">
        <v>2473</v>
      </c>
      <c r="C289" s="632">
        <v>1468.86</v>
      </c>
      <c r="D289" s="665">
        <v>414.74200000000002</v>
      </c>
      <c r="E289" s="675">
        <v>391.52889420566675</v>
      </c>
      <c r="F289" s="665">
        <v>335.12066676626006</v>
      </c>
      <c r="G289" s="646">
        <v>520.63876291280599</v>
      </c>
      <c r="H289" s="665">
        <v>397.67210484966239</v>
      </c>
    </row>
    <row r="290" spans="1:8">
      <c r="A290" s="664" t="s">
        <v>3782</v>
      </c>
      <c r="B290" s="689" t="s">
        <v>2473</v>
      </c>
      <c r="C290" s="632">
        <v>2111.44</v>
      </c>
      <c r="D290" s="665">
        <v>441.03300000000002</v>
      </c>
      <c r="E290" s="675">
        <v>395.55030002086886</v>
      </c>
      <c r="F290" s="665">
        <v>344.4829760859048</v>
      </c>
      <c r="G290" s="646">
        <v>520.82984555417409</v>
      </c>
      <c r="H290" s="665">
        <v>418.8728014535136</v>
      </c>
    </row>
    <row r="291" spans="1:8">
      <c r="A291" s="658" t="s">
        <v>3782</v>
      </c>
      <c r="B291" s="686" t="s">
        <v>2481</v>
      </c>
      <c r="C291" s="628">
        <v>0.96958200000000005</v>
      </c>
      <c r="D291" s="659">
        <v>41.148000000000003</v>
      </c>
      <c r="E291" s="672">
        <v>118.04824405494571</v>
      </c>
      <c r="F291" s="659">
        <v>12.008877470900382</v>
      </c>
      <c r="G291" s="643">
        <v>90.573146229831323</v>
      </c>
      <c r="H291" s="659">
        <v>22.042856888861774</v>
      </c>
    </row>
    <row r="292" spans="1:8">
      <c r="A292" s="654" t="s">
        <v>3782</v>
      </c>
      <c r="B292" s="684" t="s">
        <v>2481</v>
      </c>
      <c r="C292" s="626">
        <v>2.9883700000000002</v>
      </c>
      <c r="D292" s="655">
        <v>45.533200000000001</v>
      </c>
      <c r="E292" s="670">
        <v>156.33397107583457</v>
      </c>
      <c r="F292" s="655">
        <v>25.6125030437383</v>
      </c>
      <c r="G292" s="641">
        <v>148.10559131997533</v>
      </c>
      <c r="H292" s="655">
        <v>37.980847186185748</v>
      </c>
    </row>
    <row r="293" spans="1:8">
      <c r="A293" s="654" t="s">
        <v>3782</v>
      </c>
      <c r="B293" s="684" t="s">
        <v>2481</v>
      </c>
      <c r="C293" s="626">
        <v>4.9637500000000001</v>
      </c>
      <c r="D293" s="655">
        <v>53.068300000000001</v>
      </c>
      <c r="E293" s="670">
        <v>181.98834648723704</v>
      </c>
      <c r="F293" s="655">
        <v>38.582556365955121</v>
      </c>
      <c r="G293" s="641">
        <v>182.18088469908753</v>
      </c>
      <c r="H293" s="655">
        <v>48.34229596544202</v>
      </c>
    </row>
    <row r="294" spans="1:8">
      <c r="A294" s="654" t="s">
        <v>3782</v>
      </c>
      <c r="B294" s="684" t="s">
        <v>2481</v>
      </c>
      <c r="C294" s="626">
        <v>12.2539</v>
      </c>
      <c r="D294" s="655">
        <v>57.490200000000002</v>
      </c>
      <c r="E294" s="670">
        <v>236.44556853884907</v>
      </c>
      <c r="F294" s="655">
        <v>78.152580635366519</v>
      </c>
      <c r="G294" s="641">
        <v>255.10152331257538</v>
      </c>
      <c r="H294" s="655">
        <v>73.592978965604189</v>
      </c>
    </row>
    <row r="295" spans="1:8">
      <c r="A295" s="654" t="s">
        <v>3782</v>
      </c>
      <c r="B295" s="684" t="s">
        <v>2481</v>
      </c>
      <c r="C295" s="626">
        <v>26.264399999999998</v>
      </c>
      <c r="D295" s="655">
        <v>130.50700000000001</v>
      </c>
      <c r="E295" s="670">
        <v>283.9664191567602</v>
      </c>
      <c r="F295" s="655">
        <v>128.0581503339223</v>
      </c>
      <c r="G295" s="641">
        <v>324.88490532381672</v>
      </c>
      <c r="H295" s="655">
        <v>103.53504016981579</v>
      </c>
    </row>
    <row r="296" spans="1:8">
      <c r="A296" s="654" t="s">
        <v>3782</v>
      </c>
      <c r="B296" s="684" t="s">
        <v>2481</v>
      </c>
      <c r="C296" s="626">
        <v>30.292999999999999</v>
      </c>
      <c r="D296" s="655">
        <v>132.00700000000001</v>
      </c>
      <c r="E296" s="670">
        <v>292.44452882766984</v>
      </c>
      <c r="F296" s="655">
        <v>138.63037332284571</v>
      </c>
      <c r="G296" s="641">
        <v>338.15705898876456</v>
      </c>
      <c r="H296" s="655">
        <v>110.17280580009334</v>
      </c>
    </row>
    <row r="297" spans="1:8">
      <c r="A297" s="654" t="s">
        <v>3782</v>
      </c>
      <c r="B297" s="684" t="s">
        <v>2481</v>
      </c>
      <c r="C297" s="626">
        <v>54.5107</v>
      </c>
      <c r="D297" s="655">
        <v>179.148</v>
      </c>
      <c r="E297" s="670">
        <v>324.90176934581774</v>
      </c>
      <c r="F297" s="655">
        <v>184.12342224722906</v>
      </c>
      <c r="G297" s="641">
        <v>390.95597365303308</v>
      </c>
      <c r="H297" s="655">
        <v>141.25645335644293</v>
      </c>
    </row>
    <row r="298" spans="1:8">
      <c r="A298" s="654" t="s">
        <v>3782</v>
      </c>
      <c r="B298" s="684" t="s">
        <v>2481</v>
      </c>
      <c r="C298" s="626">
        <v>81.101799999999997</v>
      </c>
      <c r="D298" s="655">
        <v>229.36799999999999</v>
      </c>
      <c r="E298" s="670">
        <v>344.23075906730401</v>
      </c>
      <c r="F298" s="655">
        <v>215.17079442880814</v>
      </c>
      <c r="G298" s="641">
        <v>423.02653657194662</v>
      </c>
      <c r="H298" s="655">
        <v>165.80347884916551</v>
      </c>
    </row>
    <row r="299" spans="1:8">
      <c r="A299" s="660" t="s">
        <v>3782</v>
      </c>
      <c r="B299" s="687" t="s">
        <v>2481</v>
      </c>
      <c r="C299" s="630">
        <v>188.00399999999999</v>
      </c>
      <c r="D299" s="661">
        <v>258.18099999999998</v>
      </c>
      <c r="E299" s="673">
        <v>377.68474216823449</v>
      </c>
      <c r="F299" s="661">
        <v>276.30928805645812</v>
      </c>
      <c r="G299" s="644">
        <v>474.04455706042893</v>
      </c>
      <c r="H299" s="661">
        <v>226.53546592326498</v>
      </c>
    </row>
    <row r="300" spans="1:8">
      <c r="A300" s="660" t="s">
        <v>3782</v>
      </c>
      <c r="B300" s="687" t="s">
        <v>2481</v>
      </c>
      <c r="C300" s="630">
        <v>297.92700000000002</v>
      </c>
      <c r="D300" s="661">
        <v>291.62900000000002</v>
      </c>
      <c r="E300" s="673">
        <v>391.96824341503071</v>
      </c>
      <c r="F300" s="661">
        <v>305.39791031484049</v>
      </c>
      <c r="G300" s="644">
        <v>490.63547175060512</v>
      </c>
      <c r="H300" s="661">
        <v>263.62263497893446</v>
      </c>
    </row>
    <row r="301" spans="1:8">
      <c r="A301" s="660" t="s">
        <v>3782</v>
      </c>
      <c r="B301" s="687" t="s">
        <v>2481</v>
      </c>
      <c r="C301" s="630">
        <v>354.75900000000001</v>
      </c>
      <c r="D301" s="661">
        <v>302.267</v>
      </c>
      <c r="E301" s="673">
        <v>396.71531019898867</v>
      </c>
      <c r="F301" s="661">
        <v>315.47379183836983</v>
      </c>
      <c r="G301" s="644">
        <v>494.97146395001721</v>
      </c>
      <c r="H301" s="661">
        <v>278.0485668891294</v>
      </c>
    </row>
    <row r="302" spans="1:8">
      <c r="A302" s="664" t="s">
        <v>3782</v>
      </c>
      <c r="B302" s="689" t="s">
        <v>2481</v>
      </c>
      <c r="C302" s="632">
        <v>561.94500000000005</v>
      </c>
      <c r="D302" s="665">
        <v>314.38099999999997</v>
      </c>
      <c r="E302" s="675">
        <v>407.64137887618682</v>
      </c>
      <c r="F302" s="665">
        <v>339.45284070132584</v>
      </c>
      <c r="G302" s="646">
        <v>502.26362452730456</v>
      </c>
      <c r="H302" s="665">
        <v>316.00905465907198</v>
      </c>
    </row>
    <row r="303" spans="1:8">
      <c r="A303" s="664" t="s">
        <v>3782</v>
      </c>
      <c r="B303" s="689" t="s">
        <v>2481</v>
      </c>
      <c r="C303" s="632">
        <v>712.64200000000005</v>
      </c>
      <c r="D303" s="665">
        <v>303.67500000000001</v>
      </c>
      <c r="E303" s="675">
        <v>412.47170452667126</v>
      </c>
      <c r="F303" s="665">
        <v>350.40814077387728</v>
      </c>
      <c r="G303" s="646">
        <v>504.25435683576427</v>
      </c>
      <c r="H303" s="665">
        <v>335.05829360606765</v>
      </c>
    </row>
    <row r="304" spans="1:8">
      <c r="A304" s="664" t="s">
        <v>3782</v>
      </c>
      <c r="B304" s="689" t="s">
        <v>2481</v>
      </c>
      <c r="C304" s="632">
        <v>1060.76</v>
      </c>
      <c r="D304" s="665">
        <v>376.75200000000001</v>
      </c>
      <c r="E304" s="675">
        <v>419.47571340828614</v>
      </c>
      <c r="F304" s="665">
        <v>366.68434618202866</v>
      </c>
      <c r="G304" s="646">
        <v>505.93533310036696</v>
      </c>
      <c r="H304" s="665">
        <v>365.00677225770943</v>
      </c>
    </row>
    <row r="305" spans="1:8">
      <c r="A305" s="664" t="s">
        <v>3782</v>
      </c>
      <c r="B305" s="689" t="s">
        <v>2481</v>
      </c>
      <c r="C305" s="632">
        <v>1184.79</v>
      </c>
      <c r="D305" s="665">
        <v>356.92399999999998</v>
      </c>
      <c r="E305" s="675">
        <v>421.20445760346138</v>
      </c>
      <c r="F305" s="665">
        <v>370.77341820259471</v>
      </c>
      <c r="G305" s="646">
        <v>506.16783226466498</v>
      </c>
      <c r="H305" s="665">
        <v>372.73579514078767</v>
      </c>
    </row>
    <row r="306" spans="1:8">
      <c r="A306" s="664" t="s">
        <v>3782</v>
      </c>
      <c r="B306" s="689" t="s">
        <v>2481</v>
      </c>
      <c r="C306" s="632">
        <v>1629.15</v>
      </c>
      <c r="D306" s="665">
        <v>430.01400000000001</v>
      </c>
      <c r="E306" s="675">
        <v>425.70958471244518</v>
      </c>
      <c r="F306" s="665">
        <v>381.56403389647221</v>
      </c>
      <c r="G306" s="646">
        <v>506.52853856881723</v>
      </c>
      <c r="H306" s="665">
        <v>393.14841825507523</v>
      </c>
    </row>
    <row r="307" spans="1:8">
      <c r="A307" s="664" t="s">
        <v>3782</v>
      </c>
      <c r="B307" s="689" t="s">
        <v>2481</v>
      </c>
      <c r="C307" s="632">
        <v>2035.03</v>
      </c>
      <c r="D307" s="665">
        <v>455.88200000000001</v>
      </c>
      <c r="E307" s="675">
        <v>428.47547412460642</v>
      </c>
      <c r="F307" s="665">
        <v>388.28560424401257</v>
      </c>
      <c r="G307" s="646">
        <v>506.62546520541343</v>
      </c>
      <c r="H307" s="665">
        <v>405.55881524716722</v>
      </c>
    </row>
    <row r="308" spans="1:8">
      <c r="A308" s="658" t="s">
        <v>3782</v>
      </c>
      <c r="B308" s="686" t="s">
        <v>2483</v>
      </c>
      <c r="C308" s="628">
        <v>1.94747</v>
      </c>
      <c r="D308" s="659">
        <v>36.461199999999998</v>
      </c>
      <c r="E308" s="672">
        <v>155.70677892058723</v>
      </c>
      <c r="F308" s="659">
        <v>25.336374202614699</v>
      </c>
      <c r="G308" s="643">
        <v>123.39767060108402</v>
      </c>
      <c r="H308" s="659">
        <v>30.918345057035197</v>
      </c>
    </row>
    <row r="309" spans="1:8">
      <c r="A309" s="654" t="s">
        <v>3782</v>
      </c>
      <c r="B309" s="684" t="s">
        <v>2483</v>
      </c>
      <c r="C309" s="626">
        <v>2.9423499999999998</v>
      </c>
      <c r="D309" s="655">
        <v>62.297600000000003</v>
      </c>
      <c r="E309" s="670">
        <v>169.74775204642023</v>
      </c>
      <c r="F309" s="655">
        <v>31.978031978997667</v>
      </c>
      <c r="G309" s="641">
        <v>147.14601632095378</v>
      </c>
      <c r="H309" s="655">
        <v>37.699895903800318</v>
      </c>
    </row>
    <row r="310" spans="1:8">
      <c r="A310" s="654" t="s">
        <v>3782</v>
      </c>
      <c r="B310" s="684" t="s">
        <v>2483</v>
      </c>
      <c r="C310" s="626">
        <v>4.8116000000000003</v>
      </c>
      <c r="D310" s="655">
        <v>82.025800000000004</v>
      </c>
      <c r="E310" s="670">
        <v>190.86320728383407</v>
      </c>
      <c r="F310" s="655">
        <v>43.868198892582079</v>
      </c>
      <c r="G310" s="641">
        <v>179.93983413703128</v>
      </c>
      <c r="H310" s="655">
        <v>47.636545719120519</v>
      </c>
    </row>
    <row r="311" spans="1:8">
      <c r="A311" s="654" t="s">
        <v>3782</v>
      </c>
      <c r="B311" s="684" t="s">
        <v>2483</v>
      </c>
      <c r="C311" s="626">
        <v>16.322600000000001</v>
      </c>
      <c r="D311" s="655">
        <v>126.014</v>
      </c>
      <c r="E311" s="670">
        <v>258.31679087372919</v>
      </c>
      <c r="F311" s="655">
        <v>99.207534984705305</v>
      </c>
      <c r="G311" s="641">
        <v>280.8373212570923</v>
      </c>
      <c r="H311" s="655">
        <v>83.814907961491485</v>
      </c>
    </row>
    <row r="312" spans="1:8">
      <c r="A312" s="654" t="s">
        <v>3782</v>
      </c>
      <c r="B312" s="684" t="s">
        <v>2483</v>
      </c>
      <c r="C312" s="626">
        <v>34.424300000000002</v>
      </c>
      <c r="D312" s="655">
        <v>183.79499999999999</v>
      </c>
      <c r="E312" s="670">
        <v>301.49877383732399</v>
      </c>
      <c r="F312" s="655">
        <v>150.50982353091086</v>
      </c>
      <c r="G312" s="641">
        <v>349.96858903920167</v>
      </c>
      <c r="H312" s="655">
        <v>116.41633020462629</v>
      </c>
    </row>
    <row r="313" spans="1:8">
      <c r="A313" s="654" t="s">
        <v>3782</v>
      </c>
      <c r="B313" s="684" t="s">
        <v>2483</v>
      </c>
      <c r="C313" s="626">
        <v>64.977599999999995</v>
      </c>
      <c r="D313" s="655">
        <v>243.119</v>
      </c>
      <c r="E313" s="670">
        <v>334.47069493653487</v>
      </c>
      <c r="F313" s="655">
        <v>199.113363885452</v>
      </c>
      <c r="G313" s="641">
        <v>405.62615222429281</v>
      </c>
      <c r="H313" s="655">
        <v>151.75689055744417</v>
      </c>
    </row>
    <row r="314" spans="1:8">
      <c r="A314" s="660" t="s">
        <v>3782</v>
      </c>
      <c r="B314" s="687" t="s">
        <v>2483</v>
      </c>
      <c r="C314" s="630">
        <v>171.08</v>
      </c>
      <c r="D314" s="661">
        <v>297.81599999999997</v>
      </c>
      <c r="E314" s="673">
        <v>374.62675433994303</v>
      </c>
      <c r="F314" s="661">
        <v>270.31819543515894</v>
      </c>
      <c r="G314" s="644">
        <v>469.6487216107555</v>
      </c>
      <c r="H314" s="661">
        <v>219.20301121808072</v>
      </c>
    </row>
    <row r="315" spans="1:8">
      <c r="A315" s="660" t="s">
        <v>3782</v>
      </c>
      <c r="B315" s="687" t="s">
        <v>2483</v>
      </c>
      <c r="C315" s="630">
        <v>288.41199999999998</v>
      </c>
      <c r="D315" s="661">
        <v>253.53899999999999</v>
      </c>
      <c r="E315" s="673">
        <v>391.14557633914768</v>
      </c>
      <c r="F315" s="661">
        <v>303.67263923522347</v>
      </c>
      <c r="G315" s="644">
        <v>489.71821023907137</v>
      </c>
      <c r="H315" s="661">
        <v>260.95455805893482</v>
      </c>
    </row>
    <row r="316" spans="1:8">
      <c r="A316" s="660" t="s">
        <v>3782</v>
      </c>
      <c r="B316" s="687" t="s">
        <v>2483</v>
      </c>
      <c r="C316" s="630">
        <v>429.065</v>
      </c>
      <c r="D316" s="661">
        <v>299.18799999999999</v>
      </c>
      <c r="E316" s="673">
        <v>401.55564082422507</v>
      </c>
      <c r="F316" s="661">
        <v>325.96039775020751</v>
      </c>
      <c r="G316" s="644">
        <v>498.64109511983281</v>
      </c>
      <c r="H316" s="661">
        <v>293.81662017463486</v>
      </c>
    </row>
    <row r="317" spans="1:8">
      <c r="A317" s="664" t="s">
        <v>3782</v>
      </c>
      <c r="B317" s="689" t="s">
        <v>2483</v>
      </c>
      <c r="C317" s="632">
        <v>544.06200000000001</v>
      </c>
      <c r="D317" s="665">
        <v>282.38600000000002</v>
      </c>
      <c r="E317" s="675">
        <v>406.98307942498906</v>
      </c>
      <c r="F317" s="665">
        <v>337.97672256711343</v>
      </c>
      <c r="G317" s="646">
        <v>501.9141420825801</v>
      </c>
      <c r="H317" s="665">
        <v>313.37208275104433</v>
      </c>
    </row>
    <row r="318" spans="1:8">
      <c r="A318" s="664" t="s">
        <v>3782</v>
      </c>
      <c r="B318" s="689" t="s">
        <v>2483</v>
      </c>
      <c r="C318" s="632">
        <v>627.68499999999995</v>
      </c>
      <c r="D318" s="665">
        <v>297.601</v>
      </c>
      <c r="E318" s="675">
        <v>409.98751929997985</v>
      </c>
      <c r="F318" s="665">
        <v>344.7466041116337</v>
      </c>
      <c r="G318" s="646">
        <v>503.30902267799729</v>
      </c>
      <c r="H318" s="665">
        <v>324.95847310809552</v>
      </c>
    </row>
    <row r="319" spans="1:8">
      <c r="A319" s="664" t="s">
        <v>3782</v>
      </c>
      <c r="B319" s="689" t="s">
        <v>2483</v>
      </c>
      <c r="C319" s="632">
        <v>797.36</v>
      </c>
      <c r="D319" s="665">
        <v>372.22800000000001</v>
      </c>
      <c r="E319" s="675">
        <v>414.6038219711545</v>
      </c>
      <c r="F319" s="665">
        <v>355.31365985464652</v>
      </c>
      <c r="G319" s="646">
        <v>504.89990146421394</v>
      </c>
      <c r="H319" s="665">
        <v>343.8072521200707</v>
      </c>
    </row>
    <row r="320" spans="1:8">
      <c r="A320" s="664" t="s">
        <v>3782</v>
      </c>
      <c r="B320" s="689" t="s">
        <v>2483</v>
      </c>
      <c r="C320" s="632">
        <v>1184.18</v>
      </c>
      <c r="D320" s="665">
        <v>331.02</v>
      </c>
      <c r="E320" s="675">
        <v>421.20947058323526</v>
      </c>
      <c r="F320" s="665">
        <v>370.7853171209286</v>
      </c>
      <c r="G320" s="646">
        <v>506.16691194525833</v>
      </c>
      <c r="H320" s="665">
        <v>372.700507828279</v>
      </c>
    </row>
    <row r="321" spans="1:8">
      <c r="A321" s="664" t="s">
        <v>3782</v>
      </c>
      <c r="B321" s="689" t="s">
        <v>2483</v>
      </c>
      <c r="C321" s="632">
        <v>1434.16</v>
      </c>
      <c r="D321" s="665">
        <v>396.512</v>
      </c>
      <c r="E321" s="675">
        <v>423.99701289321638</v>
      </c>
      <c r="F321" s="665">
        <v>377.43915473061787</v>
      </c>
      <c r="G321" s="646">
        <v>506.42638317808314</v>
      </c>
      <c r="H321" s="665">
        <v>385.33023916368381</v>
      </c>
    </row>
    <row r="322" spans="1:8">
      <c r="A322" s="664" t="s">
        <v>3782</v>
      </c>
      <c r="B322" s="689" t="s">
        <v>2483</v>
      </c>
      <c r="C322" s="632">
        <v>2066.61</v>
      </c>
      <c r="D322" s="665">
        <v>433.02300000000002</v>
      </c>
      <c r="E322" s="675">
        <v>428.6619132881014</v>
      </c>
      <c r="F322" s="665">
        <v>388.74134121157692</v>
      </c>
      <c r="G322" s="646">
        <v>506.6295844529489</v>
      </c>
      <c r="H322" s="665">
        <v>406.35728590045721</v>
      </c>
    </row>
    <row r="323" spans="1:8">
      <c r="A323" s="664" t="s">
        <v>3782</v>
      </c>
      <c r="B323" s="689" t="s">
        <v>2483</v>
      </c>
      <c r="C323" s="632">
        <v>2308.4499999999998</v>
      </c>
      <c r="D323" s="665">
        <v>417.76600000000002</v>
      </c>
      <c r="E323" s="675">
        <v>429.92160511842809</v>
      </c>
      <c r="F323" s="665">
        <v>391.82938597269174</v>
      </c>
      <c r="G323" s="646">
        <v>506.65261795927165</v>
      </c>
      <c r="H323" s="665">
        <v>411.85769395092382</v>
      </c>
    </row>
    <row r="324" spans="1:8">
      <c r="A324" s="658" t="s">
        <v>3783</v>
      </c>
      <c r="B324" s="686" t="s">
        <v>350</v>
      </c>
      <c r="C324" s="628">
        <v>-2.53165</v>
      </c>
      <c r="D324" s="659">
        <v>15.053800000000001</v>
      </c>
      <c r="E324" s="672"/>
      <c r="F324" s="659"/>
      <c r="G324" s="643"/>
      <c r="H324" s="659"/>
    </row>
    <row r="325" spans="1:8">
      <c r="A325" s="654" t="s">
        <v>3783</v>
      </c>
      <c r="B325" s="684" t="s">
        <v>350</v>
      </c>
      <c r="C325" s="626">
        <v>2.53165</v>
      </c>
      <c r="D325" s="655">
        <v>33.871000000000002</v>
      </c>
      <c r="E325" s="670">
        <v>105.08905412886725</v>
      </c>
      <c r="F325" s="655"/>
      <c r="G325" s="641">
        <v>192.42036745212013</v>
      </c>
      <c r="H325" s="655">
        <v>75.51203951365919</v>
      </c>
    </row>
    <row r="326" spans="1:8">
      <c r="A326" s="654" t="s">
        <v>3783</v>
      </c>
      <c r="B326" s="684" t="s">
        <v>350</v>
      </c>
      <c r="C326" s="626">
        <v>5.0632900000000003</v>
      </c>
      <c r="D326" s="655">
        <v>60.2151</v>
      </c>
      <c r="E326" s="670">
        <v>113.54362224038248</v>
      </c>
      <c r="F326" s="655"/>
      <c r="G326" s="641">
        <v>255.84141871877452</v>
      </c>
      <c r="H326" s="655">
        <v>99.302861789783663</v>
      </c>
    </row>
    <row r="327" spans="1:8">
      <c r="A327" s="654" t="s">
        <v>3783</v>
      </c>
      <c r="B327" s="684" t="s">
        <v>350</v>
      </c>
      <c r="C327" s="626">
        <v>10.1266</v>
      </c>
      <c r="D327" s="655">
        <v>97.849500000000006</v>
      </c>
      <c r="E327" s="670">
        <v>126.8826765066495</v>
      </c>
      <c r="F327" s="655"/>
      <c r="G327" s="641">
        <v>332.39471869986124</v>
      </c>
      <c r="H327" s="655">
        <v>127.15620513359487</v>
      </c>
    </row>
    <row r="328" spans="1:8">
      <c r="A328" s="654" t="s">
        <v>3783</v>
      </c>
      <c r="B328" s="684" t="s">
        <v>350</v>
      </c>
      <c r="C328" s="626">
        <v>22.784800000000001</v>
      </c>
      <c r="D328" s="655">
        <v>120.43</v>
      </c>
      <c r="E328" s="670">
        <v>149.75117801497285</v>
      </c>
      <c r="F328" s="655"/>
      <c r="G328" s="641">
        <v>434.21743368541723</v>
      </c>
      <c r="H328" s="655">
        <v>162.47656785768368</v>
      </c>
    </row>
    <row r="329" spans="1:8">
      <c r="A329" s="654" t="s">
        <v>3783</v>
      </c>
      <c r="B329" s="684" t="s">
        <v>350</v>
      </c>
      <c r="C329" s="626">
        <v>30.3797</v>
      </c>
      <c r="D329" s="655">
        <v>131.72</v>
      </c>
      <c r="E329" s="670">
        <v>159.75506230621303</v>
      </c>
      <c r="F329" s="655"/>
      <c r="G329" s="641">
        <v>471.52953607783797</v>
      </c>
      <c r="H329" s="655">
        <v>174.83054898267932</v>
      </c>
    </row>
    <row r="330" spans="1:8">
      <c r="A330" s="654" t="s">
        <v>3783</v>
      </c>
      <c r="B330" s="684" t="s">
        <v>350</v>
      </c>
      <c r="C330" s="626">
        <v>43.037999999999997</v>
      </c>
      <c r="D330" s="655">
        <v>139.24700000000001</v>
      </c>
      <c r="E330" s="670">
        <v>173.1031144736256</v>
      </c>
      <c r="F330" s="655"/>
      <c r="G330" s="641">
        <v>515.88242748544553</v>
      </c>
      <c r="H330" s="655">
        <v>189.02126117999262</v>
      </c>
    </row>
    <row r="331" spans="1:8">
      <c r="A331" s="654" t="s">
        <v>3783</v>
      </c>
      <c r="B331" s="684" t="s">
        <v>350</v>
      </c>
      <c r="C331" s="626">
        <v>55.696199999999997</v>
      </c>
      <c r="D331" s="655">
        <v>150.53800000000001</v>
      </c>
      <c r="E331" s="670">
        <v>183.79518108700324</v>
      </c>
      <c r="F331" s="655"/>
      <c r="G331" s="641">
        <v>547.28064031856206</v>
      </c>
      <c r="H331" s="655">
        <v>198.69226899141989</v>
      </c>
    </row>
    <row r="332" spans="1:8">
      <c r="A332" s="654" t="s">
        <v>3783</v>
      </c>
      <c r="B332" s="684" t="s">
        <v>350</v>
      </c>
      <c r="C332" s="626">
        <v>68.354399999999998</v>
      </c>
      <c r="D332" s="655">
        <v>158.065</v>
      </c>
      <c r="E332" s="670">
        <v>192.74254273332801</v>
      </c>
      <c r="F332" s="655"/>
      <c r="G332" s="641">
        <v>570.87125378710914</v>
      </c>
      <c r="H332" s="655">
        <v>205.72104857380791</v>
      </c>
    </row>
    <row r="333" spans="1:8">
      <c r="A333" s="654" t="s">
        <v>3783</v>
      </c>
      <c r="B333" s="684" t="s">
        <v>350</v>
      </c>
      <c r="C333" s="626">
        <v>78.480999999999995</v>
      </c>
      <c r="D333" s="655">
        <v>161.828</v>
      </c>
      <c r="E333" s="670">
        <v>198.99109049325753</v>
      </c>
      <c r="F333" s="655"/>
      <c r="G333" s="641">
        <v>585.93957187365811</v>
      </c>
      <c r="H333" s="655">
        <v>210.08983414057391</v>
      </c>
    </row>
    <row r="334" spans="1:8">
      <c r="A334" s="654" t="s">
        <v>3783</v>
      </c>
      <c r="B334" s="684" t="s">
        <v>350</v>
      </c>
      <c r="C334" s="626">
        <v>93.670900000000003</v>
      </c>
      <c r="D334" s="655">
        <v>165.59100000000001</v>
      </c>
      <c r="E334" s="670">
        <v>207.22902549616225</v>
      </c>
      <c r="F334" s="655"/>
      <c r="G334" s="641">
        <v>604.08418276614191</v>
      </c>
      <c r="H334" s="655">
        <v>215.20978044993714</v>
      </c>
    </row>
    <row r="335" spans="1:8">
      <c r="A335" s="660" t="s">
        <v>3783</v>
      </c>
      <c r="B335" s="687" t="s">
        <v>350</v>
      </c>
      <c r="C335" s="630">
        <v>106.32899999999999</v>
      </c>
      <c r="D335" s="661">
        <v>169.35499999999999</v>
      </c>
      <c r="E335" s="673">
        <v>213.2841961957904</v>
      </c>
      <c r="F335" s="661"/>
      <c r="G335" s="644">
        <v>616.20446948894914</v>
      </c>
      <c r="H335" s="661">
        <v>218.53420975637223</v>
      </c>
    </row>
    <row r="336" spans="1:8">
      <c r="A336" s="660" t="s">
        <v>3783</v>
      </c>
      <c r="B336" s="687" t="s">
        <v>350</v>
      </c>
      <c r="C336" s="630">
        <v>124.051</v>
      </c>
      <c r="D336" s="661">
        <v>176.88200000000001</v>
      </c>
      <c r="E336" s="673">
        <v>220.81111431593393</v>
      </c>
      <c r="F336" s="661"/>
      <c r="G336" s="644">
        <v>629.87781118545604</v>
      </c>
      <c r="H336" s="661">
        <v>222.18072398623997</v>
      </c>
    </row>
    <row r="337" spans="1:8">
      <c r="A337" s="660" t="s">
        <v>3783</v>
      </c>
      <c r="B337" s="687" t="s">
        <v>350</v>
      </c>
      <c r="C337" s="630">
        <v>129.114</v>
      </c>
      <c r="D337" s="661">
        <v>184.40899999999999</v>
      </c>
      <c r="E337" s="673">
        <v>222.79222032382998</v>
      </c>
      <c r="F337" s="661"/>
      <c r="G337" s="644">
        <v>633.22652554317938</v>
      </c>
      <c r="H337" s="661">
        <v>223.05537769634878</v>
      </c>
    </row>
    <row r="338" spans="1:8">
      <c r="A338" s="660" t="s">
        <v>3783</v>
      </c>
      <c r="B338" s="687" t="s">
        <v>350</v>
      </c>
      <c r="C338" s="630">
        <v>144.304</v>
      </c>
      <c r="D338" s="661">
        <v>184.40899999999999</v>
      </c>
      <c r="E338" s="673">
        <v>228.3583587420288</v>
      </c>
      <c r="F338" s="661"/>
      <c r="G338" s="644">
        <v>642.09272180833989</v>
      </c>
      <c r="H338" s="661">
        <v>225.33280298298615</v>
      </c>
    </row>
    <row r="339" spans="1:8">
      <c r="A339" s="660" t="s">
        <v>3783</v>
      </c>
      <c r="B339" s="687" t="s">
        <v>350</v>
      </c>
      <c r="C339" s="630">
        <v>162.02500000000001</v>
      </c>
      <c r="D339" s="661">
        <v>195.69900000000001</v>
      </c>
      <c r="E339" s="673">
        <v>234.24156703620906</v>
      </c>
      <c r="F339" s="661"/>
      <c r="G339" s="644">
        <v>650.61860602324339</v>
      </c>
      <c r="H339" s="661">
        <v>227.46571382959195</v>
      </c>
    </row>
    <row r="340" spans="1:8">
      <c r="A340" s="660" t="s">
        <v>3783</v>
      </c>
      <c r="B340" s="687" t="s">
        <v>350</v>
      </c>
      <c r="C340" s="630">
        <v>174.684</v>
      </c>
      <c r="D340" s="661">
        <v>199.46199999999999</v>
      </c>
      <c r="E340" s="673">
        <v>238.10782930416806</v>
      </c>
      <c r="F340" s="661"/>
      <c r="G340" s="644">
        <v>655.76517429830471</v>
      </c>
      <c r="H340" s="661">
        <v>228.72327252696829</v>
      </c>
    </row>
    <row r="341" spans="1:8">
      <c r="A341" s="660" t="s">
        <v>3783</v>
      </c>
      <c r="B341" s="687" t="s">
        <v>350</v>
      </c>
      <c r="C341" s="630">
        <v>192.405</v>
      </c>
      <c r="D341" s="661">
        <v>206.989</v>
      </c>
      <c r="E341" s="673">
        <v>243.12363283170941</v>
      </c>
      <c r="F341" s="661"/>
      <c r="G341" s="644">
        <v>661.92309911256643</v>
      </c>
      <c r="H341" s="661">
        <v>230.19520376492468</v>
      </c>
    </row>
    <row r="342" spans="1:8">
      <c r="A342" s="660" t="s">
        <v>3783</v>
      </c>
      <c r="B342" s="687" t="s">
        <v>350</v>
      </c>
      <c r="C342" s="630">
        <v>227.84800000000001</v>
      </c>
      <c r="D342" s="661">
        <v>210.75299999999999</v>
      </c>
      <c r="E342" s="673">
        <v>252.02808791780933</v>
      </c>
      <c r="F342" s="661"/>
      <c r="G342" s="644">
        <v>671.48596152729658</v>
      </c>
      <c r="H342" s="661">
        <v>232.40097059926362</v>
      </c>
    </row>
    <row r="343" spans="1:8">
      <c r="A343" s="660" t="s">
        <v>3783</v>
      </c>
      <c r="B343" s="687" t="s">
        <v>350</v>
      </c>
      <c r="C343" s="630">
        <v>253.16499999999999</v>
      </c>
      <c r="D343" s="661">
        <v>206.989</v>
      </c>
      <c r="E343" s="673">
        <v>257.65404763505893</v>
      </c>
      <c r="F343" s="661"/>
      <c r="G343" s="644">
        <v>676.68241307399649</v>
      </c>
      <c r="H343" s="661">
        <v>233.55242465191347</v>
      </c>
    </row>
    <row r="344" spans="1:8">
      <c r="A344" s="660" t="s">
        <v>3783</v>
      </c>
      <c r="B344" s="687" t="s">
        <v>350</v>
      </c>
      <c r="C344" s="630">
        <v>273.41800000000001</v>
      </c>
      <c r="D344" s="661">
        <v>210.75299999999999</v>
      </c>
      <c r="E344" s="673">
        <v>261.79846833832238</v>
      </c>
      <c r="F344" s="661"/>
      <c r="G344" s="644">
        <v>680.12027615727004</v>
      </c>
      <c r="H344" s="661">
        <v>234.29307481941834</v>
      </c>
    </row>
    <row r="345" spans="1:8">
      <c r="A345" s="660" t="s">
        <v>3783</v>
      </c>
      <c r="B345" s="687" t="s">
        <v>350</v>
      </c>
      <c r="C345" s="630">
        <v>296.20299999999997</v>
      </c>
      <c r="D345" s="661">
        <v>210.75299999999999</v>
      </c>
      <c r="E345" s="673">
        <v>266.13876187025431</v>
      </c>
      <c r="F345" s="661"/>
      <c r="G345" s="644">
        <v>683.38624030657775</v>
      </c>
      <c r="H345" s="661">
        <v>234.97922047621631</v>
      </c>
    </row>
    <row r="346" spans="1:8">
      <c r="A346" s="660" t="s">
        <v>3783</v>
      </c>
      <c r="B346" s="687" t="s">
        <v>350</v>
      </c>
      <c r="C346" s="630">
        <v>367.089</v>
      </c>
      <c r="D346" s="661">
        <v>210.75299999999999</v>
      </c>
      <c r="E346" s="673">
        <v>277.91253048924813</v>
      </c>
      <c r="F346" s="661"/>
      <c r="G346" s="644">
        <v>690.67825252579644</v>
      </c>
      <c r="H346" s="661">
        <v>236.43865180356238</v>
      </c>
    </row>
    <row r="347" spans="1:8">
      <c r="A347" s="660" t="s">
        <v>3783</v>
      </c>
      <c r="B347" s="687" t="s">
        <v>350</v>
      </c>
      <c r="C347" s="630">
        <v>412.65800000000002</v>
      </c>
      <c r="D347" s="661">
        <v>218.28</v>
      </c>
      <c r="E347" s="673">
        <v>284.41206018781827</v>
      </c>
      <c r="F347" s="661"/>
      <c r="G347" s="644">
        <v>693.83204034349512</v>
      </c>
      <c r="H347" s="661">
        <v>237.03196469019196</v>
      </c>
    </row>
    <row r="348" spans="1:8">
      <c r="A348" s="664" t="s">
        <v>3783</v>
      </c>
      <c r="B348" s="689" t="s">
        <v>350</v>
      </c>
      <c r="C348" s="632">
        <v>584.80999999999995</v>
      </c>
      <c r="D348" s="665">
        <v>233.333</v>
      </c>
      <c r="E348" s="675">
        <v>304.05884323637406</v>
      </c>
      <c r="F348" s="665"/>
      <c r="G348" s="646">
        <v>700.37403941358946</v>
      </c>
      <c r="H348" s="665">
        <v>238.15919399880627</v>
      </c>
    </row>
    <row r="349" spans="1:8">
      <c r="A349" s="658" t="s">
        <v>3783</v>
      </c>
      <c r="B349" s="686" t="s">
        <v>352</v>
      </c>
      <c r="C349" s="628">
        <v>5.0955399999999997</v>
      </c>
      <c r="D349" s="659">
        <v>5.0955399999999997</v>
      </c>
      <c r="E349" s="672">
        <v>112.29059789550838</v>
      </c>
      <c r="F349" s="659"/>
      <c r="G349" s="643">
        <v>253.48489578843382</v>
      </c>
      <c r="H349" s="659">
        <v>98.376780425376822</v>
      </c>
    </row>
    <row r="350" spans="1:8">
      <c r="A350" s="654" t="s">
        <v>3783</v>
      </c>
      <c r="B350" s="684" t="s">
        <v>352</v>
      </c>
      <c r="C350" s="626">
        <v>15.2866</v>
      </c>
      <c r="D350" s="655">
        <v>68.852500000000006</v>
      </c>
      <c r="E350" s="670">
        <v>136.02695694552668</v>
      </c>
      <c r="F350" s="655"/>
      <c r="G350" s="641">
        <v>378.50634665494988</v>
      </c>
      <c r="H350" s="655">
        <v>143.28062472241294</v>
      </c>
    </row>
    <row r="351" spans="1:8">
      <c r="A351" s="654" t="s">
        <v>3783</v>
      </c>
      <c r="B351" s="684" t="s">
        <v>352</v>
      </c>
      <c r="C351" s="626">
        <v>15.2866</v>
      </c>
      <c r="D351" s="655">
        <v>68.852500000000006</v>
      </c>
      <c r="E351" s="670">
        <v>136.02695694552668</v>
      </c>
      <c r="F351" s="655"/>
      <c r="G351" s="641">
        <v>378.50634665494988</v>
      </c>
      <c r="H351" s="655">
        <v>143.28062472241294</v>
      </c>
    </row>
    <row r="352" spans="1:8">
      <c r="A352" s="654" t="s">
        <v>3783</v>
      </c>
      <c r="B352" s="684" t="s">
        <v>352</v>
      </c>
      <c r="C352" s="626">
        <v>20.382200000000001</v>
      </c>
      <c r="D352" s="655">
        <v>110.929</v>
      </c>
      <c r="E352" s="670">
        <v>144.62994996127918</v>
      </c>
      <c r="F352" s="655"/>
      <c r="G352" s="641">
        <v>414.87746819239862</v>
      </c>
      <c r="H352" s="655">
        <v>155.763774250106</v>
      </c>
    </row>
    <row r="353" spans="1:8">
      <c r="A353" s="654" t="s">
        <v>3783</v>
      </c>
      <c r="B353" s="684" t="s">
        <v>352</v>
      </c>
      <c r="C353" s="626">
        <v>28.025500000000001</v>
      </c>
      <c r="D353" s="655">
        <v>130.05500000000001</v>
      </c>
      <c r="E353" s="670">
        <v>155.30234915460116</v>
      </c>
      <c r="F353" s="655"/>
      <c r="G353" s="641">
        <v>455.69463364522392</v>
      </c>
      <c r="H353" s="655">
        <v>169.40430608299792</v>
      </c>
    </row>
    <row r="354" spans="1:8">
      <c r="A354" s="654" t="s">
        <v>3783</v>
      </c>
      <c r="B354" s="684" t="s">
        <v>352</v>
      </c>
      <c r="C354" s="626">
        <v>40.764299999999999</v>
      </c>
      <c r="D354" s="655">
        <v>141.53</v>
      </c>
      <c r="E354" s="670">
        <v>169.32901485200628</v>
      </c>
      <c r="F354" s="655"/>
      <c r="G354" s="641">
        <v>503.13113656912185</v>
      </c>
      <c r="H354" s="655">
        <v>184.69882337107077</v>
      </c>
    </row>
    <row r="355" spans="1:8">
      <c r="A355" s="654" t="s">
        <v>3783</v>
      </c>
      <c r="B355" s="684" t="s">
        <v>352</v>
      </c>
      <c r="C355" s="626">
        <v>48.407600000000002</v>
      </c>
      <c r="D355" s="655">
        <v>156.83099999999999</v>
      </c>
      <c r="E355" s="670">
        <v>176.26076598420914</v>
      </c>
      <c r="F355" s="655"/>
      <c r="G355" s="641">
        <v>524.19569563317441</v>
      </c>
      <c r="H355" s="655">
        <v>191.27091673888802</v>
      </c>
    </row>
    <row r="356" spans="1:8">
      <c r="A356" s="654" t="s">
        <v>3783</v>
      </c>
      <c r="B356" s="684" t="s">
        <v>352</v>
      </c>
      <c r="C356" s="626">
        <v>56.051000000000002</v>
      </c>
      <c r="D356" s="655">
        <v>160.65600000000001</v>
      </c>
      <c r="E356" s="670">
        <v>182.40693774596505</v>
      </c>
      <c r="F356" s="655"/>
      <c r="G356" s="641">
        <v>541.62162304264814</v>
      </c>
      <c r="H356" s="655">
        <v>196.59266166827248</v>
      </c>
    </row>
    <row r="357" spans="1:8">
      <c r="A357" s="654" t="s">
        <v>3783</v>
      </c>
      <c r="B357" s="684" t="s">
        <v>352</v>
      </c>
      <c r="C357" s="626">
        <v>63.694299999999998</v>
      </c>
      <c r="D357" s="655">
        <v>172.131</v>
      </c>
      <c r="E357" s="670">
        <v>187.93318979399533</v>
      </c>
      <c r="F357" s="655"/>
      <c r="G357" s="641">
        <v>556.3107325485762</v>
      </c>
      <c r="H357" s="655">
        <v>200.99037532727456</v>
      </c>
    </row>
    <row r="358" spans="1:8">
      <c r="A358" s="654" t="s">
        <v>3783</v>
      </c>
      <c r="B358" s="684" t="s">
        <v>352</v>
      </c>
      <c r="C358" s="626">
        <v>76.433099999999996</v>
      </c>
      <c r="D358" s="655">
        <v>179.78100000000001</v>
      </c>
      <c r="E358" s="670">
        <v>196.0710343875364</v>
      </c>
      <c r="F358" s="655"/>
      <c r="G358" s="641">
        <v>576.29279321721913</v>
      </c>
      <c r="H358" s="655">
        <v>206.83022169502735</v>
      </c>
    </row>
    <row r="359" spans="1:8">
      <c r="A359" s="654" t="s">
        <v>3783</v>
      </c>
      <c r="B359" s="684" t="s">
        <v>352</v>
      </c>
      <c r="C359" s="626">
        <v>91.719700000000003</v>
      </c>
      <c r="D359" s="655">
        <v>191.25700000000001</v>
      </c>
      <c r="E359" s="670">
        <v>204.4929830926807</v>
      </c>
      <c r="F359" s="655"/>
      <c r="G359" s="641">
        <v>594.95639022794376</v>
      </c>
      <c r="H359" s="655">
        <v>212.11897683883691</v>
      </c>
    </row>
    <row r="360" spans="1:8">
      <c r="A360" s="660" t="s">
        <v>3783</v>
      </c>
      <c r="B360" s="687" t="s">
        <v>352</v>
      </c>
      <c r="C360" s="630">
        <v>109.554</v>
      </c>
      <c r="D360" s="661">
        <v>195.08199999999999</v>
      </c>
      <c r="E360" s="673">
        <v>212.95580028017778</v>
      </c>
      <c r="F360" s="661"/>
      <c r="G360" s="644">
        <v>611.70830106143615</v>
      </c>
      <c r="H360" s="661">
        <v>216.71027098569357</v>
      </c>
    </row>
    <row r="361" spans="1:8">
      <c r="A361" s="660" t="s">
        <v>3783</v>
      </c>
      <c r="B361" s="687" t="s">
        <v>352</v>
      </c>
      <c r="C361" s="630">
        <v>122.29300000000001</v>
      </c>
      <c r="D361" s="661">
        <v>198.90700000000001</v>
      </c>
      <c r="E361" s="673">
        <v>218.31370036189119</v>
      </c>
      <c r="F361" s="661"/>
      <c r="G361" s="644">
        <v>621.30914817082737</v>
      </c>
      <c r="H361" s="661">
        <v>219.26632849938665</v>
      </c>
    </row>
    <row r="362" spans="1:8">
      <c r="A362" s="660" t="s">
        <v>3783</v>
      </c>
      <c r="B362" s="687" t="s">
        <v>352</v>
      </c>
      <c r="C362" s="630">
        <v>129.93600000000001</v>
      </c>
      <c r="D362" s="661">
        <v>202.732</v>
      </c>
      <c r="E362" s="673">
        <v>221.30333243128567</v>
      </c>
      <c r="F362" s="661"/>
      <c r="G362" s="644">
        <v>626.33691351609946</v>
      </c>
      <c r="H362" s="661">
        <v>220.5806931948529</v>
      </c>
    </row>
    <row r="363" spans="1:8">
      <c r="A363" s="660" t="s">
        <v>3783</v>
      </c>
      <c r="B363" s="687" t="s">
        <v>352</v>
      </c>
      <c r="C363" s="630">
        <v>147.77099999999999</v>
      </c>
      <c r="D363" s="661">
        <v>210.38300000000001</v>
      </c>
      <c r="E363" s="673">
        <v>227.72951583546893</v>
      </c>
      <c r="F363" s="661"/>
      <c r="G363" s="644">
        <v>636.36759119639703</v>
      </c>
      <c r="H363" s="661">
        <v>223.14855544933783</v>
      </c>
    </row>
    <row r="364" spans="1:8">
      <c r="A364" s="660" t="s">
        <v>3783</v>
      </c>
      <c r="B364" s="687" t="s">
        <v>352</v>
      </c>
      <c r="C364" s="630">
        <v>163.05699999999999</v>
      </c>
      <c r="D364" s="661">
        <v>218.03299999999999</v>
      </c>
      <c r="E364" s="673">
        <v>232.72062016393457</v>
      </c>
      <c r="F364" s="661"/>
      <c r="G364" s="644">
        <v>643.44919796556223</v>
      </c>
      <c r="H364" s="661">
        <v>224.91367631859003</v>
      </c>
    </row>
    <row r="365" spans="1:8">
      <c r="A365" s="660" t="s">
        <v>3783</v>
      </c>
      <c r="B365" s="687" t="s">
        <v>352</v>
      </c>
      <c r="C365" s="630">
        <v>178.34399999999999</v>
      </c>
      <c r="D365" s="661">
        <v>221.858</v>
      </c>
      <c r="E365" s="673">
        <v>237.31684439055164</v>
      </c>
      <c r="F365" s="661"/>
      <c r="G365" s="644">
        <v>649.44287644344331</v>
      </c>
      <c r="H365" s="661">
        <v>226.3732822663286</v>
      </c>
    </row>
    <row r="366" spans="1:8">
      <c r="A366" s="660" t="s">
        <v>3783</v>
      </c>
      <c r="B366" s="687" t="s">
        <v>352</v>
      </c>
      <c r="C366" s="630">
        <v>198.726</v>
      </c>
      <c r="D366" s="661">
        <v>237.15799999999999</v>
      </c>
      <c r="E366" s="673">
        <v>242.93039844308331</v>
      </c>
      <c r="F366" s="661"/>
      <c r="G366" s="644">
        <v>656.10452212506175</v>
      </c>
      <c r="H366" s="661">
        <v>227.95456688252636</v>
      </c>
    </row>
    <row r="367" spans="1:8">
      <c r="A367" s="660" t="s">
        <v>3783</v>
      </c>
      <c r="B367" s="687" t="s">
        <v>352</v>
      </c>
      <c r="C367" s="630">
        <v>229.29900000000001</v>
      </c>
      <c r="D367" s="661">
        <v>233.333</v>
      </c>
      <c r="E367" s="673">
        <v>250.45433392514406</v>
      </c>
      <c r="F367" s="661"/>
      <c r="G367" s="644">
        <v>663.95696971068878</v>
      </c>
      <c r="H367" s="661">
        <v>229.75569984970483</v>
      </c>
    </row>
    <row r="368" spans="1:8">
      <c r="A368" s="660" t="s">
        <v>3783</v>
      </c>
      <c r="B368" s="687" t="s">
        <v>352</v>
      </c>
      <c r="C368" s="630">
        <v>257.32499999999999</v>
      </c>
      <c r="D368" s="661">
        <v>237.15799999999999</v>
      </c>
      <c r="E368" s="673">
        <v>256.59540655016878</v>
      </c>
      <c r="F368" s="661"/>
      <c r="G368" s="644">
        <v>669.51116153746784</v>
      </c>
      <c r="H368" s="661">
        <v>230.98230221306187</v>
      </c>
    </row>
    <row r="369" spans="1:8">
      <c r="A369" s="660" t="s">
        <v>3783</v>
      </c>
      <c r="B369" s="687" t="s">
        <v>352</v>
      </c>
      <c r="C369" s="630">
        <v>280.255</v>
      </c>
      <c r="D369" s="661">
        <v>240.98400000000001</v>
      </c>
      <c r="E369" s="673">
        <v>261.183433965174</v>
      </c>
      <c r="F369" s="661"/>
      <c r="G369" s="644">
        <v>673.19345474898739</v>
      </c>
      <c r="H369" s="661">
        <v>231.77052241350532</v>
      </c>
    </row>
    <row r="370" spans="1:8">
      <c r="A370" s="660" t="s">
        <v>3783</v>
      </c>
      <c r="B370" s="687" t="s">
        <v>352</v>
      </c>
      <c r="C370" s="630">
        <v>298.089</v>
      </c>
      <c r="D370" s="661">
        <v>244.809</v>
      </c>
      <c r="E370" s="673">
        <v>264.52053643152425</v>
      </c>
      <c r="F370" s="661"/>
      <c r="G370" s="644">
        <v>675.6354000747034</v>
      </c>
      <c r="H370" s="661">
        <v>232.28090371645726</v>
      </c>
    </row>
    <row r="371" spans="1:8">
      <c r="A371" s="660" t="s">
        <v>3783</v>
      </c>
      <c r="B371" s="687" t="s">
        <v>352</v>
      </c>
      <c r="C371" s="630">
        <v>366.87900000000002</v>
      </c>
      <c r="D371" s="661">
        <v>244.809</v>
      </c>
      <c r="E371" s="673">
        <v>275.87397135005511</v>
      </c>
      <c r="F371" s="661"/>
      <c r="G371" s="644">
        <v>682.58260766288288</v>
      </c>
      <c r="H371" s="661">
        <v>233.66977318430497</v>
      </c>
    </row>
    <row r="372" spans="1:8">
      <c r="A372" s="660" t="s">
        <v>3783</v>
      </c>
      <c r="B372" s="687" t="s">
        <v>352</v>
      </c>
      <c r="C372" s="630">
        <v>417.834</v>
      </c>
      <c r="D372" s="661">
        <v>252.459</v>
      </c>
      <c r="E372" s="673">
        <v>283.07263906629652</v>
      </c>
      <c r="F372" s="661"/>
      <c r="G372" s="644">
        <v>686.01708826921606</v>
      </c>
      <c r="H372" s="661">
        <v>234.31451905829022</v>
      </c>
    </row>
    <row r="373" spans="1:8">
      <c r="A373" s="664" t="s">
        <v>3783</v>
      </c>
      <c r="B373" s="689" t="s">
        <v>352</v>
      </c>
      <c r="C373" s="632">
        <v>585.98699999999997</v>
      </c>
      <c r="D373" s="665">
        <v>263.93400000000003</v>
      </c>
      <c r="E373" s="675">
        <v>302.06267089524607</v>
      </c>
      <c r="F373" s="665"/>
      <c r="G373" s="646">
        <v>692.20842656299158</v>
      </c>
      <c r="H373" s="665">
        <v>235.37762479922878</v>
      </c>
    </row>
    <row r="374" spans="1:8">
      <c r="A374" s="658" t="s">
        <v>3783</v>
      </c>
      <c r="B374" s="686" t="s">
        <v>2044</v>
      </c>
      <c r="C374" s="628">
        <v>2.7614899999999998</v>
      </c>
      <c r="D374" s="659">
        <v>91.1661</v>
      </c>
      <c r="E374" s="672">
        <v>83.396569776785228</v>
      </c>
      <c r="F374" s="659"/>
      <c r="G374" s="643">
        <v>169.44931836430413</v>
      </c>
      <c r="H374" s="659">
        <v>66.417198513558176</v>
      </c>
    </row>
    <row r="375" spans="1:8">
      <c r="A375" s="654" t="s">
        <v>3783</v>
      </c>
      <c r="B375" s="684" t="s">
        <v>2044</v>
      </c>
      <c r="C375" s="626">
        <v>3.6579000000000002</v>
      </c>
      <c r="D375" s="655">
        <v>122.968</v>
      </c>
      <c r="E375" s="670">
        <v>89.967600927886238</v>
      </c>
      <c r="F375" s="655"/>
      <c r="G375" s="641">
        <v>190.47578222219045</v>
      </c>
      <c r="H375" s="655">
        <v>74.343590317690087</v>
      </c>
    </row>
    <row r="376" spans="1:8">
      <c r="A376" s="654" t="s">
        <v>3783</v>
      </c>
      <c r="B376" s="684" t="s">
        <v>2044</v>
      </c>
      <c r="C376" s="626">
        <v>4.6254299999999997</v>
      </c>
      <c r="D376" s="655">
        <v>133.56899999999999</v>
      </c>
      <c r="E376" s="670">
        <v>96.056934617949295</v>
      </c>
      <c r="F376" s="655"/>
      <c r="G376" s="641">
        <v>209.48695739804245</v>
      </c>
      <c r="H376" s="655">
        <v>81.44263741113889</v>
      </c>
    </row>
    <row r="377" spans="1:8">
      <c r="A377" s="654" t="s">
        <v>3783</v>
      </c>
      <c r="B377" s="684" t="s">
        <v>2044</v>
      </c>
      <c r="C377" s="626">
        <v>5.57761</v>
      </c>
      <c r="D377" s="655">
        <v>163.251</v>
      </c>
      <c r="E377" s="670">
        <v>101.30775898593176</v>
      </c>
      <c r="F377" s="655"/>
      <c r="G377" s="641">
        <v>225.59403490107584</v>
      </c>
      <c r="H377" s="655">
        <v>87.405059054762447</v>
      </c>
    </row>
    <row r="378" spans="1:8">
      <c r="A378" s="654" t="s">
        <v>3783</v>
      </c>
      <c r="B378" s="684" t="s">
        <v>2044</v>
      </c>
      <c r="C378" s="626">
        <v>16.9147</v>
      </c>
      <c r="D378" s="655">
        <v>267.13799999999998</v>
      </c>
      <c r="E378" s="670">
        <v>139.37890160027865</v>
      </c>
      <c r="F378" s="655"/>
      <c r="G378" s="641">
        <v>335.99568964815143</v>
      </c>
      <c r="H378" s="655">
        <v>126.83172466586201</v>
      </c>
    </row>
    <row r="379" spans="1:8">
      <c r="A379" s="654" t="s">
        <v>3783</v>
      </c>
      <c r="B379" s="684" t="s">
        <v>2044</v>
      </c>
      <c r="C379" s="626">
        <v>21.049299999999999</v>
      </c>
      <c r="D379" s="655">
        <v>290.459</v>
      </c>
      <c r="E379" s="670">
        <v>148.21462103619047</v>
      </c>
      <c r="F379" s="655"/>
      <c r="G379" s="641">
        <v>359.86374967758945</v>
      </c>
      <c r="H379" s="655">
        <v>134.9790650022621</v>
      </c>
    </row>
    <row r="380" spans="1:8">
      <c r="A380" s="654" t="s">
        <v>3783</v>
      </c>
      <c r="B380" s="684" t="s">
        <v>2044</v>
      </c>
      <c r="C380" s="626">
        <v>25.806000000000001</v>
      </c>
      <c r="D380" s="655">
        <v>286.21899999999999</v>
      </c>
      <c r="E380" s="670">
        <v>156.81375065412047</v>
      </c>
      <c r="F380" s="655"/>
      <c r="G380" s="641">
        <v>382.29828897952342</v>
      </c>
      <c r="H380" s="655">
        <v>142.49490604786482</v>
      </c>
    </row>
    <row r="381" spans="1:8">
      <c r="A381" s="654" t="s">
        <v>3783</v>
      </c>
      <c r="B381" s="684" t="s">
        <v>2044</v>
      </c>
      <c r="C381" s="626">
        <v>46.075499999999998</v>
      </c>
      <c r="D381" s="655">
        <v>281.97899999999998</v>
      </c>
      <c r="E381" s="670">
        <v>183.10677191625774</v>
      </c>
      <c r="F381" s="655"/>
      <c r="G381" s="641">
        <v>445.07619473127579</v>
      </c>
      <c r="H381" s="655">
        <v>162.6863108958008</v>
      </c>
    </row>
    <row r="382" spans="1:8">
      <c r="A382" s="654" t="s">
        <v>3783</v>
      </c>
      <c r="B382" s="684" t="s">
        <v>2044</v>
      </c>
      <c r="C382" s="626">
        <v>63.012700000000002</v>
      </c>
      <c r="D382" s="655">
        <v>290.459</v>
      </c>
      <c r="E382" s="670">
        <v>198.35094354384157</v>
      </c>
      <c r="F382" s="655"/>
      <c r="G382" s="641">
        <v>476.75849281952225</v>
      </c>
      <c r="H382" s="655">
        <v>172.31625981934073</v>
      </c>
    </row>
    <row r="383" spans="1:8">
      <c r="A383" s="654" t="s">
        <v>3783</v>
      </c>
      <c r="B383" s="684" t="s">
        <v>2044</v>
      </c>
      <c r="C383" s="626">
        <v>77.252300000000005</v>
      </c>
      <c r="D383" s="655">
        <v>286.21899999999999</v>
      </c>
      <c r="E383" s="670">
        <v>208.63371680724063</v>
      </c>
      <c r="F383" s="655"/>
      <c r="G383" s="641">
        <v>495.93520665499204</v>
      </c>
      <c r="H383" s="655">
        <v>177.92088843913504</v>
      </c>
    </row>
    <row r="384" spans="1:8">
      <c r="A384" s="654" t="s">
        <v>3783</v>
      </c>
      <c r="B384" s="684" t="s">
        <v>2044</v>
      </c>
      <c r="C384" s="626">
        <v>94.720299999999995</v>
      </c>
      <c r="D384" s="655">
        <v>277.73899999999998</v>
      </c>
      <c r="E384" s="670">
        <v>219.19010605918578</v>
      </c>
      <c r="F384" s="655"/>
      <c r="G384" s="641">
        <v>513.69571656731705</v>
      </c>
      <c r="H384" s="655">
        <v>182.93473684654509</v>
      </c>
    </row>
    <row r="385" spans="1:8">
      <c r="A385" s="658" t="s">
        <v>3783</v>
      </c>
      <c r="B385" s="686" t="s">
        <v>2049</v>
      </c>
      <c r="C385" s="628">
        <v>2.93099</v>
      </c>
      <c r="D385" s="659">
        <v>16.417100000000001</v>
      </c>
      <c r="E385" s="672">
        <v>79.002578584719913</v>
      </c>
      <c r="F385" s="659"/>
      <c r="G385" s="643">
        <v>178.67142130496288</v>
      </c>
      <c r="H385" s="659">
        <v>69.972077644554389</v>
      </c>
    </row>
    <row r="386" spans="1:8">
      <c r="A386" s="654" t="s">
        <v>3783</v>
      </c>
      <c r="B386" s="684" t="s">
        <v>2049</v>
      </c>
      <c r="C386" s="626">
        <v>3.3474499999999998</v>
      </c>
      <c r="D386" s="655">
        <v>54.769100000000002</v>
      </c>
      <c r="E386" s="670">
        <v>81.785703628509594</v>
      </c>
      <c r="F386" s="655"/>
      <c r="G386" s="641">
        <v>188.84213600231138</v>
      </c>
      <c r="H386" s="655">
        <v>73.808453425634227</v>
      </c>
    </row>
    <row r="387" spans="1:8">
      <c r="A387" s="654" t="s">
        <v>3783</v>
      </c>
      <c r="B387" s="684" t="s">
        <v>2049</v>
      </c>
      <c r="C387" s="626">
        <v>5.9681300000000004</v>
      </c>
      <c r="D387" s="655">
        <v>69.358199999999997</v>
      </c>
      <c r="E387" s="670">
        <v>95.714605145772595</v>
      </c>
      <c r="F387" s="655"/>
      <c r="G387" s="641">
        <v>238.18457800189839</v>
      </c>
      <c r="H387" s="655">
        <v>92.16316658394399</v>
      </c>
    </row>
    <row r="388" spans="1:8">
      <c r="A388" s="654" t="s">
        <v>3783</v>
      </c>
      <c r="B388" s="684" t="s">
        <v>2049</v>
      </c>
      <c r="C388" s="626">
        <v>8.3000799999999995</v>
      </c>
      <c r="D388" s="655">
        <v>81.965699999999998</v>
      </c>
      <c r="E388" s="670">
        <v>104.96625962708642</v>
      </c>
      <c r="F388" s="655"/>
      <c r="G388" s="641">
        <v>269.89388394396451</v>
      </c>
      <c r="H388" s="655">
        <v>103.71909919054647</v>
      </c>
    </row>
    <row r="389" spans="1:8">
      <c r="A389" s="654" t="s">
        <v>3783</v>
      </c>
      <c r="B389" s="684" t="s">
        <v>2049</v>
      </c>
      <c r="C389" s="626">
        <v>9.4542699999999993</v>
      </c>
      <c r="D389" s="655">
        <v>139.536</v>
      </c>
      <c r="E389" s="670">
        <v>108.8731407279919</v>
      </c>
      <c r="F389" s="655"/>
      <c r="G389" s="641">
        <v>283.06102685834691</v>
      </c>
      <c r="H389" s="655">
        <v>108.45871278166541</v>
      </c>
    </row>
    <row r="390" spans="1:8">
      <c r="A390" s="654" t="s">
        <v>3783</v>
      </c>
      <c r="B390" s="684" t="s">
        <v>2049</v>
      </c>
      <c r="C390" s="626">
        <v>13.5207</v>
      </c>
      <c r="D390" s="655">
        <v>149.99100000000001</v>
      </c>
      <c r="E390" s="670">
        <v>120.32944109983275</v>
      </c>
      <c r="F390" s="655"/>
      <c r="G390" s="641">
        <v>320.87099656178799</v>
      </c>
      <c r="H390" s="655">
        <v>121.86336139330491</v>
      </c>
    </row>
    <row r="391" spans="1:8">
      <c r="A391" s="654" t="s">
        <v>3783</v>
      </c>
      <c r="B391" s="684" t="s">
        <v>2049</v>
      </c>
      <c r="C391" s="626">
        <v>16.8261</v>
      </c>
      <c r="D391" s="655">
        <v>166.93799999999999</v>
      </c>
      <c r="E391" s="670">
        <v>127.83882746515847</v>
      </c>
      <c r="F391" s="655"/>
      <c r="G391" s="641">
        <v>344.93523896128988</v>
      </c>
      <c r="H391" s="655">
        <v>130.22549326968732</v>
      </c>
    </row>
    <row r="392" spans="1:8">
      <c r="A392" s="654" t="s">
        <v>3783</v>
      </c>
      <c r="B392" s="684" t="s">
        <v>2049</v>
      </c>
      <c r="C392" s="626">
        <v>19.290700000000001</v>
      </c>
      <c r="D392" s="655">
        <v>177.53</v>
      </c>
      <c r="E392" s="670">
        <v>132.72059036373676</v>
      </c>
      <c r="F392" s="655"/>
      <c r="G392" s="641">
        <v>360.23124383506791</v>
      </c>
      <c r="H392" s="655">
        <v>135.46720052952332</v>
      </c>
    </row>
    <row r="393" spans="1:8">
      <c r="A393" s="654" t="s">
        <v>3783</v>
      </c>
      <c r="B393" s="684" t="s">
        <v>2049</v>
      </c>
      <c r="C393" s="626">
        <v>23.331700000000001</v>
      </c>
      <c r="D393" s="655">
        <v>200.9</v>
      </c>
      <c r="E393" s="670">
        <v>139.74742879217123</v>
      </c>
      <c r="F393" s="655"/>
      <c r="G393" s="641">
        <v>381.71151103538278</v>
      </c>
      <c r="H393" s="655">
        <v>142.72551135015416</v>
      </c>
    </row>
    <row r="394" spans="1:8">
      <c r="A394" s="654" t="s">
        <v>3783</v>
      </c>
      <c r="B394" s="684" t="s">
        <v>2049</v>
      </c>
      <c r="C394" s="626">
        <v>49.302700000000002</v>
      </c>
      <c r="D394" s="655">
        <v>185.49100000000001</v>
      </c>
      <c r="E394" s="670">
        <v>169.87789524197942</v>
      </c>
      <c r="F394" s="655"/>
      <c r="G394" s="641">
        <v>464.93220895349839</v>
      </c>
      <c r="H394" s="655">
        <v>169.53584382002029</v>
      </c>
    </row>
    <row r="395" spans="1:8">
      <c r="A395" s="654" t="s">
        <v>3783</v>
      </c>
      <c r="B395" s="684" t="s">
        <v>2049</v>
      </c>
      <c r="C395" s="626">
        <v>68.243899999999996</v>
      </c>
      <c r="D395" s="655">
        <v>232.26499999999999</v>
      </c>
      <c r="E395" s="670">
        <v>184.10886345524179</v>
      </c>
      <c r="F395" s="655"/>
      <c r="G395" s="641">
        <v>498.15137654801981</v>
      </c>
      <c r="H395" s="655">
        <v>179.52606497909616</v>
      </c>
    </row>
    <row r="396" spans="1:8">
      <c r="A396" s="660" t="s">
        <v>3783</v>
      </c>
      <c r="B396" s="687" t="s">
        <v>2049</v>
      </c>
      <c r="C396" s="630">
        <v>118.495</v>
      </c>
      <c r="D396" s="661">
        <v>238.32900000000001</v>
      </c>
      <c r="E396" s="673">
        <v>209.65195777257472</v>
      </c>
      <c r="F396" s="661"/>
      <c r="G396" s="644">
        <v>546.37803909339857</v>
      </c>
      <c r="H396" s="661">
        <v>193.03366167196387</v>
      </c>
    </row>
    <row r="397" spans="1:8">
      <c r="A397" s="660" t="s">
        <v>3783</v>
      </c>
      <c r="B397" s="687" t="s">
        <v>2049</v>
      </c>
      <c r="C397" s="630">
        <v>143.571</v>
      </c>
      <c r="D397" s="661">
        <v>248.887</v>
      </c>
      <c r="E397" s="673">
        <v>218.90958415334308</v>
      </c>
      <c r="F397" s="661"/>
      <c r="G397" s="644">
        <v>560.13610678862551</v>
      </c>
      <c r="H397" s="661">
        <v>196.60457910132249</v>
      </c>
    </row>
    <row r="398" spans="1:8">
      <c r="A398" s="660" t="s">
        <v>3783</v>
      </c>
      <c r="B398" s="687" t="s">
        <v>2049</v>
      </c>
      <c r="C398" s="630">
        <v>194.45599999999999</v>
      </c>
      <c r="D398" s="661">
        <v>252.97</v>
      </c>
      <c r="E398" s="673">
        <v>233.89018933297379</v>
      </c>
      <c r="F398" s="661"/>
      <c r="G398" s="644">
        <v>578.35053211891852</v>
      </c>
      <c r="H398" s="661">
        <v>201.06826463077203</v>
      </c>
    </row>
    <row r="399" spans="1:8">
      <c r="A399" s="660" t="s">
        <v>3783</v>
      </c>
      <c r="B399" s="687" t="s">
        <v>2049</v>
      </c>
      <c r="C399" s="630">
        <v>347.82100000000003</v>
      </c>
      <c r="D399" s="661">
        <v>244.06899999999999</v>
      </c>
      <c r="E399" s="673">
        <v>263.64987918252268</v>
      </c>
      <c r="F399" s="661"/>
      <c r="G399" s="644">
        <v>601.45507550962566</v>
      </c>
      <c r="H399" s="661">
        <v>206.10734053821665</v>
      </c>
    </row>
    <row r="400" spans="1:8">
      <c r="A400" s="664" t="s">
        <v>3783</v>
      </c>
      <c r="B400" s="689" t="s">
        <v>2049</v>
      </c>
      <c r="C400" s="632">
        <v>540.41999999999996</v>
      </c>
      <c r="D400" s="665">
        <v>254.47300000000001</v>
      </c>
      <c r="E400" s="675">
        <v>286.9520350126183</v>
      </c>
      <c r="F400" s="665"/>
      <c r="G400" s="646">
        <v>610.3446932657082</v>
      </c>
      <c r="H400" s="665">
        <v>207.72511740647394</v>
      </c>
    </row>
    <row r="401" spans="1:8">
      <c r="A401" s="664" t="s">
        <v>3783</v>
      </c>
      <c r="B401" s="689" t="s">
        <v>2049</v>
      </c>
      <c r="C401" s="632">
        <v>753.35599999999999</v>
      </c>
      <c r="D401" s="665">
        <v>249.99700000000001</v>
      </c>
      <c r="E401" s="675">
        <v>304.84754102514927</v>
      </c>
      <c r="F401" s="665"/>
      <c r="G401" s="646">
        <v>613.69544985267453</v>
      </c>
      <c r="H401" s="665">
        <v>208.23805991004099</v>
      </c>
    </row>
    <row r="402" spans="1:8">
      <c r="A402" s="664" t="s">
        <v>3783</v>
      </c>
      <c r="B402" s="689" t="s">
        <v>2049</v>
      </c>
      <c r="C402" s="632">
        <v>1021.27</v>
      </c>
      <c r="D402" s="665">
        <v>247.67400000000001</v>
      </c>
      <c r="E402" s="675">
        <v>321.42787769064284</v>
      </c>
      <c r="F402" s="665"/>
      <c r="G402" s="646">
        <v>615.20785531878107</v>
      </c>
      <c r="H402" s="665">
        <v>208.43397310983147</v>
      </c>
    </row>
    <row r="403" spans="1:8">
      <c r="A403" s="658" t="s">
        <v>3784</v>
      </c>
      <c r="B403" s="686" t="s">
        <v>2435</v>
      </c>
      <c r="C403" s="628">
        <v>1.01667</v>
      </c>
      <c r="D403" s="659">
        <v>23.529399999999999</v>
      </c>
      <c r="E403" s="672">
        <v>70.330385323117937</v>
      </c>
      <c r="F403" s="659">
        <v>1.3847971574955742</v>
      </c>
      <c r="G403" s="643">
        <v>104.03905370839061</v>
      </c>
      <c r="H403" s="659">
        <v>16.741333805000036</v>
      </c>
    </row>
    <row r="404" spans="1:8">
      <c r="A404" s="654" t="s">
        <v>3784</v>
      </c>
      <c r="B404" s="684" t="s">
        <v>2435</v>
      </c>
      <c r="C404" s="626">
        <v>1.6696299999999999</v>
      </c>
      <c r="D404" s="655">
        <v>43.137300000000003</v>
      </c>
      <c r="E404" s="670">
        <v>81.936639155350846</v>
      </c>
      <c r="F404" s="655">
        <v>2.4060291641014899</v>
      </c>
      <c r="G404" s="641">
        <v>129.73634328727209</v>
      </c>
      <c r="H404" s="655">
        <v>21.31604009260359</v>
      </c>
    </row>
    <row r="405" spans="1:8">
      <c r="A405" s="654" t="s">
        <v>3784</v>
      </c>
      <c r="B405" s="684" t="s">
        <v>2435</v>
      </c>
      <c r="C405" s="626">
        <v>2.9294500000000001</v>
      </c>
      <c r="D405" s="655">
        <v>39.215699999999998</v>
      </c>
      <c r="E405" s="670">
        <v>100.5858884585966</v>
      </c>
      <c r="F405" s="655">
        <v>5.0512721660941962</v>
      </c>
      <c r="G405" s="641">
        <v>165.13525681508773</v>
      </c>
      <c r="H405" s="655">
        <v>27.96777054094159</v>
      </c>
    </row>
    <row r="406" spans="1:8">
      <c r="A406" s="654" t="s">
        <v>3784</v>
      </c>
      <c r="B406" s="684" t="s">
        <v>2435</v>
      </c>
      <c r="C406" s="626">
        <v>4.8911100000000003</v>
      </c>
      <c r="D406" s="655">
        <v>9.8039199999999997</v>
      </c>
      <c r="E406" s="670">
        <v>122.79289132618868</v>
      </c>
      <c r="F406" s="655">
        <v>10.392937372389728</v>
      </c>
      <c r="G406" s="641">
        <v>203.63433900924673</v>
      </c>
      <c r="H406" s="655">
        <v>35.73225803608284</v>
      </c>
    </row>
    <row r="407" spans="1:8">
      <c r="A407" s="654" t="s">
        <v>3784</v>
      </c>
      <c r="B407" s="684" t="s">
        <v>2435</v>
      </c>
      <c r="C407" s="626">
        <v>8.7247699999999995</v>
      </c>
      <c r="D407" s="655">
        <v>25.490200000000002</v>
      </c>
      <c r="E407" s="670">
        <v>152.3855903468851</v>
      </c>
      <c r="F407" s="655">
        <v>22.692339105929388</v>
      </c>
      <c r="G407" s="641">
        <v>254.12881823456041</v>
      </c>
      <c r="H407" s="655">
        <v>46.933590954332793</v>
      </c>
    </row>
    <row r="408" spans="1:8">
      <c r="A408" s="654" t="s">
        <v>3784</v>
      </c>
      <c r="B408" s="684" t="s">
        <v>2435</v>
      </c>
      <c r="C408" s="626">
        <v>12.144500000000001</v>
      </c>
      <c r="D408" s="655">
        <v>39.215699999999998</v>
      </c>
      <c r="E408" s="670">
        <v>170.33345503258869</v>
      </c>
      <c r="F408" s="655">
        <v>33.944458758405638</v>
      </c>
      <c r="G408" s="641">
        <v>285.92923579702295</v>
      </c>
      <c r="H408" s="655">
        <v>54.718495207036042</v>
      </c>
    </row>
    <row r="409" spans="1:8">
      <c r="A409" s="654" t="s">
        <v>3784</v>
      </c>
      <c r="B409" s="684" t="s">
        <v>2435</v>
      </c>
      <c r="C409" s="626">
        <v>33.854999999999997</v>
      </c>
      <c r="D409" s="655">
        <v>90.196100000000001</v>
      </c>
      <c r="E409" s="670">
        <v>223.09053094486856</v>
      </c>
      <c r="F409" s="655">
        <v>90.069707794598031</v>
      </c>
      <c r="G409" s="641">
        <v>391.75266330024442</v>
      </c>
      <c r="H409" s="655">
        <v>86.761614725706139</v>
      </c>
    </row>
    <row r="410" spans="1:8">
      <c r="A410" s="654" t="s">
        <v>3784</v>
      </c>
      <c r="B410" s="684" t="s">
        <v>2435</v>
      </c>
      <c r="C410" s="626">
        <v>47.910499999999999</v>
      </c>
      <c r="D410" s="655">
        <v>127.45099999999999</v>
      </c>
      <c r="E410" s="670">
        <v>238.3022395628237</v>
      </c>
      <c r="F410" s="655">
        <v>114.33691729566829</v>
      </c>
      <c r="G410" s="641">
        <v>426.98228193533743</v>
      </c>
      <c r="H410" s="655">
        <v>100.75636952447829</v>
      </c>
    </row>
    <row r="411" spans="1:8">
      <c r="A411" s="654" t="s">
        <v>3784</v>
      </c>
      <c r="B411" s="684" t="s">
        <v>2435</v>
      </c>
      <c r="C411" s="626">
        <v>97.550200000000004</v>
      </c>
      <c r="D411" s="655">
        <v>176.471</v>
      </c>
      <c r="E411" s="670">
        <v>263.92698926252484</v>
      </c>
      <c r="F411" s="655">
        <v>165.42758343508643</v>
      </c>
      <c r="G411" s="641">
        <v>490.65780501094309</v>
      </c>
      <c r="H411" s="655">
        <v>134.93076891893685</v>
      </c>
    </row>
    <row r="412" spans="1:8">
      <c r="A412" s="660" t="s">
        <v>3784</v>
      </c>
      <c r="B412" s="687" t="s">
        <v>2435</v>
      </c>
      <c r="C412" s="630">
        <v>174.01</v>
      </c>
      <c r="D412" s="661">
        <v>196.078</v>
      </c>
      <c r="E412" s="673">
        <v>279.52300526737821</v>
      </c>
      <c r="F412" s="661">
        <v>203.60384605317159</v>
      </c>
      <c r="G412" s="644">
        <v>528.95564614181762</v>
      </c>
      <c r="H412" s="661">
        <v>168.13346503070642</v>
      </c>
    </row>
    <row r="413" spans="1:8">
      <c r="A413" s="660" t="s">
        <v>3784</v>
      </c>
      <c r="B413" s="687" t="s">
        <v>2435</v>
      </c>
      <c r="C413" s="630">
        <v>242.215</v>
      </c>
      <c r="D413" s="661">
        <v>196.078</v>
      </c>
      <c r="E413" s="673">
        <v>286.58952043415542</v>
      </c>
      <c r="F413" s="661">
        <v>222.84403349810663</v>
      </c>
      <c r="G413" s="644">
        <v>544.33865539714168</v>
      </c>
      <c r="H413" s="661">
        <v>188.97786056618247</v>
      </c>
    </row>
    <row r="414" spans="1:8">
      <c r="A414" s="660" t="s">
        <v>3784</v>
      </c>
      <c r="B414" s="687" t="s">
        <v>2435</v>
      </c>
      <c r="C414" s="630">
        <v>300.30200000000002</v>
      </c>
      <c r="D414" s="661">
        <v>233.333</v>
      </c>
      <c r="E414" s="673">
        <v>290.55705937240737</v>
      </c>
      <c r="F414" s="661">
        <v>234.20535254299938</v>
      </c>
      <c r="G414" s="644">
        <v>551.87907738745446</v>
      </c>
      <c r="H414" s="661">
        <v>203.08799118408919</v>
      </c>
    </row>
    <row r="415" spans="1:8">
      <c r="A415" s="660" t="s">
        <v>3784</v>
      </c>
      <c r="B415" s="687" t="s">
        <v>2435</v>
      </c>
      <c r="C415" s="630">
        <v>432.06299999999999</v>
      </c>
      <c r="D415" s="661">
        <v>292.15699999999998</v>
      </c>
      <c r="E415" s="673">
        <v>296.28644072844105</v>
      </c>
      <c r="F415" s="661">
        <v>251.34354196574247</v>
      </c>
      <c r="G415" s="644">
        <v>560.76361256413588</v>
      </c>
      <c r="H415" s="661">
        <v>227.60827022383108</v>
      </c>
    </row>
    <row r="416" spans="1:8">
      <c r="A416" s="664" t="s">
        <v>3784</v>
      </c>
      <c r="B416" s="689" t="s">
        <v>2435</v>
      </c>
      <c r="C416" s="632">
        <v>553.69100000000003</v>
      </c>
      <c r="D416" s="665">
        <v>272.54899999999998</v>
      </c>
      <c r="E416" s="675">
        <v>299.56922103309779</v>
      </c>
      <c r="F416" s="665">
        <v>261.56230937249194</v>
      </c>
      <c r="G416" s="646">
        <v>564.52988768286514</v>
      </c>
      <c r="H416" s="665">
        <v>244.48691033427585</v>
      </c>
    </row>
    <row r="417" spans="1:8">
      <c r="A417" s="664" t="s">
        <v>3784</v>
      </c>
      <c r="B417" s="689" t="s">
        <v>2435</v>
      </c>
      <c r="C417" s="632">
        <v>783.56600000000003</v>
      </c>
      <c r="D417" s="665">
        <v>343.137</v>
      </c>
      <c r="E417" s="675">
        <v>303.44137143790061</v>
      </c>
      <c r="F417" s="665">
        <v>273.99820045413657</v>
      </c>
      <c r="G417" s="646">
        <v>567.56976183686618</v>
      </c>
      <c r="H417" s="665">
        <v>267.76913754614816</v>
      </c>
    </row>
    <row r="418" spans="1:8">
      <c r="A418" s="664" t="s">
        <v>3784</v>
      </c>
      <c r="B418" s="689" t="s">
        <v>2435</v>
      </c>
      <c r="C418" s="632">
        <v>1184.7</v>
      </c>
      <c r="D418" s="665">
        <v>331.37299999999999</v>
      </c>
      <c r="E418" s="675">
        <v>307.1282683040746</v>
      </c>
      <c r="F418" s="665">
        <v>286.23143466243243</v>
      </c>
      <c r="G418" s="646">
        <v>569.09619143046802</v>
      </c>
      <c r="H418" s="665">
        <v>293.94264920880215</v>
      </c>
    </row>
    <row r="419" spans="1:8">
      <c r="A419" s="664" t="s">
        <v>3784</v>
      </c>
      <c r="B419" s="689" t="s">
        <v>2435</v>
      </c>
      <c r="C419" s="632">
        <v>1421.03</v>
      </c>
      <c r="D419" s="665">
        <v>335.29399999999998</v>
      </c>
      <c r="E419" s="675">
        <v>308.48336505985634</v>
      </c>
      <c r="F419" s="665">
        <v>290.82539017728493</v>
      </c>
      <c r="G419" s="646">
        <v>569.37669241522167</v>
      </c>
      <c r="H419" s="665">
        <v>304.59527694514736</v>
      </c>
    </row>
    <row r="420" spans="1:8">
      <c r="A420" s="664" t="s">
        <v>3784</v>
      </c>
      <c r="B420" s="689" t="s">
        <v>2435</v>
      </c>
      <c r="C420" s="632">
        <v>1761.82</v>
      </c>
      <c r="D420" s="665">
        <v>374.51</v>
      </c>
      <c r="E420" s="675">
        <v>309.90436268470552</v>
      </c>
      <c r="F420" s="665">
        <v>295.69981215671515</v>
      </c>
      <c r="G420" s="646">
        <v>569.55085849209831</v>
      </c>
      <c r="H420" s="665">
        <v>316.29468122640009</v>
      </c>
    </row>
    <row r="421" spans="1:8">
      <c r="A421" s="664" t="s">
        <v>3784</v>
      </c>
      <c r="B421" s="689" t="s">
        <v>2435</v>
      </c>
      <c r="C421" s="632">
        <v>1821.06</v>
      </c>
      <c r="D421" s="665">
        <v>409.80399999999997</v>
      </c>
      <c r="E421" s="675">
        <v>310.10699969863811</v>
      </c>
      <c r="F421" s="665">
        <v>296.39969739410026</v>
      </c>
      <c r="G421" s="646">
        <v>569.56767754282453</v>
      </c>
      <c r="H421" s="665">
        <v>317.99956732451295</v>
      </c>
    </row>
    <row r="422" spans="1:8">
      <c r="A422" s="664" t="s">
        <v>3784</v>
      </c>
      <c r="B422" s="689" t="s">
        <v>2435</v>
      </c>
      <c r="C422" s="632">
        <v>2620.0700000000002</v>
      </c>
      <c r="D422" s="665">
        <v>427.45100000000002</v>
      </c>
      <c r="E422" s="675">
        <v>312.08601026099558</v>
      </c>
      <c r="F422" s="665">
        <v>303.29813854431268</v>
      </c>
      <c r="G422" s="646">
        <v>569.65922827157078</v>
      </c>
      <c r="H422" s="665">
        <v>334.8923233423821</v>
      </c>
    </row>
    <row r="423" spans="1:8">
      <c r="A423" s="658" t="s">
        <v>3784</v>
      </c>
      <c r="B423" s="686" t="s">
        <v>2439</v>
      </c>
      <c r="C423" s="628">
        <v>1</v>
      </c>
      <c r="D423" s="659">
        <v>35.2941</v>
      </c>
      <c r="E423" s="672">
        <v>48.713183257234796</v>
      </c>
      <c r="F423" s="659">
        <v>0.36688865771277956</v>
      </c>
      <c r="G423" s="643">
        <v>103.26539709509048</v>
      </c>
      <c r="H423" s="659">
        <v>16.606653829587902</v>
      </c>
    </row>
    <row r="424" spans="1:8">
      <c r="A424" s="654" t="s">
        <v>3784</v>
      </c>
      <c r="B424" s="684" t="s">
        <v>2439</v>
      </c>
      <c r="C424" s="626">
        <v>1.7545500000000001</v>
      </c>
      <c r="D424" s="655">
        <v>21.5686</v>
      </c>
      <c r="E424" s="670">
        <v>65.207943916818337</v>
      </c>
      <c r="F424" s="655">
        <v>1.053427221166604</v>
      </c>
      <c r="G424" s="641">
        <v>132.58256115876659</v>
      </c>
      <c r="H424" s="655">
        <v>21.835297977646555</v>
      </c>
    </row>
    <row r="425" spans="1:8">
      <c r="A425" s="654" t="s">
        <v>3784</v>
      </c>
      <c r="B425" s="684" t="s">
        <v>2439</v>
      </c>
      <c r="C425" s="626">
        <v>3.94503</v>
      </c>
      <c r="D425" s="655">
        <v>17.647099999999998</v>
      </c>
      <c r="E425" s="670">
        <v>100.79113921574667</v>
      </c>
      <c r="F425" s="655">
        <v>5.0886505793158001</v>
      </c>
      <c r="G425" s="641">
        <v>186.75730552981821</v>
      </c>
      <c r="H425" s="655">
        <v>32.254607245150702</v>
      </c>
    </row>
    <row r="426" spans="1:8">
      <c r="A426" s="654" t="s">
        <v>3784</v>
      </c>
      <c r="B426" s="684" t="s">
        <v>2439</v>
      </c>
      <c r="C426" s="626">
        <v>9.4767799999999998</v>
      </c>
      <c r="D426" s="655">
        <v>21.5686</v>
      </c>
      <c r="E426" s="670">
        <v>150.83929122125181</v>
      </c>
      <c r="F426" s="655">
        <v>21.870532629199527</v>
      </c>
      <c r="G426" s="641">
        <v>261.89922110998111</v>
      </c>
      <c r="H426" s="655">
        <v>48.777947681037787</v>
      </c>
    </row>
    <row r="427" spans="1:8">
      <c r="A427" s="654" t="s">
        <v>3784</v>
      </c>
      <c r="B427" s="684" t="s">
        <v>2439</v>
      </c>
      <c r="C427" s="626">
        <v>14.8101</v>
      </c>
      <c r="D427" s="655">
        <v>37.254899999999999</v>
      </c>
      <c r="E427" s="670">
        <v>177.32626893879061</v>
      </c>
      <c r="F427" s="655">
        <v>39.261241272815354</v>
      </c>
      <c r="G427" s="641">
        <v>305.82552963905914</v>
      </c>
      <c r="H427" s="655">
        <v>59.938046497387667</v>
      </c>
    </row>
    <row r="428" spans="1:8">
      <c r="A428" s="654" t="s">
        <v>3784</v>
      </c>
      <c r="B428" s="684" t="s">
        <v>2439</v>
      </c>
      <c r="C428" s="626">
        <v>18.979099999999999</v>
      </c>
      <c r="D428" s="655">
        <v>45.097999999999999</v>
      </c>
      <c r="E428" s="670">
        <v>191.49358399422013</v>
      </c>
      <c r="F428" s="655">
        <v>51.843442415710406</v>
      </c>
      <c r="G428" s="641">
        <v>331.32157451140711</v>
      </c>
      <c r="H428" s="655">
        <v>67.089840572177593</v>
      </c>
    </row>
    <row r="429" spans="1:8">
      <c r="A429" s="654" t="s">
        <v>3784</v>
      </c>
      <c r="B429" s="684" t="s">
        <v>2439</v>
      </c>
      <c r="C429" s="626">
        <v>31.688199999999998</v>
      </c>
      <c r="D429" s="655">
        <v>62.745100000000001</v>
      </c>
      <c r="E429" s="670">
        <v>218.48718499617422</v>
      </c>
      <c r="F429" s="655">
        <v>83.527383079004238</v>
      </c>
      <c r="G429" s="641">
        <v>384.888030928109</v>
      </c>
      <c r="H429" s="655">
        <v>84.288573928553333</v>
      </c>
    </row>
    <row r="430" spans="1:8">
      <c r="A430" s="654" t="s">
        <v>3784</v>
      </c>
      <c r="B430" s="684" t="s">
        <v>2439</v>
      </c>
      <c r="C430" s="626">
        <v>41.973999999999997</v>
      </c>
      <c r="D430" s="655">
        <v>86.274500000000003</v>
      </c>
      <c r="E430" s="670">
        <v>231.66314777706958</v>
      </c>
      <c r="F430" s="655">
        <v>103.22984224153242</v>
      </c>
      <c r="G430" s="641">
        <v>413.76209087166774</v>
      </c>
      <c r="H430" s="655">
        <v>95.221736045331397</v>
      </c>
    </row>
    <row r="431" spans="1:8">
      <c r="A431" s="654" t="s">
        <v>3784</v>
      </c>
      <c r="B431" s="684" t="s">
        <v>2439</v>
      </c>
      <c r="C431" s="626">
        <v>55.598500000000001</v>
      </c>
      <c r="D431" s="655">
        <v>107.843</v>
      </c>
      <c r="E431" s="670">
        <v>243.57382740678298</v>
      </c>
      <c r="F431" s="655">
        <v>123.75256634989556</v>
      </c>
      <c r="G431" s="641">
        <v>441.45468166284888</v>
      </c>
      <c r="H431" s="655">
        <v>107.28840346840029</v>
      </c>
    </row>
    <row r="432" spans="1:8">
      <c r="A432" s="654" t="s">
        <v>3784</v>
      </c>
      <c r="B432" s="684" t="s">
        <v>2439</v>
      </c>
      <c r="C432" s="626">
        <v>95.950400000000002</v>
      </c>
      <c r="D432" s="655">
        <v>160.78399999999999</v>
      </c>
      <c r="E432" s="670">
        <v>263.08862438392424</v>
      </c>
      <c r="F432" s="655">
        <v>163.53495741717327</v>
      </c>
      <c r="G432" s="641">
        <v>489.36203810292579</v>
      </c>
      <c r="H432" s="655">
        <v>134.05096474520664</v>
      </c>
    </row>
    <row r="433" spans="1:8">
      <c r="A433" s="660" t="s">
        <v>3784</v>
      </c>
      <c r="B433" s="687" t="s">
        <v>2439</v>
      </c>
      <c r="C433" s="630">
        <v>176.911</v>
      </c>
      <c r="D433" s="661">
        <v>133.333</v>
      </c>
      <c r="E433" s="673">
        <v>279.77506674963882</v>
      </c>
      <c r="F433" s="661">
        <v>204.26866047210513</v>
      </c>
      <c r="G433" s="644">
        <v>529.83784187129243</v>
      </c>
      <c r="H433" s="661">
        <v>169.14654395666281</v>
      </c>
    </row>
    <row r="434" spans="1:8">
      <c r="A434" s="660" t="s">
        <v>3784</v>
      </c>
      <c r="B434" s="687" t="s">
        <v>2439</v>
      </c>
      <c r="C434" s="630">
        <v>305.30900000000003</v>
      </c>
      <c r="D434" s="661">
        <v>131.37299999999999</v>
      </c>
      <c r="E434" s="673">
        <v>290.78680114395621</v>
      </c>
      <c r="F434" s="661">
        <v>234.87580468100518</v>
      </c>
      <c r="G434" s="644">
        <v>552.38397073668295</v>
      </c>
      <c r="H434" s="661">
        <v>204.18792931871189</v>
      </c>
    </row>
    <row r="435" spans="1:8">
      <c r="A435" s="664" t="s">
        <v>3784</v>
      </c>
      <c r="B435" s="689" t="s">
        <v>2439</v>
      </c>
      <c r="C435" s="632">
        <v>562.923</v>
      </c>
      <c r="D435" s="665">
        <v>145.09800000000001</v>
      </c>
      <c r="E435" s="675">
        <v>299.75019033880733</v>
      </c>
      <c r="F435" s="665">
        <v>262.13423468002776</v>
      </c>
      <c r="G435" s="646">
        <v>564.72721698139196</v>
      </c>
      <c r="H435" s="665">
        <v>245.60924660803974</v>
      </c>
    </row>
    <row r="436" spans="1:8">
      <c r="A436" s="664" t="s">
        <v>3784</v>
      </c>
      <c r="B436" s="689" t="s">
        <v>2439</v>
      </c>
      <c r="C436" s="632">
        <v>686.47500000000002</v>
      </c>
      <c r="D436" s="665">
        <v>149.02000000000001</v>
      </c>
      <c r="E436" s="675">
        <v>302.04218359687314</v>
      </c>
      <c r="F436" s="665">
        <v>269.45626785283872</v>
      </c>
      <c r="G436" s="646">
        <v>566.66058266145342</v>
      </c>
      <c r="H436" s="665">
        <v>258.98849886222143</v>
      </c>
    </row>
    <row r="437" spans="1:8">
      <c r="A437" s="664" t="s">
        <v>3784</v>
      </c>
      <c r="B437" s="689" t="s">
        <v>2439</v>
      </c>
      <c r="C437" s="632">
        <v>1127.3699999999999</v>
      </c>
      <c r="D437" s="665">
        <v>213.72499999999999</v>
      </c>
      <c r="E437" s="675">
        <v>306.72512096869508</v>
      </c>
      <c r="F437" s="665">
        <v>284.87490731291922</v>
      </c>
      <c r="G437" s="646">
        <v>568.98902598075347</v>
      </c>
      <c r="H437" s="665">
        <v>290.93279043305296</v>
      </c>
    </row>
    <row r="438" spans="1:8">
      <c r="A438" s="664" t="s">
        <v>3784</v>
      </c>
      <c r="B438" s="689" t="s">
        <v>2439</v>
      </c>
      <c r="C438" s="632">
        <v>1649.06</v>
      </c>
      <c r="D438" s="665">
        <v>227.45099999999999</v>
      </c>
      <c r="E438" s="675">
        <v>309.48277008255661</v>
      </c>
      <c r="F438" s="665">
        <v>294.24751188772433</v>
      </c>
      <c r="G438" s="646">
        <v>569.51042360820702</v>
      </c>
      <c r="H438" s="665">
        <v>312.80652549266949</v>
      </c>
    </row>
    <row r="439" spans="1:8">
      <c r="A439" s="664" t="s">
        <v>3784</v>
      </c>
      <c r="B439" s="689" t="s">
        <v>2439</v>
      </c>
      <c r="C439" s="632">
        <v>1761.82</v>
      </c>
      <c r="D439" s="665">
        <v>254.90199999999999</v>
      </c>
      <c r="E439" s="675">
        <v>309.90084821848762</v>
      </c>
      <c r="F439" s="665">
        <v>295.68768414862848</v>
      </c>
      <c r="G439" s="646">
        <v>569.55085849209831</v>
      </c>
      <c r="H439" s="665">
        <v>316.29468122640009</v>
      </c>
    </row>
    <row r="440" spans="1:8">
      <c r="A440" s="664" t="s">
        <v>3784</v>
      </c>
      <c r="B440" s="689" t="s">
        <v>2439</v>
      </c>
      <c r="C440" s="632">
        <v>2184.33</v>
      </c>
      <c r="D440" s="665">
        <v>262.745</v>
      </c>
      <c r="E440" s="675">
        <v>311.14892744174062</v>
      </c>
      <c r="F440" s="665">
        <v>300.01733756165743</v>
      </c>
      <c r="G440" s="646">
        <v>569.62995444273133</v>
      </c>
      <c r="H440" s="665">
        <v>326.88513155780163</v>
      </c>
    </row>
    <row r="441" spans="1:8">
      <c r="A441" s="664" t="s">
        <v>3784</v>
      </c>
      <c r="B441" s="689" t="s">
        <v>2439</v>
      </c>
      <c r="C441" s="632">
        <v>2577.1</v>
      </c>
      <c r="D441" s="665">
        <v>276.471</v>
      </c>
      <c r="E441" s="675">
        <v>312.0033761367705</v>
      </c>
      <c r="F441" s="665">
        <v>303.00779136782126</v>
      </c>
      <c r="G441" s="646">
        <v>569.65743415369866</v>
      </c>
      <c r="H441" s="665">
        <v>334.20205257594688</v>
      </c>
    </row>
    <row r="442" spans="1:8">
      <c r="A442" s="658" t="s">
        <v>3784</v>
      </c>
      <c r="B442" s="686" t="s">
        <v>2443</v>
      </c>
      <c r="C442" s="628">
        <v>0.98360000000000003</v>
      </c>
      <c r="D442" s="659">
        <v>25.490200000000002</v>
      </c>
      <c r="E442" s="672">
        <v>87.000928514037042</v>
      </c>
      <c r="F442" s="659">
        <v>2.9888262765529707</v>
      </c>
      <c r="G442" s="643">
        <v>102.49668282660187</v>
      </c>
      <c r="H442" s="659">
        <v>16.473004613469634</v>
      </c>
    </row>
    <row r="443" spans="1:8">
      <c r="A443" s="654" t="s">
        <v>3784</v>
      </c>
      <c r="B443" s="684" t="s">
        <v>2443</v>
      </c>
      <c r="C443" s="626">
        <v>2.2115900000000002</v>
      </c>
      <c r="D443" s="655">
        <v>82.352900000000005</v>
      </c>
      <c r="E443" s="670">
        <v>104.22021568708134</v>
      </c>
      <c r="F443" s="655">
        <v>5.7431739344159061</v>
      </c>
      <c r="G443" s="641">
        <v>146.56385519035777</v>
      </c>
      <c r="H443" s="655">
        <v>24.424526982805745</v>
      </c>
    </row>
    <row r="444" spans="1:8">
      <c r="A444" s="654" t="s">
        <v>3784</v>
      </c>
      <c r="B444" s="684" t="s">
        <v>2443</v>
      </c>
      <c r="C444" s="626">
        <v>11.749499999999999</v>
      </c>
      <c r="D444" s="655">
        <v>103.922</v>
      </c>
      <c r="E444" s="670">
        <v>172.98182656511153</v>
      </c>
      <c r="F444" s="655">
        <v>35.892417335603874</v>
      </c>
      <c r="G444" s="641">
        <v>282.66784408468095</v>
      </c>
      <c r="H444" s="655">
        <v>53.890026586964964</v>
      </c>
    </row>
    <row r="445" spans="1:8">
      <c r="A445" s="654" t="s">
        <v>3784</v>
      </c>
      <c r="B445" s="684" t="s">
        <v>2443</v>
      </c>
      <c r="C445" s="626">
        <v>20.9587</v>
      </c>
      <c r="D445" s="655">
        <v>125.49</v>
      </c>
      <c r="E445" s="670">
        <v>201.92365746933132</v>
      </c>
      <c r="F445" s="655">
        <v>62.805450117846306</v>
      </c>
      <c r="G445" s="641">
        <v>341.65339212148592</v>
      </c>
      <c r="H445" s="655">
        <v>70.156605017121791</v>
      </c>
    </row>
    <row r="446" spans="1:8">
      <c r="A446" s="654" t="s">
        <v>3784</v>
      </c>
      <c r="B446" s="684" t="s">
        <v>2443</v>
      </c>
      <c r="C446" s="626">
        <v>36.773000000000003</v>
      </c>
      <c r="D446" s="655">
        <v>152.941</v>
      </c>
      <c r="E446" s="670">
        <v>228.07128025223741</v>
      </c>
      <c r="F446" s="655">
        <v>97.557580752514909</v>
      </c>
      <c r="G446" s="641">
        <v>400.2802279707094</v>
      </c>
      <c r="H446" s="655">
        <v>89.938299203845901</v>
      </c>
    </row>
    <row r="447" spans="1:8">
      <c r="A447" s="654" t="s">
        <v>3784</v>
      </c>
      <c r="B447" s="684" t="s">
        <v>2443</v>
      </c>
      <c r="C447" s="626">
        <v>84.061300000000003</v>
      </c>
      <c r="D447" s="655">
        <v>209.804</v>
      </c>
      <c r="E447" s="670">
        <v>259.56759644435226</v>
      </c>
      <c r="F447" s="655">
        <v>155.75683224644882</v>
      </c>
      <c r="G447" s="641">
        <v>478.63269180985009</v>
      </c>
      <c r="H447" s="655">
        <v>127.15704544480262</v>
      </c>
    </row>
    <row r="448" spans="1:8">
      <c r="A448" s="660" t="s">
        <v>3784</v>
      </c>
      <c r="B448" s="687" t="s">
        <v>2443</v>
      </c>
      <c r="C448" s="630">
        <v>454.03699999999998</v>
      </c>
      <c r="D448" s="661">
        <v>213.72499999999999</v>
      </c>
      <c r="E448" s="673">
        <v>297.01110094130064</v>
      </c>
      <c r="F448" s="661">
        <v>253.57399407912425</v>
      </c>
      <c r="G448" s="644">
        <v>561.64753300279187</v>
      </c>
      <c r="H448" s="661">
        <v>230.98447675981734</v>
      </c>
    </row>
    <row r="449" spans="1:8">
      <c r="A449" s="664" t="s">
        <v>3784</v>
      </c>
      <c r="B449" s="689" t="s">
        <v>2443</v>
      </c>
      <c r="C449" s="632">
        <v>572.30799999999999</v>
      </c>
      <c r="D449" s="665">
        <v>211.76499999999999</v>
      </c>
      <c r="E449" s="675">
        <v>299.9936902675351</v>
      </c>
      <c r="F449" s="665">
        <v>262.90520532560652</v>
      </c>
      <c r="G449" s="646">
        <v>564.91851112573431</v>
      </c>
      <c r="H449" s="665">
        <v>246.73064874475253</v>
      </c>
    </row>
    <row r="450" spans="1:8">
      <c r="A450" s="664" t="s">
        <v>3784</v>
      </c>
      <c r="B450" s="689" t="s">
        <v>2443</v>
      </c>
      <c r="C450" s="632">
        <v>745.64400000000001</v>
      </c>
      <c r="D450" s="665">
        <v>243.137</v>
      </c>
      <c r="E450" s="675">
        <v>302.94904144572513</v>
      </c>
      <c r="F450" s="665">
        <v>272.39377215226307</v>
      </c>
      <c r="G450" s="646">
        <v>567.25960333590524</v>
      </c>
      <c r="H450" s="665">
        <v>264.49315415244178</v>
      </c>
    </row>
    <row r="451" spans="1:8">
      <c r="A451" s="664" t="s">
        <v>3784</v>
      </c>
      <c r="B451" s="689" t="s">
        <v>2443</v>
      </c>
      <c r="C451" s="632">
        <v>851.10299999999995</v>
      </c>
      <c r="D451" s="665">
        <v>245.09800000000001</v>
      </c>
      <c r="E451" s="675">
        <v>304.26407359272434</v>
      </c>
      <c r="F451" s="665">
        <v>276.69450420076197</v>
      </c>
      <c r="G451" s="646">
        <v>568.01376981789576</v>
      </c>
      <c r="H451" s="665">
        <v>273.17666375732125</v>
      </c>
    </row>
    <row r="452" spans="1:8">
      <c r="A452" s="664" t="s">
        <v>3784</v>
      </c>
      <c r="B452" s="689" t="s">
        <v>2443</v>
      </c>
      <c r="C452" s="632">
        <v>1146.1600000000001</v>
      </c>
      <c r="D452" s="665">
        <v>280.392</v>
      </c>
      <c r="E452" s="675">
        <v>306.87256688719629</v>
      </c>
      <c r="F452" s="665">
        <v>285.37049889968949</v>
      </c>
      <c r="G452" s="646">
        <v>569.02646092546195</v>
      </c>
      <c r="H452" s="665">
        <v>291.94044690223944</v>
      </c>
    </row>
    <row r="453" spans="1:8">
      <c r="A453" s="664" t="s">
        <v>3784</v>
      </c>
      <c r="B453" s="689" t="s">
        <v>2443</v>
      </c>
      <c r="C453" s="632">
        <v>1569.25</v>
      </c>
      <c r="D453" s="665">
        <v>317.64699999999999</v>
      </c>
      <c r="E453" s="675">
        <v>309.16645739329675</v>
      </c>
      <c r="F453" s="665">
        <v>293.16127309244382</v>
      </c>
      <c r="G453" s="646">
        <v>569.47317372441887</v>
      </c>
      <c r="H453" s="665">
        <v>310.12378480058891</v>
      </c>
    </row>
    <row r="454" spans="1:8">
      <c r="A454" s="664" t="s">
        <v>3784</v>
      </c>
      <c r="B454" s="689" t="s">
        <v>2443</v>
      </c>
      <c r="C454" s="632">
        <v>2220.75</v>
      </c>
      <c r="D454" s="665">
        <v>362.745</v>
      </c>
      <c r="E454" s="675">
        <v>311.2431604694288</v>
      </c>
      <c r="F454" s="665">
        <v>300.34608808959882</v>
      </c>
      <c r="G454" s="646">
        <v>569.63366348448108</v>
      </c>
      <c r="H454" s="665">
        <v>327.65023295695698</v>
      </c>
    </row>
    <row r="455" spans="1:8">
      <c r="A455" s="664" t="s">
        <v>3784</v>
      </c>
      <c r="B455" s="689" t="s">
        <v>2443</v>
      </c>
      <c r="C455" s="632">
        <v>2620.0700000000002</v>
      </c>
      <c r="D455" s="665">
        <v>388.23500000000001</v>
      </c>
      <c r="E455" s="675">
        <v>312.08786355043009</v>
      </c>
      <c r="F455" s="665">
        <v>303.30465265686001</v>
      </c>
      <c r="G455" s="646">
        <v>569.65922827157078</v>
      </c>
      <c r="H455" s="665">
        <v>334.8923233423821</v>
      </c>
    </row>
    <row r="456" spans="1:8">
      <c r="A456" s="658" t="s">
        <v>3785</v>
      </c>
      <c r="B456" s="686" t="s">
        <v>2447</v>
      </c>
      <c r="C456" s="628">
        <v>1.06558</v>
      </c>
      <c r="D456" s="659">
        <v>62.247799999999998</v>
      </c>
      <c r="E456" s="672">
        <v>180.18934338437083</v>
      </c>
      <c r="F456" s="659">
        <v>39.613759501862454</v>
      </c>
      <c r="G456" s="643">
        <v>112.41098851893514</v>
      </c>
      <c r="H456" s="659">
        <v>18.685205558291432</v>
      </c>
    </row>
    <row r="457" spans="1:8">
      <c r="A457" s="654" t="s">
        <v>3785</v>
      </c>
      <c r="B457" s="684" t="s">
        <v>2447</v>
      </c>
      <c r="C457" s="626">
        <v>2.0111699999999999</v>
      </c>
      <c r="D457" s="655">
        <v>25.360199999999999</v>
      </c>
      <c r="E457" s="670">
        <v>219.86807771059614</v>
      </c>
      <c r="F457" s="655">
        <v>44.852684674782921</v>
      </c>
      <c r="G457" s="641">
        <v>148.82125708488041</v>
      </c>
      <c r="H457" s="655">
        <v>25.38337308247764</v>
      </c>
    </row>
    <row r="458" spans="1:8">
      <c r="A458" s="654" t="s">
        <v>3785</v>
      </c>
      <c r="B458" s="684" t="s">
        <v>2447</v>
      </c>
      <c r="C458" s="626">
        <v>6.2101699999999997</v>
      </c>
      <c r="D458" s="655">
        <v>55.331400000000002</v>
      </c>
      <c r="E458" s="670">
        <v>319.37055711013431</v>
      </c>
      <c r="F458" s="655">
        <v>61.223294143745498</v>
      </c>
      <c r="G458" s="641">
        <v>236.52989784765577</v>
      </c>
      <c r="H458" s="655">
        <v>43.240947550586228</v>
      </c>
    </row>
    <row r="459" spans="1:8">
      <c r="A459" s="654" t="s">
        <v>3785</v>
      </c>
      <c r="B459" s="684" t="s">
        <v>2447</v>
      </c>
      <c r="C459" s="626">
        <v>24.723099999999999</v>
      </c>
      <c r="D459" s="655">
        <v>106.05200000000001</v>
      </c>
      <c r="E459" s="670">
        <v>430.58682339707104</v>
      </c>
      <c r="F459" s="655">
        <v>96.225206598649706</v>
      </c>
      <c r="G459" s="641">
        <v>379.69572917190607</v>
      </c>
      <c r="H459" s="655">
        <v>80.41021752936382</v>
      </c>
    </row>
    <row r="460" spans="1:8">
      <c r="A460" s="654" t="s">
        <v>3785</v>
      </c>
      <c r="B460" s="684" t="s">
        <v>2447</v>
      </c>
      <c r="C460" s="626">
        <v>33.965200000000003</v>
      </c>
      <c r="D460" s="655">
        <v>122.19</v>
      </c>
      <c r="E460" s="670">
        <v>447.91790755683206</v>
      </c>
      <c r="F460" s="655">
        <v>106.60995644884431</v>
      </c>
      <c r="G460" s="641">
        <v>414.76265236212032</v>
      </c>
      <c r="H460" s="655">
        <v>92.024528702807999</v>
      </c>
    </row>
    <row r="461" spans="1:8">
      <c r="A461" s="654" t="s">
        <v>3785</v>
      </c>
      <c r="B461" s="684" t="s">
        <v>2447</v>
      </c>
      <c r="C461" s="626">
        <v>61.1233</v>
      </c>
      <c r="D461" s="655">
        <v>142.93899999999999</v>
      </c>
      <c r="E461" s="670">
        <v>471.98681073881147</v>
      </c>
      <c r="F461" s="655">
        <v>127.9249880960689</v>
      </c>
      <c r="G461" s="641">
        <v>476.44863888956064</v>
      </c>
      <c r="H461" s="655">
        <v>116.87420027739985</v>
      </c>
    </row>
    <row r="462" spans="1:8">
      <c r="A462" s="654" t="s">
        <v>3785</v>
      </c>
      <c r="B462" s="684" t="s">
        <v>2447</v>
      </c>
      <c r="C462" s="626">
        <v>77.563100000000006</v>
      </c>
      <c r="D462" s="655">
        <v>149.85599999999999</v>
      </c>
      <c r="E462" s="670">
        <v>479.23510254810697</v>
      </c>
      <c r="F462" s="655">
        <v>137.28831929687266</v>
      </c>
      <c r="G462" s="641">
        <v>499.0895740187807</v>
      </c>
      <c r="H462" s="655">
        <v>128.17846971298786</v>
      </c>
    </row>
    <row r="463" spans="1:8">
      <c r="A463" s="654" t="s">
        <v>3785</v>
      </c>
      <c r="B463" s="684" t="s">
        <v>2447</v>
      </c>
      <c r="C463" s="626">
        <v>86.682400000000001</v>
      </c>
      <c r="D463" s="655">
        <v>175.21600000000001</v>
      </c>
      <c r="E463" s="670">
        <v>482.20114160041959</v>
      </c>
      <c r="F463" s="655">
        <v>141.79032905830928</v>
      </c>
      <c r="G463" s="641">
        <v>509.00475506635797</v>
      </c>
      <c r="H463" s="655">
        <v>133.68442502502975</v>
      </c>
    </row>
    <row r="464" spans="1:8">
      <c r="A464" s="660" t="s">
        <v>3785</v>
      </c>
      <c r="B464" s="687" t="s">
        <v>2447</v>
      </c>
      <c r="C464" s="630">
        <v>122.929</v>
      </c>
      <c r="D464" s="661">
        <v>175.21600000000001</v>
      </c>
      <c r="E464" s="673">
        <v>490.03185933024696</v>
      </c>
      <c r="F464" s="661">
        <v>156.45420257771607</v>
      </c>
      <c r="G464" s="644">
        <v>537.00654380547746</v>
      </c>
      <c r="H464" s="661">
        <v>151.86661779125083</v>
      </c>
    </row>
    <row r="465" spans="1:8">
      <c r="A465" s="660" t="s">
        <v>3785</v>
      </c>
      <c r="B465" s="687" t="s">
        <v>2447</v>
      </c>
      <c r="C465" s="630">
        <v>188.739</v>
      </c>
      <c r="D465" s="661">
        <v>179.827</v>
      </c>
      <c r="E465" s="673">
        <v>497.10794585030879</v>
      </c>
      <c r="F465" s="661">
        <v>175.42310588585497</v>
      </c>
      <c r="G465" s="644">
        <v>564.00769684162105</v>
      </c>
      <c r="H465" s="661">
        <v>175.68534956200418</v>
      </c>
    </row>
    <row r="466" spans="1:8">
      <c r="A466" s="660" t="s">
        <v>3785</v>
      </c>
      <c r="B466" s="687" t="s">
        <v>2447</v>
      </c>
      <c r="C466" s="630">
        <v>276.29899999999998</v>
      </c>
      <c r="D466" s="661">
        <v>216.715</v>
      </c>
      <c r="E466" s="673">
        <v>501.62736091266612</v>
      </c>
      <c r="F466" s="661">
        <v>193.06316606157156</v>
      </c>
      <c r="G466" s="644">
        <v>580.93305700505005</v>
      </c>
      <c r="H466" s="661">
        <v>197.70231534258309</v>
      </c>
    </row>
    <row r="467" spans="1:8">
      <c r="A467" s="664" t="s">
        <v>3785</v>
      </c>
      <c r="B467" s="689" t="s">
        <v>2447</v>
      </c>
      <c r="C467" s="632">
        <v>573.61500000000001</v>
      </c>
      <c r="D467" s="665">
        <v>207.49299999999999</v>
      </c>
      <c r="E467" s="675">
        <v>507.13925187741637</v>
      </c>
      <c r="F467" s="665">
        <v>228.47962769916833</v>
      </c>
      <c r="G467" s="646">
        <v>597.61385559644816</v>
      </c>
      <c r="H467" s="665">
        <v>239.37786293662674</v>
      </c>
    </row>
    <row r="468" spans="1:8">
      <c r="A468" s="664" t="s">
        <v>3785</v>
      </c>
      <c r="B468" s="689" t="s">
        <v>2447</v>
      </c>
      <c r="C468" s="632">
        <v>694.03200000000004</v>
      </c>
      <c r="D468" s="665">
        <v>216.715</v>
      </c>
      <c r="E468" s="675">
        <v>508.09922826571113</v>
      </c>
      <c r="F468" s="665">
        <v>237.98342402704452</v>
      </c>
      <c r="G468" s="646">
        <v>599.5197942105716</v>
      </c>
      <c r="H468" s="665">
        <v>249.53110413924136</v>
      </c>
    </row>
    <row r="469" spans="1:8">
      <c r="A469" s="664" t="s">
        <v>3785</v>
      </c>
      <c r="B469" s="689" t="s">
        <v>2447</v>
      </c>
      <c r="C469" s="632">
        <v>923.67100000000005</v>
      </c>
      <c r="D469" s="665">
        <v>237.464</v>
      </c>
      <c r="E469" s="675">
        <v>509.27604599599601</v>
      </c>
      <c r="F469" s="665">
        <v>252.38496913933619</v>
      </c>
      <c r="G469" s="646">
        <v>601.24174338510272</v>
      </c>
      <c r="H469" s="665">
        <v>263.74911016278253</v>
      </c>
    </row>
    <row r="470" spans="1:8">
      <c r="A470" s="664" t="s">
        <v>3785</v>
      </c>
      <c r="B470" s="689" t="s">
        <v>2447</v>
      </c>
      <c r="C470" s="632">
        <v>1309.9100000000001</v>
      </c>
      <c r="D470" s="665">
        <v>253.602</v>
      </c>
      <c r="E470" s="675">
        <v>510.37318709071144</v>
      </c>
      <c r="F470" s="665">
        <v>270.1594926545319</v>
      </c>
      <c r="G470" s="646">
        <v>602.18996921429471</v>
      </c>
      <c r="H470" s="665">
        <v>279.03056408902836</v>
      </c>
    </row>
    <row r="471" spans="1:8">
      <c r="A471" s="664" t="s">
        <v>3785</v>
      </c>
      <c r="B471" s="689" t="s">
        <v>2447</v>
      </c>
      <c r="C471" s="632">
        <v>1715.86</v>
      </c>
      <c r="D471" s="665">
        <v>276.65699999999998</v>
      </c>
      <c r="E471" s="675">
        <v>511.02188291682404</v>
      </c>
      <c r="F471" s="665">
        <v>283.97163655953278</v>
      </c>
      <c r="G471" s="646">
        <v>602.47078317602552</v>
      </c>
      <c r="H471" s="665">
        <v>288.97579029562087</v>
      </c>
    </row>
    <row r="472" spans="1:8">
      <c r="A472" s="664" t="s">
        <v>3785</v>
      </c>
      <c r="B472" s="689" t="s">
        <v>2447</v>
      </c>
      <c r="C472" s="632">
        <v>1979.48</v>
      </c>
      <c r="D472" s="665">
        <v>292.79500000000002</v>
      </c>
      <c r="E472" s="675">
        <v>511.30889195111359</v>
      </c>
      <c r="F472" s="665">
        <v>291.29615548095001</v>
      </c>
      <c r="G472" s="646">
        <v>602.54053765180379</v>
      </c>
      <c r="H472" s="665">
        <v>293.53253399494662</v>
      </c>
    </row>
    <row r="473" spans="1:8">
      <c r="A473" s="664" t="s">
        <v>3785</v>
      </c>
      <c r="B473" s="689" t="s">
        <v>2447</v>
      </c>
      <c r="C473" s="632">
        <v>2283.6</v>
      </c>
      <c r="D473" s="665">
        <v>311.23899999999998</v>
      </c>
      <c r="E473" s="675">
        <v>511.56260578352436</v>
      </c>
      <c r="F473" s="665">
        <v>298.62157052993967</v>
      </c>
      <c r="G473" s="646">
        <v>602.58028016208925</v>
      </c>
      <c r="H473" s="665">
        <v>297.59058401243891</v>
      </c>
    </row>
    <row r="474" spans="1:8">
      <c r="A474" s="658" t="s">
        <v>3785</v>
      </c>
      <c r="B474" s="686" t="s">
        <v>2449</v>
      </c>
      <c r="C474" s="628">
        <v>1.0487899999999999</v>
      </c>
      <c r="D474" s="659">
        <v>64.553299999999993</v>
      </c>
      <c r="E474" s="672">
        <v>123.75088856499892</v>
      </c>
      <c r="F474" s="659">
        <v>32.631309660060175</v>
      </c>
      <c r="G474" s="643">
        <v>111.60983249794836</v>
      </c>
      <c r="H474" s="659">
        <v>18.541829060209007</v>
      </c>
    </row>
    <row r="475" spans="1:8">
      <c r="A475" s="654" t="s">
        <v>3785</v>
      </c>
      <c r="B475" s="684" t="s">
        <v>2449</v>
      </c>
      <c r="C475" s="626">
        <v>3.13727</v>
      </c>
      <c r="D475" s="655">
        <v>20.749300000000002</v>
      </c>
      <c r="E475" s="670">
        <v>224.43693633449834</v>
      </c>
      <c r="F475" s="655">
        <v>45.486755177445318</v>
      </c>
      <c r="G475" s="641">
        <v>179.76134102187544</v>
      </c>
      <c r="H475" s="655">
        <v>31.379954446727144</v>
      </c>
    </row>
    <row r="476" spans="1:8">
      <c r="A476" s="654" t="s">
        <v>3785</v>
      </c>
      <c r="B476" s="684" t="s">
        <v>2449</v>
      </c>
      <c r="C476" s="626">
        <v>13.9581</v>
      </c>
      <c r="D476" s="655">
        <v>76.080699999999993</v>
      </c>
      <c r="E476" s="670">
        <v>385.01879106979908</v>
      </c>
      <c r="F476" s="655">
        <v>77.752274014329529</v>
      </c>
      <c r="G476" s="641">
        <v>317.16890788927475</v>
      </c>
      <c r="H476" s="655">
        <v>62.563334756256374</v>
      </c>
    </row>
    <row r="477" spans="1:8">
      <c r="A477" s="654" t="s">
        <v>3785</v>
      </c>
      <c r="B477" s="684" t="s">
        <v>2449</v>
      </c>
      <c r="C477" s="626">
        <v>61.1233</v>
      </c>
      <c r="D477" s="655">
        <v>154.46700000000001</v>
      </c>
      <c r="E477" s="670">
        <v>471.43645550422121</v>
      </c>
      <c r="F477" s="655">
        <v>127.29133735563506</v>
      </c>
      <c r="G477" s="641">
        <v>476.44863888956064</v>
      </c>
      <c r="H477" s="655">
        <v>116.87420027739985</v>
      </c>
    </row>
    <row r="478" spans="1:8">
      <c r="A478" s="654" t="s">
        <v>3785</v>
      </c>
      <c r="B478" s="684" t="s">
        <v>2449</v>
      </c>
      <c r="C478" s="626">
        <v>67.233599999999996</v>
      </c>
      <c r="D478" s="655">
        <v>119.88500000000001</v>
      </c>
      <c r="E478" s="670">
        <v>474.57351318684783</v>
      </c>
      <c r="F478" s="655">
        <v>131.03704390065195</v>
      </c>
      <c r="G478" s="641">
        <v>485.71693684668958</v>
      </c>
      <c r="H478" s="655">
        <v>121.31329318430753</v>
      </c>
    </row>
    <row r="479" spans="1:8">
      <c r="A479" s="660" t="s">
        <v>3785</v>
      </c>
      <c r="B479" s="687" t="s">
        <v>2449</v>
      </c>
      <c r="C479" s="630">
        <v>128.92699999999999</v>
      </c>
      <c r="D479" s="661">
        <v>142.93899999999999</v>
      </c>
      <c r="E479" s="673">
        <v>490.79660546485712</v>
      </c>
      <c r="F479" s="661">
        <v>158.17416555919061</v>
      </c>
      <c r="G479" s="644">
        <v>540.42187202607045</v>
      </c>
      <c r="H479" s="661">
        <v>154.44024211943858</v>
      </c>
    </row>
    <row r="480" spans="1:8">
      <c r="A480" s="660" t="s">
        <v>3785</v>
      </c>
      <c r="B480" s="687" t="s">
        <v>2449</v>
      </c>
      <c r="C480" s="630">
        <v>185.76599999999999</v>
      </c>
      <c r="D480" s="661">
        <v>142.93899999999999</v>
      </c>
      <c r="E480" s="673">
        <v>496.81157003223649</v>
      </c>
      <c r="F480" s="661">
        <v>174.45879072959866</v>
      </c>
      <c r="G480" s="644">
        <v>563.1595542926193</v>
      </c>
      <c r="H480" s="661">
        <v>174.78066228614168</v>
      </c>
    </row>
    <row r="481" spans="1:8">
      <c r="A481" s="660" t="s">
        <v>3785</v>
      </c>
      <c r="B481" s="687" t="s">
        <v>2449</v>
      </c>
      <c r="C481" s="630">
        <v>263.44499999999999</v>
      </c>
      <c r="D481" s="661">
        <v>168.3</v>
      </c>
      <c r="E481" s="673">
        <v>501.09711375572209</v>
      </c>
      <c r="F481" s="661">
        <v>190.64386401359388</v>
      </c>
      <c r="G481" s="644">
        <v>579.16763390698134</v>
      </c>
      <c r="H481" s="661">
        <v>194.93027209634903</v>
      </c>
    </row>
    <row r="482" spans="1:8">
      <c r="A482" s="660" t="s">
        <v>3785</v>
      </c>
      <c r="B482" s="687" t="s">
        <v>2449</v>
      </c>
      <c r="C482" s="630">
        <v>391.83499999999998</v>
      </c>
      <c r="D482" s="661">
        <v>228.24199999999999</v>
      </c>
      <c r="E482" s="673">
        <v>504.66534854258094</v>
      </c>
      <c r="F482" s="661">
        <v>209.64920087229763</v>
      </c>
      <c r="G482" s="644">
        <v>591.12310070542856</v>
      </c>
      <c r="H482" s="661">
        <v>217.96785818135587</v>
      </c>
    </row>
    <row r="483" spans="1:8">
      <c r="A483" s="664" t="s">
        <v>3785</v>
      </c>
      <c r="B483" s="689" t="s">
        <v>2449</v>
      </c>
      <c r="C483" s="632">
        <v>546.92899999999997</v>
      </c>
      <c r="D483" s="665">
        <v>195.965</v>
      </c>
      <c r="E483" s="675">
        <v>506.86354838236252</v>
      </c>
      <c r="F483" s="665">
        <v>226.02740476355896</v>
      </c>
      <c r="G483" s="646">
        <v>597.01602179993631</v>
      </c>
      <c r="H483" s="665">
        <v>236.77143344368719</v>
      </c>
    </row>
    <row r="484" spans="1:8">
      <c r="A484" s="664" t="s">
        <v>3785</v>
      </c>
      <c r="B484" s="689" t="s">
        <v>2449</v>
      </c>
      <c r="C484" s="632">
        <v>694.03200000000004</v>
      </c>
      <c r="D484" s="665">
        <v>202.88200000000001</v>
      </c>
      <c r="E484" s="675">
        <v>508.0925338189075</v>
      </c>
      <c r="F484" s="665">
        <v>237.9111919176151</v>
      </c>
      <c r="G484" s="646">
        <v>599.5197942105716</v>
      </c>
      <c r="H484" s="665">
        <v>249.53110413924136</v>
      </c>
    </row>
    <row r="485" spans="1:8">
      <c r="A485" s="664" t="s">
        <v>3785</v>
      </c>
      <c r="B485" s="689" t="s">
        <v>2449</v>
      </c>
      <c r="C485" s="632">
        <v>880.69899999999996</v>
      </c>
      <c r="D485" s="665">
        <v>230.548</v>
      </c>
      <c r="E485" s="675">
        <v>509.09502212527468</v>
      </c>
      <c r="F485" s="665">
        <v>249.91683023675503</v>
      </c>
      <c r="G485" s="646">
        <v>601.02930085899789</v>
      </c>
      <c r="H485" s="665">
        <v>261.47639125815954</v>
      </c>
    </row>
    <row r="486" spans="1:8">
      <c r="A486" s="664" t="s">
        <v>3785</v>
      </c>
      <c r="B486" s="689" t="s">
        <v>2449</v>
      </c>
      <c r="C486" s="632">
        <v>1135.46</v>
      </c>
      <c r="D486" s="665">
        <v>265.13</v>
      </c>
      <c r="E486" s="675">
        <v>509.96100005640892</v>
      </c>
      <c r="F486" s="665">
        <v>262.82530362438172</v>
      </c>
      <c r="G486" s="646">
        <v>601.90969427204573</v>
      </c>
      <c r="H486" s="665">
        <v>273.08871077630278</v>
      </c>
    </row>
    <row r="487" spans="1:8">
      <c r="A487" s="664" t="s">
        <v>3785</v>
      </c>
      <c r="B487" s="689" t="s">
        <v>2449</v>
      </c>
      <c r="C487" s="632">
        <v>1610.26</v>
      </c>
      <c r="D487" s="665">
        <v>302.017</v>
      </c>
      <c r="E487" s="675">
        <v>510.88112544747418</v>
      </c>
      <c r="F487" s="665">
        <v>280.68633446719588</v>
      </c>
      <c r="G487" s="646">
        <v>602.42582496665693</v>
      </c>
      <c r="H487" s="665">
        <v>286.79135027558459</v>
      </c>
    </row>
    <row r="488" spans="1:8">
      <c r="A488" s="664" t="s">
        <v>3785</v>
      </c>
      <c r="B488" s="689" t="s">
        <v>2449</v>
      </c>
      <c r="C488" s="632">
        <v>2043.36</v>
      </c>
      <c r="D488" s="665">
        <v>343.51600000000002</v>
      </c>
      <c r="E488" s="675">
        <v>511.36711159164832</v>
      </c>
      <c r="F488" s="665">
        <v>292.89913116994791</v>
      </c>
      <c r="G488" s="646">
        <v>602.55146816228887</v>
      </c>
      <c r="H488" s="665">
        <v>294.47743724294486</v>
      </c>
    </row>
    <row r="489" spans="1:8">
      <c r="A489" s="664" t="s">
        <v>3785</v>
      </c>
      <c r="B489" s="689" t="s">
        <v>2449</v>
      </c>
      <c r="C489" s="632">
        <v>2472.31</v>
      </c>
      <c r="D489" s="665">
        <v>371.18200000000002</v>
      </c>
      <c r="E489" s="675">
        <v>511.68997309048166</v>
      </c>
      <c r="F489" s="665">
        <v>302.66888462440681</v>
      </c>
      <c r="G489" s="646">
        <v>602.59394971503775</v>
      </c>
      <c r="H489" s="665">
        <v>299.63099325579964</v>
      </c>
    </row>
    <row r="490" spans="1:8">
      <c r="A490" s="658" t="s">
        <v>3786</v>
      </c>
      <c r="B490" s="686" t="s">
        <v>295</v>
      </c>
      <c r="C490" s="628">
        <v>0.69504699999999997</v>
      </c>
      <c r="D490" s="659">
        <v>8.8612199999999994</v>
      </c>
      <c r="E490" s="672">
        <v>200.55358355324336</v>
      </c>
      <c r="F490" s="659">
        <v>46.008130078117631</v>
      </c>
      <c r="G490" s="643">
        <v>87.984895483551597</v>
      </c>
      <c r="H490" s="659">
        <v>72.386249430403211</v>
      </c>
    </row>
    <row r="491" spans="1:8">
      <c r="A491" s="654" t="s">
        <v>3786</v>
      </c>
      <c r="B491" s="684" t="s">
        <v>295</v>
      </c>
      <c r="C491" s="626">
        <v>1.1584099999999999</v>
      </c>
      <c r="D491" s="655">
        <v>65.316699999999997</v>
      </c>
      <c r="E491" s="670">
        <v>244.37474287306705</v>
      </c>
      <c r="F491" s="655">
        <v>70.977123650492544</v>
      </c>
      <c r="G491" s="641">
        <v>110.95104487731848</v>
      </c>
      <c r="H491" s="655">
        <v>88.584394621357092</v>
      </c>
    </row>
    <row r="492" spans="1:8">
      <c r="A492" s="654" t="s">
        <v>3786</v>
      </c>
      <c r="B492" s="684" t="s">
        <v>295</v>
      </c>
      <c r="C492" s="626">
        <v>1.9271799999999999</v>
      </c>
      <c r="D492" s="655">
        <v>112.92400000000001</v>
      </c>
      <c r="E492" s="670">
        <v>302.31199135704941</v>
      </c>
      <c r="F492" s="655">
        <v>104.48538451560898</v>
      </c>
      <c r="G492" s="641">
        <v>138.88972767041082</v>
      </c>
      <c r="H492" s="655">
        <v>106.83888629628282</v>
      </c>
    </row>
    <row r="493" spans="1:8">
      <c r="A493" s="654" t="s">
        <v>3786</v>
      </c>
      <c r="B493" s="684" t="s">
        <v>295</v>
      </c>
      <c r="C493" s="626">
        <v>3.1108600000000002</v>
      </c>
      <c r="D493" s="655">
        <v>135.06899999999999</v>
      </c>
      <c r="E493" s="670">
        <v>367.44915319689238</v>
      </c>
      <c r="F493" s="655">
        <v>138.61465913781541</v>
      </c>
      <c r="G493" s="641">
        <v>170.29242462132109</v>
      </c>
      <c r="H493" s="655">
        <v>125.50019616386309</v>
      </c>
    </row>
    <row r="494" spans="1:8">
      <c r="A494" s="654" t="s">
        <v>3786</v>
      </c>
      <c r="B494" s="684" t="s">
        <v>295</v>
      </c>
      <c r="C494" s="626">
        <v>4.2819099999999999</v>
      </c>
      <c r="D494" s="655">
        <v>150.572</v>
      </c>
      <c r="E494" s="670">
        <v>414.07801684074474</v>
      </c>
      <c r="F494" s="655">
        <v>159.4098930053371</v>
      </c>
      <c r="G494" s="641">
        <v>194.15611983102329</v>
      </c>
      <c r="H494" s="655">
        <v>138.40051286234879</v>
      </c>
    </row>
    <row r="495" spans="1:8">
      <c r="A495" s="654" t="s">
        <v>3786</v>
      </c>
      <c r="B495" s="684" t="s">
        <v>295</v>
      </c>
      <c r="C495" s="626">
        <v>4.88429</v>
      </c>
      <c r="D495" s="655">
        <v>167.18</v>
      </c>
      <c r="E495" s="670">
        <v>433.48194024070671</v>
      </c>
      <c r="F495" s="655">
        <v>167.08208323120442</v>
      </c>
      <c r="G495" s="641">
        <v>204.67008392761184</v>
      </c>
      <c r="H495" s="655">
        <v>143.74056426671669</v>
      </c>
    </row>
    <row r="496" spans="1:8">
      <c r="A496" s="654" t="s">
        <v>3786</v>
      </c>
      <c r="B496" s="684" t="s">
        <v>295</v>
      </c>
      <c r="C496" s="626">
        <v>4.8990299999999998</v>
      </c>
      <c r="D496" s="655">
        <v>174.929</v>
      </c>
      <c r="E496" s="670">
        <v>433.92561109818405</v>
      </c>
      <c r="F496" s="655">
        <v>167.25072336405194</v>
      </c>
      <c r="G496" s="641">
        <v>204.91540668619854</v>
      </c>
      <c r="H496" s="655">
        <v>143.86268380701338</v>
      </c>
    </row>
    <row r="497" spans="1:8">
      <c r="A497" s="654" t="s">
        <v>3786</v>
      </c>
      <c r="B497" s="684" t="s">
        <v>295</v>
      </c>
      <c r="C497" s="626">
        <v>7.2053200000000004</v>
      </c>
      <c r="D497" s="655">
        <v>187.11699999999999</v>
      </c>
      <c r="E497" s="670">
        <v>489.78265439054633</v>
      </c>
      <c r="F497" s="655">
        <v>186.10523874338139</v>
      </c>
      <c r="G497" s="641">
        <v>237.98963037395632</v>
      </c>
      <c r="H497" s="655">
        <v>159.30717758362985</v>
      </c>
    </row>
    <row r="498" spans="1:8">
      <c r="A498" s="654" t="s">
        <v>3786</v>
      </c>
      <c r="B498" s="684" t="s">
        <v>295</v>
      </c>
      <c r="C498" s="626">
        <v>10.069800000000001</v>
      </c>
      <c r="D498" s="655">
        <v>192.66499999999999</v>
      </c>
      <c r="E498" s="670">
        <v>535.28919654997446</v>
      </c>
      <c r="F498" s="655">
        <v>198.14570879697848</v>
      </c>
      <c r="G498" s="641">
        <v>269.19401433396331</v>
      </c>
      <c r="H498" s="655">
        <v>172.06684872305829</v>
      </c>
    </row>
    <row r="499" spans="1:8">
      <c r="A499" s="654" t="s">
        <v>3786</v>
      </c>
      <c r="B499" s="684" t="s">
        <v>295</v>
      </c>
      <c r="C499" s="626">
        <v>14.067299999999999</v>
      </c>
      <c r="D499" s="655">
        <v>193.78899999999999</v>
      </c>
      <c r="E499" s="670">
        <v>576.53252884427707</v>
      </c>
      <c r="F499" s="655">
        <v>206.71919939750015</v>
      </c>
      <c r="G499" s="641">
        <v>302.31315409530367</v>
      </c>
      <c r="H499" s="655">
        <v>183.75921096434422</v>
      </c>
    </row>
    <row r="500" spans="1:8">
      <c r="A500" s="654" t="s">
        <v>3786</v>
      </c>
      <c r="B500" s="684" t="s">
        <v>295</v>
      </c>
      <c r="C500" s="626">
        <v>17.500399999999999</v>
      </c>
      <c r="D500" s="655">
        <v>198.232</v>
      </c>
      <c r="E500" s="670">
        <v>600.81767826302905</v>
      </c>
      <c r="F500" s="655">
        <v>210.81952854176697</v>
      </c>
      <c r="G500" s="641">
        <v>324.74508650559829</v>
      </c>
      <c r="H500" s="655">
        <v>190.63719835917126</v>
      </c>
    </row>
    <row r="501" spans="1:8">
      <c r="A501" s="654" t="s">
        <v>3786</v>
      </c>
      <c r="B501" s="684" t="s">
        <v>295</v>
      </c>
      <c r="C501" s="626">
        <v>20.354299999999999</v>
      </c>
      <c r="D501" s="655">
        <v>198.245</v>
      </c>
      <c r="E501" s="670">
        <v>616.32757453717204</v>
      </c>
      <c r="F501" s="655">
        <v>213.09696170906182</v>
      </c>
      <c r="G501" s="641">
        <v>340.51176977205233</v>
      </c>
      <c r="H501" s="655">
        <v>194.98541591376562</v>
      </c>
    </row>
    <row r="502" spans="1:8">
      <c r="A502" s="654" t="s">
        <v>3786</v>
      </c>
      <c r="B502" s="684" t="s">
        <v>295</v>
      </c>
      <c r="C502" s="626">
        <v>24.353999999999999</v>
      </c>
      <c r="D502" s="655">
        <v>200.477</v>
      </c>
      <c r="E502" s="670">
        <v>633.36973026629778</v>
      </c>
      <c r="F502" s="655">
        <v>215.30888479876464</v>
      </c>
      <c r="G502" s="641">
        <v>359.37996434803813</v>
      </c>
      <c r="H502" s="655">
        <v>199.67731824715185</v>
      </c>
    </row>
    <row r="503" spans="1:8">
      <c r="A503" s="654" t="s">
        <v>3786</v>
      </c>
      <c r="B503" s="684" t="s">
        <v>295</v>
      </c>
      <c r="C503" s="626">
        <v>28.9224</v>
      </c>
      <c r="D503" s="655">
        <v>201.60400000000001</v>
      </c>
      <c r="E503" s="670">
        <v>648.32067314893118</v>
      </c>
      <c r="F503" s="655">
        <v>217.01022308402727</v>
      </c>
      <c r="G503" s="641">
        <v>377.48269112175421</v>
      </c>
      <c r="H503" s="655">
        <v>203.67055791176162</v>
      </c>
    </row>
    <row r="504" spans="1:8">
      <c r="A504" s="654" t="s">
        <v>3786</v>
      </c>
      <c r="B504" s="684" t="s">
        <v>295</v>
      </c>
      <c r="C504" s="626">
        <v>34.619700000000002</v>
      </c>
      <c r="D504" s="655">
        <v>196.09399999999999</v>
      </c>
      <c r="E504" s="670">
        <v>662.55970905883817</v>
      </c>
      <c r="F504" s="655">
        <v>218.43194048908154</v>
      </c>
      <c r="G504" s="641">
        <v>396.28699421133615</v>
      </c>
      <c r="H504" s="655">
        <v>207.30959094183947</v>
      </c>
    </row>
    <row r="505" spans="1:8">
      <c r="A505" s="654" t="s">
        <v>3786</v>
      </c>
      <c r="B505" s="684" t="s">
        <v>295</v>
      </c>
      <c r="C505" s="626">
        <v>39.765099999999997</v>
      </c>
      <c r="D505" s="655">
        <v>200.54499999999999</v>
      </c>
      <c r="E505" s="670">
        <v>672.5994498491749</v>
      </c>
      <c r="F505" s="655">
        <v>219.32228518479414</v>
      </c>
      <c r="G505" s="641">
        <v>410.58447573943812</v>
      </c>
      <c r="H505" s="655">
        <v>209.74137418982491</v>
      </c>
    </row>
    <row r="506" spans="1:8">
      <c r="A506" s="654" t="s">
        <v>3786</v>
      </c>
      <c r="B506" s="684" t="s">
        <v>295</v>
      </c>
      <c r="C506" s="626">
        <v>45.4666</v>
      </c>
      <c r="D506" s="655">
        <v>197.249</v>
      </c>
      <c r="E506" s="670">
        <v>681.57200154650127</v>
      </c>
      <c r="F506" s="655">
        <v>220.0420331568543</v>
      </c>
      <c r="G506" s="641">
        <v>424.1662239190872</v>
      </c>
      <c r="H506" s="655">
        <v>211.79258714943697</v>
      </c>
    </row>
    <row r="507" spans="1:8">
      <c r="A507" s="654" t="s">
        <v>3786</v>
      </c>
      <c r="B507" s="684" t="s">
        <v>295</v>
      </c>
      <c r="C507" s="626">
        <v>50.61</v>
      </c>
      <c r="D507" s="655">
        <v>200.59299999999999</v>
      </c>
      <c r="E507" s="670">
        <v>688.25240856142659</v>
      </c>
      <c r="F507" s="655">
        <v>220.53248011076585</v>
      </c>
      <c r="G507" s="641">
        <v>434.80732728192368</v>
      </c>
      <c r="H507" s="655">
        <v>213.22897102486303</v>
      </c>
    </row>
    <row r="508" spans="1:8">
      <c r="A508" s="654" t="s">
        <v>3786</v>
      </c>
      <c r="B508" s="684" t="s">
        <v>295</v>
      </c>
      <c r="C508" s="626">
        <v>60.313200000000002</v>
      </c>
      <c r="D508" s="655">
        <v>200.636</v>
      </c>
      <c r="E508" s="670">
        <v>698.28751169063776</v>
      </c>
      <c r="F508" s="655">
        <v>221.19805775416529</v>
      </c>
      <c r="G508" s="641">
        <v>451.69143120382273</v>
      </c>
      <c r="H508" s="655">
        <v>215.21144555415628</v>
      </c>
    </row>
    <row r="509" spans="1:8">
      <c r="A509" s="654" t="s">
        <v>3786</v>
      </c>
      <c r="B509" s="684" t="s">
        <v>295</v>
      </c>
      <c r="C509" s="626">
        <v>70.031300000000002</v>
      </c>
      <c r="D509" s="655">
        <v>208.428</v>
      </c>
      <c r="E509" s="670">
        <v>706.01053626039663</v>
      </c>
      <c r="F509" s="655">
        <v>221.65338047522729</v>
      </c>
      <c r="G509" s="641">
        <v>465.44679065169288</v>
      </c>
      <c r="H509" s="655">
        <v>216.5683966529563</v>
      </c>
    </row>
    <row r="510" spans="1:8">
      <c r="A510" s="654" t="s">
        <v>3786</v>
      </c>
      <c r="B510" s="684" t="s">
        <v>295</v>
      </c>
      <c r="C510" s="626">
        <v>79.7577</v>
      </c>
      <c r="D510" s="655">
        <v>220.648</v>
      </c>
      <c r="E510" s="670">
        <v>712.16053073052319</v>
      </c>
      <c r="F510" s="655">
        <v>221.98129098858385</v>
      </c>
      <c r="G510" s="641">
        <v>476.87468001513747</v>
      </c>
      <c r="H510" s="655">
        <v>217.52752416991186</v>
      </c>
    </row>
    <row r="511" spans="1:8">
      <c r="A511" s="654" t="s">
        <v>3786</v>
      </c>
      <c r="B511" s="684" t="s">
        <v>295</v>
      </c>
      <c r="C511" s="626">
        <v>89.479900000000001</v>
      </c>
      <c r="D511" s="655">
        <v>230.655</v>
      </c>
      <c r="E511" s="670">
        <v>717.18434091763413</v>
      </c>
      <c r="F511" s="655">
        <v>222.22669709543223</v>
      </c>
      <c r="G511" s="641">
        <v>486.5088860158794</v>
      </c>
      <c r="H511" s="655">
        <v>218.22255915019585</v>
      </c>
    </row>
    <row r="512" spans="1:8">
      <c r="A512" s="660" t="s">
        <v>3786</v>
      </c>
      <c r="B512" s="687" t="s">
        <v>295</v>
      </c>
      <c r="C512" s="630">
        <v>100.333</v>
      </c>
      <c r="D512" s="661">
        <v>235.131</v>
      </c>
      <c r="E512" s="673">
        <v>721.82159872064199</v>
      </c>
      <c r="F512" s="661">
        <v>222.43551841967056</v>
      </c>
      <c r="G512" s="644">
        <v>495.6195630638361</v>
      </c>
      <c r="H512" s="661">
        <v>218.78821357157312</v>
      </c>
    </row>
    <row r="513" spans="1:8">
      <c r="A513" s="660" t="s">
        <v>3786</v>
      </c>
      <c r="B513" s="687" t="s">
        <v>295</v>
      </c>
      <c r="C513" s="630">
        <v>119.752</v>
      </c>
      <c r="D513" s="661">
        <v>241.85900000000001</v>
      </c>
      <c r="E513" s="673">
        <v>728.32809793389254</v>
      </c>
      <c r="F513" s="661">
        <v>222.70020074624327</v>
      </c>
      <c r="G513" s="644">
        <v>508.69016931627965</v>
      </c>
      <c r="H513" s="661">
        <v>219.45185492887003</v>
      </c>
    </row>
    <row r="514" spans="1:8">
      <c r="A514" s="660" t="s">
        <v>3786</v>
      </c>
      <c r="B514" s="687" t="s">
        <v>295</v>
      </c>
      <c r="C514" s="630">
        <v>140.31299999999999</v>
      </c>
      <c r="D514" s="661">
        <v>248.59200000000001</v>
      </c>
      <c r="E514" s="673">
        <v>733.53122139091488</v>
      </c>
      <c r="F514" s="661">
        <v>222.8883288226194</v>
      </c>
      <c r="G514" s="644">
        <v>519.29076503137128</v>
      </c>
      <c r="H514" s="661">
        <v>219.86954827162447</v>
      </c>
    </row>
    <row r="515" spans="1:8">
      <c r="A515" s="660" t="s">
        <v>3786</v>
      </c>
      <c r="B515" s="687" t="s">
        <v>295</v>
      </c>
      <c r="C515" s="630">
        <v>159.72</v>
      </c>
      <c r="D515" s="661">
        <v>248.678</v>
      </c>
      <c r="E515" s="673">
        <v>737.38605695975627</v>
      </c>
      <c r="F515" s="661">
        <v>223.0143436980224</v>
      </c>
      <c r="G515" s="644">
        <v>527.14935738288978</v>
      </c>
      <c r="H515" s="661">
        <v>220.11407733248211</v>
      </c>
    </row>
    <row r="516" spans="1:8">
      <c r="A516" s="660" t="s">
        <v>3786</v>
      </c>
      <c r="B516" s="687" t="s">
        <v>295</v>
      </c>
      <c r="C516" s="630">
        <v>179.703</v>
      </c>
      <c r="D516" s="661">
        <v>252.08699999999999</v>
      </c>
      <c r="E516" s="673">
        <v>740.60682957635242</v>
      </c>
      <c r="F516" s="661">
        <v>223.11096275044756</v>
      </c>
      <c r="G516" s="644">
        <v>533.65732215237654</v>
      </c>
      <c r="H516" s="661">
        <v>220.27719399786469</v>
      </c>
    </row>
    <row r="517" spans="1:8">
      <c r="A517" s="660" t="s">
        <v>3786</v>
      </c>
      <c r="B517" s="687" t="s">
        <v>295</v>
      </c>
      <c r="C517" s="630">
        <v>200.25800000000001</v>
      </c>
      <c r="D517" s="661">
        <v>255.499</v>
      </c>
      <c r="E517" s="673">
        <v>743.3421179735833</v>
      </c>
      <c r="F517" s="661">
        <v>223.18684612199294</v>
      </c>
      <c r="G517" s="644">
        <v>539.09523426550766</v>
      </c>
      <c r="H517" s="661">
        <v>220.38770042393057</v>
      </c>
    </row>
    <row r="518" spans="1:8">
      <c r="A518" s="658" t="s">
        <v>3786</v>
      </c>
      <c r="B518" s="686" t="s">
        <v>296</v>
      </c>
      <c r="C518" s="628">
        <v>0.57078099999999998</v>
      </c>
      <c r="D518" s="659">
        <v>2.5274400000000002E-3</v>
      </c>
      <c r="E518" s="672">
        <v>160.44582447797524</v>
      </c>
      <c r="F518" s="659">
        <v>31.745521677832755</v>
      </c>
      <c r="G518" s="643">
        <v>80.568272932974907</v>
      </c>
      <c r="H518" s="659">
        <v>66.94119453906157</v>
      </c>
    </row>
    <row r="519" spans="1:8">
      <c r="A519" s="654" t="s">
        <v>3786</v>
      </c>
      <c r="B519" s="684" t="s">
        <v>296</v>
      </c>
      <c r="C519" s="626">
        <v>0.66134800000000005</v>
      </c>
      <c r="D519" s="655">
        <v>47.604399999999998</v>
      </c>
      <c r="E519" s="670">
        <v>169.18438227498856</v>
      </c>
      <c r="F519" s="655">
        <v>36.305154867465077</v>
      </c>
      <c r="G519" s="641">
        <v>86.238770660412214</v>
      </c>
      <c r="H519" s="655">
        <v>71.132307779953607</v>
      </c>
    </row>
    <row r="520" spans="1:8">
      <c r="A520" s="654" t="s">
        <v>3786</v>
      </c>
      <c r="B520" s="684" t="s">
        <v>296</v>
      </c>
      <c r="C520" s="626">
        <v>1.8661000000000001</v>
      </c>
      <c r="D520" s="655">
        <v>80.820099999999996</v>
      </c>
      <c r="E520" s="670">
        <v>261.46200386913796</v>
      </c>
      <c r="F520" s="655">
        <v>89.886457715997182</v>
      </c>
      <c r="G520" s="641">
        <v>137.34651161895789</v>
      </c>
      <c r="H520" s="655">
        <v>105.92655955016805</v>
      </c>
    </row>
    <row r="521" spans="1:8">
      <c r="A521" s="654" t="s">
        <v>3786</v>
      </c>
      <c r="B521" s="684" t="s">
        <v>296</v>
      </c>
      <c r="C521" s="626">
        <v>1.89137</v>
      </c>
      <c r="D521" s="655">
        <v>94.104299999999995</v>
      </c>
      <c r="E521" s="670">
        <v>263.01113881801638</v>
      </c>
      <c r="F521" s="655">
        <v>90.782376449693459</v>
      </c>
      <c r="G521" s="641">
        <v>138.15173806985942</v>
      </c>
      <c r="H521" s="655">
        <v>106.43251053382588</v>
      </c>
    </row>
    <row r="522" spans="1:8">
      <c r="A522" s="654" t="s">
        <v>3786</v>
      </c>
      <c r="B522" s="684" t="s">
        <v>296</v>
      </c>
      <c r="C522" s="626">
        <v>2.4684699999999999</v>
      </c>
      <c r="D522" s="655">
        <v>97.427899999999994</v>
      </c>
      <c r="E522" s="670">
        <v>295.1982566098668</v>
      </c>
      <c r="F522" s="655">
        <v>108.8127072196728</v>
      </c>
      <c r="G522" s="641">
        <v>154.91476330827814</v>
      </c>
      <c r="H522" s="655">
        <v>116.67348130185702</v>
      </c>
    </row>
    <row r="523" spans="1:8">
      <c r="A523" s="654" t="s">
        <v>3786</v>
      </c>
      <c r="B523" s="684" t="s">
        <v>296</v>
      </c>
      <c r="C523" s="626">
        <v>2.53376</v>
      </c>
      <c r="D523" s="655">
        <v>131.74600000000001</v>
      </c>
      <c r="E523" s="670">
        <v>298.49317656274991</v>
      </c>
      <c r="F523" s="655">
        <v>110.58474798711109</v>
      </c>
      <c r="G523" s="641">
        <v>156.64347644476686</v>
      </c>
      <c r="H523" s="655">
        <v>117.6981053951355</v>
      </c>
    </row>
    <row r="524" spans="1:8">
      <c r="A524" s="654" t="s">
        <v>3786</v>
      </c>
      <c r="B524" s="684" t="s">
        <v>296</v>
      </c>
      <c r="C524" s="626">
        <v>4.2966499999999996</v>
      </c>
      <c r="D524" s="655">
        <v>158.322</v>
      </c>
      <c r="E524" s="670">
        <v>368.48973886708347</v>
      </c>
      <c r="F524" s="655">
        <v>144.16710993966288</v>
      </c>
      <c r="G524" s="641">
        <v>194.97352159489179</v>
      </c>
      <c r="H524" s="655">
        <v>138.93041702202808</v>
      </c>
    </row>
    <row r="525" spans="1:8">
      <c r="A525" s="654" t="s">
        <v>3786</v>
      </c>
      <c r="B525" s="684" t="s">
        <v>296</v>
      </c>
      <c r="C525" s="626">
        <v>4.8884999999999996</v>
      </c>
      <c r="D525" s="655">
        <v>169.39400000000001</v>
      </c>
      <c r="E525" s="670">
        <v>386.01406064195237</v>
      </c>
      <c r="F525" s="655">
        <v>151.26309410473337</v>
      </c>
      <c r="G525" s="641">
        <v>205.31722019489527</v>
      </c>
      <c r="H525" s="655">
        <v>144.18068060832809</v>
      </c>
    </row>
    <row r="526" spans="1:8">
      <c r="A526" s="654" t="s">
        <v>3786</v>
      </c>
      <c r="B526" s="684" t="s">
        <v>296</v>
      </c>
      <c r="C526" s="626">
        <v>5.4698099999999998</v>
      </c>
      <c r="D526" s="655">
        <v>174.93199999999999</v>
      </c>
      <c r="E526" s="670">
        <v>401.20547419921712</v>
      </c>
      <c r="F526" s="655">
        <v>156.97992123840481</v>
      </c>
      <c r="G526" s="641">
        <v>214.63183869573604</v>
      </c>
      <c r="H526" s="655">
        <v>148.73759680726565</v>
      </c>
    </row>
    <row r="527" spans="1:8">
      <c r="A527" s="654" t="s">
        <v>3786</v>
      </c>
      <c r="B527" s="684" t="s">
        <v>296</v>
      </c>
      <c r="C527" s="626">
        <v>7.7634600000000002</v>
      </c>
      <c r="D527" s="655">
        <v>180.477</v>
      </c>
      <c r="E527" s="670">
        <v>447.30887025408902</v>
      </c>
      <c r="F527" s="655">
        <v>171.923094955664</v>
      </c>
      <c r="G527" s="641">
        <v>245.44396647218676</v>
      </c>
      <c r="H527" s="655">
        <v>162.67747101839157</v>
      </c>
    </row>
    <row r="528" spans="1:8">
      <c r="A528" s="654" t="s">
        <v>3786</v>
      </c>
      <c r="B528" s="684" t="s">
        <v>296</v>
      </c>
      <c r="C528" s="626">
        <v>10.0655</v>
      </c>
      <c r="D528" s="655">
        <v>190.45</v>
      </c>
      <c r="E528" s="670">
        <v>479.42172269728121</v>
      </c>
      <c r="F528" s="655">
        <v>180.30586060067481</v>
      </c>
      <c r="G528" s="641">
        <v>269.91139962902122</v>
      </c>
      <c r="H528" s="655">
        <v>172.5360344362648</v>
      </c>
    </row>
    <row r="529" spans="1:8">
      <c r="A529" s="654" t="s">
        <v>3786</v>
      </c>
      <c r="B529" s="684" t="s">
        <v>296</v>
      </c>
      <c r="C529" s="626">
        <v>14.0631</v>
      </c>
      <c r="D529" s="655">
        <v>191.57499999999999</v>
      </c>
      <c r="E529" s="670">
        <v>517.14470223269802</v>
      </c>
      <c r="F529" s="655">
        <v>188.21495611919008</v>
      </c>
      <c r="G529" s="641">
        <v>303.13476518898358</v>
      </c>
      <c r="H529" s="655">
        <v>184.26721478690465</v>
      </c>
    </row>
    <row r="530" spans="1:8">
      <c r="A530" s="654" t="s">
        <v>3786</v>
      </c>
      <c r="B530" s="684" t="s">
        <v>296</v>
      </c>
      <c r="C530" s="626">
        <v>18.058599999999998</v>
      </c>
      <c r="D530" s="655">
        <v>191.59299999999999</v>
      </c>
      <c r="E530" s="670">
        <v>542.29611124738733</v>
      </c>
      <c r="F530" s="655">
        <v>192.42519539495925</v>
      </c>
      <c r="G530" s="641">
        <v>328.93302054962942</v>
      </c>
      <c r="H530" s="655">
        <v>192.10962231757597</v>
      </c>
    </row>
    <row r="531" spans="1:8">
      <c r="A531" s="654" t="s">
        <v>3786</v>
      </c>
      <c r="B531" s="684" t="s">
        <v>296</v>
      </c>
      <c r="C531" s="626">
        <v>20.339600000000001</v>
      </c>
      <c r="D531" s="655">
        <v>190.49600000000001</v>
      </c>
      <c r="E531" s="670">
        <v>553.30123678173584</v>
      </c>
      <c r="F531" s="655">
        <v>194.01960262721249</v>
      </c>
      <c r="G531" s="641">
        <v>341.39546770752463</v>
      </c>
      <c r="H531" s="655">
        <v>195.51493294574138</v>
      </c>
    </row>
    <row r="532" spans="1:8">
      <c r="A532" s="654" t="s">
        <v>3786</v>
      </c>
      <c r="B532" s="684" t="s">
        <v>296</v>
      </c>
      <c r="C532" s="626">
        <v>23.764299999999999</v>
      </c>
      <c r="D532" s="655">
        <v>190.511</v>
      </c>
      <c r="E532" s="670">
        <v>566.76556483241052</v>
      </c>
      <c r="F532" s="655">
        <v>195.77577420219845</v>
      </c>
      <c r="G532" s="641">
        <v>357.80301395539112</v>
      </c>
      <c r="H532" s="655">
        <v>199.62849933267373</v>
      </c>
    </row>
    <row r="533" spans="1:8">
      <c r="A533" s="654" t="s">
        <v>3786</v>
      </c>
      <c r="B533" s="684" t="s">
        <v>296</v>
      </c>
      <c r="C533" s="626">
        <v>30.045000000000002</v>
      </c>
      <c r="D533" s="655">
        <v>191.64599999999999</v>
      </c>
      <c r="E533" s="670">
        <v>585.09951400721582</v>
      </c>
      <c r="F533" s="655">
        <v>197.83856253189239</v>
      </c>
      <c r="G533" s="641">
        <v>382.55655313109747</v>
      </c>
      <c r="H533" s="655">
        <v>205.06348596208844</v>
      </c>
    </row>
    <row r="534" spans="1:8">
      <c r="A534" s="654" t="s">
        <v>3786</v>
      </c>
      <c r="B534" s="684" t="s">
        <v>296</v>
      </c>
      <c r="C534" s="626">
        <v>35.748600000000003</v>
      </c>
      <c r="D534" s="655">
        <v>189.45699999999999</v>
      </c>
      <c r="E534" s="670">
        <v>597.2306385705001</v>
      </c>
      <c r="F534" s="655">
        <v>199.0049793908214</v>
      </c>
      <c r="G534" s="641">
        <v>400.74272784001749</v>
      </c>
      <c r="H534" s="655">
        <v>208.48725282092744</v>
      </c>
    </row>
    <row r="535" spans="1:8">
      <c r="A535" s="654" t="s">
        <v>3786</v>
      </c>
      <c r="B535" s="684" t="s">
        <v>296</v>
      </c>
      <c r="C535" s="626">
        <v>40.304299999999998</v>
      </c>
      <c r="D535" s="655">
        <v>183.94200000000001</v>
      </c>
      <c r="E535" s="670">
        <v>604.91520100476976</v>
      </c>
      <c r="F535" s="655">
        <v>199.66541885585704</v>
      </c>
      <c r="G535" s="641">
        <v>413.12280459305492</v>
      </c>
      <c r="H535" s="655">
        <v>210.55245962392286</v>
      </c>
    </row>
    <row r="536" spans="1:8">
      <c r="A536" s="654" t="s">
        <v>3786</v>
      </c>
      <c r="B536" s="684" t="s">
        <v>296</v>
      </c>
      <c r="C536" s="626">
        <v>45.447699999999998</v>
      </c>
      <c r="D536" s="655">
        <v>187.286</v>
      </c>
      <c r="E536" s="670">
        <v>612.07489373855299</v>
      </c>
      <c r="F536" s="655">
        <v>200.22757203016783</v>
      </c>
      <c r="G536" s="641">
        <v>425.3198237319217</v>
      </c>
      <c r="H536" s="655">
        <v>212.3835392114573</v>
      </c>
    </row>
    <row r="537" spans="1:8">
      <c r="A537" s="654" t="s">
        <v>3786</v>
      </c>
      <c r="B537" s="684" t="s">
        <v>296</v>
      </c>
      <c r="C537" s="626">
        <v>48.870199999999997</v>
      </c>
      <c r="D537" s="655">
        <v>186.19399999999999</v>
      </c>
      <c r="E537" s="670">
        <v>616.15409965161734</v>
      </c>
      <c r="F537" s="655">
        <v>200.52537304276882</v>
      </c>
      <c r="G537" s="641">
        <v>432.57407558974501</v>
      </c>
      <c r="H537" s="655">
        <v>213.37922218663067</v>
      </c>
    </row>
    <row r="538" spans="1:8">
      <c r="A538" s="654" t="s">
        <v>3786</v>
      </c>
      <c r="B538" s="684" t="s">
        <v>296</v>
      </c>
      <c r="C538" s="626">
        <v>59.7151</v>
      </c>
      <c r="D538" s="655">
        <v>186.24199999999999</v>
      </c>
      <c r="E538" s="670">
        <v>626.49460095837469</v>
      </c>
      <c r="F538" s="655">
        <v>201.2087661479695</v>
      </c>
      <c r="G538" s="641">
        <v>452.02239336340551</v>
      </c>
      <c r="H538" s="655">
        <v>215.71670257287136</v>
      </c>
    </row>
    <row r="539" spans="1:8">
      <c r="A539" s="654" t="s">
        <v>3786</v>
      </c>
      <c r="B539" s="684" t="s">
        <v>296</v>
      </c>
      <c r="C539" s="626">
        <v>69.993300000000005</v>
      </c>
      <c r="D539" s="655">
        <v>188.50200000000001</v>
      </c>
      <c r="E539" s="670">
        <v>633.79297275538318</v>
      </c>
      <c r="F539" s="655">
        <v>201.63069418799932</v>
      </c>
      <c r="G539" s="641">
        <v>466.70960003959578</v>
      </c>
      <c r="H539" s="655">
        <v>217.17431414884453</v>
      </c>
    </row>
    <row r="540" spans="1:8">
      <c r="A540" s="654" t="s">
        <v>3786</v>
      </c>
      <c r="B540" s="684" t="s">
        <v>296</v>
      </c>
      <c r="C540" s="626">
        <v>80.876099999999994</v>
      </c>
      <c r="D540" s="655">
        <v>208.476</v>
      </c>
      <c r="E540" s="670">
        <v>639.80259429660202</v>
      </c>
      <c r="F540" s="655">
        <v>201.94142878216584</v>
      </c>
      <c r="G540" s="641">
        <v>479.41283448508966</v>
      </c>
      <c r="H540" s="655">
        <v>218.23227524303331</v>
      </c>
    </row>
    <row r="541" spans="1:8">
      <c r="A541" s="654" t="s">
        <v>3786</v>
      </c>
      <c r="B541" s="684" t="s">
        <v>296</v>
      </c>
      <c r="C541" s="626">
        <v>89.989599999999996</v>
      </c>
      <c r="D541" s="655">
        <v>198.553</v>
      </c>
      <c r="E541" s="670">
        <v>643.88359717340848</v>
      </c>
      <c r="F541" s="655">
        <v>202.13384525604985</v>
      </c>
      <c r="G541" s="641">
        <v>488.34487117361573</v>
      </c>
      <c r="H541" s="655">
        <v>218.868556003381</v>
      </c>
    </row>
    <row r="542" spans="1:8">
      <c r="A542" s="660" t="s">
        <v>3786</v>
      </c>
      <c r="B542" s="687" t="s">
        <v>296</v>
      </c>
      <c r="C542" s="630">
        <v>100.297</v>
      </c>
      <c r="D542" s="661">
        <v>216.31100000000001</v>
      </c>
      <c r="E542" s="673">
        <v>647.73635953521296</v>
      </c>
      <c r="F542" s="661">
        <v>202.301858820614</v>
      </c>
      <c r="G542" s="644">
        <v>496.98849468462231</v>
      </c>
      <c r="H542" s="661">
        <v>219.40322033113179</v>
      </c>
    </row>
    <row r="543" spans="1:8">
      <c r="A543" s="660" t="s">
        <v>3786</v>
      </c>
      <c r="B543" s="687" t="s">
        <v>296</v>
      </c>
      <c r="C543" s="630">
        <v>119.69799999999999</v>
      </c>
      <c r="D543" s="661">
        <v>213.07599999999999</v>
      </c>
      <c r="E543" s="673">
        <v>653.4344052872251</v>
      </c>
      <c r="F543" s="661">
        <v>202.52631293290298</v>
      </c>
      <c r="G543" s="644">
        <v>510.09201293050285</v>
      </c>
      <c r="H543" s="661">
        <v>220.06891927594435</v>
      </c>
    </row>
    <row r="544" spans="1:8">
      <c r="A544" s="660" t="s">
        <v>3786</v>
      </c>
      <c r="B544" s="687" t="s">
        <v>296</v>
      </c>
      <c r="C544" s="630">
        <v>140.82900000000001</v>
      </c>
      <c r="D544" s="661">
        <v>219.81200000000001</v>
      </c>
      <c r="E544" s="673">
        <v>658.08850116904523</v>
      </c>
      <c r="F544" s="661">
        <v>202.68858231293359</v>
      </c>
      <c r="G544" s="644">
        <v>520.98770867354892</v>
      </c>
      <c r="H544" s="661">
        <v>220.49724277026766</v>
      </c>
    </row>
    <row r="545" spans="1:8">
      <c r="A545" s="660" t="s">
        <v>3786</v>
      </c>
      <c r="B545" s="687" t="s">
        <v>296</v>
      </c>
      <c r="C545" s="630">
        <v>160.23400000000001</v>
      </c>
      <c r="D545" s="661">
        <v>218.791</v>
      </c>
      <c r="E545" s="673">
        <v>661.42231795329121</v>
      </c>
      <c r="F545" s="661">
        <v>202.79327441149292</v>
      </c>
      <c r="G545" s="644">
        <v>528.82105458097055</v>
      </c>
      <c r="H545" s="661">
        <v>220.73956601884484</v>
      </c>
    </row>
    <row r="546" spans="1:8">
      <c r="A546" s="660" t="s">
        <v>3786</v>
      </c>
      <c r="B546" s="687" t="s">
        <v>296</v>
      </c>
      <c r="C546" s="630">
        <v>180.221</v>
      </c>
      <c r="D546" s="661">
        <v>224.41399999999999</v>
      </c>
      <c r="E546" s="673">
        <v>664.20294713292139</v>
      </c>
      <c r="F546" s="661">
        <v>202.8732638227458</v>
      </c>
      <c r="G546" s="644">
        <v>535.3129574197967</v>
      </c>
      <c r="H546" s="661">
        <v>220.90138789533125</v>
      </c>
    </row>
    <row r="547" spans="1:8">
      <c r="A547" s="660" t="s">
        <v>3786</v>
      </c>
      <c r="B547" s="687" t="s">
        <v>296</v>
      </c>
      <c r="C547" s="630">
        <v>199.62200000000001</v>
      </c>
      <c r="D547" s="661">
        <v>221.179</v>
      </c>
      <c r="E547" s="673">
        <v>666.43820560609947</v>
      </c>
      <c r="F547" s="661">
        <v>202.93274626325532</v>
      </c>
      <c r="G547" s="644">
        <v>540.46175222721513</v>
      </c>
      <c r="H547" s="661">
        <v>221.00601572516757</v>
      </c>
    </row>
    <row r="548" spans="1:8">
      <c r="A548" s="658" t="s">
        <v>3787</v>
      </c>
      <c r="B548" s="686" t="s">
        <v>2176</v>
      </c>
      <c r="C548" s="634">
        <v>3.1352700000000002E-4</v>
      </c>
      <c r="D548" s="659">
        <v>1.80182</v>
      </c>
      <c r="E548" s="672"/>
      <c r="F548" s="659">
        <v>19.300337653715648</v>
      </c>
      <c r="G548" s="643"/>
      <c r="H548" s="659">
        <v>4.5654414643850476</v>
      </c>
    </row>
    <row r="549" spans="1:8">
      <c r="A549" s="654" t="s">
        <v>3787</v>
      </c>
      <c r="B549" s="684" t="s">
        <v>2176</v>
      </c>
      <c r="C549" s="633">
        <v>1.0214700000000001</v>
      </c>
      <c r="D549" s="655">
        <v>270.327</v>
      </c>
      <c r="E549" s="670"/>
      <c r="F549" s="655">
        <v>163.02669246402323</v>
      </c>
      <c r="G549" s="641"/>
      <c r="H549" s="655">
        <v>218.3887196424468</v>
      </c>
    </row>
    <row r="550" spans="1:8">
      <c r="A550" s="654" t="s">
        <v>3787</v>
      </c>
      <c r="B550" s="684" t="s">
        <v>2176</v>
      </c>
      <c r="C550" s="633">
        <v>1.8686199999999999</v>
      </c>
      <c r="D550" s="655">
        <v>338.84199999999998</v>
      </c>
      <c r="E550" s="670"/>
      <c r="F550" s="655">
        <v>274.82030196414883</v>
      </c>
      <c r="G550" s="641"/>
      <c r="H550" s="655">
        <v>277.98096780819475</v>
      </c>
    </row>
    <row r="551" spans="1:8">
      <c r="A551" s="654" t="s">
        <v>3787</v>
      </c>
      <c r="B551" s="684" t="s">
        <v>2176</v>
      </c>
      <c r="C551" s="633">
        <v>2.99261</v>
      </c>
      <c r="D551" s="655">
        <v>398.363</v>
      </c>
      <c r="E551" s="670"/>
      <c r="F551" s="655">
        <v>373.35649838650528</v>
      </c>
      <c r="G551" s="641"/>
      <c r="H551" s="655">
        <v>331.17283112984677</v>
      </c>
    </row>
    <row r="552" spans="1:8">
      <c r="A552" s="654" t="s">
        <v>3787</v>
      </c>
      <c r="B552" s="684" t="s">
        <v>2176</v>
      </c>
      <c r="C552" s="633">
        <v>4.9393000000000002</v>
      </c>
      <c r="D552" s="655">
        <v>385.858</v>
      </c>
      <c r="E552" s="670"/>
      <c r="F552" s="655">
        <v>464.81355301877051</v>
      </c>
      <c r="G552" s="641"/>
      <c r="H552" s="655">
        <v>392.8988706318126</v>
      </c>
    </row>
    <row r="553" spans="1:8">
      <c r="A553" s="654" t="s">
        <v>3787</v>
      </c>
      <c r="B553" s="684" t="s">
        <v>2176</v>
      </c>
      <c r="C553" s="633">
        <v>7.1806999999999999</v>
      </c>
      <c r="D553" s="655">
        <v>467.06299999999999</v>
      </c>
      <c r="E553" s="670"/>
      <c r="F553" s="655">
        <v>515.78231666773661</v>
      </c>
      <c r="G553" s="641"/>
      <c r="H553" s="655">
        <v>441.01701020431187</v>
      </c>
    </row>
    <row r="554" spans="1:8">
      <c r="A554" s="654" t="s">
        <v>3787</v>
      </c>
      <c r="B554" s="684" t="s">
        <v>2176</v>
      </c>
      <c r="C554" s="633">
        <v>8.9885000000000002</v>
      </c>
      <c r="D554" s="655">
        <v>456.35199999999998</v>
      </c>
      <c r="E554" s="670"/>
      <c r="F554" s="655">
        <v>538.95902485969862</v>
      </c>
      <c r="G554" s="641"/>
      <c r="H554" s="655">
        <v>470.05757746237435</v>
      </c>
    </row>
    <row r="555" spans="1:8">
      <c r="A555" s="654" t="s">
        <v>3787</v>
      </c>
      <c r="B555" s="684" t="s">
        <v>2176</v>
      </c>
      <c r="C555" s="633">
        <v>10.8066</v>
      </c>
      <c r="D555" s="655">
        <v>505.101</v>
      </c>
      <c r="E555" s="670"/>
      <c r="F555" s="655">
        <v>554.27095272268662</v>
      </c>
      <c r="G555" s="641"/>
      <c r="H555" s="655">
        <v>493.65113070982648</v>
      </c>
    </row>
    <row r="556" spans="1:8">
      <c r="A556" s="654" t="s">
        <v>3787</v>
      </c>
      <c r="B556" s="684" t="s">
        <v>2176</v>
      </c>
      <c r="C556" s="633">
        <v>13.5845</v>
      </c>
      <c r="D556" s="655">
        <v>469.21800000000002</v>
      </c>
      <c r="E556" s="670"/>
      <c r="F556" s="655">
        <v>569.29986440424716</v>
      </c>
      <c r="G556" s="641"/>
      <c r="H556" s="655">
        <v>522.30131114648839</v>
      </c>
    </row>
    <row r="557" spans="1:8">
      <c r="A557" s="654" t="s">
        <v>3787</v>
      </c>
      <c r="B557" s="684" t="s">
        <v>2176</v>
      </c>
      <c r="C557" s="633">
        <v>17.2057</v>
      </c>
      <c r="D557" s="655">
        <v>480.22800000000001</v>
      </c>
      <c r="E557" s="670"/>
      <c r="F557" s="655">
        <v>580.99919131548404</v>
      </c>
      <c r="G557" s="641"/>
      <c r="H557" s="655">
        <v>550.69308570673149</v>
      </c>
    </row>
    <row r="558" spans="1:8">
      <c r="A558" s="654" t="s">
        <v>3787</v>
      </c>
      <c r="B558" s="684" t="s">
        <v>2176</v>
      </c>
      <c r="C558" s="633">
        <v>21.254300000000001</v>
      </c>
      <c r="D558" s="655">
        <v>547.11800000000005</v>
      </c>
      <c r="E558" s="670"/>
      <c r="F558" s="655">
        <v>588.85095013884234</v>
      </c>
      <c r="G558" s="641"/>
      <c r="H558" s="655">
        <v>574.65035281184828</v>
      </c>
    </row>
    <row r="559" spans="1:8">
      <c r="A559" s="654" t="s">
        <v>3787</v>
      </c>
      <c r="B559" s="684" t="s">
        <v>2176</v>
      </c>
      <c r="C559" s="633">
        <v>24.8809</v>
      </c>
      <c r="D559" s="655">
        <v>588.76</v>
      </c>
      <c r="E559" s="670"/>
      <c r="F559" s="655">
        <v>593.43015446442689</v>
      </c>
      <c r="G559" s="641"/>
      <c r="H559" s="655">
        <v>591.42510796394959</v>
      </c>
    </row>
    <row r="560" spans="1:8">
      <c r="A560" s="654" t="s">
        <v>3787</v>
      </c>
      <c r="B560" s="684" t="s">
        <v>2176</v>
      </c>
      <c r="C560" s="633">
        <v>28.0885</v>
      </c>
      <c r="D560" s="655">
        <v>623.17100000000005</v>
      </c>
      <c r="E560" s="670"/>
      <c r="F560" s="655">
        <v>596.34665036621686</v>
      </c>
      <c r="G560" s="641"/>
      <c r="H560" s="655">
        <v>603.61709124202616</v>
      </c>
    </row>
    <row r="561" spans="1:8">
      <c r="A561" s="654" t="s">
        <v>3787</v>
      </c>
      <c r="B561" s="684" t="s">
        <v>2176</v>
      </c>
      <c r="C561" s="633">
        <v>34.213000000000001</v>
      </c>
      <c r="D561" s="655">
        <v>619.90499999999997</v>
      </c>
      <c r="E561" s="670"/>
      <c r="F561" s="655">
        <v>600.16410763079045</v>
      </c>
      <c r="G561" s="641"/>
      <c r="H561" s="655">
        <v>621.97634675407005</v>
      </c>
    </row>
    <row r="562" spans="1:8">
      <c r="A562" s="654" t="s">
        <v>3787</v>
      </c>
      <c r="B562" s="684" t="s">
        <v>2176</v>
      </c>
      <c r="C562" s="633">
        <v>38.113300000000002</v>
      </c>
      <c r="D562" s="655">
        <v>634.53499999999997</v>
      </c>
      <c r="E562" s="670"/>
      <c r="F562" s="655">
        <v>601.8492519182073</v>
      </c>
      <c r="G562" s="641"/>
      <c r="H562" s="655">
        <v>631.20053903597056</v>
      </c>
    </row>
    <row r="563" spans="1:8">
      <c r="A563" s="654" t="s">
        <v>3787</v>
      </c>
      <c r="B563" s="684" t="s">
        <v>2176</v>
      </c>
      <c r="C563" s="633">
        <v>41.038499999999999</v>
      </c>
      <c r="D563" s="655">
        <v>645.50699999999995</v>
      </c>
      <c r="E563" s="670"/>
      <c r="F563" s="655">
        <v>602.86419283300791</v>
      </c>
      <c r="G563" s="641"/>
      <c r="H563" s="655">
        <v>637.16761999876098</v>
      </c>
    </row>
    <row r="564" spans="1:8">
      <c r="A564" s="654" t="s">
        <v>3787</v>
      </c>
      <c r="B564" s="684" t="s">
        <v>2176</v>
      </c>
      <c r="C564" s="633">
        <v>48.002800000000001</v>
      </c>
      <c r="D564" s="655">
        <v>669.31399999999996</v>
      </c>
      <c r="E564" s="670"/>
      <c r="F564" s="655">
        <v>604.69362959822422</v>
      </c>
      <c r="G564" s="641"/>
      <c r="H564" s="655">
        <v>648.84895557061554</v>
      </c>
    </row>
    <row r="565" spans="1:8">
      <c r="A565" s="654" t="s">
        <v>3787</v>
      </c>
      <c r="B565" s="684" t="s">
        <v>2176</v>
      </c>
      <c r="C565" s="633">
        <v>59.002299999999998</v>
      </c>
      <c r="D565" s="655">
        <v>682.53399999999999</v>
      </c>
      <c r="E565" s="670"/>
      <c r="F565" s="655">
        <v>606.5535563585305</v>
      </c>
      <c r="G565" s="641"/>
      <c r="H565" s="655">
        <v>662.19367172152397</v>
      </c>
    </row>
    <row r="566" spans="1:8">
      <c r="A566" s="654" t="s">
        <v>3787</v>
      </c>
      <c r="B566" s="684" t="s">
        <v>2176</v>
      </c>
      <c r="C566" s="633">
        <v>81.133499999999998</v>
      </c>
      <c r="D566" s="655">
        <v>669.34</v>
      </c>
      <c r="E566" s="670"/>
      <c r="F566" s="655">
        <v>608.52843870215884</v>
      </c>
      <c r="G566" s="641"/>
      <c r="H566" s="655">
        <v>678.34468817362188</v>
      </c>
    </row>
    <row r="567" spans="1:8">
      <c r="A567" s="654" t="s">
        <v>3787</v>
      </c>
      <c r="B567" s="684" t="s">
        <v>2176</v>
      </c>
      <c r="C567" s="633">
        <v>96.171800000000005</v>
      </c>
      <c r="D567" s="655">
        <v>693.59299999999996</v>
      </c>
      <c r="E567" s="670"/>
      <c r="F567" s="655">
        <v>609.26208221235925</v>
      </c>
      <c r="G567" s="641"/>
      <c r="H567" s="655">
        <v>684.89161910224641</v>
      </c>
    </row>
    <row r="568" spans="1:8">
      <c r="A568" s="658" t="s">
        <v>3787</v>
      </c>
      <c r="B568" s="686" t="s">
        <v>2459</v>
      </c>
      <c r="C568" s="628">
        <v>20.273599999999998</v>
      </c>
      <c r="D568" s="659">
        <v>61.404299999999999</v>
      </c>
      <c r="E568" s="672"/>
      <c r="F568" s="659">
        <v>163.6669337246758</v>
      </c>
      <c r="G568" s="643"/>
      <c r="H568" s="659">
        <v>95.495098816979464</v>
      </c>
    </row>
    <row r="569" spans="1:8">
      <c r="A569" s="654" t="s">
        <v>3787</v>
      </c>
      <c r="B569" s="684" t="s">
        <v>2459</v>
      </c>
      <c r="C569" s="626">
        <v>72.675200000000004</v>
      </c>
      <c r="D569" s="655">
        <v>185.88399999999999</v>
      </c>
      <c r="E569" s="670"/>
      <c r="F569" s="655">
        <v>223.53649851178508</v>
      </c>
      <c r="G569" s="641"/>
      <c r="H569" s="655">
        <v>163.21070517266256</v>
      </c>
    </row>
    <row r="570" spans="1:8">
      <c r="A570" s="660" t="s">
        <v>3787</v>
      </c>
      <c r="B570" s="687" t="s">
        <v>2459</v>
      </c>
      <c r="C570" s="630">
        <v>100</v>
      </c>
      <c r="D570" s="661">
        <v>216.72800000000001</v>
      </c>
      <c r="E570" s="673"/>
      <c r="F570" s="661">
        <v>240.8762892793406</v>
      </c>
      <c r="G570" s="644"/>
      <c r="H570" s="661">
        <v>184.57671064437349</v>
      </c>
    </row>
    <row r="571" spans="1:8">
      <c r="A571" s="660" t="s">
        <v>3787</v>
      </c>
      <c r="B571" s="687" t="s">
        <v>2459</v>
      </c>
      <c r="C571" s="630">
        <v>160.184</v>
      </c>
      <c r="D571" s="661">
        <v>269.613</v>
      </c>
      <c r="E571" s="673"/>
      <c r="F571" s="661">
        <v>267.94455617190397</v>
      </c>
      <c r="G571" s="644"/>
      <c r="H571" s="661">
        <v>219.00902769725371</v>
      </c>
    </row>
    <row r="572" spans="1:8">
      <c r="A572" s="660" t="s">
        <v>3787</v>
      </c>
      <c r="B572" s="687" t="s">
        <v>2459</v>
      </c>
      <c r="C572" s="630">
        <v>227.214</v>
      </c>
      <c r="D572" s="661">
        <v>257.43799999999999</v>
      </c>
      <c r="E572" s="673"/>
      <c r="F572" s="661">
        <v>289.05122850296641</v>
      </c>
      <c r="G572" s="644"/>
      <c r="H572" s="661">
        <v>246.32157187969099</v>
      </c>
    </row>
    <row r="573" spans="1:8">
      <c r="A573" s="660" t="s">
        <v>3787</v>
      </c>
      <c r="B573" s="687" t="s">
        <v>2459</v>
      </c>
      <c r="C573" s="630">
        <v>281.08999999999997</v>
      </c>
      <c r="D573" s="661">
        <v>283.88400000000001</v>
      </c>
      <c r="E573" s="673"/>
      <c r="F573" s="661">
        <v>302.28434027795078</v>
      </c>
      <c r="G573" s="644"/>
      <c r="H573" s="661">
        <v>263.42443379755036</v>
      </c>
    </row>
    <row r="574" spans="1:8">
      <c r="A574" s="660" t="s">
        <v>3787</v>
      </c>
      <c r="B574" s="687" t="s">
        <v>2459</v>
      </c>
      <c r="C574" s="630">
        <v>457.15800000000002</v>
      </c>
      <c r="D574" s="661">
        <v>289.33999999999997</v>
      </c>
      <c r="E574" s="673"/>
      <c r="F574" s="661">
        <v>333.50770419292269</v>
      </c>
      <c r="G574" s="644"/>
      <c r="H574" s="661">
        <v>302.84978801612709</v>
      </c>
    </row>
    <row r="575" spans="1:8">
      <c r="A575" s="664" t="s">
        <v>3787</v>
      </c>
      <c r="B575" s="689" t="s">
        <v>2459</v>
      </c>
      <c r="C575" s="632">
        <v>648.45699999999999</v>
      </c>
      <c r="D575" s="665">
        <v>297.01900000000001</v>
      </c>
      <c r="E575" s="675"/>
      <c r="F575" s="665">
        <v>356.68691988613716</v>
      </c>
      <c r="G575" s="646"/>
      <c r="H575" s="665">
        <v>330.40574832434925</v>
      </c>
    </row>
    <row r="576" spans="1:8">
      <c r="A576" s="664" t="s">
        <v>3787</v>
      </c>
      <c r="B576" s="689" t="s">
        <v>2459</v>
      </c>
      <c r="C576" s="632">
        <v>778.19600000000003</v>
      </c>
      <c r="D576" s="665">
        <v>303.61500000000001</v>
      </c>
      <c r="E576" s="675"/>
      <c r="F576" s="665">
        <v>368.99251606162369</v>
      </c>
      <c r="G576" s="646"/>
      <c r="H576" s="665">
        <v>344.14499236063966</v>
      </c>
    </row>
    <row r="577" spans="1:8">
      <c r="A577" s="664" t="s">
        <v>3787</v>
      </c>
      <c r="B577" s="689" t="s">
        <v>2459</v>
      </c>
      <c r="C577" s="632">
        <v>1120.74</v>
      </c>
      <c r="D577" s="665">
        <v>366.43900000000002</v>
      </c>
      <c r="E577" s="675"/>
      <c r="F577" s="665">
        <v>393.98091506400459</v>
      </c>
      <c r="G577" s="646"/>
      <c r="H577" s="665">
        <v>369.61970659868473</v>
      </c>
    </row>
    <row r="578" spans="1:8">
      <c r="A578" s="664" t="s">
        <v>3787</v>
      </c>
      <c r="B578" s="689" t="s">
        <v>2459</v>
      </c>
      <c r="C578" s="632">
        <v>1542.12</v>
      </c>
      <c r="D578" s="665">
        <v>391.76799999999997</v>
      </c>
      <c r="E578" s="675"/>
      <c r="F578" s="665">
        <v>416.19610543821943</v>
      </c>
      <c r="G578" s="646"/>
      <c r="H578" s="665">
        <v>389.06532114723836</v>
      </c>
    </row>
    <row r="579" spans="1:8">
      <c r="A579" s="664" t="s">
        <v>3787</v>
      </c>
      <c r="B579" s="689" t="s">
        <v>2459</v>
      </c>
      <c r="C579" s="632">
        <v>2832.34</v>
      </c>
      <c r="D579" s="665">
        <v>406.03300000000002</v>
      </c>
      <c r="E579" s="675"/>
      <c r="F579" s="665">
        <v>459.17983188836592</v>
      </c>
      <c r="G579" s="646"/>
      <c r="H579" s="665">
        <v>417.06909507981004</v>
      </c>
    </row>
    <row r="580" spans="1:8">
      <c r="A580" s="658" t="s">
        <v>3787</v>
      </c>
      <c r="B580" s="686" t="s">
        <v>2471</v>
      </c>
      <c r="C580" s="628">
        <v>1.05321</v>
      </c>
      <c r="D580" s="659">
        <v>32.054600000000001</v>
      </c>
      <c r="E580" s="672"/>
      <c r="F580" s="659">
        <v>11.008766326536778</v>
      </c>
      <c r="G580" s="643"/>
      <c r="H580" s="659">
        <v>23.5927276621989</v>
      </c>
    </row>
    <row r="581" spans="1:8">
      <c r="A581" s="654" t="s">
        <v>3787</v>
      </c>
      <c r="B581" s="684" t="s">
        <v>2471</v>
      </c>
      <c r="C581" s="626">
        <v>2.0663200000000002</v>
      </c>
      <c r="D581" s="655">
        <v>36.551000000000002</v>
      </c>
      <c r="E581" s="670"/>
      <c r="F581" s="655">
        <v>15.585620868768935</v>
      </c>
      <c r="G581" s="641"/>
      <c r="H581" s="655">
        <v>32.705614308140824</v>
      </c>
    </row>
    <row r="582" spans="1:8">
      <c r="A582" s="654" t="s">
        <v>3787</v>
      </c>
      <c r="B582" s="684" t="s">
        <v>2471</v>
      </c>
      <c r="C582" s="626">
        <v>3.2383099999999998</v>
      </c>
      <c r="D582" s="655">
        <v>26.189800000000002</v>
      </c>
      <c r="E582" s="670"/>
      <c r="F582" s="655">
        <v>20.920961881078806</v>
      </c>
      <c r="G582" s="641"/>
      <c r="H582" s="655">
        <v>40.572915903942928</v>
      </c>
    </row>
    <row r="583" spans="1:8">
      <c r="A583" s="654" t="s">
        <v>3787</v>
      </c>
      <c r="B583" s="684" t="s">
        <v>2471</v>
      </c>
      <c r="C583" s="626">
        <v>5.3450899999999999</v>
      </c>
      <c r="D583" s="655">
        <v>47.883200000000002</v>
      </c>
      <c r="E583" s="670"/>
      <c r="F583" s="655">
        <v>30.20004213129069</v>
      </c>
      <c r="G583" s="641"/>
      <c r="H583" s="655">
        <v>51.46241045640879</v>
      </c>
    </row>
    <row r="584" spans="1:8">
      <c r="A584" s="654" t="s">
        <v>3787</v>
      </c>
      <c r="B584" s="684" t="s">
        <v>2471</v>
      </c>
      <c r="C584" s="626">
        <v>12.6821</v>
      </c>
      <c r="D584" s="655">
        <v>48.9208</v>
      </c>
      <c r="E584" s="670"/>
      <c r="F584" s="655">
        <v>57.301573384444801</v>
      </c>
      <c r="G584" s="641"/>
      <c r="H584" s="655">
        <v>76.850282265817057</v>
      </c>
    </row>
    <row r="585" spans="1:8">
      <c r="A585" s="654" t="s">
        <v>3787</v>
      </c>
      <c r="B585" s="684" t="s">
        <v>2471</v>
      </c>
      <c r="C585" s="626">
        <v>22.430800000000001</v>
      </c>
      <c r="D585" s="655">
        <v>85.491200000000006</v>
      </c>
      <c r="E585" s="670"/>
      <c r="F585" s="655">
        <v>83.090241863393885</v>
      </c>
      <c r="G585" s="641"/>
      <c r="H585" s="655">
        <v>99.298754030212962</v>
      </c>
    </row>
    <row r="586" spans="1:8">
      <c r="A586" s="654" t="s">
        <v>3787</v>
      </c>
      <c r="B586" s="684" t="s">
        <v>2471</v>
      </c>
      <c r="C586" s="626">
        <v>24.8813</v>
      </c>
      <c r="D586" s="655">
        <v>112.959</v>
      </c>
      <c r="E586" s="670"/>
      <c r="F586" s="655">
        <v>88.308030360688548</v>
      </c>
      <c r="G586" s="641"/>
      <c r="H586" s="655">
        <v>103.94117913859837</v>
      </c>
    </row>
    <row r="587" spans="1:8">
      <c r="A587" s="654" t="s">
        <v>3787</v>
      </c>
      <c r="B587" s="684" t="s">
        <v>2471</v>
      </c>
      <c r="C587" s="626">
        <v>95.771900000000002</v>
      </c>
      <c r="D587" s="655">
        <v>202.10499999999999</v>
      </c>
      <c r="E587" s="670"/>
      <c r="F587" s="655">
        <v>160.40902935155765</v>
      </c>
      <c r="G587" s="641"/>
      <c r="H587" s="655">
        <v>181.8676731015936</v>
      </c>
    </row>
    <row r="588" spans="1:8">
      <c r="A588" s="660" t="s">
        <v>3787</v>
      </c>
      <c r="B588" s="687" t="s">
        <v>2471</v>
      </c>
      <c r="C588" s="630">
        <v>187.898</v>
      </c>
      <c r="D588" s="661">
        <v>175.685</v>
      </c>
      <c r="E588" s="673"/>
      <c r="F588" s="661">
        <v>192.54807183541831</v>
      </c>
      <c r="G588" s="644"/>
      <c r="H588" s="661">
        <v>232.83715459955673</v>
      </c>
    </row>
    <row r="589" spans="1:8">
      <c r="A589" s="660" t="s">
        <v>3787</v>
      </c>
      <c r="B589" s="687" t="s">
        <v>2471</v>
      </c>
      <c r="C589" s="630">
        <v>395.02300000000002</v>
      </c>
      <c r="D589" s="661">
        <v>232.84399999999999</v>
      </c>
      <c r="E589" s="673"/>
      <c r="F589" s="661">
        <v>221.23160656727862</v>
      </c>
      <c r="G589" s="644"/>
      <c r="H589" s="661">
        <v>295.0040101751498</v>
      </c>
    </row>
    <row r="590" spans="1:8">
      <c r="A590" s="660" t="s">
        <v>3787</v>
      </c>
      <c r="B590" s="687" t="s">
        <v>2471</v>
      </c>
      <c r="C590" s="630">
        <v>486.048</v>
      </c>
      <c r="D590" s="661">
        <v>233.964</v>
      </c>
      <c r="E590" s="673"/>
      <c r="F590" s="661">
        <v>227.91646270539107</v>
      </c>
      <c r="G590" s="644"/>
      <c r="H590" s="661">
        <v>312.64178943884809</v>
      </c>
    </row>
    <row r="591" spans="1:8">
      <c r="A591" s="664" t="s">
        <v>3787</v>
      </c>
      <c r="B591" s="689" t="s">
        <v>2471</v>
      </c>
      <c r="C591" s="632">
        <v>674.94500000000005</v>
      </c>
      <c r="D591" s="665">
        <v>222.47300000000001</v>
      </c>
      <c r="E591" s="675"/>
      <c r="F591" s="665">
        <v>237.38621178440158</v>
      </c>
      <c r="G591" s="646"/>
      <c r="H591" s="665">
        <v>340.02639098706993</v>
      </c>
    </row>
    <row r="592" spans="1:8">
      <c r="A592" s="664" t="s">
        <v>3787</v>
      </c>
      <c r="B592" s="689" t="s">
        <v>2471</v>
      </c>
      <c r="C592" s="632">
        <v>723.24800000000005</v>
      </c>
      <c r="D592" s="665">
        <v>244.22</v>
      </c>
      <c r="E592" s="675"/>
      <c r="F592" s="665">
        <v>239.21355924709505</v>
      </c>
      <c r="G592" s="646"/>
      <c r="H592" s="665">
        <v>345.64007947934493</v>
      </c>
    </row>
    <row r="593" spans="1:8">
      <c r="A593" s="664" t="s">
        <v>3787</v>
      </c>
      <c r="B593" s="689" t="s">
        <v>2471</v>
      </c>
      <c r="C593" s="632">
        <v>953.59100000000001</v>
      </c>
      <c r="D593" s="665">
        <v>302.58199999999999</v>
      </c>
      <c r="E593" s="675"/>
      <c r="F593" s="665">
        <v>245.9791740271969</v>
      </c>
      <c r="G593" s="646"/>
      <c r="H593" s="665">
        <v>367.30212126417115</v>
      </c>
    </row>
    <row r="594" spans="1:8">
      <c r="A594" s="664" t="s">
        <v>3787</v>
      </c>
      <c r="B594" s="689" t="s">
        <v>2471</v>
      </c>
      <c r="C594" s="632">
        <v>1301.51</v>
      </c>
      <c r="D594" s="665">
        <v>296.81799999999998</v>
      </c>
      <c r="E594" s="675"/>
      <c r="F594" s="665">
        <v>252.62033660924547</v>
      </c>
      <c r="G594" s="646"/>
      <c r="H594" s="665">
        <v>389.67728469520961</v>
      </c>
    </row>
    <row r="595" spans="1:8">
      <c r="A595" s="664" t="s">
        <v>3787</v>
      </c>
      <c r="B595" s="689" t="s">
        <v>2471</v>
      </c>
      <c r="C595" s="632">
        <v>1418.96</v>
      </c>
      <c r="D595" s="665">
        <v>325.43400000000003</v>
      </c>
      <c r="E595" s="675"/>
      <c r="F595" s="665">
        <v>254.29650957548873</v>
      </c>
      <c r="G595" s="646"/>
      <c r="H595" s="665">
        <v>395.43200862536679</v>
      </c>
    </row>
    <row r="596" spans="1:8">
      <c r="A596" s="664" t="s">
        <v>3787</v>
      </c>
      <c r="B596" s="689" t="s">
        <v>2471</v>
      </c>
      <c r="C596" s="632">
        <v>1547.01</v>
      </c>
      <c r="D596" s="665">
        <v>336.87299999999999</v>
      </c>
      <c r="E596" s="675"/>
      <c r="F596" s="665">
        <v>255.90373408952792</v>
      </c>
      <c r="G596" s="646"/>
      <c r="H596" s="665">
        <v>400.96321598637064</v>
      </c>
    </row>
    <row r="597" spans="1:8">
      <c r="A597" s="664" t="s">
        <v>3787</v>
      </c>
      <c r="B597" s="689" t="s">
        <v>2471</v>
      </c>
      <c r="C597" s="632">
        <v>2185.6799999999998</v>
      </c>
      <c r="D597" s="665">
        <v>352.86099999999999</v>
      </c>
      <c r="E597" s="675"/>
      <c r="F597" s="665">
        <v>261.68849629546446</v>
      </c>
      <c r="G597" s="646"/>
      <c r="H597" s="665">
        <v>420.6587474371795</v>
      </c>
    </row>
    <row r="598" spans="1:8">
      <c r="A598" s="666" t="s">
        <v>3787</v>
      </c>
      <c r="B598" s="690" t="s">
        <v>2471</v>
      </c>
      <c r="C598" s="635">
        <v>2382.9299999999998</v>
      </c>
      <c r="D598" s="667">
        <v>387.20100000000002</v>
      </c>
      <c r="E598" s="676"/>
      <c r="F598" s="667">
        <v>262.98478139246419</v>
      </c>
      <c r="G598" s="647"/>
      <c r="H598" s="667">
        <v>424.93966393877338</v>
      </c>
    </row>
    <row r="599" spans="1:8">
      <c r="A599" s="654" t="s">
        <v>3787</v>
      </c>
      <c r="B599" s="684" t="s">
        <v>2491</v>
      </c>
      <c r="C599" s="626">
        <v>3.1310600000000002</v>
      </c>
      <c r="D599" s="655">
        <v>14.462</v>
      </c>
      <c r="E599" s="670"/>
      <c r="F599" s="655">
        <v>4.6104369461643993</v>
      </c>
      <c r="G599" s="641"/>
      <c r="H599" s="655">
        <v>57.965858261979562</v>
      </c>
    </row>
    <row r="600" spans="1:8">
      <c r="A600" s="654" t="s">
        <v>3787</v>
      </c>
      <c r="B600" s="684" t="s">
        <v>2491</v>
      </c>
      <c r="C600" s="626">
        <v>5.2069000000000001</v>
      </c>
      <c r="D600" s="655">
        <v>40.441299999999998</v>
      </c>
      <c r="E600" s="670"/>
      <c r="F600" s="655">
        <v>11.654760572788868</v>
      </c>
      <c r="G600" s="641"/>
      <c r="H600" s="655">
        <v>73.677912993514894</v>
      </c>
    </row>
    <row r="601" spans="1:8">
      <c r="A601" s="654" t="s">
        <v>3787</v>
      </c>
      <c r="B601" s="684" t="s">
        <v>2491</v>
      </c>
      <c r="C601" s="626">
        <v>19.576899999999998</v>
      </c>
      <c r="D601" s="655">
        <v>165.66499999999999</v>
      </c>
      <c r="E601" s="670"/>
      <c r="F601" s="655">
        <v>78.376590573197603</v>
      </c>
      <c r="G601" s="641"/>
      <c r="H601" s="655">
        <v>134.58688998142182</v>
      </c>
    </row>
    <row r="602" spans="1:8">
      <c r="A602" s="654" t="s">
        <v>3787</v>
      </c>
      <c r="B602" s="684" t="s">
        <v>2491</v>
      </c>
      <c r="C602" s="626">
        <v>42.937899999999999</v>
      </c>
      <c r="D602" s="655">
        <v>238.846</v>
      </c>
      <c r="E602" s="670"/>
      <c r="F602" s="655">
        <v>164.11345021452874</v>
      </c>
      <c r="G602" s="641"/>
      <c r="H602" s="655">
        <v>188.08480784929182</v>
      </c>
    </row>
    <row r="603" spans="1:8">
      <c r="A603" s="654" t="s">
        <v>3787</v>
      </c>
      <c r="B603" s="684" t="s">
        <v>2491</v>
      </c>
      <c r="C603" s="626">
        <v>60.261499999999998</v>
      </c>
      <c r="D603" s="655">
        <v>263.226</v>
      </c>
      <c r="E603" s="670"/>
      <c r="F603" s="655">
        <v>209.30912494428344</v>
      </c>
      <c r="G603" s="641"/>
      <c r="H603" s="655">
        <v>215.70769858533882</v>
      </c>
    </row>
    <row r="604" spans="1:8">
      <c r="A604" s="654" t="s">
        <v>3787</v>
      </c>
      <c r="B604" s="684" t="s">
        <v>2491</v>
      </c>
      <c r="C604" s="626">
        <v>91.345200000000006</v>
      </c>
      <c r="D604" s="655">
        <v>294.11</v>
      </c>
      <c r="E604" s="670"/>
      <c r="F604" s="655">
        <v>268.01975941744422</v>
      </c>
      <c r="G604" s="641"/>
      <c r="H604" s="655">
        <v>253.28887779098386</v>
      </c>
    </row>
    <row r="605" spans="1:8">
      <c r="A605" s="660" t="s">
        <v>3787</v>
      </c>
      <c r="B605" s="687" t="s">
        <v>2491</v>
      </c>
      <c r="C605" s="630">
        <v>230.18799999999999</v>
      </c>
      <c r="D605" s="661">
        <v>367.26600000000002</v>
      </c>
      <c r="E605" s="673"/>
      <c r="F605" s="661">
        <v>396.22251883324344</v>
      </c>
      <c r="G605" s="644"/>
      <c r="H605" s="661">
        <v>348.65742939067962</v>
      </c>
    </row>
    <row r="606" spans="1:8">
      <c r="A606" s="660" t="s">
        <v>3787</v>
      </c>
      <c r="B606" s="687" t="s">
        <v>2491</v>
      </c>
      <c r="C606" s="630">
        <v>426.68200000000002</v>
      </c>
      <c r="D606" s="661">
        <v>365.52699999999999</v>
      </c>
      <c r="E606" s="673"/>
      <c r="F606" s="661">
        <v>470.59473835000517</v>
      </c>
      <c r="G606" s="644"/>
      <c r="H606" s="661">
        <v>416.3328624558215</v>
      </c>
    </row>
    <row r="607" spans="1:8">
      <c r="A607" s="664" t="s">
        <v>3787</v>
      </c>
      <c r="B607" s="689" t="s">
        <v>2491</v>
      </c>
      <c r="C607" s="632">
        <v>571.87199999999996</v>
      </c>
      <c r="D607" s="665">
        <v>378.51</v>
      </c>
      <c r="E607" s="675"/>
      <c r="F607" s="665">
        <v>501.46157971958627</v>
      </c>
      <c r="G607" s="646"/>
      <c r="H607" s="665">
        <v>447.50645322450629</v>
      </c>
    </row>
    <row r="608" spans="1:8">
      <c r="A608" s="664" t="s">
        <v>3787</v>
      </c>
      <c r="B608" s="689" t="s">
        <v>2491</v>
      </c>
      <c r="C608" s="632">
        <v>1058.8699999999999</v>
      </c>
      <c r="D608" s="665">
        <v>433.798</v>
      </c>
      <c r="E608" s="675"/>
      <c r="F608" s="665">
        <v>556.72982325236785</v>
      </c>
      <c r="G608" s="646"/>
      <c r="H608" s="665">
        <v>506.66615017371998</v>
      </c>
    </row>
    <row r="609" spans="1:8">
      <c r="A609" s="664" t="s">
        <v>3787</v>
      </c>
      <c r="B609" s="689" t="s">
        <v>2491</v>
      </c>
      <c r="C609" s="632">
        <v>1789.22</v>
      </c>
      <c r="D609" s="665">
        <v>432.07600000000002</v>
      </c>
      <c r="E609" s="675"/>
      <c r="F609" s="665">
        <v>594.07702416399718</v>
      </c>
      <c r="G609" s="646"/>
      <c r="H609" s="665">
        <v>546.20964581991598</v>
      </c>
    </row>
    <row r="610" spans="1:8" ht="15.75" thickBot="1">
      <c r="A610" s="668" t="s">
        <v>3787</v>
      </c>
      <c r="B610" s="691" t="s">
        <v>2491</v>
      </c>
      <c r="C610" s="640">
        <v>2084.34</v>
      </c>
      <c r="D610" s="669">
        <v>515.14499999999998</v>
      </c>
      <c r="E610" s="677"/>
      <c r="F610" s="669">
        <v>603.4275216733256</v>
      </c>
      <c r="G610" s="648"/>
      <c r="H610" s="669">
        <v>555.42497641139744</v>
      </c>
    </row>
    <row r="611" spans="1:8">
      <c r="A611" s="636"/>
      <c r="B611" s="636"/>
      <c r="C611" s="637"/>
      <c r="D611" s="649"/>
      <c r="E611" s="650"/>
      <c r="F611" s="650"/>
      <c r="G611" s="650"/>
      <c r="H611" s="651"/>
    </row>
    <row r="612" spans="1:8">
      <c r="A612" s="636"/>
      <c r="B612" s="636"/>
      <c r="C612" s="637"/>
      <c r="D612" s="649"/>
      <c r="E612" s="650"/>
      <c r="F612" s="650"/>
      <c r="G612" s="650"/>
      <c r="H612" s="651"/>
    </row>
    <row r="613" spans="1:8">
      <c r="A613" s="636"/>
      <c r="B613" s="636"/>
      <c r="C613" s="637"/>
      <c r="D613" s="649"/>
      <c r="E613" s="650"/>
      <c r="F613" s="650"/>
      <c r="G613" s="650"/>
      <c r="H613" s="651"/>
    </row>
    <row r="614" spans="1:8">
      <c r="A614" s="636"/>
      <c r="B614" s="636"/>
      <c r="C614" s="637"/>
      <c r="D614" s="649"/>
      <c r="E614" s="650"/>
      <c r="F614" s="650"/>
      <c r="G614" s="650"/>
      <c r="H614" s="651"/>
    </row>
    <row r="615" spans="1:8">
      <c r="A615" s="636"/>
      <c r="B615" s="636"/>
      <c r="C615" s="637"/>
      <c r="D615" s="649"/>
      <c r="E615" s="650"/>
      <c r="F615" s="650"/>
      <c r="G615" s="650"/>
      <c r="H615" s="651"/>
    </row>
    <row r="616" spans="1:8">
      <c r="A616" s="636"/>
      <c r="B616" s="636"/>
      <c r="C616" s="637"/>
      <c r="D616" s="649"/>
      <c r="E616" s="650"/>
      <c r="F616" s="650"/>
      <c r="G616" s="650"/>
      <c r="H616" s="651"/>
    </row>
    <row r="617" spans="1:8">
      <c r="A617" s="636"/>
      <c r="B617" s="636"/>
      <c r="C617" s="637"/>
      <c r="D617" s="649"/>
      <c r="E617" s="650"/>
      <c r="F617" s="650"/>
      <c r="G617" s="650"/>
      <c r="H617" s="651"/>
    </row>
    <row r="618" spans="1:8">
      <c r="A618" s="636"/>
      <c r="B618" s="636"/>
      <c r="C618" s="637"/>
      <c r="D618" s="649"/>
      <c r="E618" s="650"/>
      <c r="F618" s="650"/>
      <c r="G618" s="650"/>
      <c r="H618" s="651"/>
    </row>
    <row r="619" spans="1:8">
      <c r="A619" s="636"/>
      <c r="B619" s="636"/>
      <c r="C619" s="637"/>
      <c r="D619" s="649"/>
      <c r="E619" s="650"/>
      <c r="F619" s="650"/>
      <c r="G619" s="650"/>
      <c r="H619" s="651"/>
    </row>
    <row r="620" spans="1:8">
      <c r="A620" s="636"/>
      <c r="B620" s="636"/>
      <c r="C620" s="637"/>
      <c r="D620" s="649"/>
      <c r="E620" s="650"/>
      <c r="F620" s="650"/>
      <c r="G620" s="650"/>
      <c r="H620" s="651"/>
    </row>
    <row r="621" spans="1:8">
      <c r="A621" s="636"/>
      <c r="B621" s="636"/>
      <c r="C621" s="637"/>
      <c r="D621" s="649"/>
      <c r="E621" s="650"/>
      <c r="F621" s="650"/>
      <c r="G621" s="650"/>
      <c r="H621" s="651"/>
    </row>
    <row r="622" spans="1:8">
      <c r="A622" s="636"/>
      <c r="B622" s="636"/>
      <c r="C622" s="637"/>
      <c r="D622" s="649"/>
      <c r="E622" s="650"/>
      <c r="F622" s="650"/>
      <c r="G622" s="650"/>
      <c r="H622" s="651"/>
    </row>
    <row r="623" spans="1:8">
      <c r="A623" s="636"/>
      <c r="B623" s="636"/>
      <c r="C623" s="637"/>
      <c r="D623" s="649"/>
      <c r="E623" s="650"/>
      <c r="F623" s="650"/>
      <c r="G623" s="650"/>
      <c r="H623" s="651"/>
    </row>
    <row r="624" spans="1:8">
      <c r="A624" s="636"/>
      <c r="B624" s="636"/>
      <c r="C624" s="637"/>
      <c r="D624" s="649"/>
      <c r="E624" s="650"/>
      <c r="F624" s="650"/>
      <c r="G624" s="650"/>
      <c r="H624" s="651"/>
    </row>
    <row r="625" spans="1:8">
      <c r="A625" s="636"/>
      <c r="B625" s="636"/>
      <c r="C625" s="637"/>
      <c r="D625" s="649"/>
      <c r="E625" s="650"/>
      <c r="F625" s="650"/>
      <c r="G625" s="650"/>
      <c r="H625" s="651"/>
    </row>
    <row r="626" spans="1:8">
      <c r="A626" s="636"/>
      <c r="B626" s="636"/>
      <c r="C626" s="637"/>
      <c r="D626" s="649"/>
      <c r="E626" s="650"/>
      <c r="F626" s="650"/>
      <c r="G626" s="650"/>
      <c r="H626" s="651"/>
    </row>
    <row r="627" spans="1:8">
      <c r="A627" s="636"/>
      <c r="B627" s="636"/>
      <c r="C627" s="637"/>
      <c r="D627" s="649"/>
      <c r="E627" s="650"/>
      <c r="F627" s="650"/>
      <c r="G627" s="650"/>
      <c r="H627" s="651"/>
    </row>
    <row r="628" spans="1:8">
      <c r="A628" s="636"/>
      <c r="B628" s="636"/>
      <c r="C628" s="637"/>
      <c r="D628" s="649"/>
      <c r="E628" s="650"/>
      <c r="F628" s="650"/>
      <c r="G628" s="650"/>
      <c r="H628" s="651"/>
    </row>
    <row r="629" spans="1:8">
      <c r="A629" s="636"/>
      <c r="B629" s="636"/>
      <c r="C629" s="637"/>
      <c r="D629" s="649"/>
      <c r="E629" s="650"/>
      <c r="F629" s="650"/>
      <c r="G629" s="650"/>
      <c r="H629" s="651"/>
    </row>
    <row r="630" spans="1:8">
      <c r="A630" s="636"/>
      <c r="B630" s="636"/>
      <c r="C630" s="637"/>
      <c r="D630" s="649"/>
      <c r="E630" s="650"/>
      <c r="F630" s="650"/>
      <c r="G630" s="650"/>
      <c r="H630" s="651"/>
    </row>
    <row r="631" spans="1:8">
      <c r="A631" s="636"/>
      <c r="B631" s="636"/>
      <c r="C631" s="637"/>
      <c r="D631" s="649"/>
      <c r="E631" s="650"/>
      <c r="F631" s="650"/>
      <c r="G631" s="650"/>
      <c r="H631" s="651"/>
    </row>
    <row r="632" spans="1:8">
      <c r="A632" s="636"/>
      <c r="B632" s="636"/>
      <c r="C632" s="637"/>
      <c r="D632" s="649"/>
      <c r="E632" s="650"/>
      <c r="F632" s="650"/>
      <c r="G632" s="650"/>
      <c r="H632" s="651"/>
    </row>
    <row r="633" spans="1:8">
      <c r="A633" s="636"/>
      <c r="B633" s="636"/>
      <c r="C633" s="637"/>
      <c r="D633" s="649"/>
      <c r="E633" s="650"/>
      <c r="F633" s="650"/>
      <c r="G633" s="650"/>
      <c r="H633" s="651"/>
    </row>
    <row r="634" spans="1:8">
      <c r="A634" s="636"/>
      <c r="B634" s="636"/>
      <c r="C634" s="637"/>
      <c r="D634" s="649"/>
      <c r="E634" s="650"/>
      <c r="F634" s="650"/>
      <c r="G634" s="650"/>
      <c r="H634" s="651"/>
    </row>
    <row r="635" spans="1:8">
      <c r="A635" s="636"/>
      <c r="B635" s="636"/>
      <c r="C635" s="637"/>
      <c r="D635" s="649"/>
      <c r="E635" s="650"/>
      <c r="F635" s="650"/>
      <c r="G635" s="650"/>
      <c r="H635" s="651"/>
    </row>
    <row r="636" spans="1:8">
      <c r="A636" s="636"/>
      <c r="B636" s="636"/>
      <c r="C636" s="637"/>
      <c r="D636" s="649"/>
      <c r="E636" s="650"/>
      <c r="F636" s="650"/>
      <c r="G636" s="650"/>
      <c r="H636" s="651"/>
    </row>
    <row r="637" spans="1:8">
      <c r="A637" s="636"/>
      <c r="B637" s="636"/>
      <c r="C637" s="637"/>
      <c r="D637" s="649"/>
      <c r="E637" s="650"/>
      <c r="F637" s="650"/>
      <c r="G637" s="650"/>
      <c r="H637" s="651"/>
    </row>
    <row r="638" spans="1:8">
      <c r="A638" s="636"/>
      <c r="B638" s="636"/>
      <c r="C638" s="637"/>
      <c r="D638" s="649"/>
      <c r="E638" s="650"/>
      <c r="F638" s="650"/>
      <c r="G638" s="650"/>
      <c r="H638" s="651"/>
    </row>
    <row r="639" spans="1:8">
      <c r="A639" s="636"/>
      <c r="B639" s="636"/>
      <c r="C639" s="637"/>
      <c r="D639" s="649"/>
      <c r="E639" s="650"/>
      <c r="F639" s="650"/>
      <c r="G639" s="650"/>
      <c r="H639" s="651"/>
    </row>
    <row r="640" spans="1:8">
      <c r="A640" s="636"/>
      <c r="B640" s="636"/>
      <c r="C640" s="637"/>
      <c r="D640" s="649"/>
      <c r="E640" s="650"/>
      <c r="F640" s="650"/>
      <c r="G640" s="650"/>
      <c r="H640" s="651"/>
    </row>
    <row r="641" spans="1:8">
      <c r="A641" s="636"/>
      <c r="B641" s="636"/>
      <c r="C641" s="637"/>
      <c r="D641" s="649"/>
      <c r="E641" s="650"/>
      <c r="F641" s="650"/>
      <c r="G641" s="650"/>
      <c r="H641" s="651"/>
    </row>
    <row r="642" spans="1:8">
      <c r="A642" s="636"/>
      <c r="B642" s="636"/>
      <c r="C642" s="637"/>
      <c r="D642" s="649"/>
      <c r="E642" s="650"/>
      <c r="F642" s="650"/>
      <c r="G642" s="650"/>
      <c r="H642" s="651"/>
    </row>
    <row r="643" spans="1:8">
      <c r="A643" s="636"/>
      <c r="B643" s="636"/>
      <c r="C643" s="637"/>
      <c r="D643" s="649"/>
      <c r="E643" s="650"/>
      <c r="F643" s="650"/>
      <c r="G643" s="650"/>
      <c r="H643" s="651"/>
    </row>
    <row r="644" spans="1:8">
      <c r="A644" s="636"/>
      <c r="B644" s="636"/>
      <c r="C644" s="637"/>
      <c r="D644" s="649"/>
      <c r="E644" s="650"/>
      <c r="F644" s="650"/>
      <c r="G644" s="650"/>
      <c r="H644" s="651"/>
    </row>
    <row r="645" spans="1:8">
      <c r="A645" s="636"/>
      <c r="B645" s="636"/>
      <c r="C645" s="637"/>
      <c r="D645" s="649"/>
      <c r="E645" s="650"/>
      <c r="F645" s="650"/>
      <c r="G645" s="650"/>
      <c r="H645" s="651"/>
    </row>
    <row r="646" spans="1:8">
      <c r="A646" s="636"/>
      <c r="B646" s="636"/>
      <c r="C646" s="637"/>
      <c r="D646" s="649"/>
      <c r="E646" s="650"/>
      <c r="F646" s="650"/>
      <c r="G646" s="650"/>
      <c r="H646" s="651"/>
    </row>
    <row r="647" spans="1:8">
      <c r="A647" s="636"/>
      <c r="B647" s="636"/>
      <c r="C647" s="637"/>
      <c r="D647" s="649"/>
      <c r="E647" s="650"/>
      <c r="F647" s="650"/>
      <c r="G647" s="650"/>
      <c r="H647" s="651"/>
    </row>
    <row r="648" spans="1:8">
      <c r="A648" s="636"/>
      <c r="B648" s="636"/>
      <c r="C648" s="637"/>
      <c r="D648" s="649"/>
      <c r="E648" s="650"/>
      <c r="F648" s="650"/>
      <c r="G648" s="650"/>
      <c r="H648" s="651"/>
    </row>
    <row r="649" spans="1:8">
      <c r="A649" s="636"/>
      <c r="B649" s="636"/>
      <c r="C649" s="637"/>
      <c r="D649" s="649"/>
      <c r="E649" s="650"/>
      <c r="F649" s="650"/>
      <c r="G649" s="650"/>
      <c r="H649" s="651"/>
    </row>
    <row r="650" spans="1:8">
      <c r="A650" s="636"/>
      <c r="B650" s="636"/>
      <c r="C650" s="637"/>
      <c r="D650" s="649"/>
      <c r="E650" s="650"/>
      <c r="F650" s="650"/>
      <c r="G650" s="650"/>
      <c r="H650" s="651"/>
    </row>
    <row r="651" spans="1:8">
      <c r="A651" s="636"/>
      <c r="B651" s="636"/>
      <c r="C651" s="637"/>
      <c r="D651" s="649"/>
      <c r="E651" s="650"/>
      <c r="F651" s="650"/>
      <c r="G651" s="650"/>
      <c r="H651" s="651"/>
    </row>
    <row r="652" spans="1:8">
      <c r="A652" s="636"/>
      <c r="B652" s="636"/>
      <c r="C652" s="637"/>
      <c r="D652" s="649"/>
      <c r="E652" s="650"/>
      <c r="F652" s="650"/>
      <c r="G652" s="650"/>
      <c r="H652" s="651"/>
    </row>
    <row r="653" spans="1:8">
      <c r="A653" s="636"/>
      <c r="B653" s="636"/>
      <c r="C653" s="637"/>
      <c r="D653" s="649"/>
      <c r="E653" s="650"/>
      <c r="F653" s="650"/>
      <c r="G653" s="650"/>
      <c r="H653" s="651"/>
    </row>
    <row r="654" spans="1:8">
      <c r="A654" s="636"/>
      <c r="B654" s="636"/>
      <c r="C654" s="637"/>
      <c r="D654" s="649"/>
      <c r="E654" s="650"/>
      <c r="F654" s="650"/>
      <c r="G654" s="650"/>
      <c r="H654" s="651"/>
    </row>
    <row r="655" spans="1:8">
      <c r="A655" s="636"/>
      <c r="B655" s="636"/>
      <c r="C655" s="637"/>
      <c r="D655" s="649"/>
      <c r="E655" s="650"/>
      <c r="F655" s="650"/>
      <c r="G655" s="650"/>
      <c r="H655" s="651"/>
    </row>
    <row r="656" spans="1:8">
      <c r="A656" s="636"/>
      <c r="B656" s="636"/>
      <c r="C656" s="637"/>
      <c r="D656" s="649"/>
      <c r="E656" s="650"/>
      <c r="F656" s="650"/>
      <c r="G656" s="650"/>
      <c r="H656" s="651"/>
    </row>
    <row r="657" spans="1:8">
      <c r="A657" s="636"/>
      <c r="B657" s="636"/>
      <c r="C657" s="637"/>
      <c r="D657" s="649"/>
      <c r="E657" s="650"/>
      <c r="F657" s="650"/>
      <c r="G657" s="650"/>
      <c r="H657" s="651"/>
    </row>
    <row r="658" spans="1:8">
      <c r="A658" s="636"/>
      <c r="B658" s="636"/>
      <c r="C658" s="637"/>
      <c r="D658" s="649"/>
      <c r="E658" s="650"/>
      <c r="F658" s="650"/>
      <c r="G658" s="650"/>
      <c r="H658" s="651"/>
    </row>
    <row r="659" spans="1:8">
      <c r="A659" s="636"/>
      <c r="B659" s="636"/>
      <c r="C659" s="637"/>
      <c r="D659" s="649"/>
      <c r="E659" s="650"/>
      <c r="F659" s="650"/>
      <c r="G659" s="650"/>
      <c r="H659" s="651"/>
    </row>
    <row r="660" spans="1:8">
      <c r="A660" s="636"/>
      <c r="B660" s="636"/>
      <c r="C660" s="637"/>
      <c r="D660" s="649"/>
      <c r="E660" s="650"/>
      <c r="F660" s="650"/>
      <c r="G660" s="650"/>
      <c r="H660" s="651"/>
    </row>
    <row r="661" spans="1:8">
      <c r="A661" s="636"/>
      <c r="B661" s="636"/>
      <c r="C661" s="637"/>
      <c r="D661" s="649"/>
      <c r="E661" s="650"/>
      <c r="F661" s="650"/>
      <c r="G661" s="650"/>
      <c r="H661" s="651"/>
    </row>
    <row r="662" spans="1:8">
      <c r="A662" s="636"/>
      <c r="B662" s="636"/>
      <c r="C662" s="637"/>
      <c r="D662" s="649"/>
      <c r="E662" s="650"/>
      <c r="F662" s="650"/>
      <c r="G662" s="650"/>
      <c r="H662" s="651"/>
    </row>
    <row r="663" spans="1:8">
      <c r="A663" s="636"/>
      <c r="B663" s="636"/>
      <c r="C663" s="637"/>
      <c r="D663" s="649"/>
      <c r="E663" s="650"/>
      <c r="F663" s="650"/>
      <c r="G663" s="650"/>
      <c r="H663" s="651"/>
    </row>
    <row r="664" spans="1:8">
      <c r="A664" s="636"/>
      <c r="B664" s="636"/>
      <c r="C664" s="637"/>
      <c r="D664" s="649"/>
      <c r="E664" s="650"/>
      <c r="F664" s="650"/>
      <c r="G664" s="650"/>
      <c r="H664" s="651"/>
    </row>
    <row r="665" spans="1:8">
      <c r="A665" s="636"/>
      <c r="B665" s="636"/>
      <c r="C665" s="637"/>
      <c r="D665" s="649"/>
      <c r="E665" s="650"/>
      <c r="F665" s="650"/>
      <c r="G665" s="650"/>
      <c r="H665" s="651"/>
    </row>
    <row r="666" spans="1:8">
      <c r="A666" s="636"/>
      <c r="B666" s="636"/>
      <c r="C666" s="637"/>
      <c r="D666" s="649"/>
      <c r="E666" s="650"/>
      <c r="F666" s="650"/>
      <c r="G666" s="650"/>
      <c r="H666" s="651"/>
    </row>
    <row r="667" spans="1:8">
      <c r="A667" s="636"/>
      <c r="B667" s="636"/>
      <c r="C667" s="637"/>
      <c r="D667" s="649"/>
      <c r="E667" s="650"/>
      <c r="F667" s="650"/>
      <c r="G667" s="650"/>
      <c r="H667" s="651"/>
    </row>
    <row r="668" spans="1:8">
      <c r="A668" s="636"/>
      <c r="B668" s="636"/>
      <c r="C668" s="637"/>
      <c r="D668" s="649"/>
      <c r="E668" s="650"/>
      <c r="F668" s="650"/>
      <c r="G668" s="650"/>
      <c r="H668" s="651"/>
    </row>
    <row r="669" spans="1:8">
      <c r="A669" s="636"/>
      <c r="B669" s="636"/>
      <c r="C669" s="637"/>
      <c r="D669" s="649"/>
      <c r="E669" s="650"/>
      <c r="F669" s="650"/>
      <c r="G669" s="650"/>
      <c r="H669" s="651"/>
    </row>
  </sheetData>
  <conditionalFormatting sqref="A245:H264">
    <cfRule type="cellIs" dxfId="2" priority="2" operator="lessThan">
      <formula>0</formula>
    </cfRule>
  </conditionalFormatting>
  <conditionalFormatting sqref="C349:C669 A265:H303 A349:H610">
    <cfRule type="cellIs" dxfId="1" priority="3" operator="lessThan">
      <formula>0</formula>
    </cfRule>
  </conditionalFormatting>
  <conditionalFormatting sqref="C1">
    <cfRule type="cellIs" dxfId="0" priority="1" operator="less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90"/>
  <sheetViews>
    <sheetView workbookViewId="0"/>
  </sheetViews>
  <sheetFormatPr defaultColWidth="9.140625" defaultRowHeight="15"/>
  <cols>
    <col min="1" max="1" width="11.85546875" style="67" customWidth="1"/>
    <col min="3" max="3" width="9.140625" style="60"/>
    <col min="4" max="4" width="93.5703125" customWidth="1"/>
  </cols>
  <sheetData>
    <row r="1" spans="1:15" ht="30">
      <c r="A1" s="546" t="s">
        <v>3435</v>
      </c>
      <c r="B1" s="6"/>
      <c r="C1" s="6"/>
      <c r="D1" s="6" t="s">
        <v>166</v>
      </c>
      <c r="E1" s="2"/>
      <c r="F1" s="2"/>
      <c r="G1" s="2"/>
      <c r="H1" s="2"/>
      <c r="I1" s="2"/>
      <c r="J1" s="2"/>
      <c r="K1" s="2"/>
      <c r="L1" s="2"/>
      <c r="M1" s="2"/>
      <c r="N1" s="2"/>
      <c r="O1" s="2"/>
    </row>
    <row r="2" spans="1:15">
      <c r="A2" s="545" t="s">
        <v>3290</v>
      </c>
      <c r="B2" s="2">
        <v>1</v>
      </c>
      <c r="D2" s="547" t="s">
        <v>3750</v>
      </c>
      <c r="E2" s="2"/>
      <c r="F2" s="2"/>
      <c r="G2" s="2"/>
      <c r="H2" s="2"/>
      <c r="I2" s="2"/>
      <c r="J2" s="2"/>
      <c r="K2" s="2"/>
      <c r="L2" s="2"/>
      <c r="M2" s="2"/>
      <c r="N2" s="2"/>
      <c r="O2" s="2"/>
    </row>
    <row r="3" spans="1:15">
      <c r="A3" s="545" t="s">
        <v>3290</v>
      </c>
      <c r="B3" s="2">
        <v>2</v>
      </c>
      <c r="D3" s="548" t="s">
        <v>3751</v>
      </c>
      <c r="E3" s="2"/>
      <c r="F3" s="2"/>
      <c r="G3" s="2"/>
      <c r="H3" s="2"/>
      <c r="I3" s="2"/>
      <c r="J3" s="2"/>
      <c r="K3" s="2"/>
      <c r="L3" s="2"/>
      <c r="M3" s="2"/>
      <c r="N3" s="2"/>
      <c r="O3" s="2"/>
    </row>
    <row r="4" spans="1:15">
      <c r="A4" s="545" t="s">
        <v>3290</v>
      </c>
      <c r="B4" s="2">
        <v>3</v>
      </c>
      <c r="D4" s="548" t="s">
        <v>3751</v>
      </c>
      <c r="E4" s="2"/>
      <c r="F4" s="2"/>
      <c r="G4" s="2"/>
      <c r="H4" s="2"/>
      <c r="I4" s="2"/>
      <c r="J4" s="2"/>
      <c r="K4" s="2"/>
      <c r="L4" s="2"/>
      <c r="M4" s="2"/>
      <c r="N4" s="2"/>
      <c r="O4" s="2"/>
    </row>
    <row r="5" spans="1:15">
      <c r="A5" s="545" t="s">
        <v>3290</v>
      </c>
      <c r="B5" s="2">
        <v>4</v>
      </c>
      <c r="D5" s="548" t="s">
        <v>3428</v>
      </c>
      <c r="E5" s="2"/>
      <c r="F5" s="2"/>
      <c r="G5" s="2"/>
      <c r="H5" s="2"/>
      <c r="I5" s="2"/>
      <c r="J5" s="2"/>
      <c r="K5" s="2"/>
      <c r="L5" s="2"/>
      <c r="M5" s="2"/>
      <c r="N5" s="2"/>
      <c r="O5" s="2"/>
    </row>
    <row r="6" spans="1:15">
      <c r="A6" s="545" t="s">
        <v>3290</v>
      </c>
      <c r="B6" s="2">
        <v>5</v>
      </c>
      <c r="D6" s="548" t="s">
        <v>3752</v>
      </c>
      <c r="E6" s="47"/>
      <c r="F6" s="2"/>
      <c r="G6" s="2"/>
      <c r="H6" s="2"/>
      <c r="I6" s="2"/>
      <c r="J6" s="2"/>
      <c r="K6" s="2"/>
      <c r="L6" s="2"/>
      <c r="M6" s="2"/>
      <c r="N6" s="2"/>
      <c r="O6" s="2"/>
    </row>
    <row r="7" spans="1:15">
      <c r="A7" s="545" t="s">
        <v>3290</v>
      </c>
      <c r="B7" s="2">
        <v>6</v>
      </c>
      <c r="D7" s="548" t="s">
        <v>3428</v>
      </c>
      <c r="E7" s="2"/>
      <c r="F7" s="2"/>
      <c r="G7" s="2"/>
      <c r="H7" s="2"/>
      <c r="I7" s="2"/>
      <c r="J7" s="2"/>
      <c r="K7" s="2"/>
      <c r="L7" s="2"/>
      <c r="M7" s="2"/>
      <c r="N7" s="2"/>
      <c r="O7" s="2"/>
    </row>
    <row r="8" spans="1:15">
      <c r="A8" s="545" t="s">
        <v>3290</v>
      </c>
      <c r="B8" s="2">
        <v>7</v>
      </c>
      <c r="D8" s="548" t="s">
        <v>3753</v>
      </c>
      <c r="E8" s="2"/>
      <c r="F8" s="2"/>
      <c r="G8" s="2"/>
      <c r="H8" s="2"/>
      <c r="I8" s="2"/>
      <c r="J8" s="2"/>
      <c r="K8" s="2"/>
      <c r="L8" s="2"/>
      <c r="M8" s="2"/>
      <c r="N8" s="2"/>
      <c r="O8" s="2"/>
    </row>
    <row r="9" spans="1:15">
      <c r="A9" s="545" t="s">
        <v>3290</v>
      </c>
      <c r="B9" s="2">
        <v>8</v>
      </c>
      <c r="D9" s="548" t="s">
        <v>3754</v>
      </c>
      <c r="E9" s="2"/>
      <c r="F9" s="2"/>
      <c r="G9" s="2"/>
      <c r="H9" s="2"/>
      <c r="I9" s="2"/>
      <c r="J9" s="2"/>
      <c r="K9" s="2"/>
      <c r="L9" s="2"/>
      <c r="M9" s="2"/>
      <c r="N9" s="2"/>
      <c r="O9" s="2"/>
    </row>
    <row r="10" spans="1:15">
      <c r="A10" s="545" t="s">
        <v>3290</v>
      </c>
      <c r="B10" s="2">
        <v>9</v>
      </c>
      <c r="D10" s="548" t="s">
        <v>3755</v>
      </c>
      <c r="E10" s="2"/>
      <c r="F10" s="2"/>
      <c r="G10" s="2"/>
      <c r="H10" s="2"/>
      <c r="I10" s="2"/>
      <c r="J10" s="2"/>
      <c r="K10" s="2"/>
      <c r="L10" s="2"/>
      <c r="M10" s="2"/>
      <c r="N10" s="2"/>
      <c r="O10" s="2"/>
    </row>
    <row r="11" spans="1:15">
      <c r="A11" s="545" t="s">
        <v>3290</v>
      </c>
      <c r="B11" s="2">
        <v>10</v>
      </c>
      <c r="D11" s="548" t="s">
        <v>3756</v>
      </c>
      <c r="E11" s="2"/>
      <c r="F11" s="2"/>
      <c r="G11" s="2"/>
      <c r="H11" s="2"/>
      <c r="I11" s="2"/>
      <c r="J11" s="2"/>
      <c r="K11" s="2"/>
      <c r="L11" s="2"/>
      <c r="M11" s="2"/>
      <c r="N11" s="2"/>
      <c r="O11" s="2"/>
    </row>
    <row r="12" spans="1:15">
      <c r="A12" s="545" t="s">
        <v>3290</v>
      </c>
      <c r="B12" s="2">
        <v>11</v>
      </c>
      <c r="D12" s="548" t="s">
        <v>3429</v>
      </c>
      <c r="E12" s="2"/>
      <c r="F12" s="2"/>
      <c r="G12" s="2"/>
      <c r="H12" s="2"/>
      <c r="I12" s="2"/>
      <c r="J12" s="2"/>
      <c r="K12" s="2"/>
      <c r="L12" s="2"/>
      <c r="M12" s="2"/>
      <c r="N12" s="2"/>
      <c r="O12" s="2"/>
    </row>
    <row r="13" spans="1:15">
      <c r="A13" s="545" t="s">
        <v>3290</v>
      </c>
      <c r="B13" s="2">
        <v>12</v>
      </c>
      <c r="D13" s="548" t="s">
        <v>3755</v>
      </c>
      <c r="E13" s="2"/>
      <c r="F13" s="2"/>
      <c r="G13" s="2"/>
      <c r="H13" s="2"/>
      <c r="I13" s="2"/>
      <c r="J13" s="2"/>
      <c r="K13" s="2"/>
      <c r="L13" s="2"/>
      <c r="M13" s="2"/>
      <c r="N13" s="2"/>
      <c r="O13" s="2"/>
    </row>
    <row r="14" spans="1:15">
      <c r="A14" s="545" t="s">
        <v>3290</v>
      </c>
      <c r="B14" s="2">
        <v>13</v>
      </c>
      <c r="D14" s="547" t="s">
        <v>3757</v>
      </c>
      <c r="E14" s="2"/>
      <c r="F14" s="2"/>
      <c r="G14" s="2"/>
      <c r="H14" s="2"/>
      <c r="I14" s="2"/>
      <c r="J14" s="2"/>
      <c r="K14" s="2"/>
      <c r="L14" s="2"/>
      <c r="M14" s="2"/>
      <c r="N14" s="2"/>
      <c r="O14" s="2"/>
    </row>
    <row r="15" spans="1:15">
      <c r="A15" s="545" t="s">
        <v>3290</v>
      </c>
      <c r="B15" s="2">
        <v>14</v>
      </c>
      <c r="D15" s="547" t="s">
        <v>3758</v>
      </c>
      <c r="E15" s="2"/>
      <c r="F15" s="2"/>
      <c r="G15" s="2"/>
      <c r="H15" s="2"/>
      <c r="I15" s="2"/>
      <c r="J15" s="2"/>
      <c r="K15" s="2"/>
      <c r="L15" s="2"/>
      <c r="M15" s="2"/>
      <c r="N15" s="2"/>
      <c r="O15" s="2"/>
    </row>
    <row r="16" spans="1:15">
      <c r="A16" s="545" t="s">
        <v>3290</v>
      </c>
      <c r="B16" s="2">
        <v>15</v>
      </c>
      <c r="D16" s="547" t="s">
        <v>3759</v>
      </c>
      <c r="E16" s="2"/>
      <c r="F16" s="2"/>
      <c r="G16" s="2"/>
      <c r="H16" s="2"/>
      <c r="I16" s="2"/>
      <c r="J16" s="2"/>
      <c r="K16" s="2"/>
      <c r="L16" s="2"/>
      <c r="M16" s="2"/>
      <c r="N16" s="2"/>
      <c r="O16" s="2"/>
    </row>
    <row r="17" spans="1:15">
      <c r="A17" s="545" t="s">
        <v>3290</v>
      </c>
      <c r="B17" s="2">
        <v>16</v>
      </c>
      <c r="D17" s="547" t="s">
        <v>3749</v>
      </c>
      <c r="E17" s="2"/>
      <c r="F17" s="2"/>
      <c r="G17" s="2"/>
      <c r="H17" s="2"/>
      <c r="I17" s="2"/>
      <c r="J17" s="2"/>
      <c r="K17" s="2"/>
      <c r="L17" s="2"/>
      <c r="M17" s="2"/>
      <c r="N17" s="2"/>
      <c r="O17" s="2"/>
    </row>
    <row r="18" spans="1:15">
      <c r="A18" s="545" t="s">
        <v>3290</v>
      </c>
      <c r="B18" s="2">
        <v>17</v>
      </c>
      <c r="D18" s="547" t="s">
        <v>3760</v>
      </c>
      <c r="E18" s="2"/>
      <c r="F18" s="2"/>
      <c r="G18" s="2"/>
      <c r="H18" s="2"/>
      <c r="I18" s="2"/>
      <c r="J18" s="2"/>
      <c r="K18" s="2"/>
      <c r="L18" s="2"/>
      <c r="M18" s="2"/>
      <c r="N18" s="2"/>
      <c r="O18" s="2"/>
    </row>
    <row r="19" spans="1:15">
      <c r="A19" s="545" t="s">
        <v>3290</v>
      </c>
      <c r="B19" s="2">
        <v>18</v>
      </c>
      <c r="D19" s="547" t="s">
        <v>3761</v>
      </c>
      <c r="E19" s="2"/>
      <c r="F19" s="2"/>
      <c r="G19" s="2"/>
      <c r="H19" s="2"/>
      <c r="I19" s="2"/>
      <c r="J19" s="2"/>
      <c r="K19" s="2"/>
      <c r="L19" s="2"/>
      <c r="M19" s="2"/>
      <c r="N19" s="2"/>
      <c r="O19" s="2"/>
    </row>
    <row r="20" spans="1:15">
      <c r="A20" s="545" t="s">
        <v>3290</v>
      </c>
      <c r="B20" s="2">
        <v>19</v>
      </c>
      <c r="D20" s="548" t="s">
        <v>3430</v>
      </c>
      <c r="E20" s="2"/>
      <c r="F20" s="2"/>
      <c r="G20" s="2"/>
      <c r="H20" s="2"/>
      <c r="I20" s="2"/>
      <c r="J20" s="2"/>
      <c r="K20" s="2"/>
      <c r="L20" s="2"/>
      <c r="M20" s="2"/>
      <c r="N20" s="2"/>
      <c r="O20" s="2"/>
    </row>
    <row r="21" spans="1:15">
      <c r="A21" s="545" t="s">
        <v>3290</v>
      </c>
      <c r="B21" s="2">
        <v>20</v>
      </c>
      <c r="D21" s="547" t="s">
        <v>3762</v>
      </c>
      <c r="E21" s="2"/>
      <c r="F21" s="2"/>
      <c r="G21" s="2"/>
      <c r="H21" s="2"/>
      <c r="I21" s="2"/>
      <c r="J21" s="2"/>
      <c r="K21" s="2"/>
      <c r="L21" s="2"/>
      <c r="M21" s="2"/>
      <c r="N21" s="2"/>
      <c r="O21" s="2"/>
    </row>
    <row r="22" spans="1:15">
      <c r="A22" s="545" t="s">
        <v>3290</v>
      </c>
      <c r="B22" s="2">
        <v>21</v>
      </c>
      <c r="D22" s="547" t="s">
        <v>3763</v>
      </c>
      <c r="E22" s="2"/>
      <c r="F22" s="2"/>
      <c r="G22" s="2"/>
      <c r="H22" s="2"/>
      <c r="I22" s="2"/>
      <c r="J22" s="2"/>
      <c r="K22" s="2"/>
      <c r="L22" s="2"/>
      <c r="M22" s="2"/>
      <c r="N22" s="2"/>
      <c r="O22" s="2"/>
    </row>
    <row r="23" spans="1:15">
      <c r="A23" s="545" t="s">
        <v>3290</v>
      </c>
      <c r="B23" s="2">
        <v>22</v>
      </c>
      <c r="D23" s="547" t="s">
        <v>3764</v>
      </c>
      <c r="E23" s="2"/>
      <c r="F23" s="2"/>
      <c r="G23" s="2"/>
      <c r="H23" s="2"/>
      <c r="I23" s="2"/>
      <c r="J23" s="2"/>
      <c r="K23" s="2"/>
      <c r="L23" s="2"/>
      <c r="M23" s="2"/>
      <c r="N23" s="2"/>
      <c r="O23" s="2"/>
    </row>
    <row r="24" spans="1:15">
      <c r="A24" s="545" t="s">
        <v>3290</v>
      </c>
      <c r="B24" s="2">
        <v>23</v>
      </c>
      <c r="D24" s="49" t="s">
        <v>3430</v>
      </c>
      <c r="E24" s="2"/>
      <c r="F24" s="2"/>
      <c r="G24" s="2"/>
      <c r="H24" s="2"/>
      <c r="I24" s="2"/>
      <c r="J24" s="2"/>
      <c r="K24" s="2"/>
      <c r="L24" s="2"/>
      <c r="M24" s="2"/>
      <c r="N24" s="2"/>
      <c r="O24" s="2"/>
    </row>
    <row r="25" spans="1:15">
      <c r="A25" s="544" t="s">
        <v>3748</v>
      </c>
      <c r="B25" s="2">
        <v>24</v>
      </c>
      <c r="D25" s="49" t="s">
        <v>167</v>
      </c>
      <c r="E25" s="2"/>
      <c r="F25" s="2"/>
      <c r="G25" s="2"/>
      <c r="H25" s="2"/>
      <c r="I25" s="2"/>
      <c r="J25" s="2"/>
      <c r="K25" s="2"/>
      <c r="L25" s="2"/>
      <c r="M25" s="2"/>
      <c r="N25" s="2"/>
      <c r="O25" s="2"/>
    </row>
    <row r="26" spans="1:15">
      <c r="A26" s="544" t="s">
        <v>3748</v>
      </c>
      <c r="B26" s="2">
        <v>25</v>
      </c>
      <c r="D26" s="2" t="s">
        <v>168</v>
      </c>
      <c r="E26" s="2"/>
      <c r="F26" s="2"/>
      <c r="G26" s="2"/>
      <c r="H26" s="2"/>
      <c r="I26" s="2"/>
      <c r="J26" s="2"/>
      <c r="K26" s="2"/>
      <c r="L26" s="2"/>
      <c r="M26" s="2"/>
      <c r="N26" s="2"/>
      <c r="O26" s="2"/>
    </row>
    <row r="27" spans="1:15">
      <c r="A27" s="544" t="s">
        <v>3748</v>
      </c>
      <c r="B27" s="2">
        <v>26</v>
      </c>
      <c r="D27" s="2" t="s">
        <v>169</v>
      </c>
      <c r="E27" s="2"/>
      <c r="F27" s="2"/>
      <c r="G27" s="2"/>
      <c r="H27" s="2"/>
      <c r="I27" s="2"/>
      <c r="J27" s="2"/>
      <c r="K27" s="2"/>
      <c r="L27" s="2"/>
      <c r="M27" s="2"/>
      <c r="N27" s="2"/>
      <c r="O27" s="2"/>
    </row>
    <row r="28" spans="1:15">
      <c r="A28" s="544" t="s">
        <v>3748</v>
      </c>
      <c r="B28" s="2">
        <v>27</v>
      </c>
      <c r="D28" s="2" t="s">
        <v>170</v>
      </c>
      <c r="E28" s="2"/>
      <c r="F28" s="2"/>
      <c r="G28" s="2"/>
      <c r="H28" s="2"/>
      <c r="I28" s="2"/>
      <c r="J28" s="2"/>
      <c r="K28" s="2"/>
      <c r="L28" s="2"/>
      <c r="M28" s="2"/>
      <c r="N28" s="2"/>
      <c r="O28" s="2"/>
    </row>
    <row r="29" spans="1:15">
      <c r="A29" s="544" t="s">
        <v>3748</v>
      </c>
      <c r="B29" s="2">
        <v>28</v>
      </c>
      <c r="D29" s="2" t="s">
        <v>171</v>
      </c>
      <c r="E29" s="2"/>
      <c r="F29" s="2"/>
      <c r="G29" s="2"/>
      <c r="H29" s="2"/>
      <c r="I29" s="2"/>
      <c r="J29" s="2"/>
      <c r="K29" s="2"/>
      <c r="L29" s="2"/>
      <c r="M29" s="2"/>
      <c r="N29" s="2"/>
      <c r="O29" s="2"/>
    </row>
    <row r="30" spans="1:15">
      <c r="A30" s="544" t="s">
        <v>3748</v>
      </c>
      <c r="B30" s="2">
        <v>29</v>
      </c>
      <c r="D30" s="2" t="s">
        <v>172</v>
      </c>
      <c r="E30" s="2"/>
      <c r="F30" s="2"/>
      <c r="G30" s="2"/>
      <c r="H30" s="2"/>
      <c r="I30" s="2"/>
      <c r="J30" s="2"/>
      <c r="K30" s="2"/>
      <c r="L30" s="2"/>
      <c r="M30" s="2"/>
      <c r="N30" s="2"/>
      <c r="O30" s="2"/>
    </row>
    <row r="31" spans="1:15">
      <c r="A31" s="544" t="s">
        <v>3748</v>
      </c>
      <c r="B31" s="2">
        <v>30</v>
      </c>
      <c r="D31" s="2" t="s">
        <v>173</v>
      </c>
      <c r="E31" s="2"/>
      <c r="F31" s="2"/>
      <c r="G31" s="2"/>
      <c r="H31" s="2"/>
      <c r="I31" s="2"/>
      <c r="J31" s="2"/>
      <c r="K31" s="2"/>
      <c r="L31" s="2"/>
      <c r="M31" s="2"/>
      <c r="N31" s="2"/>
      <c r="O31" s="2"/>
    </row>
    <row r="32" spans="1:15">
      <c r="A32" s="544" t="s">
        <v>3748</v>
      </c>
      <c r="B32" s="2">
        <v>31</v>
      </c>
      <c r="D32" s="2" t="s">
        <v>174</v>
      </c>
      <c r="E32" s="2"/>
      <c r="F32" s="2"/>
      <c r="G32" s="2"/>
      <c r="H32" s="2"/>
      <c r="I32" s="2"/>
      <c r="J32" s="2"/>
      <c r="K32" s="2"/>
      <c r="L32" s="2"/>
      <c r="M32" s="2"/>
      <c r="N32" s="2"/>
      <c r="O32" s="2"/>
    </row>
    <row r="33" spans="1:15">
      <c r="A33" s="544" t="s">
        <v>3748</v>
      </c>
      <c r="B33" s="2">
        <v>32</v>
      </c>
      <c r="D33" s="2" t="s">
        <v>175</v>
      </c>
      <c r="E33" s="2"/>
      <c r="F33" s="2"/>
      <c r="G33" s="2"/>
      <c r="H33" s="2"/>
      <c r="I33" s="2"/>
      <c r="J33" s="2"/>
      <c r="K33" s="2"/>
      <c r="L33" s="2"/>
      <c r="M33" s="2"/>
      <c r="N33" s="2"/>
      <c r="O33" s="2"/>
    </row>
    <row r="34" spans="1:15">
      <c r="A34" s="544" t="s">
        <v>3748</v>
      </c>
      <c r="B34" s="2">
        <v>33</v>
      </c>
      <c r="D34" s="2" t="s">
        <v>176</v>
      </c>
      <c r="E34" s="2"/>
      <c r="F34" s="2"/>
      <c r="G34" s="2"/>
      <c r="H34" s="2"/>
      <c r="I34" s="2"/>
      <c r="J34" s="2"/>
      <c r="K34" s="2"/>
      <c r="L34" s="2"/>
      <c r="M34" s="2"/>
      <c r="N34" s="2"/>
      <c r="O34" s="2"/>
    </row>
    <row r="35" spans="1:15">
      <c r="A35" s="544" t="s">
        <v>3748</v>
      </c>
      <c r="B35" s="2">
        <v>34</v>
      </c>
      <c r="D35" s="2" t="s">
        <v>177</v>
      </c>
      <c r="E35" s="2"/>
      <c r="F35" s="2"/>
      <c r="G35" s="2"/>
      <c r="H35" s="2"/>
      <c r="I35" s="2"/>
      <c r="J35" s="2"/>
      <c r="K35" s="2"/>
      <c r="L35" s="2"/>
      <c r="M35" s="2"/>
      <c r="N35" s="2"/>
      <c r="O35" s="2"/>
    </row>
    <row r="36" spans="1:15">
      <c r="A36" s="544" t="s">
        <v>3748</v>
      </c>
      <c r="B36" s="2">
        <v>35</v>
      </c>
      <c r="D36" s="2" t="s">
        <v>2968</v>
      </c>
      <c r="E36" s="2"/>
      <c r="F36" s="2"/>
      <c r="G36" s="2"/>
      <c r="H36" s="2"/>
      <c r="I36" s="2"/>
      <c r="J36" s="2"/>
      <c r="K36" s="2"/>
      <c r="L36" s="2"/>
      <c r="M36" s="2"/>
      <c r="N36" s="2"/>
      <c r="O36" s="2"/>
    </row>
    <row r="37" spans="1:15">
      <c r="A37" s="544" t="s">
        <v>3748</v>
      </c>
      <c r="B37" s="2">
        <v>36</v>
      </c>
      <c r="D37" s="2" t="s">
        <v>2966</v>
      </c>
      <c r="E37" s="2"/>
      <c r="F37" s="2"/>
      <c r="G37" s="2"/>
      <c r="H37" s="2"/>
      <c r="I37" s="2"/>
      <c r="J37" s="2"/>
      <c r="K37" s="2"/>
      <c r="L37" s="2"/>
      <c r="M37" s="2"/>
      <c r="N37" s="2"/>
      <c r="O37" s="2"/>
    </row>
    <row r="38" spans="1:15">
      <c r="A38" s="544" t="s">
        <v>3748</v>
      </c>
      <c r="B38" s="2">
        <v>37</v>
      </c>
      <c r="D38" s="2" t="s">
        <v>2967</v>
      </c>
      <c r="E38" s="2"/>
      <c r="F38" s="2"/>
      <c r="G38" s="2"/>
      <c r="H38" s="2"/>
      <c r="I38" s="2"/>
      <c r="J38" s="2"/>
      <c r="K38" s="2"/>
      <c r="L38" s="2"/>
      <c r="M38" s="2"/>
      <c r="N38" s="2"/>
      <c r="O38" s="2"/>
    </row>
    <row r="39" spans="1:15">
      <c r="A39" s="544" t="s">
        <v>3748</v>
      </c>
      <c r="B39" s="2">
        <v>38</v>
      </c>
      <c r="D39" s="2" t="s">
        <v>178</v>
      </c>
      <c r="E39" s="2"/>
      <c r="F39" s="2"/>
      <c r="G39" s="2"/>
      <c r="H39" s="2"/>
      <c r="I39" s="2"/>
      <c r="J39" s="2"/>
      <c r="K39" s="2"/>
      <c r="L39" s="2"/>
      <c r="M39" s="2"/>
      <c r="N39" s="2"/>
      <c r="O39" s="2"/>
    </row>
    <row r="40" spans="1:15">
      <c r="A40" s="544" t="s">
        <v>3748</v>
      </c>
      <c r="B40" s="2">
        <v>39</v>
      </c>
      <c r="D40" s="2" t="s">
        <v>179</v>
      </c>
      <c r="E40" s="2"/>
      <c r="F40" s="2"/>
      <c r="G40" s="2"/>
      <c r="H40" s="2"/>
      <c r="I40" s="2"/>
      <c r="J40" s="2"/>
      <c r="K40" s="2"/>
      <c r="L40" s="2"/>
      <c r="M40" s="2"/>
      <c r="N40" s="2"/>
      <c r="O40" s="2"/>
    </row>
    <row r="41" spans="1:15">
      <c r="A41" s="544" t="s">
        <v>3748</v>
      </c>
      <c r="B41" s="2">
        <v>40</v>
      </c>
      <c r="D41" s="2" t="s">
        <v>180</v>
      </c>
      <c r="E41" s="2"/>
      <c r="F41" s="2"/>
      <c r="G41" s="2"/>
      <c r="H41" s="2"/>
      <c r="I41" s="2"/>
      <c r="J41" s="2"/>
      <c r="K41" s="2"/>
      <c r="L41" s="2"/>
      <c r="M41" s="2"/>
      <c r="N41" s="2"/>
      <c r="O41" s="2"/>
    </row>
    <row r="42" spans="1:15">
      <c r="A42" s="544" t="s">
        <v>3748</v>
      </c>
      <c r="B42" s="2">
        <v>41</v>
      </c>
      <c r="D42" s="2" t="s">
        <v>181</v>
      </c>
      <c r="E42" s="2"/>
      <c r="F42" s="2"/>
      <c r="G42" s="2"/>
      <c r="H42" s="2"/>
      <c r="I42" s="2"/>
      <c r="J42" s="2"/>
      <c r="K42" s="2"/>
      <c r="L42" s="2"/>
      <c r="M42" s="2"/>
      <c r="N42" s="2"/>
      <c r="O42" s="2"/>
    </row>
    <row r="43" spans="1:15">
      <c r="A43" s="544" t="s">
        <v>3748</v>
      </c>
      <c r="B43" s="2">
        <v>42</v>
      </c>
      <c r="D43" s="2" t="s">
        <v>182</v>
      </c>
      <c r="E43" s="2"/>
      <c r="F43" s="2"/>
      <c r="G43" s="2"/>
      <c r="H43" s="2"/>
      <c r="I43" s="2"/>
      <c r="J43" s="2"/>
      <c r="K43" s="2"/>
      <c r="L43" s="2"/>
      <c r="M43" s="2"/>
      <c r="N43" s="2"/>
      <c r="O43" s="2"/>
    </row>
    <row r="44" spans="1:15">
      <c r="A44" s="544" t="s">
        <v>3748</v>
      </c>
      <c r="B44" s="2">
        <v>43</v>
      </c>
      <c r="D44" s="2" t="s">
        <v>183</v>
      </c>
      <c r="E44" s="2"/>
      <c r="F44" s="2"/>
      <c r="G44" s="2"/>
      <c r="H44" s="2"/>
      <c r="I44" s="2"/>
      <c r="J44" s="2"/>
      <c r="K44" s="2"/>
      <c r="L44" s="2"/>
      <c r="M44" s="2"/>
      <c r="N44" s="2"/>
      <c r="O44" s="2"/>
    </row>
    <row r="45" spans="1:15">
      <c r="A45" s="544" t="s">
        <v>3748</v>
      </c>
      <c r="B45" s="2">
        <v>44</v>
      </c>
      <c r="D45" s="2" t="s">
        <v>184</v>
      </c>
      <c r="E45" s="2"/>
      <c r="F45" s="2"/>
      <c r="G45" s="2"/>
      <c r="H45" s="2"/>
      <c r="I45" s="2"/>
      <c r="J45" s="2"/>
      <c r="K45" s="2"/>
      <c r="L45" s="2"/>
      <c r="M45" s="2"/>
      <c r="N45" s="2"/>
      <c r="O45" s="2"/>
    </row>
    <row r="46" spans="1:15">
      <c r="A46" s="544" t="s">
        <v>3748</v>
      </c>
      <c r="B46" s="2">
        <v>45</v>
      </c>
      <c r="D46" s="2" t="s">
        <v>185</v>
      </c>
      <c r="E46" s="2"/>
      <c r="F46" s="2"/>
      <c r="G46" s="2"/>
      <c r="H46" s="2"/>
      <c r="I46" s="2"/>
      <c r="J46" s="2"/>
      <c r="K46" s="2"/>
      <c r="L46" s="2"/>
      <c r="M46" s="2"/>
      <c r="N46" s="2"/>
      <c r="O46" s="2"/>
    </row>
    <row r="47" spans="1:15">
      <c r="A47" s="544" t="s">
        <v>3748</v>
      </c>
      <c r="B47" s="2">
        <v>46</v>
      </c>
      <c r="D47" s="2" t="s">
        <v>186</v>
      </c>
      <c r="E47" s="2"/>
      <c r="F47" s="2"/>
      <c r="G47" s="2"/>
      <c r="H47" s="2"/>
      <c r="I47" s="2"/>
      <c r="J47" s="2"/>
      <c r="K47" s="2"/>
      <c r="L47" s="2"/>
      <c r="M47" s="2"/>
      <c r="N47" s="2"/>
      <c r="O47" s="2"/>
    </row>
    <row r="48" spans="1:15">
      <c r="A48" s="544" t="s">
        <v>3748</v>
      </c>
      <c r="B48" s="2">
        <v>47</v>
      </c>
      <c r="D48" s="2" t="s">
        <v>187</v>
      </c>
      <c r="E48" s="2"/>
      <c r="F48" s="2"/>
      <c r="G48" s="2"/>
      <c r="H48" s="2"/>
      <c r="I48" s="2"/>
      <c r="J48" s="2"/>
      <c r="K48" s="2"/>
      <c r="L48" s="2"/>
      <c r="M48" s="2"/>
      <c r="N48" s="2"/>
      <c r="O48" s="2"/>
    </row>
    <row r="49" spans="1:15">
      <c r="A49" s="544" t="s">
        <v>3748</v>
      </c>
      <c r="B49" s="2">
        <v>48</v>
      </c>
      <c r="D49" s="2" t="s">
        <v>188</v>
      </c>
      <c r="E49" s="2"/>
      <c r="F49" s="2"/>
      <c r="G49" s="2"/>
      <c r="H49" s="2"/>
      <c r="I49" s="2"/>
      <c r="J49" s="2"/>
      <c r="K49" s="2"/>
      <c r="L49" s="2"/>
      <c r="M49" s="2"/>
      <c r="N49" s="2"/>
      <c r="O49" s="2"/>
    </row>
    <row r="50" spans="1:15">
      <c r="A50" s="544" t="s">
        <v>3748</v>
      </c>
      <c r="B50" s="2">
        <v>49</v>
      </c>
      <c r="D50" s="2" t="s">
        <v>189</v>
      </c>
      <c r="E50" s="2"/>
      <c r="F50" s="2"/>
      <c r="G50" s="2"/>
      <c r="H50" s="2"/>
      <c r="I50" s="2"/>
      <c r="J50" s="2"/>
      <c r="K50" s="2"/>
      <c r="L50" s="2"/>
      <c r="M50" s="2"/>
      <c r="N50" s="2"/>
      <c r="O50" s="2"/>
    </row>
    <row r="51" spans="1:15">
      <c r="A51" s="544" t="s">
        <v>3748</v>
      </c>
      <c r="B51" s="2">
        <v>50</v>
      </c>
      <c r="D51" s="2" t="s">
        <v>190</v>
      </c>
      <c r="E51" s="2"/>
      <c r="F51" s="2"/>
      <c r="G51" s="2"/>
      <c r="H51" s="2"/>
      <c r="I51" s="2"/>
      <c r="J51" s="2"/>
      <c r="K51" s="2"/>
      <c r="L51" s="2"/>
      <c r="M51" s="2"/>
      <c r="N51" s="2"/>
      <c r="O51" s="2"/>
    </row>
    <row r="52" spans="1:15">
      <c r="A52" s="544" t="s">
        <v>3748</v>
      </c>
      <c r="B52" s="2">
        <v>51</v>
      </c>
      <c r="D52" s="2" t="s">
        <v>191</v>
      </c>
      <c r="E52" s="2"/>
      <c r="F52" s="2"/>
      <c r="G52" s="2"/>
      <c r="H52" s="2"/>
      <c r="I52" s="2"/>
      <c r="J52" s="2"/>
      <c r="K52" s="2"/>
      <c r="L52" s="2"/>
      <c r="M52" s="2"/>
      <c r="N52" s="2"/>
      <c r="O52" s="2"/>
    </row>
    <row r="53" spans="1:15">
      <c r="A53" s="544" t="s">
        <v>3748</v>
      </c>
      <c r="B53" s="2">
        <v>52</v>
      </c>
      <c r="D53" s="2" t="s">
        <v>192</v>
      </c>
      <c r="E53" s="2"/>
      <c r="F53" s="2"/>
      <c r="G53" s="2"/>
      <c r="H53" s="2"/>
      <c r="I53" s="2"/>
      <c r="J53" s="2"/>
      <c r="K53" s="2"/>
      <c r="L53" s="2"/>
      <c r="M53" s="2"/>
      <c r="N53" s="2"/>
      <c r="O53" s="2"/>
    </row>
    <row r="54" spans="1:15">
      <c r="A54" s="544" t="s">
        <v>3748</v>
      </c>
      <c r="B54" s="2">
        <v>53</v>
      </c>
      <c r="D54" s="2" t="s">
        <v>193</v>
      </c>
      <c r="E54" s="2"/>
      <c r="F54" s="2"/>
      <c r="G54" s="2"/>
      <c r="H54" s="2"/>
      <c r="I54" s="2"/>
      <c r="J54" s="2"/>
      <c r="K54" s="2"/>
      <c r="L54" s="2"/>
      <c r="M54" s="2"/>
      <c r="N54" s="2"/>
      <c r="O54" s="2"/>
    </row>
    <row r="55" spans="1:15">
      <c r="A55" s="544" t="s">
        <v>3748</v>
      </c>
      <c r="B55" s="2">
        <v>54</v>
      </c>
      <c r="D55" s="2" t="s">
        <v>194</v>
      </c>
      <c r="E55" s="2"/>
      <c r="F55" s="2"/>
      <c r="G55" s="2"/>
      <c r="H55" s="2"/>
      <c r="I55" s="2"/>
      <c r="J55" s="2"/>
      <c r="K55" s="2"/>
      <c r="L55" s="2"/>
      <c r="M55" s="2"/>
      <c r="N55" s="2"/>
      <c r="O55" s="2"/>
    </row>
    <row r="56" spans="1:15">
      <c r="A56" s="544" t="s">
        <v>3748</v>
      </c>
      <c r="B56" s="2">
        <v>55</v>
      </c>
      <c r="D56" s="2" t="s">
        <v>195</v>
      </c>
      <c r="E56" s="2"/>
      <c r="F56" s="2"/>
      <c r="G56" s="2"/>
      <c r="H56" s="2"/>
      <c r="I56" s="2"/>
      <c r="J56" s="2"/>
      <c r="K56" s="2"/>
      <c r="L56" s="2"/>
      <c r="M56" s="2"/>
      <c r="N56" s="2"/>
      <c r="O56" s="2"/>
    </row>
    <row r="57" spans="1:15">
      <c r="A57" s="544" t="s">
        <v>3748</v>
      </c>
      <c r="B57" s="2">
        <v>56</v>
      </c>
      <c r="D57" s="2" t="s">
        <v>196</v>
      </c>
      <c r="E57" s="2"/>
      <c r="F57" s="2"/>
      <c r="G57" s="2"/>
      <c r="H57" s="2"/>
      <c r="I57" s="2"/>
      <c r="J57" s="2"/>
      <c r="K57" s="2"/>
      <c r="L57" s="2"/>
      <c r="M57" s="2"/>
      <c r="N57" s="2"/>
      <c r="O57" s="2"/>
    </row>
    <row r="58" spans="1:15">
      <c r="A58" s="544" t="s">
        <v>3748</v>
      </c>
      <c r="B58" s="2">
        <v>57</v>
      </c>
      <c r="D58" s="2" t="s">
        <v>197</v>
      </c>
      <c r="E58" s="2"/>
      <c r="F58" s="2"/>
      <c r="G58" s="2"/>
      <c r="H58" s="2"/>
      <c r="I58" s="2"/>
      <c r="J58" s="2"/>
      <c r="K58" s="2"/>
      <c r="L58" s="2"/>
      <c r="M58" s="2"/>
      <c r="N58" s="2"/>
      <c r="O58" s="2"/>
    </row>
    <row r="59" spans="1:15">
      <c r="A59" s="544" t="s">
        <v>3748</v>
      </c>
      <c r="B59" s="2">
        <v>58</v>
      </c>
      <c r="D59" s="2" t="s">
        <v>198</v>
      </c>
      <c r="E59" s="2"/>
      <c r="F59" s="2"/>
      <c r="G59" s="2"/>
      <c r="H59" s="2"/>
      <c r="I59" s="2"/>
      <c r="J59" s="2"/>
      <c r="K59" s="2"/>
      <c r="L59" s="2"/>
      <c r="M59" s="2"/>
      <c r="N59" s="2"/>
      <c r="O59" s="2"/>
    </row>
    <row r="60" spans="1:15">
      <c r="A60" s="544" t="s">
        <v>3748</v>
      </c>
      <c r="B60" s="2">
        <v>59</v>
      </c>
      <c r="D60" s="2" t="s">
        <v>199</v>
      </c>
      <c r="E60" s="2"/>
      <c r="F60" s="2"/>
      <c r="G60" s="2"/>
      <c r="H60" s="2"/>
      <c r="I60" s="2"/>
      <c r="J60" s="2"/>
      <c r="K60" s="2"/>
      <c r="L60" s="2"/>
      <c r="M60" s="2"/>
      <c r="N60" s="2"/>
      <c r="O60" s="2"/>
    </row>
    <row r="61" spans="1:15">
      <c r="A61" s="544" t="s">
        <v>3748</v>
      </c>
      <c r="B61" s="2">
        <v>60</v>
      </c>
      <c r="D61" s="2" t="s">
        <v>200</v>
      </c>
      <c r="E61" s="2"/>
      <c r="F61" s="2"/>
      <c r="G61" s="2"/>
      <c r="H61" s="2"/>
      <c r="I61" s="2"/>
      <c r="J61" s="2"/>
      <c r="K61" s="2"/>
      <c r="L61" s="2"/>
      <c r="M61" s="2"/>
      <c r="N61" s="2"/>
      <c r="O61" s="2"/>
    </row>
    <row r="62" spans="1:15">
      <c r="A62" s="544" t="s">
        <v>3748</v>
      </c>
      <c r="B62" s="2">
        <v>61</v>
      </c>
      <c r="D62" s="2" t="s">
        <v>2513</v>
      </c>
      <c r="E62" s="2"/>
      <c r="F62" s="2"/>
      <c r="G62" s="2"/>
      <c r="H62" s="2"/>
      <c r="I62" s="2"/>
      <c r="J62" s="2"/>
      <c r="K62" s="2"/>
      <c r="L62" s="2"/>
      <c r="M62" s="2"/>
      <c r="N62" s="2"/>
      <c r="O62" s="2"/>
    </row>
    <row r="63" spans="1:15">
      <c r="A63" s="544" t="s">
        <v>3748</v>
      </c>
      <c r="B63" s="2">
        <v>62</v>
      </c>
      <c r="D63" s="2" t="s">
        <v>2971</v>
      </c>
      <c r="E63" s="2"/>
      <c r="F63" s="2"/>
      <c r="G63" s="2"/>
      <c r="H63" s="2"/>
      <c r="I63" s="2"/>
      <c r="J63" s="2"/>
      <c r="K63" s="2"/>
      <c r="L63" s="2"/>
      <c r="M63" s="2"/>
      <c r="N63" s="2"/>
      <c r="O63" s="2"/>
    </row>
    <row r="64" spans="1:15">
      <c r="A64" s="544" t="s">
        <v>3748</v>
      </c>
      <c r="B64" s="2">
        <v>63</v>
      </c>
      <c r="D64" s="2" t="s">
        <v>201</v>
      </c>
      <c r="E64" s="2"/>
      <c r="F64" s="2"/>
      <c r="G64" s="2"/>
      <c r="H64" s="2"/>
      <c r="I64" s="2"/>
      <c r="J64" s="2"/>
      <c r="K64" s="2"/>
      <c r="L64" s="2"/>
      <c r="M64" s="2"/>
      <c r="N64" s="2"/>
      <c r="O64" s="2"/>
    </row>
    <row r="65" spans="1:15">
      <c r="A65" s="544" t="s">
        <v>3748</v>
      </c>
      <c r="B65" s="2">
        <v>64</v>
      </c>
      <c r="D65" s="2" t="s">
        <v>202</v>
      </c>
      <c r="E65" s="2"/>
      <c r="F65" s="2"/>
      <c r="G65" s="2"/>
      <c r="H65" s="2"/>
      <c r="I65" s="2"/>
      <c r="J65" s="2"/>
      <c r="K65" s="2"/>
      <c r="L65" s="2"/>
      <c r="M65" s="2"/>
      <c r="N65" s="2"/>
      <c r="O65" s="2"/>
    </row>
    <row r="66" spans="1:15">
      <c r="A66" s="544" t="s">
        <v>3748</v>
      </c>
      <c r="B66" s="2">
        <v>65</v>
      </c>
      <c r="D66" s="2" t="s">
        <v>203</v>
      </c>
      <c r="E66" s="2"/>
      <c r="F66" s="2"/>
      <c r="G66" s="2"/>
      <c r="H66" s="2"/>
      <c r="I66" s="2"/>
      <c r="J66" s="2"/>
      <c r="K66" s="2"/>
      <c r="L66" s="2"/>
      <c r="M66" s="2"/>
      <c r="N66" s="2"/>
      <c r="O66" s="2"/>
    </row>
    <row r="67" spans="1:15">
      <c r="A67" s="544" t="s">
        <v>3748</v>
      </c>
      <c r="B67" s="2">
        <v>66</v>
      </c>
      <c r="D67" s="2" t="s">
        <v>204</v>
      </c>
      <c r="E67" s="2"/>
      <c r="F67" s="2"/>
      <c r="G67" s="2"/>
      <c r="H67" s="2"/>
      <c r="I67" s="2"/>
      <c r="J67" s="2"/>
      <c r="K67" s="2"/>
      <c r="L67" s="2"/>
      <c r="M67" s="2"/>
      <c r="N67" s="2"/>
      <c r="O67" s="2"/>
    </row>
    <row r="68" spans="1:15">
      <c r="A68" s="544" t="s">
        <v>3748</v>
      </c>
      <c r="B68" s="2">
        <v>67</v>
      </c>
      <c r="D68" s="2" t="s">
        <v>205</v>
      </c>
      <c r="E68" s="2"/>
      <c r="F68" s="2"/>
      <c r="G68" s="2"/>
      <c r="H68" s="2"/>
      <c r="I68" s="2"/>
      <c r="J68" s="2"/>
      <c r="K68" s="2"/>
      <c r="L68" s="2"/>
      <c r="M68" s="2"/>
      <c r="N68" s="2"/>
      <c r="O68" s="2"/>
    </row>
    <row r="69" spans="1:15">
      <c r="A69" s="544" t="s">
        <v>3748</v>
      </c>
      <c r="B69" s="2">
        <v>68</v>
      </c>
      <c r="D69" s="2" t="s">
        <v>206</v>
      </c>
      <c r="E69" s="2"/>
      <c r="F69" s="2"/>
      <c r="G69" s="2"/>
      <c r="H69" s="2"/>
      <c r="I69" s="2"/>
      <c r="J69" s="2"/>
      <c r="K69" s="2"/>
      <c r="L69" s="2"/>
      <c r="M69" s="2"/>
      <c r="N69" s="2"/>
      <c r="O69" s="2"/>
    </row>
    <row r="70" spans="1:15">
      <c r="A70" s="544" t="s">
        <v>3748</v>
      </c>
      <c r="B70" s="2">
        <v>69</v>
      </c>
      <c r="D70" s="2" t="s">
        <v>207</v>
      </c>
      <c r="E70" s="2"/>
      <c r="F70" s="2"/>
      <c r="G70" s="2"/>
      <c r="H70" s="2"/>
      <c r="I70" s="2"/>
      <c r="J70" s="2"/>
      <c r="K70" s="2"/>
      <c r="L70" s="2"/>
      <c r="M70" s="2"/>
      <c r="N70" s="2"/>
      <c r="O70" s="2"/>
    </row>
    <row r="71" spans="1:15">
      <c r="A71" s="544" t="s">
        <v>3748</v>
      </c>
      <c r="B71" s="2">
        <v>70</v>
      </c>
      <c r="D71" s="2" t="s">
        <v>208</v>
      </c>
      <c r="E71" s="2"/>
      <c r="F71" s="2"/>
      <c r="G71" s="2"/>
      <c r="H71" s="2"/>
      <c r="I71" s="2"/>
      <c r="J71" s="2"/>
      <c r="K71" s="2"/>
      <c r="L71" s="2"/>
      <c r="M71" s="2"/>
      <c r="N71" s="2"/>
      <c r="O71" s="2"/>
    </row>
    <row r="72" spans="1:15">
      <c r="A72" s="544" t="s">
        <v>3748</v>
      </c>
      <c r="B72" s="2">
        <v>71</v>
      </c>
      <c r="D72" s="2" t="s">
        <v>209</v>
      </c>
      <c r="E72" s="2"/>
      <c r="F72" s="2"/>
      <c r="G72" s="2"/>
      <c r="H72" s="2"/>
      <c r="I72" s="2"/>
      <c r="J72" s="2"/>
      <c r="K72" s="2"/>
      <c r="L72" s="2"/>
      <c r="M72" s="2"/>
      <c r="N72" s="2"/>
      <c r="O72" s="2"/>
    </row>
    <row r="73" spans="1:15">
      <c r="A73" s="544" t="s">
        <v>3748</v>
      </c>
      <c r="B73" s="2">
        <v>72</v>
      </c>
      <c r="D73" s="2" t="s">
        <v>210</v>
      </c>
      <c r="E73" s="2"/>
      <c r="F73" s="2"/>
      <c r="G73" s="2"/>
      <c r="H73" s="2"/>
      <c r="I73" s="2"/>
      <c r="J73" s="2"/>
      <c r="K73" s="2"/>
      <c r="L73" s="2"/>
      <c r="M73" s="2"/>
      <c r="N73" s="2"/>
      <c r="O73" s="2"/>
    </row>
    <row r="74" spans="1:15">
      <c r="A74" s="544" t="s">
        <v>3748</v>
      </c>
      <c r="B74" s="2">
        <v>73</v>
      </c>
      <c r="D74" s="2" t="s">
        <v>211</v>
      </c>
      <c r="E74" s="2"/>
      <c r="F74" s="2"/>
      <c r="G74" s="2"/>
      <c r="H74" s="2"/>
      <c r="I74" s="2"/>
      <c r="J74" s="2"/>
      <c r="K74" s="2"/>
      <c r="L74" s="2"/>
      <c r="M74" s="2"/>
      <c r="N74" s="2"/>
      <c r="O74" s="2"/>
    </row>
    <row r="75" spans="1:15">
      <c r="A75" s="544" t="s">
        <v>3748</v>
      </c>
      <c r="B75" s="2">
        <v>74</v>
      </c>
      <c r="D75" s="2" t="s">
        <v>212</v>
      </c>
      <c r="E75" s="2"/>
      <c r="F75" s="2"/>
      <c r="G75" s="2"/>
      <c r="H75" s="2"/>
      <c r="I75" s="2"/>
      <c r="J75" s="2"/>
      <c r="K75" s="2"/>
      <c r="L75" s="2"/>
      <c r="M75" s="2"/>
      <c r="N75" s="2"/>
      <c r="O75" s="2"/>
    </row>
    <row r="76" spans="1:15">
      <c r="A76" s="544" t="s">
        <v>3748</v>
      </c>
      <c r="B76" s="2">
        <v>75</v>
      </c>
      <c r="D76" s="2" t="s">
        <v>213</v>
      </c>
      <c r="E76" s="2"/>
      <c r="F76" s="2"/>
      <c r="G76" s="2"/>
      <c r="H76" s="2"/>
      <c r="I76" s="2"/>
      <c r="J76" s="2"/>
      <c r="K76" s="2"/>
      <c r="L76" s="2"/>
      <c r="M76" s="2"/>
      <c r="N76" s="2"/>
      <c r="O76" s="2"/>
    </row>
    <row r="77" spans="1:15">
      <c r="A77" s="544" t="s">
        <v>3748</v>
      </c>
      <c r="B77" s="2">
        <v>76</v>
      </c>
      <c r="D77" s="2" t="s">
        <v>214</v>
      </c>
      <c r="E77" s="2"/>
      <c r="F77" s="2"/>
      <c r="G77" s="2"/>
      <c r="H77" s="2"/>
      <c r="I77" s="2"/>
      <c r="J77" s="2"/>
      <c r="K77" s="2"/>
      <c r="L77" s="2"/>
      <c r="M77" s="2"/>
      <c r="N77" s="2"/>
      <c r="O77" s="2"/>
    </row>
    <row r="78" spans="1:15">
      <c r="A78" s="544" t="s">
        <v>3748</v>
      </c>
      <c r="B78" s="2">
        <v>77</v>
      </c>
      <c r="D78" s="2" t="s">
        <v>215</v>
      </c>
      <c r="E78" s="2"/>
      <c r="F78" s="2"/>
      <c r="G78" s="2"/>
      <c r="H78" s="2"/>
      <c r="I78" s="2"/>
      <c r="J78" s="2"/>
      <c r="K78" s="2"/>
      <c r="L78" s="2"/>
      <c r="M78" s="2"/>
      <c r="N78" s="2"/>
      <c r="O78" s="2"/>
    </row>
    <row r="79" spans="1:15">
      <c r="A79" s="544" t="s">
        <v>3748</v>
      </c>
      <c r="B79" s="2">
        <v>78</v>
      </c>
      <c r="D79" s="2" t="s">
        <v>216</v>
      </c>
      <c r="E79" s="2"/>
      <c r="F79" s="2"/>
      <c r="G79" s="2"/>
      <c r="H79" s="2"/>
      <c r="I79" s="2"/>
      <c r="J79" s="2"/>
      <c r="K79" s="2"/>
      <c r="L79" s="2"/>
      <c r="M79" s="2"/>
      <c r="N79" s="2"/>
      <c r="O79" s="2"/>
    </row>
    <row r="80" spans="1:15">
      <c r="A80" s="544" t="s">
        <v>3748</v>
      </c>
      <c r="B80" s="2">
        <v>79</v>
      </c>
      <c r="D80" s="2" t="s">
        <v>217</v>
      </c>
      <c r="E80" s="2"/>
      <c r="F80" s="2"/>
      <c r="G80" s="2"/>
      <c r="H80" s="2"/>
      <c r="I80" s="2"/>
      <c r="J80" s="2"/>
      <c r="K80" s="2"/>
      <c r="L80" s="2"/>
      <c r="M80" s="2"/>
      <c r="N80" s="2"/>
      <c r="O80" s="2"/>
    </row>
    <row r="81" spans="1:15">
      <c r="A81" s="544" t="s">
        <v>3748</v>
      </c>
      <c r="B81" s="2">
        <v>80</v>
      </c>
      <c r="D81" s="2" t="s">
        <v>218</v>
      </c>
      <c r="E81" s="2"/>
      <c r="F81" s="2"/>
      <c r="G81" s="2"/>
      <c r="H81" s="2"/>
      <c r="I81" s="2"/>
      <c r="J81" s="2"/>
      <c r="K81" s="2"/>
      <c r="L81" s="2"/>
      <c r="M81" s="2"/>
      <c r="N81" s="2"/>
      <c r="O81" s="2"/>
    </row>
    <row r="82" spans="1:15">
      <c r="A82" s="544" t="s">
        <v>3748</v>
      </c>
      <c r="B82" s="2">
        <v>81</v>
      </c>
      <c r="D82" s="2" t="s">
        <v>219</v>
      </c>
      <c r="E82" s="2"/>
      <c r="F82" s="2"/>
      <c r="G82" s="2"/>
      <c r="H82" s="2"/>
      <c r="I82" s="2"/>
      <c r="J82" s="2"/>
      <c r="K82" s="2"/>
      <c r="L82" s="2"/>
      <c r="M82" s="2"/>
      <c r="N82" s="2"/>
      <c r="O82" s="2"/>
    </row>
    <row r="83" spans="1:15">
      <c r="A83" s="544" t="s">
        <v>3748</v>
      </c>
      <c r="B83" s="2">
        <v>82</v>
      </c>
      <c r="D83" s="2" t="s">
        <v>220</v>
      </c>
      <c r="E83" s="2"/>
      <c r="F83" s="2"/>
      <c r="G83" s="2"/>
      <c r="H83" s="2"/>
      <c r="I83" s="2"/>
      <c r="J83" s="2"/>
      <c r="K83" s="2"/>
      <c r="L83" s="2"/>
      <c r="M83" s="2"/>
      <c r="N83" s="2"/>
      <c r="O83" s="2"/>
    </row>
    <row r="84" spans="1:15">
      <c r="A84" s="544" t="s">
        <v>3748</v>
      </c>
      <c r="B84" s="2">
        <v>83</v>
      </c>
      <c r="D84" s="2" t="s">
        <v>221</v>
      </c>
      <c r="E84" s="2"/>
      <c r="F84" s="2"/>
      <c r="G84" s="2"/>
      <c r="H84" s="2"/>
      <c r="I84" s="2"/>
      <c r="J84" s="2"/>
      <c r="K84" s="2"/>
      <c r="L84" s="2"/>
      <c r="M84" s="2"/>
      <c r="N84" s="2"/>
      <c r="O84" s="2"/>
    </row>
    <row r="85" spans="1:15">
      <c r="A85" s="544" t="s">
        <v>3748</v>
      </c>
      <c r="B85" s="2">
        <v>84</v>
      </c>
      <c r="D85" s="2" t="s">
        <v>222</v>
      </c>
      <c r="E85" s="2"/>
      <c r="F85" s="2"/>
      <c r="G85" s="2"/>
      <c r="H85" s="2"/>
      <c r="I85" s="2"/>
      <c r="J85" s="2"/>
      <c r="K85" s="2"/>
      <c r="L85" s="2"/>
      <c r="M85" s="2"/>
      <c r="N85" s="2"/>
      <c r="O85" s="2"/>
    </row>
    <row r="86" spans="1:15">
      <c r="A86" s="544" t="s">
        <v>3748</v>
      </c>
      <c r="B86" s="2">
        <v>85</v>
      </c>
      <c r="D86" s="2" t="s">
        <v>223</v>
      </c>
      <c r="E86" s="2"/>
      <c r="F86" s="2"/>
      <c r="G86" s="2"/>
      <c r="H86" s="2"/>
      <c r="I86" s="2"/>
      <c r="J86" s="2"/>
      <c r="K86" s="2"/>
      <c r="L86" s="2"/>
      <c r="M86" s="2"/>
      <c r="N86" s="2"/>
      <c r="O86" s="2"/>
    </row>
    <row r="87" spans="1:15">
      <c r="A87" s="544" t="s">
        <v>3748</v>
      </c>
      <c r="B87" s="2">
        <v>86</v>
      </c>
      <c r="D87" s="2" t="s">
        <v>224</v>
      </c>
      <c r="E87" s="2"/>
      <c r="F87" s="2"/>
      <c r="G87" s="2"/>
      <c r="H87" s="2"/>
      <c r="I87" s="2"/>
      <c r="J87" s="2"/>
      <c r="K87" s="2"/>
      <c r="L87" s="2"/>
      <c r="M87" s="2"/>
      <c r="N87" s="2"/>
      <c r="O87" s="2"/>
    </row>
    <row r="88" spans="1:15">
      <c r="A88" s="544" t="s">
        <v>3748</v>
      </c>
      <c r="B88" s="2">
        <v>87</v>
      </c>
      <c r="D88" s="2" t="s">
        <v>225</v>
      </c>
      <c r="E88" s="2"/>
      <c r="F88" s="2"/>
      <c r="G88" s="2"/>
      <c r="H88" s="2"/>
      <c r="I88" s="2"/>
      <c r="J88" s="2"/>
      <c r="K88" s="2"/>
      <c r="L88" s="2"/>
      <c r="M88" s="2"/>
      <c r="N88" s="2"/>
      <c r="O88" s="2"/>
    </row>
    <row r="89" spans="1:15">
      <c r="A89" s="544" t="s">
        <v>3748</v>
      </c>
      <c r="B89" s="2">
        <v>88</v>
      </c>
      <c r="D89" s="2" t="s">
        <v>226</v>
      </c>
      <c r="E89" s="2"/>
      <c r="F89" s="2"/>
      <c r="G89" s="2"/>
      <c r="H89" s="2"/>
      <c r="I89" s="2"/>
      <c r="J89" s="2"/>
      <c r="K89" s="2"/>
      <c r="L89" s="2"/>
      <c r="M89" s="2"/>
      <c r="N89" s="2"/>
      <c r="O89" s="2"/>
    </row>
    <row r="90" spans="1:15">
      <c r="A90" s="544" t="s">
        <v>3748</v>
      </c>
      <c r="B90" s="2">
        <v>89</v>
      </c>
      <c r="D90" s="2" t="s">
        <v>227</v>
      </c>
      <c r="E90" s="2"/>
      <c r="F90" s="2"/>
      <c r="G90" s="2"/>
      <c r="H90" s="2"/>
      <c r="I90" s="2"/>
      <c r="J90" s="2"/>
      <c r="K90" s="2"/>
      <c r="L90" s="2"/>
      <c r="M90" s="2"/>
      <c r="N90" s="2"/>
      <c r="O90" s="2"/>
    </row>
    <row r="91" spans="1:15">
      <c r="A91" s="544" t="s">
        <v>3748</v>
      </c>
      <c r="B91" s="2">
        <v>90</v>
      </c>
      <c r="D91" s="2" t="s">
        <v>228</v>
      </c>
      <c r="E91" s="2"/>
      <c r="F91" s="2"/>
      <c r="G91" s="2"/>
      <c r="H91" s="2"/>
      <c r="I91" s="2"/>
      <c r="J91" s="2"/>
      <c r="K91" s="2"/>
      <c r="L91" s="2"/>
      <c r="M91" s="2"/>
      <c r="N91" s="2"/>
      <c r="O91" s="2"/>
    </row>
    <row r="92" spans="1:15">
      <c r="A92" s="544" t="s">
        <v>3748</v>
      </c>
      <c r="B92" s="2">
        <v>91</v>
      </c>
      <c r="D92" s="2" t="s">
        <v>229</v>
      </c>
      <c r="E92" s="2"/>
      <c r="F92" s="2"/>
      <c r="G92" s="2"/>
      <c r="H92" s="2"/>
      <c r="I92" s="2"/>
      <c r="J92" s="2"/>
      <c r="K92" s="2"/>
      <c r="L92" s="2"/>
      <c r="M92" s="2"/>
      <c r="N92" s="2"/>
      <c r="O92" s="2"/>
    </row>
    <row r="93" spans="1:15">
      <c r="A93" s="544" t="s">
        <v>3748</v>
      </c>
      <c r="B93" s="2">
        <v>92</v>
      </c>
      <c r="D93" s="2" t="s">
        <v>230</v>
      </c>
      <c r="E93" s="2"/>
      <c r="F93" s="2"/>
      <c r="G93" s="2"/>
      <c r="H93" s="2"/>
      <c r="I93" s="2"/>
      <c r="J93" s="2"/>
      <c r="K93" s="2"/>
      <c r="L93" s="2"/>
      <c r="M93" s="2"/>
      <c r="N93" s="2"/>
      <c r="O93" s="2"/>
    </row>
    <row r="94" spans="1:15">
      <c r="A94" s="544" t="s">
        <v>3748</v>
      </c>
      <c r="B94" s="2">
        <v>93</v>
      </c>
      <c r="D94" s="2" t="s">
        <v>231</v>
      </c>
      <c r="E94" s="2"/>
      <c r="F94" s="2"/>
      <c r="G94" s="2"/>
      <c r="H94" s="2"/>
      <c r="I94" s="2"/>
      <c r="J94" s="2"/>
      <c r="K94" s="2"/>
      <c r="L94" s="2"/>
      <c r="M94" s="2"/>
      <c r="N94" s="2"/>
      <c r="O94" s="2"/>
    </row>
    <row r="95" spans="1:15">
      <c r="A95" s="544" t="s">
        <v>3748</v>
      </c>
      <c r="B95" s="2">
        <v>94</v>
      </c>
      <c r="D95" s="2" t="s">
        <v>163</v>
      </c>
      <c r="E95" s="2"/>
      <c r="F95" s="2"/>
      <c r="G95" s="2"/>
      <c r="H95" s="2"/>
      <c r="I95" s="2"/>
      <c r="J95" s="2"/>
      <c r="K95" s="2"/>
      <c r="L95" s="2"/>
      <c r="M95" s="2"/>
      <c r="N95" s="2"/>
      <c r="O95" s="2"/>
    </row>
    <row r="96" spans="1:15">
      <c r="A96" s="544" t="s">
        <v>3748</v>
      </c>
      <c r="B96" s="2">
        <v>95</v>
      </c>
      <c r="D96" s="2" t="s">
        <v>232</v>
      </c>
      <c r="E96" s="2"/>
      <c r="F96" s="2"/>
      <c r="G96" s="2"/>
      <c r="H96" s="2"/>
      <c r="I96" s="2"/>
      <c r="J96" s="2"/>
      <c r="K96" s="2"/>
      <c r="L96" s="2"/>
      <c r="M96" s="2"/>
      <c r="N96" s="2"/>
      <c r="O96" s="2"/>
    </row>
    <row r="97" spans="1:15">
      <c r="A97" s="544" t="s">
        <v>3748</v>
      </c>
      <c r="B97" s="2">
        <v>96</v>
      </c>
      <c r="D97" s="2" t="s">
        <v>233</v>
      </c>
      <c r="E97" s="2"/>
      <c r="F97" s="2"/>
      <c r="G97" s="2"/>
      <c r="H97" s="2"/>
      <c r="I97" s="2"/>
      <c r="J97" s="2"/>
      <c r="K97" s="2"/>
      <c r="L97" s="2"/>
      <c r="M97" s="2"/>
      <c r="N97" s="2"/>
      <c r="O97" s="2"/>
    </row>
    <row r="98" spans="1:15">
      <c r="A98" s="544" t="s">
        <v>3748</v>
      </c>
      <c r="B98" s="2">
        <v>97</v>
      </c>
      <c r="D98" s="2" t="s">
        <v>234</v>
      </c>
      <c r="E98" s="2"/>
      <c r="F98" s="2"/>
      <c r="G98" s="2"/>
      <c r="H98" s="2"/>
      <c r="I98" s="2"/>
      <c r="J98" s="2"/>
      <c r="K98" s="2"/>
      <c r="L98" s="2"/>
      <c r="M98" s="2"/>
      <c r="N98" s="2"/>
      <c r="O98" s="2"/>
    </row>
    <row r="99" spans="1:15">
      <c r="A99" s="544" t="s">
        <v>3748</v>
      </c>
      <c r="B99" s="2">
        <v>98</v>
      </c>
      <c r="D99" s="2" t="s">
        <v>235</v>
      </c>
      <c r="E99" s="2"/>
      <c r="F99" s="2"/>
      <c r="G99" s="2"/>
      <c r="H99" s="2"/>
      <c r="I99" s="2"/>
      <c r="J99" s="2"/>
      <c r="K99" s="2"/>
      <c r="L99" s="2"/>
      <c r="M99" s="2"/>
      <c r="N99" s="2"/>
      <c r="O99" s="2"/>
    </row>
    <row r="100" spans="1:15">
      <c r="A100" s="544" t="s">
        <v>3748</v>
      </c>
      <c r="B100" s="2">
        <v>99</v>
      </c>
      <c r="D100" s="2" t="s">
        <v>236</v>
      </c>
      <c r="E100" s="2"/>
      <c r="F100" s="2"/>
      <c r="G100" s="2"/>
      <c r="H100" s="2"/>
      <c r="I100" s="2"/>
      <c r="J100" s="2"/>
      <c r="K100" s="2"/>
      <c r="L100" s="2"/>
      <c r="M100" s="2"/>
      <c r="N100" s="2"/>
      <c r="O100" s="2"/>
    </row>
    <row r="101" spans="1:15">
      <c r="A101" s="544" t="s">
        <v>3748</v>
      </c>
      <c r="B101" s="2">
        <v>100</v>
      </c>
      <c r="D101" s="2" t="s">
        <v>237</v>
      </c>
      <c r="E101" s="2"/>
      <c r="F101" s="2"/>
      <c r="G101" s="2"/>
      <c r="H101" s="2"/>
      <c r="I101" s="2"/>
      <c r="J101" s="2"/>
      <c r="K101" s="2"/>
      <c r="L101" s="2"/>
      <c r="M101" s="2"/>
      <c r="N101" s="2"/>
      <c r="O101" s="2"/>
    </row>
    <row r="102" spans="1:15">
      <c r="A102" s="544" t="s">
        <v>3748</v>
      </c>
      <c r="B102" s="2">
        <v>101</v>
      </c>
      <c r="D102" s="2" t="s">
        <v>2748</v>
      </c>
      <c r="E102" s="2"/>
      <c r="F102" s="2"/>
      <c r="G102" s="2"/>
      <c r="H102" s="2"/>
      <c r="I102" s="2"/>
      <c r="J102" s="2"/>
      <c r="K102" s="2"/>
      <c r="L102" s="2"/>
      <c r="M102" s="2"/>
      <c r="N102" s="2"/>
      <c r="O102" s="2"/>
    </row>
    <row r="103" spans="1:15">
      <c r="A103" s="544" t="s">
        <v>3748</v>
      </c>
      <c r="B103" s="2">
        <v>102</v>
      </c>
      <c r="D103" s="2" t="s">
        <v>238</v>
      </c>
      <c r="E103" s="2"/>
      <c r="F103" s="2"/>
      <c r="G103" s="2"/>
      <c r="H103" s="2"/>
      <c r="I103" s="2"/>
      <c r="J103" s="2"/>
      <c r="K103" s="2"/>
      <c r="L103" s="2"/>
      <c r="M103" s="2"/>
      <c r="N103" s="2"/>
      <c r="O103" s="2"/>
    </row>
    <row r="104" spans="1:15">
      <c r="A104" s="544" t="s">
        <v>3748</v>
      </c>
      <c r="B104" s="2">
        <v>103</v>
      </c>
      <c r="D104" s="2" t="s">
        <v>239</v>
      </c>
      <c r="E104" s="2"/>
      <c r="F104" s="2"/>
      <c r="G104" s="2"/>
      <c r="H104" s="2"/>
      <c r="I104" s="2"/>
      <c r="J104" s="2"/>
      <c r="K104" s="2"/>
      <c r="L104" s="2"/>
      <c r="M104" s="2"/>
      <c r="N104" s="2"/>
      <c r="O104" s="2"/>
    </row>
    <row r="105" spans="1:15">
      <c r="A105" s="544" t="s">
        <v>3748</v>
      </c>
      <c r="B105" s="2">
        <v>104</v>
      </c>
      <c r="D105" s="2" t="s">
        <v>240</v>
      </c>
      <c r="E105" s="2"/>
      <c r="F105" s="2"/>
      <c r="G105" s="2"/>
      <c r="H105" s="2"/>
      <c r="I105" s="2"/>
      <c r="J105" s="2"/>
      <c r="K105" s="2"/>
      <c r="L105" s="2"/>
      <c r="M105" s="2"/>
      <c r="N105" s="2"/>
      <c r="O105" s="2"/>
    </row>
    <row r="106" spans="1:15">
      <c r="A106" s="544" t="s">
        <v>3748</v>
      </c>
      <c r="B106" s="2">
        <v>105</v>
      </c>
      <c r="D106" s="2" t="s">
        <v>241</v>
      </c>
      <c r="E106" s="2"/>
      <c r="F106" s="2"/>
      <c r="G106" s="2"/>
      <c r="H106" s="2"/>
      <c r="I106" s="2"/>
      <c r="J106" s="2"/>
      <c r="K106" s="2"/>
      <c r="L106" s="2"/>
      <c r="M106" s="2"/>
      <c r="N106" s="2"/>
      <c r="O106" s="2"/>
    </row>
    <row r="107" spans="1:15">
      <c r="A107" s="544" t="s">
        <v>3748</v>
      </c>
      <c r="B107" s="2">
        <v>106</v>
      </c>
      <c r="D107" s="2" t="s">
        <v>242</v>
      </c>
      <c r="E107" s="2"/>
      <c r="F107" s="2"/>
      <c r="G107" s="2"/>
      <c r="H107" s="2"/>
      <c r="I107" s="2"/>
      <c r="J107" s="2"/>
      <c r="K107" s="2"/>
      <c r="L107" s="2"/>
      <c r="M107" s="2"/>
      <c r="N107" s="2"/>
      <c r="O107" s="2"/>
    </row>
    <row r="108" spans="1:15">
      <c r="A108" s="544" t="s">
        <v>3748</v>
      </c>
      <c r="B108" s="2">
        <v>107</v>
      </c>
      <c r="D108" s="2" t="s">
        <v>243</v>
      </c>
      <c r="E108" s="2"/>
      <c r="F108" s="2"/>
      <c r="G108" s="2"/>
      <c r="H108" s="2"/>
      <c r="I108" s="2"/>
      <c r="J108" s="2"/>
      <c r="K108" s="2"/>
      <c r="L108" s="2"/>
      <c r="M108" s="2"/>
      <c r="N108" s="2"/>
      <c r="O108" s="2"/>
    </row>
    <row r="109" spans="1:15">
      <c r="A109" s="544" t="s">
        <v>3748</v>
      </c>
      <c r="B109" s="2">
        <v>108</v>
      </c>
      <c r="D109" s="2" t="s">
        <v>244</v>
      </c>
      <c r="E109" s="2"/>
      <c r="F109" s="2"/>
      <c r="G109" s="2"/>
      <c r="H109" s="2"/>
      <c r="I109" s="2"/>
      <c r="J109" s="2"/>
      <c r="K109" s="2"/>
      <c r="L109" s="2"/>
      <c r="M109" s="2"/>
      <c r="N109" s="2"/>
      <c r="O109" s="2"/>
    </row>
    <row r="110" spans="1:15" s="2" customFormat="1">
      <c r="A110" s="544" t="s">
        <v>3748</v>
      </c>
      <c r="B110" s="60">
        <v>109</v>
      </c>
      <c r="C110" s="60"/>
      <c r="D110" s="60" t="s">
        <v>2749</v>
      </c>
      <c r="E110" s="60"/>
      <c r="F110" s="60"/>
      <c r="G110" s="60"/>
      <c r="H110" s="60"/>
      <c r="I110" s="60"/>
      <c r="J110" s="60"/>
      <c r="K110" s="60"/>
      <c r="L110" s="60"/>
      <c r="M110" s="60"/>
      <c r="N110" s="60"/>
      <c r="O110" s="60"/>
    </row>
    <row r="111" spans="1:15" s="2" customFormat="1">
      <c r="A111" s="544" t="s">
        <v>3748</v>
      </c>
      <c r="B111" s="60">
        <v>110</v>
      </c>
      <c r="C111" s="60"/>
      <c r="D111" s="60" t="s">
        <v>2750</v>
      </c>
      <c r="E111" s="60"/>
      <c r="F111" s="60"/>
      <c r="G111" s="60"/>
      <c r="H111" s="60"/>
      <c r="I111" s="60"/>
      <c r="J111" s="60"/>
      <c r="K111" s="60"/>
      <c r="L111" s="60"/>
      <c r="M111" s="60"/>
      <c r="N111" s="60"/>
      <c r="O111" s="60"/>
    </row>
    <row r="112" spans="1:15" s="60" customFormat="1">
      <c r="A112" s="544" t="s">
        <v>3748</v>
      </c>
      <c r="B112" s="60">
        <v>111</v>
      </c>
      <c r="D112" s="60" t="s">
        <v>2751</v>
      </c>
    </row>
    <row r="113" spans="1:4" s="60" customFormat="1">
      <c r="A113" s="544" t="s">
        <v>3748</v>
      </c>
      <c r="B113" s="60">
        <v>112</v>
      </c>
      <c r="D113" s="60" t="s">
        <v>2752</v>
      </c>
    </row>
    <row r="114" spans="1:4" s="60" customFormat="1">
      <c r="A114" s="544" t="s">
        <v>3748</v>
      </c>
      <c r="B114" s="60">
        <v>113</v>
      </c>
      <c r="D114" s="60" t="s">
        <v>2753</v>
      </c>
    </row>
    <row r="115" spans="1:4" s="60" customFormat="1">
      <c r="A115" s="544" t="s">
        <v>3748</v>
      </c>
      <c r="B115" s="60">
        <v>114</v>
      </c>
      <c r="D115" s="60" t="s">
        <v>2754</v>
      </c>
    </row>
    <row r="116" spans="1:4" s="60" customFormat="1">
      <c r="A116" s="544" t="s">
        <v>3748</v>
      </c>
      <c r="B116" s="60">
        <v>115</v>
      </c>
      <c r="D116" s="60" t="s">
        <v>2756</v>
      </c>
    </row>
    <row r="117" spans="1:4" s="60" customFormat="1">
      <c r="A117" s="544" t="s">
        <v>3748</v>
      </c>
      <c r="B117" s="60">
        <v>116</v>
      </c>
      <c r="D117" s="60" t="s">
        <v>2757</v>
      </c>
    </row>
    <row r="118" spans="1:4" s="60" customFormat="1">
      <c r="A118" s="544" t="s">
        <v>3748</v>
      </c>
      <c r="B118" s="60">
        <v>117</v>
      </c>
      <c r="D118" s="60" t="s">
        <v>2760</v>
      </c>
    </row>
    <row r="119" spans="1:4" s="60" customFormat="1">
      <c r="A119" s="544" t="s">
        <v>3748</v>
      </c>
      <c r="B119" s="60">
        <v>118</v>
      </c>
      <c r="D119" s="60" t="s">
        <v>2758</v>
      </c>
    </row>
    <row r="120" spans="1:4">
      <c r="A120" s="544" t="s">
        <v>3748</v>
      </c>
      <c r="B120" s="2" t="s">
        <v>245</v>
      </c>
    </row>
    <row r="121" spans="1:4">
      <c r="A121" s="544" t="s">
        <v>3748</v>
      </c>
      <c r="B121" s="60">
        <v>119</v>
      </c>
      <c r="D121" s="1" t="s">
        <v>14</v>
      </c>
    </row>
    <row r="122" spans="1:4">
      <c r="A122" s="544" t="s">
        <v>3748</v>
      </c>
      <c r="B122" s="60">
        <v>120</v>
      </c>
      <c r="D122" s="1" t="s">
        <v>15</v>
      </c>
    </row>
    <row r="123" spans="1:4">
      <c r="A123" s="544" t="s">
        <v>3748</v>
      </c>
      <c r="B123" s="60">
        <v>121</v>
      </c>
      <c r="D123" s="1" t="s">
        <v>16</v>
      </c>
    </row>
    <row r="124" spans="1:4">
      <c r="A124" s="544" t="s">
        <v>3748</v>
      </c>
      <c r="B124" s="60">
        <v>122</v>
      </c>
      <c r="D124" s="1" t="s">
        <v>17</v>
      </c>
    </row>
    <row r="125" spans="1:4">
      <c r="A125" s="544" t="s">
        <v>3748</v>
      </c>
      <c r="B125" s="60">
        <v>123</v>
      </c>
      <c r="D125" s="1" t="s">
        <v>18</v>
      </c>
    </row>
    <row r="126" spans="1:4">
      <c r="A126" s="544" t="s">
        <v>3748</v>
      </c>
      <c r="B126" s="60">
        <v>124</v>
      </c>
      <c r="D126" s="1" t="s">
        <v>19</v>
      </c>
    </row>
    <row r="127" spans="1:4">
      <c r="A127" s="544" t="s">
        <v>3748</v>
      </c>
      <c r="B127" s="60">
        <v>125</v>
      </c>
      <c r="D127" s="1" t="s">
        <v>20</v>
      </c>
    </row>
    <row r="128" spans="1:4">
      <c r="A128" s="544" t="s">
        <v>3748</v>
      </c>
      <c r="B128" s="60">
        <v>126</v>
      </c>
      <c r="D128" s="1" t="s">
        <v>21</v>
      </c>
    </row>
    <row r="129" spans="1:4">
      <c r="A129" s="544" t="s">
        <v>3748</v>
      </c>
      <c r="B129" s="60">
        <v>127</v>
      </c>
      <c r="D129" s="1" t="s">
        <v>22</v>
      </c>
    </row>
    <row r="130" spans="1:4">
      <c r="A130" s="544" t="s">
        <v>3748</v>
      </c>
      <c r="B130" s="60">
        <v>128</v>
      </c>
      <c r="D130" s="1" t="s">
        <v>23</v>
      </c>
    </row>
    <row r="131" spans="1:4">
      <c r="A131" s="544" t="s">
        <v>3748</v>
      </c>
      <c r="B131" s="60">
        <v>129</v>
      </c>
      <c r="D131" s="1" t="s">
        <v>24</v>
      </c>
    </row>
    <row r="132" spans="1:4">
      <c r="A132" s="544" t="s">
        <v>3748</v>
      </c>
      <c r="B132" s="60">
        <v>130</v>
      </c>
      <c r="D132" s="1" t="s">
        <v>25</v>
      </c>
    </row>
    <row r="133" spans="1:4">
      <c r="A133" s="544" t="s">
        <v>3748</v>
      </c>
      <c r="B133" s="60">
        <v>131</v>
      </c>
      <c r="D133" s="1" t="s">
        <v>26</v>
      </c>
    </row>
    <row r="134" spans="1:4">
      <c r="A134" s="544" t="s">
        <v>3748</v>
      </c>
      <c r="B134" s="60">
        <v>132</v>
      </c>
      <c r="D134" s="1" t="s">
        <v>27</v>
      </c>
    </row>
    <row r="135" spans="1:4">
      <c r="A135" s="544" t="s">
        <v>3748</v>
      </c>
      <c r="B135" s="60">
        <v>133</v>
      </c>
      <c r="D135" s="1" t="s">
        <v>28</v>
      </c>
    </row>
    <row r="136" spans="1:4">
      <c r="A136" s="544" t="s">
        <v>3748</v>
      </c>
      <c r="B136" s="60">
        <v>134</v>
      </c>
      <c r="D136" s="1" t="s">
        <v>29</v>
      </c>
    </row>
    <row r="137" spans="1:4">
      <c r="A137" s="544" t="s">
        <v>3748</v>
      </c>
      <c r="B137" s="60">
        <v>135</v>
      </c>
      <c r="D137" s="1" t="s">
        <v>30</v>
      </c>
    </row>
    <row r="138" spans="1:4">
      <c r="A138" s="544" t="s">
        <v>3748</v>
      </c>
      <c r="B138" s="60">
        <v>136</v>
      </c>
      <c r="D138" s="1" t="s">
        <v>2905</v>
      </c>
    </row>
    <row r="139" spans="1:4">
      <c r="A139" s="544" t="s">
        <v>3748</v>
      </c>
      <c r="B139" s="60">
        <v>137</v>
      </c>
      <c r="D139" s="1" t="s">
        <v>31</v>
      </c>
    </row>
    <row r="140" spans="1:4">
      <c r="A140" s="544" t="s">
        <v>3748</v>
      </c>
      <c r="B140" s="60">
        <v>138</v>
      </c>
      <c r="D140" s="1" t="s">
        <v>32</v>
      </c>
    </row>
    <row r="141" spans="1:4">
      <c r="A141" s="544" t="s">
        <v>3748</v>
      </c>
      <c r="B141" s="60">
        <v>139</v>
      </c>
      <c r="D141" s="1" t="s">
        <v>33</v>
      </c>
    </row>
    <row r="142" spans="1:4">
      <c r="A142" s="544" t="s">
        <v>3748</v>
      </c>
      <c r="B142" s="60">
        <v>140</v>
      </c>
      <c r="D142" s="1" t="s">
        <v>34</v>
      </c>
    </row>
    <row r="143" spans="1:4">
      <c r="A143" s="544" t="s">
        <v>3748</v>
      </c>
      <c r="B143" s="60">
        <v>141</v>
      </c>
      <c r="D143" s="1" t="s">
        <v>35</v>
      </c>
    </row>
    <row r="144" spans="1:4">
      <c r="A144" s="544" t="s">
        <v>3748</v>
      </c>
      <c r="B144" s="60">
        <v>142</v>
      </c>
      <c r="D144" s="1" t="s">
        <v>36</v>
      </c>
    </row>
    <row r="145" spans="1:4">
      <c r="A145" s="544" t="s">
        <v>3748</v>
      </c>
      <c r="B145" s="60">
        <v>143</v>
      </c>
      <c r="D145" s="1" t="s">
        <v>2906</v>
      </c>
    </row>
    <row r="146" spans="1:4">
      <c r="A146" s="544" t="s">
        <v>3748</v>
      </c>
      <c r="B146" s="60">
        <v>144</v>
      </c>
      <c r="D146" s="1" t="s">
        <v>2902</v>
      </c>
    </row>
    <row r="147" spans="1:4">
      <c r="A147" s="544" t="s">
        <v>3748</v>
      </c>
      <c r="B147" s="60">
        <v>145</v>
      </c>
      <c r="D147" s="1" t="s">
        <v>2903</v>
      </c>
    </row>
    <row r="148" spans="1:4">
      <c r="A148" s="544" t="s">
        <v>3748</v>
      </c>
      <c r="B148" s="60">
        <v>146</v>
      </c>
      <c r="D148" s="1" t="s">
        <v>2904</v>
      </c>
    </row>
    <row r="149" spans="1:4">
      <c r="A149" s="544" t="s">
        <v>3748</v>
      </c>
      <c r="B149" s="60">
        <v>147</v>
      </c>
      <c r="D149" s="1" t="s">
        <v>2965</v>
      </c>
    </row>
    <row r="150" spans="1:4">
      <c r="A150" s="544" t="s">
        <v>3748</v>
      </c>
      <c r="B150" s="60">
        <v>148</v>
      </c>
      <c r="D150" s="1" t="s">
        <v>2907</v>
      </c>
    </row>
    <row r="151" spans="1:4">
      <c r="A151" s="544" t="s">
        <v>3748</v>
      </c>
      <c r="B151" s="60">
        <v>149</v>
      </c>
      <c r="D151" s="1" t="s">
        <v>2908</v>
      </c>
    </row>
    <row r="152" spans="1:4" ht="15.75" customHeight="1">
      <c r="A152" s="544" t="s">
        <v>3748</v>
      </c>
      <c r="B152" s="60">
        <v>150</v>
      </c>
      <c r="D152" s="70" t="s">
        <v>2909</v>
      </c>
    </row>
    <row r="153" spans="1:4">
      <c r="A153" s="544" t="s">
        <v>3748</v>
      </c>
      <c r="B153" s="60">
        <v>151</v>
      </c>
      <c r="D153" s="1" t="s">
        <v>2910</v>
      </c>
    </row>
    <row r="154" spans="1:4">
      <c r="A154" s="544" t="s">
        <v>3748</v>
      </c>
      <c r="B154" s="60">
        <v>152</v>
      </c>
      <c r="D154" s="1" t="s">
        <v>37</v>
      </c>
    </row>
    <row r="155" spans="1:4">
      <c r="A155" s="544" t="s">
        <v>3748</v>
      </c>
      <c r="B155" s="60">
        <v>153</v>
      </c>
      <c r="D155" s="1" t="s">
        <v>2911</v>
      </c>
    </row>
    <row r="156" spans="1:4">
      <c r="A156" s="544" t="s">
        <v>3748</v>
      </c>
      <c r="B156" s="60">
        <v>154</v>
      </c>
      <c r="D156" s="1" t="s">
        <v>2912</v>
      </c>
    </row>
    <row r="157" spans="1:4">
      <c r="A157" s="544" t="s">
        <v>3748</v>
      </c>
      <c r="B157" s="60">
        <v>155</v>
      </c>
      <c r="D157" s="1" t="s">
        <v>2913</v>
      </c>
    </row>
    <row r="158" spans="1:4">
      <c r="A158" s="544" t="s">
        <v>3748</v>
      </c>
      <c r="B158" s="60">
        <v>156</v>
      </c>
      <c r="D158" s="1" t="s">
        <v>2914</v>
      </c>
    </row>
    <row r="159" spans="1:4">
      <c r="A159" s="544" t="s">
        <v>3748</v>
      </c>
      <c r="B159" s="60">
        <v>157</v>
      </c>
      <c r="D159" s="1" t="s">
        <v>38</v>
      </c>
    </row>
    <row r="160" spans="1:4">
      <c r="A160" s="544" t="s">
        <v>3748</v>
      </c>
      <c r="B160" s="60">
        <v>158</v>
      </c>
      <c r="D160" s="1" t="s">
        <v>39</v>
      </c>
    </row>
    <row r="161" spans="1:4">
      <c r="A161" s="544" t="s">
        <v>3748</v>
      </c>
      <c r="B161" s="60">
        <v>159</v>
      </c>
      <c r="D161" s="1" t="s">
        <v>40</v>
      </c>
    </row>
    <row r="162" spans="1:4">
      <c r="A162" s="544" t="s">
        <v>3748</v>
      </c>
      <c r="B162" s="60">
        <v>160</v>
      </c>
      <c r="D162" s="1" t="s">
        <v>41</v>
      </c>
    </row>
    <row r="163" spans="1:4">
      <c r="A163" s="544" t="s">
        <v>3748</v>
      </c>
      <c r="B163" s="60">
        <v>161</v>
      </c>
      <c r="D163" s="1" t="s">
        <v>2972</v>
      </c>
    </row>
    <row r="164" spans="1:4">
      <c r="A164" s="544" t="s">
        <v>3748</v>
      </c>
      <c r="B164" s="60">
        <v>162</v>
      </c>
      <c r="D164" s="1" t="s">
        <v>2915</v>
      </c>
    </row>
    <row r="165" spans="1:4">
      <c r="A165" s="544" t="s">
        <v>3748</v>
      </c>
      <c r="B165" s="60">
        <v>163</v>
      </c>
      <c r="D165" s="1" t="s">
        <v>42</v>
      </c>
    </row>
    <row r="166" spans="1:4">
      <c r="A166" s="544" t="s">
        <v>3748</v>
      </c>
      <c r="B166" s="60">
        <v>164</v>
      </c>
      <c r="D166" s="1" t="s">
        <v>43</v>
      </c>
    </row>
    <row r="167" spans="1:4">
      <c r="A167" s="544" t="s">
        <v>3748</v>
      </c>
      <c r="B167" s="60">
        <v>165</v>
      </c>
      <c r="D167" s="1" t="s">
        <v>44</v>
      </c>
    </row>
    <row r="168" spans="1:4">
      <c r="A168" s="544" t="s">
        <v>3748</v>
      </c>
      <c r="B168" s="60">
        <v>166</v>
      </c>
      <c r="D168" s="1" t="s">
        <v>45</v>
      </c>
    </row>
    <row r="169" spans="1:4">
      <c r="A169" s="544" t="s">
        <v>3748</v>
      </c>
      <c r="B169" s="60">
        <v>167</v>
      </c>
      <c r="D169" s="1" t="s">
        <v>46</v>
      </c>
    </row>
    <row r="170" spans="1:4">
      <c r="A170" s="544" t="s">
        <v>3748</v>
      </c>
      <c r="B170" s="60">
        <v>168</v>
      </c>
      <c r="D170" s="1" t="s">
        <v>47</v>
      </c>
    </row>
    <row r="171" spans="1:4">
      <c r="A171" s="544" t="s">
        <v>3748</v>
      </c>
      <c r="B171" s="60">
        <v>169</v>
      </c>
      <c r="D171" s="1" t="s">
        <v>2973</v>
      </c>
    </row>
    <row r="172" spans="1:4">
      <c r="A172" s="544" t="s">
        <v>3748</v>
      </c>
      <c r="B172" s="60">
        <v>170</v>
      </c>
      <c r="D172" s="1" t="s">
        <v>48</v>
      </c>
    </row>
    <row r="173" spans="1:4">
      <c r="A173" s="544" t="s">
        <v>3748</v>
      </c>
      <c r="B173" s="60">
        <v>171</v>
      </c>
      <c r="D173" s="1" t="s">
        <v>49</v>
      </c>
    </row>
    <row r="174" spans="1:4">
      <c r="A174" s="544" t="s">
        <v>3748</v>
      </c>
      <c r="B174" s="60">
        <v>172</v>
      </c>
      <c r="D174" s="1" t="s">
        <v>50</v>
      </c>
    </row>
    <row r="175" spans="1:4">
      <c r="A175" s="544" t="s">
        <v>3748</v>
      </c>
      <c r="B175" s="60">
        <v>173</v>
      </c>
      <c r="D175" s="1" t="s">
        <v>51</v>
      </c>
    </row>
    <row r="176" spans="1:4">
      <c r="A176" s="544" t="s">
        <v>3748</v>
      </c>
      <c r="B176" s="60">
        <v>174</v>
      </c>
      <c r="D176" s="1" t="s">
        <v>52</v>
      </c>
    </row>
    <row r="177" spans="1:4">
      <c r="A177" s="544" t="s">
        <v>3748</v>
      </c>
      <c r="B177" s="60">
        <v>175</v>
      </c>
      <c r="D177" s="1" t="s">
        <v>53</v>
      </c>
    </row>
    <row r="178" spans="1:4">
      <c r="A178" s="544" t="s">
        <v>3748</v>
      </c>
      <c r="B178" s="60">
        <v>176</v>
      </c>
      <c r="D178" s="1" t="s">
        <v>54</v>
      </c>
    </row>
    <row r="179" spans="1:4">
      <c r="A179" s="544" t="s">
        <v>3748</v>
      </c>
      <c r="B179" s="60">
        <v>177</v>
      </c>
      <c r="D179" s="1" t="s">
        <v>55</v>
      </c>
    </row>
    <row r="180" spans="1:4">
      <c r="A180" s="544" t="s">
        <v>3748</v>
      </c>
      <c r="B180" s="60">
        <v>178</v>
      </c>
      <c r="D180" s="1" t="s">
        <v>56</v>
      </c>
    </row>
    <row r="181" spans="1:4">
      <c r="A181" s="544" t="s">
        <v>3748</v>
      </c>
      <c r="B181" s="60">
        <v>179</v>
      </c>
      <c r="D181" s="1" t="s">
        <v>2916</v>
      </c>
    </row>
    <row r="182" spans="1:4">
      <c r="A182" s="544" t="s">
        <v>3748</v>
      </c>
      <c r="B182" s="60">
        <v>180</v>
      </c>
      <c r="D182" s="1" t="s">
        <v>57</v>
      </c>
    </row>
    <row r="183" spans="1:4">
      <c r="A183" s="544" t="s">
        <v>3748</v>
      </c>
      <c r="B183" s="60">
        <v>181</v>
      </c>
      <c r="D183" s="1" t="s">
        <v>2917</v>
      </c>
    </row>
    <row r="184" spans="1:4">
      <c r="A184" s="544" t="s">
        <v>3748</v>
      </c>
      <c r="B184" s="60">
        <v>182</v>
      </c>
      <c r="D184" s="1" t="s">
        <v>2918</v>
      </c>
    </row>
    <row r="185" spans="1:4">
      <c r="A185" s="544" t="s">
        <v>3748</v>
      </c>
      <c r="B185" s="60">
        <v>183</v>
      </c>
      <c r="D185" s="1" t="s">
        <v>2919</v>
      </c>
    </row>
    <row r="186" spans="1:4">
      <c r="A186" s="544" t="s">
        <v>3748</v>
      </c>
      <c r="B186" s="60">
        <v>184</v>
      </c>
      <c r="D186" s="1" t="s">
        <v>2920</v>
      </c>
    </row>
    <row r="187" spans="1:4">
      <c r="A187" s="544" t="s">
        <v>3748</v>
      </c>
      <c r="B187" s="60">
        <v>185</v>
      </c>
      <c r="D187" s="1" t="s">
        <v>2921</v>
      </c>
    </row>
    <row r="188" spans="1:4">
      <c r="A188" s="544" t="s">
        <v>3748</v>
      </c>
      <c r="B188" s="60">
        <v>186</v>
      </c>
      <c r="D188" s="1" t="s">
        <v>2922</v>
      </c>
    </row>
    <row r="189" spans="1:4">
      <c r="A189" s="544" t="s">
        <v>3748</v>
      </c>
      <c r="B189" s="60">
        <v>187</v>
      </c>
      <c r="D189" s="1" t="s">
        <v>2923</v>
      </c>
    </row>
    <row r="190" spans="1:4">
      <c r="A190" s="544" t="s">
        <v>3748</v>
      </c>
      <c r="B190" s="60">
        <v>188</v>
      </c>
      <c r="D190" s="1" t="s">
        <v>2924</v>
      </c>
    </row>
    <row r="191" spans="1:4">
      <c r="A191" s="544" t="s">
        <v>3748</v>
      </c>
      <c r="B191" s="67">
        <v>189</v>
      </c>
      <c r="D191" s="1" t="s">
        <v>2925</v>
      </c>
    </row>
    <row r="192" spans="1:4">
      <c r="A192" s="544" t="s">
        <v>3748</v>
      </c>
      <c r="B192" s="67">
        <v>190</v>
      </c>
      <c r="D192" s="1" t="s">
        <v>2926</v>
      </c>
    </row>
    <row r="193" spans="1:4">
      <c r="A193" s="544" t="s">
        <v>3748</v>
      </c>
      <c r="B193" s="67">
        <v>191</v>
      </c>
      <c r="D193" s="1" t="s">
        <v>58</v>
      </c>
    </row>
    <row r="194" spans="1:4">
      <c r="A194" s="544" t="s">
        <v>3748</v>
      </c>
      <c r="B194" s="67">
        <v>192</v>
      </c>
      <c r="D194" s="1" t="s">
        <v>2927</v>
      </c>
    </row>
    <row r="195" spans="1:4">
      <c r="A195" s="544" t="s">
        <v>3748</v>
      </c>
      <c r="B195" s="67">
        <v>193</v>
      </c>
      <c r="D195" s="1" t="s">
        <v>2928</v>
      </c>
    </row>
    <row r="196" spans="1:4">
      <c r="A196" s="544" t="s">
        <v>3748</v>
      </c>
      <c r="B196" s="67">
        <v>194</v>
      </c>
      <c r="D196" s="1" t="s">
        <v>2929</v>
      </c>
    </row>
    <row r="197" spans="1:4">
      <c r="A197" s="544" t="s">
        <v>3748</v>
      </c>
      <c r="B197" s="67">
        <v>195</v>
      </c>
      <c r="D197" s="1" t="s">
        <v>2930</v>
      </c>
    </row>
    <row r="198" spans="1:4">
      <c r="A198" s="544" t="s">
        <v>3748</v>
      </c>
      <c r="B198" s="67">
        <v>196</v>
      </c>
      <c r="D198" s="1" t="s">
        <v>2931</v>
      </c>
    </row>
    <row r="199" spans="1:4">
      <c r="A199" s="544" t="s">
        <v>3748</v>
      </c>
      <c r="B199" s="67">
        <v>197</v>
      </c>
      <c r="D199" s="1" t="s">
        <v>2932</v>
      </c>
    </row>
    <row r="200" spans="1:4">
      <c r="A200" s="544" t="s">
        <v>3748</v>
      </c>
      <c r="B200" s="67">
        <v>198</v>
      </c>
      <c r="D200" s="1" t="s">
        <v>2933</v>
      </c>
    </row>
    <row r="201" spans="1:4">
      <c r="A201" s="544" t="s">
        <v>3748</v>
      </c>
      <c r="B201" s="67">
        <v>199</v>
      </c>
      <c r="D201" s="1" t="s">
        <v>2934</v>
      </c>
    </row>
    <row r="202" spans="1:4">
      <c r="A202" s="544" t="s">
        <v>3748</v>
      </c>
      <c r="B202" s="67">
        <v>200</v>
      </c>
      <c r="D202" s="1" t="s">
        <v>2935</v>
      </c>
    </row>
    <row r="203" spans="1:4">
      <c r="A203" s="544" t="s">
        <v>3748</v>
      </c>
      <c r="B203" s="67">
        <v>201</v>
      </c>
      <c r="D203" s="1" t="s">
        <v>2936</v>
      </c>
    </row>
    <row r="204" spans="1:4">
      <c r="A204" s="544" t="s">
        <v>3748</v>
      </c>
      <c r="B204" s="67">
        <v>202</v>
      </c>
      <c r="D204" s="1" t="s">
        <v>2937</v>
      </c>
    </row>
    <row r="205" spans="1:4">
      <c r="A205" s="544" t="s">
        <v>3748</v>
      </c>
      <c r="B205" s="67">
        <v>203</v>
      </c>
      <c r="D205" s="1" t="s">
        <v>2938</v>
      </c>
    </row>
    <row r="206" spans="1:4">
      <c r="A206" s="544" t="s">
        <v>3748</v>
      </c>
      <c r="B206" s="67">
        <v>204</v>
      </c>
      <c r="D206" s="1" t="s">
        <v>2939</v>
      </c>
    </row>
    <row r="207" spans="1:4">
      <c r="A207" s="544" t="s">
        <v>3748</v>
      </c>
      <c r="B207" s="67">
        <v>205</v>
      </c>
      <c r="D207" s="1" t="s">
        <v>2974</v>
      </c>
    </row>
    <row r="208" spans="1:4">
      <c r="A208" s="544" t="s">
        <v>3748</v>
      </c>
      <c r="B208" s="67">
        <v>206</v>
      </c>
      <c r="D208" s="1" t="s">
        <v>2940</v>
      </c>
    </row>
    <row r="209" spans="1:4">
      <c r="A209" s="544" t="s">
        <v>3748</v>
      </c>
      <c r="B209" s="67">
        <v>207</v>
      </c>
      <c r="D209" s="1" t="s">
        <v>2941</v>
      </c>
    </row>
    <row r="210" spans="1:4">
      <c r="A210" s="544" t="s">
        <v>3748</v>
      </c>
      <c r="B210" s="67">
        <v>208</v>
      </c>
      <c r="D210" s="1" t="s">
        <v>2942</v>
      </c>
    </row>
    <row r="211" spans="1:4">
      <c r="A211" s="544" t="s">
        <v>3748</v>
      </c>
      <c r="B211" s="67">
        <v>209</v>
      </c>
      <c r="D211" s="1" t="s">
        <v>2943</v>
      </c>
    </row>
    <row r="212" spans="1:4">
      <c r="A212" s="544" t="s">
        <v>3748</v>
      </c>
      <c r="B212" s="67">
        <v>210</v>
      </c>
      <c r="D212" s="1" t="s">
        <v>2944</v>
      </c>
    </row>
    <row r="213" spans="1:4">
      <c r="A213" s="544" t="s">
        <v>3748</v>
      </c>
      <c r="B213" s="67">
        <v>211</v>
      </c>
      <c r="D213" s="1" t="s">
        <v>2945</v>
      </c>
    </row>
    <row r="214" spans="1:4">
      <c r="A214" s="544" t="s">
        <v>3748</v>
      </c>
      <c r="B214" s="67">
        <v>212</v>
      </c>
      <c r="D214" s="1" t="s">
        <v>59</v>
      </c>
    </row>
    <row r="215" spans="1:4">
      <c r="A215" s="544" t="s">
        <v>3748</v>
      </c>
      <c r="B215" s="67">
        <v>213</v>
      </c>
      <c r="D215" s="1" t="s">
        <v>2946</v>
      </c>
    </row>
    <row r="216" spans="1:4">
      <c r="A216" s="544" t="s">
        <v>3748</v>
      </c>
      <c r="B216" s="67">
        <v>214</v>
      </c>
      <c r="D216" s="1" t="s">
        <v>2947</v>
      </c>
    </row>
    <row r="217" spans="1:4">
      <c r="A217" s="544" t="s">
        <v>3748</v>
      </c>
      <c r="B217" s="67">
        <v>215</v>
      </c>
      <c r="D217" s="1" t="s">
        <v>2948</v>
      </c>
    </row>
    <row r="218" spans="1:4">
      <c r="A218" s="544" t="s">
        <v>3748</v>
      </c>
      <c r="B218" s="67">
        <v>216</v>
      </c>
      <c r="D218" s="1" t="s">
        <v>2949</v>
      </c>
    </row>
    <row r="219" spans="1:4">
      <c r="A219" s="544" t="s">
        <v>3748</v>
      </c>
      <c r="B219" s="67">
        <v>217</v>
      </c>
      <c r="D219" s="1" t="s">
        <v>2950</v>
      </c>
    </row>
    <row r="220" spans="1:4">
      <c r="A220" s="544" t="s">
        <v>3748</v>
      </c>
      <c r="B220" s="67">
        <v>218</v>
      </c>
      <c r="D220" s="1" t="s">
        <v>2951</v>
      </c>
    </row>
    <row r="221" spans="1:4">
      <c r="A221" s="544" t="s">
        <v>3748</v>
      </c>
      <c r="B221" s="67">
        <v>219</v>
      </c>
      <c r="D221" s="1" t="s">
        <v>2952</v>
      </c>
    </row>
    <row r="222" spans="1:4">
      <c r="A222" s="544" t="s">
        <v>3748</v>
      </c>
      <c r="B222" s="67">
        <v>220</v>
      </c>
      <c r="D222" s="1" t="s">
        <v>60</v>
      </c>
    </row>
    <row r="223" spans="1:4">
      <c r="A223" s="544" t="s">
        <v>3748</v>
      </c>
      <c r="B223" s="67">
        <v>221</v>
      </c>
      <c r="D223" s="1" t="s">
        <v>2953</v>
      </c>
    </row>
    <row r="224" spans="1:4">
      <c r="A224" s="544" t="s">
        <v>3748</v>
      </c>
      <c r="B224" s="67">
        <v>222</v>
      </c>
      <c r="D224" s="1" t="s">
        <v>2954</v>
      </c>
    </row>
    <row r="225" spans="1:4">
      <c r="A225" s="544" t="s">
        <v>3748</v>
      </c>
      <c r="B225" s="67">
        <v>223</v>
      </c>
      <c r="D225" s="1" t="s">
        <v>2955</v>
      </c>
    </row>
    <row r="226" spans="1:4">
      <c r="A226" s="544" t="s">
        <v>3748</v>
      </c>
      <c r="B226" s="67">
        <v>224</v>
      </c>
      <c r="D226" s="1" t="s">
        <v>2956</v>
      </c>
    </row>
    <row r="227" spans="1:4">
      <c r="A227" s="544" t="s">
        <v>3748</v>
      </c>
      <c r="B227" s="67">
        <v>225</v>
      </c>
      <c r="D227" s="1" t="s">
        <v>2957</v>
      </c>
    </row>
    <row r="228" spans="1:4">
      <c r="A228" s="544" t="s">
        <v>3748</v>
      </c>
      <c r="B228" s="67">
        <v>226</v>
      </c>
      <c r="D228" s="1" t="s">
        <v>2958</v>
      </c>
    </row>
    <row r="229" spans="1:4">
      <c r="A229" s="544" t="s">
        <v>3748</v>
      </c>
      <c r="B229" s="67">
        <v>227</v>
      </c>
      <c r="D229" s="1" t="s">
        <v>2959</v>
      </c>
    </row>
    <row r="230" spans="1:4">
      <c r="A230" s="544" t="s">
        <v>3748</v>
      </c>
      <c r="B230" s="67">
        <v>228</v>
      </c>
      <c r="D230" s="1" t="s">
        <v>2960</v>
      </c>
    </row>
    <row r="231" spans="1:4">
      <c r="A231" s="544" t="s">
        <v>3748</v>
      </c>
      <c r="B231" s="67">
        <v>229</v>
      </c>
      <c r="D231" s="1" t="s">
        <v>2961</v>
      </c>
    </row>
    <row r="232" spans="1:4">
      <c r="A232" s="544" t="s">
        <v>3748</v>
      </c>
      <c r="B232" s="67">
        <v>230</v>
      </c>
      <c r="D232" s="1" t="s">
        <v>2962</v>
      </c>
    </row>
    <row r="233" spans="1:4">
      <c r="A233" s="544" t="s">
        <v>3748</v>
      </c>
      <c r="B233" s="67">
        <v>231</v>
      </c>
      <c r="D233" s="1" t="s">
        <v>2963</v>
      </c>
    </row>
    <row r="234" spans="1:4">
      <c r="A234" s="544" t="s">
        <v>3748</v>
      </c>
      <c r="B234" s="67">
        <v>232</v>
      </c>
      <c r="D234" s="1" t="s">
        <v>2964</v>
      </c>
    </row>
    <row r="235" spans="1:4">
      <c r="A235" s="544" t="s">
        <v>3748</v>
      </c>
      <c r="B235" s="67">
        <v>233</v>
      </c>
      <c r="D235" t="s">
        <v>61</v>
      </c>
    </row>
    <row r="236" spans="1:4">
      <c r="A236" s="544" t="s">
        <v>3748</v>
      </c>
      <c r="B236" s="67">
        <v>234</v>
      </c>
      <c r="D236" t="s">
        <v>62</v>
      </c>
    </row>
    <row r="237" spans="1:4">
      <c r="A237" s="544" t="s">
        <v>3748</v>
      </c>
      <c r="B237" s="67">
        <v>235</v>
      </c>
      <c r="D237" t="s">
        <v>63</v>
      </c>
    </row>
    <row r="238" spans="1:4">
      <c r="A238" s="544" t="s">
        <v>3748</v>
      </c>
      <c r="B238" s="67">
        <v>236</v>
      </c>
      <c r="D238" t="s">
        <v>64</v>
      </c>
    </row>
    <row r="239" spans="1:4">
      <c r="A239" s="544" t="s">
        <v>3748</v>
      </c>
      <c r="B239" s="67">
        <v>237</v>
      </c>
      <c r="D239" t="s">
        <v>65</v>
      </c>
    </row>
    <row r="240" spans="1:4">
      <c r="A240" s="544" t="s">
        <v>3748</v>
      </c>
      <c r="B240" s="67">
        <v>238</v>
      </c>
      <c r="D240" t="s">
        <v>66</v>
      </c>
    </row>
    <row r="241" spans="1:4">
      <c r="A241" s="544" t="s">
        <v>3748</v>
      </c>
      <c r="B241" s="67">
        <v>239</v>
      </c>
      <c r="D241" t="s">
        <v>67</v>
      </c>
    </row>
    <row r="242" spans="1:4">
      <c r="A242" s="544" t="s">
        <v>3748</v>
      </c>
      <c r="B242" s="67">
        <v>240</v>
      </c>
      <c r="D242" t="s">
        <v>68</v>
      </c>
    </row>
    <row r="243" spans="1:4">
      <c r="A243" s="544" t="s">
        <v>3748</v>
      </c>
      <c r="B243" s="67">
        <v>241</v>
      </c>
      <c r="D243" t="s">
        <v>69</v>
      </c>
    </row>
    <row r="244" spans="1:4">
      <c r="A244" s="544" t="s">
        <v>3748</v>
      </c>
      <c r="B244" s="67">
        <v>242</v>
      </c>
      <c r="D244" t="s">
        <v>70</v>
      </c>
    </row>
    <row r="245" spans="1:4">
      <c r="A245" s="544" t="s">
        <v>3748</v>
      </c>
      <c r="B245" s="67">
        <v>243</v>
      </c>
      <c r="D245" t="s">
        <v>71</v>
      </c>
    </row>
    <row r="246" spans="1:4">
      <c r="A246" s="544" t="s">
        <v>3748</v>
      </c>
      <c r="B246" s="67">
        <v>244</v>
      </c>
      <c r="D246" t="s">
        <v>72</v>
      </c>
    </row>
    <row r="247" spans="1:4">
      <c r="A247" s="544" t="s">
        <v>3748</v>
      </c>
      <c r="B247" s="67">
        <v>245</v>
      </c>
      <c r="D247" t="s">
        <v>73</v>
      </c>
    </row>
    <row r="248" spans="1:4">
      <c r="A248" s="544" t="s">
        <v>3748</v>
      </c>
      <c r="B248" s="67">
        <v>246</v>
      </c>
      <c r="D248" t="s">
        <v>74</v>
      </c>
    </row>
    <row r="249" spans="1:4">
      <c r="A249" s="544" t="s">
        <v>3748</v>
      </c>
      <c r="B249" s="67">
        <v>247</v>
      </c>
      <c r="D249" t="s">
        <v>75</v>
      </c>
    </row>
    <row r="250" spans="1:4">
      <c r="A250" s="544" t="s">
        <v>3748</v>
      </c>
      <c r="B250" s="67">
        <v>248</v>
      </c>
      <c r="D250" t="s">
        <v>76</v>
      </c>
    </row>
    <row r="251" spans="1:4">
      <c r="A251" s="544" t="s">
        <v>3748</v>
      </c>
      <c r="B251" s="67">
        <v>249</v>
      </c>
      <c r="D251" t="s">
        <v>77</v>
      </c>
    </row>
    <row r="252" spans="1:4">
      <c r="A252" s="544" t="s">
        <v>3748</v>
      </c>
      <c r="B252" s="67">
        <v>250</v>
      </c>
      <c r="D252" t="s">
        <v>78</v>
      </c>
    </row>
    <row r="253" spans="1:4">
      <c r="A253" s="544" t="s">
        <v>3748</v>
      </c>
      <c r="B253" s="67">
        <v>251</v>
      </c>
      <c r="D253" t="s">
        <v>79</v>
      </c>
    </row>
    <row r="254" spans="1:4">
      <c r="A254" s="544" t="s">
        <v>3748</v>
      </c>
      <c r="B254" s="67">
        <v>252</v>
      </c>
      <c r="D254" t="s">
        <v>80</v>
      </c>
    </row>
    <row r="255" spans="1:4">
      <c r="A255" s="544" t="s">
        <v>3748</v>
      </c>
      <c r="B255" s="67">
        <v>253</v>
      </c>
      <c r="D255" t="s">
        <v>81</v>
      </c>
    </row>
    <row r="256" spans="1:4">
      <c r="A256" s="544" t="s">
        <v>3748</v>
      </c>
      <c r="B256" s="67">
        <v>254</v>
      </c>
      <c r="D256" t="s">
        <v>82</v>
      </c>
    </row>
    <row r="257" spans="1:4">
      <c r="A257" s="544" t="s">
        <v>3748</v>
      </c>
      <c r="B257" s="67">
        <v>255</v>
      </c>
      <c r="D257" t="s">
        <v>83</v>
      </c>
    </row>
    <row r="258" spans="1:4">
      <c r="A258" s="544" t="s">
        <v>3748</v>
      </c>
      <c r="B258" s="67">
        <v>256</v>
      </c>
      <c r="D258" t="s">
        <v>84</v>
      </c>
    </row>
    <row r="259" spans="1:4">
      <c r="A259" s="544" t="s">
        <v>3748</v>
      </c>
      <c r="B259" s="67">
        <v>257</v>
      </c>
      <c r="D259" t="s">
        <v>85</v>
      </c>
    </row>
    <row r="260" spans="1:4">
      <c r="A260" s="544" t="s">
        <v>3748</v>
      </c>
      <c r="B260" s="67">
        <v>258</v>
      </c>
      <c r="D260" t="s">
        <v>86</v>
      </c>
    </row>
    <row r="261" spans="1:4">
      <c r="A261" s="544" t="s">
        <v>3748</v>
      </c>
      <c r="B261" s="67">
        <v>259</v>
      </c>
      <c r="D261" t="s">
        <v>87</v>
      </c>
    </row>
    <row r="262" spans="1:4">
      <c r="A262" s="544" t="s">
        <v>3748</v>
      </c>
      <c r="B262" s="67">
        <v>260</v>
      </c>
      <c r="D262" t="s">
        <v>88</v>
      </c>
    </row>
    <row r="263" spans="1:4">
      <c r="A263" s="544" t="s">
        <v>3748</v>
      </c>
      <c r="B263" s="67">
        <v>261</v>
      </c>
      <c r="D263" t="s">
        <v>89</v>
      </c>
    </row>
    <row r="264" spans="1:4">
      <c r="A264" s="544" t="s">
        <v>3748</v>
      </c>
      <c r="B264" s="67">
        <v>262</v>
      </c>
      <c r="D264" t="s">
        <v>90</v>
      </c>
    </row>
    <row r="265" spans="1:4">
      <c r="A265" s="544" t="s">
        <v>3748</v>
      </c>
      <c r="B265" s="67">
        <v>263</v>
      </c>
      <c r="D265" t="s">
        <v>91</v>
      </c>
    </row>
    <row r="266" spans="1:4">
      <c r="A266" s="544" t="s">
        <v>3748</v>
      </c>
      <c r="B266" s="67">
        <v>264</v>
      </c>
      <c r="D266" t="s">
        <v>92</v>
      </c>
    </row>
    <row r="267" spans="1:4">
      <c r="A267" s="544" t="s">
        <v>3748</v>
      </c>
      <c r="B267" s="67">
        <v>265</v>
      </c>
      <c r="D267" t="s">
        <v>93</v>
      </c>
    </row>
    <row r="268" spans="1:4">
      <c r="A268" s="544" t="s">
        <v>3748</v>
      </c>
      <c r="B268" s="67">
        <v>266</v>
      </c>
      <c r="D268" t="s">
        <v>94</v>
      </c>
    </row>
    <row r="269" spans="1:4">
      <c r="A269" s="544" t="s">
        <v>3748</v>
      </c>
      <c r="B269" s="67">
        <v>267</v>
      </c>
      <c r="D269" t="s">
        <v>95</v>
      </c>
    </row>
    <row r="270" spans="1:4">
      <c r="A270" s="544" t="s">
        <v>3748</v>
      </c>
      <c r="B270" s="67">
        <v>268</v>
      </c>
      <c r="D270" t="s">
        <v>96</v>
      </c>
    </row>
    <row r="271" spans="1:4">
      <c r="A271" s="544" t="s">
        <v>3748</v>
      </c>
      <c r="B271" s="67">
        <v>269</v>
      </c>
      <c r="D271" t="s">
        <v>97</v>
      </c>
    </row>
    <row r="272" spans="1:4">
      <c r="A272" s="544" t="s">
        <v>3748</v>
      </c>
      <c r="B272" s="67">
        <v>270</v>
      </c>
      <c r="D272" t="s">
        <v>98</v>
      </c>
    </row>
    <row r="273" spans="1:4">
      <c r="A273" s="544" t="s">
        <v>3748</v>
      </c>
      <c r="B273" s="67">
        <v>271</v>
      </c>
      <c r="D273" t="s">
        <v>99</v>
      </c>
    </row>
    <row r="274" spans="1:4">
      <c r="A274" s="544" t="s">
        <v>3748</v>
      </c>
      <c r="B274" s="67">
        <v>272</v>
      </c>
      <c r="D274" t="s">
        <v>100</v>
      </c>
    </row>
    <row r="275" spans="1:4">
      <c r="A275" s="544" t="s">
        <v>3748</v>
      </c>
      <c r="B275" s="67">
        <v>273</v>
      </c>
      <c r="D275" t="s">
        <v>101</v>
      </c>
    </row>
    <row r="276" spans="1:4">
      <c r="A276" s="544" t="s">
        <v>3748</v>
      </c>
      <c r="B276" s="67">
        <v>274</v>
      </c>
      <c r="D276" t="s">
        <v>102</v>
      </c>
    </row>
    <row r="277" spans="1:4">
      <c r="A277" s="544" t="s">
        <v>3748</v>
      </c>
      <c r="B277" s="67">
        <v>275</v>
      </c>
      <c r="D277" t="s">
        <v>103</v>
      </c>
    </row>
    <row r="278" spans="1:4">
      <c r="A278" s="544" t="s">
        <v>3748</v>
      </c>
      <c r="B278" s="67">
        <v>276</v>
      </c>
      <c r="D278" t="s">
        <v>104</v>
      </c>
    </row>
    <row r="279" spans="1:4">
      <c r="A279" s="544" t="s">
        <v>3748</v>
      </c>
      <c r="B279" s="67">
        <v>277</v>
      </c>
      <c r="D279" t="s">
        <v>105</v>
      </c>
    </row>
    <row r="280" spans="1:4">
      <c r="A280" s="544" t="s">
        <v>3748</v>
      </c>
      <c r="B280" s="67">
        <v>278</v>
      </c>
      <c r="D280" t="s">
        <v>106</v>
      </c>
    </row>
    <row r="281" spans="1:4">
      <c r="A281" s="544" t="s">
        <v>3748</v>
      </c>
      <c r="B281" s="67">
        <v>279</v>
      </c>
      <c r="D281" t="s">
        <v>107</v>
      </c>
    </row>
    <row r="282" spans="1:4">
      <c r="A282" s="544" t="s">
        <v>3748</v>
      </c>
      <c r="B282" s="67">
        <v>280</v>
      </c>
      <c r="D282" t="s">
        <v>108</v>
      </c>
    </row>
    <row r="283" spans="1:4">
      <c r="A283" s="544" t="s">
        <v>3748</v>
      </c>
      <c r="B283" s="67">
        <v>281</v>
      </c>
      <c r="D283" t="s">
        <v>109</v>
      </c>
    </row>
    <row r="284" spans="1:4">
      <c r="A284" s="544" t="s">
        <v>3748</v>
      </c>
      <c r="B284" s="67">
        <v>282</v>
      </c>
      <c r="D284" t="s">
        <v>110</v>
      </c>
    </row>
    <row r="285" spans="1:4">
      <c r="A285" s="544" t="s">
        <v>3748</v>
      </c>
      <c r="B285" s="67">
        <v>283</v>
      </c>
      <c r="D285" t="s">
        <v>111</v>
      </c>
    </row>
    <row r="286" spans="1:4">
      <c r="A286" s="544" t="s">
        <v>3748</v>
      </c>
      <c r="B286" s="67">
        <v>284</v>
      </c>
      <c r="D286" t="s">
        <v>112</v>
      </c>
    </row>
    <row r="287" spans="1:4">
      <c r="A287" s="544" t="s">
        <v>3748</v>
      </c>
      <c r="B287" s="67">
        <v>285</v>
      </c>
      <c r="D287" t="s">
        <v>113</v>
      </c>
    </row>
    <row r="288" spans="1:4">
      <c r="A288" s="544" t="s">
        <v>3748</v>
      </c>
      <c r="B288" s="67">
        <v>286</v>
      </c>
      <c r="D288" t="s">
        <v>114</v>
      </c>
    </row>
    <row r="289" spans="1:4">
      <c r="A289" s="544" t="s">
        <v>3748</v>
      </c>
      <c r="B289" s="67">
        <v>287</v>
      </c>
      <c r="D289" t="s">
        <v>115</v>
      </c>
    </row>
    <row r="290" spans="1:4">
      <c r="A290" s="544" t="s">
        <v>3748</v>
      </c>
      <c r="B290" s="67">
        <v>288</v>
      </c>
      <c r="D290" t="s">
        <v>163</v>
      </c>
    </row>
    <row r="291" spans="1:4">
      <c r="A291" s="544" t="s">
        <v>3748</v>
      </c>
      <c r="B291" s="67">
        <v>289</v>
      </c>
      <c r="D291" s="2" t="s">
        <v>448</v>
      </c>
    </row>
    <row r="292" spans="1:4" s="2" customFormat="1">
      <c r="A292" s="544" t="s">
        <v>3748</v>
      </c>
      <c r="B292" s="2" t="s">
        <v>2746</v>
      </c>
      <c r="C292" s="60"/>
    </row>
    <row r="293" spans="1:4">
      <c r="A293" s="544" t="s">
        <v>3748</v>
      </c>
      <c r="B293" s="60">
        <v>290</v>
      </c>
      <c r="D293" s="2" t="s">
        <v>449</v>
      </c>
    </row>
    <row r="294" spans="1:4">
      <c r="A294" s="544" t="s">
        <v>3748</v>
      </c>
      <c r="B294" s="67">
        <v>291</v>
      </c>
      <c r="D294" s="2" t="s">
        <v>450</v>
      </c>
    </row>
    <row r="295" spans="1:4">
      <c r="A295" s="544" t="s">
        <v>3748</v>
      </c>
      <c r="B295" s="67">
        <v>292</v>
      </c>
      <c r="D295" s="2" t="s">
        <v>451</v>
      </c>
    </row>
    <row r="296" spans="1:4">
      <c r="A296" s="544" t="s">
        <v>3748</v>
      </c>
      <c r="B296" s="67">
        <v>293</v>
      </c>
      <c r="D296" s="2" t="s">
        <v>452</v>
      </c>
    </row>
    <row r="297" spans="1:4">
      <c r="A297" s="544" t="s">
        <v>3748</v>
      </c>
      <c r="B297" s="67">
        <v>294</v>
      </c>
      <c r="D297" s="2" t="s">
        <v>453</v>
      </c>
    </row>
    <row r="298" spans="1:4">
      <c r="A298" s="544" t="s">
        <v>3748</v>
      </c>
      <c r="B298" s="67">
        <v>295</v>
      </c>
      <c r="D298" s="2" t="s">
        <v>454</v>
      </c>
    </row>
    <row r="299" spans="1:4">
      <c r="A299" s="544" t="s">
        <v>3748</v>
      </c>
      <c r="B299" s="67">
        <v>296</v>
      </c>
      <c r="D299" s="2" t="s">
        <v>455</v>
      </c>
    </row>
    <row r="300" spans="1:4">
      <c r="A300" s="544" t="s">
        <v>3748</v>
      </c>
      <c r="B300" s="67">
        <v>297</v>
      </c>
      <c r="D300" s="2" t="s">
        <v>456</v>
      </c>
    </row>
    <row r="301" spans="1:4">
      <c r="A301" s="544" t="s">
        <v>3748</v>
      </c>
      <c r="B301" s="67">
        <v>298</v>
      </c>
      <c r="D301" s="43" t="s">
        <v>2977</v>
      </c>
    </row>
    <row r="302" spans="1:4">
      <c r="A302" s="544" t="s">
        <v>3748</v>
      </c>
      <c r="B302" s="67">
        <v>299</v>
      </c>
      <c r="D302" s="2" t="s">
        <v>457</v>
      </c>
    </row>
    <row r="303" spans="1:4">
      <c r="A303" s="544" t="s">
        <v>3748</v>
      </c>
      <c r="B303" s="67">
        <v>300</v>
      </c>
      <c r="D303" s="2" t="s">
        <v>458</v>
      </c>
    </row>
    <row r="304" spans="1:4">
      <c r="A304" s="544" t="s">
        <v>3748</v>
      </c>
      <c r="B304" s="67">
        <v>301</v>
      </c>
      <c r="D304" s="2" t="s">
        <v>459</v>
      </c>
    </row>
    <row r="305" spans="1:4">
      <c r="A305" s="544" t="s">
        <v>3748</v>
      </c>
      <c r="B305" s="67">
        <v>302</v>
      </c>
      <c r="D305" s="2" t="s">
        <v>460</v>
      </c>
    </row>
    <row r="306" spans="1:4">
      <c r="A306" s="544" t="s">
        <v>3748</v>
      </c>
      <c r="B306" s="67">
        <v>303</v>
      </c>
      <c r="D306" s="2" t="s">
        <v>461</v>
      </c>
    </row>
    <row r="307" spans="1:4">
      <c r="A307" s="544" t="s">
        <v>3748</v>
      </c>
      <c r="B307" s="67">
        <v>304</v>
      </c>
      <c r="D307" s="2" t="s">
        <v>517</v>
      </c>
    </row>
    <row r="308" spans="1:4">
      <c r="A308" s="544" t="s">
        <v>3748</v>
      </c>
      <c r="B308" s="67">
        <v>305</v>
      </c>
      <c r="D308" s="2" t="s">
        <v>462</v>
      </c>
    </row>
    <row r="309" spans="1:4">
      <c r="A309" s="544" t="s">
        <v>3748</v>
      </c>
      <c r="B309" s="67">
        <v>306</v>
      </c>
      <c r="D309" s="2" t="s">
        <v>463</v>
      </c>
    </row>
    <row r="310" spans="1:4">
      <c r="A310" s="544" t="s">
        <v>3748</v>
      </c>
      <c r="B310" s="67">
        <v>307</v>
      </c>
      <c r="D310" s="2" t="s">
        <v>464</v>
      </c>
    </row>
    <row r="311" spans="1:4">
      <c r="A311" s="544" t="s">
        <v>3748</v>
      </c>
      <c r="B311" s="67">
        <v>308</v>
      </c>
      <c r="D311" s="2" t="s">
        <v>465</v>
      </c>
    </row>
    <row r="312" spans="1:4">
      <c r="A312" s="544" t="s">
        <v>3748</v>
      </c>
      <c r="B312" s="67">
        <v>309</v>
      </c>
      <c r="D312" s="2" t="s">
        <v>466</v>
      </c>
    </row>
    <row r="313" spans="1:4">
      <c r="A313" s="544" t="s">
        <v>3748</v>
      </c>
      <c r="B313" s="67">
        <v>310</v>
      </c>
      <c r="D313" s="2" t="s">
        <v>467</v>
      </c>
    </row>
    <row r="314" spans="1:4">
      <c r="A314" s="544" t="s">
        <v>3748</v>
      </c>
      <c r="B314" s="67">
        <v>311</v>
      </c>
      <c r="D314" s="2" t="s">
        <v>468</v>
      </c>
    </row>
    <row r="315" spans="1:4">
      <c r="A315" s="544" t="s">
        <v>3748</v>
      </c>
      <c r="B315" s="67">
        <v>312</v>
      </c>
      <c r="D315" s="2" t="s">
        <v>469</v>
      </c>
    </row>
    <row r="316" spans="1:4">
      <c r="A316" s="544" t="s">
        <v>3748</v>
      </c>
      <c r="B316" s="67">
        <v>313</v>
      </c>
      <c r="D316" s="2" t="s">
        <v>470</v>
      </c>
    </row>
    <row r="317" spans="1:4">
      <c r="A317" s="544" t="s">
        <v>3748</v>
      </c>
      <c r="B317" s="67">
        <v>314</v>
      </c>
      <c r="D317" s="2" t="s">
        <v>518</v>
      </c>
    </row>
    <row r="318" spans="1:4">
      <c r="A318" s="544" t="s">
        <v>3748</v>
      </c>
      <c r="B318" s="67">
        <v>315</v>
      </c>
      <c r="D318" s="2" t="s">
        <v>471</v>
      </c>
    </row>
    <row r="319" spans="1:4">
      <c r="A319" s="544" t="s">
        <v>3748</v>
      </c>
      <c r="B319" s="67">
        <v>316</v>
      </c>
      <c r="D319" s="2" t="s">
        <v>472</v>
      </c>
    </row>
    <row r="320" spans="1:4">
      <c r="A320" s="544" t="s">
        <v>3748</v>
      </c>
      <c r="B320" s="67">
        <v>317</v>
      </c>
      <c r="D320" s="2" t="s">
        <v>473</v>
      </c>
    </row>
    <row r="321" spans="1:4">
      <c r="A321" s="544" t="s">
        <v>3748</v>
      </c>
      <c r="B321" s="67">
        <v>318</v>
      </c>
      <c r="D321" s="2" t="s">
        <v>474</v>
      </c>
    </row>
    <row r="322" spans="1:4">
      <c r="A322" s="544" t="s">
        <v>3748</v>
      </c>
      <c r="B322" s="67">
        <v>319</v>
      </c>
      <c r="D322" s="2" t="s">
        <v>475</v>
      </c>
    </row>
    <row r="323" spans="1:4">
      <c r="A323" s="544" t="s">
        <v>3748</v>
      </c>
      <c r="B323" s="67">
        <v>320</v>
      </c>
      <c r="D323" s="2" t="s">
        <v>476</v>
      </c>
    </row>
    <row r="324" spans="1:4">
      <c r="A324" s="544" t="s">
        <v>3748</v>
      </c>
      <c r="B324" s="67">
        <v>321</v>
      </c>
      <c r="D324" s="2" t="s">
        <v>477</v>
      </c>
    </row>
    <row r="325" spans="1:4">
      <c r="A325" s="544" t="s">
        <v>3748</v>
      </c>
      <c r="B325" s="67">
        <v>322</v>
      </c>
      <c r="D325" s="2" t="s">
        <v>478</v>
      </c>
    </row>
    <row r="326" spans="1:4">
      <c r="A326" s="544" t="s">
        <v>3748</v>
      </c>
      <c r="B326" s="67">
        <v>323</v>
      </c>
      <c r="D326" s="2" t="s">
        <v>479</v>
      </c>
    </row>
    <row r="327" spans="1:4">
      <c r="A327" s="544" t="s">
        <v>3748</v>
      </c>
      <c r="B327" s="67">
        <v>324</v>
      </c>
      <c r="D327" s="2" t="s">
        <v>480</v>
      </c>
    </row>
    <row r="328" spans="1:4">
      <c r="A328" s="544" t="s">
        <v>3748</v>
      </c>
      <c r="B328" s="67">
        <v>325</v>
      </c>
      <c r="D328" s="2" t="s">
        <v>481</v>
      </c>
    </row>
    <row r="329" spans="1:4">
      <c r="A329" s="544" t="s">
        <v>3748</v>
      </c>
      <c r="B329" s="67">
        <v>326</v>
      </c>
      <c r="D329" s="2" t="s">
        <v>482</v>
      </c>
    </row>
    <row r="330" spans="1:4">
      <c r="A330" s="544" t="s">
        <v>3748</v>
      </c>
      <c r="B330" s="67">
        <v>327</v>
      </c>
      <c r="D330" s="2" t="s">
        <v>483</v>
      </c>
    </row>
    <row r="331" spans="1:4">
      <c r="A331" s="544" t="s">
        <v>3748</v>
      </c>
      <c r="B331" s="67">
        <v>328</v>
      </c>
      <c r="D331" s="2" t="s">
        <v>484</v>
      </c>
    </row>
    <row r="332" spans="1:4">
      <c r="A332" s="544" t="s">
        <v>3748</v>
      </c>
      <c r="B332" s="67">
        <v>329</v>
      </c>
      <c r="D332" s="2" t="s">
        <v>485</v>
      </c>
    </row>
    <row r="333" spans="1:4">
      <c r="A333" s="544" t="s">
        <v>3748</v>
      </c>
      <c r="B333" s="67">
        <v>330</v>
      </c>
      <c r="D333" s="2" t="s">
        <v>486</v>
      </c>
    </row>
    <row r="334" spans="1:4">
      <c r="A334" s="544" t="s">
        <v>3748</v>
      </c>
      <c r="B334" s="67">
        <v>331</v>
      </c>
      <c r="D334" s="2" t="s">
        <v>487</v>
      </c>
    </row>
    <row r="335" spans="1:4">
      <c r="A335" s="544" t="s">
        <v>3748</v>
      </c>
      <c r="B335" s="67">
        <v>332</v>
      </c>
      <c r="D335" s="2" t="s">
        <v>488</v>
      </c>
    </row>
    <row r="336" spans="1:4">
      <c r="A336" s="544" t="s">
        <v>3748</v>
      </c>
      <c r="B336" s="67">
        <v>333</v>
      </c>
      <c r="D336" s="2" t="s">
        <v>489</v>
      </c>
    </row>
    <row r="337" spans="1:4">
      <c r="A337" s="544" t="s">
        <v>3748</v>
      </c>
      <c r="B337" s="67">
        <v>334</v>
      </c>
      <c r="D337" s="2" t="s">
        <v>490</v>
      </c>
    </row>
    <row r="338" spans="1:4">
      <c r="A338" s="544" t="s">
        <v>3748</v>
      </c>
      <c r="B338" s="67">
        <v>335</v>
      </c>
      <c r="D338" s="2" t="s">
        <v>491</v>
      </c>
    </row>
    <row r="339" spans="1:4">
      <c r="A339" s="544" t="s">
        <v>3748</v>
      </c>
      <c r="B339" s="67">
        <v>336</v>
      </c>
      <c r="D339" s="2" t="s">
        <v>492</v>
      </c>
    </row>
    <row r="340" spans="1:4">
      <c r="A340" s="544" t="s">
        <v>3748</v>
      </c>
      <c r="B340" s="67">
        <v>337</v>
      </c>
      <c r="D340" s="2" t="s">
        <v>493</v>
      </c>
    </row>
    <row r="341" spans="1:4">
      <c r="A341" s="544" t="s">
        <v>3748</v>
      </c>
      <c r="B341" s="67">
        <v>338</v>
      </c>
      <c r="D341" s="2" t="s">
        <v>494</v>
      </c>
    </row>
    <row r="342" spans="1:4">
      <c r="A342" s="544" t="s">
        <v>3748</v>
      </c>
      <c r="B342" s="67">
        <v>339</v>
      </c>
      <c r="D342" s="2" t="s">
        <v>495</v>
      </c>
    </row>
    <row r="343" spans="1:4">
      <c r="A343" s="544" t="s">
        <v>3748</v>
      </c>
      <c r="B343" s="67">
        <v>340</v>
      </c>
      <c r="D343" s="2" t="s">
        <v>496</v>
      </c>
    </row>
    <row r="344" spans="1:4">
      <c r="A344" s="544" t="s">
        <v>3748</v>
      </c>
      <c r="B344" s="67">
        <v>341</v>
      </c>
      <c r="D344" s="2" t="s">
        <v>497</v>
      </c>
    </row>
    <row r="345" spans="1:4">
      <c r="A345" s="544" t="s">
        <v>3748</v>
      </c>
      <c r="B345" s="67">
        <v>342</v>
      </c>
      <c r="D345" s="2" t="s">
        <v>498</v>
      </c>
    </row>
    <row r="346" spans="1:4">
      <c r="A346" s="544" t="s">
        <v>3748</v>
      </c>
      <c r="B346" s="67">
        <v>343</v>
      </c>
      <c r="D346" s="2" t="s">
        <v>499</v>
      </c>
    </row>
    <row r="347" spans="1:4">
      <c r="A347" s="544" t="s">
        <v>3748</v>
      </c>
      <c r="B347" s="67">
        <v>344</v>
      </c>
      <c r="D347" s="2" t="s">
        <v>500</v>
      </c>
    </row>
    <row r="348" spans="1:4">
      <c r="A348" s="544" t="s">
        <v>3748</v>
      </c>
      <c r="B348" s="67">
        <v>345</v>
      </c>
      <c r="D348" s="2" t="s">
        <v>501</v>
      </c>
    </row>
    <row r="349" spans="1:4">
      <c r="A349" s="544" t="s">
        <v>3748</v>
      </c>
      <c r="B349" s="67">
        <v>346</v>
      </c>
      <c r="D349" s="2" t="s">
        <v>502</v>
      </c>
    </row>
    <row r="350" spans="1:4">
      <c r="A350" s="544" t="s">
        <v>3748</v>
      </c>
      <c r="B350" s="67">
        <v>347</v>
      </c>
      <c r="D350" s="2" t="s">
        <v>503</v>
      </c>
    </row>
    <row r="351" spans="1:4">
      <c r="A351" s="544" t="s">
        <v>3748</v>
      </c>
      <c r="B351" s="67">
        <v>348</v>
      </c>
      <c r="D351" s="2" t="s">
        <v>504</v>
      </c>
    </row>
    <row r="352" spans="1:4">
      <c r="A352" s="544" t="s">
        <v>3748</v>
      </c>
      <c r="B352" s="67">
        <v>349</v>
      </c>
      <c r="D352" s="2" t="s">
        <v>505</v>
      </c>
    </row>
    <row r="353" spans="1:16">
      <c r="A353" s="544" t="s">
        <v>3748</v>
      </c>
      <c r="B353" s="67">
        <v>350</v>
      </c>
      <c r="D353" s="2" t="s">
        <v>506</v>
      </c>
    </row>
    <row r="354" spans="1:16">
      <c r="A354" s="544" t="s">
        <v>3748</v>
      </c>
      <c r="B354" s="67">
        <v>351</v>
      </c>
      <c r="D354" s="2" t="s">
        <v>507</v>
      </c>
    </row>
    <row r="355" spans="1:16">
      <c r="A355" s="544" t="s">
        <v>3748</v>
      </c>
      <c r="B355" s="67">
        <v>352</v>
      </c>
      <c r="D355" s="2" t="s">
        <v>508</v>
      </c>
    </row>
    <row r="356" spans="1:16">
      <c r="A356" s="544" t="s">
        <v>3748</v>
      </c>
      <c r="B356" s="67">
        <v>353</v>
      </c>
      <c r="D356" s="2" t="s">
        <v>509</v>
      </c>
    </row>
    <row r="357" spans="1:16">
      <c r="A357" s="544" t="s">
        <v>3748</v>
      </c>
      <c r="B357" s="67">
        <v>354</v>
      </c>
      <c r="D357" s="2" t="s">
        <v>510</v>
      </c>
    </row>
    <row r="358" spans="1:16">
      <c r="A358" s="544" t="s">
        <v>3748</v>
      </c>
      <c r="B358" s="67">
        <v>355</v>
      </c>
      <c r="D358" s="2" t="s">
        <v>511</v>
      </c>
    </row>
    <row r="359" spans="1:16">
      <c r="A359" s="544" t="s">
        <v>3748</v>
      </c>
      <c r="B359" s="67">
        <v>356</v>
      </c>
      <c r="D359" s="2" t="s">
        <v>512</v>
      </c>
    </row>
    <row r="360" spans="1:16">
      <c r="A360" s="544" t="s">
        <v>3748</v>
      </c>
      <c r="B360" s="67">
        <v>357</v>
      </c>
      <c r="D360" s="2" t="s">
        <v>513</v>
      </c>
    </row>
    <row r="361" spans="1:16">
      <c r="A361" s="544" t="s">
        <v>3748</v>
      </c>
      <c r="B361" s="67">
        <v>358</v>
      </c>
      <c r="D361" s="2" t="s">
        <v>514</v>
      </c>
    </row>
    <row r="362" spans="1:16">
      <c r="A362" s="544" t="s">
        <v>3748</v>
      </c>
      <c r="B362" s="67">
        <v>359</v>
      </c>
      <c r="D362" s="2" t="s">
        <v>515</v>
      </c>
    </row>
    <row r="363" spans="1:16">
      <c r="A363" s="544" t="s">
        <v>3748</v>
      </c>
      <c r="B363" s="67">
        <v>360</v>
      </c>
      <c r="D363" s="2" t="s">
        <v>516</v>
      </c>
    </row>
    <row r="364" spans="1:16">
      <c r="A364" s="544" t="s">
        <v>3748</v>
      </c>
      <c r="B364" s="67">
        <v>361</v>
      </c>
      <c r="C364" s="67"/>
      <c r="D364" s="43" t="s">
        <v>2978</v>
      </c>
      <c r="E364" s="67"/>
      <c r="F364" s="67"/>
      <c r="G364" s="67"/>
      <c r="H364" s="67"/>
      <c r="I364" s="67"/>
      <c r="J364" s="67"/>
      <c r="K364" s="67"/>
      <c r="L364" s="67"/>
      <c r="M364" s="67"/>
      <c r="N364" s="67"/>
      <c r="O364" s="67"/>
      <c r="P364" s="67"/>
    </row>
    <row r="365" spans="1:16" s="2" customFormat="1">
      <c r="A365" s="544" t="s">
        <v>3748</v>
      </c>
      <c r="B365" s="67">
        <v>362</v>
      </c>
      <c r="D365" s="43" t="s">
        <v>2737</v>
      </c>
    </row>
    <row r="366" spans="1:16" s="2" customFormat="1">
      <c r="A366" s="544" t="s">
        <v>3748</v>
      </c>
      <c r="B366" s="67">
        <v>363</v>
      </c>
      <c r="D366" s="2" t="s">
        <v>2759</v>
      </c>
    </row>
    <row r="367" spans="1:16" s="2" customFormat="1">
      <c r="A367" s="544" t="s">
        <v>3748</v>
      </c>
      <c r="B367" s="67">
        <v>364</v>
      </c>
      <c r="D367" s="43" t="s">
        <v>2738</v>
      </c>
    </row>
    <row r="368" spans="1:16" s="2" customFormat="1">
      <c r="A368" s="544" t="s">
        <v>3748</v>
      </c>
      <c r="B368" s="67">
        <v>365</v>
      </c>
      <c r="D368" s="43" t="s">
        <v>2739</v>
      </c>
    </row>
    <row r="369" spans="1:30" s="2" customFormat="1">
      <c r="A369" s="544" t="s">
        <v>3748</v>
      </c>
      <c r="B369" s="67">
        <v>366</v>
      </c>
      <c r="D369" s="43" t="s">
        <v>2740</v>
      </c>
    </row>
    <row r="370" spans="1:30" s="2" customFormat="1">
      <c r="A370" s="544" t="s">
        <v>3748</v>
      </c>
      <c r="B370" s="67">
        <v>367</v>
      </c>
      <c r="D370" s="43" t="s">
        <v>2741</v>
      </c>
    </row>
    <row r="371" spans="1:30" s="2" customFormat="1">
      <c r="A371" s="544" t="s">
        <v>3748</v>
      </c>
      <c r="B371" s="67">
        <v>368</v>
      </c>
      <c r="D371" s="43" t="s">
        <v>2742</v>
      </c>
    </row>
    <row r="372" spans="1:30" s="2" customFormat="1">
      <c r="A372" s="544" t="s">
        <v>3748</v>
      </c>
      <c r="B372" s="67">
        <v>369</v>
      </c>
      <c r="D372" s="43" t="s">
        <v>2743</v>
      </c>
    </row>
    <row r="373" spans="1:30" s="2" customFormat="1">
      <c r="A373" s="544" t="s">
        <v>3748</v>
      </c>
      <c r="B373" s="67">
        <v>370</v>
      </c>
      <c r="D373" s="43" t="s">
        <v>2744</v>
      </c>
    </row>
    <row r="374" spans="1:30" s="2" customFormat="1">
      <c r="A374" s="544" t="s">
        <v>3748</v>
      </c>
      <c r="B374" s="67">
        <v>371</v>
      </c>
      <c r="D374" s="43" t="s">
        <v>2745</v>
      </c>
    </row>
    <row r="375" spans="1:30" s="2" customFormat="1">
      <c r="A375" s="544" t="s">
        <v>3748</v>
      </c>
      <c r="B375" s="67">
        <v>372</v>
      </c>
      <c r="D375" s="43" t="s">
        <v>2747</v>
      </c>
    </row>
    <row r="376" spans="1:30" s="60" customFormat="1">
      <c r="A376" s="544" t="s">
        <v>3748</v>
      </c>
      <c r="B376" s="67">
        <v>373</v>
      </c>
      <c r="D376" s="43" t="s">
        <v>2762</v>
      </c>
    </row>
    <row r="377" spans="1:30" s="2" customFormat="1">
      <c r="A377" s="544" t="s">
        <v>3748</v>
      </c>
      <c r="B377" s="67">
        <v>374</v>
      </c>
      <c r="C377" s="67"/>
      <c r="D377" s="43" t="s">
        <v>2888</v>
      </c>
      <c r="E377" s="67"/>
      <c r="F377" s="67"/>
      <c r="G377" s="67"/>
      <c r="H377" s="67"/>
      <c r="I377" s="67"/>
      <c r="J377" s="67"/>
      <c r="K377" s="67"/>
      <c r="L377" s="67"/>
      <c r="M377" s="67"/>
      <c r="N377" s="67"/>
      <c r="O377" s="67"/>
      <c r="P377" s="67"/>
      <c r="Q377" s="67"/>
    </row>
    <row r="378" spans="1:30" s="2" customFormat="1">
      <c r="A378" s="544" t="s">
        <v>3748</v>
      </c>
      <c r="B378" s="67">
        <v>375</v>
      </c>
      <c r="C378" s="1"/>
      <c r="D378" s="1" t="s">
        <v>2896</v>
      </c>
      <c r="E378" s="1"/>
      <c r="F378" s="1"/>
      <c r="G378" s="1"/>
      <c r="H378" s="1"/>
      <c r="I378" s="1"/>
      <c r="J378" s="1"/>
      <c r="K378" s="1"/>
      <c r="L378" s="1"/>
      <c r="M378" s="1"/>
      <c r="N378" s="1"/>
      <c r="O378" s="1"/>
      <c r="P378" s="1"/>
      <c r="Q378" s="1"/>
      <c r="R378" s="1"/>
      <c r="S378" s="1"/>
      <c r="T378" s="1"/>
      <c r="U378" s="1"/>
      <c r="V378" s="1"/>
    </row>
    <row r="379" spans="1:30" s="2" customFormat="1">
      <c r="A379" s="544" t="s">
        <v>3748</v>
      </c>
      <c r="B379" s="67">
        <v>376</v>
      </c>
      <c r="C379" s="60"/>
      <c r="D379" s="69" t="s">
        <v>2897</v>
      </c>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row>
    <row r="380" spans="1:30" s="2" customFormat="1">
      <c r="A380" s="544" t="s">
        <v>3748</v>
      </c>
      <c r="B380" s="67">
        <v>377</v>
      </c>
      <c r="C380" s="60"/>
      <c r="D380" s="69" t="s">
        <v>2898</v>
      </c>
    </row>
    <row r="381" spans="1:30" s="2" customFormat="1">
      <c r="A381" s="544" t="s">
        <v>3748</v>
      </c>
      <c r="B381" s="67">
        <v>378</v>
      </c>
      <c r="C381" s="60"/>
      <c r="D381" s="2" t="s">
        <v>2899</v>
      </c>
    </row>
    <row r="382" spans="1:30" s="2" customFormat="1">
      <c r="A382" s="544" t="s">
        <v>3748</v>
      </c>
      <c r="B382" s="67">
        <v>379</v>
      </c>
      <c r="C382" s="60"/>
      <c r="D382" s="2" t="s">
        <v>2900</v>
      </c>
    </row>
    <row r="383" spans="1:30" s="2" customFormat="1">
      <c r="A383" s="544" t="s">
        <v>3748</v>
      </c>
      <c r="B383" s="67">
        <v>380</v>
      </c>
      <c r="C383" s="60"/>
      <c r="D383" s="43" t="s">
        <v>2969</v>
      </c>
    </row>
    <row r="384" spans="1:30" s="2" customFormat="1">
      <c r="A384" s="544" t="s">
        <v>3748</v>
      </c>
      <c r="B384" s="67">
        <v>381</v>
      </c>
      <c r="D384" s="43" t="s">
        <v>2979</v>
      </c>
    </row>
    <row r="385" spans="1:4" s="2" customFormat="1">
      <c r="A385" s="544" t="s">
        <v>3748</v>
      </c>
      <c r="B385" s="67">
        <v>382</v>
      </c>
      <c r="C385" s="60"/>
      <c r="D385" s="69" t="s">
        <v>2980</v>
      </c>
    </row>
    <row r="386" spans="1:4" s="2" customFormat="1">
      <c r="A386" s="544" t="s">
        <v>3748</v>
      </c>
      <c r="B386" s="67">
        <v>383</v>
      </c>
      <c r="C386" s="60"/>
      <c r="D386" t="s">
        <v>2981</v>
      </c>
    </row>
    <row r="387" spans="1:4" s="2" customFormat="1">
      <c r="A387" s="544" t="s">
        <v>3748</v>
      </c>
      <c r="B387" s="67">
        <v>384</v>
      </c>
      <c r="C387" s="60"/>
      <c r="D387" s="2" t="s">
        <v>2982</v>
      </c>
    </row>
    <row r="388" spans="1:4" s="67" customFormat="1">
      <c r="A388" s="541" t="s">
        <v>3476</v>
      </c>
      <c r="B388" s="67">
        <v>385</v>
      </c>
      <c r="D388" s="67" t="s">
        <v>3444</v>
      </c>
    </row>
    <row r="389" spans="1:4" s="2" customFormat="1">
      <c r="A389" s="67"/>
      <c r="C389" s="60"/>
    </row>
    <row r="390" spans="1:4" s="2" customFormat="1">
      <c r="A390" s="67"/>
      <c r="C390" s="60"/>
    </row>
  </sheetData>
  <phoneticPr fontId="32"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Abbreviations</vt:lpstr>
      <vt:lpstr>2192 Experiments</vt:lpstr>
      <vt:lpstr>562 Experiments</vt:lpstr>
      <vt:lpstr>Measured shrinkage</vt:lpstr>
      <vt:lpstr>D1-HSC subsets</vt:lpstr>
      <vt:lpstr>D2-HSC subsets</vt:lpstr>
      <vt:lpstr>Model predictions for D1-HSC</vt:lpstr>
      <vt:lpstr>Model predictions for D2-HSC</vt:lpstr>
      <vt:lpstr>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K.T. Kim</dc:creator>
  <cp:lastModifiedBy>Rahima Noordien</cp:lastModifiedBy>
  <dcterms:created xsi:type="dcterms:W3CDTF">2011-01-14T19:27:29Z</dcterms:created>
  <dcterms:modified xsi:type="dcterms:W3CDTF">2020-11-05T12:06:25Z</dcterms:modified>
</cp:coreProperties>
</file>